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Annual Dashboard" sheetId="3" r:id="rId3"/>
    <sheet name="Settings" sheetId="4" r:id="rId4"/>
    <sheet name="Lists" sheetId="5" r:id="rId5"/>
    <sheet name="Brand Voice" sheetId="6" r:id="rId6"/>
    <sheet name="Accounts" sheetId="7" r:id="rId7"/>
    <sheet name="Audience Personas" sheetId="8" r:id="rId8"/>
    <sheet name="Content Pillars" sheetId="9" r:id="rId9"/>
    <sheet name="Content Calendar" sheetId="10" r:id="rId10"/>
    <sheet name="Month View" sheetId="11" r:id="rId11"/>
    <sheet name="Workflow" sheetId="12" r:id="rId12"/>
    <sheet name="Idea Bank" sheetId="13" r:id="rId13"/>
    <sheet name="Caption Bank" sheetId="14" r:id="rId14"/>
    <sheet name="Hashtag Bank" sheetId="15" r:id="rId15"/>
    <sheet name="Instagram" sheetId="16" r:id="rId16"/>
    <sheet name="TikTok" sheetId="17" r:id="rId17"/>
    <sheet name="Pinterest" sheetId="18" r:id="rId18"/>
    <sheet name="YouTube" sheetId="19" r:id="rId19"/>
    <sheet name="Facebook" sheetId="20" r:id="rId20"/>
    <sheet name="Campaigns" sheetId="21" r:id="rId21"/>
    <sheet name="Launch Planner" sheetId="22" r:id="rId22"/>
    <sheet name="Seasonal Planner" sheetId="23" r:id="rId23"/>
    <sheet name="Influencers" sheetId="24" r:id="rId24"/>
    <sheet name="UGC Tracker" sheetId="25" r:id="rId25"/>
    <sheet name="Repurposing" sheetId="26" r:id="rId26"/>
    <sheet name="Competitors" sheetId="27" r:id="rId27"/>
    <sheet name="Trends" sheetId="28" r:id="rId28"/>
    <sheet name="Analytics" sheetId="29" r:id="rId29"/>
    <sheet name="Performance" sheetId="30" r:id="rId30"/>
    <sheet name="AB Tests" sheetId="31" r:id="rId31"/>
    <sheet name="Ads" sheetId="32" r:id="rId32"/>
    <sheet name="Assets" sheetId="33" r:id="rId33"/>
    <sheet name="Goals" sheetId="34" r:id="rId34"/>
    <sheet name="Budget" sheetId="35" r:id="rId35"/>
    <sheet name="Team" sheetId="36" r:id="rId36"/>
    <sheet name="Tasks" sheetId="37" r:id="rId37"/>
    <sheet name="Compliance" sheetId="38" r:id="rId38"/>
    <sheet name="Reports" sheetId="39" r:id="rId39"/>
    <sheet name="Print Brief" sheetId="40" r:id="rId40"/>
    <sheet name="Print Week" sheetId="41" r:id="rId41"/>
    <sheet name="Help" sheetId="42" r:id="rId42"/>
    <sheet name="Calc" sheetId="43" state="hidden" r:id="rId43"/>
  </sheets>
  <definedNames>
    <definedName name="_xlnm._FilterDatabase" localSheetId="30" hidden="1">'AB Tests'!$A$4:$AB$44</definedName>
    <definedName name="_xlnm._FilterDatabase" localSheetId="6" hidden="1">'Accounts'!$A$4:$AD$34</definedName>
    <definedName name="_xlnm._FilterDatabase" localSheetId="31" hidden="1">'Ads'!$A$4:$AG$104</definedName>
    <definedName name="_xlnm._FilterDatabase" localSheetId="28" hidden="1">'Analytics'!$A$4:$AO$154</definedName>
    <definedName name="_xlnm._FilterDatabase" localSheetId="32" hidden="1">'Assets'!$A$4:$Y$254</definedName>
    <definedName name="_xlnm._FilterDatabase" localSheetId="7" hidden="1">'Audience Personas'!$A$4:$Z$16</definedName>
    <definedName name="_xlnm._FilterDatabase" localSheetId="34" hidden="1">'Budget'!$A$4:$Q$64</definedName>
    <definedName name="_xlnm._FilterDatabase" localSheetId="42" hidden="1">'Calc'!$A$4:$CJ$604</definedName>
    <definedName name="_xlnm._FilterDatabase" localSheetId="20" hidden="1">'Campaigns'!$A$4:$AK$64</definedName>
    <definedName name="_xlnm._FilterDatabase" localSheetId="13" hidden="1">'Caption Bank'!$A$4:$AC$204</definedName>
    <definedName name="_xlnm._FilterDatabase" localSheetId="26" hidden="1">'Competitors'!$A$4:$X$44</definedName>
    <definedName name="_xlnm._FilterDatabase" localSheetId="37" hidden="1">'Compliance'!$A$4:$M$104</definedName>
    <definedName name="_xlnm._FilterDatabase" localSheetId="9" hidden="1">'Content Calendar'!$A$4:$AN$604</definedName>
    <definedName name="_xlnm._FilterDatabase" localSheetId="8" hidden="1">'Content Pillars'!$A$4:$S$24</definedName>
    <definedName name="_xlnm._FilterDatabase" localSheetId="19" hidden="1">'Facebook'!$A$4:$Y$204</definedName>
    <definedName name="_xlnm._FilterDatabase" localSheetId="33" hidden="1">'Goals'!$A$4:$Y$44</definedName>
    <definedName name="_xlnm._FilterDatabase" localSheetId="14" hidden="1">'Hashtag Bank'!$A$4:$U$304</definedName>
    <definedName name="_xlnm._FilterDatabase" localSheetId="12" hidden="1">'Idea Bank'!$A$4:$AE$304</definedName>
    <definedName name="_xlnm._FilterDatabase" localSheetId="23" hidden="1">'Influencers'!$A$4:$AD$64</definedName>
    <definedName name="_xlnm._FilterDatabase" localSheetId="15" hidden="1">'Instagram'!$A$4:$Y$204</definedName>
    <definedName name="_xlnm._FilterDatabase" localSheetId="21" hidden="1">'Launch Planner'!$A$4:$AF$44</definedName>
    <definedName name="_xlnm._FilterDatabase" localSheetId="29" hidden="1">'Performance'!$A$4:$AO$404</definedName>
    <definedName name="_xlnm._FilterDatabase" localSheetId="17" hidden="1">'Pinterest'!$A$4:$AC$204</definedName>
    <definedName name="_xlnm._FilterDatabase" localSheetId="25" hidden="1">'Repurposing'!$A$4:$V$154</definedName>
    <definedName name="_xlnm._FilterDatabase" localSheetId="22" hidden="1">'Seasonal Planner'!$A$4:$R$64</definedName>
    <definedName name="_xlnm._FilterDatabase" localSheetId="36" hidden="1">'Tasks'!$A$4:$M$64</definedName>
    <definedName name="_xlnm._FilterDatabase" localSheetId="35" hidden="1">'Team'!$A$4:$S$34</definedName>
    <definedName name="_xlnm._FilterDatabase" localSheetId="16" hidden="1">'TikTok'!$A$4:$AB$204</definedName>
    <definedName name="_xlnm._FilterDatabase" localSheetId="27" hidden="1">'Trends'!$A$4:$W$84</definedName>
    <definedName name="_xlnm._FilterDatabase" localSheetId="24" hidden="1">'UGC Tracker'!$A$4:$U$104</definedName>
    <definedName name="_xlnm._FilterDatabase" localSheetId="18" hidden="1">'YouTube'!$A$4:$AK$124</definedName>
    <definedName name="AccountNames">OFFSET(Accounts!$C$5,0,0,MAX(1,COUNTIF(Accounts!$C$5:$C$34,"?*")),1)</definedName>
    <definedName name="AccountTypeList">OFFSET(Lists!$D$5,0,0,MAX(1,COUNTIF(Lists!$D$5:$D$44,"?*")),1)</definedName>
    <definedName name="AdObjectiveList">OFFSET(Lists!$AF$5,0,0,MAX(1,COUNTIF(Lists!$AF$5:$AF$44,"?*")),1)</definedName>
    <definedName name="AnnualBudget">Settings!$D$44</definedName>
    <definedName name="ApprovalDays">Settings!$D$50</definedName>
    <definedName name="ApprovalStatusList">OFFSET(Lists!$V$5,0,0,MAX(1,COUNTIF(Lists!$V$5:$V$44,"?*")),1)</definedName>
    <definedName name="AssetIDs">OFFSET(Assets!$A$5,0,0,MAX(1,COUNTIF(Assets!$A$5:$A$254,"?*")),1)</definedName>
    <definedName name="AssetPrefix">Settings!$D$62</definedName>
    <definedName name="AssetReviewDays">Settings!$D$53</definedName>
    <definedName name="AssetTypeList">OFFSET(Lists!$T$5,0,0,MAX(1,COUNTIF(Lists!$T$5:$T$44,"?*")),1)</definedName>
    <definedName name="BrandAudience">Settings!$D$14</definedName>
    <definedName name="BrandEmail">Settings!$D$8</definedName>
    <definedName name="BrandFolder">Settings!$D$22</definedName>
    <definedName name="BrandFonts">Settings!$D$21</definedName>
    <definedName name="BrandGoal">Settings!$D$15</definedName>
    <definedName name="BrandHashtag">Settings!$D$16</definedName>
    <definedName name="BrandIndustry">Settings!$D$12</definedName>
    <definedName name="BrandLogo">Settings!$D$19</definedName>
    <definedName name="BrandName">Settings!$D$6</definedName>
    <definedName name="BrandNiche">Settings!$D$13</definedName>
    <definedName name="BrandOwner">Settings!$D$7</definedName>
    <definedName name="BrandPalette">Settings!$D$20</definedName>
    <definedName name="BrandPhone">Settings!$D$9</definedName>
    <definedName name="BrandShop">Settings!$D$11</definedName>
    <definedName name="BrandTimeZone">Settings!$D$27</definedName>
    <definedName name="BrandWeb">Settings!$D$10</definedName>
    <definedName name="BriefID">'Print Brief'!$C$1</definedName>
    <definedName name="CampaignNames">OFFSET(Campaigns!$B$5,0,0,MAX(1,COUNTIF(Campaigns!$B$5:$B$64,"?*")),1)</definedName>
    <definedName name="CampaignPrefix">Settings!$D$61</definedName>
    <definedName name="CampaignStatusList">OFFSET(Lists!$P$5,0,0,MAX(1,COUNTIF(Lists!$P$5:$P$44,"?*")),1)</definedName>
    <definedName name="CaptionIDs">OFFSET('Caption Bank'!$A$5,0,0,MAX(1,COUNTIF('Caption Bank'!$A$5:$A$204,"?*")),1)</definedName>
    <definedName name="CaptionPrefix">Settings!$D$59</definedName>
    <definedName name="CaptionTitles">OFFSET('Caption Bank'!$B$5,0,0,MAX(1,COUNTIF('Caption Bank'!$B$5:$B$204,"?*")),1)</definedName>
    <definedName name="ClickGoal">Settings!$D$37</definedName>
    <definedName name="CollabTypeList">OFFSET(Lists!$W$5,0,0,MAX(1,COUNTIF(Lists!$W$5:$W$44,"?*")),1)</definedName>
    <definedName name="CompetitorNames">OFFSET(Competitors!$B$5,0,0,MAX(1,COUNTIF(Competitors!$B$5:$B$44,"?*")),1)</definedName>
    <definedName name="ComplianceStatusList">OFFSET(Lists!$AM$5,0,0,MAX(1,COUNTIF(Lists!$AM$5:$AM$44,"?*")),1)</definedName>
    <definedName name="ContentIDs">OFFSET('Content Calendar'!$A$5,0,0,MAX(1,COUNTIF('Content Calendar'!$A$5:$A$604,"?*")),1)</definedName>
    <definedName name="ContentPrefix">Settings!$D$57</definedName>
    <definedName name="ContentStatusList">OFFSET(Lists!$F$5,0,0,MAX(1,COUNTIF(Lists!$F$5:$F$44,"?*")),1)</definedName>
    <definedName name="ContentTitles">OFFSET('Content Calendar'!$H$5,0,0,MAX(1,COUNTIF('Content Calendar'!$H$5:$H$604,"?*")),1)</definedName>
    <definedName name="ConversionGoal">Settings!$D$39</definedName>
    <definedName name="CostCategoryList">OFFSET(Lists!$AE$5,0,0,MAX(1,COUNTIF(Lists!$AE$5:$AE$44,"?*")),1)</definedName>
    <definedName name="CplTarget">Settings!$D$46</definedName>
    <definedName name="CTAList">OFFSET(Lists!$I$5,0,0,MAX(1,COUNTIF(Lists!$I$5:$I$44,"?*")),1)</definedName>
    <definedName name="CurrencyCode">Settings!$D$28</definedName>
    <definedName name="Dash_Engagements">Dashboard!$G$15</definedName>
    <definedName name="Dash_Published">Dashboard!$D$10</definedName>
    <definedName name="Dash_Reach">Dashboard!$A$15</definedName>
    <definedName name="Dash_Revenue">Dashboard!$P$20</definedName>
    <definedName name="Dash_Spend">Dashboard!$A$25</definedName>
    <definedName name="DashEnd">Dashboard!$K$6</definedName>
    <definedName name="DashKey">Dashboard!$O$6</definedName>
    <definedName name="DashMonthName">Dashboard!$C$6</definedName>
    <definedName name="DashStart">Dashboard!$G$6</definedName>
    <definedName name="DifficultyList">OFFSET(Lists!$S$5,0,0,MAX(1,COUNTIF(Lists!$S$5:$S$44,"?*")),1)</definedName>
    <definedName name="FiscalStartMonth">Settings!$D$29</definedName>
    <definedName name="FollowerGoal">Settings!$D$35</definedName>
    <definedName name="FormatList">OFFSET(Lists!$E$5,0,0,MAX(1,COUNTIF(Lists!$E$5:$E$44,"?*")),1)</definedName>
    <definedName name="FrequencyList">OFFSET(Lists!$AK$5,0,0,MAX(1,COUNTIF(Lists!$AK$5:$AK$44,"?*")),1)</definedName>
    <definedName name="FunnelStageList">OFFSET(Lists!$H$5,0,0,MAX(1,COUNTIF(Lists!$H$5:$H$44,"?*")),1)</definedName>
    <definedName name="GoalCategoryList">OFFSET(Lists!$AC$5,0,0,MAX(1,COUNTIF(Lists!$AC$5:$AC$44,"?*")),1)</definedName>
    <definedName name="GoalNames">OFFSET(Goals!$B$5,0,0,MAX(1,COUNTIF(Goals!$B$5:$B$44,"?*")),1)</definedName>
    <definedName name="GoalStatusList">OFFSET(Lists!$AD$5,0,0,MAX(1,COUNTIF(Lists!$AD$5:$AD$44,"?*")),1)</definedName>
    <definedName name="HashtagPrefix">Settings!$D$60</definedName>
    <definedName name="HashtagTypeList">OFFSET(Lists!$Q$5,0,0,MAX(1,COUNTIF(Lists!$Q$5:$Q$44,"?*")),1)</definedName>
    <definedName name="HookTypeList">OFFSET(Lists!$J$5,0,0,MAX(1,COUNTIF(Lists!$J$5:$J$44,"?*")),1)</definedName>
    <definedName name="IdeaIDs">OFFSET('Idea Bank'!$A$5,0,0,MAX(1,COUNTIF('Idea Bank'!$A$5:$A$304,"?*")),1)</definedName>
    <definedName name="IdeaPrefix">Settings!$D$58</definedName>
    <definedName name="IdeaReviewDays">Settings!$D$51</definedName>
    <definedName name="IdeaSourceList">OFFSET(Lists!$N$5,0,0,MAX(1,COUNTIF(Lists!$N$5:$N$44,"?*")),1)</definedName>
    <definedName name="IdeaStatusList">OFFSET(Lists!$M$5,0,0,MAX(1,COUNTIF(Lists!$M$5:$M$44,"?*")),1)</definedName>
    <definedName name="InfluencerNames">OFFSET(Influencers!$B$5,0,0,MAX(1,COUNTIF(Influencers!$B$5:$B$64,"?*")),1)</definedName>
    <definedName name="LaunchNames">OFFSET('Launch Planner'!$B$5,0,0,MAX(1,COUNTIF('Launch Planner'!$B$5:$B$44,"?*")),1)</definedName>
    <definedName name="LeadGoal">Settings!$D$38</definedName>
    <definedName name="MonthList">OFFSET(Lists!$AN$5,0,0,MAX(1,COUNTIF(Lists!$AN$5:$AN$44,"?*")),1)</definedName>
    <definedName name="MonthlyBudget">Settings!$D$43</definedName>
    <definedName name="MonthlyPostTarget">Settings!$D$33</definedName>
    <definedName name="ObjectiveList">OFFSET(Lists!$G$5,0,0,MAX(1,COUNTIF(Lists!$G$5:$G$44,"?*")),1)</definedName>
    <definedName name="OutreachStatusList">OFFSET(Lists!$X$5,0,0,MAX(1,COUNTIF(Lists!$X$5:$X$44,"?*")),1)</definedName>
    <definedName name="PersonaNames">OFFSET('Audience Personas'!$B$5,0,0,MAX(1,COUNTIF('Audience Personas'!$B$5:$B$16,"?*")),1)</definedName>
    <definedName name="PillarNames">OFFSET('Content Pillars'!$B$5,0,0,MAX(1,COUNTIF('Content Pillars'!$B$5:$B$24,"?*")),1)</definedName>
    <definedName name="PlanYear">Settings!$D$25</definedName>
    <definedName name="PlatformList">OFFSET(Lists!$C$5,0,0,MAX(1,COUNTIF(Lists!$C$5:$C$44,"?*")),1)</definedName>
    <definedName name="PostsPerWeek">Settings!$D$32</definedName>
    <definedName name="_xlnm.Print_Area" localSheetId="30">'AB Tests'!$A$1:$AB$44</definedName>
    <definedName name="_xlnm.Print_Area" localSheetId="6">'Accounts'!$A$1:$AD$34</definedName>
    <definedName name="_xlnm.Print_Area" localSheetId="31">'Ads'!$A$1:$AG$104</definedName>
    <definedName name="_xlnm.Print_Area" localSheetId="28">'Analytics'!$A$1:$AO$154</definedName>
    <definedName name="_xlnm.Print_Area" localSheetId="32">'Assets'!$A$1:$Y$254</definedName>
    <definedName name="_xlnm.Print_Area" localSheetId="7">'Audience Personas'!$A$1:$Z$16</definedName>
    <definedName name="_xlnm.Print_Area" localSheetId="34">'Budget'!$A$1:$Q$64</definedName>
    <definedName name="_xlnm.Print_Area" localSheetId="42">'Calc'!$A$1:$CJ$604</definedName>
    <definedName name="_xlnm.Print_Area" localSheetId="20">'Campaigns'!$A$1:$AK$64</definedName>
    <definedName name="_xlnm.Print_Area" localSheetId="13">'Caption Bank'!$A$1:$AC$204</definedName>
    <definedName name="_xlnm.Print_Area" localSheetId="26">'Competitors'!$A$1:$X$44</definedName>
    <definedName name="_xlnm.Print_Area" localSheetId="37">'Compliance'!$A$1:$M$104</definedName>
    <definedName name="_xlnm.Print_Area" localSheetId="9">'Content Calendar'!$A$1:$AN$604</definedName>
    <definedName name="_xlnm.Print_Area" localSheetId="8">'Content Pillars'!$A$1:$S$24</definedName>
    <definedName name="_xlnm.Print_Area" localSheetId="19">'Facebook'!$A$1:$Y$204</definedName>
    <definedName name="_xlnm.Print_Area" localSheetId="33">'Goals'!$A$1:$Y$44</definedName>
    <definedName name="_xlnm.Print_Area" localSheetId="14">'Hashtag Bank'!$A$1:$U$304</definedName>
    <definedName name="_xlnm.Print_Area" localSheetId="12">'Idea Bank'!$A$1:$AE$304</definedName>
    <definedName name="_xlnm.Print_Area" localSheetId="23">'Influencers'!$A$1:$AD$64</definedName>
    <definedName name="_xlnm.Print_Area" localSheetId="15">'Instagram'!$A$1:$Y$204</definedName>
    <definedName name="_xlnm.Print_Area" localSheetId="21">'Launch Planner'!$A$1:$AF$44</definedName>
    <definedName name="_xlnm.Print_Area" localSheetId="29">'Performance'!$A$1:$AO$404</definedName>
    <definedName name="_xlnm.Print_Area" localSheetId="17">'Pinterest'!$A$1:$AC$204</definedName>
    <definedName name="_xlnm.Print_Area" localSheetId="39">'Print Brief'!$A$3:$H$59</definedName>
    <definedName name="_xlnm.Print_Area" localSheetId="40">'Print Week'!$A$3:$H$54</definedName>
    <definedName name="_xlnm.Print_Area" localSheetId="25">'Repurposing'!$A$1:$V$154</definedName>
    <definedName name="_xlnm.Print_Area" localSheetId="22">'Seasonal Planner'!$A$1:$R$64</definedName>
    <definedName name="_xlnm.Print_Area" localSheetId="36">'Tasks'!$A$1:$M$64</definedName>
    <definedName name="_xlnm.Print_Area" localSheetId="35">'Team'!$A$1:$S$34</definedName>
    <definedName name="_xlnm.Print_Area" localSheetId="16">'TikTok'!$A$1:$AB$204</definedName>
    <definedName name="_xlnm.Print_Area" localSheetId="27">'Trends'!$A$1:$W$84</definedName>
    <definedName name="_xlnm.Print_Area" localSheetId="24">'UGC Tracker'!$A$1:$U$104</definedName>
    <definedName name="_xlnm.Print_Area" localSheetId="18">'YouTube'!$A$1:$AK$124</definedName>
    <definedName name="_xlnm.Print_Titles" localSheetId="30">'AB Tests'!$1:$4</definedName>
    <definedName name="_xlnm.Print_Titles" localSheetId="6">'Accounts'!$1:$4</definedName>
    <definedName name="_xlnm.Print_Titles" localSheetId="31">'Ads'!$1:$4</definedName>
    <definedName name="_xlnm.Print_Titles" localSheetId="28">'Analytics'!$1:$4</definedName>
    <definedName name="_xlnm.Print_Titles" localSheetId="32">'Assets'!$1:$4</definedName>
    <definedName name="_xlnm.Print_Titles" localSheetId="7">'Audience Personas'!$1:$4</definedName>
    <definedName name="_xlnm.Print_Titles" localSheetId="34">'Budget'!$1:$4</definedName>
    <definedName name="_xlnm.Print_Titles" localSheetId="42">'Calc'!$1:$4</definedName>
    <definedName name="_xlnm.Print_Titles" localSheetId="20">'Campaigns'!$1:$4</definedName>
    <definedName name="_xlnm.Print_Titles" localSheetId="13">'Caption Bank'!$1:$4</definedName>
    <definedName name="_xlnm.Print_Titles" localSheetId="26">'Competitors'!$1:$4</definedName>
    <definedName name="_xlnm.Print_Titles" localSheetId="37">'Compliance'!$1:$4</definedName>
    <definedName name="_xlnm.Print_Titles" localSheetId="9">'Content Calendar'!$1:$4</definedName>
    <definedName name="_xlnm.Print_Titles" localSheetId="8">'Content Pillars'!$1:$4</definedName>
    <definedName name="_xlnm.Print_Titles" localSheetId="19">'Facebook'!$1:$4</definedName>
    <definedName name="_xlnm.Print_Titles" localSheetId="33">'Goals'!$1:$4</definedName>
    <definedName name="_xlnm.Print_Titles" localSheetId="14">'Hashtag Bank'!$1:$4</definedName>
    <definedName name="_xlnm.Print_Titles" localSheetId="12">'Idea Bank'!$1:$4</definedName>
    <definedName name="_xlnm.Print_Titles" localSheetId="23">'Influencers'!$1:$4</definedName>
    <definedName name="_xlnm.Print_Titles" localSheetId="15">'Instagram'!$1:$4</definedName>
    <definedName name="_xlnm.Print_Titles" localSheetId="21">'Launch Planner'!$1:$4</definedName>
    <definedName name="_xlnm.Print_Titles" localSheetId="29">'Performance'!$1:$4</definedName>
    <definedName name="_xlnm.Print_Titles" localSheetId="17">'Pinterest'!$1:$4</definedName>
    <definedName name="_xlnm.Print_Titles" localSheetId="25">'Repurposing'!$1:$4</definedName>
    <definedName name="_xlnm.Print_Titles" localSheetId="22">'Seasonal Planner'!$1:$4</definedName>
    <definedName name="_xlnm.Print_Titles" localSheetId="36">'Tasks'!$1:$4</definedName>
    <definedName name="_xlnm.Print_Titles" localSheetId="35">'Team'!$1:$4</definedName>
    <definedName name="_xlnm.Print_Titles" localSheetId="16">'TikTok'!$1:$4</definedName>
    <definedName name="_xlnm.Print_Titles" localSheetId="27">'Trends'!$1:$4</definedName>
    <definedName name="_xlnm.Print_Titles" localSheetId="24">'UGC Tracker'!$1:$4</definedName>
    <definedName name="_xlnm.Print_Titles" localSheetId="18">'YouTube'!$1:$4</definedName>
    <definedName name="PriorityList">OFFSET(Lists!$L$5,0,0,MAX(1,COUNTIF(Lists!$L$5:$L$44,"?*")),1)</definedName>
    <definedName name="ProductionDays">Settings!$D$49</definedName>
    <definedName name="QuarterList">OFFSET(Lists!$AO$5,0,0,MAX(1,COUNTIF(Lists!$AO$5:$AO$44,"?*")),1)</definedName>
    <definedName name="QuietAccountDays">Settings!$D$54</definedName>
    <definedName name="ReachGoal">Settings!$D$36</definedName>
    <definedName name="RepFrom">Reports!$B$6</definedName>
    <definedName name="RepTo">Reports!$D$6</definedName>
    <definedName name="RepurposeStatusList">OFFSET(Lists!$AJ$5,0,0,MAX(1,COUNTIF(Lists!$AJ$5:$AJ$44,"?*")),1)</definedName>
    <definedName name="RevenueGoal">Settings!$D$40</definedName>
    <definedName name="RoasTarget">Settings!$D$45</definedName>
    <definedName name="RoleList">OFFSET(Lists!$AA$5,0,0,MAX(1,COUNTIF(Lists!$AA$5:$AA$44,"?*")),1)</definedName>
    <definedName name="SearchIntentList">OFFSET(Lists!$R$5,0,0,MAX(1,COUNTIF(Lists!$R$5:$R$44,"?*")),1)</definedName>
    <definedName name="SeasonalTypeList">OFFSET(Lists!$O$5,0,0,MAX(1,COUNTIF(Lists!$O$5:$O$44,"?*")),1)</definedName>
    <definedName name="TargetEngagement">Settings!$D$34</definedName>
    <definedName name="TaskStatusList">OFFSET(Lists!$AB$5,0,0,MAX(1,COUNTIF(Lists!$AB$5:$AB$44,"?*")),1)</definedName>
    <definedName name="TeamNames">OFFSET(Team!$B$5,0,0,MAX(1,COUNTIF(Team!$B$5:$B$34,"?*")),1)</definedName>
    <definedName name="TestStatusList">OFFSET(Lists!$AH$5,0,0,MAX(1,COUNTIF(Lists!$AH$5:$AH$44,"?*")),1)</definedName>
    <definedName name="TestVariableList">OFFSET(Lists!$AG$5,0,0,MAX(1,COUNTIF(Lists!$AG$5:$AG$44,"?*")),1)</definedName>
    <definedName name="TimeSlotList">OFFSET(Lists!$AL$5,0,0,MAX(1,COUNTIF(Lists!$AL$5:$AL$44,"?*")),1)</definedName>
    <definedName name="ToneList">OFFSET(Lists!$K$5,0,0,MAX(1,COUNTIF(Lists!$K$5:$K$44,"?*")),1)</definedName>
    <definedName name="TrendNames">OFFSET(Trends!$B$5,0,0,MAX(1,COUNTIF(Trends!$B$5:$B$84,"?*")),1)</definedName>
    <definedName name="TrendTypeList">OFFSET(Lists!$AI$5,0,0,MAX(1,COUNTIF(Lists!$AI$5:$AI$44,"?*")),1)</definedName>
    <definedName name="TrendWindowDays">Settings!$D$52</definedName>
    <definedName name="UGCPermissionList">OFFSET(Lists!$Y$5,0,0,MAX(1,COUNTIF(Lists!$Y$5:$Y$44,"?*")),1)</definedName>
    <definedName name="UGCSourceList">OFFSET(Lists!$Z$5,0,0,MAX(1,COUNTIF(Lists!$Z$5:$Z$44,"?*")),1)</definedName>
    <definedName name="UsageRightsList">OFFSET(Lists!$U$5,0,0,MAX(1,COUNTIF(Lists!$U$5:$U$44,"?*")),1)</definedName>
    <definedName name="ViewMonthName">'Month View'!$C$5</definedName>
    <definedName name="ViewStart">'Month View'!$F$5</definedName>
    <definedName name="WeekStart">Settings!$D$26</definedName>
    <definedName name="WeekStartDate">'Print Week'!$C$1</definedName>
    <definedName name="WeekStartList">OFFSET(Lists!$AP$5,0,0,MAX(1,COUNTIF(Lists!$AP$5:$AP$44,"?*")),1)</definedName>
    <definedName name="Year_Eng">'Annual Dashboard'!$J$7</definedName>
    <definedName name="Year_Published">'Annual Dashboard'!$D$7</definedName>
    <definedName name="Year_Reach">'Annual Dashboard'!$G$7</definedName>
    <definedName name="Year_Revenue">'Annual Dashboard'!$J$11</definedName>
    <definedName name="Year_Spend">'Annual Dashboard'!$M$11</definedName>
    <definedName name="YesNoList">OFFSET(Lists!$A$5,0,0,MAX(1,COUNTIF(Lists!$A$5:$A$44,"?*")),1)</definedName>
    <definedName name="YesNoNAList">OFFSET(Lists!$B$5,0,0,MAX(1,COUNTIF(Lists!$B$5:$B$44,"?*")),1)</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from the Lists tab. Everything else in the workbook groups on this.</t>
        </r>
      </text>
    </comment>
    <comment ref="J4" authorId="0">
      <text>
        <r>
          <rPr>
            <sz val="8"/>
            <color indexed="81"/>
            <rFont val="Tahoma"/>
            <family val="2"/>
          </rPr>
          <t>Type today's number. The monthly history lives on the Analytics tab.</t>
        </r>
      </text>
    </comment>
    <comment ref="S4" authorId="0">
      <text>
        <r>
          <rPr>
            <sz val="8"/>
            <color indexed="81"/>
            <rFont val="Tahoma"/>
            <family val="2"/>
          </rPr>
          <t>Share of the six profile checks marked Yes.</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Give them a name you will actually remember, e.g. 'First-home Freya'.</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Five or six is the sweet spot. These feed the pillar drop down on the Content Calendar.</t>
        </r>
      </text>
    </comment>
    <comment ref="C4" authorId="0">
      <text>
        <r>
          <rPr>
            <sz val="8"/>
            <color indexed="81"/>
            <rFont val="Tahoma"/>
            <family val="2"/>
          </rPr>
          <t>Aim for the shares to add up to 100%. The total is checked at the bottom of the grey columns.</t>
        </r>
      </text>
    </comment>
    <comment ref="Q4" authorId="0">
      <text>
        <r>
          <rPr>
            <sz val="8"/>
            <color indexed="81"/>
            <rFont val="Tahoma"/>
            <family val="2"/>
          </rPr>
          <t>The post with the highest engagement rate for this pillar.</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C-0001, C-0002 ... Quote this ID on the Performance, Repurposing and platform tabs.</t>
        </r>
      </text>
    </comment>
    <comment ref="B4" authorId="0">
      <text>
        <r>
          <rPr>
            <sz val="8"/>
            <color indexed="81"/>
            <rFont val="Tahoma"/>
            <family val="2"/>
          </rPr>
          <t>The day it goes live. Draft and approval deadlines are worked out from this.</t>
        </r>
      </text>
    </comment>
    <comment ref="D4" authorId="0">
      <text>
        <r>
          <rPr>
            <sz val="8"/>
            <color indexed="81"/>
            <rFont val="Tahoma"/>
            <family val="2"/>
          </rPr>
          <t>Automatic. Every monthly report groups on this.</t>
        </r>
      </text>
    </comment>
    <comment ref="E4" authorId="0">
      <text>
        <r>
          <rPr>
            <sz val="8"/>
            <color indexed="81"/>
            <rFont val="Tahoma"/>
            <family val="2"/>
          </rPr>
          <t>Week number of the year, using the week start day set on the Settings tab.</t>
        </r>
      </text>
    </comment>
    <comment ref="H4" authorId="0">
      <text>
        <r>
          <rPr>
            <sz val="8"/>
            <color indexed="81"/>
            <rFont val="Tahoma"/>
            <family val="2"/>
          </rPr>
          <t>Short and recognisable - this is what shows up in the reports and the top content tables.</t>
        </r>
      </text>
    </comment>
    <comment ref="R4" authorId="0">
      <text>
        <r>
          <rPr>
            <sz val="8"/>
            <color indexed="81"/>
            <rFont val="Tahoma"/>
            <family val="2"/>
          </rPr>
          <t>Type a group name you have used on the Hashtag Bank tab, e.g. 'Group 1'.</t>
        </r>
      </text>
    </comment>
    <comment ref="X4" authorId="0">
      <text>
        <r>
          <rPr>
            <sz val="8"/>
            <color indexed="81"/>
            <rFont val="Tahoma"/>
            <family val="2"/>
          </rPr>
          <t>Move it along: Idea &gt; Brief &gt; In production &gt; Draft &gt; Awaiting review &gt; Approved &gt; Scheduled &gt; Published.</t>
        </r>
      </text>
    </comment>
    <comment ref="AD4" authorId="0">
      <text>
        <r>
          <rPr>
            <sz val="8"/>
            <color indexed="81"/>
            <rFont val="Tahoma"/>
            <family val="2"/>
          </rPr>
          <t>Pulled from the Performance tab - enter the numbers there once and they appear here.</t>
        </r>
      </text>
    </comment>
    <comment ref="AI4" authorId="0">
      <text>
        <r>
          <rPr>
            <sz val="8"/>
            <color indexed="81"/>
            <rFont val="Tahoma"/>
            <family val="2"/>
          </rPr>
          <t>Hidden helper: lets the Month View grid list the posts that fall on each day without sorting the sheet.</t>
        </r>
      </text>
    </comment>
    <comment ref="AJ4" authorId="0">
      <text>
        <r>
          <rPr>
            <sz val="8"/>
            <color indexed="81"/>
            <rFont val="Tahoma"/>
            <family val="2"/>
          </rPr>
          <t>Hidden helper: lets the dashboard list the next posts due without sorting the sheet.</t>
        </r>
      </text>
    </comment>
    <comment ref="AK4" authorId="0">
      <text>
        <r>
          <rPr>
            <sz val="8"/>
            <color indexed="81"/>
            <rFont val="Tahoma"/>
            <family val="2"/>
          </rPr>
          <t>Hidden helper: feeds the overdue list on the Dashboard and the Workflow tab.</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Capture it quickly - you can tidy it up later.</t>
        </r>
      </text>
    </comment>
    <comment ref="S4" authorId="0">
      <text>
        <r>
          <rPr>
            <sz val="8"/>
            <color indexed="81"/>
            <rFont val="Tahoma"/>
            <family val="2"/>
          </rPr>
          <t>How strong is it? 10 = make this next.</t>
        </r>
      </text>
    </comment>
    <comment ref="X4" authorId="0">
      <text>
        <r>
          <rPr>
            <sz val="8"/>
            <color indexed="81"/>
            <rFont val="Tahoma"/>
            <family val="2"/>
          </rPr>
          <t>Paste the C-0000 ID from the Content Calendar once the idea has been scheduled.</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name appears in the caption drop down on the Content Calendar, so keep it unique.</t>
        </r>
      </text>
    </comment>
    <comment ref="G4" authorId="0">
      <text>
        <r>
          <rPr>
            <sz val="8"/>
            <color indexed="81"/>
            <rFont val="Tahoma"/>
            <family val="2"/>
          </rPr>
          <t>The only line most people read. Make it earn the tap.</t>
        </r>
      </text>
    </comment>
    <comment ref="J4" authorId="0">
      <text>
        <r>
          <rPr>
            <sz val="8"/>
            <color indexed="81"/>
            <rFont val="Tahoma"/>
            <family val="2"/>
          </rPr>
          <t>Paste the finished caption here, ready to copy into the app.</t>
        </r>
      </text>
    </comment>
    <comment ref="P4" authorId="0">
      <text>
        <r>
          <rPr>
            <sz val="8"/>
            <color indexed="81"/>
            <rFont val="Tahoma"/>
            <family val="2"/>
          </rPr>
          <t>Which hashtag group pairs with this caption.</t>
        </r>
      </text>
    </comment>
  </commentList>
</comments>
</file>

<file path=xl/comments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Include the # so you can copy a whole group straight into the app.</t>
        </r>
      </text>
    </comment>
    <comment ref="C4" authorId="0">
      <text>
        <r>
          <rPr>
            <sz val="8"/>
            <color indexed="81"/>
            <rFont val="Tahoma"/>
            <family val="2"/>
          </rPr>
          <t>Mix broad, niche, community and branded tags in every group.</t>
        </r>
      </text>
    </comment>
    <comment ref="D4" authorId="0">
      <text>
        <r>
          <rPr>
            <sz val="8"/>
            <color indexed="81"/>
            <rFont val="Tahoma"/>
            <family val="2"/>
          </rPr>
          <t>Groups let you reuse a tested set. Type the same group name on the Content Calendar.</t>
        </r>
      </text>
    </comment>
    <comment ref="H4" authorId="0">
      <text>
        <r>
          <rPr>
            <sz val="8"/>
            <color indexed="81"/>
            <rFont val="Tahoma"/>
            <family val="2"/>
          </rPr>
          <t>The words people actually type into the search box - these matter on Pinterest, YouTube and TikTok.</t>
        </r>
      </text>
    </comment>
    <comment ref="R4" authorId="0">
      <text>
        <r>
          <rPr>
            <sz val="8"/>
            <color indexed="81"/>
            <rFont val="Tahoma"/>
            <family val="2"/>
          </rPr>
          <t>Some tags get hidden by the platform. Check before a campaign.</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C-0000 ID of the Instagram post from the Content Calendar. Everything grey fills itself in.</t>
        </r>
      </text>
    </comment>
    <comment ref="I4" authorId="0">
      <text>
        <r>
          <rPr>
            <sz val="8"/>
            <color indexed="81"/>
            <rFont val="Tahoma"/>
            <family val="2"/>
          </rPr>
          <t>Carousels of 6-10 slides tend to hold attention best.</t>
        </r>
      </text>
    </comment>
    <comment ref="L4" authorId="0">
      <text>
        <r>
          <rPr>
            <sz val="8"/>
            <color indexed="81"/>
            <rFont val="Tahoma"/>
            <family val="2"/>
          </rPr>
          <t>Plan the frames: hook, proof, poll, link.</t>
        </r>
      </text>
    </comment>
    <comment ref="P4" authorId="0">
      <text>
        <r>
          <rPr>
            <sz val="8"/>
            <color indexed="81"/>
            <rFont val="Tahoma"/>
            <family val="2"/>
          </rPr>
          <t>From the Performance tab - enter each post's numbers once, there.</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C-0000 ID of the TikTok post from the Content Calendar. Everything grey fills itself in.</t>
        </r>
      </text>
    </comment>
    <comment ref="G4" authorId="0">
      <text>
        <r>
          <rPr>
            <sz val="8"/>
            <color indexed="81"/>
            <rFont val="Tahoma"/>
            <family val="2"/>
          </rPr>
          <t>TikTok lives or dies on the first two seconds.</t>
        </r>
      </text>
    </comment>
    <comment ref="S4" authorId="0">
      <text>
        <r>
          <rPr>
            <sz val="8"/>
            <color indexed="81"/>
            <rFont val="Tahoma"/>
            <family val="2"/>
          </rPr>
          <t>From the Performance tab - enter each post's numbers once, there.</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C-0000 ID of the Pinterest post from the Content Calendar. Everything grey fills itself in.</t>
        </r>
      </text>
    </comment>
    <comment ref="I4" authorId="0">
      <text>
        <r>
          <rPr>
            <sz val="8"/>
            <color indexed="81"/>
            <rFont val="Tahoma"/>
            <family val="2"/>
          </rPr>
          <t>Pinterest is a search engine - put the keyword in the title.</t>
        </r>
      </text>
    </comment>
    <comment ref="P4" authorId="0">
      <text>
        <r>
          <rPr>
            <sz val="8"/>
            <color indexed="81"/>
            <rFont val="Tahoma"/>
            <family val="2"/>
          </rPr>
          <t>Seasonal pins want publishing 30-45 days early.</t>
        </r>
      </text>
    </comment>
    <comment ref="T4" authorId="0">
      <text>
        <r>
          <rPr>
            <sz val="8"/>
            <color indexed="81"/>
            <rFont val="Tahoma"/>
            <family val="2"/>
          </rPr>
          <t>From the Performance tab - enter each post's numbers once, there.</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C-0000 ID of the YouTube post from the Content Calendar. Everything grey fills itself in.</t>
        </r>
      </text>
    </comment>
    <comment ref="H4" authorId="0">
      <text>
        <r>
          <rPr>
            <sz val="8"/>
            <color indexed="81"/>
            <rFont val="Tahoma"/>
            <family val="2"/>
          </rPr>
          <t>Under 60 characters so it is not cut off in search.</t>
        </r>
      </text>
    </comment>
    <comment ref="AB4" authorId="0">
      <text>
        <r>
          <rPr>
            <sz val="8"/>
            <color indexed="81"/>
            <rFont val="Tahoma"/>
            <family val="2"/>
          </rPr>
          <t>From the Performance tab - enter each post's numbers once, there.</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C-0000 ID of the Facebook post from the Content Calendar. Everything grey fills itself in.</t>
        </r>
      </text>
    </comment>
    <comment ref="P4" authorId="0">
      <text>
        <r>
          <rPr>
            <sz val="8"/>
            <color indexed="81"/>
            <rFont val="Tahoma"/>
            <family val="2"/>
          </rPr>
          <t>From the Performance tab - enter each post's numbers once, there.</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name appears in the campaign drop down on the Content Calendar, so keep it short and unique.</t>
        </r>
      </text>
    </comment>
    <comment ref="O4" authorId="0">
      <text>
        <r>
          <rPr>
            <sz val="8"/>
            <color indexed="81"/>
            <rFont val="Tahoma"/>
            <family val="2"/>
          </rPr>
          <t>Add a UTM tag so your website analytics can tell you which campaign sent the visitor.</t>
        </r>
      </text>
    </comment>
    <comment ref="AH4" authorId="0">
      <text>
        <r>
          <rPr>
            <sz val="8"/>
            <color indexed="81"/>
            <rFont val="Tahoma"/>
            <family val="2"/>
          </rPr>
          <t>Revenue divided by spend. 3.0 means three back for every one spent.</t>
        </r>
      </text>
    </comment>
  </commentList>
</comments>
</file>

<file path=xl/comments1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The day it goes on sale. Everything else counts backwards and forwards from here.</t>
        </r>
      </text>
    </comment>
    <comment ref="Z4" authorId="0">
      <text>
        <r>
          <rPr>
            <sz val="8"/>
            <color indexed="81"/>
            <rFont val="Tahoma"/>
            <family val="2"/>
          </rPr>
          <t>Two weeks of warming up beats one surprise post.</t>
        </r>
      </text>
    </comment>
  </commentList>
</comments>
</file>

<file path=xl/comments1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Automatic. Every monthly report groups on this.</t>
        </r>
      </text>
    </comment>
    <comment ref="F4" authorId="0">
      <text>
        <r>
          <rPr>
            <sz val="8"/>
            <color indexed="81"/>
            <rFont val="Tahoma"/>
            <family val="2"/>
          </rPr>
          <t>Only join in where you have something real to say.</t>
        </r>
      </text>
    </comment>
    <comment ref="J4" authorId="0">
      <text>
        <r>
          <rPr>
            <sz val="8"/>
            <color indexed="81"/>
            <rFont val="Tahoma"/>
            <family val="2"/>
          </rPr>
          <t>Pinterest wants 30-45 days, Instagram about 14.</t>
        </r>
      </text>
    </comment>
  </commentList>
</comments>
</file>

<file path=xl/comments1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H4" authorId="0">
      <text>
        <r>
          <rPr>
            <sz val="8"/>
            <color indexed="81"/>
            <rFont val="Tahoma"/>
            <family val="2"/>
          </rPr>
          <t>Look at it before you look at follower count - 2-6% is healthy.</t>
        </r>
      </text>
    </comment>
    <comment ref="T4" authorId="0">
      <text>
        <r>
          <rPr>
            <sz val="8"/>
            <color indexed="81"/>
            <rFont val="Tahoma"/>
            <family val="2"/>
          </rPr>
          <t>Fee plus product, postage and anything else you gave away.</t>
        </r>
      </text>
    </comment>
  </commentList>
</comments>
</file>

<file path=xl/comments1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J4" authorId="0">
      <text>
        <r>
          <rPr>
            <sz val="8"/>
            <color indexed="81"/>
            <rFont val="Tahoma"/>
            <family val="2"/>
          </rPr>
          <t>Always ask before you repost. A screenshot of the yes is worth keeping.</t>
        </r>
      </text>
    </comment>
  </commentList>
</comments>
</file>

<file path=xl/comments1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post you are reusing. Pick its C-0000 ID.</t>
        </r>
      </text>
    </comment>
    <comment ref="F4" authorId="0">
      <text>
        <r>
          <rPr>
            <sz val="8"/>
            <color indexed="81"/>
            <rFont val="Tahoma"/>
            <family val="2"/>
          </rPr>
          <t>Repurpose what already worked - this is the engagement rate of the original.</t>
        </r>
      </text>
    </comment>
  </commentList>
</comments>
</file>

<file path=xl/comments1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K4" authorId="0">
      <text>
        <r>
          <rPr>
            <sz val="8"/>
            <color indexed="81"/>
            <rFont val="Tahoma"/>
            <family val="2"/>
          </rPr>
          <t>Engagements divided by followers on a handful of recent posts - near enough is good enough.</t>
        </r>
      </text>
    </comment>
    <comment ref="P4" authorId="0">
      <text>
        <r>
          <rPr>
            <sz val="8"/>
            <color indexed="81"/>
            <rFont val="Tahoma"/>
            <family val="2"/>
          </rPr>
          <t>The most valuable column on the sheet.</t>
        </r>
      </text>
    </comment>
    <comment ref="T4" authorId="0">
      <text>
        <r>
          <rPr>
            <sz val="8"/>
            <color indexed="81"/>
            <rFont val="Tahoma"/>
            <family val="2"/>
          </rPr>
          <t>Their engagement rate minus your target rate.</t>
        </r>
      </text>
    </comment>
  </commentList>
</comments>
</file>

<file path=xl/comments2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J4" authorId="0">
      <text>
        <r>
          <rPr>
            <sz val="8"/>
            <color indexed="81"/>
            <rFont val="Tahoma"/>
            <family val="2"/>
          </rPr>
          <t>Only ride a trend if it fits. A forced trend reads as a forced trend.</t>
        </r>
      </text>
    </comment>
    <comment ref="M4" authorId="0">
      <text>
        <r>
          <rPr>
            <sz val="8"/>
            <color indexed="81"/>
            <rFont val="Tahoma"/>
            <family val="2"/>
          </rPr>
          <t>Trends go stale fast - a fortnight is usually the whole window.</t>
        </r>
      </text>
    </comment>
  </commentList>
</comments>
</file>

<file path=xl/comments2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Use the 1st of the month - 01/03/2026 means March 2026.</t>
        </r>
      </text>
    </comment>
    <comment ref="C4" authorId="0">
      <text>
        <r>
          <rPr>
            <sz val="8"/>
            <color indexed="81"/>
            <rFont val="Tahoma"/>
            <family val="2"/>
          </rPr>
          <t>Automatic. Every monthly report groups on this.</t>
        </r>
      </text>
    </comment>
    <comment ref="I4" authorId="0">
      <text>
        <r>
          <rPr>
            <sz val="8"/>
            <color indexed="81"/>
            <rFont val="Tahoma"/>
            <family val="2"/>
          </rPr>
          <t>What the platform reports. The grey column next to it counts what your calendar says.</t>
        </r>
      </text>
    </comment>
    <comment ref="L4" authorId="0">
      <text>
        <r>
          <rPr>
            <sz val="8"/>
            <color indexed="81"/>
            <rFont val="Tahoma"/>
            <family val="2"/>
          </rPr>
          <t>Likes + comments + shares + saves, as the platform reports it.</t>
        </r>
      </text>
    </comment>
    <comment ref="AA4" authorId="0">
      <text>
        <r>
          <rPr>
            <sz val="8"/>
            <color indexed="81"/>
            <rFont val="Tahoma"/>
            <family val="2"/>
          </rPr>
          <t>Engagements divided by reach - the number to watch.</t>
        </r>
      </text>
    </comment>
    <comment ref="AD4" authorId="0">
      <text>
        <r>
          <rPr>
            <sz val="8"/>
            <color indexed="81"/>
            <rFont val="Tahoma"/>
            <family val="2"/>
          </rPr>
          <t>Over 100% means you reached beyond your own audience.</t>
        </r>
      </text>
    </comment>
  </commentList>
</comments>
</file>

<file path=xl/comments2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post from the Content Calendar - everything grey fills itself in.</t>
        </r>
      </text>
    </comment>
    <comment ref="O4" authorId="0">
      <text>
        <r>
          <rPr>
            <sz val="8"/>
            <color indexed="81"/>
            <rFont val="Tahoma"/>
            <family val="2"/>
          </rPr>
          <t>How many people saw it. If the platform only gives you impressions, use that and be consistent.</t>
        </r>
      </text>
    </comment>
    <comment ref="Y4" authorId="0">
      <text>
        <r>
          <rPr>
            <sz val="8"/>
            <color indexed="81"/>
            <rFont val="Tahoma"/>
            <family val="2"/>
          </rPr>
          <t>Leave blank to use the workbook target from the Settings tab.</t>
        </r>
      </text>
    </comment>
    <comment ref="AB4" authorId="0">
      <text>
        <r>
          <rPr>
            <sz val="8"/>
            <color indexed="81"/>
            <rFont val="Tahoma"/>
            <family val="2"/>
          </rPr>
          <t>Saves are the strongest signal on most platforms.</t>
        </r>
      </text>
    </comment>
    <comment ref="AJ4" authorId="0">
      <text>
        <r>
          <rPr>
            <sz val="8"/>
            <color indexed="81"/>
            <rFont val="Tahoma"/>
            <family val="2"/>
          </rPr>
          <t>Hidden helper: makes the engagement rate unique so the top-post lookups never tie.</t>
        </r>
      </text>
    </comment>
  </commentList>
</comments>
</file>

<file path=xl/comments2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Change one thing only, or you will not know what caused the difference.</t>
        </r>
      </text>
    </comment>
    <comment ref="E4" authorId="0">
      <text>
        <r>
          <rPr>
            <sz val="8"/>
            <color indexed="81"/>
            <rFont val="Tahoma"/>
            <family val="2"/>
          </rPr>
          <t>'If I ... then ... because ...'</t>
        </r>
      </text>
    </comment>
  </commentList>
</comments>
</file>

<file path=xl/comments2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X4" authorId="0">
      <text>
        <r>
          <rPr>
            <sz val="8"/>
            <color indexed="81"/>
            <rFont val="Tahoma"/>
            <family val="2"/>
          </rPr>
          <t>1% and up is healthy on most platforms.</t>
        </r>
      </text>
    </comment>
  </commentList>
</comments>
</file>

<file path=xl/comments25.xml><?xml version="1.0" encoding="utf-8"?>
<comments xmlns="http://schemas.openxmlformats.org/spreadsheetml/2006/main">
  <authors>
    <author>Novality Store</author>
  </authors>
  <commentList>
    <comment ref="A4" authorId="0">
      <text>
        <r>
          <rPr>
            <sz val="8"/>
            <color indexed="81"/>
            <rFont val="Tahoma"/>
            <family val="2"/>
          </rPr>
          <t>AS-0001, AS-0002 ... Quote this ID on the Content Calendar, the Ads tab and the Repurposing tab.</t>
        </r>
      </text>
    </comment>
    <comment ref="D4" authorId="0">
      <text>
        <r>
          <rPr>
            <sz val="8"/>
            <color indexed="81"/>
            <rFont val="Tahoma"/>
            <family val="2"/>
          </rPr>
          <t>Paste the Drive, Dropbox or Canva link. The spreadsheet stores the link, not the file.</t>
        </r>
      </text>
    </comment>
  </commentList>
</comments>
</file>

<file path=xl/comments2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Write it as a number you can check: 'Instagram followers to 5,000'.</t>
        </r>
      </text>
    </comment>
    <comment ref="J4" authorId="0">
      <text>
        <r>
          <rPr>
            <sz val="8"/>
            <color indexed="81"/>
            <rFont val="Tahoma"/>
            <family val="2"/>
          </rPr>
          <t>Update this once a month when you fill in the Analytics tab.</t>
        </r>
      </text>
    </comment>
    <comment ref="T4" authorId="0">
      <text>
        <r>
          <rPr>
            <sz val="8"/>
            <color indexed="81"/>
            <rFont val="Tahoma"/>
            <family val="2"/>
          </rPr>
          <t>How far through the time you are - compare it with the progress column.</t>
        </r>
      </text>
    </comment>
  </commentList>
</comments>
</file>

<file path=xl/comments2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Use the 1st of the month.</t>
        </r>
      </text>
    </comment>
    <comment ref="C4" authorId="0">
      <text>
        <r>
          <rPr>
            <sz val="8"/>
            <color indexed="81"/>
            <rFont val="Tahoma"/>
            <family val="2"/>
          </rPr>
          <t>Automatic. Every monthly report groups on this.</t>
        </r>
      </text>
    </comment>
    <comment ref="I4" authorId="0">
      <text>
        <r>
          <rPr>
            <sz val="8"/>
            <color indexed="81"/>
            <rFont val="Tahoma"/>
            <family val="2"/>
          </rPr>
          <t>Positive means you came in under budget.</t>
        </r>
      </text>
    </comment>
    <comment ref="L4" authorId="0">
      <text>
        <r>
          <rPr>
            <sz val="8"/>
            <color indexed="81"/>
            <rFont val="Tahoma"/>
            <family val="2"/>
          </rPr>
          <t>Only if you can tie revenue to this line - leave it blank otherwise.</t>
        </r>
      </text>
    </comment>
  </commentList>
</comments>
</file>

<file path=xl/comments2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These names fill the 'Owner' drop downs across the workbook.</t>
        </r>
      </text>
    </comment>
  </commentList>
</comments>
</file>

<file path=xl/comments2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E4" authorId="0">
      <text>
        <r>
          <rPr>
            <sz val="8"/>
            <color indexed="81"/>
            <rFont val="Tahoma"/>
            <family val="2"/>
          </rPr>
          <t>Week number of the year, using the week start day set on the Settings tab.</t>
        </r>
      </text>
    </comment>
  </commentList>
</comments>
</file>

<file path=xl/comments3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List>
</comments>
</file>

<file path=xl/sharedStrings.xml><?xml version="1.0" encoding="utf-8"?>
<sst xmlns="http://schemas.openxmlformats.org/spreadsheetml/2006/main" count="6395" uniqueCount="2407">
  <si>
    <t>Social Media Content Calendar &amp; Analytics Planner</t>
  </si>
  <si>
    <t>Novality Store  |  v1.0.0</t>
  </si>
  <si>
    <t>Plan a year of content, keep every caption and hashtag in one place, and see what actually worked.</t>
  </si>
  <si>
    <t>&gt; Start Here</t>
  </si>
  <si>
    <t>&gt; Dashboard</t>
  </si>
  <si>
    <t>&gt; Calendar</t>
  </si>
  <si>
    <t>&gt; Ideas</t>
  </si>
  <si>
    <t>&gt; Captions</t>
  </si>
  <si>
    <t>&gt; Hashtags</t>
  </si>
  <si>
    <t>Everything in this workbook is linked. Type something once - a post, a caption, a number from Instagram - and it appears wherever it is needed: the dashboards, the reports, the printable brief and the alerts. Cream cells are yours to fill in; grey cells are formulas and are locked so they cannot be broken by accident.</t>
  </si>
  <si>
    <t>Six steps to set it up</t>
  </si>
  <si>
    <t>Step</t>
  </si>
  <si>
    <t>Where</t>
  </si>
  <si>
    <t>What to do</t>
  </si>
  <si>
    <t>1</t>
  </si>
  <si>
    <t>Settings</t>
  </si>
  <si>
    <t>Put your brand name, handles, plan year, targets and budget in. Ten minutes, and it feeds every other tab.</t>
  </si>
  <si>
    <t>2</t>
  </si>
  <si>
    <t>Accounts &amp; Brand Voice</t>
  </si>
  <si>
    <t>List every profile you post to, then write down how the brand sounds so captions stay consistent.</t>
  </si>
  <si>
    <t>3</t>
  </si>
  <si>
    <t>Personas &amp; Content Pillars</t>
  </si>
  <si>
    <t>Decide who you are talking to and the five or six themes you post about. The pillars become drop downs everywhere else.</t>
  </si>
  <si>
    <t>4</t>
  </si>
  <si>
    <t>Idea Bank, Captions &amp; Hashtags</t>
  </si>
  <si>
    <t>Dump every idea in, write captions you can reuse and build hashtag groups of 20-30 tags.</t>
  </si>
  <si>
    <t>5</t>
  </si>
  <si>
    <t>Content Calendar</t>
  </si>
  <si>
    <t>Plan the year. One row per post: date, platform, title, pillar, caption, hashtag group, asset, owner, status.</t>
  </si>
  <si>
    <t>6</t>
  </si>
  <si>
    <t>Analytics &amp; Performance</t>
  </si>
  <si>
    <t>On the first of each month enter the account numbers, and after each post record how it did. The dashboards do the rest.</t>
  </si>
  <si>
    <t>The weekly rhythm</t>
  </si>
  <si>
    <t>MONDAY - clear the overdue list on the Dashboard, then look at the next posts due on the Workflow tab.</t>
  </si>
  <si>
    <t>ONE BATCH DAY - make the week's content in one sitting. It is always faster than making it one post at a time.</t>
  </si>
  <si>
    <t>BEFORE YOU POST - check the caption, the hashtag group, the asset and the link. The calendar flags anything missing.</t>
  </si>
  <si>
    <t>AFTER YOU POST - paste the link into the calendar. Two days later, add the numbers on the Performance tab.</t>
  </si>
  <si>
    <t>FIRST OF THE MONTH - fill in the Analytics tab (ten minutes), update your Goals, then read the Monthly Dashboard.</t>
  </si>
  <si>
    <t>What is in the workbook</t>
  </si>
  <si>
    <t>Tab</t>
  </si>
  <si>
    <t>What it is for</t>
  </si>
  <si>
    <t>Dashboard</t>
  </si>
  <si>
    <t>This month at a glance, with alerts and the queue</t>
  </si>
  <si>
    <t>Annual Dashboard</t>
  </si>
  <si>
    <t>The whole year, quarter by quarter</t>
  </si>
  <si>
    <t>Your brand, targets, budget and reminder windows</t>
  </si>
  <si>
    <t>Lists</t>
  </si>
  <si>
    <t>Every drop down list - edit these to suit your business</t>
  </si>
  <si>
    <t>Brand Voice</t>
  </si>
  <si>
    <t>How the brand sounds, looks and behaves</t>
  </si>
  <si>
    <t>Audience Personas</t>
  </si>
  <si>
    <t>Who you are talking to</t>
  </si>
  <si>
    <t>Accounts</t>
  </si>
  <si>
    <t>Every profile, with a six point optimisation check</t>
  </si>
  <si>
    <t>Content Pillars</t>
  </si>
  <si>
    <t>Your themes and the mix you planned</t>
  </si>
  <si>
    <t>THE MAIN TAB - one row per post, all year</t>
  </si>
  <si>
    <t>Month View</t>
  </si>
  <si>
    <t>The same calendar laid out as a printable grid</t>
  </si>
  <si>
    <t>Workflow</t>
  </si>
  <si>
    <t>The production pipeline: what is where, what is late</t>
  </si>
  <si>
    <t>Idea Bank</t>
  </si>
  <si>
    <t>Scored ideas waiting to be scheduled</t>
  </si>
  <si>
    <t>Caption Bank</t>
  </si>
  <si>
    <t>Reusable hooks, captions and calls to action</t>
  </si>
  <si>
    <t>Hashtag Bank</t>
  </si>
  <si>
    <t>Hashtag groups, keywords and search intent</t>
  </si>
  <si>
    <t>Instagram / TikTok / Pinterest / YouTube / Facebook</t>
  </si>
  <si>
    <t>Platform specific fields - hooks, sounds, boards, thumbnails</t>
  </si>
  <si>
    <t>Campaigns</t>
  </si>
  <si>
    <t>Themed pushes with a budget and a return</t>
  </si>
  <si>
    <t>Launch Planner</t>
  </si>
  <si>
    <t>Teasing, launch day and follow-up</t>
  </si>
  <si>
    <t>Seasonal Planner</t>
  </si>
  <si>
    <t>Holidays and awareness days, planned early</t>
  </si>
  <si>
    <t>Influencers</t>
  </si>
  <si>
    <t>Outreach, deliverables, fees and results</t>
  </si>
  <si>
    <t>UGC Tracker</t>
  </si>
  <si>
    <t>Customer content, permission and rights</t>
  </si>
  <si>
    <t>Repurposing</t>
  </si>
  <si>
    <t>One good post, used five more times</t>
  </si>
  <si>
    <t>Competitors</t>
  </si>
  <si>
    <t>What the people in your niche are doing</t>
  </si>
  <si>
    <t>Trends</t>
  </si>
  <si>
    <t>Sounds and formats worth jumping on</t>
  </si>
  <si>
    <t>Analytics</t>
  </si>
  <si>
    <t>Monthly numbers per account - type these in</t>
  </si>
  <si>
    <t>Performance</t>
  </si>
  <si>
    <t>Post by post results, ranked and scored</t>
  </si>
  <si>
    <t>AB Tests</t>
  </si>
  <si>
    <t>Change one thing, measure it, keep the winner</t>
  </si>
  <si>
    <t>Ads</t>
  </si>
  <si>
    <t>Paid promotion, cost and return</t>
  </si>
  <si>
    <t>Assets</t>
  </si>
  <si>
    <t>The creative library with links and rights</t>
  </si>
  <si>
    <t>Goals</t>
  </si>
  <si>
    <t>The numbers you are trying to move</t>
  </si>
  <si>
    <t>Budget</t>
  </si>
  <si>
    <t>What social media costs you, month by month</t>
  </si>
  <si>
    <t>Team</t>
  </si>
  <si>
    <t>Who does what</t>
  </si>
  <si>
    <t>Tasks</t>
  </si>
  <si>
    <t>The jobs behind the posts</t>
  </si>
  <si>
    <t>Compliance</t>
  </si>
  <si>
    <t>Disclosure, rights, accessibility and quality</t>
  </si>
  <si>
    <t>Reports</t>
  </si>
  <si>
    <t>Pick two dates and print the result</t>
  </si>
  <si>
    <t>Print Brief</t>
  </si>
  <si>
    <t>One post, printed as a brief for whoever makes it</t>
  </si>
  <si>
    <t>Print Week</t>
  </si>
  <si>
    <t>Seven days on one page for the wall</t>
  </si>
  <si>
    <t>Help</t>
  </si>
  <si>
    <t>Every question answered, including the honest limits</t>
  </si>
  <si>
    <t>Good to know</t>
  </si>
  <si>
    <t>PROTECTION - every sheet is protected so the formulas cannot be edited by accident. The password is 'premium'. Review &gt; Unprotect Sheet if you want to change something.</t>
  </si>
  <si>
    <t>ADDING ROWS - every register has spare rows ready to use. Right click a row inside the list and choose Insert to add more; the formulas copy down.</t>
  </si>
  <si>
    <t>SORTING - use the filter arrows in the header row rather than re-sorting the sheet, so the content IDs keep matching the other tabs.</t>
  </si>
  <si>
    <t>DROP DOWNS - every list lives on the Lists tab. Edit it there and the drop downs follow.</t>
  </si>
  <si>
    <t>GOOGLE SHEETS - File &gt; Import works, and everything except the sparklines and the sheet protection carries over.</t>
  </si>
  <si>
    <t>YOUR CURRENCY - set the symbol on the Settings tab, or rebuild the workbook with a different currency.</t>
  </si>
  <si>
    <t>What a spreadsheet can and cannot do</t>
  </si>
  <si>
    <t>Being straight with you: this workbook organises your content and does the maths on the numbers you give it. It cannot pull your analytics automatically, it cannot publish or schedule posts, and it does not talk to Instagram, TikTok, Pinterest, YouTube or Facebook. You copy the headline numbers in once a month - about ten minutes - and in return you get a plan, a history and a set of dashboards no scheduling app will give you. If you want automatic posting, pair this with a scheduler; if you want automatic analytics, export a CSV from the platform and paste it in.</t>
  </si>
  <si>
    <t>Social Media Content Calendar &amp; Analytics Planner  |  Novality Store  |  version 1.0.0</t>
  </si>
  <si>
    <t>Monthly Dashboard</t>
  </si>
  <si>
    <t>Pick a month, then read your whole social media presence at a glance. Every number is live - it updates as you fill in the calendar and the Analytics tab.</t>
  </si>
  <si>
    <t>&gt; Analytics</t>
  </si>
  <si>
    <t>&gt; Reports</t>
  </si>
  <si>
    <t>&gt; Help</t>
  </si>
  <si>
    <t>Which month are you looking at?</t>
  </si>
  <si>
    <t>Month</t>
  </si>
  <si>
    <t>October</t>
  </si>
  <si>
    <t>Period start</t>
  </si>
  <si>
    <t>Period end</t>
  </si>
  <si>
    <t>Month key</t>
  </si>
  <si>
    <t>Today</t>
  </si>
  <si>
    <t>What you published</t>
  </si>
  <si>
    <t>Posts planned</t>
  </si>
  <si>
    <t>Everything on the calendar in this period</t>
  </si>
  <si>
    <t>Published</t>
  </si>
  <si>
    <t>Actually went out</t>
  </si>
  <si>
    <t>Still to come</t>
  </si>
  <si>
    <t>Approved or scheduled, not yet live</t>
  </si>
  <si>
    <t>Target for the month</t>
  </si>
  <si>
    <t>From the Settings tab</t>
  </si>
  <si>
    <t>Against target</t>
  </si>
  <si>
    <t>Published divided by your target</t>
  </si>
  <si>
    <t>Needing attention</t>
  </si>
  <si>
    <t>Rows with an action in the last column</t>
  </si>
  <si>
    <t>How it performed</t>
  </si>
  <si>
    <t>Reach</t>
  </si>
  <si>
    <t>People reached across every account</t>
  </si>
  <si>
    <t>Impressions</t>
  </si>
  <si>
    <t>Times your content was shown</t>
  </si>
  <si>
    <t>Engagements</t>
  </si>
  <si>
    <t>Likes, comments, shares and saves</t>
  </si>
  <si>
    <t>Engagement rate</t>
  </si>
  <si>
    <t>Engagements divided by reach</t>
  </si>
  <si>
    <t>Target rate</t>
  </si>
  <si>
    <t>Your goal, set on the Settings tab</t>
  </si>
  <si>
    <t>Reach per post</t>
  </si>
  <si>
    <t>How far the average post travelled</t>
  </si>
  <si>
    <t>Audience &amp; results</t>
  </si>
  <si>
    <t>Followers</t>
  </si>
  <si>
    <t>Total across every account at the end of the period</t>
  </si>
  <si>
    <t>Follower growth</t>
  </si>
  <si>
    <t>New followers less unfollows</t>
  </si>
  <si>
    <t>Link clicks</t>
  </si>
  <si>
    <t>Traffic you sent out</t>
  </si>
  <si>
    <t>Leads</t>
  </si>
  <si>
    <t>Sign-ups, enquiries, waitlist joins</t>
  </si>
  <si>
    <t>Sales</t>
  </si>
  <si>
    <t>Orders you can trace back to social</t>
  </si>
  <si>
    <t>Revenue</t>
  </si>
  <si>
    <t>Money attributed to social</t>
  </si>
  <si>
    <t>What it cost</t>
  </si>
  <si>
    <t>Spend</t>
  </si>
  <si>
    <t>Everything on the Budget tab for this period</t>
  </si>
  <si>
    <t>Left to spend</t>
  </si>
  <si>
    <t>Budget less actual spend</t>
  </si>
  <si>
    <t>Return on spend</t>
  </si>
  <si>
    <t>Revenue divided by spend</t>
  </si>
  <si>
    <t>Cost per lead</t>
  </si>
  <si>
    <t>Spend divided by leads</t>
  </si>
  <si>
    <t>Revenue per post</t>
  </si>
  <si>
    <t>Money per published post</t>
  </si>
  <si>
    <t>The whole of 2026 month by month</t>
  </si>
  <si>
    <t>Eng. rate</t>
  </si>
  <si>
    <t>Growth</t>
  </si>
  <si>
    <t>Clicks</t>
  </si>
  <si>
    <t>Net</t>
  </si>
  <si>
    <t>Trend</t>
  </si>
  <si>
    <t>Platform by platform (selected period)</t>
  </si>
  <si>
    <t>Platform</t>
  </si>
  <si>
    <t>Posts</t>
  </si>
  <si>
    <t>Content pillars (this year)</t>
  </si>
  <si>
    <t>Pillar</t>
  </si>
  <si>
    <t>Share</t>
  </si>
  <si>
    <t>Your best posts &amp; what needs doing</t>
  </si>
  <si>
    <t>Top 8 posts in this period (by engagement rate)</t>
  </si>
  <si>
    <t>What needs attention right now</t>
  </si>
  <si>
    <t>#</t>
  </si>
  <si>
    <t>Post</t>
  </si>
  <si>
    <t>Date</t>
  </si>
  <si>
    <t>Action</t>
  </si>
  <si>
    <t>How many</t>
  </si>
  <si>
    <t/>
  </si>
  <si>
    <t>Posts overdue</t>
  </si>
  <si>
    <t>Drafts running late</t>
  </si>
  <si>
    <t>Waiting for approval</t>
  </si>
  <si>
    <t>Posts with no caption</t>
  </si>
  <si>
    <t>Published with no link</t>
  </si>
  <si>
    <t>Published with no numbers yet</t>
  </si>
  <si>
    <t>Ideas worth scheduling</t>
  </si>
  <si>
    <t>Overdue tasks</t>
  </si>
  <si>
    <t>UGC waiting on permission</t>
  </si>
  <si>
    <t>Goals behind pace</t>
  </si>
  <si>
    <t>Accounts gone quiet</t>
  </si>
  <si>
    <t>Trends about to expire</t>
  </si>
  <si>
    <t>Coming up &amp; running late</t>
  </si>
  <si>
    <t>Next 8 posts due</t>
  </si>
  <si>
    <t>Overdue - deal with these first</t>
  </si>
  <si>
    <t>Status</t>
  </si>
  <si>
    <t>Owner</t>
  </si>
  <si>
    <t>Days</t>
  </si>
  <si>
    <t>Days late</t>
  </si>
  <si>
    <t>Tip: pick 'All year' in the month box to see the whole plan. The Annual Dashboard compares every month side by side, and the Reports tab turns the same numbers into something you can print or send to a client.</t>
  </si>
  <si>
    <t>Everything you planned and published in 2026, quarter by quarter and month by month.</t>
  </si>
  <si>
    <t>2026 in numbers</t>
  </si>
  <si>
    <t>Every row on the calendar this year</t>
  </si>
  <si>
    <t>Across every account and month</t>
  </si>
  <si>
    <t>Likes, comments, shares, saves</t>
  </si>
  <si>
    <t>The year's average</t>
  </si>
  <si>
    <t>Traffic sent out</t>
  </si>
  <si>
    <t>Enquiries and sign-ups</t>
  </si>
  <si>
    <t>Orders traced back to social</t>
  </si>
  <si>
    <t>Everything on the Budget tab</t>
  </si>
  <si>
    <t>Posts a week</t>
  </si>
  <si>
    <t>Your real publishing rhythm</t>
  </si>
  <si>
    <t>Best month</t>
  </si>
  <si>
    <t>By reach</t>
  </si>
  <si>
    <t>Best platform</t>
  </si>
  <si>
    <t>By reach this year</t>
  </si>
  <si>
    <t>Best day to post</t>
  </si>
  <si>
    <t>Highest average engagement rate</t>
  </si>
  <si>
    <t>Quarter by quarter</t>
  </si>
  <si>
    <t>Quarter</t>
  </si>
  <si>
    <t>Followers gained</t>
  </si>
  <si>
    <t>Q1</t>
  </si>
  <si>
    <t>Q2</t>
  </si>
  <si>
    <t>Q3</t>
  </si>
  <si>
    <t>Q4</t>
  </si>
  <si>
    <t>Every month in detail</t>
  </si>
  <si>
    <t>Planned</t>
  </si>
  <si>
    <t>On target?</t>
  </si>
  <si>
    <t>Return</t>
  </si>
  <si>
    <t>Platforms, formats and goals</t>
  </si>
  <si>
    <t>Platform totals for the year</t>
  </si>
  <si>
    <t>Share of reach</t>
  </si>
  <si>
    <t>Goal</t>
  </si>
  <si>
    <t>Target</t>
  </si>
  <si>
    <t>Now</t>
  </si>
  <si>
    <t>Progress</t>
  </si>
  <si>
    <t>On track?</t>
  </si>
  <si>
    <t>By when</t>
  </si>
  <si>
    <t>Best of 2026</t>
  </si>
  <si>
    <t>Top 10 posts of the year (by engagement rate)</t>
  </si>
  <si>
    <t>Where your reach came from</t>
  </si>
  <si>
    <t>Format</t>
  </si>
  <si>
    <t>When to post &amp; what to do next</t>
  </si>
  <si>
    <t>Day</t>
  </si>
  <si>
    <t>Time slot</t>
  </si>
  <si>
    <t>Campaigns by revenue</t>
  </si>
  <si>
    <t>Campaign</t>
  </si>
  <si>
    <t>Use this page at the end of the year: look at the best month, the best day, the best format and your top ten posts, then build next year's pillars around what actually worked.</t>
  </si>
  <si>
    <t>Business Setup &amp; Settings</t>
  </si>
  <si>
    <t>Fill in the cream cells once. Grey cells are locked formulas. Everything else in the workbook reads these values.</t>
  </si>
  <si>
    <t>1. Brand details</t>
  </si>
  <si>
    <t>Business or brand name</t>
  </si>
  <si>
    <t>Wildflower Studio</t>
  </si>
  <si>
    <t>Shown on every printable page and report.</t>
  </si>
  <si>
    <t>Owner / main contact</t>
  </si>
  <si>
    <t>Jordan Avery</t>
  </si>
  <si>
    <t>Email</t>
  </si>
  <si>
    <t>hello@wildflowerstudio.com</t>
  </si>
  <si>
    <t>Phone</t>
  </si>
  <si>
    <t>+1 (555) 017 4410</t>
  </si>
  <si>
    <t>Website</t>
  </si>
  <si>
    <t>www.wildflowerstudio.com</t>
  </si>
  <si>
    <t>Shop / booking link</t>
  </si>
  <si>
    <t>shop.wildflowerstudio.com</t>
  </si>
  <si>
    <t>The link you send people to - used in the campaign and launch planners.</t>
  </si>
  <si>
    <t>Industry</t>
  </si>
  <si>
    <t>Handmade home &amp; lifestyle</t>
  </si>
  <si>
    <t>Niche / speciality</t>
  </si>
  <si>
    <t>Sustainable ceramics and home styling</t>
  </si>
  <si>
    <t>Target audience</t>
  </si>
  <si>
    <t>Women 28-45 who love slow living, handmade homeware and styling their first home</t>
  </si>
  <si>
    <t>One sentence. The Audience Personas tab breaks this down properly.</t>
  </si>
  <si>
    <t>Main marketing goal</t>
  </si>
  <si>
    <t>Grow to 25,000 followers and 1,200 shop visits a month</t>
  </si>
  <si>
    <t>Branded hashtag</t>
  </si>
  <si>
    <t>#wildflowerstudio</t>
  </si>
  <si>
    <t>2. Visual identity reference</t>
  </si>
  <si>
    <t>Logo file / link</t>
  </si>
  <si>
    <t>brand-assets/wildflower-logo.png</t>
  </si>
  <si>
    <t>Paste a cloud link. Spreadsheets cannot preview an external image, so keep the link handy.</t>
  </si>
  <si>
    <t>Brand colour palette</t>
  </si>
  <si>
    <t>#3B2A6B indigo, #F2665E coral, #F4EFE6 oat</t>
  </si>
  <si>
    <t>Fonts / typography</t>
  </si>
  <si>
    <t>Headings: Canela. Body: Inter.</t>
  </si>
  <si>
    <t>Brand asset folder</t>
  </si>
  <si>
    <t>brand-assets/</t>
  </si>
  <si>
    <t>3. Calendar &amp; time settings</t>
  </si>
  <si>
    <t>Planning year</t>
  </si>
  <si>
    <t>The year the dashboards and the 12 month calendar open on.</t>
  </si>
  <si>
    <t>Week starts on</t>
  </si>
  <si>
    <t>Monday</t>
  </si>
  <si>
    <t>Used by the week numbers on the calendar.</t>
  </si>
  <si>
    <t>Time zone</t>
  </si>
  <si>
    <t>GMT-05:00 Eastern Time</t>
  </si>
  <si>
    <t>Posting times on the calendar are in this zone.</t>
  </si>
  <si>
    <t>Currency code</t>
  </si>
  <si>
    <t>USD</t>
  </si>
  <si>
    <t>Budget and revenue columns use the currency symbol set when the workbook was built.</t>
  </si>
  <si>
    <t>Fiscal year starts in month</t>
  </si>
  <si>
    <t>1 = January. Used by the quarterly report.</t>
  </si>
  <si>
    <t>4. Targets (the dashboards measure against these)</t>
  </si>
  <si>
    <t>Posts per week target</t>
  </si>
  <si>
    <t>Posts per month target</t>
  </si>
  <si>
    <t>Actual against planned is on the dashboard.</t>
  </si>
  <si>
    <t>Engagement rate target</t>
  </si>
  <si>
    <t>Posts at or above this rate turn green.</t>
  </si>
  <si>
    <t>Follower goal (end of year)</t>
  </si>
  <si>
    <t>Reach goal (per month)</t>
  </si>
  <si>
    <t>Website click goal (per month)</t>
  </si>
  <si>
    <t>Lead goal (per month)</t>
  </si>
  <si>
    <t>Conversion goal (per month)</t>
  </si>
  <si>
    <t>Revenue goal (per year)</t>
  </si>
  <si>
    <t>5. Budget &amp; return</t>
  </si>
  <si>
    <t>Marketing budget per month</t>
  </si>
  <si>
    <t>Marketing budget per year</t>
  </si>
  <si>
    <t>Return on ad spend target</t>
  </si>
  <si>
    <t>4 means every 1 spent should bring back 4.</t>
  </si>
  <si>
    <t>Cost per lead target</t>
  </si>
  <si>
    <t>6. Workflow &amp; reminder windows (days)</t>
  </si>
  <si>
    <t>Draft ready before publishing</t>
  </si>
  <si>
    <t>The calendar works out your draft deadline from the publishing date.</t>
  </si>
  <si>
    <t>Approval needed before publishing</t>
  </si>
  <si>
    <t>Idea review window</t>
  </si>
  <si>
    <t>Ideas older than this still sitting at 'New' are flagged.</t>
  </si>
  <si>
    <t>Trend acts-fast window</t>
  </si>
  <si>
    <t>Asset refresh window</t>
  </si>
  <si>
    <t>Account counts as quiet after</t>
  </si>
  <si>
    <t>7. Reference prefixes</t>
  </si>
  <si>
    <t>Content ID prefix</t>
  </si>
  <si>
    <t>C-</t>
  </si>
  <si>
    <t>C-0001, C-0002 ... on the Content Calendar.</t>
  </si>
  <si>
    <t>Idea ID prefix</t>
  </si>
  <si>
    <t>IDEA-</t>
  </si>
  <si>
    <t>Caption ID prefix</t>
  </si>
  <si>
    <t>CAP-</t>
  </si>
  <si>
    <t>Hashtag ID prefix</t>
  </si>
  <si>
    <t>TAG-</t>
  </si>
  <si>
    <t>Campaign ID prefix</t>
  </si>
  <si>
    <t>CMP-</t>
  </si>
  <si>
    <t>Asset ID prefix</t>
  </si>
  <si>
    <t>AS-</t>
  </si>
  <si>
    <t>Tip: everything on this tab is a named cell, so you can use the names in your own formulas too - type =TargetEngagement or =BrandName in any empty cell to see. The drop down options live on the Lists tab.</t>
  </si>
  <si>
    <t>Customisable Drop Down Lists</t>
  </si>
  <si>
    <t>Edit, add or delete options below - every drop down in the workbook updates automatically. Keep each list in one unbroken block, starting in row 5.</t>
  </si>
  <si>
    <t>TIP: lists grow automatically (up to row 44). Deleting an option does not change posts that already use it.</t>
  </si>
  <si>
    <t>Yes / No</t>
  </si>
  <si>
    <t>Yes</t>
  </si>
  <si>
    <t>No</t>
  </si>
  <si>
    <t>Yes / No / N/A</t>
  </si>
  <si>
    <t>N/A</t>
  </si>
  <si>
    <t>Instagram</t>
  </si>
  <si>
    <t>TikTok</t>
  </si>
  <si>
    <t>Pinterest</t>
  </si>
  <si>
    <t>YouTube</t>
  </si>
  <si>
    <t>Facebook</t>
  </si>
  <si>
    <t>LinkedIn</t>
  </si>
  <si>
    <t>X (Twitter)</t>
  </si>
  <si>
    <t>Threads</t>
  </si>
  <si>
    <t>Blog</t>
  </si>
  <si>
    <t>Email newsletter</t>
  </si>
  <si>
    <t>Other</t>
  </si>
  <si>
    <t>Account type</t>
  </si>
  <si>
    <t>Business account</t>
  </si>
  <si>
    <t>Creator account</t>
  </si>
  <si>
    <t>Personal profile</t>
  </si>
  <si>
    <t>Page</t>
  </si>
  <si>
    <t>Group</t>
  </si>
  <si>
    <t>Channel</t>
  </si>
  <si>
    <t>Shop</t>
  </si>
  <si>
    <t>Content format</t>
  </si>
  <si>
    <t>Feed post</t>
  </si>
  <si>
    <t>Carousel</t>
  </si>
  <si>
    <t>Reel</t>
  </si>
  <si>
    <t>Story</t>
  </si>
  <si>
    <t>Short video</t>
  </si>
  <si>
    <t>Long video</t>
  </si>
  <si>
    <t>Live</t>
  </si>
  <si>
    <t>Photo</t>
  </si>
  <si>
    <t>Graphic</t>
  </si>
  <si>
    <t>Infographic</t>
  </si>
  <si>
    <t>Text post</t>
  </si>
  <si>
    <t>Poll</t>
  </si>
  <si>
    <t>Standard Pin</t>
  </si>
  <si>
    <t>Video Pin</t>
  </si>
  <si>
    <t>Idea Pin</t>
  </si>
  <si>
    <t>Blog post</t>
  </si>
  <si>
    <t>Newsletter</t>
  </si>
  <si>
    <t>Podcast</t>
  </si>
  <si>
    <t>UGC repost</t>
  </si>
  <si>
    <t>Content status</t>
  </si>
  <si>
    <t>Idea</t>
  </si>
  <si>
    <t>Brief</t>
  </si>
  <si>
    <t>In production</t>
  </si>
  <si>
    <t>Draft</t>
  </si>
  <si>
    <t>Awaiting review</t>
  </si>
  <si>
    <t>Revision needed</t>
  </si>
  <si>
    <t>Approved</t>
  </si>
  <si>
    <t>Scheduled</t>
  </si>
  <si>
    <t>Archived</t>
  </si>
  <si>
    <t>Cancelled</t>
  </si>
  <si>
    <t>Objective</t>
  </si>
  <si>
    <t>Awareness</t>
  </si>
  <si>
    <t>Engagement</t>
  </si>
  <si>
    <t>Traffic</t>
  </si>
  <si>
    <t>Community</t>
  </si>
  <si>
    <t>Retention</t>
  </si>
  <si>
    <t>Brand authority</t>
  </si>
  <si>
    <t>Launch support</t>
  </si>
  <si>
    <t>Funnel stage</t>
  </si>
  <si>
    <t>Consideration</t>
  </si>
  <si>
    <t>Conversion</t>
  </si>
  <si>
    <t>Call to action</t>
  </si>
  <si>
    <t>Follow for more</t>
  </si>
  <si>
    <t>Save this</t>
  </si>
  <si>
    <t>Share with a friend</t>
  </si>
  <si>
    <t>Comment below</t>
  </si>
  <si>
    <t>Link in bio</t>
  </si>
  <si>
    <t>Shop now</t>
  </si>
  <si>
    <t>Sign up</t>
  </si>
  <si>
    <t>Download the guide</t>
  </si>
  <si>
    <t>Book a call</t>
  </si>
  <si>
    <t>Watch to the end</t>
  </si>
  <si>
    <t>Reply to this</t>
  </si>
  <si>
    <t>Tag a friend</t>
  </si>
  <si>
    <t>None</t>
  </si>
  <si>
    <t>Hook type</t>
  </si>
  <si>
    <t>Question</t>
  </si>
  <si>
    <t>Bold statement</t>
  </si>
  <si>
    <t>Statistic</t>
  </si>
  <si>
    <t>Problem</t>
  </si>
  <si>
    <t>Myth bust</t>
  </si>
  <si>
    <t>How-to</t>
  </si>
  <si>
    <t>Listicle</t>
  </si>
  <si>
    <t>Before and after</t>
  </si>
  <si>
    <t>POV</t>
  </si>
  <si>
    <t>Tutorial</t>
  </si>
  <si>
    <t>Behind the scenes</t>
  </si>
  <si>
    <t>Tone of voice</t>
  </si>
  <si>
    <t>Friendly</t>
  </si>
  <si>
    <t>Playful</t>
  </si>
  <si>
    <t>Inspiring</t>
  </si>
  <si>
    <t>Educational</t>
  </si>
  <si>
    <t>Professional</t>
  </si>
  <si>
    <t>Warm</t>
  </si>
  <si>
    <t>Bold</t>
  </si>
  <si>
    <t>Calm</t>
  </si>
  <si>
    <t>Witty</t>
  </si>
  <si>
    <t>Honest</t>
  </si>
  <si>
    <t>Priority</t>
  </si>
  <si>
    <t>High</t>
  </si>
  <si>
    <t>Medium</t>
  </si>
  <si>
    <t>Low</t>
  </si>
  <si>
    <t>Idea status</t>
  </si>
  <si>
    <t>New</t>
  </si>
  <si>
    <t>Shortlisted</t>
  </si>
  <si>
    <t>Used</t>
  </si>
  <si>
    <t>On hold</t>
  </si>
  <si>
    <t>Idea source</t>
  </si>
  <si>
    <t>Own idea</t>
  </si>
  <si>
    <t>Customer question</t>
  </si>
  <si>
    <t>Comment</t>
  </si>
  <si>
    <t>Direct message</t>
  </si>
  <si>
    <t>Product review</t>
  </si>
  <si>
    <t>Competitor post</t>
  </si>
  <si>
    <t>Keyword research</t>
  </si>
  <si>
    <t>Team suggestion</t>
  </si>
  <si>
    <t>Repurposed</t>
  </si>
  <si>
    <t>Seasonal event type</t>
  </si>
  <si>
    <t>Public holiday</t>
  </si>
  <si>
    <t>Awareness day</t>
  </si>
  <si>
    <t>Industry event</t>
  </si>
  <si>
    <t>Seasonal sale</t>
  </si>
  <si>
    <t>Product launch</t>
  </si>
  <si>
    <t>Local event</t>
  </si>
  <si>
    <t>Cultural moment</t>
  </si>
  <si>
    <t>Campaign status</t>
  </si>
  <si>
    <t>Running</t>
  </si>
  <si>
    <t>Paused</t>
  </si>
  <si>
    <t>Complete</t>
  </si>
  <si>
    <t>Hashtag type</t>
  </si>
  <si>
    <t>Broad reach</t>
  </si>
  <si>
    <t>Niche</t>
  </si>
  <si>
    <t>Branded</t>
  </si>
  <si>
    <t>Product</t>
  </si>
  <si>
    <t>Location</t>
  </si>
  <si>
    <t>Seasonal</t>
  </si>
  <si>
    <t>Trending</t>
  </si>
  <si>
    <t>Search intent</t>
  </si>
  <si>
    <t>Informational</t>
  </si>
  <si>
    <t>Inspirational</t>
  </si>
  <si>
    <t>Commercial</t>
  </si>
  <si>
    <t>Navigational</t>
  </si>
  <si>
    <t>Transactional</t>
  </si>
  <si>
    <t>Keyword difficulty</t>
  </si>
  <si>
    <t>Asset type</t>
  </si>
  <si>
    <t>Video clip</t>
  </si>
  <si>
    <t>Canva template</t>
  </si>
  <si>
    <t>Reel cover</t>
  </si>
  <si>
    <t>Thumbnail</t>
  </si>
  <si>
    <t>Carousel set</t>
  </si>
  <si>
    <t>Audio</t>
  </si>
  <si>
    <t>Font</t>
  </si>
  <si>
    <t>Logo</t>
  </si>
  <si>
    <t>Mockup</t>
  </si>
  <si>
    <t>UGC clip</t>
  </si>
  <si>
    <t>Product shot</t>
  </si>
  <si>
    <t>Usage rights</t>
  </si>
  <si>
    <t>Owned</t>
  </si>
  <si>
    <t>Licensed</t>
  </si>
  <si>
    <t>Royalty free</t>
  </si>
  <si>
    <t>UGC with permission</t>
  </si>
  <si>
    <t>Influencer content</t>
  </si>
  <si>
    <t>Stock library</t>
  </si>
  <si>
    <t>Expired</t>
  </si>
  <si>
    <t>Approval status</t>
  </si>
  <si>
    <t>Not started</t>
  </si>
  <si>
    <t>Rejected</t>
  </si>
  <si>
    <t>Collaboration type</t>
  </si>
  <si>
    <t>Gifted product</t>
  </si>
  <si>
    <t>Paid post</t>
  </si>
  <si>
    <t>Affiliate</t>
  </si>
  <si>
    <t>Brand ambassador</t>
  </si>
  <si>
    <t>Giveaway</t>
  </si>
  <si>
    <t>Account takeover</t>
  </si>
  <si>
    <t>Guest content</t>
  </si>
  <si>
    <t>Event</t>
  </si>
  <si>
    <t>Outreach status</t>
  </si>
  <si>
    <t>Not contacted</t>
  </si>
  <si>
    <t>Contacted</t>
  </si>
  <si>
    <t>Replied</t>
  </si>
  <si>
    <t>Negotiating</t>
  </si>
  <si>
    <t>Agreed</t>
  </si>
  <si>
    <t>Declined</t>
  </si>
  <si>
    <t>UGC permission</t>
  </si>
  <si>
    <t>Not requested</t>
  </si>
  <si>
    <t>Requested</t>
  </si>
  <si>
    <t>Granted</t>
  </si>
  <si>
    <t>Refused</t>
  </si>
  <si>
    <t>UGC source</t>
  </si>
  <si>
    <t>Tagged post</t>
  </si>
  <si>
    <t>Story mention</t>
  </si>
  <si>
    <t>Hashtag</t>
  </si>
  <si>
    <t>Competition entry</t>
  </si>
  <si>
    <t>Team role</t>
  </si>
  <si>
    <t>Social media manager</t>
  </si>
  <si>
    <t>Content creator</t>
  </si>
  <si>
    <t>Copywriter</t>
  </si>
  <si>
    <t>Designer</t>
  </si>
  <si>
    <t>Video editor</t>
  </si>
  <si>
    <t>Photographer</t>
  </si>
  <si>
    <t>Virtual assistant</t>
  </si>
  <si>
    <t>Contractor</t>
  </si>
  <si>
    <t>Agency</t>
  </si>
  <si>
    <t>Task status</t>
  </si>
  <si>
    <t>In progress</t>
  </si>
  <si>
    <t>Blocked</t>
  </si>
  <si>
    <t>Goal category</t>
  </si>
  <si>
    <t>Website traffic</t>
  </si>
  <si>
    <t>Content output</t>
  </si>
  <si>
    <t>Email list</t>
  </si>
  <si>
    <t>Goal status</t>
  </si>
  <si>
    <t>On track</t>
  </si>
  <si>
    <t>At risk</t>
  </si>
  <si>
    <t>Behind</t>
  </si>
  <si>
    <t>Achieved</t>
  </si>
  <si>
    <t>Missed</t>
  </si>
  <si>
    <t>Cost category</t>
  </si>
  <si>
    <t>Paid advertising</t>
  </si>
  <si>
    <t>Influencer fees</t>
  </si>
  <si>
    <t>Content production</t>
  </si>
  <si>
    <t>Design &amp; editing</t>
  </si>
  <si>
    <t>Software &amp; subscriptions</t>
  </si>
  <si>
    <t>Contractor fees</t>
  </si>
  <si>
    <t>Props &amp; samples</t>
  </si>
  <si>
    <t>Training</t>
  </si>
  <si>
    <t>Stock media</t>
  </si>
  <si>
    <t>Printing</t>
  </si>
  <si>
    <t>Ad objective</t>
  </si>
  <si>
    <t>Video views</t>
  </si>
  <si>
    <t>Lead generation</t>
  </si>
  <si>
    <t>Retargeting</t>
  </si>
  <si>
    <t>App installs</t>
  </si>
  <si>
    <t>Test variable</t>
  </si>
  <si>
    <t>Hook</t>
  </si>
  <si>
    <t>Caption length</t>
  </si>
  <si>
    <t>Posting time</t>
  </si>
  <si>
    <t>Hashtag set</t>
  </si>
  <si>
    <t>Cover image</t>
  </si>
  <si>
    <t>Offer</t>
  </si>
  <si>
    <t>First comment</t>
  </si>
  <si>
    <t>Test status</t>
  </si>
  <si>
    <t>Inconclusive</t>
  </si>
  <si>
    <t>Trend type</t>
  </si>
  <si>
    <t>Topic</t>
  </si>
  <si>
    <t>Challenge</t>
  </si>
  <si>
    <t>Meme</t>
  </si>
  <si>
    <t>Platform feature</t>
  </si>
  <si>
    <t>Repurpose status</t>
  </si>
  <si>
    <t>Not suitable</t>
  </si>
  <si>
    <t>Frequency</t>
  </si>
  <si>
    <t>Daily</t>
  </si>
  <si>
    <t>3 x week</t>
  </si>
  <si>
    <t>Weekly</t>
  </si>
  <si>
    <t>Fortnightly</t>
  </si>
  <si>
    <t>Monthly</t>
  </si>
  <si>
    <t>Quarterly</t>
  </si>
  <si>
    <t>Ad hoc</t>
  </si>
  <si>
    <t>Posting slot</t>
  </si>
  <si>
    <t>Early morning</t>
  </si>
  <si>
    <t>Morning</t>
  </si>
  <si>
    <t>Lunchtime</t>
  </si>
  <si>
    <t>Afternoon</t>
  </si>
  <si>
    <t>Evening</t>
  </si>
  <si>
    <t>Night</t>
  </si>
  <si>
    <t>Compliance status</t>
  </si>
  <si>
    <t>Not checked</t>
  </si>
  <si>
    <t>Checked</t>
  </si>
  <si>
    <t>Not required</t>
  </si>
  <si>
    <t>Issue found</t>
  </si>
  <si>
    <t>Fixed</t>
  </si>
  <si>
    <t>All year</t>
  </si>
  <si>
    <t>January</t>
  </si>
  <si>
    <t>February</t>
  </si>
  <si>
    <t>March</t>
  </si>
  <si>
    <t>April</t>
  </si>
  <si>
    <t>May</t>
  </si>
  <si>
    <t>June</t>
  </si>
  <si>
    <t>July</t>
  </si>
  <si>
    <t>August</t>
  </si>
  <si>
    <t>September</t>
  </si>
  <si>
    <t>November</t>
  </si>
  <si>
    <t>December</t>
  </si>
  <si>
    <t>Sunday</t>
  </si>
  <si>
    <t>Brand Voice &amp; Identity</t>
  </si>
  <si>
    <t>Fill this in once. Every caption you write, every reply you send and anyone you hire should match what is on this page.</t>
  </si>
  <si>
    <t>Who you are</t>
  </si>
  <si>
    <t>Mission - why the business exists</t>
  </si>
  <si>
    <t>We make everyday objects worth keeping.</t>
  </si>
  <si>
    <t>Vision - where it is going</t>
  </si>
  <si>
    <t>A handmade piece on every table, not in every cabinet.</t>
  </si>
  <si>
    <t>Brand promise - what people can count on</t>
  </si>
  <si>
    <t>Made slowly, built to be used, replaced if it fails.</t>
  </si>
  <si>
    <t>Brand story in one paragraph</t>
  </si>
  <si>
    <t>Started at a night class, kept going because people kept asking. Everything is thrown, glazed and packed by hand.</t>
  </si>
  <si>
    <t>What makes you different</t>
  </si>
  <si>
    <t>Small batches, named glazes, and the maker answers the messages.</t>
  </si>
  <si>
    <t>How you sound</t>
  </si>
  <si>
    <t>Three words that describe your voice</t>
  </si>
  <si>
    <t>Warm, honest, playful</t>
  </si>
  <si>
    <t>Three words you are not</t>
  </si>
  <si>
    <t>Corporate, pushy, precious</t>
  </si>
  <si>
    <t>Reading age / tone</t>
  </si>
  <si>
    <t>Chatty but clear - write like you talk</t>
  </si>
  <si>
    <t>Point of view</t>
  </si>
  <si>
    <t>First person: I made this, we packed this</t>
  </si>
  <si>
    <t>Humour</t>
  </si>
  <si>
    <t>Dry and self-deprecating, never at anyone's expense</t>
  </si>
  <si>
    <t>Emoji use</t>
  </si>
  <si>
    <t>One or two, never a wall</t>
  </si>
  <si>
    <t>Exclamation marks</t>
  </si>
  <si>
    <t>One per post at most</t>
  </si>
  <si>
    <t>Words</t>
  </si>
  <si>
    <t>Words and phrases you use</t>
  </si>
  <si>
    <t>handmade, small batch, slow made, everyday, kiln, glaze</t>
  </si>
  <si>
    <t>Words and phrases you avoid</t>
  </si>
  <si>
    <t>cheap, luxury, must-have, hurry, limited time only</t>
  </si>
  <si>
    <t>How you describe the product</t>
  </si>
  <si>
    <t>Stoneware made in small batches, dishwasher and microwave safe.</t>
  </si>
  <si>
    <t>How you describe the customer</t>
  </si>
  <si>
    <t>People who use the good stuff on a Tuesday.</t>
  </si>
  <si>
    <t>Your sign-off / signature line</t>
  </si>
  <si>
    <t>Made slowly, used daily.</t>
  </si>
  <si>
    <t>Rules</t>
  </si>
  <si>
    <t>Always do</t>
  </si>
  <si>
    <t>Reply to every comment in the first hour</t>
  </si>
  <si>
    <t>Never do</t>
  </si>
  <si>
    <t>Argue in the comments, or repost without asking</t>
  </si>
  <si>
    <t>How you handle a complaint</t>
  </si>
  <si>
    <t>Reply once publicly, move it to messages, fix it, follow up</t>
  </si>
  <si>
    <t>How you handle a troll</t>
  </si>
  <si>
    <t>Hide, do not engage, block if repeated</t>
  </si>
  <si>
    <t>How you handle a mistake</t>
  </si>
  <si>
    <t>Say it plainly, say what you are doing about it</t>
  </si>
  <si>
    <t>How you look</t>
  </si>
  <si>
    <t>drive/wildflower/logo</t>
  </si>
  <si>
    <t>Colour palette</t>
  </si>
  <si>
    <t>Clay #C8734A, Sand #EAE0D2, Ink #241B38</t>
  </si>
  <si>
    <t>Fonts</t>
  </si>
  <si>
    <t>Headlines: Fraunces. Body: Inter.</t>
  </si>
  <si>
    <t>Photo style</t>
  </si>
  <si>
    <t>Daylight, linen, slight mess - real tables, not studios</t>
  </si>
  <si>
    <t>Video style</t>
  </si>
  <si>
    <t>Hands, process, no voiceover, captions always</t>
  </si>
  <si>
    <t>Grid / feed style</t>
  </si>
  <si>
    <t>Alternating product, process, person</t>
  </si>
  <si>
    <t>Template files</t>
  </si>
  <si>
    <t>canva.com/wildflower-templates</t>
  </si>
  <si>
    <t>Profile copy</t>
  </si>
  <si>
    <t>Bio - short (150 characters)</t>
  </si>
  <si>
    <t>Handmade stoneware for everyday use. Made slowly in the studio. Shop below.</t>
  </si>
  <si>
    <t>Bio - long</t>
  </si>
  <si>
    <t>Hand-thrown ceramics made in small batches. Dishwasher safe, built to be used, shipped carefully. New glazes monthly.</t>
  </si>
  <si>
    <t>Link in bio destination</t>
  </si>
  <si>
    <t>Pinned post / highlight</t>
  </si>
  <si>
    <t>Start here: how a mug is made, and how to choose a size</t>
  </si>
  <si>
    <t>Signature hashtag</t>
  </si>
  <si>
    <t>Tone by situation</t>
  </si>
  <si>
    <t>Situation</t>
  </si>
  <si>
    <t>Example line</t>
  </si>
  <si>
    <t>Launching something</t>
  </si>
  <si>
    <t>Confident, warm</t>
  </si>
  <si>
    <t>It is here, and there are only forty.</t>
  </si>
  <si>
    <t>Teaching something</t>
  </si>
  <si>
    <t>Patient, plain</t>
  </si>
  <si>
    <t>Here is how to tell a good glaze from a lazy one.</t>
  </si>
  <si>
    <t>Sharing a mistake</t>
  </si>
  <si>
    <t>Honest, light</t>
  </si>
  <si>
    <t>Forty mugs, one wobbly kiln shelf. We live and learn.</t>
  </si>
  <si>
    <t>Celebrating a customer</t>
  </si>
  <si>
    <t>Generous, specific</t>
  </si>
  <si>
    <t>Look what Hannah did with the breakfast set.</t>
  </si>
  <si>
    <t>Asking for the sale</t>
  </si>
  <si>
    <t>Direct, no apology</t>
  </si>
  <si>
    <t>The restock is live. Link in bio.</t>
  </si>
  <si>
    <t>Replying to a complaint</t>
  </si>
  <si>
    <t>Calm, quick, human</t>
  </si>
  <si>
    <t>That should not have happened - I am sorting it today.</t>
  </si>
  <si>
    <t>Consistency check</t>
  </si>
  <si>
    <t>Check</t>
  </si>
  <si>
    <t>Your answer</t>
  </si>
  <si>
    <t>Does every profile use the same name and handle?</t>
  </si>
  <si>
    <t>Do all five profile pictures match?</t>
  </si>
  <si>
    <t>Is the bio the same tone everywhere?</t>
  </si>
  <si>
    <t>Do you use the same colours and fonts on graphics?</t>
  </si>
  <si>
    <t>Does your signature hashtag appear on every post?</t>
  </si>
  <si>
    <t>Could someone else write a post that sounds like you?</t>
  </si>
  <si>
    <t>A brand people recognise is worth more than a brand people like. Pick a voice you can keep up on a bad week, write it down here, and stick to it.</t>
  </si>
  <si>
    <t>Social Media Accounts</t>
  </si>
  <si>
    <t>One row per account. The grey columns count your posts, pull the reach and engagement from the Analytics tab and tell you when a profile needs attention.</t>
  </si>
  <si>
    <t>Add every account you post to - the dashboards compare them side by side. Mark the six profile checks Yes once you have optimised each profile.</t>
  </si>
  <si>
    <t>ID</t>
  </si>
  <si>
    <t>Account / profile name</t>
  </si>
  <si>
    <t>Username / handle</t>
  </si>
  <si>
    <t>Profile URL</t>
  </si>
  <si>
    <t>Account owner</t>
  </si>
  <si>
    <t>What this account is for</t>
  </si>
  <si>
    <t>Primary audience</t>
  </si>
  <si>
    <t>Followers today</t>
  </si>
  <si>
    <t>Account started</t>
  </si>
  <si>
    <t>Bio / description checked</t>
  </si>
  <si>
    <t>Profile picture on brand</t>
  </si>
  <si>
    <t>Cover image current</t>
  </si>
  <si>
    <t>Website link works</t>
  </si>
  <si>
    <t>Contact details correct</t>
  </si>
  <si>
    <t>Platform branding done</t>
  </si>
  <si>
    <t>Profile score</t>
  </si>
  <si>
    <t>Access &amp; responsibility notes</t>
  </si>
  <si>
    <t>Posts this year</t>
  </si>
  <si>
    <t>Reach this year</t>
  </si>
  <si>
    <t>Last published</t>
  </si>
  <si>
    <t>Days since</t>
  </si>
  <si>
    <t>Action needed</t>
  </si>
  <si>
    <t>Notes</t>
  </si>
  <si>
    <t>@wildflower.studio</t>
  </si>
  <si>
    <t>instagram.com/wildflower.studio</t>
  </si>
  <si>
    <t>Main shop window - product, styling and community</t>
  </si>
  <si>
    <t>Home lovers 28-45</t>
  </si>
  <si>
    <t>Owner + manager, 2FA on</t>
  </si>
  <si>
    <t>Link in bio points at the shop</t>
  </si>
  <si>
    <t>@wildflowerstudio</t>
  </si>
  <si>
    <t>tiktok.com/@wildflowerstudio</t>
  </si>
  <si>
    <t>Priya Nair</t>
  </si>
  <si>
    <t>Reach new people with process and personality</t>
  </si>
  <si>
    <t>wildflowerstudio</t>
  </si>
  <si>
    <t>pinterest.com/wildflowerstudio</t>
  </si>
  <si>
    <t>Sam Okonkwo</t>
  </si>
  <si>
    <t>Evergreen search traffic to the shop</t>
  </si>
  <si>
    <t>youtube.com/@wildflowerstudio</t>
  </si>
  <si>
    <t>Elena Dias</t>
  </si>
  <si>
    <t>Long form studio films and buying guides</t>
  </si>
  <si>
    <t>Makers and buyers</t>
  </si>
  <si>
    <t>wildflowerstudiohome</t>
  </si>
  <si>
    <t>facebook.com/wildflowerstudiohome</t>
  </si>
  <si>
    <t>Local customers, markets and events</t>
  </si>
  <si>
    <t>Audience Research &amp; Customer Personas</t>
  </si>
  <si>
    <t>Three or four personas is plenty. Every post on the calendar can be pointed at one of them, and the grey columns show whether you are actually making content for each.</t>
  </si>
  <si>
    <t>Write these in your customer's words, not marketing words. The four 'idea' columns become entries in the Idea Bank.</t>
  </si>
  <si>
    <t>Persona name</t>
  </si>
  <si>
    <t>Age range</t>
  </si>
  <si>
    <t>Location / market</t>
  </si>
  <si>
    <t>Interests &amp; hobbies</t>
  </si>
  <si>
    <t>Main challenge / pain point</t>
  </si>
  <si>
    <t>What they want</t>
  </si>
  <si>
    <t>Buying motivation</t>
  </si>
  <si>
    <t>Common objection</t>
  </si>
  <si>
    <t>Favourite platform</t>
  </si>
  <si>
    <t>Favourite format</t>
  </si>
  <si>
    <t>Journey stage</t>
  </si>
  <si>
    <t>How they engage</t>
  </si>
  <si>
    <t>Question they always ask</t>
  </si>
  <si>
    <t>Words they use</t>
  </si>
  <si>
    <t>Awareness content idea</t>
  </si>
  <si>
    <t>Consideration idea</t>
  </si>
  <si>
    <t>Conversion idea</t>
  </si>
  <si>
    <t>Retention idea</t>
  </si>
  <si>
    <t>Ideas waiting</t>
  </si>
  <si>
    <t>Captions written</t>
  </si>
  <si>
    <t>Share of the plan</t>
  </si>
  <si>
    <t>First-home Freya</t>
  </si>
  <si>
    <t>28-34</t>
  </si>
  <si>
    <t>City flats, UK &amp; US</t>
  </si>
  <si>
    <t>Slow living, thrifting, cooking for friends</t>
  </si>
  <si>
    <t>Her flat feels unfinished and everything matches too much</t>
  </si>
  <si>
    <t>A home that feels personal without spending a fortune</t>
  </si>
  <si>
    <t>Wants pieces with a story</t>
  </si>
  <si>
    <t>Worries handmade means fragile</t>
  </si>
  <si>
    <t>Replies to stories, saves carousels</t>
  </si>
  <si>
    <t>How long does delivery take?</t>
  </si>
  <si>
    <t>'shelfie', 'tablescape', 'slow made'</t>
  </si>
  <si>
    <t>Styling inspiration reels</t>
  </si>
  <si>
    <t>Material and care explainers</t>
  </si>
  <si>
    <t>Shop the look carousels</t>
  </si>
  <si>
    <t>Customer features and care tips</t>
  </si>
  <si>
    <t>Gifting Grace</t>
  </si>
  <si>
    <t>35-45</t>
  </si>
  <si>
    <t>Suburban US &amp; Canada</t>
  </si>
  <si>
    <t>Hosting, gift giving, seasonal decorating</t>
  </si>
  <si>
    <t>Finding a present that is not generic, close to the deadline</t>
  </si>
  <si>
    <t>To be the person who gives the thoughtful gift</t>
  </si>
  <si>
    <t>Buys for others, values packaging</t>
  </si>
  <si>
    <t>Will it arrive in time?</t>
  </si>
  <si>
    <t>Highest spend per order</t>
  </si>
  <si>
    <t>Interiors Isla</t>
  </si>
  <si>
    <t>30-42</t>
  </si>
  <si>
    <t>Design-led cities</t>
  </si>
  <si>
    <t>Interiors, ceramics, neutral palettes, slow design</t>
  </si>
  <si>
    <t>Mass produced homeware feels soulless</t>
  </si>
  <si>
    <t>A considered home she is proud to photograph</t>
  </si>
  <si>
    <t>Follows makers, buys a piece at a time</t>
  </si>
  <si>
    <t>Is the colour true to the photo?</t>
  </si>
  <si>
    <t>Content Pillars &amp; Strategy</t>
  </si>
  <si>
    <t>Set the mix you want, then watch the grey columns tell you the mix you actually published.</t>
  </si>
  <si>
    <t>Pillar name</t>
  </si>
  <si>
    <t>Target share of posts</t>
  </si>
  <si>
    <t>What this pillar is for</t>
  </si>
  <si>
    <t>Main objective</t>
  </si>
  <si>
    <t>Usual format</t>
  </si>
  <si>
    <t>Mainly for</t>
  </si>
  <si>
    <t>Example post ideas</t>
  </si>
  <si>
    <t>Actual share</t>
  </si>
  <si>
    <t>Off target by</t>
  </si>
  <si>
    <t>Best post</t>
  </si>
  <si>
    <t>Educate</t>
  </si>
  <si>
    <t>Teach one useful thing about living with handmade pieces</t>
  </si>
  <si>
    <t>How to, explainers, care guides</t>
  </si>
  <si>
    <t>Inspire</t>
  </si>
  <si>
    <t>Show the feeling of a slow, styled home</t>
  </si>
  <si>
    <t>Styling, light, seasonal tables</t>
  </si>
  <si>
    <t>Let people watch the making</t>
  </si>
  <si>
    <t>Studio days, kiln openings, packing</t>
  </si>
  <si>
    <t>Talk with people, not at them</t>
  </si>
  <si>
    <t>Questions, votes, customer features</t>
  </si>
  <si>
    <t>Promote</t>
  </si>
  <si>
    <t>Ask for the sale, clearly and kindly</t>
  </si>
  <si>
    <t>Launches, restocks, gift guides</t>
  </si>
  <si>
    <t>Entertain</t>
  </si>
  <si>
    <t>Make someone smile and share it</t>
  </si>
  <si>
    <t>Studio bloopers, trends, satisfying clips</t>
  </si>
  <si>
    <t>Personal</t>
  </si>
  <si>
    <t>The person behind the brand</t>
  </si>
  <si>
    <t>Story of the maker, lessons, opinions</t>
  </si>
  <si>
    <t>Totals</t>
  </si>
  <si>
    <t>The target column should add up to 100%.</t>
  </si>
  <si>
    <t>12-Month Content Calendar</t>
  </si>
  <si>
    <t>One row per post, on any platform, for the whole year. Filter by month, platform, pillar or status - the grey columns keep the deadlines, links and results up to date for you.</t>
  </si>
  <si>
    <t>Type the publish date and a title - the ID, month, week, deadlines and alerts fill themselves in. Use the filter arrows rather than re-sorting so the content IDs stay matched to the other tabs.</t>
  </si>
  <si>
    <t>Publish date</t>
  </si>
  <si>
    <t>Week</t>
  </si>
  <si>
    <t>Content title</t>
  </si>
  <si>
    <t>What it is about</t>
  </si>
  <si>
    <t>Content pillar</t>
  </si>
  <si>
    <t>Written for</t>
  </si>
  <si>
    <t>Caption (from the bank)</t>
  </si>
  <si>
    <t>Caption ready</t>
  </si>
  <si>
    <t>Hashtag group</t>
  </si>
  <si>
    <t>Tags in group</t>
  </si>
  <si>
    <t>Creative asset</t>
  </si>
  <si>
    <t>Asset approved</t>
  </si>
  <si>
    <t>Draft due</t>
  </si>
  <si>
    <t>Approval due</t>
  </si>
  <si>
    <t>Days to go</t>
  </si>
  <si>
    <t>Published link</t>
  </si>
  <si>
    <t>Live?</t>
  </si>
  <si>
    <t>Day key</t>
  </si>
  <si>
    <t>Queue key</t>
  </si>
  <si>
    <t>Late key</t>
  </si>
  <si>
    <t>Duplicate check</t>
  </si>
  <si>
    <t>5 ways to style a single stem vase</t>
  </si>
  <si>
    <t>Educate post for instagram: 5 ways to style a single stem vase.</t>
  </si>
  <si>
    <t>Autumn Table Styling</t>
  </si>
  <si>
    <t>Single stem styling</t>
  </si>
  <si>
    <t>Group 1</t>
  </si>
  <si>
    <t>AS-0001</t>
  </si>
  <si>
    <t>instagram.com/wildflowerstudio/p/5600</t>
  </si>
  <si>
    <t>Autumn table styling checklist</t>
  </si>
  <si>
    <t>Educate post for pinterest: Autumn table styling checklist.</t>
  </si>
  <si>
    <t>Kiln opening</t>
  </si>
  <si>
    <t>Group 2</t>
  </si>
  <si>
    <t>AS-0002</t>
  </si>
  <si>
    <t>pinterest.com/wildflowerstudio/p/5501</t>
  </si>
  <si>
    <t>Throwing a mug from start to finish</t>
  </si>
  <si>
    <t>Behind the scenes post for tiktok: Throwing a mug from start to finish.</t>
  </si>
  <si>
    <t>Autumn collection live</t>
  </si>
  <si>
    <t>Group 3</t>
  </si>
  <si>
    <t>AS-0003</t>
  </si>
  <si>
    <t>tiktok.com/wildflowerstudio/p/5402</t>
  </si>
  <si>
    <t>Morning light in the studio</t>
  </si>
  <si>
    <t>Inspire post for instagram: Morning light in the studio.</t>
  </si>
  <si>
    <t>Stoneware vs porcelain</t>
  </si>
  <si>
    <t>Group 4</t>
  </si>
  <si>
    <t>AS-0004</t>
  </si>
  <si>
    <t>instagram.com/wildflowerstudio/p/5203</t>
  </si>
  <si>
    <t>Top performer</t>
  </si>
  <si>
    <t>Meet the makers behind your mugs</t>
  </si>
  <si>
    <t>Community post for facebook: Meet the makers behind your mugs.</t>
  </si>
  <si>
    <t>Customer shelfie</t>
  </si>
  <si>
    <t>AS-0005</t>
  </si>
  <si>
    <t>facebook.com/wildflowerstudio/p/5004</t>
  </si>
  <si>
    <t>Last 12 speckled bowls of the batch</t>
  </si>
  <si>
    <t>Promote post for instagram: Last 12 speckled bowls of the batch.</t>
  </si>
  <si>
    <t>Why I left my desk job</t>
  </si>
  <si>
    <t>AS-0006</t>
  </si>
  <si>
    <t>instagram.com/wildflowerstudio/p/4905</t>
  </si>
  <si>
    <t>How a glaze is mixed - full studio tour</t>
  </si>
  <si>
    <t>Educate post for youtube: How a glaze is mixed - full studio tour.</t>
  </si>
  <si>
    <t>Restock alert</t>
  </si>
  <si>
    <t>AS-0007</t>
  </si>
  <si>
    <t>youtube.com/wildflowerstudio/p/4806</t>
  </si>
  <si>
    <t>Neutral shelf styling in 6 steps</t>
  </si>
  <si>
    <t>Inspire post for pinterest: Neutral shelf styling in 6 steps.</t>
  </si>
  <si>
    <t>Care guide</t>
  </si>
  <si>
    <t>AS-0008</t>
  </si>
  <si>
    <t>pinterest.com/wildflowerstudio/p/4707</t>
  </si>
  <si>
    <t>Kiln opening - did they survive?</t>
  </si>
  <si>
    <t>Behind the scenes post for tiktok: Kiln opening - did they survive?.</t>
  </si>
  <si>
    <t>Gift guide</t>
  </si>
  <si>
    <t>AS-0009</t>
  </si>
  <si>
    <t>tiktok.com/wildflowerstudio/p/4508</t>
  </si>
  <si>
    <t>Your kitchen shelfies - UGC round up</t>
  </si>
  <si>
    <t>Community post for instagram: Your kitchen shelfies - UGC round up.</t>
  </si>
  <si>
    <t>Slow Sunday</t>
  </si>
  <si>
    <t>AS-0010</t>
  </si>
  <si>
    <t>instagram.com/wildflowerstudio/p/4409</t>
  </si>
  <si>
    <t>Stoneware vs porcelain - which to buy</t>
  </si>
  <si>
    <t>Educate post for instagram: Stoneware vs porcelain - which to buy.</t>
  </si>
  <si>
    <t>Studio week</t>
  </si>
  <si>
    <t>AS-0011</t>
  </si>
  <si>
    <t>instagram.com/wildflowerstudio/p/4210</t>
  </si>
  <si>
    <t>Autumn collection now in the shop</t>
  </si>
  <si>
    <t>Promote post for facebook: Autumn collection now in the shop.</t>
  </si>
  <si>
    <t>Holiday shipping</t>
  </si>
  <si>
    <t>AS-0012</t>
  </si>
  <si>
    <t>facebook.com/wildflowerstudio/p/4111</t>
  </si>
  <si>
    <t>Three ways to fold a linen napkin</t>
  </si>
  <si>
    <t>Educate post for pinterest: Three ways to fold a linen napkin.</t>
  </si>
  <si>
    <t>AS-0013</t>
  </si>
  <si>
    <t>pinterest.com/wildflowerstudio/p/4012</t>
  </si>
  <si>
    <t>Pottery fails you asked to see</t>
  </si>
  <si>
    <t>Entertain post for tiktok: Pottery fails you asked to see.</t>
  </si>
  <si>
    <t>AS-0014</t>
  </si>
  <si>
    <t>tiktok.com/wildflowerstudio/p/3813</t>
  </si>
  <si>
    <t>Unboxing the autumn table set</t>
  </si>
  <si>
    <t>Promote post for instagram: Unboxing the autumn table set.</t>
  </si>
  <si>
    <t>instagram.com/wildflowerstudio/p/3714</t>
  </si>
  <si>
    <t>Why handmade mugs keep tea hotter</t>
  </si>
  <si>
    <t>Educate post for youtube: Why handmade mugs keep tea hotter.</t>
  </si>
  <si>
    <t>youtube.com/wildflowerstudio/p/3515</t>
  </si>
  <si>
    <t>This or that - glaze colour vote</t>
  </si>
  <si>
    <t>Community post for instagram: This or that - glaze colour vote.</t>
  </si>
  <si>
    <t>instagram.com/wildflowerstudio/p/3416</t>
  </si>
  <si>
    <t>The autumn table set - shop the look</t>
  </si>
  <si>
    <t>Promote post for pinterest: The autumn table set - shop the look.</t>
  </si>
  <si>
    <t>pinterest.com/wildflowerstudio/p/3317</t>
  </si>
  <si>
    <t>A slow Sunday table, styled three ways</t>
  </si>
  <si>
    <t>Inspire post for instagram: A slow Sunday table, styled three ways.</t>
  </si>
  <si>
    <t>Studio Restock</t>
  </si>
  <si>
    <t>instagram.com/wildflowerstudio/p/3118</t>
  </si>
  <si>
    <t>Caring for handmade ceramics</t>
  </si>
  <si>
    <t>Educate post for facebook: Caring for handmade ceramics.</t>
  </si>
  <si>
    <t>facebook.com/wildflowerstudio/p/3019</t>
  </si>
  <si>
    <t>Packing orders at 6am</t>
  </si>
  <si>
    <t>Behind the scenes post for tiktok: Packing orders at 6am.</t>
  </si>
  <si>
    <t>tiktok.com/wildflowerstudio/p/2820</t>
  </si>
  <si>
    <t>Why I left my desk job for clay</t>
  </si>
  <si>
    <t>Personal post for instagram: Why I left my desk job for clay.</t>
  </si>
  <si>
    <t>instagram.com/wildflowerstudio/p/2721</t>
  </si>
  <si>
    <t>Small kitchen storage ideas</t>
  </si>
  <si>
    <t>Educate post for pinterest: Small kitchen storage ideas.</t>
  </si>
  <si>
    <t>pinterest.com/wildflowerstudio/p/2522</t>
  </si>
  <si>
    <t>The 3 mugs every home needs</t>
  </si>
  <si>
    <t>Educate post for instagram: The 3 mugs every home needs.</t>
  </si>
  <si>
    <t>instagram.com/wildflowerstudio/p/2423</t>
  </si>
  <si>
    <t>A week in a one woman ceramics studio</t>
  </si>
  <si>
    <t>Behind the scenes post for youtube: A week in a one woman ceramics studio.</t>
  </si>
  <si>
    <t>youtube.com/wildflowerstudio/p/2324</t>
  </si>
  <si>
    <t>Answering your 9 most asked questions</t>
  </si>
  <si>
    <t>Community post for instagram: Answering your 9 most asked questions.</t>
  </si>
  <si>
    <t>instagram.com/wildflowerstudio/p/2125</t>
  </si>
  <si>
    <t>Satisfying trimming sounds</t>
  </si>
  <si>
    <t>Inspire post for tiktok: Satisfying trimming sounds.</t>
  </si>
  <si>
    <t>tiktok.com/wildflowerstudio/p/2026</t>
  </si>
  <si>
    <t>Restock alert - speckled dinnerware</t>
  </si>
  <si>
    <t>Promote post for facebook: Restock alert - speckled dinnerware.</t>
  </si>
  <si>
    <t>Link post</t>
  </si>
  <si>
    <t>facebook.com/wildflowerstudio/p/1927</t>
  </si>
  <si>
    <t>Restock in 60 seconds</t>
  </si>
  <si>
    <t>Promote post for instagram: Restock in 60 seconds.</t>
  </si>
  <si>
    <t>instagram.com/wildflowerstudio/p/1728</t>
  </si>
  <si>
    <t>Styling a console table for autumn</t>
  </si>
  <si>
    <t>Inspire post for pinterest: Styling a console table for autumn.</t>
  </si>
  <si>
    <t>pinterest.com/wildflowerstudio/p/1629</t>
  </si>
  <si>
    <t>Studio sale - 20% off seconds</t>
  </si>
  <si>
    <t>Promote post for instagram: Studio sale - 20% off seconds.</t>
  </si>
  <si>
    <t>Holiday Gift Guide</t>
  </si>
  <si>
    <t>instagram.com/wildflowerstudio/p/1430</t>
  </si>
  <si>
    <t>What 'seconds' means in pottery</t>
  </si>
  <si>
    <t>Educate post for tiktok: What 'seconds' means in pottery.</t>
  </si>
  <si>
    <t>tiktok.com/wildflowerstudio/p/1331</t>
  </si>
  <si>
    <t>How to photograph your table setting</t>
  </si>
  <si>
    <t>Educate post for instagram: How to photograph your table setting.</t>
  </si>
  <si>
    <t>instagram.com/wildflowerstudio/p/1232</t>
  </si>
  <si>
    <t>Clay or chocolate? guess the sound</t>
  </si>
  <si>
    <t>Entertain post for youtube: Clay or chocolate? guess the sound.</t>
  </si>
  <si>
    <t>youtube.com/wildflowerstudio/p/1033</t>
  </si>
  <si>
    <t>Customer story - Hannah's wedding set</t>
  </si>
  <si>
    <t>Community post for instagram: Customer story - Hannah's wedding set.</t>
  </si>
  <si>
    <t>instagram.com/wildflowerstudio/p/0934</t>
  </si>
  <si>
    <t>Autumn table reveal</t>
  </si>
  <si>
    <t>Inspire post for instagram: Autumn table reveal.</t>
  </si>
  <si>
    <t>instagram.com/wildflowerstudio/p/0735</t>
  </si>
  <si>
    <t>Gift guide - presents for home lovers</t>
  </si>
  <si>
    <t>Educate post for pinterest: Gift guide - presents for home lovers.</t>
  </si>
  <si>
    <t>pinterest.com/wildflowerstudio/p/0636</t>
  </si>
  <si>
    <t>Gift sets are live</t>
  </si>
  <si>
    <t>Promote post for tiktok: Gift sets are live.</t>
  </si>
  <si>
    <t>tiktok.com/wildflowerstudio/p/0537</t>
  </si>
  <si>
    <t>Local market this weekend</t>
  </si>
  <si>
    <t>Community post for facebook: Local market this weekend.</t>
  </si>
  <si>
    <t>facebook.com/wildflowerstudio/p/0438</t>
  </si>
  <si>
    <t>The gift guide - 8 ideas under 60</t>
  </si>
  <si>
    <t>Promote post for instagram: The gift guide - 8 ideas under 60.</t>
  </si>
  <si>
    <t>instagram.com/wildflowerstudio/p/0339</t>
  </si>
  <si>
    <t>Ask me anything about ordering</t>
  </si>
  <si>
    <t>Community post for instagram: Ask me anything about ordering.</t>
  </si>
  <si>
    <t>instagram.com/wildflowerstudio/p/0240</t>
  </si>
  <si>
    <t>Wrapping a gift order</t>
  </si>
  <si>
    <t>Behind the scenes post for tiktok: Wrapping a gift order.</t>
  </si>
  <si>
    <t>tiktok.com/wildflowerstudio/p/0141</t>
  </si>
  <si>
    <t>Three table settings, one dinner set</t>
  </si>
  <si>
    <t>Educate post for instagram: Three table settings, one dinner set.</t>
  </si>
  <si>
    <t>Holiday gift guide pin</t>
  </si>
  <si>
    <t>Promote post for pinterest: Holiday gift guide pin.</t>
  </si>
  <si>
    <t>Colour palette: oat, clay and sage</t>
  </si>
  <si>
    <t>Inspire post for instagram: Colour palette: oat, clay and sage.</t>
  </si>
  <si>
    <t>Beginner's guide to buying handmade</t>
  </si>
  <si>
    <t>Educate post for youtube: Beginner's guide to buying handmade.</t>
  </si>
  <si>
    <t>Guess the glaze - part two</t>
  </si>
  <si>
    <t>Entertain post for tiktok: Guess the glaze - part two.</t>
  </si>
  <si>
    <t>Holiday shipping dates</t>
  </si>
  <si>
    <t>Promote post for instagram: Holiday shipping dates.</t>
  </si>
  <si>
    <t>Holiday gift guide is live</t>
  </si>
  <si>
    <t>Promote post for facebook: Holiday gift guide is live.</t>
  </si>
  <si>
    <t>Glazing the holiday collection</t>
  </si>
  <si>
    <t>Behind the scenes post for instagram: Glazing the holiday collection.</t>
  </si>
  <si>
    <t>How to set a holiday table</t>
  </si>
  <si>
    <t>Educate post for pinterest: How to set a holiday table.</t>
  </si>
  <si>
    <t>Your holiday tables - call for photos</t>
  </si>
  <si>
    <t>Community post for instagram: Your holiday tables - call for photos.</t>
  </si>
  <si>
    <t>Last posting day countdown</t>
  </si>
  <si>
    <t>Promote post for tiktok: Last posting day countdown.</t>
  </si>
  <si>
    <t>Final orders before the break</t>
  </si>
  <si>
    <t>Promote post for instagram: Final orders before the break.</t>
  </si>
  <si>
    <t>The month laid out as a grid, straight from the Content Calendar. Pick a month, then print it and pin it up.</t>
  </si>
  <si>
    <t>First day</t>
  </si>
  <si>
    <t>Each box shows up to three posts for that day: platform, then the title. Days with more than three are marked '+ more' - the Content Calendar has the full list.</t>
  </si>
  <si>
    <t>This month at a glance</t>
  </si>
  <si>
    <t>Still to go</t>
  </si>
  <si>
    <t>Posts appear here the moment you add them to the Content Calendar - there is nothing to copy across. Print this page on one sheet of landscape A4 and it makes a very good wall planner.</t>
  </si>
  <si>
    <t>Content Production Workflow</t>
  </si>
  <si>
    <t>Every post moves through the same nine stages. This page shows how many are sitting at each one, what is late, and who is holding it.</t>
  </si>
  <si>
    <t>Where everything is right now</t>
  </si>
  <si>
    <t>Stage</t>
  </si>
  <si>
    <t>All posts</t>
  </si>
  <si>
    <t>This period</t>
  </si>
  <si>
    <t>What happens at this stage</t>
  </si>
  <si>
    <t>1. Idea</t>
  </si>
  <si>
    <t>Captured in the Idea Bank and scored. Nothing is written yet.</t>
  </si>
  <si>
    <t>2. Brief</t>
  </si>
  <si>
    <t>Hook, message, format and call to action agreed. Owner set.</t>
  </si>
  <si>
    <t>3. In production</t>
  </si>
  <si>
    <t>Shooting, filming, writing or designing.</t>
  </si>
  <si>
    <t>4. Draft</t>
  </si>
  <si>
    <t>Caption written, asset ready, hashtag group chosen.</t>
  </si>
  <si>
    <t>5. Awaiting review</t>
  </si>
  <si>
    <t>With whoever approves it. Check the facts, links and claims.</t>
  </si>
  <si>
    <t>6. Revision needed</t>
  </si>
  <si>
    <t>Sent back with notes. Fix and resubmit.</t>
  </si>
  <si>
    <t>7. Approved</t>
  </si>
  <si>
    <t>Signed off and ready to be loaded into the scheduler.</t>
  </si>
  <si>
    <t>8. Scheduled</t>
  </si>
  <si>
    <t>In the scheduler, or an alarm set to post manually.</t>
  </si>
  <si>
    <t>9. Published</t>
  </si>
  <si>
    <t>Live. Add the link, then the numbers after 48-72 hours.</t>
  </si>
  <si>
    <t>Pipeline health</t>
  </si>
  <si>
    <t>In the pipeline</t>
  </si>
  <si>
    <t>Everything not yet live</t>
  </si>
  <si>
    <t>Drafts late</t>
  </si>
  <si>
    <t>Past the draft deadline</t>
  </si>
  <si>
    <t>Needing approval</t>
  </si>
  <si>
    <t>Waiting on a yes</t>
  </si>
  <si>
    <t>Due in 7 days</t>
  </si>
  <si>
    <t>Coming up this week</t>
  </si>
  <si>
    <t>Overdue</t>
  </si>
  <si>
    <t>Date passed, not published</t>
  </si>
  <si>
    <t>Weeks of content ready</t>
  </si>
  <si>
    <t>Approved plus scheduled, divided by your weekly target</t>
  </si>
  <si>
    <t>Captions missing</t>
  </si>
  <si>
    <t>Posts with no caption picked</t>
  </si>
  <si>
    <t>Assets missing</t>
  </si>
  <si>
    <t>Posts with no creative attached</t>
  </si>
  <si>
    <t>Hashtag groups missing</t>
  </si>
  <si>
    <t>Posts with no hashtag group</t>
  </si>
  <si>
    <t>Open tasks</t>
  </si>
  <si>
    <t>On the Tasks tab</t>
  </si>
  <si>
    <t>The queue</t>
  </si>
  <si>
    <t>Next 12 posts due</t>
  </si>
  <si>
    <t>Who is holding what</t>
  </si>
  <si>
    <t>Posts owned</t>
  </si>
  <si>
    <t>Still to publish</t>
  </si>
  <si>
    <t>Late posts</t>
  </si>
  <si>
    <t>On-time rate</t>
  </si>
  <si>
    <t>The weekly routine that keeps this working</t>
  </si>
  <si>
    <t>MONDAY - open the Dashboard, clear anything in the overdue list, then look at the next 12 posts due.</t>
  </si>
  <si>
    <t>MONDAY - batch the week's captions in the Caption Bank and pick a hashtag group for each post.</t>
  </si>
  <si>
    <t>TUESDAY or WEDNESDAY - make the content: shoot, film, design. Mark each row 'Draft' as it is finished.</t>
  </si>
  <si>
    <t>THURSDAY - review and approve. Check links, claims, spelling and the Compliance tab.</t>
  </si>
  <si>
    <t>FRIDAY - schedule everything, set the status to 'Scheduled' and add the publish links as they go live.</t>
  </si>
  <si>
    <t>ANY DAY - add ideas to the Idea Bank as they come to you. Future you will be grateful.</t>
  </si>
  <si>
    <t>FIRST OF THE MONTH - fill in the Analytics tab, update the Goals tab, and read the Monthly Dashboard.</t>
  </si>
  <si>
    <t>The two deadline columns on the Content Calendar (draft due and approval due) are worked out from the publish date using the production and approval days on the Settings tab - change those two numbers to match how you really work.</t>
  </si>
  <si>
    <t>Content Idea Bank</t>
  </si>
  <si>
    <t>Never start from a blank page again. Score each idea, then move the best ones onto the calendar and paste the content ID back here.</t>
  </si>
  <si>
    <t>Filter on status 'New' and sort by score when you are planning a month. Ideas that have not been looked at for a while are flagged for review.</t>
  </si>
  <si>
    <t>What it would look like</t>
  </si>
  <si>
    <t>Problem it solves</t>
  </si>
  <si>
    <t>Hook / opening line</t>
  </si>
  <si>
    <t>Key message</t>
  </si>
  <si>
    <t>Where it came from</t>
  </si>
  <si>
    <t>Reference link</t>
  </si>
  <si>
    <t>Seen at (competitor)</t>
  </si>
  <si>
    <t>Related trend</t>
  </si>
  <si>
    <t>Evergreen?</t>
  </si>
  <si>
    <t>Seasonal?</t>
  </si>
  <si>
    <t>Priority score (1-10)</t>
  </si>
  <si>
    <t>Captured on</t>
  </si>
  <si>
    <t>Last reviewed</t>
  </si>
  <si>
    <t>Planned for</t>
  </si>
  <si>
    <t>Became content ID</t>
  </si>
  <si>
    <t>On the calendar as</t>
  </si>
  <si>
    <t>Days in the bank</t>
  </si>
  <si>
    <t>Review by</t>
  </si>
  <si>
    <t>The 5 mug sizes explained</t>
  </si>
  <si>
    <t>The 5 mug sizes explained - told in a carousel.</t>
  </si>
  <si>
    <t>People do not know how to choose or care for pieces</t>
  </si>
  <si>
    <t>What nobody tells you about the 5 mug sizes explained</t>
  </si>
  <si>
    <t>Handmade is for using, not for display</t>
  </si>
  <si>
    <t>Clay &amp; Co</t>
  </si>
  <si>
    <t>Shelfie tour</t>
  </si>
  <si>
    <t>C-0001</t>
  </si>
  <si>
    <t>A day in the studio in 60 seconds</t>
  </si>
  <si>
    <t>A day in the studio in 60 seconds - told in a reel.</t>
  </si>
  <si>
    <t>What nobody tells you about a day in the studio in 60 seconds</t>
  </si>
  <si>
    <t>C-0002</t>
  </si>
  <si>
    <t>How to style open shelving</t>
  </si>
  <si>
    <t>How to style open shelving - told in a standard pin.</t>
  </si>
  <si>
    <t>What nobody tells you about how to style open shelving</t>
  </si>
  <si>
    <t>C-0003</t>
  </si>
  <si>
    <t>Clay sourcing - where it comes from</t>
  </si>
  <si>
    <t>Clay sourcing - where it comes from - told in a long video.</t>
  </si>
  <si>
    <t>What nobody tells you about clay sourcing - where it comes from</t>
  </si>
  <si>
    <t>C-0004</t>
  </si>
  <si>
    <t>Customer kitchen tour</t>
  </si>
  <si>
    <t>Customer kitchen tour - told in a reel.</t>
  </si>
  <si>
    <t>What nobody tells you about customer kitchen tour</t>
  </si>
  <si>
    <t>Glaze colour vote</t>
  </si>
  <si>
    <t>Glaze colour vote - told in a story.</t>
  </si>
  <si>
    <t>What nobody tells you about glaze colour vote</t>
  </si>
  <si>
    <t>Packing an order ASMR</t>
  </si>
  <si>
    <t>Packing an order ASMR - told in a short video.</t>
  </si>
  <si>
    <t>What nobody tells you about packing an order asmr</t>
  </si>
  <si>
    <t>What 100 hours of throwing looks like</t>
  </si>
  <si>
    <t>What 100 hours of throwing looks like - told in a carousel.</t>
  </si>
  <si>
    <t>What nobody tells you about what 100 hours of throwing looks like</t>
  </si>
  <si>
    <t>Three dinner party tables</t>
  </si>
  <si>
    <t>Three dinner party tables - told in a video pin.</t>
  </si>
  <si>
    <t>What nobody tells you about three dinner party tables</t>
  </si>
  <si>
    <t>Myth: handmade is fragile</t>
  </si>
  <si>
    <t>Myth: handmade is fragile - told in a reel.</t>
  </si>
  <si>
    <t>What nobody tells you about myth: handmade is fragile</t>
  </si>
  <si>
    <t>Studio playlist</t>
  </si>
  <si>
    <t>Studio playlist - told in a feed post.</t>
  </si>
  <si>
    <t>What nobody tells you about studio playlist</t>
  </si>
  <si>
    <t>Seconds sale explainer</t>
  </si>
  <si>
    <t>Seconds sale explainer - told in a story.</t>
  </si>
  <si>
    <t>What nobody tells you about seconds sale explainer</t>
  </si>
  <si>
    <t>Gift wrapping tutorial</t>
  </si>
  <si>
    <t>Gift wrapping tutorial - told in a reel.</t>
  </si>
  <si>
    <t>What nobody tells you about gift wrapping tutorial</t>
  </si>
  <si>
    <t>Behind a wholesale order</t>
  </si>
  <si>
    <t>Behind a wholesale order - told in a short video.</t>
  </si>
  <si>
    <t>What nobody tells you about behind a wholesale order</t>
  </si>
  <si>
    <t>Ask the maker anything</t>
  </si>
  <si>
    <t>Ask the maker anything - told in a story.</t>
  </si>
  <si>
    <t>What nobody tells you about ask the maker anything</t>
  </si>
  <si>
    <t>Why we price what we price</t>
  </si>
  <si>
    <t>Why we price what we price - told in a carousel.</t>
  </si>
  <si>
    <t>What nobody tells you about why we price what we price</t>
  </si>
  <si>
    <t>Styling a tiny flat</t>
  </si>
  <si>
    <t>Styling a tiny flat - told in a standard pin.</t>
  </si>
  <si>
    <t>What nobody tells you about styling a tiny flat</t>
  </si>
  <si>
    <t>New glaze test results</t>
  </si>
  <si>
    <t>New glaze test results - told in a feed post.</t>
  </si>
  <si>
    <t>What nobody tells you about new glaze test results</t>
  </si>
  <si>
    <t>Caption &amp; Copy Bank</t>
  </si>
  <si>
    <t>Write it once, use it again. The length check compares your caption against the platform limit, and the grey columns show how often each caption has been used and how it performed.</t>
  </si>
  <si>
    <t>Keep the caption name short - it is what you pick from the drop down on the Content Calendar.</t>
  </si>
  <si>
    <t>Caption name</t>
  </si>
  <si>
    <t>Hook (first line)</t>
  </si>
  <si>
    <t>Body</t>
  </si>
  <si>
    <t>Closing call to action</t>
  </si>
  <si>
    <t>Full caption</t>
  </si>
  <si>
    <t>Short version</t>
  </si>
  <si>
    <t>Long version</t>
  </si>
  <si>
    <t>CTA type</t>
  </si>
  <si>
    <t>Emoji guidance</t>
  </si>
  <si>
    <t>Offer mentioned</t>
  </si>
  <si>
    <t>Reusable?</t>
  </si>
  <si>
    <t>Approval</t>
  </si>
  <si>
    <t>Written on</t>
  </si>
  <si>
    <t>Last edited</t>
  </si>
  <si>
    <t>Characters</t>
  </si>
  <si>
    <t>Platform limit</t>
  </si>
  <si>
    <t>Length check</t>
  </si>
  <si>
    <t>Times used</t>
  </si>
  <si>
    <t>Last used</t>
  </si>
  <si>
    <t>Average engagement</t>
  </si>
  <si>
    <t>One stem.</t>
  </si>
  <si>
    <t>One stem. Three minutes. A table that looks considered.</t>
  </si>
  <si>
    <t>Save this for your next dinner</t>
  </si>
  <si>
    <t>One stem.
One stem. Three minutes. A table that looks considered.
Save this for your next dinner #wildflowerstudio</t>
  </si>
  <si>
    <t>One stem.
One stem. Three minutes. A table that looks considered.
Save this for your next dinner #wildflowerstudio
Made slowly in the studio.</t>
  </si>
  <si>
    <t>Best performing hook so far</t>
  </si>
  <si>
    <t>Opening the kiln never stops being terrifying.</t>
  </si>
  <si>
    <t>Tell me which glaze wins</t>
  </si>
  <si>
    <t>Opening the kiln never stops being terrifying.
Opening the kiln never stops being terrifying.
Tell me which glaze wins #wildflowerstudio</t>
  </si>
  <si>
    <t>Opening the kiln never stops being terrifying.
Opening the kiln never stops being terrifying.
Tell me which glaze wins #wildflowerstudio
Made slowly in the studio.</t>
  </si>
  <si>
    <t>The autumn table is in the shop, and there are 40 pieces.</t>
  </si>
  <si>
    <t>Shop the collection</t>
  </si>
  <si>
    <t>The autumn table is in the shop, and there are 40 pieces.
The autumn table is in the shop, and there are 40 pieces.
Shop the collection #wildflowerstudio</t>
  </si>
  <si>
    <t>The autumn table is in the shop, and there are 40 pieces.
The autumn table is in the shop, and there are 40 pieces.
Shop the collection #wildflowerstudio
Made slowly in the studio.</t>
  </si>
  <si>
    <t>Stoneware chips less.</t>
  </si>
  <si>
    <t>Stoneware chips less. Porcelain is lighter. Here is how to choose.</t>
  </si>
  <si>
    <t>Save for your next order</t>
  </si>
  <si>
    <t>Stoneware chips less.
Stoneware chips less. Porcelain is lighter. Here is how to choose.
Save for your next order #wildflowerstudio</t>
  </si>
  <si>
    <t>Stoneware chips less.
Stoneware chips less. Porcelain is lighter. Here is how to choose.
Save for your next order #wildflowerstudio
Made slowly in the studio.</t>
  </si>
  <si>
    <t>Your shelves are better styled than mine, honestly.</t>
  </si>
  <si>
    <t>Tag us in yours</t>
  </si>
  <si>
    <t>Your shelves are better styled than mine, honestly.
Your shelves are better styled than mine, honestly.
Tag us in yours #wildflowerstudio</t>
  </si>
  <si>
    <t>Your shelves are better styled than mine, honestly.
Your shelves are better styled than mine, honestly.
Tag us in yours #wildflowerstudio
Made slowly in the studio.</t>
  </si>
  <si>
    <t>Three years ago I was answering emails.</t>
  </si>
  <si>
    <t>Three years ago I was answering emails. Now I answer to a kiln.</t>
  </si>
  <si>
    <t>Tell me your leap story</t>
  </si>
  <si>
    <t>Three years ago I was answering emails.
Three years ago I was answering emails. Now I answer to a kiln.
Tell me your leap story #wildflowerstudio</t>
  </si>
  <si>
    <t>Three years ago I was answering emails.
Three years ago I was answering emails. Now I answer to a kiln.
Tell me your leap story #wildflowerstudio
Made slowly in the studio.</t>
  </si>
  <si>
    <t>The speckled dinnerware is back, and it goes quickly.</t>
  </si>
  <si>
    <t>The speckled dinnerware is back, and it goes quickly.
The speckled dinnerware is back, and it goes quickly.
Link in bio #wildflowerstudio</t>
  </si>
  <si>
    <t>The speckled dinnerware is back, and it goes quickly.
The speckled dinnerware is back, and it goes quickly.
Link in bio #wildflowerstudio
Made slowly in the studio.</t>
  </si>
  <si>
    <t>Handmade does not mean delicate.</t>
  </si>
  <si>
    <t>Handmade does not mean delicate. It means made by hands.</t>
  </si>
  <si>
    <t>Save the care guide</t>
  </si>
  <si>
    <t>Handmade does not mean delicate.
Handmade does not mean delicate. It means made by hands.
Save the care guide #wildflowerstudio</t>
  </si>
  <si>
    <t>Handmade does not mean delicate.
Handmade does not mean delicate. It means made by hands.
Save the care guide #wildflowerstudio
Made slowly in the studio.</t>
  </si>
  <si>
    <t>Eight presents for the person whose home always smells of coffee.</t>
  </si>
  <si>
    <t>Shop the guide</t>
  </si>
  <si>
    <t>Eight presents for the person whose home always smells of coffee.
Eight presents for the person whose home always smells of coffee.
Shop the guide #wildflowerstudio</t>
  </si>
  <si>
    <t>Eight presents for the person whose home always smells of coffee.
Eight presents for the person whose home always smells of coffee.
Shop the guide #wildflowerstudio
Made slowly in the studio.</t>
  </si>
  <si>
    <t>Nothing on the calendar, everything on the table.</t>
  </si>
  <si>
    <t>Follow for slow living</t>
  </si>
  <si>
    <t>Nothing on the calendar, everything on the table.
Nothing on the calendar, everything on the table.
Follow for slow living #wildflowerstudio</t>
  </si>
  <si>
    <t>Nothing on the calendar, everything on the table.
Nothing on the calendar, everything on the table.
Follow for slow living #wildflowerstudio
Made slowly in the studio.</t>
  </si>
  <si>
    <t>Six days, 180 mugs, one very tired kiln.</t>
  </si>
  <si>
    <t>Watch the full film</t>
  </si>
  <si>
    <t>Six days, 180 mugs, one very tired kiln.
Six days, 180 mugs, one very tired kiln.
Watch the full film #wildflowerstudio</t>
  </si>
  <si>
    <t>Six days, 180 mugs, one very tired kiln.
Six days, 180 mugs, one very tired kiln.
Watch the full film #wildflowerstudio
Made slowly in the studio.</t>
  </si>
  <si>
    <t>Last posting dates are confirmed - here they are.</t>
  </si>
  <si>
    <t>Order before Friday</t>
  </si>
  <si>
    <t>Last posting dates are confirmed - here they are.
Last posting dates are confirmed - here they are.
Order before Friday #wildflowerstudio</t>
  </si>
  <si>
    <t>Last posting dates are confirmed - here they are.
Last posting dates are confirmed - here they are.
Order before Friday #wildflowerstudio
Made slowly in the studio.</t>
  </si>
  <si>
    <t>Hashtag &amp; Keyword Bank</t>
  </si>
  <si>
    <t>Build tested groups of 20-30 tags, keep the keywords next to them for search, and rotate the groups so your posts do not look identical.</t>
  </si>
  <si>
    <t>Type</t>
  </si>
  <si>
    <t>Keyword / search term</t>
  </si>
  <si>
    <t>Related keywords</t>
  </si>
  <si>
    <t>Competition</t>
  </si>
  <si>
    <t>Posts / search volume</t>
  </si>
  <si>
    <t>Size band</t>
  </si>
  <si>
    <t>Times used (manual)</t>
  </si>
  <si>
    <t>Posts using this group</t>
  </si>
  <si>
    <t>Days rested</t>
  </si>
  <si>
    <t>Banned / flagged?</t>
  </si>
  <si>
    <t>#handmadeceramics</t>
  </si>
  <si>
    <t>educate</t>
  </si>
  <si>
    <t>how to style a table</t>
  </si>
  <si>
    <t>how to style a table, educate ideas</t>
  </si>
  <si>
    <t>#slowliving</t>
  </si>
  <si>
    <t>inspire</t>
  </si>
  <si>
    <t>autumn tablescape ideas</t>
  </si>
  <si>
    <t>autumn tablescape ideas, inspire ideas</t>
  </si>
  <si>
    <t>#tablescape</t>
  </si>
  <si>
    <t>#potterylife</t>
  </si>
  <si>
    <t>behind the scenes</t>
  </si>
  <si>
    <t>pottery studio tour</t>
  </si>
  <si>
    <t>pottery studio tour, behind the scenes ideas</t>
  </si>
  <si>
    <t>community</t>
  </si>
  <si>
    <t>handmade home community</t>
  </si>
  <si>
    <t>handmade home community, community ideas</t>
  </si>
  <si>
    <t>Branded - always include</t>
  </si>
  <si>
    <t>#handmademug</t>
  </si>
  <si>
    <t>promote</t>
  </si>
  <si>
    <t>handmade mug gift</t>
  </si>
  <si>
    <t>handmade mug gift, promote ideas</t>
  </si>
  <si>
    <t>#stoneware</t>
  </si>
  <si>
    <t>#kitchenshelfie</t>
  </si>
  <si>
    <t>#giftsforhomelovers</t>
  </si>
  <si>
    <t>#autumntable</t>
  </si>
  <si>
    <t>#madeinthestudio</t>
  </si>
  <si>
    <t>#ceramicartist</t>
  </si>
  <si>
    <t>#smallbatchpottery</t>
  </si>
  <si>
    <t>#neutralhome</t>
  </si>
  <si>
    <t>#shopsmall</t>
  </si>
  <si>
    <t>#glazetest</t>
  </si>
  <si>
    <t>#dinnerpartyideas</t>
  </si>
  <si>
    <t>#holidaygiftguide</t>
  </si>
  <si>
    <t>#handmadehome</t>
  </si>
  <si>
    <t>#ceramicsofinstagram</t>
  </si>
  <si>
    <t>#localmaker</t>
  </si>
  <si>
    <t>#speckledpottery</t>
  </si>
  <si>
    <t>#mugshot</t>
  </si>
  <si>
    <t>entertain</t>
  </si>
  <si>
    <t>satisfying pottery video</t>
  </si>
  <si>
    <t>satisfying pottery video, entertain ideas</t>
  </si>
  <si>
    <t>#studiotour</t>
  </si>
  <si>
    <t>Instagram Planner</t>
  </si>
  <si>
    <t>Grid, reels and stories in one place. Fill in the Instagram specific fields - the title, date and results come from the calendar and the Performance tab.</t>
  </si>
  <si>
    <t>Reels under 30 seconds and carousels of 6-10 slides are the usual sweet spots. Plan your story frames in the sequence column.</t>
  </si>
  <si>
    <t>Content ID</t>
  </si>
  <si>
    <t>Instagram format</t>
  </si>
  <si>
    <t>Hook / first slide</t>
  </si>
  <si>
    <t>Carousel slides</t>
  </si>
  <si>
    <t>Reel length (sec)</t>
  </si>
  <si>
    <t>Cover image / file</t>
  </si>
  <si>
    <t>Story sequence</t>
  </si>
  <si>
    <t>Collab post?</t>
  </si>
  <si>
    <t>Profile visits</t>
  </si>
  <si>
    <t>Saves</t>
  </si>
  <si>
    <t>Shares</t>
  </si>
  <si>
    <t>Comments</t>
  </si>
  <si>
    <t>Strong first slide question</t>
  </si>
  <si>
    <t>covers/ig-c-0001.jpg</t>
  </si>
  <si>
    <t>Open on the finished table, then rewind</t>
  </si>
  <si>
    <t>covers/ig-c-0004.jpg</t>
  </si>
  <si>
    <t>C-0006</t>
  </si>
  <si>
    <t>covers/ig-c-0006.jpg</t>
  </si>
  <si>
    <t>Hook &gt; proof &gt; poll &gt; link</t>
  </si>
  <si>
    <t>C-0010</t>
  </si>
  <si>
    <t>covers/ig-c-0010.jpg</t>
  </si>
  <si>
    <t>C-0011</t>
  </si>
  <si>
    <t>covers/ig-c-0011.jpg</t>
  </si>
  <si>
    <t>C-0015</t>
  </si>
  <si>
    <t>covers/ig-c-0015.jpg</t>
  </si>
  <si>
    <t>C-0017</t>
  </si>
  <si>
    <t>covers/ig-c-0017.jpg</t>
  </si>
  <si>
    <t>C-0019</t>
  </si>
  <si>
    <t>covers/ig-c-0019.jpg</t>
  </si>
  <si>
    <t>C-0022</t>
  </si>
  <si>
    <t>covers/ig-c-0022.jpg</t>
  </si>
  <si>
    <t>TikTok Planner</t>
  </si>
  <si>
    <t>Hooks, sounds, scripts and shot lists, plus the watch time and completion rate that decide how far a video travels.</t>
  </si>
  <si>
    <t>Write the hook as the words on screen in the first two seconds. Completion rate matters more than length.</t>
  </si>
  <si>
    <t>First 2 seconds</t>
  </si>
  <si>
    <t>Sound / audio</t>
  </si>
  <si>
    <t>Script outline</t>
  </si>
  <si>
    <t>Shot list</t>
  </si>
  <si>
    <t>Length (sec)</t>
  </si>
  <si>
    <t>Text on screen</t>
  </si>
  <si>
    <t>Cover frame</t>
  </si>
  <si>
    <t>Series name</t>
  </si>
  <si>
    <t>Avg watch time (sec)</t>
  </si>
  <si>
    <t>Completion rate</t>
  </si>
  <si>
    <t>Profile views</t>
  </si>
  <si>
    <t>First line on screen in under 2 seconds</t>
  </si>
  <si>
    <t>Trending - 'slow morning' lo-fi</t>
  </si>
  <si>
    <t>Hook &gt; process &gt; payoff &gt; CTA</t>
  </si>
  <si>
    <t>Wheel close up, hands, finished piece</t>
  </si>
  <si>
    <t>3 mugs every home needs</t>
  </si>
  <si>
    <t>covers/tt-c-0003.jpg</t>
  </si>
  <si>
    <t>Studio diaries</t>
  </si>
  <si>
    <t>C-0009</t>
  </si>
  <si>
    <t>covers/tt-c-0009.jpg</t>
  </si>
  <si>
    <t>C-0014</t>
  </si>
  <si>
    <t>covers/tt-c-0014.jpg</t>
  </si>
  <si>
    <t>C-0021</t>
  </si>
  <si>
    <t>covers/tt-c-0021.jpg</t>
  </si>
  <si>
    <t>C-0027</t>
  </si>
  <si>
    <t>covers/tt-c-0027.jpg</t>
  </si>
  <si>
    <t>C-0032</t>
  </si>
  <si>
    <t>covers/tt-c-0032.jpg</t>
  </si>
  <si>
    <t>C-0038</t>
  </si>
  <si>
    <t>covers/tt-c-0038.jpg</t>
  </si>
  <si>
    <t>Pinterest Planner</t>
  </si>
  <si>
    <t>Pins keep working for months, so plan the keyword, the board and the refresh date as carefully as the image.</t>
  </si>
  <si>
    <t>Use 2:3 images (1000 x 1500), put your keyword in the pin title and description, and publish seasonal pins 30-45 days ahead.</t>
  </si>
  <si>
    <t>Board</t>
  </si>
  <si>
    <t>Board link</t>
  </si>
  <si>
    <t>Pin title</t>
  </si>
  <si>
    <t>Pin description</t>
  </si>
  <si>
    <t>Destination link</t>
  </si>
  <si>
    <t>Image file</t>
  </si>
  <si>
    <t>Size (2:3 is best)</t>
  </si>
  <si>
    <t>Target keyword</t>
  </si>
  <si>
    <t>Seasonal pin?</t>
  </si>
  <si>
    <t>Outbound clicks</t>
  </si>
  <si>
    <t>Audience growth</t>
  </si>
  <si>
    <t>Refresh / repin on</t>
  </si>
  <si>
    <t>Autumn table styling</t>
  </si>
  <si>
    <t>pinterest.com/wildflowerstudio/autumn-table</t>
  </si>
  <si>
    <t>Autumn table styling checklist - ideas from a small ceramics studio.</t>
  </si>
  <si>
    <t>shop.wildflowerstudio.com/autumn</t>
  </si>
  <si>
    <t>pins/c-0002.png</t>
  </si>
  <si>
    <t>1000 x 1500</t>
  </si>
  <si>
    <t>C-0008</t>
  </si>
  <si>
    <t>Neutral shelf styling in 6 steps - ideas from a small ceramics studio.</t>
  </si>
  <si>
    <t>pins/c-0008.png</t>
  </si>
  <si>
    <t>C-0013</t>
  </si>
  <si>
    <t>Three ways to fold a linen napkin - ideas from a small ceramics studio.</t>
  </si>
  <si>
    <t>pins/c-0013.png</t>
  </si>
  <si>
    <t>C-0018</t>
  </si>
  <si>
    <t>The autumn table set - shop the look - ideas from a small ceramics studio.</t>
  </si>
  <si>
    <t>pins/c-0018.png</t>
  </si>
  <si>
    <t>C-0023</t>
  </si>
  <si>
    <t>Small kitchen storage ideas - ideas from a small ceramics studio.</t>
  </si>
  <si>
    <t>pins/c-0023.png</t>
  </si>
  <si>
    <t>C-0030</t>
  </si>
  <si>
    <t>Styling a console table for autumn - ideas from a small ceramics studio.</t>
  </si>
  <si>
    <t>pins/c-0030.png</t>
  </si>
  <si>
    <t>C-0037</t>
  </si>
  <si>
    <t>Gift guide - presents for home lovers - ideas from a small ceramics studio.</t>
  </si>
  <si>
    <t>pins/c-0037.png</t>
  </si>
  <si>
    <t>YouTube Planner</t>
  </si>
  <si>
    <t>Titles, thumbnails, chapters and the two numbers that drive the algorithm: click through rate and retention.</t>
  </si>
  <si>
    <t>A 4-6% thumbnail CTR and 50%+ retention are healthy. Keep titles under 60 characters and always fill in the chapters.</t>
  </si>
  <si>
    <t>Long or Short</t>
  </si>
  <si>
    <t>Video title</t>
  </si>
  <si>
    <t>Title length</t>
  </si>
  <si>
    <t>First 15 seconds</t>
  </si>
  <si>
    <t>Description</t>
  </si>
  <si>
    <t>Script / structure</t>
  </si>
  <si>
    <t>Chapters</t>
  </si>
  <si>
    <t>Thumbnail file</t>
  </si>
  <si>
    <t>Thumbnail idea</t>
  </si>
  <si>
    <t>Target keywords</t>
  </si>
  <si>
    <t>Tags</t>
  </si>
  <si>
    <t>Playlist</t>
  </si>
  <si>
    <t>End screen / cards</t>
  </si>
  <si>
    <t>Watch time (min)</t>
  </si>
  <si>
    <t>Avg view (min)</t>
  </si>
  <si>
    <t>Audience retention</t>
  </si>
  <si>
    <t>Thumbnail CTR</t>
  </si>
  <si>
    <t>Subscribers gained</t>
  </si>
  <si>
    <t>Subscribers lost</t>
  </si>
  <si>
    <t>Net subscribers</t>
  </si>
  <si>
    <t>Main traffic source</t>
  </si>
  <si>
    <t>C-0007</t>
  </si>
  <si>
    <t>The kiln is at 1240 degrees and I am nervous</t>
  </si>
  <si>
    <t>Full studio film with chapters and links.</t>
  </si>
  <si>
    <t>Cold open &gt; intro &gt; 4 chapters &gt; CTA</t>
  </si>
  <si>
    <t>00:00 intro, 02:10 glaze, 06:40 firing</t>
  </si>
  <si>
    <t>thumbs/c-0007.png</t>
  </si>
  <si>
    <t>Hands + kiln glow + 3 word title</t>
  </si>
  <si>
    <t>pottery studio tour, handmade ceramics</t>
  </si>
  <si>
    <t>pottery, ceramics, studio vlog</t>
  </si>
  <si>
    <t>Studio films</t>
  </si>
  <si>
    <t>Subscribe + next film</t>
  </si>
  <si>
    <t>Browse + suggested</t>
  </si>
  <si>
    <t>C-0016</t>
  </si>
  <si>
    <t>Short</t>
  </si>
  <si>
    <t>thumbs/c-0016.png</t>
  </si>
  <si>
    <t>C-0025</t>
  </si>
  <si>
    <t>thumbs/c-0025.png</t>
  </si>
  <si>
    <t>C-0034</t>
  </si>
  <si>
    <t>thumbs/c-0034.png</t>
  </si>
  <si>
    <t>C-0046</t>
  </si>
  <si>
    <t>thumbs/c-0046.png</t>
  </si>
  <si>
    <t>Facebook Planner</t>
  </si>
  <si>
    <t>Page posts, groups and events - the place where links still work and your existing customers still hang out.</t>
  </si>
  <si>
    <t>Facebook rewards conversation. Reply to every comment in the first hour and keep link posts short.</t>
  </si>
  <si>
    <t>Post format</t>
  </si>
  <si>
    <t>Audience</t>
  </si>
  <si>
    <t>Targeting notes</t>
  </si>
  <si>
    <t>Link shared</t>
  </si>
  <si>
    <t>Posted to a group?</t>
  </si>
  <si>
    <t>Linked event</t>
  </si>
  <si>
    <t>Reactions</t>
  </si>
  <si>
    <t>Page followers gained</t>
  </si>
  <si>
    <t>C-0005</t>
  </si>
  <si>
    <t>Local + existing customers</t>
  </si>
  <si>
    <t>Home decor interest, 40km radius</t>
  </si>
  <si>
    <t>Autumn market</t>
  </si>
  <si>
    <t>C-0012</t>
  </si>
  <si>
    <t>C-0020</t>
  </si>
  <si>
    <t>C-0028</t>
  </si>
  <si>
    <t>C-0039</t>
  </si>
  <si>
    <t>C-0049</t>
  </si>
  <si>
    <t>Campaign Planner</t>
  </si>
  <si>
    <t>Give every push a name, a window and a budget, then let the grey columns count the posts, pull the results and work out the return.</t>
  </si>
  <si>
    <t>Tag posts with the campaign name on the Content Calendar - reach, engagement and clicks then roll up here automatically.</t>
  </si>
  <si>
    <t>Campaign name</t>
  </si>
  <si>
    <t>What it is</t>
  </si>
  <si>
    <t>Product / service</t>
  </si>
  <si>
    <t>Platforms</t>
  </si>
  <si>
    <t>Start date</t>
  </si>
  <si>
    <t>End date</t>
  </si>
  <si>
    <t>Offer / hook</t>
  </si>
  <si>
    <t>Landing page</t>
  </si>
  <si>
    <t>Tracking link / UTM</t>
  </si>
  <si>
    <t>Spent so far</t>
  </si>
  <si>
    <t>Sales / conversions</t>
  </si>
  <si>
    <t>Length (days)</t>
  </si>
  <si>
    <t>Budget left</t>
  </si>
  <si>
    <t>Budget used</t>
  </si>
  <si>
    <t>Cost per sale</t>
  </si>
  <si>
    <t>Click to sale</t>
  </si>
  <si>
    <t>Revenue less spend</t>
  </si>
  <si>
    <t>Awareness campaign for autumn collection.</t>
  </si>
  <si>
    <t>Autumn collection</t>
  </si>
  <si>
    <t>Slow made pieces for a table you actually use</t>
  </si>
  <si>
    <t>Instagram, TikTok, Pinterest</t>
  </si>
  <si>
    <t>shop.wildflowerstudio.com/autumn-table-styling</t>
  </si>
  <si>
    <t>utm_source=social&amp;utm_campaign=autumn_table_styling</t>
  </si>
  <si>
    <t>Sales campaign for speckled dinnerware.</t>
  </si>
  <si>
    <t>Speckled dinnerware</t>
  </si>
  <si>
    <t>Free shipping over 75</t>
  </si>
  <si>
    <t>shop.wildflowerstudio.com/studio-restock</t>
  </si>
  <si>
    <t>utm_source=social&amp;utm_campaign=studio_restock</t>
  </si>
  <si>
    <t>Sales campaign for gift sets.</t>
  </si>
  <si>
    <t>Gift sets</t>
  </si>
  <si>
    <t>shop.wildflowerstudio.com/holiday-gift-guide</t>
  </si>
  <si>
    <t>utm_source=social&amp;utm_campaign=holiday_gift_guide</t>
  </si>
  <si>
    <t>Evergreen Education</t>
  </si>
  <si>
    <t>Brand authority campaign for all products.</t>
  </si>
  <si>
    <t>All products</t>
  </si>
  <si>
    <t>shop.wildflowerstudio.com/evergreen-education</t>
  </si>
  <si>
    <t>utm_source=social&amp;utm_campaign=evergreen_education</t>
  </si>
  <si>
    <t>Product Launch Planner</t>
  </si>
  <si>
    <t>Plan the teasing, the launch day and the follow-up as one piece of work, then write down what you would change next time.</t>
  </si>
  <si>
    <t>A fortnight of teasing, a clear launch day and a week of follow-up sells far more than a single post.</t>
  </si>
  <si>
    <t>Product / offer</t>
  </si>
  <si>
    <t>Launch date</t>
  </si>
  <si>
    <t>Linked campaign</t>
  </si>
  <si>
    <t>Teasing starts</t>
  </si>
  <si>
    <t>Follow-up ends</t>
  </si>
  <si>
    <t>Teaser content</t>
  </si>
  <si>
    <t>Announcement content</t>
  </si>
  <si>
    <t>Demo / proof content</t>
  </si>
  <si>
    <t>Benefits to lead with</t>
  </si>
  <si>
    <t>Testimonial / social proof</t>
  </si>
  <si>
    <t>Launch offer</t>
  </si>
  <si>
    <t>Discount code</t>
  </si>
  <si>
    <t>Code used</t>
  </si>
  <si>
    <t>Last-call reminder</t>
  </si>
  <si>
    <t>Email sequence</t>
  </si>
  <si>
    <t>Influencer support</t>
  </si>
  <si>
    <t>Leads / waitlist</t>
  </si>
  <si>
    <t>Days to launch</t>
  </si>
  <si>
    <t>Phase today</t>
  </si>
  <si>
    <t>Teasing days</t>
  </si>
  <si>
    <t>Posts in the window</t>
  </si>
  <si>
    <t>Average order</t>
  </si>
  <si>
    <t>Leads to sales</t>
  </si>
  <si>
    <t>What to change next time</t>
  </si>
  <si>
    <t>Autumn Table Set</t>
  </si>
  <si>
    <t>Three teaser stories + one reel</t>
  </si>
  <si>
    <t>Carousel + email on launch morning</t>
  </si>
  <si>
    <t>Reel showing the set on a real table</t>
  </si>
  <si>
    <t>Dishwasher safe, stacks, made in small batches</t>
  </si>
  <si>
    <t>Hannah's wedding set story</t>
  </si>
  <si>
    <t>Early access for the email list</t>
  </si>
  <si>
    <t>EARLY10</t>
  </si>
  <si>
    <t>Teaser, launch, last call</t>
  </si>
  <si>
    <t>Mara Lindqvist</t>
  </si>
  <si>
    <t>Sold out in 6 days - make 30% more next time</t>
  </si>
  <si>
    <t>Holiday Gift Boxes</t>
  </si>
  <si>
    <t>Seasonal &amp; Holiday Content Planner</t>
  </si>
  <si>
    <t>The dates that come round every year. Set how far ahead each one needs planning and the sheet tells you when to start.</t>
  </si>
  <si>
    <t>Event / moment</t>
  </si>
  <si>
    <t>Your angle on it</t>
  </si>
  <si>
    <t>Plan this many days ahead</t>
  </si>
  <si>
    <t>Hashtags</t>
  </si>
  <si>
    <t>Start work by</t>
  </si>
  <si>
    <t>New Year</t>
  </si>
  <si>
    <t>Fresh start</t>
  </si>
  <si>
    <t>Instagram, Pinterest</t>
  </si>
  <si>
    <t>Valentine's Day</t>
  </si>
  <si>
    <t>Gifts for two</t>
  </si>
  <si>
    <t>First day of spring</t>
  </si>
  <si>
    <t>Spring table</t>
  </si>
  <si>
    <t>Mother's Day</t>
  </si>
  <si>
    <t>Father's Day</t>
  </si>
  <si>
    <t>Mugs for dads</t>
  </si>
  <si>
    <t>Back to school</t>
  </si>
  <si>
    <t>Lunch and storage</t>
  </si>
  <si>
    <t>First day of autumn</t>
  </si>
  <si>
    <t>Autumn table launch</t>
  </si>
  <si>
    <t>Halloween</t>
  </si>
  <si>
    <t>Spooky glaze fun</t>
  </si>
  <si>
    <t>Black Friday</t>
  </si>
  <si>
    <t>Best offer of the year</t>
  </si>
  <si>
    <t>Cyber Monday</t>
  </si>
  <si>
    <t>Online only bundle</t>
  </si>
  <si>
    <t>Last posting day</t>
  </si>
  <si>
    <t>Shipping deadline reminders</t>
  </si>
  <si>
    <t>Christmas Day</t>
  </si>
  <si>
    <t>Thank you post</t>
  </si>
  <si>
    <t>Influencer &amp; Collaboration Tracker</t>
  </si>
  <si>
    <t>From first message to final invoice - and, most importantly, whether the collaboration paid for itself.</t>
  </si>
  <si>
    <t>Judge a creator on engagement rate and audience fit, not follower count. Record the total cost including gifted product.</t>
  </si>
  <si>
    <t>Name</t>
  </si>
  <si>
    <t>Handle</t>
  </si>
  <si>
    <t>Profile link</t>
  </si>
  <si>
    <t>Email / contact</t>
  </si>
  <si>
    <t>Their engagement rate</t>
  </si>
  <si>
    <t>Their audience</t>
  </si>
  <si>
    <t>Contacted on</t>
  </si>
  <si>
    <t>Their response</t>
  </si>
  <si>
    <t>Their fee</t>
  </si>
  <si>
    <t>Agreed deliverables</t>
  </si>
  <si>
    <t>Due date</t>
  </si>
  <si>
    <t>Content approval</t>
  </si>
  <si>
    <t>Discount / affiliate code</t>
  </si>
  <si>
    <t>Total cost</t>
  </si>
  <si>
    <t>Revenue less cost</t>
  </si>
  <si>
    <t>Cost per 1,000 followers</t>
  </si>
  <si>
    <t>Worth repeating?</t>
  </si>
  <si>
    <t>@maramakes</t>
  </si>
  <si>
    <t>instagram.com/maramakes</t>
  </si>
  <si>
    <t>maramakes@email.com</t>
  </si>
  <si>
    <t>Interiors and slow living</t>
  </si>
  <si>
    <t>78% women, 25-44, UK &amp; US</t>
  </si>
  <si>
    <t>Replied in 2 days</t>
  </si>
  <si>
    <t>1 reel + 3 stories + 1 grid post</t>
  </si>
  <si>
    <t>MARA10</t>
  </si>
  <si>
    <t>Tom Whitfield</t>
  </si>
  <si>
    <t>@slowhomeuk</t>
  </si>
  <si>
    <t>instagram.com/slowhomeuk</t>
  </si>
  <si>
    <t>slowhomeuk@email.com</t>
  </si>
  <si>
    <t>TOM10</t>
  </si>
  <si>
    <t>Aisha Rahman</t>
  </si>
  <si>
    <t>@thehostingedit</t>
  </si>
  <si>
    <t>instagram.com/thehostingedit</t>
  </si>
  <si>
    <t>thehostingedit@email.com</t>
  </si>
  <si>
    <t>AISHA10</t>
  </si>
  <si>
    <t>Nina Castro</t>
  </si>
  <si>
    <t>@ceramicdaily</t>
  </si>
  <si>
    <t>instagram.com/ceramicdaily</t>
  </si>
  <si>
    <t>ceramicdaily@email.com</t>
  </si>
  <si>
    <t>NINA10</t>
  </si>
  <si>
    <t>User Generated Content Tracker</t>
  </si>
  <si>
    <t>Your customers make your best adverts. Track what they post, whether you have permission to use it, and when those rights run out.</t>
  </si>
  <si>
    <t>Customer / creator</t>
  </si>
  <si>
    <t>Where you found it</t>
  </si>
  <si>
    <t>Link to the post</t>
  </si>
  <si>
    <t>Product shown</t>
  </si>
  <si>
    <t>Quote / review</t>
  </si>
  <si>
    <t>Quality score (1-10)</t>
  </si>
  <si>
    <t>Permission</t>
  </si>
  <si>
    <t>Usage rights agreed</t>
  </si>
  <si>
    <t>Rights expire</t>
  </si>
  <si>
    <t>Credit line</t>
  </si>
  <si>
    <t>Approved to use</t>
  </si>
  <si>
    <t>Repost planned for</t>
  </si>
  <si>
    <t>Where you will use it</t>
  </si>
  <si>
    <t>Engagements it got</t>
  </si>
  <si>
    <t>Rights left (days)</t>
  </si>
  <si>
    <t>Safe to post?</t>
  </si>
  <si>
    <t>Hannah Price</t>
  </si>
  <si>
    <t>instagram.com/p/ugc001</t>
  </si>
  <si>
    <t>Wedding dinner set</t>
  </si>
  <si>
    <t>It is the first mug I reach for every single morning.</t>
  </si>
  <si>
    <t>Social use, 12 months</t>
  </si>
  <si>
    <t>Credit @hannah</t>
  </si>
  <si>
    <t>Instagram Story + Facebook</t>
  </si>
  <si>
    <t>Diego Marin</t>
  </si>
  <si>
    <t>instagram.com/p/ugc002</t>
  </si>
  <si>
    <t>Speckled mug</t>
  </si>
  <si>
    <t>Credit @diego</t>
  </si>
  <si>
    <t>Keira O'Neill</t>
  </si>
  <si>
    <t>other.com/p/ugc003</t>
  </si>
  <si>
    <t>Breakfast set</t>
  </si>
  <si>
    <t>Credit @keira</t>
  </si>
  <si>
    <t>Yusuf Demir</t>
  </si>
  <si>
    <t>tiktok.com/p/ugc004</t>
  </si>
  <si>
    <t>Plant pots</t>
  </si>
  <si>
    <t>Credit @yusuf</t>
  </si>
  <si>
    <t>Lucy Braun</t>
  </si>
  <si>
    <t>instagram.com/p/ugc005</t>
  </si>
  <si>
    <t>Serving bowl</t>
  </si>
  <si>
    <t>Credit @lucy</t>
  </si>
  <si>
    <t>Omar Haddad</t>
  </si>
  <si>
    <t>instagram.com/p/ugc006</t>
  </si>
  <si>
    <t>Gift box</t>
  </si>
  <si>
    <t>Credit @omar</t>
  </si>
  <si>
    <t>Content Repurposing Tracker</t>
  </si>
  <si>
    <t>Your best reel is a carousel, a pin, a short and a newsletter. Plan the second life of every post that worked.</t>
  </si>
  <si>
    <t>Original content ID</t>
  </si>
  <si>
    <t>Original post</t>
  </si>
  <si>
    <t>Was on</t>
  </si>
  <si>
    <t>Original date</t>
  </si>
  <si>
    <t>Reuse on</t>
  </si>
  <si>
    <t>New format</t>
  </si>
  <si>
    <t>What you will change</t>
  </si>
  <si>
    <t>New angle</t>
  </si>
  <si>
    <t>New caption / title</t>
  </si>
  <si>
    <t>Asset to use</t>
  </si>
  <si>
    <t>Do it by</t>
  </si>
  <si>
    <t>Reposted on</t>
  </si>
  <si>
    <t>New link</t>
  </si>
  <si>
    <t>Times reused</t>
  </si>
  <si>
    <t>Cut the best 20 seconds for Pinterest</t>
  </si>
  <si>
    <t>Lead with the result, not the process</t>
  </si>
  <si>
    <t>Throwing a mug from start to finish - the short version</t>
  </si>
  <si>
    <t>pinterest.com/p/re000</t>
  </si>
  <si>
    <t>Cut the best 20 seconds for Instagram</t>
  </si>
  <si>
    <t>How a glaze is mixed - full studio tour - the short version</t>
  </si>
  <si>
    <t>instagram.com/p/re001</t>
  </si>
  <si>
    <t>Cut the best 20 seconds for YouTube</t>
  </si>
  <si>
    <t>Three ways to fold a linen napkin - the short version</t>
  </si>
  <si>
    <t>youtube.com/p/re002</t>
  </si>
  <si>
    <t>Cut the best 20 seconds for Facebook</t>
  </si>
  <si>
    <t>Small kitchen storage ideas - the short version</t>
  </si>
  <si>
    <t>facebook.com/p/re003</t>
  </si>
  <si>
    <t>Cut the best 20 seconds for TikTok</t>
  </si>
  <si>
    <t>A week in a one woman ceramics studio - the short version</t>
  </si>
  <si>
    <t>tiktok.com/p/re004</t>
  </si>
  <si>
    <t>C-0031</t>
  </si>
  <si>
    <t>Studio sale - 20% off seconds - the short version</t>
  </si>
  <si>
    <t>C-0036</t>
  </si>
  <si>
    <t>Autumn table reveal - the short version</t>
  </si>
  <si>
    <t>Gift sets are live - the short version</t>
  </si>
  <si>
    <t>Competitor Research</t>
  </si>
  <si>
    <t>Watch four or five accounts properly rather than forty badly. Look for the gap, then fill it.</t>
  </si>
  <si>
    <t>Review every month or two. Note their best post and the questions people ask in their comments - that is free content research.</t>
  </si>
  <si>
    <t>Competitor</t>
  </si>
  <si>
    <t>Their niche</t>
  </si>
  <si>
    <t>How often they post</t>
  </si>
  <si>
    <t>Their content themes</t>
  </si>
  <si>
    <t>Formats they use</t>
  </si>
  <si>
    <t>Their best post</t>
  </si>
  <si>
    <t>Campaign they are running</t>
  </si>
  <si>
    <t>Questions their audience asks</t>
  </si>
  <si>
    <t>What is working for them</t>
  </si>
  <si>
    <t>Platform / industry news</t>
  </si>
  <si>
    <t>Gap you could fill</t>
  </si>
  <si>
    <t>Your move</t>
  </si>
  <si>
    <t>Where you looked</t>
  </si>
  <si>
    <t>Versus your rate</t>
  </si>
  <si>
    <t>Ideas taken from them</t>
  </si>
  <si>
    <t>Days since review</t>
  </si>
  <si>
    <t>instagram.com/clay &amp; co</t>
  </si>
  <si>
    <t>Handmade ceramics</t>
  </si>
  <si>
    <t>5 posts a week</t>
  </si>
  <si>
    <t>Educate + promote</t>
  </si>
  <si>
    <t>Reels and carousels</t>
  </si>
  <si>
    <t>Kiln opening reel, 240k views</t>
  </si>
  <si>
    <t>Running a 12 days of gifting series</t>
  </si>
  <si>
    <t>Is it dishwasher safe?</t>
  </si>
  <si>
    <t>Glaze reveal videos</t>
  </si>
  <si>
    <t>Pinterest pushing video pins harder</t>
  </si>
  <si>
    <t>Nobody explains how to choose a size</t>
  </si>
  <si>
    <t>Own the 'how to choose' search</t>
  </si>
  <si>
    <t>The Pottery Edit</t>
  </si>
  <si>
    <t>tiktok.com/the pottery edit</t>
  </si>
  <si>
    <t>7 posts a week</t>
  </si>
  <si>
    <t>Oat Ceramics</t>
  </si>
  <si>
    <t>pinterest.com/oat ceramics</t>
  </si>
  <si>
    <t>4 posts a week</t>
  </si>
  <si>
    <t>Styling inspiration</t>
  </si>
  <si>
    <t>Studio Lune</t>
  </si>
  <si>
    <t>instagram.com/studio lune</t>
  </si>
  <si>
    <t>3 posts a week</t>
  </si>
  <si>
    <t>Personal storytelling</t>
  </si>
  <si>
    <t>Trend Tracker</t>
  </si>
  <si>
    <t>Catch a trend in the first week or leave it alone. Score the fit, set a use-by date, and record what actually happened.</t>
  </si>
  <si>
    <t>Check your platform's trending page once a week and add anything that fits. Anything older than your trend window gets flagged.</t>
  </si>
  <si>
    <t>Trend / sound / format</t>
  </si>
  <si>
    <t>Spotted on</t>
  </si>
  <si>
    <t>Example link</t>
  </si>
  <si>
    <t>Audio / sound name</t>
  </si>
  <si>
    <t>Who it suits</t>
  </si>
  <si>
    <t>Fit for your brand (1-10)</t>
  </si>
  <si>
    <t>How you would use it</t>
  </si>
  <si>
    <t>Use it before</t>
  </si>
  <si>
    <t>Posted on</t>
  </si>
  <si>
    <t>Reach it got</t>
  </si>
  <si>
    <t>Days old</t>
  </si>
  <si>
    <t>Days left</t>
  </si>
  <si>
    <t>What happened</t>
  </si>
  <si>
    <t>Slow morning lo-fi sound</t>
  </si>
  <si>
    <t>tiktok.com/trend/slow</t>
  </si>
  <si>
    <t>Use slow morning lo-fi sound for a styling reveal</t>
  </si>
  <si>
    <t>Guess the sound</t>
  </si>
  <si>
    <t>tiktok.com/trend/guess</t>
  </si>
  <si>
    <t>Use guess the sound for a styling reveal</t>
  </si>
  <si>
    <t>instagram.com/trend/shelfie</t>
  </si>
  <si>
    <t>Use shelfie tour for a styling reveal</t>
  </si>
  <si>
    <t>Best reach of the month</t>
  </si>
  <si>
    <t>12 days of gifting</t>
  </si>
  <si>
    <t>instagram.com/trend/12</t>
  </si>
  <si>
    <t>Use 12 days of gifting for a styling reveal</t>
  </si>
  <si>
    <t>Before and after styling</t>
  </si>
  <si>
    <t>pinterest.com/trend/before</t>
  </si>
  <si>
    <t>Use before and after styling for a styling reveal</t>
  </si>
  <si>
    <t>Monthly Analytics Data Entry</t>
  </si>
  <si>
    <t>Once a month, copy the headline numbers from each platform into the cream cells. Everything else in the workbook - dashboards, growth, reports - is calculated from this one table.</t>
  </si>
  <si>
    <t>One row per account per month, always dated the 1st. Set a reminder for the first working day of each month - it takes about ten minutes.</t>
  </si>
  <si>
    <t>Account</t>
  </si>
  <si>
    <t>Followers at start</t>
  </si>
  <si>
    <t>Followers at end</t>
  </si>
  <si>
    <t>Unfollows</t>
  </si>
  <si>
    <t>Posts published</t>
  </si>
  <si>
    <t>Likes</t>
  </si>
  <si>
    <t>Leads / sign-ups</t>
  </si>
  <si>
    <t>New followers</t>
  </si>
  <si>
    <t>Net growth</t>
  </si>
  <si>
    <t>Growth rate</t>
  </si>
  <si>
    <t>On your calendar</t>
  </si>
  <si>
    <t>Engagements per post</t>
  </si>
  <si>
    <t>Reach vs followers</t>
  </si>
  <si>
    <t>Click rate</t>
  </si>
  <si>
    <t>Clicks to leads</t>
  </si>
  <si>
    <t>Reach last month</t>
  </si>
  <si>
    <t>Reach vs last month</t>
  </si>
  <si>
    <t>Followers last month</t>
  </si>
  <si>
    <t>Content Performance Tracker</t>
  </si>
  <si>
    <t>Post by post results. Fill in the cream columns a few days after publishing and the workbook ranks every post, finds your best pillar and tells you what to make more of.</t>
  </si>
  <si>
    <t>Wait 48-72 hours before recording numbers. Be consistent about whether you use reach or impressions - the rates only compare if you are.</t>
  </si>
  <si>
    <t>Caption used</t>
  </si>
  <si>
    <t>Sales from it</t>
  </si>
  <si>
    <t>Save rate</t>
  </si>
  <si>
    <t>Share rate</t>
  </si>
  <si>
    <t>Comment rate</t>
  </si>
  <si>
    <t>Clicks to sales</t>
  </si>
  <si>
    <t>Revenue per 1,000 reached</t>
  </si>
  <si>
    <t>Target used</t>
  </si>
  <si>
    <t>Versus target</t>
  </si>
  <si>
    <t>Rank key</t>
  </si>
  <si>
    <t>Rank by engagement</t>
  </si>
  <si>
    <t>Verdict</t>
  </si>
  <si>
    <t>What you learned</t>
  </si>
  <si>
    <t>C-0024</t>
  </si>
  <si>
    <t>C-0026</t>
  </si>
  <si>
    <t>C-0029</t>
  </si>
  <si>
    <t>C-0033</t>
  </si>
  <si>
    <t>C-0035</t>
  </si>
  <si>
    <t>Hook tested in A/B 2</t>
  </si>
  <si>
    <t>C-0040</t>
  </si>
  <si>
    <t>C-0041</t>
  </si>
  <si>
    <t>C-0042</t>
  </si>
  <si>
    <t>A/B Testing Tracker</t>
  </si>
  <si>
    <t>Two versions, one difference, one measure. Small samples lie, so the sheet tells you how much to trust each result.</t>
  </si>
  <si>
    <t>Test one variable at a time - hook, cover, posting time or call to action - and run it long enough to collect a few hundred interactions.</t>
  </si>
  <si>
    <t>Test name</t>
  </si>
  <si>
    <t>What you changed</t>
  </si>
  <si>
    <t>Hypothesis</t>
  </si>
  <si>
    <t>Version A</t>
  </si>
  <si>
    <t>Version B</t>
  </si>
  <si>
    <t>Kept the same</t>
  </si>
  <si>
    <t>Main measure</t>
  </si>
  <si>
    <t>Second measure</t>
  </si>
  <si>
    <t>Started</t>
  </si>
  <si>
    <t>Finished</t>
  </si>
  <si>
    <t>A result</t>
  </si>
  <si>
    <t>B result</t>
  </si>
  <si>
    <t>A clicks</t>
  </si>
  <si>
    <t>B clicks</t>
  </si>
  <si>
    <t>A sales</t>
  </si>
  <si>
    <t>B sales</t>
  </si>
  <si>
    <t>Difference</t>
  </si>
  <si>
    <t>Uplift</t>
  </si>
  <si>
    <t>Winner</t>
  </si>
  <si>
    <t>Total clicks</t>
  </si>
  <si>
    <t>How much to trust it</t>
  </si>
  <si>
    <t>Days run</t>
  </si>
  <si>
    <t>Your read on it</t>
  </si>
  <si>
    <t>Next test to run</t>
  </si>
  <si>
    <t>Hook: question vs statement</t>
  </si>
  <si>
    <t>Question hook beats a statement hook on saves</t>
  </si>
  <si>
    <t>Which mug do you reach for?</t>
  </si>
  <si>
    <t>This is the mug you reach for</t>
  </si>
  <si>
    <t>Same account, similar pillar</t>
  </si>
  <si>
    <t>Small sample - repeat next month</t>
  </si>
  <si>
    <t>Try the question hook on TikTok</t>
  </si>
  <si>
    <t>Carousel length</t>
  </si>
  <si>
    <t>Five slides hold attention better than ten</t>
  </si>
  <si>
    <t>5 slides</t>
  </si>
  <si>
    <t>10 slides</t>
  </si>
  <si>
    <t>Evening posts out-reach morning posts</t>
  </si>
  <si>
    <t>08:00 post</t>
  </si>
  <si>
    <t>19:00 post</t>
  </si>
  <si>
    <t>Thumbnail style</t>
  </si>
  <si>
    <t>Hands in frame lift click through rate</t>
  </si>
  <si>
    <t>Product only</t>
  </si>
  <si>
    <t>Hands holding piece</t>
  </si>
  <si>
    <t>Still running</t>
  </si>
  <si>
    <t>Advertising Planner &amp; Tracker</t>
  </si>
  <si>
    <t>Boosted posts and proper ad sets. Keep the spend, the creative and the result in one row so you can see which ads actually pay.</t>
  </si>
  <si>
    <t>Boost what already worked organically - check the Performance tab for your top posts first.</t>
  </si>
  <si>
    <t>Ad / ad set name</t>
  </si>
  <si>
    <t>Targeting</t>
  </si>
  <si>
    <t>Creative used</t>
  </si>
  <si>
    <t>Ad copy</t>
  </si>
  <si>
    <t>Headline</t>
  </si>
  <si>
    <t>Start</t>
  </si>
  <si>
    <t>End</t>
  </si>
  <si>
    <t>Spent</t>
  </si>
  <si>
    <t>Days live</t>
  </si>
  <si>
    <t>Spend per day</t>
  </si>
  <si>
    <t>Cost per click</t>
  </si>
  <si>
    <t>Cost per 1,000 shown</t>
  </si>
  <si>
    <t>Autumn collection - traffic</t>
  </si>
  <si>
    <t>Interests: handmade, interiors, slow living</t>
  </si>
  <si>
    <t>Cold interest audience</t>
  </si>
  <si>
    <t>Handmade ceramics, made in small batches</t>
  </si>
  <si>
    <t>Restock retargeting</t>
  </si>
  <si>
    <t>Lookalike 2% of buyers</t>
  </si>
  <si>
    <t>Gift guide - sales</t>
  </si>
  <si>
    <t>Pin promotion</t>
  </si>
  <si>
    <t>Studio film - views</t>
  </si>
  <si>
    <t>Local market - awareness</t>
  </si>
  <si>
    <t>Creative Asset Library</t>
  </si>
  <si>
    <t>Every photo, clip, template and thumbnail with its link, its rights and a count of where it has been used.</t>
  </si>
  <si>
    <t>Keep the files in your cloud drive and the links here. Licensed and UGC files get an expiry date so you never use something you no longer have rights to.</t>
  </si>
  <si>
    <t>Asset name</t>
  </si>
  <si>
    <t>File link</t>
  </si>
  <si>
    <t>Where it lives</t>
  </si>
  <si>
    <t>Template link</t>
  </si>
  <si>
    <t>Made by</t>
  </si>
  <si>
    <t>Created</t>
  </si>
  <si>
    <t>Last updated</t>
  </si>
  <si>
    <t>Size</t>
  </si>
  <si>
    <t>Suits</t>
  </si>
  <si>
    <t>Times reused (manual)</t>
  </si>
  <si>
    <t>Used on posts</t>
  </si>
  <si>
    <t>Used in ads</t>
  </si>
  <si>
    <t>Last used on</t>
  </si>
  <si>
    <t>Autumn table hero</t>
  </si>
  <si>
    <t>drive/wildflower/autumn-table-hero</t>
  </si>
  <si>
    <t>Google Drive / Brand assets</t>
  </si>
  <si>
    <t>1080 x 1350</t>
  </si>
  <si>
    <t>Studio hands close up</t>
  </si>
  <si>
    <t>drive/wildflower/studio-hands-close-up</t>
  </si>
  <si>
    <t>Kiln opening clip</t>
  </si>
  <si>
    <t>drive/wildflower/kiln-opening-clip</t>
  </si>
  <si>
    <t>1080 x 1920</t>
  </si>
  <si>
    <t>All platforms</t>
  </si>
  <si>
    <t>Glaze pour slow motion</t>
  </si>
  <si>
    <t>drive/wildflower/glaze-pour-slow-motion</t>
  </si>
  <si>
    <t>Carousel template - teal</t>
  </si>
  <si>
    <t>drive/wildflower/carousel-template---teal</t>
  </si>
  <si>
    <t>Highest saving carousel template</t>
  </si>
  <si>
    <t>Carousel template - oat</t>
  </si>
  <si>
    <t>drive/wildflower/carousel-template---oat</t>
  </si>
  <si>
    <t>Reel cover set</t>
  </si>
  <si>
    <t>drive/wildflower/reel-cover-set</t>
  </si>
  <si>
    <t>Pin template - vertical</t>
  </si>
  <si>
    <t>drive/wildflower/pin-template---vertical</t>
  </si>
  <si>
    <t>Studio film thumbnail</t>
  </si>
  <si>
    <t>drive/wildflower/studio-film-thumbnail</t>
  </si>
  <si>
    <t>1280 x 720</t>
  </si>
  <si>
    <t>Product shot - speckled mug</t>
  </si>
  <si>
    <t>drive/wildflower/product-shot---speckled-mug</t>
  </si>
  <si>
    <t>2000 x 2000</t>
  </si>
  <si>
    <t>Product shot - dinner set</t>
  </si>
  <si>
    <t>drive/wildflower/product-shot---dinner-set</t>
  </si>
  <si>
    <t>Gift box flat lay</t>
  </si>
  <si>
    <t>drive/wildflower/gift-box-flat-lay</t>
  </si>
  <si>
    <t>1080 x 1080</t>
  </si>
  <si>
    <t>Hannah wedding set UGC</t>
  </si>
  <si>
    <t>drive/wildflower/hannah-wedding-set-ugc</t>
  </si>
  <si>
    <t>Brand logo pack</t>
  </si>
  <si>
    <t>drive/wildflower/brand-logo-pack</t>
  </si>
  <si>
    <t>Vector</t>
  </si>
  <si>
    <t>Goals &amp; KPI Tracker</t>
  </si>
  <si>
    <t>Four or five goals, each with a number, a date and an owner. The sheet compares how far you have come with how far through the year you are.</t>
  </si>
  <si>
    <t>Update the 'where you are now' column once a month. Everything else works itself out.</t>
  </si>
  <si>
    <t>Category</t>
  </si>
  <si>
    <t>What success looks like</t>
  </si>
  <si>
    <t>How you will get there</t>
  </si>
  <si>
    <t>Starting point</t>
  </si>
  <si>
    <t>Where you are now</t>
  </si>
  <si>
    <t>Monthly step</t>
  </si>
  <si>
    <t>Quarterly step</t>
  </si>
  <si>
    <t>Budget for it</t>
  </si>
  <si>
    <t>Where you should be</t>
  </si>
  <si>
    <t>Year start</t>
  </si>
  <si>
    <t>Needed each month</t>
  </si>
  <si>
    <t>Instagram followers</t>
  </si>
  <si>
    <t>Move instagram followers from 7400 to 9500.</t>
  </si>
  <si>
    <t>TikTok followers</t>
  </si>
  <si>
    <t>Move tiktok followers from 4300 to 7000.</t>
  </si>
  <si>
    <t>Average engagement rate</t>
  </si>
  <si>
    <t>Move average engagement rate from 0.038 to 0.055.</t>
  </si>
  <si>
    <t>Monthly website clicks</t>
  </si>
  <si>
    <t>Move monthly website clicks from 900 to 1800.</t>
  </si>
  <si>
    <t>Email sign ups</t>
  </si>
  <si>
    <t>Move email sign ups from 210 to 600.</t>
  </si>
  <si>
    <t>Monthly leads</t>
  </si>
  <si>
    <t>Move monthly leads from 90 to 240.</t>
  </si>
  <si>
    <t>Posts published per month</t>
  </si>
  <si>
    <t>Move posts published per month from 34 to 52.</t>
  </si>
  <si>
    <t>Revenue from social</t>
  </si>
  <si>
    <t>Move revenue from social from 9800 to 36000.</t>
  </si>
  <si>
    <t>Marketing Budget &amp; Return</t>
  </si>
  <si>
    <t>Ads, tools, props, editing and freelancers. One row per cost per month - the dashboard totals it and compares it with the revenue you recorded.</t>
  </si>
  <si>
    <t>Actual</t>
  </si>
  <si>
    <t>Difference %</t>
  </si>
  <si>
    <t>Share of the month</t>
  </si>
  <si>
    <t>Revenue credited</t>
  </si>
  <si>
    <t>Spent that month</t>
  </si>
  <si>
    <t>Versus monthly budget</t>
  </si>
  <si>
    <t>Meta + Pinterest ads</t>
  </si>
  <si>
    <t>One paid post this quarter</t>
  </si>
  <si>
    <t>Props, flowers, linens</t>
  </si>
  <si>
    <t>Video editor, 4 hours</t>
  </si>
  <si>
    <t>Scheduler + Canva</t>
  </si>
  <si>
    <t>Spare capacity</t>
  </si>
  <si>
    <t>Autumn styling props</t>
  </si>
  <si>
    <t>Short course fund</t>
  </si>
  <si>
    <t>Music licence</t>
  </si>
  <si>
    <t>Market flyers</t>
  </si>
  <si>
    <t>Team &amp; Responsibilities</t>
  </si>
  <si>
    <t>Even a team of one. Set who owns what, and the sheet counts the posts and tasks sitting with each person.</t>
  </si>
  <si>
    <t>Role</t>
  </si>
  <si>
    <t>Looks after</t>
  </si>
  <si>
    <t>Hours a week</t>
  </si>
  <si>
    <t>Hourly rate</t>
  </si>
  <si>
    <t>Reviews content?</t>
  </si>
  <si>
    <t>Final approval?</t>
  </si>
  <si>
    <t>Cost a week</t>
  </si>
  <si>
    <t>Cost a month</t>
  </si>
  <si>
    <t>jordan@wildflowerstudio.com</t>
  </si>
  <si>
    <t>priya@wildflower.com</t>
  </si>
  <si>
    <t>sam@freelance.com</t>
  </si>
  <si>
    <t>elena@freelance.com</t>
  </si>
  <si>
    <t>Task Management</t>
  </si>
  <si>
    <t>Shoots, edits, approvals, replies and the monthly analytics entry - everything that is not a post but still has to happen.</t>
  </si>
  <si>
    <t>Task</t>
  </si>
  <si>
    <t>Linked content</t>
  </si>
  <si>
    <t>Which post</t>
  </si>
  <si>
    <t>Write December captions</t>
  </si>
  <si>
    <t>Edit holiday reel</t>
  </si>
  <si>
    <t>Shoot gift box flat lay</t>
  </si>
  <si>
    <t>Schedule week 50</t>
  </si>
  <si>
    <t>Refresh top 5 pins</t>
  </si>
  <si>
    <t>Reply to UGC permissions</t>
  </si>
  <si>
    <t>Brief influencer collab</t>
  </si>
  <si>
    <t>Update hashtag groups</t>
  </si>
  <si>
    <t>Monthly analytics entry</t>
  </si>
  <si>
    <t>Plan January pillars</t>
  </si>
  <si>
    <t>Compliance &amp; Quality Checklist</t>
  </si>
  <si>
    <t>The boring list that keeps you out of trouble: disclosure, music rights, permissions, accessibility and the weekly quality checks.</t>
  </si>
  <si>
    <t>Area</t>
  </si>
  <si>
    <t>Why it matters</t>
  </si>
  <si>
    <t>How often</t>
  </si>
  <si>
    <t>Who checks it</t>
  </si>
  <si>
    <t>Last checked</t>
  </si>
  <si>
    <t>Evidence / link</t>
  </si>
  <si>
    <t>Action to take</t>
  </si>
  <si>
    <t>Advertising</t>
  </si>
  <si>
    <t>Paid partnerships marked as an ad</t>
  </si>
  <si>
    <t>Undisclosed paid posts break advertising rules in most countries.</t>
  </si>
  <si>
    <t>Every post</t>
  </si>
  <si>
    <t>Gifted products disclosed</t>
  </si>
  <si>
    <t>Free product counts as payment - say so.</t>
  </si>
  <si>
    <t>Affiliate links disclosed</t>
  </si>
  <si>
    <t>Commission links must be labelled.</t>
  </si>
  <si>
    <t>Platform paid-partnership label switched on</t>
  </si>
  <si>
    <t>The caption hashtag is not always enough on its own.</t>
  </si>
  <si>
    <t>Claims</t>
  </si>
  <si>
    <t>Product claims are true and provable</t>
  </si>
  <si>
    <t>'Handmade', 'organic' and 'sustainable' all have legal meanings.</t>
  </si>
  <si>
    <t>Before and after images are honest</t>
  </si>
  <si>
    <t>No filters or edits that change the result shown.</t>
  </si>
  <si>
    <t>Prices, discounts and stock are accurate</t>
  </si>
  <si>
    <t>Out-of-date offers cause refunds and complaints.</t>
  </si>
  <si>
    <t>Rights</t>
  </si>
  <si>
    <t>Music is licensed for business use</t>
  </si>
  <si>
    <t>The commercial sound library is not the same as the personal one.</t>
  </si>
  <si>
    <t>Images and video are yours or licensed</t>
  </si>
  <si>
    <t>Stock licences have limits - check before reposting.</t>
  </si>
  <si>
    <t>UGC has written permission</t>
  </si>
  <si>
    <t>A comment saying 'sure' is enough, a silence is not.</t>
  </si>
  <si>
    <t>Every repost</t>
  </si>
  <si>
    <t>Credit given to creators and collaborators</t>
  </si>
  <si>
    <t>Tag the maker, photographer or customer.</t>
  </si>
  <si>
    <t>Licences and rights renewed before they expire</t>
  </si>
  <si>
    <t>The Assets tab flags expiry dates for you.</t>
  </si>
  <si>
    <t>Privacy</t>
  </si>
  <si>
    <t>People in photos have agreed to appear</t>
  </si>
  <si>
    <t>Especially children, customers and staff.</t>
  </si>
  <si>
    <t>No customer details visible in screenshots</t>
  </si>
  <si>
    <t>Blur names, addresses, order numbers and emails.</t>
  </si>
  <si>
    <t>Direct messages kept confidential</t>
  </si>
  <si>
    <t>Ask before you share a message publicly.</t>
  </si>
  <si>
    <t>Email and data consent recorded</t>
  </si>
  <si>
    <t>Sign-ups from social still need a lawful basis.</t>
  </si>
  <si>
    <t>Competitions</t>
  </si>
  <si>
    <t>Giveaway rules written and linked</t>
  </si>
  <si>
    <t>Entry rules, closing date, prize and who can enter.</t>
  </si>
  <si>
    <t>Every giveaway</t>
  </si>
  <si>
    <t>Platform promotion rules followed</t>
  </si>
  <si>
    <t>Each platform has its own competition policy.</t>
  </si>
  <si>
    <t>Accessibility</t>
  </si>
  <si>
    <t>Alt text written for images</t>
  </si>
  <si>
    <t>Helps screen readers and improves reach.</t>
  </si>
  <si>
    <t>Captions or subtitles on video</t>
  </si>
  <si>
    <t>Most people watch with the sound off.</t>
  </si>
  <si>
    <t>Readable colour contrast on graphics</t>
  </si>
  <si>
    <t>Pale text on a pale photo loses people.</t>
  </si>
  <si>
    <t>Quality</t>
  </si>
  <si>
    <t>Spelling and grammar checked</t>
  </si>
  <si>
    <t>Read it aloud once before it goes out.</t>
  </si>
  <si>
    <t>Links tested and tracked</t>
  </si>
  <si>
    <t>A broken link in bio costs you the whole week.</t>
  </si>
  <si>
    <t>Scheduled posts reviewed before they go live</t>
  </si>
  <si>
    <t>Check nothing has changed since you wrote it.</t>
  </si>
  <si>
    <t>Comments and messages answered</t>
  </si>
  <si>
    <t>Within a day is the standard people expect.</t>
  </si>
  <si>
    <t>Brand</t>
  </si>
  <si>
    <t>Tone of voice matches the brand guide</t>
  </si>
  <si>
    <t>The Brand Voice tab is the reference.</t>
  </si>
  <si>
    <t>Logo, colours and fonts correct</t>
  </si>
  <si>
    <t>Consistency is what makes a small brand look established.</t>
  </si>
  <si>
    <t>Profile links and bios up to date</t>
  </si>
  <si>
    <t>Check the link in bio actually goes somewhere useful.</t>
  </si>
  <si>
    <t>Risk</t>
  </si>
  <si>
    <t>A plan exists for negative comments</t>
  </si>
  <si>
    <t>Decide in advance what you reply to and what you hide.</t>
  </si>
  <si>
    <t>Account recovery and two-factor set up</t>
  </si>
  <si>
    <t>Losing the account is the real worst case.</t>
  </si>
  <si>
    <t>Reports &amp; Exports</t>
  </si>
  <si>
    <t>Choose a date range, then print this page or copy it into an email. Everything updates from the calendar, the Analytics tab and the Performance tab.</t>
  </si>
  <si>
    <t>Report period</t>
  </si>
  <si>
    <t>From</t>
  </si>
  <si>
    <t>To</t>
  </si>
  <si>
    <t>Days in the range</t>
  </si>
  <si>
    <t>Prepared on</t>
  </si>
  <si>
    <t>Headline numbers</t>
  </si>
  <si>
    <t>Net follower growth</t>
  </si>
  <si>
    <t>By platform</t>
  </si>
  <si>
    <t>By content pillar</t>
  </si>
  <si>
    <t>Top 10 posts in this range</t>
  </si>
  <si>
    <t>Campaigns in this range</t>
  </si>
  <si>
    <t>What this says, in a sentence</t>
  </si>
  <si>
    <t>How to share this</t>
  </si>
  <si>
    <t>PRINT - File &gt; Print. The page is already set to fit one page wide; choose landscape for the widest tables.</t>
  </si>
  <si>
    <t>PDF - File &gt; Save As &gt; PDF, or print to PDF. Perfect for a client or a monthly review.</t>
  </si>
  <si>
    <t>COPY - select the area you want, copy, then paste into an email as a picture so the formatting survives.</t>
  </si>
  <si>
    <t>EXPORT - File &gt; Save As &gt; CSV exports the active sheet only. Use it to move data into another tool.</t>
  </si>
  <si>
    <t>SHARE - keep the file in Drive, OneDrive or Dropbox so you always open the same copy on every device.</t>
  </si>
  <si>
    <t>Pick a post from the Content Calendar - the whole brief fills itself in. This row does not print.</t>
  </si>
  <si>
    <t>CONTENT BRIEF</t>
  </si>
  <si>
    <t>The post</t>
  </si>
  <si>
    <t>Title</t>
  </si>
  <si>
    <t>Why we are making it</t>
  </si>
  <si>
    <t>What to say</t>
  </si>
  <si>
    <t>Caption</t>
  </si>
  <si>
    <t>Tags in the group</t>
  </si>
  <si>
    <t>What to make</t>
  </si>
  <si>
    <t>Asset ID</t>
  </si>
  <si>
    <t>Notes &amp; shot list (write on the printout)</t>
  </si>
  <si>
    <t>Notes from the calendar</t>
  </si>
  <si>
    <t>Props / setup</t>
  </si>
  <si>
    <t>Approved by</t>
  </si>
  <si>
    <t>After it goes live</t>
  </si>
  <si>
    <t>Record the numbers on the Performance tab 48-72 hours after publishing - they appear here and on the calendar automatically.</t>
  </si>
  <si>
    <t>Week starting</t>
  </si>
  <si>
    <t>Pick any date - the sheet prints the seven days that follow. This row does not print.</t>
  </si>
  <si>
    <t>WEEKLY CONTENT PLAN</t>
  </si>
  <si>
    <t>Time</t>
  </si>
  <si>
    <t>Done</t>
  </si>
  <si>
    <t>This week in numbers</t>
  </si>
  <si>
    <t>Still to do</t>
  </si>
  <si>
    <t>Weekly target</t>
  </si>
  <si>
    <t>Print this on a Monday morning, stick it on the wall and tick the last column as each post goes out.</t>
  </si>
  <si>
    <t>Help &amp; Instructions</t>
  </si>
  <si>
    <t>How the workbook fits together, what every number means, and an honest list of what a spreadsheet cannot do.</t>
  </si>
  <si>
    <t>How the main tabs fit together</t>
  </si>
  <si>
    <t>What it holds</t>
  </si>
  <si>
    <t>The master list. Every post gets a row and an ID (C-0001). Planning only - no results are typed here.</t>
  </si>
  <si>
    <t>The results of individual posts, keyed on that same ID. Type the numbers once here and they appear on the calendar, the platform planners, the pillar table and every dashboard.</t>
  </si>
  <si>
    <t>Account level totals, one row per account per month - followers, reach, clicks, leads, revenue. This is what the monthly and annual dashboards are built from.</t>
  </si>
  <si>
    <t>Platform planners</t>
  </si>
  <si>
    <t>The extra fields that only matter on one platform: carousel slides, sounds, board names, thumbnails. Shared metrics are pulled in, never retyped.</t>
  </si>
  <si>
    <t>The rule: no number is ever typed twice. A post is planned on the Content Calendar, its results are recorded once on the Performance tab, and your account totals are recorded once a month on the Analytics tab. Everything else is a formula.</t>
  </si>
  <si>
    <t>Questions people ask</t>
  </si>
  <si>
    <t>Answer</t>
  </si>
  <si>
    <t>Where do I start?</t>
  </si>
  <si>
    <t>Settings, then Accounts, then Content Pillars, then the Content Calendar. The Start Here tab walks through it in six steps.</t>
  </si>
  <si>
    <t>Do I have to fill everything in?</t>
  </si>
  <si>
    <t>No. The calendar, the caption bank and the analytics tab give you most of the value. The rest is there when you grow into it.</t>
  </si>
  <si>
    <t>Why can I not type in a grey cell?</t>
  </si>
  <si>
    <t>Grey cells are formulas and are locked so they cannot be broken. Review &gt; Unprotect Sheet, password 'premium', if you really want to change one.</t>
  </si>
  <si>
    <t>How do I add more rows?</t>
  </si>
  <si>
    <t>Right click a row inside the list and choose Insert. The formulas copy down automatically. Every sheet also starts with spare rows.</t>
  </si>
  <si>
    <t>Can I change the drop down options?</t>
  </si>
  <si>
    <t>Yes - they all live on the Lists tab. Edit, add or delete options there and every drop down updates.</t>
  </si>
  <si>
    <t>Why does my post not show on the dashboard?</t>
  </si>
  <si>
    <t>Check the publish date is inside the month you picked at the top of the Dashboard, and that the year matches the plan year on the Settings tab.</t>
  </si>
  <si>
    <t>Why is the engagement rate blank?</t>
  </si>
  <si>
    <t>It needs reach. Add the reach figure on the Performance tab (for a single post) or the Analytics tab (for a month).</t>
  </si>
  <si>
    <t>Reach or impressions - which should I use?</t>
  </si>
  <si>
    <t>Either, as long as you are consistent. Reach counts people, impressions count views. Rates calculated on reach are higher.</t>
  </si>
  <si>
    <t>What is a good engagement rate?</t>
  </si>
  <si>
    <t>It depends on the platform and your size, but 1-3% is normal, 3-6% is good and anything higher is excellent. Set your own target on the Settings tab.</t>
  </si>
  <si>
    <t>How often should I post?</t>
  </si>
  <si>
    <t>Consistently beats often. Pick a number you can keep up on a bad week, set it as your weekly target, and keep it.</t>
  </si>
  <si>
    <t>Can I use this for a client?</t>
  </si>
  <si>
    <t>Yes. Use one copy per client, change the brand details on Settings, and send them the Reports tab as a PDF each month.</t>
  </si>
  <si>
    <t>Does it work in Google Sheets?</t>
  </si>
  <si>
    <t>Yes - File &gt; Import &gt; Upload. Everything works except the sparklines and the sheet protection, which Google handles differently.</t>
  </si>
  <si>
    <t>Does it work on a phone or tablet?</t>
  </si>
  <si>
    <t>It opens in the Excel and Google Sheets apps. Entering data is fiddly on a phone; the dashboards read fine.</t>
  </si>
  <si>
    <t>Can I change the currency?</t>
  </si>
  <si>
    <t>Yes - the currency symbol is on the Settings tab.</t>
  </si>
  <si>
    <t>Something looks wrong - how do I check the maths?</t>
  </si>
  <si>
    <t>Unhide the Calc tab (right click any tab &gt; Unhide). Every dashboard number is a plain SUMIFS or COUNTIFS on that sheet.</t>
  </si>
  <si>
    <t>What every metric means</t>
  </si>
  <si>
    <t>Metric</t>
  </si>
  <si>
    <t>In plain English</t>
  </si>
  <si>
    <t>How many different people saw the post.</t>
  </si>
  <si>
    <t>How many times it was shown, including repeats.</t>
  </si>
  <si>
    <t>Likes + comments + shares + saves.</t>
  </si>
  <si>
    <t>Engagements divided by reach. The main one.</t>
  </si>
  <si>
    <t>Saves divided by reach. The strongest signal on most platforms - a save means 'I will come back to this'.</t>
  </si>
  <si>
    <t>Shares divided by reach. Shares are how accounts grow.</t>
  </si>
  <si>
    <t>Link clicks divided by reach.</t>
  </si>
  <si>
    <t>New followers less unfollows.</t>
  </si>
  <si>
    <t>Reach divided by your follower count. Over 100% means you went beyond your own audience.</t>
  </si>
  <si>
    <t>The share of viewers who watched to the end.</t>
  </si>
  <si>
    <t>On YouTube: how many people who saw the thumbnail clicked it. 4-6% is healthy.</t>
  </si>
  <si>
    <t>Spend divided by leads.</t>
  </si>
  <si>
    <t>Return on spend (ROAS)</t>
  </si>
  <si>
    <t>Revenue divided by spend. 3.0 means three back for every one in.</t>
  </si>
  <si>
    <t>Conversion rate</t>
  </si>
  <si>
    <t>Sales divided by clicks.</t>
  </si>
  <si>
    <t>If something looks wrong</t>
  </si>
  <si>
    <t>What you see</t>
  </si>
  <si>
    <t>#DIV/0! or a blank rate</t>
  </si>
  <si>
    <t>Reach is zero or missing. Add the reach figure.</t>
  </si>
  <si>
    <t>#N/A in a lookup column</t>
  </si>
  <si>
    <t>The ID typed does not exist. Pick it from the drop down instead of typing it.</t>
  </si>
  <si>
    <t>'Not found' in a grey column</t>
  </si>
  <si>
    <t>Same thing: the content ID, caption name or asset ID does not match anything. Check for a stray space.</t>
  </si>
  <si>
    <t>A drop down is empty</t>
  </si>
  <si>
    <t>Nothing has been entered on the source tab yet - add a team member, a pillar or a campaign first.</t>
  </si>
  <si>
    <t>The month filter shows nothing</t>
  </si>
  <si>
    <t>The plan year on Settings does not match the dates on your calendar.</t>
  </si>
  <si>
    <t>Dates look like numbers</t>
  </si>
  <si>
    <t>Format the column as a date: Home &gt; Number &gt; Short Date.</t>
  </si>
  <si>
    <t>A number will not type in</t>
  </si>
  <si>
    <t>The cell is locked because it is calculated. Check you are in a cream cell, not a grey one.</t>
  </si>
  <si>
    <t>Everything recalculates slowly</t>
  </si>
  <si>
    <t>Formulas &gt; Calculation Options &gt; Manual, then press F9 when you want to refresh.</t>
  </si>
  <si>
    <t>Honest limitations</t>
  </si>
  <si>
    <t>It cannot fetch your analytics automatically. No spreadsheet can - that needs a platform API connection. You copy about fifteen numbers per account once a month.</t>
  </si>
  <si>
    <t>It cannot publish or schedule posts. Use a scheduler for that and keep this as the plan and the record.</t>
  </si>
  <si>
    <t>It cannot see comments, messages or mentions.</t>
  </si>
  <si>
    <t>Revenue attribution is only as good as the numbers you give it. Use UTM links and your shop's own reports.</t>
  </si>
  <si>
    <t>It is not legal advice. The Compliance tab is a prompt list, not a substitute for the rules where you live.</t>
  </si>
  <si>
    <t>It does not know what will go viral. Nothing does. What it does do is show you what worked for you, so you can do more of it.</t>
  </si>
  <si>
    <t>Colour code</t>
  </si>
  <si>
    <t>Cream</t>
  </si>
  <si>
    <t>Type here - your input</t>
  </si>
  <si>
    <t>Grey</t>
  </si>
  <si>
    <t>Calculated and locked</t>
  </si>
  <si>
    <t>Green</t>
  </si>
  <si>
    <t>On target, approved, done</t>
  </si>
  <si>
    <t>Amber</t>
  </si>
  <si>
    <t>Due soon, needs a look</t>
  </si>
  <si>
    <t>Red</t>
  </si>
  <si>
    <t>Overdue, over budget, below target</t>
  </si>
  <si>
    <t>Blue</t>
  </si>
  <si>
    <t>Today, or for information</t>
  </si>
  <si>
    <t>Social Media Content Calendar &amp; Analytics Planner - created by Novality Store. Version 1.0.0. Sheet protection password: 'premium'. Keep a spare copy of the original file before you make big changes.</t>
  </si>
  <si>
    <t>Calculation engine (do not edit)</t>
  </si>
  <si>
    <t>Helper tables for the dashboards and reports. This tab is hidden by default - unhide it only if you want to check the maths.</t>
  </si>
  <si>
    <t>Every cell on this tab is a locked formula.</t>
  </si>
  <si>
    <t>Month start</t>
  </si>
  <si>
    <t>Month end</t>
  </si>
  <si>
    <t>Target posts</t>
  </si>
  <si>
    <t>Posts (month)</t>
  </si>
  <si>
    <t>Published (month)</t>
  </si>
  <si>
    <t>Reach (month)</t>
  </si>
  <si>
    <t>Engagements (month)</t>
  </si>
  <si>
    <t>Engagement rate (month)</t>
  </si>
  <si>
    <t>Followers (month)</t>
  </si>
  <si>
    <t>Growth (month)</t>
  </si>
  <si>
    <t>Clicks (month)</t>
  </si>
  <si>
    <t>Revenue (month)</t>
  </si>
  <si>
    <t>Posts (year)</t>
  </si>
  <si>
    <t>Reach (year)</t>
  </si>
  <si>
    <t>Engagements (year)</t>
  </si>
  <si>
    <t>Engagement rate (year)</t>
  </si>
  <si>
    <t>Growth (year)</t>
  </si>
  <si>
    <t>Platform rank key</t>
  </si>
  <si>
    <t>Pillar posts</t>
  </si>
  <si>
    <t>Pillar reach</t>
  </si>
  <si>
    <t>Pillar engagements</t>
  </si>
  <si>
    <t>Pillar engagement rate</t>
  </si>
  <si>
    <t>Pillar rank key</t>
  </si>
  <si>
    <t>Format posts</t>
  </si>
  <si>
    <t>Format reach</t>
  </si>
  <si>
    <t>Format engagements</t>
  </si>
  <si>
    <t>Format engagement rate</t>
  </si>
  <si>
    <t>Format rank key</t>
  </si>
  <si>
    <t>Weekday</t>
  </si>
  <si>
    <t>Posts that day</t>
  </si>
  <si>
    <t>Reach that day</t>
  </si>
  <si>
    <t>Engagements that day</t>
  </si>
  <si>
    <t>Engagement rate that day</t>
  </si>
  <si>
    <t>Weekday rank key</t>
  </si>
  <si>
    <t>Posts in slot</t>
  </si>
  <si>
    <t>Reach in slot</t>
  </si>
  <si>
    <t>Engagements in slot</t>
  </si>
  <si>
    <t>Engagement rate in slot</t>
  </si>
  <si>
    <t>Slot rank key</t>
  </si>
  <si>
    <t>Post platform</t>
  </si>
  <si>
    <t>Post pillar</t>
  </si>
  <si>
    <t>Post date</t>
  </si>
  <si>
    <t>Post month</t>
  </si>
  <si>
    <t>Post reach</t>
  </si>
  <si>
    <t>Post engagement rate</t>
  </si>
  <si>
    <t>Top post key (period)</t>
  </si>
  <si>
    <t>Top reach key (period)</t>
  </si>
  <si>
    <t>Top post key (year)</t>
  </si>
  <si>
    <t>Top post key (report range)</t>
  </si>
  <si>
    <t>Top reach key (year)</t>
  </si>
  <si>
    <t>Workflow status</t>
  </si>
  <si>
    <t>In this status</t>
  </si>
  <si>
    <t>In status (month)</t>
  </si>
  <si>
    <t>Owner posts</t>
  </si>
  <si>
    <t>Owner in progress</t>
  </si>
  <si>
    <t>Owner open tasks</t>
  </si>
  <si>
    <t>Campaign revenue</t>
  </si>
  <si>
    <t>Campaign spend</t>
  </si>
  <si>
    <t>Campaign reach</t>
  </si>
  <si>
    <t>Campaign rank key</t>
  </si>
  <si>
    <t>Account platform</t>
  </si>
  <si>
    <t>Account followers</t>
  </si>
  <si>
    <t>Account growth (month)</t>
  </si>
  <si>
    <t>Account rank key</t>
  </si>
</sst>
</file>

<file path=xl/styles.xml><?xml version="1.0" encoding="utf-8"?>
<styleSheet xmlns="http://schemas.openxmlformats.org/spreadsheetml/2006/main">
  <numFmts count="9">
    <numFmt numFmtId="164" formatCode="dd-mmm-yyyy"/>
    <numFmt numFmtId="165" formatCode="#,##0"/>
    <numFmt numFmtId="166" formatCode="0.0%"/>
    <numFmt numFmtId="167" formatCode="&quot;$&quot;#,##0.00;[Red]-&quot;$&quot;#,##0.00"/>
    <numFmt numFmtId="168" formatCode="#,##0.0"/>
    <numFmt numFmtId="165" formatCode="#,##0"/>
    <numFmt numFmtId="166" formatCode="0.0%"/>
    <numFmt numFmtId="167" formatCode="&quot;$&quot;#,##0.00;[Red]-&quot;$&quot;#,##0.00"/>
    <numFmt numFmtId="169" formatCode="General"/>
    <numFmt numFmtId="168" formatCode="#,##0.0"/>
    <numFmt numFmtId="170" formatCode="#,##0.00"/>
    <numFmt numFmtId="165" formatCode="#,##0"/>
    <numFmt numFmtId="166" formatCode="0.0%"/>
    <numFmt numFmtId="167" formatCode="&quot;$&quot;#,##0.00;[Red]-&quot;$&quot;#,##0.00"/>
    <numFmt numFmtId="168" formatCode="#,##0.0"/>
    <numFmt numFmtId="164" formatCode="dd-mmm-yyyy"/>
    <numFmt numFmtId="171" formatCode="0%"/>
    <numFmt numFmtId="165" formatCode="#,##0"/>
    <numFmt numFmtId="172" formatCode="d ddd"/>
    <numFmt numFmtId="170" formatCode="#,##0.00"/>
    <numFmt numFmtId="164" formatCode="dd-mmm-yyyy"/>
  </numFmts>
  <fonts count="29">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5F5A70"/>
      <name val="Calibri"/>
      <family val="2"/>
      <scheme val="minor"/>
    </font>
    <font>
      <b/>
      <u/>
      <sz val="9"/>
      <color rgb="FF2A4A8B"/>
      <name val="Calibri"/>
      <family val="2"/>
      <scheme val="minor"/>
    </font>
    <font>
      <sz val="9"/>
      <color rgb="FF241B38"/>
      <name val="Calibri"/>
      <family val="2"/>
      <scheme val="minor"/>
    </font>
    <font>
      <b/>
      <sz val="11"/>
      <color rgb="FFFFFFFF"/>
      <name val="Calibri"/>
      <family val="2"/>
      <scheme val="minor"/>
    </font>
    <font>
      <b/>
      <sz val="9"/>
      <color rgb="FFFFFFFF"/>
      <name val="Calibri"/>
      <family val="2"/>
      <scheme val="minor"/>
    </font>
    <font>
      <b/>
      <sz val="10"/>
      <color rgb="FF241B38"/>
      <name val="Calibri"/>
      <family val="2"/>
      <scheme val="minor"/>
    </font>
    <font>
      <i/>
      <sz val="9"/>
      <color rgb="FF5F5A70"/>
      <name val="Calibri"/>
      <family val="2"/>
      <scheme val="minor"/>
    </font>
    <font>
      <sz val="10"/>
      <color rgb="FF241B38"/>
      <name val="Calibri"/>
      <family val="2"/>
      <scheme val="minor"/>
    </font>
    <font>
      <sz val="10"/>
      <color theme="1"/>
      <name val="Calibri"/>
      <family val="2"/>
      <scheme val="minor"/>
    </font>
    <font>
      <b/>
      <sz val="16"/>
      <color rgb="FF241B38"/>
      <name val="Calibri"/>
      <family val="2"/>
      <scheme val="minor"/>
    </font>
    <font>
      <i/>
      <sz val="8"/>
      <color rgb="FF5F5A70"/>
      <name val="Calibri"/>
      <family val="2"/>
      <scheme val="minor"/>
    </font>
    <font>
      <b/>
      <sz val="9"/>
      <color rgb="FF5F5A70"/>
      <name val="Calibri"/>
      <family val="2"/>
      <scheme val="minor"/>
    </font>
    <font>
      <sz val="9"/>
      <color theme="1"/>
      <name val="Calibri"/>
      <family val="2"/>
      <scheme val="minor"/>
    </font>
    <font>
      <b/>
      <sz val="10"/>
      <color rgb="FF3B2A6B"/>
      <name val="Calibri"/>
      <family val="2"/>
      <scheme val="minor"/>
    </font>
    <font>
      <sz val="9"/>
      <color rgb="FF5F5A70"/>
      <name val="Calibri"/>
      <family val="2"/>
      <scheme val="minor"/>
    </font>
    <font>
      <u/>
      <sz val="10"/>
      <color rgb="FF2A4A8B"/>
      <name val="Calibri"/>
      <family val="2"/>
      <scheme val="minor"/>
    </font>
    <font>
      <b/>
      <sz val="10"/>
      <color theme="1"/>
      <name val="Calibri"/>
      <family val="2"/>
      <scheme val="minor"/>
    </font>
    <font>
      <b/>
      <sz val="11"/>
      <color rgb="FF3B2A6B"/>
      <name val="Calibri"/>
      <family val="2"/>
      <scheme val="minor"/>
    </font>
    <font>
      <sz val="8"/>
      <color rgb="FF241B38"/>
      <name val="Calibri"/>
      <family val="2"/>
      <scheme val="minor"/>
    </font>
    <font>
      <b/>
      <sz val="11"/>
      <color theme="1"/>
      <name val="Calibri"/>
      <family val="2"/>
      <scheme val="minor"/>
    </font>
    <font>
      <b/>
      <sz val="16"/>
      <color rgb="FF3B2A6B"/>
      <name val="Calibri"/>
      <family val="2"/>
      <scheme val="minor"/>
    </font>
    <font>
      <sz val="11"/>
      <color rgb="FF0E6B45"/>
      <name val="Calibri"/>
      <family val="2"/>
      <scheme val="minor"/>
    </font>
    <font>
      <sz val="11"/>
      <color rgb="FF8A5A00"/>
      <name val="Calibri"/>
      <family val="2"/>
      <scheme val="minor"/>
    </font>
    <font>
      <sz val="11"/>
      <color rgb="FF9C1C2E"/>
      <name val="Calibri"/>
      <family val="2"/>
      <scheme val="minor"/>
    </font>
    <font>
      <sz val="11"/>
      <color rgb="FF2A4A8B"/>
      <name val="Calibri"/>
      <family val="2"/>
      <scheme val="minor"/>
    </font>
  </fonts>
  <fills count="14">
    <fill>
      <patternFill patternType="none"/>
    </fill>
    <fill>
      <patternFill patternType="gray125"/>
    </fill>
    <fill>
      <patternFill patternType="solid">
        <fgColor rgb="FF3B2A6B"/>
        <bgColor indexed="64"/>
      </patternFill>
    </fill>
    <fill>
      <patternFill patternType="solid">
        <fgColor rgb="FFF8F7FC"/>
        <bgColor indexed="64"/>
      </patternFill>
    </fill>
    <fill>
      <patternFill patternType="solid">
        <fgColor rgb="FFFDEBE9"/>
        <bgColor indexed="64"/>
      </patternFill>
    </fill>
    <fill>
      <patternFill patternType="solid">
        <fgColor rgb="FF6350A8"/>
        <bgColor indexed="64"/>
      </patternFill>
    </fill>
    <fill>
      <patternFill patternType="solid">
        <fgColor rgb="FFFFFCF7"/>
        <bgColor indexed="64"/>
      </patternFill>
    </fill>
    <fill>
      <patternFill patternType="solid">
        <fgColor rgb="FFF1EFF8"/>
        <bgColor indexed="64"/>
      </patternFill>
    </fill>
    <fill>
      <patternFill patternType="solid">
        <fgColor rgb="FFFFFFFF"/>
        <bgColor indexed="64"/>
      </patternFill>
    </fill>
    <fill>
      <patternFill patternType="solid">
        <fgColor rgb="FFE7E3F6"/>
        <bgColor indexed="64"/>
      </patternFill>
    </fill>
    <fill>
      <patternFill patternType="solid">
        <fgColor rgb="FFD9F2E4"/>
        <bgColor indexed="64"/>
      </patternFill>
    </fill>
    <fill>
      <patternFill patternType="solid">
        <fgColor rgb="FFFFF1CF"/>
        <bgColor indexed="64"/>
      </patternFill>
    </fill>
    <fill>
      <patternFill patternType="solid">
        <fgColor rgb="FFFBD9DD"/>
        <bgColor indexed="64"/>
      </patternFill>
    </fill>
    <fill>
      <patternFill patternType="solid">
        <fgColor rgb="FFDEE8FA"/>
        <bgColor indexed="64"/>
      </patternFill>
    </fill>
  </fills>
  <borders count="8">
    <border>
      <left/>
      <right/>
      <top/>
      <bottom/>
      <diagonal/>
    </border>
    <border>
      <left style="thin">
        <color rgb="FFF2665E"/>
      </left>
      <right style="thin">
        <color rgb="FFF2665E"/>
      </right>
      <top style="thin">
        <color rgb="FFF2665E"/>
      </top>
      <bottom style="thin">
        <color rgb="FFF2665E"/>
      </bottom>
      <diagonal/>
    </border>
    <border>
      <left style="thin">
        <color rgb="FF3B2A6B"/>
      </left>
      <right style="thin">
        <color rgb="FF3B2A6B"/>
      </right>
      <top style="thin">
        <color rgb="FF3B2A6B"/>
      </top>
      <bottom style="thin">
        <color rgb="FF3B2A6B"/>
      </bottom>
      <diagonal/>
    </border>
    <border>
      <left style="thin">
        <color rgb="FFE8DCC8"/>
      </left>
      <right style="thin">
        <color rgb="FFE8DCC8"/>
      </right>
      <top style="thin">
        <color rgb="FFE8DCC8"/>
      </top>
      <bottom style="thin">
        <color rgb="FFE8DCC8"/>
      </bottom>
      <diagonal/>
    </border>
    <border>
      <left style="thin">
        <color rgb="FFD8D2EA"/>
      </left>
      <right style="thin">
        <color rgb="FFD8D2EA"/>
      </right>
      <top style="thin">
        <color rgb="FFD8D2EA"/>
      </top>
      <bottom style="thin">
        <color rgb="FFD8D2EA"/>
      </bottom>
      <diagonal/>
    </border>
    <border>
      <left style="thin">
        <color rgb="FFC7C1DA"/>
      </left>
      <right style="thin">
        <color rgb="FFC7C1DA"/>
      </right>
      <top style="thin">
        <color rgb="FFC7C1DA"/>
      </top>
      <bottom style="thin">
        <color rgb="FFC7C1DA"/>
      </bottom>
      <diagonal/>
    </border>
    <border>
      <left style="thin">
        <color rgb="FF241B38"/>
      </left>
      <right style="thin">
        <color rgb="FF241B38"/>
      </right>
      <top style="thin">
        <color rgb="FF241B38"/>
      </top>
      <bottom style="thin">
        <color rgb="FF241B38"/>
      </bottom>
      <diagonal/>
    </border>
    <border>
      <left/>
      <right/>
      <top/>
      <bottom style="thin">
        <color rgb="FF241B38"/>
      </bottom>
      <diagonal/>
    </border>
  </borders>
  <cellStyleXfs count="1">
    <xf numFmtId="0" fontId="0" fillId="0" borderId="0"/>
  </cellStyleXfs>
  <cellXfs count="63">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3" borderId="0" xfId="0" applyFont="1" applyFill="1" applyAlignment="1">
      <alignment horizontal="left" vertical="center" indent="1"/>
    </xf>
    <xf numFmtId="0" fontId="6" fillId="4" borderId="1" xfId="0" applyFont="1" applyFill="1" applyBorder="1" applyAlignment="1">
      <alignment horizontal="left" vertical="top" indent="1" wrapText="1"/>
    </xf>
    <xf numFmtId="0" fontId="7" fillId="5" borderId="0" xfId="0" applyFont="1" applyFill="1" applyAlignment="1">
      <alignment horizontal="left" vertical="center" indent="1"/>
    </xf>
    <xf numFmtId="0" fontId="8" fillId="2" borderId="2" xfId="0" applyFont="1" applyFill="1" applyBorder="1" applyAlignment="1">
      <alignment horizontal="left" vertical="center" indent="1" wrapText="1"/>
    </xf>
    <xf numFmtId="0" fontId="8" fillId="2" borderId="2" xfId="0" applyFont="1" applyFill="1" applyBorder="1" applyAlignment="1">
      <alignment horizontal="center" vertical="center" wrapText="1"/>
    </xf>
    <xf numFmtId="0" fontId="8" fillId="5" borderId="0" xfId="0" applyFont="1" applyFill="1" applyAlignment="1">
      <alignment horizontal="left" vertical="center" indent="1"/>
    </xf>
    <xf numFmtId="0" fontId="9" fillId="0" borderId="0" xfId="0" applyFont="1" applyAlignment="1">
      <alignment horizontal="left" vertical="center" indent="1"/>
    </xf>
    <xf numFmtId="0" fontId="10" fillId="0" borderId="0" xfId="0" applyFont="1" applyAlignment="1">
      <alignment horizontal="left" vertical="top" wrapText="1"/>
    </xf>
    <xf numFmtId="0" fontId="11" fillId="0" borderId="0" xfId="0" applyFont="1" applyAlignment="1">
      <alignment horizontal="left" vertical="center" indent="1"/>
    </xf>
    <xf numFmtId="0" fontId="4" fillId="0" borderId="0" xfId="0" applyFont="1" applyAlignment="1">
      <alignment horizontal="left" vertical="center"/>
    </xf>
    <xf numFmtId="0" fontId="12" fillId="6" borderId="3" xfId="0" applyFont="1" applyFill="1" applyBorder="1" applyAlignment="1" applyProtection="1">
      <alignment horizontal="left" vertical="center"/>
      <protection locked="0"/>
    </xf>
    <xf numFmtId="164" fontId="11" fillId="7" borderId="4" xfId="0" applyNumberFormat="1" applyFont="1" applyFill="1" applyBorder="1" applyAlignment="1">
      <alignment horizontal="center" vertical="center"/>
    </xf>
    <xf numFmtId="0" fontId="11" fillId="7" borderId="4" xfId="0" applyFont="1" applyFill="1" applyBorder="1" applyAlignment="1">
      <alignment horizontal="left" vertical="center"/>
    </xf>
    <xf numFmtId="165" fontId="13" fillId="8" borderId="5" xfId="0" applyNumberFormat="1" applyFont="1" applyFill="1" applyBorder="1" applyAlignment="1">
      <alignment horizontal="center" vertical="center"/>
    </xf>
    <xf numFmtId="166" fontId="13" fillId="8" borderId="5" xfId="0" applyNumberFormat="1" applyFont="1" applyFill="1" applyBorder="1" applyAlignment="1">
      <alignment horizontal="center" vertical="center"/>
    </xf>
    <xf numFmtId="0" fontId="14" fillId="8" borderId="5" xfId="0" applyFont="1" applyFill="1" applyBorder="1" applyAlignment="1">
      <alignment horizontal="center" vertical="center"/>
    </xf>
    <xf numFmtId="167" fontId="13" fillId="8" borderId="5" xfId="0" applyNumberFormat="1" applyFont="1" applyFill="1" applyBorder="1" applyAlignment="1">
      <alignment horizontal="center" vertical="center"/>
    </xf>
    <xf numFmtId="168" fontId="13" fillId="8" borderId="5" xfId="0" applyNumberFormat="1" applyFont="1" applyFill="1" applyBorder="1" applyAlignment="1">
      <alignment horizontal="center" vertical="center"/>
    </xf>
    <xf numFmtId="165" fontId="11" fillId="7" borderId="4" xfId="0" applyNumberFormat="1" applyFont="1" applyFill="1" applyBorder="1" applyAlignment="1">
      <alignment horizontal="right" vertical="center"/>
    </xf>
    <xf numFmtId="166" fontId="11" fillId="7" borderId="4" xfId="0" applyNumberFormat="1" applyFont="1" applyFill="1" applyBorder="1" applyAlignment="1">
      <alignment horizontal="center" vertical="center"/>
    </xf>
    <xf numFmtId="167" fontId="11" fillId="7" borderId="4" xfId="0" applyNumberFormat="1" applyFont="1" applyFill="1" applyBorder="1" applyAlignment="1">
      <alignment horizontal="right" vertical="center"/>
    </xf>
    <xf numFmtId="0" fontId="15" fillId="0" borderId="0" xfId="0" applyFont="1" applyAlignment="1">
      <alignment horizontal="right" vertical="center"/>
    </xf>
    <xf numFmtId="0" fontId="16" fillId="7" borderId="4" xfId="0" applyFont="1" applyFill="1" applyBorder="1" applyAlignment="1">
      <alignment horizontal="center" vertical="center"/>
    </xf>
    <xf numFmtId="0" fontId="17" fillId="9" borderId="0" xfId="0" applyFont="1" applyFill="1" applyAlignment="1">
      <alignment horizontal="left" vertical="center" indent="1"/>
    </xf>
    <xf numFmtId="0" fontId="9" fillId="7" borderId="4" xfId="0" applyFont="1" applyFill="1" applyBorder="1" applyAlignment="1">
      <alignment horizontal="center" vertical="center"/>
    </xf>
    <xf numFmtId="169" fontId="13" fillId="8" borderId="5" xfId="0" applyNumberFormat="1" applyFont="1" applyFill="1" applyBorder="1" applyAlignment="1">
      <alignment horizontal="center" vertical="center"/>
    </xf>
    <xf numFmtId="168" fontId="11" fillId="7" borderId="4" xfId="0" applyNumberFormat="1" applyFont="1" applyFill="1" applyBorder="1" applyAlignment="1">
      <alignment horizontal="right" vertical="center"/>
    </xf>
    <xf numFmtId="170" fontId="11" fillId="7" borderId="4" xfId="0" applyNumberFormat="1" applyFont="1" applyFill="1" applyBorder="1" applyAlignment="1">
      <alignment horizontal="right" vertical="center"/>
    </xf>
    <xf numFmtId="0" fontId="18" fillId="3" borderId="0" xfId="0" applyFont="1" applyFill="1" applyAlignment="1">
      <alignment horizontal="left" vertical="center"/>
    </xf>
    <xf numFmtId="165" fontId="12" fillId="6" borderId="3" xfId="0" applyNumberFormat="1" applyFont="1" applyFill="1" applyBorder="1" applyAlignment="1" applyProtection="1">
      <alignment horizontal="right" vertical="center"/>
      <protection locked="0"/>
    </xf>
    <xf numFmtId="166" fontId="12" fillId="6" borderId="3" xfId="0" applyNumberFormat="1" applyFont="1" applyFill="1" applyBorder="1" applyAlignment="1" applyProtection="1">
      <alignment horizontal="center" vertical="center"/>
      <protection locked="0"/>
    </xf>
    <xf numFmtId="167" fontId="12" fillId="6" borderId="3" xfId="0" applyNumberFormat="1" applyFont="1" applyFill="1" applyBorder="1" applyAlignment="1" applyProtection="1">
      <alignment horizontal="right" vertical="center"/>
      <protection locked="0"/>
    </xf>
    <xf numFmtId="168" fontId="12" fillId="6" borderId="3" xfId="0" applyNumberFormat="1" applyFont="1" applyFill="1" applyBorder="1" applyAlignment="1" applyProtection="1">
      <alignment horizontal="right" vertical="center"/>
      <protection locked="0"/>
    </xf>
    <xf numFmtId="0" fontId="10" fillId="3" borderId="0" xfId="0" applyFont="1" applyFill="1" applyAlignment="1">
      <alignment horizontal="left" vertical="top" wrapText="1"/>
    </xf>
    <xf numFmtId="0" fontId="12" fillId="6" borderId="3" xfId="0" applyFont="1" applyFill="1" applyBorder="1" applyAlignment="1" applyProtection="1">
      <alignment horizontal="left" vertical="top" wrapText="1"/>
      <protection locked="0"/>
    </xf>
    <xf numFmtId="0" fontId="12" fillId="6" borderId="3" xfId="0" applyFont="1" applyFill="1" applyBorder="1" applyAlignment="1" applyProtection="1">
      <alignment horizontal="center" vertical="center"/>
      <protection locked="0"/>
    </xf>
    <xf numFmtId="0" fontId="17" fillId="7" borderId="4" xfId="0" applyFont="1" applyFill="1" applyBorder="1" applyAlignment="1">
      <alignment horizontal="left" vertical="center"/>
    </xf>
    <xf numFmtId="0" fontId="19" fillId="6" borderId="3" xfId="0" applyFont="1" applyFill="1" applyBorder="1" applyAlignment="1" applyProtection="1">
      <alignment horizontal="left" vertical="center"/>
      <protection locked="0"/>
    </xf>
    <xf numFmtId="164" fontId="12" fillId="6" borderId="3" xfId="0" applyNumberFormat="1" applyFont="1" applyFill="1" applyBorder="1" applyAlignment="1" applyProtection="1">
      <alignment horizontal="center" vertical="center"/>
      <protection locked="0"/>
    </xf>
    <xf numFmtId="0" fontId="3" fillId="2" borderId="0" xfId="0" applyFont="1" applyFill="1" applyAlignment="1">
      <alignment horizontal="left" vertical="center" indent="1"/>
    </xf>
    <xf numFmtId="171" fontId="3" fillId="2" borderId="0" xfId="0" applyNumberFormat="1" applyFont="1" applyFill="1" applyAlignment="1">
      <alignment horizontal="right" vertical="center"/>
    </xf>
    <xf numFmtId="0" fontId="3" fillId="2" borderId="0" xfId="0" applyFont="1" applyFill="1" applyAlignment="1">
      <alignment horizontal="left" vertical="center"/>
    </xf>
    <xf numFmtId="165" fontId="3" fillId="2" borderId="0" xfId="0" applyNumberFormat="1" applyFont="1" applyFill="1" applyAlignment="1">
      <alignment horizontal="right" vertical="center"/>
    </xf>
    <xf numFmtId="0" fontId="20" fillId="6" borderId="3" xfId="0" applyFont="1" applyFill="1" applyBorder="1" applyAlignment="1" applyProtection="1">
      <alignment horizontal="center" vertical="center"/>
      <protection locked="0"/>
    </xf>
    <xf numFmtId="172" fontId="21" fillId="9" borderId="5" xfId="0" applyNumberFormat="1" applyFont="1" applyFill="1" applyBorder="1" applyAlignment="1">
      <alignment horizontal="left" vertical="center" indent="1"/>
    </xf>
    <xf numFmtId="0" fontId="22" fillId="8" borderId="5" xfId="0" applyFont="1" applyFill="1" applyBorder="1" applyAlignment="1">
      <alignment horizontal="left" vertical="center" indent="1"/>
    </xf>
    <xf numFmtId="0" fontId="11" fillId="7" borderId="4" xfId="0" applyFont="1" applyFill="1" applyBorder="1" applyAlignment="1">
      <alignment horizontal="left" vertical="top" wrapText="1"/>
    </xf>
    <xf numFmtId="170" fontId="12" fillId="6" borderId="3" xfId="0" applyNumberFormat="1" applyFont="1" applyFill="1" applyBorder="1" applyAlignment="1" applyProtection="1">
      <alignment horizontal="right" vertical="center"/>
      <protection locked="0"/>
    </xf>
    <xf numFmtId="0" fontId="23" fillId="6" borderId="3" xfId="0" applyFont="1" applyFill="1" applyBorder="1" applyAlignment="1" applyProtection="1">
      <alignment horizontal="left" vertical="center"/>
      <protection locked="0"/>
    </xf>
    <xf numFmtId="0" fontId="24" fillId="0" borderId="0" xfId="0" applyFont="1" applyAlignment="1">
      <alignment horizontal="left" vertical="center"/>
    </xf>
    <xf numFmtId="0" fontId="12" fillId="0" borderId="6" xfId="0" applyFont="1" applyBorder="1" applyAlignment="1" applyProtection="1">
      <alignment horizontal="left" vertical="top" wrapText="1"/>
      <protection locked="0"/>
    </xf>
    <xf numFmtId="164" fontId="20" fillId="6" borderId="3" xfId="0" applyNumberFormat="1" applyFont="1" applyFill="1" applyBorder="1" applyAlignment="1" applyProtection="1">
      <alignment horizontal="center" vertical="center"/>
      <protection locked="0"/>
    </xf>
    <xf numFmtId="0" fontId="12" fillId="0" borderId="7" xfId="0" applyFont="1" applyBorder="1" applyAlignment="1" applyProtection="1">
      <alignment horizontal="left" vertical="center"/>
      <protection locked="0"/>
    </xf>
    <xf numFmtId="0" fontId="16" fillId="6" borderId="3" xfId="0" applyFont="1" applyFill="1" applyBorder="1" applyAlignment="1">
      <alignment horizontal="center" vertical="center"/>
    </xf>
    <xf numFmtId="0" fontId="25" fillId="10" borderId="0" xfId="0" applyFont="1" applyFill="1"/>
    <xf numFmtId="0" fontId="26" fillId="11" borderId="0" xfId="0" applyFont="1" applyFill="1"/>
    <xf numFmtId="0" fontId="27" fillId="12" borderId="0" xfId="0" applyFont="1" applyFill="1"/>
    <xf numFmtId="0" fontId="28" fillId="13" borderId="0" xfId="0" applyFont="1" applyFill="1"/>
  </cellXfs>
  <cellStyles count="1">
    <cellStyle name="Normal" xfId="0" builtinId="0"/>
  </cellStyles>
  <dxfs count="6">
    <dxf>
      <font>
        <color rgb="FF0E6B45"/>
      </font>
      <fill>
        <patternFill>
          <bgColor rgb="FFD9F2E4"/>
        </patternFill>
      </fill>
    </dxf>
    <dxf>
      <font>
        <color rgb="FF9C1C2E"/>
      </font>
      <fill>
        <patternFill>
          <bgColor rgb="FFFBD9DD"/>
        </patternFill>
      </fill>
    </dxf>
    <dxf>
      <font>
        <color rgb="FF8A5A00"/>
      </font>
      <fill>
        <patternFill>
          <bgColor rgb="FFFFF1CF"/>
        </patternFill>
      </fill>
    </dxf>
    <dxf>
      <font>
        <color rgb="FF2A4A8B"/>
      </font>
      <fill>
        <patternFill>
          <bgColor rgb="FFDEE8FA"/>
        </patternFill>
      </fill>
    </dxf>
    <dxf>
      <font>
        <i/>
        <color rgb="FF5F5A70"/>
      </font>
    </dxf>
    <dxf>
      <font>
        <b/>
        <color rgb="FF0E6B45"/>
      </font>
      <fill>
        <patternFill>
          <bgColor rgb="FFD9F2E4"/>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theme" Target="theme/theme1.xml"/><Relationship Id="rId45" Type="http://schemas.openxmlformats.org/officeDocument/2006/relationships/styles" Target="styles.xml"/><Relationship Id="rId4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29.vml"/><Relationship Id="rId2" Type="http://schemas.openxmlformats.org/officeDocument/2006/relationships/comments" Target="../comments29.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sheet1.xml><?xml version="1.0" encoding="utf-8"?>
<worksheet xmlns="http://schemas.openxmlformats.org/spreadsheetml/2006/main" xmlns:r="http://schemas.openxmlformats.org/officeDocument/2006/relationships">
  <sheetPr>
    <tabColor rgb="FF3B2A6B"/>
    <pageSetUpPr fitToPage="1"/>
  </sheetPr>
  <dimension ref="A1:L74"/>
  <sheetViews>
    <sheetView showGridLines="0" tabSelected="1" workbookViewId="0">
      <pane ySplit="4" topLeftCell="A5" activePane="bottomLeft" state="frozen"/>
      <selection pane="bottomLeft"/>
    </sheetView>
  </sheetViews>
  <sheetFormatPr defaultRowHeight="15"/>
  <cols>
    <col min="1" max="1" width="4.7109375" customWidth="1"/>
    <col min="2" max="2" width="22.7109375" customWidth="1"/>
    <col min="3" max="3" width="30.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2" max="2" width="8.7109375" customWidth="1"/>
    <col min="3" max="3" width="24.7109375" customWidth="1"/>
    <col min="4" max="4" width="70.7109375" customWidth="1"/>
    <col min="2" max="2" width="26.7109375" customWidth="1"/>
    <col min="3" max="3" width="70.7109375" customWidth="1"/>
  </cols>
  <sheetData>
    <row r="1" spans="1:12" ht="34" customHeight="1">
      <c r="A1" s="2" t="s">
        <v>0</v>
      </c>
      <c r="B1" s="2"/>
      <c r="C1" s="2"/>
      <c r="D1" s="2"/>
      <c r="E1" s="2"/>
      <c r="F1" s="2"/>
      <c r="G1" s="2"/>
      <c r="H1" s="2"/>
      <c r="I1" s="2"/>
      <c r="J1" s="3" t="s">
        <v>1</v>
      </c>
      <c r="K1" s="3"/>
      <c r="L1" s="3"/>
    </row>
    <row r="2" spans="1:12" ht="18" customHeight="1">
      <c r="A2" s="4" t="s">
        <v>2</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8</v>
      </c>
      <c r="L3" s="5"/>
    </row>
    <row r="5" spans="1:12" ht="46" customHeight="1">
      <c r="B5" s="6" t="s">
        <v>9</v>
      </c>
      <c r="C5" s="6"/>
      <c r="D5" s="6"/>
      <c r="E5" s="6"/>
      <c r="F5" s="6"/>
      <c r="G5" s="6"/>
      <c r="H5" s="6"/>
      <c r="I5" s="6"/>
      <c r="J5" s="6"/>
      <c r="K5" s="6"/>
      <c r="L5" s="6"/>
    </row>
    <row r="7" spans="1:12" ht="20" customHeight="1">
      <c r="A7" s="7" t="s">
        <v>10</v>
      </c>
      <c r="B7" s="7"/>
      <c r="C7" s="7"/>
      <c r="D7" s="7"/>
      <c r="E7" s="7"/>
      <c r="F7" s="7"/>
      <c r="G7" s="7"/>
      <c r="H7" s="7"/>
      <c r="I7" s="7"/>
      <c r="J7" s="7"/>
      <c r="K7" s="7"/>
      <c r="L7" s="7"/>
    </row>
    <row r="8" spans="1:12" ht="26" customHeight="1">
      <c r="B8" s="8" t="s">
        <v>11</v>
      </c>
      <c r="C8" s="9" t="s">
        <v>12</v>
      </c>
      <c r="D8" s="9" t="s">
        <v>13</v>
      </c>
    </row>
    <row r="9" spans="1:12" ht="30" customHeight="1">
      <c r="B9" s="10" t="s">
        <v>14</v>
      </c>
      <c r="C9" s="11" t="s">
        <v>15</v>
      </c>
      <c r="D9" s="12" t="s">
        <v>16</v>
      </c>
      <c r="E9" s="12"/>
      <c r="F9" s="12"/>
      <c r="G9" s="12"/>
      <c r="H9" s="12"/>
      <c r="I9" s="12"/>
      <c r="J9" s="12"/>
      <c r="K9" s="12"/>
      <c r="L9" s="12"/>
    </row>
    <row r="10" spans="1:12" ht="30" customHeight="1">
      <c r="B10" s="10" t="s">
        <v>17</v>
      </c>
      <c r="C10" s="11" t="s">
        <v>18</v>
      </c>
      <c r="D10" s="12" t="s">
        <v>19</v>
      </c>
      <c r="E10" s="12"/>
      <c r="F10" s="12"/>
      <c r="G10" s="12"/>
      <c r="H10" s="12"/>
      <c r="I10" s="12"/>
      <c r="J10" s="12"/>
      <c r="K10" s="12"/>
      <c r="L10" s="12"/>
    </row>
    <row r="11" spans="1:12" ht="30" customHeight="1">
      <c r="B11" s="10" t="s">
        <v>20</v>
      </c>
      <c r="C11" s="11" t="s">
        <v>21</v>
      </c>
      <c r="D11" s="12" t="s">
        <v>22</v>
      </c>
      <c r="E11" s="12"/>
      <c r="F11" s="12"/>
      <c r="G11" s="12"/>
      <c r="H11" s="12"/>
      <c r="I11" s="12"/>
      <c r="J11" s="12"/>
      <c r="K11" s="12"/>
      <c r="L11" s="12"/>
    </row>
    <row r="12" spans="1:12" ht="30" customHeight="1">
      <c r="B12" s="10" t="s">
        <v>23</v>
      </c>
      <c r="C12" s="11" t="s">
        <v>24</v>
      </c>
      <c r="D12" s="12" t="s">
        <v>25</v>
      </c>
      <c r="E12" s="12"/>
      <c r="F12" s="12"/>
      <c r="G12" s="12"/>
      <c r="H12" s="12"/>
      <c r="I12" s="12"/>
      <c r="J12" s="12"/>
      <c r="K12" s="12"/>
      <c r="L12" s="12"/>
    </row>
    <row r="13" spans="1:12" ht="30" customHeight="1">
      <c r="B13" s="10" t="s">
        <v>26</v>
      </c>
      <c r="C13" s="11" t="s">
        <v>27</v>
      </c>
      <c r="D13" s="12" t="s">
        <v>28</v>
      </c>
      <c r="E13" s="12"/>
      <c r="F13" s="12"/>
      <c r="G13" s="12"/>
      <c r="H13" s="12"/>
      <c r="I13" s="12"/>
      <c r="J13" s="12"/>
      <c r="K13" s="12"/>
      <c r="L13" s="12"/>
    </row>
    <row r="14" spans="1:12" ht="30" customHeight="1">
      <c r="B14" s="10" t="s">
        <v>29</v>
      </c>
      <c r="C14" s="11" t="s">
        <v>30</v>
      </c>
      <c r="D14" s="12" t="s">
        <v>31</v>
      </c>
      <c r="E14" s="12"/>
      <c r="F14" s="12"/>
      <c r="G14" s="12"/>
      <c r="H14" s="12"/>
      <c r="I14" s="12"/>
      <c r="J14" s="12"/>
      <c r="K14" s="12"/>
      <c r="L14" s="12"/>
    </row>
    <row r="16" spans="1:12" ht="20" customHeight="1">
      <c r="A16" s="7" t="s">
        <v>32</v>
      </c>
      <c r="B16" s="7"/>
      <c r="C16" s="7"/>
      <c r="D16" s="7"/>
      <c r="E16" s="7"/>
      <c r="F16" s="7"/>
      <c r="G16" s="7"/>
      <c r="H16" s="7"/>
      <c r="I16" s="7"/>
      <c r="J16" s="7"/>
      <c r="K16" s="7"/>
      <c r="L16" s="7"/>
    </row>
    <row r="17" spans="1:12">
      <c r="B17" s="13" t="s">
        <v>33</v>
      </c>
      <c r="C17" s="13"/>
      <c r="D17" s="13"/>
      <c r="E17" s="13"/>
      <c r="F17" s="13"/>
      <c r="G17" s="13"/>
      <c r="H17" s="13"/>
      <c r="I17" s="13"/>
      <c r="J17" s="13"/>
      <c r="K17" s="13"/>
      <c r="L17" s="13"/>
    </row>
    <row r="18" spans="1:12">
      <c r="B18" s="13" t="s">
        <v>34</v>
      </c>
      <c r="C18" s="13"/>
      <c r="D18" s="13"/>
      <c r="E18" s="13"/>
      <c r="F18" s="13"/>
      <c r="G18" s="13"/>
      <c r="H18" s="13"/>
      <c r="I18" s="13"/>
      <c r="J18" s="13"/>
      <c r="K18" s="13"/>
      <c r="L18" s="13"/>
    </row>
    <row r="19" spans="1:12">
      <c r="B19" s="13" t="s">
        <v>35</v>
      </c>
      <c r="C19" s="13"/>
      <c r="D19" s="13"/>
      <c r="E19" s="13"/>
      <c r="F19" s="13"/>
      <c r="G19" s="13"/>
      <c r="H19" s="13"/>
      <c r="I19" s="13"/>
      <c r="J19" s="13"/>
      <c r="K19" s="13"/>
      <c r="L19" s="13"/>
    </row>
    <row r="20" spans="1:12">
      <c r="B20" s="13" t="s">
        <v>36</v>
      </c>
      <c r="C20" s="13"/>
      <c r="D20" s="13"/>
      <c r="E20" s="13"/>
      <c r="F20" s="13"/>
      <c r="G20" s="13"/>
      <c r="H20" s="13"/>
      <c r="I20" s="13"/>
      <c r="J20" s="13"/>
      <c r="K20" s="13"/>
      <c r="L20" s="13"/>
    </row>
    <row r="21" spans="1:12">
      <c r="B21" s="13" t="s">
        <v>37</v>
      </c>
      <c r="C21" s="13"/>
      <c r="D21" s="13"/>
      <c r="E21" s="13"/>
      <c r="F21" s="13"/>
      <c r="G21" s="13"/>
      <c r="H21" s="13"/>
      <c r="I21" s="13"/>
      <c r="J21" s="13"/>
      <c r="K21" s="13"/>
      <c r="L21" s="13"/>
    </row>
    <row r="23" spans="1:12" ht="20" customHeight="1">
      <c r="A23" s="7" t="s">
        <v>38</v>
      </c>
      <c r="B23" s="7"/>
      <c r="C23" s="7"/>
      <c r="D23" s="7"/>
      <c r="E23" s="7"/>
      <c r="F23" s="7"/>
      <c r="G23" s="7"/>
      <c r="H23" s="7"/>
      <c r="I23" s="7"/>
      <c r="J23" s="7"/>
      <c r="K23" s="7"/>
      <c r="L23" s="7"/>
    </row>
    <row r="24" spans="1:12" ht="26" customHeight="1">
      <c r="B24" s="8" t="s">
        <v>39</v>
      </c>
      <c r="C24" s="9" t="s">
        <v>40</v>
      </c>
    </row>
    <row r="25" spans="1:12">
      <c r="B25" s="11" t="s">
        <v>41</v>
      </c>
      <c r="C25" s="13" t="s">
        <v>42</v>
      </c>
      <c r="D25" s="13"/>
      <c r="E25" s="13"/>
      <c r="F25" s="13"/>
      <c r="G25" s="13"/>
      <c r="H25" s="13"/>
      <c r="I25" s="13"/>
      <c r="J25" s="13"/>
      <c r="K25" s="13"/>
      <c r="L25" s="13"/>
    </row>
    <row r="26" spans="1:12">
      <c r="B26" s="11" t="s">
        <v>43</v>
      </c>
      <c r="C26" s="13" t="s">
        <v>44</v>
      </c>
      <c r="D26" s="13"/>
      <c r="E26" s="13"/>
      <c r="F26" s="13"/>
      <c r="G26" s="13"/>
      <c r="H26" s="13"/>
      <c r="I26" s="13"/>
      <c r="J26" s="13"/>
      <c r="K26" s="13"/>
      <c r="L26" s="13"/>
    </row>
    <row r="27" spans="1:12">
      <c r="B27" s="11" t="s">
        <v>15</v>
      </c>
      <c r="C27" s="13" t="s">
        <v>45</v>
      </c>
      <c r="D27" s="13"/>
      <c r="E27" s="13"/>
      <c r="F27" s="13"/>
      <c r="G27" s="13"/>
      <c r="H27" s="13"/>
      <c r="I27" s="13"/>
      <c r="J27" s="13"/>
      <c r="K27" s="13"/>
      <c r="L27" s="13"/>
    </row>
    <row r="28" spans="1:12">
      <c r="B28" s="11" t="s">
        <v>46</v>
      </c>
      <c r="C28" s="13" t="s">
        <v>47</v>
      </c>
      <c r="D28" s="13"/>
      <c r="E28" s="13"/>
      <c r="F28" s="13"/>
      <c r="G28" s="13"/>
      <c r="H28" s="13"/>
      <c r="I28" s="13"/>
      <c r="J28" s="13"/>
      <c r="K28" s="13"/>
      <c r="L28" s="13"/>
    </row>
    <row r="29" spans="1:12">
      <c r="B29" s="11" t="s">
        <v>48</v>
      </c>
      <c r="C29" s="13" t="s">
        <v>49</v>
      </c>
      <c r="D29" s="13"/>
      <c r="E29" s="13"/>
      <c r="F29" s="13"/>
      <c r="G29" s="13"/>
      <c r="H29" s="13"/>
      <c r="I29" s="13"/>
      <c r="J29" s="13"/>
      <c r="K29" s="13"/>
      <c r="L29" s="13"/>
    </row>
    <row r="30" spans="1:12">
      <c r="B30" s="11" t="s">
        <v>50</v>
      </c>
      <c r="C30" s="13" t="s">
        <v>51</v>
      </c>
      <c r="D30" s="13"/>
      <c r="E30" s="13"/>
      <c r="F30" s="13"/>
      <c r="G30" s="13"/>
      <c r="H30" s="13"/>
      <c r="I30" s="13"/>
      <c r="J30" s="13"/>
      <c r="K30" s="13"/>
      <c r="L30" s="13"/>
    </row>
    <row r="31" spans="1:12">
      <c r="B31" s="11" t="s">
        <v>52</v>
      </c>
      <c r="C31" s="13" t="s">
        <v>53</v>
      </c>
      <c r="D31" s="13"/>
      <c r="E31" s="13"/>
      <c r="F31" s="13"/>
      <c r="G31" s="13"/>
      <c r="H31" s="13"/>
      <c r="I31" s="13"/>
      <c r="J31" s="13"/>
      <c r="K31" s="13"/>
      <c r="L31" s="13"/>
    </row>
    <row r="32" spans="1:12">
      <c r="B32" s="11" t="s">
        <v>54</v>
      </c>
      <c r="C32" s="13" t="s">
        <v>55</v>
      </c>
      <c r="D32" s="13"/>
      <c r="E32" s="13"/>
      <c r="F32" s="13"/>
      <c r="G32" s="13"/>
      <c r="H32" s="13"/>
      <c r="I32" s="13"/>
      <c r="J32" s="13"/>
      <c r="K32" s="13"/>
      <c r="L32" s="13"/>
    </row>
    <row r="33" spans="2:12">
      <c r="B33" s="11" t="s">
        <v>27</v>
      </c>
      <c r="C33" s="13" t="s">
        <v>56</v>
      </c>
      <c r="D33" s="13"/>
      <c r="E33" s="13"/>
      <c r="F33" s="13"/>
      <c r="G33" s="13"/>
      <c r="H33" s="13"/>
      <c r="I33" s="13"/>
      <c r="J33" s="13"/>
      <c r="K33" s="13"/>
      <c r="L33" s="13"/>
    </row>
    <row r="34" spans="2:12">
      <c r="B34" s="11" t="s">
        <v>57</v>
      </c>
      <c r="C34" s="13" t="s">
        <v>58</v>
      </c>
      <c r="D34" s="13"/>
      <c r="E34" s="13"/>
      <c r="F34" s="13"/>
      <c r="G34" s="13"/>
      <c r="H34" s="13"/>
      <c r="I34" s="13"/>
      <c r="J34" s="13"/>
      <c r="K34" s="13"/>
      <c r="L34" s="13"/>
    </row>
    <row r="35" spans="2:12">
      <c r="B35" s="11" t="s">
        <v>59</v>
      </c>
      <c r="C35" s="13" t="s">
        <v>60</v>
      </c>
      <c r="D35" s="13"/>
      <c r="E35" s="13"/>
      <c r="F35" s="13"/>
      <c r="G35" s="13"/>
      <c r="H35" s="13"/>
      <c r="I35" s="13"/>
      <c r="J35" s="13"/>
      <c r="K35" s="13"/>
      <c r="L35" s="13"/>
    </row>
    <row r="36" spans="2:12">
      <c r="B36" s="11" t="s">
        <v>61</v>
      </c>
      <c r="C36" s="13" t="s">
        <v>62</v>
      </c>
      <c r="D36" s="13"/>
      <c r="E36" s="13"/>
      <c r="F36" s="13"/>
      <c r="G36" s="13"/>
      <c r="H36" s="13"/>
      <c r="I36" s="13"/>
      <c r="J36" s="13"/>
      <c r="K36" s="13"/>
      <c r="L36" s="13"/>
    </row>
    <row r="37" spans="2:12">
      <c r="B37" s="11" t="s">
        <v>63</v>
      </c>
      <c r="C37" s="13" t="s">
        <v>64</v>
      </c>
      <c r="D37" s="13"/>
      <c r="E37" s="13"/>
      <c r="F37" s="13"/>
      <c r="G37" s="13"/>
      <c r="H37" s="13"/>
      <c r="I37" s="13"/>
      <c r="J37" s="13"/>
      <c r="K37" s="13"/>
      <c r="L37" s="13"/>
    </row>
    <row r="38" spans="2:12">
      <c r="B38" s="11" t="s">
        <v>65</v>
      </c>
      <c r="C38" s="13" t="s">
        <v>66</v>
      </c>
      <c r="D38" s="13"/>
      <c r="E38" s="13"/>
      <c r="F38" s="13"/>
      <c r="G38" s="13"/>
      <c r="H38" s="13"/>
      <c r="I38" s="13"/>
      <c r="J38" s="13"/>
      <c r="K38" s="13"/>
      <c r="L38" s="13"/>
    </row>
    <row r="39" spans="2:12">
      <c r="B39" s="11" t="s">
        <v>67</v>
      </c>
      <c r="C39" s="13" t="s">
        <v>68</v>
      </c>
      <c r="D39" s="13"/>
      <c r="E39" s="13"/>
      <c r="F39" s="13"/>
      <c r="G39" s="13"/>
      <c r="H39" s="13"/>
      <c r="I39" s="13"/>
      <c r="J39" s="13"/>
      <c r="K39" s="13"/>
      <c r="L39" s="13"/>
    </row>
    <row r="40" spans="2:12">
      <c r="B40" s="11" t="s">
        <v>69</v>
      </c>
      <c r="C40" s="13" t="s">
        <v>70</v>
      </c>
      <c r="D40" s="13"/>
      <c r="E40" s="13"/>
      <c r="F40" s="13"/>
      <c r="G40" s="13"/>
      <c r="H40" s="13"/>
      <c r="I40" s="13"/>
      <c r="J40" s="13"/>
      <c r="K40" s="13"/>
      <c r="L40" s="13"/>
    </row>
    <row r="41" spans="2:12">
      <c r="B41" s="11" t="s">
        <v>71</v>
      </c>
      <c r="C41" s="13" t="s">
        <v>72</v>
      </c>
      <c r="D41" s="13"/>
      <c r="E41" s="13"/>
      <c r="F41" s="13"/>
      <c r="G41" s="13"/>
      <c r="H41" s="13"/>
      <c r="I41" s="13"/>
      <c r="J41" s="13"/>
      <c r="K41" s="13"/>
      <c r="L41" s="13"/>
    </row>
    <row r="42" spans="2:12">
      <c r="B42" s="11" t="s">
        <v>73</v>
      </c>
      <c r="C42" s="13" t="s">
        <v>74</v>
      </c>
      <c r="D42" s="13"/>
      <c r="E42" s="13"/>
      <c r="F42" s="13"/>
      <c r="G42" s="13"/>
      <c r="H42" s="13"/>
      <c r="I42" s="13"/>
      <c r="J42" s="13"/>
      <c r="K42" s="13"/>
      <c r="L42" s="13"/>
    </row>
    <row r="43" spans="2:12">
      <c r="B43" s="11" t="s">
        <v>75</v>
      </c>
      <c r="C43" s="13" t="s">
        <v>76</v>
      </c>
      <c r="D43" s="13"/>
      <c r="E43" s="13"/>
      <c r="F43" s="13"/>
      <c r="G43" s="13"/>
      <c r="H43" s="13"/>
      <c r="I43" s="13"/>
      <c r="J43" s="13"/>
      <c r="K43" s="13"/>
      <c r="L43" s="13"/>
    </row>
    <row r="44" spans="2:12">
      <c r="B44" s="11" t="s">
        <v>77</v>
      </c>
      <c r="C44" s="13" t="s">
        <v>78</v>
      </c>
      <c r="D44" s="13"/>
      <c r="E44" s="13"/>
      <c r="F44" s="13"/>
      <c r="G44" s="13"/>
      <c r="H44" s="13"/>
      <c r="I44" s="13"/>
      <c r="J44" s="13"/>
      <c r="K44" s="13"/>
      <c r="L44" s="13"/>
    </row>
    <row r="45" spans="2:12">
      <c r="B45" s="11" t="s">
        <v>79</v>
      </c>
      <c r="C45" s="13" t="s">
        <v>80</v>
      </c>
      <c r="D45" s="13"/>
      <c r="E45" s="13"/>
      <c r="F45" s="13"/>
      <c r="G45" s="13"/>
      <c r="H45" s="13"/>
      <c r="I45" s="13"/>
      <c r="J45" s="13"/>
      <c r="K45" s="13"/>
      <c r="L45" s="13"/>
    </row>
    <row r="46" spans="2:12">
      <c r="B46" s="11" t="s">
        <v>81</v>
      </c>
      <c r="C46" s="13" t="s">
        <v>82</v>
      </c>
      <c r="D46" s="13"/>
      <c r="E46" s="13"/>
      <c r="F46" s="13"/>
      <c r="G46" s="13"/>
      <c r="H46" s="13"/>
      <c r="I46" s="13"/>
      <c r="J46" s="13"/>
      <c r="K46" s="13"/>
      <c r="L46" s="13"/>
    </row>
    <row r="47" spans="2:12">
      <c r="B47" s="11" t="s">
        <v>83</v>
      </c>
      <c r="C47" s="13" t="s">
        <v>84</v>
      </c>
      <c r="D47" s="13"/>
      <c r="E47" s="13"/>
      <c r="F47" s="13"/>
      <c r="G47" s="13"/>
      <c r="H47" s="13"/>
      <c r="I47" s="13"/>
      <c r="J47" s="13"/>
      <c r="K47" s="13"/>
      <c r="L47" s="13"/>
    </row>
    <row r="48" spans="2:12">
      <c r="B48" s="11" t="s">
        <v>85</v>
      </c>
      <c r="C48" s="13" t="s">
        <v>86</v>
      </c>
      <c r="D48" s="13"/>
      <c r="E48" s="13"/>
      <c r="F48" s="13"/>
      <c r="G48" s="13"/>
      <c r="H48" s="13"/>
      <c r="I48" s="13"/>
      <c r="J48" s="13"/>
      <c r="K48" s="13"/>
      <c r="L48" s="13"/>
    </row>
    <row r="49" spans="1:12">
      <c r="B49" s="11" t="s">
        <v>87</v>
      </c>
      <c r="C49" s="13" t="s">
        <v>88</v>
      </c>
      <c r="D49" s="13"/>
      <c r="E49" s="13"/>
      <c r="F49" s="13"/>
      <c r="G49" s="13"/>
      <c r="H49" s="13"/>
      <c r="I49" s="13"/>
      <c r="J49" s="13"/>
      <c r="K49" s="13"/>
      <c r="L49" s="13"/>
    </row>
    <row r="50" spans="1:12">
      <c r="B50" s="11" t="s">
        <v>89</v>
      </c>
      <c r="C50" s="13" t="s">
        <v>90</v>
      </c>
      <c r="D50" s="13"/>
      <c r="E50" s="13"/>
      <c r="F50" s="13"/>
      <c r="G50" s="13"/>
      <c r="H50" s="13"/>
      <c r="I50" s="13"/>
      <c r="J50" s="13"/>
      <c r="K50" s="13"/>
      <c r="L50" s="13"/>
    </row>
    <row r="51" spans="1:12">
      <c r="B51" s="11" t="s">
        <v>91</v>
      </c>
      <c r="C51" s="13" t="s">
        <v>92</v>
      </c>
      <c r="D51" s="13"/>
      <c r="E51" s="13"/>
      <c r="F51" s="13"/>
      <c r="G51" s="13"/>
      <c r="H51" s="13"/>
      <c r="I51" s="13"/>
      <c r="J51" s="13"/>
      <c r="K51" s="13"/>
      <c r="L51" s="13"/>
    </row>
    <row r="52" spans="1:12">
      <c r="B52" s="11" t="s">
        <v>93</v>
      </c>
      <c r="C52" s="13" t="s">
        <v>94</v>
      </c>
      <c r="D52" s="13"/>
      <c r="E52" s="13"/>
      <c r="F52" s="13"/>
      <c r="G52" s="13"/>
      <c r="H52" s="13"/>
      <c r="I52" s="13"/>
      <c r="J52" s="13"/>
      <c r="K52" s="13"/>
      <c r="L52" s="13"/>
    </row>
    <row r="53" spans="1:12">
      <c r="B53" s="11" t="s">
        <v>95</v>
      </c>
      <c r="C53" s="13" t="s">
        <v>96</v>
      </c>
      <c r="D53" s="13"/>
      <c r="E53" s="13"/>
      <c r="F53" s="13"/>
      <c r="G53" s="13"/>
      <c r="H53" s="13"/>
      <c r="I53" s="13"/>
      <c r="J53" s="13"/>
      <c r="K53" s="13"/>
      <c r="L53" s="13"/>
    </row>
    <row r="54" spans="1:12">
      <c r="B54" s="11" t="s">
        <v>97</v>
      </c>
      <c r="C54" s="13" t="s">
        <v>98</v>
      </c>
      <c r="D54" s="13"/>
      <c r="E54" s="13"/>
      <c r="F54" s="13"/>
      <c r="G54" s="13"/>
      <c r="H54" s="13"/>
      <c r="I54" s="13"/>
      <c r="J54" s="13"/>
      <c r="K54" s="13"/>
      <c r="L54" s="13"/>
    </row>
    <row r="55" spans="1:12">
      <c r="B55" s="11" t="s">
        <v>99</v>
      </c>
      <c r="C55" s="13" t="s">
        <v>100</v>
      </c>
      <c r="D55" s="13"/>
      <c r="E55" s="13"/>
      <c r="F55" s="13"/>
      <c r="G55" s="13"/>
      <c r="H55" s="13"/>
      <c r="I55" s="13"/>
      <c r="J55" s="13"/>
      <c r="K55" s="13"/>
      <c r="L55" s="13"/>
    </row>
    <row r="56" spans="1:12">
      <c r="B56" s="11" t="s">
        <v>101</v>
      </c>
      <c r="C56" s="13" t="s">
        <v>102</v>
      </c>
      <c r="D56" s="13"/>
      <c r="E56" s="13"/>
      <c r="F56" s="13"/>
      <c r="G56" s="13"/>
      <c r="H56" s="13"/>
      <c r="I56" s="13"/>
      <c r="J56" s="13"/>
      <c r="K56" s="13"/>
      <c r="L56" s="13"/>
    </row>
    <row r="57" spans="1:12">
      <c r="B57" s="11" t="s">
        <v>103</v>
      </c>
      <c r="C57" s="13" t="s">
        <v>104</v>
      </c>
      <c r="D57" s="13"/>
      <c r="E57" s="13"/>
      <c r="F57" s="13"/>
      <c r="G57" s="13"/>
      <c r="H57" s="13"/>
      <c r="I57" s="13"/>
      <c r="J57" s="13"/>
      <c r="K57" s="13"/>
      <c r="L57" s="13"/>
    </row>
    <row r="58" spans="1:12">
      <c r="B58" s="11" t="s">
        <v>105</v>
      </c>
      <c r="C58" s="13" t="s">
        <v>106</v>
      </c>
      <c r="D58" s="13"/>
      <c r="E58" s="13"/>
      <c r="F58" s="13"/>
      <c r="G58" s="13"/>
      <c r="H58" s="13"/>
      <c r="I58" s="13"/>
      <c r="J58" s="13"/>
      <c r="K58" s="13"/>
      <c r="L58" s="13"/>
    </row>
    <row r="59" spans="1:12">
      <c r="B59" s="11" t="s">
        <v>107</v>
      </c>
      <c r="C59" s="13" t="s">
        <v>108</v>
      </c>
      <c r="D59" s="13"/>
      <c r="E59" s="13"/>
      <c r="F59" s="13"/>
      <c r="G59" s="13"/>
      <c r="H59" s="13"/>
      <c r="I59" s="13"/>
      <c r="J59" s="13"/>
      <c r="K59" s="13"/>
      <c r="L59" s="13"/>
    </row>
    <row r="60" spans="1:12">
      <c r="B60" s="11" t="s">
        <v>109</v>
      </c>
      <c r="C60" s="13" t="s">
        <v>110</v>
      </c>
      <c r="D60" s="13"/>
      <c r="E60" s="13"/>
      <c r="F60" s="13"/>
      <c r="G60" s="13"/>
      <c r="H60" s="13"/>
      <c r="I60" s="13"/>
      <c r="J60" s="13"/>
      <c r="K60" s="13"/>
      <c r="L60" s="13"/>
    </row>
    <row r="61" spans="1:12">
      <c r="B61" s="11" t="s">
        <v>111</v>
      </c>
      <c r="C61" s="13" t="s">
        <v>112</v>
      </c>
      <c r="D61" s="13"/>
      <c r="E61" s="13"/>
      <c r="F61" s="13"/>
      <c r="G61" s="13"/>
      <c r="H61" s="13"/>
      <c r="I61" s="13"/>
      <c r="J61" s="13"/>
      <c r="K61" s="13"/>
      <c r="L61" s="13"/>
    </row>
    <row r="63" spans="1:12" ht="20" customHeight="1">
      <c r="A63" s="7" t="s">
        <v>113</v>
      </c>
      <c r="B63" s="7"/>
      <c r="C63" s="7"/>
      <c r="D63" s="7"/>
      <c r="E63" s="7"/>
      <c r="F63" s="7"/>
      <c r="G63" s="7"/>
      <c r="H63" s="7"/>
      <c r="I63" s="7"/>
      <c r="J63" s="7"/>
      <c r="K63" s="7"/>
      <c r="L63" s="7"/>
    </row>
    <row r="64" spans="1:12" ht="28" customHeight="1">
      <c r="B64" s="13" t="s">
        <v>114</v>
      </c>
      <c r="C64" s="13"/>
      <c r="D64" s="13"/>
      <c r="E64" s="13"/>
      <c r="F64" s="13"/>
      <c r="G64" s="13"/>
      <c r="H64" s="13"/>
      <c r="I64" s="13"/>
      <c r="J64" s="13"/>
      <c r="K64" s="13"/>
      <c r="L64" s="13"/>
    </row>
    <row r="65" spans="1:12" ht="28" customHeight="1">
      <c r="B65" s="13" t="s">
        <v>115</v>
      </c>
      <c r="C65" s="13"/>
      <c r="D65" s="13"/>
      <c r="E65" s="13"/>
      <c r="F65" s="13"/>
      <c r="G65" s="13"/>
      <c r="H65" s="13"/>
      <c r="I65" s="13"/>
      <c r="J65" s="13"/>
      <c r="K65" s="13"/>
      <c r="L65" s="13"/>
    </row>
    <row r="66" spans="1:12" ht="28" customHeight="1">
      <c r="B66" s="13" t="s">
        <v>116</v>
      </c>
      <c r="C66" s="13"/>
      <c r="D66" s="13"/>
      <c r="E66" s="13"/>
      <c r="F66" s="13"/>
      <c r="G66" s="13"/>
      <c r="H66" s="13"/>
      <c r="I66" s="13"/>
      <c r="J66" s="13"/>
      <c r="K66" s="13"/>
      <c r="L66" s="13"/>
    </row>
    <row r="67" spans="1:12" ht="28" customHeight="1">
      <c r="B67" s="13" t="s">
        <v>117</v>
      </c>
      <c r="C67" s="13"/>
      <c r="D67" s="13"/>
      <c r="E67" s="13"/>
      <c r="F67" s="13"/>
      <c r="G67" s="13"/>
      <c r="H67" s="13"/>
      <c r="I67" s="13"/>
      <c r="J67" s="13"/>
      <c r="K67" s="13"/>
      <c r="L67" s="13"/>
    </row>
    <row r="68" spans="1:12" ht="28" customHeight="1">
      <c r="B68" s="13" t="s">
        <v>118</v>
      </c>
      <c r="C68" s="13"/>
      <c r="D68" s="13"/>
      <c r="E68" s="13"/>
      <c r="F68" s="13"/>
      <c r="G68" s="13"/>
      <c r="H68" s="13"/>
      <c r="I68" s="13"/>
      <c r="J68" s="13"/>
      <c r="K68" s="13"/>
      <c r="L68" s="13"/>
    </row>
    <row r="69" spans="1:12" ht="28" customHeight="1">
      <c r="B69" s="13" t="s">
        <v>119</v>
      </c>
      <c r="C69" s="13"/>
      <c r="D69" s="13"/>
      <c r="E69" s="13"/>
      <c r="F69" s="13"/>
      <c r="G69" s="13"/>
      <c r="H69" s="13"/>
      <c r="I69" s="13"/>
      <c r="J69" s="13"/>
      <c r="K69" s="13"/>
      <c r="L69" s="13"/>
    </row>
    <row r="71" spans="1:12" ht="20" customHeight="1">
      <c r="A71" s="7" t="s">
        <v>120</v>
      </c>
      <c r="B71" s="7"/>
      <c r="C71" s="7"/>
      <c r="D71" s="7"/>
      <c r="E71" s="7"/>
      <c r="F71" s="7"/>
      <c r="G71" s="7"/>
      <c r="H71" s="7"/>
      <c r="I71" s="7"/>
      <c r="J71" s="7"/>
      <c r="K71" s="7"/>
      <c r="L71" s="7"/>
    </row>
    <row r="72" spans="1:12" ht="70" customHeight="1">
      <c r="B72" s="6" t="s">
        <v>121</v>
      </c>
      <c r="C72" s="6"/>
      <c r="D72" s="6"/>
      <c r="E72" s="6"/>
      <c r="F72" s="6"/>
      <c r="G72" s="6"/>
      <c r="H72" s="6"/>
      <c r="I72" s="6"/>
      <c r="J72" s="6"/>
      <c r="K72" s="6"/>
      <c r="L72" s="6"/>
    </row>
    <row r="74" spans="1:12">
      <c r="B74" s="14" t="s">
        <v>122</v>
      </c>
      <c r="C74" s="14"/>
      <c r="D74" s="14"/>
      <c r="E74" s="14"/>
      <c r="F74" s="14"/>
      <c r="G74" s="14"/>
      <c r="H74" s="14"/>
      <c r="I74" s="14"/>
      <c r="J74" s="14"/>
      <c r="K74" s="14"/>
      <c r="L74" s="14"/>
    </row>
  </sheetData>
  <sheetProtection password="EC7C" sheet="1" objects="1" scenarios="1" formatCells="0" formatColumns="0" formatRows="0" insertRows="0" insertHyperlinks="0" deleteRows="0" autoFilter="0"/>
  <mergeCells count="71">
    <mergeCell ref="A1:I1"/>
    <mergeCell ref="J1:L1"/>
    <mergeCell ref="A2:L2"/>
    <mergeCell ref="A3:B3"/>
    <mergeCell ref="C3:D3"/>
    <mergeCell ref="E3:F3"/>
    <mergeCell ref="G3:H3"/>
    <mergeCell ref="I3:J3"/>
    <mergeCell ref="K3:L3"/>
    <mergeCell ref="B5:L5"/>
    <mergeCell ref="A7:L7"/>
    <mergeCell ref="D9:L9"/>
    <mergeCell ref="D10:L10"/>
    <mergeCell ref="D11:L11"/>
    <mergeCell ref="D12:L12"/>
    <mergeCell ref="D13:L13"/>
    <mergeCell ref="D14:L14"/>
    <mergeCell ref="A16:L16"/>
    <mergeCell ref="B17:L17"/>
    <mergeCell ref="B18:L18"/>
    <mergeCell ref="B19:L19"/>
    <mergeCell ref="B20:L20"/>
    <mergeCell ref="B21:L21"/>
    <mergeCell ref="A23:L23"/>
    <mergeCell ref="C25:L25"/>
    <mergeCell ref="C26:L26"/>
    <mergeCell ref="C27:L27"/>
    <mergeCell ref="C28:L28"/>
    <mergeCell ref="C29:L29"/>
    <mergeCell ref="C30:L30"/>
    <mergeCell ref="C31:L31"/>
    <mergeCell ref="C32:L32"/>
    <mergeCell ref="C33:L33"/>
    <mergeCell ref="C34:L34"/>
    <mergeCell ref="C35:L35"/>
    <mergeCell ref="C36:L36"/>
    <mergeCell ref="C37:L37"/>
    <mergeCell ref="C38:L38"/>
    <mergeCell ref="C39:L39"/>
    <mergeCell ref="C40:L40"/>
    <mergeCell ref="C41:L41"/>
    <mergeCell ref="C42:L42"/>
    <mergeCell ref="C43:L43"/>
    <mergeCell ref="C44:L44"/>
    <mergeCell ref="C45:L45"/>
    <mergeCell ref="C46:L46"/>
    <mergeCell ref="C47:L47"/>
    <mergeCell ref="C48:L48"/>
    <mergeCell ref="C49:L49"/>
    <mergeCell ref="C50:L50"/>
    <mergeCell ref="C51:L51"/>
    <mergeCell ref="C52:L52"/>
    <mergeCell ref="C53:L53"/>
    <mergeCell ref="C54:L54"/>
    <mergeCell ref="C55:L55"/>
    <mergeCell ref="C56:L56"/>
    <mergeCell ref="C57:L57"/>
    <mergeCell ref="C58:L58"/>
    <mergeCell ref="C59:L59"/>
    <mergeCell ref="C60:L60"/>
    <mergeCell ref="C61:L61"/>
    <mergeCell ref="A63:L63"/>
    <mergeCell ref="B64:L64"/>
    <mergeCell ref="B65:L65"/>
    <mergeCell ref="B66:L66"/>
    <mergeCell ref="B67:L67"/>
    <mergeCell ref="B68:L68"/>
    <mergeCell ref="B69:L69"/>
    <mergeCell ref="A71:L71"/>
    <mergeCell ref="B72:L72"/>
    <mergeCell ref="B74:L74"/>
  </mergeCell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s>
  <pageMargins left="0.4" right="0.4" top="0.6" bottom="0.5" header="0.3" footer="0.3"/>
  <pageSetup paperSize="9" fitToHeight="0" orientation="landscape"/>
  <headerFooter>
    <oddHeader>&amp;L&amp;"Calibri,Bold"&amp;12&amp;C&amp;"Calibri,Bold"&amp;11Start Here&amp;R&amp;"Calibri,Italic"&amp;9Social Media Content Calendar &amp; Analytics Planner</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241B38"/>
    <pageSetUpPr fitToPage="1"/>
  </sheetPr>
  <dimension ref="A1:R83"/>
  <sheetViews>
    <sheetView showGridLines="0" workbookViewId="0">
      <pane ySplit="4" topLeftCell="A5" activePane="bottomLeft" state="frozen"/>
      <selection pane="bottomLeft"/>
    </sheetView>
  </sheetViews>
  <sheetFormatPr defaultRowHeight="15"/>
  <cols>
    <col min="1" max="1" width="13.2109375" customWidth="1"/>
    <col min="2" max="2" width="13.2109375" customWidth="1"/>
    <col min="3" max="3" width="13.2109375" customWidth="1"/>
    <col min="4" max="4" width="13.2109375" customWidth="1"/>
    <col min="5" max="5" width="13.2109375" customWidth="1"/>
    <col min="6" max="6" width="13.2109375" customWidth="1"/>
    <col min="7" max="7" width="13.2109375" customWidth="1"/>
    <col min="8" max="8" width="13.2109375" customWidth="1"/>
    <col min="9" max="9" width="13.2109375" customWidth="1"/>
    <col min="10" max="10" width="13.2109375" customWidth="1"/>
    <col min="11" max="11" width="13.2109375" customWidth="1"/>
    <col min="12" max="12" width="13.2109375" customWidth="1"/>
    <col min="13" max="13" width="13.2109375" customWidth="1"/>
    <col min="14" max="14" width="13.2109375" customWidth="1"/>
    <col min="15" max="15" width="13.2109375" customWidth="1"/>
    <col min="16" max="16" width="13.2109375" customWidth="1"/>
    <col min="17" max="17" width="13.2109375" customWidth="1"/>
    <col min="18" max="18" width="13.2109375" customWidth="1"/>
  </cols>
  <sheetData>
    <row r="1" spans="1:18" ht="34" customHeight="1">
      <c r="A1" s="2" t="s">
        <v>123</v>
      </c>
      <c r="B1" s="2"/>
      <c r="C1" s="2"/>
      <c r="D1" s="2"/>
      <c r="E1" s="2"/>
      <c r="F1" s="2"/>
      <c r="G1" s="2"/>
      <c r="H1" s="2"/>
      <c r="I1" s="2"/>
      <c r="J1" s="2"/>
      <c r="K1" s="2"/>
      <c r="L1" s="2"/>
      <c r="M1" s="2"/>
      <c r="N1" s="2"/>
      <c r="O1" s="2"/>
      <c r="P1" s="3" t="s">
        <v>1</v>
      </c>
      <c r="Q1" s="3"/>
      <c r="R1" s="3"/>
    </row>
    <row r="2" spans="1:18" ht="18" customHeight="1">
      <c r="A2" s="4" t="s">
        <v>124</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8</v>
      </c>
      <c r="L3" s="5"/>
      <c r="M3" s="5" t="s">
        <v>125</v>
      </c>
      <c r="N3" s="5"/>
      <c r="O3" s="5" t="s">
        <v>126</v>
      </c>
      <c r="P3" s="5"/>
      <c r="Q3" s="5" t="s">
        <v>127</v>
      </c>
      <c r="R3" s="5"/>
    </row>
    <row r="5" spans="1:18" ht="20" customHeight="1">
      <c r="A5" s="7" t="s">
        <v>128</v>
      </c>
      <c r="B5" s="7"/>
      <c r="C5" s="7"/>
      <c r="D5" s="7"/>
      <c r="E5" s="7"/>
      <c r="F5" s="7"/>
      <c r="G5" s="7"/>
      <c r="H5" s="7"/>
      <c r="I5" s="7"/>
      <c r="J5" s="7"/>
      <c r="K5" s="7"/>
      <c r="L5" s="7"/>
      <c r="M5" s="7"/>
      <c r="N5" s="7"/>
      <c r="O5" s="7"/>
      <c r="P5" s="7"/>
      <c r="Q5" s="7"/>
      <c r="R5" s="7"/>
    </row>
    <row r="6" spans="1:18">
      <c r="A6" s="11" t="s">
        <v>129</v>
      </c>
      <c r="B6" s="11"/>
      <c r="C6" s="15" t="s">
        <v>130</v>
      </c>
      <c r="D6" s="15"/>
      <c r="E6" s="11" t="s">
        <v>131</v>
      </c>
      <c r="F6" s="11"/>
      <c r="G6" s="16">
        <f>IF(DashMonthName="All year",DATE(PlanYear,1,1),DATE(PlanYear,MAX(1,MATCH(DashMonthName,MonthList,0)-1),1))</f>
        <v>0</v>
      </c>
      <c r="H6" s="16"/>
      <c r="I6" s="11" t="s">
        <v>132</v>
      </c>
      <c r="J6" s="11"/>
      <c r="K6" s="16">
        <f>IF(DashMonthName="All year",DATE(PlanYear,12,31),EOMONTH(DashStart,0))</f>
        <v>0</v>
      </c>
      <c r="L6" s="16"/>
      <c r="M6" s="11" t="s">
        <v>133</v>
      </c>
      <c r="N6" s="11"/>
      <c r="O6" s="17">
        <f>TEXT(DashStart,"yyyy-mm")</f>
        <v>0</v>
      </c>
      <c r="P6" s="17"/>
      <c r="Q6" s="11" t="s">
        <v>134</v>
      </c>
      <c r="R6" s="16">
        <f>TODAY()</f>
        <v>0</v>
      </c>
    </row>
    <row r="8" spans="1:18" ht="20" customHeight="1">
      <c r="A8" s="7" t="s">
        <v>135</v>
      </c>
      <c r="B8" s="7"/>
      <c r="C8" s="7"/>
      <c r="D8" s="7"/>
      <c r="E8" s="7"/>
      <c r="F8" s="7"/>
      <c r="G8" s="7"/>
      <c r="H8" s="7"/>
      <c r="I8" s="7"/>
      <c r="J8" s="7"/>
      <c r="K8" s="7"/>
      <c r="L8" s="7"/>
      <c r="M8" s="7"/>
      <c r="N8" s="7"/>
      <c r="O8" s="7"/>
      <c r="P8" s="7"/>
      <c r="Q8" s="7"/>
      <c r="R8" s="7"/>
    </row>
    <row r="9" spans="1:18">
      <c r="A9" s="10" t="s">
        <v>136</v>
      </c>
      <c r="B9" s="10"/>
      <c r="C9" s="10"/>
      <c r="D9" s="10" t="s">
        <v>138</v>
      </c>
      <c r="E9" s="10"/>
      <c r="F9" s="10"/>
      <c r="G9" s="10" t="s">
        <v>140</v>
      </c>
      <c r="H9" s="10"/>
      <c r="I9" s="10"/>
      <c r="J9" s="10" t="s">
        <v>142</v>
      </c>
      <c r="K9" s="10"/>
      <c r="L9" s="10"/>
      <c r="M9" s="10" t="s">
        <v>144</v>
      </c>
      <c r="N9" s="10"/>
      <c r="O9" s="10"/>
      <c r="P9" s="10" t="s">
        <v>146</v>
      </c>
      <c r="Q9" s="10"/>
      <c r="R9" s="10"/>
    </row>
    <row r="10" spans="1:18" ht="26" customHeight="1">
      <c r="A10" s="18">
        <f>COUNTIFS('Content Calendar'!$B$5:$B$604,"&gt;="&amp;DashStart,'Content Calendar'!$B$5:$B$604,"&lt;="&amp;DashEnd)</f>
        <v>0</v>
      </c>
      <c r="B10" s="18"/>
      <c r="C10" s="18"/>
      <c r="D10" s="18">
        <f>COUNTIFS('Content Calendar'!$B$5:$B$604,"&gt;="&amp;DashStart,'Content Calendar'!$B$5:$B$604,"&lt;="&amp;DashEnd,'Content Calendar'!$X$5:$X$604,"Published")</f>
        <v>0</v>
      </c>
      <c r="E10" s="18"/>
      <c r="F10" s="18"/>
      <c r="G10" s="18">
        <f>COUNTIFS('Content Calendar'!$B$5:$B$604,"&gt;="&amp;DashStart,'Content Calendar'!$B$5:$B$604,"&lt;="&amp;DashEnd,'Content Calendar'!$X$5:$X$604,"Scheduled")+COUNTIFS('Content Calendar'!$B$5:$B$604,"&gt;="&amp;DashStart,'Content Calendar'!$B$5:$B$604,"&lt;="&amp;DashEnd,'Content Calendar'!$X$5:$X$604,"Approved")</f>
        <v>0</v>
      </c>
      <c r="H10" s="18"/>
      <c r="I10" s="18"/>
      <c r="J10" s="18">
        <f>IF(DashMonthName="All year",MonthlyPostTarget*12,MonthlyPostTarget)</f>
        <v>0</v>
      </c>
      <c r="K10" s="18"/>
      <c r="L10" s="18"/>
      <c r="M10" s="19">
        <f>IFERROR(Dash_Published/IF(DashMonthName="All year",MonthlyPostTarget*12,MonthlyPostTarget),0)</f>
        <v>0</v>
      </c>
      <c r="N10" s="19"/>
      <c r="O10" s="19"/>
      <c r="P10" s="18">
        <f>COUNTIFS('Content Calendar'!$AM$5:$AM$604,"&lt;&gt;OK",'Content Calendar'!$H$5:$H$604,"&lt;&gt;")</f>
        <v>0</v>
      </c>
      <c r="Q10" s="18"/>
      <c r="R10" s="18"/>
    </row>
    <row r="11" spans="1:18">
      <c r="A11" s="20" t="s">
        <v>137</v>
      </c>
      <c r="B11" s="20"/>
      <c r="C11" s="20"/>
      <c r="D11" s="20" t="s">
        <v>139</v>
      </c>
      <c r="E11" s="20"/>
      <c r="F11" s="20"/>
      <c r="G11" s="20" t="s">
        <v>141</v>
      </c>
      <c r="H11" s="20"/>
      <c r="I11" s="20"/>
      <c r="J11" s="20" t="s">
        <v>143</v>
      </c>
      <c r="K11" s="20"/>
      <c r="L11" s="20"/>
      <c r="M11" s="20" t="s">
        <v>145</v>
      </c>
      <c r="N11" s="20"/>
      <c r="O11" s="20"/>
      <c r="P11" s="20" t="s">
        <v>147</v>
      </c>
      <c r="Q11" s="20"/>
      <c r="R11" s="20"/>
    </row>
    <row r="13" spans="1:18" ht="20" customHeight="1">
      <c r="A13" s="7" t="s">
        <v>148</v>
      </c>
      <c r="B13" s="7"/>
      <c r="C13" s="7"/>
      <c r="D13" s="7"/>
      <c r="E13" s="7"/>
      <c r="F13" s="7"/>
      <c r="G13" s="7"/>
      <c r="H13" s="7"/>
      <c r="I13" s="7"/>
      <c r="J13" s="7"/>
      <c r="K13" s="7"/>
      <c r="L13" s="7"/>
      <c r="M13" s="7"/>
      <c r="N13" s="7"/>
      <c r="O13" s="7"/>
      <c r="P13" s="7"/>
      <c r="Q13" s="7"/>
      <c r="R13" s="7"/>
    </row>
    <row r="14" spans="1:18">
      <c r="A14" s="10" t="s">
        <v>149</v>
      </c>
      <c r="B14" s="10"/>
      <c r="C14" s="10"/>
      <c r="D14" s="10" t="s">
        <v>151</v>
      </c>
      <c r="E14" s="10"/>
      <c r="F14" s="10"/>
      <c r="G14" s="10" t="s">
        <v>153</v>
      </c>
      <c r="H14" s="10"/>
      <c r="I14" s="10"/>
      <c r="J14" s="10" t="s">
        <v>155</v>
      </c>
      <c r="K14" s="10"/>
      <c r="L14" s="10"/>
      <c r="M14" s="10" t="s">
        <v>157</v>
      </c>
      <c r="N14" s="10"/>
      <c r="O14" s="10"/>
      <c r="P14" s="10" t="s">
        <v>159</v>
      </c>
      <c r="Q14" s="10"/>
      <c r="R14" s="10"/>
    </row>
    <row r="15" spans="1:18" ht="26" customHeight="1">
      <c r="A15" s="18">
        <f>SUMIFS(Analytics!$J$5:$J$154,Analytics!$B$5:$B$154,"&gt;="&amp;DashStart,Analytics!$B$5:$B$154,"&lt;="&amp;DashEnd)</f>
        <v>0</v>
      </c>
      <c r="B15" s="18"/>
      <c r="C15" s="18"/>
      <c r="D15" s="18">
        <f>SUMIFS(Analytics!$K$5:$K$154,Analytics!$B$5:$B$154,"&gt;="&amp;DashStart,Analytics!$B$5:$B$154,"&lt;="&amp;DashEnd)</f>
        <v>0</v>
      </c>
      <c r="E15" s="18"/>
      <c r="F15" s="18"/>
      <c r="G15" s="18">
        <f>SUMIFS(Analytics!$L$5:$L$154,Analytics!$B$5:$B$154,"&gt;="&amp;DashStart,Analytics!$B$5:$B$154,"&lt;="&amp;DashEnd)</f>
        <v>0</v>
      </c>
      <c r="H15" s="18"/>
      <c r="I15" s="18"/>
      <c r="J15" s="19">
        <f>IFERROR(Dash_Engagements/Dash_Reach,0)</f>
        <v>0</v>
      </c>
      <c r="K15" s="19"/>
      <c r="L15" s="19"/>
      <c r="M15" s="19">
        <f>TargetEngagement</f>
        <v>0</v>
      </c>
      <c r="N15" s="19"/>
      <c r="O15" s="19"/>
      <c r="P15" s="18">
        <f>IFERROR(Dash_Reach/Dash_Published,0)</f>
        <v>0</v>
      </c>
      <c r="Q15" s="18"/>
      <c r="R15" s="18"/>
    </row>
    <row r="16" spans="1:18">
      <c r="A16" s="20" t="s">
        <v>150</v>
      </c>
      <c r="B16" s="20"/>
      <c r="C16" s="20"/>
      <c r="D16" s="20" t="s">
        <v>152</v>
      </c>
      <c r="E16" s="20"/>
      <c r="F16" s="20"/>
      <c r="G16" s="20" t="s">
        <v>154</v>
      </c>
      <c r="H16" s="20"/>
      <c r="I16" s="20"/>
      <c r="J16" s="20" t="s">
        <v>156</v>
      </c>
      <c r="K16" s="20"/>
      <c r="L16" s="20"/>
      <c r="M16" s="20" t="s">
        <v>158</v>
      </c>
      <c r="N16" s="20"/>
      <c r="O16" s="20"/>
      <c r="P16" s="20" t="s">
        <v>160</v>
      </c>
      <c r="Q16" s="20"/>
      <c r="R16" s="20"/>
    </row>
    <row r="18" spans="1:18" ht="20" customHeight="1">
      <c r="A18" s="7" t="s">
        <v>161</v>
      </c>
      <c r="B18" s="7"/>
      <c r="C18" s="7"/>
      <c r="D18" s="7"/>
      <c r="E18" s="7"/>
      <c r="F18" s="7"/>
      <c r="G18" s="7"/>
      <c r="H18" s="7"/>
      <c r="I18" s="7"/>
      <c r="J18" s="7"/>
      <c r="K18" s="7"/>
      <c r="L18" s="7"/>
      <c r="M18" s="7"/>
      <c r="N18" s="7"/>
      <c r="O18" s="7"/>
      <c r="P18" s="7"/>
      <c r="Q18" s="7"/>
      <c r="R18" s="7"/>
    </row>
    <row r="19" spans="1:18">
      <c r="A19" s="10" t="s">
        <v>162</v>
      </c>
      <c r="B19" s="10"/>
      <c r="C19" s="10"/>
      <c r="D19" s="10" t="s">
        <v>164</v>
      </c>
      <c r="E19" s="10"/>
      <c r="F19" s="10"/>
      <c r="G19" s="10" t="s">
        <v>166</v>
      </c>
      <c r="H19" s="10"/>
      <c r="I19" s="10"/>
      <c r="J19" s="10" t="s">
        <v>168</v>
      </c>
      <c r="K19" s="10"/>
      <c r="L19" s="10"/>
      <c r="M19" s="10" t="s">
        <v>170</v>
      </c>
      <c r="N19" s="10"/>
      <c r="O19" s="10"/>
      <c r="P19" s="10" t="s">
        <v>172</v>
      </c>
      <c r="Q19" s="10"/>
      <c r="R19" s="10"/>
    </row>
    <row r="20" spans="1:18" ht="26" customHeight="1">
      <c r="A20" s="18">
        <f>SUMIFS(Analytics!$G$5:$G$154,Analytics!$B$5:$B$154,"&gt;="&amp;DashStart,Analytics!$B$5:$B$154,"&lt;="&amp;DashEnd)</f>
        <v>0</v>
      </c>
      <c r="B20" s="18"/>
      <c r="C20" s="18"/>
      <c r="D20" s="18">
        <f>SUMIFS(Analytics!$X$5:$X$154,Analytics!$B$5:$B$154,"&gt;="&amp;DashStart,Analytics!$B$5:$B$154,"&lt;="&amp;DashEnd)</f>
        <v>0</v>
      </c>
      <c r="E20" s="18"/>
      <c r="F20" s="18"/>
      <c r="G20" s="18">
        <f>SUMIFS(Analytics!$R$5:$R$154,Analytics!$B$5:$B$154,"&gt;="&amp;DashStart,Analytics!$B$5:$B$154,"&lt;="&amp;DashEnd)</f>
        <v>0</v>
      </c>
      <c r="H20" s="18"/>
      <c r="I20" s="18"/>
      <c r="J20" s="18">
        <f>SUMIFS(Analytics!$S$5:$S$154,Analytics!$B$5:$B$154,"&gt;="&amp;DashStart,Analytics!$B$5:$B$154,"&lt;="&amp;DashEnd)</f>
        <v>0</v>
      </c>
      <c r="K20" s="18"/>
      <c r="L20" s="18"/>
      <c r="M20" s="18">
        <f>SUMIFS(Analytics!$T$5:$T$154,Analytics!$B$5:$B$154,"&gt;="&amp;DashStart,Analytics!$B$5:$B$154,"&lt;="&amp;DashEnd)</f>
        <v>0</v>
      </c>
      <c r="N20" s="18"/>
      <c r="O20" s="18"/>
      <c r="P20" s="21">
        <f>SUMIFS(Analytics!$U$5:$U$154,Analytics!$B$5:$B$154,"&gt;="&amp;DashStart,Analytics!$B$5:$B$154,"&lt;="&amp;DashEnd)</f>
        <v>0</v>
      </c>
      <c r="Q20" s="21"/>
      <c r="R20" s="21"/>
    </row>
    <row r="21" spans="1:18">
      <c r="A21" s="20" t="s">
        <v>163</v>
      </c>
      <c r="B21" s="20"/>
      <c r="C21" s="20"/>
      <c r="D21" s="20" t="s">
        <v>165</v>
      </c>
      <c r="E21" s="20"/>
      <c r="F21" s="20"/>
      <c r="G21" s="20" t="s">
        <v>167</v>
      </c>
      <c r="H21" s="20"/>
      <c r="I21" s="20"/>
      <c r="J21" s="20" t="s">
        <v>169</v>
      </c>
      <c r="K21" s="20"/>
      <c r="L21" s="20"/>
      <c r="M21" s="20" t="s">
        <v>171</v>
      </c>
      <c r="N21" s="20"/>
      <c r="O21" s="20"/>
      <c r="P21" s="20" t="s">
        <v>173</v>
      </c>
      <c r="Q21" s="20"/>
      <c r="R21" s="20"/>
    </row>
    <row r="23" spans="1:18" ht="20" customHeight="1">
      <c r="A23" s="7" t="s">
        <v>174</v>
      </c>
      <c r="B23" s="7"/>
      <c r="C23" s="7"/>
      <c r="D23" s="7"/>
      <c r="E23" s="7"/>
      <c r="F23" s="7"/>
      <c r="G23" s="7"/>
      <c r="H23" s="7"/>
      <c r="I23" s="7"/>
      <c r="J23" s="7"/>
      <c r="K23" s="7"/>
      <c r="L23" s="7"/>
      <c r="M23" s="7"/>
      <c r="N23" s="7"/>
      <c r="O23" s="7"/>
      <c r="P23" s="7"/>
      <c r="Q23" s="7"/>
      <c r="R23" s="7"/>
    </row>
    <row r="24" spans="1:18">
      <c r="A24" s="10" t="s">
        <v>175</v>
      </c>
      <c r="B24" s="10"/>
      <c r="C24" s="10"/>
      <c r="D24" s="10" t="s">
        <v>97</v>
      </c>
      <c r="E24" s="10"/>
      <c r="F24" s="10"/>
      <c r="G24" s="10" t="s">
        <v>177</v>
      </c>
      <c r="H24" s="10"/>
      <c r="I24" s="10"/>
      <c r="J24" s="10" t="s">
        <v>179</v>
      </c>
      <c r="K24" s="10"/>
      <c r="L24" s="10"/>
      <c r="M24" s="10" t="s">
        <v>181</v>
      </c>
      <c r="N24" s="10"/>
      <c r="O24" s="10"/>
      <c r="P24" s="10" t="s">
        <v>183</v>
      </c>
      <c r="Q24" s="10"/>
      <c r="R24" s="10"/>
    </row>
    <row r="25" spans="1:18" ht="26" customHeight="1">
      <c r="A25" s="21">
        <f>SUMIFS(Budget!$H$5:$H$64,Budget!$B$5:$B$64,"&gt;="&amp;DashStart,Budget!$B$5:$B$64,"&lt;="&amp;DashEnd)</f>
        <v>0</v>
      </c>
      <c r="B25" s="21"/>
      <c r="C25" s="21"/>
      <c r="D25" s="21">
        <f>IF(DashMonthName="All year",AnnualBudget,MonthlyBudget)</f>
        <v>0</v>
      </c>
      <c r="E25" s="21"/>
      <c r="F25" s="21"/>
      <c r="G25" s="21">
        <f>IF(DashMonthName="All year",AnnualBudget,MonthlyBudget)-Dash_Spend</f>
        <v>0</v>
      </c>
      <c r="H25" s="21"/>
      <c r="I25" s="21"/>
      <c r="J25" s="22">
        <f>IFERROR(Dash_Revenue/Dash_Spend,0)</f>
        <v>0</v>
      </c>
      <c r="K25" s="22"/>
      <c r="L25" s="22"/>
      <c r="M25" s="21">
        <f>IFERROR(Dash_Spend/SUMIFS(Analytics!$S$5:$S$154,Analytics!$B$5:$B$154,"&gt;="&amp;DashStart,Analytics!$B$5:$B$154,"&lt;="&amp;DashEnd),0)</f>
        <v>0</v>
      </c>
      <c r="N25" s="21"/>
      <c r="O25" s="21"/>
      <c r="P25" s="21">
        <f>IFERROR(Dash_Revenue/Dash_Published,0)</f>
        <v>0</v>
      </c>
      <c r="Q25" s="21"/>
      <c r="R25" s="21"/>
    </row>
    <row r="26" spans="1:18">
      <c r="A26" s="20" t="s">
        <v>176</v>
      </c>
      <c r="B26" s="20"/>
      <c r="C26" s="20"/>
      <c r="D26" s="20" t="s">
        <v>143</v>
      </c>
      <c r="E26" s="20"/>
      <c r="F26" s="20"/>
      <c r="G26" s="20" t="s">
        <v>178</v>
      </c>
      <c r="H26" s="20"/>
      <c r="I26" s="20"/>
      <c r="J26" s="20" t="s">
        <v>180</v>
      </c>
      <c r="K26" s="20"/>
      <c r="L26" s="20"/>
      <c r="M26" s="20" t="s">
        <v>182</v>
      </c>
      <c r="N26" s="20"/>
      <c r="O26" s="20"/>
      <c r="P26" s="20" t="s">
        <v>184</v>
      </c>
      <c r="Q26" s="20"/>
      <c r="R26" s="20"/>
    </row>
    <row r="28" spans="1:18" ht="20" customHeight="1">
      <c r="A28" s="7" t="s">
        <v>185</v>
      </c>
      <c r="B28" s="7"/>
      <c r="C28" s="7"/>
      <c r="D28" s="7"/>
      <c r="E28" s="7"/>
      <c r="F28" s="7"/>
      <c r="G28" s="7"/>
      <c r="H28" s="7"/>
      <c r="I28" s="7"/>
      <c r="J28" s="7"/>
      <c r="K28" s="7"/>
      <c r="L28" s="7"/>
      <c r="M28" s="7"/>
      <c r="N28" s="7"/>
      <c r="O28" s="7"/>
      <c r="P28" s="7"/>
      <c r="Q28" s="7"/>
      <c r="R28" s="7"/>
    </row>
    <row r="29" spans="1:18" ht="26" customHeight="1">
      <c r="A29" s="8" t="s">
        <v>129</v>
      </c>
      <c r="B29" s="9" t="s">
        <v>138</v>
      </c>
      <c r="C29" s="9" t="s">
        <v>149</v>
      </c>
      <c r="D29" s="9" t="s">
        <v>153</v>
      </c>
      <c r="E29" s="9" t="s">
        <v>186</v>
      </c>
      <c r="F29" s="9" t="s">
        <v>162</v>
      </c>
      <c r="G29" s="9" t="s">
        <v>187</v>
      </c>
      <c r="H29" s="9" t="s">
        <v>188</v>
      </c>
      <c r="I29" s="9" t="s">
        <v>168</v>
      </c>
      <c r="J29" s="9" t="s">
        <v>170</v>
      </c>
      <c r="K29" s="9" t="s">
        <v>172</v>
      </c>
      <c r="L29" s="9" t="s">
        <v>175</v>
      </c>
      <c r="M29" s="9" t="s">
        <v>189</v>
      </c>
    </row>
    <row r="30" spans="1:18">
      <c r="A30" s="17">
        <f>Calc!$D$5</f>
        <v>0</v>
      </c>
      <c r="B30" s="23">
        <f>Calc!$F$5</f>
        <v>0</v>
      </c>
      <c r="C30" s="23">
        <f>Calc!$G$5</f>
        <v>0</v>
      </c>
      <c r="D30" s="23">
        <f>Calc!$I$5</f>
        <v>0</v>
      </c>
      <c r="E30" s="24">
        <f>Calc!$J$5</f>
        <v>0</v>
      </c>
      <c r="F30" s="23">
        <f>Calc!$K$5</f>
        <v>0</v>
      </c>
      <c r="G30" s="23">
        <f>Calc!$L$5</f>
        <v>0</v>
      </c>
      <c r="H30" s="23">
        <f>Calc!$M$5</f>
        <v>0</v>
      </c>
      <c r="I30" s="23">
        <f>Calc!$N$5</f>
        <v>0</v>
      </c>
      <c r="J30" s="23">
        <f>Calc!$O$5</f>
        <v>0</v>
      </c>
      <c r="K30" s="25">
        <f>Calc!$P$5</f>
        <v>0</v>
      </c>
      <c r="L30" s="25">
        <f>Calc!$Q$5</f>
        <v>0</v>
      </c>
      <c r="M30" s="25">
        <f>Calc!$R$5</f>
        <v>0</v>
      </c>
    </row>
    <row r="31" spans="1:18">
      <c r="A31" s="17">
        <f>Calc!$D$6</f>
        <v>0</v>
      </c>
      <c r="B31" s="23">
        <f>Calc!$F$6</f>
        <v>0</v>
      </c>
      <c r="C31" s="23">
        <f>Calc!$G$6</f>
        <v>0</v>
      </c>
      <c r="D31" s="23">
        <f>Calc!$I$6</f>
        <v>0</v>
      </c>
      <c r="E31" s="24">
        <f>Calc!$J$6</f>
        <v>0</v>
      </c>
      <c r="F31" s="23">
        <f>Calc!$K$6</f>
        <v>0</v>
      </c>
      <c r="G31" s="23">
        <f>Calc!$L$6</f>
        <v>0</v>
      </c>
      <c r="H31" s="23">
        <f>Calc!$M$6</f>
        <v>0</v>
      </c>
      <c r="I31" s="23">
        <f>Calc!$N$6</f>
        <v>0</v>
      </c>
      <c r="J31" s="23">
        <f>Calc!$O$6</f>
        <v>0</v>
      </c>
      <c r="K31" s="25">
        <f>Calc!$P$6</f>
        <v>0</v>
      </c>
      <c r="L31" s="25">
        <f>Calc!$Q$6</f>
        <v>0</v>
      </c>
      <c r="M31" s="25">
        <f>Calc!$R$6</f>
        <v>0</v>
      </c>
    </row>
    <row r="32" spans="1:18">
      <c r="A32" s="17">
        <f>Calc!$D$7</f>
        <v>0</v>
      </c>
      <c r="B32" s="23">
        <f>Calc!$F$7</f>
        <v>0</v>
      </c>
      <c r="C32" s="23">
        <f>Calc!$G$7</f>
        <v>0</v>
      </c>
      <c r="D32" s="23">
        <f>Calc!$I$7</f>
        <v>0</v>
      </c>
      <c r="E32" s="24">
        <f>Calc!$J$7</f>
        <v>0</v>
      </c>
      <c r="F32" s="23">
        <f>Calc!$K$7</f>
        <v>0</v>
      </c>
      <c r="G32" s="23">
        <f>Calc!$L$7</f>
        <v>0</v>
      </c>
      <c r="H32" s="23">
        <f>Calc!$M$7</f>
        <v>0</v>
      </c>
      <c r="I32" s="23">
        <f>Calc!$N$7</f>
        <v>0</v>
      </c>
      <c r="J32" s="23">
        <f>Calc!$O$7</f>
        <v>0</v>
      </c>
      <c r="K32" s="25">
        <f>Calc!$P$7</f>
        <v>0</v>
      </c>
      <c r="L32" s="25">
        <f>Calc!$Q$7</f>
        <v>0</v>
      </c>
      <c r="M32" s="25">
        <f>Calc!$R$7</f>
        <v>0</v>
      </c>
    </row>
    <row r="33" spans="1:18">
      <c r="A33" s="17">
        <f>Calc!$D$8</f>
        <v>0</v>
      </c>
      <c r="B33" s="23">
        <f>Calc!$F$8</f>
        <v>0</v>
      </c>
      <c r="C33" s="23">
        <f>Calc!$G$8</f>
        <v>0</v>
      </c>
      <c r="D33" s="23">
        <f>Calc!$I$8</f>
        <v>0</v>
      </c>
      <c r="E33" s="24">
        <f>Calc!$J$8</f>
        <v>0</v>
      </c>
      <c r="F33" s="23">
        <f>Calc!$K$8</f>
        <v>0</v>
      </c>
      <c r="G33" s="23">
        <f>Calc!$L$8</f>
        <v>0</v>
      </c>
      <c r="H33" s="23">
        <f>Calc!$M$8</f>
        <v>0</v>
      </c>
      <c r="I33" s="23">
        <f>Calc!$N$8</f>
        <v>0</v>
      </c>
      <c r="J33" s="23">
        <f>Calc!$O$8</f>
        <v>0</v>
      </c>
      <c r="K33" s="25">
        <f>Calc!$P$8</f>
        <v>0</v>
      </c>
      <c r="L33" s="25">
        <f>Calc!$Q$8</f>
        <v>0</v>
      </c>
      <c r="M33" s="25">
        <f>Calc!$R$8</f>
        <v>0</v>
      </c>
    </row>
    <row r="34" spans="1:18">
      <c r="A34" s="17">
        <f>Calc!$D$9</f>
        <v>0</v>
      </c>
      <c r="B34" s="23">
        <f>Calc!$F$9</f>
        <v>0</v>
      </c>
      <c r="C34" s="23">
        <f>Calc!$G$9</f>
        <v>0</v>
      </c>
      <c r="D34" s="23">
        <f>Calc!$I$9</f>
        <v>0</v>
      </c>
      <c r="E34" s="24">
        <f>Calc!$J$9</f>
        <v>0</v>
      </c>
      <c r="F34" s="23">
        <f>Calc!$K$9</f>
        <v>0</v>
      </c>
      <c r="G34" s="23">
        <f>Calc!$L$9</f>
        <v>0</v>
      </c>
      <c r="H34" s="23">
        <f>Calc!$M$9</f>
        <v>0</v>
      </c>
      <c r="I34" s="23">
        <f>Calc!$N$9</f>
        <v>0</v>
      </c>
      <c r="J34" s="23">
        <f>Calc!$O$9</f>
        <v>0</v>
      </c>
      <c r="K34" s="25">
        <f>Calc!$P$9</f>
        <v>0</v>
      </c>
      <c r="L34" s="25">
        <f>Calc!$Q$9</f>
        <v>0</v>
      </c>
      <c r="M34" s="25">
        <f>Calc!$R$9</f>
        <v>0</v>
      </c>
    </row>
    <row r="35" spans="1:18">
      <c r="A35" s="17">
        <f>Calc!$D$10</f>
        <v>0</v>
      </c>
      <c r="B35" s="23">
        <f>Calc!$F$10</f>
        <v>0</v>
      </c>
      <c r="C35" s="23">
        <f>Calc!$G$10</f>
        <v>0</v>
      </c>
      <c r="D35" s="23">
        <f>Calc!$I$10</f>
        <v>0</v>
      </c>
      <c r="E35" s="24">
        <f>Calc!$J$10</f>
        <v>0</v>
      </c>
      <c r="F35" s="23">
        <f>Calc!$K$10</f>
        <v>0</v>
      </c>
      <c r="G35" s="23">
        <f>Calc!$L$10</f>
        <v>0</v>
      </c>
      <c r="H35" s="23">
        <f>Calc!$M$10</f>
        <v>0</v>
      </c>
      <c r="I35" s="23">
        <f>Calc!$N$10</f>
        <v>0</v>
      </c>
      <c r="J35" s="23">
        <f>Calc!$O$10</f>
        <v>0</v>
      </c>
      <c r="K35" s="25">
        <f>Calc!$P$10</f>
        <v>0</v>
      </c>
      <c r="L35" s="25">
        <f>Calc!$Q$10</f>
        <v>0</v>
      </c>
      <c r="M35" s="25">
        <f>Calc!$R$10</f>
        <v>0</v>
      </c>
    </row>
    <row r="36" spans="1:18">
      <c r="A36" s="17">
        <f>Calc!$D$11</f>
        <v>0</v>
      </c>
      <c r="B36" s="23">
        <f>Calc!$F$11</f>
        <v>0</v>
      </c>
      <c r="C36" s="23">
        <f>Calc!$G$11</f>
        <v>0</v>
      </c>
      <c r="D36" s="23">
        <f>Calc!$I$11</f>
        <v>0</v>
      </c>
      <c r="E36" s="24">
        <f>Calc!$J$11</f>
        <v>0</v>
      </c>
      <c r="F36" s="23">
        <f>Calc!$K$11</f>
        <v>0</v>
      </c>
      <c r="G36" s="23">
        <f>Calc!$L$11</f>
        <v>0</v>
      </c>
      <c r="H36" s="23">
        <f>Calc!$M$11</f>
        <v>0</v>
      </c>
      <c r="I36" s="23">
        <f>Calc!$N$11</f>
        <v>0</v>
      </c>
      <c r="J36" s="23">
        <f>Calc!$O$11</f>
        <v>0</v>
      </c>
      <c r="K36" s="25">
        <f>Calc!$P$11</f>
        <v>0</v>
      </c>
      <c r="L36" s="25">
        <f>Calc!$Q$11</f>
        <v>0</v>
      </c>
      <c r="M36" s="25">
        <f>Calc!$R$11</f>
        <v>0</v>
      </c>
    </row>
    <row r="37" spans="1:18">
      <c r="A37" s="17">
        <f>Calc!$D$12</f>
        <v>0</v>
      </c>
      <c r="B37" s="23">
        <f>Calc!$F$12</f>
        <v>0</v>
      </c>
      <c r="C37" s="23">
        <f>Calc!$G$12</f>
        <v>0</v>
      </c>
      <c r="D37" s="23">
        <f>Calc!$I$12</f>
        <v>0</v>
      </c>
      <c r="E37" s="24">
        <f>Calc!$J$12</f>
        <v>0</v>
      </c>
      <c r="F37" s="23">
        <f>Calc!$K$12</f>
        <v>0</v>
      </c>
      <c r="G37" s="23">
        <f>Calc!$L$12</f>
        <v>0</v>
      </c>
      <c r="H37" s="23">
        <f>Calc!$M$12</f>
        <v>0</v>
      </c>
      <c r="I37" s="23">
        <f>Calc!$N$12</f>
        <v>0</v>
      </c>
      <c r="J37" s="23">
        <f>Calc!$O$12</f>
        <v>0</v>
      </c>
      <c r="K37" s="25">
        <f>Calc!$P$12</f>
        <v>0</v>
      </c>
      <c r="L37" s="25">
        <f>Calc!$Q$12</f>
        <v>0</v>
      </c>
      <c r="M37" s="25">
        <f>Calc!$R$12</f>
        <v>0</v>
      </c>
    </row>
    <row r="38" spans="1:18">
      <c r="A38" s="17">
        <f>Calc!$D$13</f>
        <v>0</v>
      </c>
      <c r="B38" s="23">
        <f>Calc!$F$13</f>
        <v>0</v>
      </c>
      <c r="C38" s="23">
        <f>Calc!$G$13</f>
        <v>0</v>
      </c>
      <c r="D38" s="23">
        <f>Calc!$I$13</f>
        <v>0</v>
      </c>
      <c r="E38" s="24">
        <f>Calc!$J$13</f>
        <v>0</v>
      </c>
      <c r="F38" s="23">
        <f>Calc!$K$13</f>
        <v>0</v>
      </c>
      <c r="G38" s="23">
        <f>Calc!$L$13</f>
        <v>0</v>
      </c>
      <c r="H38" s="23">
        <f>Calc!$M$13</f>
        <v>0</v>
      </c>
      <c r="I38" s="23">
        <f>Calc!$N$13</f>
        <v>0</v>
      </c>
      <c r="J38" s="23">
        <f>Calc!$O$13</f>
        <v>0</v>
      </c>
      <c r="K38" s="25">
        <f>Calc!$P$13</f>
        <v>0</v>
      </c>
      <c r="L38" s="25">
        <f>Calc!$Q$13</f>
        <v>0</v>
      </c>
      <c r="M38" s="25">
        <f>Calc!$R$13</f>
        <v>0</v>
      </c>
    </row>
    <row r="39" spans="1:18">
      <c r="A39" s="17">
        <f>Calc!$D$14</f>
        <v>0</v>
      </c>
      <c r="B39" s="23">
        <f>Calc!$F$14</f>
        <v>0</v>
      </c>
      <c r="C39" s="23">
        <f>Calc!$G$14</f>
        <v>0</v>
      </c>
      <c r="D39" s="23">
        <f>Calc!$I$14</f>
        <v>0</v>
      </c>
      <c r="E39" s="24">
        <f>Calc!$J$14</f>
        <v>0</v>
      </c>
      <c r="F39" s="23">
        <f>Calc!$K$14</f>
        <v>0</v>
      </c>
      <c r="G39" s="23">
        <f>Calc!$L$14</f>
        <v>0</v>
      </c>
      <c r="H39" s="23">
        <f>Calc!$M$14</f>
        <v>0</v>
      </c>
      <c r="I39" s="23">
        <f>Calc!$N$14</f>
        <v>0</v>
      </c>
      <c r="J39" s="23">
        <f>Calc!$O$14</f>
        <v>0</v>
      </c>
      <c r="K39" s="25">
        <f>Calc!$P$14</f>
        <v>0</v>
      </c>
      <c r="L39" s="25">
        <f>Calc!$Q$14</f>
        <v>0</v>
      </c>
      <c r="M39" s="25">
        <f>Calc!$R$14</f>
        <v>0</v>
      </c>
    </row>
    <row r="40" spans="1:18">
      <c r="A40" s="17">
        <f>Calc!$D$15</f>
        <v>0</v>
      </c>
      <c r="B40" s="23">
        <f>Calc!$F$15</f>
        <v>0</v>
      </c>
      <c r="C40" s="23">
        <f>Calc!$G$15</f>
        <v>0</v>
      </c>
      <c r="D40" s="23">
        <f>Calc!$I$15</f>
        <v>0</v>
      </c>
      <c r="E40" s="24">
        <f>Calc!$J$15</f>
        <v>0</v>
      </c>
      <c r="F40" s="23">
        <f>Calc!$K$15</f>
        <v>0</v>
      </c>
      <c r="G40" s="23">
        <f>Calc!$L$15</f>
        <v>0</v>
      </c>
      <c r="H40" s="23">
        <f>Calc!$M$15</f>
        <v>0</v>
      </c>
      <c r="I40" s="23">
        <f>Calc!$N$15</f>
        <v>0</v>
      </c>
      <c r="J40" s="23">
        <f>Calc!$O$15</f>
        <v>0</v>
      </c>
      <c r="K40" s="25">
        <f>Calc!$P$15</f>
        <v>0</v>
      </c>
      <c r="L40" s="25">
        <f>Calc!$Q$15</f>
        <v>0</v>
      </c>
      <c r="M40" s="25">
        <f>Calc!$R$15</f>
        <v>0</v>
      </c>
    </row>
    <row r="41" spans="1:18">
      <c r="A41" s="17">
        <f>Calc!$D$16</f>
        <v>0</v>
      </c>
      <c r="B41" s="23">
        <f>Calc!$F$16</f>
        <v>0</v>
      </c>
      <c r="C41" s="23">
        <f>Calc!$G$16</f>
        <v>0</v>
      </c>
      <c r="D41" s="23">
        <f>Calc!$I$16</f>
        <v>0</v>
      </c>
      <c r="E41" s="24">
        <f>Calc!$J$16</f>
        <v>0</v>
      </c>
      <c r="F41" s="23">
        <f>Calc!$K$16</f>
        <v>0</v>
      </c>
      <c r="G41" s="23">
        <f>Calc!$L$16</f>
        <v>0</v>
      </c>
      <c r="H41" s="23">
        <f>Calc!$M$16</f>
        <v>0</v>
      </c>
      <c r="I41" s="23">
        <f>Calc!$N$16</f>
        <v>0</v>
      </c>
      <c r="J41" s="23">
        <f>Calc!$O$16</f>
        <v>0</v>
      </c>
      <c r="K41" s="25">
        <f>Calc!$P$16</f>
        <v>0</v>
      </c>
      <c r="L41" s="25">
        <f>Calc!$Q$16</f>
        <v>0</v>
      </c>
      <c r="M41" s="25">
        <f>Calc!$R$16</f>
        <v>0</v>
      </c>
    </row>
    <row r="42" spans="1:18">
      <c r="A42" s="26" t="s">
        <v>190</v>
      </c>
      <c r="E42" s="27"/>
      <c r="G42" s="27"/>
      <c r="H42" s="27"/>
      <c r="I42" s="27"/>
      <c r="J42" s="27"/>
      <c r="L42" s="27"/>
      <c r="M42" s="27"/>
    </row>
    <row r="44" spans="1:18" ht="20" customHeight="1">
      <c r="A44" s="7" t="s">
        <v>191</v>
      </c>
      <c r="B44" s="7"/>
      <c r="C44" s="7"/>
      <c r="D44" s="7"/>
      <c r="E44" s="7"/>
      <c r="F44" s="7"/>
      <c r="G44" s="7"/>
      <c r="H44" s="7"/>
      <c r="I44" s="7"/>
      <c r="K44" s="28" t="s">
        <v>194</v>
      </c>
      <c r="L44" s="28"/>
      <c r="M44" s="28"/>
      <c r="N44" s="28"/>
      <c r="O44" s="28"/>
      <c r="P44" s="28"/>
      <c r="Q44" s="28"/>
      <c r="R44" s="28"/>
    </row>
    <row r="45" spans="1:18" ht="26" customHeight="1">
      <c r="A45" s="8" t="s">
        <v>192</v>
      </c>
      <c r="B45" s="9" t="s">
        <v>193</v>
      </c>
      <c r="C45" s="9" t="s">
        <v>149</v>
      </c>
      <c r="D45" s="9" t="s">
        <v>153</v>
      </c>
      <c r="E45" s="9" t="s">
        <v>186</v>
      </c>
      <c r="F45" s="9" t="s">
        <v>162</v>
      </c>
      <c r="G45" s="9" t="s">
        <v>187</v>
      </c>
      <c r="H45" s="9" t="s">
        <v>188</v>
      </c>
      <c r="I45" s="9" t="s">
        <v>172</v>
      </c>
      <c r="K45" s="8" t="s">
        <v>195</v>
      </c>
      <c r="L45" s="9" t="s">
        <v>193</v>
      </c>
      <c r="M45" s="9" t="s">
        <v>149</v>
      </c>
      <c r="N45" s="9" t="s">
        <v>153</v>
      </c>
      <c r="O45" s="9" t="s">
        <v>186</v>
      </c>
      <c r="P45" s="9" t="s">
        <v>196</v>
      </c>
    </row>
    <row r="46" spans="1:18">
      <c r="A46" s="17">
        <f>IF(Calc!$T$5="","",Calc!$T$5)</f>
        <v>0</v>
      </c>
      <c r="B46" s="23">
        <f>IF(Calc!$T$5="","",Calc!$V$5)</f>
        <v>0</v>
      </c>
      <c r="C46" s="23">
        <f>IF(Calc!$T$5="","",Calc!$W$5)</f>
        <v>0</v>
      </c>
      <c r="D46" s="23">
        <f>IF(Calc!$T$5="","",Calc!$X$5)</f>
        <v>0</v>
      </c>
      <c r="E46" s="24">
        <f>IF(Calc!$T$5="","",Calc!$Y$5)</f>
        <v>0</v>
      </c>
      <c r="F46" s="23">
        <f>IF(Calc!$T$5="","",Calc!$Z$5)</f>
        <v>0</v>
      </c>
      <c r="G46" s="23">
        <f>IF(Calc!$T$5="","",Calc!$AA$5)</f>
        <v>0</v>
      </c>
      <c r="H46" s="23">
        <f>IF(Calc!$T$5="","",Calc!$AB$5)</f>
        <v>0</v>
      </c>
      <c r="I46" s="25">
        <f>IF(Calc!$T$5="","",Calc!$AC$5)</f>
        <v>0</v>
      </c>
      <c r="K46" s="17">
        <f>IF(Calc!$AJ$5="","",Calc!$AJ$5)</f>
        <v>0</v>
      </c>
      <c r="L46" s="23">
        <f>IF(Calc!$AJ$5="","",Calc!$AK$5)</f>
        <v>0</v>
      </c>
      <c r="M46" s="23">
        <f>IF(Calc!$AJ$5="","",Calc!$AL$5)</f>
        <v>0</v>
      </c>
      <c r="N46" s="23">
        <f>IF(Calc!$AJ$5="","",Calc!$AM$5)</f>
        <v>0</v>
      </c>
      <c r="O46" s="24">
        <f>IF(Calc!$AJ$5="","",Calc!$AN$5)</f>
        <v>0</v>
      </c>
      <c r="P46" s="24">
        <f>IFERROR(Calc!$AK$5/SUM(Calc!$AK$5:$AK$604),"")</f>
        <v>0</v>
      </c>
    </row>
    <row r="47" spans="1:18">
      <c r="A47" s="17">
        <f>IF(Calc!$T$6="","",Calc!$T$6)</f>
        <v>0</v>
      </c>
      <c r="B47" s="23">
        <f>IF(Calc!$T$6="","",Calc!$V$6)</f>
        <v>0</v>
      </c>
      <c r="C47" s="23">
        <f>IF(Calc!$T$6="","",Calc!$W$6)</f>
        <v>0</v>
      </c>
      <c r="D47" s="23">
        <f>IF(Calc!$T$6="","",Calc!$X$6)</f>
        <v>0</v>
      </c>
      <c r="E47" s="24">
        <f>IF(Calc!$T$6="","",Calc!$Y$6)</f>
        <v>0</v>
      </c>
      <c r="F47" s="23">
        <f>IF(Calc!$T$6="","",Calc!$Z$6)</f>
        <v>0</v>
      </c>
      <c r="G47" s="23">
        <f>IF(Calc!$T$6="","",Calc!$AA$6)</f>
        <v>0</v>
      </c>
      <c r="H47" s="23">
        <f>IF(Calc!$T$6="","",Calc!$AB$6)</f>
        <v>0</v>
      </c>
      <c r="I47" s="25">
        <f>IF(Calc!$T$6="","",Calc!$AC$6)</f>
        <v>0</v>
      </c>
      <c r="K47" s="17">
        <f>IF(Calc!$AJ$6="","",Calc!$AJ$6)</f>
        <v>0</v>
      </c>
      <c r="L47" s="23">
        <f>IF(Calc!$AJ$6="","",Calc!$AK$6)</f>
        <v>0</v>
      </c>
      <c r="M47" s="23">
        <f>IF(Calc!$AJ$6="","",Calc!$AL$6)</f>
        <v>0</v>
      </c>
      <c r="N47" s="23">
        <f>IF(Calc!$AJ$6="","",Calc!$AM$6)</f>
        <v>0</v>
      </c>
      <c r="O47" s="24">
        <f>IF(Calc!$AJ$6="","",Calc!$AN$6)</f>
        <v>0</v>
      </c>
      <c r="P47" s="24">
        <f>IFERROR(Calc!$AK$6/SUM(Calc!$AK$5:$AK$604),"")</f>
        <v>0</v>
      </c>
    </row>
    <row r="48" spans="1:18">
      <c r="A48" s="17">
        <f>IF(Calc!$T$7="","",Calc!$T$7)</f>
        <v>0</v>
      </c>
      <c r="B48" s="23">
        <f>IF(Calc!$T$7="","",Calc!$V$7)</f>
        <v>0</v>
      </c>
      <c r="C48" s="23">
        <f>IF(Calc!$T$7="","",Calc!$W$7)</f>
        <v>0</v>
      </c>
      <c r="D48" s="23">
        <f>IF(Calc!$T$7="","",Calc!$X$7)</f>
        <v>0</v>
      </c>
      <c r="E48" s="24">
        <f>IF(Calc!$T$7="","",Calc!$Y$7)</f>
        <v>0</v>
      </c>
      <c r="F48" s="23">
        <f>IF(Calc!$T$7="","",Calc!$Z$7)</f>
        <v>0</v>
      </c>
      <c r="G48" s="23">
        <f>IF(Calc!$T$7="","",Calc!$AA$7)</f>
        <v>0</v>
      </c>
      <c r="H48" s="23">
        <f>IF(Calc!$T$7="","",Calc!$AB$7)</f>
        <v>0</v>
      </c>
      <c r="I48" s="25">
        <f>IF(Calc!$T$7="","",Calc!$AC$7)</f>
        <v>0</v>
      </c>
      <c r="K48" s="17">
        <f>IF(Calc!$AJ$7="","",Calc!$AJ$7)</f>
        <v>0</v>
      </c>
      <c r="L48" s="23">
        <f>IF(Calc!$AJ$7="","",Calc!$AK$7)</f>
        <v>0</v>
      </c>
      <c r="M48" s="23">
        <f>IF(Calc!$AJ$7="","",Calc!$AL$7)</f>
        <v>0</v>
      </c>
      <c r="N48" s="23">
        <f>IF(Calc!$AJ$7="","",Calc!$AM$7)</f>
        <v>0</v>
      </c>
      <c r="O48" s="24">
        <f>IF(Calc!$AJ$7="","",Calc!$AN$7)</f>
        <v>0</v>
      </c>
      <c r="P48" s="24">
        <f>IFERROR(Calc!$AK$7/SUM(Calc!$AK$5:$AK$604),"")</f>
        <v>0</v>
      </c>
    </row>
    <row r="49" spans="1:18">
      <c r="A49" s="17">
        <f>IF(Calc!$T$8="","",Calc!$T$8)</f>
        <v>0</v>
      </c>
      <c r="B49" s="23">
        <f>IF(Calc!$T$8="","",Calc!$V$8)</f>
        <v>0</v>
      </c>
      <c r="C49" s="23">
        <f>IF(Calc!$T$8="","",Calc!$W$8)</f>
        <v>0</v>
      </c>
      <c r="D49" s="23">
        <f>IF(Calc!$T$8="","",Calc!$X$8)</f>
        <v>0</v>
      </c>
      <c r="E49" s="24">
        <f>IF(Calc!$T$8="","",Calc!$Y$8)</f>
        <v>0</v>
      </c>
      <c r="F49" s="23">
        <f>IF(Calc!$T$8="","",Calc!$Z$8)</f>
        <v>0</v>
      </c>
      <c r="G49" s="23">
        <f>IF(Calc!$T$8="","",Calc!$AA$8)</f>
        <v>0</v>
      </c>
      <c r="H49" s="23">
        <f>IF(Calc!$T$8="","",Calc!$AB$8)</f>
        <v>0</v>
      </c>
      <c r="I49" s="25">
        <f>IF(Calc!$T$8="","",Calc!$AC$8)</f>
        <v>0</v>
      </c>
      <c r="K49" s="17">
        <f>IF(Calc!$AJ$8="","",Calc!$AJ$8)</f>
        <v>0</v>
      </c>
      <c r="L49" s="23">
        <f>IF(Calc!$AJ$8="","",Calc!$AK$8)</f>
        <v>0</v>
      </c>
      <c r="M49" s="23">
        <f>IF(Calc!$AJ$8="","",Calc!$AL$8)</f>
        <v>0</v>
      </c>
      <c r="N49" s="23">
        <f>IF(Calc!$AJ$8="","",Calc!$AM$8)</f>
        <v>0</v>
      </c>
      <c r="O49" s="24">
        <f>IF(Calc!$AJ$8="","",Calc!$AN$8)</f>
        <v>0</v>
      </c>
      <c r="P49" s="24">
        <f>IFERROR(Calc!$AK$8/SUM(Calc!$AK$5:$AK$604),"")</f>
        <v>0</v>
      </c>
    </row>
    <row r="50" spans="1:18">
      <c r="A50" s="17">
        <f>IF(Calc!$T$9="","",Calc!$T$9)</f>
        <v>0</v>
      </c>
      <c r="B50" s="23">
        <f>IF(Calc!$T$9="","",Calc!$V$9)</f>
        <v>0</v>
      </c>
      <c r="C50" s="23">
        <f>IF(Calc!$T$9="","",Calc!$W$9)</f>
        <v>0</v>
      </c>
      <c r="D50" s="23">
        <f>IF(Calc!$T$9="","",Calc!$X$9)</f>
        <v>0</v>
      </c>
      <c r="E50" s="24">
        <f>IF(Calc!$T$9="","",Calc!$Y$9)</f>
        <v>0</v>
      </c>
      <c r="F50" s="23">
        <f>IF(Calc!$T$9="","",Calc!$Z$9)</f>
        <v>0</v>
      </c>
      <c r="G50" s="23">
        <f>IF(Calc!$T$9="","",Calc!$AA$9)</f>
        <v>0</v>
      </c>
      <c r="H50" s="23">
        <f>IF(Calc!$T$9="","",Calc!$AB$9)</f>
        <v>0</v>
      </c>
      <c r="I50" s="25">
        <f>IF(Calc!$T$9="","",Calc!$AC$9)</f>
        <v>0</v>
      </c>
      <c r="K50" s="17">
        <f>IF(Calc!$AJ$9="","",Calc!$AJ$9)</f>
        <v>0</v>
      </c>
      <c r="L50" s="23">
        <f>IF(Calc!$AJ$9="","",Calc!$AK$9)</f>
        <v>0</v>
      </c>
      <c r="M50" s="23">
        <f>IF(Calc!$AJ$9="","",Calc!$AL$9)</f>
        <v>0</v>
      </c>
      <c r="N50" s="23">
        <f>IF(Calc!$AJ$9="","",Calc!$AM$9)</f>
        <v>0</v>
      </c>
      <c r="O50" s="24">
        <f>IF(Calc!$AJ$9="","",Calc!$AN$9)</f>
        <v>0</v>
      </c>
      <c r="P50" s="24">
        <f>IFERROR(Calc!$AK$9/SUM(Calc!$AK$5:$AK$604),"")</f>
        <v>0</v>
      </c>
    </row>
    <row r="51" spans="1:18">
      <c r="A51" s="17">
        <f>IF(Calc!$T$10="","",Calc!$T$10)</f>
        <v>0</v>
      </c>
      <c r="B51" s="23">
        <f>IF(Calc!$T$10="","",Calc!$V$10)</f>
        <v>0</v>
      </c>
      <c r="C51" s="23">
        <f>IF(Calc!$T$10="","",Calc!$W$10)</f>
        <v>0</v>
      </c>
      <c r="D51" s="23">
        <f>IF(Calc!$T$10="","",Calc!$X$10)</f>
        <v>0</v>
      </c>
      <c r="E51" s="24">
        <f>IF(Calc!$T$10="","",Calc!$Y$10)</f>
        <v>0</v>
      </c>
      <c r="F51" s="23">
        <f>IF(Calc!$T$10="","",Calc!$Z$10)</f>
        <v>0</v>
      </c>
      <c r="G51" s="23">
        <f>IF(Calc!$T$10="","",Calc!$AA$10)</f>
        <v>0</v>
      </c>
      <c r="H51" s="23">
        <f>IF(Calc!$T$10="","",Calc!$AB$10)</f>
        <v>0</v>
      </c>
      <c r="I51" s="25">
        <f>IF(Calc!$T$10="","",Calc!$AC$10)</f>
        <v>0</v>
      </c>
      <c r="K51" s="17">
        <f>IF(Calc!$AJ$10="","",Calc!$AJ$10)</f>
        <v>0</v>
      </c>
      <c r="L51" s="23">
        <f>IF(Calc!$AJ$10="","",Calc!$AK$10)</f>
        <v>0</v>
      </c>
      <c r="M51" s="23">
        <f>IF(Calc!$AJ$10="","",Calc!$AL$10)</f>
        <v>0</v>
      </c>
      <c r="N51" s="23">
        <f>IF(Calc!$AJ$10="","",Calc!$AM$10)</f>
        <v>0</v>
      </c>
      <c r="O51" s="24">
        <f>IF(Calc!$AJ$10="","",Calc!$AN$10)</f>
        <v>0</v>
      </c>
      <c r="P51" s="24">
        <f>IFERROR(Calc!$AK$10/SUM(Calc!$AK$5:$AK$604),"")</f>
        <v>0</v>
      </c>
    </row>
    <row r="52" spans="1:18">
      <c r="A52" s="17">
        <f>IF(Calc!$T$11="","",Calc!$T$11)</f>
        <v>0</v>
      </c>
      <c r="B52" s="23">
        <f>IF(Calc!$T$11="","",Calc!$V$11)</f>
        <v>0</v>
      </c>
      <c r="C52" s="23">
        <f>IF(Calc!$T$11="","",Calc!$W$11)</f>
        <v>0</v>
      </c>
      <c r="D52" s="23">
        <f>IF(Calc!$T$11="","",Calc!$X$11)</f>
        <v>0</v>
      </c>
      <c r="E52" s="24">
        <f>IF(Calc!$T$11="","",Calc!$Y$11)</f>
        <v>0</v>
      </c>
      <c r="F52" s="23">
        <f>IF(Calc!$T$11="","",Calc!$Z$11)</f>
        <v>0</v>
      </c>
      <c r="G52" s="23">
        <f>IF(Calc!$T$11="","",Calc!$AA$11)</f>
        <v>0</v>
      </c>
      <c r="H52" s="23">
        <f>IF(Calc!$T$11="","",Calc!$AB$11)</f>
        <v>0</v>
      </c>
      <c r="I52" s="25">
        <f>IF(Calc!$T$11="","",Calc!$AC$11)</f>
        <v>0</v>
      </c>
      <c r="K52" s="17">
        <f>IF(Calc!$AJ$11="","",Calc!$AJ$11)</f>
        <v>0</v>
      </c>
      <c r="L52" s="23">
        <f>IF(Calc!$AJ$11="","",Calc!$AK$11)</f>
        <v>0</v>
      </c>
      <c r="M52" s="23">
        <f>IF(Calc!$AJ$11="","",Calc!$AL$11)</f>
        <v>0</v>
      </c>
      <c r="N52" s="23">
        <f>IF(Calc!$AJ$11="","",Calc!$AM$11)</f>
        <v>0</v>
      </c>
      <c r="O52" s="24">
        <f>IF(Calc!$AJ$11="","",Calc!$AN$11)</f>
        <v>0</v>
      </c>
      <c r="P52" s="24">
        <f>IFERROR(Calc!$AK$11/SUM(Calc!$AK$5:$AK$604),"")</f>
        <v>0</v>
      </c>
    </row>
    <row r="53" spans="1:18">
      <c r="A53" s="17">
        <f>IF(Calc!$T$12="","",Calc!$T$12)</f>
        <v>0</v>
      </c>
      <c r="B53" s="23">
        <f>IF(Calc!$T$12="","",Calc!$V$12)</f>
        <v>0</v>
      </c>
      <c r="C53" s="23">
        <f>IF(Calc!$T$12="","",Calc!$W$12)</f>
        <v>0</v>
      </c>
      <c r="D53" s="23">
        <f>IF(Calc!$T$12="","",Calc!$X$12)</f>
        <v>0</v>
      </c>
      <c r="E53" s="24">
        <f>IF(Calc!$T$12="","",Calc!$Y$12)</f>
        <v>0</v>
      </c>
      <c r="F53" s="23">
        <f>IF(Calc!$T$12="","",Calc!$Z$12)</f>
        <v>0</v>
      </c>
      <c r="G53" s="23">
        <f>IF(Calc!$T$12="","",Calc!$AA$12)</f>
        <v>0</v>
      </c>
      <c r="H53" s="23">
        <f>IF(Calc!$T$12="","",Calc!$AB$12)</f>
        <v>0</v>
      </c>
      <c r="I53" s="25">
        <f>IF(Calc!$T$12="","",Calc!$AC$12)</f>
        <v>0</v>
      </c>
      <c r="K53" s="17">
        <f>IF(Calc!$AJ$12="","",Calc!$AJ$12)</f>
        <v>0</v>
      </c>
      <c r="L53" s="23">
        <f>IF(Calc!$AJ$12="","",Calc!$AK$12)</f>
        <v>0</v>
      </c>
      <c r="M53" s="23">
        <f>IF(Calc!$AJ$12="","",Calc!$AL$12)</f>
        <v>0</v>
      </c>
      <c r="N53" s="23">
        <f>IF(Calc!$AJ$12="","",Calc!$AM$12)</f>
        <v>0</v>
      </c>
      <c r="O53" s="24">
        <f>IF(Calc!$AJ$12="","",Calc!$AN$12)</f>
        <v>0</v>
      </c>
      <c r="P53" s="24">
        <f>IFERROR(Calc!$AK$12/SUM(Calc!$AK$5:$AK$604),"")</f>
        <v>0</v>
      </c>
    </row>
    <row r="55" spans="1:18" ht="20" customHeight="1">
      <c r="A55" s="7" t="s">
        <v>197</v>
      </c>
      <c r="B55" s="7"/>
      <c r="C55" s="7"/>
      <c r="D55" s="7"/>
      <c r="E55" s="7"/>
      <c r="F55" s="7"/>
      <c r="G55" s="7"/>
      <c r="H55" s="7"/>
      <c r="I55" s="7"/>
      <c r="J55" s="7"/>
      <c r="K55" s="7"/>
      <c r="L55" s="7"/>
      <c r="M55" s="7"/>
      <c r="N55" s="7"/>
      <c r="O55" s="7"/>
      <c r="P55" s="7"/>
      <c r="Q55" s="7"/>
      <c r="R55" s="7"/>
    </row>
    <row r="56" spans="1:18">
      <c r="A56" s="28" t="s">
        <v>198</v>
      </c>
      <c r="B56" s="28"/>
      <c r="C56" s="28"/>
      <c r="D56" s="28"/>
      <c r="E56" s="28"/>
      <c r="F56" s="28"/>
      <c r="G56" s="28"/>
      <c r="H56" s="28"/>
      <c r="I56" s="28"/>
      <c r="K56" s="28" t="s">
        <v>199</v>
      </c>
      <c r="L56" s="28"/>
      <c r="M56" s="28"/>
      <c r="N56" s="28"/>
      <c r="O56" s="28"/>
      <c r="P56" s="28"/>
      <c r="Q56" s="28"/>
      <c r="R56" s="28"/>
    </row>
    <row r="57" spans="1:18" ht="26" customHeight="1">
      <c r="A57" s="8" t="s">
        <v>200</v>
      </c>
      <c r="B57" s="9" t="s">
        <v>201</v>
      </c>
      <c r="C57" s="9" t="s">
        <v>192</v>
      </c>
      <c r="D57" s="9" t="s">
        <v>195</v>
      </c>
      <c r="E57" s="9" t="s">
        <v>202</v>
      </c>
      <c r="F57" s="9" t="s">
        <v>149</v>
      </c>
      <c r="G57" s="9" t="s">
        <v>186</v>
      </c>
      <c r="K57" s="8" t="s">
        <v>203</v>
      </c>
      <c r="L57" s="9" t="s">
        <v>204</v>
      </c>
      <c r="M57" s="9" t="s">
        <v>205</v>
      </c>
      <c r="N57" s="9" t="s">
        <v>205</v>
      </c>
      <c r="O57" s="9" t="s">
        <v>205</v>
      </c>
      <c r="P57" s="9" t="s">
        <v>205</v>
      </c>
      <c r="Q57" s="9" t="s">
        <v>205</v>
      </c>
      <c r="R57" s="9" t="s">
        <v>205</v>
      </c>
    </row>
    <row r="58" spans="1:18">
      <c r="A58" s="23">
        <v>1</v>
      </c>
      <c r="B58" s="17">
        <f>IFERROR(INDEX(Calc!$BH$5:$BH$604,MATCH(LARGE(Calc!$BO$5:$BO$604,1),Calc!$BO$5:$BO$604,0)),"")</f>
        <v>0</v>
      </c>
      <c r="C58" s="17">
        <f>IFERROR(INDEX(Calc!$BI$5:$BI$604,MATCH(LARGE(Calc!$BO$5:$BO$604,1),Calc!$BO$5:$BO$604,0)),"")</f>
        <v>0</v>
      </c>
      <c r="D58" s="17">
        <f>IFERROR(INDEX(Calc!$BJ$5:$BJ$604,MATCH(LARGE(Calc!$BO$5:$BO$604,1),Calc!$BO$5:$BO$604,0)),"")</f>
        <v>0</v>
      </c>
      <c r="E58" s="16">
        <f>IFERROR(INDEX(Calc!$BK$5:$BK$604,MATCH(LARGE(Calc!$BO$5:$BO$604,1),Calc!$BO$5:$BO$604,0)),"")</f>
        <v>0</v>
      </c>
      <c r="F58" s="23">
        <f>IFERROR(INDEX(Calc!$BM$5:$BM$604,MATCH(LARGE(Calc!$BO$5:$BO$604,1),Calc!$BO$5:$BO$604,0)),"")</f>
        <v>0</v>
      </c>
      <c r="G58" s="24">
        <f>IFERROR(INDEX(Calc!$BN$5:$BN$604,MATCH(LARGE(Calc!$BO$5:$BO$604,1),Calc!$BO$5:$BO$604,0)),"")</f>
        <v>0</v>
      </c>
      <c r="K58" s="17" t="s">
        <v>206</v>
      </c>
      <c r="L58" s="23">
        <f>COUNTIF('Content Calendar'!$AM$5:$AM$604,"Overdue*")</f>
        <v>0</v>
      </c>
    </row>
    <row r="59" spans="1:18">
      <c r="A59" s="23">
        <v>2</v>
      </c>
      <c r="B59" s="17">
        <f>IFERROR(INDEX(Calc!$BH$5:$BH$604,MATCH(LARGE(Calc!$BO$5:$BO$604,2),Calc!$BO$5:$BO$604,0)),"")</f>
        <v>0</v>
      </c>
      <c r="C59" s="17">
        <f>IFERROR(INDEX(Calc!$BI$5:$BI$604,MATCH(LARGE(Calc!$BO$5:$BO$604,2),Calc!$BO$5:$BO$604,0)),"")</f>
        <v>0</v>
      </c>
      <c r="D59" s="17">
        <f>IFERROR(INDEX(Calc!$BJ$5:$BJ$604,MATCH(LARGE(Calc!$BO$5:$BO$604,2),Calc!$BO$5:$BO$604,0)),"")</f>
        <v>0</v>
      </c>
      <c r="E59" s="16">
        <f>IFERROR(INDEX(Calc!$BK$5:$BK$604,MATCH(LARGE(Calc!$BO$5:$BO$604,2),Calc!$BO$5:$BO$604,0)),"")</f>
        <v>0</v>
      </c>
      <c r="F59" s="23">
        <f>IFERROR(INDEX(Calc!$BM$5:$BM$604,MATCH(LARGE(Calc!$BO$5:$BO$604,2),Calc!$BO$5:$BO$604,0)),"")</f>
        <v>0</v>
      </c>
      <c r="G59" s="24">
        <f>IFERROR(INDEX(Calc!$BN$5:$BN$604,MATCH(LARGE(Calc!$BO$5:$BO$604,2),Calc!$BO$5:$BO$604,0)),"")</f>
        <v>0</v>
      </c>
      <c r="K59" s="17" t="s">
        <v>207</v>
      </c>
      <c r="L59" s="23">
        <f>COUNTIF('Content Calendar'!$AM$5:$AM$604,"Late*")</f>
        <v>0</v>
      </c>
    </row>
    <row r="60" spans="1:18">
      <c r="A60" s="23">
        <v>3</v>
      </c>
      <c r="B60" s="17">
        <f>IFERROR(INDEX(Calc!$BH$5:$BH$604,MATCH(LARGE(Calc!$BO$5:$BO$604,3),Calc!$BO$5:$BO$604,0)),"")</f>
        <v>0</v>
      </c>
      <c r="C60" s="17">
        <f>IFERROR(INDEX(Calc!$BI$5:$BI$604,MATCH(LARGE(Calc!$BO$5:$BO$604,3),Calc!$BO$5:$BO$604,0)),"")</f>
        <v>0</v>
      </c>
      <c r="D60" s="17">
        <f>IFERROR(INDEX(Calc!$BJ$5:$BJ$604,MATCH(LARGE(Calc!$BO$5:$BO$604,3),Calc!$BO$5:$BO$604,0)),"")</f>
        <v>0</v>
      </c>
      <c r="E60" s="16">
        <f>IFERROR(INDEX(Calc!$BK$5:$BK$604,MATCH(LARGE(Calc!$BO$5:$BO$604,3),Calc!$BO$5:$BO$604,0)),"")</f>
        <v>0</v>
      </c>
      <c r="F60" s="23">
        <f>IFERROR(INDEX(Calc!$BM$5:$BM$604,MATCH(LARGE(Calc!$BO$5:$BO$604,3),Calc!$BO$5:$BO$604,0)),"")</f>
        <v>0</v>
      </c>
      <c r="G60" s="24">
        <f>IFERROR(INDEX(Calc!$BN$5:$BN$604,MATCH(LARGE(Calc!$BO$5:$BO$604,3),Calc!$BO$5:$BO$604,0)),"")</f>
        <v>0</v>
      </c>
      <c r="K60" s="17" t="s">
        <v>208</v>
      </c>
      <c r="L60" s="23">
        <f>COUNTIF('Content Calendar'!$X$5:$X$604,"Awaiting review")</f>
        <v>0</v>
      </c>
    </row>
    <row r="61" spans="1:18">
      <c r="A61" s="23">
        <v>4</v>
      </c>
      <c r="B61" s="17">
        <f>IFERROR(INDEX(Calc!$BH$5:$BH$604,MATCH(LARGE(Calc!$BO$5:$BO$604,4),Calc!$BO$5:$BO$604,0)),"")</f>
        <v>0</v>
      </c>
      <c r="C61" s="17">
        <f>IFERROR(INDEX(Calc!$BI$5:$BI$604,MATCH(LARGE(Calc!$BO$5:$BO$604,4),Calc!$BO$5:$BO$604,0)),"")</f>
        <v>0</v>
      </c>
      <c r="D61" s="17">
        <f>IFERROR(INDEX(Calc!$BJ$5:$BJ$604,MATCH(LARGE(Calc!$BO$5:$BO$604,4),Calc!$BO$5:$BO$604,0)),"")</f>
        <v>0</v>
      </c>
      <c r="E61" s="16">
        <f>IFERROR(INDEX(Calc!$BK$5:$BK$604,MATCH(LARGE(Calc!$BO$5:$BO$604,4),Calc!$BO$5:$BO$604,0)),"")</f>
        <v>0</v>
      </c>
      <c r="F61" s="23">
        <f>IFERROR(INDEX(Calc!$BM$5:$BM$604,MATCH(LARGE(Calc!$BO$5:$BO$604,4),Calc!$BO$5:$BO$604,0)),"")</f>
        <v>0</v>
      </c>
      <c r="G61" s="24">
        <f>IFERROR(INDEX(Calc!$BN$5:$BN$604,MATCH(LARGE(Calc!$BO$5:$BO$604,4),Calc!$BO$5:$BO$604,0)),"")</f>
        <v>0</v>
      </c>
      <c r="K61" s="17" t="s">
        <v>209</v>
      </c>
      <c r="L61" s="23">
        <f>COUNTIFS('Content Calendar'!$H$5:$H$604,"&lt;&gt;",'Content Calendar'!$P$5:$P$604,"")</f>
        <v>0</v>
      </c>
    </row>
    <row r="62" spans="1:18">
      <c r="A62" s="23">
        <v>5</v>
      </c>
      <c r="B62" s="17">
        <f>IFERROR(INDEX(Calc!$BH$5:$BH$604,MATCH(LARGE(Calc!$BO$5:$BO$604,5),Calc!$BO$5:$BO$604,0)),"")</f>
        <v>0</v>
      </c>
      <c r="C62" s="17">
        <f>IFERROR(INDEX(Calc!$BI$5:$BI$604,MATCH(LARGE(Calc!$BO$5:$BO$604,5),Calc!$BO$5:$BO$604,0)),"")</f>
        <v>0</v>
      </c>
      <c r="D62" s="17">
        <f>IFERROR(INDEX(Calc!$BJ$5:$BJ$604,MATCH(LARGE(Calc!$BO$5:$BO$604,5),Calc!$BO$5:$BO$604,0)),"")</f>
        <v>0</v>
      </c>
      <c r="E62" s="16">
        <f>IFERROR(INDEX(Calc!$BK$5:$BK$604,MATCH(LARGE(Calc!$BO$5:$BO$604,5),Calc!$BO$5:$BO$604,0)),"")</f>
        <v>0</v>
      </c>
      <c r="F62" s="23">
        <f>IFERROR(INDEX(Calc!$BM$5:$BM$604,MATCH(LARGE(Calc!$BO$5:$BO$604,5),Calc!$BO$5:$BO$604,0)),"")</f>
        <v>0</v>
      </c>
      <c r="G62" s="24">
        <f>IFERROR(INDEX(Calc!$BN$5:$BN$604,MATCH(LARGE(Calc!$BO$5:$BO$604,5),Calc!$BO$5:$BO$604,0)),"")</f>
        <v>0</v>
      </c>
      <c r="K62" s="17" t="s">
        <v>210</v>
      </c>
      <c r="L62" s="23">
        <f>COUNTIF('Content Calendar'!$AC$5:$AC$604,"Add*")</f>
        <v>0</v>
      </c>
    </row>
    <row r="63" spans="1:18">
      <c r="A63" s="23">
        <v>6</v>
      </c>
      <c r="B63" s="17">
        <f>IFERROR(INDEX(Calc!$BH$5:$BH$604,MATCH(LARGE(Calc!$BO$5:$BO$604,6),Calc!$BO$5:$BO$604,0)),"")</f>
        <v>0</v>
      </c>
      <c r="C63" s="17">
        <f>IFERROR(INDEX(Calc!$BI$5:$BI$604,MATCH(LARGE(Calc!$BO$5:$BO$604,6),Calc!$BO$5:$BO$604,0)),"")</f>
        <v>0</v>
      </c>
      <c r="D63" s="17">
        <f>IFERROR(INDEX(Calc!$BJ$5:$BJ$604,MATCH(LARGE(Calc!$BO$5:$BO$604,6),Calc!$BO$5:$BO$604,0)),"")</f>
        <v>0</v>
      </c>
      <c r="E63" s="16">
        <f>IFERROR(INDEX(Calc!$BK$5:$BK$604,MATCH(LARGE(Calc!$BO$5:$BO$604,6),Calc!$BO$5:$BO$604,0)),"")</f>
        <v>0</v>
      </c>
      <c r="F63" s="23">
        <f>IFERROR(INDEX(Calc!$BM$5:$BM$604,MATCH(LARGE(Calc!$BO$5:$BO$604,6),Calc!$BO$5:$BO$604,0)),"")</f>
        <v>0</v>
      </c>
      <c r="G63" s="24">
        <f>IFERROR(INDEX(Calc!$BN$5:$BN$604,MATCH(LARGE(Calc!$BO$5:$BO$604,6),Calc!$BO$5:$BO$604,0)),"")</f>
        <v>0</v>
      </c>
      <c r="K63" s="17" t="s">
        <v>211</v>
      </c>
      <c r="L63" s="23">
        <f>COUNTIFS('Content Calendar'!$X$5:$X$604,"Published",'Content Calendar'!$AD$5:$AD$604,"")</f>
        <v>0</v>
      </c>
    </row>
    <row r="64" spans="1:18">
      <c r="A64" s="23">
        <v>7</v>
      </c>
      <c r="B64" s="17">
        <f>IFERROR(INDEX(Calc!$BH$5:$BH$604,MATCH(LARGE(Calc!$BO$5:$BO$604,7),Calc!$BO$5:$BO$604,0)),"")</f>
        <v>0</v>
      </c>
      <c r="C64" s="17">
        <f>IFERROR(INDEX(Calc!$BI$5:$BI$604,MATCH(LARGE(Calc!$BO$5:$BO$604,7),Calc!$BO$5:$BO$604,0)),"")</f>
        <v>0</v>
      </c>
      <c r="D64" s="17">
        <f>IFERROR(INDEX(Calc!$BJ$5:$BJ$604,MATCH(LARGE(Calc!$BO$5:$BO$604,7),Calc!$BO$5:$BO$604,0)),"")</f>
        <v>0</v>
      </c>
      <c r="E64" s="16">
        <f>IFERROR(INDEX(Calc!$BK$5:$BK$604,MATCH(LARGE(Calc!$BO$5:$BO$604,7),Calc!$BO$5:$BO$604,0)),"")</f>
        <v>0</v>
      </c>
      <c r="F64" s="23">
        <f>IFERROR(INDEX(Calc!$BM$5:$BM$604,MATCH(LARGE(Calc!$BO$5:$BO$604,7),Calc!$BO$5:$BO$604,0)),"")</f>
        <v>0</v>
      </c>
      <c r="G64" s="24">
        <f>IFERROR(INDEX(Calc!$BN$5:$BN$604,MATCH(LARGE(Calc!$BO$5:$BO$604,7),Calc!$BO$5:$BO$604,0)),"")</f>
        <v>0</v>
      </c>
      <c r="K64" s="17" t="s">
        <v>212</v>
      </c>
      <c r="L64" s="23">
        <f>COUNTIF('Idea Bank'!$AD$5:$AD$304,"Plan*")</f>
        <v>0</v>
      </c>
    </row>
    <row r="65" spans="1:18">
      <c r="A65" s="23">
        <v>8</v>
      </c>
      <c r="B65" s="17">
        <f>IFERROR(INDEX(Calc!$BH$5:$BH$604,MATCH(LARGE(Calc!$BO$5:$BO$604,8),Calc!$BO$5:$BO$604,0)),"")</f>
        <v>0</v>
      </c>
      <c r="C65" s="17">
        <f>IFERROR(INDEX(Calc!$BI$5:$BI$604,MATCH(LARGE(Calc!$BO$5:$BO$604,8),Calc!$BO$5:$BO$604,0)),"")</f>
        <v>0</v>
      </c>
      <c r="D65" s="17">
        <f>IFERROR(INDEX(Calc!$BJ$5:$BJ$604,MATCH(LARGE(Calc!$BO$5:$BO$604,8),Calc!$BO$5:$BO$604,0)),"")</f>
        <v>0</v>
      </c>
      <c r="E65" s="16">
        <f>IFERROR(INDEX(Calc!$BK$5:$BK$604,MATCH(LARGE(Calc!$BO$5:$BO$604,8),Calc!$BO$5:$BO$604,0)),"")</f>
        <v>0</v>
      </c>
      <c r="F65" s="23">
        <f>IFERROR(INDEX(Calc!$BM$5:$BM$604,MATCH(LARGE(Calc!$BO$5:$BO$604,8),Calc!$BO$5:$BO$604,0)),"")</f>
        <v>0</v>
      </c>
      <c r="G65" s="24">
        <f>IFERROR(INDEX(Calc!$BN$5:$BN$604,MATCH(LARGE(Calc!$BO$5:$BO$604,8),Calc!$BO$5:$BO$604,0)),"")</f>
        <v>0</v>
      </c>
      <c r="K65" s="17" t="s">
        <v>213</v>
      </c>
      <c r="L65" s="23">
        <f>COUNTIF(Tasks!$L$5:$L$64,"Overdue*")</f>
        <v>0</v>
      </c>
    </row>
    <row r="66" spans="1:18">
      <c r="K66" s="17" t="s">
        <v>214</v>
      </c>
      <c r="L66" s="23">
        <f>COUNTIF('UGC Tracker'!$T$5:$T$104,"Action*")</f>
        <v>0</v>
      </c>
    </row>
    <row r="67" spans="1:18">
      <c r="K67" s="17" t="s">
        <v>215</v>
      </c>
      <c r="L67" s="23">
        <f>COUNTIF(Goals!$V$5:$V$44,"Behind*")</f>
        <v>0</v>
      </c>
    </row>
    <row r="68" spans="1:18">
      <c r="K68" s="17" t="s">
        <v>216</v>
      </c>
      <c r="L68" s="23">
        <f>COUNTIF(Accounts!$AC$5:$AC$34,"Check - account*")</f>
        <v>0</v>
      </c>
    </row>
    <row r="69" spans="1:18">
      <c r="K69" s="17" t="s">
        <v>217</v>
      </c>
      <c r="L69" s="23">
        <f>COUNTIF(Trends!$V$5:$V$84,"Expired*")</f>
        <v>0</v>
      </c>
    </row>
    <row r="71" spans="1:18" ht="20" customHeight="1">
      <c r="A71" s="7" t="s">
        <v>218</v>
      </c>
      <c r="B71" s="7"/>
      <c r="C71" s="7"/>
      <c r="D71" s="7"/>
      <c r="E71" s="7"/>
      <c r="F71" s="7"/>
      <c r="G71" s="7"/>
      <c r="H71" s="7"/>
      <c r="I71" s="7"/>
      <c r="J71" s="7"/>
      <c r="K71" s="7"/>
      <c r="L71" s="7"/>
      <c r="M71" s="7"/>
      <c r="N71" s="7"/>
      <c r="O71" s="7"/>
      <c r="P71" s="7"/>
      <c r="Q71" s="7"/>
      <c r="R71" s="7"/>
    </row>
    <row r="72" spans="1:18">
      <c r="A72" s="28" t="s">
        <v>219</v>
      </c>
      <c r="B72" s="28"/>
      <c r="C72" s="28"/>
      <c r="D72" s="28"/>
      <c r="E72" s="28"/>
      <c r="F72" s="28"/>
      <c r="G72" s="28"/>
      <c r="H72" s="28"/>
      <c r="I72" s="28"/>
      <c r="K72" s="28" t="s">
        <v>220</v>
      </c>
      <c r="L72" s="28"/>
      <c r="M72" s="28"/>
      <c r="N72" s="28"/>
      <c r="O72" s="28"/>
      <c r="P72" s="28"/>
      <c r="Q72" s="28"/>
      <c r="R72" s="28"/>
    </row>
    <row r="73" spans="1:18" ht="26" customHeight="1">
      <c r="A73" s="8" t="s">
        <v>202</v>
      </c>
      <c r="B73" s="9" t="s">
        <v>192</v>
      </c>
      <c r="C73" s="9" t="s">
        <v>201</v>
      </c>
      <c r="D73" s="9" t="s">
        <v>221</v>
      </c>
      <c r="E73" s="9" t="s">
        <v>222</v>
      </c>
      <c r="F73" s="9" t="s">
        <v>223</v>
      </c>
      <c r="K73" s="8" t="s">
        <v>202</v>
      </c>
      <c r="L73" s="9" t="s">
        <v>192</v>
      </c>
      <c r="M73" s="9" t="s">
        <v>201</v>
      </c>
      <c r="N73" s="9" t="s">
        <v>221</v>
      </c>
      <c r="O73" s="9" t="s">
        <v>222</v>
      </c>
      <c r="P73" s="9" t="s">
        <v>224</v>
      </c>
    </row>
    <row r="74" spans="1:18">
      <c r="A74" s="16">
        <f>IFERROR(INDEX('Content Calendar'!$B$5:$B$604,MATCH(SMALL('Content Calendar'!$AJ$5:$AJ$604,1),'Content Calendar'!$AJ$5:$AJ$604,0)),"")</f>
        <v>0</v>
      </c>
      <c r="B74" s="17">
        <f>IFERROR(INDEX('Content Calendar'!$G$5:$G$604,MATCH(SMALL('Content Calendar'!$AJ$5:$AJ$604,1),'Content Calendar'!$AJ$5:$AJ$604,0)),"")</f>
        <v>0</v>
      </c>
      <c r="C74" s="17">
        <f>IFERROR(INDEX('Content Calendar'!$H$5:$H$604,MATCH(SMALL('Content Calendar'!$AJ$5:$AJ$604,1),'Content Calendar'!$AJ$5:$AJ$604,0)),"")</f>
        <v>0</v>
      </c>
      <c r="D74" s="29">
        <f>IFERROR(INDEX('Content Calendar'!$X$5:$X$604,MATCH(SMALL('Content Calendar'!$AJ$5:$AJ$604,1),'Content Calendar'!$AJ$5:$AJ$604,0)),"")</f>
        <v>0</v>
      </c>
      <c r="E74" s="17">
        <f>IFERROR(INDEX('Content Calendar'!$W$5:$W$604,MATCH(SMALL('Content Calendar'!$AJ$5:$AJ$604,1),'Content Calendar'!$AJ$5:$AJ$604,0)),"")</f>
        <v>0</v>
      </c>
      <c r="F74" s="23">
        <f>IFERROR(INDEX('Content Calendar'!$AA$5:$AA$604,MATCH(SMALL('Content Calendar'!$AJ$5:$AJ$604,1),'Content Calendar'!$AJ$5:$AJ$604,0)),"")</f>
        <v>0</v>
      </c>
      <c r="K74" s="16">
        <f>IFERROR(INDEX('Content Calendar'!$B$5:$B$604,MATCH(SMALL('Content Calendar'!$AK$5:$AK$604,1),'Content Calendar'!$AK$5:$AK$604,0)),"")</f>
        <v>0</v>
      </c>
      <c r="L74" s="17">
        <f>IFERROR(INDEX('Content Calendar'!$G$5:$G$604,MATCH(SMALL('Content Calendar'!$AK$5:$AK$604,1),'Content Calendar'!$AK$5:$AK$604,0)),"")</f>
        <v>0</v>
      </c>
      <c r="M74" s="17">
        <f>IFERROR(INDEX('Content Calendar'!$H$5:$H$604,MATCH(SMALL('Content Calendar'!$AK$5:$AK$604,1),'Content Calendar'!$AK$5:$AK$604,0)),"")</f>
        <v>0</v>
      </c>
      <c r="N74" s="29">
        <f>IFERROR(INDEX('Content Calendar'!$X$5:$X$604,MATCH(SMALL('Content Calendar'!$AK$5:$AK$604,1),'Content Calendar'!$AK$5:$AK$604,0)),"")</f>
        <v>0</v>
      </c>
      <c r="O74" s="17">
        <f>IFERROR(INDEX('Content Calendar'!$W$5:$W$604,MATCH(SMALL('Content Calendar'!$AK$5:$AK$604,1),'Content Calendar'!$AK$5:$AK$604,0)),"")</f>
        <v>0</v>
      </c>
      <c r="P74" s="23">
        <f>IFERROR(-INDEX('Content Calendar'!$AA$5:$AA$604,MATCH(SMALL('Content Calendar'!$AK$5:$AK$604,1),'Content Calendar'!$AK$5:$AK$604,0)),"")</f>
        <v>0</v>
      </c>
    </row>
    <row r="75" spans="1:18">
      <c r="A75" s="16">
        <f>IFERROR(INDEX('Content Calendar'!$B$5:$B$604,MATCH(SMALL('Content Calendar'!$AJ$5:$AJ$604,2),'Content Calendar'!$AJ$5:$AJ$604,0)),"")</f>
        <v>0</v>
      </c>
      <c r="B75" s="17">
        <f>IFERROR(INDEX('Content Calendar'!$G$5:$G$604,MATCH(SMALL('Content Calendar'!$AJ$5:$AJ$604,2),'Content Calendar'!$AJ$5:$AJ$604,0)),"")</f>
        <v>0</v>
      </c>
      <c r="C75" s="17">
        <f>IFERROR(INDEX('Content Calendar'!$H$5:$H$604,MATCH(SMALL('Content Calendar'!$AJ$5:$AJ$604,2),'Content Calendar'!$AJ$5:$AJ$604,0)),"")</f>
        <v>0</v>
      </c>
      <c r="D75" s="29">
        <f>IFERROR(INDEX('Content Calendar'!$X$5:$X$604,MATCH(SMALL('Content Calendar'!$AJ$5:$AJ$604,2),'Content Calendar'!$AJ$5:$AJ$604,0)),"")</f>
        <v>0</v>
      </c>
      <c r="E75" s="17">
        <f>IFERROR(INDEX('Content Calendar'!$W$5:$W$604,MATCH(SMALL('Content Calendar'!$AJ$5:$AJ$604,2),'Content Calendar'!$AJ$5:$AJ$604,0)),"")</f>
        <v>0</v>
      </c>
      <c r="F75" s="23">
        <f>IFERROR(INDEX('Content Calendar'!$AA$5:$AA$604,MATCH(SMALL('Content Calendar'!$AJ$5:$AJ$604,2),'Content Calendar'!$AJ$5:$AJ$604,0)),"")</f>
        <v>0</v>
      </c>
      <c r="K75" s="16">
        <f>IFERROR(INDEX('Content Calendar'!$B$5:$B$604,MATCH(SMALL('Content Calendar'!$AK$5:$AK$604,2),'Content Calendar'!$AK$5:$AK$604,0)),"")</f>
        <v>0</v>
      </c>
      <c r="L75" s="17">
        <f>IFERROR(INDEX('Content Calendar'!$G$5:$G$604,MATCH(SMALL('Content Calendar'!$AK$5:$AK$604,2),'Content Calendar'!$AK$5:$AK$604,0)),"")</f>
        <v>0</v>
      </c>
      <c r="M75" s="17">
        <f>IFERROR(INDEX('Content Calendar'!$H$5:$H$604,MATCH(SMALL('Content Calendar'!$AK$5:$AK$604,2),'Content Calendar'!$AK$5:$AK$604,0)),"")</f>
        <v>0</v>
      </c>
      <c r="N75" s="29">
        <f>IFERROR(INDEX('Content Calendar'!$X$5:$X$604,MATCH(SMALL('Content Calendar'!$AK$5:$AK$604,2),'Content Calendar'!$AK$5:$AK$604,0)),"")</f>
        <v>0</v>
      </c>
      <c r="O75" s="17">
        <f>IFERROR(INDEX('Content Calendar'!$W$5:$W$604,MATCH(SMALL('Content Calendar'!$AK$5:$AK$604,2),'Content Calendar'!$AK$5:$AK$604,0)),"")</f>
        <v>0</v>
      </c>
      <c r="P75" s="23">
        <f>IFERROR(-INDEX('Content Calendar'!$AA$5:$AA$604,MATCH(SMALL('Content Calendar'!$AK$5:$AK$604,2),'Content Calendar'!$AK$5:$AK$604,0)),"")</f>
        <v>0</v>
      </c>
    </row>
    <row r="76" spans="1:18">
      <c r="A76" s="16">
        <f>IFERROR(INDEX('Content Calendar'!$B$5:$B$604,MATCH(SMALL('Content Calendar'!$AJ$5:$AJ$604,3),'Content Calendar'!$AJ$5:$AJ$604,0)),"")</f>
        <v>0</v>
      </c>
      <c r="B76" s="17">
        <f>IFERROR(INDEX('Content Calendar'!$G$5:$G$604,MATCH(SMALL('Content Calendar'!$AJ$5:$AJ$604,3),'Content Calendar'!$AJ$5:$AJ$604,0)),"")</f>
        <v>0</v>
      </c>
      <c r="C76" s="17">
        <f>IFERROR(INDEX('Content Calendar'!$H$5:$H$604,MATCH(SMALL('Content Calendar'!$AJ$5:$AJ$604,3),'Content Calendar'!$AJ$5:$AJ$604,0)),"")</f>
        <v>0</v>
      </c>
      <c r="D76" s="29">
        <f>IFERROR(INDEX('Content Calendar'!$X$5:$X$604,MATCH(SMALL('Content Calendar'!$AJ$5:$AJ$604,3),'Content Calendar'!$AJ$5:$AJ$604,0)),"")</f>
        <v>0</v>
      </c>
      <c r="E76" s="17">
        <f>IFERROR(INDEX('Content Calendar'!$W$5:$W$604,MATCH(SMALL('Content Calendar'!$AJ$5:$AJ$604,3),'Content Calendar'!$AJ$5:$AJ$604,0)),"")</f>
        <v>0</v>
      </c>
      <c r="F76" s="23">
        <f>IFERROR(INDEX('Content Calendar'!$AA$5:$AA$604,MATCH(SMALL('Content Calendar'!$AJ$5:$AJ$604,3),'Content Calendar'!$AJ$5:$AJ$604,0)),"")</f>
        <v>0</v>
      </c>
      <c r="K76" s="16">
        <f>IFERROR(INDEX('Content Calendar'!$B$5:$B$604,MATCH(SMALL('Content Calendar'!$AK$5:$AK$604,3),'Content Calendar'!$AK$5:$AK$604,0)),"")</f>
        <v>0</v>
      </c>
      <c r="L76" s="17">
        <f>IFERROR(INDEX('Content Calendar'!$G$5:$G$604,MATCH(SMALL('Content Calendar'!$AK$5:$AK$604,3),'Content Calendar'!$AK$5:$AK$604,0)),"")</f>
        <v>0</v>
      </c>
      <c r="M76" s="17">
        <f>IFERROR(INDEX('Content Calendar'!$H$5:$H$604,MATCH(SMALL('Content Calendar'!$AK$5:$AK$604,3),'Content Calendar'!$AK$5:$AK$604,0)),"")</f>
        <v>0</v>
      </c>
      <c r="N76" s="29">
        <f>IFERROR(INDEX('Content Calendar'!$X$5:$X$604,MATCH(SMALL('Content Calendar'!$AK$5:$AK$604,3),'Content Calendar'!$AK$5:$AK$604,0)),"")</f>
        <v>0</v>
      </c>
      <c r="O76" s="17">
        <f>IFERROR(INDEX('Content Calendar'!$W$5:$W$604,MATCH(SMALL('Content Calendar'!$AK$5:$AK$604,3),'Content Calendar'!$AK$5:$AK$604,0)),"")</f>
        <v>0</v>
      </c>
      <c r="P76" s="23">
        <f>IFERROR(-INDEX('Content Calendar'!$AA$5:$AA$604,MATCH(SMALL('Content Calendar'!$AK$5:$AK$604,3),'Content Calendar'!$AK$5:$AK$604,0)),"")</f>
        <v>0</v>
      </c>
    </row>
    <row r="77" spans="1:18">
      <c r="A77" s="16">
        <f>IFERROR(INDEX('Content Calendar'!$B$5:$B$604,MATCH(SMALL('Content Calendar'!$AJ$5:$AJ$604,4),'Content Calendar'!$AJ$5:$AJ$604,0)),"")</f>
        <v>0</v>
      </c>
      <c r="B77" s="17">
        <f>IFERROR(INDEX('Content Calendar'!$G$5:$G$604,MATCH(SMALL('Content Calendar'!$AJ$5:$AJ$604,4),'Content Calendar'!$AJ$5:$AJ$604,0)),"")</f>
        <v>0</v>
      </c>
      <c r="C77" s="17">
        <f>IFERROR(INDEX('Content Calendar'!$H$5:$H$604,MATCH(SMALL('Content Calendar'!$AJ$5:$AJ$604,4),'Content Calendar'!$AJ$5:$AJ$604,0)),"")</f>
        <v>0</v>
      </c>
      <c r="D77" s="29">
        <f>IFERROR(INDEX('Content Calendar'!$X$5:$X$604,MATCH(SMALL('Content Calendar'!$AJ$5:$AJ$604,4),'Content Calendar'!$AJ$5:$AJ$604,0)),"")</f>
        <v>0</v>
      </c>
      <c r="E77" s="17">
        <f>IFERROR(INDEX('Content Calendar'!$W$5:$W$604,MATCH(SMALL('Content Calendar'!$AJ$5:$AJ$604,4),'Content Calendar'!$AJ$5:$AJ$604,0)),"")</f>
        <v>0</v>
      </c>
      <c r="F77" s="23">
        <f>IFERROR(INDEX('Content Calendar'!$AA$5:$AA$604,MATCH(SMALL('Content Calendar'!$AJ$5:$AJ$604,4),'Content Calendar'!$AJ$5:$AJ$604,0)),"")</f>
        <v>0</v>
      </c>
      <c r="K77" s="16">
        <f>IFERROR(INDEX('Content Calendar'!$B$5:$B$604,MATCH(SMALL('Content Calendar'!$AK$5:$AK$604,4),'Content Calendar'!$AK$5:$AK$604,0)),"")</f>
        <v>0</v>
      </c>
      <c r="L77" s="17">
        <f>IFERROR(INDEX('Content Calendar'!$G$5:$G$604,MATCH(SMALL('Content Calendar'!$AK$5:$AK$604,4),'Content Calendar'!$AK$5:$AK$604,0)),"")</f>
        <v>0</v>
      </c>
      <c r="M77" s="17">
        <f>IFERROR(INDEX('Content Calendar'!$H$5:$H$604,MATCH(SMALL('Content Calendar'!$AK$5:$AK$604,4),'Content Calendar'!$AK$5:$AK$604,0)),"")</f>
        <v>0</v>
      </c>
      <c r="N77" s="29">
        <f>IFERROR(INDEX('Content Calendar'!$X$5:$X$604,MATCH(SMALL('Content Calendar'!$AK$5:$AK$604,4),'Content Calendar'!$AK$5:$AK$604,0)),"")</f>
        <v>0</v>
      </c>
      <c r="O77" s="17">
        <f>IFERROR(INDEX('Content Calendar'!$W$5:$W$604,MATCH(SMALL('Content Calendar'!$AK$5:$AK$604,4),'Content Calendar'!$AK$5:$AK$604,0)),"")</f>
        <v>0</v>
      </c>
      <c r="P77" s="23">
        <f>IFERROR(-INDEX('Content Calendar'!$AA$5:$AA$604,MATCH(SMALL('Content Calendar'!$AK$5:$AK$604,4),'Content Calendar'!$AK$5:$AK$604,0)),"")</f>
        <v>0</v>
      </c>
    </row>
    <row r="78" spans="1:18">
      <c r="A78" s="16">
        <f>IFERROR(INDEX('Content Calendar'!$B$5:$B$604,MATCH(SMALL('Content Calendar'!$AJ$5:$AJ$604,5),'Content Calendar'!$AJ$5:$AJ$604,0)),"")</f>
        <v>0</v>
      </c>
      <c r="B78" s="17">
        <f>IFERROR(INDEX('Content Calendar'!$G$5:$G$604,MATCH(SMALL('Content Calendar'!$AJ$5:$AJ$604,5),'Content Calendar'!$AJ$5:$AJ$604,0)),"")</f>
        <v>0</v>
      </c>
      <c r="C78" s="17">
        <f>IFERROR(INDEX('Content Calendar'!$H$5:$H$604,MATCH(SMALL('Content Calendar'!$AJ$5:$AJ$604,5),'Content Calendar'!$AJ$5:$AJ$604,0)),"")</f>
        <v>0</v>
      </c>
      <c r="D78" s="29">
        <f>IFERROR(INDEX('Content Calendar'!$X$5:$X$604,MATCH(SMALL('Content Calendar'!$AJ$5:$AJ$604,5),'Content Calendar'!$AJ$5:$AJ$604,0)),"")</f>
        <v>0</v>
      </c>
      <c r="E78" s="17">
        <f>IFERROR(INDEX('Content Calendar'!$W$5:$W$604,MATCH(SMALL('Content Calendar'!$AJ$5:$AJ$604,5),'Content Calendar'!$AJ$5:$AJ$604,0)),"")</f>
        <v>0</v>
      </c>
      <c r="F78" s="23">
        <f>IFERROR(INDEX('Content Calendar'!$AA$5:$AA$604,MATCH(SMALL('Content Calendar'!$AJ$5:$AJ$604,5),'Content Calendar'!$AJ$5:$AJ$604,0)),"")</f>
        <v>0</v>
      </c>
      <c r="K78" s="16">
        <f>IFERROR(INDEX('Content Calendar'!$B$5:$B$604,MATCH(SMALL('Content Calendar'!$AK$5:$AK$604,5),'Content Calendar'!$AK$5:$AK$604,0)),"")</f>
        <v>0</v>
      </c>
      <c r="L78" s="17">
        <f>IFERROR(INDEX('Content Calendar'!$G$5:$G$604,MATCH(SMALL('Content Calendar'!$AK$5:$AK$604,5),'Content Calendar'!$AK$5:$AK$604,0)),"")</f>
        <v>0</v>
      </c>
      <c r="M78" s="17">
        <f>IFERROR(INDEX('Content Calendar'!$H$5:$H$604,MATCH(SMALL('Content Calendar'!$AK$5:$AK$604,5),'Content Calendar'!$AK$5:$AK$604,0)),"")</f>
        <v>0</v>
      </c>
      <c r="N78" s="29">
        <f>IFERROR(INDEX('Content Calendar'!$X$5:$X$604,MATCH(SMALL('Content Calendar'!$AK$5:$AK$604,5),'Content Calendar'!$AK$5:$AK$604,0)),"")</f>
        <v>0</v>
      </c>
      <c r="O78" s="17">
        <f>IFERROR(INDEX('Content Calendar'!$W$5:$W$604,MATCH(SMALL('Content Calendar'!$AK$5:$AK$604,5),'Content Calendar'!$AK$5:$AK$604,0)),"")</f>
        <v>0</v>
      </c>
      <c r="P78" s="23">
        <f>IFERROR(-INDEX('Content Calendar'!$AA$5:$AA$604,MATCH(SMALL('Content Calendar'!$AK$5:$AK$604,5),'Content Calendar'!$AK$5:$AK$604,0)),"")</f>
        <v>0</v>
      </c>
    </row>
    <row r="79" spans="1:18">
      <c r="A79" s="16">
        <f>IFERROR(INDEX('Content Calendar'!$B$5:$B$604,MATCH(SMALL('Content Calendar'!$AJ$5:$AJ$604,6),'Content Calendar'!$AJ$5:$AJ$604,0)),"")</f>
        <v>0</v>
      </c>
      <c r="B79" s="17">
        <f>IFERROR(INDEX('Content Calendar'!$G$5:$G$604,MATCH(SMALL('Content Calendar'!$AJ$5:$AJ$604,6),'Content Calendar'!$AJ$5:$AJ$604,0)),"")</f>
        <v>0</v>
      </c>
      <c r="C79" s="17">
        <f>IFERROR(INDEX('Content Calendar'!$H$5:$H$604,MATCH(SMALL('Content Calendar'!$AJ$5:$AJ$604,6),'Content Calendar'!$AJ$5:$AJ$604,0)),"")</f>
        <v>0</v>
      </c>
      <c r="D79" s="29">
        <f>IFERROR(INDEX('Content Calendar'!$X$5:$X$604,MATCH(SMALL('Content Calendar'!$AJ$5:$AJ$604,6),'Content Calendar'!$AJ$5:$AJ$604,0)),"")</f>
        <v>0</v>
      </c>
      <c r="E79" s="17">
        <f>IFERROR(INDEX('Content Calendar'!$W$5:$W$604,MATCH(SMALL('Content Calendar'!$AJ$5:$AJ$604,6),'Content Calendar'!$AJ$5:$AJ$604,0)),"")</f>
        <v>0</v>
      </c>
      <c r="F79" s="23">
        <f>IFERROR(INDEX('Content Calendar'!$AA$5:$AA$604,MATCH(SMALL('Content Calendar'!$AJ$5:$AJ$604,6),'Content Calendar'!$AJ$5:$AJ$604,0)),"")</f>
        <v>0</v>
      </c>
      <c r="K79" s="16">
        <f>IFERROR(INDEX('Content Calendar'!$B$5:$B$604,MATCH(SMALL('Content Calendar'!$AK$5:$AK$604,6),'Content Calendar'!$AK$5:$AK$604,0)),"")</f>
        <v>0</v>
      </c>
      <c r="L79" s="17">
        <f>IFERROR(INDEX('Content Calendar'!$G$5:$G$604,MATCH(SMALL('Content Calendar'!$AK$5:$AK$604,6),'Content Calendar'!$AK$5:$AK$604,0)),"")</f>
        <v>0</v>
      </c>
      <c r="M79" s="17">
        <f>IFERROR(INDEX('Content Calendar'!$H$5:$H$604,MATCH(SMALL('Content Calendar'!$AK$5:$AK$604,6),'Content Calendar'!$AK$5:$AK$604,0)),"")</f>
        <v>0</v>
      </c>
      <c r="N79" s="29">
        <f>IFERROR(INDEX('Content Calendar'!$X$5:$X$604,MATCH(SMALL('Content Calendar'!$AK$5:$AK$604,6),'Content Calendar'!$AK$5:$AK$604,0)),"")</f>
        <v>0</v>
      </c>
      <c r="O79" s="17">
        <f>IFERROR(INDEX('Content Calendar'!$W$5:$W$604,MATCH(SMALL('Content Calendar'!$AK$5:$AK$604,6),'Content Calendar'!$AK$5:$AK$604,0)),"")</f>
        <v>0</v>
      </c>
      <c r="P79" s="23">
        <f>IFERROR(-INDEX('Content Calendar'!$AA$5:$AA$604,MATCH(SMALL('Content Calendar'!$AK$5:$AK$604,6),'Content Calendar'!$AK$5:$AK$604,0)),"")</f>
        <v>0</v>
      </c>
    </row>
    <row r="80" spans="1:18">
      <c r="A80" s="16">
        <f>IFERROR(INDEX('Content Calendar'!$B$5:$B$604,MATCH(SMALL('Content Calendar'!$AJ$5:$AJ$604,7),'Content Calendar'!$AJ$5:$AJ$604,0)),"")</f>
        <v>0</v>
      </c>
      <c r="B80" s="17">
        <f>IFERROR(INDEX('Content Calendar'!$G$5:$G$604,MATCH(SMALL('Content Calendar'!$AJ$5:$AJ$604,7),'Content Calendar'!$AJ$5:$AJ$604,0)),"")</f>
        <v>0</v>
      </c>
      <c r="C80" s="17">
        <f>IFERROR(INDEX('Content Calendar'!$H$5:$H$604,MATCH(SMALL('Content Calendar'!$AJ$5:$AJ$604,7),'Content Calendar'!$AJ$5:$AJ$604,0)),"")</f>
        <v>0</v>
      </c>
      <c r="D80" s="29">
        <f>IFERROR(INDEX('Content Calendar'!$X$5:$X$604,MATCH(SMALL('Content Calendar'!$AJ$5:$AJ$604,7),'Content Calendar'!$AJ$5:$AJ$604,0)),"")</f>
        <v>0</v>
      </c>
      <c r="E80" s="17">
        <f>IFERROR(INDEX('Content Calendar'!$W$5:$W$604,MATCH(SMALL('Content Calendar'!$AJ$5:$AJ$604,7),'Content Calendar'!$AJ$5:$AJ$604,0)),"")</f>
        <v>0</v>
      </c>
      <c r="F80" s="23">
        <f>IFERROR(INDEX('Content Calendar'!$AA$5:$AA$604,MATCH(SMALL('Content Calendar'!$AJ$5:$AJ$604,7),'Content Calendar'!$AJ$5:$AJ$604,0)),"")</f>
        <v>0</v>
      </c>
      <c r="K80" s="16">
        <f>IFERROR(INDEX('Content Calendar'!$B$5:$B$604,MATCH(SMALL('Content Calendar'!$AK$5:$AK$604,7),'Content Calendar'!$AK$5:$AK$604,0)),"")</f>
        <v>0</v>
      </c>
      <c r="L80" s="17">
        <f>IFERROR(INDEX('Content Calendar'!$G$5:$G$604,MATCH(SMALL('Content Calendar'!$AK$5:$AK$604,7),'Content Calendar'!$AK$5:$AK$604,0)),"")</f>
        <v>0</v>
      </c>
      <c r="M80" s="17">
        <f>IFERROR(INDEX('Content Calendar'!$H$5:$H$604,MATCH(SMALL('Content Calendar'!$AK$5:$AK$604,7),'Content Calendar'!$AK$5:$AK$604,0)),"")</f>
        <v>0</v>
      </c>
      <c r="N80" s="29">
        <f>IFERROR(INDEX('Content Calendar'!$X$5:$X$604,MATCH(SMALL('Content Calendar'!$AK$5:$AK$604,7),'Content Calendar'!$AK$5:$AK$604,0)),"")</f>
        <v>0</v>
      </c>
      <c r="O80" s="17">
        <f>IFERROR(INDEX('Content Calendar'!$W$5:$W$604,MATCH(SMALL('Content Calendar'!$AK$5:$AK$604,7),'Content Calendar'!$AK$5:$AK$604,0)),"")</f>
        <v>0</v>
      </c>
      <c r="P80" s="23">
        <f>IFERROR(-INDEX('Content Calendar'!$AA$5:$AA$604,MATCH(SMALL('Content Calendar'!$AK$5:$AK$604,7),'Content Calendar'!$AK$5:$AK$604,0)),"")</f>
        <v>0</v>
      </c>
    </row>
    <row r="81" spans="1:18">
      <c r="A81" s="16">
        <f>IFERROR(INDEX('Content Calendar'!$B$5:$B$604,MATCH(SMALL('Content Calendar'!$AJ$5:$AJ$604,8),'Content Calendar'!$AJ$5:$AJ$604,0)),"")</f>
        <v>0</v>
      </c>
      <c r="B81" s="17">
        <f>IFERROR(INDEX('Content Calendar'!$G$5:$G$604,MATCH(SMALL('Content Calendar'!$AJ$5:$AJ$604,8),'Content Calendar'!$AJ$5:$AJ$604,0)),"")</f>
        <v>0</v>
      </c>
      <c r="C81" s="17">
        <f>IFERROR(INDEX('Content Calendar'!$H$5:$H$604,MATCH(SMALL('Content Calendar'!$AJ$5:$AJ$604,8),'Content Calendar'!$AJ$5:$AJ$604,0)),"")</f>
        <v>0</v>
      </c>
      <c r="D81" s="29">
        <f>IFERROR(INDEX('Content Calendar'!$X$5:$X$604,MATCH(SMALL('Content Calendar'!$AJ$5:$AJ$604,8),'Content Calendar'!$AJ$5:$AJ$604,0)),"")</f>
        <v>0</v>
      </c>
      <c r="E81" s="17">
        <f>IFERROR(INDEX('Content Calendar'!$W$5:$W$604,MATCH(SMALL('Content Calendar'!$AJ$5:$AJ$604,8),'Content Calendar'!$AJ$5:$AJ$604,0)),"")</f>
        <v>0</v>
      </c>
      <c r="F81" s="23">
        <f>IFERROR(INDEX('Content Calendar'!$AA$5:$AA$604,MATCH(SMALL('Content Calendar'!$AJ$5:$AJ$604,8),'Content Calendar'!$AJ$5:$AJ$604,0)),"")</f>
        <v>0</v>
      </c>
      <c r="K81" s="16">
        <f>IFERROR(INDEX('Content Calendar'!$B$5:$B$604,MATCH(SMALL('Content Calendar'!$AK$5:$AK$604,8),'Content Calendar'!$AK$5:$AK$604,0)),"")</f>
        <v>0</v>
      </c>
      <c r="L81" s="17">
        <f>IFERROR(INDEX('Content Calendar'!$G$5:$G$604,MATCH(SMALL('Content Calendar'!$AK$5:$AK$604,8),'Content Calendar'!$AK$5:$AK$604,0)),"")</f>
        <v>0</v>
      </c>
      <c r="M81" s="17">
        <f>IFERROR(INDEX('Content Calendar'!$H$5:$H$604,MATCH(SMALL('Content Calendar'!$AK$5:$AK$604,8),'Content Calendar'!$AK$5:$AK$604,0)),"")</f>
        <v>0</v>
      </c>
      <c r="N81" s="29">
        <f>IFERROR(INDEX('Content Calendar'!$X$5:$X$604,MATCH(SMALL('Content Calendar'!$AK$5:$AK$604,8),'Content Calendar'!$AK$5:$AK$604,0)),"")</f>
        <v>0</v>
      </c>
      <c r="O81" s="17">
        <f>IFERROR(INDEX('Content Calendar'!$W$5:$W$604,MATCH(SMALL('Content Calendar'!$AK$5:$AK$604,8),'Content Calendar'!$AK$5:$AK$604,0)),"")</f>
        <v>0</v>
      </c>
      <c r="P81" s="23">
        <f>IFERROR(-INDEX('Content Calendar'!$AA$5:$AA$604,MATCH(SMALL('Content Calendar'!$AK$5:$AK$604,8),'Content Calendar'!$AK$5:$AK$604,0)),"")</f>
        <v>0</v>
      </c>
    </row>
    <row r="83" spans="1:18" ht="26" customHeight="1">
      <c r="A83" s="6" t="s">
        <v>225</v>
      </c>
      <c r="B83" s="6"/>
      <c r="C83" s="6"/>
      <c r="D83" s="6"/>
      <c r="E83" s="6"/>
      <c r="F83" s="6"/>
      <c r="G83" s="6"/>
      <c r="H83" s="6"/>
      <c r="I83" s="6"/>
      <c r="J83" s="6"/>
      <c r="K83" s="6"/>
      <c r="L83" s="6"/>
      <c r="M83" s="6"/>
      <c r="N83" s="6"/>
      <c r="O83" s="6"/>
      <c r="P83" s="6"/>
      <c r="Q83" s="6"/>
      <c r="R83" s="6"/>
    </row>
  </sheetData>
  <sheetProtection password="EC7C" sheet="1" objects="1" scenarios="1" formatCells="0" formatColumns="0" formatRows="0" insertRows="0" insertHyperlinks="0" deleteRows="0" autoFilter="0"/>
  <mergeCells count="107">
    <mergeCell ref="A1:O1"/>
    <mergeCell ref="P1:R1"/>
    <mergeCell ref="A2:R2"/>
    <mergeCell ref="A3:B3"/>
    <mergeCell ref="C3:D3"/>
    <mergeCell ref="E3:F3"/>
    <mergeCell ref="G3:H3"/>
    <mergeCell ref="I3:J3"/>
    <mergeCell ref="K3:L3"/>
    <mergeCell ref="M3:N3"/>
    <mergeCell ref="O3:P3"/>
    <mergeCell ref="Q3:R3"/>
    <mergeCell ref="A5:R5"/>
    <mergeCell ref="A6:B6"/>
    <mergeCell ref="C6:D6"/>
    <mergeCell ref="E6:F6"/>
    <mergeCell ref="G6:H6"/>
    <mergeCell ref="I6:J6"/>
    <mergeCell ref="K6:L6"/>
    <mergeCell ref="M6:N6"/>
    <mergeCell ref="O6:P6"/>
    <mergeCell ref="A8:R8"/>
    <mergeCell ref="A9:C9"/>
    <mergeCell ref="A10:C10"/>
    <mergeCell ref="A11:C11"/>
    <mergeCell ref="D9:F9"/>
    <mergeCell ref="D10:F10"/>
    <mergeCell ref="D11:F11"/>
    <mergeCell ref="G9:I9"/>
    <mergeCell ref="G10:I10"/>
    <mergeCell ref="G11:I11"/>
    <mergeCell ref="J9:L9"/>
    <mergeCell ref="J10:L10"/>
    <mergeCell ref="J11:L11"/>
    <mergeCell ref="M9:O9"/>
    <mergeCell ref="M10:O10"/>
    <mergeCell ref="M11:O11"/>
    <mergeCell ref="P9:R9"/>
    <mergeCell ref="P10:R10"/>
    <mergeCell ref="P11:R11"/>
    <mergeCell ref="A13:R13"/>
    <mergeCell ref="A14:C14"/>
    <mergeCell ref="A15:C15"/>
    <mergeCell ref="A16:C16"/>
    <mergeCell ref="D14:F14"/>
    <mergeCell ref="D15:F15"/>
    <mergeCell ref="D16:F16"/>
    <mergeCell ref="G14:I14"/>
    <mergeCell ref="G15:I15"/>
    <mergeCell ref="G16:I16"/>
    <mergeCell ref="J14:L14"/>
    <mergeCell ref="J15:L15"/>
    <mergeCell ref="J16:L16"/>
    <mergeCell ref="M14:O14"/>
    <mergeCell ref="M15:O15"/>
    <mergeCell ref="M16:O16"/>
    <mergeCell ref="P14:R14"/>
    <mergeCell ref="P15:R15"/>
    <mergeCell ref="P16:R16"/>
    <mergeCell ref="A18:R18"/>
    <mergeCell ref="A19:C19"/>
    <mergeCell ref="A20:C20"/>
    <mergeCell ref="A21:C21"/>
    <mergeCell ref="D19:F19"/>
    <mergeCell ref="D20:F20"/>
    <mergeCell ref="D21:F21"/>
    <mergeCell ref="G19:I19"/>
    <mergeCell ref="G20:I20"/>
    <mergeCell ref="G21:I21"/>
    <mergeCell ref="J19:L19"/>
    <mergeCell ref="J20:L20"/>
    <mergeCell ref="J21:L21"/>
    <mergeCell ref="M19:O19"/>
    <mergeCell ref="M20:O20"/>
    <mergeCell ref="M21:O21"/>
    <mergeCell ref="P19:R19"/>
    <mergeCell ref="P20:R20"/>
    <mergeCell ref="P21:R21"/>
    <mergeCell ref="A23:R23"/>
    <mergeCell ref="A24:C24"/>
    <mergeCell ref="A25:C25"/>
    <mergeCell ref="A26:C26"/>
    <mergeCell ref="D24:F24"/>
    <mergeCell ref="D25:F25"/>
    <mergeCell ref="D26:F26"/>
    <mergeCell ref="G24:I24"/>
    <mergeCell ref="G25:I25"/>
    <mergeCell ref="G26:I26"/>
    <mergeCell ref="J24:L24"/>
    <mergeCell ref="J25:L25"/>
    <mergeCell ref="J26:L26"/>
    <mergeCell ref="M24:O24"/>
    <mergeCell ref="M25:O25"/>
    <mergeCell ref="M26:O26"/>
    <mergeCell ref="P24:R24"/>
    <mergeCell ref="P25:R25"/>
    <mergeCell ref="P26:R26"/>
    <mergeCell ref="A28:R28"/>
    <mergeCell ref="A44:I44"/>
    <mergeCell ref="K44:R44"/>
    <mergeCell ref="A55:R55"/>
    <mergeCell ref="A56:I56"/>
    <mergeCell ref="K56:R56"/>
    <mergeCell ref="A71:R71"/>
    <mergeCell ref="A72:I72"/>
    <mergeCell ref="K72:R72"/>
    <mergeCell ref="A83:R83"/>
  </mergeCells>
  <conditionalFormatting sqref="C30:C41">
    <cfRule type="dataBar" priority="1">
      <dataBar>
        <cfvo type="min" val="0"/>
        <cfvo type="max" val="0"/>
        <color rgb="FF6350A8"/>
      </dataBar>
    </cfRule>
  </conditionalFormatting>
  <conditionalFormatting sqref="C46:C53">
    <cfRule type="dataBar" priority="6">
      <dataBar>
        <cfvo type="min" val="0"/>
        <cfvo type="max" val="0"/>
        <color rgb="FF6350A8"/>
      </dataBar>
    </cfRule>
  </conditionalFormatting>
  <conditionalFormatting sqref="D30:D41">
    <cfRule type="dataBar" priority="2">
      <dataBar>
        <cfvo type="min" val="0"/>
        <cfvo type="max" val="0"/>
        <color rgb="FFF2665E"/>
      </dataBar>
    </cfRule>
  </conditionalFormatting>
  <conditionalFormatting sqref="E30:E41">
    <cfRule type="cellIs" dxfId="0" priority="5" operator="greaterThanOrEqual">
      <formula>TargetEngagement</formula>
    </cfRule>
  </conditionalFormatting>
  <conditionalFormatting sqref="E46:E53">
    <cfRule type="colorScale" priority="7">
      <colorScale>
        <cfvo type="min" val="0"/>
        <cfvo type="percentile" val="50"/>
        <cfvo type="max" val="0"/>
        <color rgb="FFFBD9DD"/>
        <color rgb="FFFFF1CF"/>
        <color rgb="FFD9F2E4"/>
      </colorScale>
    </cfRule>
  </conditionalFormatting>
  <conditionalFormatting sqref="F30:F41">
    <cfRule type="dataBar" priority="3">
      <dataBar>
        <cfvo type="min" val="0"/>
        <cfvo type="max" val="0"/>
        <color rgb="FF2A4A8B"/>
      </dataBar>
    </cfRule>
  </conditionalFormatting>
  <conditionalFormatting sqref="F58:F65">
    <cfRule type="dataBar" priority="9">
      <dataBar>
        <cfvo type="min" val="0"/>
        <cfvo type="max" val="0"/>
        <color rgb="FF6350A8"/>
      </dataBar>
    </cfRule>
  </conditionalFormatting>
  <conditionalFormatting sqref="K30:K41">
    <cfRule type="dataBar" priority="4">
      <dataBar>
        <cfvo type="min" val="0"/>
        <cfvo type="max" val="0"/>
        <color rgb="FF0E6B45"/>
      </dataBar>
    </cfRule>
  </conditionalFormatting>
  <conditionalFormatting sqref="L58">
    <cfRule type="cellIs" dxfId="1" priority="10" operator="greaterThan">
      <formula>0</formula>
    </cfRule>
  </conditionalFormatting>
  <conditionalFormatting sqref="L59">
    <cfRule type="cellIs" dxfId="1" priority="11" operator="greaterThan">
      <formula>0</formula>
    </cfRule>
  </conditionalFormatting>
  <conditionalFormatting sqref="L60">
    <cfRule type="cellIs" dxfId="1" priority="12" operator="greaterThan">
      <formula>0</formula>
    </cfRule>
  </conditionalFormatting>
  <conditionalFormatting sqref="L61">
    <cfRule type="cellIs" dxfId="1" priority="13" operator="greaterThan">
      <formula>0</formula>
    </cfRule>
  </conditionalFormatting>
  <conditionalFormatting sqref="L62">
    <cfRule type="cellIs" dxfId="1" priority="14" operator="greaterThan">
      <formula>0</formula>
    </cfRule>
  </conditionalFormatting>
  <conditionalFormatting sqref="L63">
    <cfRule type="cellIs" dxfId="1" priority="15" operator="greaterThan">
      <formula>0</formula>
    </cfRule>
  </conditionalFormatting>
  <conditionalFormatting sqref="L64">
    <cfRule type="cellIs" dxfId="1" priority="16" operator="greaterThan">
      <formula>0</formula>
    </cfRule>
  </conditionalFormatting>
  <conditionalFormatting sqref="L65">
    <cfRule type="cellIs" dxfId="1" priority="17" operator="greaterThan">
      <formula>0</formula>
    </cfRule>
  </conditionalFormatting>
  <conditionalFormatting sqref="L66">
    <cfRule type="cellIs" dxfId="1" priority="18" operator="greaterThan">
      <formula>0</formula>
    </cfRule>
  </conditionalFormatting>
  <conditionalFormatting sqref="L67">
    <cfRule type="cellIs" dxfId="1" priority="19" operator="greaterThan">
      <formula>0</formula>
    </cfRule>
  </conditionalFormatting>
  <conditionalFormatting sqref="L68">
    <cfRule type="cellIs" dxfId="1" priority="20" operator="greaterThan">
      <formula>0</formula>
    </cfRule>
  </conditionalFormatting>
  <conditionalFormatting sqref="L69">
    <cfRule type="cellIs" dxfId="1" priority="21" operator="greaterThan">
      <formula>0</formula>
    </cfRule>
  </conditionalFormatting>
  <conditionalFormatting sqref="M46:M53">
    <cfRule type="dataBar" priority="8">
      <dataBar>
        <cfvo type="min" val="0"/>
        <cfvo type="max" val="0"/>
        <color rgb="FFF2665E"/>
      </dataBar>
    </cfRule>
  </conditionalFormatting>
  <dataValidations count="1">
    <dataValidation type="list" allowBlank="1" showInputMessage="1" showErrorMessage="1" sqref="C6">
      <formula1>MonthList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&amp;L&amp;"Calibri,Bold"&amp;12&amp;C&amp;"Calibri,Bold"&amp;11Dashboard&amp;R&amp;"Calibri,Italic"&amp;9Social Media Content Calendar &amp; Analytics Planner</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0E6B45"/>
          <x14:colorNegative theme="5"/>
          <x14:colorAxis rgb="FF000000"/>
          <x14:colorMarkers theme="4" tint="-0.499984740745262"/>
          <x14:colorFirst theme="4" tint="0.39997558519241921"/>
          <x14:colorLast theme="4" tint="0.39997558519241921"/>
          <x14:colorHigh theme="4"/>
          <x14:colorLow theme="4"/>
          <x14:sparklines>
            <x14:sparkline>
              <xm:f>Dashboard!K30:K41</xm:f>
              <xm:sqref>K42</xm:sqref>
            </x14:sparkline>
          </x14:sparklines>
        </x14:sparklineGroup>
        <x14:sparklineGroup type="column" displayEmptyCellsAs="gap">
          <x14:colorSeries rgb="FF2A4A8B"/>
          <x14:colorNegative theme="5"/>
          <x14:colorAxis rgb="FF000000"/>
          <x14:colorMarkers theme="4" tint="-0.499984740745262"/>
          <x14:colorFirst theme="4" tint="0.39997558519241921"/>
          <x14:colorLast theme="4" tint="0.39997558519241921"/>
          <x14:colorHigh theme="4"/>
          <x14:colorLow theme="4"/>
          <x14:sparklines>
            <x14:sparkline>
              <xm:f>Dashboard!F30:F41</xm:f>
              <xm:sqref>F42</xm:sqref>
            </x14:sparkline>
          </x14:sparklines>
        </x14:sparklineGroup>
        <x14:sparklineGroup type="column" displayEmptyCellsAs="gap">
          <x14:colorSeries rgb="FFF2665E"/>
          <x14:colorNegative theme="5"/>
          <x14:colorAxis rgb="FF000000"/>
          <x14:colorMarkers theme="4" tint="-0.499984740745262"/>
          <x14:colorFirst theme="4" tint="0.39997558519241921"/>
          <x14:colorLast theme="4" tint="0.39997558519241921"/>
          <x14:colorHigh theme="4"/>
          <x14:colorLow theme="4"/>
          <x14:sparklines>
            <x14:sparkline>
              <xm:f>Dashboard!D30:D41</xm:f>
              <xm:sqref>D42</xm:sqref>
            </x14:sparkline>
          </x14:sparklines>
        </x14:sparklineGroup>
        <x14:sparklineGroup type="column" displayEmptyCellsAs="gap">
          <x14:colorSeries rgb="FF3B2A6B"/>
          <x14:colorNegative theme="5"/>
          <x14:colorAxis rgb="FF000000"/>
          <x14:colorMarkers theme="4" tint="-0.499984740745262"/>
          <x14:colorFirst theme="4" tint="0.39997558519241921"/>
          <x14:colorLast theme="4" tint="0.39997558519241921"/>
          <x14:colorHigh theme="4"/>
          <x14:colorLow theme="4"/>
          <x14:sparklines>
            <x14:sparkline>
              <xm:f>Dashboard!C30:C41</xm:f>
              <xm:sqref>C42</xm:sqref>
            </x14:sparkline>
          </x14:sparklines>
        </x14:sparklineGroup>
        <x14:sparklineGroup type="column" displayEmptyCellsAs="gap">
          <x14:colorSeries rgb="FF6350A8"/>
          <x14:colorNegative theme="5"/>
          <x14:colorAxis rgb="FF000000"/>
          <x14:colorMarkers theme="4" tint="-0.499984740745262"/>
          <x14:colorFirst theme="4" tint="0.39997558519241921"/>
          <x14:colorLast theme="4" tint="0.39997558519241921"/>
          <x14:colorHigh theme="4"/>
          <x14:colorLow theme="4"/>
          <x14:sparklines>
            <x14:sparkline>
              <xm:f>Dashboard!B30:B41</xm:f>
              <xm:sqref>B42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sheetPr>
    <tabColor rgb="FF241B38"/>
    <pageSetUpPr fitToPage="1"/>
  </sheetPr>
  <dimension ref="A1:R77"/>
  <sheetViews>
    <sheetView showGridLines="0" workbookViewId="0">
      <pane ySplit="4" topLeftCell="A5" activePane="bottomLeft" state="frozen"/>
      <selection pane="bottomLeft"/>
    </sheetView>
  </sheetViews>
  <sheetFormatPr defaultRowHeight="15"/>
  <cols>
    <col min="1" max="1" width="13.2109375" customWidth="1"/>
    <col min="2" max="2" width="13.2109375" customWidth="1"/>
    <col min="3" max="3" width="13.2109375" customWidth="1"/>
    <col min="4" max="4" width="13.2109375" customWidth="1"/>
    <col min="5" max="5" width="13.2109375" customWidth="1"/>
    <col min="6" max="6" width="13.2109375" customWidth="1"/>
    <col min="7" max="7" width="13.2109375" customWidth="1"/>
    <col min="8" max="8" width="13.2109375" customWidth="1"/>
    <col min="9" max="9" width="13.2109375" customWidth="1"/>
    <col min="10" max="10" width="13.2109375" customWidth="1"/>
    <col min="11" max="11" width="13.2109375" customWidth="1"/>
    <col min="12" max="12" width="13.2109375" customWidth="1"/>
    <col min="13" max="13" width="13.2109375" customWidth="1"/>
    <col min="14" max="14" width="13.2109375" customWidth="1"/>
    <col min="15" max="15" width="13.2109375" customWidth="1"/>
    <col min="16" max="16" width="13.2109375" customWidth="1"/>
    <col min="17" max="17" width="13.2109375" customWidth="1"/>
    <col min="18" max="18" width="13.2109375" customWidth="1"/>
  </cols>
  <sheetData>
    <row r="1" spans="1:18" ht="34" customHeight="1">
      <c r="A1" s="2" t="s">
        <v>43</v>
      </c>
      <c r="B1" s="2"/>
      <c r="C1" s="2"/>
      <c r="D1" s="2"/>
      <c r="E1" s="2"/>
      <c r="F1" s="2"/>
      <c r="G1" s="2"/>
      <c r="H1" s="2"/>
      <c r="I1" s="2"/>
      <c r="J1" s="2"/>
      <c r="K1" s="2"/>
      <c r="L1" s="2"/>
      <c r="M1" s="2"/>
      <c r="N1" s="2"/>
      <c r="O1" s="2"/>
      <c r="P1" s="3" t="s">
        <v>1</v>
      </c>
      <c r="Q1" s="3"/>
      <c r="R1" s="3"/>
    </row>
    <row r="2" spans="1:18" ht="18" customHeight="1">
      <c r="A2" s="4" t="s">
        <v>226</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8</v>
      </c>
      <c r="L3" s="5"/>
      <c r="M3" s="5" t="s">
        <v>125</v>
      </c>
      <c r="N3" s="5"/>
      <c r="O3" s="5" t="s">
        <v>126</v>
      </c>
      <c r="P3" s="5"/>
      <c r="Q3" s="5" t="s">
        <v>127</v>
      </c>
      <c r="R3" s="5"/>
    </row>
    <row r="5" spans="1:18" ht="20" customHeight="1">
      <c r="A5" s="7" t="s">
        <v>227</v>
      </c>
      <c r="B5" s="7"/>
      <c r="C5" s="7"/>
      <c r="D5" s="7"/>
      <c r="E5" s="7"/>
      <c r="F5" s="7"/>
      <c r="G5" s="7"/>
      <c r="H5" s="7"/>
      <c r="I5" s="7"/>
      <c r="J5" s="7"/>
      <c r="K5" s="7"/>
      <c r="L5" s="7"/>
      <c r="M5" s="7"/>
      <c r="N5" s="7"/>
      <c r="O5" s="7"/>
      <c r="P5" s="7"/>
      <c r="Q5" s="7"/>
      <c r="R5" s="7"/>
    </row>
    <row r="6" spans="1:18">
      <c r="A6" s="10" t="s">
        <v>136</v>
      </c>
      <c r="B6" s="10"/>
      <c r="C6" s="10"/>
      <c r="D6" s="10" t="s">
        <v>138</v>
      </c>
      <c r="E6" s="10"/>
      <c r="F6" s="10"/>
      <c r="G6" s="10" t="s">
        <v>149</v>
      </c>
      <c r="H6" s="10"/>
      <c r="I6" s="10"/>
      <c r="J6" s="10" t="s">
        <v>153</v>
      </c>
      <c r="K6" s="10"/>
      <c r="L6" s="10"/>
      <c r="M6" s="10" t="s">
        <v>155</v>
      </c>
      <c r="N6" s="10"/>
      <c r="O6" s="10"/>
      <c r="P6" s="10" t="s">
        <v>164</v>
      </c>
      <c r="Q6" s="10"/>
      <c r="R6" s="10"/>
    </row>
    <row r="7" spans="1:18" ht="26" customHeight="1">
      <c r="A7" s="18">
        <f>COUNTIFS('Content Calendar'!$B$5:$B$604,"&gt;="&amp;DATE(PlanYear,1,1),'Content Calendar'!$B$5:$B$604,"&lt;="&amp;DATE(PlanYear,12,31))</f>
        <v>0</v>
      </c>
      <c r="B7" s="18"/>
      <c r="C7" s="18"/>
      <c r="D7" s="18">
        <f>COUNTIFS('Content Calendar'!$B$5:$B$604,"&gt;="&amp;DATE(PlanYear,1,1),'Content Calendar'!$B$5:$B$604,"&lt;="&amp;DATE(PlanYear,12,31),'Content Calendar'!$X$5:$X$604,"Published")</f>
        <v>0</v>
      </c>
      <c r="E7" s="18"/>
      <c r="F7" s="18"/>
      <c r="G7" s="18">
        <f>SUM(Calc!$G$5:$G$604)</f>
        <v>0</v>
      </c>
      <c r="H7" s="18"/>
      <c r="I7" s="18"/>
      <c r="J7" s="18">
        <f>SUM(Calc!$I$5:$I$604)</f>
        <v>0</v>
      </c>
      <c r="K7" s="18"/>
      <c r="L7" s="18"/>
      <c r="M7" s="19">
        <f>IFERROR(Year_Eng/Year_Reach,0)</f>
        <v>0</v>
      </c>
      <c r="N7" s="19"/>
      <c r="O7" s="19"/>
      <c r="P7" s="18">
        <f>SUM(Calc!$L$5:$L$604)</f>
        <v>0</v>
      </c>
      <c r="Q7" s="18"/>
      <c r="R7" s="18"/>
    </row>
    <row r="8" spans="1:18">
      <c r="A8" s="20" t="s">
        <v>228</v>
      </c>
      <c r="B8" s="20"/>
      <c r="C8" s="20"/>
      <c r="D8" s="20" t="s">
        <v>139</v>
      </c>
      <c r="E8" s="20"/>
      <c r="F8" s="20"/>
      <c r="G8" s="20" t="s">
        <v>229</v>
      </c>
      <c r="H8" s="20"/>
      <c r="I8" s="20"/>
      <c r="J8" s="20" t="s">
        <v>230</v>
      </c>
      <c r="K8" s="20"/>
      <c r="L8" s="20"/>
      <c r="M8" s="20" t="s">
        <v>231</v>
      </c>
      <c r="N8" s="20"/>
      <c r="O8" s="20"/>
      <c r="P8" s="20" t="s">
        <v>165</v>
      </c>
      <c r="Q8" s="20"/>
      <c r="R8" s="20"/>
    </row>
    <row r="10" spans="1:18">
      <c r="A10" s="10" t="s">
        <v>188</v>
      </c>
      <c r="B10" s="10"/>
      <c r="C10" s="10"/>
      <c r="D10" s="10" t="s">
        <v>168</v>
      </c>
      <c r="E10" s="10"/>
      <c r="F10" s="10"/>
      <c r="G10" s="10" t="s">
        <v>170</v>
      </c>
      <c r="H10" s="10"/>
      <c r="I10" s="10"/>
      <c r="J10" s="10" t="s">
        <v>172</v>
      </c>
      <c r="K10" s="10"/>
      <c r="L10" s="10"/>
      <c r="M10" s="10" t="s">
        <v>175</v>
      </c>
      <c r="N10" s="10"/>
      <c r="O10" s="10"/>
      <c r="P10" s="10" t="s">
        <v>179</v>
      </c>
      <c r="Q10" s="10"/>
      <c r="R10" s="10"/>
    </row>
    <row r="11" spans="1:18" ht="26" customHeight="1">
      <c r="A11" s="18">
        <f>SUM(Calc!$M$5:$M$604)</f>
        <v>0</v>
      </c>
      <c r="B11" s="18"/>
      <c r="C11" s="18"/>
      <c r="D11" s="18">
        <f>SUM(Calc!$N$5:$N$604)</f>
        <v>0</v>
      </c>
      <c r="E11" s="18"/>
      <c r="F11" s="18"/>
      <c r="G11" s="18">
        <f>SUM(Calc!$O$5:$O$604)</f>
        <v>0</v>
      </c>
      <c r="H11" s="18"/>
      <c r="I11" s="18"/>
      <c r="J11" s="21">
        <f>SUM(Calc!$P$5:$P$604)</f>
        <v>0</v>
      </c>
      <c r="K11" s="21"/>
      <c r="L11" s="21"/>
      <c r="M11" s="21">
        <f>SUM(Calc!$Q$5:$Q$604)</f>
        <v>0</v>
      </c>
      <c r="N11" s="21"/>
      <c r="O11" s="21"/>
      <c r="P11" s="22">
        <f>IFERROR(Year_Revenue/Year_Spend,0)</f>
        <v>0</v>
      </c>
      <c r="Q11" s="22"/>
      <c r="R11" s="22"/>
    </row>
    <row r="12" spans="1:18">
      <c r="A12" s="20" t="s">
        <v>232</v>
      </c>
      <c r="B12" s="20"/>
      <c r="C12" s="20"/>
      <c r="D12" s="20" t="s">
        <v>233</v>
      </c>
      <c r="E12" s="20"/>
      <c r="F12" s="20"/>
      <c r="G12" s="20" t="s">
        <v>234</v>
      </c>
      <c r="H12" s="20"/>
      <c r="I12" s="20"/>
      <c r="J12" s="20" t="s">
        <v>173</v>
      </c>
      <c r="K12" s="20"/>
      <c r="L12" s="20"/>
      <c r="M12" s="20" t="s">
        <v>235</v>
      </c>
      <c r="N12" s="20"/>
      <c r="O12" s="20"/>
      <c r="P12" s="20" t="s">
        <v>180</v>
      </c>
      <c r="Q12" s="20"/>
      <c r="R12" s="20"/>
    </row>
    <row r="14" spans="1:18">
      <c r="A14" s="10" t="s">
        <v>236</v>
      </c>
      <c r="B14" s="10"/>
      <c r="C14" s="10"/>
      <c r="D14" s="10" t="s">
        <v>159</v>
      </c>
      <c r="E14" s="10"/>
      <c r="F14" s="10"/>
      <c r="G14" s="10" t="s">
        <v>183</v>
      </c>
      <c r="H14" s="10"/>
      <c r="I14" s="10"/>
      <c r="J14" s="10" t="s">
        <v>238</v>
      </c>
      <c r="K14" s="10"/>
      <c r="L14" s="10"/>
      <c r="M14" s="10" t="s">
        <v>240</v>
      </c>
      <c r="N14" s="10"/>
      <c r="O14" s="10"/>
      <c r="P14" s="10" t="s">
        <v>242</v>
      </c>
      <c r="Q14" s="10"/>
      <c r="R14" s="10"/>
    </row>
    <row r="15" spans="1:18" ht="26" customHeight="1">
      <c r="A15" s="22">
        <f>IFERROR(Year_Published/52,0)</f>
        <v>0</v>
      </c>
      <c r="B15" s="22"/>
      <c r="C15" s="22"/>
      <c r="D15" s="18">
        <f>IFERROR(Year_Reach/Year_Published,0)</f>
        <v>0</v>
      </c>
      <c r="E15" s="18"/>
      <c r="F15" s="18"/>
      <c r="G15" s="21">
        <f>IFERROR(Year_Revenue/Year_Published,0)</f>
        <v>0</v>
      </c>
      <c r="H15" s="21"/>
      <c r="I15" s="21"/>
      <c r="J15" s="30">
        <f>IFERROR(INDEX(Calc!$D$5:$D$604,MATCH(MAX(Calc!$G$5:$G$604),Calc!$G$5:$G$604,0)),"")</f>
        <v>0</v>
      </c>
      <c r="K15" s="30"/>
      <c r="L15" s="30"/>
      <c r="M15" s="30">
        <f>IFERROR(INDEX(Calc!$T$5:$T$604,MATCH(MAX(Calc!$AI$5:$AI$604),Calc!$AI$5:$AI$604,0)),"")</f>
        <v>0</v>
      </c>
      <c r="N15" s="30"/>
      <c r="O15" s="30"/>
      <c r="P15" s="30">
        <f>IFERROR(INDEX(Calc!$AV$5:$AV$604,MATCH(MAX(Calc!$BA$5:$BA$604),Calc!$BA$5:$BA$604,0)),"")</f>
        <v>0</v>
      </c>
      <c r="Q15" s="30"/>
      <c r="R15" s="30"/>
    </row>
    <row r="16" spans="1:18">
      <c r="A16" s="20" t="s">
        <v>237</v>
      </c>
      <c r="B16" s="20"/>
      <c r="C16" s="20"/>
      <c r="D16" s="20" t="s">
        <v>160</v>
      </c>
      <c r="E16" s="20"/>
      <c r="F16" s="20"/>
      <c r="G16" s="20" t="s">
        <v>184</v>
      </c>
      <c r="H16" s="20"/>
      <c r="I16" s="20"/>
      <c r="J16" s="20" t="s">
        <v>239</v>
      </c>
      <c r="K16" s="20"/>
      <c r="L16" s="20"/>
      <c r="M16" s="20" t="s">
        <v>241</v>
      </c>
      <c r="N16" s="20"/>
      <c r="O16" s="20"/>
      <c r="P16" s="20" t="s">
        <v>243</v>
      </c>
      <c r="Q16" s="20"/>
      <c r="R16" s="20"/>
    </row>
    <row r="18" spans="1:18" ht="20" customHeight="1">
      <c r="A18" s="7" t="s">
        <v>244</v>
      </c>
      <c r="B18" s="7"/>
      <c r="C18" s="7"/>
      <c r="D18" s="7"/>
      <c r="E18" s="7"/>
      <c r="F18" s="7"/>
      <c r="G18" s="7"/>
      <c r="H18" s="7"/>
      <c r="I18" s="7"/>
      <c r="J18" s="7"/>
      <c r="K18" s="7"/>
      <c r="L18" s="7"/>
      <c r="M18" s="7"/>
      <c r="N18" s="7"/>
      <c r="O18" s="7"/>
      <c r="P18" s="7"/>
      <c r="Q18" s="7"/>
      <c r="R18" s="7"/>
    </row>
    <row r="19" spans="1:18" ht="26" customHeight="1">
      <c r="A19" s="8" t="s">
        <v>245</v>
      </c>
      <c r="B19" s="9" t="s">
        <v>138</v>
      </c>
      <c r="C19" s="9" t="s">
        <v>149</v>
      </c>
      <c r="D19" s="9" t="s">
        <v>153</v>
      </c>
      <c r="E19" s="9" t="s">
        <v>186</v>
      </c>
      <c r="F19" s="9" t="s">
        <v>246</v>
      </c>
      <c r="G19" s="9" t="s">
        <v>188</v>
      </c>
      <c r="H19" s="9" t="s">
        <v>168</v>
      </c>
      <c r="I19" s="9" t="s">
        <v>170</v>
      </c>
      <c r="J19" s="9" t="s">
        <v>172</v>
      </c>
      <c r="K19" s="9" t="s">
        <v>175</v>
      </c>
      <c r="L19" s="9" t="s">
        <v>189</v>
      </c>
    </row>
    <row r="20" spans="1:18">
      <c r="A20" s="17" t="s">
        <v>247</v>
      </c>
      <c r="B20" s="23">
        <f>N(Calc!$F$5)+N(Calc!$F$6)+N(Calc!$F$7)</f>
        <v>0</v>
      </c>
      <c r="C20" s="23">
        <f>N(Calc!$G$5)+N(Calc!$G$6)+N(Calc!$G$7)</f>
        <v>0</v>
      </c>
      <c r="D20" s="23">
        <f>N(Calc!$I$5)+N(Calc!$I$6)+N(Calc!$I$7)</f>
        <v>0</v>
      </c>
      <c r="E20" s="24">
        <f>IFERROR(D20/C20,"")</f>
        <v>0</v>
      </c>
      <c r="F20" s="23">
        <f>N(Calc!$L$5)+N(Calc!$L$6)+N(Calc!$L$7)</f>
        <v>0</v>
      </c>
      <c r="G20" s="23">
        <f>N(Calc!$M$5)+N(Calc!$M$6)+N(Calc!$M$7)</f>
        <v>0</v>
      </c>
      <c r="H20" s="23">
        <f>N(Calc!$N$5)+N(Calc!$N$6)+N(Calc!$N$7)</f>
        <v>0</v>
      </c>
      <c r="I20" s="23">
        <f>N(Calc!$O$5)+N(Calc!$O$6)+N(Calc!$O$7)</f>
        <v>0</v>
      </c>
      <c r="J20" s="25">
        <f>N(Calc!$P$5)+N(Calc!$P$6)+N(Calc!$P$7)</f>
        <v>0</v>
      </c>
      <c r="K20" s="25">
        <f>N(Calc!$Q$5)+N(Calc!$Q$6)+N(Calc!$Q$7)</f>
        <v>0</v>
      </c>
      <c r="L20" s="25">
        <f>J20-K20</f>
        <v>0</v>
      </c>
    </row>
    <row r="21" spans="1:18">
      <c r="A21" s="17" t="s">
        <v>248</v>
      </c>
      <c r="B21" s="23">
        <f>N(Calc!$F$8)+N(Calc!$F$9)+N(Calc!$F$10)</f>
        <v>0</v>
      </c>
      <c r="C21" s="23">
        <f>N(Calc!$G$8)+N(Calc!$G$9)+N(Calc!$G$10)</f>
        <v>0</v>
      </c>
      <c r="D21" s="23">
        <f>N(Calc!$I$8)+N(Calc!$I$9)+N(Calc!$I$10)</f>
        <v>0</v>
      </c>
      <c r="E21" s="24">
        <f>IFERROR(D21/C21,"")</f>
        <v>0</v>
      </c>
      <c r="F21" s="23">
        <f>N(Calc!$L$8)+N(Calc!$L$9)+N(Calc!$L$10)</f>
        <v>0</v>
      </c>
      <c r="G21" s="23">
        <f>N(Calc!$M$8)+N(Calc!$M$9)+N(Calc!$M$10)</f>
        <v>0</v>
      </c>
      <c r="H21" s="23">
        <f>N(Calc!$N$8)+N(Calc!$N$9)+N(Calc!$N$10)</f>
        <v>0</v>
      </c>
      <c r="I21" s="23">
        <f>N(Calc!$O$8)+N(Calc!$O$9)+N(Calc!$O$10)</f>
        <v>0</v>
      </c>
      <c r="J21" s="25">
        <f>N(Calc!$P$8)+N(Calc!$P$9)+N(Calc!$P$10)</f>
        <v>0</v>
      </c>
      <c r="K21" s="25">
        <f>N(Calc!$Q$8)+N(Calc!$Q$9)+N(Calc!$Q$10)</f>
        <v>0</v>
      </c>
      <c r="L21" s="25">
        <f>J21-K21</f>
        <v>0</v>
      </c>
    </row>
    <row r="22" spans="1:18">
      <c r="A22" s="17" t="s">
        <v>249</v>
      </c>
      <c r="B22" s="23">
        <f>N(Calc!$F$11)+N(Calc!$F$12)+N(Calc!$F$13)</f>
        <v>0</v>
      </c>
      <c r="C22" s="23">
        <f>N(Calc!$G$11)+N(Calc!$G$12)+N(Calc!$G$13)</f>
        <v>0</v>
      </c>
      <c r="D22" s="23">
        <f>N(Calc!$I$11)+N(Calc!$I$12)+N(Calc!$I$13)</f>
        <v>0</v>
      </c>
      <c r="E22" s="24">
        <f>IFERROR(D22/C22,"")</f>
        <v>0</v>
      </c>
      <c r="F22" s="23">
        <f>N(Calc!$L$11)+N(Calc!$L$12)+N(Calc!$L$13)</f>
        <v>0</v>
      </c>
      <c r="G22" s="23">
        <f>N(Calc!$M$11)+N(Calc!$M$12)+N(Calc!$M$13)</f>
        <v>0</v>
      </c>
      <c r="H22" s="23">
        <f>N(Calc!$N$11)+N(Calc!$N$12)+N(Calc!$N$13)</f>
        <v>0</v>
      </c>
      <c r="I22" s="23">
        <f>N(Calc!$O$11)+N(Calc!$O$12)+N(Calc!$O$13)</f>
        <v>0</v>
      </c>
      <c r="J22" s="25">
        <f>N(Calc!$P$11)+N(Calc!$P$12)+N(Calc!$P$13)</f>
        <v>0</v>
      </c>
      <c r="K22" s="25">
        <f>N(Calc!$Q$11)+N(Calc!$Q$12)+N(Calc!$Q$13)</f>
        <v>0</v>
      </c>
      <c r="L22" s="25">
        <f>J22-K22</f>
        <v>0</v>
      </c>
    </row>
    <row r="23" spans="1:18">
      <c r="A23" s="17" t="s">
        <v>250</v>
      </c>
      <c r="B23" s="23">
        <f>N(Calc!$F$14)+N(Calc!$F$15)+N(Calc!$F$16)</f>
        <v>0</v>
      </c>
      <c r="C23" s="23">
        <f>N(Calc!$G$14)+N(Calc!$G$15)+N(Calc!$G$16)</f>
        <v>0</v>
      </c>
      <c r="D23" s="23">
        <f>N(Calc!$I$14)+N(Calc!$I$15)+N(Calc!$I$16)</f>
        <v>0</v>
      </c>
      <c r="E23" s="24">
        <f>IFERROR(D23/C23,"")</f>
        <v>0</v>
      </c>
      <c r="F23" s="23">
        <f>N(Calc!$L$14)+N(Calc!$L$15)+N(Calc!$L$16)</f>
        <v>0</v>
      </c>
      <c r="G23" s="23">
        <f>N(Calc!$M$14)+N(Calc!$M$15)+N(Calc!$M$16)</f>
        <v>0</v>
      </c>
      <c r="H23" s="23">
        <f>N(Calc!$N$14)+N(Calc!$N$15)+N(Calc!$N$16)</f>
        <v>0</v>
      </c>
      <c r="I23" s="23">
        <f>N(Calc!$O$14)+N(Calc!$O$15)+N(Calc!$O$16)</f>
        <v>0</v>
      </c>
      <c r="J23" s="25">
        <f>N(Calc!$P$14)+N(Calc!$P$15)+N(Calc!$P$16)</f>
        <v>0</v>
      </c>
      <c r="K23" s="25">
        <f>N(Calc!$Q$14)+N(Calc!$Q$15)+N(Calc!$Q$16)</f>
        <v>0</v>
      </c>
      <c r="L23" s="25">
        <f>J23-K23</f>
        <v>0</v>
      </c>
    </row>
    <row r="25" spans="1:18" ht="20" customHeight="1">
      <c r="A25" s="7" t="s">
        <v>251</v>
      </c>
      <c r="B25" s="7"/>
      <c r="C25" s="7"/>
      <c r="D25" s="7"/>
      <c r="E25" s="7"/>
      <c r="F25" s="7"/>
      <c r="G25" s="7"/>
      <c r="H25" s="7"/>
      <c r="I25" s="7"/>
      <c r="J25" s="7"/>
      <c r="K25" s="7"/>
      <c r="L25" s="7"/>
      <c r="M25" s="7"/>
      <c r="N25" s="7"/>
      <c r="O25" s="7"/>
      <c r="P25" s="7"/>
      <c r="Q25" s="7"/>
      <c r="R25" s="7"/>
    </row>
    <row r="26" spans="1:18" ht="26" customHeight="1">
      <c r="A26" s="8" t="s">
        <v>129</v>
      </c>
      <c r="B26" s="9" t="s">
        <v>252</v>
      </c>
      <c r="C26" s="9" t="s">
        <v>138</v>
      </c>
      <c r="D26" s="9" t="s">
        <v>253</v>
      </c>
      <c r="E26" s="9" t="s">
        <v>149</v>
      </c>
      <c r="F26" s="9" t="s">
        <v>151</v>
      </c>
      <c r="G26" s="9" t="s">
        <v>153</v>
      </c>
      <c r="H26" s="9" t="s">
        <v>186</v>
      </c>
      <c r="I26" s="9" t="s">
        <v>162</v>
      </c>
      <c r="J26" s="9" t="s">
        <v>187</v>
      </c>
      <c r="K26" s="9" t="s">
        <v>188</v>
      </c>
      <c r="L26" s="9" t="s">
        <v>168</v>
      </c>
      <c r="M26" s="9" t="s">
        <v>170</v>
      </c>
      <c r="N26" s="9" t="s">
        <v>172</v>
      </c>
      <c r="O26" s="9" t="s">
        <v>175</v>
      </c>
      <c r="P26" s="9" t="s">
        <v>189</v>
      </c>
      <c r="Q26" s="9" t="s">
        <v>254</v>
      </c>
    </row>
    <row r="27" spans="1:18">
      <c r="A27" s="17">
        <f>Calc!$D$5</f>
        <v>0</v>
      </c>
      <c r="B27" s="23">
        <f>Calc!$E$5</f>
        <v>0</v>
      </c>
      <c r="C27" s="23">
        <f>Calc!$F$5</f>
        <v>0</v>
      </c>
      <c r="D27" s="24">
        <f>IFERROR(Calc!$F$5/Calc!$S$5,"")</f>
        <v>0</v>
      </c>
      <c r="E27" s="23">
        <f>Calc!$G$5</f>
        <v>0</v>
      </c>
      <c r="F27" s="23">
        <f>Calc!$H$5</f>
        <v>0</v>
      </c>
      <c r="G27" s="23">
        <f>Calc!$I$5</f>
        <v>0</v>
      </c>
      <c r="H27" s="24">
        <f>Calc!$J$5</f>
        <v>0</v>
      </c>
      <c r="I27" s="23">
        <f>Calc!$K$5</f>
        <v>0</v>
      </c>
      <c r="J27" s="23">
        <f>Calc!$L$5</f>
        <v>0</v>
      </c>
      <c r="K27" s="23">
        <f>Calc!$M$5</f>
        <v>0</v>
      </c>
      <c r="L27" s="23">
        <f>Calc!$N$5</f>
        <v>0</v>
      </c>
      <c r="M27" s="23">
        <f>Calc!$O$5</f>
        <v>0</v>
      </c>
      <c r="N27" s="25">
        <f>Calc!$P$5</f>
        <v>0</v>
      </c>
      <c r="O27" s="25">
        <f>Calc!$Q$5</f>
        <v>0</v>
      </c>
      <c r="P27" s="25">
        <f>N27-O27</f>
        <v>0</v>
      </c>
      <c r="Q27" s="31">
        <f>IFERROR(N27/O27,"")</f>
        <v>0</v>
      </c>
    </row>
    <row r="28" spans="1:18">
      <c r="A28" s="17">
        <f>Calc!$D$6</f>
        <v>0</v>
      </c>
      <c r="B28" s="23">
        <f>Calc!$E$6</f>
        <v>0</v>
      </c>
      <c r="C28" s="23">
        <f>Calc!$F$6</f>
        <v>0</v>
      </c>
      <c r="D28" s="24">
        <f>IFERROR(Calc!$F$6/Calc!$S$6,"")</f>
        <v>0</v>
      </c>
      <c r="E28" s="23">
        <f>Calc!$G$6</f>
        <v>0</v>
      </c>
      <c r="F28" s="23">
        <f>Calc!$H$6</f>
        <v>0</v>
      </c>
      <c r="G28" s="23">
        <f>Calc!$I$6</f>
        <v>0</v>
      </c>
      <c r="H28" s="24">
        <f>Calc!$J$6</f>
        <v>0</v>
      </c>
      <c r="I28" s="23">
        <f>Calc!$K$6</f>
        <v>0</v>
      </c>
      <c r="J28" s="23">
        <f>Calc!$L$6</f>
        <v>0</v>
      </c>
      <c r="K28" s="23">
        <f>Calc!$M$6</f>
        <v>0</v>
      </c>
      <c r="L28" s="23">
        <f>Calc!$N$6</f>
        <v>0</v>
      </c>
      <c r="M28" s="23">
        <f>Calc!$O$6</f>
        <v>0</v>
      </c>
      <c r="N28" s="25">
        <f>Calc!$P$6</f>
        <v>0</v>
      </c>
      <c r="O28" s="25">
        <f>Calc!$Q$6</f>
        <v>0</v>
      </c>
      <c r="P28" s="25">
        <f>N28-O28</f>
        <v>0</v>
      </c>
      <c r="Q28" s="31">
        <f>IFERROR(N28/O28,"")</f>
        <v>0</v>
      </c>
    </row>
    <row r="29" spans="1:18">
      <c r="A29" s="17">
        <f>Calc!$D$7</f>
        <v>0</v>
      </c>
      <c r="B29" s="23">
        <f>Calc!$E$7</f>
        <v>0</v>
      </c>
      <c r="C29" s="23">
        <f>Calc!$F$7</f>
        <v>0</v>
      </c>
      <c r="D29" s="24">
        <f>IFERROR(Calc!$F$7/Calc!$S$7,"")</f>
        <v>0</v>
      </c>
      <c r="E29" s="23">
        <f>Calc!$G$7</f>
        <v>0</v>
      </c>
      <c r="F29" s="23">
        <f>Calc!$H$7</f>
        <v>0</v>
      </c>
      <c r="G29" s="23">
        <f>Calc!$I$7</f>
        <v>0</v>
      </c>
      <c r="H29" s="24">
        <f>Calc!$J$7</f>
        <v>0</v>
      </c>
      <c r="I29" s="23">
        <f>Calc!$K$7</f>
        <v>0</v>
      </c>
      <c r="J29" s="23">
        <f>Calc!$L$7</f>
        <v>0</v>
      </c>
      <c r="K29" s="23">
        <f>Calc!$M$7</f>
        <v>0</v>
      </c>
      <c r="L29" s="23">
        <f>Calc!$N$7</f>
        <v>0</v>
      </c>
      <c r="M29" s="23">
        <f>Calc!$O$7</f>
        <v>0</v>
      </c>
      <c r="N29" s="25">
        <f>Calc!$P$7</f>
        <v>0</v>
      </c>
      <c r="O29" s="25">
        <f>Calc!$Q$7</f>
        <v>0</v>
      </c>
      <c r="P29" s="25">
        <f>N29-O29</f>
        <v>0</v>
      </c>
      <c r="Q29" s="31">
        <f>IFERROR(N29/O29,"")</f>
        <v>0</v>
      </c>
    </row>
    <row r="30" spans="1:18">
      <c r="A30" s="17">
        <f>Calc!$D$8</f>
        <v>0</v>
      </c>
      <c r="B30" s="23">
        <f>Calc!$E$8</f>
        <v>0</v>
      </c>
      <c r="C30" s="23">
        <f>Calc!$F$8</f>
        <v>0</v>
      </c>
      <c r="D30" s="24">
        <f>IFERROR(Calc!$F$8/Calc!$S$8,"")</f>
        <v>0</v>
      </c>
      <c r="E30" s="23">
        <f>Calc!$G$8</f>
        <v>0</v>
      </c>
      <c r="F30" s="23">
        <f>Calc!$H$8</f>
        <v>0</v>
      </c>
      <c r="G30" s="23">
        <f>Calc!$I$8</f>
        <v>0</v>
      </c>
      <c r="H30" s="24">
        <f>Calc!$J$8</f>
        <v>0</v>
      </c>
      <c r="I30" s="23">
        <f>Calc!$K$8</f>
        <v>0</v>
      </c>
      <c r="J30" s="23">
        <f>Calc!$L$8</f>
        <v>0</v>
      </c>
      <c r="K30" s="23">
        <f>Calc!$M$8</f>
        <v>0</v>
      </c>
      <c r="L30" s="23">
        <f>Calc!$N$8</f>
        <v>0</v>
      </c>
      <c r="M30" s="23">
        <f>Calc!$O$8</f>
        <v>0</v>
      </c>
      <c r="N30" s="25">
        <f>Calc!$P$8</f>
        <v>0</v>
      </c>
      <c r="O30" s="25">
        <f>Calc!$Q$8</f>
        <v>0</v>
      </c>
      <c r="P30" s="25">
        <f>N30-O30</f>
        <v>0</v>
      </c>
      <c r="Q30" s="31">
        <f>IFERROR(N30/O30,"")</f>
        <v>0</v>
      </c>
    </row>
    <row r="31" spans="1:18">
      <c r="A31" s="17">
        <f>Calc!$D$9</f>
        <v>0</v>
      </c>
      <c r="B31" s="23">
        <f>Calc!$E$9</f>
        <v>0</v>
      </c>
      <c r="C31" s="23">
        <f>Calc!$F$9</f>
        <v>0</v>
      </c>
      <c r="D31" s="24">
        <f>IFERROR(Calc!$F$9/Calc!$S$9,"")</f>
        <v>0</v>
      </c>
      <c r="E31" s="23">
        <f>Calc!$G$9</f>
        <v>0</v>
      </c>
      <c r="F31" s="23">
        <f>Calc!$H$9</f>
        <v>0</v>
      </c>
      <c r="G31" s="23">
        <f>Calc!$I$9</f>
        <v>0</v>
      </c>
      <c r="H31" s="24">
        <f>Calc!$J$9</f>
        <v>0</v>
      </c>
      <c r="I31" s="23">
        <f>Calc!$K$9</f>
        <v>0</v>
      </c>
      <c r="J31" s="23">
        <f>Calc!$L$9</f>
        <v>0</v>
      </c>
      <c r="K31" s="23">
        <f>Calc!$M$9</f>
        <v>0</v>
      </c>
      <c r="L31" s="23">
        <f>Calc!$N$9</f>
        <v>0</v>
      </c>
      <c r="M31" s="23">
        <f>Calc!$O$9</f>
        <v>0</v>
      </c>
      <c r="N31" s="25">
        <f>Calc!$P$9</f>
        <v>0</v>
      </c>
      <c r="O31" s="25">
        <f>Calc!$Q$9</f>
        <v>0</v>
      </c>
      <c r="P31" s="25">
        <f>N31-O31</f>
        <v>0</v>
      </c>
      <c r="Q31" s="31">
        <f>IFERROR(N31/O31,"")</f>
        <v>0</v>
      </c>
    </row>
    <row r="32" spans="1:18">
      <c r="A32" s="17">
        <f>Calc!$D$10</f>
        <v>0</v>
      </c>
      <c r="B32" s="23">
        <f>Calc!$E$10</f>
        <v>0</v>
      </c>
      <c r="C32" s="23">
        <f>Calc!$F$10</f>
        <v>0</v>
      </c>
      <c r="D32" s="24">
        <f>IFERROR(Calc!$F$10/Calc!$S$10,"")</f>
        <v>0</v>
      </c>
      <c r="E32" s="23">
        <f>Calc!$G$10</f>
        <v>0</v>
      </c>
      <c r="F32" s="23">
        <f>Calc!$H$10</f>
        <v>0</v>
      </c>
      <c r="G32" s="23">
        <f>Calc!$I$10</f>
        <v>0</v>
      </c>
      <c r="H32" s="24">
        <f>Calc!$J$10</f>
        <v>0</v>
      </c>
      <c r="I32" s="23">
        <f>Calc!$K$10</f>
        <v>0</v>
      </c>
      <c r="J32" s="23">
        <f>Calc!$L$10</f>
        <v>0</v>
      </c>
      <c r="K32" s="23">
        <f>Calc!$M$10</f>
        <v>0</v>
      </c>
      <c r="L32" s="23">
        <f>Calc!$N$10</f>
        <v>0</v>
      </c>
      <c r="M32" s="23">
        <f>Calc!$O$10</f>
        <v>0</v>
      </c>
      <c r="N32" s="25">
        <f>Calc!$P$10</f>
        <v>0</v>
      </c>
      <c r="O32" s="25">
        <f>Calc!$Q$10</f>
        <v>0</v>
      </c>
      <c r="P32" s="25">
        <f>N32-O32</f>
        <v>0</v>
      </c>
      <c r="Q32" s="31">
        <f>IFERROR(N32/O32,"")</f>
        <v>0</v>
      </c>
    </row>
    <row r="33" spans="1:18">
      <c r="A33" s="17">
        <f>Calc!$D$11</f>
        <v>0</v>
      </c>
      <c r="B33" s="23">
        <f>Calc!$E$11</f>
        <v>0</v>
      </c>
      <c r="C33" s="23">
        <f>Calc!$F$11</f>
        <v>0</v>
      </c>
      <c r="D33" s="24">
        <f>IFERROR(Calc!$F$11/Calc!$S$11,"")</f>
        <v>0</v>
      </c>
      <c r="E33" s="23">
        <f>Calc!$G$11</f>
        <v>0</v>
      </c>
      <c r="F33" s="23">
        <f>Calc!$H$11</f>
        <v>0</v>
      </c>
      <c r="G33" s="23">
        <f>Calc!$I$11</f>
        <v>0</v>
      </c>
      <c r="H33" s="24">
        <f>Calc!$J$11</f>
        <v>0</v>
      </c>
      <c r="I33" s="23">
        <f>Calc!$K$11</f>
        <v>0</v>
      </c>
      <c r="J33" s="23">
        <f>Calc!$L$11</f>
        <v>0</v>
      </c>
      <c r="K33" s="23">
        <f>Calc!$M$11</f>
        <v>0</v>
      </c>
      <c r="L33" s="23">
        <f>Calc!$N$11</f>
        <v>0</v>
      </c>
      <c r="M33" s="23">
        <f>Calc!$O$11</f>
        <v>0</v>
      </c>
      <c r="N33" s="25">
        <f>Calc!$P$11</f>
        <v>0</v>
      </c>
      <c r="O33" s="25">
        <f>Calc!$Q$11</f>
        <v>0</v>
      </c>
      <c r="P33" s="25">
        <f>N33-O33</f>
        <v>0</v>
      </c>
      <c r="Q33" s="31">
        <f>IFERROR(N33/O33,"")</f>
        <v>0</v>
      </c>
    </row>
    <row r="34" spans="1:18">
      <c r="A34" s="17">
        <f>Calc!$D$12</f>
        <v>0</v>
      </c>
      <c r="B34" s="23">
        <f>Calc!$E$12</f>
        <v>0</v>
      </c>
      <c r="C34" s="23">
        <f>Calc!$F$12</f>
        <v>0</v>
      </c>
      <c r="D34" s="24">
        <f>IFERROR(Calc!$F$12/Calc!$S$12,"")</f>
        <v>0</v>
      </c>
      <c r="E34" s="23">
        <f>Calc!$G$12</f>
        <v>0</v>
      </c>
      <c r="F34" s="23">
        <f>Calc!$H$12</f>
        <v>0</v>
      </c>
      <c r="G34" s="23">
        <f>Calc!$I$12</f>
        <v>0</v>
      </c>
      <c r="H34" s="24">
        <f>Calc!$J$12</f>
        <v>0</v>
      </c>
      <c r="I34" s="23">
        <f>Calc!$K$12</f>
        <v>0</v>
      </c>
      <c r="J34" s="23">
        <f>Calc!$L$12</f>
        <v>0</v>
      </c>
      <c r="K34" s="23">
        <f>Calc!$M$12</f>
        <v>0</v>
      </c>
      <c r="L34" s="23">
        <f>Calc!$N$12</f>
        <v>0</v>
      </c>
      <c r="M34" s="23">
        <f>Calc!$O$12</f>
        <v>0</v>
      </c>
      <c r="N34" s="25">
        <f>Calc!$P$12</f>
        <v>0</v>
      </c>
      <c r="O34" s="25">
        <f>Calc!$Q$12</f>
        <v>0</v>
      </c>
      <c r="P34" s="25">
        <f>N34-O34</f>
        <v>0</v>
      </c>
      <c r="Q34" s="31">
        <f>IFERROR(N34/O34,"")</f>
        <v>0</v>
      </c>
    </row>
    <row r="35" spans="1:18">
      <c r="A35" s="17">
        <f>Calc!$D$13</f>
        <v>0</v>
      </c>
      <c r="B35" s="23">
        <f>Calc!$E$13</f>
        <v>0</v>
      </c>
      <c r="C35" s="23">
        <f>Calc!$F$13</f>
        <v>0</v>
      </c>
      <c r="D35" s="24">
        <f>IFERROR(Calc!$F$13/Calc!$S$13,"")</f>
        <v>0</v>
      </c>
      <c r="E35" s="23">
        <f>Calc!$G$13</f>
        <v>0</v>
      </c>
      <c r="F35" s="23">
        <f>Calc!$H$13</f>
        <v>0</v>
      </c>
      <c r="G35" s="23">
        <f>Calc!$I$13</f>
        <v>0</v>
      </c>
      <c r="H35" s="24">
        <f>Calc!$J$13</f>
        <v>0</v>
      </c>
      <c r="I35" s="23">
        <f>Calc!$K$13</f>
        <v>0</v>
      </c>
      <c r="J35" s="23">
        <f>Calc!$L$13</f>
        <v>0</v>
      </c>
      <c r="K35" s="23">
        <f>Calc!$M$13</f>
        <v>0</v>
      </c>
      <c r="L35" s="23">
        <f>Calc!$N$13</f>
        <v>0</v>
      </c>
      <c r="M35" s="23">
        <f>Calc!$O$13</f>
        <v>0</v>
      </c>
      <c r="N35" s="25">
        <f>Calc!$P$13</f>
        <v>0</v>
      </c>
      <c r="O35" s="25">
        <f>Calc!$Q$13</f>
        <v>0</v>
      </c>
      <c r="P35" s="25">
        <f>N35-O35</f>
        <v>0</v>
      </c>
      <c r="Q35" s="31">
        <f>IFERROR(N35/O35,"")</f>
        <v>0</v>
      </c>
    </row>
    <row r="36" spans="1:18">
      <c r="A36" s="17">
        <f>Calc!$D$14</f>
        <v>0</v>
      </c>
      <c r="B36" s="23">
        <f>Calc!$E$14</f>
        <v>0</v>
      </c>
      <c r="C36" s="23">
        <f>Calc!$F$14</f>
        <v>0</v>
      </c>
      <c r="D36" s="24">
        <f>IFERROR(Calc!$F$14/Calc!$S$14,"")</f>
        <v>0</v>
      </c>
      <c r="E36" s="23">
        <f>Calc!$G$14</f>
        <v>0</v>
      </c>
      <c r="F36" s="23">
        <f>Calc!$H$14</f>
        <v>0</v>
      </c>
      <c r="G36" s="23">
        <f>Calc!$I$14</f>
        <v>0</v>
      </c>
      <c r="H36" s="24">
        <f>Calc!$J$14</f>
        <v>0</v>
      </c>
      <c r="I36" s="23">
        <f>Calc!$K$14</f>
        <v>0</v>
      </c>
      <c r="J36" s="23">
        <f>Calc!$L$14</f>
        <v>0</v>
      </c>
      <c r="K36" s="23">
        <f>Calc!$M$14</f>
        <v>0</v>
      </c>
      <c r="L36" s="23">
        <f>Calc!$N$14</f>
        <v>0</v>
      </c>
      <c r="M36" s="23">
        <f>Calc!$O$14</f>
        <v>0</v>
      </c>
      <c r="N36" s="25">
        <f>Calc!$P$14</f>
        <v>0</v>
      </c>
      <c r="O36" s="25">
        <f>Calc!$Q$14</f>
        <v>0</v>
      </c>
      <c r="P36" s="25">
        <f>N36-O36</f>
        <v>0</v>
      </c>
      <c r="Q36" s="31">
        <f>IFERROR(N36/O36,"")</f>
        <v>0</v>
      </c>
    </row>
    <row r="37" spans="1:18">
      <c r="A37" s="17">
        <f>Calc!$D$15</f>
        <v>0</v>
      </c>
      <c r="B37" s="23">
        <f>Calc!$E$15</f>
        <v>0</v>
      </c>
      <c r="C37" s="23">
        <f>Calc!$F$15</f>
        <v>0</v>
      </c>
      <c r="D37" s="24">
        <f>IFERROR(Calc!$F$15/Calc!$S$15,"")</f>
        <v>0</v>
      </c>
      <c r="E37" s="23">
        <f>Calc!$G$15</f>
        <v>0</v>
      </c>
      <c r="F37" s="23">
        <f>Calc!$H$15</f>
        <v>0</v>
      </c>
      <c r="G37" s="23">
        <f>Calc!$I$15</f>
        <v>0</v>
      </c>
      <c r="H37" s="24">
        <f>Calc!$J$15</f>
        <v>0</v>
      </c>
      <c r="I37" s="23">
        <f>Calc!$K$15</f>
        <v>0</v>
      </c>
      <c r="J37" s="23">
        <f>Calc!$L$15</f>
        <v>0</v>
      </c>
      <c r="K37" s="23">
        <f>Calc!$M$15</f>
        <v>0</v>
      </c>
      <c r="L37" s="23">
        <f>Calc!$N$15</f>
        <v>0</v>
      </c>
      <c r="M37" s="23">
        <f>Calc!$O$15</f>
        <v>0</v>
      </c>
      <c r="N37" s="25">
        <f>Calc!$P$15</f>
        <v>0</v>
      </c>
      <c r="O37" s="25">
        <f>Calc!$Q$15</f>
        <v>0</v>
      </c>
      <c r="P37" s="25">
        <f>N37-O37</f>
        <v>0</v>
      </c>
      <c r="Q37" s="31">
        <f>IFERROR(N37/O37,"")</f>
        <v>0</v>
      </c>
    </row>
    <row r="38" spans="1:18">
      <c r="A38" s="17">
        <f>Calc!$D$16</f>
        <v>0</v>
      </c>
      <c r="B38" s="23">
        <f>Calc!$E$16</f>
        <v>0</v>
      </c>
      <c r="C38" s="23">
        <f>Calc!$F$16</f>
        <v>0</v>
      </c>
      <c r="D38" s="24">
        <f>IFERROR(Calc!$F$16/Calc!$S$16,"")</f>
        <v>0</v>
      </c>
      <c r="E38" s="23">
        <f>Calc!$G$16</f>
        <v>0</v>
      </c>
      <c r="F38" s="23">
        <f>Calc!$H$16</f>
        <v>0</v>
      </c>
      <c r="G38" s="23">
        <f>Calc!$I$16</f>
        <v>0</v>
      </c>
      <c r="H38" s="24">
        <f>Calc!$J$16</f>
        <v>0</v>
      </c>
      <c r="I38" s="23">
        <f>Calc!$K$16</f>
        <v>0</v>
      </c>
      <c r="J38" s="23">
        <f>Calc!$L$16</f>
        <v>0</v>
      </c>
      <c r="K38" s="23">
        <f>Calc!$M$16</f>
        <v>0</v>
      </c>
      <c r="L38" s="23">
        <f>Calc!$N$16</f>
        <v>0</v>
      </c>
      <c r="M38" s="23">
        <f>Calc!$O$16</f>
        <v>0</v>
      </c>
      <c r="N38" s="25">
        <f>Calc!$P$16</f>
        <v>0</v>
      </c>
      <c r="O38" s="25">
        <f>Calc!$Q$16</f>
        <v>0</v>
      </c>
      <c r="P38" s="25">
        <f>N38-O38</f>
        <v>0</v>
      </c>
      <c r="Q38" s="31">
        <f>IFERROR(N38/O38,"")</f>
        <v>0</v>
      </c>
    </row>
    <row r="39" spans="1:18">
      <c r="A39" s="26" t="s">
        <v>190</v>
      </c>
      <c r="B39" s="27"/>
      <c r="D39" s="27"/>
      <c r="F39" s="27"/>
      <c r="G39" s="27"/>
      <c r="H39" s="27"/>
      <c r="J39" s="27"/>
      <c r="K39" s="27"/>
      <c r="L39" s="27"/>
      <c r="M39" s="27"/>
      <c r="O39" s="27"/>
      <c r="P39" s="27"/>
      <c r="Q39" s="27"/>
    </row>
    <row r="41" spans="1:18" ht="20" customHeight="1">
      <c r="A41" s="7" t="s">
        <v>255</v>
      </c>
      <c r="B41" s="7"/>
      <c r="C41" s="7"/>
      <c r="D41" s="7"/>
      <c r="E41" s="7"/>
      <c r="F41" s="7"/>
      <c r="G41" s="7"/>
      <c r="H41" s="7"/>
      <c r="I41" s="7"/>
      <c r="J41" s="7"/>
      <c r="K41" s="7"/>
      <c r="L41" s="7"/>
      <c r="M41" s="7"/>
      <c r="N41" s="7"/>
      <c r="O41" s="7"/>
      <c r="P41" s="7"/>
      <c r="Q41" s="7"/>
      <c r="R41" s="7"/>
    </row>
    <row r="42" spans="1:18">
      <c r="A42" s="28" t="s">
        <v>256</v>
      </c>
      <c r="B42" s="28"/>
      <c r="C42" s="28"/>
      <c r="D42" s="28"/>
      <c r="E42" s="28"/>
      <c r="F42" s="28"/>
      <c r="G42" s="28"/>
      <c r="I42" s="28" t="s">
        <v>95</v>
      </c>
      <c r="J42" s="28"/>
      <c r="K42" s="28"/>
      <c r="L42" s="28"/>
      <c r="M42" s="28"/>
      <c r="N42" s="28"/>
      <c r="O42" s="28"/>
      <c r="P42" s="28"/>
      <c r="Q42" s="28"/>
      <c r="R42" s="28"/>
    </row>
    <row r="43" spans="1:18" ht="26" customHeight="1">
      <c r="A43" s="8" t="s">
        <v>192</v>
      </c>
      <c r="B43" s="9" t="s">
        <v>193</v>
      </c>
      <c r="C43" s="9" t="s">
        <v>149</v>
      </c>
      <c r="D43" s="9" t="s">
        <v>153</v>
      </c>
      <c r="E43" s="9" t="s">
        <v>186</v>
      </c>
      <c r="F43" s="9" t="s">
        <v>187</v>
      </c>
      <c r="G43" s="9" t="s">
        <v>257</v>
      </c>
      <c r="I43" s="8" t="s">
        <v>258</v>
      </c>
      <c r="J43" s="9" t="s">
        <v>259</v>
      </c>
      <c r="K43" s="9" t="s">
        <v>260</v>
      </c>
      <c r="L43" s="9" t="s">
        <v>261</v>
      </c>
      <c r="M43" s="9" t="s">
        <v>262</v>
      </c>
      <c r="N43" s="9" t="s">
        <v>263</v>
      </c>
    </row>
    <row r="44" spans="1:18">
      <c r="A44" s="17">
        <f>IF(Calc!$T$5="","",Calc!$T$5)</f>
        <v>0</v>
      </c>
      <c r="B44" s="23">
        <f>IF(Calc!$T$5="","",Calc!$AD$5)</f>
        <v>0</v>
      </c>
      <c r="C44" s="23">
        <f>IF(Calc!$T$5="","",Calc!$AE$5)</f>
        <v>0</v>
      </c>
      <c r="D44" s="23">
        <f>IF(Calc!$T$5="","",Calc!$AF$5)</f>
        <v>0</v>
      </c>
      <c r="E44" s="24">
        <f>IF(Calc!$T$5="","",Calc!$AG$5)</f>
        <v>0</v>
      </c>
      <c r="F44" s="23">
        <f>IF(Calc!$T$5="","",Calc!$AH$5)</f>
        <v>0</v>
      </c>
      <c r="G44" s="24">
        <f>IFERROR(Calc!$AE$5/SUM(Calc!$AE$5:$AE$604),"")</f>
        <v>0</v>
      </c>
      <c r="I44" s="17">
        <f>IF(Goals!$B$5="","",Goals!$B$5)</f>
        <v>0</v>
      </c>
      <c r="J44" s="32">
        <f>IF(Goals!$B$5="","",Goals!$K$5)</f>
        <v>0</v>
      </c>
      <c r="K44" s="32">
        <f>IF(Goals!$B$5="","",Goals!$J$5)</f>
        <v>0</v>
      </c>
      <c r="L44" s="24">
        <f>IF(Goals!$B$5="","",Goals!$R$5)</f>
        <v>0</v>
      </c>
      <c r="M44" s="29">
        <f>IF(Goals!$B$5="","",Goals!$V$5)</f>
        <v>0</v>
      </c>
      <c r="N44" s="16">
        <f>IF(Goals!$B$5="","",Goals!$L$5)</f>
        <v>0</v>
      </c>
    </row>
    <row r="45" spans="1:18">
      <c r="A45" s="17">
        <f>IF(Calc!$T$6="","",Calc!$T$6)</f>
        <v>0</v>
      </c>
      <c r="B45" s="23">
        <f>IF(Calc!$T$6="","",Calc!$AD$6)</f>
        <v>0</v>
      </c>
      <c r="C45" s="23">
        <f>IF(Calc!$T$6="","",Calc!$AE$6)</f>
        <v>0</v>
      </c>
      <c r="D45" s="23">
        <f>IF(Calc!$T$6="","",Calc!$AF$6)</f>
        <v>0</v>
      </c>
      <c r="E45" s="24">
        <f>IF(Calc!$T$6="","",Calc!$AG$6)</f>
        <v>0</v>
      </c>
      <c r="F45" s="23">
        <f>IF(Calc!$T$6="","",Calc!$AH$6)</f>
        <v>0</v>
      </c>
      <c r="G45" s="24">
        <f>IFERROR(Calc!$AE$6/SUM(Calc!$AE$5:$AE$604),"")</f>
        <v>0</v>
      </c>
      <c r="I45" s="17">
        <f>IF(Goals!$B$6="","",Goals!$B$6)</f>
        <v>0</v>
      </c>
      <c r="J45" s="32">
        <f>IF(Goals!$B$6="","",Goals!$K$6)</f>
        <v>0</v>
      </c>
      <c r="K45" s="32">
        <f>IF(Goals!$B$6="","",Goals!$J$6)</f>
        <v>0</v>
      </c>
      <c r="L45" s="24">
        <f>IF(Goals!$B$6="","",Goals!$R$6)</f>
        <v>0</v>
      </c>
      <c r="M45" s="29">
        <f>IF(Goals!$B$6="","",Goals!$V$6)</f>
        <v>0</v>
      </c>
      <c r="N45" s="16">
        <f>IF(Goals!$B$6="","",Goals!$L$6)</f>
        <v>0</v>
      </c>
    </row>
    <row r="46" spans="1:18">
      <c r="A46" s="17">
        <f>IF(Calc!$T$7="","",Calc!$T$7)</f>
        <v>0</v>
      </c>
      <c r="B46" s="23">
        <f>IF(Calc!$T$7="","",Calc!$AD$7)</f>
        <v>0</v>
      </c>
      <c r="C46" s="23">
        <f>IF(Calc!$T$7="","",Calc!$AE$7)</f>
        <v>0</v>
      </c>
      <c r="D46" s="23">
        <f>IF(Calc!$T$7="","",Calc!$AF$7)</f>
        <v>0</v>
      </c>
      <c r="E46" s="24">
        <f>IF(Calc!$T$7="","",Calc!$AG$7)</f>
        <v>0</v>
      </c>
      <c r="F46" s="23">
        <f>IF(Calc!$T$7="","",Calc!$AH$7)</f>
        <v>0</v>
      </c>
      <c r="G46" s="24">
        <f>IFERROR(Calc!$AE$7/SUM(Calc!$AE$5:$AE$604),"")</f>
        <v>0</v>
      </c>
      <c r="I46" s="17">
        <f>IF(Goals!$B$7="","",Goals!$B$7)</f>
        <v>0</v>
      </c>
      <c r="J46" s="32">
        <f>IF(Goals!$B$7="","",Goals!$K$7)</f>
        <v>0</v>
      </c>
      <c r="K46" s="32">
        <f>IF(Goals!$B$7="","",Goals!$J$7)</f>
        <v>0</v>
      </c>
      <c r="L46" s="24">
        <f>IF(Goals!$B$7="","",Goals!$R$7)</f>
        <v>0</v>
      </c>
      <c r="M46" s="29">
        <f>IF(Goals!$B$7="","",Goals!$V$7)</f>
        <v>0</v>
      </c>
      <c r="N46" s="16">
        <f>IF(Goals!$B$7="","",Goals!$L$7)</f>
        <v>0</v>
      </c>
    </row>
    <row r="47" spans="1:18">
      <c r="A47" s="17">
        <f>IF(Calc!$T$8="","",Calc!$T$8)</f>
        <v>0</v>
      </c>
      <c r="B47" s="23">
        <f>IF(Calc!$T$8="","",Calc!$AD$8)</f>
        <v>0</v>
      </c>
      <c r="C47" s="23">
        <f>IF(Calc!$T$8="","",Calc!$AE$8)</f>
        <v>0</v>
      </c>
      <c r="D47" s="23">
        <f>IF(Calc!$T$8="","",Calc!$AF$8)</f>
        <v>0</v>
      </c>
      <c r="E47" s="24">
        <f>IF(Calc!$T$8="","",Calc!$AG$8)</f>
        <v>0</v>
      </c>
      <c r="F47" s="23">
        <f>IF(Calc!$T$8="","",Calc!$AH$8)</f>
        <v>0</v>
      </c>
      <c r="G47" s="24">
        <f>IFERROR(Calc!$AE$8/SUM(Calc!$AE$5:$AE$604),"")</f>
        <v>0</v>
      </c>
      <c r="I47" s="17">
        <f>IF(Goals!$B$8="","",Goals!$B$8)</f>
        <v>0</v>
      </c>
      <c r="J47" s="32">
        <f>IF(Goals!$B$8="","",Goals!$K$8)</f>
        <v>0</v>
      </c>
      <c r="K47" s="32">
        <f>IF(Goals!$B$8="","",Goals!$J$8)</f>
        <v>0</v>
      </c>
      <c r="L47" s="24">
        <f>IF(Goals!$B$8="","",Goals!$R$8)</f>
        <v>0</v>
      </c>
      <c r="M47" s="29">
        <f>IF(Goals!$B$8="","",Goals!$V$8)</f>
        <v>0</v>
      </c>
      <c r="N47" s="16">
        <f>IF(Goals!$B$8="","",Goals!$L$8)</f>
        <v>0</v>
      </c>
    </row>
    <row r="48" spans="1:18">
      <c r="A48" s="17">
        <f>IF(Calc!$T$9="","",Calc!$T$9)</f>
        <v>0</v>
      </c>
      <c r="B48" s="23">
        <f>IF(Calc!$T$9="","",Calc!$AD$9)</f>
        <v>0</v>
      </c>
      <c r="C48" s="23">
        <f>IF(Calc!$T$9="","",Calc!$AE$9)</f>
        <v>0</v>
      </c>
      <c r="D48" s="23">
        <f>IF(Calc!$T$9="","",Calc!$AF$9)</f>
        <v>0</v>
      </c>
      <c r="E48" s="24">
        <f>IF(Calc!$T$9="","",Calc!$AG$9)</f>
        <v>0</v>
      </c>
      <c r="F48" s="23">
        <f>IF(Calc!$T$9="","",Calc!$AH$9)</f>
        <v>0</v>
      </c>
      <c r="G48" s="24">
        <f>IFERROR(Calc!$AE$9/SUM(Calc!$AE$5:$AE$604),"")</f>
        <v>0</v>
      </c>
      <c r="I48" s="17">
        <f>IF(Goals!$B$9="","",Goals!$B$9)</f>
        <v>0</v>
      </c>
      <c r="J48" s="32">
        <f>IF(Goals!$B$9="","",Goals!$K$9)</f>
        <v>0</v>
      </c>
      <c r="K48" s="32">
        <f>IF(Goals!$B$9="","",Goals!$J$9)</f>
        <v>0</v>
      </c>
      <c r="L48" s="24">
        <f>IF(Goals!$B$9="","",Goals!$R$9)</f>
        <v>0</v>
      </c>
      <c r="M48" s="29">
        <f>IF(Goals!$B$9="","",Goals!$V$9)</f>
        <v>0</v>
      </c>
      <c r="N48" s="16">
        <f>IF(Goals!$B$9="","",Goals!$L$9)</f>
        <v>0</v>
      </c>
    </row>
    <row r="49" spans="1:18">
      <c r="A49" s="17">
        <f>IF(Calc!$T$10="","",Calc!$T$10)</f>
        <v>0</v>
      </c>
      <c r="B49" s="23">
        <f>IF(Calc!$T$10="","",Calc!$AD$10)</f>
        <v>0</v>
      </c>
      <c r="C49" s="23">
        <f>IF(Calc!$T$10="","",Calc!$AE$10)</f>
        <v>0</v>
      </c>
      <c r="D49" s="23">
        <f>IF(Calc!$T$10="","",Calc!$AF$10)</f>
        <v>0</v>
      </c>
      <c r="E49" s="24">
        <f>IF(Calc!$T$10="","",Calc!$AG$10)</f>
        <v>0</v>
      </c>
      <c r="F49" s="23">
        <f>IF(Calc!$T$10="","",Calc!$AH$10)</f>
        <v>0</v>
      </c>
      <c r="G49" s="24">
        <f>IFERROR(Calc!$AE$10/SUM(Calc!$AE$5:$AE$604),"")</f>
        <v>0</v>
      </c>
      <c r="I49" s="17">
        <f>IF(Goals!$B$10="","",Goals!$B$10)</f>
        <v>0</v>
      </c>
      <c r="J49" s="32">
        <f>IF(Goals!$B$10="","",Goals!$K$10)</f>
        <v>0</v>
      </c>
      <c r="K49" s="32">
        <f>IF(Goals!$B$10="","",Goals!$J$10)</f>
        <v>0</v>
      </c>
      <c r="L49" s="24">
        <f>IF(Goals!$B$10="","",Goals!$R$10)</f>
        <v>0</v>
      </c>
      <c r="M49" s="29">
        <f>IF(Goals!$B$10="","",Goals!$V$10)</f>
        <v>0</v>
      </c>
      <c r="N49" s="16">
        <f>IF(Goals!$B$10="","",Goals!$L$10)</f>
        <v>0</v>
      </c>
    </row>
    <row r="50" spans="1:18">
      <c r="A50" s="17">
        <f>IF(Calc!$T$11="","",Calc!$T$11)</f>
        <v>0</v>
      </c>
      <c r="B50" s="23">
        <f>IF(Calc!$T$11="","",Calc!$AD$11)</f>
        <v>0</v>
      </c>
      <c r="C50" s="23">
        <f>IF(Calc!$T$11="","",Calc!$AE$11)</f>
        <v>0</v>
      </c>
      <c r="D50" s="23">
        <f>IF(Calc!$T$11="","",Calc!$AF$11)</f>
        <v>0</v>
      </c>
      <c r="E50" s="24">
        <f>IF(Calc!$T$11="","",Calc!$AG$11)</f>
        <v>0</v>
      </c>
      <c r="F50" s="23">
        <f>IF(Calc!$T$11="","",Calc!$AH$11)</f>
        <v>0</v>
      </c>
      <c r="G50" s="24">
        <f>IFERROR(Calc!$AE$11/SUM(Calc!$AE$5:$AE$604),"")</f>
        <v>0</v>
      </c>
      <c r="I50" s="17">
        <f>IF(Goals!$B$11="","",Goals!$B$11)</f>
        <v>0</v>
      </c>
      <c r="J50" s="32">
        <f>IF(Goals!$B$11="","",Goals!$K$11)</f>
        <v>0</v>
      </c>
      <c r="K50" s="32">
        <f>IF(Goals!$B$11="","",Goals!$J$11)</f>
        <v>0</v>
      </c>
      <c r="L50" s="24">
        <f>IF(Goals!$B$11="","",Goals!$R$11)</f>
        <v>0</v>
      </c>
      <c r="M50" s="29">
        <f>IF(Goals!$B$11="","",Goals!$V$11)</f>
        <v>0</v>
      </c>
      <c r="N50" s="16">
        <f>IF(Goals!$B$11="","",Goals!$L$11)</f>
        <v>0</v>
      </c>
    </row>
    <row r="51" spans="1:18">
      <c r="A51" s="17">
        <f>IF(Calc!$T$12="","",Calc!$T$12)</f>
        <v>0</v>
      </c>
      <c r="B51" s="23">
        <f>IF(Calc!$T$12="","",Calc!$AD$12)</f>
        <v>0</v>
      </c>
      <c r="C51" s="23">
        <f>IF(Calc!$T$12="","",Calc!$AE$12)</f>
        <v>0</v>
      </c>
      <c r="D51" s="23">
        <f>IF(Calc!$T$12="","",Calc!$AF$12)</f>
        <v>0</v>
      </c>
      <c r="E51" s="24">
        <f>IF(Calc!$T$12="","",Calc!$AG$12)</f>
        <v>0</v>
      </c>
      <c r="F51" s="23">
        <f>IF(Calc!$T$12="","",Calc!$AH$12)</f>
        <v>0</v>
      </c>
      <c r="G51" s="24">
        <f>IFERROR(Calc!$AE$12/SUM(Calc!$AE$5:$AE$604),"")</f>
        <v>0</v>
      </c>
      <c r="I51" s="17">
        <f>IF(Goals!$B$12="","",Goals!$B$12)</f>
        <v>0</v>
      </c>
      <c r="J51" s="32">
        <f>IF(Goals!$B$12="","",Goals!$K$12)</f>
        <v>0</v>
      </c>
      <c r="K51" s="32">
        <f>IF(Goals!$B$12="","",Goals!$J$12)</f>
        <v>0</v>
      </c>
      <c r="L51" s="24">
        <f>IF(Goals!$B$12="","",Goals!$R$12)</f>
        <v>0</v>
      </c>
      <c r="M51" s="29">
        <f>IF(Goals!$B$12="","",Goals!$V$12)</f>
        <v>0</v>
      </c>
      <c r="N51" s="16">
        <f>IF(Goals!$B$12="","",Goals!$L$12)</f>
        <v>0</v>
      </c>
    </row>
    <row r="53" spans="1:18" ht="20" customHeight="1">
      <c r="A53" s="7" t="s">
        <v>264</v>
      </c>
      <c r="B53" s="7"/>
      <c r="C53" s="7"/>
      <c r="D53" s="7"/>
      <c r="E53" s="7"/>
      <c r="F53" s="7"/>
      <c r="G53" s="7"/>
      <c r="H53" s="7"/>
      <c r="I53" s="7"/>
      <c r="J53" s="7"/>
      <c r="K53" s="7"/>
      <c r="L53" s="7"/>
      <c r="M53" s="7"/>
      <c r="N53" s="7"/>
      <c r="O53" s="7"/>
      <c r="P53" s="7"/>
      <c r="Q53" s="7"/>
      <c r="R53" s="7"/>
    </row>
    <row r="54" spans="1:18">
      <c r="A54" s="28" t="s">
        <v>265</v>
      </c>
      <c r="B54" s="28"/>
      <c r="C54" s="28"/>
      <c r="D54" s="28"/>
      <c r="E54" s="28"/>
      <c r="F54" s="28"/>
      <c r="G54" s="28"/>
      <c r="H54" s="28"/>
      <c r="J54" s="28" t="s">
        <v>266</v>
      </c>
      <c r="K54" s="28"/>
      <c r="L54" s="28"/>
      <c r="M54" s="28"/>
      <c r="N54" s="28"/>
      <c r="O54" s="28"/>
      <c r="P54" s="28"/>
      <c r="Q54" s="28"/>
      <c r="R54" s="28"/>
    </row>
    <row r="55" spans="1:18" ht="26" customHeight="1">
      <c r="A55" s="8" t="s">
        <v>200</v>
      </c>
      <c r="B55" s="9" t="s">
        <v>201</v>
      </c>
      <c r="C55" s="9" t="s">
        <v>192</v>
      </c>
      <c r="D55" s="9" t="s">
        <v>195</v>
      </c>
      <c r="E55" s="9" t="s">
        <v>202</v>
      </c>
      <c r="F55" s="9" t="s">
        <v>149</v>
      </c>
      <c r="G55" s="9" t="s">
        <v>186</v>
      </c>
      <c r="J55" s="8" t="s">
        <v>267</v>
      </c>
      <c r="K55" s="9" t="s">
        <v>193</v>
      </c>
      <c r="L55" s="9" t="s">
        <v>149</v>
      </c>
      <c r="M55" s="9" t="s">
        <v>153</v>
      </c>
      <c r="N55" s="9" t="s">
        <v>186</v>
      </c>
    </row>
    <row r="56" spans="1:18">
      <c r="A56" s="23">
        <v>1</v>
      </c>
      <c r="B56" s="17">
        <f>IFERROR(INDEX(Calc!$BH$5:$BH$604,MATCH(LARGE(Calc!$BQ$5:$BQ$604,1),Calc!$BQ$5:$BQ$604,0)),"")</f>
        <v>0</v>
      </c>
      <c r="C56" s="17">
        <f>IFERROR(INDEX(Calc!$BI$5:$BI$604,MATCH(LARGE(Calc!$BQ$5:$BQ$604,1),Calc!$BQ$5:$BQ$604,0)),"")</f>
        <v>0</v>
      </c>
      <c r="D56" s="17">
        <f>IFERROR(INDEX(Calc!$BJ$5:$BJ$604,MATCH(LARGE(Calc!$BQ$5:$BQ$604,1),Calc!$BQ$5:$BQ$604,0)),"")</f>
        <v>0</v>
      </c>
      <c r="E56" s="16">
        <f>IFERROR(INDEX(Calc!$BK$5:$BK$604,MATCH(LARGE(Calc!$BQ$5:$BQ$604,1),Calc!$BQ$5:$BQ$604,0)),"")</f>
        <v>0</v>
      </c>
      <c r="F56" s="23">
        <f>IFERROR(INDEX(Calc!$BM$5:$BM$604,MATCH(LARGE(Calc!$BQ$5:$BQ$604,1),Calc!$BQ$5:$BQ$604,0)),"")</f>
        <v>0</v>
      </c>
      <c r="G56" s="24">
        <f>IFERROR(INDEX(Calc!$BN$5:$BN$604,MATCH(LARGE(Calc!$BQ$5:$BQ$604,1),Calc!$BQ$5:$BQ$604,0)),"")</f>
        <v>0</v>
      </c>
      <c r="J56" s="17">
        <f>IF(Calc!$AP$5="","",Calc!$AP$5)</f>
        <v>0</v>
      </c>
      <c r="K56" s="23">
        <f>IF(Calc!$AP$5="","",Calc!$AQ$5)</f>
        <v>0</v>
      </c>
      <c r="L56" s="23">
        <f>IF(Calc!$AP$5="","",Calc!$AR$5)</f>
        <v>0</v>
      </c>
      <c r="M56" s="23">
        <f>IF(Calc!$AP$5="","",Calc!$AS$5)</f>
        <v>0</v>
      </c>
      <c r="N56" s="24">
        <f>IF(Calc!$AP$5="","",Calc!$AT$5)</f>
        <v>0</v>
      </c>
    </row>
    <row r="57" spans="1:18">
      <c r="A57" s="23">
        <v>2</v>
      </c>
      <c r="B57" s="17">
        <f>IFERROR(INDEX(Calc!$BH$5:$BH$604,MATCH(LARGE(Calc!$BQ$5:$BQ$604,2),Calc!$BQ$5:$BQ$604,0)),"")</f>
        <v>0</v>
      </c>
      <c r="C57" s="17">
        <f>IFERROR(INDEX(Calc!$BI$5:$BI$604,MATCH(LARGE(Calc!$BQ$5:$BQ$604,2),Calc!$BQ$5:$BQ$604,0)),"")</f>
        <v>0</v>
      </c>
      <c r="D57" s="17">
        <f>IFERROR(INDEX(Calc!$BJ$5:$BJ$604,MATCH(LARGE(Calc!$BQ$5:$BQ$604,2),Calc!$BQ$5:$BQ$604,0)),"")</f>
        <v>0</v>
      </c>
      <c r="E57" s="16">
        <f>IFERROR(INDEX(Calc!$BK$5:$BK$604,MATCH(LARGE(Calc!$BQ$5:$BQ$604,2),Calc!$BQ$5:$BQ$604,0)),"")</f>
        <v>0</v>
      </c>
      <c r="F57" s="23">
        <f>IFERROR(INDEX(Calc!$BM$5:$BM$604,MATCH(LARGE(Calc!$BQ$5:$BQ$604,2),Calc!$BQ$5:$BQ$604,0)),"")</f>
        <v>0</v>
      </c>
      <c r="G57" s="24">
        <f>IFERROR(INDEX(Calc!$BN$5:$BN$604,MATCH(LARGE(Calc!$BQ$5:$BQ$604,2),Calc!$BQ$5:$BQ$604,0)),"")</f>
        <v>0</v>
      </c>
      <c r="J57" s="17">
        <f>IF(Calc!$AP$6="","",Calc!$AP$6)</f>
        <v>0</v>
      </c>
      <c r="K57" s="23">
        <f>IF(Calc!$AP$6="","",Calc!$AQ$6)</f>
        <v>0</v>
      </c>
      <c r="L57" s="23">
        <f>IF(Calc!$AP$6="","",Calc!$AR$6)</f>
        <v>0</v>
      </c>
      <c r="M57" s="23">
        <f>IF(Calc!$AP$6="","",Calc!$AS$6)</f>
        <v>0</v>
      </c>
      <c r="N57" s="24">
        <f>IF(Calc!$AP$6="","",Calc!$AT$6)</f>
        <v>0</v>
      </c>
    </row>
    <row r="58" spans="1:18">
      <c r="A58" s="23">
        <v>3</v>
      </c>
      <c r="B58" s="17">
        <f>IFERROR(INDEX(Calc!$BH$5:$BH$604,MATCH(LARGE(Calc!$BQ$5:$BQ$604,3),Calc!$BQ$5:$BQ$604,0)),"")</f>
        <v>0</v>
      </c>
      <c r="C58" s="17">
        <f>IFERROR(INDEX(Calc!$BI$5:$BI$604,MATCH(LARGE(Calc!$BQ$5:$BQ$604,3),Calc!$BQ$5:$BQ$604,0)),"")</f>
        <v>0</v>
      </c>
      <c r="D58" s="17">
        <f>IFERROR(INDEX(Calc!$BJ$5:$BJ$604,MATCH(LARGE(Calc!$BQ$5:$BQ$604,3),Calc!$BQ$5:$BQ$604,0)),"")</f>
        <v>0</v>
      </c>
      <c r="E58" s="16">
        <f>IFERROR(INDEX(Calc!$BK$5:$BK$604,MATCH(LARGE(Calc!$BQ$5:$BQ$604,3),Calc!$BQ$5:$BQ$604,0)),"")</f>
        <v>0</v>
      </c>
      <c r="F58" s="23">
        <f>IFERROR(INDEX(Calc!$BM$5:$BM$604,MATCH(LARGE(Calc!$BQ$5:$BQ$604,3),Calc!$BQ$5:$BQ$604,0)),"")</f>
        <v>0</v>
      </c>
      <c r="G58" s="24">
        <f>IFERROR(INDEX(Calc!$BN$5:$BN$604,MATCH(LARGE(Calc!$BQ$5:$BQ$604,3),Calc!$BQ$5:$BQ$604,0)),"")</f>
        <v>0</v>
      </c>
      <c r="J58" s="17">
        <f>IF(Calc!$AP$7="","",Calc!$AP$7)</f>
        <v>0</v>
      </c>
      <c r="K58" s="23">
        <f>IF(Calc!$AP$7="","",Calc!$AQ$7)</f>
        <v>0</v>
      </c>
      <c r="L58" s="23">
        <f>IF(Calc!$AP$7="","",Calc!$AR$7)</f>
        <v>0</v>
      </c>
      <c r="M58" s="23">
        <f>IF(Calc!$AP$7="","",Calc!$AS$7)</f>
        <v>0</v>
      </c>
      <c r="N58" s="24">
        <f>IF(Calc!$AP$7="","",Calc!$AT$7)</f>
        <v>0</v>
      </c>
    </row>
    <row r="59" spans="1:18">
      <c r="A59" s="23">
        <v>4</v>
      </c>
      <c r="B59" s="17">
        <f>IFERROR(INDEX(Calc!$BH$5:$BH$604,MATCH(LARGE(Calc!$BQ$5:$BQ$604,4),Calc!$BQ$5:$BQ$604,0)),"")</f>
        <v>0</v>
      </c>
      <c r="C59" s="17">
        <f>IFERROR(INDEX(Calc!$BI$5:$BI$604,MATCH(LARGE(Calc!$BQ$5:$BQ$604,4),Calc!$BQ$5:$BQ$604,0)),"")</f>
        <v>0</v>
      </c>
      <c r="D59" s="17">
        <f>IFERROR(INDEX(Calc!$BJ$5:$BJ$604,MATCH(LARGE(Calc!$BQ$5:$BQ$604,4),Calc!$BQ$5:$BQ$604,0)),"")</f>
        <v>0</v>
      </c>
      <c r="E59" s="16">
        <f>IFERROR(INDEX(Calc!$BK$5:$BK$604,MATCH(LARGE(Calc!$BQ$5:$BQ$604,4),Calc!$BQ$5:$BQ$604,0)),"")</f>
        <v>0</v>
      </c>
      <c r="F59" s="23">
        <f>IFERROR(INDEX(Calc!$BM$5:$BM$604,MATCH(LARGE(Calc!$BQ$5:$BQ$604,4),Calc!$BQ$5:$BQ$604,0)),"")</f>
        <v>0</v>
      </c>
      <c r="G59" s="24">
        <f>IFERROR(INDEX(Calc!$BN$5:$BN$604,MATCH(LARGE(Calc!$BQ$5:$BQ$604,4),Calc!$BQ$5:$BQ$604,0)),"")</f>
        <v>0</v>
      </c>
      <c r="J59" s="17">
        <f>IF(Calc!$AP$8="","",Calc!$AP$8)</f>
        <v>0</v>
      </c>
      <c r="K59" s="23">
        <f>IF(Calc!$AP$8="","",Calc!$AQ$8)</f>
        <v>0</v>
      </c>
      <c r="L59" s="23">
        <f>IF(Calc!$AP$8="","",Calc!$AR$8)</f>
        <v>0</v>
      </c>
      <c r="M59" s="23">
        <f>IF(Calc!$AP$8="","",Calc!$AS$8)</f>
        <v>0</v>
      </c>
      <c r="N59" s="24">
        <f>IF(Calc!$AP$8="","",Calc!$AT$8)</f>
        <v>0</v>
      </c>
    </row>
    <row r="60" spans="1:18">
      <c r="A60" s="23">
        <v>5</v>
      </c>
      <c r="B60" s="17">
        <f>IFERROR(INDEX(Calc!$BH$5:$BH$604,MATCH(LARGE(Calc!$BQ$5:$BQ$604,5),Calc!$BQ$5:$BQ$604,0)),"")</f>
        <v>0</v>
      </c>
      <c r="C60" s="17">
        <f>IFERROR(INDEX(Calc!$BI$5:$BI$604,MATCH(LARGE(Calc!$BQ$5:$BQ$604,5),Calc!$BQ$5:$BQ$604,0)),"")</f>
        <v>0</v>
      </c>
      <c r="D60" s="17">
        <f>IFERROR(INDEX(Calc!$BJ$5:$BJ$604,MATCH(LARGE(Calc!$BQ$5:$BQ$604,5),Calc!$BQ$5:$BQ$604,0)),"")</f>
        <v>0</v>
      </c>
      <c r="E60" s="16">
        <f>IFERROR(INDEX(Calc!$BK$5:$BK$604,MATCH(LARGE(Calc!$BQ$5:$BQ$604,5),Calc!$BQ$5:$BQ$604,0)),"")</f>
        <v>0</v>
      </c>
      <c r="F60" s="23">
        <f>IFERROR(INDEX(Calc!$BM$5:$BM$604,MATCH(LARGE(Calc!$BQ$5:$BQ$604,5),Calc!$BQ$5:$BQ$604,0)),"")</f>
        <v>0</v>
      </c>
      <c r="G60" s="24">
        <f>IFERROR(INDEX(Calc!$BN$5:$BN$604,MATCH(LARGE(Calc!$BQ$5:$BQ$604,5),Calc!$BQ$5:$BQ$604,0)),"")</f>
        <v>0</v>
      </c>
      <c r="J60" s="17">
        <f>IF(Calc!$AP$9="","",Calc!$AP$9)</f>
        <v>0</v>
      </c>
      <c r="K60" s="23">
        <f>IF(Calc!$AP$9="","",Calc!$AQ$9)</f>
        <v>0</v>
      </c>
      <c r="L60" s="23">
        <f>IF(Calc!$AP$9="","",Calc!$AR$9)</f>
        <v>0</v>
      </c>
      <c r="M60" s="23">
        <f>IF(Calc!$AP$9="","",Calc!$AS$9)</f>
        <v>0</v>
      </c>
      <c r="N60" s="24">
        <f>IF(Calc!$AP$9="","",Calc!$AT$9)</f>
        <v>0</v>
      </c>
    </row>
    <row r="61" spans="1:18">
      <c r="A61" s="23">
        <v>6</v>
      </c>
      <c r="B61" s="17">
        <f>IFERROR(INDEX(Calc!$BH$5:$BH$604,MATCH(LARGE(Calc!$BQ$5:$BQ$604,6),Calc!$BQ$5:$BQ$604,0)),"")</f>
        <v>0</v>
      </c>
      <c r="C61" s="17">
        <f>IFERROR(INDEX(Calc!$BI$5:$BI$604,MATCH(LARGE(Calc!$BQ$5:$BQ$604,6),Calc!$BQ$5:$BQ$604,0)),"")</f>
        <v>0</v>
      </c>
      <c r="D61" s="17">
        <f>IFERROR(INDEX(Calc!$BJ$5:$BJ$604,MATCH(LARGE(Calc!$BQ$5:$BQ$604,6),Calc!$BQ$5:$BQ$604,0)),"")</f>
        <v>0</v>
      </c>
      <c r="E61" s="16">
        <f>IFERROR(INDEX(Calc!$BK$5:$BK$604,MATCH(LARGE(Calc!$BQ$5:$BQ$604,6),Calc!$BQ$5:$BQ$604,0)),"")</f>
        <v>0</v>
      </c>
      <c r="F61" s="23">
        <f>IFERROR(INDEX(Calc!$BM$5:$BM$604,MATCH(LARGE(Calc!$BQ$5:$BQ$604,6),Calc!$BQ$5:$BQ$604,0)),"")</f>
        <v>0</v>
      </c>
      <c r="G61" s="24">
        <f>IFERROR(INDEX(Calc!$BN$5:$BN$604,MATCH(LARGE(Calc!$BQ$5:$BQ$604,6),Calc!$BQ$5:$BQ$604,0)),"")</f>
        <v>0</v>
      </c>
      <c r="J61" s="17">
        <f>IF(Calc!$AP$10="","",Calc!$AP$10)</f>
        <v>0</v>
      </c>
      <c r="K61" s="23">
        <f>IF(Calc!$AP$10="","",Calc!$AQ$10)</f>
        <v>0</v>
      </c>
      <c r="L61" s="23">
        <f>IF(Calc!$AP$10="","",Calc!$AR$10)</f>
        <v>0</v>
      </c>
      <c r="M61" s="23">
        <f>IF(Calc!$AP$10="","",Calc!$AS$10)</f>
        <v>0</v>
      </c>
      <c r="N61" s="24">
        <f>IF(Calc!$AP$10="","",Calc!$AT$10)</f>
        <v>0</v>
      </c>
    </row>
    <row r="62" spans="1:18">
      <c r="A62" s="23">
        <v>7</v>
      </c>
      <c r="B62" s="17">
        <f>IFERROR(INDEX(Calc!$BH$5:$BH$604,MATCH(LARGE(Calc!$BQ$5:$BQ$604,7),Calc!$BQ$5:$BQ$604,0)),"")</f>
        <v>0</v>
      </c>
      <c r="C62" s="17">
        <f>IFERROR(INDEX(Calc!$BI$5:$BI$604,MATCH(LARGE(Calc!$BQ$5:$BQ$604,7),Calc!$BQ$5:$BQ$604,0)),"")</f>
        <v>0</v>
      </c>
      <c r="D62" s="17">
        <f>IFERROR(INDEX(Calc!$BJ$5:$BJ$604,MATCH(LARGE(Calc!$BQ$5:$BQ$604,7),Calc!$BQ$5:$BQ$604,0)),"")</f>
        <v>0</v>
      </c>
      <c r="E62" s="16">
        <f>IFERROR(INDEX(Calc!$BK$5:$BK$604,MATCH(LARGE(Calc!$BQ$5:$BQ$604,7),Calc!$BQ$5:$BQ$604,0)),"")</f>
        <v>0</v>
      </c>
      <c r="F62" s="23">
        <f>IFERROR(INDEX(Calc!$BM$5:$BM$604,MATCH(LARGE(Calc!$BQ$5:$BQ$604,7),Calc!$BQ$5:$BQ$604,0)),"")</f>
        <v>0</v>
      </c>
      <c r="G62" s="24">
        <f>IFERROR(INDEX(Calc!$BN$5:$BN$604,MATCH(LARGE(Calc!$BQ$5:$BQ$604,7),Calc!$BQ$5:$BQ$604,0)),"")</f>
        <v>0</v>
      </c>
      <c r="J62" s="17">
        <f>IF(Calc!$AP$11="","",Calc!$AP$11)</f>
        <v>0</v>
      </c>
      <c r="K62" s="23">
        <f>IF(Calc!$AP$11="","",Calc!$AQ$11)</f>
        <v>0</v>
      </c>
      <c r="L62" s="23">
        <f>IF(Calc!$AP$11="","",Calc!$AR$11)</f>
        <v>0</v>
      </c>
      <c r="M62" s="23">
        <f>IF(Calc!$AP$11="","",Calc!$AS$11)</f>
        <v>0</v>
      </c>
      <c r="N62" s="24">
        <f>IF(Calc!$AP$11="","",Calc!$AT$11)</f>
        <v>0</v>
      </c>
    </row>
    <row r="63" spans="1:18">
      <c r="A63" s="23">
        <v>8</v>
      </c>
      <c r="B63" s="17">
        <f>IFERROR(INDEX(Calc!$BH$5:$BH$604,MATCH(LARGE(Calc!$BQ$5:$BQ$604,8),Calc!$BQ$5:$BQ$604,0)),"")</f>
        <v>0</v>
      </c>
      <c r="C63" s="17">
        <f>IFERROR(INDEX(Calc!$BI$5:$BI$604,MATCH(LARGE(Calc!$BQ$5:$BQ$604,8),Calc!$BQ$5:$BQ$604,0)),"")</f>
        <v>0</v>
      </c>
      <c r="D63" s="17">
        <f>IFERROR(INDEX(Calc!$BJ$5:$BJ$604,MATCH(LARGE(Calc!$BQ$5:$BQ$604,8),Calc!$BQ$5:$BQ$604,0)),"")</f>
        <v>0</v>
      </c>
      <c r="E63" s="16">
        <f>IFERROR(INDEX(Calc!$BK$5:$BK$604,MATCH(LARGE(Calc!$BQ$5:$BQ$604,8),Calc!$BQ$5:$BQ$604,0)),"")</f>
        <v>0</v>
      </c>
      <c r="F63" s="23">
        <f>IFERROR(INDEX(Calc!$BM$5:$BM$604,MATCH(LARGE(Calc!$BQ$5:$BQ$604,8),Calc!$BQ$5:$BQ$604,0)),"")</f>
        <v>0</v>
      </c>
      <c r="G63" s="24">
        <f>IFERROR(INDEX(Calc!$BN$5:$BN$604,MATCH(LARGE(Calc!$BQ$5:$BQ$604,8),Calc!$BQ$5:$BQ$604,0)),"")</f>
        <v>0</v>
      </c>
      <c r="J63" s="17">
        <f>IF(Calc!$AP$12="","",Calc!$AP$12)</f>
        <v>0</v>
      </c>
      <c r="K63" s="23">
        <f>IF(Calc!$AP$12="","",Calc!$AQ$12)</f>
        <v>0</v>
      </c>
      <c r="L63" s="23">
        <f>IF(Calc!$AP$12="","",Calc!$AR$12)</f>
        <v>0</v>
      </c>
      <c r="M63" s="23">
        <f>IF(Calc!$AP$12="","",Calc!$AS$12)</f>
        <v>0</v>
      </c>
      <c r="N63" s="24">
        <f>IF(Calc!$AP$12="","",Calc!$AT$12)</f>
        <v>0</v>
      </c>
    </row>
    <row r="64" spans="1:18">
      <c r="A64" s="23">
        <v>9</v>
      </c>
      <c r="B64" s="17">
        <f>IFERROR(INDEX(Calc!$BH$5:$BH$604,MATCH(LARGE(Calc!$BQ$5:$BQ$604,9),Calc!$BQ$5:$BQ$604,0)),"")</f>
        <v>0</v>
      </c>
      <c r="C64" s="17">
        <f>IFERROR(INDEX(Calc!$BI$5:$BI$604,MATCH(LARGE(Calc!$BQ$5:$BQ$604,9),Calc!$BQ$5:$BQ$604,0)),"")</f>
        <v>0</v>
      </c>
      <c r="D64" s="17">
        <f>IFERROR(INDEX(Calc!$BJ$5:$BJ$604,MATCH(LARGE(Calc!$BQ$5:$BQ$604,9),Calc!$BQ$5:$BQ$604,0)),"")</f>
        <v>0</v>
      </c>
      <c r="E64" s="16">
        <f>IFERROR(INDEX(Calc!$BK$5:$BK$604,MATCH(LARGE(Calc!$BQ$5:$BQ$604,9),Calc!$BQ$5:$BQ$604,0)),"")</f>
        <v>0</v>
      </c>
      <c r="F64" s="23">
        <f>IFERROR(INDEX(Calc!$BM$5:$BM$604,MATCH(LARGE(Calc!$BQ$5:$BQ$604,9),Calc!$BQ$5:$BQ$604,0)),"")</f>
        <v>0</v>
      </c>
      <c r="G64" s="24">
        <f>IFERROR(INDEX(Calc!$BN$5:$BN$604,MATCH(LARGE(Calc!$BQ$5:$BQ$604,9),Calc!$BQ$5:$BQ$604,0)),"")</f>
        <v>0</v>
      </c>
      <c r="J64" s="17">
        <f>IF(Calc!$AP$13="","",Calc!$AP$13)</f>
        <v>0</v>
      </c>
      <c r="K64" s="23">
        <f>IF(Calc!$AP$13="","",Calc!$AQ$13)</f>
        <v>0</v>
      </c>
      <c r="L64" s="23">
        <f>IF(Calc!$AP$13="","",Calc!$AR$13)</f>
        <v>0</v>
      </c>
      <c r="M64" s="23">
        <f>IF(Calc!$AP$13="","",Calc!$AS$13)</f>
        <v>0</v>
      </c>
      <c r="N64" s="24">
        <f>IF(Calc!$AP$13="","",Calc!$AT$13)</f>
        <v>0</v>
      </c>
    </row>
    <row r="65" spans="1:18">
      <c r="A65" s="23">
        <v>10</v>
      </c>
      <c r="B65" s="17">
        <f>IFERROR(INDEX(Calc!$BH$5:$BH$604,MATCH(LARGE(Calc!$BQ$5:$BQ$604,10),Calc!$BQ$5:$BQ$604,0)),"")</f>
        <v>0</v>
      </c>
      <c r="C65" s="17">
        <f>IFERROR(INDEX(Calc!$BI$5:$BI$604,MATCH(LARGE(Calc!$BQ$5:$BQ$604,10),Calc!$BQ$5:$BQ$604,0)),"")</f>
        <v>0</v>
      </c>
      <c r="D65" s="17">
        <f>IFERROR(INDEX(Calc!$BJ$5:$BJ$604,MATCH(LARGE(Calc!$BQ$5:$BQ$604,10),Calc!$BQ$5:$BQ$604,0)),"")</f>
        <v>0</v>
      </c>
      <c r="E65" s="16">
        <f>IFERROR(INDEX(Calc!$BK$5:$BK$604,MATCH(LARGE(Calc!$BQ$5:$BQ$604,10),Calc!$BQ$5:$BQ$604,0)),"")</f>
        <v>0</v>
      </c>
      <c r="F65" s="23">
        <f>IFERROR(INDEX(Calc!$BM$5:$BM$604,MATCH(LARGE(Calc!$BQ$5:$BQ$604,10),Calc!$BQ$5:$BQ$604,0)),"")</f>
        <v>0</v>
      </c>
      <c r="G65" s="24">
        <f>IFERROR(INDEX(Calc!$BN$5:$BN$604,MATCH(LARGE(Calc!$BQ$5:$BQ$604,10),Calc!$BQ$5:$BQ$604,0)),"")</f>
        <v>0</v>
      </c>
      <c r="J65" s="17">
        <f>IF(Calc!$AP$14="","",Calc!$AP$14)</f>
        <v>0</v>
      </c>
      <c r="K65" s="23">
        <f>IF(Calc!$AP$14="","",Calc!$AQ$14)</f>
        <v>0</v>
      </c>
      <c r="L65" s="23">
        <f>IF(Calc!$AP$14="","",Calc!$AR$14)</f>
        <v>0</v>
      </c>
      <c r="M65" s="23">
        <f>IF(Calc!$AP$14="","",Calc!$AS$14)</f>
        <v>0</v>
      </c>
      <c r="N65" s="24">
        <f>IF(Calc!$AP$14="","",Calc!$AT$14)</f>
        <v>0</v>
      </c>
    </row>
    <row r="67" spans="1:18" ht="20" customHeight="1">
      <c r="A67" s="7" t="s">
        <v>268</v>
      </c>
      <c r="B67" s="7"/>
      <c r="C67" s="7"/>
      <c r="D67" s="7"/>
      <c r="E67" s="7"/>
      <c r="F67" s="7"/>
      <c r="G67" s="7"/>
      <c r="H67" s="7"/>
      <c r="I67" s="7"/>
      <c r="J67" s="7"/>
      <c r="K67" s="7"/>
      <c r="L67" s="7"/>
      <c r="M67" s="7"/>
      <c r="N67" s="7"/>
      <c r="O67" s="7"/>
      <c r="P67" s="7"/>
      <c r="Q67" s="7"/>
      <c r="R67" s="7"/>
    </row>
    <row r="68" spans="1:18" ht="26" customHeight="1">
      <c r="A68" s="8" t="s">
        <v>269</v>
      </c>
      <c r="B68" s="9" t="s">
        <v>193</v>
      </c>
      <c r="C68" s="9" t="s">
        <v>149</v>
      </c>
      <c r="D68" s="9" t="s">
        <v>153</v>
      </c>
      <c r="E68" s="9" t="s">
        <v>186</v>
      </c>
      <c r="G68" s="8" t="s">
        <v>270</v>
      </c>
      <c r="H68" s="9" t="s">
        <v>193</v>
      </c>
      <c r="I68" s="9" t="s">
        <v>149</v>
      </c>
      <c r="J68" s="9" t="s">
        <v>153</v>
      </c>
      <c r="K68" s="9" t="s">
        <v>186</v>
      </c>
      <c r="M68" s="28" t="s">
        <v>271</v>
      </c>
      <c r="N68" s="28"/>
      <c r="O68" s="28"/>
      <c r="P68" s="28"/>
      <c r="Q68" s="28"/>
      <c r="R68" s="28"/>
    </row>
    <row r="69" spans="1:18" ht="26" customHeight="1">
      <c r="A69" s="17">
        <f>IF(Calc!$AV$5="","",Calc!$AV$5)</f>
        <v>0</v>
      </c>
      <c r="B69" s="23">
        <f>IF(Calc!$AV$5="","",Calc!$AW$5)</f>
        <v>0</v>
      </c>
      <c r="C69" s="23">
        <f>IF(Calc!$AV$5="","",Calc!$AX$5)</f>
        <v>0</v>
      </c>
      <c r="D69" s="23">
        <f>IF(Calc!$AV$5="","",Calc!$AY$5)</f>
        <v>0</v>
      </c>
      <c r="E69" s="24">
        <f>IF(Calc!$AV$5="","",Calc!$AZ$5)</f>
        <v>0</v>
      </c>
      <c r="G69" s="17">
        <f>IF(Calc!$BB$5="","",Calc!$BB$5)</f>
        <v>0</v>
      </c>
      <c r="H69" s="23">
        <f>IF(Calc!$BB$5="","",Calc!$BC$5)</f>
        <v>0</v>
      </c>
      <c r="I69" s="23">
        <f>IF(Calc!$BB$5="","",Calc!$BD$5)</f>
        <v>0</v>
      </c>
      <c r="J69" s="23">
        <f>IF(Calc!$BB$5="","",Calc!$BE$5)</f>
        <v>0</v>
      </c>
      <c r="K69" s="24">
        <f>IF(Calc!$BB$5="","",Calc!$BF$5)</f>
        <v>0</v>
      </c>
      <c r="M69" s="8" t="s">
        <v>272</v>
      </c>
      <c r="N69" s="9" t="s">
        <v>172</v>
      </c>
      <c r="O69" s="9" t="s">
        <v>175</v>
      </c>
      <c r="P69" s="9" t="s">
        <v>254</v>
      </c>
    </row>
    <row r="70" spans="1:18">
      <c r="A70" s="17">
        <f>IF(Calc!$AV$6="","",Calc!$AV$6)</f>
        <v>0</v>
      </c>
      <c r="B70" s="23">
        <f>IF(Calc!$AV$6="","",Calc!$AW$6)</f>
        <v>0</v>
      </c>
      <c r="C70" s="23">
        <f>IF(Calc!$AV$6="","",Calc!$AX$6)</f>
        <v>0</v>
      </c>
      <c r="D70" s="23">
        <f>IF(Calc!$AV$6="","",Calc!$AY$6)</f>
        <v>0</v>
      </c>
      <c r="E70" s="24">
        <f>IF(Calc!$AV$6="","",Calc!$AZ$6)</f>
        <v>0</v>
      </c>
      <c r="G70" s="17">
        <f>IF(Calc!$BB$6="","",Calc!$BB$6)</f>
        <v>0</v>
      </c>
      <c r="H70" s="23">
        <f>IF(Calc!$BB$6="","",Calc!$BC$6)</f>
        <v>0</v>
      </c>
      <c r="I70" s="23">
        <f>IF(Calc!$BB$6="","",Calc!$BD$6)</f>
        <v>0</v>
      </c>
      <c r="J70" s="23">
        <f>IF(Calc!$BB$6="","",Calc!$BE$6)</f>
        <v>0</v>
      </c>
      <c r="K70" s="24">
        <f>IF(Calc!$BB$6="","",Calc!$BF$6)</f>
        <v>0</v>
      </c>
      <c r="M70" s="17">
        <f>IFERROR(INDEX(Calc!$CA$5:$CA$604,MATCH(LARGE(Calc!$CE$5:$CE$604,1),Calc!$CE$5:$CE$604,0)),"")</f>
        <v>0</v>
      </c>
      <c r="N70" s="25">
        <f>IFERROR(INDEX(Calc!$CB$5:$CB$604,MATCH(LARGE(Calc!$CE$5:$CE$604,1),Calc!$CE$5:$CE$604,0)),"")</f>
        <v>0</v>
      </c>
      <c r="O70" s="25">
        <f>IFERROR(INDEX(Calc!$CC$5:$CC$604,MATCH(LARGE(Calc!$CE$5:$CE$604,1),Calc!$CE$5:$CE$604,0)),"")</f>
        <v>0</v>
      </c>
      <c r="P70" s="31">
        <f>IFERROR(INDEX(Calc!$CB$5:$CB$604,MATCH(LARGE(Calc!$CE$5:$CE$604,1),Calc!$CE$5:$CE$604,0))/INDEX(Calc!$CC$5:$CC$604,MATCH(LARGE(Calc!$CE$5:$CE$604,1),Calc!$CE$5:$CE$604,0)),"")</f>
        <v>0</v>
      </c>
    </row>
    <row r="71" spans="1:18">
      <c r="A71" s="17">
        <f>IF(Calc!$AV$7="","",Calc!$AV$7)</f>
        <v>0</v>
      </c>
      <c r="B71" s="23">
        <f>IF(Calc!$AV$7="","",Calc!$AW$7)</f>
        <v>0</v>
      </c>
      <c r="C71" s="23">
        <f>IF(Calc!$AV$7="","",Calc!$AX$7)</f>
        <v>0</v>
      </c>
      <c r="D71" s="23">
        <f>IF(Calc!$AV$7="","",Calc!$AY$7)</f>
        <v>0</v>
      </c>
      <c r="E71" s="24">
        <f>IF(Calc!$AV$7="","",Calc!$AZ$7)</f>
        <v>0</v>
      </c>
      <c r="G71" s="17">
        <f>IF(Calc!$BB$7="","",Calc!$BB$7)</f>
        <v>0</v>
      </c>
      <c r="H71" s="23">
        <f>IF(Calc!$BB$7="","",Calc!$BC$7)</f>
        <v>0</v>
      </c>
      <c r="I71" s="23">
        <f>IF(Calc!$BB$7="","",Calc!$BD$7)</f>
        <v>0</v>
      </c>
      <c r="J71" s="23">
        <f>IF(Calc!$BB$7="","",Calc!$BE$7)</f>
        <v>0</v>
      </c>
      <c r="K71" s="24">
        <f>IF(Calc!$BB$7="","",Calc!$BF$7)</f>
        <v>0</v>
      </c>
      <c r="M71" s="17">
        <f>IFERROR(INDEX(Calc!$CA$5:$CA$604,MATCH(LARGE(Calc!$CE$5:$CE$604,2),Calc!$CE$5:$CE$604,0)),"")</f>
        <v>0</v>
      </c>
      <c r="N71" s="25">
        <f>IFERROR(INDEX(Calc!$CB$5:$CB$604,MATCH(LARGE(Calc!$CE$5:$CE$604,2),Calc!$CE$5:$CE$604,0)),"")</f>
        <v>0</v>
      </c>
      <c r="O71" s="25">
        <f>IFERROR(INDEX(Calc!$CC$5:$CC$604,MATCH(LARGE(Calc!$CE$5:$CE$604,2),Calc!$CE$5:$CE$604,0)),"")</f>
        <v>0</v>
      </c>
      <c r="P71" s="31">
        <f>IFERROR(INDEX(Calc!$CB$5:$CB$604,MATCH(LARGE(Calc!$CE$5:$CE$604,2),Calc!$CE$5:$CE$604,0))/INDEX(Calc!$CC$5:$CC$604,MATCH(LARGE(Calc!$CE$5:$CE$604,2),Calc!$CE$5:$CE$604,0)),"")</f>
        <v>0</v>
      </c>
    </row>
    <row r="72" spans="1:18">
      <c r="A72" s="17">
        <f>IF(Calc!$AV$8="","",Calc!$AV$8)</f>
        <v>0</v>
      </c>
      <c r="B72" s="23">
        <f>IF(Calc!$AV$8="","",Calc!$AW$8)</f>
        <v>0</v>
      </c>
      <c r="C72" s="23">
        <f>IF(Calc!$AV$8="","",Calc!$AX$8)</f>
        <v>0</v>
      </c>
      <c r="D72" s="23">
        <f>IF(Calc!$AV$8="","",Calc!$AY$8)</f>
        <v>0</v>
      </c>
      <c r="E72" s="24">
        <f>IF(Calc!$AV$8="","",Calc!$AZ$8)</f>
        <v>0</v>
      </c>
      <c r="G72" s="17">
        <f>IF(Calc!$BB$8="","",Calc!$BB$8)</f>
        <v>0</v>
      </c>
      <c r="H72" s="23">
        <f>IF(Calc!$BB$8="","",Calc!$BC$8)</f>
        <v>0</v>
      </c>
      <c r="I72" s="23">
        <f>IF(Calc!$BB$8="","",Calc!$BD$8)</f>
        <v>0</v>
      </c>
      <c r="J72" s="23">
        <f>IF(Calc!$BB$8="","",Calc!$BE$8)</f>
        <v>0</v>
      </c>
      <c r="K72" s="24">
        <f>IF(Calc!$BB$8="","",Calc!$BF$8)</f>
        <v>0</v>
      </c>
      <c r="M72" s="17">
        <f>IFERROR(INDEX(Calc!$CA$5:$CA$604,MATCH(LARGE(Calc!$CE$5:$CE$604,3),Calc!$CE$5:$CE$604,0)),"")</f>
        <v>0</v>
      </c>
      <c r="N72" s="25">
        <f>IFERROR(INDEX(Calc!$CB$5:$CB$604,MATCH(LARGE(Calc!$CE$5:$CE$604,3),Calc!$CE$5:$CE$604,0)),"")</f>
        <v>0</v>
      </c>
      <c r="O72" s="25">
        <f>IFERROR(INDEX(Calc!$CC$5:$CC$604,MATCH(LARGE(Calc!$CE$5:$CE$604,3),Calc!$CE$5:$CE$604,0)),"")</f>
        <v>0</v>
      </c>
      <c r="P72" s="31">
        <f>IFERROR(INDEX(Calc!$CB$5:$CB$604,MATCH(LARGE(Calc!$CE$5:$CE$604,3),Calc!$CE$5:$CE$604,0))/INDEX(Calc!$CC$5:$CC$604,MATCH(LARGE(Calc!$CE$5:$CE$604,3),Calc!$CE$5:$CE$604,0)),"")</f>
        <v>0</v>
      </c>
    </row>
    <row r="73" spans="1:18">
      <c r="A73" s="17">
        <f>IF(Calc!$AV$9="","",Calc!$AV$9)</f>
        <v>0</v>
      </c>
      <c r="B73" s="23">
        <f>IF(Calc!$AV$9="","",Calc!$AW$9)</f>
        <v>0</v>
      </c>
      <c r="C73" s="23">
        <f>IF(Calc!$AV$9="","",Calc!$AX$9)</f>
        <v>0</v>
      </c>
      <c r="D73" s="23">
        <f>IF(Calc!$AV$9="","",Calc!$AY$9)</f>
        <v>0</v>
      </c>
      <c r="E73" s="24">
        <f>IF(Calc!$AV$9="","",Calc!$AZ$9)</f>
        <v>0</v>
      </c>
      <c r="G73" s="17">
        <f>IF(Calc!$BB$9="","",Calc!$BB$9)</f>
        <v>0</v>
      </c>
      <c r="H73" s="23">
        <f>IF(Calc!$BB$9="","",Calc!$BC$9)</f>
        <v>0</v>
      </c>
      <c r="I73" s="23">
        <f>IF(Calc!$BB$9="","",Calc!$BD$9)</f>
        <v>0</v>
      </c>
      <c r="J73" s="23">
        <f>IF(Calc!$BB$9="","",Calc!$BE$9)</f>
        <v>0</v>
      </c>
      <c r="K73" s="24">
        <f>IF(Calc!$BB$9="","",Calc!$BF$9)</f>
        <v>0</v>
      </c>
      <c r="M73" s="17">
        <f>IFERROR(INDEX(Calc!$CA$5:$CA$604,MATCH(LARGE(Calc!$CE$5:$CE$604,4),Calc!$CE$5:$CE$604,0)),"")</f>
        <v>0</v>
      </c>
      <c r="N73" s="25">
        <f>IFERROR(INDEX(Calc!$CB$5:$CB$604,MATCH(LARGE(Calc!$CE$5:$CE$604,4),Calc!$CE$5:$CE$604,0)),"")</f>
        <v>0</v>
      </c>
      <c r="O73" s="25">
        <f>IFERROR(INDEX(Calc!$CC$5:$CC$604,MATCH(LARGE(Calc!$CE$5:$CE$604,4),Calc!$CE$5:$CE$604,0)),"")</f>
        <v>0</v>
      </c>
      <c r="P73" s="31">
        <f>IFERROR(INDEX(Calc!$CB$5:$CB$604,MATCH(LARGE(Calc!$CE$5:$CE$604,4),Calc!$CE$5:$CE$604,0))/INDEX(Calc!$CC$5:$CC$604,MATCH(LARGE(Calc!$CE$5:$CE$604,4),Calc!$CE$5:$CE$604,0)),"")</f>
        <v>0</v>
      </c>
    </row>
    <row r="74" spans="1:18">
      <c r="A74" s="17">
        <f>IF(Calc!$AV$10="","",Calc!$AV$10)</f>
        <v>0</v>
      </c>
      <c r="B74" s="23">
        <f>IF(Calc!$AV$10="","",Calc!$AW$10)</f>
        <v>0</v>
      </c>
      <c r="C74" s="23">
        <f>IF(Calc!$AV$10="","",Calc!$AX$10)</f>
        <v>0</v>
      </c>
      <c r="D74" s="23">
        <f>IF(Calc!$AV$10="","",Calc!$AY$10)</f>
        <v>0</v>
      </c>
      <c r="E74" s="24">
        <f>IF(Calc!$AV$10="","",Calc!$AZ$10)</f>
        <v>0</v>
      </c>
      <c r="G74" s="17">
        <f>IF(Calc!$BB$10="","",Calc!$BB$10)</f>
        <v>0</v>
      </c>
      <c r="H74" s="23">
        <f>IF(Calc!$BB$10="","",Calc!$BC$10)</f>
        <v>0</v>
      </c>
      <c r="I74" s="23">
        <f>IF(Calc!$BB$10="","",Calc!$BD$10)</f>
        <v>0</v>
      </c>
      <c r="J74" s="23">
        <f>IF(Calc!$BB$10="","",Calc!$BE$10)</f>
        <v>0</v>
      </c>
      <c r="K74" s="24">
        <f>IF(Calc!$BB$10="","",Calc!$BF$10)</f>
        <v>0</v>
      </c>
      <c r="M74" s="17">
        <f>IFERROR(INDEX(Calc!$CA$5:$CA$604,MATCH(LARGE(Calc!$CE$5:$CE$604,5),Calc!$CE$5:$CE$604,0)),"")</f>
        <v>0</v>
      </c>
      <c r="N74" s="25">
        <f>IFERROR(INDEX(Calc!$CB$5:$CB$604,MATCH(LARGE(Calc!$CE$5:$CE$604,5),Calc!$CE$5:$CE$604,0)),"")</f>
        <v>0</v>
      </c>
      <c r="O74" s="25">
        <f>IFERROR(INDEX(Calc!$CC$5:$CC$604,MATCH(LARGE(Calc!$CE$5:$CE$604,5),Calc!$CE$5:$CE$604,0)),"")</f>
        <v>0</v>
      </c>
      <c r="P74" s="31">
        <f>IFERROR(INDEX(Calc!$CB$5:$CB$604,MATCH(LARGE(Calc!$CE$5:$CE$604,5),Calc!$CE$5:$CE$604,0))/INDEX(Calc!$CC$5:$CC$604,MATCH(LARGE(Calc!$CE$5:$CE$604,5),Calc!$CE$5:$CE$604,0)),"")</f>
        <v>0</v>
      </c>
    </row>
    <row r="75" spans="1:18">
      <c r="A75" s="17">
        <f>IF(Calc!$AV$11="","",Calc!$AV$11)</f>
        <v>0</v>
      </c>
      <c r="B75" s="23">
        <f>IF(Calc!$AV$11="","",Calc!$AW$11)</f>
        <v>0</v>
      </c>
      <c r="C75" s="23">
        <f>IF(Calc!$AV$11="","",Calc!$AX$11)</f>
        <v>0</v>
      </c>
      <c r="D75" s="23">
        <f>IF(Calc!$AV$11="","",Calc!$AY$11)</f>
        <v>0</v>
      </c>
      <c r="E75" s="24">
        <f>IF(Calc!$AV$11="","",Calc!$AZ$11)</f>
        <v>0</v>
      </c>
      <c r="G75" s="17">
        <f>IF(Calc!$BB$11="","",Calc!$BB$11)</f>
        <v>0</v>
      </c>
      <c r="H75" s="23">
        <f>IF(Calc!$BB$11="","",Calc!$BC$11)</f>
        <v>0</v>
      </c>
      <c r="I75" s="23">
        <f>IF(Calc!$BB$11="","",Calc!$BD$11)</f>
        <v>0</v>
      </c>
      <c r="J75" s="23">
        <f>IF(Calc!$BB$11="","",Calc!$BE$11)</f>
        <v>0</v>
      </c>
      <c r="K75" s="24">
        <f>IF(Calc!$BB$11="","",Calc!$BF$11)</f>
        <v>0</v>
      </c>
      <c r="M75" s="17">
        <f>IFERROR(INDEX(Calc!$CA$5:$CA$604,MATCH(LARGE(Calc!$CE$5:$CE$604,6),Calc!$CE$5:$CE$604,0)),"")</f>
        <v>0</v>
      </c>
      <c r="N75" s="25">
        <f>IFERROR(INDEX(Calc!$CB$5:$CB$604,MATCH(LARGE(Calc!$CE$5:$CE$604,6),Calc!$CE$5:$CE$604,0)),"")</f>
        <v>0</v>
      </c>
      <c r="O75" s="25">
        <f>IFERROR(INDEX(Calc!$CC$5:$CC$604,MATCH(LARGE(Calc!$CE$5:$CE$604,6),Calc!$CE$5:$CE$604,0)),"")</f>
        <v>0</v>
      </c>
      <c r="P75" s="31">
        <f>IFERROR(INDEX(Calc!$CB$5:$CB$604,MATCH(LARGE(Calc!$CE$5:$CE$604,6),Calc!$CE$5:$CE$604,0))/INDEX(Calc!$CC$5:$CC$604,MATCH(LARGE(Calc!$CE$5:$CE$604,6),Calc!$CE$5:$CE$604,0)),"")</f>
        <v>0</v>
      </c>
    </row>
    <row r="77" spans="1:18" ht="26" customHeight="1">
      <c r="A77" s="6" t="s">
        <v>273</v>
      </c>
      <c r="B77" s="6"/>
      <c r="C77" s="6"/>
      <c r="D77" s="6"/>
      <c r="E77" s="6"/>
      <c r="F77" s="6"/>
      <c r="G77" s="6"/>
      <c r="H77" s="6"/>
      <c r="I77" s="6"/>
      <c r="J77" s="6"/>
      <c r="K77" s="6"/>
      <c r="L77" s="6"/>
      <c r="M77" s="6"/>
      <c r="N77" s="6"/>
      <c r="O77" s="6"/>
      <c r="P77" s="6"/>
      <c r="Q77" s="6"/>
      <c r="R77" s="6"/>
    </row>
  </sheetData>
  <sheetProtection password="EC7C" sheet="1" objects="1" scenarios="1" formatCells="0" formatColumns="0" formatRows="0" insertRows="0" insertHyperlinks="0" deleteRows="0" autoFilter="0"/>
  <mergeCells count="78">
    <mergeCell ref="A1:O1"/>
    <mergeCell ref="P1:R1"/>
    <mergeCell ref="A2:R2"/>
    <mergeCell ref="A3:B3"/>
    <mergeCell ref="C3:D3"/>
    <mergeCell ref="E3:F3"/>
    <mergeCell ref="G3:H3"/>
    <mergeCell ref="I3:J3"/>
    <mergeCell ref="K3:L3"/>
    <mergeCell ref="M3:N3"/>
    <mergeCell ref="O3:P3"/>
    <mergeCell ref="Q3:R3"/>
    <mergeCell ref="A5:R5"/>
    <mergeCell ref="A6:C6"/>
    <mergeCell ref="A7:C7"/>
    <mergeCell ref="A8:C8"/>
    <mergeCell ref="D6:F6"/>
    <mergeCell ref="D7:F7"/>
    <mergeCell ref="D8:F8"/>
    <mergeCell ref="G6:I6"/>
    <mergeCell ref="G7:I7"/>
    <mergeCell ref="G8:I8"/>
    <mergeCell ref="J6:L6"/>
    <mergeCell ref="J7:L7"/>
    <mergeCell ref="J8:L8"/>
    <mergeCell ref="M6:O6"/>
    <mergeCell ref="M7:O7"/>
    <mergeCell ref="M8:O8"/>
    <mergeCell ref="P6:R6"/>
    <mergeCell ref="P7:R7"/>
    <mergeCell ref="P8:R8"/>
    <mergeCell ref="A10:C10"/>
    <mergeCell ref="A11:C11"/>
    <mergeCell ref="A12:C12"/>
    <mergeCell ref="D10:F10"/>
    <mergeCell ref="D11:F11"/>
    <mergeCell ref="D12:F12"/>
    <mergeCell ref="G10:I10"/>
    <mergeCell ref="G11:I11"/>
    <mergeCell ref="G12:I12"/>
    <mergeCell ref="J10:L10"/>
    <mergeCell ref="J11:L11"/>
    <mergeCell ref="J12:L12"/>
    <mergeCell ref="M10:O10"/>
    <mergeCell ref="M11:O11"/>
    <mergeCell ref="M12:O12"/>
    <mergeCell ref="P10:R10"/>
    <mergeCell ref="P11:R11"/>
    <mergeCell ref="P12:R12"/>
    <mergeCell ref="A14:C14"/>
    <mergeCell ref="A15:C15"/>
    <mergeCell ref="A16:C16"/>
    <mergeCell ref="D14:F14"/>
    <mergeCell ref="D15:F15"/>
    <mergeCell ref="D16:F16"/>
    <mergeCell ref="G14:I14"/>
    <mergeCell ref="G15:I15"/>
    <mergeCell ref="G16:I16"/>
    <mergeCell ref="J14:L14"/>
    <mergeCell ref="J15:L15"/>
    <mergeCell ref="J16:L16"/>
    <mergeCell ref="M14:O14"/>
    <mergeCell ref="M15:O15"/>
    <mergeCell ref="M16:O16"/>
    <mergeCell ref="P14:R14"/>
    <mergeCell ref="P15:R15"/>
    <mergeCell ref="P16:R16"/>
    <mergeCell ref="A18:R18"/>
    <mergeCell ref="A25:R25"/>
    <mergeCell ref="A41:R41"/>
    <mergeCell ref="A42:G42"/>
    <mergeCell ref="I42:R42"/>
    <mergeCell ref="A53:R53"/>
    <mergeCell ref="A54:H54"/>
    <mergeCell ref="J54:R54"/>
    <mergeCell ref="A67:R67"/>
    <mergeCell ref="M68:R68"/>
    <mergeCell ref="A77:R77"/>
  </mergeCells>
  <conditionalFormatting sqref="C20:C23">
    <cfRule type="dataBar" priority="1">
      <dataBar>
        <cfvo type="min" val="0"/>
        <cfvo type="max" val="0"/>
        <color rgb="FF6350A8"/>
      </dataBar>
    </cfRule>
  </conditionalFormatting>
  <conditionalFormatting sqref="C44:C51">
    <cfRule type="dataBar" priority="9">
      <dataBar>
        <cfvo type="min" val="0"/>
        <cfvo type="max" val="0"/>
        <color rgb="FF6350A8"/>
      </dataBar>
    </cfRule>
  </conditionalFormatting>
  <conditionalFormatting sqref="D27:D38">
    <cfRule type="cellIs" dxfId="0" priority="7" operator="greaterThanOrEqual">
      <formula>1</formula>
    </cfRule>
  </conditionalFormatting>
  <conditionalFormatting sqref="E27:E38">
    <cfRule type="dataBar" priority="3">
      <dataBar>
        <cfvo type="min" val="0"/>
        <cfvo type="max" val="0"/>
        <color rgb="FF6350A8"/>
      </dataBar>
    </cfRule>
  </conditionalFormatting>
  <conditionalFormatting sqref="E69:E75">
    <cfRule type="colorScale" priority="13">
      <colorScale>
        <cfvo type="min" val="0"/>
        <cfvo type="percentile" val="50"/>
        <cfvo type="max" val="0"/>
        <color rgb="FFFBD9DD"/>
        <color rgb="FFFFF1CF"/>
        <color rgb="FFD9F2E4"/>
      </colorScale>
    </cfRule>
  </conditionalFormatting>
  <conditionalFormatting sqref="F56:F65">
    <cfRule type="dataBar" priority="11">
      <dataBar>
        <cfvo type="min" val="0"/>
        <cfvo type="max" val="0"/>
        <color rgb="FF6350A8"/>
      </dataBar>
    </cfRule>
  </conditionalFormatting>
  <conditionalFormatting sqref="G27:G38">
    <cfRule type="dataBar" priority="4">
      <dataBar>
        <cfvo type="min" val="0"/>
        <cfvo type="max" val="0"/>
        <color rgb="FFF2665E"/>
      </dataBar>
    </cfRule>
  </conditionalFormatting>
  <conditionalFormatting sqref="H27:H38">
    <cfRule type="cellIs" dxfId="0" priority="8" operator="greaterThanOrEqual">
      <formula>TargetEngagement</formula>
    </cfRule>
  </conditionalFormatting>
  <conditionalFormatting sqref="I27:I38">
    <cfRule type="dataBar" priority="5">
      <dataBar>
        <cfvo type="min" val="0"/>
        <cfvo type="max" val="0"/>
        <color rgb="FF2A4A8B"/>
      </dataBar>
    </cfRule>
  </conditionalFormatting>
  <conditionalFormatting sqref="J20:J23">
    <cfRule type="dataBar" priority="2">
      <dataBar>
        <cfvo type="min" val="0"/>
        <cfvo type="max" val="0"/>
        <color rgb="FF0E6B45"/>
      </dataBar>
    </cfRule>
  </conditionalFormatting>
  <conditionalFormatting sqref="K69:K75">
    <cfRule type="colorScale" priority="14">
      <colorScale>
        <cfvo type="min" val="0"/>
        <cfvo type="percentile" val="50"/>
        <cfvo type="max" val="0"/>
        <color rgb="FFFBD9DD"/>
        <color rgb="FFFFF1CF"/>
        <color rgb="FFD9F2E4"/>
      </colorScale>
    </cfRule>
  </conditionalFormatting>
  <conditionalFormatting sqref="L44:L51">
    <cfRule type="dataBar" priority="10">
      <dataBar>
        <cfvo type="min" val="0"/>
        <cfvo type="max" val="0"/>
        <color rgb="FF0E6B45"/>
      </dataBar>
    </cfRule>
  </conditionalFormatting>
  <conditionalFormatting sqref="L56:L65">
    <cfRule type="dataBar" priority="12">
      <dataBar>
        <cfvo type="min" val="0"/>
        <cfvo type="max" val="0"/>
        <color rgb="FFF2665E"/>
      </dataBar>
    </cfRule>
  </conditionalFormatting>
  <conditionalFormatting sqref="N27:N38">
    <cfRule type="dataBar" priority="6">
      <dataBar>
        <cfvo type="min" val="0"/>
        <cfvo type="max" val="0"/>
        <color rgb="FF0E6B45"/>
      </dataBar>
    </cfRule>
  </conditionalFormatting>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&amp;L&amp;"Calibri,Bold"&amp;12&amp;C&amp;"Calibri,Bold"&amp;11Annual Dashboard&amp;R&amp;"Calibri,Italic"&amp;9Social Media Content Calendar &amp; Analytics Planner</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0E6B45"/>
          <x14:colorNegative theme="5"/>
          <x14:colorAxis rgb="FF000000"/>
          <x14:colorMarkers theme="4" tint="-0.499984740745262"/>
          <x14:colorFirst theme="4" tint="0.39997558519241921"/>
          <x14:colorLast theme="4" tint="0.39997558519241921"/>
          <x14:colorHigh theme="4"/>
          <x14:colorLow theme="4"/>
          <x14:sparklines>
            <x14:sparkline>
              <xm:f>'Annual Dashboard'!N27:N38</xm:f>
              <xm:sqref>N39</xm:sqref>
            </x14:sparkline>
          </x14:sparklines>
        </x14:sparklineGroup>
        <x14:sparklineGroup type="column" displayEmptyCellsAs="gap">
          <x14:colorSeries rgb="FF2A4A8B"/>
          <x14:colorNegative theme="5"/>
          <x14:colorAxis rgb="FF000000"/>
          <x14:colorMarkers theme="4" tint="-0.499984740745262"/>
          <x14:colorFirst theme="4" tint="0.39997558519241921"/>
          <x14:colorLast theme="4" tint="0.39997558519241921"/>
          <x14:colorHigh theme="4"/>
          <x14:colorLow theme="4"/>
          <x14:sparklines>
            <x14:sparkline>
              <xm:f>'Annual Dashboard'!I27:I38</xm:f>
              <xm:sqref>I39</xm:sqref>
            </x14:sparkline>
          </x14:sparklines>
        </x14:sparklineGroup>
        <x14:sparklineGroup type="column" displayEmptyCellsAs="gap">
          <x14:colorSeries rgb="FF3B2A6B"/>
          <x14:colorNegative theme="5"/>
          <x14:colorAxis rgb="FF000000"/>
          <x14:colorMarkers theme="4" tint="-0.499984740745262"/>
          <x14:colorFirst theme="4" tint="0.39997558519241921"/>
          <x14:colorLast theme="4" tint="0.39997558519241921"/>
          <x14:colorHigh theme="4"/>
          <x14:colorLow theme="4"/>
          <x14:sparklines>
            <x14:sparkline>
              <xm:f>'Annual Dashboard'!E27:E38</xm:f>
              <xm:sqref>E39</xm:sqref>
            </x14:sparkline>
          </x14:sparklines>
        </x14:sparklineGroup>
        <x14:sparklineGroup type="column" displayEmptyCellsAs="gap">
          <x14:colorSeries rgb="FF6350A8"/>
          <x14:colorNegative theme="5"/>
          <x14:colorAxis rgb="FF000000"/>
          <x14:colorMarkers theme="4" tint="-0.499984740745262"/>
          <x14:colorFirst theme="4" tint="0.39997558519241921"/>
          <x14:colorLast theme="4" tint="0.39997558519241921"/>
          <x14:colorHigh theme="4"/>
          <x14:colorLow theme="4"/>
          <x14:sparklines>
            <x14:sparkline>
              <xm:f>'Annual Dashboard'!C27:C38</xm:f>
              <xm:sqref>C39</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sheetPr>
    <tabColor rgb="FFF2665E"/>
    <pageSetUpPr fitToPage="1"/>
  </sheetPr>
  <dimension ref="A1:I64"/>
  <sheetViews>
    <sheetView showGridLines="0" workbookViewId="0">
      <pane ySplit="4" topLeftCell="A5" activePane="bottomLeft" state="frozen"/>
      <selection pane="bottomLeft"/>
    </sheetView>
  </sheetViews>
  <sheetFormatPr defaultRowHeight="15"/>
  <cols>
    <col min="1" max="1" width="3.2109375" customWidth="1"/>
    <col min="2" max="2" width="26.7109375" style="13" customWidth="1"/>
    <col min="3" max="3" width="16.7109375" style="13" customWidth="1"/>
    <col min="4" max="4" width="30.7109375" customWidth="1"/>
    <col min="5" max="5" width="20.7109375" customWidth="1"/>
    <col min="6" max="9" width="17.7109375" style="12" customWidth="1"/>
  </cols>
  <sheetData>
    <row r="1" spans="1:9" ht="34" customHeight="1">
      <c r="A1" s="2" t="s">
        <v>274</v>
      </c>
      <c r="B1" s="2"/>
      <c r="C1" s="2"/>
      <c r="D1" s="2"/>
      <c r="E1" s="2"/>
      <c r="F1" s="2"/>
      <c r="G1" s="3" t="s">
        <v>1</v>
      </c>
      <c r="H1" s="3"/>
      <c r="I1" s="3"/>
    </row>
    <row r="2" spans="1:9" ht="18" customHeight="1">
      <c r="A2" s="4" t="s">
        <v>275</v>
      </c>
      <c r="B2" s="4"/>
      <c r="C2" s="4"/>
      <c r="D2" s="4"/>
      <c r="E2" s="4"/>
      <c r="F2" s="4"/>
      <c r="G2" s="4"/>
      <c r="H2" s="4"/>
      <c r="I2" s="4"/>
    </row>
    <row r="3" spans="1:9" ht="16" customHeight="1">
      <c r="A3" s="5" t="s">
        <v>3</v>
      </c>
      <c r="B3" s="5"/>
      <c r="C3" s="5" t="s">
        <v>4</v>
      </c>
      <c r="D3" s="5"/>
      <c r="E3" s="5" t="s">
        <v>5</v>
      </c>
      <c r="F3" s="5"/>
      <c r="G3" s="5" t="s">
        <v>6</v>
      </c>
      <c r="H3" s="5"/>
      <c r="I3" s="33" t="s">
        <v>205</v>
      </c>
    </row>
    <row r="5" spans="1:9" ht="20" customHeight="1">
      <c r="A5" s="7" t="s">
        <v>276</v>
      </c>
      <c r="B5" s="7"/>
      <c r="C5" s="7"/>
      <c r="D5" s="7"/>
      <c r="E5" s="7"/>
      <c r="F5" s="7"/>
      <c r="G5" s="7"/>
      <c r="H5" s="7"/>
      <c r="I5" s="7"/>
    </row>
    <row r="6" spans="1:9">
      <c r="B6" s="11" t="s">
        <v>277</v>
      </c>
      <c r="C6" s="11"/>
      <c r="D6" s="15" t="s">
        <v>278</v>
      </c>
      <c r="E6" s="15"/>
      <c r="F6" s="12" t="s">
        <v>279</v>
      </c>
      <c r="G6" s="12"/>
      <c r="H6" s="12"/>
      <c r="I6" s="12"/>
    </row>
    <row r="7" spans="1:9">
      <c r="B7" s="11" t="s">
        <v>280</v>
      </c>
      <c r="C7" s="11"/>
      <c r="D7" s="15" t="s">
        <v>281</v>
      </c>
      <c r="E7" s="15"/>
    </row>
    <row r="8" spans="1:9">
      <c r="B8" s="11" t="s">
        <v>282</v>
      </c>
      <c r="C8" s="11"/>
      <c r="D8" s="15" t="s">
        <v>283</v>
      </c>
      <c r="E8" s="15"/>
    </row>
    <row r="9" spans="1:9">
      <c r="B9" s="11" t="s">
        <v>284</v>
      </c>
      <c r="C9" s="11"/>
      <c r="D9" s="15" t="s">
        <v>285</v>
      </c>
      <c r="E9" s="15"/>
    </row>
    <row r="10" spans="1:9">
      <c r="B10" s="11" t="s">
        <v>286</v>
      </c>
      <c r="C10" s="11"/>
      <c r="D10" s="15" t="s">
        <v>287</v>
      </c>
      <c r="E10" s="15"/>
    </row>
    <row r="11" spans="1:9">
      <c r="B11" s="11" t="s">
        <v>288</v>
      </c>
      <c r="C11" s="11"/>
      <c r="D11" s="15" t="s">
        <v>289</v>
      </c>
      <c r="E11" s="15"/>
      <c r="F11" s="12" t="s">
        <v>290</v>
      </c>
      <c r="G11" s="12"/>
      <c r="H11" s="12"/>
      <c r="I11" s="12"/>
    </row>
    <row r="12" spans="1:9">
      <c r="B12" s="11" t="s">
        <v>291</v>
      </c>
      <c r="C12" s="11"/>
      <c r="D12" s="15" t="s">
        <v>292</v>
      </c>
      <c r="E12" s="15"/>
    </row>
    <row r="13" spans="1:9">
      <c r="B13" s="11" t="s">
        <v>293</v>
      </c>
      <c r="C13" s="11"/>
      <c r="D13" s="15" t="s">
        <v>294</v>
      </c>
      <c r="E13" s="15"/>
    </row>
    <row r="14" spans="1:9">
      <c r="B14" s="11" t="s">
        <v>295</v>
      </c>
      <c r="C14" s="11"/>
      <c r="D14" s="15" t="s">
        <v>296</v>
      </c>
      <c r="E14" s="15"/>
      <c r="F14" s="12" t="s">
        <v>297</v>
      </c>
      <c r="G14" s="12"/>
      <c r="H14" s="12"/>
      <c r="I14" s="12"/>
    </row>
    <row r="15" spans="1:9">
      <c r="B15" s="11" t="s">
        <v>298</v>
      </c>
      <c r="C15" s="11"/>
      <c r="D15" s="15" t="s">
        <v>299</v>
      </c>
      <c r="E15" s="15"/>
    </row>
    <row r="16" spans="1:9">
      <c r="B16" s="11" t="s">
        <v>300</v>
      </c>
      <c r="C16" s="11"/>
      <c r="D16" s="15" t="s">
        <v>301</v>
      </c>
      <c r="E16" s="15"/>
    </row>
    <row r="18" spans="1:9" ht="20" customHeight="1">
      <c r="A18" s="7" t="s">
        <v>302</v>
      </c>
      <c r="B18" s="7"/>
      <c r="C18" s="7"/>
      <c r="D18" s="7"/>
      <c r="E18" s="7"/>
      <c r="F18" s="7"/>
      <c r="G18" s="7"/>
      <c r="H18" s="7"/>
      <c r="I18" s="7"/>
    </row>
    <row r="19" spans="1:9">
      <c r="B19" s="11" t="s">
        <v>303</v>
      </c>
      <c r="C19" s="11"/>
      <c r="D19" s="15" t="s">
        <v>304</v>
      </c>
      <c r="E19" s="15"/>
      <c r="F19" s="12" t="s">
        <v>305</v>
      </c>
      <c r="G19" s="12"/>
      <c r="H19" s="12"/>
      <c r="I19" s="12"/>
    </row>
    <row r="20" spans="1:9">
      <c r="B20" s="11" t="s">
        <v>306</v>
      </c>
      <c r="C20" s="11"/>
      <c r="D20" s="15" t="s">
        <v>307</v>
      </c>
      <c r="E20" s="15"/>
    </row>
    <row r="21" spans="1:9">
      <c r="B21" s="11" t="s">
        <v>308</v>
      </c>
      <c r="C21" s="11"/>
      <c r="D21" s="15" t="s">
        <v>309</v>
      </c>
      <c r="E21" s="15"/>
    </row>
    <row r="22" spans="1:9">
      <c r="B22" s="11" t="s">
        <v>310</v>
      </c>
      <c r="C22" s="11"/>
      <c r="D22" s="15" t="s">
        <v>311</v>
      </c>
      <c r="E22" s="15"/>
    </row>
    <row r="24" spans="1:9" ht="20" customHeight="1">
      <c r="A24" s="7" t="s">
        <v>312</v>
      </c>
      <c r="B24" s="7"/>
      <c r="C24" s="7"/>
      <c r="D24" s="7"/>
      <c r="E24" s="7"/>
      <c r="F24" s="7"/>
      <c r="G24" s="7"/>
      <c r="H24" s="7"/>
      <c r="I24" s="7"/>
    </row>
    <row r="25" spans="1:9">
      <c r="B25" s="11" t="s">
        <v>313</v>
      </c>
      <c r="C25" s="11"/>
      <c r="D25" s="34">
        <v>2026</v>
      </c>
      <c r="E25" s="12" t="s">
        <v>314</v>
      </c>
      <c r="F25" s="12"/>
      <c r="G25" s="12"/>
      <c r="H25" s="12"/>
    </row>
    <row r="26" spans="1:9">
      <c r="B26" s="11" t="s">
        <v>315</v>
      </c>
      <c r="C26" s="11"/>
      <c r="D26" s="15" t="s">
        <v>316</v>
      </c>
      <c r="E26" s="12" t="s">
        <v>317</v>
      </c>
      <c r="F26" s="12"/>
      <c r="G26" s="12"/>
      <c r="H26" s="12"/>
    </row>
    <row r="27" spans="1:9">
      <c r="B27" s="11" t="s">
        <v>318</v>
      </c>
      <c r="C27" s="11"/>
      <c r="D27" s="15" t="s">
        <v>319</v>
      </c>
      <c r="E27" s="15"/>
      <c r="F27" s="12" t="s">
        <v>320</v>
      </c>
      <c r="G27" s="12"/>
      <c r="H27" s="12"/>
      <c r="I27" s="12"/>
    </row>
    <row r="28" spans="1:9">
      <c r="B28" s="11" t="s">
        <v>321</v>
      </c>
      <c r="C28" s="11"/>
      <c r="D28" s="15" t="s">
        <v>322</v>
      </c>
      <c r="E28" s="12" t="s">
        <v>323</v>
      </c>
      <c r="F28" s="12"/>
      <c r="G28" s="12"/>
      <c r="H28" s="12"/>
    </row>
    <row r="29" spans="1:9">
      <c r="B29" s="11" t="s">
        <v>324</v>
      </c>
      <c r="C29" s="11"/>
      <c r="D29" s="34">
        <v>1</v>
      </c>
      <c r="E29" s="12" t="s">
        <v>325</v>
      </c>
      <c r="F29" s="12"/>
      <c r="G29" s="12"/>
      <c r="H29" s="12"/>
    </row>
    <row r="31" spans="1:9" ht="20" customHeight="1">
      <c r="A31" s="7" t="s">
        <v>326</v>
      </c>
      <c r="B31" s="7"/>
      <c r="C31" s="7"/>
      <c r="D31" s="7"/>
      <c r="E31" s="7"/>
      <c r="F31" s="7"/>
      <c r="G31" s="7"/>
      <c r="H31" s="7"/>
      <c r="I31" s="7"/>
    </row>
    <row r="32" spans="1:9">
      <c r="B32" s="11" t="s">
        <v>327</v>
      </c>
      <c r="C32" s="11"/>
      <c r="D32" s="34">
        <v>3</v>
      </c>
    </row>
    <row r="33" spans="1:9">
      <c r="B33" s="11" t="s">
        <v>328</v>
      </c>
      <c r="C33" s="11"/>
      <c r="D33" s="34">
        <v>13</v>
      </c>
      <c r="E33" s="12" t="s">
        <v>329</v>
      </c>
      <c r="F33" s="12"/>
      <c r="G33" s="12"/>
      <c r="H33" s="12"/>
    </row>
    <row r="34" spans="1:9">
      <c r="B34" s="11" t="s">
        <v>330</v>
      </c>
      <c r="C34" s="11"/>
      <c r="D34" s="35">
        <v>0.045</v>
      </c>
      <c r="E34" s="12" t="s">
        <v>331</v>
      </c>
      <c r="F34" s="12"/>
      <c r="G34" s="12"/>
      <c r="H34" s="12"/>
    </row>
    <row r="35" spans="1:9">
      <c r="B35" s="11" t="s">
        <v>332</v>
      </c>
      <c r="C35" s="11"/>
      <c r="D35" s="34">
        <v>25000</v>
      </c>
    </row>
    <row r="36" spans="1:9">
      <c r="B36" s="11" t="s">
        <v>333</v>
      </c>
      <c r="C36" s="11"/>
      <c r="D36" s="34">
        <v>120000</v>
      </c>
    </row>
    <row r="37" spans="1:9">
      <c r="B37" s="11" t="s">
        <v>334</v>
      </c>
      <c r="C37" s="11"/>
      <c r="D37" s="34">
        <v>1800</v>
      </c>
    </row>
    <row r="38" spans="1:9">
      <c r="B38" s="11" t="s">
        <v>335</v>
      </c>
      <c r="C38" s="11"/>
      <c r="D38" s="34">
        <v>240</v>
      </c>
    </row>
    <row r="39" spans="1:9">
      <c r="B39" s="11" t="s">
        <v>336</v>
      </c>
      <c r="C39" s="11"/>
      <c r="D39" s="34">
        <v>90</v>
      </c>
    </row>
    <row r="40" spans="1:9">
      <c r="B40" s="11" t="s">
        <v>337</v>
      </c>
      <c r="C40" s="11"/>
      <c r="D40" s="36">
        <v>36000</v>
      </c>
    </row>
    <row r="42" spans="1:9" ht="20" customHeight="1">
      <c r="A42" s="7" t="s">
        <v>338</v>
      </c>
      <c r="B42" s="7"/>
      <c r="C42" s="7"/>
      <c r="D42" s="7"/>
      <c r="E42" s="7"/>
      <c r="F42" s="7"/>
      <c r="G42" s="7"/>
      <c r="H42" s="7"/>
      <c r="I42" s="7"/>
    </row>
    <row r="43" spans="1:9">
      <c r="B43" s="11" t="s">
        <v>339</v>
      </c>
      <c r="C43" s="11"/>
      <c r="D43" s="36">
        <v>900</v>
      </c>
    </row>
    <row r="44" spans="1:9">
      <c r="B44" s="11" t="s">
        <v>340</v>
      </c>
      <c r="C44" s="11"/>
      <c r="D44" s="36">
        <v>10800</v>
      </c>
    </row>
    <row r="45" spans="1:9">
      <c r="B45" s="11" t="s">
        <v>341</v>
      </c>
      <c r="C45" s="11"/>
      <c r="D45" s="37">
        <v>4</v>
      </c>
      <c r="E45" s="12" t="s">
        <v>342</v>
      </c>
      <c r="F45" s="12"/>
      <c r="G45" s="12"/>
      <c r="H45" s="12"/>
    </row>
    <row r="46" spans="1:9">
      <c r="B46" s="11" t="s">
        <v>343</v>
      </c>
      <c r="C46" s="11"/>
      <c r="D46" s="36">
        <v>6</v>
      </c>
    </row>
    <row r="48" spans="1:9" ht="20" customHeight="1">
      <c r="A48" s="7" t="s">
        <v>344</v>
      </c>
      <c r="B48" s="7"/>
      <c r="C48" s="7"/>
      <c r="D48" s="7"/>
      <c r="E48" s="7"/>
      <c r="F48" s="7"/>
      <c r="G48" s="7"/>
      <c r="H48" s="7"/>
      <c r="I48" s="7"/>
    </row>
    <row r="49" spans="1:9">
      <c r="B49" s="11" t="s">
        <v>345</v>
      </c>
      <c r="C49" s="11"/>
      <c r="D49" s="34">
        <v>5</v>
      </c>
      <c r="E49" s="12" t="s">
        <v>346</v>
      </c>
      <c r="F49" s="12"/>
      <c r="G49" s="12"/>
      <c r="H49" s="12"/>
    </row>
    <row r="50" spans="1:9">
      <c r="B50" s="11" t="s">
        <v>347</v>
      </c>
      <c r="C50" s="11"/>
      <c r="D50" s="34">
        <v>2</v>
      </c>
    </row>
    <row r="51" spans="1:9">
      <c r="B51" s="11" t="s">
        <v>348</v>
      </c>
      <c r="C51" s="11"/>
      <c r="D51" s="34">
        <v>14</v>
      </c>
      <c r="E51" s="12" t="s">
        <v>349</v>
      </c>
      <c r="F51" s="12"/>
      <c r="G51" s="12"/>
      <c r="H51" s="12"/>
    </row>
    <row r="52" spans="1:9">
      <c r="B52" s="11" t="s">
        <v>350</v>
      </c>
      <c r="C52" s="11"/>
      <c r="D52" s="34">
        <v>14</v>
      </c>
    </row>
    <row r="53" spans="1:9">
      <c r="B53" s="11" t="s">
        <v>351</v>
      </c>
      <c r="C53" s="11"/>
      <c r="D53" s="34">
        <v>180</v>
      </c>
    </row>
    <row r="54" spans="1:9">
      <c r="B54" s="11" t="s">
        <v>352</v>
      </c>
      <c r="C54" s="11"/>
      <c r="D54" s="34">
        <v>30</v>
      </c>
    </row>
    <row r="56" spans="1:9" ht="20" customHeight="1">
      <c r="A56" s="7" t="s">
        <v>353</v>
      </c>
      <c r="B56" s="7"/>
      <c r="C56" s="7"/>
      <c r="D56" s="7"/>
      <c r="E56" s="7"/>
      <c r="F56" s="7"/>
      <c r="G56" s="7"/>
      <c r="H56" s="7"/>
      <c r="I56" s="7"/>
    </row>
    <row r="57" spans="1:9">
      <c r="B57" s="11" t="s">
        <v>354</v>
      </c>
      <c r="C57" s="11"/>
      <c r="D57" s="15" t="s">
        <v>355</v>
      </c>
      <c r="E57" s="12" t="s">
        <v>356</v>
      </c>
      <c r="F57" s="12"/>
      <c r="G57" s="12"/>
      <c r="H57" s="12"/>
    </row>
    <row r="58" spans="1:9">
      <c r="B58" s="11" t="s">
        <v>357</v>
      </c>
      <c r="C58" s="11"/>
      <c r="D58" s="15" t="s">
        <v>358</v>
      </c>
    </row>
    <row r="59" spans="1:9">
      <c r="B59" s="11" t="s">
        <v>359</v>
      </c>
      <c r="C59" s="11"/>
      <c r="D59" s="15" t="s">
        <v>360</v>
      </c>
    </row>
    <row r="60" spans="1:9">
      <c r="B60" s="11" t="s">
        <v>361</v>
      </c>
      <c r="C60" s="11"/>
      <c r="D60" s="15" t="s">
        <v>362</v>
      </c>
    </row>
    <row r="61" spans="1:9">
      <c r="B61" s="11" t="s">
        <v>363</v>
      </c>
      <c r="C61" s="11"/>
      <c r="D61" s="15" t="s">
        <v>364</v>
      </c>
    </row>
    <row r="62" spans="1:9">
      <c r="B62" s="11" t="s">
        <v>365</v>
      </c>
      <c r="C62" s="11"/>
      <c r="D62" s="15" t="s">
        <v>366</v>
      </c>
    </row>
    <row r="64" spans="1:9" ht="30" customHeight="1">
      <c r="B64" s="6" t="s">
        <v>367</v>
      </c>
      <c r="C64" s="6"/>
      <c r="D64" s="6"/>
      <c r="E64" s="6"/>
      <c r="F64" s="6"/>
      <c r="G64" s="6"/>
      <c r="H64" s="6"/>
      <c r="I64" s="6"/>
    </row>
  </sheetData>
  <sheetProtection password="EC7C" sheet="1" objects="1" scenarios="1" formatCells="0" formatColumns="0" formatRows="0" insertRows="0" insertHyperlinks="0" deleteRows="0" autoFilter="0"/>
  <mergeCells count="91">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B9:C9"/>
    <mergeCell ref="D9:E9"/>
    <mergeCell ref="B10:C10"/>
    <mergeCell ref="D10:E10"/>
    <mergeCell ref="B11:C11"/>
    <mergeCell ref="D11:E11"/>
    <mergeCell ref="F11:I11"/>
    <mergeCell ref="B12:C12"/>
    <mergeCell ref="D12:E12"/>
    <mergeCell ref="B13:C13"/>
    <mergeCell ref="D13:E13"/>
    <mergeCell ref="B14:C14"/>
    <mergeCell ref="D14:E14"/>
    <mergeCell ref="F14:I14"/>
    <mergeCell ref="B15:C15"/>
    <mergeCell ref="D15:E15"/>
    <mergeCell ref="B16:C16"/>
    <mergeCell ref="D16:E16"/>
    <mergeCell ref="A18:I18"/>
    <mergeCell ref="B19:C19"/>
    <mergeCell ref="D19:E19"/>
    <mergeCell ref="F19:I19"/>
    <mergeCell ref="B20:C20"/>
    <mergeCell ref="D20:E20"/>
    <mergeCell ref="B21:C21"/>
    <mergeCell ref="D21:E21"/>
    <mergeCell ref="B22:C22"/>
    <mergeCell ref="D22:E22"/>
    <mergeCell ref="A24:I24"/>
    <mergeCell ref="B25:C25"/>
    <mergeCell ref="E25:H25"/>
    <mergeCell ref="B26:C26"/>
    <mergeCell ref="E26:H26"/>
    <mergeCell ref="B27:C27"/>
    <mergeCell ref="D27:E27"/>
    <mergeCell ref="F27:I27"/>
    <mergeCell ref="B28:C28"/>
    <mergeCell ref="E28:H28"/>
    <mergeCell ref="B29:C29"/>
    <mergeCell ref="E29:H29"/>
    <mergeCell ref="A31:I31"/>
    <mergeCell ref="B32:C32"/>
    <mergeCell ref="B33:C33"/>
    <mergeCell ref="E33:H33"/>
    <mergeCell ref="B34:C34"/>
    <mergeCell ref="E34:H34"/>
    <mergeCell ref="B35:C35"/>
    <mergeCell ref="B36:C36"/>
    <mergeCell ref="B37:C37"/>
    <mergeCell ref="B38:C38"/>
    <mergeCell ref="B39:C39"/>
    <mergeCell ref="B40:C40"/>
    <mergeCell ref="A42:I42"/>
    <mergeCell ref="B43:C43"/>
    <mergeCell ref="B44:C44"/>
    <mergeCell ref="B45:C45"/>
    <mergeCell ref="E45:H45"/>
    <mergeCell ref="B46:C46"/>
    <mergeCell ref="A48:I48"/>
    <mergeCell ref="B49:C49"/>
    <mergeCell ref="E49:H49"/>
    <mergeCell ref="B50:C50"/>
    <mergeCell ref="B51:C51"/>
    <mergeCell ref="E51:H51"/>
    <mergeCell ref="B52:C52"/>
    <mergeCell ref="B53:C53"/>
    <mergeCell ref="B54:C54"/>
    <mergeCell ref="A56:I56"/>
    <mergeCell ref="B57:C57"/>
    <mergeCell ref="E57:H57"/>
    <mergeCell ref="B58:C58"/>
    <mergeCell ref="B59:C59"/>
    <mergeCell ref="B60:C60"/>
    <mergeCell ref="B61:C61"/>
    <mergeCell ref="B62:C62"/>
    <mergeCell ref="B64:I64"/>
  </mergeCells>
  <dataValidations count="22">
    <dataValidation type="whole" allowBlank="1" showInputMessage="1" showErrorMessage="1" errorTitle="Check the value" error="Enter a number between 2000 and 2100." sqref="D25">
      <formula1>2000</formula1>
      <formula2>2100</formula2>
    </dataValidation>
    <dataValidation type="list" allowBlank="1" showInputMessage="1" showErrorMessage="1" sqref="D26">
      <formula1>WeekStartList</formula1>
    </dataValidation>
    <dataValidation type="whole" allowBlank="1" showInputMessage="1" showErrorMessage="1" errorTitle="Check the value" error="Enter a number between 1 and 12." sqref="D29">
      <formula1>1</formula1>
      <formula2>12</formula2>
    </dataValidation>
    <dataValidation type="whole" allowBlank="1" showInputMessage="1" showErrorMessage="1" errorTitle="Check the value" error="Enter a number between 0 and 500." sqref="D32">
      <formula1>0</formula1>
      <formula2>500</formula2>
    </dataValidation>
    <dataValidation type="whole" allowBlank="1" showInputMessage="1" showErrorMessage="1" errorTitle="Check the value" error="Enter a number between 0 and 2000." sqref="D33">
      <formula1>0</formula1>
      <formula2>2000</formula2>
    </dataValidation>
    <dataValidation type="decimal" allowBlank="1" showInputMessage="1" showErrorMessage="1" errorTitle="Check the value" error="Enter a number between 0 and 1." sqref="D34">
      <formula1>0</formula1>
      <formula2>1</formula2>
    </dataValidation>
    <dataValidation type="whole" allowBlank="1" showInputMessage="1" showErrorMessage="1" errorTitle="Check the value" error="Enter a number between 0 and 100000000." sqref="D35">
      <formula1>0</formula1>
      <formula2>100000000</formula2>
    </dataValidation>
    <dataValidation type="whole" allowBlank="1" showInputMessage="1" showErrorMessage="1" errorTitle="Check the value" error="Enter a number between 0 and 100000000." sqref="D36">
      <formula1>0</formula1>
      <formula2>100000000</formula2>
    </dataValidation>
    <dataValidation type="whole" allowBlank="1" showInputMessage="1" showErrorMessage="1" errorTitle="Check the value" error="Enter a number between 0 and 10000000." sqref="D37">
      <formula1>0</formula1>
      <formula2>10000000</formula2>
    </dataValidation>
    <dataValidation type="whole" allowBlank="1" showInputMessage="1" showErrorMessage="1" errorTitle="Check the value" error="Enter a number between 0 and 1000000." sqref="D38">
      <formula1>0</formula1>
      <formula2>1000000</formula2>
    </dataValidation>
    <dataValidation type="whole" allowBlank="1" showInputMessage="1" showErrorMessage="1" errorTitle="Check the value" error="Enter a number between 0 and 1000000." sqref="D39">
      <formula1>0</formula1>
      <formula2>1000000</formula2>
    </dataValidation>
    <dataValidation type="decimal" allowBlank="1" showInputMessage="1" showErrorMessage="1" errorTitle="Check the value" error="Enter a number between 0 and 100000000." sqref="D40">
      <formula1>0</formula1>
      <formula2>100000000</formula2>
    </dataValidation>
    <dataValidation type="decimal" allowBlank="1" showInputMessage="1" showErrorMessage="1" errorTitle="Check the value" error="Enter a number between 0 and 10000000." sqref="D43">
      <formula1>0</formula1>
      <formula2>10000000</formula2>
    </dataValidation>
    <dataValidation type="decimal" allowBlank="1" showInputMessage="1" showErrorMessage="1" errorTitle="Check the value" error="Enter a number between 0 and 100000000." sqref="D44">
      <formula1>0</formula1>
      <formula2>100000000</formula2>
    </dataValidation>
    <dataValidation type="decimal" allowBlank="1" showInputMessage="1" showErrorMessage="1" errorTitle="Check the value" error="Enter a number between 0 and 1000." sqref="D45">
      <formula1>0</formula1>
      <formula2>1000</formula2>
    </dataValidation>
    <dataValidation type="decimal" allowBlank="1" showInputMessage="1" showErrorMessage="1" errorTitle="Check the value" error="Enter a number between 0 and 100000." sqref="D46">
      <formula1>0</formula1>
      <formula2>100000</formula2>
    </dataValidation>
    <dataValidation type="whole" allowBlank="1" showInputMessage="1" showErrorMessage="1" errorTitle="Check the value" error="Enter a number between 0 and 90." sqref="D49">
      <formula1>0</formula1>
      <formula2>90</formula2>
    </dataValidation>
    <dataValidation type="whole" allowBlank="1" showInputMessage="1" showErrorMessage="1" errorTitle="Check the value" error="Enter a number between 0 and 90." sqref="D50">
      <formula1>0</formula1>
      <formula2>90</formula2>
    </dataValidation>
    <dataValidation type="whole" allowBlank="1" showInputMessage="1" showErrorMessage="1" errorTitle="Check the value" error="Enter a number between 0 and 365." sqref="D51">
      <formula1>0</formula1>
      <formula2>365</formula2>
    </dataValidation>
    <dataValidation type="whole" allowBlank="1" showInputMessage="1" showErrorMessage="1" errorTitle="Check the value" error="Enter a number between 0 and 365." sqref="D52">
      <formula1>0</formula1>
      <formula2>365</formula2>
    </dataValidation>
    <dataValidation type="whole" allowBlank="1" showInputMessage="1" showErrorMessage="1" errorTitle="Check the value" error="Enter a number between 0 and 3650." sqref="D53">
      <formula1>0</formula1>
      <formula2>3650</formula2>
    </dataValidation>
    <dataValidation type="whole" allowBlank="1" showInputMessage="1" showErrorMessage="1" errorTitle="Check the value" error="Enter a number between 0 and 365." sqref="D54">
      <formula1>0</formula1>
      <formula2>365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s>
  <pageMargins left="0.4" right="0.4" top="0.6" bottom="0.5" header="0.3" footer="0.3"/>
  <pageSetup paperSize="9" fitToHeight="0" orientation="landscape"/>
  <headerFooter>
    <oddHeader>&amp;L&amp;"Calibri,Bold"&amp;12&amp;C&amp;"Calibri,Bold"&amp;11Settings&amp;R&amp;"Calibri,Italic"&amp;9Social Media Content Calendar &amp; Analytics Planner</oddHeader>
    <oddFooter>&amp;L&amp;"Calibri,Italic"&amp;8Novality Store - v1.0.0&amp;C&amp;"Calibri,Italic"&amp;8Page &amp;P of &amp;N&amp;R&amp;"Calibri,Italic"&amp;8&amp;D</oddFooter>
  </headerFooter>
</worksheet>
</file>

<file path=xl/worksheets/sheet5.xml><?xml version="1.0" encoding="utf-8"?>
<worksheet xmlns="http://schemas.openxmlformats.org/spreadsheetml/2006/main" xmlns:r="http://schemas.openxmlformats.org/officeDocument/2006/relationships">
  <sheetPr>
    <tabColor rgb="FF5F5A70"/>
  </sheetPr>
  <dimension ref="A1:AP23"/>
  <sheetViews>
    <sheetView workbookViewId="0">
      <pane ySplit="4" topLeftCell="A5" activePane="bottomLeft" state="frozen"/>
      <selection pane="bottomLeft"/>
    </sheetView>
  </sheetViews>
  <sheetFormatPr defaultRowHeight="15"/>
  <cols>
    <col min="1" max="1" width="16.7109375" style="15" customWidth="1"/>
    <col min="2" max="2" width="22.7109375" style="15" customWidth="1"/>
    <col min="3" max="3" width="16.7109375" style="15" customWidth="1"/>
    <col min="4" max="4" width="20.7109375" style="15" customWidth="1"/>
    <col min="5" max="5" width="22.7109375" style="15" customWidth="1"/>
    <col min="6" max="6" width="22.7109375" style="15" customWidth="1"/>
    <col min="7" max="7" width="17.7109375" style="15" customWidth="1"/>
    <col min="8" max="8" width="20.7109375" style="15" customWidth="1"/>
    <col min="9" max="9" width="22.7109375" style="15" customWidth="1"/>
    <col min="10" max="10" width="17.7109375" style="15" customWidth="1"/>
    <col min="11" max="11" width="21.7109375" style="15" customWidth="1"/>
    <col min="12" max="12" width="16.7109375" style="15" customWidth="1"/>
    <col min="13" max="13" width="19.7109375" style="15" customWidth="1"/>
    <col min="14" max="14" width="19.7109375" style="15" customWidth="1"/>
    <col min="15" max="15" width="26.7109375" style="15" customWidth="1"/>
    <col min="16" max="16" width="23.7109375" style="15" customWidth="1"/>
    <col min="17" max="17" width="20.7109375" style="15" customWidth="1"/>
    <col min="18" max="18" width="21.7109375" style="15" customWidth="1"/>
    <col min="19" max="19" width="26.7109375" style="15" customWidth="1"/>
    <col min="20" max="20" width="18.7109375" style="15" customWidth="1"/>
    <col min="21" max="21" width="20.7109375" style="15" customWidth="1"/>
    <col min="22" max="22" width="23.7109375" style="15" customWidth="1"/>
    <col min="23" max="23" width="26.7109375" style="15" customWidth="1"/>
    <col min="24" max="24" width="23.7109375" style="15" customWidth="1"/>
    <col min="25" max="25" width="22.7109375" style="15" customWidth="1"/>
    <col min="26" max="26" width="18.7109375" style="15" customWidth="1"/>
    <col min="27" max="27" width="17.7109375" style="15" customWidth="1"/>
    <col min="28" max="28" width="19.7109375" style="15" customWidth="1"/>
    <col min="29" max="29" width="21.7109375" style="15" customWidth="1"/>
    <col min="30" max="30" width="19.7109375" style="15" customWidth="1"/>
    <col min="31" max="31" width="21.7109375" style="15" customWidth="1"/>
    <col min="32" max="32" width="20.7109375" style="15" customWidth="1"/>
    <col min="33" max="33" width="21.7109375" style="15" customWidth="1"/>
    <col min="34" max="34" width="19.7109375" style="15" customWidth="1"/>
    <col min="35" max="35" width="18.7109375" style="15" customWidth="1"/>
    <col min="36" max="36" width="24.7109375" style="15" customWidth="1"/>
    <col min="37" max="37" width="17.7109375" style="15" customWidth="1"/>
    <col min="38" max="38" width="20.7109375" style="15" customWidth="1"/>
    <col min="39" max="39" width="25.7109375" style="15" customWidth="1"/>
    <col min="40" max="40" width="16.7109375" style="15" customWidth="1"/>
    <col min="41" max="41" width="16.7109375" style="15" customWidth="1"/>
    <col min="42" max="42" width="22.7109375" style="15" customWidth="1"/>
  </cols>
  <sheetData>
    <row r="1" spans="1:42" ht="34" customHeight="1">
      <c r="A1" s="2" t="s">
        <v>368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3" t="s">
        <v>1</v>
      </c>
      <c r="AO1" s="3"/>
      <c r="AP1" s="3"/>
    </row>
    <row r="2" spans="1:42" ht="18" customHeight="1">
      <c r="A2" s="4" t="s">
        <v>369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370</v>
      </c>
      <c r="T3" s="38"/>
      <c r="U3" s="38"/>
      <c r="V3" s="38"/>
      <c r="W3" s="38"/>
      <c r="X3" s="38"/>
      <c r="Y3" s="38"/>
      <c r="Z3" s="38"/>
      <c r="AA3" s="38"/>
      <c r="AB3" s="38"/>
      <c r="AC3" s="38"/>
      <c r="AD3" s="38"/>
      <c r="AE3" s="38"/>
      <c r="AF3" s="38"/>
      <c r="AG3" s="38"/>
      <c r="AH3" s="38"/>
      <c r="AI3" s="38"/>
      <c r="AJ3" s="38"/>
      <c r="AK3" s="38"/>
      <c r="AL3" s="38"/>
      <c r="AM3" s="38"/>
      <c r="AN3" s="38"/>
      <c r="AO3" s="38"/>
      <c r="AP3" s="38"/>
    </row>
    <row r="4" spans="1:42" ht="30" customHeight="1">
      <c r="A4" s="9" t="s">
        <v>371</v>
      </c>
      <c r="B4" s="9" t="s">
        <v>374</v>
      </c>
      <c r="C4" s="9" t="s">
        <v>192</v>
      </c>
      <c r="D4" s="9" t="s">
        <v>387</v>
      </c>
      <c r="E4" s="9" t="s">
        <v>395</v>
      </c>
      <c r="F4" s="9" t="s">
        <v>415</v>
      </c>
      <c r="G4" s="9" t="s">
        <v>426</v>
      </c>
      <c r="H4" s="9" t="s">
        <v>434</v>
      </c>
      <c r="I4" s="9" t="s">
        <v>437</v>
      </c>
      <c r="J4" s="9" t="s">
        <v>451</v>
      </c>
      <c r="K4" s="9" t="s">
        <v>463</v>
      </c>
      <c r="L4" s="9" t="s">
        <v>474</v>
      </c>
      <c r="M4" s="9" t="s">
        <v>478</v>
      </c>
      <c r="N4" s="9" t="s">
        <v>483</v>
      </c>
      <c r="O4" s="9" t="s">
        <v>493</v>
      </c>
      <c r="P4" s="9" t="s">
        <v>501</v>
      </c>
      <c r="Q4" s="9" t="s">
        <v>505</v>
      </c>
      <c r="R4" s="9" t="s">
        <v>513</v>
      </c>
      <c r="S4" s="9" t="s">
        <v>519</v>
      </c>
      <c r="T4" s="9" t="s">
        <v>520</v>
      </c>
      <c r="U4" s="9" t="s">
        <v>532</v>
      </c>
      <c r="V4" s="9" t="s">
        <v>540</v>
      </c>
      <c r="W4" s="9" t="s">
        <v>543</v>
      </c>
      <c r="X4" s="9" t="s">
        <v>552</v>
      </c>
      <c r="Y4" s="9" t="s">
        <v>559</v>
      </c>
      <c r="Z4" s="9" t="s">
        <v>564</v>
      </c>
      <c r="AA4" s="9" t="s">
        <v>569</v>
      </c>
      <c r="AB4" s="9" t="s">
        <v>579</v>
      </c>
      <c r="AC4" s="9" t="s">
        <v>582</v>
      </c>
      <c r="AD4" s="9" t="s">
        <v>586</v>
      </c>
      <c r="AE4" s="9" t="s">
        <v>592</v>
      </c>
      <c r="AF4" s="9" t="s">
        <v>603</v>
      </c>
      <c r="AG4" s="9" t="s">
        <v>608</v>
      </c>
      <c r="AH4" s="9" t="s">
        <v>616</v>
      </c>
      <c r="AI4" s="9" t="s">
        <v>618</v>
      </c>
      <c r="AJ4" s="9" t="s">
        <v>623</v>
      </c>
      <c r="AK4" s="9" t="s">
        <v>625</v>
      </c>
      <c r="AL4" s="9" t="s">
        <v>633</v>
      </c>
      <c r="AM4" s="9" t="s">
        <v>640</v>
      </c>
      <c r="AN4" s="9" t="s">
        <v>129</v>
      </c>
      <c r="AO4" s="9" t="s">
        <v>245</v>
      </c>
      <c r="AP4" s="9" t="s">
        <v>315</v>
      </c>
    </row>
    <row r="5" spans="1:42">
      <c r="A5" s="15" t="s">
        <v>372</v>
      </c>
      <c r="B5" s="15" t="s">
        <v>372</v>
      </c>
      <c r="C5" s="15" t="s">
        <v>376</v>
      </c>
      <c r="D5" s="15" t="s">
        <v>388</v>
      </c>
      <c r="E5" s="15" t="s">
        <v>396</v>
      </c>
      <c r="F5" s="15" t="s">
        <v>416</v>
      </c>
      <c r="G5" s="15" t="s">
        <v>427</v>
      </c>
      <c r="H5" s="15" t="s">
        <v>427</v>
      </c>
      <c r="I5" s="15" t="s">
        <v>438</v>
      </c>
      <c r="J5" s="15" t="s">
        <v>452</v>
      </c>
      <c r="K5" s="15" t="s">
        <v>464</v>
      </c>
      <c r="L5" s="15" t="s">
        <v>475</v>
      </c>
      <c r="M5" s="15" t="s">
        <v>479</v>
      </c>
      <c r="N5" s="15" t="s">
        <v>484</v>
      </c>
      <c r="O5" s="15" t="s">
        <v>494</v>
      </c>
      <c r="P5" s="15" t="s">
        <v>252</v>
      </c>
      <c r="Q5" s="15" t="s">
        <v>506</v>
      </c>
      <c r="R5" s="15" t="s">
        <v>514</v>
      </c>
      <c r="S5" s="15" t="s">
        <v>477</v>
      </c>
      <c r="T5" s="15" t="s">
        <v>403</v>
      </c>
      <c r="U5" s="15" t="s">
        <v>533</v>
      </c>
      <c r="V5" s="15" t="s">
        <v>541</v>
      </c>
      <c r="W5" s="15" t="s">
        <v>544</v>
      </c>
      <c r="X5" s="15" t="s">
        <v>553</v>
      </c>
      <c r="Y5" s="15" t="s">
        <v>560</v>
      </c>
      <c r="Z5" s="15" t="s">
        <v>565</v>
      </c>
      <c r="AA5" s="15" t="s">
        <v>222</v>
      </c>
      <c r="AB5" s="15" t="s">
        <v>541</v>
      </c>
      <c r="AC5" s="15" t="s">
        <v>162</v>
      </c>
      <c r="AD5" s="15" t="s">
        <v>541</v>
      </c>
      <c r="AE5" s="15" t="s">
        <v>593</v>
      </c>
      <c r="AF5" s="15" t="s">
        <v>427</v>
      </c>
      <c r="AG5" s="15" t="s">
        <v>609</v>
      </c>
      <c r="AH5" s="15" t="s">
        <v>252</v>
      </c>
      <c r="AI5" s="15" t="s">
        <v>526</v>
      </c>
      <c r="AJ5" s="15" t="s">
        <v>252</v>
      </c>
      <c r="AK5" s="15" t="s">
        <v>626</v>
      </c>
      <c r="AL5" s="15" t="s">
        <v>634</v>
      </c>
      <c r="AM5" s="15" t="s">
        <v>641</v>
      </c>
      <c r="AN5" s="15" t="s">
        <v>646</v>
      </c>
      <c r="AO5" s="15" t="s">
        <v>646</v>
      </c>
      <c r="AP5" s="15" t="s">
        <v>316</v>
      </c>
    </row>
    <row r="6" spans="1:42">
      <c r="A6" s="15" t="s">
        <v>373</v>
      </c>
      <c r="B6" s="15" t="s">
        <v>373</v>
      </c>
      <c r="C6" s="15" t="s">
        <v>377</v>
      </c>
      <c r="D6" s="15" t="s">
        <v>389</v>
      </c>
      <c r="E6" s="15" t="s">
        <v>397</v>
      </c>
      <c r="F6" s="15" t="s">
        <v>417</v>
      </c>
      <c r="G6" s="15" t="s">
        <v>428</v>
      </c>
      <c r="H6" s="15" t="s">
        <v>435</v>
      </c>
      <c r="I6" s="15" t="s">
        <v>439</v>
      </c>
      <c r="J6" s="15" t="s">
        <v>453</v>
      </c>
      <c r="K6" s="15" t="s">
        <v>465</v>
      </c>
      <c r="L6" s="15" t="s">
        <v>476</v>
      </c>
      <c r="M6" s="15" t="s">
        <v>480</v>
      </c>
      <c r="N6" s="15" t="s">
        <v>485</v>
      </c>
      <c r="O6" s="15" t="s">
        <v>495</v>
      </c>
      <c r="P6" s="15" t="s">
        <v>502</v>
      </c>
      <c r="Q6" s="15" t="s">
        <v>507</v>
      </c>
      <c r="R6" s="15" t="s">
        <v>515</v>
      </c>
      <c r="S6" s="15" t="s">
        <v>476</v>
      </c>
      <c r="T6" s="15" t="s">
        <v>521</v>
      </c>
      <c r="U6" s="15" t="s">
        <v>534</v>
      </c>
      <c r="V6" s="15" t="s">
        <v>420</v>
      </c>
      <c r="W6" s="15" t="s">
        <v>545</v>
      </c>
      <c r="X6" s="15" t="s">
        <v>554</v>
      </c>
      <c r="Y6" s="15" t="s">
        <v>561</v>
      </c>
      <c r="Z6" s="15" t="s">
        <v>566</v>
      </c>
      <c r="AA6" s="15" t="s">
        <v>570</v>
      </c>
      <c r="AB6" s="15" t="s">
        <v>580</v>
      </c>
      <c r="AC6" s="15" t="s">
        <v>428</v>
      </c>
      <c r="AD6" s="15" t="s">
        <v>587</v>
      </c>
      <c r="AE6" s="15" t="s">
        <v>594</v>
      </c>
      <c r="AF6" s="15" t="s">
        <v>429</v>
      </c>
      <c r="AG6" s="15" t="s">
        <v>610</v>
      </c>
      <c r="AH6" s="15" t="s">
        <v>502</v>
      </c>
      <c r="AI6" s="15" t="s">
        <v>267</v>
      </c>
      <c r="AJ6" s="15" t="s">
        <v>580</v>
      </c>
      <c r="AK6" s="15" t="s">
        <v>627</v>
      </c>
      <c r="AL6" s="15" t="s">
        <v>635</v>
      </c>
      <c r="AM6" s="15" t="s">
        <v>642</v>
      </c>
      <c r="AN6" s="15" t="s">
        <v>647</v>
      </c>
      <c r="AO6" s="15" t="s">
        <v>247</v>
      </c>
      <c r="AP6" s="15" t="s">
        <v>658</v>
      </c>
    </row>
    <row r="7" spans="1:42">
      <c r="B7" s="15" t="s">
        <v>375</v>
      </c>
      <c r="C7" s="15" t="s">
        <v>378</v>
      </c>
      <c r="D7" s="15" t="s">
        <v>390</v>
      </c>
      <c r="E7" s="15" t="s">
        <v>398</v>
      </c>
      <c r="F7" s="15" t="s">
        <v>418</v>
      </c>
      <c r="G7" s="15" t="s">
        <v>429</v>
      </c>
      <c r="H7" s="15" t="s">
        <v>436</v>
      </c>
      <c r="I7" s="15" t="s">
        <v>440</v>
      </c>
      <c r="J7" s="15" t="s">
        <v>454</v>
      </c>
      <c r="K7" s="15" t="s">
        <v>466</v>
      </c>
      <c r="L7" s="15" t="s">
        <v>477</v>
      </c>
      <c r="M7" s="15" t="s">
        <v>423</v>
      </c>
      <c r="N7" s="15" t="s">
        <v>486</v>
      </c>
      <c r="O7" s="15" t="s">
        <v>496</v>
      </c>
      <c r="P7" s="15" t="s">
        <v>503</v>
      </c>
      <c r="Q7" s="15" t="s">
        <v>430</v>
      </c>
      <c r="R7" s="15" t="s">
        <v>516</v>
      </c>
      <c r="S7" s="15" t="s">
        <v>475</v>
      </c>
      <c r="T7" s="15" t="s">
        <v>404</v>
      </c>
      <c r="U7" s="15" t="s">
        <v>535</v>
      </c>
      <c r="V7" s="15" t="s">
        <v>422</v>
      </c>
      <c r="W7" s="15" t="s">
        <v>546</v>
      </c>
      <c r="X7" s="15" t="s">
        <v>555</v>
      </c>
      <c r="Y7" s="15" t="s">
        <v>562</v>
      </c>
      <c r="Z7" s="15" t="s">
        <v>488</v>
      </c>
      <c r="AA7" s="15" t="s">
        <v>571</v>
      </c>
      <c r="AB7" s="15" t="s">
        <v>581</v>
      </c>
      <c r="AC7" s="15" t="s">
        <v>149</v>
      </c>
      <c r="AD7" s="15" t="s">
        <v>588</v>
      </c>
      <c r="AE7" s="15" t="s">
        <v>595</v>
      </c>
      <c r="AF7" s="15" t="s">
        <v>428</v>
      </c>
      <c r="AG7" s="15" t="s">
        <v>524</v>
      </c>
      <c r="AH7" s="15" t="s">
        <v>504</v>
      </c>
      <c r="AI7" s="15" t="s">
        <v>619</v>
      </c>
      <c r="AJ7" s="15" t="s">
        <v>138</v>
      </c>
      <c r="AK7" s="15" t="s">
        <v>628</v>
      </c>
      <c r="AL7" s="15" t="s">
        <v>636</v>
      </c>
      <c r="AM7" s="15" t="s">
        <v>643</v>
      </c>
      <c r="AN7" s="15" t="s">
        <v>648</v>
      </c>
      <c r="AO7" s="15" t="s">
        <v>248</v>
      </c>
    </row>
    <row r="8" spans="1:42">
      <c r="C8" s="15" t="s">
        <v>379</v>
      </c>
      <c r="D8" s="15" t="s">
        <v>391</v>
      </c>
      <c r="E8" s="15" t="s">
        <v>399</v>
      </c>
      <c r="F8" s="15" t="s">
        <v>419</v>
      </c>
      <c r="G8" s="15" t="s">
        <v>168</v>
      </c>
      <c r="H8" s="15" t="s">
        <v>431</v>
      </c>
      <c r="I8" s="15" t="s">
        <v>441</v>
      </c>
      <c r="J8" s="15" t="s">
        <v>399</v>
      </c>
      <c r="K8" s="15" t="s">
        <v>467</v>
      </c>
      <c r="M8" s="15" t="s">
        <v>481</v>
      </c>
      <c r="N8" s="15" t="s">
        <v>487</v>
      </c>
      <c r="O8" s="15" t="s">
        <v>497</v>
      </c>
      <c r="P8" s="15" t="s">
        <v>504</v>
      </c>
      <c r="Q8" s="15" t="s">
        <v>508</v>
      </c>
      <c r="R8" s="15" t="s">
        <v>517</v>
      </c>
      <c r="T8" s="15" t="s">
        <v>522</v>
      </c>
      <c r="U8" s="15" t="s">
        <v>536</v>
      </c>
      <c r="V8" s="15" t="s">
        <v>421</v>
      </c>
      <c r="W8" s="15" t="s">
        <v>547</v>
      </c>
      <c r="X8" s="15" t="s">
        <v>556</v>
      </c>
      <c r="Y8" s="15" t="s">
        <v>563</v>
      </c>
      <c r="Z8" s="15" t="s">
        <v>282</v>
      </c>
      <c r="AA8" s="15" t="s">
        <v>572</v>
      </c>
      <c r="AB8" s="15" t="s">
        <v>504</v>
      </c>
      <c r="AC8" s="15" t="s">
        <v>583</v>
      </c>
      <c r="AD8" s="15" t="s">
        <v>589</v>
      </c>
      <c r="AE8" s="15" t="s">
        <v>596</v>
      </c>
      <c r="AF8" s="15" t="s">
        <v>604</v>
      </c>
      <c r="AG8" s="15" t="s">
        <v>611</v>
      </c>
      <c r="AH8" s="15" t="s">
        <v>617</v>
      </c>
      <c r="AI8" s="15" t="s">
        <v>620</v>
      </c>
      <c r="AJ8" s="15" t="s">
        <v>624</v>
      </c>
      <c r="AK8" s="15" t="s">
        <v>629</v>
      </c>
      <c r="AL8" s="15" t="s">
        <v>637</v>
      </c>
      <c r="AM8" s="15" t="s">
        <v>644</v>
      </c>
      <c r="AN8" s="15" t="s">
        <v>649</v>
      </c>
      <c r="AO8" s="15" t="s">
        <v>249</v>
      </c>
    </row>
    <row r="9" spans="1:42">
      <c r="C9" s="15" t="s">
        <v>380</v>
      </c>
      <c r="D9" s="15" t="s">
        <v>392</v>
      </c>
      <c r="E9" s="15" t="s">
        <v>400</v>
      </c>
      <c r="F9" s="15" t="s">
        <v>420</v>
      </c>
      <c r="G9" s="15" t="s">
        <v>170</v>
      </c>
      <c r="I9" s="15" t="s">
        <v>442</v>
      </c>
      <c r="J9" s="15" t="s">
        <v>455</v>
      </c>
      <c r="K9" s="15" t="s">
        <v>468</v>
      </c>
      <c r="M9" s="15" t="s">
        <v>482</v>
      </c>
      <c r="N9" s="15" t="s">
        <v>488</v>
      </c>
      <c r="O9" s="15" t="s">
        <v>498</v>
      </c>
      <c r="P9" s="15" t="s">
        <v>425</v>
      </c>
      <c r="Q9" s="15" t="s">
        <v>272</v>
      </c>
      <c r="R9" s="15" t="s">
        <v>518</v>
      </c>
      <c r="T9" s="15" t="s">
        <v>523</v>
      </c>
      <c r="U9" s="15" t="s">
        <v>537</v>
      </c>
      <c r="V9" s="15" t="s">
        <v>542</v>
      </c>
      <c r="W9" s="15" t="s">
        <v>548</v>
      </c>
      <c r="X9" s="15" t="s">
        <v>557</v>
      </c>
      <c r="Y9" s="15" t="s">
        <v>539</v>
      </c>
      <c r="Z9" s="15" t="s">
        <v>487</v>
      </c>
      <c r="AA9" s="15" t="s">
        <v>573</v>
      </c>
      <c r="AC9" s="15" t="s">
        <v>168</v>
      </c>
      <c r="AD9" s="15" t="s">
        <v>590</v>
      </c>
      <c r="AE9" s="15" t="s">
        <v>597</v>
      </c>
      <c r="AF9" s="15" t="s">
        <v>605</v>
      </c>
      <c r="AG9" s="15" t="s">
        <v>267</v>
      </c>
      <c r="AI9" s="15" t="s">
        <v>621</v>
      </c>
      <c r="AK9" s="15" t="s">
        <v>630</v>
      </c>
      <c r="AL9" s="15" t="s">
        <v>638</v>
      </c>
      <c r="AM9" s="15" t="s">
        <v>645</v>
      </c>
      <c r="AN9" s="15" t="s">
        <v>650</v>
      </c>
      <c r="AO9" s="15" t="s">
        <v>250</v>
      </c>
    </row>
    <row r="10" spans="1:42">
      <c r="C10" s="15" t="s">
        <v>381</v>
      </c>
      <c r="D10" s="15" t="s">
        <v>393</v>
      </c>
      <c r="E10" s="15" t="s">
        <v>401</v>
      </c>
      <c r="F10" s="15" t="s">
        <v>421</v>
      </c>
      <c r="G10" s="15" t="s">
        <v>430</v>
      </c>
      <c r="I10" s="15" t="s">
        <v>443</v>
      </c>
      <c r="J10" s="15" t="s">
        <v>456</v>
      </c>
      <c r="K10" s="15" t="s">
        <v>469</v>
      </c>
      <c r="M10" s="15" t="s">
        <v>424</v>
      </c>
      <c r="N10" s="15" t="s">
        <v>489</v>
      </c>
      <c r="O10" s="15" t="s">
        <v>499</v>
      </c>
      <c r="Q10" s="15" t="s">
        <v>509</v>
      </c>
      <c r="T10" s="15" t="s">
        <v>524</v>
      </c>
      <c r="U10" s="15" t="s">
        <v>538</v>
      </c>
      <c r="W10" s="15" t="s">
        <v>549</v>
      </c>
      <c r="X10" s="15" t="s">
        <v>558</v>
      </c>
      <c r="Z10" s="15" t="s">
        <v>567</v>
      </c>
      <c r="AA10" s="15" t="s">
        <v>574</v>
      </c>
      <c r="AC10" s="15" t="s">
        <v>170</v>
      </c>
      <c r="AD10" s="15" t="s">
        <v>591</v>
      </c>
      <c r="AE10" s="15" t="s">
        <v>598</v>
      </c>
      <c r="AF10" s="15" t="s">
        <v>170</v>
      </c>
      <c r="AG10" s="15" t="s">
        <v>437</v>
      </c>
      <c r="AI10" s="15" t="s">
        <v>567</v>
      </c>
      <c r="AK10" s="15" t="s">
        <v>631</v>
      </c>
      <c r="AL10" s="15" t="s">
        <v>639</v>
      </c>
      <c r="AN10" s="15" t="s">
        <v>651</v>
      </c>
    </row>
    <row r="11" spans="1:42">
      <c r="C11" s="15" t="s">
        <v>382</v>
      </c>
      <c r="D11" s="15" t="s">
        <v>394</v>
      </c>
      <c r="E11" s="15" t="s">
        <v>402</v>
      </c>
      <c r="F11" s="15" t="s">
        <v>422</v>
      </c>
      <c r="G11" s="15" t="s">
        <v>431</v>
      </c>
      <c r="I11" s="15" t="s">
        <v>444</v>
      </c>
      <c r="J11" s="15" t="s">
        <v>457</v>
      </c>
      <c r="K11" s="15" t="s">
        <v>470</v>
      </c>
      <c r="N11" s="15" t="s">
        <v>190</v>
      </c>
      <c r="O11" s="15" t="s">
        <v>500</v>
      </c>
      <c r="Q11" s="15" t="s">
        <v>510</v>
      </c>
      <c r="T11" s="15" t="s">
        <v>525</v>
      </c>
      <c r="U11" s="15" t="s">
        <v>539</v>
      </c>
      <c r="W11" s="15" t="s">
        <v>550</v>
      </c>
      <c r="X11" s="15" t="s">
        <v>504</v>
      </c>
      <c r="Z11" s="15" t="s">
        <v>568</v>
      </c>
      <c r="AA11" s="15" t="s">
        <v>575</v>
      </c>
      <c r="AC11" s="15" t="s">
        <v>172</v>
      </c>
      <c r="AE11" s="15" t="s">
        <v>599</v>
      </c>
      <c r="AF11" s="15" t="s">
        <v>606</v>
      </c>
      <c r="AG11" s="15" t="s">
        <v>612</v>
      </c>
      <c r="AI11" s="15" t="s">
        <v>622</v>
      </c>
      <c r="AK11" s="15" t="s">
        <v>632</v>
      </c>
      <c r="AN11" s="15" t="s">
        <v>652</v>
      </c>
    </row>
    <row r="12" spans="1:42">
      <c r="C12" s="15" t="s">
        <v>383</v>
      </c>
      <c r="E12" s="15" t="s">
        <v>403</v>
      </c>
      <c r="F12" s="15" t="s">
        <v>423</v>
      </c>
      <c r="G12" s="15" t="s">
        <v>432</v>
      </c>
      <c r="I12" s="15" t="s">
        <v>445</v>
      </c>
      <c r="J12" s="15" t="s">
        <v>458</v>
      </c>
      <c r="K12" s="15" t="s">
        <v>471</v>
      </c>
      <c r="N12" s="15" t="s">
        <v>490</v>
      </c>
      <c r="Q12" s="15" t="s">
        <v>511</v>
      </c>
      <c r="T12" s="15" t="s">
        <v>526</v>
      </c>
      <c r="W12" s="15" t="s">
        <v>551</v>
      </c>
      <c r="Z12" s="15" t="s">
        <v>537</v>
      </c>
      <c r="AA12" s="15" t="s">
        <v>576</v>
      </c>
      <c r="AC12" s="15" t="s">
        <v>584</v>
      </c>
      <c r="AE12" s="15" t="s">
        <v>600</v>
      </c>
      <c r="AF12" s="15" t="s">
        <v>607</v>
      </c>
      <c r="AG12" s="15" t="s">
        <v>613</v>
      </c>
      <c r="AN12" s="15" t="s">
        <v>653</v>
      </c>
    </row>
    <row r="13" spans="1:42">
      <c r="C13" s="15" t="s">
        <v>384</v>
      </c>
      <c r="E13" s="15" t="s">
        <v>404</v>
      </c>
      <c r="F13" s="15" t="s">
        <v>138</v>
      </c>
      <c r="G13" s="15" t="s">
        <v>433</v>
      </c>
      <c r="I13" s="15" t="s">
        <v>446</v>
      </c>
      <c r="J13" s="15" t="s">
        <v>459</v>
      </c>
      <c r="K13" s="15" t="s">
        <v>472</v>
      </c>
      <c r="N13" s="15" t="s">
        <v>85</v>
      </c>
      <c r="Q13" s="15" t="s">
        <v>512</v>
      </c>
      <c r="T13" s="15" t="s">
        <v>527</v>
      </c>
      <c r="AA13" s="15" t="s">
        <v>577</v>
      </c>
      <c r="AC13" s="15" t="s">
        <v>585</v>
      </c>
      <c r="AE13" s="15" t="s">
        <v>601</v>
      </c>
      <c r="AG13" s="15" t="s">
        <v>526</v>
      </c>
      <c r="AN13" s="15" t="s">
        <v>654</v>
      </c>
    </row>
    <row r="14" spans="1:42">
      <c r="C14" s="15" t="s">
        <v>385</v>
      </c>
      <c r="E14" s="15" t="s">
        <v>405</v>
      </c>
      <c r="F14" s="15" t="s">
        <v>424</v>
      </c>
      <c r="I14" s="15" t="s">
        <v>447</v>
      </c>
      <c r="J14" s="15" t="s">
        <v>460</v>
      </c>
      <c r="K14" s="15" t="s">
        <v>473</v>
      </c>
      <c r="N14" s="15" t="s">
        <v>491</v>
      </c>
      <c r="T14" s="15" t="s">
        <v>528</v>
      </c>
      <c r="AA14" s="15" t="s">
        <v>578</v>
      </c>
      <c r="AC14" s="15" t="s">
        <v>430</v>
      </c>
      <c r="AE14" s="15" t="s">
        <v>602</v>
      </c>
      <c r="AG14" s="15" t="s">
        <v>614</v>
      </c>
      <c r="AN14" s="15" t="s">
        <v>655</v>
      </c>
    </row>
    <row r="15" spans="1:42">
      <c r="C15" s="15" t="s">
        <v>386</v>
      </c>
      <c r="E15" s="15" t="s">
        <v>406</v>
      </c>
      <c r="F15" s="15" t="s">
        <v>425</v>
      </c>
      <c r="I15" s="15" t="s">
        <v>448</v>
      </c>
      <c r="J15" s="15" t="s">
        <v>461</v>
      </c>
      <c r="N15" s="15" t="s">
        <v>412</v>
      </c>
      <c r="T15" s="15" t="s">
        <v>529</v>
      </c>
      <c r="AE15" s="15" t="s">
        <v>386</v>
      </c>
      <c r="AG15" s="15" t="s">
        <v>615</v>
      </c>
      <c r="AN15" s="15" t="s">
        <v>130</v>
      </c>
    </row>
    <row r="16" spans="1:42">
      <c r="E16" s="15" t="s">
        <v>407</v>
      </c>
      <c r="I16" s="15" t="s">
        <v>449</v>
      </c>
      <c r="J16" s="15" t="s">
        <v>462</v>
      </c>
      <c r="N16" s="15" t="s">
        <v>492</v>
      </c>
      <c r="T16" s="15" t="s">
        <v>530</v>
      </c>
      <c r="AN16" s="15" t="s">
        <v>656</v>
      </c>
    </row>
    <row r="17" spans="5:40">
      <c r="E17" s="15" t="s">
        <v>408</v>
      </c>
      <c r="I17" s="15" t="s">
        <v>450</v>
      </c>
      <c r="T17" s="15" t="s">
        <v>531</v>
      </c>
      <c r="AN17" s="15" t="s">
        <v>657</v>
      </c>
    </row>
    <row r="18" spans="5:40">
      <c r="E18" s="15" t="s">
        <v>409</v>
      </c>
    </row>
    <row r="19" spans="5:40">
      <c r="E19" s="15" t="s">
        <v>410</v>
      </c>
    </row>
    <row r="20" spans="5:40">
      <c r="E20" s="15" t="s">
        <v>411</v>
      </c>
    </row>
    <row r="21" spans="5:40">
      <c r="E21" s="15" t="s">
        <v>412</v>
      </c>
    </row>
    <row r="22" spans="5:40">
      <c r="E22" s="15" t="s">
        <v>413</v>
      </c>
    </row>
    <row r="23" spans="5:40">
      <c r="E23" s="15" t="s">
        <v>414</v>
      </c>
    </row>
  </sheetData>
  <sheetProtection password="EC7C" sheet="1" objects="1" scenarios="1" formatCells="0" formatColumns="0" formatRows="0" insertRows="0" insertHyperlinks="0" deleteRows="0" autoFilter="0"/>
  <mergeCells count="13">
    <mergeCell ref="A1:AM1"/>
    <mergeCell ref="AN1:AP1"/>
    <mergeCell ref="A2:AP2"/>
    <mergeCell ref="A3:B3"/>
    <mergeCell ref="C3:D3"/>
    <mergeCell ref="E3:F3"/>
    <mergeCell ref="G3:H3"/>
    <mergeCell ref="I3:J3"/>
    <mergeCell ref="K3:L3"/>
    <mergeCell ref="M3:N3"/>
    <mergeCell ref="O3:P3"/>
    <mergeCell ref="Q3:R3"/>
    <mergeCell ref="S3:AP3"/>
  </mergeCell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orientation="landscape"/>
  <headerFooter>
    <oddHeader>&amp;L&amp;"Calibri,Bold"&amp;12&amp;C&amp;"Calibri,Bold"&amp;11Lists&amp;R&amp;"Calibri,Italic"&amp;9Social Media Content Calendar &amp; Analytics Planner</oddHeader>
    <oddFooter>&amp;L&amp;"Calibri,Italic"&amp;8Novality Store - v1.0.0&amp;C&amp;"Calibri,Italic"&amp;8Page &amp;P of &amp;N&amp;R&amp;"Calibri,Italic"&amp;8&amp;D</oddFooter>
  </headerFooter>
</worksheet>
</file>

<file path=xl/worksheets/sheet6.xml><?xml version="1.0" encoding="utf-8"?>
<worksheet xmlns="http://schemas.openxmlformats.org/spreadsheetml/2006/main" xmlns:r="http://schemas.openxmlformats.org/officeDocument/2006/relationships">
  <sheetPr>
    <tabColor rgb="FF3B2A6B"/>
    <pageSetUpPr fitToPage="1"/>
  </sheetPr>
  <dimension ref="A1:J69"/>
  <sheetViews>
    <sheetView showGridLines="0" workbookViewId="0">
      <pane ySplit="4" topLeftCell="A5" activePane="bottomLeft" state="frozen"/>
      <selection pane="bottomLeft"/>
    </sheetView>
  </sheetViews>
  <sheetFormatPr defaultRowHeight="15"/>
  <cols>
    <col min="1" max="1" width="3.7109375" customWidth="1"/>
    <col min="2" max="3" width="26.7109375" customWidth="1"/>
    <col min="4" max="10" width="16.7109375" customWidth="1"/>
    <col min="2" max="2" width="26.7109375" customWidth="1"/>
    <col min="3" max="3" width="20.7109375" customWidth="1"/>
    <col min="4" max="4" width="44.7109375" customWidth="1"/>
    <col min="2" max="2" width="40.7109375" customWidth="1"/>
    <col min="3" max="3" width="20.7109375" customWidth="1"/>
  </cols>
  <sheetData>
    <row r="1" spans="1:10" ht="34" customHeight="1">
      <c r="A1" s="2" t="s">
        <v>659</v>
      </c>
      <c r="B1" s="2"/>
      <c r="C1" s="2"/>
      <c r="D1" s="2"/>
      <c r="E1" s="2"/>
      <c r="F1" s="2"/>
      <c r="G1" s="2"/>
      <c r="H1" s="3" t="s">
        <v>1</v>
      </c>
      <c r="I1" s="3"/>
      <c r="J1" s="3"/>
    </row>
    <row r="2" spans="1:10" ht="18" customHeight="1">
      <c r="A2" s="4" t="s">
        <v>660</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661</v>
      </c>
      <c r="B5" s="7"/>
      <c r="C5" s="7"/>
      <c r="D5" s="7"/>
      <c r="E5" s="7"/>
      <c r="F5" s="7"/>
      <c r="G5" s="7"/>
      <c r="H5" s="7"/>
      <c r="I5" s="7"/>
      <c r="J5" s="7"/>
    </row>
    <row r="6" spans="1:10">
      <c r="B6" s="11" t="s">
        <v>662</v>
      </c>
      <c r="C6" s="11"/>
      <c r="D6" s="39" t="s">
        <v>663</v>
      </c>
      <c r="E6" s="39"/>
      <c r="F6" s="39"/>
      <c r="G6" s="39"/>
      <c r="H6" s="39"/>
      <c r="I6" s="39"/>
      <c r="J6" s="39"/>
    </row>
    <row r="7" spans="1:10">
      <c r="B7" s="11" t="s">
        <v>664</v>
      </c>
      <c r="C7" s="11"/>
      <c r="D7" s="39" t="s">
        <v>665</v>
      </c>
      <c r="E7" s="39"/>
      <c r="F7" s="39"/>
      <c r="G7" s="39"/>
      <c r="H7" s="39"/>
      <c r="I7" s="39"/>
      <c r="J7" s="39"/>
    </row>
    <row r="8" spans="1:10">
      <c r="B8" s="11" t="s">
        <v>666</v>
      </c>
      <c r="C8" s="11"/>
      <c r="D8" s="39" t="s">
        <v>667</v>
      </c>
      <c r="E8" s="39"/>
      <c r="F8" s="39"/>
      <c r="G8" s="39"/>
      <c r="H8" s="39"/>
      <c r="I8" s="39"/>
      <c r="J8" s="39"/>
    </row>
    <row r="9" spans="1:10">
      <c r="B9" s="11" t="s">
        <v>668</v>
      </c>
      <c r="C9" s="11"/>
      <c r="D9" s="39" t="s">
        <v>669</v>
      </c>
      <c r="E9" s="39"/>
      <c r="F9" s="39"/>
      <c r="G9" s="39"/>
      <c r="H9" s="39"/>
      <c r="I9" s="39"/>
      <c r="J9" s="39"/>
    </row>
    <row r="10" spans="1:10">
      <c r="B10" s="11" t="s">
        <v>670</v>
      </c>
      <c r="C10" s="11"/>
      <c r="D10" s="39" t="s">
        <v>671</v>
      </c>
      <c r="E10" s="39"/>
      <c r="F10" s="39"/>
      <c r="G10" s="39"/>
      <c r="H10" s="39"/>
      <c r="I10" s="39"/>
      <c r="J10" s="39"/>
    </row>
    <row r="12" spans="1:10" ht="20" customHeight="1">
      <c r="A12" s="7" t="s">
        <v>672</v>
      </c>
      <c r="B12" s="7"/>
      <c r="C12" s="7"/>
      <c r="D12" s="7"/>
      <c r="E12" s="7"/>
      <c r="F12" s="7"/>
      <c r="G12" s="7"/>
      <c r="H12" s="7"/>
      <c r="I12" s="7"/>
      <c r="J12" s="7"/>
    </row>
    <row r="13" spans="1:10">
      <c r="B13" s="11" t="s">
        <v>673</v>
      </c>
      <c r="C13" s="11"/>
      <c r="D13" s="39" t="s">
        <v>674</v>
      </c>
      <c r="E13" s="39"/>
      <c r="F13" s="39"/>
      <c r="G13" s="39"/>
      <c r="H13" s="39"/>
      <c r="I13" s="39"/>
      <c r="J13" s="39"/>
    </row>
    <row r="14" spans="1:10">
      <c r="B14" s="11" t="s">
        <v>675</v>
      </c>
      <c r="C14" s="11"/>
      <c r="D14" s="39" t="s">
        <v>676</v>
      </c>
      <c r="E14" s="39"/>
      <c r="F14" s="39"/>
      <c r="G14" s="39"/>
      <c r="H14" s="39"/>
      <c r="I14" s="39"/>
      <c r="J14" s="39"/>
    </row>
    <row r="15" spans="1:10">
      <c r="B15" s="11" t="s">
        <v>677</v>
      </c>
      <c r="C15" s="11"/>
      <c r="D15" s="39" t="s">
        <v>678</v>
      </c>
      <c r="E15" s="39"/>
      <c r="F15" s="39"/>
      <c r="G15" s="39"/>
      <c r="H15" s="39"/>
      <c r="I15" s="39"/>
      <c r="J15" s="39"/>
    </row>
    <row r="16" spans="1:10">
      <c r="B16" s="11" t="s">
        <v>679</v>
      </c>
      <c r="C16" s="11"/>
      <c r="D16" s="39" t="s">
        <v>680</v>
      </c>
      <c r="E16" s="39"/>
      <c r="F16" s="39"/>
      <c r="G16" s="39"/>
      <c r="H16" s="39"/>
      <c r="I16" s="39"/>
      <c r="J16" s="39"/>
    </row>
    <row r="17" spans="1:10">
      <c r="B17" s="11" t="s">
        <v>681</v>
      </c>
      <c r="C17" s="11"/>
      <c r="D17" s="39" t="s">
        <v>682</v>
      </c>
      <c r="E17" s="39"/>
      <c r="F17" s="39"/>
      <c r="G17" s="39"/>
      <c r="H17" s="39"/>
      <c r="I17" s="39"/>
      <c r="J17" s="39"/>
    </row>
    <row r="18" spans="1:10">
      <c r="B18" s="11" t="s">
        <v>683</v>
      </c>
      <c r="C18" s="11"/>
      <c r="D18" s="39" t="s">
        <v>684</v>
      </c>
      <c r="E18" s="39"/>
      <c r="F18" s="39"/>
      <c r="G18" s="39"/>
      <c r="H18" s="39"/>
      <c r="I18" s="39"/>
      <c r="J18" s="39"/>
    </row>
    <row r="19" spans="1:10">
      <c r="B19" s="11" t="s">
        <v>685</v>
      </c>
      <c r="C19" s="11"/>
      <c r="D19" s="39" t="s">
        <v>686</v>
      </c>
      <c r="E19" s="39"/>
      <c r="F19" s="39"/>
      <c r="G19" s="39"/>
      <c r="H19" s="39"/>
      <c r="I19" s="39"/>
      <c r="J19" s="39"/>
    </row>
    <row r="21" spans="1:10" ht="20" customHeight="1">
      <c r="A21" s="7" t="s">
        <v>687</v>
      </c>
      <c r="B21" s="7"/>
      <c r="C21" s="7"/>
      <c r="D21" s="7"/>
      <c r="E21" s="7"/>
      <c r="F21" s="7"/>
      <c r="G21" s="7"/>
      <c r="H21" s="7"/>
      <c r="I21" s="7"/>
      <c r="J21" s="7"/>
    </row>
    <row r="22" spans="1:10">
      <c r="B22" s="11" t="s">
        <v>688</v>
      </c>
      <c r="C22" s="11"/>
      <c r="D22" s="39" t="s">
        <v>689</v>
      </c>
      <c r="E22" s="39"/>
      <c r="F22" s="39"/>
      <c r="G22" s="39"/>
      <c r="H22" s="39"/>
      <c r="I22" s="39"/>
      <c r="J22" s="39"/>
    </row>
    <row r="23" spans="1:10">
      <c r="B23" s="11" t="s">
        <v>690</v>
      </c>
      <c r="C23" s="11"/>
      <c r="D23" s="39" t="s">
        <v>691</v>
      </c>
      <c r="E23" s="39"/>
      <c r="F23" s="39"/>
      <c r="G23" s="39"/>
      <c r="H23" s="39"/>
      <c r="I23" s="39"/>
      <c r="J23" s="39"/>
    </row>
    <row r="24" spans="1:10">
      <c r="B24" s="11" t="s">
        <v>692</v>
      </c>
      <c r="C24" s="11"/>
      <c r="D24" s="39" t="s">
        <v>693</v>
      </c>
      <c r="E24" s="39"/>
      <c r="F24" s="39"/>
      <c r="G24" s="39"/>
      <c r="H24" s="39"/>
      <c r="I24" s="39"/>
      <c r="J24" s="39"/>
    </row>
    <row r="25" spans="1:10">
      <c r="B25" s="11" t="s">
        <v>694</v>
      </c>
      <c r="C25" s="11"/>
      <c r="D25" s="39" t="s">
        <v>695</v>
      </c>
      <c r="E25" s="39"/>
      <c r="F25" s="39"/>
      <c r="G25" s="39"/>
      <c r="H25" s="39"/>
      <c r="I25" s="39"/>
      <c r="J25" s="39"/>
    </row>
    <row r="26" spans="1:10">
      <c r="B26" s="11" t="s">
        <v>696</v>
      </c>
      <c r="C26" s="11"/>
      <c r="D26" s="39" t="s">
        <v>697</v>
      </c>
      <c r="E26" s="39"/>
      <c r="F26" s="39"/>
      <c r="G26" s="39"/>
      <c r="H26" s="39"/>
      <c r="I26" s="39"/>
      <c r="J26" s="39"/>
    </row>
    <row r="28" spans="1:10" ht="20" customHeight="1">
      <c r="A28" s="7" t="s">
        <v>698</v>
      </c>
      <c r="B28" s="7"/>
      <c r="C28" s="7"/>
      <c r="D28" s="7"/>
      <c r="E28" s="7"/>
      <c r="F28" s="7"/>
      <c r="G28" s="7"/>
      <c r="H28" s="7"/>
      <c r="I28" s="7"/>
      <c r="J28" s="7"/>
    </row>
    <row r="29" spans="1:10">
      <c r="B29" s="11" t="s">
        <v>699</v>
      </c>
      <c r="C29" s="11"/>
      <c r="D29" s="39" t="s">
        <v>700</v>
      </c>
      <c r="E29" s="39"/>
      <c r="F29" s="39"/>
      <c r="G29" s="39"/>
      <c r="H29" s="39"/>
      <c r="I29" s="39"/>
      <c r="J29" s="39"/>
    </row>
    <row r="30" spans="1:10">
      <c r="B30" s="11" t="s">
        <v>701</v>
      </c>
      <c r="C30" s="11"/>
      <c r="D30" s="39" t="s">
        <v>702</v>
      </c>
      <c r="E30" s="39"/>
      <c r="F30" s="39"/>
      <c r="G30" s="39"/>
      <c r="H30" s="39"/>
      <c r="I30" s="39"/>
      <c r="J30" s="39"/>
    </row>
    <row r="31" spans="1:10">
      <c r="B31" s="11" t="s">
        <v>703</v>
      </c>
      <c r="C31" s="11"/>
      <c r="D31" s="39" t="s">
        <v>704</v>
      </c>
      <c r="E31" s="39"/>
      <c r="F31" s="39"/>
      <c r="G31" s="39"/>
      <c r="H31" s="39"/>
      <c r="I31" s="39"/>
      <c r="J31" s="39"/>
    </row>
    <row r="32" spans="1:10">
      <c r="B32" s="11" t="s">
        <v>705</v>
      </c>
      <c r="C32" s="11"/>
      <c r="D32" s="39" t="s">
        <v>706</v>
      </c>
      <c r="E32" s="39"/>
      <c r="F32" s="39"/>
      <c r="G32" s="39"/>
      <c r="H32" s="39"/>
      <c r="I32" s="39"/>
      <c r="J32" s="39"/>
    </row>
    <row r="33" spans="1:10">
      <c r="B33" s="11" t="s">
        <v>707</v>
      </c>
      <c r="C33" s="11"/>
      <c r="D33" s="39" t="s">
        <v>708</v>
      </c>
      <c r="E33" s="39"/>
      <c r="F33" s="39"/>
      <c r="G33" s="39"/>
      <c r="H33" s="39"/>
      <c r="I33" s="39"/>
      <c r="J33" s="39"/>
    </row>
    <row r="35" spans="1:10" ht="20" customHeight="1">
      <c r="A35" s="7" t="s">
        <v>709</v>
      </c>
      <c r="B35" s="7"/>
      <c r="C35" s="7"/>
      <c r="D35" s="7"/>
      <c r="E35" s="7"/>
      <c r="F35" s="7"/>
      <c r="G35" s="7"/>
      <c r="H35" s="7"/>
      <c r="I35" s="7"/>
      <c r="J35" s="7"/>
    </row>
    <row r="36" spans="1:10">
      <c r="B36" s="11" t="s">
        <v>303</v>
      </c>
      <c r="C36" s="11"/>
      <c r="D36" s="39" t="s">
        <v>710</v>
      </c>
      <c r="E36" s="39"/>
      <c r="F36" s="39"/>
      <c r="G36" s="39"/>
      <c r="H36" s="39"/>
      <c r="I36" s="39"/>
      <c r="J36" s="39"/>
    </row>
    <row r="37" spans="1:10">
      <c r="B37" s="11" t="s">
        <v>711</v>
      </c>
      <c r="C37" s="11"/>
      <c r="D37" s="39" t="s">
        <v>712</v>
      </c>
      <c r="E37" s="39"/>
      <c r="F37" s="39"/>
      <c r="G37" s="39"/>
      <c r="H37" s="39"/>
      <c r="I37" s="39"/>
      <c r="J37" s="39"/>
    </row>
    <row r="38" spans="1:10">
      <c r="B38" s="11" t="s">
        <v>713</v>
      </c>
      <c r="C38" s="11"/>
      <c r="D38" s="39" t="s">
        <v>714</v>
      </c>
      <c r="E38" s="39"/>
      <c r="F38" s="39"/>
      <c r="G38" s="39"/>
      <c r="H38" s="39"/>
      <c r="I38" s="39"/>
      <c r="J38" s="39"/>
    </row>
    <row r="39" spans="1:10">
      <c r="B39" s="11" t="s">
        <v>715</v>
      </c>
      <c r="C39" s="11"/>
      <c r="D39" s="39" t="s">
        <v>716</v>
      </c>
      <c r="E39" s="39"/>
      <c r="F39" s="39"/>
      <c r="G39" s="39"/>
      <c r="H39" s="39"/>
      <c r="I39" s="39"/>
      <c r="J39" s="39"/>
    </row>
    <row r="40" spans="1:10">
      <c r="B40" s="11" t="s">
        <v>717</v>
      </c>
      <c r="C40" s="11"/>
      <c r="D40" s="39" t="s">
        <v>718</v>
      </c>
      <c r="E40" s="39"/>
      <c r="F40" s="39"/>
      <c r="G40" s="39"/>
      <c r="H40" s="39"/>
      <c r="I40" s="39"/>
      <c r="J40" s="39"/>
    </row>
    <row r="41" spans="1:10">
      <c r="B41" s="11" t="s">
        <v>719</v>
      </c>
      <c r="C41" s="11"/>
      <c r="D41" s="39" t="s">
        <v>720</v>
      </c>
      <c r="E41" s="39"/>
      <c r="F41" s="39"/>
      <c r="G41" s="39"/>
      <c r="H41" s="39"/>
      <c r="I41" s="39"/>
      <c r="J41" s="39"/>
    </row>
    <row r="42" spans="1:10">
      <c r="B42" s="11" t="s">
        <v>721</v>
      </c>
      <c r="C42" s="11"/>
      <c r="D42" s="39" t="s">
        <v>722</v>
      </c>
      <c r="E42" s="39"/>
      <c r="F42" s="39"/>
      <c r="G42" s="39"/>
      <c r="H42" s="39"/>
      <c r="I42" s="39"/>
      <c r="J42" s="39"/>
    </row>
    <row r="44" spans="1:10" ht="20" customHeight="1">
      <c r="A44" s="7" t="s">
        <v>723</v>
      </c>
      <c r="B44" s="7"/>
      <c r="C44" s="7"/>
      <c r="D44" s="7"/>
      <c r="E44" s="7"/>
      <c r="F44" s="7"/>
      <c r="G44" s="7"/>
      <c r="H44" s="7"/>
      <c r="I44" s="7"/>
      <c r="J44" s="7"/>
    </row>
    <row r="45" spans="1:10">
      <c r="B45" s="11" t="s">
        <v>724</v>
      </c>
      <c r="C45" s="11"/>
      <c r="D45" s="39" t="s">
        <v>725</v>
      </c>
      <c r="E45" s="39"/>
      <c r="F45" s="39"/>
      <c r="G45" s="39"/>
      <c r="H45" s="39"/>
      <c r="I45" s="39"/>
      <c r="J45" s="39"/>
    </row>
    <row r="46" spans="1:10">
      <c r="B46" s="11" t="s">
        <v>726</v>
      </c>
      <c r="C46" s="11"/>
      <c r="D46" s="39" t="s">
        <v>727</v>
      </c>
      <c r="E46" s="39"/>
      <c r="F46" s="39"/>
      <c r="G46" s="39"/>
      <c r="H46" s="39"/>
      <c r="I46" s="39"/>
      <c r="J46" s="39"/>
    </row>
    <row r="47" spans="1:10">
      <c r="B47" s="11" t="s">
        <v>728</v>
      </c>
      <c r="C47" s="11"/>
      <c r="D47" s="39" t="s">
        <v>289</v>
      </c>
      <c r="E47" s="39"/>
      <c r="F47" s="39"/>
      <c r="G47" s="39"/>
      <c r="H47" s="39"/>
      <c r="I47" s="39"/>
      <c r="J47" s="39"/>
    </row>
    <row r="48" spans="1:10">
      <c r="B48" s="11" t="s">
        <v>729</v>
      </c>
      <c r="C48" s="11"/>
      <c r="D48" s="39" t="s">
        <v>730</v>
      </c>
      <c r="E48" s="39"/>
      <c r="F48" s="39"/>
      <c r="G48" s="39"/>
      <c r="H48" s="39"/>
      <c r="I48" s="39"/>
      <c r="J48" s="39"/>
    </row>
    <row r="49" spans="1:10">
      <c r="B49" s="11" t="s">
        <v>731</v>
      </c>
      <c r="C49" s="11"/>
      <c r="D49" s="39" t="s">
        <v>301</v>
      </c>
      <c r="E49" s="39"/>
      <c r="F49" s="39"/>
      <c r="G49" s="39"/>
      <c r="H49" s="39"/>
      <c r="I49" s="39"/>
      <c r="J49" s="39"/>
    </row>
    <row r="51" spans="1:10" ht="20" customHeight="1">
      <c r="A51" s="7" t="s">
        <v>732</v>
      </c>
      <c r="B51" s="7"/>
      <c r="C51" s="7"/>
      <c r="D51" s="7"/>
      <c r="E51" s="7"/>
      <c r="F51" s="7"/>
      <c r="G51" s="7"/>
      <c r="H51" s="7"/>
      <c r="I51" s="7"/>
      <c r="J51" s="7"/>
    </row>
    <row r="52" spans="1:10" ht="26" customHeight="1">
      <c r="B52" s="8" t="s">
        <v>733</v>
      </c>
      <c r="C52" s="9" t="s">
        <v>672</v>
      </c>
      <c r="D52" s="9" t="s">
        <v>734</v>
      </c>
    </row>
    <row r="53" spans="1:10">
      <c r="B53" s="11" t="s">
        <v>735</v>
      </c>
      <c r="C53" s="15" t="s">
        <v>736</v>
      </c>
      <c r="D53" s="39" t="s">
        <v>737</v>
      </c>
      <c r="E53" s="39"/>
      <c r="F53" s="39"/>
      <c r="G53" s="39"/>
      <c r="H53" s="39"/>
      <c r="I53" s="39"/>
      <c r="J53" s="39"/>
    </row>
    <row r="54" spans="1:10">
      <c r="B54" s="11" t="s">
        <v>738</v>
      </c>
      <c r="C54" s="15" t="s">
        <v>739</v>
      </c>
      <c r="D54" s="39" t="s">
        <v>740</v>
      </c>
      <c r="E54" s="39"/>
      <c r="F54" s="39"/>
      <c r="G54" s="39"/>
      <c r="H54" s="39"/>
      <c r="I54" s="39"/>
      <c r="J54" s="39"/>
    </row>
    <row r="55" spans="1:10">
      <c r="B55" s="11" t="s">
        <v>741</v>
      </c>
      <c r="C55" s="15" t="s">
        <v>742</v>
      </c>
      <c r="D55" s="39" t="s">
        <v>743</v>
      </c>
      <c r="E55" s="39"/>
      <c r="F55" s="39"/>
      <c r="G55" s="39"/>
      <c r="H55" s="39"/>
      <c r="I55" s="39"/>
      <c r="J55" s="39"/>
    </row>
    <row r="56" spans="1:10">
      <c r="B56" s="11" t="s">
        <v>744</v>
      </c>
      <c r="C56" s="15" t="s">
        <v>745</v>
      </c>
      <c r="D56" s="39" t="s">
        <v>746</v>
      </c>
      <c r="E56" s="39"/>
      <c r="F56" s="39"/>
      <c r="G56" s="39"/>
      <c r="H56" s="39"/>
      <c r="I56" s="39"/>
      <c r="J56" s="39"/>
    </row>
    <row r="57" spans="1:10">
      <c r="B57" s="11" t="s">
        <v>747</v>
      </c>
      <c r="C57" s="15" t="s">
        <v>748</v>
      </c>
      <c r="D57" s="39" t="s">
        <v>749</v>
      </c>
      <c r="E57" s="39"/>
      <c r="F57" s="39"/>
      <c r="G57" s="39"/>
      <c r="H57" s="39"/>
      <c r="I57" s="39"/>
      <c r="J57" s="39"/>
    </row>
    <row r="58" spans="1:10">
      <c r="B58" s="11" t="s">
        <v>750</v>
      </c>
      <c r="C58" s="15" t="s">
        <v>751</v>
      </c>
      <c r="D58" s="39" t="s">
        <v>752</v>
      </c>
      <c r="E58" s="39"/>
      <c r="F58" s="39"/>
      <c r="G58" s="39"/>
      <c r="H58" s="39"/>
      <c r="I58" s="39"/>
      <c r="J58" s="39"/>
    </row>
    <row r="60" spans="1:10" ht="20" customHeight="1">
      <c r="A60" s="7" t="s">
        <v>753</v>
      </c>
      <c r="B60" s="7"/>
      <c r="C60" s="7"/>
      <c r="D60" s="7"/>
      <c r="E60" s="7"/>
      <c r="F60" s="7"/>
      <c r="G60" s="7"/>
      <c r="H60" s="7"/>
      <c r="I60" s="7"/>
      <c r="J60" s="7"/>
    </row>
    <row r="61" spans="1:10" ht="26" customHeight="1">
      <c r="B61" s="8" t="s">
        <v>754</v>
      </c>
      <c r="C61" s="9" t="s">
        <v>755</v>
      </c>
    </row>
    <row r="62" spans="1:10">
      <c r="B62" s="13" t="s">
        <v>756</v>
      </c>
      <c r="C62" s="13"/>
      <c r="D62" s="40" t="s">
        <v>205</v>
      </c>
    </row>
    <row r="63" spans="1:10">
      <c r="B63" s="13" t="s">
        <v>757</v>
      </c>
      <c r="C63" s="13"/>
      <c r="D63" s="40" t="s">
        <v>205</v>
      </c>
    </row>
    <row r="64" spans="1:10">
      <c r="B64" s="13" t="s">
        <v>758</v>
      </c>
      <c r="C64" s="13"/>
      <c r="D64" s="40" t="s">
        <v>205</v>
      </c>
    </row>
    <row r="65" spans="2:10">
      <c r="B65" s="13" t="s">
        <v>759</v>
      </c>
      <c r="C65" s="13"/>
      <c r="D65" s="40" t="s">
        <v>205</v>
      </c>
    </row>
    <row r="66" spans="2:10">
      <c r="B66" s="13" t="s">
        <v>760</v>
      </c>
      <c r="C66" s="13"/>
      <c r="D66" s="40" t="s">
        <v>205</v>
      </c>
    </row>
    <row r="67" spans="2:10">
      <c r="B67" s="13" t="s">
        <v>761</v>
      </c>
      <c r="C67" s="13"/>
      <c r="D67" s="40" t="s">
        <v>205</v>
      </c>
    </row>
    <row r="69" spans="2:10" ht="28" customHeight="1">
      <c r="B69" s="6" t="s">
        <v>762</v>
      </c>
      <c r="C69" s="6"/>
      <c r="D69" s="6"/>
      <c r="E69" s="6"/>
      <c r="F69" s="6"/>
      <c r="G69" s="6"/>
      <c r="H69" s="6"/>
      <c r="I69" s="6"/>
      <c r="J69" s="6"/>
    </row>
  </sheetData>
  <sheetProtection password="EC7C" sheet="1" objects="1" scenarios="1" formatCells="0" formatColumns="0" formatRows="0" insertRows="0" insertHyperlinks="0" deleteRows="0" autoFilter="0"/>
  <mergeCells count="97">
    <mergeCell ref="A1:G1"/>
    <mergeCell ref="H1:J1"/>
    <mergeCell ref="A2:J2"/>
    <mergeCell ref="A3:B3"/>
    <mergeCell ref="C3:D3"/>
    <mergeCell ref="E3:F3"/>
    <mergeCell ref="G3:H3"/>
    <mergeCell ref="I3:J3"/>
    <mergeCell ref="A5:J5"/>
    <mergeCell ref="B6:C6"/>
    <mergeCell ref="D6:J6"/>
    <mergeCell ref="B7:C7"/>
    <mergeCell ref="D7:J7"/>
    <mergeCell ref="B8:C8"/>
    <mergeCell ref="D8:J8"/>
    <mergeCell ref="B9:C9"/>
    <mergeCell ref="D9:J9"/>
    <mergeCell ref="B10:C10"/>
    <mergeCell ref="D10:J10"/>
    <mergeCell ref="A12:J12"/>
    <mergeCell ref="B13:C13"/>
    <mergeCell ref="D13:J13"/>
    <mergeCell ref="B14:C14"/>
    <mergeCell ref="D14:J14"/>
    <mergeCell ref="B15:C15"/>
    <mergeCell ref="D15:J15"/>
    <mergeCell ref="B16:C16"/>
    <mergeCell ref="D16:J16"/>
    <mergeCell ref="B17:C17"/>
    <mergeCell ref="D17:J17"/>
    <mergeCell ref="B18:C18"/>
    <mergeCell ref="D18:J18"/>
    <mergeCell ref="B19:C19"/>
    <mergeCell ref="D19:J19"/>
    <mergeCell ref="A21:J21"/>
    <mergeCell ref="B22:C22"/>
    <mergeCell ref="D22:J22"/>
    <mergeCell ref="B23:C23"/>
    <mergeCell ref="D23:J23"/>
    <mergeCell ref="B24:C24"/>
    <mergeCell ref="D24:J24"/>
    <mergeCell ref="B25:C25"/>
    <mergeCell ref="D25:J25"/>
    <mergeCell ref="B26:C26"/>
    <mergeCell ref="D26:J26"/>
    <mergeCell ref="A28:J28"/>
    <mergeCell ref="B29:C29"/>
    <mergeCell ref="D29:J29"/>
    <mergeCell ref="B30:C30"/>
    <mergeCell ref="D30:J30"/>
    <mergeCell ref="B31:C31"/>
    <mergeCell ref="D31:J31"/>
    <mergeCell ref="B32:C32"/>
    <mergeCell ref="D32:J32"/>
    <mergeCell ref="B33:C33"/>
    <mergeCell ref="D33:J33"/>
    <mergeCell ref="A35:J35"/>
    <mergeCell ref="B36:C36"/>
    <mergeCell ref="D36:J36"/>
    <mergeCell ref="B37:C37"/>
    <mergeCell ref="D37:J37"/>
    <mergeCell ref="B38:C38"/>
    <mergeCell ref="D38:J38"/>
    <mergeCell ref="B39:C39"/>
    <mergeCell ref="D39:J39"/>
    <mergeCell ref="B40:C40"/>
    <mergeCell ref="D40:J40"/>
    <mergeCell ref="B41:C41"/>
    <mergeCell ref="D41:J41"/>
    <mergeCell ref="B42:C42"/>
    <mergeCell ref="D42:J42"/>
    <mergeCell ref="A44:J44"/>
    <mergeCell ref="B45:C45"/>
    <mergeCell ref="D45:J45"/>
    <mergeCell ref="B46:C46"/>
    <mergeCell ref="D46:J46"/>
    <mergeCell ref="B47:C47"/>
    <mergeCell ref="D47:J47"/>
    <mergeCell ref="B48:C48"/>
    <mergeCell ref="D48:J48"/>
    <mergeCell ref="B49:C49"/>
    <mergeCell ref="D49:J49"/>
    <mergeCell ref="A51:J51"/>
    <mergeCell ref="D53:J53"/>
    <mergeCell ref="D54:J54"/>
    <mergeCell ref="D55:J55"/>
    <mergeCell ref="D56:J56"/>
    <mergeCell ref="D57:J57"/>
    <mergeCell ref="D58:J58"/>
    <mergeCell ref="A60:J60"/>
    <mergeCell ref="B62:C62"/>
    <mergeCell ref="B63:C63"/>
    <mergeCell ref="B64:C64"/>
    <mergeCell ref="B65:C65"/>
    <mergeCell ref="B66:C66"/>
    <mergeCell ref="B67:C67"/>
    <mergeCell ref="B69:J69"/>
  </mergeCells>
  <conditionalFormatting sqref="D62">
    <cfRule type="containsText" dxfId="2" priority="1" operator="containsText" text="No">
      <formula>NOT(ISERROR(SEARCH("No",D62)))</formula>
    </cfRule>
    <cfRule type="containsText" dxfId="0" priority="2" operator="containsText" text="Yes">
      <formula>NOT(ISERROR(SEARCH("Yes",D62)))</formula>
    </cfRule>
  </conditionalFormatting>
  <conditionalFormatting sqref="D63">
    <cfRule type="containsText" dxfId="2" priority="3" operator="containsText" text="No">
      <formula>NOT(ISERROR(SEARCH("No",D63)))</formula>
    </cfRule>
    <cfRule type="containsText" dxfId="0" priority="4" operator="containsText" text="Yes">
      <formula>NOT(ISERROR(SEARCH("Yes",D63)))</formula>
    </cfRule>
  </conditionalFormatting>
  <conditionalFormatting sqref="D64">
    <cfRule type="containsText" dxfId="2" priority="5" operator="containsText" text="No">
      <formula>NOT(ISERROR(SEARCH("No",D64)))</formula>
    </cfRule>
    <cfRule type="containsText" dxfId="0" priority="6" operator="containsText" text="Yes">
      <formula>NOT(ISERROR(SEARCH("Yes",D64)))</formula>
    </cfRule>
  </conditionalFormatting>
  <conditionalFormatting sqref="D65">
    <cfRule type="containsText" dxfId="2" priority="7" operator="containsText" text="No">
      <formula>NOT(ISERROR(SEARCH("No",D65)))</formula>
    </cfRule>
    <cfRule type="containsText" dxfId="0" priority="8" operator="containsText" text="Yes">
      <formula>NOT(ISERROR(SEARCH("Yes",D65)))</formula>
    </cfRule>
  </conditionalFormatting>
  <conditionalFormatting sqref="D66">
    <cfRule type="containsText" dxfId="2" priority="9" operator="containsText" text="No">
      <formula>NOT(ISERROR(SEARCH("No",D66)))</formula>
    </cfRule>
    <cfRule type="containsText" dxfId="0" priority="10" operator="containsText" text="Yes">
      <formula>NOT(ISERROR(SEARCH("Yes",D66)))</formula>
    </cfRule>
  </conditionalFormatting>
  <conditionalFormatting sqref="D67">
    <cfRule type="containsText" dxfId="2" priority="11" operator="containsText" text="No">
      <formula>NOT(ISERROR(SEARCH("No",D67)))</formula>
    </cfRule>
    <cfRule type="containsText" dxfId="0" priority="12" operator="containsText" text="Yes">
      <formula>NOT(ISERROR(SEARCH("Yes",D67)))</formula>
    </cfRule>
  </conditionalFormatting>
  <dataValidations count="6">
    <dataValidation type="list" allowBlank="1" showInputMessage="1" showErrorMessage="1" sqref="D62">
      <formula1>YesNoList</formula1>
    </dataValidation>
    <dataValidation type="list" allowBlank="1" showInputMessage="1" showErrorMessage="1" sqref="D63">
      <formula1>YesNoList</formula1>
    </dataValidation>
    <dataValidation type="list" allowBlank="1" showInputMessage="1" showErrorMessage="1" sqref="D64">
      <formula1>YesNoList</formula1>
    </dataValidation>
    <dataValidation type="list" allowBlank="1" showInputMessage="1" showErrorMessage="1" sqref="D65">
      <formula1>YesNoList</formula1>
    </dataValidation>
    <dataValidation type="list" allowBlank="1" showInputMessage="1" showErrorMessage="1" sqref="D66">
      <formula1>YesNoList</formula1>
    </dataValidation>
    <dataValidation type="list" allowBlank="1" showInputMessage="1" showErrorMessage="1" sqref="D67">
      <formula1>YesNoList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s>
  <pageMargins left="0.4" right="0.4" top="0.6" bottom="0.5" header="0.3" footer="0.3"/>
  <pageSetup paperSize="9" fitToHeight="0" orientation="landscape"/>
  <headerFooter>
    <oddHeader>&amp;L&amp;"Calibri,Bold"&amp;12&amp;C&amp;"Calibri,Bold"&amp;11Brand Voice&amp;R&amp;"Calibri,Italic"&amp;9Social Media Content Calendar &amp; Analytics Planner</oddHeader>
    <oddFooter>&amp;L&amp;"Calibri,Italic"&amp;8Novality Store - v1.0.0&amp;C&amp;"Calibri,Italic"&amp;8Page &amp;P of &amp;N&amp;R&amp;"Calibri,Italic"&amp;8&amp;D</oddFooter>
  </headerFooter>
</worksheet>
</file>

<file path=xl/worksheets/sheet7.xml><?xml version="1.0" encoding="utf-8"?>
<worksheet xmlns="http://schemas.openxmlformats.org/spreadsheetml/2006/main" xmlns:r="http://schemas.openxmlformats.org/officeDocument/2006/relationships">
  <sheetPr>
    <tabColor rgb="FF3B2A6B"/>
    <pageSetUpPr fitToPage="1"/>
  </sheetPr>
  <dimension ref="A1:AD3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1" customWidth="1"/>
    <col min="2" max="2" width="14.7109375" style="15" customWidth="1"/>
    <col min="3" max="3" width="22.7109375" style="15" customWidth="1"/>
    <col min="4" max="4" width="20.7109375" style="15" customWidth="1"/>
    <col min="5" max="5" width="30.7109375" style="42" customWidth="1"/>
    <col min="6" max="6" width="16.7109375" style="15" customWidth="1"/>
    <col min="7" max="7" width="16.7109375" style="15" customWidth="1"/>
    <col min="8" max="8" width="34.7109375" style="39" customWidth="1"/>
    <col min="9" max="9" width="22.7109375" style="15" customWidth="1"/>
    <col min="10" max="10" width="13.7109375" style="34" customWidth="1"/>
    <col min="11" max="11" width="13.7109375" style="43" customWidth="1"/>
    <col min="12" max="12" width="11.7109375" style="34" customWidth="1"/>
    <col min="13" max="13" width="12.7109375" style="40" customWidth="1"/>
    <col min="14" max="14" width="12.7109375" style="40" customWidth="1"/>
    <col min="15" max="15" width="12.7109375" style="40" customWidth="1"/>
    <col min="16" max="16" width="12.7109375" style="40" customWidth="1"/>
    <col min="17" max="17" width="12.7109375" style="40" customWidth="1"/>
    <col min="18" max="18" width="12.7109375" style="40" customWidth="1"/>
    <col min="19" max="19" width="11.7109375" style="24" customWidth="1"/>
    <col min="20" max="20" width="30.7109375" style="39" customWidth="1"/>
    <col min="21" max="21" width="11.7109375" style="23" customWidth="1"/>
    <col min="22" max="22" width="10.7109375" style="23" customWidth="1"/>
    <col min="23" max="23" width="13.7109375" style="23" customWidth="1"/>
    <col min="24" max="24" width="12.7109375" style="23" customWidth="1"/>
    <col min="25" max="25" width="12.7109375" style="24" customWidth="1"/>
    <col min="26" max="26" width="12.7109375" style="23" customWidth="1"/>
    <col min="27" max="27" width="13.7109375" style="16" customWidth="1"/>
    <col min="28" max="28" width="9.7109375" style="23" customWidth="1"/>
    <col min="29" max="29" width="26.7109375" style="29" customWidth="1"/>
    <col min="30" max="30" width="28.7109375" style="39" customWidth="1"/>
  </cols>
  <sheetData>
    <row r="1" spans="1:30" ht="34" customHeight="1">
      <c r="A1" s="2" t="s">
        <v>763</v>
      </c>
      <c r="B1" s="2"/>
      <c r="C1" s="2"/>
      <c r="D1" s="2"/>
      <c r="E1" s="2"/>
      <c r="F1" s="2"/>
      <c r="G1" s="2"/>
      <c r="H1" s="2"/>
      <c r="I1" s="2"/>
      <c r="J1" s="2"/>
      <c r="K1" s="2"/>
      <c r="L1" s="2"/>
      <c r="M1" s="2"/>
      <c r="N1" s="2"/>
      <c r="O1" s="2"/>
      <c r="P1" s="2"/>
      <c r="Q1" s="2"/>
      <c r="R1" s="2"/>
      <c r="S1" s="2"/>
      <c r="T1" s="2"/>
      <c r="U1" s="2"/>
      <c r="V1" s="2"/>
      <c r="W1" s="2"/>
      <c r="X1" s="2"/>
      <c r="Y1" s="2"/>
      <c r="Z1" s="2"/>
      <c r="AA1" s="2"/>
      <c r="AB1" s="3" t="s">
        <v>1</v>
      </c>
      <c r="AC1" s="3"/>
      <c r="AD1" s="3"/>
    </row>
    <row r="2" spans="1:30" ht="18" customHeight="1">
      <c r="A2" s="4" t="s">
        <v>764</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765</v>
      </c>
      <c r="T3" s="38"/>
      <c r="U3" s="38"/>
      <c r="V3" s="38"/>
      <c r="W3" s="38"/>
      <c r="X3" s="38"/>
      <c r="Y3" s="38"/>
      <c r="Z3" s="38"/>
      <c r="AA3" s="38"/>
      <c r="AB3" s="38"/>
      <c r="AC3" s="38"/>
      <c r="AD3" s="38"/>
    </row>
    <row r="4" spans="1:30" ht="30" customHeight="1">
      <c r="A4" s="8" t="s">
        <v>766</v>
      </c>
      <c r="B4" s="8" t="s">
        <v>192</v>
      </c>
      <c r="C4" s="9" t="s">
        <v>767</v>
      </c>
      <c r="D4" s="9" t="s">
        <v>768</v>
      </c>
      <c r="E4" s="9" t="s">
        <v>769</v>
      </c>
      <c r="F4" s="9" t="s">
        <v>387</v>
      </c>
      <c r="G4" s="9" t="s">
        <v>770</v>
      </c>
      <c r="H4" s="9" t="s">
        <v>771</v>
      </c>
      <c r="I4" s="9" t="s">
        <v>772</v>
      </c>
      <c r="J4" s="9" t="s">
        <v>773</v>
      </c>
      <c r="K4" s="9" t="s">
        <v>774</v>
      </c>
      <c r="L4" s="9" t="s">
        <v>327</v>
      </c>
      <c r="M4" s="9" t="s">
        <v>775</v>
      </c>
      <c r="N4" s="9" t="s">
        <v>776</v>
      </c>
      <c r="O4" s="9" t="s">
        <v>777</v>
      </c>
      <c r="P4" s="9" t="s">
        <v>778</v>
      </c>
      <c r="Q4" s="9" t="s">
        <v>779</v>
      </c>
      <c r="R4" s="9" t="s">
        <v>780</v>
      </c>
      <c r="S4" s="9" t="s">
        <v>781</v>
      </c>
      <c r="T4" s="9" t="s">
        <v>782</v>
      </c>
      <c r="U4" s="9" t="s">
        <v>783</v>
      </c>
      <c r="V4" s="9" t="s">
        <v>138</v>
      </c>
      <c r="W4" s="9" t="s">
        <v>784</v>
      </c>
      <c r="X4" s="9" t="s">
        <v>153</v>
      </c>
      <c r="Y4" s="9" t="s">
        <v>155</v>
      </c>
      <c r="Z4" s="9" t="s">
        <v>164</v>
      </c>
      <c r="AA4" s="9" t="s">
        <v>785</v>
      </c>
      <c r="AB4" s="9" t="s">
        <v>786</v>
      </c>
      <c r="AC4" s="9" t="s">
        <v>787</v>
      </c>
      <c r="AD4" s="9" t="s">
        <v>788</v>
      </c>
    </row>
    <row r="5" spans="1:30">
      <c r="A5" s="41">
        <f>IF(C5="","","ACC-"&amp;TEXT(ROW()-4,"000"))</f>
        <v>0</v>
      </c>
      <c r="B5" s="15" t="s">
        <v>376</v>
      </c>
      <c r="C5" s="15" t="s">
        <v>278</v>
      </c>
      <c r="D5" s="15" t="s">
        <v>789</v>
      </c>
      <c r="E5" s="42" t="s">
        <v>790</v>
      </c>
      <c r="F5" s="15" t="s">
        <v>388</v>
      </c>
      <c r="G5" s="15" t="s">
        <v>281</v>
      </c>
      <c r="H5" s="39" t="s">
        <v>791</v>
      </c>
      <c r="I5" s="15" t="s">
        <v>792</v>
      </c>
      <c r="J5" s="34">
        <v>8420</v>
      </c>
      <c r="K5" s="43">
        <v>45586</v>
      </c>
      <c r="L5" s="34">
        <v>5</v>
      </c>
      <c r="M5" s="40" t="s">
        <v>372</v>
      </c>
      <c r="N5" s="40" t="s">
        <v>372</v>
      </c>
      <c r="O5" s="40" t="s">
        <v>372</v>
      </c>
      <c r="P5" s="40" t="s">
        <v>372</v>
      </c>
      <c r="Q5" s="40" t="s">
        <v>372</v>
      </c>
      <c r="R5" s="40" t="s">
        <v>372</v>
      </c>
      <c r="S5" s="24">
        <f>IF(C5="","",(((M5="Yes")*1)+((N5="Yes")*1)+((O5="Yes")*1)+((P5="Yes")*1)+((Q5="Yes")*1)+((R5="Yes")*1))/6)</f>
        <v>0</v>
      </c>
      <c r="T5" s="39" t="s">
        <v>793</v>
      </c>
      <c r="U5" s="23">
        <f>IF(B5="","",COUNTIFS('Content Calendar'!$G$5:$G$604,B5,'Content Calendar'!$B$5:$B$604,"&gt;="&amp;DATE(PlanYear,1,1),'Content Calendar'!$B$5:$B$604,"&lt;="&amp;DATE(PlanYear,12,31)))</f>
        <v>0</v>
      </c>
      <c r="V5" s="23">
        <f>IF(B5="","",COUNTIFS('Content Calendar'!$G$5:$G$604,B5,'Content Calendar'!$X$5:$X$604,"Published",'Content Calendar'!$B$5:$B$604,"&gt;="&amp;DATE(PlanYear,1,1),'Content Calendar'!$B$5:$B$604,"&lt;="&amp;DATE(PlanYear,12,31)))</f>
        <v>0</v>
      </c>
      <c r="W5" s="23">
        <f>IF(C5="","",SUMIFS(Analytics!$J$5:$J$154,Analytics!$E$5:$E$154,C5,Analytics!$D$5:$D$154,B5))</f>
        <v>0</v>
      </c>
      <c r="X5" s="23">
        <f>IF(C5="","",SUMIFS(Analytics!$L$5:$L$154,Analytics!$E$5:$E$154,C5,Analytics!$D$5:$D$154,B5))</f>
        <v>0</v>
      </c>
      <c r="Y5" s="24">
        <f>IF(OR(W5="",W5=0),"",X5/W5)</f>
        <v>0</v>
      </c>
      <c r="Z5" s="23">
        <f>IF(C5="","",SUMIFS(Analytics!$G$5:$G$154,Analytics!$E$5:$E$154,C5)-SUMIFS(Analytics!$F$5:$F$154,Analytics!$E$5:$E$154,C5))</f>
        <v>0</v>
      </c>
      <c r="AA5" s="16">
        <f>IF(B5="","",IF(SUMPRODUCT(MAX(('Content Calendar'!$G$5:$G$604=B5)*('Content Calendar'!$X$5:$X$604="Published")*'Content Calendar'!$B$5:$B$604))=0,"",SUMPRODUCT(MAX(('Content Calendar'!$G$5:$G$604=B5)*('Content Calendar'!$X$5:$X$604="Published")*'Content Calendar'!$B$5:$B$604))))</f>
        <v>0</v>
      </c>
      <c r="AB5" s="23">
        <f>IF(AA5="","",TODAY()-AA5)</f>
        <v>0</v>
      </c>
      <c r="AC5" s="29">
        <f>IF(C5="","",IF(S5&lt;1,"Action - finish the profile checklist",IF(AND(ISNUMBER(AB5),AB5&gt;QuietAccountDays),"Check - account has gone quiet",IF(AND(Y5&lt;&gt;"",Y5&lt;TargetEngagement),"Check - engagement below target","OK"))))</f>
        <v>0</v>
      </c>
      <c r="AD5" s="39" t="s">
        <v>794</v>
      </c>
    </row>
    <row r="6" spans="1:30">
      <c r="A6" s="41">
        <f>IF(C6="","","ACC-"&amp;TEXT(ROW()-4,"000"))</f>
        <v>0</v>
      </c>
      <c r="B6" s="15" t="s">
        <v>377</v>
      </c>
      <c r="C6" s="15" t="s">
        <v>278</v>
      </c>
      <c r="D6" s="15" t="s">
        <v>795</v>
      </c>
      <c r="E6" s="42" t="s">
        <v>796</v>
      </c>
      <c r="F6" s="15" t="s">
        <v>389</v>
      </c>
      <c r="G6" s="15" t="s">
        <v>797</v>
      </c>
      <c r="H6" s="39" t="s">
        <v>798</v>
      </c>
      <c r="I6" s="15" t="s">
        <v>792</v>
      </c>
      <c r="J6" s="34">
        <v>5260</v>
      </c>
      <c r="K6" s="43">
        <v>45676</v>
      </c>
      <c r="L6" s="34">
        <v>4</v>
      </c>
      <c r="M6" s="40" t="s">
        <v>372</v>
      </c>
      <c r="N6" s="40" t="s">
        <v>372</v>
      </c>
      <c r="O6" s="40" t="s">
        <v>373</v>
      </c>
      <c r="P6" s="40" t="s">
        <v>372</v>
      </c>
      <c r="Q6" s="40" t="s">
        <v>372</v>
      </c>
      <c r="R6" s="40" t="s">
        <v>372</v>
      </c>
      <c r="S6" s="24">
        <f>IF(C6="","",(((M6="Yes")*1)+((N6="Yes")*1)+((O6="Yes")*1)+((P6="Yes")*1)+((Q6="Yes")*1)+((R6="Yes")*1))/6)</f>
        <v>0</v>
      </c>
      <c r="T6" s="39" t="s">
        <v>793</v>
      </c>
      <c r="U6" s="23">
        <f>IF(B6="","",COUNTIFS('Content Calendar'!$G$5:$G$604,B6,'Content Calendar'!$B$5:$B$604,"&gt;="&amp;DATE(PlanYear,1,1),'Content Calendar'!$B$5:$B$604,"&lt;="&amp;DATE(PlanYear,12,31)))</f>
        <v>0</v>
      </c>
      <c r="V6" s="23">
        <f>IF(B6="","",COUNTIFS('Content Calendar'!$G$5:$G$604,B6,'Content Calendar'!$X$5:$X$604,"Published",'Content Calendar'!$B$5:$B$604,"&gt;="&amp;DATE(PlanYear,1,1),'Content Calendar'!$B$5:$B$604,"&lt;="&amp;DATE(PlanYear,12,31)))</f>
        <v>0</v>
      </c>
      <c r="W6" s="23">
        <f>IF(C6="","",SUMIFS(Analytics!$J$5:$J$154,Analytics!$E$5:$E$154,C6,Analytics!$D$5:$D$154,B6))</f>
        <v>0</v>
      </c>
      <c r="X6" s="23">
        <f>IF(C6="","",SUMIFS(Analytics!$L$5:$L$154,Analytics!$E$5:$E$154,C6,Analytics!$D$5:$D$154,B6))</f>
        <v>0</v>
      </c>
      <c r="Y6" s="24">
        <f>IF(OR(W6="",W6=0),"",X6/W6)</f>
        <v>0</v>
      </c>
      <c r="Z6" s="23">
        <f>IF(C6="","",SUMIFS(Analytics!$G$5:$G$154,Analytics!$E$5:$E$154,C6)-SUMIFS(Analytics!$F$5:$F$154,Analytics!$E$5:$E$154,C6))</f>
        <v>0</v>
      </c>
      <c r="AA6" s="16">
        <f>IF(B6="","",IF(SUMPRODUCT(MAX(('Content Calendar'!$G$5:$G$604=B6)*('Content Calendar'!$X$5:$X$604="Published")*'Content Calendar'!$B$5:$B$604))=0,"",SUMPRODUCT(MAX(('Content Calendar'!$G$5:$G$604=B6)*('Content Calendar'!$X$5:$X$604="Published")*'Content Calendar'!$B$5:$B$604))))</f>
        <v>0</v>
      </c>
      <c r="AB6" s="23">
        <f>IF(AA6="","",TODAY()-AA6)</f>
        <v>0</v>
      </c>
      <c r="AC6" s="29">
        <f>IF(C6="","",IF(S6&lt;1,"Action - finish the profile checklist",IF(AND(ISNUMBER(AB6),AB6&gt;QuietAccountDays),"Check - account has gone quiet",IF(AND(Y6&lt;&gt;"",Y6&lt;TargetEngagement),"Check - engagement below target","OK"))))</f>
        <v>0</v>
      </c>
      <c r="AD6" s="39" t="s">
        <v>205</v>
      </c>
    </row>
    <row r="7" spans="1:30">
      <c r="A7" s="41">
        <f>IF(C7="","","ACC-"&amp;TEXT(ROW()-4,"000"))</f>
        <v>0</v>
      </c>
      <c r="B7" s="15" t="s">
        <v>378</v>
      </c>
      <c r="C7" s="15" t="s">
        <v>278</v>
      </c>
      <c r="D7" s="15" t="s">
        <v>799</v>
      </c>
      <c r="E7" s="42" t="s">
        <v>800</v>
      </c>
      <c r="F7" s="15" t="s">
        <v>388</v>
      </c>
      <c r="G7" s="15" t="s">
        <v>801</v>
      </c>
      <c r="H7" s="39" t="s">
        <v>802</v>
      </c>
      <c r="I7" s="15" t="s">
        <v>792</v>
      </c>
      <c r="J7" s="34">
        <v>3180</v>
      </c>
      <c r="K7" s="43">
        <v>45766</v>
      </c>
      <c r="L7" s="34">
        <v>3</v>
      </c>
      <c r="M7" s="40" t="s">
        <v>372</v>
      </c>
      <c r="N7" s="40" t="s">
        <v>372</v>
      </c>
      <c r="O7" s="40" t="s">
        <v>372</v>
      </c>
      <c r="P7" s="40" t="s">
        <v>372</v>
      </c>
      <c r="Q7" s="40" t="s">
        <v>372</v>
      </c>
      <c r="R7" s="40" t="s">
        <v>372</v>
      </c>
      <c r="S7" s="24">
        <f>IF(C7="","",(((M7="Yes")*1)+((N7="Yes")*1)+((O7="Yes")*1)+((P7="Yes")*1)+((Q7="Yes")*1)+((R7="Yes")*1))/6)</f>
        <v>0</v>
      </c>
      <c r="T7" s="39" t="s">
        <v>793</v>
      </c>
      <c r="U7" s="23">
        <f>IF(B7="","",COUNTIFS('Content Calendar'!$G$5:$G$604,B7,'Content Calendar'!$B$5:$B$604,"&gt;="&amp;DATE(PlanYear,1,1),'Content Calendar'!$B$5:$B$604,"&lt;="&amp;DATE(PlanYear,12,31)))</f>
        <v>0</v>
      </c>
      <c r="V7" s="23">
        <f>IF(B7="","",COUNTIFS('Content Calendar'!$G$5:$G$604,B7,'Content Calendar'!$X$5:$X$604,"Published",'Content Calendar'!$B$5:$B$604,"&gt;="&amp;DATE(PlanYear,1,1),'Content Calendar'!$B$5:$B$604,"&lt;="&amp;DATE(PlanYear,12,31)))</f>
        <v>0</v>
      </c>
      <c r="W7" s="23">
        <f>IF(C7="","",SUMIFS(Analytics!$J$5:$J$154,Analytics!$E$5:$E$154,C7,Analytics!$D$5:$D$154,B7))</f>
        <v>0</v>
      </c>
      <c r="X7" s="23">
        <f>IF(C7="","",SUMIFS(Analytics!$L$5:$L$154,Analytics!$E$5:$E$154,C7,Analytics!$D$5:$D$154,B7))</f>
        <v>0</v>
      </c>
      <c r="Y7" s="24">
        <f>IF(OR(W7="",W7=0),"",X7/W7)</f>
        <v>0</v>
      </c>
      <c r="Z7" s="23">
        <f>IF(C7="","",SUMIFS(Analytics!$G$5:$G$154,Analytics!$E$5:$E$154,C7)-SUMIFS(Analytics!$F$5:$F$154,Analytics!$E$5:$E$154,C7))</f>
        <v>0</v>
      </c>
      <c r="AA7" s="16">
        <f>IF(B7="","",IF(SUMPRODUCT(MAX(('Content Calendar'!$G$5:$G$604=B7)*('Content Calendar'!$X$5:$X$604="Published")*'Content Calendar'!$B$5:$B$604))=0,"",SUMPRODUCT(MAX(('Content Calendar'!$G$5:$G$604=B7)*('Content Calendar'!$X$5:$X$604="Published")*'Content Calendar'!$B$5:$B$604))))</f>
        <v>0</v>
      </c>
      <c r="AB7" s="23">
        <f>IF(AA7="","",TODAY()-AA7)</f>
        <v>0</v>
      </c>
      <c r="AC7" s="29">
        <f>IF(C7="","",IF(S7&lt;1,"Action - finish the profile checklist",IF(AND(ISNUMBER(AB7),AB7&gt;QuietAccountDays),"Check - account has gone quiet",IF(AND(Y7&lt;&gt;"",Y7&lt;TargetEngagement),"Check - engagement below target","OK"))))</f>
        <v>0</v>
      </c>
      <c r="AD7" s="39" t="s">
        <v>205</v>
      </c>
    </row>
    <row r="8" spans="1:30">
      <c r="A8" s="41">
        <f>IF(C8="","","ACC-"&amp;TEXT(ROW()-4,"000"))</f>
        <v>0</v>
      </c>
      <c r="B8" s="15" t="s">
        <v>379</v>
      </c>
      <c r="C8" s="15" t="s">
        <v>278</v>
      </c>
      <c r="D8" s="15" t="s">
        <v>795</v>
      </c>
      <c r="E8" s="42" t="s">
        <v>803</v>
      </c>
      <c r="F8" s="15" t="s">
        <v>393</v>
      </c>
      <c r="G8" s="15" t="s">
        <v>804</v>
      </c>
      <c r="H8" s="39" t="s">
        <v>805</v>
      </c>
      <c r="I8" s="15" t="s">
        <v>806</v>
      </c>
      <c r="J8" s="34">
        <v>1240</v>
      </c>
      <c r="K8" s="43">
        <v>45856</v>
      </c>
      <c r="L8" s="34">
        <v>1</v>
      </c>
      <c r="M8" s="40" t="s">
        <v>372</v>
      </c>
      <c r="N8" s="40" t="s">
        <v>372</v>
      </c>
      <c r="O8" s="40" t="s">
        <v>372</v>
      </c>
      <c r="P8" s="40" t="s">
        <v>372</v>
      </c>
      <c r="Q8" s="40" t="s">
        <v>373</v>
      </c>
      <c r="R8" s="40" t="s">
        <v>372</v>
      </c>
      <c r="S8" s="24">
        <f>IF(C8="","",(((M8="Yes")*1)+((N8="Yes")*1)+((O8="Yes")*1)+((P8="Yes")*1)+((Q8="Yes")*1)+((R8="Yes")*1))/6)</f>
        <v>0</v>
      </c>
      <c r="T8" s="39" t="s">
        <v>793</v>
      </c>
      <c r="U8" s="23">
        <f>IF(B8="","",COUNTIFS('Content Calendar'!$G$5:$G$604,B8,'Content Calendar'!$B$5:$B$604,"&gt;="&amp;DATE(PlanYear,1,1),'Content Calendar'!$B$5:$B$604,"&lt;="&amp;DATE(PlanYear,12,31)))</f>
        <v>0</v>
      </c>
      <c r="V8" s="23">
        <f>IF(B8="","",COUNTIFS('Content Calendar'!$G$5:$G$604,B8,'Content Calendar'!$X$5:$X$604,"Published",'Content Calendar'!$B$5:$B$604,"&gt;="&amp;DATE(PlanYear,1,1),'Content Calendar'!$B$5:$B$604,"&lt;="&amp;DATE(PlanYear,12,31)))</f>
        <v>0</v>
      </c>
      <c r="W8" s="23">
        <f>IF(C8="","",SUMIFS(Analytics!$J$5:$J$154,Analytics!$E$5:$E$154,C8,Analytics!$D$5:$D$154,B8))</f>
        <v>0</v>
      </c>
      <c r="X8" s="23">
        <f>IF(C8="","",SUMIFS(Analytics!$L$5:$L$154,Analytics!$E$5:$E$154,C8,Analytics!$D$5:$D$154,B8))</f>
        <v>0</v>
      </c>
      <c r="Y8" s="24">
        <f>IF(OR(W8="",W8=0),"",X8/W8)</f>
        <v>0</v>
      </c>
      <c r="Z8" s="23">
        <f>IF(C8="","",SUMIFS(Analytics!$G$5:$G$154,Analytics!$E$5:$E$154,C8)-SUMIFS(Analytics!$F$5:$F$154,Analytics!$E$5:$E$154,C8))</f>
        <v>0</v>
      </c>
      <c r="AA8" s="16">
        <f>IF(B8="","",IF(SUMPRODUCT(MAX(('Content Calendar'!$G$5:$G$604=B8)*('Content Calendar'!$X$5:$X$604="Published")*'Content Calendar'!$B$5:$B$604))=0,"",SUMPRODUCT(MAX(('Content Calendar'!$G$5:$G$604=B8)*('Content Calendar'!$X$5:$X$604="Published")*'Content Calendar'!$B$5:$B$604))))</f>
        <v>0</v>
      </c>
      <c r="AB8" s="23">
        <f>IF(AA8="","",TODAY()-AA8)</f>
        <v>0</v>
      </c>
      <c r="AC8" s="29">
        <f>IF(C8="","",IF(S8&lt;1,"Action - finish the profile checklist",IF(AND(ISNUMBER(AB8),AB8&gt;QuietAccountDays),"Check - account has gone quiet",IF(AND(Y8&lt;&gt;"",Y8&lt;TargetEngagement),"Check - engagement below target","OK"))))</f>
        <v>0</v>
      </c>
      <c r="AD8" s="39" t="s">
        <v>205</v>
      </c>
    </row>
    <row r="9" spans="1:30">
      <c r="A9" s="41">
        <f>IF(C9="","","ACC-"&amp;TEXT(ROW()-4,"000"))</f>
        <v>0</v>
      </c>
      <c r="B9" s="15" t="s">
        <v>380</v>
      </c>
      <c r="C9" s="15" t="s">
        <v>278</v>
      </c>
      <c r="D9" s="15" t="s">
        <v>807</v>
      </c>
      <c r="E9" s="42" t="s">
        <v>808</v>
      </c>
      <c r="F9" s="15" t="s">
        <v>391</v>
      </c>
      <c r="G9" s="15" t="s">
        <v>281</v>
      </c>
      <c r="H9" s="39" t="s">
        <v>809</v>
      </c>
      <c r="I9" s="15" t="s">
        <v>792</v>
      </c>
      <c r="J9" s="34">
        <v>2640</v>
      </c>
      <c r="K9" s="43">
        <v>45946</v>
      </c>
      <c r="L9" s="34">
        <v>2</v>
      </c>
      <c r="M9" s="40" t="s">
        <v>372</v>
      </c>
      <c r="N9" s="40" t="s">
        <v>372</v>
      </c>
      <c r="O9" s="40" t="s">
        <v>372</v>
      </c>
      <c r="P9" s="40" t="s">
        <v>372</v>
      </c>
      <c r="Q9" s="40" t="s">
        <v>372</v>
      </c>
      <c r="R9" s="40" t="s">
        <v>372</v>
      </c>
      <c r="S9" s="24">
        <f>IF(C9="","",(((M9="Yes")*1)+((N9="Yes")*1)+((O9="Yes")*1)+((P9="Yes")*1)+((Q9="Yes")*1)+((R9="Yes")*1))/6)</f>
        <v>0</v>
      </c>
      <c r="T9" s="39" t="s">
        <v>793</v>
      </c>
      <c r="U9" s="23">
        <f>IF(B9="","",COUNTIFS('Content Calendar'!$G$5:$G$604,B9,'Content Calendar'!$B$5:$B$604,"&gt;="&amp;DATE(PlanYear,1,1),'Content Calendar'!$B$5:$B$604,"&lt;="&amp;DATE(PlanYear,12,31)))</f>
        <v>0</v>
      </c>
      <c r="V9" s="23">
        <f>IF(B9="","",COUNTIFS('Content Calendar'!$G$5:$G$604,B9,'Content Calendar'!$X$5:$X$604,"Published",'Content Calendar'!$B$5:$B$604,"&gt;="&amp;DATE(PlanYear,1,1),'Content Calendar'!$B$5:$B$604,"&lt;="&amp;DATE(PlanYear,12,31)))</f>
        <v>0</v>
      </c>
      <c r="W9" s="23">
        <f>IF(C9="","",SUMIFS(Analytics!$J$5:$J$154,Analytics!$E$5:$E$154,C9,Analytics!$D$5:$D$154,B9))</f>
        <v>0</v>
      </c>
      <c r="X9" s="23">
        <f>IF(C9="","",SUMIFS(Analytics!$L$5:$L$154,Analytics!$E$5:$E$154,C9,Analytics!$D$5:$D$154,B9))</f>
        <v>0</v>
      </c>
      <c r="Y9" s="24">
        <f>IF(OR(W9="",W9=0),"",X9/W9)</f>
        <v>0</v>
      </c>
      <c r="Z9" s="23">
        <f>IF(C9="","",SUMIFS(Analytics!$G$5:$G$154,Analytics!$E$5:$E$154,C9)-SUMIFS(Analytics!$F$5:$F$154,Analytics!$E$5:$E$154,C9))</f>
        <v>0</v>
      </c>
      <c r="AA9" s="16">
        <f>IF(B9="","",IF(SUMPRODUCT(MAX(('Content Calendar'!$G$5:$G$604=B9)*('Content Calendar'!$X$5:$X$604="Published")*'Content Calendar'!$B$5:$B$604))=0,"",SUMPRODUCT(MAX(('Content Calendar'!$G$5:$G$604=B9)*('Content Calendar'!$X$5:$X$604="Published")*'Content Calendar'!$B$5:$B$604))))</f>
        <v>0</v>
      </c>
      <c r="AB9" s="23">
        <f>IF(AA9="","",TODAY()-AA9)</f>
        <v>0</v>
      </c>
      <c r="AC9" s="29">
        <f>IF(C9="","",IF(S9&lt;1,"Action - finish the profile checklist",IF(AND(ISNUMBER(AB9),AB9&gt;QuietAccountDays),"Check - account has gone quiet",IF(AND(Y9&lt;&gt;"",Y9&lt;TargetEngagement),"Check - engagement below target","OK"))))</f>
        <v>0</v>
      </c>
      <c r="AD9" s="39" t="s">
        <v>205</v>
      </c>
    </row>
    <row r="10" spans="1:30">
      <c r="A10" s="41">
        <f>IF(C10="","","ACC-"&amp;TEXT(ROW()-4,"000"))</f>
        <v>0</v>
      </c>
      <c r="S10" s="24">
        <f>IF(C10="","",(((M10="Yes")*1)+((N10="Yes")*1)+((O10="Yes")*1)+((P10="Yes")*1)+((Q10="Yes")*1)+((R10="Yes")*1))/6)</f>
        <v>0</v>
      </c>
      <c r="U10" s="23">
        <f>IF(B10="","",COUNTIFS('Content Calendar'!$G$5:$G$604,B10,'Content Calendar'!$B$5:$B$604,"&gt;="&amp;DATE(PlanYear,1,1),'Content Calendar'!$B$5:$B$604,"&lt;="&amp;DATE(PlanYear,12,31)))</f>
        <v>0</v>
      </c>
      <c r="V10" s="23">
        <f>IF(B10="","",COUNTIFS('Content Calendar'!$G$5:$G$604,B10,'Content Calendar'!$X$5:$X$604,"Published",'Content Calendar'!$B$5:$B$604,"&gt;="&amp;DATE(PlanYear,1,1),'Content Calendar'!$B$5:$B$604,"&lt;="&amp;DATE(PlanYear,12,31)))</f>
        <v>0</v>
      </c>
      <c r="W10" s="23">
        <f>IF(C10="","",SUMIFS(Analytics!$J$5:$J$154,Analytics!$E$5:$E$154,C10,Analytics!$D$5:$D$154,B10))</f>
        <v>0</v>
      </c>
      <c r="X10" s="23">
        <f>IF(C10="","",SUMIFS(Analytics!$L$5:$L$154,Analytics!$E$5:$E$154,C10,Analytics!$D$5:$D$154,B10))</f>
        <v>0</v>
      </c>
      <c r="Y10" s="24">
        <f>IF(OR(W10="",W10=0),"",X10/W10)</f>
        <v>0</v>
      </c>
      <c r="Z10" s="23">
        <f>IF(C10="","",SUMIFS(Analytics!$G$5:$G$154,Analytics!$E$5:$E$154,C10)-SUMIFS(Analytics!$F$5:$F$154,Analytics!$E$5:$E$154,C10))</f>
        <v>0</v>
      </c>
      <c r="AA10" s="16">
        <f>IF(B10="","",IF(SUMPRODUCT(MAX(('Content Calendar'!$G$5:$G$604=B10)*('Content Calendar'!$X$5:$X$604="Published")*'Content Calendar'!$B$5:$B$604))=0,"",SUMPRODUCT(MAX(('Content Calendar'!$G$5:$G$604=B10)*('Content Calendar'!$X$5:$X$604="Published")*'Content Calendar'!$B$5:$B$604))))</f>
        <v>0</v>
      </c>
      <c r="AB10" s="23">
        <f>IF(AA10="","",TODAY()-AA10)</f>
        <v>0</v>
      </c>
      <c r="AC10" s="29">
        <f>IF(C10="","",IF(S10&lt;1,"Action - finish the profile checklist",IF(AND(ISNUMBER(AB10),AB10&gt;QuietAccountDays),"Check - account has gone quiet",IF(AND(Y10&lt;&gt;"",Y10&lt;TargetEngagement),"Check - engagement below target","OK"))))</f>
        <v>0</v>
      </c>
    </row>
    <row r="11" spans="1:30">
      <c r="A11" s="41">
        <f>IF(C11="","","ACC-"&amp;TEXT(ROW()-4,"000"))</f>
        <v>0</v>
      </c>
      <c r="S11" s="24">
        <f>IF(C11="","",(((M11="Yes")*1)+((N11="Yes")*1)+((O11="Yes")*1)+((P11="Yes")*1)+((Q11="Yes")*1)+((R11="Yes")*1))/6)</f>
        <v>0</v>
      </c>
      <c r="U11" s="23">
        <f>IF(B11="","",COUNTIFS('Content Calendar'!$G$5:$G$604,B11,'Content Calendar'!$B$5:$B$604,"&gt;="&amp;DATE(PlanYear,1,1),'Content Calendar'!$B$5:$B$604,"&lt;="&amp;DATE(PlanYear,12,31)))</f>
        <v>0</v>
      </c>
      <c r="V11" s="23">
        <f>IF(B11="","",COUNTIFS('Content Calendar'!$G$5:$G$604,B11,'Content Calendar'!$X$5:$X$604,"Published",'Content Calendar'!$B$5:$B$604,"&gt;="&amp;DATE(PlanYear,1,1),'Content Calendar'!$B$5:$B$604,"&lt;="&amp;DATE(PlanYear,12,31)))</f>
        <v>0</v>
      </c>
      <c r="W11" s="23">
        <f>IF(C11="","",SUMIFS(Analytics!$J$5:$J$154,Analytics!$E$5:$E$154,C11,Analytics!$D$5:$D$154,B11))</f>
        <v>0</v>
      </c>
      <c r="X11" s="23">
        <f>IF(C11="","",SUMIFS(Analytics!$L$5:$L$154,Analytics!$E$5:$E$154,C11,Analytics!$D$5:$D$154,B11))</f>
        <v>0</v>
      </c>
      <c r="Y11" s="24">
        <f>IF(OR(W11="",W11=0),"",X11/W11)</f>
        <v>0</v>
      </c>
      <c r="Z11" s="23">
        <f>IF(C11="","",SUMIFS(Analytics!$G$5:$G$154,Analytics!$E$5:$E$154,C11)-SUMIFS(Analytics!$F$5:$F$154,Analytics!$E$5:$E$154,C11))</f>
        <v>0</v>
      </c>
      <c r="AA11" s="16">
        <f>IF(B11="","",IF(SUMPRODUCT(MAX(('Content Calendar'!$G$5:$G$604=B11)*('Content Calendar'!$X$5:$X$604="Published")*'Content Calendar'!$B$5:$B$604))=0,"",SUMPRODUCT(MAX(('Content Calendar'!$G$5:$G$604=B11)*('Content Calendar'!$X$5:$X$604="Published")*'Content Calendar'!$B$5:$B$604))))</f>
        <v>0</v>
      </c>
      <c r="AB11" s="23">
        <f>IF(AA11="","",TODAY()-AA11)</f>
        <v>0</v>
      </c>
      <c r="AC11" s="29">
        <f>IF(C11="","",IF(S11&lt;1,"Action - finish the profile checklist",IF(AND(ISNUMBER(AB11),AB11&gt;QuietAccountDays),"Check - account has gone quiet",IF(AND(Y11&lt;&gt;"",Y11&lt;TargetEngagement),"Check - engagement below target","OK"))))</f>
        <v>0</v>
      </c>
    </row>
    <row r="12" spans="1:30">
      <c r="A12" s="41">
        <f>IF(C12="","","ACC-"&amp;TEXT(ROW()-4,"000"))</f>
        <v>0</v>
      </c>
      <c r="S12" s="24">
        <f>IF(C12="","",(((M12="Yes")*1)+((N12="Yes")*1)+((O12="Yes")*1)+((P12="Yes")*1)+((Q12="Yes")*1)+((R12="Yes")*1))/6)</f>
        <v>0</v>
      </c>
      <c r="U12" s="23">
        <f>IF(B12="","",COUNTIFS('Content Calendar'!$G$5:$G$604,B12,'Content Calendar'!$B$5:$B$604,"&gt;="&amp;DATE(PlanYear,1,1),'Content Calendar'!$B$5:$B$604,"&lt;="&amp;DATE(PlanYear,12,31)))</f>
        <v>0</v>
      </c>
      <c r="V12" s="23">
        <f>IF(B12="","",COUNTIFS('Content Calendar'!$G$5:$G$604,B12,'Content Calendar'!$X$5:$X$604,"Published",'Content Calendar'!$B$5:$B$604,"&gt;="&amp;DATE(PlanYear,1,1),'Content Calendar'!$B$5:$B$604,"&lt;="&amp;DATE(PlanYear,12,31)))</f>
        <v>0</v>
      </c>
      <c r="W12" s="23">
        <f>IF(C12="","",SUMIFS(Analytics!$J$5:$J$154,Analytics!$E$5:$E$154,C12,Analytics!$D$5:$D$154,B12))</f>
        <v>0</v>
      </c>
      <c r="X12" s="23">
        <f>IF(C12="","",SUMIFS(Analytics!$L$5:$L$154,Analytics!$E$5:$E$154,C12,Analytics!$D$5:$D$154,B12))</f>
        <v>0</v>
      </c>
      <c r="Y12" s="24">
        <f>IF(OR(W12="",W12=0),"",X12/W12)</f>
        <v>0</v>
      </c>
      <c r="Z12" s="23">
        <f>IF(C12="","",SUMIFS(Analytics!$G$5:$G$154,Analytics!$E$5:$E$154,C12)-SUMIFS(Analytics!$F$5:$F$154,Analytics!$E$5:$E$154,C12))</f>
        <v>0</v>
      </c>
      <c r="AA12" s="16">
        <f>IF(B12="","",IF(SUMPRODUCT(MAX(('Content Calendar'!$G$5:$G$604=B12)*('Content Calendar'!$X$5:$X$604="Published")*'Content Calendar'!$B$5:$B$604))=0,"",SUMPRODUCT(MAX(('Content Calendar'!$G$5:$G$604=B12)*('Content Calendar'!$X$5:$X$604="Published")*'Content Calendar'!$B$5:$B$604))))</f>
        <v>0</v>
      </c>
      <c r="AB12" s="23">
        <f>IF(AA12="","",TODAY()-AA12)</f>
        <v>0</v>
      </c>
      <c r="AC12" s="29">
        <f>IF(C12="","",IF(S12&lt;1,"Action - finish the profile checklist",IF(AND(ISNUMBER(AB12),AB12&gt;QuietAccountDays),"Check - account has gone quiet",IF(AND(Y12&lt;&gt;"",Y12&lt;TargetEngagement),"Check - engagement below target","OK"))))</f>
        <v>0</v>
      </c>
    </row>
    <row r="13" spans="1:30">
      <c r="A13" s="41">
        <f>IF(C13="","","ACC-"&amp;TEXT(ROW()-4,"000"))</f>
        <v>0</v>
      </c>
      <c r="S13" s="24">
        <f>IF(C13="","",(((M13="Yes")*1)+((N13="Yes")*1)+((O13="Yes")*1)+((P13="Yes")*1)+((Q13="Yes")*1)+((R13="Yes")*1))/6)</f>
        <v>0</v>
      </c>
      <c r="U13" s="23">
        <f>IF(B13="","",COUNTIFS('Content Calendar'!$G$5:$G$604,B13,'Content Calendar'!$B$5:$B$604,"&gt;="&amp;DATE(PlanYear,1,1),'Content Calendar'!$B$5:$B$604,"&lt;="&amp;DATE(PlanYear,12,31)))</f>
        <v>0</v>
      </c>
      <c r="V13" s="23">
        <f>IF(B13="","",COUNTIFS('Content Calendar'!$G$5:$G$604,B13,'Content Calendar'!$X$5:$X$604,"Published",'Content Calendar'!$B$5:$B$604,"&gt;="&amp;DATE(PlanYear,1,1),'Content Calendar'!$B$5:$B$604,"&lt;="&amp;DATE(PlanYear,12,31)))</f>
        <v>0</v>
      </c>
      <c r="W13" s="23">
        <f>IF(C13="","",SUMIFS(Analytics!$J$5:$J$154,Analytics!$E$5:$E$154,C13,Analytics!$D$5:$D$154,B13))</f>
        <v>0</v>
      </c>
      <c r="X13" s="23">
        <f>IF(C13="","",SUMIFS(Analytics!$L$5:$L$154,Analytics!$E$5:$E$154,C13,Analytics!$D$5:$D$154,B13))</f>
        <v>0</v>
      </c>
      <c r="Y13" s="24">
        <f>IF(OR(W13="",W13=0),"",X13/W13)</f>
        <v>0</v>
      </c>
      <c r="Z13" s="23">
        <f>IF(C13="","",SUMIFS(Analytics!$G$5:$G$154,Analytics!$E$5:$E$154,C13)-SUMIFS(Analytics!$F$5:$F$154,Analytics!$E$5:$E$154,C13))</f>
        <v>0</v>
      </c>
      <c r="AA13" s="16">
        <f>IF(B13="","",IF(SUMPRODUCT(MAX(('Content Calendar'!$G$5:$G$604=B13)*('Content Calendar'!$X$5:$X$604="Published")*'Content Calendar'!$B$5:$B$604))=0,"",SUMPRODUCT(MAX(('Content Calendar'!$G$5:$G$604=B13)*('Content Calendar'!$X$5:$X$604="Published")*'Content Calendar'!$B$5:$B$604))))</f>
        <v>0</v>
      </c>
      <c r="AB13" s="23">
        <f>IF(AA13="","",TODAY()-AA13)</f>
        <v>0</v>
      </c>
      <c r="AC13" s="29">
        <f>IF(C13="","",IF(S13&lt;1,"Action - finish the profile checklist",IF(AND(ISNUMBER(AB13),AB13&gt;QuietAccountDays),"Check - account has gone quiet",IF(AND(Y13&lt;&gt;"",Y13&lt;TargetEngagement),"Check - engagement below target","OK"))))</f>
        <v>0</v>
      </c>
    </row>
    <row r="14" spans="1:30">
      <c r="A14" s="41">
        <f>IF(C14="","","ACC-"&amp;TEXT(ROW()-4,"000"))</f>
        <v>0</v>
      </c>
      <c r="S14" s="24">
        <f>IF(C14="","",(((M14="Yes")*1)+((N14="Yes")*1)+((O14="Yes")*1)+((P14="Yes")*1)+((Q14="Yes")*1)+((R14="Yes")*1))/6)</f>
        <v>0</v>
      </c>
      <c r="U14" s="23">
        <f>IF(B14="","",COUNTIFS('Content Calendar'!$G$5:$G$604,B14,'Content Calendar'!$B$5:$B$604,"&gt;="&amp;DATE(PlanYear,1,1),'Content Calendar'!$B$5:$B$604,"&lt;="&amp;DATE(PlanYear,12,31)))</f>
        <v>0</v>
      </c>
      <c r="V14" s="23">
        <f>IF(B14="","",COUNTIFS('Content Calendar'!$G$5:$G$604,B14,'Content Calendar'!$X$5:$X$604,"Published",'Content Calendar'!$B$5:$B$604,"&gt;="&amp;DATE(PlanYear,1,1),'Content Calendar'!$B$5:$B$604,"&lt;="&amp;DATE(PlanYear,12,31)))</f>
        <v>0</v>
      </c>
      <c r="W14" s="23">
        <f>IF(C14="","",SUMIFS(Analytics!$J$5:$J$154,Analytics!$E$5:$E$154,C14,Analytics!$D$5:$D$154,B14))</f>
        <v>0</v>
      </c>
      <c r="X14" s="23">
        <f>IF(C14="","",SUMIFS(Analytics!$L$5:$L$154,Analytics!$E$5:$E$154,C14,Analytics!$D$5:$D$154,B14))</f>
        <v>0</v>
      </c>
      <c r="Y14" s="24">
        <f>IF(OR(W14="",W14=0),"",X14/W14)</f>
        <v>0</v>
      </c>
      <c r="Z14" s="23">
        <f>IF(C14="","",SUMIFS(Analytics!$G$5:$G$154,Analytics!$E$5:$E$154,C14)-SUMIFS(Analytics!$F$5:$F$154,Analytics!$E$5:$E$154,C14))</f>
        <v>0</v>
      </c>
      <c r="AA14" s="16">
        <f>IF(B14="","",IF(SUMPRODUCT(MAX(('Content Calendar'!$G$5:$G$604=B14)*('Content Calendar'!$X$5:$X$604="Published")*'Content Calendar'!$B$5:$B$604))=0,"",SUMPRODUCT(MAX(('Content Calendar'!$G$5:$G$604=B14)*('Content Calendar'!$X$5:$X$604="Published")*'Content Calendar'!$B$5:$B$604))))</f>
        <v>0</v>
      </c>
      <c r="AB14" s="23">
        <f>IF(AA14="","",TODAY()-AA14)</f>
        <v>0</v>
      </c>
      <c r="AC14" s="29">
        <f>IF(C14="","",IF(S14&lt;1,"Action - finish the profile checklist",IF(AND(ISNUMBER(AB14),AB14&gt;QuietAccountDays),"Check - account has gone quiet",IF(AND(Y14&lt;&gt;"",Y14&lt;TargetEngagement),"Check - engagement below target","OK"))))</f>
        <v>0</v>
      </c>
    </row>
    <row r="15" spans="1:30">
      <c r="A15" s="41">
        <f>IF(C15="","","ACC-"&amp;TEXT(ROW()-4,"000"))</f>
        <v>0</v>
      </c>
      <c r="S15" s="24">
        <f>IF(C15="","",(((M15="Yes")*1)+((N15="Yes")*1)+((O15="Yes")*1)+((P15="Yes")*1)+((Q15="Yes")*1)+((R15="Yes")*1))/6)</f>
        <v>0</v>
      </c>
      <c r="U15" s="23">
        <f>IF(B15="","",COUNTIFS('Content Calendar'!$G$5:$G$604,B15,'Content Calendar'!$B$5:$B$604,"&gt;="&amp;DATE(PlanYear,1,1),'Content Calendar'!$B$5:$B$604,"&lt;="&amp;DATE(PlanYear,12,31)))</f>
        <v>0</v>
      </c>
      <c r="V15" s="23">
        <f>IF(B15="","",COUNTIFS('Content Calendar'!$G$5:$G$604,B15,'Content Calendar'!$X$5:$X$604,"Published",'Content Calendar'!$B$5:$B$604,"&gt;="&amp;DATE(PlanYear,1,1),'Content Calendar'!$B$5:$B$604,"&lt;="&amp;DATE(PlanYear,12,31)))</f>
        <v>0</v>
      </c>
      <c r="W15" s="23">
        <f>IF(C15="","",SUMIFS(Analytics!$J$5:$J$154,Analytics!$E$5:$E$154,C15,Analytics!$D$5:$D$154,B15))</f>
        <v>0</v>
      </c>
      <c r="X15" s="23">
        <f>IF(C15="","",SUMIFS(Analytics!$L$5:$L$154,Analytics!$E$5:$E$154,C15,Analytics!$D$5:$D$154,B15))</f>
        <v>0</v>
      </c>
      <c r="Y15" s="24">
        <f>IF(OR(W15="",W15=0),"",X15/W15)</f>
        <v>0</v>
      </c>
      <c r="Z15" s="23">
        <f>IF(C15="","",SUMIFS(Analytics!$G$5:$G$154,Analytics!$E$5:$E$154,C15)-SUMIFS(Analytics!$F$5:$F$154,Analytics!$E$5:$E$154,C15))</f>
        <v>0</v>
      </c>
      <c r="AA15" s="16">
        <f>IF(B15="","",IF(SUMPRODUCT(MAX(('Content Calendar'!$G$5:$G$604=B15)*('Content Calendar'!$X$5:$X$604="Published")*'Content Calendar'!$B$5:$B$604))=0,"",SUMPRODUCT(MAX(('Content Calendar'!$G$5:$G$604=B15)*('Content Calendar'!$X$5:$X$604="Published")*'Content Calendar'!$B$5:$B$604))))</f>
        <v>0</v>
      </c>
      <c r="AB15" s="23">
        <f>IF(AA15="","",TODAY()-AA15)</f>
        <v>0</v>
      </c>
      <c r="AC15" s="29">
        <f>IF(C15="","",IF(S15&lt;1,"Action - finish the profile checklist",IF(AND(ISNUMBER(AB15),AB15&gt;QuietAccountDays),"Check - account has gone quiet",IF(AND(Y15&lt;&gt;"",Y15&lt;TargetEngagement),"Check - engagement below target","OK"))))</f>
        <v>0</v>
      </c>
    </row>
    <row r="16" spans="1:30">
      <c r="A16" s="41">
        <f>IF(C16="","","ACC-"&amp;TEXT(ROW()-4,"000"))</f>
        <v>0</v>
      </c>
      <c r="S16" s="24">
        <f>IF(C16="","",(((M16="Yes")*1)+((N16="Yes")*1)+((O16="Yes")*1)+((P16="Yes")*1)+((Q16="Yes")*1)+((R16="Yes")*1))/6)</f>
        <v>0</v>
      </c>
      <c r="U16" s="23">
        <f>IF(B16="","",COUNTIFS('Content Calendar'!$G$5:$G$604,B16,'Content Calendar'!$B$5:$B$604,"&gt;="&amp;DATE(PlanYear,1,1),'Content Calendar'!$B$5:$B$604,"&lt;="&amp;DATE(PlanYear,12,31)))</f>
        <v>0</v>
      </c>
      <c r="V16" s="23">
        <f>IF(B16="","",COUNTIFS('Content Calendar'!$G$5:$G$604,B16,'Content Calendar'!$X$5:$X$604,"Published",'Content Calendar'!$B$5:$B$604,"&gt;="&amp;DATE(PlanYear,1,1),'Content Calendar'!$B$5:$B$604,"&lt;="&amp;DATE(PlanYear,12,31)))</f>
        <v>0</v>
      </c>
      <c r="W16" s="23">
        <f>IF(C16="","",SUMIFS(Analytics!$J$5:$J$154,Analytics!$E$5:$E$154,C16,Analytics!$D$5:$D$154,B16))</f>
        <v>0</v>
      </c>
      <c r="X16" s="23">
        <f>IF(C16="","",SUMIFS(Analytics!$L$5:$L$154,Analytics!$E$5:$E$154,C16,Analytics!$D$5:$D$154,B16))</f>
        <v>0</v>
      </c>
      <c r="Y16" s="24">
        <f>IF(OR(W16="",W16=0),"",X16/W16)</f>
        <v>0</v>
      </c>
      <c r="Z16" s="23">
        <f>IF(C16="","",SUMIFS(Analytics!$G$5:$G$154,Analytics!$E$5:$E$154,C16)-SUMIFS(Analytics!$F$5:$F$154,Analytics!$E$5:$E$154,C16))</f>
        <v>0</v>
      </c>
      <c r="AA16" s="16">
        <f>IF(B16="","",IF(SUMPRODUCT(MAX(('Content Calendar'!$G$5:$G$604=B16)*('Content Calendar'!$X$5:$X$604="Published")*'Content Calendar'!$B$5:$B$604))=0,"",SUMPRODUCT(MAX(('Content Calendar'!$G$5:$G$604=B16)*('Content Calendar'!$X$5:$X$604="Published")*'Content Calendar'!$B$5:$B$604))))</f>
        <v>0</v>
      </c>
      <c r="AB16" s="23">
        <f>IF(AA16="","",TODAY()-AA16)</f>
        <v>0</v>
      </c>
      <c r="AC16" s="29">
        <f>IF(C16="","",IF(S16&lt;1,"Action - finish the profile checklist",IF(AND(ISNUMBER(AB16),AB16&gt;QuietAccountDays),"Check - account has gone quiet",IF(AND(Y16&lt;&gt;"",Y16&lt;TargetEngagement),"Check - engagement below target","OK"))))</f>
        <v>0</v>
      </c>
    </row>
    <row r="17" spans="1:29">
      <c r="A17" s="41">
        <f>IF(C17="","","ACC-"&amp;TEXT(ROW()-4,"000"))</f>
        <v>0</v>
      </c>
      <c r="S17" s="24">
        <f>IF(C17="","",(((M17="Yes")*1)+((N17="Yes")*1)+((O17="Yes")*1)+((P17="Yes")*1)+((Q17="Yes")*1)+((R17="Yes")*1))/6)</f>
        <v>0</v>
      </c>
      <c r="U17" s="23">
        <f>IF(B17="","",COUNTIFS('Content Calendar'!$G$5:$G$604,B17,'Content Calendar'!$B$5:$B$604,"&gt;="&amp;DATE(PlanYear,1,1),'Content Calendar'!$B$5:$B$604,"&lt;="&amp;DATE(PlanYear,12,31)))</f>
        <v>0</v>
      </c>
      <c r="V17" s="23">
        <f>IF(B17="","",COUNTIFS('Content Calendar'!$G$5:$G$604,B17,'Content Calendar'!$X$5:$X$604,"Published",'Content Calendar'!$B$5:$B$604,"&gt;="&amp;DATE(PlanYear,1,1),'Content Calendar'!$B$5:$B$604,"&lt;="&amp;DATE(PlanYear,12,31)))</f>
        <v>0</v>
      </c>
      <c r="W17" s="23">
        <f>IF(C17="","",SUMIFS(Analytics!$J$5:$J$154,Analytics!$E$5:$E$154,C17,Analytics!$D$5:$D$154,B17))</f>
        <v>0</v>
      </c>
      <c r="X17" s="23">
        <f>IF(C17="","",SUMIFS(Analytics!$L$5:$L$154,Analytics!$E$5:$E$154,C17,Analytics!$D$5:$D$154,B17))</f>
        <v>0</v>
      </c>
      <c r="Y17" s="24">
        <f>IF(OR(W17="",W17=0),"",X17/W17)</f>
        <v>0</v>
      </c>
      <c r="Z17" s="23">
        <f>IF(C17="","",SUMIFS(Analytics!$G$5:$G$154,Analytics!$E$5:$E$154,C17)-SUMIFS(Analytics!$F$5:$F$154,Analytics!$E$5:$E$154,C17))</f>
        <v>0</v>
      </c>
      <c r="AA17" s="16">
        <f>IF(B17="","",IF(SUMPRODUCT(MAX(('Content Calendar'!$G$5:$G$604=B17)*('Content Calendar'!$X$5:$X$604="Published")*'Content Calendar'!$B$5:$B$604))=0,"",SUMPRODUCT(MAX(('Content Calendar'!$G$5:$G$604=B17)*('Content Calendar'!$X$5:$X$604="Published")*'Content Calendar'!$B$5:$B$604))))</f>
        <v>0</v>
      </c>
      <c r="AB17" s="23">
        <f>IF(AA17="","",TODAY()-AA17)</f>
        <v>0</v>
      </c>
      <c r="AC17" s="29">
        <f>IF(C17="","",IF(S17&lt;1,"Action - finish the profile checklist",IF(AND(ISNUMBER(AB17),AB17&gt;QuietAccountDays),"Check - account has gone quiet",IF(AND(Y17&lt;&gt;"",Y17&lt;TargetEngagement),"Check - engagement below target","OK"))))</f>
        <v>0</v>
      </c>
    </row>
    <row r="18" spans="1:29">
      <c r="A18" s="41">
        <f>IF(C18="","","ACC-"&amp;TEXT(ROW()-4,"000"))</f>
        <v>0</v>
      </c>
      <c r="S18" s="24">
        <f>IF(C18="","",(((M18="Yes")*1)+((N18="Yes")*1)+((O18="Yes")*1)+((P18="Yes")*1)+((Q18="Yes")*1)+((R18="Yes")*1))/6)</f>
        <v>0</v>
      </c>
      <c r="U18" s="23">
        <f>IF(B18="","",COUNTIFS('Content Calendar'!$G$5:$G$604,B18,'Content Calendar'!$B$5:$B$604,"&gt;="&amp;DATE(PlanYear,1,1),'Content Calendar'!$B$5:$B$604,"&lt;="&amp;DATE(PlanYear,12,31)))</f>
        <v>0</v>
      </c>
      <c r="V18" s="23">
        <f>IF(B18="","",COUNTIFS('Content Calendar'!$G$5:$G$604,B18,'Content Calendar'!$X$5:$X$604,"Published",'Content Calendar'!$B$5:$B$604,"&gt;="&amp;DATE(PlanYear,1,1),'Content Calendar'!$B$5:$B$604,"&lt;="&amp;DATE(PlanYear,12,31)))</f>
        <v>0</v>
      </c>
      <c r="W18" s="23">
        <f>IF(C18="","",SUMIFS(Analytics!$J$5:$J$154,Analytics!$E$5:$E$154,C18,Analytics!$D$5:$D$154,B18))</f>
        <v>0</v>
      </c>
      <c r="X18" s="23">
        <f>IF(C18="","",SUMIFS(Analytics!$L$5:$L$154,Analytics!$E$5:$E$154,C18,Analytics!$D$5:$D$154,B18))</f>
        <v>0</v>
      </c>
      <c r="Y18" s="24">
        <f>IF(OR(W18="",W18=0),"",X18/W18)</f>
        <v>0</v>
      </c>
      <c r="Z18" s="23">
        <f>IF(C18="","",SUMIFS(Analytics!$G$5:$G$154,Analytics!$E$5:$E$154,C18)-SUMIFS(Analytics!$F$5:$F$154,Analytics!$E$5:$E$154,C18))</f>
        <v>0</v>
      </c>
      <c r="AA18" s="16">
        <f>IF(B18="","",IF(SUMPRODUCT(MAX(('Content Calendar'!$G$5:$G$604=B18)*('Content Calendar'!$X$5:$X$604="Published")*'Content Calendar'!$B$5:$B$604))=0,"",SUMPRODUCT(MAX(('Content Calendar'!$G$5:$G$604=B18)*('Content Calendar'!$X$5:$X$604="Published")*'Content Calendar'!$B$5:$B$604))))</f>
        <v>0</v>
      </c>
      <c r="AB18" s="23">
        <f>IF(AA18="","",TODAY()-AA18)</f>
        <v>0</v>
      </c>
      <c r="AC18" s="29">
        <f>IF(C18="","",IF(S18&lt;1,"Action - finish the profile checklist",IF(AND(ISNUMBER(AB18),AB18&gt;QuietAccountDays),"Check - account has gone quiet",IF(AND(Y18&lt;&gt;"",Y18&lt;TargetEngagement),"Check - engagement below target","OK"))))</f>
        <v>0</v>
      </c>
    </row>
    <row r="19" spans="1:29">
      <c r="A19" s="41">
        <f>IF(C19="","","ACC-"&amp;TEXT(ROW()-4,"000"))</f>
        <v>0</v>
      </c>
      <c r="S19" s="24">
        <f>IF(C19="","",(((M19="Yes")*1)+((N19="Yes")*1)+((O19="Yes")*1)+((P19="Yes")*1)+((Q19="Yes")*1)+((R19="Yes")*1))/6)</f>
        <v>0</v>
      </c>
      <c r="U19" s="23">
        <f>IF(B19="","",COUNTIFS('Content Calendar'!$G$5:$G$604,B19,'Content Calendar'!$B$5:$B$604,"&gt;="&amp;DATE(PlanYear,1,1),'Content Calendar'!$B$5:$B$604,"&lt;="&amp;DATE(PlanYear,12,31)))</f>
        <v>0</v>
      </c>
      <c r="V19" s="23">
        <f>IF(B19="","",COUNTIFS('Content Calendar'!$G$5:$G$604,B19,'Content Calendar'!$X$5:$X$604,"Published",'Content Calendar'!$B$5:$B$604,"&gt;="&amp;DATE(PlanYear,1,1),'Content Calendar'!$B$5:$B$604,"&lt;="&amp;DATE(PlanYear,12,31)))</f>
        <v>0</v>
      </c>
      <c r="W19" s="23">
        <f>IF(C19="","",SUMIFS(Analytics!$J$5:$J$154,Analytics!$E$5:$E$154,C19,Analytics!$D$5:$D$154,B19))</f>
        <v>0</v>
      </c>
      <c r="X19" s="23">
        <f>IF(C19="","",SUMIFS(Analytics!$L$5:$L$154,Analytics!$E$5:$E$154,C19,Analytics!$D$5:$D$154,B19))</f>
        <v>0</v>
      </c>
      <c r="Y19" s="24">
        <f>IF(OR(W19="",W19=0),"",X19/W19)</f>
        <v>0</v>
      </c>
      <c r="Z19" s="23">
        <f>IF(C19="","",SUMIFS(Analytics!$G$5:$G$154,Analytics!$E$5:$E$154,C19)-SUMIFS(Analytics!$F$5:$F$154,Analytics!$E$5:$E$154,C19))</f>
        <v>0</v>
      </c>
      <c r="AA19" s="16">
        <f>IF(B19="","",IF(SUMPRODUCT(MAX(('Content Calendar'!$G$5:$G$604=B19)*('Content Calendar'!$X$5:$X$604="Published")*'Content Calendar'!$B$5:$B$604))=0,"",SUMPRODUCT(MAX(('Content Calendar'!$G$5:$G$604=B19)*('Content Calendar'!$X$5:$X$604="Published")*'Content Calendar'!$B$5:$B$604))))</f>
        <v>0</v>
      </c>
      <c r="AB19" s="23">
        <f>IF(AA19="","",TODAY()-AA19)</f>
        <v>0</v>
      </c>
      <c r="AC19" s="29">
        <f>IF(C19="","",IF(S19&lt;1,"Action - finish the profile checklist",IF(AND(ISNUMBER(AB19),AB19&gt;QuietAccountDays),"Check - account has gone quiet",IF(AND(Y19&lt;&gt;"",Y19&lt;TargetEngagement),"Check - engagement below target","OK"))))</f>
        <v>0</v>
      </c>
    </row>
    <row r="20" spans="1:29">
      <c r="A20" s="41">
        <f>IF(C20="","","ACC-"&amp;TEXT(ROW()-4,"000"))</f>
        <v>0</v>
      </c>
      <c r="S20" s="24">
        <f>IF(C20="","",(((M20="Yes")*1)+((N20="Yes")*1)+((O20="Yes")*1)+((P20="Yes")*1)+((Q20="Yes")*1)+((R20="Yes")*1))/6)</f>
        <v>0</v>
      </c>
      <c r="U20" s="23">
        <f>IF(B20="","",COUNTIFS('Content Calendar'!$G$5:$G$604,B20,'Content Calendar'!$B$5:$B$604,"&gt;="&amp;DATE(PlanYear,1,1),'Content Calendar'!$B$5:$B$604,"&lt;="&amp;DATE(PlanYear,12,31)))</f>
        <v>0</v>
      </c>
      <c r="V20" s="23">
        <f>IF(B20="","",COUNTIFS('Content Calendar'!$G$5:$G$604,B20,'Content Calendar'!$X$5:$X$604,"Published",'Content Calendar'!$B$5:$B$604,"&gt;="&amp;DATE(PlanYear,1,1),'Content Calendar'!$B$5:$B$604,"&lt;="&amp;DATE(PlanYear,12,31)))</f>
        <v>0</v>
      </c>
      <c r="W20" s="23">
        <f>IF(C20="","",SUMIFS(Analytics!$J$5:$J$154,Analytics!$E$5:$E$154,C20,Analytics!$D$5:$D$154,B20))</f>
        <v>0</v>
      </c>
      <c r="X20" s="23">
        <f>IF(C20="","",SUMIFS(Analytics!$L$5:$L$154,Analytics!$E$5:$E$154,C20,Analytics!$D$5:$D$154,B20))</f>
        <v>0</v>
      </c>
      <c r="Y20" s="24">
        <f>IF(OR(W20="",W20=0),"",X20/W20)</f>
        <v>0</v>
      </c>
      <c r="Z20" s="23">
        <f>IF(C20="","",SUMIFS(Analytics!$G$5:$G$154,Analytics!$E$5:$E$154,C20)-SUMIFS(Analytics!$F$5:$F$154,Analytics!$E$5:$E$154,C20))</f>
        <v>0</v>
      </c>
      <c r="AA20" s="16">
        <f>IF(B20="","",IF(SUMPRODUCT(MAX(('Content Calendar'!$G$5:$G$604=B20)*('Content Calendar'!$X$5:$X$604="Published")*'Content Calendar'!$B$5:$B$604))=0,"",SUMPRODUCT(MAX(('Content Calendar'!$G$5:$G$604=B20)*('Content Calendar'!$X$5:$X$604="Published")*'Content Calendar'!$B$5:$B$604))))</f>
        <v>0</v>
      </c>
      <c r="AB20" s="23">
        <f>IF(AA20="","",TODAY()-AA20)</f>
        <v>0</v>
      </c>
      <c r="AC20" s="29">
        <f>IF(C20="","",IF(S20&lt;1,"Action - finish the profile checklist",IF(AND(ISNUMBER(AB20),AB20&gt;QuietAccountDays),"Check - account has gone quiet",IF(AND(Y20&lt;&gt;"",Y20&lt;TargetEngagement),"Check - engagement below target","OK"))))</f>
        <v>0</v>
      </c>
    </row>
    <row r="21" spans="1:29">
      <c r="A21" s="41">
        <f>IF(C21="","","ACC-"&amp;TEXT(ROW()-4,"000"))</f>
        <v>0</v>
      </c>
      <c r="S21" s="24">
        <f>IF(C21="","",(((M21="Yes")*1)+((N21="Yes")*1)+((O21="Yes")*1)+((P21="Yes")*1)+((Q21="Yes")*1)+((R21="Yes")*1))/6)</f>
        <v>0</v>
      </c>
      <c r="U21" s="23">
        <f>IF(B21="","",COUNTIFS('Content Calendar'!$G$5:$G$604,B21,'Content Calendar'!$B$5:$B$604,"&gt;="&amp;DATE(PlanYear,1,1),'Content Calendar'!$B$5:$B$604,"&lt;="&amp;DATE(PlanYear,12,31)))</f>
        <v>0</v>
      </c>
      <c r="V21" s="23">
        <f>IF(B21="","",COUNTIFS('Content Calendar'!$G$5:$G$604,B21,'Content Calendar'!$X$5:$X$604,"Published",'Content Calendar'!$B$5:$B$604,"&gt;="&amp;DATE(PlanYear,1,1),'Content Calendar'!$B$5:$B$604,"&lt;="&amp;DATE(PlanYear,12,31)))</f>
        <v>0</v>
      </c>
      <c r="W21" s="23">
        <f>IF(C21="","",SUMIFS(Analytics!$J$5:$J$154,Analytics!$E$5:$E$154,C21,Analytics!$D$5:$D$154,B21))</f>
        <v>0</v>
      </c>
      <c r="X21" s="23">
        <f>IF(C21="","",SUMIFS(Analytics!$L$5:$L$154,Analytics!$E$5:$E$154,C21,Analytics!$D$5:$D$154,B21))</f>
        <v>0</v>
      </c>
      <c r="Y21" s="24">
        <f>IF(OR(W21="",W21=0),"",X21/W21)</f>
        <v>0</v>
      </c>
      <c r="Z21" s="23">
        <f>IF(C21="","",SUMIFS(Analytics!$G$5:$G$154,Analytics!$E$5:$E$154,C21)-SUMIFS(Analytics!$F$5:$F$154,Analytics!$E$5:$E$154,C21))</f>
        <v>0</v>
      </c>
      <c r="AA21" s="16">
        <f>IF(B21="","",IF(SUMPRODUCT(MAX(('Content Calendar'!$G$5:$G$604=B21)*('Content Calendar'!$X$5:$X$604="Published")*'Content Calendar'!$B$5:$B$604))=0,"",SUMPRODUCT(MAX(('Content Calendar'!$G$5:$G$604=B21)*('Content Calendar'!$X$5:$X$604="Published")*'Content Calendar'!$B$5:$B$604))))</f>
        <v>0</v>
      </c>
      <c r="AB21" s="23">
        <f>IF(AA21="","",TODAY()-AA21)</f>
        <v>0</v>
      </c>
      <c r="AC21" s="29">
        <f>IF(C21="","",IF(S21&lt;1,"Action - finish the profile checklist",IF(AND(ISNUMBER(AB21),AB21&gt;QuietAccountDays),"Check - account has gone quiet",IF(AND(Y21&lt;&gt;"",Y21&lt;TargetEngagement),"Check - engagement below target","OK"))))</f>
        <v>0</v>
      </c>
    </row>
    <row r="22" spans="1:29">
      <c r="A22" s="41">
        <f>IF(C22="","","ACC-"&amp;TEXT(ROW()-4,"000"))</f>
        <v>0</v>
      </c>
      <c r="S22" s="24">
        <f>IF(C22="","",(((M22="Yes")*1)+((N22="Yes")*1)+((O22="Yes")*1)+((P22="Yes")*1)+((Q22="Yes")*1)+((R22="Yes")*1))/6)</f>
        <v>0</v>
      </c>
      <c r="U22" s="23">
        <f>IF(B22="","",COUNTIFS('Content Calendar'!$G$5:$G$604,B22,'Content Calendar'!$B$5:$B$604,"&gt;="&amp;DATE(PlanYear,1,1),'Content Calendar'!$B$5:$B$604,"&lt;="&amp;DATE(PlanYear,12,31)))</f>
        <v>0</v>
      </c>
      <c r="V22" s="23">
        <f>IF(B22="","",COUNTIFS('Content Calendar'!$G$5:$G$604,B22,'Content Calendar'!$X$5:$X$604,"Published",'Content Calendar'!$B$5:$B$604,"&gt;="&amp;DATE(PlanYear,1,1),'Content Calendar'!$B$5:$B$604,"&lt;="&amp;DATE(PlanYear,12,31)))</f>
        <v>0</v>
      </c>
      <c r="W22" s="23">
        <f>IF(C22="","",SUMIFS(Analytics!$J$5:$J$154,Analytics!$E$5:$E$154,C22,Analytics!$D$5:$D$154,B22))</f>
        <v>0</v>
      </c>
      <c r="X22" s="23">
        <f>IF(C22="","",SUMIFS(Analytics!$L$5:$L$154,Analytics!$E$5:$E$154,C22,Analytics!$D$5:$D$154,B22))</f>
        <v>0</v>
      </c>
      <c r="Y22" s="24">
        <f>IF(OR(W22="",W22=0),"",X22/W22)</f>
        <v>0</v>
      </c>
      <c r="Z22" s="23">
        <f>IF(C22="","",SUMIFS(Analytics!$G$5:$G$154,Analytics!$E$5:$E$154,C22)-SUMIFS(Analytics!$F$5:$F$154,Analytics!$E$5:$E$154,C22))</f>
        <v>0</v>
      </c>
      <c r="AA22" s="16">
        <f>IF(B22="","",IF(SUMPRODUCT(MAX(('Content Calendar'!$G$5:$G$604=B22)*('Content Calendar'!$X$5:$X$604="Published")*'Content Calendar'!$B$5:$B$604))=0,"",SUMPRODUCT(MAX(('Content Calendar'!$G$5:$G$604=B22)*('Content Calendar'!$X$5:$X$604="Published")*'Content Calendar'!$B$5:$B$604))))</f>
        <v>0</v>
      </c>
      <c r="AB22" s="23">
        <f>IF(AA22="","",TODAY()-AA22)</f>
        <v>0</v>
      </c>
      <c r="AC22" s="29">
        <f>IF(C22="","",IF(S22&lt;1,"Action - finish the profile checklist",IF(AND(ISNUMBER(AB22),AB22&gt;QuietAccountDays),"Check - account has gone quiet",IF(AND(Y22&lt;&gt;"",Y22&lt;TargetEngagement),"Check - engagement below target","OK"))))</f>
        <v>0</v>
      </c>
    </row>
    <row r="23" spans="1:29">
      <c r="A23" s="41">
        <f>IF(C23="","","ACC-"&amp;TEXT(ROW()-4,"000"))</f>
        <v>0</v>
      </c>
      <c r="S23" s="24">
        <f>IF(C23="","",(((M23="Yes")*1)+((N23="Yes")*1)+((O23="Yes")*1)+((P23="Yes")*1)+((Q23="Yes")*1)+((R23="Yes")*1))/6)</f>
        <v>0</v>
      </c>
      <c r="U23" s="23">
        <f>IF(B23="","",COUNTIFS('Content Calendar'!$G$5:$G$604,B23,'Content Calendar'!$B$5:$B$604,"&gt;="&amp;DATE(PlanYear,1,1),'Content Calendar'!$B$5:$B$604,"&lt;="&amp;DATE(PlanYear,12,31)))</f>
        <v>0</v>
      </c>
      <c r="V23" s="23">
        <f>IF(B23="","",COUNTIFS('Content Calendar'!$G$5:$G$604,B23,'Content Calendar'!$X$5:$X$604,"Published",'Content Calendar'!$B$5:$B$604,"&gt;="&amp;DATE(PlanYear,1,1),'Content Calendar'!$B$5:$B$604,"&lt;="&amp;DATE(PlanYear,12,31)))</f>
        <v>0</v>
      </c>
      <c r="W23" s="23">
        <f>IF(C23="","",SUMIFS(Analytics!$J$5:$J$154,Analytics!$E$5:$E$154,C23,Analytics!$D$5:$D$154,B23))</f>
        <v>0</v>
      </c>
      <c r="X23" s="23">
        <f>IF(C23="","",SUMIFS(Analytics!$L$5:$L$154,Analytics!$E$5:$E$154,C23,Analytics!$D$5:$D$154,B23))</f>
        <v>0</v>
      </c>
      <c r="Y23" s="24">
        <f>IF(OR(W23="",W23=0),"",X23/W23)</f>
        <v>0</v>
      </c>
      <c r="Z23" s="23">
        <f>IF(C23="","",SUMIFS(Analytics!$G$5:$G$154,Analytics!$E$5:$E$154,C23)-SUMIFS(Analytics!$F$5:$F$154,Analytics!$E$5:$E$154,C23))</f>
        <v>0</v>
      </c>
      <c r="AA23" s="16">
        <f>IF(B23="","",IF(SUMPRODUCT(MAX(('Content Calendar'!$G$5:$G$604=B23)*('Content Calendar'!$X$5:$X$604="Published")*'Content Calendar'!$B$5:$B$604))=0,"",SUMPRODUCT(MAX(('Content Calendar'!$G$5:$G$604=B23)*('Content Calendar'!$X$5:$X$604="Published")*'Content Calendar'!$B$5:$B$604))))</f>
        <v>0</v>
      </c>
      <c r="AB23" s="23">
        <f>IF(AA23="","",TODAY()-AA23)</f>
        <v>0</v>
      </c>
      <c r="AC23" s="29">
        <f>IF(C23="","",IF(S23&lt;1,"Action - finish the profile checklist",IF(AND(ISNUMBER(AB23),AB23&gt;QuietAccountDays),"Check - account has gone quiet",IF(AND(Y23&lt;&gt;"",Y23&lt;TargetEngagement),"Check - engagement below target","OK"))))</f>
        <v>0</v>
      </c>
    </row>
    <row r="24" spans="1:29">
      <c r="A24" s="41">
        <f>IF(C24="","","ACC-"&amp;TEXT(ROW()-4,"000"))</f>
        <v>0</v>
      </c>
      <c r="S24" s="24">
        <f>IF(C24="","",(((M24="Yes")*1)+((N24="Yes")*1)+((O24="Yes")*1)+((P24="Yes")*1)+((Q24="Yes")*1)+((R24="Yes")*1))/6)</f>
        <v>0</v>
      </c>
      <c r="U24" s="23">
        <f>IF(B24="","",COUNTIFS('Content Calendar'!$G$5:$G$604,B24,'Content Calendar'!$B$5:$B$604,"&gt;="&amp;DATE(PlanYear,1,1),'Content Calendar'!$B$5:$B$604,"&lt;="&amp;DATE(PlanYear,12,31)))</f>
        <v>0</v>
      </c>
      <c r="V24" s="23">
        <f>IF(B24="","",COUNTIFS('Content Calendar'!$G$5:$G$604,B24,'Content Calendar'!$X$5:$X$604,"Published",'Content Calendar'!$B$5:$B$604,"&gt;="&amp;DATE(PlanYear,1,1),'Content Calendar'!$B$5:$B$604,"&lt;="&amp;DATE(PlanYear,12,31)))</f>
        <v>0</v>
      </c>
      <c r="W24" s="23">
        <f>IF(C24="","",SUMIFS(Analytics!$J$5:$J$154,Analytics!$E$5:$E$154,C24,Analytics!$D$5:$D$154,B24))</f>
        <v>0</v>
      </c>
      <c r="X24" s="23">
        <f>IF(C24="","",SUMIFS(Analytics!$L$5:$L$154,Analytics!$E$5:$E$154,C24,Analytics!$D$5:$D$154,B24))</f>
        <v>0</v>
      </c>
      <c r="Y24" s="24">
        <f>IF(OR(W24="",W24=0),"",X24/W24)</f>
        <v>0</v>
      </c>
      <c r="Z24" s="23">
        <f>IF(C24="","",SUMIFS(Analytics!$G$5:$G$154,Analytics!$E$5:$E$154,C24)-SUMIFS(Analytics!$F$5:$F$154,Analytics!$E$5:$E$154,C24))</f>
        <v>0</v>
      </c>
      <c r="AA24" s="16">
        <f>IF(B24="","",IF(SUMPRODUCT(MAX(('Content Calendar'!$G$5:$G$604=B24)*('Content Calendar'!$X$5:$X$604="Published")*'Content Calendar'!$B$5:$B$604))=0,"",SUMPRODUCT(MAX(('Content Calendar'!$G$5:$G$604=B24)*('Content Calendar'!$X$5:$X$604="Published")*'Content Calendar'!$B$5:$B$604))))</f>
        <v>0</v>
      </c>
      <c r="AB24" s="23">
        <f>IF(AA24="","",TODAY()-AA24)</f>
        <v>0</v>
      </c>
      <c r="AC24" s="29">
        <f>IF(C24="","",IF(S24&lt;1,"Action - finish the profile checklist",IF(AND(ISNUMBER(AB24),AB24&gt;QuietAccountDays),"Check - account has gone quiet",IF(AND(Y24&lt;&gt;"",Y24&lt;TargetEngagement),"Check - engagement below target","OK"))))</f>
        <v>0</v>
      </c>
    </row>
    <row r="25" spans="1:29">
      <c r="A25" s="41">
        <f>IF(C25="","","ACC-"&amp;TEXT(ROW()-4,"000"))</f>
        <v>0</v>
      </c>
      <c r="S25" s="24">
        <f>IF(C25="","",(((M25="Yes")*1)+((N25="Yes")*1)+((O25="Yes")*1)+((P25="Yes")*1)+((Q25="Yes")*1)+((R25="Yes")*1))/6)</f>
        <v>0</v>
      </c>
      <c r="U25" s="23">
        <f>IF(B25="","",COUNTIFS('Content Calendar'!$G$5:$G$604,B25,'Content Calendar'!$B$5:$B$604,"&gt;="&amp;DATE(PlanYear,1,1),'Content Calendar'!$B$5:$B$604,"&lt;="&amp;DATE(PlanYear,12,31)))</f>
        <v>0</v>
      </c>
      <c r="V25" s="23">
        <f>IF(B25="","",COUNTIFS('Content Calendar'!$G$5:$G$604,B25,'Content Calendar'!$X$5:$X$604,"Published",'Content Calendar'!$B$5:$B$604,"&gt;="&amp;DATE(PlanYear,1,1),'Content Calendar'!$B$5:$B$604,"&lt;="&amp;DATE(PlanYear,12,31)))</f>
        <v>0</v>
      </c>
      <c r="W25" s="23">
        <f>IF(C25="","",SUMIFS(Analytics!$J$5:$J$154,Analytics!$E$5:$E$154,C25,Analytics!$D$5:$D$154,B25))</f>
        <v>0</v>
      </c>
      <c r="X25" s="23">
        <f>IF(C25="","",SUMIFS(Analytics!$L$5:$L$154,Analytics!$E$5:$E$154,C25,Analytics!$D$5:$D$154,B25))</f>
        <v>0</v>
      </c>
      <c r="Y25" s="24">
        <f>IF(OR(W25="",W25=0),"",X25/W25)</f>
        <v>0</v>
      </c>
      <c r="Z25" s="23">
        <f>IF(C25="","",SUMIFS(Analytics!$G$5:$G$154,Analytics!$E$5:$E$154,C25)-SUMIFS(Analytics!$F$5:$F$154,Analytics!$E$5:$E$154,C25))</f>
        <v>0</v>
      </c>
      <c r="AA25" s="16">
        <f>IF(B25="","",IF(SUMPRODUCT(MAX(('Content Calendar'!$G$5:$G$604=B25)*('Content Calendar'!$X$5:$X$604="Published")*'Content Calendar'!$B$5:$B$604))=0,"",SUMPRODUCT(MAX(('Content Calendar'!$G$5:$G$604=B25)*('Content Calendar'!$X$5:$X$604="Published")*'Content Calendar'!$B$5:$B$604))))</f>
        <v>0</v>
      </c>
      <c r="AB25" s="23">
        <f>IF(AA25="","",TODAY()-AA25)</f>
        <v>0</v>
      </c>
      <c r="AC25" s="29">
        <f>IF(C25="","",IF(S25&lt;1,"Action - finish the profile checklist",IF(AND(ISNUMBER(AB25),AB25&gt;QuietAccountDays),"Check - account has gone quiet",IF(AND(Y25&lt;&gt;"",Y25&lt;TargetEngagement),"Check - engagement below target","OK"))))</f>
        <v>0</v>
      </c>
    </row>
    <row r="26" spans="1:29">
      <c r="A26" s="41">
        <f>IF(C26="","","ACC-"&amp;TEXT(ROW()-4,"000"))</f>
        <v>0</v>
      </c>
      <c r="S26" s="24">
        <f>IF(C26="","",(((M26="Yes")*1)+((N26="Yes")*1)+((O26="Yes")*1)+((P26="Yes")*1)+((Q26="Yes")*1)+((R26="Yes")*1))/6)</f>
        <v>0</v>
      </c>
      <c r="U26" s="23">
        <f>IF(B26="","",COUNTIFS('Content Calendar'!$G$5:$G$604,B26,'Content Calendar'!$B$5:$B$604,"&gt;="&amp;DATE(PlanYear,1,1),'Content Calendar'!$B$5:$B$604,"&lt;="&amp;DATE(PlanYear,12,31)))</f>
        <v>0</v>
      </c>
      <c r="V26" s="23">
        <f>IF(B26="","",COUNTIFS('Content Calendar'!$G$5:$G$604,B26,'Content Calendar'!$X$5:$X$604,"Published",'Content Calendar'!$B$5:$B$604,"&gt;="&amp;DATE(PlanYear,1,1),'Content Calendar'!$B$5:$B$604,"&lt;="&amp;DATE(PlanYear,12,31)))</f>
        <v>0</v>
      </c>
      <c r="W26" s="23">
        <f>IF(C26="","",SUMIFS(Analytics!$J$5:$J$154,Analytics!$E$5:$E$154,C26,Analytics!$D$5:$D$154,B26))</f>
        <v>0</v>
      </c>
      <c r="X26" s="23">
        <f>IF(C26="","",SUMIFS(Analytics!$L$5:$L$154,Analytics!$E$5:$E$154,C26,Analytics!$D$5:$D$154,B26))</f>
        <v>0</v>
      </c>
      <c r="Y26" s="24">
        <f>IF(OR(W26="",W26=0),"",X26/W26)</f>
        <v>0</v>
      </c>
      <c r="Z26" s="23">
        <f>IF(C26="","",SUMIFS(Analytics!$G$5:$G$154,Analytics!$E$5:$E$154,C26)-SUMIFS(Analytics!$F$5:$F$154,Analytics!$E$5:$E$154,C26))</f>
        <v>0</v>
      </c>
      <c r="AA26" s="16">
        <f>IF(B26="","",IF(SUMPRODUCT(MAX(('Content Calendar'!$G$5:$G$604=B26)*('Content Calendar'!$X$5:$X$604="Published")*'Content Calendar'!$B$5:$B$604))=0,"",SUMPRODUCT(MAX(('Content Calendar'!$G$5:$G$604=B26)*('Content Calendar'!$X$5:$X$604="Published")*'Content Calendar'!$B$5:$B$604))))</f>
        <v>0</v>
      </c>
      <c r="AB26" s="23">
        <f>IF(AA26="","",TODAY()-AA26)</f>
        <v>0</v>
      </c>
      <c r="AC26" s="29">
        <f>IF(C26="","",IF(S26&lt;1,"Action - finish the profile checklist",IF(AND(ISNUMBER(AB26),AB26&gt;QuietAccountDays),"Check - account has gone quiet",IF(AND(Y26&lt;&gt;"",Y26&lt;TargetEngagement),"Check - engagement below target","OK"))))</f>
        <v>0</v>
      </c>
    </row>
    <row r="27" spans="1:29">
      <c r="A27" s="41">
        <f>IF(C27="","","ACC-"&amp;TEXT(ROW()-4,"000"))</f>
        <v>0</v>
      </c>
      <c r="S27" s="24">
        <f>IF(C27="","",(((M27="Yes")*1)+((N27="Yes")*1)+((O27="Yes")*1)+((P27="Yes")*1)+((Q27="Yes")*1)+((R27="Yes")*1))/6)</f>
        <v>0</v>
      </c>
      <c r="U27" s="23">
        <f>IF(B27="","",COUNTIFS('Content Calendar'!$G$5:$G$604,B27,'Content Calendar'!$B$5:$B$604,"&gt;="&amp;DATE(PlanYear,1,1),'Content Calendar'!$B$5:$B$604,"&lt;="&amp;DATE(PlanYear,12,31)))</f>
        <v>0</v>
      </c>
      <c r="V27" s="23">
        <f>IF(B27="","",COUNTIFS('Content Calendar'!$G$5:$G$604,B27,'Content Calendar'!$X$5:$X$604,"Published",'Content Calendar'!$B$5:$B$604,"&gt;="&amp;DATE(PlanYear,1,1),'Content Calendar'!$B$5:$B$604,"&lt;="&amp;DATE(PlanYear,12,31)))</f>
        <v>0</v>
      </c>
      <c r="W27" s="23">
        <f>IF(C27="","",SUMIFS(Analytics!$J$5:$J$154,Analytics!$E$5:$E$154,C27,Analytics!$D$5:$D$154,B27))</f>
        <v>0</v>
      </c>
      <c r="X27" s="23">
        <f>IF(C27="","",SUMIFS(Analytics!$L$5:$L$154,Analytics!$E$5:$E$154,C27,Analytics!$D$5:$D$154,B27))</f>
        <v>0</v>
      </c>
      <c r="Y27" s="24">
        <f>IF(OR(W27="",W27=0),"",X27/W27)</f>
        <v>0</v>
      </c>
      <c r="Z27" s="23">
        <f>IF(C27="","",SUMIFS(Analytics!$G$5:$G$154,Analytics!$E$5:$E$154,C27)-SUMIFS(Analytics!$F$5:$F$154,Analytics!$E$5:$E$154,C27))</f>
        <v>0</v>
      </c>
      <c r="AA27" s="16">
        <f>IF(B27="","",IF(SUMPRODUCT(MAX(('Content Calendar'!$G$5:$G$604=B27)*('Content Calendar'!$X$5:$X$604="Published")*'Content Calendar'!$B$5:$B$604))=0,"",SUMPRODUCT(MAX(('Content Calendar'!$G$5:$G$604=B27)*('Content Calendar'!$X$5:$X$604="Published")*'Content Calendar'!$B$5:$B$604))))</f>
        <v>0</v>
      </c>
      <c r="AB27" s="23">
        <f>IF(AA27="","",TODAY()-AA27)</f>
        <v>0</v>
      </c>
      <c r="AC27" s="29">
        <f>IF(C27="","",IF(S27&lt;1,"Action - finish the profile checklist",IF(AND(ISNUMBER(AB27),AB27&gt;QuietAccountDays),"Check - account has gone quiet",IF(AND(Y27&lt;&gt;"",Y27&lt;TargetEngagement),"Check - engagement below target","OK"))))</f>
        <v>0</v>
      </c>
    </row>
    <row r="28" spans="1:29">
      <c r="A28" s="41">
        <f>IF(C28="","","ACC-"&amp;TEXT(ROW()-4,"000"))</f>
        <v>0</v>
      </c>
      <c r="S28" s="24">
        <f>IF(C28="","",(((M28="Yes")*1)+((N28="Yes")*1)+((O28="Yes")*1)+((P28="Yes")*1)+((Q28="Yes")*1)+((R28="Yes")*1))/6)</f>
        <v>0</v>
      </c>
      <c r="U28" s="23">
        <f>IF(B28="","",COUNTIFS('Content Calendar'!$G$5:$G$604,B28,'Content Calendar'!$B$5:$B$604,"&gt;="&amp;DATE(PlanYear,1,1),'Content Calendar'!$B$5:$B$604,"&lt;="&amp;DATE(PlanYear,12,31)))</f>
        <v>0</v>
      </c>
      <c r="V28" s="23">
        <f>IF(B28="","",COUNTIFS('Content Calendar'!$G$5:$G$604,B28,'Content Calendar'!$X$5:$X$604,"Published",'Content Calendar'!$B$5:$B$604,"&gt;="&amp;DATE(PlanYear,1,1),'Content Calendar'!$B$5:$B$604,"&lt;="&amp;DATE(PlanYear,12,31)))</f>
        <v>0</v>
      </c>
      <c r="W28" s="23">
        <f>IF(C28="","",SUMIFS(Analytics!$J$5:$J$154,Analytics!$E$5:$E$154,C28,Analytics!$D$5:$D$154,B28))</f>
        <v>0</v>
      </c>
      <c r="X28" s="23">
        <f>IF(C28="","",SUMIFS(Analytics!$L$5:$L$154,Analytics!$E$5:$E$154,C28,Analytics!$D$5:$D$154,B28))</f>
        <v>0</v>
      </c>
      <c r="Y28" s="24">
        <f>IF(OR(W28="",W28=0),"",X28/W28)</f>
        <v>0</v>
      </c>
      <c r="Z28" s="23">
        <f>IF(C28="","",SUMIFS(Analytics!$G$5:$G$154,Analytics!$E$5:$E$154,C28)-SUMIFS(Analytics!$F$5:$F$154,Analytics!$E$5:$E$154,C28))</f>
        <v>0</v>
      </c>
      <c r="AA28" s="16">
        <f>IF(B28="","",IF(SUMPRODUCT(MAX(('Content Calendar'!$G$5:$G$604=B28)*('Content Calendar'!$X$5:$X$604="Published")*'Content Calendar'!$B$5:$B$604))=0,"",SUMPRODUCT(MAX(('Content Calendar'!$G$5:$G$604=B28)*('Content Calendar'!$X$5:$X$604="Published")*'Content Calendar'!$B$5:$B$604))))</f>
        <v>0</v>
      </c>
      <c r="AB28" s="23">
        <f>IF(AA28="","",TODAY()-AA28)</f>
        <v>0</v>
      </c>
      <c r="AC28" s="29">
        <f>IF(C28="","",IF(S28&lt;1,"Action - finish the profile checklist",IF(AND(ISNUMBER(AB28),AB28&gt;QuietAccountDays),"Check - account has gone quiet",IF(AND(Y28&lt;&gt;"",Y28&lt;TargetEngagement),"Check - engagement below target","OK"))))</f>
        <v>0</v>
      </c>
    </row>
    <row r="29" spans="1:29">
      <c r="A29" s="41">
        <f>IF(C29="","","ACC-"&amp;TEXT(ROW()-4,"000"))</f>
        <v>0</v>
      </c>
      <c r="S29" s="24">
        <f>IF(C29="","",(((M29="Yes")*1)+((N29="Yes")*1)+((O29="Yes")*1)+((P29="Yes")*1)+((Q29="Yes")*1)+((R29="Yes")*1))/6)</f>
        <v>0</v>
      </c>
      <c r="U29" s="23">
        <f>IF(B29="","",COUNTIFS('Content Calendar'!$G$5:$G$604,B29,'Content Calendar'!$B$5:$B$604,"&gt;="&amp;DATE(PlanYear,1,1),'Content Calendar'!$B$5:$B$604,"&lt;="&amp;DATE(PlanYear,12,31)))</f>
        <v>0</v>
      </c>
      <c r="V29" s="23">
        <f>IF(B29="","",COUNTIFS('Content Calendar'!$G$5:$G$604,B29,'Content Calendar'!$X$5:$X$604,"Published",'Content Calendar'!$B$5:$B$604,"&gt;="&amp;DATE(PlanYear,1,1),'Content Calendar'!$B$5:$B$604,"&lt;="&amp;DATE(PlanYear,12,31)))</f>
        <v>0</v>
      </c>
      <c r="W29" s="23">
        <f>IF(C29="","",SUMIFS(Analytics!$J$5:$J$154,Analytics!$E$5:$E$154,C29,Analytics!$D$5:$D$154,B29))</f>
        <v>0</v>
      </c>
      <c r="X29" s="23">
        <f>IF(C29="","",SUMIFS(Analytics!$L$5:$L$154,Analytics!$E$5:$E$154,C29,Analytics!$D$5:$D$154,B29))</f>
        <v>0</v>
      </c>
      <c r="Y29" s="24">
        <f>IF(OR(W29="",W29=0),"",X29/W29)</f>
        <v>0</v>
      </c>
      <c r="Z29" s="23">
        <f>IF(C29="","",SUMIFS(Analytics!$G$5:$G$154,Analytics!$E$5:$E$154,C29)-SUMIFS(Analytics!$F$5:$F$154,Analytics!$E$5:$E$154,C29))</f>
        <v>0</v>
      </c>
      <c r="AA29" s="16">
        <f>IF(B29="","",IF(SUMPRODUCT(MAX(('Content Calendar'!$G$5:$G$604=B29)*('Content Calendar'!$X$5:$X$604="Published")*'Content Calendar'!$B$5:$B$604))=0,"",SUMPRODUCT(MAX(('Content Calendar'!$G$5:$G$604=B29)*('Content Calendar'!$X$5:$X$604="Published")*'Content Calendar'!$B$5:$B$604))))</f>
        <v>0</v>
      </c>
      <c r="AB29" s="23">
        <f>IF(AA29="","",TODAY()-AA29)</f>
        <v>0</v>
      </c>
      <c r="AC29" s="29">
        <f>IF(C29="","",IF(S29&lt;1,"Action - finish the profile checklist",IF(AND(ISNUMBER(AB29),AB29&gt;QuietAccountDays),"Check - account has gone quiet",IF(AND(Y29&lt;&gt;"",Y29&lt;TargetEngagement),"Check - engagement below target","OK"))))</f>
        <v>0</v>
      </c>
    </row>
    <row r="30" spans="1:29">
      <c r="A30" s="41">
        <f>IF(C30="","","ACC-"&amp;TEXT(ROW()-4,"000"))</f>
        <v>0</v>
      </c>
      <c r="S30" s="24">
        <f>IF(C30="","",(((M30="Yes")*1)+((N30="Yes")*1)+((O30="Yes")*1)+((P30="Yes")*1)+((Q30="Yes")*1)+((R30="Yes")*1))/6)</f>
        <v>0</v>
      </c>
      <c r="U30" s="23">
        <f>IF(B30="","",COUNTIFS('Content Calendar'!$G$5:$G$604,B30,'Content Calendar'!$B$5:$B$604,"&gt;="&amp;DATE(PlanYear,1,1),'Content Calendar'!$B$5:$B$604,"&lt;="&amp;DATE(PlanYear,12,31)))</f>
        <v>0</v>
      </c>
      <c r="V30" s="23">
        <f>IF(B30="","",COUNTIFS('Content Calendar'!$G$5:$G$604,B30,'Content Calendar'!$X$5:$X$604,"Published",'Content Calendar'!$B$5:$B$604,"&gt;="&amp;DATE(PlanYear,1,1),'Content Calendar'!$B$5:$B$604,"&lt;="&amp;DATE(PlanYear,12,31)))</f>
        <v>0</v>
      </c>
      <c r="W30" s="23">
        <f>IF(C30="","",SUMIFS(Analytics!$J$5:$J$154,Analytics!$E$5:$E$154,C30,Analytics!$D$5:$D$154,B30))</f>
        <v>0</v>
      </c>
      <c r="X30" s="23">
        <f>IF(C30="","",SUMIFS(Analytics!$L$5:$L$154,Analytics!$E$5:$E$154,C30,Analytics!$D$5:$D$154,B30))</f>
        <v>0</v>
      </c>
      <c r="Y30" s="24">
        <f>IF(OR(W30="",W30=0),"",X30/W30)</f>
        <v>0</v>
      </c>
      <c r="Z30" s="23">
        <f>IF(C30="","",SUMIFS(Analytics!$G$5:$G$154,Analytics!$E$5:$E$154,C30)-SUMIFS(Analytics!$F$5:$F$154,Analytics!$E$5:$E$154,C30))</f>
        <v>0</v>
      </c>
      <c r="AA30" s="16">
        <f>IF(B30="","",IF(SUMPRODUCT(MAX(('Content Calendar'!$G$5:$G$604=B30)*('Content Calendar'!$X$5:$X$604="Published")*'Content Calendar'!$B$5:$B$604))=0,"",SUMPRODUCT(MAX(('Content Calendar'!$G$5:$G$604=B30)*('Content Calendar'!$X$5:$X$604="Published")*'Content Calendar'!$B$5:$B$604))))</f>
        <v>0</v>
      </c>
      <c r="AB30" s="23">
        <f>IF(AA30="","",TODAY()-AA30)</f>
        <v>0</v>
      </c>
      <c r="AC30" s="29">
        <f>IF(C30="","",IF(S30&lt;1,"Action - finish the profile checklist",IF(AND(ISNUMBER(AB30),AB30&gt;QuietAccountDays),"Check - account has gone quiet",IF(AND(Y30&lt;&gt;"",Y30&lt;TargetEngagement),"Check - engagement below target","OK"))))</f>
        <v>0</v>
      </c>
    </row>
    <row r="31" spans="1:29">
      <c r="A31" s="41">
        <f>IF(C31="","","ACC-"&amp;TEXT(ROW()-4,"000"))</f>
        <v>0</v>
      </c>
      <c r="S31" s="24">
        <f>IF(C31="","",(((M31="Yes")*1)+((N31="Yes")*1)+((O31="Yes")*1)+((P31="Yes")*1)+((Q31="Yes")*1)+((R31="Yes")*1))/6)</f>
        <v>0</v>
      </c>
      <c r="U31" s="23">
        <f>IF(B31="","",COUNTIFS('Content Calendar'!$G$5:$G$604,B31,'Content Calendar'!$B$5:$B$604,"&gt;="&amp;DATE(PlanYear,1,1),'Content Calendar'!$B$5:$B$604,"&lt;="&amp;DATE(PlanYear,12,31)))</f>
        <v>0</v>
      </c>
      <c r="V31" s="23">
        <f>IF(B31="","",COUNTIFS('Content Calendar'!$G$5:$G$604,B31,'Content Calendar'!$X$5:$X$604,"Published",'Content Calendar'!$B$5:$B$604,"&gt;="&amp;DATE(PlanYear,1,1),'Content Calendar'!$B$5:$B$604,"&lt;="&amp;DATE(PlanYear,12,31)))</f>
        <v>0</v>
      </c>
      <c r="W31" s="23">
        <f>IF(C31="","",SUMIFS(Analytics!$J$5:$J$154,Analytics!$E$5:$E$154,C31,Analytics!$D$5:$D$154,B31))</f>
        <v>0</v>
      </c>
      <c r="X31" s="23">
        <f>IF(C31="","",SUMIFS(Analytics!$L$5:$L$154,Analytics!$E$5:$E$154,C31,Analytics!$D$5:$D$154,B31))</f>
        <v>0</v>
      </c>
      <c r="Y31" s="24">
        <f>IF(OR(W31="",W31=0),"",X31/W31)</f>
        <v>0</v>
      </c>
      <c r="Z31" s="23">
        <f>IF(C31="","",SUMIFS(Analytics!$G$5:$G$154,Analytics!$E$5:$E$154,C31)-SUMIFS(Analytics!$F$5:$F$154,Analytics!$E$5:$E$154,C31))</f>
        <v>0</v>
      </c>
      <c r="AA31" s="16">
        <f>IF(B31="","",IF(SUMPRODUCT(MAX(('Content Calendar'!$G$5:$G$604=B31)*('Content Calendar'!$X$5:$X$604="Published")*'Content Calendar'!$B$5:$B$604))=0,"",SUMPRODUCT(MAX(('Content Calendar'!$G$5:$G$604=B31)*('Content Calendar'!$X$5:$X$604="Published")*'Content Calendar'!$B$5:$B$604))))</f>
        <v>0</v>
      </c>
      <c r="AB31" s="23">
        <f>IF(AA31="","",TODAY()-AA31)</f>
        <v>0</v>
      </c>
      <c r="AC31" s="29">
        <f>IF(C31="","",IF(S31&lt;1,"Action - finish the profile checklist",IF(AND(ISNUMBER(AB31),AB31&gt;QuietAccountDays),"Check - account has gone quiet",IF(AND(Y31&lt;&gt;"",Y31&lt;TargetEngagement),"Check - engagement below target","OK"))))</f>
        <v>0</v>
      </c>
    </row>
    <row r="32" spans="1:29">
      <c r="A32" s="41">
        <f>IF(C32="","","ACC-"&amp;TEXT(ROW()-4,"000"))</f>
        <v>0</v>
      </c>
      <c r="S32" s="24">
        <f>IF(C32="","",(((M32="Yes")*1)+((N32="Yes")*1)+((O32="Yes")*1)+((P32="Yes")*1)+((Q32="Yes")*1)+((R32="Yes")*1))/6)</f>
        <v>0</v>
      </c>
      <c r="U32" s="23">
        <f>IF(B32="","",COUNTIFS('Content Calendar'!$G$5:$G$604,B32,'Content Calendar'!$B$5:$B$604,"&gt;="&amp;DATE(PlanYear,1,1),'Content Calendar'!$B$5:$B$604,"&lt;="&amp;DATE(PlanYear,12,31)))</f>
        <v>0</v>
      </c>
      <c r="V32" s="23">
        <f>IF(B32="","",COUNTIFS('Content Calendar'!$G$5:$G$604,B32,'Content Calendar'!$X$5:$X$604,"Published",'Content Calendar'!$B$5:$B$604,"&gt;="&amp;DATE(PlanYear,1,1),'Content Calendar'!$B$5:$B$604,"&lt;="&amp;DATE(PlanYear,12,31)))</f>
        <v>0</v>
      </c>
      <c r="W32" s="23">
        <f>IF(C32="","",SUMIFS(Analytics!$J$5:$J$154,Analytics!$E$5:$E$154,C32,Analytics!$D$5:$D$154,B32))</f>
        <v>0</v>
      </c>
      <c r="X32" s="23">
        <f>IF(C32="","",SUMIFS(Analytics!$L$5:$L$154,Analytics!$E$5:$E$154,C32,Analytics!$D$5:$D$154,B32))</f>
        <v>0</v>
      </c>
      <c r="Y32" s="24">
        <f>IF(OR(W32="",W32=0),"",X32/W32)</f>
        <v>0</v>
      </c>
      <c r="Z32" s="23">
        <f>IF(C32="","",SUMIFS(Analytics!$G$5:$G$154,Analytics!$E$5:$E$154,C32)-SUMIFS(Analytics!$F$5:$F$154,Analytics!$E$5:$E$154,C32))</f>
        <v>0</v>
      </c>
      <c r="AA32" s="16">
        <f>IF(B32="","",IF(SUMPRODUCT(MAX(('Content Calendar'!$G$5:$G$604=B32)*('Content Calendar'!$X$5:$X$604="Published")*'Content Calendar'!$B$5:$B$604))=0,"",SUMPRODUCT(MAX(('Content Calendar'!$G$5:$G$604=B32)*('Content Calendar'!$X$5:$X$604="Published")*'Content Calendar'!$B$5:$B$604))))</f>
        <v>0</v>
      </c>
      <c r="AB32" s="23">
        <f>IF(AA32="","",TODAY()-AA32)</f>
        <v>0</v>
      </c>
      <c r="AC32" s="29">
        <f>IF(C32="","",IF(S32&lt;1,"Action - finish the profile checklist",IF(AND(ISNUMBER(AB32),AB32&gt;QuietAccountDays),"Check - account has gone quiet",IF(AND(Y32&lt;&gt;"",Y32&lt;TargetEngagement),"Check - engagement below target","OK"))))</f>
        <v>0</v>
      </c>
    </row>
    <row r="33" spans="1:29">
      <c r="A33" s="41">
        <f>IF(C33="","","ACC-"&amp;TEXT(ROW()-4,"000"))</f>
        <v>0</v>
      </c>
      <c r="S33" s="24">
        <f>IF(C33="","",(((M33="Yes")*1)+((N33="Yes")*1)+((O33="Yes")*1)+((P33="Yes")*1)+((Q33="Yes")*1)+((R33="Yes")*1))/6)</f>
        <v>0</v>
      </c>
      <c r="U33" s="23">
        <f>IF(B33="","",COUNTIFS('Content Calendar'!$G$5:$G$604,B33,'Content Calendar'!$B$5:$B$604,"&gt;="&amp;DATE(PlanYear,1,1),'Content Calendar'!$B$5:$B$604,"&lt;="&amp;DATE(PlanYear,12,31)))</f>
        <v>0</v>
      </c>
      <c r="V33" s="23">
        <f>IF(B33="","",COUNTIFS('Content Calendar'!$G$5:$G$604,B33,'Content Calendar'!$X$5:$X$604,"Published",'Content Calendar'!$B$5:$B$604,"&gt;="&amp;DATE(PlanYear,1,1),'Content Calendar'!$B$5:$B$604,"&lt;="&amp;DATE(PlanYear,12,31)))</f>
        <v>0</v>
      </c>
      <c r="W33" s="23">
        <f>IF(C33="","",SUMIFS(Analytics!$J$5:$J$154,Analytics!$E$5:$E$154,C33,Analytics!$D$5:$D$154,B33))</f>
        <v>0</v>
      </c>
      <c r="X33" s="23">
        <f>IF(C33="","",SUMIFS(Analytics!$L$5:$L$154,Analytics!$E$5:$E$154,C33,Analytics!$D$5:$D$154,B33))</f>
        <v>0</v>
      </c>
      <c r="Y33" s="24">
        <f>IF(OR(W33="",W33=0),"",X33/W33)</f>
        <v>0</v>
      </c>
      <c r="Z33" s="23">
        <f>IF(C33="","",SUMIFS(Analytics!$G$5:$G$154,Analytics!$E$5:$E$154,C33)-SUMIFS(Analytics!$F$5:$F$154,Analytics!$E$5:$E$154,C33))</f>
        <v>0</v>
      </c>
      <c r="AA33" s="16">
        <f>IF(B33="","",IF(SUMPRODUCT(MAX(('Content Calendar'!$G$5:$G$604=B33)*('Content Calendar'!$X$5:$X$604="Published")*'Content Calendar'!$B$5:$B$604))=0,"",SUMPRODUCT(MAX(('Content Calendar'!$G$5:$G$604=B33)*('Content Calendar'!$X$5:$X$604="Published")*'Content Calendar'!$B$5:$B$604))))</f>
        <v>0</v>
      </c>
      <c r="AB33" s="23">
        <f>IF(AA33="","",TODAY()-AA33)</f>
        <v>0</v>
      </c>
      <c r="AC33" s="29">
        <f>IF(C33="","",IF(S33&lt;1,"Action - finish the profile checklist",IF(AND(ISNUMBER(AB33),AB33&gt;QuietAccountDays),"Check - account has gone quiet",IF(AND(Y33&lt;&gt;"",Y33&lt;TargetEngagement),"Check - engagement below target","OK"))))</f>
        <v>0</v>
      </c>
    </row>
    <row r="34" spans="1:29">
      <c r="A34" s="41">
        <f>IF(C34="","","ACC-"&amp;TEXT(ROW()-4,"000"))</f>
        <v>0</v>
      </c>
      <c r="S34" s="24">
        <f>IF(C34="","",(((M34="Yes")*1)+((N34="Yes")*1)+((O34="Yes")*1)+((P34="Yes")*1)+((Q34="Yes")*1)+((R34="Yes")*1))/6)</f>
        <v>0</v>
      </c>
      <c r="U34" s="23">
        <f>IF(B34="","",COUNTIFS('Content Calendar'!$G$5:$G$604,B34,'Content Calendar'!$B$5:$B$604,"&gt;="&amp;DATE(PlanYear,1,1),'Content Calendar'!$B$5:$B$604,"&lt;="&amp;DATE(PlanYear,12,31)))</f>
        <v>0</v>
      </c>
      <c r="V34" s="23">
        <f>IF(B34="","",COUNTIFS('Content Calendar'!$G$5:$G$604,B34,'Content Calendar'!$X$5:$X$604,"Published",'Content Calendar'!$B$5:$B$604,"&gt;="&amp;DATE(PlanYear,1,1),'Content Calendar'!$B$5:$B$604,"&lt;="&amp;DATE(PlanYear,12,31)))</f>
        <v>0</v>
      </c>
      <c r="W34" s="23">
        <f>IF(C34="","",SUMIFS(Analytics!$J$5:$J$154,Analytics!$E$5:$E$154,C34,Analytics!$D$5:$D$154,B34))</f>
        <v>0</v>
      </c>
      <c r="X34" s="23">
        <f>IF(C34="","",SUMIFS(Analytics!$L$5:$L$154,Analytics!$E$5:$E$154,C34,Analytics!$D$5:$D$154,B34))</f>
        <v>0</v>
      </c>
      <c r="Y34" s="24">
        <f>IF(OR(W34="",W34=0),"",X34/W34)</f>
        <v>0</v>
      </c>
      <c r="Z34" s="23">
        <f>IF(C34="","",SUMIFS(Analytics!$G$5:$G$154,Analytics!$E$5:$E$154,C34)-SUMIFS(Analytics!$F$5:$F$154,Analytics!$E$5:$E$154,C34))</f>
        <v>0</v>
      </c>
      <c r="AA34" s="16">
        <f>IF(B34="","",IF(SUMPRODUCT(MAX(('Content Calendar'!$G$5:$G$604=B34)*('Content Calendar'!$X$5:$X$604="Published")*'Content Calendar'!$B$5:$B$604))=0,"",SUMPRODUCT(MAX(('Content Calendar'!$G$5:$G$604=B34)*('Content Calendar'!$X$5:$X$604="Published")*'Content Calendar'!$B$5:$B$604))))</f>
        <v>0</v>
      </c>
      <c r="AB34" s="23">
        <f>IF(AA34="","",TODAY()-AA34)</f>
        <v>0</v>
      </c>
      <c r="AC34" s="29">
        <f>IF(C34="","",IF(S34&lt;1,"Action - finish the profile checklist",IF(AND(ISNUMBER(AB34),AB34&gt;QuietAccountDays),"Check - account has gone quiet",IF(AND(Y34&lt;&gt;"",Y34&lt;TargetEngagement),"Check - engagement below target","OK"))))</f>
        <v>0</v>
      </c>
    </row>
  </sheetData>
  <sheetProtection password="EC7C" sheet="1" objects="1" scenarios="1" formatCells="0" formatColumns="0" formatRows="0" insertRows="0" insertHyperlinks="0" deleteRows="0" autoFilter="0"/>
  <autoFilter ref="A4:AD34"/>
  <mergeCells count="13">
    <mergeCell ref="A1:AA1"/>
    <mergeCell ref="AB1:AD1"/>
    <mergeCell ref="A2:AD2"/>
    <mergeCell ref="A3:B3"/>
    <mergeCell ref="C3:D3"/>
    <mergeCell ref="E3:F3"/>
    <mergeCell ref="G3:H3"/>
    <mergeCell ref="I3:J3"/>
    <mergeCell ref="K3:L3"/>
    <mergeCell ref="M3:N3"/>
    <mergeCell ref="O3:P3"/>
    <mergeCell ref="Q3:R3"/>
    <mergeCell ref="S3:AD3"/>
  </mergeCells>
  <conditionalFormatting sqref="AB5:AB34">
    <cfRule type="cellIs" dxfId="2" priority="19" operator="greaterThan">
      <formula>QuietAccountDays</formula>
    </cfRule>
  </conditionalFormatting>
  <conditionalFormatting sqref="AC5:AC34">
    <cfRule type="beginsWith" dxfId="0" priority="20" operator="beginsWith" text="OK">
      <formula>LEFT(AC5,2)="OK"</formula>
    </cfRule>
    <cfRule type="containsText" dxfId="1" priority="21" operator="containsText" text="Overdue">
      <formula>NOT(ISERROR(SEARCH("Overdue",AC5)))</formula>
    </cfRule>
    <cfRule type="containsText" dxfId="1" priority="22" operator="containsText" text="Late">
      <formula>NOT(ISERROR(SEARCH("Late",AC5)))</formula>
    </cfRule>
    <cfRule type="containsText" dxfId="1" priority="23" operator="containsText" text="Missing">
      <formula>NOT(ISERROR(SEARCH("Missing",AC5)))</formula>
    </cfRule>
    <cfRule type="containsText" dxfId="1" priority="24" operator="containsText" text="Conflict">
      <formula>NOT(ISERROR(SEARCH("Conflict",AC5)))</formula>
    </cfRule>
    <cfRule type="containsText" dxfId="1" priority="25" operator="containsText" text="Expired">
      <formula>NOT(ISERROR(SEARCH("Expired",AC5)))</formula>
    </cfRule>
    <cfRule type="containsText" dxfId="1" priority="26" operator="containsText" text="Duplicate">
      <formula>NOT(ISERROR(SEARCH("Duplicate",AC5)))</formula>
    </cfRule>
    <cfRule type="containsText" dxfId="2" priority="27" operator="containsText" text="Action">
      <formula>NOT(ISERROR(SEARCH("Action",AC5)))</formula>
    </cfRule>
    <cfRule type="containsText" dxfId="2" priority="28" operator="containsText" text="Due">
      <formula>NOT(ISERROR(SEARCH("Due",AC5)))</formula>
    </cfRule>
    <cfRule type="containsText" dxfId="2" priority="29" operator="containsText" text="Check">
      <formula>NOT(ISERROR(SEARCH("Check",AC5)))</formula>
    </cfRule>
    <cfRule type="containsText" dxfId="2" priority="30" operator="containsText" text="Add">
      <formula>NOT(ISERROR(SEARCH("Add",AC5)))</formula>
    </cfRule>
    <cfRule type="containsText" dxfId="3" priority="31" operator="containsText" text="Today">
      <formula>NOT(ISERROR(SEARCH("Today",AC5)))</formula>
    </cfRule>
    <cfRule type="containsText" dxfId="3" priority="32" operator="containsText" text="Upcoming">
      <formula>NOT(ISERROR(SEARCH("Upcoming",AC5)))</formula>
    </cfRule>
  </conditionalFormatting>
  <conditionalFormatting sqref="J5:J34">
    <cfRule type="dataBar" priority="1">
      <dataBar>
        <cfvo type="min" val="0"/>
        <cfvo type="max" val="0"/>
        <color rgb="FF6350A8"/>
      </dataBar>
    </cfRule>
  </conditionalFormatting>
  <conditionalFormatting sqref="M5:M34">
    <cfRule type="containsText" dxfId="2" priority="2" operator="containsText" text="No">
      <formula>NOT(ISERROR(SEARCH("No",M5)))</formula>
    </cfRule>
    <cfRule type="containsText" dxfId="0" priority="3" operator="containsText" text="Yes">
      <formula>NOT(ISERROR(SEARCH("Yes",M5)))</formula>
    </cfRule>
  </conditionalFormatting>
  <conditionalFormatting sqref="N5:N34">
    <cfRule type="containsText" dxfId="2" priority="4" operator="containsText" text="No">
      <formula>NOT(ISERROR(SEARCH("No",N5)))</formula>
    </cfRule>
    <cfRule type="containsText" dxfId="0" priority="5" operator="containsText" text="Yes">
      <formula>NOT(ISERROR(SEARCH("Yes",N5)))</formula>
    </cfRule>
  </conditionalFormatting>
  <conditionalFormatting sqref="O5:O34">
    <cfRule type="containsText" dxfId="2" priority="6" operator="containsText" text="No">
      <formula>NOT(ISERROR(SEARCH("No",O5)))</formula>
    </cfRule>
    <cfRule type="containsText" dxfId="0" priority="7" operator="containsText" text="Yes">
      <formula>NOT(ISERROR(SEARCH("Yes",O5)))</formula>
    </cfRule>
  </conditionalFormatting>
  <conditionalFormatting sqref="P5:P34">
    <cfRule type="containsText" dxfId="2" priority="8" operator="containsText" text="No">
      <formula>NOT(ISERROR(SEARCH("No",P5)))</formula>
    </cfRule>
    <cfRule type="containsText" dxfId="0" priority="9" operator="containsText" text="Yes">
      <formula>NOT(ISERROR(SEARCH("Yes",P5)))</formula>
    </cfRule>
  </conditionalFormatting>
  <conditionalFormatting sqref="Q5:Q34">
    <cfRule type="containsText" dxfId="2" priority="10" operator="containsText" text="No">
      <formula>NOT(ISERROR(SEARCH("No",Q5)))</formula>
    </cfRule>
    <cfRule type="containsText" dxfId="0" priority="11" operator="containsText" text="Yes">
      <formula>NOT(ISERROR(SEARCH("Yes",Q5)))</formula>
    </cfRule>
  </conditionalFormatting>
  <conditionalFormatting sqref="R5:R34">
    <cfRule type="containsText" dxfId="2" priority="12" operator="containsText" text="No">
      <formula>NOT(ISERROR(SEARCH("No",R5)))</formula>
    </cfRule>
    <cfRule type="containsText" dxfId="0" priority="13" operator="containsText" text="Yes">
      <formula>NOT(ISERROR(SEARCH("Yes",R5)))</formula>
    </cfRule>
  </conditionalFormatting>
  <conditionalFormatting sqref="S5:S34">
    <cfRule type="cellIs" dxfId="0" priority="14" operator="greaterThanOrEqual">
      <formula>1</formula>
    </cfRule>
    <cfRule type="cellIs" dxfId="2" priority="15" operator="lessThan">
      <formula>1</formula>
    </cfRule>
  </conditionalFormatting>
  <conditionalFormatting sqref="W5:W34">
    <cfRule type="dataBar" priority="16">
      <dataBar>
        <cfvo type="min" val="0"/>
        <cfvo type="max" val="0"/>
        <color rgb="FF6350A8"/>
      </dataBar>
    </cfRule>
  </conditionalFormatting>
  <conditionalFormatting sqref="Y5:Y34">
    <cfRule type="cellIs" dxfId="0" priority="17" operator="greaterThanOrEqual">
      <formula>TargetEngagement</formula>
    </cfRule>
    <cfRule type="cellIs" dxfId="2" priority="18" operator="lessThan">
      <formula>TargetEngagement</formula>
    </cfRule>
  </conditionalFormatting>
  <dataValidations count="12">
    <dataValidation type="list" allowBlank="1" showInputMessage="1" showErrorMessage="1" promptTitle="Platform" prompt="Pick from the Lists tab. Everything else in the workbook groups on this." sqref="B5:B34">
      <formula1>PlatformList</formula1>
    </dataValidation>
    <dataValidation type="list" allowBlank="1" showInputMessage="1" showErrorMessage="1" sqref="F5:F34">
      <formula1>AccountTypeList</formula1>
    </dataValidation>
    <dataValidation type="list" allowBlank="1" showInputMessage="1" showErrorMessage="1" sqref="G5:G34">
      <formula1>TeamNames</formula1>
    </dataValidation>
    <dataValidation type="whole" allowBlank="1" showInputMessage="1" showErrorMessage="1" errorTitle="Check the value" error="Enter a number between 0 and 1000000000." promptTitle="Followers today" prompt="Type today's number. The monthly history lives on the Analytics tab." sqref="J5:J34">
      <formula1>0</formula1>
      <formula2>1000000000</formula2>
    </dataValidation>
    <dataValidation type="date" allowBlank="1" showInputMessage="1" showErrorMessage="1" errorTitle="Check the date" error="Enter a real date between 2000 and 2100." sqref="K5:K34">
      <formula1>36526</formula1>
      <formula2>73415</formula2>
    </dataValidation>
    <dataValidation type="whole" allowBlank="1" showInputMessage="1" showErrorMessage="1" errorTitle="Check the value" error="Enter a number between 0 and 100." sqref="L5:L34">
      <formula1>0</formula1>
      <formula2>100</formula2>
    </dataValidation>
    <dataValidation type="list" allowBlank="1" showInputMessage="1" showErrorMessage="1" sqref="M5:M34">
      <formula1>YesNoList</formula1>
    </dataValidation>
    <dataValidation type="list" allowBlank="1" showInputMessage="1" showErrorMessage="1" sqref="N5:N34">
      <formula1>YesNoList</formula1>
    </dataValidation>
    <dataValidation type="list" allowBlank="1" showInputMessage="1" showErrorMessage="1" sqref="O5:O34">
      <formula1>YesNoList</formula1>
    </dataValidation>
    <dataValidation type="list" allowBlank="1" showInputMessage="1" showErrorMessage="1" sqref="P5:P34">
      <formula1>YesNoList</formula1>
    </dataValidation>
    <dataValidation type="list" allowBlank="1" showInputMessage="1" showErrorMessage="1" sqref="Q5:Q34">
      <formula1>YesNoList</formula1>
    </dataValidation>
    <dataValidation type="list" allowBlank="1" showInputMessage="1" showErrorMessage="1" sqref="R5:R34">
      <formula1>YesNoList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&amp;L&amp;"Calibri,Bold"&amp;12&amp;C&amp;"Calibri,Bold"&amp;11Accounts&amp;R&amp;"Calibri,Italic"&amp;9Social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6350A8"/>
    <pageSetUpPr fitToPage="1"/>
  </sheetPr>
  <dimension ref="A1:Z1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41" customWidth="1"/>
    <col min="2" max="2" width="20.7109375" style="15" customWidth="1"/>
    <col min="3" max="3" width="11.7109375" style="15" customWidth="1"/>
    <col min="4" max="4" width="20.7109375" style="15" customWidth="1"/>
    <col min="5" max="5" width="30.7109375" style="39" customWidth="1"/>
    <col min="6" max="6" width="32.7109375" style="39" customWidth="1"/>
    <col min="7" max="7" width="30.7109375" style="39" customWidth="1"/>
    <col min="8" max="8" width="26.7109375" style="39" customWidth="1"/>
    <col min="9" max="9" width="26.7109375" style="39" customWidth="1"/>
    <col min="10" max="10" width="15.7109375" style="15" customWidth="1"/>
    <col min="11" max="11" width="15.7109375" style="15" customWidth="1"/>
    <col min="12" max="12" width="14.7109375" style="15" customWidth="1"/>
    <col min="13" max="13" width="24.7109375" style="39" customWidth="1"/>
    <col min="14" max="14" width="28.7109375" style="39" customWidth="1"/>
    <col min="15" max="15" width="24.7109375" style="39" customWidth="1"/>
    <col min="16" max="16" width="28.7109375" style="39" customWidth="1"/>
    <col min="17" max="17" width="28.7109375" style="39" customWidth="1"/>
    <col min="18" max="18" width="28.7109375" style="39" customWidth="1"/>
    <col min="19" max="19" width="28.7109375" style="39" customWidth="1"/>
    <col min="20" max="20" width="11.7109375" style="23" customWidth="1"/>
    <col min="21" max="21" width="10.7109375" style="23" customWidth="1"/>
    <col min="22" max="22" width="11.7109375" style="23" customWidth="1"/>
    <col min="23" max="23" width="12.7109375" style="23" customWidth="1"/>
    <col min="24" max="24" width="12.7109375" style="24" customWidth="1"/>
    <col min="25" max="25" width="24.7109375" style="29" customWidth="1"/>
    <col min="26" max="26" width="26.7109375" style="39" customWidth="1"/>
  </cols>
  <sheetData>
    <row r="1" spans="1:26" ht="34" customHeight="1">
      <c r="A1" s="2" t="s">
        <v>810</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811</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812</v>
      </c>
      <c r="T3" s="38"/>
      <c r="U3" s="38"/>
      <c r="V3" s="38"/>
      <c r="W3" s="38"/>
      <c r="X3" s="38"/>
      <c r="Y3" s="38"/>
      <c r="Z3" s="38"/>
    </row>
    <row r="4" spans="1:26" ht="30" customHeight="1">
      <c r="A4" s="8" t="s">
        <v>766</v>
      </c>
      <c r="B4" s="8" t="s">
        <v>813</v>
      </c>
      <c r="C4" s="9" t="s">
        <v>814</v>
      </c>
      <c r="D4" s="9" t="s">
        <v>815</v>
      </c>
      <c r="E4" s="9" t="s">
        <v>816</v>
      </c>
      <c r="F4" s="9" t="s">
        <v>817</v>
      </c>
      <c r="G4" s="9" t="s">
        <v>818</v>
      </c>
      <c r="H4" s="9" t="s">
        <v>819</v>
      </c>
      <c r="I4" s="9" t="s">
        <v>820</v>
      </c>
      <c r="J4" s="9" t="s">
        <v>821</v>
      </c>
      <c r="K4" s="9" t="s">
        <v>822</v>
      </c>
      <c r="L4" s="9" t="s">
        <v>823</v>
      </c>
      <c r="M4" s="9" t="s">
        <v>824</v>
      </c>
      <c r="N4" s="9" t="s">
        <v>825</v>
      </c>
      <c r="O4" s="9" t="s">
        <v>826</v>
      </c>
      <c r="P4" s="9" t="s">
        <v>827</v>
      </c>
      <c r="Q4" s="9" t="s">
        <v>828</v>
      </c>
      <c r="R4" s="9" t="s">
        <v>829</v>
      </c>
      <c r="S4" s="9" t="s">
        <v>830</v>
      </c>
      <c r="T4" s="9" t="s">
        <v>136</v>
      </c>
      <c r="U4" s="9" t="s">
        <v>138</v>
      </c>
      <c r="V4" s="9" t="s">
        <v>831</v>
      </c>
      <c r="W4" s="9" t="s">
        <v>832</v>
      </c>
      <c r="X4" s="9" t="s">
        <v>833</v>
      </c>
      <c r="Y4" s="9" t="s">
        <v>787</v>
      </c>
      <c r="Z4" s="9" t="s">
        <v>788</v>
      </c>
    </row>
    <row r="5" spans="1:26">
      <c r="A5" s="41">
        <f>IF(B5="","","P-"&amp;TEXT(ROW()-4,"00"))</f>
        <v>0</v>
      </c>
      <c r="B5" s="15" t="s">
        <v>834</v>
      </c>
      <c r="C5" s="15" t="s">
        <v>835</v>
      </c>
      <c r="D5" s="15" t="s">
        <v>836</v>
      </c>
      <c r="E5" s="39" t="s">
        <v>837</v>
      </c>
      <c r="F5" s="39" t="s">
        <v>838</v>
      </c>
      <c r="G5" s="39" t="s">
        <v>839</v>
      </c>
      <c r="H5" s="39" t="s">
        <v>840</v>
      </c>
      <c r="I5" s="39" t="s">
        <v>841</v>
      </c>
      <c r="J5" s="15" t="s">
        <v>376</v>
      </c>
      <c r="K5" s="15" t="s">
        <v>397</v>
      </c>
      <c r="L5" s="15" t="s">
        <v>427</v>
      </c>
      <c r="M5" s="39" t="s">
        <v>842</v>
      </c>
      <c r="N5" s="39" t="s">
        <v>843</v>
      </c>
      <c r="O5" s="39" t="s">
        <v>844</v>
      </c>
      <c r="P5" s="39" t="s">
        <v>845</v>
      </c>
      <c r="Q5" s="39" t="s">
        <v>846</v>
      </c>
      <c r="R5" s="39" t="s">
        <v>847</v>
      </c>
      <c r="S5" s="39" t="s">
        <v>848</v>
      </c>
      <c r="T5" s="23">
        <f>IF(B5="","",COUNTIF('Content Calendar'!$O$5:$O$604,B5))</f>
        <v>0</v>
      </c>
      <c r="U5" s="23">
        <f>IF(B5="","",COUNTIFS('Content Calendar'!$O$5:$O$604,B5,'Content Calendar'!$X$5:$X$604,"Published"))</f>
        <v>0</v>
      </c>
      <c r="V5" s="23">
        <f>IF(B5="","",COUNTIFS('Idea Bank'!$D$5:$D$304,B5,'Idea Bank'!$T$5:$T$304,"&lt;&gt;Used"))</f>
        <v>0</v>
      </c>
      <c r="W5" s="23">
        <f>IF(B5="","",COUNTIF('Caption Bank'!$E$5:$E$204,B5))</f>
        <v>0</v>
      </c>
      <c r="X5" s="24">
        <f>IF(OR(B5="",COUNTA('Content Calendar'!$O$5:$O$604)=0),"",T5/MAX(1,COUNTA('Content Calendar'!$O$5:$O$604)))</f>
        <v>0</v>
      </c>
      <c r="Y5" s="29">
        <f>IF(B5="","",IF(T5=0,"Action - nothing planned for this persona",IF(W5=0,"Add - no captions written yet","OK")))</f>
        <v>0</v>
      </c>
      <c r="Z5" s="39" t="s">
        <v>205</v>
      </c>
    </row>
    <row r="6" spans="1:26">
      <c r="A6" s="41">
        <f>IF(B6="","","P-"&amp;TEXT(ROW()-4,"00"))</f>
        <v>0</v>
      </c>
      <c r="B6" s="15" t="s">
        <v>849</v>
      </c>
      <c r="C6" s="15" t="s">
        <v>850</v>
      </c>
      <c r="D6" s="15" t="s">
        <v>851</v>
      </c>
      <c r="E6" s="39" t="s">
        <v>852</v>
      </c>
      <c r="F6" s="39" t="s">
        <v>853</v>
      </c>
      <c r="G6" s="39" t="s">
        <v>854</v>
      </c>
      <c r="H6" s="39" t="s">
        <v>855</v>
      </c>
      <c r="I6" s="39" t="s">
        <v>856</v>
      </c>
      <c r="J6" s="15" t="s">
        <v>378</v>
      </c>
      <c r="K6" s="15" t="s">
        <v>408</v>
      </c>
      <c r="L6" s="15" t="s">
        <v>436</v>
      </c>
      <c r="M6" s="39" t="s">
        <v>842</v>
      </c>
      <c r="N6" s="39" t="s">
        <v>843</v>
      </c>
      <c r="O6" s="39" t="s">
        <v>844</v>
      </c>
      <c r="P6" s="39" t="s">
        <v>845</v>
      </c>
      <c r="Q6" s="39" t="s">
        <v>846</v>
      </c>
      <c r="R6" s="39" t="s">
        <v>847</v>
      </c>
      <c r="S6" s="39" t="s">
        <v>848</v>
      </c>
      <c r="T6" s="23">
        <f>IF(B6="","",COUNTIF('Content Calendar'!$O$5:$O$604,B6))</f>
        <v>0</v>
      </c>
      <c r="U6" s="23">
        <f>IF(B6="","",COUNTIFS('Content Calendar'!$O$5:$O$604,B6,'Content Calendar'!$X$5:$X$604,"Published"))</f>
        <v>0</v>
      </c>
      <c r="V6" s="23">
        <f>IF(B6="","",COUNTIFS('Idea Bank'!$D$5:$D$304,B6,'Idea Bank'!$T$5:$T$304,"&lt;&gt;Used"))</f>
        <v>0</v>
      </c>
      <c r="W6" s="23">
        <f>IF(B6="","",COUNTIF('Caption Bank'!$E$5:$E$204,B6))</f>
        <v>0</v>
      </c>
      <c r="X6" s="24">
        <f>IF(OR(B6="",COUNTA('Content Calendar'!$O$5:$O$604)=0),"",T6/MAX(1,COUNTA('Content Calendar'!$O$5:$O$604)))</f>
        <v>0</v>
      </c>
      <c r="Y6" s="29">
        <f>IF(B6="","",IF(T6=0,"Action - nothing planned for this persona",IF(W6=0,"Add - no captions written yet","OK")))</f>
        <v>0</v>
      </c>
      <c r="Z6" s="39" t="s">
        <v>857</v>
      </c>
    </row>
    <row r="7" spans="1:26">
      <c r="A7" s="41">
        <f>IF(B7="","","P-"&amp;TEXT(ROW()-4,"00"))</f>
        <v>0</v>
      </c>
      <c r="B7" s="15" t="s">
        <v>858</v>
      </c>
      <c r="C7" s="15" t="s">
        <v>859</v>
      </c>
      <c r="D7" s="15" t="s">
        <v>860</v>
      </c>
      <c r="E7" s="39" t="s">
        <v>861</v>
      </c>
      <c r="F7" s="39" t="s">
        <v>862</v>
      </c>
      <c r="G7" s="39" t="s">
        <v>863</v>
      </c>
      <c r="H7" s="39" t="s">
        <v>864</v>
      </c>
      <c r="I7" s="39" t="s">
        <v>865</v>
      </c>
      <c r="J7" s="15" t="s">
        <v>376</v>
      </c>
      <c r="K7" s="15" t="s">
        <v>398</v>
      </c>
      <c r="L7" s="15" t="s">
        <v>435</v>
      </c>
      <c r="M7" s="39" t="s">
        <v>842</v>
      </c>
      <c r="N7" s="39" t="s">
        <v>843</v>
      </c>
      <c r="O7" s="39" t="s">
        <v>844</v>
      </c>
      <c r="P7" s="39" t="s">
        <v>845</v>
      </c>
      <c r="Q7" s="39" t="s">
        <v>846</v>
      </c>
      <c r="R7" s="39" t="s">
        <v>847</v>
      </c>
      <c r="S7" s="39" t="s">
        <v>848</v>
      </c>
      <c r="T7" s="23">
        <f>IF(B7="","",COUNTIF('Content Calendar'!$O$5:$O$604,B7))</f>
        <v>0</v>
      </c>
      <c r="U7" s="23">
        <f>IF(B7="","",COUNTIFS('Content Calendar'!$O$5:$O$604,B7,'Content Calendar'!$X$5:$X$604,"Published"))</f>
        <v>0</v>
      </c>
      <c r="V7" s="23">
        <f>IF(B7="","",COUNTIFS('Idea Bank'!$D$5:$D$304,B7,'Idea Bank'!$T$5:$T$304,"&lt;&gt;Used"))</f>
        <v>0</v>
      </c>
      <c r="W7" s="23">
        <f>IF(B7="","",COUNTIF('Caption Bank'!$E$5:$E$204,B7))</f>
        <v>0</v>
      </c>
      <c r="X7" s="24">
        <f>IF(OR(B7="",COUNTA('Content Calendar'!$O$5:$O$604)=0),"",T7/MAX(1,COUNTA('Content Calendar'!$O$5:$O$604)))</f>
        <v>0</v>
      </c>
      <c r="Y7" s="29">
        <f>IF(B7="","",IF(T7=0,"Action - nothing planned for this persona",IF(W7=0,"Add - no captions written yet","OK")))</f>
        <v>0</v>
      </c>
      <c r="Z7" s="39" t="s">
        <v>205</v>
      </c>
    </row>
    <row r="8" spans="1:26">
      <c r="A8" s="41">
        <f>IF(B8="","","P-"&amp;TEXT(ROW()-4,"00"))</f>
        <v>0</v>
      </c>
      <c r="T8" s="23">
        <f>IF(B8="","",COUNTIF('Content Calendar'!$O$5:$O$604,B8))</f>
        <v>0</v>
      </c>
      <c r="U8" s="23">
        <f>IF(B8="","",COUNTIFS('Content Calendar'!$O$5:$O$604,B8,'Content Calendar'!$X$5:$X$604,"Published"))</f>
        <v>0</v>
      </c>
      <c r="V8" s="23">
        <f>IF(B8="","",COUNTIFS('Idea Bank'!$D$5:$D$304,B8,'Idea Bank'!$T$5:$T$304,"&lt;&gt;Used"))</f>
        <v>0</v>
      </c>
      <c r="W8" s="23">
        <f>IF(B8="","",COUNTIF('Caption Bank'!$E$5:$E$204,B8))</f>
        <v>0</v>
      </c>
      <c r="X8" s="24">
        <f>IF(OR(B8="",COUNTA('Content Calendar'!$O$5:$O$604)=0),"",T8/MAX(1,COUNTA('Content Calendar'!$O$5:$O$604)))</f>
        <v>0</v>
      </c>
      <c r="Y8" s="29">
        <f>IF(B8="","",IF(T8=0,"Action - nothing planned for this persona",IF(W8=0,"Add - no captions written yet","OK")))</f>
        <v>0</v>
      </c>
    </row>
    <row r="9" spans="1:26">
      <c r="A9" s="41">
        <f>IF(B9="","","P-"&amp;TEXT(ROW()-4,"00"))</f>
        <v>0</v>
      </c>
      <c r="T9" s="23">
        <f>IF(B9="","",COUNTIF('Content Calendar'!$O$5:$O$604,B9))</f>
        <v>0</v>
      </c>
      <c r="U9" s="23">
        <f>IF(B9="","",COUNTIFS('Content Calendar'!$O$5:$O$604,B9,'Content Calendar'!$X$5:$X$604,"Published"))</f>
        <v>0</v>
      </c>
      <c r="V9" s="23">
        <f>IF(B9="","",COUNTIFS('Idea Bank'!$D$5:$D$304,B9,'Idea Bank'!$T$5:$T$304,"&lt;&gt;Used"))</f>
        <v>0</v>
      </c>
      <c r="W9" s="23">
        <f>IF(B9="","",COUNTIF('Caption Bank'!$E$5:$E$204,B9))</f>
        <v>0</v>
      </c>
      <c r="X9" s="24">
        <f>IF(OR(B9="",COUNTA('Content Calendar'!$O$5:$O$604)=0),"",T9/MAX(1,COUNTA('Content Calendar'!$O$5:$O$604)))</f>
        <v>0</v>
      </c>
      <c r="Y9" s="29">
        <f>IF(B9="","",IF(T9=0,"Action - nothing planned for this persona",IF(W9=0,"Add - no captions written yet","OK")))</f>
        <v>0</v>
      </c>
    </row>
    <row r="10" spans="1:26">
      <c r="A10" s="41">
        <f>IF(B10="","","P-"&amp;TEXT(ROW()-4,"00"))</f>
        <v>0</v>
      </c>
      <c r="T10" s="23">
        <f>IF(B10="","",COUNTIF('Content Calendar'!$O$5:$O$604,B10))</f>
        <v>0</v>
      </c>
      <c r="U10" s="23">
        <f>IF(B10="","",COUNTIFS('Content Calendar'!$O$5:$O$604,B10,'Content Calendar'!$X$5:$X$604,"Published"))</f>
        <v>0</v>
      </c>
      <c r="V10" s="23">
        <f>IF(B10="","",COUNTIFS('Idea Bank'!$D$5:$D$304,B10,'Idea Bank'!$T$5:$T$304,"&lt;&gt;Used"))</f>
        <v>0</v>
      </c>
      <c r="W10" s="23">
        <f>IF(B10="","",COUNTIF('Caption Bank'!$E$5:$E$204,B10))</f>
        <v>0</v>
      </c>
      <c r="X10" s="24">
        <f>IF(OR(B10="",COUNTA('Content Calendar'!$O$5:$O$604)=0),"",T10/MAX(1,COUNTA('Content Calendar'!$O$5:$O$604)))</f>
        <v>0</v>
      </c>
      <c r="Y10" s="29">
        <f>IF(B10="","",IF(T10=0,"Action - nothing planned for this persona",IF(W10=0,"Add - no captions written yet","OK")))</f>
        <v>0</v>
      </c>
    </row>
    <row r="11" spans="1:26">
      <c r="A11" s="41">
        <f>IF(B11="","","P-"&amp;TEXT(ROW()-4,"00"))</f>
        <v>0</v>
      </c>
      <c r="T11" s="23">
        <f>IF(B11="","",COUNTIF('Content Calendar'!$O$5:$O$604,B11))</f>
        <v>0</v>
      </c>
      <c r="U11" s="23">
        <f>IF(B11="","",COUNTIFS('Content Calendar'!$O$5:$O$604,B11,'Content Calendar'!$X$5:$X$604,"Published"))</f>
        <v>0</v>
      </c>
      <c r="V11" s="23">
        <f>IF(B11="","",COUNTIFS('Idea Bank'!$D$5:$D$304,B11,'Idea Bank'!$T$5:$T$304,"&lt;&gt;Used"))</f>
        <v>0</v>
      </c>
      <c r="W11" s="23">
        <f>IF(B11="","",COUNTIF('Caption Bank'!$E$5:$E$204,B11))</f>
        <v>0</v>
      </c>
      <c r="X11" s="24">
        <f>IF(OR(B11="",COUNTA('Content Calendar'!$O$5:$O$604)=0),"",T11/MAX(1,COUNTA('Content Calendar'!$O$5:$O$604)))</f>
        <v>0</v>
      </c>
      <c r="Y11" s="29">
        <f>IF(B11="","",IF(T11=0,"Action - nothing planned for this persona",IF(W11=0,"Add - no captions written yet","OK")))</f>
        <v>0</v>
      </c>
    </row>
    <row r="12" spans="1:26">
      <c r="A12" s="41">
        <f>IF(B12="","","P-"&amp;TEXT(ROW()-4,"00"))</f>
        <v>0</v>
      </c>
      <c r="T12" s="23">
        <f>IF(B12="","",COUNTIF('Content Calendar'!$O$5:$O$604,B12))</f>
        <v>0</v>
      </c>
      <c r="U12" s="23">
        <f>IF(B12="","",COUNTIFS('Content Calendar'!$O$5:$O$604,B12,'Content Calendar'!$X$5:$X$604,"Published"))</f>
        <v>0</v>
      </c>
      <c r="V12" s="23">
        <f>IF(B12="","",COUNTIFS('Idea Bank'!$D$5:$D$304,B12,'Idea Bank'!$T$5:$T$304,"&lt;&gt;Used"))</f>
        <v>0</v>
      </c>
      <c r="W12" s="23">
        <f>IF(B12="","",COUNTIF('Caption Bank'!$E$5:$E$204,B12))</f>
        <v>0</v>
      </c>
      <c r="X12" s="24">
        <f>IF(OR(B12="",COUNTA('Content Calendar'!$O$5:$O$604)=0),"",T12/MAX(1,COUNTA('Content Calendar'!$O$5:$O$604)))</f>
        <v>0</v>
      </c>
      <c r="Y12" s="29">
        <f>IF(B12="","",IF(T12=0,"Action - nothing planned for this persona",IF(W12=0,"Add - no captions written yet","OK")))</f>
        <v>0</v>
      </c>
    </row>
    <row r="13" spans="1:26">
      <c r="A13" s="41">
        <f>IF(B13="","","P-"&amp;TEXT(ROW()-4,"00"))</f>
        <v>0</v>
      </c>
      <c r="T13" s="23">
        <f>IF(B13="","",COUNTIF('Content Calendar'!$O$5:$O$604,B13))</f>
        <v>0</v>
      </c>
      <c r="U13" s="23">
        <f>IF(B13="","",COUNTIFS('Content Calendar'!$O$5:$O$604,B13,'Content Calendar'!$X$5:$X$604,"Published"))</f>
        <v>0</v>
      </c>
      <c r="V13" s="23">
        <f>IF(B13="","",COUNTIFS('Idea Bank'!$D$5:$D$304,B13,'Idea Bank'!$T$5:$T$304,"&lt;&gt;Used"))</f>
        <v>0</v>
      </c>
      <c r="W13" s="23">
        <f>IF(B13="","",COUNTIF('Caption Bank'!$E$5:$E$204,B13))</f>
        <v>0</v>
      </c>
      <c r="X13" s="24">
        <f>IF(OR(B13="",COUNTA('Content Calendar'!$O$5:$O$604)=0),"",T13/MAX(1,COUNTA('Content Calendar'!$O$5:$O$604)))</f>
        <v>0</v>
      </c>
      <c r="Y13" s="29">
        <f>IF(B13="","",IF(T13=0,"Action - nothing planned for this persona",IF(W13=0,"Add - no captions written yet","OK")))</f>
        <v>0</v>
      </c>
    </row>
    <row r="14" spans="1:26">
      <c r="A14" s="41">
        <f>IF(B14="","","P-"&amp;TEXT(ROW()-4,"00"))</f>
        <v>0</v>
      </c>
      <c r="T14" s="23">
        <f>IF(B14="","",COUNTIF('Content Calendar'!$O$5:$O$604,B14))</f>
        <v>0</v>
      </c>
      <c r="U14" s="23">
        <f>IF(B14="","",COUNTIFS('Content Calendar'!$O$5:$O$604,B14,'Content Calendar'!$X$5:$X$604,"Published"))</f>
        <v>0</v>
      </c>
      <c r="V14" s="23">
        <f>IF(B14="","",COUNTIFS('Idea Bank'!$D$5:$D$304,B14,'Idea Bank'!$T$5:$T$304,"&lt;&gt;Used"))</f>
        <v>0</v>
      </c>
      <c r="W14" s="23">
        <f>IF(B14="","",COUNTIF('Caption Bank'!$E$5:$E$204,B14))</f>
        <v>0</v>
      </c>
      <c r="X14" s="24">
        <f>IF(OR(B14="",COUNTA('Content Calendar'!$O$5:$O$604)=0),"",T14/MAX(1,COUNTA('Content Calendar'!$O$5:$O$604)))</f>
        <v>0</v>
      </c>
      <c r="Y14" s="29">
        <f>IF(B14="","",IF(T14=0,"Action - nothing planned for this persona",IF(W14=0,"Add - no captions written yet","OK")))</f>
        <v>0</v>
      </c>
    </row>
    <row r="15" spans="1:26">
      <c r="A15" s="41">
        <f>IF(B15="","","P-"&amp;TEXT(ROW()-4,"00"))</f>
        <v>0</v>
      </c>
      <c r="T15" s="23">
        <f>IF(B15="","",COUNTIF('Content Calendar'!$O$5:$O$604,B15))</f>
        <v>0</v>
      </c>
      <c r="U15" s="23">
        <f>IF(B15="","",COUNTIFS('Content Calendar'!$O$5:$O$604,B15,'Content Calendar'!$X$5:$X$604,"Published"))</f>
        <v>0</v>
      </c>
      <c r="V15" s="23">
        <f>IF(B15="","",COUNTIFS('Idea Bank'!$D$5:$D$304,B15,'Idea Bank'!$T$5:$T$304,"&lt;&gt;Used"))</f>
        <v>0</v>
      </c>
      <c r="W15" s="23">
        <f>IF(B15="","",COUNTIF('Caption Bank'!$E$5:$E$204,B15))</f>
        <v>0</v>
      </c>
      <c r="X15" s="24">
        <f>IF(OR(B15="",COUNTA('Content Calendar'!$O$5:$O$604)=0),"",T15/MAX(1,COUNTA('Content Calendar'!$O$5:$O$604)))</f>
        <v>0</v>
      </c>
      <c r="Y15" s="29">
        <f>IF(B15="","",IF(T15=0,"Action - nothing planned for this persona",IF(W15=0,"Add - no captions written yet","OK")))</f>
        <v>0</v>
      </c>
    </row>
    <row r="16" spans="1:26">
      <c r="A16" s="41">
        <f>IF(B16="","","P-"&amp;TEXT(ROW()-4,"00"))</f>
        <v>0</v>
      </c>
      <c r="T16" s="23">
        <f>IF(B16="","",COUNTIF('Content Calendar'!$O$5:$O$604,B16))</f>
        <v>0</v>
      </c>
      <c r="U16" s="23">
        <f>IF(B16="","",COUNTIFS('Content Calendar'!$O$5:$O$604,B16,'Content Calendar'!$X$5:$X$604,"Published"))</f>
        <v>0</v>
      </c>
      <c r="V16" s="23">
        <f>IF(B16="","",COUNTIFS('Idea Bank'!$D$5:$D$304,B16,'Idea Bank'!$T$5:$T$304,"&lt;&gt;Used"))</f>
        <v>0</v>
      </c>
      <c r="W16" s="23">
        <f>IF(B16="","",COUNTIF('Caption Bank'!$E$5:$E$204,B16))</f>
        <v>0</v>
      </c>
      <c r="X16" s="24">
        <f>IF(OR(B16="",COUNTA('Content Calendar'!$O$5:$O$604)=0),"",T16/MAX(1,COUNTA('Content Calendar'!$O$5:$O$604)))</f>
        <v>0</v>
      </c>
      <c r="Y16" s="29">
        <f>IF(B16="","",IF(T16=0,"Action - nothing planned for this persona",IF(W16=0,"Add - no captions written yet","OK")))</f>
        <v>0</v>
      </c>
    </row>
  </sheetData>
  <sheetProtection password="EC7C" sheet="1" objects="1" scenarios="1" formatCells="0" formatColumns="0" formatRows="0" insertRows="0" insertHyperlinks="0" deleteRows="0" autoFilter="0"/>
  <autoFilter ref="A4:Z16"/>
  <mergeCells count="13">
    <mergeCell ref="A1:W1"/>
    <mergeCell ref="X1:Z1"/>
    <mergeCell ref="A2:Z2"/>
    <mergeCell ref="A3:B3"/>
    <mergeCell ref="C3:D3"/>
    <mergeCell ref="E3:F3"/>
    <mergeCell ref="G3:H3"/>
    <mergeCell ref="I3:J3"/>
    <mergeCell ref="K3:L3"/>
    <mergeCell ref="M3:N3"/>
    <mergeCell ref="O3:P3"/>
    <mergeCell ref="Q3:R3"/>
    <mergeCell ref="S3:Z3"/>
  </mergeCells>
  <conditionalFormatting sqref="T5:T16">
    <cfRule type="dataBar" priority="1">
      <dataBar>
        <cfvo type="min" val="0"/>
        <cfvo type="max" val="0"/>
        <color rgb="FF6350A8"/>
      </dataBar>
    </cfRule>
  </conditionalFormatting>
  <conditionalFormatting sqref="Y5:Y16">
    <cfRule type="beginsWith" dxfId="0" priority="2" operator="beginsWith" text="OK">
      <formula>LEFT(Y5,2)="OK"</formula>
    </cfRule>
    <cfRule type="containsText" dxfId="1" priority="3" operator="containsText" text="Overdue">
      <formula>NOT(ISERROR(SEARCH("Overdue",Y5)))</formula>
    </cfRule>
    <cfRule type="containsText" dxfId="1" priority="4" operator="containsText" text="Late">
      <formula>NOT(ISERROR(SEARCH("Late",Y5)))</formula>
    </cfRule>
    <cfRule type="containsText" dxfId="1" priority="5" operator="containsText" text="Missing">
      <formula>NOT(ISERROR(SEARCH("Missing",Y5)))</formula>
    </cfRule>
    <cfRule type="containsText" dxfId="1" priority="6" operator="containsText" text="Conflict">
      <formula>NOT(ISERROR(SEARCH("Conflict",Y5)))</formula>
    </cfRule>
    <cfRule type="containsText" dxfId="1" priority="7" operator="containsText" text="Expired">
      <formula>NOT(ISERROR(SEARCH("Expired",Y5)))</formula>
    </cfRule>
    <cfRule type="containsText" dxfId="1" priority="8" operator="containsText" text="Duplicate">
      <formula>NOT(ISERROR(SEARCH("Duplicate",Y5)))</formula>
    </cfRule>
    <cfRule type="containsText" dxfId="2" priority="9" operator="containsText" text="Action">
      <formula>NOT(ISERROR(SEARCH("Action",Y5)))</formula>
    </cfRule>
    <cfRule type="containsText" dxfId="2" priority="10" operator="containsText" text="Due">
      <formula>NOT(ISERROR(SEARCH("Due",Y5)))</formula>
    </cfRule>
    <cfRule type="containsText" dxfId="2" priority="11" operator="containsText" text="Check">
      <formula>NOT(ISERROR(SEARCH("Check",Y5)))</formula>
    </cfRule>
    <cfRule type="containsText" dxfId="2" priority="12" operator="containsText" text="Add">
      <formula>NOT(ISERROR(SEARCH("Add",Y5)))</formula>
    </cfRule>
    <cfRule type="containsText" dxfId="3" priority="13" operator="containsText" text="Today">
      <formula>NOT(ISERROR(SEARCH("Today",Y5)))</formula>
    </cfRule>
    <cfRule type="containsText" dxfId="3" priority="14" operator="containsText" text="Upcoming">
      <formula>NOT(ISERROR(SEARCH("Upcoming",Y5)))</formula>
    </cfRule>
  </conditionalFormatting>
  <dataValidations count="3">
    <dataValidation type="list" allowBlank="1" showInputMessage="1" showErrorMessage="1" sqref="J5:J16">
      <formula1>PlatformList</formula1>
    </dataValidation>
    <dataValidation type="list" allowBlank="1" showInputMessage="1" showErrorMessage="1" sqref="K5:K16">
      <formula1>FormatList</formula1>
    </dataValidation>
    <dataValidation type="list" allowBlank="1" showInputMessage="1" showErrorMessage="1" sqref="L5:L16">
      <formula1>FunnelStageList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&amp;L&amp;"Calibri,Bold"&amp;12&amp;C&amp;"Calibri,Bold"&amp;11Audience Personas&amp;R&amp;"Calibri,Italic"&amp;9Social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6350A8"/>
    <pageSetUpPr fitToPage="1"/>
  </sheetPr>
  <dimension ref="A1:S2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20.7109375" style="15" customWidth="1"/>
    <col min="3" max="3" width="13.7109375" style="35" customWidth="1"/>
    <col min="4" max="4" width="34.7109375" style="39" customWidth="1"/>
    <col min="5" max="5" width="16.7109375" style="15" customWidth="1"/>
    <col min="6" max="6" width="15.7109375" style="15" customWidth="1"/>
    <col min="7" max="7" width="18.7109375" style="15" customWidth="1"/>
    <col min="8" max="8" width="36.7109375" style="39" customWidth="1"/>
    <col min="9" max="9" width="11.7109375" style="23" customWidth="1"/>
    <col min="10" max="10" width="10.7109375" style="23" customWidth="1"/>
    <col min="11" max="11" width="11.7109375" style="24" customWidth="1"/>
    <col min="12" max="12" width="11.7109375" style="24" customWidth="1"/>
    <col min="13" max="13" width="12.7109375" style="23" customWidth="1"/>
    <col min="14" max="14" width="12.7109375" style="23" customWidth="1"/>
    <col min="15" max="15" width="12.7109375" style="24" customWidth="1"/>
    <col min="16" max="16" width="10.7109375" style="23" customWidth="1"/>
    <col min="17" max="17" width="30.7109375" style="17" customWidth="1"/>
    <col min="18" max="18" width="26.7109375" style="29" customWidth="1"/>
    <col min="19" max="19" width="26.7109375" style="39" customWidth="1"/>
  </cols>
  <sheetData>
    <row r="1" spans="1:19" ht="34" customHeight="1">
      <c r="A1" s="2" t="s">
        <v>866</v>
      </c>
      <c r="B1" s="2"/>
      <c r="C1" s="2"/>
      <c r="D1" s="2"/>
      <c r="E1" s="2"/>
      <c r="F1" s="2"/>
      <c r="G1" s="2"/>
      <c r="H1" s="2"/>
      <c r="I1" s="2"/>
      <c r="J1" s="2"/>
      <c r="K1" s="2"/>
      <c r="L1" s="2"/>
      <c r="M1" s="2"/>
      <c r="N1" s="2"/>
      <c r="O1" s="2"/>
      <c r="P1" s="2"/>
      <c r="Q1" s="3" t="s">
        <v>1</v>
      </c>
      <c r="R1" s="3"/>
      <c r="S1" s="3"/>
    </row>
    <row r="2" spans="1:19" ht="18" customHeight="1">
      <c r="A2" s="4" t="s">
        <v>867</v>
      </c>
      <c r="B2" s="4"/>
      <c r="C2" s="4"/>
      <c r="D2" s="4"/>
      <c r="E2" s="4"/>
      <c r="F2" s="4"/>
      <c r="G2" s="4"/>
      <c r="H2" s="4"/>
      <c r="I2" s="4"/>
      <c r="J2" s="4"/>
      <c r="K2" s="4"/>
      <c r="L2" s="4"/>
      <c r="M2" s="4"/>
      <c r="N2" s="4"/>
      <c r="O2" s="4"/>
      <c r="P2" s="4"/>
      <c r="Q2" s="4"/>
      <c r="R2" s="4"/>
      <c r="S2" s="4"/>
    </row>
    <row r="3" spans="1:19" ht="16" customHeight="1">
      <c r="A3" s="5" t="s">
        <v>3</v>
      </c>
      <c r="B3" s="5"/>
      <c r="C3" s="5" t="s">
        <v>4</v>
      </c>
      <c r="D3" s="5"/>
      <c r="E3" s="5" t="s">
        <v>5</v>
      </c>
      <c r="F3" s="5"/>
      <c r="G3" s="5" t="s">
        <v>6</v>
      </c>
      <c r="H3" s="5"/>
      <c r="I3" s="5" t="s">
        <v>7</v>
      </c>
      <c r="J3" s="5"/>
      <c r="K3" s="5" t="s">
        <v>8</v>
      </c>
      <c r="L3" s="5"/>
      <c r="M3" s="5" t="s">
        <v>125</v>
      </c>
      <c r="N3" s="5"/>
      <c r="O3" s="5" t="s">
        <v>126</v>
      </c>
      <c r="P3" s="5"/>
      <c r="Q3" s="5" t="s">
        <v>127</v>
      </c>
      <c r="R3" s="5"/>
      <c r="S3" s="33" t="s">
        <v>205</v>
      </c>
    </row>
    <row r="4" spans="1:19" ht="30" customHeight="1">
      <c r="A4" s="8" t="s">
        <v>766</v>
      </c>
      <c r="B4" s="8" t="s">
        <v>868</v>
      </c>
      <c r="C4" s="9" t="s">
        <v>869</v>
      </c>
      <c r="D4" s="9" t="s">
        <v>870</v>
      </c>
      <c r="E4" s="9" t="s">
        <v>871</v>
      </c>
      <c r="F4" s="9" t="s">
        <v>872</v>
      </c>
      <c r="G4" s="9" t="s">
        <v>873</v>
      </c>
      <c r="H4" s="9" t="s">
        <v>874</v>
      </c>
      <c r="I4" s="9" t="s">
        <v>136</v>
      </c>
      <c r="J4" s="9" t="s">
        <v>138</v>
      </c>
      <c r="K4" s="9" t="s">
        <v>875</v>
      </c>
      <c r="L4" s="9" t="s">
        <v>876</v>
      </c>
      <c r="M4" s="9" t="s">
        <v>149</v>
      </c>
      <c r="N4" s="9" t="s">
        <v>153</v>
      </c>
      <c r="O4" s="9" t="s">
        <v>155</v>
      </c>
      <c r="P4" s="9" t="s">
        <v>188</v>
      </c>
      <c r="Q4" s="9" t="s">
        <v>877</v>
      </c>
      <c r="R4" s="9" t="s">
        <v>787</v>
      </c>
      <c r="S4" s="9" t="s">
        <v>788</v>
      </c>
    </row>
    <row r="5" spans="1:19">
      <c r="A5" s="41">
        <f>IF(B5="","","PIL-"&amp;TEXT(ROW()-4,"00"))</f>
        <v>0</v>
      </c>
      <c r="B5" s="15" t="s">
        <v>878</v>
      </c>
      <c r="C5" s="35">
        <v>0.25</v>
      </c>
      <c r="D5" s="39" t="s">
        <v>879</v>
      </c>
      <c r="E5" s="15" t="s">
        <v>432</v>
      </c>
      <c r="F5" s="15" t="s">
        <v>397</v>
      </c>
      <c r="G5" s="15" t="s">
        <v>834</v>
      </c>
      <c r="H5" s="39" t="s">
        <v>880</v>
      </c>
      <c r="I5" s="23">
        <f>IF(B5="","",COUNTIFS('Content Calendar'!$J$5:$J$604,B5,'Content Calendar'!$B$5:$B$604,"&gt;="&amp;DATE(PlanYear,1,1),'Content Calendar'!$B$5:$B$604,"&lt;="&amp;DATE(PlanYear,12,31)))</f>
        <v>0</v>
      </c>
      <c r="J5" s="23">
        <f>IF(B5="","",COUNTIFS('Content Calendar'!$J$5:$J$604,B5,'Content Calendar'!$X$5:$X$604,"Published",'Content Calendar'!$B$5:$B$604,"&gt;="&amp;DATE(PlanYear,1,1),'Content Calendar'!$B$5:$B$604,"&lt;="&amp;DATE(PlanYear,12,31)))</f>
        <v>0</v>
      </c>
      <c r="K5" s="24">
        <f>IF(OR(B5="",SUM('Content Pillars'!$I$5:$I$24)=0),"",I5/SUM('Content Pillars'!$I$5:$I$24))</f>
        <v>0</v>
      </c>
      <c r="L5" s="24">
        <f>IF(OR(K5="",C5=""),"",K5-C5)</f>
        <v>0</v>
      </c>
      <c r="M5" s="23">
        <f>IF(B5="","",SUMIFS(Performance!$O$5:$O$404,Performance!$H$5:$H$404,B5))</f>
        <v>0</v>
      </c>
      <c r="N5" s="23">
        <f>IF(B5="","",SUMIFS(Performance!$Z$5:$Z$404,Performance!$H$5:$H$404,B5))</f>
        <v>0</v>
      </c>
      <c r="O5" s="24">
        <f>IF(OR(M5="",M5=0),"",N5/M5)</f>
        <v>0</v>
      </c>
      <c r="P5" s="23">
        <f>IF(B5="","",SUMIFS(Performance!$U$5:$U$404,Performance!$H$5:$H$404,B5))</f>
        <v>0</v>
      </c>
      <c r="Q5" s="17">
        <f>IF(OR(B5="",J5=0),"",IFERROR(INDEX(Performance!$C$5:$C$404,MATCH(SUMPRODUCT(MAX((Performance!$H$5:$H$404=B5)*Performance!$AJ$5:$AJ$404)),Performance!$AJ$5:$AJ$404,0)),""))</f>
        <v>0</v>
      </c>
      <c r="R5" s="29">
        <f>IF(B5="","",IF(I5=0,"Action - no posts planned",IF(L5&gt;0.1,"Check - over-used pillar",IF(L5&lt;-0.1,"Check - under-used pillar","OK"))))</f>
        <v>0</v>
      </c>
      <c r="S5" s="39" t="s">
        <v>205</v>
      </c>
    </row>
    <row r="6" spans="1:19">
      <c r="A6" s="41">
        <f>IF(B6="","","PIL-"&amp;TEXT(ROW()-4,"00"))</f>
        <v>0</v>
      </c>
      <c r="B6" s="15" t="s">
        <v>881</v>
      </c>
      <c r="C6" s="35">
        <v>0.2</v>
      </c>
      <c r="D6" s="39" t="s">
        <v>882</v>
      </c>
      <c r="E6" s="15" t="s">
        <v>427</v>
      </c>
      <c r="F6" s="15" t="s">
        <v>398</v>
      </c>
      <c r="G6" s="15" t="s">
        <v>858</v>
      </c>
      <c r="H6" s="39" t="s">
        <v>883</v>
      </c>
      <c r="I6" s="23">
        <f>IF(B6="","",COUNTIFS('Content Calendar'!$J$5:$J$604,B6,'Content Calendar'!$B$5:$B$604,"&gt;="&amp;DATE(PlanYear,1,1),'Content Calendar'!$B$5:$B$604,"&lt;="&amp;DATE(PlanYear,12,31)))</f>
        <v>0</v>
      </c>
      <c r="J6" s="23">
        <f>IF(B6="","",COUNTIFS('Content Calendar'!$J$5:$J$604,B6,'Content Calendar'!$X$5:$X$604,"Published",'Content Calendar'!$B$5:$B$604,"&gt;="&amp;DATE(PlanYear,1,1),'Content Calendar'!$B$5:$B$604,"&lt;="&amp;DATE(PlanYear,12,31)))</f>
        <v>0</v>
      </c>
      <c r="K6" s="24">
        <f>IF(OR(B6="",SUM('Content Pillars'!$I$5:$I$24)=0),"",I6/SUM('Content Pillars'!$I$5:$I$24))</f>
        <v>0</v>
      </c>
      <c r="L6" s="24">
        <f>IF(OR(K6="",C6=""),"",K6-C6)</f>
        <v>0</v>
      </c>
      <c r="M6" s="23">
        <f>IF(B6="","",SUMIFS(Performance!$O$5:$O$404,Performance!$H$5:$H$404,B6))</f>
        <v>0</v>
      </c>
      <c r="N6" s="23">
        <f>IF(B6="","",SUMIFS(Performance!$Z$5:$Z$404,Performance!$H$5:$H$404,B6))</f>
        <v>0</v>
      </c>
      <c r="O6" s="24">
        <f>IF(OR(M6="",M6=0),"",N6/M6)</f>
        <v>0</v>
      </c>
      <c r="P6" s="23">
        <f>IF(B6="","",SUMIFS(Performance!$U$5:$U$404,Performance!$H$5:$H$404,B6))</f>
        <v>0</v>
      </c>
      <c r="Q6" s="17">
        <f>IF(OR(B6="",J6=0),"",IFERROR(INDEX(Performance!$C$5:$C$404,MATCH(SUMPRODUCT(MAX((Performance!$H$5:$H$404=B6)*Performance!$AJ$5:$AJ$404)),Performance!$AJ$5:$AJ$404,0)),""))</f>
        <v>0</v>
      </c>
      <c r="R6" s="29">
        <f>IF(B6="","",IF(I6=0,"Action - no posts planned",IF(L6&gt;0.1,"Check - over-used pillar",IF(L6&lt;-0.1,"Check - under-used pillar","OK"))))</f>
        <v>0</v>
      </c>
      <c r="S6" s="39" t="s">
        <v>205</v>
      </c>
    </row>
    <row r="7" spans="1:19">
      <c r="A7" s="41">
        <f>IF(B7="","","PIL-"&amp;TEXT(ROW()-4,"00"))</f>
        <v>0</v>
      </c>
      <c r="B7" s="15" t="s">
        <v>462</v>
      </c>
      <c r="C7" s="35">
        <v>0.18</v>
      </c>
      <c r="D7" s="39" t="s">
        <v>884</v>
      </c>
      <c r="E7" s="15" t="s">
        <v>430</v>
      </c>
      <c r="F7" s="15" t="s">
        <v>398</v>
      </c>
      <c r="G7" s="15" t="s">
        <v>858</v>
      </c>
      <c r="H7" s="39" t="s">
        <v>885</v>
      </c>
      <c r="I7" s="23">
        <f>IF(B7="","",COUNTIFS('Content Calendar'!$J$5:$J$604,B7,'Content Calendar'!$B$5:$B$604,"&gt;="&amp;DATE(PlanYear,1,1),'Content Calendar'!$B$5:$B$604,"&lt;="&amp;DATE(PlanYear,12,31)))</f>
        <v>0</v>
      </c>
      <c r="J7" s="23">
        <f>IF(B7="","",COUNTIFS('Content Calendar'!$J$5:$J$604,B7,'Content Calendar'!$X$5:$X$604,"Published",'Content Calendar'!$B$5:$B$604,"&gt;="&amp;DATE(PlanYear,1,1),'Content Calendar'!$B$5:$B$604,"&lt;="&amp;DATE(PlanYear,12,31)))</f>
        <v>0</v>
      </c>
      <c r="K7" s="24">
        <f>IF(OR(B7="",SUM('Content Pillars'!$I$5:$I$24)=0),"",I7/SUM('Content Pillars'!$I$5:$I$24))</f>
        <v>0</v>
      </c>
      <c r="L7" s="24">
        <f>IF(OR(K7="",C7=""),"",K7-C7)</f>
        <v>0</v>
      </c>
      <c r="M7" s="23">
        <f>IF(B7="","",SUMIFS(Performance!$O$5:$O$404,Performance!$H$5:$H$404,B7))</f>
        <v>0</v>
      </c>
      <c r="N7" s="23">
        <f>IF(B7="","",SUMIFS(Performance!$Z$5:$Z$404,Performance!$H$5:$H$404,B7))</f>
        <v>0</v>
      </c>
      <c r="O7" s="24">
        <f>IF(OR(M7="",M7=0),"",N7/M7)</f>
        <v>0</v>
      </c>
      <c r="P7" s="23">
        <f>IF(B7="","",SUMIFS(Performance!$U$5:$U$404,Performance!$H$5:$H$404,B7))</f>
        <v>0</v>
      </c>
      <c r="Q7" s="17">
        <f>IF(OR(B7="",J7=0),"",IFERROR(INDEX(Performance!$C$5:$C$404,MATCH(SUMPRODUCT(MAX((Performance!$H$5:$H$404=B7)*Performance!$AJ$5:$AJ$404)),Performance!$AJ$5:$AJ$404,0)),""))</f>
        <v>0</v>
      </c>
      <c r="R7" s="29">
        <f>IF(B7="","",IF(I7=0,"Action - no posts planned",IF(L7&gt;0.1,"Check - over-used pillar",IF(L7&lt;-0.1,"Check - under-used pillar","OK"))))</f>
        <v>0</v>
      </c>
      <c r="S7" s="39" t="s">
        <v>205</v>
      </c>
    </row>
    <row r="8" spans="1:19">
      <c r="A8" s="41">
        <f>IF(B8="","","PIL-"&amp;TEXT(ROW()-4,"00"))</f>
        <v>0</v>
      </c>
      <c r="B8" s="15" t="s">
        <v>430</v>
      </c>
      <c r="C8" s="35">
        <v>0.12</v>
      </c>
      <c r="D8" s="39" t="s">
        <v>886</v>
      </c>
      <c r="E8" s="15" t="s">
        <v>428</v>
      </c>
      <c r="F8" s="15" t="s">
        <v>399</v>
      </c>
      <c r="G8" s="15" t="s">
        <v>858</v>
      </c>
      <c r="H8" s="39" t="s">
        <v>887</v>
      </c>
      <c r="I8" s="23">
        <f>IF(B8="","",COUNTIFS('Content Calendar'!$J$5:$J$604,B8,'Content Calendar'!$B$5:$B$604,"&gt;="&amp;DATE(PlanYear,1,1),'Content Calendar'!$B$5:$B$604,"&lt;="&amp;DATE(PlanYear,12,31)))</f>
        <v>0</v>
      </c>
      <c r="J8" s="23">
        <f>IF(B8="","",COUNTIFS('Content Calendar'!$J$5:$J$604,B8,'Content Calendar'!$X$5:$X$604,"Published",'Content Calendar'!$B$5:$B$604,"&gt;="&amp;DATE(PlanYear,1,1),'Content Calendar'!$B$5:$B$604,"&lt;="&amp;DATE(PlanYear,12,31)))</f>
        <v>0</v>
      </c>
      <c r="K8" s="24">
        <f>IF(OR(B8="",SUM('Content Pillars'!$I$5:$I$24)=0),"",I8/SUM('Content Pillars'!$I$5:$I$24))</f>
        <v>0</v>
      </c>
      <c r="L8" s="24">
        <f>IF(OR(K8="",C8=""),"",K8-C8)</f>
        <v>0</v>
      </c>
      <c r="M8" s="23">
        <f>IF(B8="","",SUMIFS(Performance!$O$5:$O$404,Performance!$H$5:$H$404,B8))</f>
        <v>0</v>
      </c>
      <c r="N8" s="23">
        <f>IF(B8="","",SUMIFS(Performance!$Z$5:$Z$404,Performance!$H$5:$H$404,B8))</f>
        <v>0</v>
      </c>
      <c r="O8" s="24">
        <f>IF(OR(M8="",M8=0),"",N8/M8)</f>
        <v>0</v>
      </c>
      <c r="P8" s="23">
        <f>IF(B8="","",SUMIFS(Performance!$U$5:$U$404,Performance!$H$5:$H$404,B8))</f>
        <v>0</v>
      </c>
      <c r="Q8" s="17">
        <f>IF(OR(B8="",J8=0),"",IFERROR(INDEX(Performance!$C$5:$C$404,MATCH(SUMPRODUCT(MAX((Performance!$H$5:$H$404=B8)*Performance!$AJ$5:$AJ$404)),Performance!$AJ$5:$AJ$404,0)),""))</f>
        <v>0</v>
      </c>
      <c r="R8" s="29">
        <f>IF(B8="","",IF(I8=0,"Action - no posts planned",IF(L8&gt;0.1,"Check - over-used pillar",IF(L8&lt;-0.1,"Check - under-used pillar","OK"))))</f>
        <v>0</v>
      </c>
      <c r="S8" s="39" t="s">
        <v>205</v>
      </c>
    </row>
    <row r="9" spans="1:19">
      <c r="A9" s="41">
        <f>IF(B9="","","PIL-"&amp;TEXT(ROW()-4,"00"))</f>
        <v>0</v>
      </c>
      <c r="B9" s="15" t="s">
        <v>888</v>
      </c>
      <c r="C9" s="35">
        <v>0.15</v>
      </c>
      <c r="D9" s="39" t="s">
        <v>889</v>
      </c>
      <c r="E9" s="15" t="s">
        <v>170</v>
      </c>
      <c r="F9" s="15" t="s">
        <v>397</v>
      </c>
      <c r="G9" s="15" t="s">
        <v>858</v>
      </c>
      <c r="H9" s="39" t="s">
        <v>890</v>
      </c>
      <c r="I9" s="23">
        <f>IF(B9="","",COUNTIFS('Content Calendar'!$J$5:$J$604,B9,'Content Calendar'!$B$5:$B$604,"&gt;="&amp;DATE(PlanYear,1,1),'Content Calendar'!$B$5:$B$604,"&lt;="&amp;DATE(PlanYear,12,31)))</f>
        <v>0</v>
      </c>
      <c r="J9" s="23">
        <f>IF(B9="","",COUNTIFS('Content Calendar'!$J$5:$J$604,B9,'Content Calendar'!$X$5:$X$604,"Published",'Content Calendar'!$B$5:$B$604,"&gt;="&amp;DATE(PlanYear,1,1),'Content Calendar'!$B$5:$B$604,"&lt;="&amp;DATE(PlanYear,12,31)))</f>
        <v>0</v>
      </c>
      <c r="K9" s="24">
        <f>IF(OR(B9="",SUM('Content Pillars'!$I$5:$I$24)=0),"",I9/SUM('Content Pillars'!$I$5:$I$24))</f>
        <v>0</v>
      </c>
      <c r="L9" s="24">
        <f>IF(OR(K9="",C9=""),"",K9-C9)</f>
        <v>0</v>
      </c>
      <c r="M9" s="23">
        <f>IF(B9="","",SUMIFS(Performance!$O$5:$O$404,Performance!$H$5:$H$404,B9))</f>
        <v>0</v>
      </c>
      <c r="N9" s="23">
        <f>IF(B9="","",SUMIFS(Performance!$Z$5:$Z$404,Performance!$H$5:$H$404,B9))</f>
        <v>0</v>
      </c>
      <c r="O9" s="24">
        <f>IF(OR(M9="",M9=0),"",N9/M9)</f>
        <v>0</v>
      </c>
      <c r="P9" s="23">
        <f>IF(B9="","",SUMIFS(Performance!$U$5:$U$404,Performance!$H$5:$H$404,B9))</f>
        <v>0</v>
      </c>
      <c r="Q9" s="17">
        <f>IF(OR(B9="",J9=0),"",IFERROR(INDEX(Performance!$C$5:$C$404,MATCH(SUMPRODUCT(MAX((Performance!$H$5:$H$404=B9)*Performance!$AJ$5:$AJ$404)),Performance!$AJ$5:$AJ$404,0)),""))</f>
        <v>0</v>
      </c>
      <c r="R9" s="29">
        <f>IF(B9="","",IF(I9=0,"Action - no posts planned",IF(L9&gt;0.1,"Check - over-used pillar",IF(L9&lt;-0.1,"Check - under-used pillar","OK"))))</f>
        <v>0</v>
      </c>
      <c r="S9" s="39" t="s">
        <v>205</v>
      </c>
    </row>
    <row r="10" spans="1:19">
      <c r="A10" s="41">
        <f>IF(B10="","","PIL-"&amp;TEXT(ROW()-4,"00"))</f>
        <v>0</v>
      </c>
      <c r="B10" s="15" t="s">
        <v>891</v>
      </c>
      <c r="C10" s="35">
        <v>0.05</v>
      </c>
      <c r="D10" s="39" t="s">
        <v>892</v>
      </c>
      <c r="E10" s="15" t="s">
        <v>427</v>
      </c>
      <c r="F10" s="15" t="s">
        <v>398</v>
      </c>
      <c r="G10" s="15" t="s">
        <v>858</v>
      </c>
      <c r="H10" s="39" t="s">
        <v>893</v>
      </c>
      <c r="I10" s="23">
        <f>IF(B10="","",COUNTIFS('Content Calendar'!$J$5:$J$604,B10,'Content Calendar'!$B$5:$B$604,"&gt;="&amp;DATE(PlanYear,1,1),'Content Calendar'!$B$5:$B$604,"&lt;="&amp;DATE(PlanYear,12,31)))</f>
        <v>0</v>
      </c>
      <c r="J10" s="23">
        <f>IF(B10="","",COUNTIFS('Content Calendar'!$J$5:$J$604,B10,'Content Calendar'!$X$5:$X$604,"Published",'Content Calendar'!$B$5:$B$604,"&gt;="&amp;DATE(PlanYear,1,1),'Content Calendar'!$B$5:$B$604,"&lt;="&amp;DATE(PlanYear,12,31)))</f>
        <v>0</v>
      </c>
      <c r="K10" s="24">
        <f>IF(OR(B10="",SUM('Content Pillars'!$I$5:$I$24)=0),"",I10/SUM('Content Pillars'!$I$5:$I$24))</f>
        <v>0</v>
      </c>
      <c r="L10" s="24">
        <f>IF(OR(K10="",C10=""),"",K10-C10)</f>
        <v>0</v>
      </c>
      <c r="M10" s="23">
        <f>IF(B10="","",SUMIFS(Performance!$O$5:$O$404,Performance!$H$5:$H$404,B10))</f>
        <v>0</v>
      </c>
      <c r="N10" s="23">
        <f>IF(B10="","",SUMIFS(Performance!$Z$5:$Z$404,Performance!$H$5:$H$404,B10))</f>
        <v>0</v>
      </c>
      <c r="O10" s="24">
        <f>IF(OR(M10="",M10=0),"",N10/M10)</f>
        <v>0</v>
      </c>
      <c r="P10" s="23">
        <f>IF(B10="","",SUMIFS(Performance!$U$5:$U$404,Performance!$H$5:$H$404,B10))</f>
        <v>0</v>
      </c>
      <c r="Q10" s="17">
        <f>IF(OR(B10="",J10=0),"",IFERROR(INDEX(Performance!$C$5:$C$404,MATCH(SUMPRODUCT(MAX((Performance!$H$5:$H$404=B10)*Performance!$AJ$5:$AJ$404)),Performance!$AJ$5:$AJ$404,0)),""))</f>
        <v>0</v>
      </c>
      <c r="R10" s="29">
        <f>IF(B10="","",IF(I10=0,"Action - no posts planned",IF(L10&gt;0.1,"Check - over-used pillar",IF(L10&lt;-0.1,"Check - under-used pillar","OK"))))</f>
        <v>0</v>
      </c>
      <c r="S10" s="39" t="s">
        <v>205</v>
      </c>
    </row>
    <row r="11" spans="1:19">
      <c r="A11" s="41">
        <f>IF(B11="","","PIL-"&amp;TEXT(ROW()-4,"00"))</f>
        <v>0</v>
      </c>
      <c r="B11" s="15" t="s">
        <v>894</v>
      </c>
      <c r="C11" s="35">
        <v>0.05</v>
      </c>
      <c r="D11" s="39" t="s">
        <v>895</v>
      </c>
      <c r="E11" s="15" t="s">
        <v>430</v>
      </c>
      <c r="F11" s="15" t="s">
        <v>396</v>
      </c>
      <c r="G11" s="15" t="s">
        <v>858</v>
      </c>
      <c r="H11" s="39" t="s">
        <v>896</v>
      </c>
      <c r="I11" s="23">
        <f>IF(B11="","",COUNTIFS('Content Calendar'!$J$5:$J$604,B11,'Content Calendar'!$B$5:$B$604,"&gt;="&amp;DATE(PlanYear,1,1),'Content Calendar'!$B$5:$B$604,"&lt;="&amp;DATE(PlanYear,12,31)))</f>
        <v>0</v>
      </c>
      <c r="J11" s="23">
        <f>IF(B11="","",COUNTIFS('Content Calendar'!$J$5:$J$604,B11,'Content Calendar'!$X$5:$X$604,"Published",'Content Calendar'!$B$5:$B$604,"&gt;="&amp;DATE(PlanYear,1,1),'Content Calendar'!$B$5:$B$604,"&lt;="&amp;DATE(PlanYear,12,31)))</f>
        <v>0</v>
      </c>
      <c r="K11" s="24">
        <f>IF(OR(B11="",SUM('Content Pillars'!$I$5:$I$24)=0),"",I11/SUM('Content Pillars'!$I$5:$I$24))</f>
        <v>0</v>
      </c>
      <c r="L11" s="24">
        <f>IF(OR(K11="",C11=""),"",K11-C11)</f>
        <v>0</v>
      </c>
      <c r="M11" s="23">
        <f>IF(B11="","",SUMIFS(Performance!$O$5:$O$404,Performance!$H$5:$H$404,B11))</f>
        <v>0</v>
      </c>
      <c r="N11" s="23">
        <f>IF(B11="","",SUMIFS(Performance!$Z$5:$Z$404,Performance!$H$5:$H$404,B11))</f>
        <v>0</v>
      </c>
      <c r="O11" s="24">
        <f>IF(OR(M11="",M11=0),"",N11/M11)</f>
        <v>0</v>
      </c>
      <c r="P11" s="23">
        <f>IF(B11="","",SUMIFS(Performance!$U$5:$U$404,Performance!$H$5:$H$404,B11))</f>
        <v>0</v>
      </c>
      <c r="Q11" s="17">
        <f>IF(OR(B11="",J11=0),"",IFERROR(INDEX(Performance!$C$5:$C$404,MATCH(SUMPRODUCT(MAX((Performance!$H$5:$H$404=B11)*Performance!$AJ$5:$AJ$404)),Performance!$AJ$5:$AJ$404,0)),""))</f>
        <v>0</v>
      </c>
      <c r="R11" s="29">
        <f>IF(B11="","",IF(I11=0,"Action - no posts planned",IF(L11&gt;0.1,"Check - over-used pillar",IF(L11&lt;-0.1,"Check - under-used pillar","OK"))))</f>
        <v>0</v>
      </c>
      <c r="S11" s="39" t="s">
        <v>205</v>
      </c>
    </row>
    <row r="12" spans="1:19">
      <c r="A12" s="41">
        <f>IF(B12="","","PIL-"&amp;TEXT(ROW()-4,"00"))</f>
        <v>0</v>
      </c>
      <c r="I12" s="23">
        <f>IF(B12="","",COUNTIFS('Content Calendar'!$J$5:$J$604,B12,'Content Calendar'!$B$5:$B$604,"&gt;="&amp;DATE(PlanYear,1,1),'Content Calendar'!$B$5:$B$604,"&lt;="&amp;DATE(PlanYear,12,31)))</f>
        <v>0</v>
      </c>
      <c r="J12" s="23">
        <f>IF(B12="","",COUNTIFS('Content Calendar'!$J$5:$J$604,B12,'Content Calendar'!$X$5:$X$604,"Published",'Content Calendar'!$B$5:$B$604,"&gt;="&amp;DATE(PlanYear,1,1),'Content Calendar'!$B$5:$B$604,"&lt;="&amp;DATE(PlanYear,12,31)))</f>
        <v>0</v>
      </c>
      <c r="K12" s="24">
        <f>IF(OR(B12="",SUM('Content Pillars'!$I$5:$I$24)=0),"",I12/SUM('Content Pillars'!$I$5:$I$24))</f>
        <v>0</v>
      </c>
      <c r="L12" s="24">
        <f>IF(OR(K12="",C12=""),"",K12-C12)</f>
        <v>0</v>
      </c>
      <c r="M12" s="23">
        <f>IF(B12="","",SUMIFS(Performance!$O$5:$O$404,Performance!$H$5:$H$404,B12))</f>
        <v>0</v>
      </c>
      <c r="N12" s="23">
        <f>IF(B12="","",SUMIFS(Performance!$Z$5:$Z$404,Performance!$H$5:$H$404,B12))</f>
        <v>0</v>
      </c>
      <c r="O12" s="24">
        <f>IF(OR(M12="",M12=0),"",N12/M12)</f>
        <v>0</v>
      </c>
      <c r="P12" s="23">
        <f>IF(B12="","",SUMIFS(Performance!$U$5:$U$404,Performance!$H$5:$H$404,B12))</f>
        <v>0</v>
      </c>
      <c r="Q12" s="17">
        <f>IF(OR(B12="",J12=0),"",IFERROR(INDEX(Performance!$C$5:$C$404,MATCH(SUMPRODUCT(MAX((Performance!$H$5:$H$404=B12)*Performance!$AJ$5:$AJ$404)),Performance!$AJ$5:$AJ$404,0)),""))</f>
        <v>0</v>
      </c>
      <c r="R12" s="29">
        <f>IF(B12="","",IF(I12=0,"Action - no posts planned",IF(L12&gt;0.1,"Check - over-used pillar",IF(L12&lt;-0.1,"Check - under-used pillar","OK"))))</f>
        <v>0</v>
      </c>
    </row>
    <row r="13" spans="1:19">
      <c r="A13" s="41">
        <f>IF(B13="","","PIL-"&amp;TEXT(ROW()-4,"00"))</f>
        <v>0</v>
      </c>
      <c r="I13" s="23">
        <f>IF(B13="","",COUNTIFS('Content Calendar'!$J$5:$J$604,B13,'Content Calendar'!$B$5:$B$604,"&gt;="&amp;DATE(PlanYear,1,1),'Content Calendar'!$B$5:$B$604,"&lt;="&amp;DATE(PlanYear,12,31)))</f>
        <v>0</v>
      </c>
      <c r="J13" s="23">
        <f>IF(B13="","",COUNTIFS('Content Calendar'!$J$5:$J$604,B13,'Content Calendar'!$X$5:$X$604,"Published",'Content Calendar'!$B$5:$B$604,"&gt;="&amp;DATE(PlanYear,1,1),'Content Calendar'!$B$5:$B$604,"&lt;="&amp;DATE(PlanYear,12,31)))</f>
        <v>0</v>
      </c>
      <c r="K13" s="24">
        <f>IF(OR(B13="",SUM('Content Pillars'!$I$5:$I$24)=0),"",I13/SUM('Content Pillars'!$I$5:$I$24))</f>
        <v>0</v>
      </c>
      <c r="L13" s="24">
        <f>IF(OR(K13="",C13=""),"",K13-C13)</f>
        <v>0</v>
      </c>
      <c r="M13" s="23">
        <f>IF(B13="","",SUMIFS(Performance!$O$5:$O$404,Performance!$H$5:$H$404,B13))</f>
        <v>0</v>
      </c>
      <c r="N13" s="23">
        <f>IF(B13="","",SUMIFS(Performance!$Z$5:$Z$404,Performance!$H$5:$H$404,B13))</f>
        <v>0</v>
      </c>
      <c r="O13" s="24">
        <f>IF(OR(M13="",M13=0),"",N13/M13)</f>
        <v>0</v>
      </c>
      <c r="P13" s="23">
        <f>IF(B13="","",SUMIFS(Performance!$U$5:$U$404,Performance!$H$5:$H$404,B13))</f>
        <v>0</v>
      </c>
      <c r="Q13" s="17">
        <f>IF(OR(B13="",J13=0),"",IFERROR(INDEX(Performance!$C$5:$C$404,MATCH(SUMPRODUCT(MAX((Performance!$H$5:$H$404=B13)*Performance!$AJ$5:$AJ$404)),Performance!$AJ$5:$AJ$404,0)),""))</f>
        <v>0</v>
      </c>
      <c r="R13" s="29">
        <f>IF(B13="","",IF(I13=0,"Action - no posts planned",IF(L13&gt;0.1,"Check - over-used pillar",IF(L13&lt;-0.1,"Check - under-used pillar","OK"))))</f>
        <v>0</v>
      </c>
    </row>
    <row r="14" spans="1:19">
      <c r="A14" s="41">
        <f>IF(B14="","","PIL-"&amp;TEXT(ROW()-4,"00"))</f>
        <v>0</v>
      </c>
      <c r="I14" s="23">
        <f>IF(B14="","",COUNTIFS('Content Calendar'!$J$5:$J$604,B14,'Content Calendar'!$B$5:$B$604,"&gt;="&amp;DATE(PlanYear,1,1),'Content Calendar'!$B$5:$B$604,"&lt;="&amp;DATE(PlanYear,12,31)))</f>
        <v>0</v>
      </c>
      <c r="J14" s="23">
        <f>IF(B14="","",COUNTIFS('Content Calendar'!$J$5:$J$604,B14,'Content Calendar'!$X$5:$X$604,"Published",'Content Calendar'!$B$5:$B$604,"&gt;="&amp;DATE(PlanYear,1,1),'Content Calendar'!$B$5:$B$604,"&lt;="&amp;DATE(PlanYear,12,31)))</f>
        <v>0</v>
      </c>
      <c r="K14" s="24">
        <f>IF(OR(B14="",SUM('Content Pillars'!$I$5:$I$24)=0),"",I14/SUM('Content Pillars'!$I$5:$I$24))</f>
        <v>0</v>
      </c>
      <c r="L14" s="24">
        <f>IF(OR(K14="",C14=""),"",K14-C14)</f>
        <v>0</v>
      </c>
      <c r="M14" s="23">
        <f>IF(B14="","",SUMIFS(Performance!$O$5:$O$404,Performance!$H$5:$H$404,B14))</f>
        <v>0</v>
      </c>
      <c r="N14" s="23">
        <f>IF(B14="","",SUMIFS(Performance!$Z$5:$Z$404,Performance!$H$5:$H$404,B14))</f>
        <v>0</v>
      </c>
      <c r="O14" s="24">
        <f>IF(OR(M14="",M14=0),"",N14/M14)</f>
        <v>0</v>
      </c>
      <c r="P14" s="23">
        <f>IF(B14="","",SUMIFS(Performance!$U$5:$U$404,Performance!$H$5:$H$404,B14))</f>
        <v>0</v>
      </c>
      <c r="Q14" s="17">
        <f>IF(OR(B14="",J14=0),"",IFERROR(INDEX(Performance!$C$5:$C$404,MATCH(SUMPRODUCT(MAX((Performance!$H$5:$H$404=B14)*Performance!$AJ$5:$AJ$404)),Performance!$AJ$5:$AJ$404,0)),""))</f>
        <v>0</v>
      </c>
      <c r="R14" s="29">
        <f>IF(B14="","",IF(I14=0,"Action - no posts planned",IF(L14&gt;0.1,"Check - over-used pillar",IF(L14&lt;-0.1,"Check - under-used pillar","OK"))))</f>
        <v>0</v>
      </c>
    </row>
    <row r="15" spans="1:19">
      <c r="A15" s="41">
        <f>IF(B15="","","PIL-"&amp;TEXT(ROW()-4,"00"))</f>
        <v>0</v>
      </c>
      <c r="I15" s="23">
        <f>IF(B15="","",COUNTIFS('Content Calendar'!$J$5:$J$604,B15,'Content Calendar'!$B$5:$B$604,"&gt;="&amp;DATE(PlanYear,1,1),'Content Calendar'!$B$5:$B$604,"&lt;="&amp;DATE(PlanYear,12,31)))</f>
        <v>0</v>
      </c>
      <c r="J15" s="23">
        <f>IF(B15="","",COUNTIFS('Content Calendar'!$J$5:$J$604,B15,'Content Calendar'!$X$5:$X$604,"Published",'Content Calendar'!$B$5:$B$604,"&gt;="&amp;DATE(PlanYear,1,1),'Content Calendar'!$B$5:$B$604,"&lt;="&amp;DATE(PlanYear,12,31)))</f>
        <v>0</v>
      </c>
      <c r="K15" s="24">
        <f>IF(OR(B15="",SUM('Content Pillars'!$I$5:$I$24)=0),"",I15/SUM('Content Pillars'!$I$5:$I$24))</f>
        <v>0</v>
      </c>
      <c r="L15" s="24">
        <f>IF(OR(K15="",C15=""),"",K15-C15)</f>
        <v>0</v>
      </c>
      <c r="M15" s="23">
        <f>IF(B15="","",SUMIFS(Performance!$O$5:$O$404,Performance!$H$5:$H$404,B15))</f>
        <v>0</v>
      </c>
      <c r="N15" s="23">
        <f>IF(B15="","",SUMIFS(Performance!$Z$5:$Z$404,Performance!$H$5:$H$404,B15))</f>
        <v>0</v>
      </c>
      <c r="O15" s="24">
        <f>IF(OR(M15="",M15=0),"",N15/M15)</f>
        <v>0</v>
      </c>
      <c r="P15" s="23">
        <f>IF(B15="","",SUMIFS(Performance!$U$5:$U$404,Performance!$H$5:$H$404,B15))</f>
        <v>0</v>
      </c>
      <c r="Q15" s="17">
        <f>IF(OR(B15="",J15=0),"",IFERROR(INDEX(Performance!$C$5:$C$404,MATCH(SUMPRODUCT(MAX((Performance!$H$5:$H$404=B15)*Performance!$AJ$5:$AJ$404)),Performance!$AJ$5:$AJ$404,0)),""))</f>
        <v>0</v>
      </c>
      <c r="R15" s="29">
        <f>IF(B15="","",IF(I15=0,"Action - no posts planned",IF(L15&gt;0.1,"Check - over-used pillar",IF(L15&lt;-0.1,"Check - under-used pillar","OK"))))</f>
        <v>0</v>
      </c>
    </row>
    <row r="16" spans="1:19">
      <c r="A16" s="41">
        <f>IF(B16="","","PIL-"&amp;TEXT(ROW()-4,"00"))</f>
        <v>0</v>
      </c>
      <c r="I16" s="23">
        <f>IF(B16="","",COUNTIFS('Content Calendar'!$J$5:$J$604,B16,'Content Calendar'!$B$5:$B$604,"&gt;="&amp;DATE(PlanYear,1,1),'Content Calendar'!$B$5:$B$604,"&lt;="&amp;DATE(PlanYear,12,31)))</f>
        <v>0</v>
      </c>
      <c r="J16" s="23">
        <f>IF(B16="","",COUNTIFS('Content Calendar'!$J$5:$J$604,B16,'Content Calendar'!$X$5:$X$604,"Published",'Content Calendar'!$B$5:$B$604,"&gt;="&amp;DATE(PlanYear,1,1),'Content Calendar'!$B$5:$B$604,"&lt;="&amp;DATE(PlanYear,12,31)))</f>
        <v>0</v>
      </c>
      <c r="K16" s="24">
        <f>IF(OR(B16="",SUM('Content Pillars'!$I$5:$I$24)=0),"",I16/SUM('Content Pillars'!$I$5:$I$24))</f>
        <v>0</v>
      </c>
      <c r="L16" s="24">
        <f>IF(OR(K16="",C16=""),"",K16-C16)</f>
        <v>0</v>
      </c>
      <c r="M16" s="23">
        <f>IF(B16="","",SUMIFS(Performance!$O$5:$O$404,Performance!$H$5:$H$404,B16))</f>
        <v>0</v>
      </c>
      <c r="N16" s="23">
        <f>IF(B16="","",SUMIFS(Performance!$Z$5:$Z$404,Performance!$H$5:$H$404,B16))</f>
        <v>0</v>
      </c>
      <c r="O16" s="24">
        <f>IF(OR(M16="",M16=0),"",N16/M16)</f>
        <v>0</v>
      </c>
      <c r="P16" s="23">
        <f>IF(B16="","",SUMIFS(Performance!$U$5:$U$404,Performance!$H$5:$H$404,B16))</f>
        <v>0</v>
      </c>
      <c r="Q16" s="17">
        <f>IF(OR(B16="",J16=0),"",IFERROR(INDEX(Performance!$C$5:$C$404,MATCH(SUMPRODUCT(MAX((Performance!$H$5:$H$404=B16)*Performance!$AJ$5:$AJ$404)),Performance!$AJ$5:$AJ$404,0)),""))</f>
        <v>0</v>
      </c>
      <c r="R16" s="29">
        <f>IF(B16="","",IF(I16=0,"Action - no posts planned",IF(L16&gt;0.1,"Check - over-used pillar",IF(L16&lt;-0.1,"Check - under-used pillar","OK"))))</f>
        <v>0</v>
      </c>
    </row>
    <row r="17" spans="1:18">
      <c r="A17" s="41">
        <f>IF(B17="","","PIL-"&amp;TEXT(ROW()-4,"00"))</f>
        <v>0</v>
      </c>
      <c r="I17" s="23">
        <f>IF(B17="","",COUNTIFS('Content Calendar'!$J$5:$J$604,B17,'Content Calendar'!$B$5:$B$604,"&gt;="&amp;DATE(PlanYear,1,1),'Content Calendar'!$B$5:$B$604,"&lt;="&amp;DATE(PlanYear,12,31)))</f>
        <v>0</v>
      </c>
      <c r="J17" s="23">
        <f>IF(B17="","",COUNTIFS('Content Calendar'!$J$5:$J$604,B17,'Content Calendar'!$X$5:$X$604,"Published",'Content Calendar'!$B$5:$B$604,"&gt;="&amp;DATE(PlanYear,1,1),'Content Calendar'!$B$5:$B$604,"&lt;="&amp;DATE(PlanYear,12,31)))</f>
        <v>0</v>
      </c>
      <c r="K17" s="24">
        <f>IF(OR(B17="",SUM('Content Pillars'!$I$5:$I$24)=0),"",I17/SUM('Content Pillars'!$I$5:$I$24))</f>
        <v>0</v>
      </c>
      <c r="L17" s="24">
        <f>IF(OR(K17="",C17=""),"",K17-C17)</f>
        <v>0</v>
      </c>
      <c r="M17" s="23">
        <f>IF(B17="","",SUMIFS(Performance!$O$5:$O$404,Performance!$H$5:$H$404,B17))</f>
        <v>0</v>
      </c>
      <c r="N17" s="23">
        <f>IF(B17="","",SUMIFS(Performance!$Z$5:$Z$404,Performance!$H$5:$H$404,B17))</f>
        <v>0</v>
      </c>
      <c r="O17" s="24">
        <f>IF(OR(M17="",M17=0),"",N17/M17)</f>
        <v>0</v>
      </c>
      <c r="P17" s="23">
        <f>IF(B17="","",SUMIFS(Performance!$U$5:$U$404,Performance!$H$5:$H$404,B17))</f>
        <v>0</v>
      </c>
      <c r="Q17" s="17">
        <f>IF(OR(B17="",J17=0),"",IFERROR(INDEX(Performance!$C$5:$C$404,MATCH(SUMPRODUCT(MAX((Performance!$H$5:$H$404=B17)*Performance!$AJ$5:$AJ$404)),Performance!$AJ$5:$AJ$404,0)),""))</f>
        <v>0</v>
      </c>
      <c r="R17" s="29">
        <f>IF(B17="","",IF(I17=0,"Action - no posts planned",IF(L17&gt;0.1,"Check - over-used pillar",IF(L17&lt;-0.1,"Check - under-used pillar","OK"))))</f>
        <v>0</v>
      </c>
    </row>
    <row r="18" spans="1:18">
      <c r="A18" s="41">
        <f>IF(B18="","","PIL-"&amp;TEXT(ROW()-4,"00"))</f>
        <v>0</v>
      </c>
      <c r="I18" s="23">
        <f>IF(B18="","",COUNTIFS('Content Calendar'!$J$5:$J$604,B18,'Content Calendar'!$B$5:$B$604,"&gt;="&amp;DATE(PlanYear,1,1),'Content Calendar'!$B$5:$B$604,"&lt;="&amp;DATE(PlanYear,12,31)))</f>
        <v>0</v>
      </c>
      <c r="J18" s="23">
        <f>IF(B18="","",COUNTIFS('Content Calendar'!$J$5:$J$604,B18,'Content Calendar'!$X$5:$X$604,"Published",'Content Calendar'!$B$5:$B$604,"&gt;="&amp;DATE(PlanYear,1,1),'Content Calendar'!$B$5:$B$604,"&lt;="&amp;DATE(PlanYear,12,31)))</f>
        <v>0</v>
      </c>
      <c r="K18" s="24">
        <f>IF(OR(B18="",SUM('Content Pillars'!$I$5:$I$24)=0),"",I18/SUM('Content Pillars'!$I$5:$I$24))</f>
        <v>0</v>
      </c>
      <c r="L18" s="24">
        <f>IF(OR(K18="",C18=""),"",K18-C18)</f>
        <v>0</v>
      </c>
      <c r="M18" s="23">
        <f>IF(B18="","",SUMIFS(Performance!$O$5:$O$404,Performance!$H$5:$H$404,B18))</f>
        <v>0</v>
      </c>
      <c r="N18" s="23">
        <f>IF(B18="","",SUMIFS(Performance!$Z$5:$Z$404,Performance!$H$5:$H$404,B18))</f>
        <v>0</v>
      </c>
      <c r="O18" s="24">
        <f>IF(OR(M18="",M18=0),"",N18/M18)</f>
        <v>0</v>
      </c>
      <c r="P18" s="23">
        <f>IF(B18="","",SUMIFS(Performance!$U$5:$U$404,Performance!$H$5:$H$404,B18))</f>
        <v>0</v>
      </c>
      <c r="Q18" s="17">
        <f>IF(OR(B18="",J18=0),"",IFERROR(INDEX(Performance!$C$5:$C$404,MATCH(SUMPRODUCT(MAX((Performance!$H$5:$H$404=B18)*Performance!$AJ$5:$AJ$404)),Performance!$AJ$5:$AJ$404,0)),""))</f>
        <v>0</v>
      </c>
      <c r="R18" s="29">
        <f>IF(B18="","",IF(I18=0,"Action - no posts planned",IF(L18&gt;0.1,"Check - over-used pillar",IF(L18&lt;-0.1,"Check - under-used pillar","OK"))))</f>
        <v>0</v>
      </c>
    </row>
    <row r="19" spans="1:18">
      <c r="A19" s="41">
        <f>IF(B19="","","PIL-"&amp;TEXT(ROW()-4,"00"))</f>
        <v>0</v>
      </c>
      <c r="I19" s="23">
        <f>IF(B19="","",COUNTIFS('Content Calendar'!$J$5:$J$604,B19,'Content Calendar'!$B$5:$B$604,"&gt;="&amp;DATE(PlanYear,1,1),'Content Calendar'!$B$5:$B$604,"&lt;="&amp;DATE(PlanYear,12,31)))</f>
        <v>0</v>
      </c>
      <c r="J19" s="23">
        <f>IF(B19="","",COUNTIFS('Content Calendar'!$J$5:$J$604,B19,'Content Calendar'!$X$5:$X$604,"Published",'Content Calendar'!$B$5:$B$604,"&gt;="&amp;DATE(PlanYear,1,1),'Content Calendar'!$B$5:$B$604,"&lt;="&amp;DATE(PlanYear,12,31)))</f>
        <v>0</v>
      </c>
      <c r="K19" s="24">
        <f>IF(OR(B19="",SUM('Content Pillars'!$I$5:$I$24)=0),"",I19/SUM('Content Pillars'!$I$5:$I$24))</f>
        <v>0</v>
      </c>
      <c r="L19" s="24">
        <f>IF(OR(K19="",C19=""),"",K19-C19)</f>
        <v>0</v>
      </c>
      <c r="M19" s="23">
        <f>IF(B19="","",SUMIFS(Performance!$O$5:$O$404,Performance!$H$5:$H$404,B19))</f>
        <v>0</v>
      </c>
      <c r="N19" s="23">
        <f>IF(B19="","",SUMIFS(Performance!$Z$5:$Z$404,Performance!$H$5:$H$404,B19))</f>
        <v>0</v>
      </c>
      <c r="O19" s="24">
        <f>IF(OR(M19="",M19=0),"",N19/M19)</f>
        <v>0</v>
      </c>
      <c r="P19" s="23">
        <f>IF(B19="","",SUMIFS(Performance!$U$5:$U$404,Performance!$H$5:$H$404,B19))</f>
        <v>0</v>
      </c>
      <c r="Q19" s="17">
        <f>IF(OR(B19="",J19=0),"",IFERROR(INDEX(Performance!$C$5:$C$404,MATCH(SUMPRODUCT(MAX((Performance!$H$5:$H$404=B19)*Performance!$AJ$5:$AJ$404)),Performance!$AJ$5:$AJ$404,0)),""))</f>
        <v>0</v>
      </c>
      <c r="R19" s="29">
        <f>IF(B19="","",IF(I19=0,"Action - no posts planned",IF(L19&gt;0.1,"Check - over-used pillar",IF(L19&lt;-0.1,"Check - under-used pillar","OK"))))</f>
        <v>0</v>
      </c>
    </row>
    <row r="20" spans="1:18">
      <c r="A20" s="41">
        <f>IF(B20="","","PIL-"&amp;TEXT(ROW()-4,"00"))</f>
        <v>0</v>
      </c>
      <c r="I20" s="23">
        <f>IF(B20="","",COUNTIFS('Content Calendar'!$J$5:$J$604,B20,'Content Calendar'!$B$5:$B$604,"&gt;="&amp;DATE(PlanYear,1,1),'Content Calendar'!$B$5:$B$604,"&lt;="&amp;DATE(PlanYear,12,31)))</f>
        <v>0</v>
      </c>
      <c r="J20" s="23">
        <f>IF(B20="","",COUNTIFS('Content Calendar'!$J$5:$J$604,B20,'Content Calendar'!$X$5:$X$604,"Published",'Content Calendar'!$B$5:$B$604,"&gt;="&amp;DATE(PlanYear,1,1),'Content Calendar'!$B$5:$B$604,"&lt;="&amp;DATE(PlanYear,12,31)))</f>
        <v>0</v>
      </c>
      <c r="K20" s="24">
        <f>IF(OR(B20="",SUM('Content Pillars'!$I$5:$I$24)=0),"",I20/SUM('Content Pillars'!$I$5:$I$24))</f>
        <v>0</v>
      </c>
      <c r="L20" s="24">
        <f>IF(OR(K20="",C20=""),"",K20-C20)</f>
        <v>0</v>
      </c>
      <c r="M20" s="23">
        <f>IF(B20="","",SUMIFS(Performance!$O$5:$O$404,Performance!$H$5:$H$404,B20))</f>
        <v>0</v>
      </c>
      <c r="N20" s="23">
        <f>IF(B20="","",SUMIFS(Performance!$Z$5:$Z$404,Performance!$H$5:$H$404,B20))</f>
        <v>0</v>
      </c>
      <c r="O20" s="24">
        <f>IF(OR(M20="",M20=0),"",N20/M20)</f>
        <v>0</v>
      </c>
      <c r="P20" s="23">
        <f>IF(B20="","",SUMIFS(Performance!$U$5:$U$404,Performance!$H$5:$H$404,B20))</f>
        <v>0</v>
      </c>
      <c r="Q20" s="17">
        <f>IF(OR(B20="",J20=0),"",IFERROR(INDEX(Performance!$C$5:$C$404,MATCH(SUMPRODUCT(MAX((Performance!$H$5:$H$404=B20)*Performance!$AJ$5:$AJ$404)),Performance!$AJ$5:$AJ$404,0)),""))</f>
        <v>0</v>
      </c>
      <c r="R20" s="29">
        <f>IF(B20="","",IF(I20=0,"Action - no posts planned",IF(L20&gt;0.1,"Check - over-used pillar",IF(L20&lt;-0.1,"Check - under-used pillar","OK"))))</f>
        <v>0</v>
      </c>
    </row>
    <row r="21" spans="1:18">
      <c r="A21" s="41">
        <f>IF(B21="","","PIL-"&amp;TEXT(ROW()-4,"00"))</f>
        <v>0</v>
      </c>
      <c r="I21" s="23">
        <f>IF(B21="","",COUNTIFS('Content Calendar'!$J$5:$J$604,B21,'Content Calendar'!$B$5:$B$604,"&gt;="&amp;DATE(PlanYear,1,1),'Content Calendar'!$B$5:$B$604,"&lt;="&amp;DATE(PlanYear,12,31)))</f>
        <v>0</v>
      </c>
      <c r="J21" s="23">
        <f>IF(B21="","",COUNTIFS('Content Calendar'!$J$5:$J$604,B21,'Content Calendar'!$X$5:$X$604,"Published",'Content Calendar'!$B$5:$B$604,"&gt;="&amp;DATE(PlanYear,1,1),'Content Calendar'!$B$5:$B$604,"&lt;="&amp;DATE(PlanYear,12,31)))</f>
        <v>0</v>
      </c>
      <c r="K21" s="24">
        <f>IF(OR(B21="",SUM('Content Pillars'!$I$5:$I$24)=0),"",I21/SUM('Content Pillars'!$I$5:$I$24))</f>
        <v>0</v>
      </c>
      <c r="L21" s="24">
        <f>IF(OR(K21="",C21=""),"",K21-C21)</f>
        <v>0</v>
      </c>
      <c r="M21" s="23">
        <f>IF(B21="","",SUMIFS(Performance!$O$5:$O$404,Performance!$H$5:$H$404,B21))</f>
        <v>0</v>
      </c>
      <c r="N21" s="23">
        <f>IF(B21="","",SUMIFS(Performance!$Z$5:$Z$404,Performance!$H$5:$H$404,B21))</f>
        <v>0</v>
      </c>
      <c r="O21" s="24">
        <f>IF(OR(M21="",M21=0),"",N21/M21)</f>
        <v>0</v>
      </c>
      <c r="P21" s="23">
        <f>IF(B21="","",SUMIFS(Performance!$U$5:$U$404,Performance!$H$5:$H$404,B21))</f>
        <v>0</v>
      </c>
      <c r="Q21" s="17">
        <f>IF(OR(B21="",J21=0),"",IFERROR(INDEX(Performance!$C$5:$C$404,MATCH(SUMPRODUCT(MAX((Performance!$H$5:$H$404=B21)*Performance!$AJ$5:$AJ$404)),Performance!$AJ$5:$AJ$404,0)),""))</f>
        <v>0</v>
      </c>
      <c r="R21" s="29">
        <f>IF(B21="","",IF(I21=0,"Action - no posts planned",IF(L21&gt;0.1,"Check - over-used pillar",IF(L21&lt;-0.1,"Check - under-used pillar","OK"))))</f>
        <v>0</v>
      </c>
    </row>
    <row r="22" spans="1:18">
      <c r="A22" s="41">
        <f>IF(B22="","","PIL-"&amp;TEXT(ROW()-4,"00"))</f>
        <v>0</v>
      </c>
      <c r="I22" s="23">
        <f>IF(B22="","",COUNTIFS('Content Calendar'!$J$5:$J$604,B22,'Content Calendar'!$B$5:$B$604,"&gt;="&amp;DATE(PlanYear,1,1),'Content Calendar'!$B$5:$B$604,"&lt;="&amp;DATE(PlanYear,12,31)))</f>
        <v>0</v>
      </c>
      <c r="J22" s="23">
        <f>IF(B22="","",COUNTIFS('Content Calendar'!$J$5:$J$604,B22,'Content Calendar'!$X$5:$X$604,"Published",'Content Calendar'!$B$5:$B$604,"&gt;="&amp;DATE(PlanYear,1,1),'Content Calendar'!$B$5:$B$604,"&lt;="&amp;DATE(PlanYear,12,31)))</f>
        <v>0</v>
      </c>
      <c r="K22" s="24">
        <f>IF(OR(B22="",SUM('Content Pillars'!$I$5:$I$24)=0),"",I22/SUM('Content Pillars'!$I$5:$I$24))</f>
        <v>0</v>
      </c>
      <c r="L22" s="24">
        <f>IF(OR(K22="",C22=""),"",K22-C22)</f>
        <v>0</v>
      </c>
      <c r="M22" s="23">
        <f>IF(B22="","",SUMIFS(Performance!$O$5:$O$404,Performance!$H$5:$H$404,B22))</f>
        <v>0</v>
      </c>
      <c r="N22" s="23">
        <f>IF(B22="","",SUMIFS(Performance!$Z$5:$Z$404,Performance!$H$5:$H$404,B22))</f>
        <v>0</v>
      </c>
      <c r="O22" s="24">
        <f>IF(OR(M22="",M22=0),"",N22/M22)</f>
        <v>0</v>
      </c>
      <c r="P22" s="23">
        <f>IF(B22="","",SUMIFS(Performance!$U$5:$U$404,Performance!$H$5:$H$404,B22))</f>
        <v>0</v>
      </c>
      <c r="Q22" s="17">
        <f>IF(OR(B22="",J22=0),"",IFERROR(INDEX(Performance!$C$5:$C$404,MATCH(SUMPRODUCT(MAX((Performance!$H$5:$H$404=B22)*Performance!$AJ$5:$AJ$404)),Performance!$AJ$5:$AJ$404,0)),""))</f>
        <v>0</v>
      </c>
      <c r="R22" s="29">
        <f>IF(B22="","",IF(I22=0,"Action - no posts planned",IF(L22&gt;0.1,"Check - over-used pillar",IF(L22&lt;-0.1,"Check - under-used pillar","OK"))))</f>
        <v>0</v>
      </c>
    </row>
    <row r="23" spans="1:18">
      <c r="A23" s="41">
        <f>IF(B23="","","PIL-"&amp;TEXT(ROW()-4,"00"))</f>
        <v>0</v>
      </c>
      <c r="I23" s="23">
        <f>IF(B23="","",COUNTIFS('Content Calendar'!$J$5:$J$604,B23,'Content Calendar'!$B$5:$B$604,"&gt;="&amp;DATE(PlanYear,1,1),'Content Calendar'!$B$5:$B$604,"&lt;="&amp;DATE(PlanYear,12,31)))</f>
        <v>0</v>
      </c>
      <c r="J23" s="23">
        <f>IF(B23="","",COUNTIFS('Content Calendar'!$J$5:$J$604,B23,'Content Calendar'!$X$5:$X$604,"Published",'Content Calendar'!$B$5:$B$604,"&gt;="&amp;DATE(PlanYear,1,1),'Content Calendar'!$B$5:$B$604,"&lt;="&amp;DATE(PlanYear,12,31)))</f>
        <v>0</v>
      </c>
      <c r="K23" s="24">
        <f>IF(OR(B23="",SUM('Content Pillars'!$I$5:$I$24)=0),"",I23/SUM('Content Pillars'!$I$5:$I$24))</f>
        <v>0</v>
      </c>
      <c r="L23" s="24">
        <f>IF(OR(K23="",C23=""),"",K23-C23)</f>
        <v>0</v>
      </c>
      <c r="M23" s="23">
        <f>IF(B23="","",SUMIFS(Performance!$O$5:$O$404,Performance!$H$5:$H$404,B23))</f>
        <v>0</v>
      </c>
      <c r="N23" s="23">
        <f>IF(B23="","",SUMIFS(Performance!$Z$5:$Z$404,Performance!$H$5:$H$404,B23))</f>
        <v>0</v>
      </c>
      <c r="O23" s="24">
        <f>IF(OR(M23="",M23=0),"",N23/M23)</f>
        <v>0</v>
      </c>
      <c r="P23" s="23">
        <f>IF(B23="","",SUMIFS(Performance!$U$5:$U$404,Performance!$H$5:$H$404,B23))</f>
        <v>0</v>
      </c>
      <c r="Q23" s="17">
        <f>IF(OR(B23="",J23=0),"",IFERROR(INDEX(Performance!$C$5:$C$404,MATCH(SUMPRODUCT(MAX((Performance!$H$5:$H$404=B23)*Performance!$AJ$5:$AJ$404)),Performance!$AJ$5:$AJ$404,0)),""))</f>
        <v>0</v>
      </c>
      <c r="R23" s="29">
        <f>IF(B23="","",IF(I23=0,"Action - no posts planned",IF(L23&gt;0.1,"Check - over-used pillar",IF(L23&lt;-0.1,"Check - under-used pillar","OK"))))</f>
        <v>0</v>
      </c>
    </row>
    <row r="24" spans="1:18">
      <c r="A24" s="41">
        <f>IF(B24="","","PIL-"&amp;TEXT(ROW()-4,"00"))</f>
        <v>0</v>
      </c>
      <c r="I24" s="23">
        <f>IF(B24="","",COUNTIFS('Content Calendar'!$J$5:$J$604,B24,'Content Calendar'!$B$5:$B$604,"&gt;="&amp;DATE(PlanYear,1,1),'Content Calendar'!$B$5:$B$604,"&lt;="&amp;DATE(PlanYear,12,31)))</f>
        <v>0</v>
      </c>
      <c r="J24" s="23">
        <f>IF(B24="","",COUNTIFS('Content Calendar'!$J$5:$J$604,B24,'Content Calendar'!$X$5:$X$604,"Published",'Content Calendar'!$B$5:$B$604,"&gt;="&amp;DATE(PlanYear,1,1),'Content Calendar'!$B$5:$B$604,"&lt;="&amp;DATE(PlanYear,12,31)))</f>
        <v>0</v>
      </c>
      <c r="K24" s="24">
        <f>IF(OR(B24="",SUM('Content Pillars'!$I$5:$I$24)=0),"",I24/SUM('Content Pillars'!$I$5:$I$24))</f>
        <v>0</v>
      </c>
      <c r="L24" s="24">
        <f>IF(OR(K24="",C24=""),"",K24-C24)</f>
        <v>0</v>
      </c>
      <c r="M24" s="23">
        <f>IF(B24="","",SUMIFS(Performance!$O$5:$O$404,Performance!$H$5:$H$404,B24))</f>
        <v>0</v>
      </c>
      <c r="N24" s="23">
        <f>IF(B24="","",SUMIFS(Performance!$Z$5:$Z$404,Performance!$H$5:$H$404,B24))</f>
        <v>0</v>
      </c>
      <c r="O24" s="24">
        <f>IF(OR(M24="",M24=0),"",N24/M24)</f>
        <v>0</v>
      </c>
      <c r="P24" s="23">
        <f>IF(B24="","",SUMIFS(Performance!$U$5:$U$404,Performance!$H$5:$H$404,B24))</f>
        <v>0</v>
      </c>
      <c r="Q24" s="17">
        <f>IF(OR(B24="",J24=0),"",IFERROR(INDEX(Performance!$C$5:$C$404,MATCH(SUMPRODUCT(MAX((Performance!$H$5:$H$404=B24)*Performance!$AJ$5:$AJ$404)),Performance!$AJ$5:$AJ$404,0)),""))</f>
        <v>0</v>
      </c>
      <c r="R24" s="29">
        <f>IF(B24="","",IF(I24=0,"Action - no posts planned",IF(L24&gt;0.1,"Check - over-used pillar",IF(L24&lt;-0.1,"Check - under-used pillar","OK"))))</f>
        <v>0</v>
      </c>
    </row>
    <row r="26" spans="1:18">
      <c r="A26" s="44" t="s">
        <v>897</v>
      </c>
      <c r="B26" s="44"/>
      <c r="C26" s="45">
        <f>SUM(C5:C24)</f>
        <v>0</v>
      </c>
      <c r="D26" s="46" t="s">
        <v>898</v>
      </c>
      <c r="E26" s="46"/>
      <c r="F26" s="46"/>
      <c r="G26" s="46"/>
      <c r="H26" s="46"/>
      <c r="I26" s="47">
        <f>SUM(I5:I24)</f>
        <v>0</v>
      </c>
    </row>
  </sheetData>
  <sheetProtection password="EC7C" sheet="1" objects="1" scenarios="1" formatCells="0" formatColumns="0" formatRows="0" insertRows="0" insertHyperlinks="0" deleteRows="0" autoFilter="0"/>
  <autoFilter ref="A4:S24"/>
  <mergeCells count="14">
    <mergeCell ref="A1:P1"/>
    <mergeCell ref="Q1:S1"/>
    <mergeCell ref="A2:S2"/>
    <mergeCell ref="A3:B3"/>
    <mergeCell ref="C3:D3"/>
    <mergeCell ref="E3:F3"/>
    <mergeCell ref="G3:H3"/>
    <mergeCell ref="I3:J3"/>
    <mergeCell ref="K3:L3"/>
    <mergeCell ref="M3:N3"/>
    <mergeCell ref="O3:P3"/>
    <mergeCell ref="Q3:R3"/>
    <mergeCell ref="A26:B26"/>
    <mergeCell ref="D26:H26"/>
  </mergeCells>
  <conditionalFormatting sqref="C5:C24">
    <cfRule type="dataBar" priority="1">
      <dataBar>
        <cfvo type="min" val="0"/>
        <cfvo type="max" val="0"/>
        <color rgb="FF6350A8"/>
      </dataBar>
    </cfRule>
  </conditionalFormatting>
  <conditionalFormatting sqref="I5:I24">
    <cfRule type="dataBar" priority="2">
      <dataBar>
        <cfvo type="min" val="0"/>
        <cfvo type="max" val="0"/>
        <color rgb="FF6350A8"/>
      </dataBar>
    </cfRule>
  </conditionalFormatting>
  <conditionalFormatting sqref="L5:L24">
    <cfRule type="cellIs" dxfId="0" priority="3" operator="between">
      <formula>-0.05</formula>
      <formula>0.05</formula>
    </cfRule>
    <cfRule type="cellIs" dxfId="1" priority="4" operator="notBetween">
      <formula>-0.1</formula>
      <formula>0.1</formula>
    </cfRule>
  </conditionalFormatting>
  <conditionalFormatting sqref="M5:M24">
    <cfRule type="dataBar" priority="5">
      <dataBar>
        <cfvo type="min" val="0"/>
        <cfvo type="max" val="0"/>
        <color rgb="FF6350A8"/>
      </dataBar>
    </cfRule>
  </conditionalFormatting>
  <conditionalFormatting sqref="O5:O24">
    <cfRule type="cellIs" dxfId="0" priority="6" operator="greaterThanOrEqual">
      <formula>TargetEngagement</formula>
    </cfRule>
    <cfRule type="cellIs" dxfId="2" priority="7" operator="lessThan">
      <formula>TargetEngagement</formula>
    </cfRule>
  </conditionalFormatting>
  <conditionalFormatting sqref="R5:R24">
    <cfRule type="beginsWith" dxfId="0" priority="8" operator="beginsWith" text="OK">
      <formula>LEFT(R5,2)="OK"</formula>
    </cfRule>
    <cfRule type="containsText" dxfId="1" priority="9" operator="containsText" text="Overdue">
      <formula>NOT(ISERROR(SEARCH("Overdue",R5)))</formula>
    </cfRule>
    <cfRule type="containsText" dxfId="1" priority="10" operator="containsText" text="Late">
      <formula>NOT(ISERROR(SEARCH("Late",R5)))</formula>
    </cfRule>
    <cfRule type="containsText" dxfId="1" priority="11" operator="containsText" text="Missing">
      <formula>NOT(ISERROR(SEARCH("Missing",R5)))</formula>
    </cfRule>
    <cfRule type="containsText" dxfId="1" priority="12" operator="containsText" text="Conflict">
      <formula>NOT(ISERROR(SEARCH("Conflict",R5)))</formula>
    </cfRule>
    <cfRule type="containsText" dxfId="1" priority="13" operator="containsText" text="Expired">
      <formula>NOT(ISERROR(SEARCH("Expired",R5)))</formula>
    </cfRule>
    <cfRule type="containsText" dxfId="1" priority="14" operator="containsText" text="Duplicate">
      <formula>NOT(ISERROR(SEARCH("Duplicate",R5)))</formula>
    </cfRule>
    <cfRule type="containsText" dxfId="2" priority="15" operator="containsText" text="Action">
      <formula>NOT(ISERROR(SEARCH("Action",R5)))</formula>
    </cfRule>
    <cfRule type="containsText" dxfId="2" priority="16" operator="containsText" text="Due">
      <formula>NOT(ISERROR(SEARCH("Due",R5)))</formula>
    </cfRule>
    <cfRule type="containsText" dxfId="2" priority="17" operator="containsText" text="Check">
      <formula>NOT(ISERROR(SEARCH("Check",R5)))</formula>
    </cfRule>
    <cfRule type="containsText" dxfId="2" priority="18" operator="containsText" text="Add">
      <formula>NOT(ISERROR(SEARCH("Add",R5)))</formula>
    </cfRule>
    <cfRule type="containsText" dxfId="3" priority="19" operator="containsText" text="Today">
      <formula>NOT(ISERROR(SEARCH("Today",R5)))</formula>
    </cfRule>
    <cfRule type="containsText" dxfId="3" priority="20" operator="containsText" text="Upcoming">
      <formula>NOT(ISERROR(SEARCH("Upcoming",R5)))</formula>
    </cfRule>
  </conditionalFormatting>
  <dataValidations count="4">
    <dataValidation type="decimal" allowBlank="1" showInputMessage="1" showErrorMessage="1" errorTitle="Check the value" error="Enter a number between 0 and 1." promptTitle="Target share of posts" prompt="Aim for the shares to add up to 100%. The total is checked at the bottom of the grey columns." sqref="C5:C24">
      <formula1>0</formula1>
      <formula2>1</formula2>
    </dataValidation>
    <dataValidation type="list" allowBlank="1" showInputMessage="1" showErrorMessage="1" sqref="E5:E24">
      <formula1>ObjectiveList</formula1>
    </dataValidation>
    <dataValidation type="list" allowBlank="1" showInputMessage="1" showErrorMessage="1" sqref="F5:F24">
      <formula1>FormatList</formula1>
    </dataValidation>
    <dataValidation type="list" allowBlank="1" showInputMessage="1" showErrorMessage="1" sqref="G5:G24">
      <formula1>PersonaNames</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&amp;L&amp;"Calibri,Bold"&amp;12&amp;C&amp;"Calibri,Bold"&amp;11Content Pillars&amp;R&amp;"Calibri,Italic"&amp;9Social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F2665E"/>
    <pageSetUpPr fitToPage="1"/>
  </sheetPr>
  <dimension ref="A1:AN6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1" customWidth="1"/>
    <col min="2" max="2" width="13.7109375" style="43" customWidth="1"/>
    <col min="3" max="3" width="12.7109375" style="15" customWidth="1"/>
    <col min="4" max="4" width="10.7109375" style="17" customWidth="1"/>
    <col min="5" max="5" width="7.7109375" style="23" customWidth="1"/>
    <col min="6" max="6" width="9.7109375" style="17" customWidth="1"/>
    <col min="7" max="7" width="13.7109375" style="15" customWidth="1"/>
    <col min="8" max="8" width="34.7109375" style="15" customWidth="1"/>
    <col min="9" max="9" width="38.7109375" style="39" customWidth="1"/>
    <col min="10" max="10" width="16.7109375" style="15" customWidth="1"/>
    <col min="11" max="11" width="14.7109375" style="15" customWidth="1"/>
    <col min="12" max="12" width="20.7109375" style="15" customWidth="1"/>
    <col min="13" max="13" width="15.7109375" style="15" customWidth="1"/>
    <col min="14" max="14" width="14.7109375" style="15" customWidth="1"/>
    <col min="15" max="15" width="18.7109375" style="15" customWidth="1"/>
    <col min="16" max="16" width="24.7109375" style="15" customWidth="1"/>
    <col min="17" max="17" width="12.7109375" style="29" customWidth="1"/>
    <col min="18" max="18" width="14.7109375" style="15" customWidth="1"/>
    <col min="19" max="19" width="11.7109375" style="23" customWidth="1"/>
    <col min="20" max="20" width="13.7109375" style="15" customWidth="1"/>
    <col min="21" max="21" width="12.7109375" style="29" customWidth="1"/>
    <col min="22" max="22" width="18.7109375" style="15" customWidth="1"/>
    <col min="23" max="23" width="16.7109375" style="15" customWidth="1"/>
    <col min="24" max="24" width="15.7109375" style="48" customWidth="1"/>
    <col min="25" max="25" width="12.7109375" style="16" customWidth="1"/>
    <col min="26" max="26" width="12.7109375" style="16" customWidth="1"/>
    <col min="27" max="27" width="10.7109375" style="23" customWidth="1"/>
    <col min="28" max="28" width="28.7109375" style="42" customWidth="1"/>
    <col min="29" max="29" width="10.7109375" style="29" customWidth="1"/>
    <col min="30" max="30" width="11.7109375" style="23" customWidth="1"/>
    <col min="31" max="31" width="12.7109375" style="23" customWidth="1"/>
    <col min="32" max="32" width="12.7109375" style="24" customWidth="1"/>
    <col min="33" max="33" width="9.7109375" style="23" customWidth="1"/>
    <col min="34" max="34" width="10.7109375" style="23" customWidth="1"/>
    <col min="35" max="35" width="11.7109375" style="32" hidden="1" customWidth="1"/>
    <col min="36" max="36" width="11.7109375" style="32" hidden="1" customWidth="1"/>
    <col min="37" max="37" width="11.7109375" style="32" hidden="1" customWidth="1"/>
    <col min="38" max="38" width="13.7109375" style="29" customWidth="1"/>
    <col min="39" max="39" width="30.7109375" style="29" customWidth="1"/>
    <col min="40" max="40" width="28.7109375" style="39" customWidth="1"/>
  </cols>
  <sheetData>
    <row r="1" spans="1:40" ht="34" customHeight="1">
      <c r="A1" s="2" t="s">
        <v>899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3" t="s">
        <v>1</v>
      </c>
      <c r="AM1" s="3"/>
      <c r="AN1" s="3"/>
    </row>
    <row r="2" spans="1:40" ht="18" customHeight="1">
      <c r="A2" s="4" t="s">
        <v>900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spans="1:40"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901</v>
      </c>
      <c r="T3" s="38"/>
      <c r="U3" s="38"/>
      <c r="V3" s="38"/>
      <c r="W3" s="38"/>
      <c r="X3" s="38"/>
      <c r="Y3" s="38"/>
      <c r="Z3" s="38"/>
      <c r="AA3" s="38"/>
      <c r="AB3" s="38"/>
      <c r="AC3" s="38"/>
      <c r="AD3" s="38"/>
      <c r="AE3" s="38"/>
      <c r="AF3" s="38"/>
      <c r="AG3" s="38"/>
      <c r="AH3" s="38"/>
      <c r="AI3" s="38"/>
      <c r="AJ3" s="38"/>
      <c r="AK3" s="38"/>
      <c r="AL3" s="38"/>
      <c r="AM3" s="38"/>
      <c r="AN3" s="38"/>
    </row>
    <row r="4" spans="1:40" ht="30" customHeight="1">
      <c r="A4" s="8" t="s">
        <v>766</v>
      </c>
      <c r="B4" s="8" t="s">
        <v>902</v>
      </c>
      <c r="C4" s="9" t="s">
        <v>270</v>
      </c>
      <c r="D4" s="9" t="s">
        <v>129</v>
      </c>
      <c r="E4" s="9" t="s">
        <v>903</v>
      </c>
      <c r="F4" s="9" t="s">
        <v>269</v>
      </c>
      <c r="G4" s="9" t="s">
        <v>192</v>
      </c>
      <c r="H4" s="9" t="s">
        <v>904</v>
      </c>
      <c r="I4" s="9" t="s">
        <v>905</v>
      </c>
      <c r="J4" s="9" t="s">
        <v>906</v>
      </c>
      <c r="K4" s="9" t="s">
        <v>267</v>
      </c>
      <c r="L4" s="9" t="s">
        <v>272</v>
      </c>
      <c r="M4" s="9" t="s">
        <v>426</v>
      </c>
      <c r="N4" s="9" t="s">
        <v>434</v>
      </c>
      <c r="O4" s="9" t="s">
        <v>907</v>
      </c>
      <c r="P4" s="9" t="s">
        <v>908</v>
      </c>
      <c r="Q4" s="9" t="s">
        <v>909</v>
      </c>
      <c r="R4" s="9" t="s">
        <v>910</v>
      </c>
      <c r="S4" s="9" t="s">
        <v>911</v>
      </c>
      <c r="T4" s="9" t="s">
        <v>912</v>
      </c>
      <c r="U4" s="9" t="s">
        <v>913</v>
      </c>
      <c r="V4" s="9" t="s">
        <v>437</v>
      </c>
      <c r="W4" s="9" t="s">
        <v>222</v>
      </c>
      <c r="X4" s="9" t="s">
        <v>221</v>
      </c>
      <c r="Y4" s="9" t="s">
        <v>914</v>
      </c>
      <c r="Z4" s="9" t="s">
        <v>915</v>
      </c>
      <c r="AA4" s="9" t="s">
        <v>916</v>
      </c>
      <c r="AB4" s="9" t="s">
        <v>917</v>
      </c>
      <c r="AC4" s="9" t="s">
        <v>918</v>
      </c>
      <c r="AD4" s="9" t="s">
        <v>149</v>
      </c>
      <c r="AE4" s="9" t="s">
        <v>153</v>
      </c>
      <c r="AF4" s="9" t="s">
        <v>155</v>
      </c>
      <c r="AG4" s="9" t="s">
        <v>188</v>
      </c>
      <c r="AH4" s="9" t="s">
        <v>492</v>
      </c>
      <c r="AI4" s="9" t="s">
        <v>919</v>
      </c>
      <c r="AJ4" s="9" t="s">
        <v>920</v>
      </c>
      <c r="AK4" s="9" t="s">
        <v>921</v>
      </c>
      <c r="AL4" s="9" t="s">
        <v>922</v>
      </c>
      <c r="AM4" s="9" t="s">
        <v>787</v>
      </c>
      <c r="AN4" s="9" t="s">
        <v>788</v>
      </c>
    </row>
    <row r="5" spans="1:40">
      <c r="A5" s="41">
        <f>IF(H5="","",ContentPrefix&amp;TEXT(ROW()-4,"0000"))</f>
        <v>0</v>
      </c>
      <c r="B5" s="43">
        <v>46250</v>
      </c>
      <c r="C5" s="15" t="s">
        <v>635</v>
      </c>
      <c r="D5" s="17">
        <f>IF(B5="","",TEXT(B5,"yyyy-mm"))</f>
        <v>0</v>
      </c>
      <c r="E5" s="23">
        <f>IF(B5="","",WEEKNUM(B5,IF(WeekStart="Sunday",1,2)))</f>
        <v>0</v>
      </c>
      <c r="F5" s="17">
        <f>IF(B5="","",TEXT(B5,"ddd"))</f>
        <v>0</v>
      </c>
      <c r="G5" s="15" t="s">
        <v>376</v>
      </c>
      <c r="H5" s="15" t="s">
        <v>923</v>
      </c>
      <c r="I5" s="39" t="s">
        <v>924</v>
      </c>
      <c r="J5" s="15" t="s">
        <v>878</v>
      </c>
      <c r="K5" s="15" t="s">
        <v>397</v>
      </c>
      <c r="L5" s="15" t="s">
        <v>925</v>
      </c>
      <c r="M5" s="15" t="s">
        <v>432</v>
      </c>
      <c r="N5" s="15" t="s">
        <v>435</v>
      </c>
      <c r="O5" s="15" t="s">
        <v>834</v>
      </c>
      <c r="P5" s="15" t="s">
        <v>926</v>
      </c>
      <c r="Q5" s="29">
        <f>IF(H5="","",IF(P5="","Add - no caption",IFERROR(INDEX('Caption Bank'!$R$5:$R$204,MATCH(P5,'Caption Bank'!$B$5:$B$204,0)),"Check - not in bank")))</f>
        <v>0</v>
      </c>
      <c r="R5" s="15" t="s">
        <v>927</v>
      </c>
      <c r="S5" s="23">
        <f>IF(R5="","",COUNTIF('Hashtag Bank'!$D$5:$D$304,R5))</f>
        <v>0</v>
      </c>
      <c r="T5" s="15" t="s">
        <v>928</v>
      </c>
      <c r="U5" s="29">
        <f>IF(H5="","",IF(T5="","Add - no asset",IFERROR(INDEX(Assets!$N$5:$N$254,MATCH(T5,Assets!$A$5:$A$254,0)),"Check - not in library")))</f>
        <v>0</v>
      </c>
      <c r="V5" s="15" t="s">
        <v>439</v>
      </c>
      <c r="W5" s="15" t="s">
        <v>281</v>
      </c>
      <c r="X5" s="48" t="s">
        <v>138</v>
      </c>
      <c r="Y5" s="16">
        <f>IF(B5="","",B5-ProductionDays)</f>
        <v>0</v>
      </c>
      <c r="Z5" s="16">
        <f>IF(B5="","",B5-ApprovalDays)</f>
        <v>0</v>
      </c>
      <c r="AA5" s="23">
        <f>IF(B5="","",B5-TODAY())</f>
        <v>0</v>
      </c>
      <c r="AB5" s="42" t="s">
        <v>929</v>
      </c>
      <c r="AC5" s="29">
        <f>IF(H5="","",IF(X5="Published",IF(AB5="","Add - link missing","Yes"),"No"))</f>
        <v>0</v>
      </c>
      <c r="AD5" s="23">
        <f>IF(A5="","",IF(COUNTIF(Performance!$B$5:$B$404,A5)=0,"",SUMIFS(Performance!$O$5:$O$404,Performance!$B$5:$B$404,A5)))</f>
        <v>0</v>
      </c>
      <c r="AE5" s="23">
        <f>IF(AD5="","",SUMIFS(Performance!$Z$5:$Z$404,Performance!$B$5:$B$404,A5))</f>
        <v>0</v>
      </c>
      <c r="AF5" s="24">
        <f>IF(OR(AD5="",AD5=0),"",AE5/AD5)</f>
        <v>0</v>
      </c>
      <c r="AG5" s="23">
        <f>IF(AD5="","",SUMIFS(Performance!$U$5:$U$404,Performance!$B$5:$B$404,A5))</f>
        <v>0</v>
      </c>
      <c r="AH5" s="23">
        <f>IF(A5="","",COUNTIF(Repurposing!$B$5:$B$154,A5))</f>
        <v>0</v>
      </c>
      <c r="AI5" s="32">
        <f>IF(OR(H5="",B5=""),"",B5+ROW()/100000)</f>
        <v>0</v>
      </c>
      <c r="AJ5" s="32">
        <f>IF(OR(H5="",B5=""),"",IF(OR(X5="Published",X5="Cancelled",X5="Archived"),"",IF(B5&lt;TODAY(),"",B5+ROW()/100000)))</f>
        <v>0</v>
      </c>
      <c r="AK5" s="32">
        <f>IF(OR(H5="",B5=""),"",IF(OR(X5="Published",X5="Cancelled",X5="Archived"),"",IF(B5&gt;=TODAY(),"",B5+ROW()/100000)))</f>
        <v>0</v>
      </c>
      <c r="AL5" s="29">
        <f>IF(H5="","",IF(COUNTIFS('Content Calendar'!$H$5:$H$604,H5,'Content Calendar'!$G$5:$G$604,G5,'Content Calendar'!$B$5:$B$604,B5)&gt;1,"Duplicate","OK"))</f>
        <v>0</v>
      </c>
      <c r="AM5" s="29">
        <f>IF(H5="","",IF(AND(B5&lt;&gt;"",B5&lt;TODAY(),X5&lt;&gt;"Published",X5&lt;&gt;"Cancelled",X5&lt;&gt;"Archived"),"Overdue - date has passed",IF(AND(X5="Published",AB5=""),"Add - publish link missing",IF(AND(B5=TODAY(),X5&lt;&gt;"Published"),"Today - due to go live",IF(AND(Y5&lt;&gt;"",Y5&lt;TODAY(),OR(X5="Idea",X5="Brief",X5="In production")),"Late - draft not ready",IF(AND(AA5&gt;=0,AA5&lt;=3,OR(X5="Draft",X5="Awaiting review")),"Due - needs approval",IF(AND(H5&lt;&gt;"",P5=""),"Add - caption missing","OK")))))))</f>
        <v>0</v>
      </c>
      <c r="AN5" s="39" t="s">
        <v>205</v>
      </c>
    </row>
    <row r="6" spans="1:40">
      <c r="A6" s="41">
        <f>IF(H6="","",ContentPrefix&amp;TEXT(ROW()-4,"0000"))</f>
        <v>0</v>
      </c>
      <c r="B6" s="43">
        <v>46251</v>
      </c>
      <c r="C6" s="15" t="s">
        <v>636</v>
      </c>
      <c r="D6" s="17">
        <f>IF(B6="","",TEXT(B6,"yyyy-mm"))</f>
        <v>0</v>
      </c>
      <c r="E6" s="23">
        <f>IF(B6="","",WEEKNUM(B6,IF(WeekStart="Sunday",1,2)))</f>
        <v>0</v>
      </c>
      <c r="F6" s="17">
        <f>IF(B6="","",TEXT(B6,"ddd"))</f>
        <v>0</v>
      </c>
      <c r="G6" s="15" t="s">
        <v>378</v>
      </c>
      <c r="H6" s="15" t="s">
        <v>930</v>
      </c>
      <c r="I6" s="39" t="s">
        <v>931</v>
      </c>
      <c r="J6" s="15" t="s">
        <v>878</v>
      </c>
      <c r="K6" s="15" t="s">
        <v>408</v>
      </c>
      <c r="L6" s="15" t="s">
        <v>925</v>
      </c>
      <c r="M6" s="15" t="s">
        <v>432</v>
      </c>
      <c r="N6" s="15" t="s">
        <v>435</v>
      </c>
      <c r="O6" s="15" t="s">
        <v>849</v>
      </c>
      <c r="P6" s="15" t="s">
        <v>932</v>
      </c>
      <c r="Q6" s="29">
        <f>IF(H6="","",IF(P6="","Add - no caption",IFERROR(INDEX('Caption Bank'!$R$5:$R$204,MATCH(P6,'Caption Bank'!$B$5:$B$204,0)),"Check - not in bank")))</f>
        <v>0</v>
      </c>
      <c r="R6" s="15" t="s">
        <v>933</v>
      </c>
      <c r="S6" s="23">
        <f>IF(R6="","",COUNTIF('Hashtag Bank'!$D$5:$D$304,R6))</f>
        <v>0</v>
      </c>
      <c r="T6" s="15" t="s">
        <v>934</v>
      </c>
      <c r="U6" s="29">
        <f>IF(H6="","",IF(T6="","Add - no asset",IFERROR(INDEX(Assets!$N$5:$N$254,MATCH(T6,Assets!$A$5:$A$254,0)),"Check - not in library")))</f>
        <v>0</v>
      </c>
      <c r="V6" s="15" t="s">
        <v>439</v>
      </c>
      <c r="W6" s="15" t="s">
        <v>797</v>
      </c>
      <c r="X6" s="48" t="s">
        <v>138</v>
      </c>
      <c r="Y6" s="16">
        <f>IF(B6="","",B6-ProductionDays)</f>
        <v>0</v>
      </c>
      <c r="Z6" s="16">
        <f>IF(B6="","",B6-ApprovalDays)</f>
        <v>0</v>
      </c>
      <c r="AA6" s="23">
        <f>IF(B6="","",B6-TODAY())</f>
        <v>0</v>
      </c>
      <c r="AB6" s="42" t="s">
        <v>935</v>
      </c>
      <c r="AC6" s="29">
        <f>IF(H6="","",IF(X6="Published",IF(AB6="","Add - link missing","Yes"),"No"))</f>
        <v>0</v>
      </c>
      <c r="AD6" s="23">
        <f>IF(A6="","",IF(COUNTIF(Performance!$B$5:$B$404,A6)=0,"",SUMIFS(Performance!$O$5:$O$404,Performance!$B$5:$B$404,A6)))</f>
        <v>0</v>
      </c>
      <c r="AE6" s="23">
        <f>IF(AD6="","",SUMIFS(Performance!$Z$5:$Z$404,Performance!$B$5:$B$404,A6))</f>
        <v>0</v>
      </c>
      <c r="AF6" s="24">
        <f>IF(OR(AD6="",AD6=0),"",AE6/AD6)</f>
        <v>0</v>
      </c>
      <c r="AG6" s="23">
        <f>IF(AD6="","",SUMIFS(Performance!$U$5:$U$404,Performance!$B$5:$B$404,A6))</f>
        <v>0</v>
      </c>
      <c r="AH6" s="23">
        <f>IF(A6="","",COUNTIF(Repurposing!$B$5:$B$154,A6))</f>
        <v>0</v>
      </c>
      <c r="AI6" s="32">
        <f>IF(OR(H6="",B6=""),"",B6+ROW()/100000)</f>
        <v>0</v>
      </c>
      <c r="AJ6" s="32">
        <f>IF(OR(H6="",B6=""),"",IF(OR(X6="Published",X6="Cancelled",X6="Archived"),"",IF(B6&lt;TODAY(),"",B6+ROW()/100000)))</f>
        <v>0</v>
      </c>
      <c r="AK6" s="32">
        <f>IF(OR(H6="",B6=""),"",IF(OR(X6="Published",X6="Cancelled",X6="Archived"),"",IF(B6&gt;=TODAY(),"",B6+ROW()/100000)))</f>
        <v>0</v>
      </c>
      <c r="AL6" s="29">
        <f>IF(H6="","",IF(COUNTIFS('Content Calendar'!$H$5:$H$604,H6,'Content Calendar'!$G$5:$G$604,G6,'Content Calendar'!$B$5:$B$604,B6)&gt;1,"Duplicate","OK"))</f>
        <v>0</v>
      </c>
      <c r="AM6" s="29">
        <f>IF(H6="","",IF(AND(B6&lt;&gt;"",B6&lt;TODAY(),X6&lt;&gt;"Published",X6&lt;&gt;"Cancelled",X6&lt;&gt;"Archived"),"Overdue - date has passed",IF(AND(X6="Published",AB6=""),"Add - publish link missing",IF(AND(B6=TODAY(),X6&lt;&gt;"Published"),"Today - due to go live",IF(AND(Y6&lt;&gt;"",Y6&lt;TODAY(),OR(X6="Idea",X6="Brief",X6="In production")),"Late - draft not ready",IF(AND(AA6&gt;=0,AA6&lt;=3,OR(X6="Draft",X6="Awaiting review")),"Due - needs approval",IF(AND(H6&lt;&gt;"",P6=""),"Add - caption missing","OK")))))))</f>
        <v>0</v>
      </c>
      <c r="AN6" s="39" t="s">
        <v>205</v>
      </c>
    </row>
    <row r="7" spans="1:40">
      <c r="A7" s="41">
        <f>IF(H7="","",ContentPrefix&amp;TEXT(ROW()-4,"0000"))</f>
        <v>0</v>
      </c>
      <c r="B7" s="43">
        <v>46252</v>
      </c>
      <c r="C7" s="15" t="s">
        <v>638</v>
      </c>
      <c r="D7" s="17">
        <f>IF(B7="","",TEXT(B7,"yyyy-mm"))</f>
        <v>0</v>
      </c>
      <c r="E7" s="23">
        <f>IF(B7="","",WEEKNUM(B7,IF(WeekStart="Sunday",1,2)))</f>
        <v>0</v>
      </c>
      <c r="F7" s="17">
        <f>IF(B7="","",TEXT(B7,"ddd"))</f>
        <v>0</v>
      </c>
      <c r="G7" s="15" t="s">
        <v>377</v>
      </c>
      <c r="H7" s="15" t="s">
        <v>936</v>
      </c>
      <c r="I7" s="39" t="s">
        <v>937</v>
      </c>
      <c r="J7" s="15" t="s">
        <v>462</v>
      </c>
      <c r="K7" s="15" t="s">
        <v>398</v>
      </c>
      <c r="L7" s="15" t="s">
        <v>925</v>
      </c>
      <c r="M7" s="15" t="s">
        <v>430</v>
      </c>
      <c r="N7" s="15" t="s">
        <v>427</v>
      </c>
      <c r="O7" s="15" t="s">
        <v>858</v>
      </c>
      <c r="P7" s="15" t="s">
        <v>938</v>
      </c>
      <c r="Q7" s="29">
        <f>IF(H7="","",IF(P7="","Add - no caption",IFERROR(INDEX('Caption Bank'!$R$5:$R$204,MATCH(P7,'Caption Bank'!$B$5:$B$204,0)),"Check - not in bank")))</f>
        <v>0</v>
      </c>
      <c r="R7" s="15" t="s">
        <v>939</v>
      </c>
      <c r="S7" s="23">
        <f>IF(R7="","",COUNTIF('Hashtag Bank'!$D$5:$D$304,R7))</f>
        <v>0</v>
      </c>
      <c r="T7" s="15" t="s">
        <v>940</v>
      </c>
      <c r="U7" s="29">
        <f>IF(H7="","",IF(T7="","Add - no asset",IFERROR(INDEX(Assets!$N$5:$N$254,MATCH(T7,Assets!$A$5:$A$254,0)),"Check - not in library")))</f>
        <v>0</v>
      </c>
      <c r="V7" s="15" t="s">
        <v>441</v>
      </c>
      <c r="W7" s="15" t="s">
        <v>801</v>
      </c>
      <c r="X7" s="48" t="s">
        <v>138</v>
      </c>
      <c r="Y7" s="16">
        <f>IF(B7="","",B7-ProductionDays)</f>
        <v>0</v>
      </c>
      <c r="Z7" s="16">
        <f>IF(B7="","",B7-ApprovalDays)</f>
        <v>0</v>
      </c>
      <c r="AA7" s="23">
        <f>IF(B7="","",B7-TODAY())</f>
        <v>0</v>
      </c>
      <c r="AB7" s="42" t="s">
        <v>941</v>
      </c>
      <c r="AC7" s="29">
        <f>IF(H7="","",IF(X7="Published",IF(AB7="","Add - link missing","Yes"),"No"))</f>
        <v>0</v>
      </c>
      <c r="AD7" s="23">
        <f>IF(A7="","",IF(COUNTIF(Performance!$B$5:$B$404,A7)=0,"",SUMIFS(Performance!$O$5:$O$404,Performance!$B$5:$B$404,A7)))</f>
        <v>0</v>
      </c>
      <c r="AE7" s="23">
        <f>IF(AD7="","",SUMIFS(Performance!$Z$5:$Z$404,Performance!$B$5:$B$404,A7))</f>
        <v>0</v>
      </c>
      <c r="AF7" s="24">
        <f>IF(OR(AD7="",AD7=0),"",AE7/AD7)</f>
        <v>0</v>
      </c>
      <c r="AG7" s="23">
        <f>IF(AD7="","",SUMIFS(Performance!$U$5:$U$404,Performance!$B$5:$B$404,A7))</f>
        <v>0</v>
      </c>
      <c r="AH7" s="23">
        <f>IF(A7="","",COUNTIF(Repurposing!$B$5:$B$154,A7))</f>
        <v>0</v>
      </c>
      <c r="AI7" s="32">
        <f>IF(OR(H7="",B7=""),"",B7+ROW()/100000)</f>
        <v>0</v>
      </c>
      <c r="AJ7" s="32">
        <f>IF(OR(H7="",B7=""),"",IF(OR(X7="Published",X7="Cancelled",X7="Archived"),"",IF(B7&lt;TODAY(),"",B7+ROW()/100000)))</f>
        <v>0</v>
      </c>
      <c r="AK7" s="32">
        <f>IF(OR(H7="",B7=""),"",IF(OR(X7="Published",X7="Cancelled",X7="Archived"),"",IF(B7&gt;=TODAY(),"",B7+ROW()/100000)))</f>
        <v>0</v>
      </c>
      <c r="AL7" s="29">
        <f>IF(H7="","",IF(COUNTIFS('Content Calendar'!$H$5:$H$604,H7,'Content Calendar'!$G$5:$G$604,G7,'Content Calendar'!$B$5:$B$604,B7)&gt;1,"Duplicate","OK"))</f>
        <v>0</v>
      </c>
      <c r="AM7" s="29">
        <f>IF(H7="","",IF(AND(B7&lt;&gt;"",B7&lt;TODAY(),X7&lt;&gt;"Published",X7&lt;&gt;"Cancelled",X7&lt;&gt;"Archived"),"Overdue - date has passed",IF(AND(X7="Published",AB7=""),"Add - publish link missing",IF(AND(B7=TODAY(),X7&lt;&gt;"Published"),"Today - due to go live",IF(AND(Y7&lt;&gt;"",Y7&lt;TODAY(),OR(X7="Idea",X7="Brief",X7="In production")),"Late - draft not ready",IF(AND(AA7&gt;=0,AA7&lt;=3,OR(X7="Draft",X7="Awaiting review")),"Due - needs approval",IF(AND(H7&lt;&gt;"",P7=""),"Add - caption missing","OK")))))))</f>
        <v>0</v>
      </c>
      <c r="AN7" s="39" t="s">
        <v>205</v>
      </c>
    </row>
    <row r="8" spans="1:40">
      <c r="A8" s="41">
        <f>IF(H8="","",ContentPrefix&amp;TEXT(ROW()-4,"0000"))</f>
        <v>0</v>
      </c>
      <c r="B8" s="43">
        <v>46254</v>
      </c>
      <c r="C8" s="15" t="s">
        <v>635</v>
      </c>
      <c r="D8" s="17">
        <f>IF(B8="","",TEXT(B8,"yyyy-mm"))</f>
        <v>0</v>
      </c>
      <c r="E8" s="23">
        <f>IF(B8="","",WEEKNUM(B8,IF(WeekStart="Sunday",1,2)))</f>
        <v>0</v>
      </c>
      <c r="F8" s="17">
        <f>IF(B8="","",TEXT(B8,"ddd"))</f>
        <v>0</v>
      </c>
      <c r="G8" s="15" t="s">
        <v>376</v>
      </c>
      <c r="H8" s="15" t="s">
        <v>942</v>
      </c>
      <c r="I8" s="39" t="s">
        <v>943</v>
      </c>
      <c r="J8" s="15" t="s">
        <v>881</v>
      </c>
      <c r="K8" s="15" t="s">
        <v>398</v>
      </c>
      <c r="L8" s="15" t="s">
        <v>925</v>
      </c>
      <c r="M8" s="15" t="s">
        <v>427</v>
      </c>
      <c r="N8" s="15" t="s">
        <v>427</v>
      </c>
      <c r="O8" s="15" t="s">
        <v>834</v>
      </c>
      <c r="P8" s="15" t="s">
        <v>944</v>
      </c>
      <c r="Q8" s="29">
        <f>IF(H8="","",IF(P8="","Add - no caption",IFERROR(INDEX('Caption Bank'!$R$5:$R$204,MATCH(P8,'Caption Bank'!$B$5:$B$204,0)),"Check - not in bank")))</f>
        <v>0</v>
      </c>
      <c r="R8" s="15" t="s">
        <v>945</v>
      </c>
      <c r="S8" s="23">
        <f>IF(R8="","",COUNTIF('Hashtag Bank'!$D$5:$D$304,R8))</f>
        <v>0</v>
      </c>
      <c r="T8" s="15" t="s">
        <v>946</v>
      </c>
      <c r="U8" s="29">
        <f>IF(H8="","",IF(T8="","Add - no asset",IFERROR(INDEX(Assets!$N$5:$N$254,MATCH(T8,Assets!$A$5:$A$254,0)),"Check - not in library")))</f>
        <v>0</v>
      </c>
      <c r="V8" s="15" t="s">
        <v>438</v>
      </c>
      <c r="W8" s="15" t="s">
        <v>804</v>
      </c>
      <c r="X8" s="48" t="s">
        <v>138</v>
      </c>
      <c r="Y8" s="16">
        <f>IF(B8="","",B8-ProductionDays)</f>
        <v>0</v>
      </c>
      <c r="Z8" s="16">
        <f>IF(B8="","",B8-ApprovalDays)</f>
        <v>0</v>
      </c>
      <c r="AA8" s="23">
        <f>IF(B8="","",B8-TODAY())</f>
        <v>0</v>
      </c>
      <c r="AB8" s="42" t="s">
        <v>947</v>
      </c>
      <c r="AC8" s="29">
        <f>IF(H8="","",IF(X8="Published",IF(AB8="","Add - link missing","Yes"),"No"))</f>
        <v>0</v>
      </c>
      <c r="AD8" s="23">
        <f>IF(A8="","",IF(COUNTIF(Performance!$B$5:$B$404,A8)=0,"",SUMIFS(Performance!$O$5:$O$404,Performance!$B$5:$B$404,A8)))</f>
        <v>0</v>
      </c>
      <c r="AE8" s="23">
        <f>IF(AD8="","",SUMIFS(Performance!$Z$5:$Z$404,Performance!$B$5:$B$404,A8))</f>
        <v>0</v>
      </c>
      <c r="AF8" s="24">
        <f>IF(OR(AD8="",AD8=0),"",AE8/AD8)</f>
        <v>0</v>
      </c>
      <c r="AG8" s="23">
        <f>IF(AD8="","",SUMIFS(Performance!$U$5:$U$404,Performance!$B$5:$B$404,A8))</f>
        <v>0</v>
      </c>
      <c r="AH8" s="23">
        <f>IF(A8="","",COUNTIF(Repurposing!$B$5:$B$154,A8))</f>
        <v>0</v>
      </c>
      <c r="AI8" s="32">
        <f>IF(OR(H8="",B8=""),"",B8+ROW()/100000)</f>
        <v>0</v>
      </c>
      <c r="AJ8" s="32">
        <f>IF(OR(H8="",B8=""),"",IF(OR(X8="Published",X8="Cancelled",X8="Archived"),"",IF(B8&lt;TODAY(),"",B8+ROW()/100000)))</f>
        <v>0</v>
      </c>
      <c r="AK8" s="32">
        <f>IF(OR(H8="",B8=""),"",IF(OR(X8="Published",X8="Cancelled",X8="Archived"),"",IF(B8&gt;=TODAY(),"",B8+ROW()/100000)))</f>
        <v>0</v>
      </c>
      <c r="AL8" s="29">
        <f>IF(H8="","",IF(COUNTIFS('Content Calendar'!$H$5:$H$604,H8,'Content Calendar'!$G$5:$G$604,G8,'Content Calendar'!$B$5:$B$604,B8)&gt;1,"Duplicate","OK"))</f>
        <v>0</v>
      </c>
      <c r="AM8" s="29">
        <f>IF(H8="","",IF(AND(B8&lt;&gt;"",B8&lt;TODAY(),X8&lt;&gt;"Published",X8&lt;&gt;"Cancelled",X8&lt;&gt;"Archived"),"Overdue - date has passed",IF(AND(X8="Published",AB8=""),"Add - publish link missing",IF(AND(B8=TODAY(),X8&lt;&gt;"Published"),"Today - due to go live",IF(AND(Y8&lt;&gt;"",Y8&lt;TODAY(),OR(X8="Idea",X8="Brief",X8="In production")),"Late - draft not ready",IF(AND(AA8&gt;=0,AA8&lt;=3,OR(X8="Draft",X8="Awaiting review")),"Due - needs approval",IF(AND(H8&lt;&gt;"",P8=""),"Add - caption missing","OK")))))))</f>
        <v>0</v>
      </c>
      <c r="AN8" s="39" t="s">
        <v>948</v>
      </c>
    </row>
    <row r="9" spans="1:40">
      <c r="A9" s="41">
        <f>IF(H9="","",ContentPrefix&amp;TEXT(ROW()-4,"0000"))</f>
        <v>0</v>
      </c>
      <c r="B9" s="43">
        <v>46256</v>
      </c>
      <c r="C9" s="15" t="s">
        <v>635</v>
      </c>
      <c r="D9" s="17">
        <f>IF(B9="","",TEXT(B9,"yyyy-mm"))</f>
        <v>0</v>
      </c>
      <c r="E9" s="23">
        <f>IF(B9="","",WEEKNUM(B9,IF(WeekStart="Sunday",1,2)))</f>
        <v>0</v>
      </c>
      <c r="F9" s="17">
        <f>IF(B9="","",TEXT(B9,"ddd"))</f>
        <v>0</v>
      </c>
      <c r="G9" s="15" t="s">
        <v>380</v>
      </c>
      <c r="H9" s="15" t="s">
        <v>949</v>
      </c>
      <c r="I9" s="39" t="s">
        <v>950</v>
      </c>
      <c r="J9" s="15" t="s">
        <v>430</v>
      </c>
      <c r="K9" s="15" t="s">
        <v>396</v>
      </c>
      <c r="L9" s="15" t="s">
        <v>925</v>
      </c>
      <c r="M9" s="15" t="s">
        <v>428</v>
      </c>
      <c r="N9" s="15" t="s">
        <v>431</v>
      </c>
      <c r="O9" s="15" t="s">
        <v>849</v>
      </c>
      <c r="P9" s="15" t="s">
        <v>951</v>
      </c>
      <c r="Q9" s="29">
        <f>IF(H9="","",IF(P9="","Add - no caption",IFERROR(INDEX('Caption Bank'!$R$5:$R$204,MATCH(P9,'Caption Bank'!$B$5:$B$204,0)),"Check - not in bank")))</f>
        <v>0</v>
      </c>
      <c r="R9" s="15" t="s">
        <v>927</v>
      </c>
      <c r="S9" s="23">
        <f>IF(R9="","",COUNTIF('Hashtag Bank'!$D$5:$D$304,R9))</f>
        <v>0</v>
      </c>
      <c r="T9" s="15" t="s">
        <v>952</v>
      </c>
      <c r="U9" s="29">
        <f>IF(H9="","",IF(T9="","Add - no asset",IFERROR(INDEX(Assets!$N$5:$N$254,MATCH(T9,Assets!$A$5:$A$254,0)),"Check - not in library")))</f>
        <v>0</v>
      </c>
      <c r="V9" s="15" t="s">
        <v>449</v>
      </c>
      <c r="W9" s="15" t="s">
        <v>281</v>
      </c>
      <c r="X9" s="48" t="s">
        <v>138</v>
      </c>
      <c r="Y9" s="16">
        <f>IF(B9="","",B9-ProductionDays)</f>
        <v>0</v>
      </c>
      <c r="Z9" s="16">
        <f>IF(B9="","",B9-ApprovalDays)</f>
        <v>0</v>
      </c>
      <c r="AA9" s="23">
        <f>IF(B9="","",B9-TODAY())</f>
        <v>0</v>
      </c>
      <c r="AB9" s="42" t="s">
        <v>953</v>
      </c>
      <c r="AC9" s="29">
        <f>IF(H9="","",IF(X9="Published",IF(AB9="","Add - link missing","Yes"),"No"))</f>
        <v>0</v>
      </c>
      <c r="AD9" s="23">
        <f>IF(A9="","",IF(COUNTIF(Performance!$B$5:$B$404,A9)=0,"",SUMIFS(Performance!$O$5:$O$404,Performance!$B$5:$B$404,A9)))</f>
        <v>0</v>
      </c>
      <c r="AE9" s="23">
        <f>IF(AD9="","",SUMIFS(Performance!$Z$5:$Z$404,Performance!$B$5:$B$404,A9))</f>
        <v>0</v>
      </c>
      <c r="AF9" s="24">
        <f>IF(OR(AD9="",AD9=0),"",AE9/AD9)</f>
        <v>0</v>
      </c>
      <c r="AG9" s="23">
        <f>IF(AD9="","",SUMIFS(Performance!$U$5:$U$404,Performance!$B$5:$B$404,A9))</f>
        <v>0</v>
      </c>
      <c r="AH9" s="23">
        <f>IF(A9="","",COUNTIF(Repurposing!$B$5:$B$154,A9))</f>
        <v>0</v>
      </c>
      <c r="AI9" s="32">
        <f>IF(OR(H9="",B9=""),"",B9+ROW()/100000)</f>
        <v>0</v>
      </c>
      <c r="AJ9" s="32">
        <f>IF(OR(H9="",B9=""),"",IF(OR(X9="Published",X9="Cancelled",X9="Archived"),"",IF(B9&lt;TODAY(),"",B9+ROW()/100000)))</f>
        <v>0</v>
      </c>
      <c r="AK9" s="32">
        <f>IF(OR(H9="",B9=""),"",IF(OR(X9="Published",X9="Cancelled",X9="Archived"),"",IF(B9&gt;=TODAY(),"",B9+ROW()/100000)))</f>
        <v>0</v>
      </c>
      <c r="AL9" s="29">
        <f>IF(H9="","",IF(COUNTIFS('Content Calendar'!$H$5:$H$604,H9,'Content Calendar'!$G$5:$G$604,G9,'Content Calendar'!$B$5:$B$604,B9)&gt;1,"Duplicate","OK"))</f>
        <v>0</v>
      </c>
      <c r="AM9" s="29">
        <f>IF(H9="","",IF(AND(B9&lt;&gt;"",B9&lt;TODAY(),X9&lt;&gt;"Published",X9&lt;&gt;"Cancelled",X9&lt;&gt;"Archived"),"Overdue - date has passed",IF(AND(X9="Published",AB9=""),"Add - publish link missing",IF(AND(B9=TODAY(),X9&lt;&gt;"Published"),"Today - due to go live",IF(AND(Y9&lt;&gt;"",Y9&lt;TODAY(),OR(X9="Idea",X9="Brief",X9="In production")),"Late - draft not ready",IF(AND(AA9&gt;=0,AA9&lt;=3,OR(X9="Draft",X9="Awaiting review")),"Due - needs approval",IF(AND(H9&lt;&gt;"",P9=""),"Add - caption missing","OK")))))))</f>
        <v>0</v>
      </c>
      <c r="AN9" s="39" t="s">
        <v>205</v>
      </c>
    </row>
    <row r="10" spans="1:40">
      <c r="A10" s="41">
        <f>IF(H10="","",ContentPrefix&amp;TEXT(ROW()-4,"0000"))</f>
        <v>0</v>
      </c>
      <c r="B10" s="43">
        <v>46257</v>
      </c>
      <c r="C10" s="15" t="s">
        <v>635</v>
      </c>
      <c r="D10" s="17">
        <f>IF(B10="","",TEXT(B10,"yyyy-mm"))</f>
        <v>0</v>
      </c>
      <c r="E10" s="23">
        <f>IF(B10="","",WEEKNUM(B10,IF(WeekStart="Sunday",1,2)))</f>
        <v>0</v>
      </c>
      <c r="F10" s="17">
        <f>IF(B10="","",TEXT(B10,"ddd"))</f>
        <v>0</v>
      </c>
      <c r="G10" s="15" t="s">
        <v>376</v>
      </c>
      <c r="H10" s="15" t="s">
        <v>954</v>
      </c>
      <c r="I10" s="39" t="s">
        <v>955</v>
      </c>
      <c r="J10" s="15" t="s">
        <v>888</v>
      </c>
      <c r="K10" s="15" t="s">
        <v>399</v>
      </c>
      <c r="L10" s="15" t="s">
        <v>925</v>
      </c>
      <c r="M10" s="15" t="s">
        <v>170</v>
      </c>
      <c r="N10" s="15" t="s">
        <v>436</v>
      </c>
      <c r="O10" s="15" t="s">
        <v>858</v>
      </c>
      <c r="P10" s="15" t="s">
        <v>956</v>
      </c>
      <c r="Q10" s="29">
        <f>IF(H10="","",IF(P10="","Add - no caption",IFERROR(INDEX('Caption Bank'!$R$5:$R$204,MATCH(P10,'Caption Bank'!$B$5:$B$204,0)),"Check - not in bank")))</f>
        <v>0</v>
      </c>
      <c r="R10" s="15" t="s">
        <v>933</v>
      </c>
      <c r="S10" s="23">
        <f>IF(R10="","",COUNTIF('Hashtag Bank'!$D$5:$D$304,R10))</f>
        <v>0</v>
      </c>
      <c r="T10" s="15" t="s">
        <v>957</v>
      </c>
      <c r="U10" s="29">
        <f>IF(H10="","",IF(T10="","Add - no asset",IFERROR(INDEX(Assets!$N$5:$N$254,MATCH(T10,Assets!$A$5:$A$254,0)),"Check - not in library")))</f>
        <v>0</v>
      </c>
      <c r="V10" s="15" t="s">
        <v>443</v>
      </c>
      <c r="W10" s="15" t="s">
        <v>797</v>
      </c>
      <c r="X10" s="48" t="s">
        <v>138</v>
      </c>
      <c r="Y10" s="16">
        <f>IF(B10="","",B10-ProductionDays)</f>
        <v>0</v>
      </c>
      <c r="Z10" s="16">
        <f>IF(B10="","",B10-ApprovalDays)</f>
        <v>0</v>
      </c>
      <c r="AA10" s="23">
        <f>IF(B10="","",B10-TODAY())</f>
        <v>0</v>
      </c>
      <c r="AB10" s="42" t="s">
        <v>958</v>
      </c>
      <c r="AC10" s="29">
        <f>IF(H10="","",IF(X10="Published",IF(AB10="","Add - link missing","Yes"),"No"))</f>
        <v>0</v>
      </c>
      <c r="AD10" s="23">
        <f>IF(A10="","",IF(COUNTIF(Performance!$B$5:$B$404,A10)=0,"",SUMIFS(Performance!$O$5:$O$404,Performance!$B$5:$B$404,A10)))</f>
        <v>0</v>
      </c>
      <c r="AE10" s="23">
        <f>IF(AD10="","",SUMIFS(Performance!$Z$5:$Z$404,Performance!$B$5:$B$404,A10))</f>
        <v>0</v>
      </c>
      <c r="AF10" s="24">
        <f>IF(OR(AD10="",AD10=0),"",AE10/AD10)</f>
        <v>0</v>
      </c>
      <c r="AG10" s="23">
        <f>IF(AD10="","",SUMIFS(Performance!$U$5:$U$404,Performance!$B$5:$B$404,A10))</f>
        <v>0</v>
      </c>
      <c r="AH10" s="23">
        <f>IF(A10="","",COUNTIF(Repurposing!$B$5:$B$154,A10))</f>
        <v>0</v>
      </c>
      <c r="AI10" s="32">
        <f>IF(OR(H10="",B10=""),"",B10+ROW()/100000)</f>
        <v>0</v>
      </c>
      <c r="AJ10" s="32">
        <f>IF(OR(H10="",B10=""),"",IF(OR(X10="Published",X10="Cancelled",X10="Archived"),"",IF(B10&lt;TODAY(),"",B10+ROW()/100000)))</f>
        <v>0</v>
      </c>
      <c r="AK10" s="32">
        <f>IF(OR(H10="",B10=""),"",IF(OR(X10="Published",X10="Cancelled",X10="Archived"),"",IF(B10&gt;=TODAY(),"",B10+ROW()/100000)))</f>
        <v>0</v>
      </c>
      <c r="AL10" s="29">
        <f>IF(H10="","",IF(COUNTIFS('Content Calendar'!$H$5:$H$604,H10,'Content Calendar'!$G$5:$G$604,G10,'Content Calendar'!$B$5:$B$604,B10)&gt;1,"Duplicate","OK"))</f>
        <v>0</v>
      </c>
      <c r="AM10" s="29">
        <f>IF(H10="","",IF(AND(B10&lt;&gt;"",B10&lt;TODAY(),X10&lt;&gt;"Published",X10&lt;&gt;"Cancelled",X10&lt;&gt;"Archived"),"Overdue - date has passed",IF(AND(X10="Published",AB10=""),"Add - publish link missing",IF(AND(B10=TODAY(),X10&lt;&gt;"Published"),"Today - due to go live",IF(AND(Y10&lt;&gt;"",Y10&lt;TODAY(),OR(X10="Idea",X10="Brief",X10="In production")),"Late - draft not ready",IF(AND(AA10&gt;=0,AA10&lt;=3,OR(X10="Draft",X10="Awaiting review")),"Due - needs approval",IF(AND(H10&lt;&gt;"",P10=""),"Add - caption missing","OK")))))))</f>
        <v>0</v>
      </c>
      <c r="AN10" s="39" t="s">
        <v>205</v>
      </c>
    </row>
    <row r="11" spans="1:40">
      <c r="A11" s="41">
        <f>IF(H11="","",ContentPrefix&amp;TEXT(ROW()-4,"0000"))</f>
        <v>0</v>
      </c>
      <c r="B11" s="43">
        <v>46258</v>
      </c>
      <c r="C11" s="15" t="s">
        <v>637</v>
      </c>
      <c r="D11" s="17">
        <f>IF(B11="","",TEXT(B11,"yyyy-mm"))</f>
        <v>0</v>
      </c>
      <c r="E11" s="23">
        <f>IF(B11="","",WEEKNUM(B11,IF(WeekStart="Sunday",1,2)))</f>
        <v>0</v>
      </c>
      <c r="F11" s="17">
        <f>IF(B11="","",TEXT(B11,"ddd"))</f>
        <v>0</v>
      </c>
      <c r="G11" s="15" t="s">
        <v>379</v>
      </c>
      <c r="H11" s="15" t="s">
        <v>959</v>
      </c>
      <c r="I11" s="39" t="s">
        <v>960</v>
      </c>
      <c r="J11" s="15" t="s">
        <v>878</v>
      </c>
      <c r="K11" s="15" t="s">
        <v>401</v>
      </c>
      <c r="L11" s="15" t="s">
        <v>925</v>
      </c>
      <c r="M11" s="15" t="s">
        <v>432</v>
      </c>
      <c r="N11" s="15" t="s">
        <v>435</v>
      </c>
      <c r="O11" s="15" t="s">
        <v>834</v>
      </c>
      <c r="P11" s="15" t="s">
        <v>961</v>
      </c>
      <c r="Q11" s="29">
        <f>IF(H11="","",IF(P11="","Add - no caption",IFERROR(INDEX('Caption Bank'!$R$5:$R$204,MATCH(P11,'Caption Bank'!$B$5:$B$204,0)),"Check - not in bank")))</f>
        <v>0</v>
      </c>
      <c r="R11" s="15" t="s">
        <v>939</v>
      </c>
      <c r="S11" s="23">
        <f>IF(R11="","",COUNTIF('Hashtag Bank'!$D$5:$D$304,R11))</f>
        <v>0</v>
      </c>
      <c r="T11" s="15" t="s">
        <v>962</v>
      </c>
      <c r="U11" s="29">
        <f>IF(H11="","",IF(T11="","Add - no asset",IFERROR(INDEX(Assets!$N$5:$N$254,MATCH(T11,Assets!$A$5:$A$254,0)),"Check - not in library")))</f>
        <v>0</v>
      </c>
      <c r="V11" s="15" t="s">
        <v>439</v>
      </c>
      <c r="W11" s="15" t="s">
        <v>801</v>
      </c>
      <c r="X11" s="48" t="s">
        <v>138</v>
      </c>
      <c r="Y11" s="16">
        <f>IF(B11="","",B11-ProductionDays)</f>
        <v>0</v>
      </c>
      <c r="Z11" s="16">
        <f>IF(B11="","",B11-ApprovalDays)</f>
        <v>0</v>
      </c>
      <c r="AA11" s="23">
        <f>IF(B11="","",B11-TODAY())</f>
        <v>0</v>
      </c>
      <c r="AB11" s="42" t="s">
        <v>963</v>
      </c>
      <c r="AC11" s="29">
        <f>IF(H11="","",IF(X11="Published",IF(AB11="","Add - link missing","Yes"),"No"))</f>
        <v>0</v>
      </c>
      <c r="AD11" s="23">
        <f>IF(A11="","",IF(COUNTIF(Performance!$B$5:$B$404,A11)=0,"",SUMIFS(Performance!$O$5:$O$404,Performance!$B$5:$B$404,A11)))</f>
        <v>0</v>
      </c>
      <c r="AE11" s="23">
        <f>IF(AD11="","",SUMIFS(Performance!$Z$5:$Z$404,Performance!$B$5:$B$404,A11))</f>
        <v>0</v>
      </c>
      <c r="AF11" s="24">
        <f>IF(OR(AD11="",AD11=0),"",AE11/AD11)</f>
        <v>0</v>
      </c>
      <c r="AG11" s="23">
        <f>IF(AD11="","",SUMIFS(Performance!$U$5:$U$404,Performance!$B$5:$B$404,A11))</f>
        <v>0</v>
      </c>
      <c r="AH11" s="23">
        <f>IF(A11="","",COUNTIF(Repurposing!$B$5:$B$154,A11))</f>
        <v>0</v>
      </c>
      <c r="AI11" s="32">
        <f>IF(OR(H11="",B11=""),"",B11+ROW()/100000)</f>
        <v>0</v>
      </c>
      <c r="AJ11" s="32">
        <f>IF(OR(H11="",B11=""),"",IF(OR(X11="Published",X11="Cancelled",X11="Archived"),"",IF(B11&lt;TODAY(),"",B11+ROW()/100000)))</f>
        <v>0</v>
      </c>
      <c r="AK11" s="32">
        <f>IF(OR(H11="",B11=""),"",IF(OR(X11="Published",X11="Cancelled",X11="Archived"),"",IF(B11&gt;=TODAY(),"",B11+ROW()/100000)))</f>
        <v>0</v>
      </c>
      <c r="AL11" s="29">
        <f>IF(H11="","",IF(COUNTIFS('Content Calendar'!$H$5:$H$604,H11,'Content Calendar'!$G$5:$G$604,G11,'Content Calendar'!$B$5:$B$604,B11)&gt;1,"Duplicate","OK"))</f>
        <v>0</v>
      </c>
      <c r="AM11" s="29">
        <f>IF(H11="","",IF(AND(B11&lt;&gt;"",B11&lt;TODAY(),X11&lt;&gt;"Published",X11&lt;&gt;"Cancelled",X11&lt;&gt;"Archived"),"Overdue - date has passed",IF(AND(X11="Published",AB11=""),"Add - publish link missing",IF(AND(B11=TODAY(),X11&lt;&gt;"Published"),"Today - due to go live",IF(AND(Y11&lt;&gt;"",Y11&lt;TODAY(),OR(X11="Idea",X11="Brief",X11="In production")),"Late - draft not ready",IF(AND(AA11&gt;=0,AA11&lt;=3,OR(X11="Draft",X11="Awaiting review")),"Due - needs approval",IF(AND(H11&lt;&gt;"",P11=""),"Add - caption missing","OK")))))))</f>
        <v>0</v>
      </c>
      <c r="AN11" s="39" t="s">
        <v>205</v>
      </c>
    </row>
    <row r="12" spans="1:40">
      <c r="A12" s="41">
        <f>IF(H12="","",ContentPrefix&amp;TEXT(ROW()-4,"0000"))</f>
        <v>0</v>
      </c>
      <c r="B12" s="43">
        <v>46259</v>
      </c>
      <c r="C12" s="15" t="s">
        <v>636</v>
      </c>
      <c r="D12" s="17">
        <f>IF(B12="","",TEXT(B12,"yyyy-mm"))</f>
        <v>0</v>
      </c>
      <c r="E12" s="23">
        <f>IF(B12="","",WEEKNUM(B12,IF(WeekStart="Sunday",1,2)))</f>
        <v>0</v>
      </c>
      <c r="F12" s="17">
        <f>IF(B12="","",TEXT(B12,"ddd"))</f>
        <v>0</v>
      </c>
      <c r="G12" s="15" t="s">
        <v>378</v>
      </c>
      <c r="H12" s="15" t="s">
        <v>964</v>
      </c>
      <c r="I12" s="39" t="s">
        <v>965</v>
      </c>
      <c r="J12" s="15" t="s">
        <v>881</v>
      </c>
      <c r="K12" s="15" t="s">
        <v>408</v>
      </c>
      <c r="L12" s="15" t="s">
        <v>925</v>
      </c>
      <c r="M12" s="15" t="s">
        <v>427</v>
      </c>
      <c r="N12" s="15" t="s">
        <v>427</v>
      </c>
      <c r="O12" s="15" t="s">
        <v>849</v>
      </c>
      <c r="P12" s="15" t="s">
        <v>966</v>
      </c>
      <c r="Q12" s="29">
        <f>IF(H12="","",IF(P12="","Add - no caption",IFERROR(INDEX('Caption Bank'!$R$5:$R$204,MATCH(P12,'Caption Bank'!$B$5:$B$204,0)),"Check - not in bank")))</f>
        <v>0</v>
      </c>
      <c r="R12" s="15" t="s">
        <v>945</v>
      </c>
      <c r="S12" s="23">
        <f>IF(R12="","",COUNTIF('Hashtag Bank'!$D$5:$D$304,R12))</f>
        <v>0</v>
      </c>
      <c r="T12" s="15" t="s">
        <v>967</v>
      </c>
      <c r="U12" s="29">
        <f>IF(H12="","",IF(T12="","Add - no asset",IFERROR(INDEX(Assets!$N$5:$N$254,MATCH(T12,Assets!$A$5:$A$254,0)),"Check - not in library")))</f>
        <v>0</v>
      </c>
      <c r="V12" s="15" t="s">
        <v>438</v>
      </c>
      <c r="W12" s="15" t="s">
        <v>804</v>
      </c>
      <c r="X12" s="48" t="s">
        <v>138</v>
      </c>
      <c r="Y12" s="16">
        <f>IF(B12="","",B12-ProductionDays)</f>
        <v>0</v>
      </c>
      <c r="Z12" s="16">
        <f>IF(B12="","",B12-ApprovalDays)</f>
        <v>0</v>
      </c>
      <c r="AA12" s="23">
        <f>IF(B12="","",B12-TODAY())</f>
        <v>0</v>
      </c>
      <c r="AB12" s="42" t="s">
        <v>968</v>
      </c>
      <c r="AC12" s="29">
        <f>IF(H12="","",IF(X12="Published",IF(AB12="","Add - link missing","Yes"),"No"))</f>
        <v>0</v>
      </c>
      <c r="AD12" s="23">
        <f>IF(A12="","",IF(COUNTIF(Performance!$B$5:$B$404,A12)=0,"",SUMIFS(Performance!$O$5:$O$404,Performance!$B$5:$B$404,A12)))</f>
        <v>0</v>
      </c>
      <c r="AE12" s="23">
        <f>IF(AD12="","",SUMIFS(Performance!$Z$5:$Z$404,Performance!$B$5:$B$404,A12))</f>
        <v>0</v>
      </c>
      <c r="AF12" s="24">
        <f>IF(OR(AD12="",AD12=0),"",AE12/AD12)</f>
        <v>0</v>
      </c>
      <c r="AG12" s="23">
        <f>IF(AD12="","",SUMIFS(Performance!$U$5:$U$404,Performance!$B$5:$B$404,A12))</f>
        <v>0</v>
      </c>
      <c r="AH12" s="23">
        <f>IF(A12="","",COUNTIF(Repurposing!$B$5:$B$154,A12))</f>
        <v>0</v>
      </c>
      <c r="AI12" s="32">
        <f>IF(OR(H12="",B12=""),"",B12+ROW()/100000)</f>
        <v>0</v>
      </c>
      <c r="AJ12" s="32">
        <f>IF(OR(H12="",B12=""),"",IF(OR(X12="Published",X12="Cancelled",X12="Archived"),"",IF(B12&lt;TODAY(),"",B12+ROW()/100000)))</f>
        <v>0</v>
      </c>
      <c r="AK12" s="32">
        <f>IF(OR(H12="",B12=""),"",IF(OR(X12="Published",X12="Cancelled",X12="Archived"),"",IF(B12&gt;=TODAY(),"",B12+ROW()/100000)))</f>
        <v>0</v>
      </c>
      <c r="AL12" s="29">
        <f>IF(H12="","",IF(COUNTIFS('Content Calendar'!$H$5:$H$604,H12,'Content Calendar'!$G$5:$G$604,G12,'Content Calendar'!$B$5:$B$604,B12)&gt;1,"Duplicate","OK"))</f>
        <v>0</v>
      </c>
      <c r="AM12" s="29">
        <f>IF(H12="","",IF(AND(B12&lt;&gt;"",B12&lt;TODAY(),X12&lt;&gt;"Published",X12&lt;&gt;"Cancelled",X12&lt;&gt;"Archived"),"Overdue - date has passed",IF(AND(X12="Published",AB12=""),"Add - publish link missing",IF(AND(B12=TODAY(),X12&lt;&gt;"Published"),"Today - due to go live",IF(AND(Y12&lt;&gt;"",Y12&lt;TODAY(),OR(X12="Idea",X12="Brief",X12="In production")),"Late - draft not ready",IF(AND(AA12&gt;=0,AA12&lt;=3,OR(X12="Draft",X12="Awaiting review")),"Due - needs approval",IF(AND(H12&lt;&gt;"",P12=""),"Add - caption missing","OK")))))))</f>
        <v>0</v>
      </c>
      <c r="AN12" s="39" t="s">
        <v>205</v>
      </c>
    </row>
    <row r="13" spans="1:40">
      <c r="A13" s="41">
        <f>IF(H13="","",ContentPrefix&amp;TEXT(ROW()-4,"0000"))</f>
        <v>0</v>
      </c>
      <c r="B13" s="43">
        <v>46261</v>
      </c>
      <c r="C13" s="15" t="s">
        <v>638</v>
      </c>
      <c r="D13" s="17">
        <f>IF(B13="","",TEXT(B13,"yyyy-mm"))</f>
        <v>0</v>
      </c>
      <c r="E13" s="23">
        <f>IF(B13="","",WEEKNUM(B13,IF(WeekStart="Sunday",1,2)))</f>
        <v>0</v>
      </c>
      <c r="F13" s="17">
        <f>IF(B13="","",TEXT(B13,"ddd"))</f>
        <v>0</v>
      </c>
      <c r="G13" s="15" t="s">
        <v>377</v>
      </c>
      <c r="H13" s="15" t="s">
        <v>969</v>
      </c>
      <c r="I13" s="39" t="s">
        <v>970</v>
      </c>
      <c r="J13" s="15" t="s">
        <v>462</v>
      </c>
      <c r="K13" s="15" t="s">
        <v>400</v>
      </c>
      <c r="L13" s="15" t="s">
        <v>925</v>
      </c>
      <c r="M13" s="15" t="s">
        <v>430</v>
      </c>
      <c r="N13" s="15" t="s">
        <v>427</v>
      </c>
      <c r="O13" s="15" t="s">
        <v>858</v>
      </c>
      <c r="P13" s="15" t="s">
        <v>971</v>
      </c>
      <c r="Q13" s="29">
        <f>IF(H13="","",IF(P13="","Add - no caption",IFERROR(INDEX('Caption Bank'!$R$5:$R$204,MATCH(P13,'Caption Bank'!$B$5:$B$204,0)),"Check - not in bank")))</f>
        <v>0</v>
      </c>
      <c r="R13" s="15" t="s">
        <v>927</v>
      </c>
      <c r="S13" s="23">
        <f>IF(R13="","",COUNTIF('Hashtag Bank'!$D$5:$D$304,R13))</f>
        <v>0</v>
      </c>
      <c r="T13" s="15" t="s">
        <v>972</v>
      </c>
      <c r="U13" s="29">
        <f>IF(H13="","",IF(T13="","Add - no asset",IFERROR(INDEX(Assets!$N$5:$N$254,MATCH(T13,Assets!$A$5:$A$254,0)),"Check - not in library")))</f>
        <v>0</v>
      </c>
      <c r="V13" s="15" t="s">
        <v>441</v>
      </c>
      <c r="W13" s="15" t="s">
        <v>281</v>
      </c>
      <c r="X13" s="48" t="s">
        <v>138</v>
      </c>
      <c r="Y13" s="16">
        <f>IF(B13="","",B13-ProductionDays)</f>
        <v>0</v>
      </c>
      <c r="Z13" s="16">
        <f>IF(B13="","",B13-ApprovalDays)</f>
        <v>0</v>
      </c>
      <c r="AA13" s="23">
        <f>IF(B13="","",B13-TODAY())</f>
        <v>0</v>
      </c>
      <c r="AB13" s="42" t="s">
        <v>973</v>
      </c>
      <c r="AC13" s="29">
        <f>IF(H13="","",IF(X13="Published",IF(AB13="","Add - link missing","Yes"),"No"))</f>
        <v>0</v>
      </c>
      <c r="AD13" s="23">
        <f>IF(A13="","",IF(COUNTIF(Performance!$B$5:$B$404,A13)=0,"",SUMIFS(Performance!$O$5:$O$404,Performance!$B$5:$B$404,A13)))</f>
        <v>0</v>
      </c>
      <c r="AE13" s="23">
        <f>IF(AD13="","",SUMIFS(Performance!$Z$5:$Z$404,Performance!$B$5:$B$404,A13))</f>
        <v>0</v>
      </c>
      <c r="AF13" s="24">
        <f>IF(OR(AD13="",AD13=0),"",AE13/AD13)</f>
        <v>0</v>
      </c>
      <c r="AG13" s="23">
        <f>IF(AD13="","",SUMIFS(Performance!$U$5:$U$404,Performance!$B$5:$B$404,A13))</f>
        <v>0</v>
      </c>
      <c r="AH13" s="23">
        <f>IF(A13="","",COUNTIF(Repurposing!$B$5:$B$154,A13))</f>
        <v>0</v>
      </c>
      <c r="AI13" s="32">
        <f>IF(OR(H13="",B13=""),"",B13+ROW()/100000)</f>
        <v>0</v>
      </c>
      <c r="AJ13" s="32">
        <f>IF(OR(H13="",B13=""),"",IF(OR(X13="Published",X13="Cancelled",X13="Archived"),"",IF(B13&lt;TODAY(),"",B13+ROW()/100000)))</f>
        <v>0</v>
      </c>
      <c r="AK13" s="32">
        <f>IF(OR(H13="",B13=""),"",IF(OR(X13="Published",X13="Cancelled",X13="Archived"),"",IF(B13&gt;=TODAY(),"",B13+ROW()/100000)))</f>
        <v>0</v>
      </c>
      <c r="AL13" s="29">
        <f>IF(H13="","",IF(COUNTIFS('Content Calendar'!$H$5:$H$604,H13,'Content Calendar'!$G$5:$G$604,G13,'Content Calendar'!$B$5:$B$604,B13)&gt;1,"Duplicate","OK"))</f>
        <v>0</v>
      </c>
      <c r="AM13" s="29">
        <f>IF(H13="","",IF(AND(B13&lt;&gt;"",B13&lt;TODAY(),X13&lt;&gt;"Published",X13&lt;&gt;"Cancelled",X13&lt;&gt;"Archived"),"Overdue - date has passed",IF(AND(X13="Published",AB13=""),"Add - publish link missing",IF(AND(B13=TODAY(),X13&lt;&gt;"Published"),"Today - due to go live",IF(AND(Y13&lt;&gt;"",Y13&lt;TODAY(),OR(X13="Idea",X13="Brief",X13="In production")),"Late - draft not ready",IF(AND(AA13&gt;=0,AA13&lt;=3,OR(X13="Draft",X13="Awaiting review")),"Due - needs approval",IF(AND(H13&lt;&gt;"",P13=""),"Add - caption missing","OK")))))))</f>
        <v>0</v>
      </c>
      <c r="AN13" s="39" t="s">
        <v>205</v>
      </c>
    </row>
    <row r="14" spans="1:40">
      <c r="A14" s="41">
        <f>IF(H14="","",ContentPrefix&amp;TEXT(ROW()-4,"0000"))</f>
        <v>0</v>
      </c>
      <c r="B14" s="43">
        <v>46262</v>
      </c>
      <c r="C14" s="15" t="s">
        <v>635</v>
      </c>
      <c r="D14" s="17">
        <f>IF(B14="","",TEXT(B14,"yyyy-mm"))</f>
        <v>0</v>
      </c>
      <c r="E14" s="23">
        <f>IF(B14="","",WEEKNUM(B14,IF(WeekStart="Sunday",1,2)))</f>
        <v>0</v>
      </c>
      <c r="F14" s="17">
        <f>IF(B14="","",TEXT(B14,"ddd"))</f>
        <v>0</v>
      </c>
      <c r="G14" s="15" t="s">
        <v>376</v>
      </c>
      <c r="H14" s="15" t="s">
        <v>974</v>
      </c>
      <c r="I14" s="39" t="s">
        <v>975</v>
      </c>
      <c r="J14" s="15" t="s">
        <v>430</v>
      </c>
      <c r="K14" s="15" t="s">
        <v>396</v>
      </c>
      <c r="L14" s="15" t="s">
        <v>925</v>
      </c>
      <c r="M14" s="15" t="s">
        <v>428</v>
      </c>
      <c r="N14" s="15" t="s">
        <v>431</v>
      </c>
      <c r="O14" s="15" t="s">
        <v>834</v>
      </c>
      <c r="P14" s="15" t="s">
        <v>976</v>
      </c>
      <c r="Q14" s="29">
        <f>IF(H14="","",IF(P14="","Add - no caption",IFERROR(INDEX('Caption Bank'!$R$5:$R$204,MATCH(P14,'Caption Bank'!$B$5:$B$204,0)),"Check - not in bank")))</f>
        <v>0</v>
      </c>
      <c r="R14" s="15" t="s">
        <v>933</v>
      </c>
      <c r="S14" s="23">
        <f>IF(R14="","",COUNTIF('Hashtag Bank'!$D$5:$D$304,R14))</f>
        <v>0</v>
      </c>
      <c r="T14" s="15" t="s">
        <v>977</v>
      </c>
      <c r="U14" s="29">
        <f>IF(H14="","",IF(T14="","Add - no asset",IFERROR(INDEX(Assets!$N$5:$N$254,MATCH(T14,Assets!$A$5:$A$254,0)),"Check - not in library")))</f>
        <v>0</v>
      </c>
      <c r="V14" s="15" t="s">
        <v>449</v>
      </c>
      <c r="W14" s="15" t="s">
        <v>797</v>
      </c>
      <c r="X14" s="48" t="s">
        <v>138</v>
      </c>
      <c r="Y14" s="16">
        <f>IF(B14="","",B14-ProductionDays)</f>
        <v>0</v>
      </c>
      <c r="Z14" s="16">
        <f>IF(B14="","",B14-ApprovalDays)</f>
        <v>0</v>
      </c>
      <c r="AA14" s="23">
        <f>IF(B14="","",B14-TODAY())</f>
        <v>0</v>
      </c>
      <c r="AB14" s="42" t="s">
        <v>978</v>
      </c>
      <c r="AC14" s="29">
        <f>IF(H14="","",IF(X14="Published",IF(AB14="","Add - link missing","Yes"),"No"))</f>
        <v>0</v>
      </c>
      <c r="AD14" s="23">
        <f>IF(A14="","",IF(COUNTIF(Performance!$B$5:$B$404,A14)=0,"",SUMIFS(Performance!$O$5:$O$404,Performance!$B$5:$B$404,A14)))</f>
        <v>0</v>
      </c>
      <c r="AE14" s="23">
        <f>IF(AD14="","",SUMIFS(Performance!$Z$5:$Z$404,Performance!$B$5:$B$404,A14))</f>
        <v>0</v>
      </c>
      <c r="AF14" s="24">
        <f>IF(OR(AD14="",AD14=0),"",AE14/AD14)</f>
        <v>0</v>
      </c>
      <c r="AG14" s="23">
        <f>IF(AD14="","",SUMIFS(Performance!$U$5:$U$404,Performance!$B$5:$B$404,A14))</f>
        <v>0</v>
      </c>
      <c r="AH14" s="23">
        <f>IF(A14="","",COUNTIF(Repurposing!$B$5:$B$154,A14))</f>
        <v>0</v>
      </c>
      <c r="AI14" s="32">
        <f>IF(OR(H14="",B14=""),"",B14+ROW()/100000)</f>
        <v>0</v>
      </c>
      <c r="AJ14" s="32">
        <f>IF(OR(H14="",B14=""),"",IF(OR(X14="Published",X14="Cancelled",X14="Archived"),"",IF(B14&lt;TODAY(),"",B14+ROW()/100000)))</f>
        <v>0</v>
      </c>
      <c r="AK14" s="32">
        <f>IF(OR(H14="",B14=""),"",IF(OR(X14="Published",X14="Cancelled",X14="Archived"),"",IF(B14&gt;=TODAY(),"",B14+ROW()/100000)))</f>
        <v>0</v>
      </c>
      <c r="AL14" s="29">
        <f>IF(H14="","",IF(COUNTIFS('Content Calendar'!$H$5:$H$604,H14,'Content Calendar'!$G$5:$G$604,G14,'Content Calendar'!$B$5:$B$604,B14)&gt;1,"Duplicate","OK"))</f>
        <v>0</v>
      </c>
      <c r="AM14" s="29">
        <f>IF(H14="","",IF(AND(B14&lt;&gt;"",B14&lt;TODAY(),X14&lt;&gt;"Published",X14&lt;&gt;"Cancelled",X14&lt;&gt;"Archived"),"Overdue - date has passed",IF(AND(X14="Published",AB14=""),"Add - publish link missing",IF(AND(B14=TODAY(),X14&lt;&gt;"Published"),"Today - due to go live",IF(AND(Y14&lt;&gt;"",Y14&lt;TODAY(),OR(X14="Idea",X14="Brief",X14="In production")),"Late - draft not ready",IF(AND(AA14&gt;=0,AA14&lt;=3,OR(X14="Draft",X14="Awaiting review")),"Due - needs approval",IF(AND(H14&lt;&gt;"",P14=""),"Add - caption missing","OK")))))))</f>
        <v>0</v>
      </c>
      <c r="AN14" s="39" t="s">
        <v>205</v>
      </c>
    </row>
    <row r="15" spans="1:40">
      <c r="A15" s="41">
        <f>IF(H15="","",ContentPrefix&amp;TEXT(ROW()-4,"0000"))</f>
        <v>0</v>
      </c>
      <c r="B15" s="43">
        <v>46264</v>
      </c>
      <c r="C15" s="15" t="s">
        <v>635</v>
      </c>
      <c r="D15" s="17">
        <f>IF(B15="","",TEXT(B15,"yyyy-mm"))</f>
        <v>0</v>
      </c>
      <c r="E15" s="23">
        <f>IF(B15="","",WEEKNUM(B15,IF(WeekStart="Sunday",1,2)))</f>
        <v>0</v>
      </c>
      <c r="F15" s="17">
        <f>IF(B15="","",TEXT(B15,"ddd"))</f>
        <v>0</v>
      </c>
      <c r="G15" s="15" t="s">
        <v>376</v>
      </c>
      <c r="H15" s="15" t="s">
        <v>979</v>
      </c>
      <c r="I15" s="39" t="s">
        <v>980</v>
      </c>
      <c r="J15" s="15" t="s">
        <v>878</v>
      </c>
      <c r="K15" s="15" t="s">
        <v>397</v>
      </c>
      <c r="L15" s="15" t="s">
        <v>925</v>
      </c>
      <c r="M15" s="15" t="s">
        <v>432</v>
      </c>
      <c r="N15" s="15" t="s">
        <v>435</v>
      </c>
      <c r="O15" s="15" t="s">
        <v>849</v>
      </c>
      <c r="P15" s="15" t="s">
        <v>981</v>
      </c>
      <c r="Q15" s="29">
        <f>IF(H15="","",IF(P15="","Add - no caption",IFERROR(INDEX('Caption Bank'!$R$5:$R$204,MATCH(P15,'Caption Bank'!$B$5:$B$204,0)),"Check - not in bank")))</f>
        <v>0</v>
      </c>
      <c r="R15" s="15" t="s">
        <v>939</v>
      </c>
      <c r="S15" s="23">
        <f>IF(R15="","",COUNTIF('Hashtag Bank'!$D$5:$D$304,R15))</f>
        <v>0</v>
      </c>
      <c r="T15" s="15" t="s">
        <v>982</v>
      </c>
      <c r="U15" s="29">
        <f>IF(H15="","",IF(T15="","Add - no asset",IFERROR(INDEX(Assets!$N$5:$N$254,MATCH(T15,Assets!$A$5:$A$254,0)),"Check - not in library")))</f>
        <v>0</v>
      </c>
      <c r="V15" s="15" t="s">
        <v>439</v>
      </c>
      <c r="W15" s="15" t="s">
        <v>801</v>
      </c>
      <c r="X15" s="48" t="s">
        <v>138</v>
      </c>
      <c r="Y15" s="16">
        <f>IF(B15="","",B15-ProductionDays)</f>
        <v>0</v>
      </c>
      <c r="Z15" s="16">
        <f>IF(B15="","",B15-ApprovalDays)</f>
        <v>0</v>
      </c>
      <c r="AA15" s="23">
        <f>IF(B15="","",B15-TODAY())</f>
        <v>0</v>
      </c>
      <c r="AB15" s="42" t="s">
        <v>983</v>
      </c>
      <c r="AC15" s="29">
        <f>IF(H15="","",IF(X15="Published",IF(AB15="","Add - link missing","Yes"),"No"))</f>
        <v>0</v>
      </c>
      <c r="AD15" s="23">
        <f>IF(A15="","",IF(COUNTIF(Performance!$B$5:$B$404,A15)=0,"",SUMIFS(Performance!$O$5:$O$404,Performance!$B$5:$B$404,A15)))</f>
        <v>0</v>
      </c>
      <c r="AE15" s="23">
        <f>IF(AD15="","",SUMIFS(Performance!$Z$5:$Z$404,Performance!$B$5:$B$404,A15))</f>
        <v>0</v>
      </c>
      <c r="AF15" s="24">
        <f>IF(OR(AD15="",AD15=0),"",AE15/AD15)</f>
        <v>0</v>
      </c>
      <c r="AG15" s="23">
        <f>IF(AD15="","",SUMIFS(Performance!$U$5:$U$404,Performance!$B$5:$B$404,A15))</f>
        <v>0</v>
      </c>
      <c r="AH15" s="23">
        <f>IF(A15="","",COUNTIF(Repurposing!$B$5:$B$154,A15))</f>
        <v>0</v>
      </c>
      <c r="AI15" s="32">
        <f>IF(OR(H15="",B15=""),"",B15+ROW()/100000)</f>
        <v>0</v>
      </c>
      <c r="AJ15" s="32">
        <f>IF(OR(H15="",B15=""),"",IF(OR(X15="Published",X15="Cancelled",X15="Archived"),"",IF(B15&lt;TODAY(),"",B15+ROW()/100000)))</f>
        <v>0</v>
      </c>
      <c r="AK15" s="32">
        <f>IF(OR(H15="",B15=""),"",IF(OR(X15="Published",X15="Cancelled",X15="Archived"),"",IF(B15&gt;=TODAY(),"",B15+ROW()/100000)))</f>
        <v>0</v>
      </c>
      <c r="AL15" s="29">
        <f>IF(H15="","",IF(COUNTIFS('Content Calendar'!$H$5:$H$604,H15,'Content Calendar'!$G$5:$G$604,G15,'Content Calendar'!$B$5:$B$604,B15)&gt;1,"Duplicate","OK"))</f>
        <v>0</v>
      </c>
      <c r="AM15" s="29">
        <f>IF(H15="","",IF(AND(B15&lt;&gt;"",B15&lt;TODAY(),X15&lt;&gt;"Published",X15&lt;&gt;"Cancelled",X15&lt;&gt;"Archived"),"Overdue - date has passed",IF(AND(X15="Published",AB15=""),"Add - publish link missing",IF(AND(B15=TODAY(),X15&lt;&gt;"Published"),"Today - due to go live",IF(AND(Y15&lt;&gt;"",Y15&lt;TODAY(),OR(X15="Idea",X15="Brief",X15="In production")),"Late - draft not ready",IF(AND(AA15&gt;=0,AA15&lt;=3,OR(X15="Draft",X15="Awaiting review")),"Due - needs approval",IF(AND(H15&lt;&gt;"",P15=""),"Add - caption missing","OK")))))))</f>
        <v>0</v>
      </c>
      <c r="AN15" s="39" t="s">
        <v>205</v>
      </c>
    </row>
    <row r="16" spans="1:40">
      <c r="A16" s="41">
        <f>IF(H16="","",ContentPrefix&amp;TEXT(ROW()-4,"0000"))</f>
        <v>0</v>
      </c>
      <c r="B16" s="43">
        <v>46265</v>
      </c>
      <c r="C16" s="15" t="s">
        <v>635</v>
      </c>
      <c r="D16" s="17">
        <f>IF(B16="","",TEXT(B16,"yyyy-mm"))</f>
        <v>0</v>
      </c>
      <c r="E16" s="23">
        <f>IF(B16="","",WEEKNUM(B16,IF(WeekStart="Sunday",1,2)))</f>
        <v>0</v>
      </c>
      <c r="F16" s="17">
        <f>IF(B16="","",TEXT(B16,"ddd"))</f>
        <v>0</v>
      </c>
      <c r="G16" s="15" t="s">
        <v>380</v>
      </c>
      <c r="H16" s="15" t="s">
        <v>984</v>
      </c>
      <c r="I16" s="39" t="s">
        <v>985</v>
      </c>
      <c r="J16" s="15" t="s">
        <v>888</v>
      </c>
      <c r="K16" s="15" t="s">
        <v>403</v>
      </c>
      <c r="L16" s="15" t="s">
        <v>925</v>
      </c>
      <c r="M16" s="15" t="s">
        <v>170</v>
      </c>
      <c r="N16" s="15" t="s">
        <v>436</v>
      </c>
      <c r="O16" s="15" t="s">
        <v>858</v>
      </c>
      <c r="P16" s="15" t="s">
        <v>986</v>
      </c>
      <c r="Q16" s="29">
        <f>IF(H16="","",IF(P16="","Add - no caption",IFERROR(INDEX('Caption Bank'!$R$5:$R$204,MATCH(P16,'Caption Bank'!$B$5:$B$204,0)),"Check - not in bank")))</f>
        <v>0</v>
      </c>
      <c r="R16" s="15" t="s">
        <v>945</v>
      </c>
      <c r="S16" s="23">
        <f>IF(R16="","",COUNTIF('Hashtag Bank'!$D$5:$D$304,R16))</f>
        <v>0</v>
      </c>
      <c r="T16" s="15" t="s">
        <v>987</v>
      </c>
      <c r="U16" s="29">
        <f>IF(H16="","",IF(T16="","Add - no asset",IFERROR(INDEX(Assets!$N$5:$N$254,MATCH(T16,Assets!$A$5:$A$254,0)),"Check - not in library")))</f>
        <v>0</v>
      </c>
      <c r="V16" s="15" t="s">
        <v>443</v>
      </c>
      <c r="W16" s="15" t="s">
        <v>804</v>
      </c>
      <c r="X16" s="48" t="s">
        <v>138</v>
      </c>
      <c r="Y16" s="16">
        <f>IF(B16="","",B16-ProductionDays)</f>
        <v>0</v>
      </c>
      <c r="Z16" s="16">
        <f>IF(B16="","",B16-ApprovalDays)</f>
        <v>0</v>
      </c>
      <c r="AA16" s="23">
        <f>IF(B16="","",B16-TODAY())</f>
        <v>0</v>
      </c>
      <c r="AB16" s="42" t="s">
        <v>988</v>
      </c>
      <c r="AC16" s="29">
        <f>IF(H16="","",IF(X16="Published",IF(AB16="","Add - link missing","Yes"),"No"))</f>
        <v>0</v>
      </c>
      <c r="AD16" s="23">
        <f>IF(A16="","",IF(COUNTIF(Performance!$B$5:$B$404,A16)=0,"",SUMIFS(Performance!$O$5:$O$404,Performance!$B$5:$B$404,A16)))</f>
        <v>0</v>
      </c>
      <c r="AE16" s="23">
        <f>IF(AD16="","",SUMIFS(Performance!$Z$5:$Z$404,Performance!$B$5:$B$404,A16))</f>
        <v>0</v>
      </c>
      <c r="AF16" s="24">
        <f>IF(OR(AD16="",AD16=0),"",AE16/AD16)</f>
        <v>0</v>
      </c>
      <c r="AG16" s="23">
        <f>IF(AD16="","",SUMIFS(Performance!$U$5:$U$404,Performance!$B$5:$B$404,A16))</f>
        <v>0</v>
      </c>
      <c r="AH16" s="23">
        <f>IF(A16="","",COUNTIF(Repurposing!$B$5:$B$154,A16))</f>
        <v>0</v>
      </c>
      <c r="AI16" s="32">
        <f>IF(OR(H16="",B16=""),"",B16+ROW()/100000)</f>
        <v>0</v>
      </c>
      <c r="AJ16" s="32">
        <f>IF(OR(H16="",B16=""),"",IF(OR(X16="Published",X16="Cancelled",X16="Archived"),"",IF(B16&lt;TODAY(),"",B16+ROW()/100000)))</f>
        <v>0</v>
      </c>
      <c r="AK16" s="32">
        <f>IF(OR(H16="",B16=""),"",IF(OR(X16="Published",X16="Cancelled",X16="Archived"),"",IF(B16&gt;=TODAY(),"",B16+ROW()/100000)))</f>
        <v>0</v>
      </c>
      <c r="AL16" s="29">
        <f>IF(H16="","",IF(COUNTIFS('Content Calendar'!$H$5:$H$604,H16,'Content Calendar'!$G$5:$G$604,G16,'Content Calendar'!$B$5:$B$604,B16)&gt;1,"Duplicate","OK"))</f>
        <v>0</v>
      </c>
      <c r="AM16" s="29">
        <f>IF(H16="","",IF(AND(B16&lt;&gt;"",B16&lt;TODAY(),X16&lt;&gt;"Published",X16&lt;&gt;"Cancelled",X16&lt;&gt;"Archived"),"Overdue - date has passed",IF(AND(X16="Published",AB16=""),"Add - publish link missing",IF(AND(B16=TODAY(),X16&lt;&gt;"Published"),"Today - due to go live",IF(AND(Y16&lt;&gt;"",Y16&lt;TODAY(),OR(X16="Idea",X16="Brief",X16="In production")),"Late - draft not ready",IF(AND(AA16&gt;=0,AA16&lt;=3,OR(X16="Draft",X16="Awaiting review")),"Due - needs approval",IF(AND(H16&lt;&gt;"",P16=""),"Add - caption missing","OK")))))))</f>
        <v>0</v>
      </c>
      <c r="AN16" s="39" t="s">
        <v>205</v>
      </c>
    </row>
    <row r="17" spans="1:40">
      <c r="A17" s="41">
        <f>IF(H17="","",ContentPrefix&amp;TEXT(ROW()-4,"0000"))</f>
        <v>0</v>
      </c>
      <c r="B17" s="43">
        <v>46266</v>
      </c>
      <c r="C17" s="15" t="s">
        <v>636</v>
      </c>
      <c r="D17" s="17">
        <f>IF(B17="","",TEXT(B17,"yyyy-mm"))</f>
        <v>0</v>
      </c>
      <c r="E17" s="23">
        <f>IF(B17="","",WEEKNUM(B17,IF(WeekStart="Sunday",1,2)))</f>
        <v>0</v>
      </c>
      <c r="F17" s="17">
        <f>IF(B17="","",TEXT(B17,"ddd"))</f>
        <v>0</v>
      </c>
      <c r="G17" s="15" t="s">
        <v>378</v>
      </c>
      <c r="H17" s="15" t="s">
        <v>989</v>
      </c>
      <c r="I17" s="39" t="s">
        <v>990</v>
      </c>
      <c r="J17" s="15" t="s">
        <v>878</v>
      </c>
      <c r="K17" s="15" t="s">
        <v>409</v>
      </c>
      <c r="L17" s="15" t="s">
        <v>925</v>
      </c>
      <c r="M17" s="15" t="s">
        <v>432</v>
      </c>
      <c r="N17" s="15" t="s">
        <v>435</v>
      </c>
      <c r="O17" s="15" t="s">
        <v>834</v>
      </c>
      <c r="P17" s="15" t="s">
        <v>926</v>
      </c>
      <c r="Q17" s="29">
        <f>IF(H17="","",IF(P17="","Add - no caption",IFERROR(INDEX('Caption Bank'!$R$5:$R$204,MATCH(P17,'Caption Bank'!$B$5:$B$204,0)),"Check - not in bank")))</f>
        <v>0</v>
      </c>
      <c r="R17" s="15" t="s">
        <v>927</v>
      </c>
      <c r="S17" s="23">
        <f>IF(R17="","",COUNTIF('Hashtag Bank'!$D$5:$D$304,R17))</f>
        <v>0</v>
      </c>
      <c r="T17" s="15" t="s">
        <v>991</v>
      </c>
      <c r="U17" s="29">
        <f>IF(H17="","",IF(T17="","Add - no asset",IFERROR(INDEX(Assets!$N$5:$N$254,MATCH(T17,Assets!$A$5:$A$254,0)),"Check - not in library")))</f>
        <v>0</v>
      </c>
      <c r="V17" s="15" t="s">
        <v>439</v>
      </c>
      <c r="W17" s="15" t="s">
        <v>281</v>
      </c>
      <c r="X17" s="48" t="s">
        <v>138</v>
      </c>
      <c r="Y17" s="16">
        <f>IF(B17="","",B17-ProductionDays)</f>
        <v>0</v>
      </c>
      <c r="Z17" s="16">
        <f>IF(B17="","",B17-ApprovalDays)</f>
        <v>0</v>
      </c>
      <c r="AA17" s="23">
        <f>IF(B17="","",B17-TODAY())</f>
        <v>0</v>
      </c>
      <c r="AB17" s="42" t="s">
        <v>992</v>
      </c>
      <c r="AC17" s="29">
        <f>IF(H17="","",IF(X17="Published",IF(AB17="","Add - link missing","Yes"),"No"))</f>
        <v>0</v>
      </c>
      <c r="AD17" s="23">
        <f>IF(A17="","",IF(COUNTIF(Performance!$B$5:$B$404,A17)=0,"",SUMIFS(Performance!$O$5:$O$404,Performance!$B$5:$B$404,A17)))</f>
        <v>0</v>
      </c>
      <c r="AE17" s="23">
        <f>IF(AD17="","",SUMIFS(Performance!$Z$5:$Z$404,Performance!$B$5:$B$404,A17))</f>
        <v>0</v>
      </c>
      <c r="AF17" s="24">
        <f>IF(OR(AD17="",AD17=0),"",AE17/AD17)</f>
        <v>0</v>
      </c>
      <c r="AG17" s="23">
        <f>IF(AD17="","",SUMIFS(Performance!$U$5:$U$404,Performance!$B$5:$B$404,A17))</f>
        <v>0</v>
      </c>
      <c r="AH17" s="23">
        <f>IF(A17="","",COUNTIF(Repurposing!$B$5:$B$154,A17))</f>
        <v>0</v>
      </c>
      <c r="AI17" s="32">
        <f>IF(OR(H17="",B17=""),"",B17+ROW()/100000)</f>
        <v>0</v>
      </c>
      <c r="AJ17" s="32">
        <f>IF(OR(H17="",B17=""),"",IF(OR(X17="Published",X17="Cancelled",X17="Archived"),"",IF(B17&lt;TODAY(),"",B17+ROW()/100000)))</f>
        <v>0</v>
      </c>
      <c r="AK17" s="32">
        <f>IF(OR(H17="",B17=""),"",IF(OR(X17="Published",X17="Cancelled",X17="Archived"),"",IF(B17&gt;=TODAY(),"",B17+ROW()/100000)))</f>
        <v>0</v>
      </c>
      <c r="AL17" s="29">
        <f>IF(H17="","",IF(COUNTIFS('Content Calendar'!$H$5:$H$604,H17,'Content Calendar'!$G$5:$G$604,G17,'Content Calendar'!$B$5:$B$604,B17)&gt;1,"Duplicate","OK"))</f>
        <v>0</v>
      </c>
      <c r="AM17" s="29">
        <f>IF(H17="","",IF(AND(B17&lt;&gt;"",B17&lt;TODAY(),X17&lt;&gt;"Published",X17&lt;&gt;"Cancelled",X17&lt;&gt;"Archived"),"Overdue - date has passed",IF(AND(X17="Published",AB17=""),"Add - publish link missing",IF(AND(B17=TODAY(),X17&lt;&gt;"Published"),"Today - due to go live",IF(AND(Y17&lt;&gt;"",Y17&lt;TODAY(),OR(X17="Idea",X17="Brief",X17="In production")),"Late - draft not ready",IF(AND(AA17&gt;=0,AA17&lt;=3,OR(X17="Draft",X17="Awaiting review")),"Due - needs approval",IF(AND(H17&lt;&gt;"",P17=""),"Add - caption missing","OK")))))))</f>
        <v>0</v>
      </c>
      <c r="AN17" s="39" t="s">
        <v>205</v>
      </c>
    </row>
    <row r="18" spans="1:40">
      <c r="A18" s="41">
        <f>IF(H18="","",ContentPrefix&amp;TEXT(ROW()-4,"0000"))</f>
        <v>0</v>
      </c>
      <c r="B18" s="43">
        <v>46268</v>
      </c>
      <c r="C18" s="15" t="s">
        <v>638</v>
      </c>
      <c r="D18" s="17">
        <f>IF(B18="","",TEXT(B18,"yyyy-mm"))</f>
        <v>0</v>
      </c>
      <c r="E18" s="23">
        <f>IF(B18="","",WEEKNUM(B18,IF(WeekStart="Sunday",1,2)))</f>
        <v>0</v>
      </c>
      <c r="F18" s="17">
        <f>IF(B18="","",TEXT(B18,"ddd"))</f>
        <v>0</v>
      </c>
      <c r="G18" s="15" t="s">
        <v>377</v>
      </c>
      <c r="H18" s="15" t="s">
        <v>993</v>
      </c>
      <c r="I18" s="39" t="s">
        <v>994</v>
      </c>
      <c r="J18" s="15" t="s">
        <v>891</v>
      </c>
      <c r="K18" s="15" t="s">
        <v>398</v>
      </c>
      <c r="L18" s="15" t="s">
        <v>925</v>
      </c>
      <c r="M18" s="15" t="s">
        <v>427</v>
      </c>
      <c r="N18" s="15" t="s">
        <v>427</v>
      </c>
      <c r="O18" s="15" t="s">
        <v>849</v>
      </c>
      <c r="P18" s="15" t="s">
        <v>932</v>
      </c>
      <c r="Q18" s="29">
        <f>IF(H18="","",IF(P18="","Add - no caption",IFERROR(INDEX('Caption Bank'!$R$5:$R$204,MATCH(P18,'Caption Bank'!$B$5:$B$204,0)),"Check - not in bank")))</f>
        <v>0</v>
      </c>
      <c r="R18" s="15" t="s">
        <v>933</v>
      </c>
      <c r="S18" s="23">
        <f>IF(R18="","",COUNTIF('Hashtag Bank'!$D$5:$D$304,R18))</f>
        <v>0</v>
      </c>
      <c r="T18" s="15" t="s">
        <v>995</v>
      </c>
      <c r="U18" s="29">
        <f>IF(H18="","",IF(T18="","Add - no asset",IFERROR(INDEX(Assets!$N$5:$N$254,MATCH(T18,Assets!$A$5:$A$254,0)),"Check - not in library")))</f>
        <v>0</v>
      </c>
      <c r="V18" s="15" t="s">
        <v>440</v>
      </c>
      <c r="W18" s="15" t="s">
        <v>797</v>
      </c>
      <c r="X18" s="48" t="s">
        <v>138</v>
      </c>
      <c r="Y18" s="16">
        <f>IF(B18="","",B18-ProductionDays)</f>
        <v>0</v>
      </c>
      <c r="Z18" s="16">
        <f>IF(B18="","",B18-ApprovalDays)</f>
        <v>0</v>
      </c>
      <c r="AA18" s="23">
        <f>IF(B18="","",B18-TODAY())</f>
        <v>0</v>
      </c>
      <c r="AB18" s="42" t="s">
        <v>996</v>
      </c>
      <c r="AC18" s="29">
        <f>IF(H18="","",IF(X18="Published",IF(AB18="","Add - link missing","Yes"),"No"))</f>
        <v>0</v>
      </c>
      <c r="AD18" s="23">
        <f>IF(A18="","",IF(COUNTIF(Performance!$B$5:$B$404,A18)=0,"",SUMIFS(Performance!$O$5:$O$404,Performance!$B$5:$B$404,A18)))</f>
        <v>0</v>
      </c>
      <c r="AE18" s="23">
        <f>IF(AD18="","",SUMIFS(Performance!$Z$5:$Z$404,Performance!$B$5:$B$404,A18))</f>
        <v>0</v>
      </c>
      <c r="AF18" s="24">
        <f>IF(OR(AD18="",AD18=0),"",AE18/AD18)</f>
        <v>0</v>
      </c>
      <c r="AG18" s="23">
        <f>IF(AD18="","",SUMIFS(Performance!$U$5:$U$404,Performance!$B$5:$B$404,A18))</f>
        <v>0</v>
      </c>
      <c r="AH18" s="23">
        <f>IF(A18="","",COUNTIF(Repurposing!$B$5:$B$154,A18))</f>
        <v>0</v>
      </c>
      <c r="AI18" s="32">
        <f>IF(OR(H18="",B18=""),"",B18+ROW()/100000)</f>
        <v>0</v>
      </c>
      <c r="AJ18" s="32">
        <f>IF(OR(H18="",B18=""),"",IF(OR(X18="Published",X18="Cancelled",X18="Archived"),"",IF(B18&lt;TODAY(),"",B18+ROW()/100000)))</f>
        <v>0</v>
      </c>
      <c r="AK18" s="32">
        <f>IF(OR(H18="",B18=""),"",IF(OR(X18="Published",X18="Cancelled",X18="Archived"),"",IF(B18&gt;=TODAY(),"",B18+ROW()/100000)))</f>
        <v>0</v>
      </c>
      <c r="AL18" s="29">
        <f>IF(H18="","",IF(COUNTIFS('Content Calendar'!$H$5:$H$604,H18,'Content Calendar'!$G$5:$G$604,G18,'Content Calendar'!$B$5:$B$604,B18)&gt;1,"Duplicate","OK"))</f>
        <v>0</v>
      </c>
      <c r="AM18" s="29">
        <f>IF(H18="","",IF(AND(B18&lt;&gt;"",B18&lt;TODAY(),X18&lt;&gt;"Published",X18&lt;&gt;"Cancelled",X18&lt;&gt;"Archived"),"Overdue - date has passed",IF(AND(X18="Published",AB18=""),"Add - publish link missing",IF(AND(B18=TODAY(),X18&lt;&gt;"Published"),"Today - due to go live",IF(AND(Y18&lt;&gt;"",Y18&lt;TODAY(),OR(X18="Idea",X18="Brief",X18="In production")),"Late - draft not ready",IF(AND(AA18&gt;=0,AA18&lt;=3,OR(X18="Draft",X18="Awaiting review")),"Due - needs approval",IF(AND(H18&lt;&gt;"",P18=""),"Add - caption missing","OK")))))))</f>
        <v>0</v>
      </c>
      <c r="AN18" s="39" t="s">
        <v>205</v>
      </c>
    </row>
    <row r="19" spans="1:40">
      <c r="A19" s="41">
        <f>IF(H19="","",ContentPrefix&amp;TEXT(ROW()-4,"0000"))</f>
        <v>0</v>
      </c>
      <c r="B19" s="43">
        <v>46269</v>
      </c>
      <c r="C19" s="15" t="s">
        <v>635</v>
      </c>
      <c r="D19" s="17">
        <f>IF(B19="","",TEXT(B19,"yyyy-mm"))</f>
        <v>0</v>
      </c>
      <c r="E19" s="23">
        <f>IF(B19="","",WEEKNUM(B19,IF(WeekStart="Sunday",1,2)))</f>
        <v>0</v>
      </c>
      <c r="F19" s="17">
        <f>IF(B19="","",TEXT(B19,"ddd"))</f>
        <v>0</v>
      </c>
      <c r="G19" s="15" t="s">
        <v>376</v>
      </c>
      <c r="H19" s="15" t="s">
        <v>997</v>
      </c>
      <c r="I19" s="39" t="s">
        <v>998</v>
      </c>
      <c r="J19" s="15" t="s">
        <v>888</v>
      </c>
      <c r="K19" s="15" t="s">
        <v>398</v>
      </c>
      <c r="L19" s="15" t="s">
        <v>925</v>
      </c>
      <c r="M19" s="15" t="s">
        <v>170</v>
      </c>
      <c r="N19" s="15" t="s">
        <v>436</v>
      </c>
      <c r="O19" s="15" t="s">
        <v>858</v>
      </c>
      <c r="P19" s="15" t="s">
        <v>938</v>
      </c>
      <c r="Q19" s="29">
        <f>IF(H19="","",IF(P19="","Add - no caption",IFERROR(INDEX('Caption Bank'!$R$5:$R$204,MATCH(P19,'Caption Bank'!$B$5:$B$204,0)),"Check - not in bank")))</f>
        <v>0</v>
      </c>
      <c r="R19" s="15" t="s">
        <v>939</v>
      </c>
      <c r="S19" s="23">
        <f>IF(R19="","",COUNTIF('Hashtag Bank'!$D$5:$D$304,R19))</f>
        <v>0</v>
      </c>
      <c r="T19" s="15" t="s">
        <v>928</v>
      </c>
      <c r="U19" s="29">
        <f>IF(H19="","",IF(T19="","Add - no asset",IFERROR(INDEX(Assets!$N$5:$N$254,MATCH(T19,Assets!$A$5:$A$254,0)),"Check - not in library")))</f>
        <v>0</v>
      </c>
      <c r="V19" s="15" t="s">
        <v>443</v>
      </c>
      <c r="W19" s="15" t="s">
        <v>801</v>
      </c>
      <c r="X19" s="48" t="s">
        <v>138</v>
      </c>
      <c r="Y19" s="16">
        <f>IF(B19="","",B19-ProductionDays)</f>
        <v>0</v>
      </c>
      <c r="Z19" s="16">
        <f>IF(B19="","",B19-ApprovalDays)</f>
        <v>0</v>
      </c>
      <c r="AA19" s="23">
        <f>IF(B19="","",B19-TODAY())</f>
        <v>0</v>
      </c>
      <c r="AB19" s="42" t="s">
        <v>999</v>
      </c>
      <c r="AC19" s="29">
        <f>IF(H19="","",IF(X19="Published",IF(AB19="","Add - link missing","Yes"),"No"))</f>
        <v>0</v>
      </c>
      <c r="AD19" s="23">
        <f>IF(A19="","",IF(COUNTIF(Performance!$B$5:$B$404,A19)=0,"",SUMIFS(Performance!$O$5:$O$404,Performance!$B$5:$B$404,A19)))</f>
        <v>0</v>
      </c>
      <c r="AE19" s="23">
        <f>IF(AD19="","",SUMIFS(Performance!$Z$5:$Z$404,Performance!$B$5:$B$404,A19))</f>
        <v>0</v>
      </c>
      <c r="AF19" s="24">
        <f>IF(OR(AD19="",AD19=0),"",AE19/AD19)</f>
        <v>0</v>
      </c>
      <c r="AG19" s="23">
        <f>IF(AD19="","",SUMIFS(Performance!$U$5:$U$404,Performance!$B$5:$B$404,A19))</f>
        <v>0</v>
      </c>
      <c r="AH19" s="23">
        <f>IF(A19="","",COUNTIF(Repurposing!$B$5:$B$154,A19))</f>
        <v>0</v>
      </c>
      <c r="AI19" s="32">
        <f>IF(OR(H19="",B19=""),"",B19+ROW()/100000)</f>
        <v>0</v>
      </c>
      <c r="AJ19" s="32">
        <f>IF(OR(H19="",B19=""),"",IF(OR(X19="Published",X19="Cancelled",X19="Archived"),"",IF(B19&lt;TODAY(),"",B19+ROW()/100000)))</f>
        <v>0</v>
      </c>
      <c r="AK19" s="32">
        <f>IF(OR(H19="",B19=""),"",IF(OR(X19="Published",X19="Cancelled",X19="Archived"),"",IF(B19&gt;=TODAY(),"",B19+ROW()/100000)))</f>
        <v>0</v>
      </c>
      <c r="AL19" s="29">
        <f>IF(H19="","",IF(COUNTIFS('Content Calendar'!$H$5:$H$604,H19,'Content Calendar'!$G$5:$G$604,G19,'Content Calendar'!$B$5:$B$604,B19)&gt;1,"Duplicate","OK"))</f>
        <v>0</v>
      </c>
      <c r="AM19" s="29">
        <f>IF(H19="","",IF(AND(B19&lt;&gt;"",B19&lt;TODAY(),X19&lt;&gt;"Published",X19&lt;&gt;"Cancelled",X19&lt;&gt;"Archived"),"Overdue - date has passed",IF(AND(X19="Published",AB19=""),"Add - publish link missing",IF(AND(B19=TODAY(),X19&lt;&gt;"Published"),"Today - due to go live",IF(AND(Y19&lt;&gt;"",Y19&lt;TODAY(),OR(X19="Idea",X19="Brief",X19="In production")),"Late - draft not ready",IF(AND(AA19&gt;=0,AA19&lt;=3,OR(X19="Draft",X19="Awaiting review")),"Due - needs approval",IF(AND(H19&lt;&gt;"",P19=""),"Add - caption missing","OK")))))))</f>
        <v>0</v>
      </c>
      <c r="AN19" s="39" t="s">
        <v>205</v>
      </c>
    </row>
    <row r="20" spans="1:40">
      <c r="A20" s="41">
        <f>IF(H20="","",ContentPrefix&amp;TEXT(ROW()-4,"0000"))</f>
        <v>0</v>
      </c>
      <c r="B20" s="43">
        <v>46271</v>
      </c>
      <c r="C20" s="15" t="s">
        <v>637</v>
      </c>
      <c r="D20" s="17">
        <f>IF(B20="","",TEXT(B20,"yyyy-mm"))</f>
        <v>0</v>
      </c>
      <c r="E20" s="23">
        <f>IF(B20="","",WEEKNUM(B20,IF(WeekStart="Sunday",1,2)))</f>
        <v>0</v>
      </c>
      <c r="F20" s="17">
        <f>IF(B20="","",TEXT(B20,"ddd"))</f>
        <v>0</v>
      </c>
      <c r="G20" s="15" t="s">
        <v>379</v>
      </c>
      <c r="H20" s="15" t="s">
        <v>1000</v>
      </c>
      <c r="I20" s="39" t="s">
        <v>1001</v>
      </c>
      <c r="J20" s="15" t="s">
        <v>878</v>
      </c>
      <c r="K20" s="15" t="s">
        <v>400</v>
      </c>
      <c r="L20" s="15" t="s">
        <v>925</v>
      </c>
      <c r="M20" s="15" t="s">
        <v>432</v>
      </c>
      <c r="N20" s="15" t="s">
        <v>435</v>
      </c>
      <c r="O20" s="15" t="s">
        <v>834</v>
      </c>
      <c r="P20" s="15" t="s">
        <v>944</v>
      </c>
      <c r="Q20" s="29">
        <f>IF(H20="","",IF(P20="","Add - no caption",IFERROR(INDEX('Caption Bank'!$R$5:$R$204,MATCH(P20,'Caption Bank'!$B$5:$B$204,0)),"Check - not in bank")))</f>
        <v>0</v>
      </c>
      <c r="R20" s="15" t="s">
        <v>945</v>
      </c>
      <c r="S20" s="23">
        <f>IF(R20="","",COUNTIF('Hashtag Bank'!$D$5:$D$304,R20))</f>
        <v>0</v>
      </c>
      <c r="T20" s="15" t="s">
        <v>934</v>
      </c>
      <c r="U20" s="29">
        <f>IF(H20="","",IF(T20="","Add - no asset",IFERROR(INDEX(Assets!$N$5:$N$254,MATCH(T20,Assets!$A$5:$A$254,0)),"Check - not in library")))</f>
        <v>0</v>
      </c>
      <c r="V20" s="15" t="s">
        <v>439</v>
      </c>
      <c r="W20" s="15" t="s">
        <v>804</v>
      </c>
      <c r="X20" s="48" t="s">
        <v>138</v>
      </c>
      <c r="Y20" s="16">
        <f>IF(B20="","",B20-ProductionDays)</f>
        <v>0</v>
      </c>
      <c r="Z20" s="16">
        <f>IF(B20="","",B20-ApprovalDays)</f>
        <v>0</v>
      </c>
      <c r="AA20" s="23">
        <f>IF(B20="","",B20-TODAY())</f>
        <v>0</v>
      </c>
      <c r="AB20" s="42" t="s">
        <v>1002</v>
      </c>
      <c r="AC20" s="29">
        <f>IF(H20="","",IF(X20="Published",IF(AB20="","Add - link missing","Yes"),"No"))</f>
        <v>0</v>
      </c>
      <c r="AD20" s="23">
        <f>IF(A20="","",IF(COUNTIF(Performance!$B$5:$B$404,A20)=0,"",SUMIFS(Performance!$O$5:$O$404,Performance!$B$5:$B$404,A20)))</f>
        <v>0</v>
      </c>
      <c r="AE20" s="23">
        <f>IF(AD20="","",SUMIFS(Performance!$Z$5:$Z$404,Performance!$B$5:$B$404,A20))</f>
        <v>0</v>
      </c>
      <c r="AF20" s="24">
        <f>IF(OR(AD20="",AD20=0),"",AE20/AD20)</f>
        <v>0</v>
      </c>
      <c r="AG20" s="23">
        <f>IF(AD20="","",SUMIFS(Performance!$U$5:$U$404,Performance!$B$5:$B$404,A20))</f>
        <v>0</v>
      </c>
      <c r="AH20" s="23">
        <f>IF(A20="","",COUNTIF(Repurposing!$B$5:$B$154,A20))</f>
        <v>0</v>
      </c>
      <c r="AI20" s="32">
        <f>IF(OR(H20="",B20=""),"",B20+ROW()/100000)</f>
        <v>0</v>
      </c>
      <c r="AJ20" s="32">
        <f>IF(OR(H20="",B20=""),"",IF(OR(X20="Published",X20="Cancelled",X20="Archived"),"",IF(B20&lt;TODAY(),"",B20+ROW()/100000)))</f>
        <v>0</v>
      </c>
      <c r="AK20" s="32">
        <f>IF(OR(H20="",B20=""),"",IF(OR(X20="Published",X20="Cancelled",X20="Archived"),"",IF(B20&gt;=TODAY(),"",B20+ROW()/100000)))</f>
        <v>0</v>
      </c>
      <c r="AL20" s="29">
        <f>IF(H20="","",IF(COUNTIFS('Content Calendar'!$H$5:$H$604,H20,'Content Calendar'!$G$5:$G$604,G20,'Content Calendar'!$B$5:$B$604,B20)&gt;1,"Duplicate","OK"))</f>
        <v>0</v>
      </c>
      <c r="AM20" s="29">
        <f>IF(H20="","",IF(AND(B20&lt;&gt;"",B20&lt;TODAY(),X20&lt;&gt;"Published",X20&lt;&gt;"Cancelled",X20&lt;&gt;"Archived"),"Overdue - date has passed",IF(AND(X20="Published",AB20=""),"Add - publish link missing",IF(AND(B20=TODAY(),X20&lt;&gt;"Published"),"Today - due to go live",IF(AND(Y20&lt;&gt;"",Y20&lt;TODAY(),OR(X20="Idea",X20="Brief",X20="In production")),"Late - draft not ready",IF(AND(AA20&gt;=0,AA20&lt;=3,OR(X20="Draft",X20="Awaiting review")),"Due - needs approval",IF(AND(H20&lt;&gt;"",P20=""),"Add - caption missing","OK")))))))</f>
        <v>0</v>
      </c>
      <c r="AN20" s="39" t="s">
        <v>205</v>
      </c>
    </row>
    <row r="21" spans="1:40">
      <c r="A21" s="41">
        <f>IF(H21="","",ContentPrefix&amp;TEXT(ROW()-4,"0000"))</f>
        <v>0</v>
      </c>
      <c r="B21" s="43">
        <v>46272</v>
      </c>
      <c r="C21" s="15" t="s">
        <v>635</v>
      </c>
      <c r="D21" s="17">
        <f>IF(B21="","",TEXT(B21,"yyyy-mm"))</f>
        <v>0</v>
      </c>
      <c r="E21" s="23">
        <f>IF(B21="","",WEEKNUM(B21,IF(WeekStart="Sunday",1,2)))</f>
        <v>0</v>
      </c>
      <c r="F21" s="17">
        <f>IF(B21="","",TEXT(B21,"ddd"))</f>
        <v>0</v>
      </c>
      <c r="G21" s="15" t="s">
        <v>376</v>
      </c>
      <c r="H21" s="15" t="s">
        <v>1003</v>
      </c>
      <c r="I21" s="39" t="s">
        <v>1004</v>
      </c>
      <c r="J21" s="15" t="s">
        <v>430</v>
      </c>
      <c r="K21" s="15" t="s">
        <v>399</v>
      </c>
      <c r="L21" s="15" t="s">
        <v>925</v>
      </c>
      <c r="M21" s="15" t="s">
        <v>428</v>
      </c>
      <c r="N21" s="15" t="s">
        <v>431</v>
      </c>
      <c r="O21" s="15" t="s">
        <v>849</v>
      </c>
      <c r="P21" s="15" t="s">
        <v>951</v>
      </c>
      <c r="Q21" s="29">
        <f>IF(H21="","",IF(P21="","Add - no caption",IFERROR(INDEX('Caption Bank'!$R$5:$R$204,MATCH(P21,'Caption Bank'!$B$5:$B$204,0)),"Check - not in bank")))</f>
        <v>0</v>
      </c>
      <c r="R21" s="15" t="s">
        <v>927</v>
      </c>
      <c r="S21" s="23">
        <f>IF(R21="","",COUNTIF('Hashtag Bank'!$D$5:$D$304,R21))</f>
        <v>0</v>
      </c>
      <c r="T21" s="15" t="s">
        <v>940</v>
      </c>
      <c r="U21" s="29">
        <f>IF(H21="","",IF(T21="","Add - no asset",IFERROR(INDEX(Assets!$N$5:$N$254,MATCH(T21,Assets!$A$5:$A$254,0)),"Check - not in library")))</f>
        <v>0</v>
      </c>
      <c r="V21" s="15" t="s">
        <v>449</v>
      </c>
      <c r="W21" s="15" t="s">
        <v>281</v>
      </c>
      <c r="X21" s="48" t="s">
        <v>138</v>
      </c>
      <c r="Y21" s="16">
        <f>IF(B21="","",B21-ProductionDays)</f>
        <v>0</v>
      </c>
      <c r="Z21" s="16">
        <f>IF(B21="","",B21-ApprovalDays)</f>
        <v>0</v>
      </c>
      <c r="AA21" s="23">
        <f>IF(B21="","",B21-TODAY())</f>
        <v>0</v>
      </c>
      <c r="AB21" s="42" t="s">
        <v>1005</v>
      </c>
      <c r="AC21" s="29">
        <f>IF(H21="","",IF(X21="Published",IF(AB21="","Add - link missing","Yes"),"No"))</f>
        <v>0</v>
      </c>
      <c r="AD21" s="23">
        <f>IF(A21="","",IF(COUNTIF(Performance!$B$5:$B$404,A21)=0,"",SUMIFS(Performance!$O$5:$O$404,Performance!$B$5:$B$404,A21)))</f>
        <v>0</v>
      </c>
      <c r="AE21" s="23">
        <f>IF(AD21="","",SUMIFS(Performance!$Z$5:$Z$404,Performance!$B$5:$B$404,A21))</f>
        <v>0</v>
      </c>
      <c r="AF21" s="24">
        <f>IF(OR(AD21="",AD21=0),"",AE21/AD21)</f>
        <v>0</v>
      </c>
      <c r="AG21" s="23">
        <f>IF(AD21="","",SUMIFS(Performance!$U$5:$U$404,Performance!$B$5:$B$404,A21))</f>
        <v>0</v>
      </c>
      <c r="AH21" s="23">
        <f>IF(A21="","",COUNTIF(Repurposing!$B$5:$B$154,A21))</f>
        <v>0</v>
      </c>
      <c r="AI21" s="32">
        <f>IF(OR(H21="",B21=""),"",B21+ROW()/100000)</f>
        <v>0</v>
      </c>
      <c r="AJ21" s="32">
        <f>IF(OR(H21="",B21=""),"",IF(OR(X21="Published",X21="Cancelled",X21="Archived"),"",IF(B21&lt;TODAY(),"",B21+ROW()/100000)))</f>
        <v>0</v>
      </c>
      <c r="AK21" s="32">
        <f>IF(OR(H21="",B21=""),"",IF(OR(X21="Published",X21="Cancelled",X21="Archived"),"",IF(B21&gt;=TODAY(),"",B21+ROW()/100000)))</f>
        <v>0</v>
      </c>
      <c r="AL21" s="29">
        <f>IF(H21="","",IF(COUNTIFS('Content Calendar'!$H$5:$H$604,H21,'Content Calendar'!$G$5:$G$604,G21,'Content Calendar'!$B$5:$B$604,B21)&gt;1,"Duplicate","OK"))</f>
        <v>0</v>
      </c>
      <c r="AM21" s="29">
        <f>IF(H21="","",IF(AND(B21&lt;&gt;"",B21&lt;TODAY(),X21&lt;&gt;"Published",X21&lt;&gt;"Cancelled",X21&lt;&gt;"Archived"),"Overdue - date has passed",IF(AND(X21="Published",AB21=""),"Add - publish link missing",IF(AND(B21=TODAY(),X21&lt;&gt;"Published"),"Today - due to go live",IF(AND(Y21&lt;&gt;"",Y21&lt;TODAY(),OR(X21="Idea",X21="Brief",X21="In production")),"Late - draft not ready",IF(AND(AA21&gt;=0,AA21&lt;=3,OR(X21="Draft",X21="Awaiting review")),"Due - needs approval",IF(AND(H21&lt;&gt;"",P21=""),"Add - caption missing","OK")))))))</f>
        <v>0</v>
      </c>
      <c r="AN21" s="39" t="s">
        <v>205</v>
      </c>
    </row>
    <row r="22" spans="1:40">
      <c r="A22" s="41">
        <f>IF(H22="","",ContentPrefix&amp;TEXT(ROW()-4,"0000"))</f>
        <v>0</v>
      </c>
      <c r="B22" s="43">
        <v>46273</v>
      </c>
      <c r="C22" s="15" t="s">
        <v>636</v>
      </c>
      <c r="D22" s="17">
        <f>IF(B22="","",TEXT(B22,"yyyy-mm"))</f>
        <v>0</v>
      </c>
      <c r="E22" s="23">
        <f>IF(B22="","",WEEKNUM(B22,IF(WeekStart="Sunday",1,2)))</f>
        <v>0</v>
      </c>
      <c r="F22" s="17">
        <f>IF(B22="","",TEXT(B22,"ddd"))</f>
        <v>0</v>
      </c>
      <c r="G22" s="15" t="s">
        <v>378</v>
      </c>
      <c r="H22" s="15" t="s">
        <v>1006</v>
      </c>
      <c r="I22" s="39" t="s">
        <v>1007</v>
      </c>
      <c r="J22" s="15" t="s">
        <v>888</v>
      </c>
      <c r="K22" s="15" t="s">
        <v>408</v>
      </c>
      <c r="L22" s="15" t="s">
        <v>925</v>
      </c>
      <c r="M22" s="15" t="s">
        <v>170</v>
      </c>
      <c r="N22" s="15" t="s">
        <v>436</v>
      </c>
      <c r="O22" s="15" t="s">
        <v>858</v>
      </c>
      <c r="P22" s="15" t="s">
        <v>956</v>
      </c>
      <c r="Q22" s="29">
        <f>IF(H22="","",IF(P22="","Add - no caption",IFERROR(INDEX('Caption Bank'!$R$5:$R$204,MATCH(P22,'Caption Bank'!$B$5:$B$204,0)),"Check - not in bank")))</f>
        <v>0</v>
      </c>
      <c r="R22" s="15" t="s">
        <v>933</v>
      </c>
      <c r="S22" s="23">
        <f>IF(R22="","",COUNTIF('Hashtag Bank'!$D$5:$D$304,R22))</f>
        <v>0</v>
      </c>
      <c r="T22" s="15" t="s">
        <v>946</v>
      </c>
      <c r="U22" s="29">
        <f>IF(H22="","",IF(T22="","Add - no asset",IFERROR(INDEX(Assets!$N$5:$N$254,MATCH(T22,Assets!$A$5:$A$254,0)),"Check - not in library")))</f>
        <v>0</v>
      </c>
      <c r="V22" s="15" t="s">
        <v>443</v>
      </c>
      <c r="W22" s="15" t="s">
        <v>797</v>
      </c>
      <c r="X22" s="48" t="s">
        <v>138</v>
      </c>
      <c r="Y22" s="16">
        <f>IF(B22="","",B22-ProductionDays)</f>
        <v>0</v>
      </c>
      <c r="Z22" s="16">
        <f>IF(B22="","",B22-ApprovalDays)</f>
        <v>0</v>
      </c>
      <c r="AA22" s="23">
        <f>IF(B22="","",B22-TODAY())</f>
        <v>0</v>
      </c>
      <c r="AB22" s="42" t="s">
        <v>1008</v>
      </c>
      <c r="AC22" s="29">
        <f>IF(H22="","",IF(X22="Published",IF(AB22="","Add - link missing","Yes"),"No"))</f>
        <v>0</v>
      </c>
      <c r="AD22" s="23">
        <f>IF(A22="","",IF(COUNTIF(Performance!$B$5:$B$404,A22)=0,"",SUMIFS(Performance!$O$5:$O$404,Performance!$B$5:$B$404,A22)))</f>
        <v>0</v>
      </c>
      <c r="AE22" s="23">
        <f>IF(AD22="","",SUMIFS(Performance!$Z$5:$Z$404,Performance!$B$5:$B$404,A22))</f>
        <v>0</v>
      </c>
      <c r="AF22" s="24">
        <f>IF(OR(AD22="",AD22=0),"",AE22/AD22)</f>
        <v>0</v>
      </c>
      <c r="AG22" s="23">
        <f>IF(AD22="","",SUMIFS(Performance!$U$5:$U$404,Performance!$B$5:$B$404,A22))</f>
        <v>0</v>
      </c>
      <c r="AH22" s="23">
        <f>IF(A22="","",COUNTIF(Repurposing!$B$5:$B$154,A22))</f>
        <v>0</v>
      </c>
      <c r="AI22" s="32">
        <f>IF(OR(H22="",B22=""),"",B22+ROW()/100000)</f>
        <v>0</v>
      </c>
      <c r="AJ22" s="32">
        <f>IF(OR(H22="",B22=""),"",IF(OR(X22="Published",X22="Cancelled",X22="Archived"),"",IF(B22&lt;TODAY(),"",B22+ROW()/100000)))</f>
        <v>0</v>
      </c>
      <c r="AK22" s="32">
        <f>IF(OR(H22="",B22=""),"",IF(OR(X22="Published",X22="Cancelled",X22="Archived"),"",IF(B22&gt;=TODAY(),"",B22+ROW()/100000)))</f>
        <v>0</v>
      </c>
      <c r="AL22" s="29">
        <f>IF(H22="","",IF(COUNTIFS('Content Calendar'!$H$5:$H$604,H22,'Content Calendar'!$G$5:$G$604,G22,'Content Calendar'!$B$5:$B$604,B22)&gt;1,"Duplicate","OK"))</f>
        <v>0</v>
      </c>
      <c r="AM22" s="29">
        <f>IF(H22="","",IF(AND(B22&lt;&gt;"",B22&lt;TODAY(),X22&lt;&gt;"Published",X22&lt;&gt;"Cancelled",X22&lt;&gt;"Archived"),"Overdue - date has passed",IF(AND(X22="Published",AB22=""),"Add - publish link missing",IF(AND(B22=TODAY(),X22&lt;&gt;"Published"),"Today - due to go live",IF(AND(Y22&lt;&gt;"",Y22&lt;TODAY(),OR(X22="Idea",X22="Brief",X22="In production")),"Late - draft not ready",IF(AND(AA22&gt;=0,AA22&lt;=3,OR(X22="Draft",X22="Awaiting review")),"Due - needs approval",IF(AND(H22&lt;&gt;"",P22=""),"Add - caption missing","OK")))))))</f>
        <v>0</v>
      </c>
      <c r="AN22" s="39" t="s">
        <v>205</v>
      </c>
    </row>
    <row r="23" spans="1:40">
      <c r="A23" s="41">
        <f>IF(H23="","",ContentPrefix&amp;TEXT(ROW()-4,"0000"))</f>
        <v>0</v>
      </c>
      <c r="B23" s="43">
        <v>46275</v>
      </c>
      <c r="C23" s="15" t="s">
        <v>635</v>
      </c>
      <c r="D23" s="17">
        <f>IF(B23="","",TEXT(B23,"yyyy-mm"))</f>
        <v>0</v>
      </c>
      <c r="E23" s="23">
        <f>IF(B23="","",WEEKNUM(B23,IF(WeekStart="Sunday",1,2)))</f>
        <v>0</v>
      </c>
      <c r="F23" s="17">
        <f>IF(B23="","",TEXT(B23,"ddd"))</f>
        <v>0</v>
      </c>
      <c r="G23" s="15" t="s">
        <v>376</v>
      </c>
      <c r="H23" s="15" t="s">
        <v>1009</v>
      </c>
      <c r="I23" s="39" t="s">
        <v>1010</v>
      </c>
      <c r="J23" s="15" t="s">
        <v>881</v>
      </c>
      <c r="K23" s="15" t="s">
        <v>397</v>
      </c>
      <c r="L23" s="15" t="s">
        <v>1011</v>
      </c>
      <c r="M23" s="15" t="s">
        <v>427</v>
      </c>
      <c r="N23" s="15" t="s">
        <v>427</v>
      </c>
      <c r="O23" s="15" t="s">
        <v>834</v>
      </c>
      <c r="P23" s="15" t="s">
        <v>961</v>
      </c>
      <c r="Q23" s="29">
        <f>IF(H23="","",IF(P23="","Add - no caption",IFERROR(INDEX('Caption Bank'!$R$5:$R$204,MATCH(P23,'Caption Bank'!$B$5:$B$204,0)),"Check - not in bank")))</f>
        <v>0</v>
      </c>
      <c r="R23" s="15" t="s">
        <v>939</v>
      </c>
      <c r="S23" s="23">
        <f>IF(R23="","",COUNTIF('Hashtag Bank'!$D$5:$D$304,R23))</f>
        <v>0</v>
      </c>
      <c r="T23" s="15" t="s">
        <v>952</v>
      </c>
      <c r="U23" s="29">
        <f>IF(H23="","",IF(T23="","Add - no asset",IFERROR(INDEX(Assets!$N$5:$N$254,MATCH(T23,Assets!$A$5:$A$254,0)),"Check - not in library")))</f>
        <v>0</v>
      </c>
      <c r="V23" s="15" t="s">
        <v>438</v>
      </c>
      <c r="W23" s="15" t="s">
        <v>801</v>
      </c>
      <c r="X23" s="48" t="s">
        <v>138</v>
      </c>
      <c r="Y23" s="16">
        <f>IF(B23="","",B23-ProductionDays)</f>
        <v>0</v>
      </c>
      <c r="Z23" s="16">
        <f>IF(B23="","",B23-ApprovalDays)</f>
        <v>0</v>
      </c>
      <c r="AA23" s="23">
        <f>IF(B23="","",B23-TODAY())</f>
        <v>0</v>
      </c>
      <c r="AB23" s="42" t="s">
        <v>1012</v>
      </c>
      <c r="AC23" s="29">
        <f>IF(H23="","",IF(X23="Published",IF(AB23="","Add - link missing","Yes"),"No"))</f>
        <v>0</v>
      </c>
      <c r="AD23" s="23">
        <f>IF(A23="","",IF(COUNTIF(Performance!$B$5:$B$404,A23)=0,"",SUMIFS(Performance!$O$5:$O$404,Performance!$B$5:$B$404,A23)))</f>
        <v>0</v>
      </c>
      <c r="AE23" s="23">
        <f>IF(AD23="","",SUMIFS(Performance!$Z$5:$Z$404,Performance!$B$5:$B$404,A23))</f>
        <v>0</v>
      </c>
      <c r="AF23" s="24">
        <f>IF(OR(AD23="",AD23=0),"",AE23/AD23)</f>
        <v>0</v>
      </c>
      <c r="AG23" s="23">
        <f>IF(AD23="","",SUMIFS(Performance!$U$5:$U$404,Performance!$B$5:$B$404,A23))</f>
        <v>0</v>
      </c>
      <c r="AH23" s="23">
        <f>IF(A23="","",COUNTIF(Repurposing!$B$5:$B$154,A23))</f>
        <v>0</v>
      </c>
      <c r="AI23" s="32">
        <f>IF(OR(H23="",B23=""),"",B23+ROW()/100000)</f>
        <v>0</v>
      </c>
      <c r="AJ23" s="32">
        <f>IF(OR(H23="",B23=""),"",IF(OR(X23="Published",X23="Cancelled",X23="Archived"),"",IF(B23&lt;TODAY(),"",B23+ROW()/100000)))</f>
        <v>0</v>
      </c>
      <c r="AK23" s="32">
        <f>IF(OR(H23="",B23=""),"",IF(OR(X23="Published",X23="Cancelled",X23="Archived"),"",IF(B23&gt;=TODAY(),"",B23+ROW()/100000)))</f>
        <v>0</v>
      </c>
      <c r="AL23" s="29">
        <f>IF(H23="","",IF(COUNTIFS('Content Calendar'!$H$5:$H$604,H23,'Content Calendar'!$G$5:$G$604,G23,'Content Calendar'!$B$5:$B$604,B23)&gt;1,"Duplicate","OK"))</f>
        <v>0</v>
      </c>
      <c r="AM23" s="29">
        <f>IF(H23="","",IF(AND(B23&lt;&gt;"",B23&lt;TODAY(),X23&lt;&gt;"Published",X23&lt;&gt;"Cancelled",X23&lt;&gt;"Archived"),"Overdue - date has passed",IF(AND(X23="Published",AB23=""),"Add - publish link missing",IF(AND(B23=TODAY(),X23&lt;&gt;"Published"),"Today - due to go live",IF(AND(Y23&lt;&gt;"",Y23&lt;TODAY(),OR(X23="Idea",X23="Brief",X23="In production")),"Late - draft not ready",IF(AND(AA23&gt;=0,AA23&lt;=3,OR(X23="Draft",X23="Awaiting review")),"Due - needs approval",IF(AND(H23&lt;&gt;"",P23=""),"Add - caption missing","OK")))))))</f>
        <v>0</v>
      </c>
      <c r="AN23" s="39" t="s">
        <v>205</v>
      </c>
    </row>
    <row r="24" spans="1:40">
      <c r="A24" s="41">
        <f>IF(H24="","",ContentPrefix&amp;TEXT(ROW()-4,"0000"))</f>
        <v>0</v>
      </c>
      <c r="B24" s="43">
        <v>46276</v>
      </c>
      <c r="C24" s="15" t="s">
        <v>635</v>
      </c>
      <c r="D24" s="17">
        <f>IF(B24="","",TEXT(B24,"yyyy-mm"))</f>
        <v>0</v>
      </c>
      <c r="E24" s="23">
        <f>IF(B24="","",WEEKNUM(B24,IF(WeekStart="Sunday",1,2)))</f>
        <v>0</v>
      </c>
      <c r="F24" s="17">
        <f>IF(B24="","",TEXT(B24,"ddd"))</f>
        <v>0</v>
      </c>
      <c r="G24" s="15" t="s">
        <v>380</v>
      </c>
      <c r="H24" s="15" t="s">
        <v>1013</v>
      </c>
      <c r="I24" s="39" t="s">
        <v>1014</v>
      </c>
      <c r="J24" s="15" t="s">
        <v>878</v>
      </c>
      <c r="K24" s="15" t="s">
        <v>396</v>
      </c>
      <c r="L24" s="15" t="s">
        <v>1011</v>
      </c>
      <c r="M24" s="15" t="s">
        <v>432</v>
      </c>
      <c r="N24" s="15" t="s">
        <v>435</v>
      </c>
      <c r="O24" s="15" t="s">
        <v>849</v>
      </c>
      <c r="P24" s="15" t="s">
        <v>966</v>
      </c>
      <c r="Q24" s="29">
        <f>IF(H24="","",IF(P24="","Add - no caption",IFERROR(INDEX('Caption Bank'!$R$5:$R$204,MATCH(P24,'Caption Bank'!$B$5:$B$204,0)),"Check - not in bank")))</f>
        <v>0</v>
      </c>
      <c r="R24" s="15" t="s">
        <v>945</v>
      </c>
      <c r="S24" s="23">
        <f>IF(R24="","",COUNTIF('Hashtag Bank'!$D$5:$D$304,R24))</f>
        <v>0</v>
      </c>
      <c r="T24" s="15" t="s">
        <v>957</v>
      </c>
      <c r="U24" s="29">
        <f>IF(H24="","",IF(T24="","Add - no asset",IFERROR(INDEX(Assets!$N$5:$N$254,MATCH(T24,Assets!$A$5:$A$254,0)),"Check - not in library")))</f>
        <v>0</v>
      </c>
      <c r="V24" s="15" t="s">
        <v>439</v>
      </c>
      <c r="W24" s="15" t="s">
        <v>804</v>
      </c>
      <c r="X24" s="48" t="s">
        <v>138</v>
      </c>
      <c r="Y24" s="16">
        <f>IF(B24="","",B24-ProductionDays)</f>
        <v>0</v>
      </c>
      <c r="Z24" s="16">
        <f>IF(B24="","",B24-ApprovalDays)</f>
        <v>0</v>
      </c>
      <c r="AA24" s="23">
        <f>IF(B24="","",B24-TODAY())</f>
        <v>0</v>
      </c>
      <c r="AB24" s="42" t="s">
        <v>1015</v>
      </c>
      <c r="AC24" s="29">
        <f>IF(H24="","",IF(X24="Published",IF(AB24="","Add - link missing","Yes"),"No"))</f>
        <v>0</v>
      </c>
      <c r="AD24" s="23">
        <f>IF(A24="","",IF(COUNTIF(Performance!$B$5:$B$404,A24)=0,"",SUMIFS(Performance!$O$5:$O$404,Performance!$B$5:$B$404,A24)))</f>
        <v>0</v>
      </c>
      <c r="AE24" s="23">
        <f>IF(AD24="","",SUMIFS(Performance!$Z$5:$Z$404,Performance!$B$5:$B$404,A24))</f>
        <v>0</v>
      </c>
      <c r="AF24" s="24">
        <f>IF(OR(AD24="",AD24=0),"",AE24/AD24)</f>
        <v>0</v>
      </c>
      <c r="AG24" s="23">
        <f>IF(AD24="","",SUMIFS(Performance!$U$5:$U$404,Performance!$B$5:$B$404,A24))</f>
        <v>0</v>
      </c>
      <c r="AH24" s="23">
        <f>IF(A24="","",COUNTIF(Repurposing!$B$5:$B$154,A24))</f>
        <v>0</v>
      </c>
      <c r="AI24" s="32">
        <f>IF(OR(H24="",B24=""),"",B24+ROW()/100000)</f>
        <v>0</v>
      </c>
      <c r="AJ24" s="32">
        <f>IF(OR(H24="",B24=""),"",IF(OR(X24="Published",X24="Cancelled",X24="Archived"),"",IF(B24&lt;TODAY(),"",B24+ROW()/100000)))</f>
        <v>0</v>
      </c>
      <c r="AK24" s="32">
        <f>IF(OR(H24="",B24=""),"",IF(OR(X24="Published",X24="Cancelled",X24="Archived"),"",IF(B24&gt;=TODAY(),"",B24+ROW()/100000)))</f>
        <v>0</v>
      </c>
      <c r="AL24" s="29">
        <f>IF(H24="","",IF(COUNTIFS('Content Calendar'!$H$5:$H$604,H24,'Content Calendar'!$G$5:$G$604,G24,'Content Calendar'!$B$5:$B$604,B24)&gt;1,"Duplicate","OK"))</f>
        <v>0</v>
      </c>
      <c r="AM24" s="29">
        <f>IF(H24="","",IF(AND(B24&lt;&gt;"",B24&lt;TODAY(),X24&lt;&gt;"Published",X24&lt;&gt;"Cancelled",X24&lt;&gt;"Archived"),"Overdue - date has passed",IF(AND(X24="Published",AB24=""),"Add - publish link missing",IF(AND(B24=TODAY(),X24&lt;&gt;"Published"),"Today - due to go live",IF(AND(Y24&lt;&gt;"",Y24&lt;TODAY(),OR(X24="Idea",X24="Brief",X24="In production")),"Late - draft not ready",IF(AND(AA24&gt;=0,AA24&lt;=3,OR(X24="Draft",X24="Awaiting review")),"Due - needs approval",IF(AND(H24&lt;&gt;"",P24=""),"Add - caption missing","OK")))))))</f>
        <v>0</v>
      </c>
      <c r="AN24" s="39" t="s">
        <v>205</v>
      </c>
    </row>
    <row r="25" spans="1:40">
      <c r="A25" s="41">
        <f>IF(H25="","",ContentPrefix&amp;TEXT(ROW()-4,"0000"))</f>
        <v>0</v>
      </c>
      <c r="B25" s="43">
        <v>46278</v>
      </c>
      <c r="C25" s="15" t="s">
        <v>638</v>
      </c>
      <c r="D25" s="17">
        <f>IF(B25="","",TEXT(B25,"yyyy-mm"))</f>
        <v>0</v>
      </c>
      <c r="E25" s="23">
        <f>IF(B25="","",WEEKNUM(B25,IF(WeekStart="Sunday",1,2)))</f>
        <v>0</v>
      </c>
      <c r="F25" s="17">
        <f>IF(B25="","",TEXT(B25,"ddd"))</f>
        <v>0</v>
      </c>
      <c r="G25" s="15" t="s">
        <v>377</v>
      </c>
      <c r="H25" s="15" t="s">
        <v>1016</v>
      </c>
      <c r="I25" s="39" t="s">
        <v>1017</v>
      </c>
      <c r="J25" s="15" t="s">
        <v>462</v>
      </c>
      <c r="K25" s="15" t="s">
        <v>398</v>
      </c>
      <c r="L25" s="15" t="s">
        <v>1011</v>
      </c>
      <c r="M25" s="15" t="s">
        <v>430</v>
      </c>
      <c r="N25" s="15" t="s">
        <v>427</v>
      </c>
      <c r="O25" s="15" t="s">
        <v>858</v>
      </c>
      <c r="P25" s="15" t="s">
        <v>971</v>
      </c>
      <c r="Q25" s="29">
        <f>IF(H25="","",IF(P25="","Add - no caption",IFERROR(INDEX('Caption Bank'!$R$5:$R$204,MATCH(P25,'Caption Bank'!$B$5:$B$204,0)),"Check - not in bank")))</f>
        <v>0</v>
      </c>
      <c r="R25" s="15" t="s">
        <v>927</v>
      </c>
      <c r="S25" s="23">
        <f>IF(R25="","",COUNTIF('Hashtag Bank'!$D$5:$D$304,R25))</f>
        <v>0</v>
      </c>
      <c r="T25" s="15" t="s">
        <v>962</v>
      </c>
      <c r="U25" s="29">
        <f>IF(H25="","",IF(T25="","Add - no asset",IFERROR(INDEX(Assets!$N$5:$N$254,MATCH(T25,Assets!$A$5:$A$254,0)),"Check - not in library")))</f>
        <v>0</v>
      </c>
      <c r="V25" s="15" t="s">
        <v>441</v>
      </c>
      <c r="W25" s="15" t="s">
        <v>281</v>
      </c>
      <c r="X25" s="48" t="s">
        <v>138</v>
      </c>
      <c r="Y25" s="16">
        <f>IF(B25="","",B25-ProductionDays)</f>
        <v>0</v>
      </c>
      <c r="Z25" s="16">
        <f>IF(B25="","",B25-ApprovalDays)</f>
        <v>0</v>
      </c>
      <c r="AA25" s="23">
        <f>IF(B25="","",B25-TODAY())</f>
        <v>0</v>
      </c>
      <c r="AB25" s="42" t="s">
        <v>1018</v>
      </c>
      <c r="AC25" s="29">
        <f>IF(H25="","",IF(X25="Published",IF(AB25="","Add - link missing","Yes"),"No"))</f>
        <v>0</v>
      </c>
      <c r="AD25" s="23">
        <f>IF(A25="","",IF(COUNTIF(Performance!$B$5:$B$404,A25)=0,"",SUMIFS(Performance!$O$5:$O$404,Performance!$B$5:$B$404,A25)))</f>
        <v>0</v>
      </c>
      <c r="AE25" s="23">
        <f>IF(AD25="","",SUMIFS(Performance!$Z$5:$Z$404,Performance!$B$5:$B$404,A25))</f>
        <v>0</v>
      </c>
      <c r="AF25" s="24">
        <f>IF(OR(AD25="",AD25=0),"",AE25/AD25)</f>
        <v>0</v>
      </c>
      <c r="AG25" s="23">
        <f>IF(AD25="","",SUMIFS(Performance!$U$5:$U$404,Performance!$B$5:$B$404,A25))</f>
        <v>0</v>
      </c>
      <c r="AH25" s="23">
        <f>IF(A25="","",COUNTIF(Repurposing!$B$5:$B$154,A25))</f>
        <v>0</v>
      </c>
      <c r="AI25" s="32">
        <f>IF(OR(H25="",B25=""),"",B25+ROW()/100000)</f>
        <v>0</v>
      </c>
      <c r="AJ25" s="32">
        <f>IF(OR(H25="",B25=""),"",IF(OR(X25="Published",X25="Cancelled",X25="Archived"),"",IF(B25&lt;TODAY(),"",B25+ROW()/100000)))</f>
        <v>0</v>
      </c>
      <c r="AK25" s="32">
        <f>IF(OR(H25="",B25=""),"",IF(OR(X25="Published",X25="Cancelled",X25="Archived"),"",IF(B25&gt;=TODAY(),"",B25+ROW()/100000)))</f>
        <v>0</v>
      </c>
      <c r="AL25" s="29">
        <f>IF(H25="","",IF(COUNTIFS('Content Calendar'!$H$5:$H$604,H25,'Content Calendar'!$G$5:$G$604,G25,'Content Calendar'!$B$5:$B$604,B25)&gt;1,"Duplicate","OK"))</f>
        <v>0</v>
      </c>
      <c r="AM25" s="29">
        <f>IF(H25="","",IF(AND(B25&lt;&gt;"",B25&lt;TODAY(),X25&lt;&gt;"Published",X25&lt;&gt;"Cancelled",X25&lt;&gt;"Archived"),"Overdue - date has passed",IF(AND(X25="Published",AB25=""),"Add - publish link missing",IF(AND(B25=TODAY(),X25&lt;&gt;"Published"),"Today - due to go live",IF(AND(Y25&lt;&gt;"",Y25&lt;TODAY(),OR(X25="Idea",X25="Brief",X25="In production")),"Late - draft not ready",IF(AND(AA25&gt;=0,AA25&lt;=3,OR(X25="Draft",X25="Awaiting review")),"Due - needs approval",IF(AND(H25&lt;&gt;"",P25=""),"Add - caption missing","OK")))))))</f>
        <v>0</v>
      </c>
      <c r="AN25" s="39" t="s">
        <v>205</v>
      </c>
    </row>
    <row r="26" spans="1:40">
      <c r="A26" s="41">
        <f>IF(H26="","",ContentPrefix&amp;TEXT(ROW()-4,"0000"))</f>
        <v>0</v>
      </c>
      <c r="B26" s="43">
        <v>46279</v>
      </c>
      <c r="C26" s="15" t="s">
        <v>635</v>
      </c>
      <c r="D26" s="17">
        <f>IF(B26="","",TEXT(B26,"yyyy-mm"))</f>
        <v>0</v>
      </c>
      <c r="E26" s="23">
        <f>IF(B26="","",WEEKNUM(B26,IF(WeekStart="Sunday",1,2)))</f>
        <v>0</v>
      </c>
      <c r="F26" s="17">
        <f>IF(B26="","",TEXT(B26,"ddd"))</f>
        <v>0</v>
      </c>
      <c r="G26" s="15" t="s">
        <v>376</v>
      </c>
      <c r="H26" s="15" t="s">
        <v>1019</v>
      </c>
      <c r="I26" s="39" t="s">
        <v>1020</v>
      </c>
      <c r="J26" s="15" t="s">
        <v>894</v>
      </c>
      <c r="K26" s="15" t="s">
        <v>396</v>
      </c>
      <c r="L26" s="15" t="s">
        <v>1011</v>
      </c>
      <c r="M26" s="15" t="s">
        <v>430</v>
      </c>
      <c r="N26" s="15" t="s">
        <v>427</v>
      </c>
      <c r="O26" s="15" t="s">
        <v>834</v>
      </c>
      <c r="P26" s="15" t="s">
        <v>976</v>
      </c>
      <c r="Q26" s="29">
        <f>IF(H26="","",IF(P26="","Add - no caption",IFERROR(INDEX('Caption Bank'!$R$5:$R$204,MATCH(P26,'Caption Bank'!$B$5:$B$204,0)),"Check - not in bank")))</f>
        <v>0</v>
      </c>
      <c r="R26" s="15" t="s">
        <v>933</v>
      </c>
      <c r="S26" s="23">
        <f>IF(R26="","",COUNTIF('Hashtag Bank'!$D$5:$D$304,R26))</f>
        <v>0</v>
      </c>
      <c r="T26" s="15" t="s">
        <v>967</v>
      </c>
      <c r="U26" s="29">
        <f>IF(H26="","",IF(T26="","Add - no asset",IFERROR(INDEX(Assets!$N$5:$N$254,MATCH(T26,Assets!$A$5:$A$254,0)),"Check - not in library")))</f>
        <v>0</v>
      </c>
      <c r="V26" s="15" t="s">
        <v>448</v>
      </c>
      <c r="W26" s="15" t="s">
        <v>797</v>
      </c>
      <c r="X26" s="48" t="s">
        <v>138</v>
      </c>
      <c r="Y26" s="16">
        <f>IF(B26="","",B26-ProductionDays)</f>
        <v>0</v>
      </c>
      <c r="Z26" s="16">
        <f>IF(B26="","",B26-ApprovalDays)</f>
        <v>0</v>
      </c>
      <c r="AA26" s="23">
        <f>IF(B26="","",B26-TODAY())</f>
        <v>0</v>
      </c>
      <c r="AB26" s="42" t="s">
        <v>1021</v>
      </c>
      <c r="AC26" s="29">
        <f>IF(H26="","",IF(X26="Published",IF(AB26="","Add - link missing","Yes"),"No"))</f>
        <v>0</v>
      </c>
      <c r="AD26" s="23">
        <f>IF(A26="","",IF(COUNTIF(Performance!$B$5:$B$404,A26)=0,"",SUMIFS(Performance!$O$5:$O$404,Performance!$B$5:$B$404,A26)))</f>
        <v>0</v>
      </c>
      <c r="AE26" s="23">
        <f>IF(AD26="","",SUMIFS(Performance!$Z$5:$Z$404,Performance!$B$5:$B$404,A26))</f>
        <v>0</v>
      </c>
      <c r="AF26" s="24">
        <f>IF(OR(AD26="",AD26=0),"",AE26/AD26)</f>
        <v>0</v>
      </c>
      <c r="AG26" s="23">
        <f>IF(AD26="","",SUMIFS(Performance!$U$5:$U$404,Performance!$B$5:$B$404,A26))</f>
        <v>0</v>
      </c>
      <c r="AH26" s="23">
        <f>IF(A26="","",COUNTIF(Repurposing!$B$5:$B$154,A26))</f>
        <v>0</v>
      </c>
      <c r="AI26" s="32">
        <f>IF(OR(H26="",B26=""),"",B26+ROW()/100000)</f>
        <v>0</v>
      </c>
      <c r="AJ26" s="32">
        <f>IF(OR(H26="",B26=""),"",IF(OR(X26="Published",X26="Cancelled",X26="Archived"),"",IF(B26&lt;TODAY(),"",B26+ROW()/100000)))</f>
        <v>0</v>
      </c>
      <c r="AK26" s="32">
        <f>IF(OR(H26="",B26=""),"",IF(OR(X26="Published",X26="Cancelled",X26="Archived"),"",IF(B26&gt;=TODAY(),"",B26+ROW()/100000)))</f>
        <v>0</v>
      </c>
      <c r="AL26" s="29">
        <f>IF(H26="","",IF(COUNTIFS('Content Calendar'!$H$5:$H$604,H26,'Content Calendar'!$G$5:$G$604,G26,'Content Calendar'!$B$5:$B$604,B26)&gt;1,"Duplicate","OK"))</f>
        <v>0</v>
      </c>
      <c r="AM26" s="29">
        <f>IF(H26="","",IF(AND(B26&lt;&gt;"",B26&lt;TODAY(),X26&lt;&gt;"Published",X26&lt;&gt;"Cancelled",X26&lt;&gt;"Archived"),"Overdue - date has passed",IF(AND(X26="Published",AB26=""),"Add - publish link missing",IF(AND(B26=TODAY(),X26&lt;&gt;"Published"),"Today - due to go live",IF(AND(Y26&lt;&gt;"",Y26&lt;TODAY(),OR(X26="Idea",X26="Brief",X26="In production")),"Late - draft not ready",IF(AND(AA26&gt;=0,AA26&lt;=3,OR(X26="Draft",X26="Awaiting review")),"Due - needs approval",IF(AND(H26&lt;&gt;"",P26=""),"Add - caption missing","OK")))))))</f>
        <v>0</v>
      </c>
      <c r="AN26" s="39" t="s">
        <v>205</v>
      </c>
    </row>
    <row r="27" spans="1:40">
      <c r="A27" s="41">
        <f>IF(H27="","",ContentPrefix&amp;TEXT(ROW()-4,"0000"))</f>
        <v>0</v>
      </c>
      <c r="B27" s="43">
        <v>46281</v>
      </c>
      <c r="C27" s="15" t="s">
        <v>636</v>
      </c>
      <c r="D27" s="17">
        <f>IF(B27="","",TEXT(B27,"yyyy-mm"))</f>
        <v>0</v>
      </c>
      <c r="E27" s="23">
        <f>IF(B27="","",WEEKNUM(B27,IF(WeekStart="Sunday",1,2)))</f>
        <v>0</v>
      </c>
      <c r="F27" s="17">
        <f>IF(B27="","",TEXT(B27,"ddd"))</f>
        <v>0</v>
      </c>
      <c r="G27" s="15" t="s">
        <v>378</v>
      </c>
      <c r="H27" s="15" t="s">
        <v>1022</v>
      </c>
      <c r="I27" s="39" t="s">
        <v>1023</v>
      </c>
      <c r="J27" s="15" t="s">
        <v>878</v>
      </c>
      <c r="K27" s="15" t="s">
        <v>408</v>
      </c>
      <c r="L27" s="15" t="s">
        <v>1011</v>
      </c>
      <c r="M27" s="15" t="s">
        <v>432</v>
      </c>
      <c r="N27" s="15" t="s">
        <v>435</v>
      </c>
      <c r="O27" s="15" t="s">
        <v>849</v>
      </c>
      <c r="P27" s="15" t="s">
        <v>981</v>
      </c>
      <c r="Q27" s="29">
        <f>IF(H27="","",IF(P27="","Add - no caption",IFERROR(INDEX('Caption Bank'!$R$5:$R$204,MATCH(P27,'Caption Bank'!$B$5:$B$204,0)),"Check - not in bank")))</f>
        <v>0</v>
      </c>
      <c r="R27" s="15" t="s">
        <v>939</v>
      </c>
      <c r="S27" s="23">
        <f>IF(R27="","",COUNTIF('Hashtag Bank'!$D$5:$D$304,R27))</f>
        <v>0</v>
      </c>
      <c r="T27" s="15" t="s">
        <v>972</v>
      </c>
      <c r="U27" s="29">
        <f>IF(H27="","",IF(T27="","Add - no asset",IFERROR(INDEX(Assets!$N$5:$N$254,MATCH(T27,Assets!$A$5:$A$254,0)),"Check - not in library")))</f>
        <v>0</v>
      </c>
      <c r="V27" s="15" t="s">
        <v>439</v>
      </c>
      <c r="W27" s="15" t="s">
        <v>801</v>
      </c>
      <c r="X27" s="48" t="s">
        <v>138</v>
      </c>
      <c r="Y27" s="16">
        <f>IF(B27="","",B27-ProductionDays)</f>
        <v>0</v>
      </c>
      <c r="Z27" s="16">
        <f>IF(B27="","",B27-ApprovalDays)</f>
        <v>0</v>
      </c>
      <c r="AA27" s="23">
        <f>IF(B27="","",B27-TODAY())</f>
        <v>0</v>
      </c>
      <c r="AB27" s="42" t="s">
        <v>1024</v>
      </c>
      <c r="AC27" s="29">
        <f>IF(H27="","",IF(X27="Published",IF(AB27="","Add - link missing","Yes"),"No"))</f>
        <v>0</v>
      </c>
      <c r="AD27" s="23">
        <f>IF(A27="","",IF(COUNTIF(Performance!$B$5:$B$404,A27)=0,"",SUMIFS(Performance!$O$5:$O$404,Performance!$B$5:$B$404,A27)))</f>
        <v>0</v>
      </c>
      <c r="AE27" s="23">
        <f>IF(AD27="","",SUMIFS(Performance!$Z$5:$Z$404,Performance!$B$5:$B$404,A27))</f>
        <v>0</v>
      </c>
      <c r="AF27" s="24">
        <f>IF(OR(AD27="",AD27=0),"",AE27/AD27)</f>
        <v>0</v>
      </c>
      <c r="AG27" s="23">
        <f>IF(AD27="","",SUMIFS(Performance!$U$5:$U$404,Performance!$B$5:$B$404,A27))</f>
        <v>0</v>
      </c>
      <c r="AH27" s="23">
        <f>IF(A27="","",COUNTIF(Repurposing!$B$5:$B$154,A27))</f>
        <v>0</v>
      </c>
      <c r="AI27" s="32">
        <f>IF(OR(H27="",B27=""),"",B27+ROW()/100000)</f>
        <v>0</v>
      </c>
      <c r="AJ27" s="32">
        <f>IF(OR(H27="",B27=""),"",IF(OR(X27="Published",X27="Cancelled",X27="Archived"),"",IF(B27&lt;TODAY(),"",B27+ROW()/100000)))</f>
        <v>0</v>
      </c>
      <c r="AK27" s="32">
        <f>IF(OR(H27="",B27=""),"",IF(OR(X27="Published",X27="Cancelled",X27="Archived"),"",IF(B27&gt;=TODAY(),"",B27+ROW()/100000)))</f>
        <v>0</v>
      </c>
      <c r="AL27" s="29">
        <f>IF(H27="","",IF(COUNTIFS('Content Calendar'!$H$5:$H$604,H27,'Content Calendar'!$G$5:$G$604,G27,'Content Calendar'!$B$5:$B$604,B27)&gt;1,"Duplicate","OK"))</f>
        <v>0</v>
      </c>
      <c r="AM27" s="29">
        <f>IF(H27="","",IF(AND(B27&lt;&gt;"",B27&lt;TODAY(),X27&lt;&gt;"Published",X27&lt;&gt;"Cancelled",X27&lt;&gt;"Archived"),"Overdue - date has passed",IF(AND(X27="Published",AB27=""),"Add - publish link missing",IF(AND(B27=TODAY(),X27&lt;&gt;"Published"),"Today - due to go live",IF(AND(Y27&lt;&gt;"",Y27&lt;TODAY(),OR(X27="Idea",X27="Brief",X27="In production")),"Late - draft not ready",IF(AND(AA27&gt;=0,AA27&lt;=3,OR(X27="Draft",X27="Awaiting review")),"Due - needs approval",IF(AND(H27&lt;&gt;"",P27=""),"Add - caption missing","OK")))))))</f>
        <v>0</v>
      </c>
      <c r="AN27" s="39" t="s">
        <v>205</v>
      </c>
    </row>
    <row r="28" spans="1:40">
      <c r="A28" s="41">
        <f>IF(H28="","",ContentPrefix&amp;TEXT(ROW()-4,"0000"))</f>
        <v>0</v>
      </c>
      <c r="B28" s="43">
        <v>46282</v>
      </c>
      <c r="C28" s="15" t="s">
        <v>635</v>
      </c>
      <c r="D28" s="17">
        <f>IF(B28="","",TEXT(B28,"yyyy-mm"))</f>
        <v>0</v>
      </c>
      <c r="E28" s="23">
        <f>IF(B28="","",WEEKNUM(B28,IF(WeekStart="Sunday",1,2)))</f>
        <v>0</v>
      </c>
      <c r="F28" s="17">
        <f>IF(B28="","",TEXT(B28,"ddd"))</f>
        <v>0</v>
      </c>
      <c r="G28" s="15" t="s">
        <v>376</v>
      </c>
      <c r="H28" s="15" t="s">
        <v>1025</v>
      </c>
      <c r="I28" s="39" t="s">
        <v>1026</v>
      </c>
      <c r="J28" s="15" t="s">
        <v>878</v>
      </c>
      <c r="K28" s="15" t="s">
        <v>398</v>
      </c>
      <c r="L28" s="15" t="s">
        <v>1011</v>
      </c>
      <c r="M28" s="15" t="s">
        <v>432</v>
      </c>
      <c r="N28" s="15" t="s">
        <v>435</v>
      </c>
      <c r="O28" s="15" t="s">
        <v>858</v>
      </c>
      <c r="P28" s="15" t="s">
        <v>986</v>
      </c>
      <c r="Q28" s="29">
        <f>IF(H28="","",IF(P28="","Add - no caption",IFERROR(INDEX('Caption Bank'!$R$5:$R$204,MATCH(P28,'Caption Bank'!$B$5:$B$204,0)),"Check - not in bank")))</f>
        <v>0</v>
      </c>
      <c r="R28" s="15" t="s">
        <v>945</v>
      </c>
      <c r="S28" s="23">
        <f>IF(R28="","",COUNTIF('Hashtag Bank'!$D$5:$D$304,R28))</f>
        <v>0</v>
      </c>
      <c r="T28" s="15" t="s">
        <v>977</v>
      </c>
      <c r="U28" s="29">
        <f>IF(H28="","",IF(T28="","Add - no asset",IFERROR(INDEX(Assets!$N$5:$N$254,MATCH(T28,Assets!$A$5:$A$254,0)),"Check - not in library")))</f>
        <v>0</v>
      </c>
      <c r="V28" s="15" t="s">
        <v>439</v>
      </c>
      <c r="W28" s="15" t="s">
        <v>804</v>
      </c>
      <c r="X28" s="48" t="s">
        <v>138</v>
      </c>
      <c r="Y28" s="16">
        <f>IF(B28="","",B28-ProductionDays)</f>
        <v>0</v>
      </c>
      <c r="Z28" s="16">
        <f>IF(B28="","",B28-ApprovalDays)</f>
        <v>0</v>
      </c>
      <c r="AA28" s="23">
        <f>IF(B28="","",B28-TODAY())</f>
        <v>0</v>
      </c>
      <c r="AB28" s="42" t="s">
        <v>1027</v>
      </c>
      <c r="AC28" s="29">
        <f>IF(H28="","",IF(X28="Published",IF(AB28="","Add - link missing","Yes"),"No"))</f>
        <v>0</v>
      </c>
      <c r="AD28" s="23">
        <f>IF(A28="","",IF(COUNTIF(Performance!$B$5:$B$404,A28)=0,"",SUMIFS(Performance!$O$5:$O$404,Performance!$B$5:$B$404,A28)))</f>
        <v>0</v>
      </c>
      <c r="AE28" s="23">
        <f>IF(AD28="","",SUMIFS(Performance!$Z$5:$Z$404,Performance!$B$5:$B$404,A28))</f>
        <v>0</v>
      </c>
      <c r="AF28" s="24">
        <f>IF(OR(AD28="",AD28=0),"",AE28/AD28)</f>
        <v>0</v>
      </c>
      <c r="AG28" s="23">
        <f>IF(AD28="","",SUMIFS(Performance!$U$5:$U$404,Performance!$B$5:$B$404,A28))</f>
        <v>0</v>
      </c>
      <c r="AH28" s="23">
        <f>IF(A28="","",COUNTIF(Repurposing!$B$5:$B$154,A28))</f>
        <v>0</v>
      </c>
      <c r="AI28" s="32">
        <f>IF(OR(H28="",B28=""),"",B28+ROW()/100000)</f>
        <v>0</v>
      </c>
      <c r="AJ28" s="32">
        <f>IF(OR(H28="",B28=""),"",IF(OR(X28="Published",X28="Cancelled",X28="Archived"),"",IF(B28&lt;TODAY(),"",B28+ROW()/100000)))</f>
        <v>0</v>
      </c>
      <c r="AK28" s="32">
        <f>IF(OR(H28="",B28=""),"",IF(OR(X28="Published",X28="Cancelled",X28="Archived"),"",IF(B28&gt;=TODAY(),"",B28+ROW()/100000)))</f>
        <v>0</v>
      </c>
      <c r="AL28" s="29">
        <f>IF(H28="","",IF(COUNTIFS('Content Calendar'!$H$5:$H$604,H28,'Content Calendar'!$G$5:$G$604,G28,'Content Calendar'!$B$5:$B$604,B28)&gt;1,"Duplicate","OK"))</f>
        <v>0</v>
      </c>
      <c r="AM28" s="29">
        <f>IF(H28="","",IF(AND(B28&lt;&gt;"",B28&lt;TODAY(),X28&lt;&gt;"Published",X28&lt;&gt;"Cancelled",X28&lt;&gt;"Archived"),"Overdue - date has passed",IF(AND(X28="Published",AB28=""),"Add - publish link missing",IF(AND(B28=TODAY(),X28&lt;&gt;"Published"),"Today - due to go live",IF(AND(Y28&lt;&gt;"",Y28&lt;TODAY(),OR(X28="Idea",X28="Brief",X28="In production")),"Late - draft not ready",IF(AND(AA28&gt;=0,AA28&lt;=3,OR(X28="Draft",X28="Awaiting review")),"Due - needs approval",IF(AND(H28&lt;&gt;"",P28=""),"Add - caption missing","OK")))))))</f>
        <v>0</v>
      </c>
      <c r="AN28" s="39" t="s">
        <v>205</v>
      </c>
    </row>
    <row r="29" spans="1:40">
      <c r="A29" s="41">
        <f>IF(H29="","",ContentPrefix&amp;TEXT(ROW()-4,"0000"))</f>
        <v>0</v>
      </c>
      <c r="B29" s="43">
        <v>46283</v>
      </c>
      <c r="C29" s="15" t="s">
        <v>637</v>
      </c>
      <c r="D29" s="17">
        <f>IF(B29="","",TEXT(B29,"yyyy-mm"))</f>
        <v>0</v>
      </c>
      <c r="E29" s="23">
        <f>IF(B29="","",WEEKNUM(B29,IF(WeekStart="Sunday",1,2)))</f>
        <v>0</v>
      </c>
      <c r="F29" s="17">
        <f>IF(B29="","",TEXT(B29,"ddd"))</f>
        <v>0</v>
      </c>
      <c r="G29" s="15" t="s">
        <v>379</v>
      </c>
      <c r="H29" s="15" t="s">
        <v>1028</v>
      </c>
      <c r="I29" s="39" t="s">
        <v>1029</v>
      </c>
      <c r="J29" s="15" t="s">
        <v>462</v>
      </c>
      <c r="K29" s="15" t="s">
        <v>401</v>
      </c>
      <c r="L29" s="15" t="s">
        <v>1011</v>
      </c>
      <c r="M29" s="15" t="s">
        <v>430</v>
      </c>
      <c r="N29" s="15" t="s">
        <v>427</v>
      </c>
      <c r="O29" s="15" t="s">
        <v>834</v>
      </c>
      <c r="P29" s="15" t="s">
        <v>926</v>
      </c>
      <c r="Q29" s="29">
        <f>IF(H29="","",IF(P29="","Add - no caption",IFERROR(INDEX('Caption Bank'!$R$5:$R$204,MATCH(P29,'Caption Bank'!$B$5:$B$204,0)),"Check - not in bank")))</f>
        <v>0</v>
      </c>
      <c r="R29" s="15" t="s">
        <v>927</v>
      </c>
      <c r="S29" s="23">
        <f>IF(R29="","",COUNTIF('Hashtag Bank'!$D$5:$D$304,R29))</f>
        <v>0</v>
      </c>
      <c r="T29" s="15" t="s">
        <v>982</v>
      </c>
      <c r="U29" s="29">
        <f>IF(H29="","",IF(T29="","Add - no asset",IFERROR(INDEX(Assets!$N$5:$N$254,MATCH(T29,Assets!$A$5:$A$254,0)),"Check - not in library")))</f>
        <v>0</v>
      </c>
      <c r="V29" s="15" t="s">
        <v>441</v>
      </c>
      <c r="W29" s="15" t="s">
        <v>281</v>
      </c>
      <c r="X29" s="48" t="s">
        <v>138</v>
      </c>
      <c r="Y29" s="16">
        <f>IF(B29="","",B29-ProductionDays)</f>
        <v>0</v>
      </c>
      <c r="Z29" s="16">
        <f>IF(B29="","",B29-ApprovalDays)</f>
        <v>0</v>
      </c>
      <c r="AA29" s="23">
        <f>IF(B29="","",B29-TODAY())</f>
        <v>0</v>
      </c>
      <c r="AB29" s="42" t="s">
        <v>1030</v>
      </c>
      <c r="AC29" s="29">
        <f>IF(H29="","",IF(X29="Published",IF(AB29="","Add - link missing","Yes"),"No"))</f>
        <v>0</v>
      </c>
      <c r="AD29" s="23">
        <f>IF(A29="","",IF(COUNTIF(Performance!$B$5:$B$404,A29)=0,"",SUMIFS(Performance!$O$5:$O$404,Performance!$B$5:$B$404,A29)))</f>
        <v>0</v>
      </c>
      <c r="AE29" s="23">
        <f>IF(AD29="","",SUMIFS(Performance!$Z$5:$Z$404,Performance!$B$5:$B$404,A29))</f>
        <v>0</v>
      </c>
      <c r="AF29" s="24">
        <f>IF(OR(AD29="",AD29=0),"",AE29/AD29)</f>
        <v>0</v>
      </c>
      <c r="AG29" s="23">
        <f>IF(AD29="","",SUMIFS(Performance!$U$5:$U$404,Performance!$B$5:$B$404,A29))</f>
        <v>0</v>
      </c>
      <c r="AH29" s="23">
        <f>IF(A29="","",COUNTIF(Repurposing!$B$5:$B$154,A29))</f>
        <v>0</v>
      </c>
      <c r="AI29" s="32">
        <f>IF(OR(H29="",B29=""),"",B29+ROW()/100000)</f>
        <v>0</v>
      </c>
      <c r="AJ29" s="32">
        <f>IF(OR(H29="",B29=""),"",IF(OR(X29="Published",X29="Cancelled",X29="Archived"),"",IF(B29&lt;TODAY(),"",B29+ROW()/100000)))</f>
        <v>0</v>
      </c>
      <c r="AK29" s="32">
        <f>IF(OR(H29="",B29=""),"",IF(OR(X29="Published",X29="Cancelled",X29="Archived"),"",IF(B29&gt;=TODAY(),"",B29+ROW()/100000)))</f>
        <v>0</v>
      </c>
      <c r="AL29" s="29">
        <f>IF(H29="","",IF(COUNTIFS('Content Calendar'!$H$5:$H$604,H29,'Content Calendar'!$G$5:$G$604,G29,'Content Calendar'!$B$5:$B$604,B29)&gt;1,"Duplicate","OK"))</f>
        <v>0</v>
      </c>
      <c r="AM29" s="29">
        <f>IF(H29="","",IF(AND(B29&lt;&gt;"",B29&lt;TODAY(),X29&lt;&gt;"Published",X29&lt;&gt;"Cancelled",X29&lt;&gt;"Archived"),"Overdue - date has passed",IF(AND(X29="Published",AB29=""),"Add - publish link missing",IF(AND(B29=TODAY(),X29&lt;&gt;"Published"),"Today - due to go live",IF(AND(Y29&lt;&gt;"",Y29&lt;TODAY(),OR(X29="Idea",X29="Brief",X29="In production")),"Late - draft not ready",IF(AND(AA29&gt;=0,AA29&lt;=3,OR(X29="Draft",X29="Awaiting review")),"Due - needs approval",IF(AND(H29&lt;&gt;"",P29=""),"Add - caption missing","OK")))))))</f>
        <v>0</v>
      </c>
      <c r="AN29" s="39" t="s">
        <v>948</v>
      </c>
    </row>
    <row r="30" spans="1:40">
      <c r="A30" s="41">
        <f>IF(H30="","",ContentPrefix&amp;TEXT(ROW()-4,"0000"))</f>
        <v>0</v>
      </c>
      <c r="B30" s="43">
        <v>46285</v>
      </c>
      <c r="C30" s="15" t="s">
        <v>635</v>
      </c>
      <c r="D30" s="17">
        <f>IF(B30="","",TEXT(B30,"yyyy-mm"))</f>
        <v>0</v>
      </c>
      <c r="E30" s="23">
        <f>IF(B30="","",WEEKNUM(B30,IF(WeekStart="Sunday",1,2)))</f>
        <v>0</v>
      </c>
      <c r="F30" s="17">
        <f>IF(B30="","",TEXT(B30,"ddd"))</f>
        <v>0</v>
      </c>
      <c r="G30" s="15" t="s">
        <v>376</v>
      </c>
      <c r="H30" s="15" t="s">
        <v>1031</v>
      </c>
      <c r="I30" s="39" t="s">
        <v>1032</v>
      </c>
      <c r="J30" s="15" t="s">
        <v>430</v>
      </c>
      <c r="K30" s="15" t="s">
        <v>397</v>
      </c>
      <c r="L30" s="15" t="s">
        <v>1011</v>
      </c>
      <c r="M30" s="15" t="s">
        <v>428</v>
      </c>
      <c r="N30" s="15" t="s">
        <v>431</v>
      </c>
      <c r="O30" s="15" t="s">
        <v>849</v>
      </c>
      <c r="P30" s="15" t="s">
        <v>932</v>
      </c>
      <c r="Q30" s="29">
        <f>IF(H30="","",IF(P30="","Add - no caption",IFERROR(INDEX('Caption Bank'!$R$5:$R$204,MATCH(P30,'Caption Bank'!$B$5:$B$204,0)),"Check - not in bank")))</f>
        <v>0</v>
      </c>
      <c r="R30" s="15" t="s">
        <v>933</v>
      </c>
      <c r="S30" s="23">
        <f>IF(R30="","",COUNTIF('Hashtag Bank'!$D$5:$D$304,R30))</f>
        <v>0</v>
      </c>
      <c r="T30" s="15" t="s">
        <v>987</v>
      </c>
      <c r="U30" s="29">
        <f>IF(H30="","",IF(T30="","Add - no asset",IFERROR(INDEX(Assets!$N$5:$N$254,MATCH(T30,Assets!$A$5:$A$254,0)),"Check - not in library")))</f>
        <v>0</v>
      </c>
      <c r="V30" s="15" t="s">
        <v>449</v>
      </c>
      <c r="W30" s="15" t="s">
        <v>797</v>
      </c>
      <c r="X30" s="48" t="s">
        <v>138</v>
      </c>
      <c r="Y30" s="16">
        <f>IF(B30="","",B30-ProductionDays)</f>
        <v>0</v>
      </c>
      <c r="Z30" s="16">
        <f>IF(B30="","",B30-ApprovalDays)</f>
        <v>0</v>
      </c>
      <c r="AA30" s="23">
        <f>IF(B30="","",B30-TODAY())</f>
        <v>0</v>
      </c>
      <c r="AB30" s="42" t="s">
        <v>1033</v>
      </c>
      <c r="AC30" s="29">
        <f>IF(H30="","",IF(X30="Published",IF(AB30="","Add - link missing","Yes"),"No"))</f>
        <v>0</v>
      </c>
      <c r="AD30" s="23">
        <f>IF(A30="","",IF(COUNTIF(Performance!$B$5:$B$404,A30)=0,"",SUMIFS(Performance!$O$5:$O$404,Performance!$B$5:$B$404,A30)))</f>
        <v>0</v>
      </c>
      <c r="AE30" s="23">
        <f>IF(AD30="","",SUMIFS(Performance!$Z$5:$Z$404,Performance!$B$5:$B$404,A30))</f>
        <v>0</v>
      </c>
      <c r="AF30" s="24">
        <f>IF(OR(AD30="",AD30=0),"",AE30/AD30)</f>
        <v>0</v>
      </c>
      <c r="AG30" s="23">
        <f>IF(AD30="","",SUMIFS(Performance!$U$5:$U$404,Performance!$B$5:$B$404,A30))</f>
        <v>0</v>
      </c>
      <c r="AH30" s="23">
        <f>IF(A30="","",COUNTIF(Repurposing!$B$5:$B$154,A30))</f>
        <v>0</v>
      </c>
      <c r="AI30" s="32">
        <f>IF(OR(H30="",B30=""),"",B30+ROW()/100000)</f>
        <v>0</v>
      </c>
      <c r="AJ30" s="32">
        <f>IF(OR(H30="",B30=""),"",IF(OR(X30="Published",X30="Cancelled",X30="Archived"),"",IF(B30&lt;TODAY(),"",B30+ROW()/100000)))</f>
        <v>0</v>
      </c>
      <c r="AK30" s="32">
        <f>IF(OR(H30="",B30=""),"",IF(OR(X30="Published",X30="Cancelled",X30="Archived"),"",IF(B30&gt;=TODAY(),"",B30+ROW()/100000)))</f>
        <v>0</v>
      </c>
      <c r="AL30" s="29">
        <f>IF(H30="","",IF(COUNTIFS('Content Calendar'!$H$5:$H$604,H30,'Content Calendar'!$G$5:$G$604,G30,'Content Calendar'!$B$5:$B$604,B30)&gt;1,"Duplicate","OK"))</f>
        <v>0</v>
      </c>
      <c r="AM30" s="29">
        <f>IF(H30="","",IF(AND(B30&lt;&gt;"",B30&lt;TODAY(),X30&lt;&gt;"Published",X30&lt;&gt;"Cancelled",X30&lt;&gt;"Archived"),"Overdue - date has passed",IF(AND(X30="Published",AB30=""),"Add - publish link missing",IF(AND(B30=TODAY(),X30&lt;&gt;"Published"),"Today - due to go live",IF(AND(Y30&lt;&gt;"",Y30&lt;TODAY(),OR(X30="Idea",X30="Brief",X30="In production")),"Late - draft not ready",IF(AND(AA30&gt;=0,AA30&lt;=3,OR(X30="Draft",X30="Awaiting review")),"Due - needs approval",IF(AND(H30&lt;&gt;"",P30=""),"Add - caption missing","OK")))))))</f>
        <v>0</v>
      </c>
      <c r="AN30" s="39" t="s">
        <v>205</v>
      </c>
    </row>
    <row r="31" spans="1:40">
      <c r="A31" s="41">
        <f>IF(H31="","",ContentPrefix&amp;TEXT(ROW()-4,"0000"))</f>
        <v>0</v>
      </c>
      <c r="B31" s="43">
        <v>46286</v>
      </c>
      <c r="C31" s="15" t="s">
        <v>638</v>
      </c>
      <c r="D31" s="17">
        <f>IF(B31="","",TEXT(B31,"yyyy-mm"))</f>
        <v>0</v>
      </c>
      <c r="E31" s="23">
        <f>IF(B31="","",WEEKNUM(B31,IF(WeekStart="Sunday",1,2)))</f>
        <v>0</v>
      </c>
      <c r="F31" s="17">
        <f>IF(B31="","",TEXT(B31,"ddd"))</f>
        <v>0</v>
      </c>
      <c r="G31" s="15" t="s">
        <v>377</v>
      </c>
      <c r="H31" s="15" t="s">
        <v>1034</v>
      </c>
      <c r="I31" s="39" t="s">
        <v>1035</v>
      </c>
      <c r="J31" s="15" t="s">
        <v>881</v>
      </c>
      <c r="K31" s="15" t="s">
        <v>400</v>
      </c>
      <c r="L31" s="15" t="s">
        <v>1011</v>
      </c>
      <c r="M31" s="15" t="s">
        <v>427</v>
      </c>
      <c r="N31" s="15" t="s">
        <v>427</v>
      </c>
      <c r="O31" s="15" t="s">
        <v>858</v>
      </c>
      <c r="P31" s="15" t="s">
        <v>938</v>
      </c>
      <c r="Q31" s="29">
        <f>IF(H31="","",IF(P31="","Add - no caption",IFERROR(INDEX('Caption Bank'!$R$5:$R$204,MATCH(P31,'Caption Bank'!$B$5:$B$204,0)),"Check - not in bank")))</f>
        <v>0</v>
      </c>
      <c r="R31" s="15" t="s">
        <v>939</v>
      </c>
      <c r="S31" s="23">
        <f>IF(R31="","",COUNTIF('Hashtag Bank'!$D$5:$D$304,R31))</f>
        <v>0</v>
      </c>
      <c r="T31" s="15" t="s">
        <v>991</v>
      </c>
      <c r="U31" s="29">
        <f>IF(H31="","",IF(T31="","Add - no asset",IFERROR(INDEX(Assets!$N$5:$N$254,MATCH(T31,Assets!$A$5:$A$254,0)),"Check - not in library")))</f>
        <v>0</v>
      </c>
      <c r="V31" s="15" t="s">
        <v>438</v>
      </c>
      <c r="W31" s="15" t="s">
        <v>801</v>
      </c>
      <c r="X31" s="48" t="s">
        <v>138</v>
      </c>
      <c r="Y31" s="16">
        <f>IF(B31="","",B31-ProductionDays)</f>
        <v>0</v>
      </c>
      <c r="Z31" s="16">
        <f>IF(B31="","",B31-ApprovalDays)</f>
        <v>0</v>
      </c>
      <c r="AA31" s="23">
        <f>IF(B31="","",B31-TODAY())</f>
        <v>0</v>
      </c>
      <c r="AB31" s="42" t="s">
        <v>1036</v>
      </c>
      <c r="AC31" s="29">
        <f>IF(H31="","",IF(X31="Published",IF(AB31="","Add - link missing","Yes"),"No"))</f>
        <v>0</v>
      </c>
      <c r="AD31" s="23">
        <f>IF(A31="","",IF(COUNTIF(Performance!$B$5:$B$404,A31)=0,"",SUMIFS(Performance!$O$5:$O$404,Performance!$B$5:$B$404,A31)))</f>
        <v>0</v>
      </c>
      <c r="AE31" s="23">
        <f>IF(AD31="","",SUMIFS(Performance!$Z$5:$Z$404,Performance!$B$5:$B$404,A31))</f>
        <v>0</v>
      </c>
      <c r="AF31" s="24">
        <f>IF(OR(AD31="",AD31=0),"",AE31/AD31)</f>
        <v>0</v>
      </c>
      <c r="AG31" s="23">
        <f>IF(AD31="","",SUMIFS(Performance!$U$5:$U$404,Performance!$B$5:$B$404,A31))</f>
        <v>0</v>
      </c>
      <c r="AH31" s="23">
        <f>IF(A31="","",COUNTIF(Repurposing!$B$5:$B$154,A31))</f>
        <v>0</v>
      </c>
      <c r="AI31" s="32">
        <f>IF(OR(H31="",B31=""),"",B31+ROW()/100000)</f>
        <v>0</v>
      </c>
      <c r="AJ31" s="32">
        <f>IF(OR(H31="",B31=""),"",IF(OR(X31="Published",X31="Cancelled",X31="Archived"),"",IF(B31&lt;TODAY(),"",B31+ROW()/100000)))</f>
        <v>0</v>
      </c>
      <c r="AK31" s="32">
        <f>IF(OR(H31="",B31=""),"",IF(OR(X31="Published",X31="Cancelled",X31="Archived"),"",IF(B31&gt;=TODAY(),"",B31+ROW()/100000)))</f>
        <v>0</v>
      </c>
      <c r="AL31" s="29">
        <f>IF(H31="","",IF(COUNTIFS('Content Calendar'!$H$5:$H$604,H31,'Content Calendar'!$G$5:$G$604,G31,'Content Calendar'!$B$5:$B$604,B31)&gt;1,"Duplicate","OK"))</f>
        <v>0</v>
      </c>
      <c r="AM31" s="29">
        <f>IF(H31="","",IF(AND(B31&lt;&gt;"",B31&lt;TODAY(),X31&lt;&gt;"Published",X31&lt;&gt;"Cancelled",X31&lt;&gt;"Archived"),"Overdue - date has passed",IF(AND(X31="Published",AB31=""),"Add - publish link missing",IF(AND(B31=TODAY(),X31&lt;&gt;"Published"),"Today - due to go live",IF(AND(Y31&lt;&gt;"",Y31&lt;TODAY(),OR(X31="Idea",X31="Brief",X31="In production")),"Late - draft not ready",IF(AND(AA31&gt;=0,AA31&lt;=3,OR(X31="Draft",X31="Awaiting review")),"Due - needs approval",IF(AND(H31&lt;&gt;"",P31=""),"Add - caption missing","OK")))))))</f>
        <v>0</v>
      </c>
      <c r="AN31" s="39" t="s">
        <v>205</v>
      </c>
    </row>
    <row r="32" spans="1:40">
      <c r="A32" s="41">
        <f>IF(H32="","",ContentPrefix&amp;TEXT(ROW()-4,"0000"))</f>
        <v>0</v>
      </c>
      <c r="B32" s="43">
        <v>46287</v>
      </c>
      <c r="C32" s="15" t="s">
        <v>635</v>
      </c>
      <c r="D32" s="17">
        <f>IF(B32="","",TEXT(B32,"yyyy-mm"))</f>
        <v>0</v>
      </c>
      <c r="E32" s="23">
        <f>IF(B32="","",WEEKNUM(B32,IF(WeekStart="Sunday",1,2)))</f>
        <v>0</v>
      </c>
      <c r="F32" s="17">
        <f>IF(B32="","",TEXT(B32,"ddd"))</f>
        <v>0</v>
      </c>
      <c r="G32" s="15" t="s">
        <v>380</v>
      </c>
      <c r="H32" s="15" t="s">
        <v>1037</v>
      </c>
      <c r="I32" s="39" t="s">
        <v>1038</v>
      </c>
      <c r="J32" s="15" t="s">
        <v>888</v>
      </c>
      <c r="K32" s="15" t="s">
        <v>1039</v>
      </c>
      <c r="L32" s="15" t="s">
        <v>1011</v>
      </c>
      <c r="M32" s="15" t="s">
        <v>170</v>
      </c>
      <c r="N32" s="15" t="s">
        <v>436</v>
      </c>
      <c r="O32" s="15" t="s">
        <v>834</v>
      </c>
      <c r="P32" s="15" t="s">
        <v>944</v>
      </c>
      <c r="Q32" s="29">
        <f>IF(H32="","",IF(P32="","Add - no caption",IFERROR(INDEX('Caption Bank'!$R$5:$R$204,MATCH(P32,'Caption Bank'!$B$5:$B$204,0)),"Check - not in bank")))</f>
        <v>0</v>
      </c>
      <c r="R32" s="15" t="s">
        <v>945</v>
      </c>
      <c r="S32" s="23">
        <f>IF(R32="","",COUNTIF('Hashtag Bank'!$D$5:$D$304,R32))</f>
        <v>0</v>
      </c>
      <c r="T32" s="15" t="s">
        <v>995</v>
      </c>
      <c r="U32" s="29">
        <f>IF(H32="","",IF(T32="","Add - no asset",IFERROR(INDEX(Assets!$N$5:$N$254,MATCH(T32,Assets!$A$5:$A$254,0)),"Check - not in library")))</f>
        <v>0</v>
      </c>
      <c r="V32" s="15" t="s">
        <v>443</v>
      </c>
      <c r="W32" s="15" t="s">
        <v>804</v>
      </c>
      <c r="X32" s="48" t="s">
        <v>138</v>
      </c>
      <c r="Y32" s="16">
        <f>IF(B32="","",B32-ProductionDays)</f>
        <v>0</v>
      </c>
      <c r="Z32" s="16">
        <f>IF(B32="","",B32-ApprovalDays)</f>
        <v>0</v>
      </c>
      <c r="AA32" s="23">
        <f>IF(B32="","",B32-TODAY())</f>
        <v>0</v>
      </c>
      <c r="AB32" s="42" t="s">
        <v>1040</v>
      </c>
      <c r="AC32" s="29">
        <f>IF(H32="","",IF(X32="Published",IF(AB32="","Add - link missing","Yes"),"No"))</f>
        <v>0</v>
      </c>
      <c r="AD32" s="23">
        <f>IF(A32="","",IF(COUNTIF(Performance!$B$5:$B$404,A32)=0,"",SUMIFS(Performance!$O$5:$O$404,Performance!$B$5:$B$404,A32)))</f>
        <v>0</v>
      </c>
      <c r="AE32" s="23">
        <f>IF(AD32="","",SUMIFS(Performance!$Z$5:$Z$404,Performance!$B$5:$B$404,A32))</f>
        <v>0</v>
      </c>
      <c r="AF32" s="24">
        <f>IF(OR(AD32="",AD32=0),"",AE32/AD32)</f>
        <v>0</v>
      </c>
      <c r="AG32" s="23">
        <f>IF(AD32="","",SUMIFS(Performance!$U$5:$U$404,Performance!$B$5:$B$404,A32))</f>
        <v>0</v>
      </c>
      <c r="AH32" s="23">
        <f>IF(A32="","",COUNTIF(Repurposing!$B$5:$B$154,A32))</f>
        <v>0</v>
      </c>
      <c r="AI32" s="32">
        <f>IF(OR(H32="",B32=""),"",B32+ROW()/100000)</f>
        <v>0</v>
      </c>
      <c r="AJ32" s="32">
        <f>IF(OR(H32="",B32=""),"",IF(OR(X32="Published",X32="Cancelled",X32="Archived"),"",IF(B32&lt;TODAY(),"",B32+ROW()/100000)))</f>
        <v>0</v>
      </c>
      <c r="AK32" s="32">
        <f>IF(OR(H32="",B32=""),"",IF(OR(X32="Published",X32="Cancelled",X32="Archived"),"",IF(B32&gt;=TODAY(),"",B32+ROW()/100000)))</f>
        <v>0</v>
      </c>
      <c r="AL32" s="29">
        <f>IF(H32="","",IF(COUNTIFS('Content Calendar'!$H$5:$H$604,H32,'Content Calendar'!$G$5:$G$604,G32,'Content Calendar'!$B$5:$B$604,B32)&gt;1,"Duplicate","OK"))</f>
        <v>0</v>
      </c>
      <c r="AM32" s="29">
        <f>IF(H32="","",IF(AND(B32&lt;&gt;"",B32&lt;TODAY(),X32&lt;&gt;"Published",X32&lt;&gt;"Cancelled",X32&lt;&gt;"Archived"),"Overdue - date has passed",IF(AND(X32="Published",AB32=""),"Add - publish link missing",IF(AND(B32=TODAY(),X32&lt;&gt;"Published"),"Today - due to go live",IF(AND(Y32&lt;&gt;"",Y32&lt;TODAY(),OR(X32="Idea",X32="Brief",X32="In production")),"Late - draft not ready",IF(AND(AA32&gt;=0,AA32&lt;=3,OR(X32="Draft",X32="Awaiting review")),"Due - needs approval",IF(AND(H32&lt;&gt;"",P32=""),"Add - caption missing","OK")))))))</f>
        <v>0</v>
      </c>
      <c r="AN32" s="39" t="s">
        <v>205</v>
      </c>
    </row>
    <row r="33" spans="1:40">
      <c r="A33" s="41">
        <f>IF(H33="","",ContentPrefix&amp;TEXT(ROW()-4,"0000"))</f>
        <v>0</v>
      </c>
      <c r="B33" s="43">
        <v>46289</v>
      </c>
      <c r="C33" s="15" t="s">
        <v>635</v>
      </c>
      <c r="D33" s="17">
        <f>IF(B33="","",TEXT(B33,"yyyy-mm"))</f>
        <v>0</v>
      </c>
      <c r="E33" s="23">
        <f>IF(B33="","",WEEKNUM(B33,IF(WeekStart="Sunday",1,2)))</f>
        <v>0</v>
      </c>
      <c r="F33" s="17">
        <f>IF(B33="","",TEXT(B33,"ddd"))</f>
        <v>0</v>
      </c>
      <c r="G33" s="15" t="s">
        <v>376</v>
      </c>
      <c r="H33" s="15" t="s">
        <v>1041</v>
      </c>
      <c r="I33" s="39" t="s">
        <v>1042</v>
      </c>
      <c r="J33" s="15" t="s">
        <v>888</v>
      </c>
      <c r="K33" s="15" t="s">
        <v>398</v>
      </c>
      <c r="L33" s="15" t="s">
        <v>1011</v>
      </c>
      <c r="M33" s="15" t="s">
        <v>170</v>
      </c>
      <c r="N33" s="15" t="s">
        <v>436</v>
      </c>
      <c r="O33" s="15" t="s">
        <v>849</v>
      </c>
      <c r="P33" s="15" t="s">
        <v>951</v>
      </c>
      <c r="Q33" s="29">
        <f>IF(H33="","",IF(P33="","Add - no caption",IFERROR(INDEX('Caption Bank'!$R$5:$R$204,MATCH(P33,'Caption Bank'!$B$5:$B$204,0)),"Check - not in bank")))</f>
        <v>0</v>
      </c>
      <c r="R33" s="15" t="s">
        <v>927</v>
      </c>
      <c r="S33" s="23">
        <f>IF(R33="","",COUNTIF('Hashtag Bank'!$D$5:$D$304,R33))</f>
        <v>0</v>
      </c>
      <c r="T33" s="15" t="s">
        <v>928</v>
      </c>
      <c r="U33" s="29">
        <f>IF(H33="","",IF(T33="","Add - no asset",IFERROR(INDEX(Assets!$N$5:$N$254,MATCH(T33,Assets!$A$5:$A$254,0)),"Check - not in library")))</f>
        <v>0</v>
      </c>
      <c r="V33" s="15" t="s">
        <v>443</v>
      </c>
      <c r="W33" s="15" t="s">
        <v>281</v>
      </c>
      <c r="X33" s="48" t="s">
        <v>138</v>
      </c>
      <c r="Y33" s="16">
        <f>IF(B33="","",B33-ProductionDays)</f>
        <v>0</v>
      </c>
      <c r="Z33" s="16">
        <f>IF(B33="","",B33-ApprovalDays)</f>
        <v>0</v>
      </c>
      <c r="AA33" s="23">
        <f>IF(B33="","",B33-TODAY())</f>
        <v>0</v>
      </c>
      <c r="AB33" s="42" t="s">
        <v>1043</v>
      </c>
      <c r="AC33" s="29">
        <f>IF(H33="","",IF(X33="Published",IF(AB33="","Add - link missing","Yes"),"No"))</f>
        <v>0</v>
      </c>
      <c r="AD33" s="23">
        <f>IF(A33="","",IF(COUNTIF(Performance!$B$5:$B$404,A33)=0,"",SUMIFS(Performance!$O$5:$O$404,Performance!$B$5:$B$404,A33)))</f>
        <v>0</v>
      </c>
      <c r="AE33" s="23">
        <f>IF(AD33="","",SUMIFS(Performance!$Z$5:$Z$404,Performance!$B$5:$B$404,A33))</f>
        <v>0</v>
      </c>
      <c r="AF33" s="24">
        <f>IF(OR(AD33="",AD33=0),"",AE33/AD33)</f>
        <v>0</v>
      </c>
      <c r="AG33" s="23">
        <f>IF(AD33="","",SUMIFS(Performance!$U$5:$U$404,Performance!$B$5:$B$404,A33))</f>
        <v>0</v>
      </c>
      <c r="AH33" s="23">
        <f>IF(A33="","",COUNTIF(Repurposing!$B$5:$B$154,A33))</f>
        <v>0</v>
      </c>
      <c r="AI33" s="32">
        <f>IF(OR(H33="",B33=""),"",B33+ROW()/100000)</f>
        <v>0</v>
      </c>
      <c r="AJ33" s="32">
        <f>IF(OR(H33="",B33=""),"",IF(OR(X33="Published",X33="Cancelled",X33="Archived"),"",IF(B33&lt;TODAY(),"",B33+ROW()/100000)))</f>
        <v>0</v>
      </c>
      <c r="AK33" s="32">
        <f>IF(OR(H33="",B33=""),"",IF(OR(X33="Published",X33="Cancelled",X33="Archived"),"",IF(B33&gt;=TODAY(),"",B33+ROW()/100000)))</f>
        <v>0</v>
      </c>
      <c r="AL33" s="29">
        <f>IF(H33="","",IF(COUNTIFS('Content Calendar'!$H$5:$H$604,H33,'Content Calendar'!$G$5:$G$604,G33,'Content Calendar'!$B$5:$B$604,B33)&gt;1,"Duplicate","OK"))</f>
        <v>0</v>
      </c>
      <c r="AM33" s="29">
        <f>IF(H33="","",IF(AND(B33&lt;&gt;"",B33&lt;TODAY(),X33&lt;&gt;"Published",X33&lt;&gt;"Cancelled",X33&lt;&gt;"Archived"),"Overdue - date has passed",IF(AND(X33="Published",AB33=""),"Add - publish link missing",IF(AND(B33=TODAY(),X33&lt;&gt;"Published"),"Today - due to go live",IF(AND(Y33&lt;&gt;"",Y33&lt;TODAY(),OR(X33="Idea",X33="Brief",X33="In production")),"Late - draft not ready",IF(AND(AA33&gt;=0,AA33&lt;=3,OR(X33="Draft",X33="Awaiting review")),"Due - needs approval",IF(AND(H33&lt;&gt;"",P33=""),"Add - caption missing","OK")))))))</f>
        <v>0</v>
      </c>
      <c r="AN33" s="39" t="s">
        <v>205</v>
      </c>
    </row>
    <row r="34" spans="1:40">
      <c r="A34" s="41">
        <f>IF(H34="","",ContentPrefix&amp;TEXT(ROW()-4,"0000"))</f>
        <v>0</v>
      </c>
      <c r="B34" s="43">
        <v>46290</v>
      </c>
      <c r="C34" s="15" t="s">
        <v>636</v>
      </c>
      <c r="D34" s="17">
        <f>IF(B34="","",TEXT(B34,"yyyy-mm"))</f>
        <v>0</v>
      </c>
      <c r="E34" s="23">
        <f>IF(B34="","",WEEKNUM(B34,IF(WeekStart="Sunday",1,2)))</f>
        <v>0</v>
      </c>
      <c r="F34" s="17">
        <f>IF(B34="","",TEXT(B34,"ddd"))</f>
        <v>0</v>
      </c>
      <c r="G34" s="15" t="s">
        <v>378</v>
      </c>
      <c r="H34" s="15" t="s">
        <v>1044</v>
      </c>
      <c r="I34" s="39" t="s">
        <v>1045</v>
      </c>
      <c r="J34" s="15" t="s">
        <v>881</v>
      </c>
      <c r="K34" s="15" t="s">
        <v>409</v>
      </c>
      <c r="L34" s="15" t="s">
        <v>1011</v>
      </c>
      <c r="M34" s="15" t="s">
        <v>427</v>
      </c>
      <c r="N34" s="15" t="s">
        <v>427</v>
      </c>
      <c r="O34" s="15" t="s">
        <v>858</v>
      </c>
      <c r="P34" s="15" t="s">
        <v>956</v>
      </c>
      <c r="Q34" s="29">
        <f>IF(H34="","",IF(P34="","Add - no caption",IFERROR(INDEX('Caption Bank'!$R$5:$R$204,MATCH(P34,'Caption Bank'!$B$5:$B$204,0)),"Check - not in bank")))</f>
        <v>0</v>
      </c>
      <c r="R34" s="15" t="s">
        <v>933</v>
      </c>
      <c r="S34" s="23">
        <f>IF(R34="","",COUNTIF('Hashtag Bank'!$D$5:$D$304,R34))</f>
        <v>0</v>
      </c>
      <c r="T34" s="15" t="s">
        <v>934</v>
      </c>
      <c r="U34" s="29">
        <f>IF(H34="","",IF(T34="","Add - no asset",IFERROR(INDEX(Assets!$N$5:$N$254,MATCH(T34,Assets!$A$5:$A$254,0)),"Check - not in library")))</f>
        <v>0</v>
      </c>
      <c r="V34" s="15" t="s">
        <v>438</v>
      </c>
      <c r="W34" s="15" t="s">
        <v>797</v>
      </c>
      <c r="X34" s="48" t="s">
        <v>138</v>
      </c>
      <c r="Y34" s="16">
        <f>IF(B34="","",B34-ProductionDays)</f>
        <v>0</v>
      </c>
      <c r="Z34" s="16">
        <f>IF(B34="","",B34-ApprovalDays)</f>
        <v>0</v>
      </c>
      <c r="AA34" s="23">
        <f>IF(B34="","",B34-TODAY())</f>
        <v>0</v>
      </c>
      <c r="AB34" s="42" t="s">
        <v>1046</v>
      </c>
      <c r="AC34" s="29">
        <f>IF(H34="","",IF(X34="Published",IF(AB34="","Add - link missing","Yes"),"No"))</f>
        <v>0</v>
      </c>
      <c r="AD34" s="23">
        <f>IF(A34="","",IF(COUNTIF(Performance!$B$5:$B$404,A34)=0,"",SUMIFS(Performance!$O$5:$O$404,Performance!$B$5:$B$404,A34)))</f>
        <v>0</v>
      </c>
      <c r="AE34" s="23">
        <f>IF(AD34="","",SUMIFS(Performance!$Z$5:$Z$404,Performance!$B$5:$B$404,A34))</f>
        <v>0</v>
      </c>
      <c r="AF34" s="24">
        <f>IF(OR(AD34="",AD34=0),"",AE34/AD34)</f>
        <v>0</v>
      </c>
      <c r="AG34" s="23">
        <f>IF(AD34="","",SUMIFS(Performance!$U$5:$U$404,Performance!$B$5:$B$404,A34))</f>
        <v>0</v>
      </c>
      <c r="AH34" s="23">
        <f>IF(A34="","",COUNTIF(Repurposing!$B$5:$B$154,A34))</f>
        <v>0</v>
      </c>
      <c r="AI34" s="32">
        <f>IF(OR(H34="",B34=""),"",B34+ROW()/100000)</f>
        <v>0</v>
      </c>
      <c r="AJ34" s="32">
        <f>IF(OR(H34="",B34=""),"",IF(OR(X34="Published",X34="Cancelled",X34="Archived"),"",IF(B34&lt;TODAY(),"",B34+ROW()/100000)))</f>
        <v>0</v>
      </c>
      <c r="AK34" s="32">
        <f>IF(OR(H34="",B34=""),"",IF(OR(X34="Published",X34="Cancelled",X34="Archived"),"",IF(B34&gt;=TODAY(),"",B34+ROW()/100000)))</f>
        <v>0</v>
      </c>
      <c r="AL34" s="29">
        <f>IF(H34="","",IF(COUNTIFS('Content Calendar'!$H$5:$H$604,H34,'Content Calendar'!$G$5:$G$604,G34,'Content Calendar'!$B$5:$B$604,B34)&gt;1,"Duplicate","OK"))</f>
        <v>0</v>
      </c>
      <c r="AM34" s="29">
        <f>IF(H34="","",IF(AND(B34&lt;&gt;"",B34&lt;TODAY(),X34&lt;&gt;"Published",X34&lt;&gt;"Cancelled",X34&lt;&gt;"Archived"),"Overdue - date has passed",IF(AND(X34="Published",AB34=""),"Add - publish link missing",IF(AND(B34=TODAY(),X34&lt;&gt;"Published"),"Today - due to go live",IF(AND(Y34&lt;&gt;"",Y34&lt;TODAY(),OR(X34="Idea",X34="Brief",X34="In production")),"Late - draft not ready",IF(AND(AA34&gt;=0,AA34&lt;=3,OR(X34="Draft",X34="Awaiting review")),"Due - needs approval",IF(AND(H34&lt;&gt;"",P34=""),"Add - caption missing","OK")))))))</f>
        <v>0</v>
      </c>
      <c r="AN34" s="39" t="s">
        <v>205</v>
      </c>
    </row>
    <row r="35" spans="1:40">
      <c r="A35" s="41">
        <f>IF(H35="","",ContentPrefix&amp;TEXT(ROW()-4,"0000"))</f>
        <v>0</v>
      </c>
      <c r="B35" s="43">
        <v>46292</v>
      </c>
      <c r="C35" s="15" t="s">
        <v>635</v>
      </c>
      <c r="D35" s="17">
        <f>IF(B35="","",TEXT(B35,"yyyy-mm"))</f>
        <v>0</v>
      </c>
      <c r="E35" s="23">
        <f>IF(B35="","",WEEKNUM(B35,IF(WeekStart="Sunday",1,2)))</f>
        <v>0</v>
      </c>
      <c r="F35" s="17">
        <f>IF(B35="","",TEXT(B35,"ddd"))</f>
        <v>0</v>
      </c>
      <c r="G35" s="15" t="s">
        <v>376</v>
      </c>
      <c r="H35" s="15" t="s">
        <v>1047</v>
      </c>
      <c r="I35" s="39" t="s">
        <v>1048</v>
      </c>
      <c r="J35" s="15" t="s">
        <v>888</v>
      </c>
      <c r="K35" s="15" t="s">
        <v>399</v>
      </c>
      <c r="L35" s="15" t="s">
        <v>1049</v>
      </c>
      <c r="M35" s="15" t="s">
        <v>170</v>
      </c>
      <c r="N35" s="15" t="s">
        <v>436</v>
      </c>
      <c r="O35" s="15" t="s">
        <v>834</v>
      </c>
      <c r="P35" s="15" t="s">
        <v>961</v>
      </c>
      <c r="Q35" s="29">
        <f>IF(H35="","",IF(P35="","Add - no caption",IFERROR(INDEX('Caption Bank'!$R$5:$R$204,MATCH(P35,'Caption Bank'!$B$5:$B$204,0)),"Check - not in bank")))</f>
        <v>0</v>
      </c>
      <c r="R35" s="15" t="s">
        <v>939</v>
      </c>
      <c r="S35" s="23">
        <f>IF(R35="","",COUNTIF('Hashtag Bank'!$D$5:$D$304,R35))</f>
        <v>0</v>
      </c>
      <c r="T35" s="15" t="s">
        <v>940</v>
      </c>
      <c r="U35" s="29">
        <f>IF(H35="","",IF(T35="","Add - no asset",IFERROR(INDEX(Assets!$N$5:$N$254,MATCH(T35,Assets!$A$5:$A$254,0)),"Check - not in library")))</f>
        <v>0</v>
      </c>
      <c r="V35" s="15" t="s">
        <v>443</v>
      </c>
      <c r="W35" s="15" t="s">
        <v>801</v>
      </c>
      <c r="X35" s="48" t="s">
        <v>138</v>
      </c>
      <c r="Y35" s="16">
        <f>IF(B35="","",B35-ProductionDays)</f>
        <v>0</v>
      </c>
      <c r="Z35" s="16">
        <f>IF(B35="","",B35-ApprovalDays)</f>
        <v>0</v>
      </c>
      <c r="AA35" s="23">
        <f>IF(B35="","",B35-TODAY())</f>
        <v>0</v>
      </c>
      <c r="AB35" s="42" t="s">
        <v>1050</v>
      </c>
      <c r="AC35" s="29">
        <f>IF(H35="","",IF(X35="Published",IF(AB35="","Add - link missing","Yes"),"No"))</f>
        <v>0</v>
      </c>
      <c r="AD35" s="23">
        <f>IF(A35="","",IF(COUNTIF(Performance!$B$5:$B$404,A35)=0,"",SUMIFS(Performance!$O$5:$O$404,Performance!$B$5:$B$404,A35)))</f>
        <v>0</v>
      </c>
      <c r="AE35" s="23">
        <f>IF(AD35="","",SUMIFS(Performance!$Z$5:$Z$404,Performance!$B$5:$B$404,A35))</f>
        <v>0</v>
      </c>
      <c r="AF35" s="24">
        <f>IF(OR(AD35="",AD35=0),"",AE35/AD35)</f>
        <v>0</v>
      </c>
      <c r="AG35" s="23">
        <f>IF(AD35="","",SUMIFS(Performance!$U$5:$U$404,Performance!$B$5:$B$404,A35))</f>
        <v>0</v>
      </c>
      <c r="AH35" s="23">
        <f>IF(A35="","",COUNTIF(Repurposing!$B$5:$B$154,A35))</f>
        <v>0</v>
      </c>
      <c r="AI35" s="32">
        <f>IF(OR(H35="",B35=""),"",B35+ROW()/100000)</f>
        <v>0</v>
      </c>
      <c r="AJ35" s="32">
        <f>IF(OR(H35="",B35=""),"",IF(OR(X35="Published",X35="Cancelled",X35="Archived"),"",IF(B35&lt;TODAY(),"",B35+ROW()/100000)))</f>
        <v>0</v>
      </c>
      <c r="AK35" s="32">
        <f>IF(OR(H35="",B35=""),"",IF(OR(X35="Published",X35="Cancelled",X35="Archived"),"",IF(B35&gt;=TODAY(),"",B35+ROW()/100000)))</f>
        <v>0</v>
      </c>
      <c r="AL35" s="29">
        <f>IF(H35="","",IF(COUNTIFS('Content Calendar'!$H$5:$H$604,H35,'Content Calendar'!$G$5:$G$604,G35,'Content Calendar'!$B$5:$B$604,B35)&gt;1,"Duplicate","OK"))</f>
        <v>0</v>
      </c>
      <c r="AM35" s="29">
        <f>IF(H35="","",IF(AND(B35&lt;&gt;"",B35&lt;TODAY(),X35&lt;&gt;"Published",X35&lt;&gt;"Cancelled",X35&lt;&gt;"Archived"),"Overdue - date has passed",IF(AND(X35="Published",AB35=""),"Add - publish link missing",IF(AND(B35=TODAY(),X35&lt;&gt;"Published"),"Today - due to go live",IF(AND(Y35&lt;&gt;"",Y35&lt;TODAY(),OR(X35="Idea",X35="Brief",X35="In production")),"Late - draft not ready",IF(AND(AA35&gt;=0,AA35&lt;=3,OR(X35="Draft",X35="Awaiting review")),"Due - needs approval",IF(AND(H35&lt;&gt;"",P35=""),"Add - caption missing","OK")))))))</f>
        <v>0</v>
      </c>
      <c r="AN35" s="39" t="s">
        <v>205</v>
      </c>
    </row>
    <row r="36" spans="1:40">
      <c r="A36" s="41">
        <f>IF(H36="","",ContentPrefix&amp;TEXT(ROW()-4,"0000"))</f>
        <v>0</v>
      </c>
      <c r="B36" s="43">
        <v>46293</v>
      </c>
      <c r="C36" s="15" t="s">
        <v>638</v>
      </c>
      <c r="D36" s="17">
        <f>IF(B36="","",TEXT(B36,"yyyy-mm"))</f>
        <v>0</v>
      </c>
      <c r="E36" s="23">
        <f>IF(B36="","",WEEKNUM(B36,IF(WeekStart="Sunday",1,2)))</f>
        <v>0</v>
      </c>
      <c r="F36" s="17">
        <f>IF(B36="","",TEXT(B36,"ddd"))</f>
        <v>0</v>
      </c>
      <c r="G36" s="15" t="s">
        <v>377</v>
      </c>
      <c r="H36" s="15" t="s">
        <v>1051</v>
      </c>
      <c r="I36" s="39" t="s">
        <v>1052</v>
      </c>
      <c r="J36" s="15" t="s">
        <v>878</v>
      </c>
      <c r="K36" s="15" t="s">
        <v>398</v>
      </c>
      <c r="L36" s="15" t="s">
        <v>1049</v>
      </c>
      <c r="M36" s="15" t="s">
        <v>432</v>
      </c>
      <c r="N36" s="15" t="s">
        <v>435</v>
      </c>
      <c r="O36" s="15" t="s">
        <v>849</v>
      </c>
      <c r="P36" s="15" t="s">
        <v>966</v>
      </c>
      <c r="Q36" s="29">
        <f>IF(H36="","",IF(P36="","Add - no caption",IFERROR(INDEX('Caption Bank'!$R$5:$R$204,MATCH(P36,'Caption Bank'!$B$5:$B$204,0)),"Check - not in bank")))</f>
        <v>0</v>
      </c>
      <c r="R36" s="15" t="s">
        <v>945</v>
      </c>
      <c r="S36" s="23">
        <f>IF(R36="","",COUNTIF('Hashtag Bank'!$D$5:$D$304,R36))</f>
        <v>0</v>
      </c>
      <c r="T36" s="15" t="s">
        <v>946</v>
      </c>
      <c r="U36" s="29">
        <f>IF(H36="","",IF(T36="","Add - no asset",IFERROR(INDEX(Assets!$N$5:$N$254,MATCH(T36,Assets!$A$5:$A$254,0)),"Check - not in library")))</f>
        <v>0</v>
      </c>
      <c r="V36" s="15" t="s">
        <v>439</v>
      </c>
      <c r="W36" s="15" t="s">
        <v>804</v>
      </c>
      <c r="X36" s="48" t="s">
        <v>138</v>
      </c>
      <c r="Y36" s="16">
        <f>IF(B36="","",B36-ProductionDays)</f>
        <v>0</v>
      </c>
      <c r="Z36" s="16">
        <f>IF(B36="","",B36-ApprovalDays)</f>
        <v>0</v>
      </c>
      <c r="AA36" s="23">
        <f>IF(B36="","",B36-TODAY())</f>
        <v>0</v>
      </c>
      <c r="AB36" s="42" t="s">
        <v>1053</v>
      </c>
      <c r="AC36" s="29">
        <f>IF(H36="","",IF(X36="Published",IF(AB36="","Add - link missing","Yes"),"No"))</f>
        <v>0</v>
      </c>
      <c r="AD36" s="23">
        <f>IF(A36="","",IF(COUNTIF(Performance!$B$5:$B$404,A36)=0,"",SUMIFS(Performance!$O$5:$O$404,Performance!$B$5:$B$404,A36)))</f>
        <v>0</v>
      </c>
      <c r="AE36" s="23">
        <f>IF(AD36="","",SUMIFS(Performance!$Z$5:$Z$404,Performance!$B$5:$B$404,A36))</f>
        <v>0</v>
      </c>
      <c r="AF36" s="24">
        <f>IF(OR(AD36="",AD36=0),"",AE36/AD36)</f>
        <v>0</v>
      </c>
      <c r="AG36" s="23">
        <f>IF(AD36="","",SUMIFS(Performance!$U$5:$U$404,Performance!$B$5:$B$404,A36))</f>
        <v>0</v>
      </c>
      <c r="AH36" s="23">
        <f>IF(A36="","",COUNTIF(Repurposing!$B$5:$B$154,A36))</f>
        <v>0</v>
      </c>
      <c r="AI36" s="32">
        <f>IF(OR(H36="",B36=""),"",B36+ROW()/100000)</f>
        <v>0</v>
      </c>
      <c r="AJ36" s="32">
        <f>IF(OR(H36="",B36=""),"",IF(OR(X36="Published",X36="Cancelled",X36="Archived"),"",IF(B36&lt;TODAY(),"",B36+ROW()/100000)))</f>
        <v>0</v>
      </c>
      <c r="AK36" s="32">
        <f>IF(OR(H36="",B36=""),"",IF(OR(X36="Published",X36="Cancelled",X36="Archived"),"",IF(B36&gt;=TODAY(),"",B36+ROW()/100000)))</f>
        <v>0</v>
      </c>
      <c r="AL36" s="29">
        <f>IF(H36="","",IF(COUNTIFS('Content Calendar'!$H$5:$H$604,H36,'Content Calendar'!$G$5:$G$604,G36,'Content Calendar'!$B$5:$B$604,B36)&gt;1,"Duplicate","OK"))</f>
        <v>0</v>
      </c>
      <c r="AM36" s="29">
        <f>IF(H36="","",IF(AND(B36&lt;&gt;"",B36&lt;TODAY(),X36&lt;&gt;"Published",X36&lt;&gt;"Cancelled",X36&lt;&gt;"Archived"),"Overdue - date has passed",IF(AND(X36="Published",AB36=""),"Add - publish link missing",IF(AND(B36=TODAY(),X36&lt;&gt;"Published"),"Today - due to go live",IF(AND(Y36&lt;&gt;"",Y36&lt;TODAY(),OR(X36="Idea",X36="Brief",X36="In production")),"Late - draft not ready",IF(AND(AA36&gt;=0,AA36&lt;=3,OR(X36="Draft",X36="Awaiting review")),"Due - needs approval",IF(AND(H36&lt;&gt;"",P36=""),"Add - caption missing","OK")))))))</f>
        <v>0</v>
      </c>
      <c r="AN36" s="39" t="s">
        <v>205</v>
      </c>
    </row>
    <row r="37" spans="1:40">
      <c r="A37" s="41">
        <f>IF(H37="","",ContentPrefix&amp;TEXT(ROW()-4,"0000"))</f>
        <v>0</v>
      </c>
      <c r="B37" s="43">
        <v>46294</v>
      </c>
      <c r="C37" s="15" t="s">
        <v>635</v>
      </c>
      <c r="D37" s="17">
        <f>IF(B37="","",TEXT(B37,"yyyy-mm"))</f>
        <v>0</v>
      </c>
      <c r="E37" s="23">
        <f>IF(B37="","",WEEKNUM(B37,IF(WeekStart="Sunday",1,2)))</f>
        <v>0</v>
      </c>
      <c r="F37" s="17">
        <f>IF(B37="","",TEXT(B37,"ddd"))</f>
        <v>0</v>
      </c>
      <c r="G37" s="15" t="s">
        <v>376</v>
      </c>
      <c r="H37" s="15" t="s">
        <v>1054</v>
      </c>
      <c r="I37" s="39" t="s">
        <v>1055</v>
      </c>
      <c r="J37" s="15" t="s">
        <v>878</v>
      </c>
      <c r="K37" s="15" t="s">
        <v>397</v>
      </c>
      <c r="L37" s="15" t="s">
        <v>1049</v>
      </c>
      <c r="M37" s="15" t="s">
        <v>432</v>
      </c>
      <c r="N37" s="15" t="s">
        <v>435</v>
      </c>
      <c r="O37" s="15" t="s">
        <v>858</v>
      </c>
      <c r="P37" s="15" t="s">
        <v>971</v>
      </c>
      <c r="Q37" s="29">
        <f>IF(H37="","",IF(P37="","Add - no caption",IFERROR(INDEX('Caption Bank'!$R$5:$R$204,MATCH(P37,'Caption Bank'!$B$5:$B$204,0)),"Check - not in bank")))</f>
        <v>0</v>
      </c>
      <c r="R37" s="15" t="s">
        <v>927</v>
      </c>
      <c r="S37" s="23">
        <f>IF(R37="","",COUNTIF('Hashtag Bank'!$D$5:$D$304,R37))</f>
        <v>0</v>
      </c>
      <c r="T37" s="15" t="s">
        <v>952</v>
      </c>
      <c r="U37" s="29">
        <f>IF(H37="","",IF(T37="","Add - no asset",IFERROR(INDEX(Assets!$N$5:$N$254,MATCH(T37,Assets!$A$5:$A$254,0)),"Check - not in library")))</f>
        <v>0</v>
      </c>
      <c r="V37" s="15" t="s">
        <v>439</v>
      </c>
      <c r="W37" s="15" t="s">
        <v>281</v>
      </c>
      <c r="X37" s="48" t="s">
        <v>138</v>
      </c>
      <c r="Y37" s="16">
        <f>IF(B37="","",B37-ProductionDays)</f>
        <v>0</v>
      </c>
      <c r="Z37" s="16">
        <f>IF(B37="","",B37-ApprovalDays)</f>
        <v>0</v>
      </c>
      <c r="AA37" s="23">
        <f>IF(B37="","",B37-TODAY())</f>
        <v>0</v>
      </c>
      <c r="AB37" s="42" t="s">
        <v>1056</v>
      </c>
      <c r="AC37" s="29">
        <f>IF(H37="","",IF(X37="Published",IF(AB37="","Add - link missing","Yes"),"No"))</f>
        <v>0</v>
      </c>
      <c r="AD37" s="23">
        <f>IF(A37="","",IF(COUNTIF(Performance!$B$5:$B$404,A37)=0,"",SUMIFS(Performance!$O$5:$O$404,Performance!$B$5:$B$404,A37)))</f>
        <v>0</v>
      </c>
      <c r="AE37" s="23">
        <f>IF(AD37="","",SUMIFS(Performance!$Z$5:$Z$404,Performance!$B$5:$B$404,A37))</f>
        <v>0</v>
      </c>
      <c r="AF37" s="24">
        <f>IF(OR(AD37="",AD37=0),"",AE37/AD37)</f>
        <v>0</v>
      </c>
      <c r="AG37" s="23">
        <f>IF(AD37="","",SUMIFS(Performance!$U$5:$U$404,Performance!$B$5:$B$404,A37))</f>
        <v>0</v>
      </c>
      <c r="AH37" s="23">
        <f>IF(A37="","",COUNTIF(Repurposing!$B$5:$B$154,A37))</f>
        <v>0</v>
      </c>
      <c r="AI37" s="32">
        <f>IF(OR(H37="",B37=""),"",B37+ROW()/100000)</f>
        <v>0</v>
      </c>
      <c r="AJ37" s="32">
        <f>IF(OR(H37="",B37=""),"",IF(OR(X37="Published",X37="Cancelled",X37="Archived"),"",IF(B37&lt;TODAY(),"",B37+ROW()/100000)))</f>
        <v>0</v>
      </c>
      <c r="AK37" s="32">
        <f>IF(OR(H37="",B37=""),"",IF(OR(X37="Published",X37="Cancelled",X37="Archived"),"",IF(B37&gt;=TODAY(),"",B37+ROW()/100000)))</f>
        <v>0</v>
      </c>
      <c r="AL37" s="29">
        <f>IF(H37="","",IF(COUNTIFS('Content Calendar'!$H$5:$H$604,H37,'Content Calendar'!$G$5:$G$604,G37,'Content Calendar'!$B$5:$B$604,B37)&gt;1,"Duplicate","OK"))</f>
        <v>0</v>
      </c>
      <c r="AM37" s="29">
        <f>IF(H37="","",IF(AND(B37&lt;&gt;"",B37&lt;TODAY(),X37&lt;&gt;"Published",X37&lt;&gt;"Cancelled",X37&lt;&gt;"Archived"),"Overdue - date has passed",IF(AND(X37="Published",AB37=""),"Add - publish link missing",IF(AND(B37=TODAY(),X37&lt;&gt;"Published"),"Today - due to go live",IF(AND(Y37&lt;&gt;"",Y37&lt;TODAY(),OR(X37="Idea",X37="Brief",X37="In production")),"Late - draft not ready",IF(AND(AA37&gt;=0,AA37&lt;=3,OR(X37="Draft",X37="Awaiting review")),"Due - needs approval",IF(AND(H37&lt;&gt;"",P37=""),"Add - caption missing","OK")))))))</f>
        <v>0</v>
      </c>
      <c r="AN37" s="39" t="s">
        <v>205</v>
      </c>
    </row>
    <row r="38" spans="1:40">
      <c r="A38" s="41">
        <f>IF(H38="","",ContentPrefix&amp;TEXT(ROW()-4,"0000"))</f>
        <v>0</v>
      </c>
      <c r="B38" s="43">
        <v>46296</v>
      </c>
      <c r="C38" s="15" t="s">
        <v>637</v>
      </c>
      <c r="D38" s="17">
        <f>IF(B38="","",TEXT(B38,"yyyy-mm"))</f>
        <v>0</v>
      </c>
      <c r="E38" s="23">
        <f>IF(B38="","",WEEKNUM(B38,IF(WeekStart="Sunday",1,2)))</f>
        <v>0</v>
      </c>
      <c r="F38" s="17">
        <f>IF(B38="","",TEXT(B38,"ddd"))</f>
        <v>0</v>
      </c>
      <c r="G38" s="15" t="s">
        <v>379</v>
      </c>
      <c r="H38" s="15" t="s">
        <v>1057</v>
      </c>
      <c r="I38" s="39" t="s">
        <v>1058</v>
      </c>
      <c r="J38" s="15" t="s">
        <v>891</v>
      </c>
      <c r="K38" s="15" t="s">
        <v>400</v>
      </c>
      <c r="L38" s="15" t="s">
        <v>1049</v>
      </c>
      <c r="M38" s="15" t="s">
        <v>427</v>
      </c>
      <c r="N38" s="15" t="s">
        <v>427</v>
      </c>
      <c r="O38" s="15" t="s">
        <v>834</v>
      </c>
      <c r="P38" s="15" t="s">
        <v>976</v>
      </c>
      <c r="Q38" s="29">
        <f>IF(H38="","",IF(P38="","Add - no caption",IFERROR(INDEX('Caption Bank'!$R$5:$R$204,MATCH(P38,'Caption Bank'!$B$5:$B$204,0)),"Check - not in bank")))</f>
        <v>0</v>
      </c>
      <c r="R38" s="15" t="s">
        <v>933</v>
      </c>
      <c r="S38" s="23">
        <f>IF(R38="","",COUNTIF('Hashtag Bank'!$D$5:$D$304,R38))</f>
        <v>0</v>
      </c>
      <c r="T38" s="15" t="s">
        <v>957</v>
      </c>
      <c r="U38" s="29">
        <f>IF(H38="","",IF(T38="","Add - no asset",IFERROR(INDEX(Assets!$N$5:$N$254,MATCH(T38,Assets!$A$5:$A$254,0)),"Check - not in library")))</f>
        <v>0</v>
      </c>
      <c r="V38" s="15" t="s">
        <v>440</v>
      </c>
      <c r="W38" s="15" t="s">
        <v>797</v>
      </c>
      <c r="X38" s="48" t="s">
        <v>138</v>
      </c>
      <c r="Y38" s="16">
        <f>IF(B38="","",B38-ProductionDays)</f>
        <v>0</v>
      </c>
      <c r="Z38" s="16">
        <f>IF(B38="","",B38-ApprovalDays)</f>
        <v>0</v>
      </c>
      <c r="AA38" s="23">
        <f>IF(B38="","",B38-TODAY())</f>
        <v>0</v>
      </c>
      <c r="AB38" s="42" t="s">
        <v>1059</v>
      </c>
      <c r="AC38" s="29">
        <f>IF(H38="","",IF(X38="Published",IF(AB38="","Add - link missing","Yes"),"No"))</f>
        <v>0</v>
      </c>
      <c r="AD38" s="23">
        <f>IF(A38="","",IF(COUNTIF(Performance!$B$5:$B$404,A38)=0,"",SUMIFS(Performance!$O$5:$O$404,Performance!$B$5:$B$404,A38)))</f>
        <v>0</v>
      </c>
      <c r="AE38" s="23">
        <f>IF(AD38="","",SUMIFS(Performance!$Z$5:$Z$404,Performance!$B$5:$B$404,A38))</f>
        <v>0</v>
      </c>
      <c r="AF38" s="24">
        <f>IF(OR(AD38="",AD38=0),"",AE38/AD38)</f>
        <v>0</v>
      </c>
      <c r="AG38" s="23">
        <f>IF(AD38="","",SUMIFS(Performance!$U$5:$U$404,Performance!$B$5:$B$404,A38))</f>
        <v>0</v>
      </c>
      <c r="AH38" s="23">
        <f>IF(A38="","",COUNTIF(Repurposing!$B$5:$B$154,A38))</f>
        <v>0</v>
      </c>
      <c r="AI38" s="32">
        <f>IF(OR(H38="",B38=""),"",B38+ROW()/100000)</f>
        <v>0</v>
      </c>
      <c r="AJ38" s="32">
        <f>IF(OR(H38="",B38=""),"",IF(OR(X38="Published",X38="Cancelled",X38="Archived"),"",IF(B38&lt;TODAY(),"",B38+ROW()/100000)))</f>
        <v>0</v>
      </c>
      <c r="AK38" s="32">
        <f>IF(OR(H38="",B38=""),"",IF(OR(X38="Published",X38="Cancelled",X38="Archived"),"",IF(B38&gt;=TODAY(),"",B38+ROW()/100000)))</f>
        <v>0</v>
      </c>
      <c r="AL38" s="29">
        <f>IF(H38="","",IF(COUNTIFS('Content Calendar'!$H$5:$H$604,H38,'Content Calendar'!$G$5:$G$604,G38,'Content Calendar'!$B$5:$B$604,B38)&gt;1,"Duplicate","OK"))</f>
        <v>0</v>
      </c>
      <c r="AM38" s="29">
        <f>IF(H38="","",IF(AND(B38&lt;&gt;"",B38&lt;TODAY(),X38&lt;&gt;"Published",X38&lt;&gt;"Cancelled",X38&lt;&gt;"Archived"),"Overdue - date has passed",IF(AND(X38="Published",AB38=""),"Add - publish link missing",IF(AND(B38=TODAY(),X38&lt;&gt;"Published"),"Today - due to go live",IF(AND(Y38&lt;&gt;"",Y38&lt;TODAY(),OR(X38="Idea",X38="Brief",X38="In production")),"Late - draft not ready",IF(AND(AA38&gt;=0,AA38&lt;=3,OR(X38="Draft",X38="Awaiting review")),"Due - needs approval",IF(AND(H38&lt;&gt;"",P38=""),"Add - caption missing","OK")))))))</f>
        <v>0</v>
      </c>
      <c r="AN38" s="39" t="s">
        <v>205</v>
      </c>
    </row>
    <row r="39" spans="1:40">
      <c r="A39" s="41">
        <f>IF(H39="","",ContentPrefix&amp;TEXT(ROW()-4,"0000"))</f>
        <v>0</v>
      </c>
      <c r="B39" s="43">
        <v>46297</v>
      </c>
      <c r="C39" s="15" t="s">
        <v>635</v>
      </c>
      <c r="D39" s="17">
        <f>IF(B39="","",TEXT(B39,"yyyy-mm"))</f>
        <v>0</v>
      </c>
      <c r="E39" s="23">
        <f>IF(B39="","",WEEKNUM(B39,IF(WeekStart="Sunday",1,2)))</f>
        <v>0</v>
      </c>
      <c r="F39" s="17">
        <f>IF(B39="","",TEXT(B39,"ddd"))</f>
        <v>0</v>
      </c>
      <c r="G39" s="15" t="s">
        <v>376</v>
      </c>
      <c r="H39" s="15" t="s">
        <v>1060</v>
      </c>
      <c r="I39" s="39" t="s">
        <v>1061</v>
      </c>
      <c r="J39" s="15" t="s">
        <v>430</v>
      </c>
      <c r="K39" s="15" t="s">
        <v>396</v>
      </c>
      <c r="L39" s="15" t="s">
        <v>1049</v>
      </c>
      <c r="M39" s="15" t="s">
        <v>428</v>
      </c>
      <c r="N39" s="15" t="s">
        <v>431</v>
      </c>
      <c r="O39" s="15" t="s">
        <v>849</v>
      </c>
      <c r="P39" s="15" t="s">
        <v>981</v>
      </c>
      <c r="Q39" s="29">
        <f>IF(H39="","",IF(P39="","Add - no caption",IFERROR(INDEX('Caption Bank'!$R$5:$R$204,MATCH(P39,'Caption Bank'!$B$5:$B$204,0)),"Check - not in bank")))</f>
        <v>0</v>
      </c>
      <c r="R39" s="15" t="s">
        <v>939</v>
      </c>
      <c r="S39" s="23">
        <f>IF(R39="","",COUNTIF('Hashtag Bank'!$D$5:$D$304,R39))</f>
        <v>0</v>
      </c>
      <c r="T39" s="15" t="s">
        <v>962</v>
      </c>
      <c r="U39" s="29">
        <f>IF(H39="","",IF(T39="","Add - no asset",IFERROR(INDEX(Assets!$N$5:$N$254,MATCH(T39,Assets!$A$5:$A$254,0)),"Check - not in library")))</f>
        <v>0</v>
      </c>
      <c r="V39" s="15" t="s">
        <v>449</v>
      </c>
      <c r="W39" s="15" t="s">
        <v>801</v>
      </c>
      <c r="X39" s="48" t="s">
        <v>138</v>
      </c>
      <c r="Y39" s="16">
        <f>IF(B39="","",B39-ProductionDays)</f>
        <v>0</v>
      </c>
      <c r="Z39" s="16">
        <f>IF(B39="","",B39-ApprovalDays)</f>
        <v>0</v>
      </c>
      <c r="AA39" s="23">
        <f>IF(B39="","",B39-TODAY())</f>
        <v>0</v>
      </c>
      <c r="AB39" s="42" t="s">
        <v>1062</v>
      </c>
      <c r="AC39" s="29">
        <f>IF(H39="","",IF(X39="Published",IF(AB39="","Add - link missing","Yes"),"No"))</f>
        <v>0</v>
      </c>
      <c r="AD39" s="23">
        <f>IF(A39="","",IF(COUNTIF(Performance!$B$5:$B$404,A39)=0,"",SUMIFS(Performance!$O$5:$O$404,Performance!$B$5:$B$404,A39)))</f>
        <v>0</v>
      </c>
      <c r="AE39" s="23">
        <f>IF(AD39="","",SUMIFS(Performance!$Z$5:$Z$404,Performance!$B$5:$B$404,A39))</f>
        <v>0</v>
      </c>
      <c r="AF39" s="24">
        <f>IF(OR(AD39="",AD39=0),"",AE39/AD39)</f>
        <v>0</v>
      </c>
      <c r="AG39" s="23">
        <f>IF(AD39="","",SUMIFS(Performance!$U$5:$U$404,Performance!$B$5:$B$404,A39))</f>
        <v>0</v>
      </c>
      <c r="AH39" s="23">
        <f>IF(A39="","",COUNTIF(Repurposing!$B$5:$B$154,A39))</f>
        <v>0</v>
      </c>
      <c r="AI39" s="32">
        <f>IF(OR(H39="",B39=""),"",B39+ROW()/100000)</f>
        <v>0</v>
      </c>
      <c r="AJ39" s="32">
        <f>IF(OR(H39="",B39=""),"",IF(OR(X39="Published",X39="Cancelled",X39="Archived"),"",IF(B39&lt;TODAY(),"",B39+ROW()/100000)))</f>
        <v>0</v>
      </c>
      <c r="AK39" s="32">
        <f>IF(OR(H39="",B39=""),"",IF(OR(X39="Published",X39="Cancelled",X39="Archived"),"",IF(B39&gt;=TODAY(),"",B39+ROW()/100000)))</f>
        <v>0</v>
      </c>
      <c r="AL39" s="29">
        <f>IF(H39="","",IF(COUNTIFS('Content Calendar'!$H$5:$H$604,H39,'Content Calendar'!$G$5:$G$604,G39,'Content Calendar'!$B$5:$B$604,B39)&gt;1,"Duplicate","OK"))</f>
        <v>0</v>
      </c>
      <c r="AM39" s="29">
        <f>IF(H39="","",IF(AND(B39&lt;&gt;"",B39&lt;TODAY(),X39&lt;&gt;"Published",X39&lt;&gt;"Cancelled",X39&lt;&gt;"Archived"),"Overdue - date has passed",IF(AND(X39="Published",AB39=""),"Add - publish link missing",IF(AND(B39=TODAY(),X39&lt;&gt;"Published"),"Today - due to go live",IF(AND(Y39&lt;&gt;"",Y39&lt;TODAY(),OR(X39="Idea",X39="Brief",X39="In production")),"Late - draft not ready",IF(AND(AA39&gt;=0,AA39&lt;=3,OR(X39="Draft",X39="Awaiting review")),"Due - needs approval",IF(AND(H39&lt;&gt;"",P39=""),"Add - caption missing","OK")))))))</f>
        <v>0</v>
      </c>
      <c r="AN39" s="39" t="s">
        <v>205</v>
      </c>
    </row>
    <row r="40" spans="1:40">
      <c r="A40" s="41">
        <f>IF(H40="","",ContentPrefix&amp;TEXT(ROW()-4,"0000"))</f>
        <v>0</v>
      </c>
      <c r="B40" s="43">
        <v>46299</v>
      </c>
      <c r="C40" s="15" t="s">
        <v>635</v>
      </c>
      <c r="D40" s="17">
        <f>IF(B40="","",TEXT(B40,"yyyy-mm"))</f>
        <v>0</v>
      </c>
      <c r="E40" s="23">
        <f>IF(B40="","",WEEKNUM(B40,IF(WeekStart="Sunday",1,2)))</f>
        <v>0</v>
      </c>
      <c r="F40" s="17">
        <f>IF(B40="","",TEXT(B40,"ddd"))</f>
        <v>0</v>
      </c>
      <c r="G40" s="15" t="s">
        <v>376</v>
      </c>
      <c r="H40" s="15" t="s">
        <v>1063</v>
      </c>
      <c r="I40" s="39" t="s">
        <v>1064</v>
      </c>
      <c r="J40" s="15" t="s">
        <v>881</v>
      </c>
      <c r="K40" s="15" t="s">
        <v>398</v>
      </c>
      <c r="L40" s="15" t="s">
        <v>1049</v>
      </c>
      <c r="M40" s="15" t="s">
        <v>427</v>
      </c>
      <c r="N40" s="15" t="s">
        <v>427</v>
      </c>
      <c r="O40" s="15" t="s">
        <v>858</v>
      </c>
      <c r="P40" s="15" t="s">
        <v>986</v>
      </c>
      <c r="Q40" s="29">
        <f>IF(H40="","",IF(P40="","Add - no caption",IFERROR(INDEX('Caption Bank'!$R$5:$R$204,MATCH(P40,'Caption Bank'!$B$5:$B$204,0)),"Check - not in bank")))</f>
        <v>0</v>
      </c>
      <c r="R40" s="15" t="s">
        <v>945</v>
      </c>
      <c r="S40" s="23">
        <f>IF(R40="","",COUNTIF('Hashtag Bank'!$D$5:$D$304,R40))</f>
        <v>0</v>
      </c>
      <c r="T40" s="15" t="s">
        <v>967</v>
      </c>
      <c r="U40" s="29">
        <f>IF(H40="","",IF(T40="","Add - no asset",IFERROR(INDEX(Assets!$N$5:$N$254,MATCH(T40,Assets!$A$5:$A$254,0)),"Check - not in library")))</f>
        <v>0</v>
      </c>
      <c r="V40" s="15" t="s">
        <v>438</v>
      </c>
      <c r="W40" s="15" t="s">
        <v>804</v>
      </c>
      <c r="X40" s="48" t="s">
        <v>138</v>
      </c>
      <c r="Y40" s="16">
        <f>IF(B40="","",B40-ProductionDays)</f>
        <v>0</v>
      </c>
      <c r="Z40" s="16">
        <f>IF(B40="","",B40-ApprovalDays)</f>
        <v>0</v>
      </c>
      <c r="AA40" s="23">
        <f>IF(B40="","",B40-TODAY())</f>
        <v>0</v>
      </c>
      <c r="AB40" s="42" t="s">
        <v>1065</v>
      </c>
      <c r="AC40" s="29">
        <f>IF(H40="","",IF(X40="Published",IF(AB40="","Add - link missing","Yes"),"No"))</f>
        <v>0</v>
      </c>
      <c r="AD40" s="23">
        <f>IF(A40="","",IF(COUNTIF(Performance!$B$5:$B$404,A40)=0,"",SUMIFS(Performance!$O$5:$O$404,Performance!$B$5:$B$404,A40)))</f>
        <v>0</v>
      </c>
      <c r="AE40" s="23">
        <f>IF(AD40="","",SUMIFS(Performance!$Z$5:$Z$404,Performance!$B$5:$B$404,A40))</f>
        <v>0</v>
      </c>
      <c r="AF40" s="24">
        <f>IF(OR(AD40="",AD40=0),"",AE40/AD40)</f>
        <v>0</v>
      </c>
      <c r="AG40" s="23">
        <f>IF(AD40="","",SUMIFS(Performance!$U$5:$U$404,Performance!$B$5:$B$404,A40))</f>
        <v>0</v>
      </c>
      <c r="AH40" s="23">
        <f>IF(A40="","",COUNTIF(Repurposing!$B$5:$B$154,A40))</f>
        <v>0</v>
      </c>
      <c r="AI40" s="32">
        <f>IF(OR(H40="",B40=""),"",B40+ROW()/100000)</f>
        <v>0</v>
      </c>
      <c r="AJ40" s="32">
        <f>IF(OR(H40="",B40=""),"",IF(OR(X40="Published",X40="Cancelled",X40="Archived"),"",IF(B40&lt;TODAY(),"",B40+ROW()/100000)))</f>
        <v>0</v>
      </c>
      <c r="AK40" s="32">
        <f>IF(OR(H40="",B40=""),"",IF(OR(X40="Published",X40="Cancelled",X40="Archived"),"",IF(B40&gt;=TODAY(),"",B40+ROW()/100000)))</f>
        <v>0</v>
      </c>
      <c r="AL40" s="29">
        <f>IF(H40="","",IF(COUNTIFS('Content Calendar'!$H$5:$H$604,H40,'Content Calendar'!$G$5:$G$604,G40,'Content Calendar'!$B$5:$B$604,B40)&gt;1,"Duplicate","OK"))</f>
        <v>0</v>
      </c>
      <c r="AM40" s="29">
        <f>IF(H40="","",IF(AND(B40&lt;&gt;"",B40&lt;TODAY(),X40&lt;&gt;"Published",X40&lt;&gt;"Cancelled",X40&lt;&gt;"Archived"),"Overdue - date has passed",IF(AND(X40="Published",AB40=""),"Add - publish link missing",IF(AND(B40=TODAY(),X40&lt;&gt;"Published"),"Today - due to go live",IF(AND(Y40&lt;&gt;"",Y40&lt;TODAY(),OR(X40="Idea",X40="Brief",X40="In production")),"Late - draft not ready",IF(AND(AA40&gt;=0,AA40&lt;=3,OR(X40="Draft",X40="Awaiting review")),"Due - needs approval",IF(AND(H40&lt;&gt;"",P40=""),"Add - caption missing","OK")))))))</f>
        <v>0</v>
      </c>
      <c r="AN40" s="39" t="s">
        <v>948</v>
      </c>
    </row>
    <row r="41" spans="1:40">
      <c r="A41" s="41">
        <f>IF(H41="","",ContentPrefix&amp;TEXT(ROW()-4,"0000"))</f>
        <v>0</v>
      </c>
      <c r="B41" s="43">
        <v>46300</v>
      </c>
      <c r="C41" s="15" t="s">
        <v>636</v>
      </c>
      <c r="D41" s="17">
        <f>IF(B41="","",TEXT(B41,"yyyy-mm"))</f>
        <v>0</v>
      </c>
      <c r="E41" s="23">
        <f>IF(B41="","",WEEKNUM(B41,IF(WeekStart="Sunday",1,2)))</f>
        <v>0</v>
      </c>
      <c r="F41" s="17">
        <f>IF(B41="","",TEXT(B41,"ddd"))</f>
        <v>0</v>
      </c>
      <c r="G41" s="15" t="s">
        <v>378</v>
      </c>
      <c r="H41" s="15" t="s">
        <v>1066</v>
      </c>
      <c r="I41" s="39" t="s">
        <v>1067</v>
      </c>
      <c r="J41" s="15" t="s">
        <v>878</v>
      </c>
      <c r="K41" s="15" t="s">
        <v>408</v>
      </c>
      <c r="L41" s="15" t="s">
        <v>1049</v>
      </c>
      <c r="M41" s="15" t="s">
        <v>432</v>
      </c>
      <c r="N41" s="15" t="s">
        <v>435</v>
      </c>
      <c r="O41" s="15" t="s">
        <v>834</v>
      </c>
      <c r="P41" s="15" t="s">
        <v>926</v>
      </c>
      <c r="Q41" s="29">
        <f>IF(H41="","",IF(P41="","Add - no caption",IFERROR(INDEX('Caption Bank'!$R$5:$R$204,MATCH(P41,'Caption Bank'!$B$5:$B$204,0)),"Check - not in bank")))</f>
        <v>0</v>
      </c>
      <c r="R41" s="15" t="s">
        <v>927</v>
      </c>
      <c r="S41" s="23">
        <f>IF(R41="","",COUNTIF('Hashtag Bank'!$D$5:$D$304,R41))</f>
        <v>0</v>
      </c>
      <c r="T41" s="15" t="s">
        <v>972</v>
      </c>
      <c r="U41" s="29">
        <f>IF(H41="","",IF(T41="","Add - no asset",IFERROR(INDEX(Assets!$N$5:$N$254,MATCH(T41,Assets!$A$5:$A$254,0)),"Check - not in library")))</f>
        <v>0</v>
      </c>
      <c r="V41" s="15" t="s">
        <v>439</v>
      </c>
      <c r="W41" s="15" t="s">
        <v>281</v>
      </c>
      <c r="X41" s="48" t="s">
        <v>138</v>
      </c>
      <c r="Y41" s="16">
        <f>IF(B41="","",B41-ProductionDays)</f>
        <v>0</v>
      </c>
      <c r="Z41" s="16">
        <f>IF(B41="","",B41-ApprovalDays)</f>
        <v>0</v>
      </c>
      <c r="AA41" s="23">
        <f>IF(B41="","",B41-TODAY())</f>
        <v>0</v>
      </c>
      <c r="AB41" s="42" t="s">
        <v>1068</v>
      </c>
      <c r="AC41" s="29">
        <f>IF(H41="","",IF(X41="Published",IF(AB41="","Add - link missing","Yes"),"No"))</f>
        <v>0</v>
      </c>
      <c r="AD41" s="23">
        <f>IF(A41="","",IF(COUNTIF(Performance!$B$5:$B$404,A41)=0,"",SUMIFS(Performance!$O$5:$O$404,Performance!$B$5:$B$404,A41)))</f>
        <v>0</v>
      </c>
      <c r="AE41" s="23">
        <f>IF(AD41="","",SUMIFS(Performance!$Z$5:$Z$404,Performance!$B$5:$B$404,A41))</f>
        <v>0</v>
      </c>
      <c r="AF41" s="24">
        <f>IF(OR(AD41="",AD41=0),"",AE41/AD41)</f>
        <v>0</v>
      </c>
      <c r="AG41" s="23">
        <f>IF(AD41="","",SUMIFS(Performance!$U$5:$U$404,Performance!$B$5:$B$404,A41))</f>
        <v>0</v>
      </c>
      <c r="AH41" s="23">
        <f>IF(A41="","",COUNTIF(Repurposing!$B$5:$B$154,A41))</f>
        <v>0</v>
      </c>
      <c r="AI41" s="32">
        <f>IF(OR(H41="",B41=""),"",B41+ROW()/100000)</f>
        <v>0</v>
      </c>
      <c r="AJ41" s="32">
        <f>IF(OR(H41="",B41=""),"",IF(OR(X41="Published",X41="Cancelled",X41="Archived"),"",IF(B41&lt;TODAY(),"",B41+ROW()/100000)))</f>
        <v>0</v>
      </c>
      <c r="AK41" s="32">
        <f>IF(OR(H41="",B41=""),"",IF(OR(X41="Published",X41="Cancelled",X41="Archived"),"",IF(B41&gt;=TODAY(),"",B41+ROW()/100000)))</f>
        <v>0</v>
      </c>
      <c r="AL41" s="29">
        <f>IF(H41="","",IF(COUNTIFS('Content Calendar'!$H$5:$H$604,H41,'Content Calendar'!$G$5:$G$604,G41,'Content Calendar'!$B$5:$B$604,B41)&gt;1,"Duplicate","OK"))</f>
        <v>0</v>
      </c>
      <c r="AM41" s="29">
        <f>IF(H41="","",IF(AND(B41&lt;&gt;"",B41&lt;TODAY(),X41&lt;&gt;"Published",X41&lt;&gt;"Cancelled",X41&lt;&gt;"Archived"),"Overdue - date has passed",IF(AND(X41="Published",AB41=""),"Add - publish link missing",IF(AND(B41=TODAY(),X41&lt;&gt;"Published"),"Today - due to go live",IF(AND(Y41&lt;&gt;"",Y41&lt;TODAY(),OR(X41="Idea",X41="Brief",X41="In production")),"Late - draft not ready",IF(AND(AA41&gt;=0,AA41&lt;=3,OR(X41="Draft",X41="Awaiting review")),"Due - needs approval",IF(AND(H41&lt;&gt;"",P41=""),"Add - caption missing","OK")))))))</f>
        <v>0</v>
      </c>
      <c r="AN41" s="39" t="s">
        <v>205</v>
      </c>
    </row>
    <row r="42" spans="1:40">
      <c r="A42" s="41">
        <f>IF(H42="","",ContentPrefix&amp;TEXT(ROW()-4,"0000"))</f>
        <v>0</v>
      </c>
      <c r="B42" s="43">
        <v>46301</v>
      </c>
      <c r="C42" s="15" t="s">
        <v>638</v>
      </c>
      <c r="D42" s="17">
        <f>IF(B42="","",TEXT(B42,"yyyy-mm"))</f>
        <v>0</v>
      </c>
      <c r="E42" s="23">
        <f>IF(B42="","",WEEKNUM(B42,IF(WeekStart="Sunday",1,2)))</f>
        <v>0</v>
      </c>
      <c r="F42" s="17">
        <f>IF(B42="","",TEXT(B42,"ddd"))</f>
        <v>0</v>
      </c>
      <c r="G42" s="15" t="s">
        <v>377</v>
      </c>
      <c r="H42" s="15" t="s">
        <v>1069</v>
      </c>
      <c r="I42" s="39" t="s">
        <v>1070</v>
      </c>
      <c r="J42" s="15" t="s">
        <v>888</v>
      </c>
      <c r="K42" s="15" t="s">
        <v>398</v>
      </c>
      <c r="L42" s="15" t="s">
        <v>1049</v>
      </c>
      <c r="M42" s="15" t="s">
        <v>170</v>
      </c>
      <c r="N42" s="15" t="s">
        <v>436</v>
      </c>
      <c r="O42" s="15" t="s">
        <v>849</v>
      </c>
      <c r="P42" s="15" t="s">
        <v>932</v>
      </c>
      <c r="Q42" s="29">
        <f>IF(H42="","",IF(P42="","Add - no caption",IFERROR(INDEX('Caption Bank'!$R$5:$R$204,MATCH(P42,'Caption Bank'!$B$5:$B$204,0)),"Check - not in bank")))</f>
        <v>0</v>
      </c>
      <c r="R42" s="15" t="s">
        <v>933</v>
      </c>
      <c r="S42" s="23">
        <f>IF(R42="","",COUNTIF('Hashtag Bank'!$D$5:$D$304,R42))</f>
        <v>0</v>
      </c>
      <c r="T42" s="15" t="s">
        <v>977</v>
      </c>
      <c r="U42" s="29">
        <f>IF(H42="","",IF(T42="","Add - no asset",IFERROR(INDEX(Assets!$N$5:$N$254,MATCH(T42,Assets!$A$5:$A$254,0)),"Check - not in library")))</f>
        <v>0</v>
      </c>
      <c r="V42" s="15" t="s">
        <v>443</v>
      </c>
      <c r="W42" s="15" t="s">
        <v>797</v>
      </c>
      <c r="X42" s="48" t="s">
        <v>138</v>
      </c>
      <c r="Y42" s="16">
        <f>IF(B42="","",B42-ProductionDays)</f>
        <v>0</v>
      </c>
      <c r="Z42" s="16">
        <f>IF(B42="","",B42-ApprovalDays)</f>
        <v>0</v>
      </c>
      <c r="AA42" s="23">
        <f>IF(B42="","",B42-TODAY())</f>
        <v>0</v>
      </c>
      <c r="AB42" s="42" t="s">
        <v>1071</v>
      </c>
      <c r="AC42" s="29">
        <f>IF(H42="","",IF(X42="Published",IF(AB42="","Add - link missing","Yes"),"No"))</f>
        <v>0</v>
      </c>
      <c r="AD42" s="23">
        <f>IF(A42="","",IF(COUNTIF(Performance!$B$5:$B$404,A42)=0,"",SUMIFS(Performance!$O$5:$O$404,Performance!$B$5:$B$404,A42)))</f>
        <v>0</v>
      </c>
      <c r="AE42" s="23">
        <f>IF(AD42="","",SUMIFS(Performance!$Z$5:$Z$404,Performance!$B$5:$B$404,A42))</f>
        <v>0</v>
      </c>
      <c r="AF42" s="24">
        <f>IF(OR(AD42="",AD42=0),"",AE42/AD42)</f>
        <v>0</v>
      </c>
      <c r="AG42" s="23">
        <f>IF(AD42="","",SUMIFS(Performance!$U$5:$U$404,Performance!$B$5:$B$404,A42))</f>
        <v>0</v>
      </c>
      <c r="AH42" s="23">
        <f>IF(A42="","",COUNTIF(Repurposing!$B$5:$B$154,A42))</f>
        <v>0</v>
      </c>
      <c r="AI42" s="32">
        <f>IF(OR(H42="",B42=""),"",B42+ROW()/100000)</f>
        <v>0</v>
      </c>
      <c r="AJ42" s="32">
        <f>IF(OR(H42="",B42=""),"",IF(OR(X42="Published",X42="Cancelled",X42="Archived"),"",IF(B42&lt;TODAY(),"",B42+ROW()/100000)))</f>
        <v>0</v>
      </c>
      <c r="AK42" s="32">
        <f>IF(OR(H42="",B42=""),"",IF(OR(X42="Published",X42="Cancelled",X42="Archived"),"",IF(B42&gt;=TODAY(),"",B42+ROW()/100000)))</f>
        <v>0</v>
      </c>
      <c r="AL42" s="29">
        <f>IF(H42="","",IF(COUNTIFS('Content Calendar'!$H$5:$H$604,H42,'Content Calendar'!$G$5:$G$604,G42,'Content Calendar'!$B$5:$B$604,B42)&gt;1,"Duplicate","OK"))</f>
        <v>0</v>
      </c>
      <c r="AM42" s="29">
        <f>IF(H42="","",IF(AND(B42&lt;&gt;"",B42&lt;TODAY(),X42&lt;&gt;"Published",X42&lt;&gt;"Cancelled",X42&lt;&gt;"Archived"),"Overdue - date has passed",IF(AND(X42="Published",AB42=""),"Add - publish link missing",IF(AND(B42=TODAY(),X42&lt;&gt;"Published"),"Today - due to go live",IF(AND(Y42&lt;&gt;"",Y42&lt;TODAY(),OR(X42="Idea",X42="Brief",X42="In production")),"Late - draft not ready",IF(AND(AA42&gt;=0,AA42&lt;=3,OR(X42="Draft",X42="Awaiting review")),"Due - needs approval",IF(AND(H42&lt;&gt;"",P42=""),"Add - caption missing","OK")))))))</f>
        <v>0</v>
      </c>
      <c r="AN42" s="39" t="s">
        <v>205</v>
      </c>
    </row>
    <row r="43" spans="1:40">
      <c r="A43" s="41">
        <f>IF(H43="","",ContentPrefix&amp;TEXT(ROW()-4,"0000"))</f>
        <v>0</v>
      </c>
      <c r="B43" s="43">
        <v>46302</v>
      </c>
      <c r="C43" s="15" t="s">
        <v>635</v>
      </c>
      <c r="D43" s="17">
        <f>IF(B43="","",TEXT(B43,"yyyy-mm"))</f>
        <v>0</v>
      </c>
      <c r="E43" s="23">
        <f>IF(B43="","",WEEKNUM(B43,IF(WeekStart="Sunday",1,2)))</f>
        <v>0</v>
      </c>
      <c r="F43" s="17">
        <f>IF(B43="","",TEXT(B43,"ddd"))</f>
        <v>0</v>
      </c>
      <c r="G43" s="15" t="s">
        <v>380</v>
      </c>
      <c r="H43" s="15" t="s">
        <v>1072</v>
      </c>
      <c r="I43" s="39" t="s">
        <v>1073</v>
      </c>
      <c r="J43" s="15" t="s">
        <v>430</v>
      </c>
      <c r="K43" s="15" t="s">
        <v>396</v>
      </c>
      <c r="L43" s="15" t="s">
        <v>1049</v>
      </c>
      <c r="M43" s="15" t="s">
        <v>428</v>
      </c>
      <c r="N43" s="15" t="s">
        <v>431</v>
      </c>
      <c r="O43" s="15" t="s">
        <v>858</v>
      </c>
      <c r="P43" s="15" t="s">
        <v>938</v>
      </c>
      <c r="Q43" s="29">
        <f>IF(H43="","",IF(P43="","Add - no caption",IFERROR(INDEX('Caption Bank'!$R$5:$R$204,MATCH(P43,'Caption Bank'!$B$5:$B$204,0)),"Check - not in bank")))</f>
        <v>0</v>
      </c>
      <c r="R43" s="15" t="s">
        <v>939</v>
      </c>
      <c r="S43" s="23">
        <f>IF(R43="","",COUNTIF('Hashtag Bank'!$D$5:$D$304,R43))</f>
        <v>0</v>
      </c>
      <c r="T43" s="15" t="s">
        <v>982</v>
      </c>
      <c r="U43" s="29">
        <f>IF(H43="","",IF(T43="","Add - no asset",IFERROR(INDEX(Assets!$N$5:$N$254,MATCH(T43,Assets!$A$5:$A$254,0)),"Check - not in library")))</f>
        <v>0</v>
      </c>
      <c r="V43" s="15" t="s">
        <v>449</v>
      </c>
      <c r="W43" s="15" t="s">
        <v>801</v>
      </c>
      <c r="X43" s="48" t="s">
        <v>138</v>
      </c>
      <c r="Y43" s="16">
        <f>IF(B43="","",B43-ProductionDays)</f>
        <v>0</v>
      </c>
      <c r="Z43" s="16">
        <f>IF(B43="","",B43-ApprovalDays)</f>
        <v>0</v>
      </c>
      <c r="AA43" s="23">
        <f>IF(B43="","",B43-TODAY())</f>
        <v>0</v>
      </c>
      <c r="AB43" s="42" t="s">
        <v>1074</v>
      </c>
      <c r="AC43" s="29">
        <f>IF(H43="","",IF(X43="Published",IF(AB43="","Add - link missing","Yes"),"No"))</f>
        <v>0</v>
      </c>
      <c r="AD43" s="23">
        <f>IF(A43="","",IF(COUNTIF(Performance!$B$5:$B$404,A43)=0,"",SUMIFS(Performance!$O$5:$O$404,Performance!$B$5:$B$404,A43)))</f>
        <v>0</v>
      </c>
      <c r="AE43" s="23">
        <f>IF(AD43="","",SUMIFS(Performance!$Z$5:$Z$404,Performance!$B$5:$B$404,A43))</f>
        <v>0</v>
      </c>
      <c r="AF43" s="24">
        <f>IF(OR(AD43="",AD43=0),"",AE43/AD43)</f>
        <v>0</v>
      </c>
      <c r="AG43" s="23">
        <f>IF(AD43="","",SUMIFS(Performance!$U$5:$U$404,Performance!$B$5:$B$404,A43))</f>
        <v>0</v>
      </c>
      <c r="AH43" s="23">
        <f>IF(A43="","",COUNTIF(Repurposing!$B$5:$B$154,A43))</f>
        <v>0</v>
      </c>
      <c r="AI43" s="32">
        <f>IF(OR(H43="",B43=""),"",B43+ROW()/100000)</f>
        <v>0</v>
      </c>
      <c r="AJ43" s="32">
        <f>IF(OR(H43="",B43=""),"",IF(OR(X43="Published",X43="Cancelled",X43="Archived"),"",IF(B43&lt;TODAY(),"",B43+ROW()/100000)))</f>
        <v>0</v>
      </c>
      <c r="AK43" s="32">
        <f>IF(OR(H43="",B43=""),"",IF(OR(X43="Published",X43="Cancelled",X43="Archived"),"",IF(B43&gt;=TODAY(),"",B43+ROW()/100000)))</f>
        <v>0</v>
      </c>
      <c r="AL43" s="29">
        <f>IF(H43="","",IF(COUNTIFS('Content Calendar'!$H$5:$H$604,H43,'Content Calendar'!$G$5:$G$604,G43,'Content Calendar'!$B$5:$B$604,B43)&gt;1,"Duplicate","OK"))</f>
        <v>0</v>
      </c>
      <c r="AM43" s="29">
        <f>IF(H43="","",IF(AND(B43&lt;&gt;"",B43&lt;TODAY(),X43&lt;&gt;"Published",X43&lt;&gt;"Cancelled",X43&lt;&gt;"Archived"),"Overdue - date has passed",IF(AND(X43="Published",AB43=""),"Add - publish link missing",IF(AND(B43=TODAY(),X43&lt;&gt;"Published"),"Today - due to go live",IF(AND(Y43&lt;&gt;"",Y43&lt;TODAY(),OR(X43="Idea",X43="Brief",X43="In production")),"Late - draft not ready",IF(AND(AA43&gt;=0,AA43&lt;=3,OR(X43="Draft",X43="Awaiting review")),"Due - needs approval",IF(AND(H43&lt;&gt;"",P43=""),"Add - caption missing","OK")))))))</f>
        <v>0</v>
      </c>
      <c r="AN43" s="39" t="s">
        <v>205</v>
      </c>
    </row>
    <row r="44" spans="1:40">
      <c r="A44" s="41">
        <f>IF(H44="","",ContentPrefix&amp;TEXT(ROW()-4,"0000"))</f>
        <v>0</v>
      </c>
      <c r="B44" s="43">
        <v>46303</v>
      </c>
      <c r="C44" s="15" t="s">
        <v>635</v>
      </c>
      <c r="D44" s="17">
        <f>IF(B44="","",TEXT(B44,"yyyy-mm"))</f>
        <v>0</v>
      </c>
      <c r="E44" s="23">
        <f>IF(B44="","",WEEKNUM(B44,IF(WeekStart="Sunday",1,2)))</f>
        <v>0</v>
      </c>
      <c r="F44" s="17">
        <f>IF(B44="","",TEXT(B44,"ddd"))</f>
        <v>0</v>
      </c>
      <c r="G44" s="15" t="s">
        <v>376</v>
      </c>
      <c r="H44" s="15" t="s">
        <v>1075</v>
      </c>
      <c r="I44" s="39" t="s">
        <v>1076</v>
      </c>
      <c r="J44" s="15" t="s">
        <v>888</v>
      </c>
      <c r="K44" s="15" t="s">
        <v>397</v>
      </c>
      <c r="L44" s="15" t="s">
        <v>1049</v>
      </c>
      <c r="M44" s="15" t="s">
        <v>170</v>
      </c>
      <c r="N44" s="15" t="s">
        <v>436</v>
      </c>
      <c r="O44" s="15" t="s">
        <v>834</v>
      </c>
      <c r="P44" s="15" t="s">
        <v>944</v>
      </c>
      <c r="Q44" s="29">
        <f>IF(H44="","",IF(P44="","Add - no caption",IFERROR(INDEX('Caption Bank'!$R$5:$R$204,MATCH(P44,'Caption Bank'!$B$5:$B$204,0)),"Check - not in bank")))</f>
        <v>0</v>
      </c>
      <c r="R44" s="15" t="s">
        <v>945</v>
      </c>
      <c r="S44" s="23">
        <f>IF(R44="","",COUNTIF('Hashtag Bank'!$D$5:$D$304,R44))</f>
        <v>0</v>
      </c>
      <c r="T44" s="15" t="s">
        <v>987</v>
      </c>
      <c r="U44" s="29">
        <f>IF(H44="","",IF(T44="","Add - no asset",IFERROR(INDEX(Assets!$N$5:$N$254,MATCH(T44,Assets!$A$5:$A$254,0)),"Check - not in library")))</f>
        <v>0</v>
      </c>
      <c r="V44" s="15" t="s">
        <v>443</v>
      </c>
      <c r="W44" s="15" t="s">
        <v>804</v>
      </c>
      <c r="X44" s="48" t="s">
        <v>138</v>
      </c>
      <c r="Y44" s="16">
        <f>IF(B44="","",B44-ProductionDays)</f>
        <v>0</v>
      </c>
      <c r="Z44" s="16">
        <f>IF(B44="","",B44-ApprovalDays)</f>
        <v>0</v>
      </c>
      <c r="AA44" s="23">
        <f>IF(B44="","",B44-TODAY())</f>
        <v>0</v>
      </c>
      <c r="AB44" s="42" t="s">
        <v>1077</v>
      </c>
      <c r="AC44" s="29">
        <f>IF(H44="","",IF(X44="Published",IF(AB44="","Add - link missing","Yes"),"No"))</f>
        <v>0</v>
      </c>
      <c r="AD44" s="23">
        <f>IF(A44="","",IF(COUNTIF(Performance!$B$5:$B$404,A44)=0,"",SUMIFS(Performance!$O$5:$O$404,Performance!$B$5:$B$404,A44)))</f>
        <v>0</v>
      </c>
      <c r="AE44" s="23">
        <f>IF(AD44="","",SUMIFS(Performance!$Z$5:$Z$404,Performance!$B$5:$B$404,A44))</f>
        <v>0</v>
      </c>
      <c r="AF44" s="24">
        <f>IF(OR(AD44="",AD44=0),"",AE44/AD44)</f>
        <v>0</v>
      </c>
      <c r="AG44" s="23">
        <f>IF(AD44="","",SUMIFS(Performance!$U$5:$U$404,Performance!$B$5:$B$404,A44))</f>
        <v>0</v>
      </c>
      <c r="AH44" s="23">
        <f>IF(A44="","",COUNTIF(Repurposing!$B$5:$B$154,A44))</f>
        <v>0</v>
      </c>
      <c r="AI44" s="32">
        <f>IF(OR(H44="",B44=""),"",B44+ROW()/100000)</f>
        <v>0</v>
      </c>
      <c r="AJ44" s="32">
        <f>IF(OR(H44="",B44=""),"",IF(OR(X44="Published",X44="Cancelled",X44="Archived"),"",IF(B44&lt;TODAY(),"",B44+ROW()/100000)))</f>
        <v>0</v>
      </c>
      <c r="AK44" s="32">
        <f>IF(OR(H44="",B44=""),"",IF(OR(X44="Published",X44="Cancelled",X44="Archived"),"",IF(B44&gt;=TODAY(),"",B44+ROW()/100000)))</f>
        <v>0</v>
      </c>
      <c r="AL44" s="29">
        <f>IF(H44="","",IF(COUNTIFS('Content Calendar'!$H$5:$H$604,H44,'Content Calendar'!$G$5:$G$604,G44,'Content Calendar'!$B$5:$B$604,B44)&gt;1,"Duplicate","OK"))</f>
        <v>0</v>
      </c>
      <c r="AM44" s="29">
        <f>IF(H44="","",IF(AND(B44&lt;&gt;"",B44&lt;TODAY(),X44&lt;&gt;"Published",X44&lt;&gt;"Cancelled",X44&lt;&gt;"Archived"),"Overdue - date has passed",IF(AND(X44="Published",AB44=""),"Add - publish link missing",IF(AND(B44=TODAY(),X44&lt;&gt;"Published"),"Today - due to go live",IF(AND(Y44&lt;&gt;"",Y44&lt;TODAY(),OR(X44="Idea",X44="Brief",X44="In production")),"Late - draft not ready",IF(AND(AA44&gt;=0,AA44&lt;=3,OR(X44="Draft",X44="Awaiting review")),"Due - needs approval",IF(AND(H44&lt;&gt;"",P44=""),"Add - caption missing","OK")))))))</f>
        <v>0</v>
      </c>
      <c r="AN44" s="39" t="s">
        <v>205</v>
      </c>
    </row>
    <row r="45" spans="1:40">
      <c r="A45" s="41">
        <f>IF(H45="","",ContentPrefix&amp;TEXT(ROW()-4,"0000"))</f>
        <v>0</v>
      </c>
      <c r="B45" s="43">
        <v>46304</v>
      </c>
      <c r="C45" s="15" t="s">
        <v>635</v>
      </c>
      <c r="D45" s="17">
        <f>IF(B45="","",TEXT(B45,"yyyy-mm"))</f>
        <v>0</v>
      </c>
      <c r="E45" s="23">
        <f>IF(B45="","",WEEKNUM(B45,IF(WeekStart="Sunday",1,2)))</f>
        <v>0</v>
      </c>
      <c r="F45" s="17">
        <f>IF(B45="","",TEXT(B45,"ddd"))</f>
        <v>0</v>
      </c>
      <c r="G45" s="15" t="s">
        <v>376</v>
      </c>
      <c r="H45" s="15" t="s">
        <v>1078</v>
      </c>
      <c r="I45" s="39" t="s">
        <v>1079</v>
      </c>
      <c r="J45" s="15" t="s">
        <v>430</v>
      </c>
      <c r="K45" s="15" t="s">
        <v>399</v>
      </c>
      <c r="L45" s="15" t="s">
        <v>1049</v>
      </c>
      <c r="M45" s="15" t="s">
        <v>428</v>
      </c>
      <c r="N45" s="15" t="s">
        <v>431</v>
      </c>
      <c r="O45" s="15" t="s">
        <v>849</v>
      </c>
      <c r="P45" s="15" t="s">
        <v>951</v>
      </c>
      <c r="Q45" s="29">
        <f>IF(H45="","",IF(P45="","Add - no caption",IFERROR(INDEX('Caption Bank'!$R$5:$R$204,MATCH(P45,'Caption Bank'!$B$5:$B$204,0)),"Check - not in bank")))</f>
        <v>0</v>
      </c>
      <c r="R45" s="15" t="s">
        <v>927</v>
      </c>
      <c r="S45" s="23">
        <f>IF(R45="","",COUNTIF('Hashtag Bank'!$D$5:$D$304,R45))</f>
        <v>0</v>
      </c>
      <c r="T45" s="15" t="s">
        <v>991</v>
      </c>
      <c r="U45" s="29">
        <f>IF(H45="","",IF(T45="","Add - no asset",IFERROR(INDEX(Assets!$N$5:$N$254,MATCH(T45,Assets!$A$5:$A$254,0)),"Check - not in library")))</f>
        <v>0</v>
      </c>
      <c r="V45" s="15" t="s">
        <v>449</v>
      </c>
      <c r="W45" s="15" t="s">
        <v>281</v>
      </c>
      <c r="X45" s="48" t="s">
        <v>138</v>
      </c>
      <c r="Y45" s="16">
        <f>IF(B45="","",B45-ProductionDays)</f>
        <v>0</v>
      </c>
      <c r="Z45" s="16">
        <f>IF(B45="","",B45-ApprovalDays)</f>
        <v>0</v>
      </c>
      <c r="AA45" s="23">
        <f>IF(B45="","",B45-TODAY())</f>
        <v>0</v>
      </c>
      <c r="AB45" s="42" t="s">
        <v>1080</v>
      </c>
      <c r="AC45" s="29">
        <f>IF(H45="","",IF(X45="Published",IF(AB45="","Add - link missing","Yes"),"No"))</f>
        <v>0</v>
      </c>
      <c r="AD45" s="23">
        <f>IF(A45="","",IF(COUNTIF(Performance!$B$5:$B$404,A45)=0,"",SUMIFS(Performance!$O$5:$O$404,Performance!$B$5:$B$404,A45)))</f>
        <v>0</v>
      </c>
      <c r="AE45" s="23">
        <f>IF(AD45="","",SUMIFS(Performance!$Z$5:$Z$404,Performance!$B$5:$B$404,A45))</f>
        <v>0</v>
      </c>
      <c r="AF45" s="24">
        <f>IF(OR(AD45="",AD45=0),"",AE45/AD45)</f>
        <v>0</v>
      </c>
      <c r="AG45" s="23">
        <f>IF(AD45="","",SUMIFS(Performance!$U$5:$U$404,Performance!$B$5:$B$404,A45))</f>
        <v>0</v>
      </c>
      <c r="AH45" s="23">
        <f>IF(A45="","",COUNTIF(Repurposing!$B$5:$B$154,A45))</f>
        <v>0</v>
      </c>
      <c r="AI45" s="32">
        <f>IF(OR(H45="",B45=""),"",B45+ROW()/100000)</f>
        <v>0</v>
      </c>
      <c r="AJ45" s="32">
        <f>IF(OR(H45="",B45=""),"",IF(OR(X45="Published",X45="Cancelled",X45="Archived"),"",IF(B45&lt;TODAY(),"",B45+ROW()/100000)))</f>
        <v>0</v>
      </c>
      <c r="AK45" s="32">
        <f>IF(OR(H45="",B45=""),"",IF(OR(X45="Published",X45="Cancelled",X45="Archived"),"",IF(B45&gt;=TODAY(),"",B45+ROW()/100000)))</f>
        <v>0</v>
      </c>
      <c r="AL45" s="29">
        <f>IF(H45="","",IF(COUNTIFS('Content Calendar'!$H$5:$H$604,H45,'Content Calendar'!$G$5:$G$604,G45,'Content Calendar'!$B$5:$B$604,B45)&gt;1,"Duplicate","OK"))</f>
        <v>0</v>
      </c>
      <c r="AM45" s="29">
        <f>IF(H45="","",IF(AND(B45&lt;&gt;"",B45&lt;TODAY(),X45&lt;&gt;"Published",X45&lt;&gt;"Cancelled",X45&lt;&gt;"Archived"),"Overdue - date has passed",IF(AND(X45="Published",AB45=""),"Add - publish link missing",IF(AND(B45=TODAY(),X45&lt;&gt;"Published"),"Today - due to go live",IF(AND(Y45&lt;&gt;"",Y45&lt;TODAY(),OR(X45="Idea",X45="Brief",X45="In production")),"Late - draft not ready",IF(AND(AA45&gt;=0,AA45&lt;=3,OR(X45="Draft",X45="Awaiting review")),"Due - needs approval",IF(AND(H45&lt;&gt;"",P45=""),"Add - caption missing","OK")))))))</f>
        <v>0</v>
      </c>
      <c r="AN45" s="39" t="s">
        <v>205</v>
      </c>
    </row>
    <row r="46" spans="1:40">
      <c r="A46" s="41">
        <f>IF(H46="","",ContentPrefix&amp;TEXT(ROW()-4,"0000"))</f>
        <v>0</v>
      </c>
      <c r="B46" s="43">
        <v>46305</v>
      </c>
      <c r="C46" s="15" t="s">
        <v>638</v>
      </c>
      <c r="D46" s="17">
        <f>IF(B46="","",TEXT(B46,"yyyy-mm"))</f>
        <v>0</v>
      </c>
      <c r="E46" s="23">
        <f>IF(B46="","",WEEKNUM(B46,IF(WeekStart="Sunday",1,2)))</f>
        <v>0</v>
      </c>
      <c r="F46" s="17">
        <f>IF(B46="","",TEXT(B46,"ddd"))</f>
        <v>0</v>
      </c>
      <c r="G46" s="15" t="s">
        <v>377</v>
      </c>
      <c r="H46" s="15" t="s">
        <v>1081</v>
      </c>
      <c r="I46" s="39" t="s">
        <v>1082</v>
      </c>
      <c r="J46" s="15" t="s">
        <v>462</v>
      </c>
      <c r="K46" s="15" t="s">
        <v>400</v>
      </c>
      <c r="L46" s="15" t="s">
        <v>1049</v>
      </c>
      <c r="M46" s="15" t="s">
        <v>430</v>
      </c>
      <c r="N46" s="15" t="s">
        <v>427</v>
      </c>
      <c r="O46" s="15" t="s">
        <v>858</v>
      </c>
      <c r="P46" s="15" t="s">
        <v>956</v>
      </c>
      <c r="Q46" s="29">
        <f>IF(H46="","",IF(P46="","Add - no caption",IFERROR(INDEX('Caption Bank'!$R$5:$R$204,MATCH(P46,'Caption Bank'!$B$5:$B$204,0)),"Check - not in bank")))</f>
        <v>0</v>
      </c>
      <c r="R46" s="15" t="s">
        <v>933</v>
      </c>
      <c r="S46" s="23">
        <f>IF(R46="","",COUNTIF('Hashtag Bank'!$D$5:$D$304,R46))</f>
        <v>0</v>
      </c>
      <c r="T46" s="15" t="s">
        <v>995</v>
      </c>
      <c r="U46" s="29">
        <f>IF(H46="","",IF(T46="","Add - no asset",IFERROR(INDEX(Assets!$N$5:$N$254,MATCH(T46,Assets!$A$5:$A$254,0)),"Check - not in library")))</f>
        <v>0</v>
      </c>
      <c r="V46" s="15" t="s">
        <v>441</v>
      </c>
      <c r="W46" s="15" t="s">
        <v>797</v>
      </c>
      <c r="X46" s="48" t="s">
        <v>138</v>
      </c>
      <c r="Y46" s="16">
        <f>IF(B46="","",B46-ProductionDays)</f>
        <v>0</v>
      </c>
      <c r="Z46" s="16">
        <f>IF(B46="","",B46-ApprovalDays)</f>
        <v>0</v>
      </c>
      <c r="AA46" s="23">
        <f>IF(B46="","",B46-TODAY())</f>
        <v>0</v>
      </c>
      <c r="AB46" s="42" t="s">
        <v>1083</v>
      </c>
      <c r="AC46" s="29">
        <f>IF(H46="","",IF(X46="Published",IF(AB46="","Add - link missing","Yes"),"No"))</f>
        <v>0</v>
      </c>
      <c r="AD46" s="23">
        <f>IF(A46="","",IF(COUNTIF(Performance!$B$5:$B$404,A46)=0,"",SUMIFS(Performance!$O$5:$O$404,Performance!$B$5:$B$404,A46)))</f>
        <v>0</v>
      </c>
      <c r="AE46" s="23">
        <f>IF(AD46="","",SUMIFS(Performance!$Z$5:$Z$404,Performance!$B$5:$B$404,A46))</f>
        <v>0</v>
      </c>
      <c r="AF46" s="24">
        <f>IF(OR(AD46="",AD46=0),"",AE46/AD46)</f>
        <v>0</v>
      </c>
      <c r="AG46" s="23">
        <f>IF(AD46="","",SUMIFS(Performance!$U$5:$U$404,Performance!$B$5:$B$404,A46))</f>
        <v>0</v>
      </c>
      <c r="AH46" s="23">
        <f>IF(A46="","",COUNTIF(Repurposing!$B$5:$B$154,A46))</f>
        <v>0</v>
      </c>
      <c r="AI46" s="32">
        <f>IF(OR(H46="",B46=""),"",B46+ROW()/100000)</f>
        <v>0</v>
      </c>
      <c r="AJ46" s="32">
        <f>IF(OR(H46="",B46=""),"",IF(OR(X46="Published",X46="Cancelled",X46="Archived"),"",IF(B46&lt;TODAY(),"",B46+ROW()/100000)))</f>
        <v>0</v>
      </c>
      <c r="AK46" s="32">
        <f>IF(OR(H46="",B46=""),"",IF(OR(X46="Published",X46="Cancelled",X46="Archived"),"",IF(B46&gt;=TODAY(),"",B46+ROW()/100000)))</f>
        <v>0</v>
      </c>
      <c r="AL46" s="29">
        <f>IF(H46="","",IF(COUNTIFS('Content Calendar'!$H$5:$H$604,H46,'Content Calendar'!$G$5:$G$604,G46,'Content Calendar'!$B$5:$B$604,B46)&gt;1,"Duplicate","OK"))</f>
        <v>0</v>
      </c>
      <c r="AM46" s="29">
        <f>IF(H46="","",IF(AND(B46&lt;&gt;"",B46&lt;TODAY(),X46&lt;&gt;"Published",X46&lt;&gt;"Cancelled",X46&lt;&gt;"Archived"),"Overdue - date has passed",IF(AND(X46="Published",AB46=""),"Add - publish link missing",IF(AND(B46=TODAY(),X46&lt;&gt;"Published"),"Today - due to go live",IF(AND(Y46&lt;&gt;"",Y46&lt;TODAY(),OR(X46="Idea",X46="Brief",X46="In production")),"Late - draft not ready",IF(AND(AA46&gt;=0,AA46&lt;=3,OR(X46="Draft",X46="Awaiting review")),"Due - needs approval",IF(AND(H46&lt;&gt;"",P46=""),"Add - caption missing","OK")))))))</f>
        <v>0</v>
      </c>
      <c r="AN46" s="39" t="s">
        <v>205</v>
      </c>
    </row>
    <row r="47" spans="1:40">
      <c r="A47" s="41">
        <f>IF(H47="","",ContentPrefix&amp;TEXT(ROW()-4,"0000"))</f>
        <v>0</v>
      </c>
      <c r="B47" s="43">
        <v>46306</v>
      </c>
      <c r="C47" s="15" t="s">
        <v>635</v>
      </c>
      <c r="D47" s="17">
        <f>IF(B47="","",TEXT(B47,"yyyy-mm"))</f>
        <v>0</v>
      </c>
      <c r="E47" s="23">
        <f>IF(B47="","",WEEKNUM(B47,IF(WeekStart="Sunday",1,2)))</f>
        <v>0</v>
      </c>
      <c r="F47" s="17">
        <f>IF(B47="","",TEXT(B47,"ddd"))</f>
        <v>0</v>
      </c>
      <c r="G47" s="15" t="s">
        <v>376</v>
      </c>
      <c r="H47" s="15" t="s">
        <v>1084</v>
      </c>
      <c r="I47" s="39" t="s">
        <v>1085</v>
      </c>
      <c r="J47" s="15" t="s">
        <v>878</v>
      </c>
      <c r="K47" s="15" t="s">
        <v>398</v>
      </c>
      <c r="L47" s="15" t="s">
        <v>1049</v>
      </c>
      <c r="M47" s="15" t="s">
        <v>432</v>
      </c>
      <c r="N47" s="15" t="s">
        <v>435</v>
      </c>
      <c r="O47" s="15" t="s">
        <v>834</v>
      </c>
      <c r="P47" s="15" t="s">
        <v>961</v>
      </c>
      <c r="Q47" s="29">
        <f>IF(H47="","",IF(P47="","Add - no caption",IFERROR(INDEX('Caption Bank'!$R$5:$R$204,MATCH(P47,'Caption Bank'!$B$5:$B$204,0)),"Check - not in bank")))</f>
        <v>0</v>
      </c>
      <c r="R47" s="15" t="s">
        <v>939</v>
      </c>
      <c r="S47" s="23">
        <f>IF(R47="","",COUNTIF('Hashtag Bank'!$D$5:$D$304,R47))</f>
        <v>0</v>
      </c>
      <c r="T47" s="15" t="s">
        <v>928</v>
      </c>
      <c r="U47" s="29">
        <f>IF(H47="","",IF(T47="","Add - no asset",IFERROR(INDEX(Assets!$N$5:$N$254,MATCH(T47,Assets!$A$5:$A$254,0)),"Check - not in library")))</f>
        <v>0</v>
      </c>
      <c r="V47" s="15" t="s">
        <v>439</v>
      </c>
      <c r="W47" s="15" t="s">
        <v>801</v>
      </c>
      <c r="X47" s="48" t="s">
        <v>423</v>
      </c>
      <c r="Y47" s="16">
        <f>IF(B47="","",B47-ProductionDays)</f>
        <v>0</v>
      </c>
      <c r="Z47" s="16">
        <f>IF(B47="","",B47-ApprovalDays)</f>
        <v>0</v>
      </c>
      <c r="AA47" s="23">
        <f>IF(B47="","",B47-TODAY())</f>
        <v>0</v>
      </c>
      <c r="AB47" s="42" t="s">
        <v>205</v>
      </c>
      <c r="AC47" s="29">
        <f>IF(H47="","",IF(X47="Published",IF(AB47="","Add - link missing","Yes"),"No"))</f>
        <v>0</v>
      </c>
      <c r="AD47" s="23">
        <f>IF(A47="","",IF(COUNTIF(Performance!$B$5:$B$404,A47)=0,"",SUMIFS(Performance!$O$5:$O$404,Performance!$B$5:$B$404,A47)))</f>
        <v>0</v>
      </c>
      <c r="AE47" s="23">
        <f>IF(AD47="","",SUMIFS(Performance!$Z$5:$Z$404,Performance!$B$5:$B$404,A47))</f>
        <v>0</v>
      </c>
      <c r="AF47" s="24">
        <f>IF(OR(AD47="",AD47=0),"",AE47/AD47)</f>
        <v>0</v>
      </c>
      <c r="AG47" s="23">
        <f>IF(AD47="","",SUMIFS(Performance!$U$5:$U$404,Performance!$B$5:$B$404,A47))</f>
        <v>0</v>
      </c>
      <c r="AH47" s="23">
        <f>IF(A47="","",COUNTIF(Repurposing!$B$5:$B$154,A47))</f>
        <v>0</v>
      </c>
      <c r="AI47" s="32">
        <f>IF(OR(H47="",B47=""),"",B47+ROW()/100000)</f>
        <v>0</v>
      </c>
      <c r="AJ47" s="32">
        <f>IF(OR(H47="",B47=""),"",IF(OR(X47="Published",X47="Cancelled",X47="Archived"),"",IF(B47&lt;TODAY(),"",B47+ROW()/100000)))</f>
        <v>0</v>
      </c>
      <c r="AK47" s="32">
        <f>IF(OR(H47="",B47=""),"",IF(OR(X47="Published",X47="Cancelled",X47="Archived"),"",IF(B47&gt;=TODAY(),"",B47+ROW()/100000)))</f>
        <v>0</v>
      </c>
      <c r="AL47" s="29">
        <f>IF(H47="","",IF(COUNTIFS('Content Calendar'!$H$5:$H$604,H47,'Content Calendar'!$G$5:$G$604,G47,'Content Calendar'!$B$5:$B$604,B47)&gt;1,"Duplicate","OK"))</f>
        <v>0</v>
      </c>
      <c r="AM47" s="29">
        <f>IF(H47="","",IF(AND(B47&lt;&gt;"",B47&lt;TODAY(),X47&lt;&gt;"Published",X47&lt;&gt;"Cancelled",X47&lt;&gt;"Archived"),"Overdue - date has passed",IF(AND(X47="Published",AB47=""),"Add - publish link missing",IF(AND(B47=TODAY(),X47&lt;&gt;"Published"),"Today - due to go live",IF(AND(Y47&lt;&gt;"",Y47&lt;TODAY(),OR(X47="Idea",X47="Brief",X47="In production")),"Late - draft not ready",IF(AND(AA47&gt;=0,AA47&lt;=3,OR(X47="Draft",X47="Awaiting review")),"Due - needs approval",IF(AND(H47&lt;&gt;"",P47=""),"Add - caption missing","OK")))))))</f>
        <v>0</v>
      </c>
      <c r="AN47" s="39" t="s">
        <v>205</v>
      </c>
    </row>
    <row r="48" spans="1:40">
      <c r="A48" s="41">
        <f>IF(H48="","",ContentPrefix&amp;TEXT(ROW()-4,"0000"))</f>
        <v>0</v>
      </c>
      <c r="B48" s="43">
        <v>46307</v>
      </c>
      <c r="C48" s="15" t="s">
        <v>636</v>
      </c>
      <c r="D48" s="17">
        <f>IF(B48="","",TEXT(B48,"yyyy-mm"))</f>
        <v>0</v>
      </c>
      <c r="E48" s="23">
        <f>IF(B48="","",WEEKNUM(B48,IF(WeekStart="Sunday",1,2)))</f>
        <v>0</v>
      </c>
      <c r="F48" s="17">
        <f>IF(B48="","",TEXT(B48,"ddd"))</f>
        <v>0</v>
      </c>
      <c r="G48" s="15" t="s">
        <v>378</v>
      </c>
      <c r="H48" s="15" t="s">
        <v>1086</v>
      </c>
      <c r="I48" s="39" t="s">
        <v>1087</v>
      </c>
      <c r="J48" s="15" t="s">
        <v>888</v>
      </c>
      <c r="K48" s="15" t="s">
        <v>408</v>
      </c>
      <c r="L48" s="15" t="s">
        <v>1049</v>
      </c>
      <c r="M48" s="15" t="s">
        <v>170</v>
      </c>
      <c r="N48" s="15" t="s">
        <v>436</v>
      </c>
      <c r="O48" s="15" t="s">
        <v>849</v>
      </c>
      <c r="P48" s="15" t="s">
        <v>966</v>
      </c>
      <c r="Q48" s="29">
        <f>IF(H48="","",IF(P48="","Add - no caption",IFERROR(INDEX('Caption Bank'!$R$5:$R$204,MATCH(P48,'Caption Bank'!$B$5:$B$204,0)),"Check - not in bank")))</f>
        <v>0</v>
      </c>
      <c r="R48" s="15" t="s">
        <v>945</v>
      </c>
      <c r="S48" s="23">
        <f>IF(R48="","",COUNTIF('Hashtag Bank'!$D$5:$D$304,R48))</f>
        <v>0</v>
      </c>
      <c r="T48" s="15" t="s">
        <v>934</v>
      </c>
      <c r="U48" s="29">
        <f>IF(H48="","",IF(T48="","Add - no asset",IFERROR(INDEX(Assets!$N$5:$N$254,MATCH(T48,Assets!$A$5:$A$254,0)),"Check - not in library")))</f>
        <v>0</v>
      </c>
      <c r="V48" s="15" t="s">
        <v>443</v>
      </c>
      <c r="W48" s="15" t="s">
        <v>804</v>
      </c>
      <c r="X48" s="48" t="s">
        <v>423</v>
      </c>
      <c r="Y48" s="16">
        <f>IF(B48="","",B48-ProductionDays)</f>
        <v>0</v>
      </c>
      <c r="Z48" s="16">
        <f>IF(B48="","",B48-ApprovalDays)</f>
        <v>0</v>
      </c>
      <c r="AA48" s="23">
        <f>IF(B48="","",B48-TODAY())</f>
        <v>0</v>
      </c>
      <c r="AB48" s="42" t="s">
        <v>205</v>
      </c>
      <c r="AC48" s="29">
        <f>IF(H48="","",IF(X48="Published",IF(AB48="","Add - link missing","Yes"),"No"))</f>
        <v>0</v>
      </c>
      <c r="AD48" s="23">
        <f>IF(A48="","",IF(COUNTIF(Performance!$B$5:$B$404,A48)=0,"",SUMIFS(Performance!$O$5:$O$404,Performance!$B$5:$B$404,A48)))</f>
        <v>0</v>
      </c>
      <c r="AE48" s="23">
        <f>IF(AD48="","",SUMIFS(Performance!$Z$5:$Z$404,Performance!$B$5:$B$404,A48))</f>
        <v>0</v>
      </c>
      <c r="AF48" s="24">
        <f>IF(OR(AD48="",AD48=0),"",AE48/AD48)</f>
        <v>0</v>
      </c>
      <c r="AG48" s="23">
        <f>IF(AD48="","",SUMIFS(Performance!$U$5:$U$404,Performance!$B$5:$B$404,A48))</f>
        <v>0</v>
      </c>
      <c r="AH48" s="23">
        <f>IF(A48="","",COUNTIF(Repurposing!$B$5:$B$154,A48))</f>
        <v>0</v>
      </c>
      <c r="AI48" s="32">
        <f>IF(OR(H48="",B48=""),"",B48+ROW()/100000)</f>
        <v>0</v>
      </c>
      <c r="AJ48" s="32">
        <f>IF(OR(H48="",B48=""),"",IF(OR(X48="Published",X48="Cancelled",X48="Archived"),"",IF(B48&lt;TODAY(),"",B48+ROW()/100000)))</f>
        <v>0</v>
      </c>
      <c r="AK48" s="32">
        <f>IF(OR(H48="",B48=""),"",IF(OR(X48="Published",X48="Cancelled",X48="Archived"),"",IF(B48&gt;=TODAY(),"",B48+ROW()/100000)))</f>
        <v>0</v>
      </c>
      <c r="AL48" s="29">
        <f>IF(H48="","",IF(COUNTIFS('Content Calendar'!$H$5:$H$604,H48,'Content Calendar'!$G$5:$G$604,G48,'Content Calendar'!$B$5:$B$604,B48)&gt;1,"Duplicate","OK"))</f>
        <v>0</v>
      </c>
      <c r="AM48" s="29">
        <f>IF(H48="","",IF(AND(B48&lt;&gt;"",B48&lt;TODAY(),X48&lt;&gt;"Published",X48&lt;&gt;"Cancelled",X48&lt;&gt;"Archived"),"Overdue - date has passed",IF(AND(X48="Published",AB48=""),"Add - publish link missing",IF(AND(B48=TODAY(),X48&lt;&gt;"Published"),"Today - due to go live",IF(AND(Y48&lt;&gt;"",Y48&lt;TODAY(),OR(X48="Idea",X48="Brief",X48="In production")),"Late - draft not ready",IF(AND(AA48&gt;=0,AA48&lt;=3,OR(X48="Draft",X48="Awaiting review")),"Due - needs approval",IF(AND(H48&lt;&gt;"",P48=""),"Add - caption missing","OK")))))))</f>
        <v>0</v>
      </c>
      <c r="AN48" s="39" t="s">
        <v>205</v>
      </c>
    </row>
    <row r="49" spans="1:40">
      <c r="A49" s="41">
        <f>IF(H49="","",ContentPrefix&amp;TEXT(ROW()-4,"0000"))</f>
        <v>0</v>
      </c>
      <c r="B49" s="43">
        <v>46308</v>
      </c>
      <c r="C49" s="15" t="s">
        <v>635</v>
      </c>
      <c r="D49" s="17">
        <f>IF(B49="","",TEXT(B49,"yyyy-mm"))</f>
        <v>0</v>
      </c>
      <c r="E49" s="23">
        <f>IF(B49="","",WEEKNUM(B49,IF(WeekStart="Sunday",1,2)))</f>
        <v>0</v>
      </c>
      <c r="F49" s="17">
        <f>IF(B49="","",TEXT(B49,"ddd"))</f>
        <v>0</v>
      </c>
      <c r="G49" s="15" t="s">
        <v>376</v>
      </c>
      <c r="H49" s="15" t="s">
        <v>1088</v>
      </c>
      <c r="I49" s="39" t="s">
        <v>1089</v>
      </c>
      <c r="J49" s="15" t="s">
        <v>881</v>
      </c>
      <c r="K49" s="15" t="s">
        <v>397</v>
      </c>
      <c r="L49" s="15" t="s">
        <v>1049</v>
      </c>
      <c r="M49" s="15" t="s">
        <v>427</v>
      </c>
      <c r="N49" s="15" t="s">
        <v>427</v>
      </c>
      <c r="O49" s="15" t="s">
        <v>858</v>
      </c>
      <c r="P49" s="15" t="s">
        <v>971</v>
      </c>
      <c r="Q49" s="29">
        <f>IF(H49="","",IF(P49="","Add - no caption",IFERROR(INDEX('Caption Bank'!$R$5:$R$204,MATCH(P49,'Caption Bank'!$B$5:$B$204,0)),"Check - not in bank")))</f>
        <v>0</v>
      </c>
      <c r="R49" s="15" t="s">
        <v>927</v>
      </c>
      <c r="S49" s="23">
        <f>IF(R49="","",COUNTIF('Hashtag Bank'!$D$5:$D$304,R49))</f>
        <v>0</v>
      </c>
      <c r="T49" s="15" t="s">
        <v>940</v>
      </c>
      <c r="U49" s="29">
        <f>IF(H49="","",IF(T49="","Add - no asset",IFERROR(INDEX(Assets!$N$5:$N$254,MATCH(T49,Assets!$A$5:$A$254,0)),"Check - not in library")))</f>
        <v>0</v>
      </c>
      <c r="V49" s="15" t="s">
        <v>438</v>
      </c>
      <c r="W49" s="15" t="s">
        <v>281</v>
      </c>
      <c r="X49" s="48" t="s">
        <v>423</v>
      </c>
      <c r="Y49" s="16">
        <f>IF(B49="","",B49-ProductionDays)</f>
        <v>0</v>
      </c>
      <c r="Z49" s="16">
        <f>IF(B49="","",B49-ApprovalDays)</f>
        <v>0</v>
      </c>
      <c r="AA49" s="23">
        <f>IF(B49="","",B49-TODAY())</f>
        <v>0</v>
      </c>
      <c r="AB49" s="42" t="s">
        <v>205</v>
      </c>
      <c r="AC49" s="29">
        <f>IF(H49="","",IF(X49="Published",IF(AB49="","Add - link missing","Yes"),"No"))</f>
        <v>0</v>
      </c>
      <c r="AD49" s="23">
        <f>IF(A49="","",IF(COUNTIF(Performance!$B$5:$B$404,A49)=0,"",SUMIFS(Performance!$O$5:$O$404,Performance!$B$5:$B$404,A49)))</f>
        <v>0</v>
      </c>
      <c r="AE49" s="23">
        <f>IF(AD49="","",SUMIFS(Performance!$Z$5:$Z$404,Performance!$B$5:$B$404,A49))</f>
        <v>0</v>
      </c>
      <c r="AF49" s="24">
        <f>IF(OR(AD49="",AD49=0),"",AE49/AD49)</f>
        <v>0</v>
      </c>
      <c r="AG49" s="23">
        <f>IF(AD49="","",SUMIFS(Performance!$U$5:$U$404,Performance!$B$5:$B$404,A49))</f>
        <v>0</v>
      </c>
      <c r="AH49" s="23">
        <f>IF(A49="","",COUNTIF(Repurposing!$B$5:$B$154,A49))</f>
        <v>0</v>
      </c>
      <c r="AI49" s="32">
        <f>IF(OR(H49="",B49=""),"",B49+ROW()/100000)</f>
        <v>0</v>
      </c>
      <c r="AJ49" s="32">
        <f>IF(OR(H49="",B49=""),"",IF(OR(X49="Published",X49="Cancelled",X49="Archived"),"",IF(B49&lt;TODAY(),"",B49+ROW()/100000)))</f>
        <v>0</v>
      </c>
      <c r="AK49" s="32">
        <f>IF(OR(H49="",B49=""),"",IF(OR(X49="Published",X49="Cancelled",X49="Archived"),"",IF(B49&gt;=TODAY(),"",B49+ROW()/100000)))</f>
        <v>0</v>
      </c>
      <c r="AL49" s="29">
        <f>IF(H49="","",IF(COUNTIFS('Content Calendar'!$H$5:$H$604,H49,'Content Calendar'!$G$5:$G$604,G49,'Content Calendar'!$B$5:$B$604,B49)&gt;1,"Duplicate","OK"))</f>
        <v>0</v>
      </c>
      <c r="AM49" s="29">
        <f>IF(H49="","",IF(AND(B49&lt;&gt;"",B49&lt;TODAY(),X49&lt;&gt;"Published",X49&lt;&gt;"Cancelled",X49&lt;&gt;"Archived"),"Overdue - date has passed",IF(AND(X49="Published",AB49=""),"Add - publish link missing",IF(AND(B49=TODAY(),X49&lt;&gt;"Published"),"Today - due to go live",IF(AND(Y49&lt;&gt;"",Y49&lt;TODAY(),OR(X49="Idea",X49="Brief",X49="In production")),"Late - draft not ready",IF(AND(AA49&gt;=0,AA49&lt;=3,OR(X49="Draft",X49="Awaiting review")),"Due - needs approval",IF(AND(H49&lt;&gt;"",P49=""),"Add - caption missing","OK")))))))</f>
        <v>0</v>
      </c>
      <c r="AN49" s="39" t="s">
        <v>205</v>
      </c>
    </row>
    <row r="50" spans="1:40">
      <c r="A50" s="41">
        <f>IF(H50="","",ContentPrefix&amp;TEXT(ROW()-4,"0000"))</f>
        <v>0</v>
      </c>
      <c r="B50" s="43">
        <v>46309</v>
      </c>
      <c r="C50" s="15" t="s">
        <v>637</v>
      </c>
      <c r="D50" s="17">
        <f>IF(B50="","",TEXT(B50,"yyyy-mm"))</f>
        <v>0</v>
      </c>
      <c r="E50" s="23">
        <f>IF(B50="","",WEEKNUM(B50,IF(WeekStart="Sunday",1,2)))</f>
        <v>0</v>
      </c>
      <c r="F50" s="17">
        <f>IF(B50="","",TEXT(B50,"ddd"))</f>
        <v>0</v>
      </c>
      <c r="G50" s="15" t="s">
        <v>379</v>
      </c>
      <c r="H50" s="15" t="s">
        <v>1090</v>
      </c>
      <c r="I50" s="39" t="s">
        <v>1091</v>
      </c>
      <c r="J50" s="15" t="s">
        <v>878</v>
      </c>
      <c r="K50" s="15" t="s">
        <v>401</v>
      </c>
      <c r="L50" s="15" t="s">
        <v>1049</v>
      </c>
      <c r="M50" s="15" t="s">
        <v>432</v>
      </c>
      <c r="N50" s="15" t="s">
        <v>435</v>
      </c>
      <c r="O50" s="15" t="s">
        <v>834</v>
      </c>
      <c r="P50" s="15" t="s">
        <v>976</v>
      </c>
      <c r="Q50" s="29">
        <f>IF(H50="","",IF(P50="","Add - no caption",IFERROR(INDEX('Caption Bank'!$R$5:$R$204,MATCH(P50,'Caption Bank'!$B$5:$B$204,0)),"Check - not in bank")))</f>
        <v>0</v>
      </c>
      <c r="R50" s="15" t="s">
        <v>933</v>
      </c>
      <c r="S50" s="23">
        <f>IF(R50="","",COUNTIF('Hashtag Bank'!$D$5:$D$304,R50))</f>
        <v>0</v>
      </c>
      <c r="T50" s="15" t="s">
        <v>946</v>
      </c>
      <c r="U50" s="29">
        <f>IF(H50="","",IF(T50="","Add - no asset",IFERROR(INDEX(Assets!$N$5:$N$254,MATCH(T50,Assets!$A$5:$A$254,0)),"Check - not in library")))</f>
        <v>0</v>
      </c>
      <c r="V50" s="15" t="s">
        <v>439</v>
      </c>
      <c r="W50" s="15" t="s">
        <v>797</v>
      </c>
      <c r="X50" s="48" t="s">
        <v>422</v>
      </c>
      <c r="Y50" s="16">
        <f>IF(B50="","",B50-ProductionDays)</f>
        <v>0</v>
      </c>
      <c r="Z50" s="16">
        <f>IF(B50="","",B50-ApprovalDays)</f>
        <v>0</v>
      </c>
      <c r="AA50" s="23">
        <f>IF(B50="","",B50-TODAY())</f>
        <v>0</v>
      </c>
      <c r="AB50" s="42" t="s">
        <v>205</v>
      </c>
      <c r="AC50" s="29">
        <f>IF(H50="","",IF(X50="Published",IF(AB50="","Add - link missing","Yes"),"No"))</f>
        <v>0</v>
      </c>
      <c r="AD50" s="23">
        <f>IF(A50="","",IF(COUNTIF(Performance!$B$5:$B$404,A50)=0,"",SUMIFS(Performance!$O$5:$O$404,Performance!$B$5:$B$404,A50)))</f>
        <v>0</v>
      </c>
      <c r="AE50" s="23">
        <f>IF(AD50="","",SUMIFS(Performance!$Z$5:$Z$404,Performance!$B$5:$B$404,A50))</f>
        <v>0</v>
      </c>
      <c r="AF50" s="24">
        <f>IF(OR(AD50="",AD50=0),"",AE50/AD50)</f>
        <v>0</v>
      </c>
      <c r="AG50" s="23">
        <f>IF(AD50="","",SUMIFS(Performance!$U$5:$U$404,Performance!$B$5:$B$404,A50))</f>
        <v>0</v>
      </c>
      <c r="AH50" s="23">
        <f>IF(A50="","",COUNTIF(Repurposing!$B$5:$B$154,A50))</f>
        <v>0</v>
      </c>
      <c r="AI50" s="32">
        <f>IF(OR(H50="",B50=""),"",B50+ROW()/100000)</f>
        <v>0</v>
      </c>
      <c r="AJ50" s="32">
        <f>IF(OR(H50="",B50=""),"",IF(OR(X50="Published",X50="Cancelled",X50="Archived"),"",IF(B50&lt;TODAY(),"",B50+ROW()/100000)))</f>
        <v>0</v>
      </c>
      <c r="AK50" s="32">
        <f>IF(OR(H50="",B50=""),"",IF(OR(X50="Published",X50="Cancelled",X50="Archived"),"",IF(B50&gt;=TODAY(),"",B50+ROW()/100000)))</f>
        <v>0</v>
      </c>
      <c r="AL50" s="29">
        <f>IF(H50="","",IF(COUNTIFS('Content Calendar'!$H$5:$H$604,H50,'Content Calendar'!$G$5:$G$604,G50,'Content Calendar'!$B$5:$B$604,B50)&gt;1,"Duplicate","OK"))</f>
        <v>0</v>
      </c>
      <c r="AM50" s="29">
        <f>IF(H50="","",IF(AND(B50&lt;&gt;"",B50&lt;TODAY(),X50&lt;&gt;"Published",X50&lt;&gt;"Cancelled",X50&lt;&gt;"Archived"),"Overdue - date has passed",IF(AND(X50="Published",AB50=""),"Add - publish link missing",IF(AND(B50=TODAY(),X50&lt;&gt;"Published"),"Today - due to go live",IF(AND(Y50&lt;&gt;"",Y50&lt;TODAY(),OR(X50="Idea",X50="Brief",X50="In production")),"Late - draft not ready",IF(AND(AA50&gt;=0,AA50&lt;=3,OR(X50="Draft",X50="Awaiting review")),"Due - needs approval",IF(AND(H50&lt;&gt;"",P50=""),"Add - caption missing","OK")))))))</f>
        <v>0</v>
      </c>
      <c r="AN50" s="39" t="s">
        <v>205</v>
      </c>
    </row>
    <row r="51" spans="1:40">
      <c r="A51" s="41">
        <f>IF(H51="","",ContentPrefix&amp;TEXT(ROW()-4,"0000"))</f>
        <v>0</v>
      </c>
      <c r="B51" s="43">
        <v>46310</v>
      </c>
      <c r="C51" s="15" t="s">
        <v>638</v>
      </c>
      <c r="D51" s="17">
        <f>IF(B51="","",TEXT(B51,"yyyy-mm"))</f>
        <v>0</v>
      </c>
      <c r="E51" s="23">
        <f>IF(B51="","",WEEKNUM(B51,IF(WeekStart="Sunday",1,2)))</f>
        <v>0</v>
      </c>
      <c r="F51" s="17">
        <f>IF(B51="","",TEXT(B51,"ddd"))</f>
        <v>0</v>
      </c>
      <c r="G51" s="15" t="s">
        <v>377</v>
      </c>
      <c r="H51" s="15" t="s">
        <v>1092</v>
      </c>
      <c r="I51" s="39" t="s">
        <v>1093</v>
      </c>
      <c r="J51" s="15" t="s">
        <v>891</v>
      </c>
      <c r="K51" s="15" t="s">
        <v>398</v>
      </c>
      <c r="L51" s="15" t="s">
        <v>1049</v>
      </c>
      <c r="M51" s="15" t="s">
        <v>427</v>
      </c>
      <c r="N51" s="15" t="s">
        <v>427</v>
      </c>
      <c r="O51" s="15" t="s">
        <v>849</v>
      </c>
      <c r="P51" s="15" t="s">
        <v>981</v>
      </c>
      <c r="Q51" s="29">
        <f>IF(H51="","",IF(P51="","Add - no caption",IFERROR(INDEX('Caption Bank'!$R$5:$R$204,MATCH(P51,'Caption Bank'!$B$5:$B$204,0)),"Check - not in bank")))</f>
        <v>0</v>
      </c>
      <c r="R51" s="15" t="s">
        <v>939</v>
      </c>
      <c r="S51" s="23">
        <f>IF(R51="","",COUNTIF('Hashtag Bank'!$D$5:$D$304,R51))</f>
        <v>0</v>
      </c>
      <c r="T51" s="15" t="s">
        <v>952</v>
      </c>
      <c r="U51" s="29">
        <f>IF(H51="","",IF(T51="","Add - no asset",IFERROR(INDEX(Assets!$N$5:$N$254,MATCH(T51,Assets!$A$5:$A$254,0)),"Check - not in library")))</f>
        <v>0</v>
      </c>
      <c r="V51" s="15" t="s">
        <v>440</v>
      </c>
      <c r="W51" s="15" t="s">
        <v>801</v>
      </c>
      <c r="X51" s="48" t="s">
        <v>422</v>
      </c>
      <c r="Y51" s="16">
        <f>IF(B51="","",B51-ProductionDays)</f>
        <v>0</v>
      </c>
      <c r="Z51" s="16">
        <f>IF(B51="","",B51-ApprovalDays)</f>
        <v>0</v>
      </c>
      <c r="AA51" s="23">
        <f>IF(B51="","",B51-TODAY())</f>
        <v>0</v>
      </c>
      <c r="AB51" s="42" t="s">
        <v>205</v>
      </c>
      <c r="AC51" s="29">
        <f>IF(H51="","",IF(X51="Published",IF(AB51="","Add - link missing","Yes"),"No"))</f>
        <v>0</v>
      </c>
      <c r="AD51" s="23">
        <f>IF(A51="","",IF(COUNTIF(Performance!$B$5:$B$404,A51)=0,"",SUMIFS(Performance!$O$5:$O$404,Performance!$B$5:$B$404,A51)))</f>
        <v>0</v>
      </c>
      <c r="AE51" s="23">
        <f>IF(AD51="","",SUMIFS(Performance!$Z$5:$Z$404,Performance!$B$5:$B$404,A51))</f>
        <v>0</v>
      </c>
      <c r="AF51" s="24">
        <f>IF(OR(AD51="",AD51=0),"",AE51/AD51)</f>
        <v>0</v>
      </c>
      <c r="AG51" s="23">
        <f>IF(AD51="","",SUMIFS(Performance!$U$5:$U$404,Performance!$B$5:$B$404,A51))</f>
        <v>0</v>
      </c>
      <c r="AH51" s="23">
        <f>IF(A51="","",COUNTIF(Repurposing!$B$5:$B$154,A51))</f>
        <v>0</v>
      </c>
      <c r="AI51" s="32">
        <f>IF(OR(H51="",B51=""),"",B51+ROW()/100000)</f>
        <v>0</v>
      </c>
      <c r="AJ51" s="32">
        <f>IF(OR(H51="",B51=""),"",IF(OR(X51="Published",X51="Cancelled",X51="Archived"),"",IF(B51&lt;TODAY(),"",B51+ROW()/100000)))</f>
        <v>0</v>
      </c>
      <c r="AK51" s="32">
        <f>IF(OR(H51="",B51=""),"",IF(OR(X51="Published",X51="Cancelled",X51="Archived"),"",IF(B51&gt;=TODAY(),"",B51+ROW()/100000)))</f>
        <v>0</v>
      </c>
      <c r="AL51" s="29">
        <f>IF(H51="","",IF(COUNTIFS('Content Calendar'!$H$5:$H$604,H51,'Content Calendar'!$G$5:$G$604,G51,'Content Calendar'!$B$5:$B$604,B51)&gt;1,"Duplicate","OK"))</f>
        <v>0</v>
      </c>
      <c r="AM51" s="29">
        <f>IF(H51="","",IF(AND(B51&lt;&gt;"",B51&lt;TODAY(),X51&lt;&gt;"Published",X51&lt;&gt;"Cancelled",X51&lt;&gt;"Archived"),"Overdue - date has passed",IF(AND(X51="Published",AB51=""),"Add - publish link missing",IF(AND(B51=TODAY(),X51&lt;&gt;"Published"),"Today - due to go live",IF(AND(Y51&lt;&gt;"",Y51&lt;TODAY(),OR(X51="Idea",X51="Brief",X51="In production")),"Late - draft not ready",IF(AND(AA51&gt;=0,AA51&lt;=3,OR(X51="Draft",X51="Awaiting review")),"Due - needs approval",IF(AND(H51&lt;&gt;"",P51=""),"Add - caption missing","OK")))))))</f>
        <v>0</v>
      </c>
      <c r="AN51" s="39" t="s">
        <v>205</v>
      </c>
    </row>
    <row r="52" spans="1:40">
      <c r="A52" s="41">
        <f>IF(H52="","",ContentPrefix&amp;TEXT(ROW()-4,"0000"))</f>
        <v>0</v>
      </c>
      <c r="B52" s="43">
        <v>46311</v>
      </c>
      <c r="C52" s="15" t="s">
        <v>635</v>
      </c>
      <c r="D52" s="17">
        <f>IF(B52="","",TEXT(B52,"yyyy-mm"))</f>
        <v>0</v>
      </c>
      <c r="E52" s="23">
        <f>IF(B52="","",WEEKNUM(B52,IF(WeekStart="Sunday",1,2)))</f>
        <v>0</v>
      </c>
      <c r="F52" s="17">
        <f>IF(B52="","",TEXT(B52,"ddd"))</f>
        <v>0</v>
      </c>
      <c r="G52" s="15" t="s">
        <v>376</v>
      </c>
      <c r="H52" s="15" t="s">
        <v>1094</v>
      </c>
      <c r="I52" s="39" t="s">
        <v>1095</v>
      </c>
      <c r="J52" s="15" t="s">
        <v>888</v>
      </c>
      <c r="K52" s="15" t="s">
        <v>396</v>
      </c>
      <c r="L52" s="15" t="s">
        <v>1049</v>
      </c>
      <c r="M52" s="15" t="s">
        <v>170</v>
      </c>
      <c r="N52" s="15" t="s">
        <v>436</v>
      </c>
      <c r="O52" s="15" t="s">
        <v>858</v>
      </c>
      <c r="P52" s="15" t="s">
        <v>986</v>
      </c>
      <c r="Q52" s="29">
        <f>IF(H52="","",IF(P52="","Add - no caption",IFERROR(INDEX('Caption Bank'!$R$5:$R$204,MATCH(P52,'Caption Bank'!$B$5:$B$204,0)),"Check - not in bank")))</f>
        <v>0</v>
      </c>
      <c r="R52" s="15" t="s">
        <v>945</v>
      </c>
      <c r="S52" s="23">
        <f>IF(R52="","",COUNTIF('Hashtag Bank'!$D$5:$D$304,R52))</f>
        <v>0</v>
      </c>
      <c r="T52" s="15" t="s">
        <v>957</v>
      </c>
      <c r="U52" s="29">
        <f>IF(H52="","",IF(T52="","Add - no asset",IFERROR(INDEX(Assets!$N$5:$N$254,MATCH(T52,Assets!$A$5:$A$254,0)),"Check - not in library")))</f>
        <v>0</v>
      </c>
      <c r="V52" s="15" t="s">
        <v>443</v>
      </c>
      <c r="W52" s="15" t="s">
        <v>804</v>
      </c>
      <c r="X52" s="48" t="s">
        <v>422</v>
      </c>
      <c r="Y52" s="16">
        <f>IF(B52="","",B52-ProductionDays)</f>
        <v>0</v>
      </c>
      <c r="Z52" s="16">
        <f>IF(B52="","",B52-ApprovalDays)</f>
        <v>0</v>
      </c>
      <c r="AA52" s="23">
        <f>IF(B52="","",B52-TODAY())</f>
        <v>0</v>
      </c>
      <c r="AB52" s="42" t="s">
        <v>205</v>
      </c>
      <c r="AC52" s="29">
        <f>IF(H52="","",IF(X52="Published",IF(AB52="","Add - link missing","Yes"),"No"))</f>
        <v>0</v>
      </c>
      <c r="AD52" s="23">
        <f>IF(A52="","",IF(COUNTIF(Performance!$B$5:$B$404,A52)=0,"",SUMIFS(Performance!$O$5:$O$404,Performance!$B$5:$B$404,A52)))</f>
        <v>0</v>
      </c>
      <c r="AE52" s="23">
        <f>IF(AD52="","",SUMIFS(Performance!$Z$5:$Z$404,Performance!$B$5:$B$404,A52))</f>
        <v>0</v>
      </c>
      <c r="AF52" s="24">
        <f>IF(OR(AD52="",AD52=0),"",AE52/AD52)</f>
        <v>0</v>
      </c>
      <c r="AG52" s="23">
        <f>IF(AD52="","",SUMIFS(Performance!$U$5:$U$404,Performance!$B$5:$B$404,A52))</f>
        <v>0</v>
      </c>
      <c r="AH52" s="23">
        <f>IF(A52="","",COUNTIF(Repurposing!$B$5:$B$154,A52))</f>
        <v>0</v>
      </c>
      <c r="AI52" s="32">
        <f>IF(OR(H52="",B52=""),"",B52+ROW()/100000)</f>
        <v>0</v>
      </c>
      <c r="AJ52" s="32">
        <f>IF(OR(H52="",B52=""),"",IF(OR(X52="Published",X52="Cancelled",X52="Archived"),"",IF(B52&lt;TODAY(),"",B52+ROW()/100000)))</f>
        <v>0</v>
      </c>
      <c r="AK52" s="32">
        <f>IF(OR(H52="",B52=""),"",IF(OR(X52="Published",X52="Cancelled",X52="Archived"),"",IF(B52&gt;=TODAY(),"",B52+ROW()/100000)))</f>
        <v>0</v>
      </c>
      <c r="AL52" s="29">
        <f>IF(H52="","",IF(COUNTIFS('Content Calendar'!$H$5:$H$604,H52,'Content Calendar'!$G$5:$G$604,G52,'Content Calendar'!$B$5:$B$604,B52)&gt;1,"Duplicate","OK"))</f>
        <v>0</v>
      </c>
      <c r="AM52" s="29">
        <f>IF(H52="","",IF(AND(B52&lt;&gt;"",B52&lt;TODAY(),X52&lt;&gt;"Published",X52&lt;&gt;"Cancelled",X52&lt;&gt;"Archived"),"Overdue - date has passed",IF(AND(X52="Published",AB52=""),"Add - publish link missing",IF(AND(B52=TODAY(),X52&lt;&gt;"Published"),"Today - due to go live",IF(AND(Y52&lt;&gt;"",Y52&lt;TODAY(),OR(X52="Idea",X52="Brief",X52="In production")),"Late - draft not ready",IF(AND(AA52&gt;=0,AA52&lt;=3,OR(X52="Draft",X52="Awaiting review")),"Due - needs approval",IF(AND(H52&lt;&gt;"",P52=""),"Add - caption missing","OK")))))))</f>
        <v>0</v>
      </c>
      <c r="AN52" s="39" t="s">
        <v>205</v>
      </c>
    </row>
    <row r="53" spans="1:40">
      <c r="A53" s="41">
        <f>IF(H53="","",ContentPrefix&amp;TEXT(ROW()-4,"0000"))</f>
        <v>0</v>
      </c>
      <c r="B53" s="43">
        <v>46312</v>
      </c>
      <c r="C53" s="15" t="s">
        <v>635</v>
      </c>
      <c r="D53" s="17">
        <f>IF(B53="","",TEXT(B53,"yyyy-mm"))</f>
        <v>0</v>
      </c>
      <c r="E53" s="23">
        <f>IF(B53="","",WEEKNUM(B53,IF(WeekStart="Sunday",1,2)))</f>
        <v>0</v>
      </c>
      <c r="F53" s="17">
        <f>IF(B53="","",TEXT(B53,"ddd"))</f>
        <v>0</v>
      </c>
      <c r="G53" s="15" t="s">
        <v>380</v>
      </c>
      <c r="H53" s="15" t="s">
        <v>1096</v>
      </c>
      <c r="I53" s="39" t="s">
        <v>1097</v>
      </c>
      <c r="J53" s="15" t="s">
        <v>888</v>
      </c>
      <c r="K53" s="15" t="s">
        <v>396</v>
      </c>
      <c r="L53" s="15" t="s">
        <v>1049</v>
      </c>
      <c r="M53" s="15" t="s">
        <v>170</v>
      </c>
      <c r="N53" s="15" t="s">
        <v>436</v>
      </c>
      <c r="O53" s="15" t="s">
        <v>834</v>
      </c>
      <c r="P53" s="15" t="s">
        <v>926</v>
      </c>
      <c r="Q53" s="29">
        <f>IF(H53="","",IF(P53="","Add - no caption",IFERROR(INDEX('Caption Bank'!$R$5:$R$204,MATCH(P53,'Caption Bank'!$B$5:$B$204,0)),"Check - not in bank")))</f>
        <v>0</v>
      </c>
      <c r="R53" s="15" t="s">
        <v>927</v>
      </c>
      <c r="S53" s="23">
        <f>IF(R53="","",COUNTIF('Hashtag Bank'!$D$5:$D$304,R53))</f>
        <v>0</v>
      </c>
      <c r="T53" s="15" t="s">
        <v>962</v>
      </c>
      <c r="U53" s="29">
        <f>IF(H53="","",IF(T53="","Add - no asset",IFERROR(INDEX(Assets!$N$5:$N$254,MATCH(T53,Assets!$A$5:$A$254,0)),"Check - not in library")))</f>
        <v>0</v>
      </c>
      <c r="V53" s="15" t="s">
        <v>443</v>
      </c>
      <c r="W53" s="15" t="s">
        <v>281</v>
      </c>
      <c r="X53" s="48" t="s">
        <v>422</v>
      </c>
      <c r="Y53" s="16">
        <f>IF(B53="","",B53-ProductionDays)</f>
        <v>0</v>
      </c>
      <c r="Z53" s="16">
        <f>IF(B53="","",B53-ApprovalDays)</f>
        <v>0</v>
      </c>
      <c r="AA53" s="23">
        <f>IF(B53="","",B53-TODAY())</f>
        <v>0</v>
      </c>
      <c r="AB53" s="42" t="s">
        <v>205</v>
      </c>
      <c r="AC53" s="29">
        <f>IF(H53="","",IF(X53="Published",IF(AB53="","Add - link missing","Yes"),"No"))</f>
        <v>0</v>
      </c>
      <c r="AD53" s="23">
        <f>IF(A53="","",IF(COUNTIF(Performance!$B$5:$B$404,A53)=0,"",SUMIFS(Performance!$O$5:$O$404,Performance!$B$5:$B$404,A53)))</f>
        <v>0</v>
      </c>
      <c r="AE53" s="23">
        <f>IF(AD53="","",SUMIFS(Performance!$Z$5:$Z$404,Performance!$B$5:$B$404,A53))</f>
        <v>0</v>
      </c>
      <c r="AF53" s="24">
        <f>IF(OR(AD53="",AD53=0),"",AE53/AD53)</f>
        <v>0</v>
      </c>
      <c r="AG53" s="23">
        <f>IF(AD53="","",SUMIFS(Performance!$U$5:$U$404,Performance!$B$5:$B$404,A53))</f>
        <v>0</v>
      </c>
      <c r="AH53" s="23">
        <f>IF(A53="","",COUNTIF(Repurposing!$B$5:$B$154,A53))</f>
        <v>0</v>
      </c>
      <c r="AI53" s="32">
        <f>IF(OR(H53="",B53=""),"",B53+ROW()/100000)</f>
        <v>0</v>
      </c>
      <c r="AJ53" s="32">
        <f>IF(OR(H53="",B53=""),"",IF(OR(X53="Published",X53="Cancelled",X53="Archived"),"",IF(B53&lt;TODAY(),"",B53+ROW()/100000)))</f>
        <v>0</v>
      </c>
      <c r="AK53" s="32">
        <f>IF(OR(H53="",B53=""),"",IF(OR(X53="Published",X53="Cancelled",X53="Archived"),"",IF(B53&gt;=TODAY(),"",B53+ROW()/100000)))</f>
        <v>0</v>
      </c>
      <c r="AL53" s="29">
        <f>IF(H53="","",IF(COUNTIFS('Content Calendar'!$H$5:$H$604,H53,'Content Calendar'!$G$5:$G$604,G53,'Content Calendar'!$B$5:$B$604,B53)&gt;1,"Duplicate","OK"))</f>
        <v>0</v>
      </c>
      <c r="AM53" s="29">
        <f>IF(H53="","",IF(AND(B53&lt;&gt;"",B53&lt;TODAY(),X53&lt;&gt;"Published",X53&lt;&gt;"Cancelled",X53&lt;&gt;"Archived"),"Overdue - date has passed",IF(AND(X53="Published",AB53=""),"Add - publish link missing",IF(AND(B53=TODAY(),X53&lt;&gt;"Published"),"Today - due to go live",IF(AND(Y53&lt;&gt;"",Y53&lt;TODAY(),OR(X53="Idea",X53="Brief",X53="In production")),"Late - draft not ready",IF(AND(AA53&gt;=0,AA53&lt;=3,OR(X53="Draft",X53="Awaiting review")),"Due - needs approval",IF(AND(H53&lt;&gt;"",P53=""),"Add - caption missing","OK")))))))</f>
        <v>0</v>
      </c>
      <c r="AN53" s="39" t="s">
        <v>205</v>
      </c>
    </row>
    <row r="54" spans="1:40">
      <c r="A54" s="41">
        <f>IF(H54="","",ContentPrefix&amp;TEXT(ROW()-4,"0000"))</f>
        <v>0</v>
      </c>
      <c r="B54" s="43">
        <v>46314</v>
      </c>
      <c r="C54" s="15" t="s">
        <v>635</v>
      </c>
      <c r="D54" s="17">
        <f>IF(B54="","",TEXT(B54,"yyyy-mm"))</f>
        <v>0</v>
      </c>
      <c r="E54" s="23">
        <f>IF(B54="","",WEEKNUM(B54,IF(WeekStart="Sunday",1,2)))</f>
        <v>0</v>
      </c>
      <c r="F54" s="17">
        <f>IF(B54="","",TEXT(B54,"ddd"))</f>
        <v>0</v>
      </c>
      <c r="G54" s="15" t="s">
        <v>376</v>
      </c>
      <c r="H54" s="15" t="s">
        <v>1098</v>
      </c>
      <c r="I54" s="39" t="s">
        <v>1099</v>
      </c>
      <c r="J54" s="15" t="s">
        <v>462</v>
      </c>
      <c r="K54" s="15" t="s">
        <v>398</v>
      </c>
      <c r="L54" s="15" t="s">
        <v>1049</v>
      </c>
      <c r="M54" s="15" t="s">
        <v>430</v>
      </c>
      <c r="N54" s="15" t="s">
        <v>427</v>
      </c>
      <c r="O54" s="15" t="s">
        <v>849</v>
      </c>
      <c r="P54" s="15" t="s">
        <v>932</v>
      </c>
      <c r="Q54" s="29">
        <f>IF(H54="","",IF(P54="","Add - no caption",IFERROR(INDEX('Caption Bank'!$R$5:$R$204,MATCH(P54,'Caption Bank'!$B$5:$B$204,0)),"Check - not in bank")))</f>
        <v>0</v>
      </c>
      <c r="R54" s="15" t="s">
        <v>933</v>
      </c>
      <c r="S54" s="23">
        <f>IF(R54="","",COUNTIF('Hashtag Bank'!$D$5:$D$304,R54))</f>
        <v>0</v>
      </c>
      <c r="T54" s="15" t="s">
        <v>967</v>
      </c>
      <c r="U54" s="29">
        <f>IF(H54="","",IF(T54="","Add - no asset",IFERROR(INDEX(Assets!$N$5:$N$254,MATCH(T54,Assets!$A$5:$A$254,0)),"Check - not in library")))</f>
        <v>0</v>
      </c>
      <c r="V54" s="15" t="s">
        <v>441</v>
      </c>
      <c r="W54" s="15" t="s">
        <v>797</v>
      </c>
      <c r="X54" s="48" t="s">
        <v>419</v>
      </c>
      <c r="Y54" s="16">
        <f>IF(B54="","",B54-ProductionDays)</f>
        <v>0</v>
      </c>
      <c r="Z54" s="16">
        <f>IF(B54="","",B54-ApprovalDays)</f>
        <v>0</v>
      </c>
      <c r="AA54" s="23">
        <f>IF(B54="","",B54-TODAY())</f>
        <v>0</v>
      </c>
      <c r="AB54" s="42" t="s">
        <v>205</v>
      </c>
      <c r="AC54" s="29">
        <f>IF(H54="","",IF(X54="Published",IF(AB54="","Add - link missing","Yes"),"No"))</f>
        <v>0</v>
      </c>
      <c r="AD54" s="23">
        <f>IF(A54="","",IF(COUNTIF(Performance!$B$5:$B$404,A54)=0,"",SUMIFS(Performance!$O$5:$O$404,Performance!$B$5:$B$404,A54)))</f>
        <v>0</v>
      </c>
      <c r="AE54" s="23">
        <f>IF(AD54="","",SUMIFS(Performance!$Z$5:$Z$404,Performance!$B$5:$B$404,A54))</f>
        <v>0</v>
      </c>
      <c r="AF54" s="24">
        <f>IF(OR(AD54="",AD54=0),"",AE54/AD54)</f>
        <v>0</v>
      </c>
      <c r="AG54" s="23">
        <f>IF(AD54="","",SUMIFS(Performance!$U$5:$U$404,Performance!$B$5:$B$404,A54))</f>
        <v>0</v>
      </c>
      <c r="AH54" s="23">
        <f>IF(A54="","",COUNTIF(Repurposing!$B$5:$B$154,A54))</f>
        <v>0</v>
      </c>
      <c r="AI54" s="32">
        <f>IF(OR(H54="",B54=""),"",B54+ROW()/100000)</f>
        <v>0</v>
      </c>
      <c r="AJ54" s="32">
        <f>IF(OR(H54="",B54=""),"",IF(OR(X54="Published",X54="Cancelled",X54="Archived"),"",IF(B54&lt;TODAY(),"",B54+ROW()/100000)))</f>
        <v>0</v>
      </c>
      <c r="AK54" s="32">
        <f>IF(OR(H54="",B54=""),"",IF(OR(X54="Published",X54="Cancelled",X54="Archived"),"",IF(B54&gt;=TODAY(),"",B54+ROW()/100000)))</f>
        <v>0</v>
      </c>
      <c r="AL54" s="29">
        <f>IF(H54="","",IF(COUNTIFS('Content Calendar'!$H$5:$H$604,H54,'Content Calendar'!$G$5:$G$604,G54,'Content Calendar'!$B$5:$B$604,B54)&gt;1,"Duplicate","OK"))</f>
        <v>0</v>
      </c>
      <c r="AM54" s="29">
        <f>IF(H54="","",IF(AND(B54&lt;&gt;"",B54&lt;TODAY(),X54&lt;&gt;"Published",X54&lt;&gt;"Cancelled",X54&lt;&gt;"Archived"),"Overdue - date has passed",IF(AND(X54="Published",AB54=""),"Add - publish link missing",IF(AND(B54=TODAY(),X54&lt;&gt;"Published"),"Today - due to go live",IF(AND(Y54&lt;&gt;"",Y54&lt;TODAY(),OR(X54="Idea",X54="Brief",X54="In production")),"Late - draft not ready",IF(AND(AA54&gt;=0,AA54&lt;=3,OR(X54="Draft",X54="Awaiting review")),"Due - needs approval",IF(AND(H54&lt;&gt;"",P54=""),"Add - caption missing","OK")))))))</f>
        <v>0</v>
      </c>
      <c r="AN54" s="39" t="s">
        <v>205</v>
      </c>
    </row>
    <row r="55" spans="1:40">
      <c r="A55" s="41">
        <f>IF(H55="","",ContentPrefix&amp;TEXT(ROW()-4,"0000"))</f>
        <v>0</v>
      </c>
      <c r="B55" s="43">
        <v>46315</v>
      </c>
      <c r="C55" s="15" t="s">
        <v>636</v>
      </c>
      <c r="D55" s="17">
        <f>IF(B55="","",TEXT(B55,"yyyy-mm"))</f>
        <v>0</v>
      </c>
      <c r="E55" s="23">
        <f>IF(B55="","",WEEKNUM(B55,IF(WeekStart="Sunday",1,2)))</f>
        <v>0</v>
      </c>
      <c r="F55" s="17">
        <f>IF(B55="","",TEXT(B55,"ddd"))</f>
        <v>0</v>
      </c>
      <c r="G55" s="15" t="s">
        <v>378</v>
      </c>
      <c r="H55" s="15" t="s">
        <v>1100</v>
      </c>
      <c r="I55" s="39" t="s">
        <v>1101</v>
      </c>
      <c r="J55" s="15" t="s">
        <v>878</v>
      </c>
      <c r="K55" s="15" t="s">
        <v>409</v>
      </c>
      <c r="L55" s="15" t="s">
        <v>1049</v>
      </c>
      <c r="M55" s="15" t="s">
        <v>432</v>
      </c>
      <c r="N55" s="15" t="s">
        <v>435</v>
      </c>
      <c r="O55" s="15" t="s">
        <v>858</v>
      </c>
      <c r="P55" s="15" t="s">
        <v>938</v>
      </c>
      <c r="Q55" s="29">
        <f>IF(H55="","",IF(P55="","Add - no caption",IFERROR(INDEX('Caption Bank'!$R$5:$R$204,MATCH(P55,'Caption Bank'!$B$5:$B$204,0)),"Check - not in bank")))</f>
        <v>0</v>
      </c>
      <c r="R55" s="15" t="s">
        <v>939</v>
      </c>
      <c r="S55" s="23">
        <f>IF(R55="","",COUNTIF('Hashtag Bank'!$D$5:$D$304,R55))</f>
        <v>0</v>
      </c>
      <c r="T55" s="15" t="s">
        <v>972</v>
      </c>
      <c r="U55" s="29">
        <f>IF(H55="","",IF(T55="","Add - no asset",IFERROR(INDEX(Assets!$N$5:$N$254,MATCH(T55,Assets!$A$5:$A$254,0)),"Check - not in library")))</f>
        <v>0</v>
      </c>
      <c r="V55" s="15" t="s">
        <v>439</v>
      </c>
      <c r="W55" s="15" t="s">
        <v>801</v>
      </c>
      <c r="X55" s="48" t="s">
        <v>419</v>
      </c>
      <c r="Y55" s="16">
        <f>IF(B55="","",B55-ProductionDays)</f>
        <v>0</v>
      </c>
      <c r="Z55" s="16">
        <f>IF(B55="","",B55-ApprovalDays)</f>
        <v>0</v>
      </c>
      <c r="AA55" s="23">
        <f>IF(B55="","",B55-TODAY())</f>
        <v>0</v>
      </c>
      <c r="AB55" s="42" t="s">
        <v>205</v>
      </c>
      <c r="AC55" s="29">
        <f>IF(H55="","",IF(X55="Published",IF(AB55="","Add - link missing","Yes"),"No"))</f>
        <v>0</v>
      </c>
      <c r="AD55" s="23">
        <f>IF(A55="","",IF(COUNTIF(Performance!$B$5:$B$404,A55)=0,"",SUMIFS(Performance!$O$5:$O$404,Performance!$B$5:$B$404,A55)))</f>
        <v>0</v>
      </c>
      <c r="AE55" s="23">
        <f>IF(AD55="","",SUMIFS(Performance!$Z$5:$Z$404,Performance!$B$5:$B$404,A55))</f>
        <v>0</v>
      </c>
      <c r="AF55" s="24">
        <f>IF(OR(AD55="",AD55=0),"",AE55/AD55)</f>
        <v>0</v>
      </c>
      <c r="AG55" s="23">
        <f>IF(AD55="","",SUMIFS(Performance!$U$5:$U$404,Performance!$B$5:$B$404,A55))</f>
        <v>0</v>
      </c>
      <c r="AH55" s="23">
        <f>IF(A55="","",COUNTIF(Repurposing!$B$5:$B$154,A55))</f>
        <v>0</v>
      </c>
      <c r="AI55" s="32">
        <f>IF(OR(H55="",B55=""),"",B55+ROW()/100000)</f>
        <v>0</v>
      </c>
      <c r="AJ55" s="32">
        <f>IF(OR(H55="",B55=""),"",IF(OR(X55="Published",X55="Cancelled",X55="Archived"),"",IF(B55&lt;TODAY(),"",B55+ROW()/100000)))</f>
        <v>0</v>
      </c>
      <c r="AK55" s="32">
        <f>IF(OR(H55="",B55=""),"",IF(OR(X55="Published",X55="Cancelled",X55="Archived"),"",IF(B55&gt;=TODAY(),"",B55+ROW()/100000)))</f>
        <v>0</v>
      </c>
      <c r="AL55" s="29">
        <f>IF(H55="","",IF(COUNTIFS('Content Calendar'!$H$5:$H$604,H55,'Content Calendar'!$G$5:$G$604,G55,'Content Calendar'!$B$5:$B$604,B55)&gt;1,"Duplicate","OK"))</f>
        <v>0</v>
      </c>
      <c r="AM55" s="29">
        <f>IF(H55="","",IF(AND(B55&lt;&gt;"",B55&lt;TODAY(),X55&lt;&gt;"Published",X55&lt;&gt;"Cancelled",X55&lt;&gt;"Archived"),"Overdue - date has passed",IF(AND(X55="Published",AB55=""),"Add - publish link missing",IF(AND(B55=TODAY(),X55&lt;&gt;"Published"),"Today - due to go live",IF(AND(Y55&lt;&gt;"",Y55&lt;TODAY(),OR(X55="Idea",X55="Brief",X55="In production")),"Late - draft not ready",IF(AND(AA55&gt;=0,AA55&lt;=3,OR(X55="Draft",X55="Awaiting review")),"Due - needs approval",IF(AND(H55&lt;&gt;"",P55=""),"Add - caption missing","OK")))))))</f>
        <v>0</v>
      </c>
      <c r="AN55" s="39" t="s">
        <v>205</v>
      </c>
    </row>
    <row r="56" spans="1:40">
      <c r="A56" s="41">
        <f>IF(H56="","",ContentPrefix&amp;TEXT(ROW()-4,"0000"))</f>
        <v>0</v>
      </c>
      <c r="B56" s="43">
        <v>46317</v>
      </c>
      <c r="C56" s="15" t="s">
        <v>635</v>
      </c>
      <c r="D56" s="17">
        <f>IF(B56="","",TEXT(B56,"yyyy-mm"))</f>
        <v>0</v>
      </c>
      <c r="E56" s="23">
        <f>IF(B56="","",WEEKNUM(B56,IF(WeekStart="Sunday",1,2)))</f>
        <v>0</v>
      </c>
      <c r="F56" s="17">
        <f>IF(B56="","",TEXT(B56,"ddd"))</f>
        <v>0</v>
      </c>
      <c r="G56" s="15" t="s">
        <v>376</v>
      </c>
      <c r="H56" s="15" t="s">
        <v>1102</v>
      </c>
      <c r="I56" s="39" t="s">
        <v>1103</v>
      </c>
      <c r="J56" s="15" t="s">
        <v>430</v>
      </c>
      <c r="K56" s="15" t="s">
        <v>397</v>
      </c>
      <c r="L56" s="15" t="s">
        <v>1049</v>
      </c>
      <c r="M56" s="15" t="s">
        <v>428</v>
      </c>
      <c r="N56" s="15" t="s">
        <v>431</v>
      </c>
      <c r="O56" s="15" t="s">
        <v>834</v>
      </c>
      <c r="P56" s="15" t="s">
        <v>944</v>
      </c>
      <c r="Q56" s="29">
        <f>IF(H56="","",IF(P56="","Add - no caption",IFERROR(INDEX('Caption Bank'!$R$5:$R$204,MATCH(P56,'Caption Bank'!$B$5:$B$204,0)),"Check - not in bank")))</f>
        <v>0</v>
      </c>
      <c r="R56" s="15" t="s">
        <v>945</v>
      </c>
      <c r="S56" s="23">
        <f>IF(R56="","",COUNTIF('Hashtag Bank'!$D$5:$D$304,R56))</f>
        <v>0</v>
      </c>
      <c r="T56" s="15" t="s">
        <v>977</v>
      </c>
      <c r="U56" s="29">
        <f>IF(H56="","",IF(T56="","Add - no asset",IFERROR(INDEX(Assets!$N$5:$N$254,MATCH(T56,Assets!$A$5:$A$254,0)),"Check - not in library")))</f>
        <v>0</v>
      </c>
      <c r="V56" s="15" t="s">
        <v>449</v>
      </c>
      <c r="W56" s="15" t="s">
        <v>804</v>
      </c>
      <c r="X56" s="48" t="s">
        <v>418</v>
      </c>
      <c r="Y56" s="16">
        <f>IF(B56="","",B56-ProductionDays)</f>
        <v>0</v>
      </c>
      <c r="Z56" s="16">
        <f>IF(B56="","",B56-ApprovalDays)</f>
        <v>0</v>
      </c>
      <c r="AA56" s="23">
        <f>IF(B56="","",B56-TODAY())</f>
        <v>0</v>
      </c>
      <c r="AB56" s="42" t="s">
        <v>205</v>
      </c>
      <c r="AC56" s="29">
        <f>IF(H56="","",IF(X56="Published",IF(AB56="","Add - link missing","Yes"),"No"))</f>
        <v>0</v>
      </c>
      <c r="AD56" s="23">
        <f>IF(A56="","",IF(COUNTIF(Performance!$B$5:$B$404,A56)=0,"",SUMIFS(Performance!$O$5:$O$404,Performance!$B$5:$B$404,A56)))</f>
        <v>0</v>
      </c>
      <c r="AE56" s="23">
        <f>IF(AD56="","",SUMIFS(Performance!$Z$5:$Z$404,Performance!$B$5:$B$404,A56))</f>
        <v>0</v>
      </c>
      <c r="AF56" s="24">
        <f>IF(OR(AD56="",AD56=0),"",AE56/AD56)</f>
        <v>0</v>
      </c>
      <c r="AG56" s="23">
        <f>IF(AD56="","",SUMIFS(Performance!$U$5:$U$404,Performance!$B$5:$B$404,A56))</f>
        <v>0</v>
      </c>
      <c r="AH56" s="23">
        <f>IF(A56="","",COUNTIF(Repurposing!$B$5:$B$154,A56))</f>
        <v>0</v>
      </c>
      <c r="AI56" s="32">
        <f>IF(OR(H56="",B56=""),"",B56+ROW()/100000)</f>
        <v>0</v>
      </c>
      <c r="AJ56" s="32">
        <f>IF(OR(H56="",B56=""),"",IF(OR(X56="Published",X56="Cancelled",X56="Archived"),"",IF(B56&lt;TODAY(),"",B56+ROW()/100000)))</f>
        <v>0</v>
      </c>
      <c r="AK56" s="32">
        <f>IF(OR(H56="",B56=""),"",IF(OR(X56="Published",X56="Cancelled",X56="Archived"),"",IF(B56&gt;=TODAY(),"",B56+ROW()/100000)))</f>
        <v>0</v>
      </c>
      <c r="AL56" s="29">
        <f>IF(H56="","",IF(COUNTIFS('Content Calendar'!$H$5:$H$604,H56,'Content Calendar'!$G$5:$G$604,G56,'Content Calendar'!$B$5:$B$604,B56)&gt;1,"Duplicate","OK"))</f>
        <v>0</v>
      </c>
      <c r="AM56" s="29">
        <f>IF(H56="","",IF(AND(B56&lt;&gt;"",B56&lt;TODAY(),X56&lt;&gt;"Published",X56&lt;&gt;"Cancelled",X56&lt;&gt;"Archived"),"Overdue - date has passed",IF(AND(X56="Published",AB56=""),"Add - publish link missing",IF(AND(B56=TODAY(),X56&lt;&gt;"Published"),"Today - due to go live",IF(AND(Y56&lt;&gt;"",Y56&lt;TODAY(),OR(X56="Idea",X56="Brief",X56="In production")),"Late - draft not ready",IF(AND(AA56&gt;=0,AA56&lt;=3,OR(X56="Draft",X56="Awaiting review")),"Due - needs approval",IF(AND(H56&lt;&gt;"",P56=""),"Add - caption missing","OK")))))))</f>
        <v>0</v>
      </c>
      <c r="AN56" s="39" t="s">
        <v>205</v>
      </c>
    </row>
    <row r="57" spans="1:40">
      <c r="A57" s="41">
        <f>IF(H57="","",ContentPrefix&amp;TEXT(ROW()-4,"0000"))</f>
        <v>0</v>
      </c>
      <c r="B57" s="43">
        <v>46319</v>
      </c>
      <c r="C57" s="15" t="s">
        <v>638</v>
      </c>
      <c r="D57" s="17">
        <f>IF(B57="","",TEXT(B57,"yyyy-mm"))</f>
        <v>0</v>
      </c>
      <c r="E57" s="23">
        <f>IF(B57="","",WEEKNUM(B57,IF(WeekStart="Sunday",1,2)))</f>
        <v>0</v>
      </c>
      <c r="F57" s="17">
        <f>IF(B57="","",TEXT(B57,"ddd"))</f>
        <v>0</v>
      </c>
      <c r="G57" s="15" t="s">
        <v>377</v>
      </c>
      <c r="H57" s="15" t="s">
        <v>1104</v>
      </c>
      <c r="I57" s="39" t="s">
        <v>1105</v>
      </c>
      <c r="J57" s="15" t="s">
        <v>888</v>
      </c>
      <c r="K57" s="15" t="s">
        <v>398</v>
      </c>
      <c r="L57" s="15" t="s">
        <v>1049</v>
      </c>
      <c r="M57" s="15" t="s">
        <v>170</v>
      </c>
      <c r="N57" s="15" t="s">
        <v>436</v>
      </c>
      <c r="O57" s="15" t="s">
        <v>849</v>
      </c>
      <c r="P57" s="15" t="s">
        <v>951</v>
      </c>
      <c r="Q57" s="29">
        <f>IF(H57="","",IF(P57="","Add - no caption",IFERROR(INDEX('Caption Bank'!$R$5:$R$204,MATCH(P57,'Caption Bank'!$B$5:$B$204,0)),"Check - not in bank")))</f>
        <v>0</v>
      </c>
      <c r="R57" s="15" t="s">
        <v>927</v>
      </c>
      <c r="S57" s="23">
        <f>IF(R57="","",COUNTIF('Hashtag Bank'!$D$5:$D$304,R57))</f>
        <v>0</v>
      </c>
      <c r="T57" s="15" t="s">
        <v>982</v>
      </c>
      <c r="U57" s="29">
        <f>IF(H57="","",IF(T57="","Add - no asset",IFERROR(INDEX(Assets!$N$5:$N$254,MATCH(T57,Assets!$A$5:$A$254,0)),"Check - not in library")))</f>
        <v>0</v>
      </c>
      <c r="V57" s="15" t="s">
        <v>443</v>
      </c>
      <c r="W57" s="15" t="s">
        <v>281</v>
      </c>
      <c r="X57" s="48" t="s">
        <v>417</v>
      </c>
      <c r="Y57" s="16">
        <f>IF(B57="","",B57-ProductionDays)</f>
        <v>0</v>
      </c>
      <c r="Z57" s="16">
        <f>IF(B57="","",B57-ApprovalDays)</f>
        <v>0</v>
      </c>
      <c r="AA57" s="23">
        <f>IF(B57="","",B57-TODAY())</f>
        <v>0</v>
      </c>
      <c r="AB57" s="42" t="s">
        <v>205</v>
      </c>
      <c r="AC57" s="29">
        <f>IF(H57="","",IF(X57="Published",IF(AB57="","Add - link missing","Yes"),"No"))</f>
        <v>0</v>
      </c>
      <c r="AD57" s="23">
        <f>IF(A57="","",IF(COUNTIF(Performance!$B$5:$B$404,A57)=0,"",SUMIFS(Performance!$O$5:$O$404,Performance!$B$5:$B$404,A57)))</f>
        <v>0</v>
      </c>
      <c r="AE57" s="23">
        <f>IF(AD57="","",SUMIFS(Performance!$Z$5:$Z$404,Performance!$B$5:$B$404,A57))</f>
        <v>0</v>
      </c>
      <c r="AF57" s="24">
        <f>IF(OR(AD57="",AD57=0),"",AE57/AD57)</f>
        <v>0</v>
      </c>
      <c r="AG57" s="23">
        <f>IF(AD57="","",SUMIFS(Performance!$U$5:$U$404,Performance!$B$5:$B$404,A57))</f>
        <v>0</v>
      </c>
      <c r="AH57" s="23">
        <f>IF(A57="","",COUNTIF(Repurposing!$B$5:$B$154,A57))</f>
        <v>0</v>
      </c>
      <c r="AI57" s="32">
        <f>IF(OR(H57="",B57=""),"",B57+ROW()/100000)</f>
        <v>0</v>
      </c>
      <c r="AJ57" s="32">
        <f>IF(OR(H57="",B57=""),"",IF(OR(X57="Published",X57="Cancelled",X57="Archived"),"",IF(B57&lt;TODAY(),"",B57+ROW()/100000)))</f>
        <v>0</v>
      </c>
      <c r="AK57" s="32">
        <f>IF(OR(H57="",B57=""),"",IF(OR(X57="Published",X57="Cancelled",X57="Archived"),"",IF(B57&gt;=TODAY(),"",B57+ROW()/100000)))</f>
        <v>0</v>
      </c>
      <c r="AL57" s="29">
        <f>IF(H57="","",IF(COUNTIFS('Content Calendar'!$H$5:$H$604,H57,'Content Calendar'!$G$5:$G$604,G57,'Content Calendar'!$B$5:$B$604,B57)&gt;1,"Duplicate","OK"))</f>
        <v>0</v>
      </c>
      <c r="AM57" s="29">
        <f>IF(H57="","",IF(AND(B57&lt;&gt;"",B57&lt;TODAY(),X57&lt;&gt;"Published",X57&lt;&gt;"Cancelled",X57&lt;&gt;"Archived"),"Overdue - date has passed",IF(AND(X57="Published",AB57=""),"Add - publish link missing",IF(AND(B57=TODAY(),X57&lt;&gt;"Published"),"Today - due to go live",IF(AND(Y57&lt;&gt;"",Y57&lt;TODAY(),OR(X57="Idea",X57="Brief",X57="In production")),"Late - draft not ready",IF(AND(AA57&gt;=0,AA57&lt;=3,OR(X57="Draft",X57="Awaiting review")),"Due - needs approval",IF(AND(H57&lt;&gt;"",P57=""),"Add - caption missing","OK")))))))</f>
        <v>0</v>
      </c>
      <c r="AN57" s="39" t="s">
        <v>205</v>
      </c>
    </row>
    <row r="58" spans="1:40">
      <c r="A58" s="41">
        <f>IF(H58="","",ContentPrefix&amp;TEXT(ROW()-4,"0000"))</f>
        <v>0</v>
      </c>
      <c r="B58" s="43">
        <v>46321</v>
      </c>
      <c r="C58" s="15" t="s">
        <v>635</v>
      </c>
      <c r="D58" s="17">
        <f>IF(B58="","",TEXT(B58,"yyyy-mm"))</f>
        <v>0</v>
      </c>
      <c r="E58" s="23">
        <f>IF(B58="","",WEEKNUM(B58,IF(WeekStart="Sunday",1,2)))</f>
        <v>0</v>
      </c>
      <c r="F58" s="17">
        <f>IF(B58="","",TEXT(B58,"ddd"))</f>
        <v>0</v>
      </c>
      <c r="G58" s="15" t="s">
        <v>376</v>
      </c>
      <c r="H58" s="15" t="s">
        <v>1106</v>
      </c>
      <c r="I58" s="39" t="s">
        <v>1107</v>
      </c>
      <c r="J58" s="15" t="s">
        <v>888</v>
      </c>
      <c r="K58" s="15" t="s">
        <v>399</v>
      </c>
      <c r="L58" s="15" t="s">
        <v>1049</v>
      </c>
      <c r="M58" s="15" t="s">
        <v>170</v>
      </c>
      <c r="N58" s="15" t="s">
        <v>436</v>
      </c>
      <c r="O58" s="15" t="s">
        <v>858</v>
      </c>
      <c r="P58" s="15" t="s">
        <v>956</v>
      </c>
      <c r="Q58" s="29">
        <f>IF(H58="","",IF(P58="","Add - no caption",IFERROR(INDEX('Caption Bank'!$R$5:$R$204,MATCH(P58,'Caption Bank'!$B$5:$B$204,0)),"Check - not in bank")))</f>
        <v>0</v>
      </c>
      <c r="R58" s="15" t="s">
        <v>933</v>
      </c>
      <c r="S58" s="23">
        <f>IF(R58="","",COUNTIF('Hashtag Bank'!$D$5:$D$304,R58))</f>
        <v>0</v>
      </c>
      <c r="T58" s="15" t="s">
        <v>987</v>
      </c>
      <c r="U58" s="29">
        <f>IF(H58="","",IF(T58="","Add - no asset",IFERROR(INDEX(Assets!$N$5:$N$254,MATCH(T58,Assets!$A$5:$A$254,0)),"Check - not in library")))</f>
        <v>0</v>
      </c>
      <c r="V58" s="15" t="s">
        <v>443</v>
      </c>
      <c r="W58" s="15" t="s">
        <v>797</v>
      </c>
      <c r="X58" s="48" t="s">
        <v>417</v>
      </c>
      <c r="Y58" s="16">
        <f>IF(B58="","",B58-ProductionDays)</f>
        <v>0</v>
      </c>
      <c r="Z58" s="16">
        <f>IF(B58="","",B58-ApprovalDays)</f>
        <v>0</v>
      </c>
      <c r="AA58" s="23">
        <f>IF(B58="","",B58-TODAY())</f>
        <v>0</v>
      </c>
      <c r="AB58" s="42" t="s">
        <v>205</v>
      </c>
      <c r="AC58" s="29">
        <f>IF(H58="","",IF(X58="Published",IF(AB58="","Add - link missing","Yes"),"No"))</f>
        <v>0</v>
      </c>
      <c r="AD58" s="23">
        <f>IF(A58="","",IF(COUNTIF(Performance!$B$5:$B$404,A58)=0,"",SUMIFS(Performance!$O$5:$O$404,Performance!$B$5:$B$404,A58)))</f>
        <v>0</v>
      </c>
      <c r="AE58" s="23">
        <f>IF(AD58="","",SUMIFS(Performance!$Z$5:$Z$404,Performance!$B$5:$B$404,A58))</f>
        <v>0</v>
      </c>
      <c r="AF58" s="24">
        <f>IF(OR(AD58="",AD58=0),"",AE58/AD58)</f>
        <v>0</v>
      </c>
      <c r="AG58" s="23">
        <f>IF(AD58="","",SUMIFS(Performance!$U$5:$U$404,Performance!$B$5:$B$404,A58))</f>
        <v>0</v>
      </c>
      <c r="AH58" s="23">
        <f>IF(A58="","",COUNTIF(Repurposing!$B$5:$B$154,A58))</f>
        <v>0</v>
      </c>
      <c r="AI58" s="32">
        <f>IF(OR(H58="",B58=""),"",B58+ROW()/100000)</f>
        <v>0</v>
      </c>
      <c r="AJ58" s="32">
        <f>IF(OR(H58="",B58=""),"",IF(OR(X58="Published",X58="Cancelled",X58="Archived"),"",IF(B58&lt;TODAY(),"",B58+ROW()/100000)))</f>
        <v>0</v>
      </c>
      <c r="AK58" s="32">
        <f>IF(OR(H58="",B58=""),"",IF(OR(X58="Published",X58="Cancelled",X58="Archived"),"",IF(B58&gt;=TODAY(),"",B58+ROW()/100000)))</f>
        <v>0</v>
      </c>
      <c r="AL58" s="29">
        <f>IF(H58="","",IF(COUNTIFS('Content Calendar'!$H$5:$H$604,H58,'Content Calendar'!$G$5:$G$604,G58,'Content Calendar'!$B$5:$B$604,B58)&gt;1,"Duplicate","OK"))</f>
        <v>0</v>
      </c>
      <c r="AM58" s="29">
        <f>IF(H58="","",IF(AND(B58&lt;&gt;"",B58&lt;TODAY(),X58&lt;&gt;"Published",X58&lt;&gt;"Cancelled",X58&lt;&gt;"Archived"),"Overdue - date has passed",IF(AND(X58="Published",AB58=""),"Add - publish link missing",IF(AND(B58=TODAY(),X58&lt;&gt;"Published"),"Today - due to go live",IF(AND(Y58&lt;&gt;"",Y58&lt;TODAY(),OR(X58="Idea",X58="Brief",X58="In production")),"Late - draft not ready",IF(AND(AA58&gt;=0,AA58&lt;=3,OR(X58="Draft",X58="Awaiting review")),"Due - needs approval",IF(AND(H58&lt;&gt;"",P58=""),"Add - caption missing","OK")))))))</f>
        <v>0</v>
      </c>
      <c r="AN58" s="39" t="s">
        <v>205</v>
      </c>
    </row>
    <row r="59" spans="1:40">
      <c r="A59" s="41">
        <f>IF(H59="","",ContentPrefix&amp;TEXT(ROW()-4,"0000"))</f>
        <v>0</v>
      </c>
      <c r="D59" s="17">
        <f>IF(B59="","",TEXT(B59,"yyyy-mm"))</f>
        <v>0</v>
      </c>
      <c r="E59" s="23">
        <f>IF(B59="","",WEEKNUM(B59,IF(WeekStart="Sunday",1,2)))</f>
        <v>0</v>
      </c>
      <c r="F59" s="17">
        <f>IF(B59="","",TEXT(B59,"ddd"))</f>
        <v>0</v>
      </c>
      <c r="Q59" s="29">
        <f>IF(H59="","",IF(P59="","Add - no caption",IFERROR(INDEX('Caption Bank'!$R$5:$R$204,MATCH(P59,'Caption Bank'!$B$5:$B$204,0)),"Check - not in bank")))</f>
        <v>0</v>
      </c>
      <c r="S59" s="23">
        <f>IF(R59="","",COUNTIF('Hashtag Bank'!$D$5:$D$304,R59))</f>
        <v>0</v>
      </c>
      <c r="U59" s="29">
        <f>IF(H59="","",IF(T59="","Add - no asset",IFERROR(INDEX(Assets!$N$5:$N$254,MATCH(T59,Assets!$A$5:$A$254,0)),"Check - not in library")))</f>
        <v>0</v>
      </c>
      <c r="Y59" s="16">
        <f>IF(B59="","",B59-ProductionDays)</f>
        <v>0</v>
      </c>
      <c r="Z59" s="16">
        <f>IF(B59="","",B59-ApprovalDays)</f>
        <v>0</v>
      </c>
      <c r="AA59" s="23">
        <f>IF(B59="","",B59-TODAY())</f>
        <v>0</v>
      </c>
      <c r="AC59" s="29">
        <f>IF(H59="","",IF(X59="Published",IF(AB59="","Add - link missing","Yes"),"No"))</f>
        <v>0</v>
      </c>
      <c r="AD59" s="23">
        <f>IF(A59="","",IF(COUNTIF(Performance!$B$5:$B$404,A59)=0,"",SUMIFS(Performance!$O$5:$O$404,Performance!$B$5:$B$404,A59)))</f>
        <v>0</v>
      </c>
      <c r="AE59" s="23">
        <f>IF(AD59="","",SUMIFS(Performance!$Z$5:$Z$404,Performance!$B$5:$B$404,A59))</f>
        <v>0</v>
      </c>
      <c r="AF59" s="24">
        <f>IF(OR(AD59="",AD59=0),"",AE59/AD59)</f>
        <v>0</v>
      </c>
      <c r="AG59" s="23">
        <f>IF(AD59="","",SUMIFS(Performance!$U$5:$U$404,Performance!$B$5:$B$404,A59))</f>
        <v>0</v>
      </c>
      <c r="AH59" s="23">
        <f>IF(A59="","",COUNTIF(Repurposing!$B$5:$B$154,A59))</f>
        <v>0</v>
      </c>
      <c r="AI59" s="32">
        <f>IF(OR(H59="",B59=""),"",B59+ROW()/100000)</f>
        <v>0</v>
      </c>
      <c r="AJ59" s="32">
        <f>IF(OR(H59="",B59=""),"",IF(OR(X59="Published",X59="Cancelled",X59="Archived"),"",IF(B59&lt;TODAY(),"",B59+ROW()/100000)))</f>
        <v>0</v>
      </c>
      <c r="AK59" s="32">
        <f>IF(OR(H59="",B59=""),"",IF(OR(X59="Published",X59="Cancelled",X59="Archived"),"",IF(B59&gt;=TODAY(),"",B59+ROW()/100000)))</f>
        <v>0</v>
      </c>
      <c r="AL59" s="29">
        <f>IF(H59="","",IF(COUNTIFS('Content Calendar'!$H$5:$H$604,H59,'Content Calendar'!$G$5:$G$604,G59,'Content Calendar'!$B$5:$B$604,B59)&gt;1,"Duplicate","OK"))</f>
        <v>0</v>
      </c>
      <c r="AM59" s="29">
        <f>IF(H59="","",IF(AND(B59&lt;&gt;"",B59&lt;TODAY(),X59&lt;&gt;"Published",X59&lt;&gt;"Cancelled",X59&lt;&gt;"Archived"),"Overdue - date has passed",IF(AND(X59="Published",AB59=""),"Add - publish link missing",IF(AND(B59=TODAY(),X59&lt;&gt;"Published"),"Today - due to go live",IF(AND(Y59&lt;&gt;"",Y59&lt;TODAY(),OR(X59="Idea",X59="Brief",X59="In production")),"Late - draft not ready",IF(AND(AA59&gt;=0,AA59&lt;=3,OR(X59="Draft",X59="Awaiting review")),"Due - needs approval",IF(AND(H59&lt;&gt;"",P59=""),"Add - caption missing","OK")))))))</f>
        <v>0</v>
      </c>
    </row>
    <row r="60" spans="1:40">
      <c r="A60" s="41">
        <f>IF(H60="","",ContentPrefix&amp;TEXT(ROW()-4,"0000"))</f>
        <v>0</v>
      </c>
      <c r="D60" s="17">
        <f>IF(B60="","",TEXT(B60,"yyyy-mm"))</f>
        <v>0</v>
      </c>
      <c r="E60" s="23">
        <f>IF(B60="","",WEEKNUM(B60,IF(WeekStart="Sunday",1,2)))</f>
        <v>0</v>
      </c>
      <c r="F60" s="17">
        <f>IF(B60="","",TEXT(B60,"ddd"))</f>
        <v>0</v>
      </c>
      <c r="Q60" s="29">
        <f>IF(H60="","",IF(P60="","Add - no caption",IFERROR(INDEX('Caption Bank'!$R$5:$R$204,MATCH(P60,'Caption Bank'!$B$5:$B$204,0)),"Check - not in bank")))</f>
        <v>0</v>
      </c>
      <c r="S60" s="23">
        <f>IF(R60="","",COUNTIF('Hashtag Bank'!$D$5:$D$304,R60))</f>
        <v>0</v>
      </c>
      <c r="U60" s="29">
        <f>IF(H60="","",IF(T60="","Add - no asset",IFERROR(INDEX(Assets!$N$5:$N$254,MATCH(T60,Assets!$A$5:$A$254,0)),"Check - not in library")))</f>
        <v>0</v>
      </c>
      <c r="Y60" s="16">
        <f>IF(B60="","",B60-ProductionDays)</f>
        <v>0</v>
      </c>
      <c r="Z60" s="16">
        <f>IF(B60="","",B60-ApprovalDays)</f>
        <v>0</v>
      </c>
      <c r="AA60" s="23">
        <f>IF(B60="","",B60-TODAY())</f>
        <v>0</v>
      </c>
      <c r="AC60" s="29">
        <f>IF(H60="","",IF(X60="Published",IF(AB60="","Add - link missing","Yes"),"No"))</f>
        <v>0</v>
      </c>
      <c r="AD60" s="23">
        <f>IF(A60="","",IF(COUNTIF(Performance!$B$5:$B$404,A60)=0,"",SUMIFS(Performance!$O$5:$O$404,Performance!$B$5:$B$404,A60)))</f>
        <v>0</v>
      </c>
      <c r="AE60" s="23">
        <f>IF(AD60="","",SUMIFS(Performance!$Z$5:$Z$404,Performance!$B$5:$B$404,A60))</f>
        <v>0</v>
      </c>
      <c r="AF60" s="24">
        <f>IF(OR(AD60="",AD60=0),"",AE60/AD60)</f>
        <v>0</v>
      </c>
      <c r="AG60" s="23">
        <f>IF(AD60="","",SUMIFS(Performance!$U$5:$U$404,Performance!$B$5:$B$404,A60))</f>
        <v>0</v>
      </c>
      <c r="AH60" s="23">
        <f>IF(A60="","",COUNTIF(Repurposing!$B$5:$B$154,A60))</f>
        <v>0</v>
      </c>
      <c r="AI60" s="32">
        <f>IF(OR(H60="",B60=""),"",B60+ROW()/100000)</f>
        <v>0</v>
      </c>
      <c r="AJ60" s="32">
        <f>IF(OR(H60="",B60=""),"",IF(OR(X60="Published",X60="Cancelled",X60="Archived"),"",IF(B60&lt;TODAY(),"",B60+ROW()/100000)))</f>
        <v>0</v>
      </c>
      <c r="AK60" s="32">
        <f>IF(OR(H60="",B60=""),"",IF(OR(X60="Published",X60="Cancelled",X60="Archived"),"",IF(B60&gt;=TODAY(),"",B60+ROW()/100000)))</f>
        <v>0</v>
      </c>
      <c r="AL60" s="29">
        <f>IF(H60="","",IF(COUNTIFS('Content Calendar'!$H$5:$H$604,H60,'Content Calendar'!$G$5:$G$604,G60,'Content Calendar'!$B$5:$B$604,B60)&gt;1,"Duplicate","OK"))</f>
        <v>0</v>
      </c>
      <c r="AM60" s="29">
        <f>IF(H60="","",IF(AND(B60&lt;&gt;"",B60&lt;TODAY(),X60&lt;&gt;"Published",X60&lt;&gt;"Cancelled",X60&lt;&gt;"Archived"),"Overdue - date has passed",IF(AND(X60="Published",AB60=""),"Add - publish link missing",IF(AND(B60=TODAY(),X60&lt;&gt;"Published"),"Today - due to go live",IF(AND(Y60&lt;&gt;"",Y60&lt;TODAY(),OR(X60="Idea",X60="Brief",X60="In production")),"Late - draft not ready",IF(AND(AA60&gt;=0,AA60&lt;=3,OR(X60="Draft",X60="Awaiting review")),"Due - needs approval",IF(AND(H60&lt;&gt;"",P60=""),"Add - caption missing","OK")))))))</f>
        <v>0</v>
      </c>
    </row>
    <row r="61" spans="1:40">
      <c r="A61" s="41">
        <f>IF(H61="","",ContentPrefix&amp;TEXT(ROW()-4,"0000"))</f>
        <v>0</v>
      </c>
      <c r="D61" s="17">
        <f>IF(B61="","",TEXT(B61,"yyyy-mm"))</f>
        <v>0</v>
      </c>
      <c r="E61" s="23">
        <f>IF(B61="","",WEEKNUM(B61,IF(WeekStart="Sunday",1,2)))</f>
        <v>0</v>
      </c>
      <c r="F61" s="17">
        <f>IF(B61="","",TEXT(B61,"ddd"))</f>
        <v>0</v>
      </c>
      <c r="Q61" s="29">
        <f>IF(H61="","",IF(P61="","Add - no caption",IFERROR(INDEX('Caption Bank'!$R$5:$R$204,MATCH(P61,'Caption Bank'!$B$5:$B$204,0)),"Check - not in bank")))</f>
        <v>0</v>
      </c>
      <c r="S61" s="23">
        <f>IF(R61="","",COUNTIF('Hashtag Bank'!$D$5:$D$304,R61))</f>
        <v>0</v>
      </c>
      <c r="U61" s="29">
        <f>IF(H61="","",IF(T61="","Add - no asset",IFERROR(INDEX(Assets!$N$5:$N$254,MATCH(T61,Assets!$A$5:$A$254,0)),"Check - not in library")))</f>
        <v>0</v>
      </c>
      <c r="Y61" s="16">
        <f>IF(B61="","",B61-ProductionDays)</f>
        <v>0</v>
      </c>
      <c r="Z61" s="16">
        <f>IF(B61="","",B61-ApprovalDays)</f>
        <v>0</v>
      </c>
      <c r="AA61" s="23">
        <f>IF(B61="","",B61-TODAY())</f>
        <v>0</v>
      </c>
      <c r="AC61" s="29">
        <f>IF(H61="","",IF(X61="Published",IF(AB61="","Add - link missing","Yes"),"No"))</f>
        <v>0</v>
      </c>
      <c r="AD61" s="23">
        <f>IF(A61="","",IF(COUNTIF(Performance!$B$5:$B$404,A61)=0,"",SUMIFS(Performance!$O$5:$O$404,Performance!$B$5:$B$404,A61)))</f>
        <v>0</v>
      </c>
      <c r="AE61" s="23">
        <f>IF(AD61="","",SUMIFS(Performance!$Z$5:$Z$404,Performance!$B$5:$B$404,A61))</f>
        <v>0</v>
      </c>
      <c r="AF61" s="24">
        <f>IF(OR(AD61="",AD61=0),"",AE61/AD61)</f>
        <v>0</v>
      </c>
      <c r="AG61" s="23">
        <f>IF(AD61="","",SUMIFS(Performance!$U$5:$U$404,Performance!$B$5:$B$404,A61))</f>
        <v>0</v>
      </c>
      <c r="AH61" s="23">
        <f>IF(A61="","",COUNTIF(Repurposing!$B$5:$B$154,A61))</f>
        <v>0</v>
      </c>
      <c r="AI61" s="32">
        <f>IF(OR(H61="",B61=""),"",B61+ROW()/100000)</f>
        <v>0</v>
      </c>
      <c r="AJ61" s="32">
        <f>IF(OR(H61="",B61=""),"",IF(OR(X61="Published",X61="Cancelled",X61="Archived"),"",IF(B61&lt;TODAY(),"",B61+ROW()/100000)))</f>
        <v>0</v>
      </c>
      <c r="AK61" s="32">
        <f>IF(OR(H61="",B61=""),"",IF(OR(X61="Published",X61="Cancelled",X61="Archived"),"",IF(B61&gt;=TODAY(),"",B61+ROW()/100000)))</f>
        <v>0</v>
      </c>
      <c r="AL61" s="29">
        <f>IF(H61="","",IF(COUNTIFS('Content Calendar'!$H$5:$H$604,H61,'Content Calendar'!$G$5:$G$604,G61,'Content Calendar'!$B$5:$B$604,B61)&gt;1,"Duplicate","OK"))</f>
        <v>0</v>
      </c>
      <c r="AM61" s="29">
        <f>IF(H61="","",IF(AND(B61&lt;&gt;"",B61&lt;TODAY(),X61&lt;&gt;"Published",X61&lt;&gt;"Cancelled",X61&lt;&gt;"Archived"),"Overdue - date has passed",IF(AND(X61="Published",AB61=""),"Add - publish link missing",IF(AND(B61=TODAY(),X61&lt;&gt;"Published"),"Today - due to go live",IF(AND(Y61&lt;&gt;"",Y61&lt;TODAY(),OR(X61="Idea",X61="Brief",X61="In production")),"Late - draft not ready",IF(AND(AA61&gt;=0,AA61&lt;=3,OR(X61="Draft",X61="Awaiting review")),"Due - needs approval",IF(AND(H61&lt;&gt;"",P61=""),"Add - caption missing","OK")))))))</f>
        <v>0</v>
      </c>
    </row>
    <row r="62" spans="1:40">
      <c r="A62" s="41">
        <f>IF(H62="","",ContentPrefix&amp;TEXT(ROW()-4,"0000"))</f>
        <v>0</v>
      </c>
      <c r="D62" s="17">
        <f>IF(B62="","",TEXT(B62,"yyyy-mm"))</f>
        <v>0</v>
      </c>
      <c r="E62" s="23">
        <f>IF(B62="","",WEEKNUM(B62,IF(WeekStart="Sunday",1,2)))</f>
        <v>0</v>
      </c>
      <c r="F62" s="17">
        <f>IF(B62="","",TEXT(B62,"ddd"))</f>
        <v>0</v>
      </c>
      <c r="Q62" s="29">
        <f>IF(H62="","",IF(P62="","Add - no caption",IFERROR(INDEX('Caption Bank'!$R$5:$R$204,MATCH(P62,'Caption Bank'!$B$5:$B$204,0)),"Check - not in bank")))</f>
        <v>0</v>
      </c>
      <c r="S62" s="23">
        <f>IF(R62="","",COUNTIF('Hashtag Bank'!$D$5:$D$304,R62))</f>
        <v>0</v>
      </c>
      <c r="U62" s="29">
        <f>IF(H62="","",IF(T62="","Add - no asset",IFERROR(INDEX(Assets!$N$5:$N$254,MATCH(T62,Assets!$A$5:$A$254,0)),"Check - not in library")))</f>
        <v>0</v>
      </c>
      <c r="Y62" s="16">
        <f>IF(B62="","",B62-ProductionDays)</f>
        <v>0</v>
      </c>
      <c r="Z62" s="16">
        <f>IF(B62="","",B62-ApprovalDays)</f>
        <v>0</v>
      </c>
      <c r="AA62" s="23">
        <f>IF(B62="","",B62-TODAY())</f>
        <v>0</v>
      </c>
      <c r="AC62" s="29">
        <f>IF(H62="","",IF(X62="Published",IF(AB62="","Add - link missing","Yes"),"No"))</f>
        <v>0</v>
      </c>
      <c r="AD62" s="23">
        <f>IF(A62="","",IF(COUNTIF(Performance!$B$5:$B$404,A62)=0,"",SUMIFS(Performance!$O$5:$O$404,Performance!$B$5:$B$404,A62)))</f>
        <v>0</v>
      </c>
      <c r="AE62" s="23">
        <f>IF(AD62="","",SUMIFS(Performance!$Z$5:$Z$404,Performance!$B$5:$B$404,A62))</f>
        <v>0</v>
      </c>
      <c r="AF62" s="24">
        <f>IF(OR(AD62="",AD62=0),"",AE62/AD62)</f>
        <v>0</v>
      </c>
      <c r="AG62" s="23">
        <f>IF(AD62="","",SUMIFS(Performance!$U$5:$U$404,Performance!$B$5:$B$404,A62))</f>
        <v>0</v>
      </c>
      <c r="AH62" s="23">
        <f>IF(A62="","",COUNTIF(Repurposing!$B$5:$B$154,A62))</f>
        <v>0</v>
      </c>
      <c r="AI62" s="32">
        <f>IF(OR(H62="",B62=""),"",B62+ROW()/100000)</f>
        <v>0</v>
      </c>
      <c r="AJ62" s="32">
        <f>IF(OR(H62="",B62=""),"",IF(OR(X62="Published",X62="Cancelled",X62="Archived"),"",IF(B62&lt;TODAY(),"",B62+ROW()/100000)))</f>
        <v>0</v>
      </c>
      <c r="AK62" s="32">
        <f>IF(OR(H62="",B62=""),"",IF(OR(X62="Published",X62="Cancelled",X62="Archived"),"",IF(B62&gt;=TODAY(),"",B62+ROW()/100000)))</f>
        <v>0</v>
      </c>
      <c r="AL62" s="29">
        <f>IF(H62="","",IF(COUNTIFS('Content Calendar'!$H$5:$H$604,H62,'Content Calendar'!$G$5:$G$604,G62,'Content Calendar'!$B$5:$B$604,B62)&gt;1,"Duplicate","OK"))</f>
        <v>0</v>
      </c>
      <c r="AM62" s="29">
        <f>IF(H62="","",IF(AND(B62&lt;&gt;"",B62&lt;TODAY(),X62&lt;&gt;"Published",X62&lt;&gt;"Cancelled",X62&lt;&gt;"Archived"),"Overdue - date has passed",IF(AND(X62="Published",AB62=""),"Add - publish link missing",IF(AND(B62=TODAY(),X62&lt;&gt;"Published"),"Today - due to go live",IF(AND(Y62&lt;&gt;"",Y62&lt;TODAY(),OR(X62="Idea",X62="Brief",X62="In production")),"Late - draft not ready",IF(AND(AA62&gt;=0,AA62&lt;=3,OR(X62="Draft",X62="Awaiting review")),"Due - needs approval",IF(AND(H62&lt;&gt;"",P62=""),"Add - caption missing","OK")))))))</f>
        <v>0</v>
      </c>
    </row>
    <row r="63" spans="1:40">
      <c r="A63" s="41">
        <f>IF(H63="","",ContentPrefix&amp;TEXT(ROW()-4,"0000"))</f>
        <v>0</v>
      </c>
      <c r="D63" s="17">
        <f>IF(B63="","",TEXT(B63,"yyyy-mm"))</f>
        <v>0</v>
      </c>
      <c r="E63" s="23">
        <f>IF(B63="","",WEEKNUM(B63,IF(WeekStart="Sunday",1,2)))</f>
        <v>0</v>
      </c>
      <c r="F63" s="17">
        <f>IF(B63="","",TEXT(B63,"ddd"))</f>
        <v>0</v>
      </c>
      <c r="Q63" s="29">
        <f>IF(H63="","",IF(P63="","Add - no caption",IFERROR(INDEX('Caption Bank'!$R$5:$R$204,MATCH(P63,'Caption Bank'!$B$5:$B$204,0)),"Check - not in bank")))</f>
        <v>0</v>
      </c>
      <c r="S63" s="23">
        <f>IF(R63="","",COUNTIF('Hashtag Bank'!$D$5:$D$304,R63))</f>
        <v>0</v>
      </c>
      <c r="U63" s="29">
        <f>IF(H63="","",IF(T63="","Add - no asset",IFERROR(INDEX(Assets!$N$5:$N$254,MATCH(T63,Assets!$A$5:$A$254,0)),"Check - not in library")))</f>
        <v>0</v>
      </c>
      <c r="Y63" s="16">
        <f>IF(B63="","",B63-ProductionDays)</f>
        <v>0</v>
      </c>
      <c r="Z63" s="16">
        <f>IF(B63="","",B63-ApprovalDays)</f>
        <v>0</v>
      </c>
      <c r="AA63" s="23">
        <f>IF(B63="","",B63-TODAY())</f>
        <v>0</v>
      </c>
      <c r="AC63" s="29">
        <f>IF(H63="","",IF(X63="Published",IF(AB63="","Add - link missing","Yes"),"No"))</f>
        <v>0</v>
      </c>
      <c r="AD63" s="23">
        <f>IF(A63="","",IF(COUNTIF(Performance!$B$5:$B$404,A63)=0,"",SUMIFS(Performance!$O$5:$O$404,Performance!$B$5:$B$404,A63)))</f>
        <v>0</v>
      </c>
      <c r="AE63" s="23">
        <f>IF(AD63="","",SUMIFS(Performance!$Z$5:$Z$404,Performance!$B$5:$B$404,A63))</f>
        <v>0</v>
      </c>
      <c r="AF63" s="24">
        <f>IF(OR(AD63="",AD63=0),"",AE63/AD63)</f>
        <v>0</v>
      </c>
      <c r="AG63" s="23">
        <f>IF(AD63="","",SUMIFS(Performance!$U$5:$U$404,Performance!$B$5:$B$404,A63))</f>
        <v>0</v>
      </c>
      <c r="AH63" s="23">
        <f>IF(A63="","",COUNTIF(Repurposing!$B$5:$B$154,A63))</f>
        <v>0</v>
      </c>
      <c r="AI63" s="32">
        <f>IF(OR(H63="",B63=""),"",B63+ROW()/100000)</f>
        <v>0</v>
      </c>
      <c r="AJ63" s="32">
        <f>IF(OR(H63="",B63=""),"",IF(OR(X63="Published",X63="Cancelled",X63="Archived"),"",IF(B63&lt;TODAY(),"",B63+ROW()/100000)))</f>
        <v>0</v>
      </c>
      <c r="AK63" s="32">
        <f>IF(OR(H63="",B63=""),"",IF(OR(X63="Published",X63="Cancelled",X63="Archived"),"",IF(B63&gt;=TODAY(),"",B63+ROW()/100000)))</f>
        <v>0</v>
      </c>
      <c r="AL63" s="29">
        <f>IF(H63="","",IF(COUNTIFS('Content Calendar'!$H$5:$H$604,H63,'Content Calendar'!$G$5:$G$604,G63,'Content Calendar'!$B$5:$B$604,B63)&gt;1,"Duplicate","OK"))</f>
        <v>0</v>
      </c>
      <c r="AM63" s="29">
        <f>IF(H63="","",IF(AND(B63&lt;&gt;"",B63&lt;TODAY(),X63&lt;&gt;"Published",X63&lt;&gt;"Cancelled",X63&lt;&gt;"Archived"),"Overdue - date has passed",IF(AND(X63="Published",AB63=""),"Add - publish link missing",IF(AND(B63=TODAY(),X63&lt;&gt;"Published"),"Today - due to go live",IF(AND(Y63&lt;&gt;"",Y63&lt;TODAY(),OR(X63="Idea",X63="Brief",X63="In production")),"Late - draft not ready",IF(AND(AA63&gt;=0,AA63&lt;=3,OR(X63="Draft",X63="Awaiting review")),"Due - needs approval",IF(AND(H63&lt;&gt;"",P63=""),"Add - caption missing","OK")))))))</f>
        <v>0</v>
      </c>
    </row>
    <row r="64" spans="1:40">
      <c r="A64" s="41">
        <f>IF(H64="","",ContentPrefix&amp;TEXT(ROW()-4,"0000"))</f>
        <v>0</v>
      </c>
      <c r="D64" s="17">
        <f>IF(B64="","",TEXT(B64,"yyyy-mm"))</f>
        <v>0</v>
      </c>
      <c r="E64" s="23">
        <f>IF(B64="","",WEEKNUM(B64,IF(WeekStart="Sunday",1,2)))</f>
        <v>0</v>
      </c>
      <c r="F64" s="17">
        <f>IF(B64="","",TEXT(B64,"ddd"))</f>
        <v>0</v>
      </c>
      <c r="Q64" s="29">
        <f>IF(H64="","",IF(P64="","Add - no caption",IFERROR(INDEX('Caption Bank'!$R$5:$R$204,MATCH(P64,'Caption Bank'!$B$5:$B$204,0)),"Check - not in bank")))</f>
        <v>0</v>
      </c>
      <c r="S64" s="23">
        <f>IF(R64="","",COUNTIF('Hashtag Bank'!$D$5:$D$304,R64))</f>
        <v>0</v>
      </c>
      <c r="U64" s="29">
        <f>IF(H64="","",IF(T64="","Add - no asset",IFERROR(INDEX(Assets!$N$5:$N$254,MATCH(T64,Assets!$A$5:$A$254,0)),"Check - not in library")))</f>
        <v>0</v>
      </c>
      <c r="Y64" s="16">
        <f>IF(B64="","",B64-ProductionDays)</f>
        <v>0</v>
      </c>
      <c r="Z64" s="16">
        <f>IF(B64="","",B64-ApprovalDays)</f>
        <v>0</v>
      </c>
      <c r="AA64" s="23">
        <f>IF(B64="","",B64-TODAY())</f>
        <v>0</v>
      </c>
      <c r="AC64" s="29">
        <f>IF(H64="","",IF(X64="Published",IF(AB64="","Add - link missing","Yes"),"No"))</f>
        <v>0</v>
      </c>
      <c r="AD64" s="23">
        <f>IF(A64="","",IF(COUNTIF(Performance!$B$5:$B$404,A64)=0,"",SUMIFS(Performance!$O$5:$O$404,Performance!$B$5:$B$404,A64)))</f>
        <v>0</v>
      </c>
      <c r="AE64" s="23">
        <f>IF(AD64="","",SUMIFS(Performance!$Z$5:$Z$404,Performance!$B$5:$B$404,A64))</f>
        <v>0</v>
      </c>
      <c r="AF64" s="24">
        <f>IF(OR(AD64="",AD64=0),"",AE64/AD64)</f>
        <v>0</v>
      </c>
      <c r="AG64" s="23">
        <f>IF(AD64="","",SUMIFS(Performance!$U$5:$U$404,Performance!$B$5:$B$404,A64))</f>
        <v>0</v>
      </c>
      <c r="AH64" s="23">
        <f>IF(A64="","",COUNTIF(Repurposing!$B$5:$B$154,A64))</f>
        <v>0</v>
      </c>
      <c r="AI64" s="32">
        <f>IF(OR(H64="",B64=""),"",B64+ROW()/100000)</f>
        <v>0</v>
      </c>
      <c r="AJ64" s="32">
        <f>IF(OR(H64="",B64=""),"",IF(OR(X64="Published",X64="Cancelled",X64="Archived"),"",IF(B64&lt;TODAY(),"",B64+ROW()/100000)))</f>
        <v>0</v>
      </c>
      <c r="AK64" s="32">
        <f>IF(OR(H64="",B64=""),"",IF(OR(X64="Published",X64="Cancelled",X64="Archived"),"",IF(B64&gt;=TODAY(),"",B64+ROW()/100000)))</f>
        <v>0</v>
      </c>
      <c r="AL64" s="29">
        <f>IF(H64="","",IF(COUNTIFS('Content Calendar'!$H$5:$H$604,H64,'Content Calendar'!$G$5:$G$604,G64,'Content Calendar'!$B$5:$B$604,B64)&gt;1,"Duplicate","OK"))</f>
        <v>0</v>
      </c>
      <c r="AM64" s="29">
        <f>IF(H64="","",IF(AND(B64&lt;&gt;"",B64&lt;TODAY(),X64&lt;&gt;"Published",X64&lt;&gt;"Cancelled",X64&lt;&gt;"Archived"),"Overdue - date has passed",IF(AND(X64="Published",AB64=""),"Add - publish link missing",IF(AND(B64=TODAY(),X64&lt;&gt;"Published"),"Today - due to go live",IF(AND(Y64&lt;&gt;"",Y64&lt;TODAY(),OR(X64="Idea",X64="Brief",X64="In production")),"Late - draft not ready",IF(AND(AA64&gt;=0,AA64&lt;=3,OR(X64="Draft",X64="Awaiting review")),"Due - needs approval",IF(AND(H64&lt;&gt;"",P64=""),"Add - caption missing","OK")))))))</f>
        <v>0</v>
      </c>
    </row>
    <row r="65" spans="1:39">
      <c r="A65" s="41">
        <f>IF(H65="","",ContentPrefix&amp;TEXT(ROW()-4,"0000"))</f>
        <v>0</v>
      </c>
      <c r="D65" s="17">
        <f>IF(B65="","",TEXT(B65,"yyyy-mm"))</f>
        <v>0</v>
      </c>
      <c r="E65" s="23">
        <f>IF(B65="","",WEEKNUM(B65,IF(WeekStart="Sunday",1,2)))</f>
        <v>0</v>
      </c>
      <c r="F65" s="17">
        <f>IF(B65="","",TEXT(B65,"ddd"))</f>
        <v>0</v>
      </c>
      <c r="Q65" s="29">
        <f>IF(H65="","",IF(P65="","Add - no caption",IFERROR(INDEX('Caption Bank'!$R$5:$R$204,MATCH(P65,'Caption Bank'!$B$5:$B$204,0)),"Check - not in bank")))</f>
        <v>0</v>
      </c>
      <c r="S65" s="23">
        <f>IF(R65="","",COUNTIF('Hashtag Bank'!$D$5:$D$304,R65))</f>
        <v>0</v>
      </c>
      <c r="U65" s="29">
        <f>IF(H65="","",IF(T65="","Add - no asset",IFERROR(INDEX(Assets!$N$5:$N$254,MATCH(T65,Assets!$A$5:$A$254,0)),"Check - not in library")))</f>
        <v>0</v>
      </c>
      <c r="Y65" s="16">
        <f>IF(B65="","",B65-ProductionDays)</f>
        <v>0</v>
      </c>
      <c r="Z65" s="16">
        <f>IF(B65="","",B65-ApprovalDays)</f>
        <v>0</v>
      </c>
      <c r="AA65" s="23">
        <f>IF(B65="","",B65-TODAY())</f>
        <v>0</v>
      </c>
      <c r="AC65" s="29">
        <f>IF(H65="","",IF(X65="Published",IF(AB65="","Add - link missing","Yes"),"No"))</f>
        <v>0</v>
      </c>
      <c r="AD65" s="23">
        <f>IF(A65="","",IF(COUNTIF(Performance!$B$5:$B$404,A65)=0,"",SUMIFS(Performance!$O$5:$O$404,Performance!$B$5:$B$404,A65)))</f>
        <v>0</v>
      </c>
      <c r="AE65" s="23">
        <f>IF(AD65="","",SUMIFS(Performance!$Z$5:$Z$404,Performance!$B$5:$B$404,A65))</f>
        <v>0</v>
      </c>
      <c r="AF65" s="24">
        <f>IF(OR(AD65="",AD65=0),"",AE65/AD65)</f>
        <v>0</v>
      </c>
      <c r="AG65" s="23">
        <f>IF(AD65="","",SUMIFS(Performance!$U$5:$U$404,Performance!$B$5:$B$404,A65))</f>
        <v>0</v>
      </c>
      <c r="AH65" s="23">
        <f>IF(A65="","",COUNTIF(Repurposing!$B$5:$B$154,A65))</f>
        <v>0</v>
      </c>
      <c r="AI65" s="32">
        <f>IF(OR(H65="",B65=""),"",B65+ROW()/100000)</f>
        <v>0</v>
      </c>
      <c r="AJ65" s="32">
        <f>IF(OR(H65="",B65=""),"",IF(OR(X65="Published",X65="Cancelled",X65="Archived"),"",IF(B65&lt;TODAY(),"",B65+ROW()/100000)))</f>
        <v>0</v>
      </c>
      <c r="AK65" s="32">
        <f>IF(OR(H65="",B65=""),"",IF(OR(X65="Published",X65="Cancelled",X65="Archived"),"",IF(B65&gt;=TODAY(),"",B65+ROW()/100000)))</f>
        <v>0</v>
      </c>
      <c r="AL65" s="29">
        <f>IF(H65="","",IF(COUNTIFS('Content Calendar'!$H$5:$H$604,H65,'Content Calendar'!$G$5:$G$604,G65,'Content Calendar'!$B$5:$B$604,B65)&gt;1,"Duplicate","OK"))</f>
        <v>0</v>
      </c>
      <c r="AM65" s="29">
        <f>IF(H65="","",IF(AND(B65&lt;&gt;"",B65&lt;TODAY(),X65&lt;&gt;"Published",X65&lt;&gt;"Cancelled",X65&lt;&gt;"Archived"),"Overdue - date has passed",IF(AND(X65="Published",AB65=""),"Add - publish link missing",IF(AND(B65=TODAY(),X65&lt;&gt;"Published"),"Today - due to go live",IF(AND(Y65&lt;&gt;"",Y65&lt;TODAY(),OR(X65="Idea",X65="Brief",X65="In production")),"Late - draft not ready",IF(AND(AA65&gt;=0,AA65&lt;=3,OR(X65="Draft",X65="Awaiting review")),"Due - needs approval",IF(AND(H65&lt;&gt;"",P65=""),"Add - caption missing","OK")))))))</f>
        <v>0</v>
      </c>
    </row>
    <row r="66" spans="1:39">
      <c r="A66" s="41">
        <f>IF(H66="","",ContentPrefix&amp;TEXT(ROW()-4,"0000"))</f>
        <v>0</v>
      </c>
      <c r="D66" s="17">
        <f>IF(B66="","",TEXT(B66,"yyyy-mm"))</f>
        <v>0</v>
      </c>
      <c r="E66" s="23">
        <f>IF(B66="","",WEEKNUM(B66,IF(WeekStart="Sunday",1,2)))</f>
        <v>0</v>
      </c>
      <c r="F66" s="17">
        <f>IF(B66="","",TEXT(B66,"ddd"))</f>
        <v>0</v>
      </c>
      <c r="Q66" s="29">
        <f>IF(H66="","",IF(P66="","Add - no caption",IFERROR(INDEX('Caption Bank'!$R$5:$R$204,MATCH(P66,'Caption Bank'!$B$5:$B$204,0)),"Check - not in bank")))</f>
        <v>0</v>
      </c>
      <c r="S66" s="23">
        <f>IF(R66="","",COUNTIF('Hashtag Bank'!$D$5:$D$304,R66))</f>
        <v>0</v>
      </c>
      <c r="U66" s="29">
        <f>IF(H66="","",IF(T66="","Add - no asset",IFERROR(INDEX(Assets!$N$5:$N$254,MATCH(T66,Assets!$A$5:$A$254,0)),"Check - not in library")))</f>
        <v>0</v>
      </c>
      <c r="Y66" s="16">
        <f>IF(B66="","",B66-ProductionDays)</f>
        <v>0</v>
      </c>
      <c r="Z66" s="16">
        <f>IF(B66="","",B66-ApprovalDays)</f>
        <v>0</v>
      </c>
      <c r="AA66" s="23">
        <f>IF(B66="","",B66-TODAY())</f>
        <v>0</v>
      </c>
      <c r="AC66" s="29">
        <f>IF(H66="","",IF(X66="Published",IF(AB66="","Add - link missing","Yes"),"No"))</f>
        <v>0</v>
      </c>
      <c r="AD66" s="23">
        <f>IF(A66="","",IF(COUNTIF(Performance!$B$5:$B$404,A66)=0,"",SUMIFS(Performance!$O$5:$O$404,Performance!$B$5:$B$404,A66)))</f>
        <v>0</v>
      </c>
      <c r="AE66" s="23">
        <f>IF(AD66="","",SUMIFS(Performance!$Z$5:$Z$404,Performance!$B$5:$B$404,A66))</f>
        <v>0</v>
      </c>
      <c r="AF66" s="24">
        <f>IF(OR(AD66="",AD66=0),"",AE66/AD66)</f>
        <v>0</v>
      </c>
      <c r="AG66" s="23">
        <f>IF(AD66="","",SUMIFS(Performance!$U$5:$U$404,Performance!$B$5:$B$404,A66))</f>
        <v>0</v>
      </c>
      <c r="AH66" s="23">
        <f>IF(A66="","",COUNTIF(Repurposing!$B$5:$B$154,A66))</f>
        <v>0</v>
      </c>
      <c r="AI66" s="32">
        <f>IF(OR(H66="",B66=""),"",B66+ROW()/100000)</f>
        <v>0</v>
      </c>
      <c r="AJ66" s="32">
        <f>IF(OR(H66="",B66=""),"",IF(OR(X66="Published",X66="Cancelled",X66="Archived"),"",IF(B66&lt;TODAY(),"",B66+ROW()/100000)))</f>
        <v>0</v>
      </c>
      <c r="AK66" s="32">
        <f>IF(OR(H66="",B66=""),"",IF(OR(X66="Published",X66="Cancelled",X66="Archived"),"",IF(B66&gt;=TODAY(),"",B66+ROW()/100000)))</f>
        <v>0</v>
      </c>
      <c r="AL66" s="29">
        <f>IF(H66="","",IF(COUNTIFS('Content Calendar'!$H$5:$H$604,H66,'Content Calendar'!$G$5:$G$604,G66,'Content Calendar'!$B$5:$B$604,B66)&gt;1,"Duplicate","OK"))</f>
        <v>0</v>
      </c>
      <c r="AM66" s="29">
        <f>IF(H66="","",IF(AND(B66&lt;&gt;"",B66&lt;TODAY(),X66&lt;&gt;"Published",X66&lt;&gt;"Cancelled",X66&lt;&gt;"Archived"),"Overdue - date has passed",IF(AND(X66="Published",AB66=""),"Add - publish link missing",IF(AND(B66=TODAY(),X66&lt;&gt;"Published"),"Today - due to go live",IF(AND(Y66&lt;&gt;"",Y66&lt;TODAY(),OR(X66="Idea",X66="Brief",X66="In production")),"Late - draft not ready",IF(AND(AA66&gt;=0,AA66&lt;=3,OR(X66="Draft",X66="Awaiting review")),"Due - needs approval",IF(AND(H66&lt;&gt;"",P66=""),"Add - caption missing","OK")))))))</f>
        <v>0</v>
      </c>
    </row>
    <row r="67" spans="1:39">
      <c r="A67" s="41">
        <f>IF(H67="","",ContentPrefix&amp;TEXT(ROW()-4,"0000"))</f>
        <v>0</v>
      </c>
      <c r="D67" s="17">
        <f>IF(B67="","",TEXT(B67,"yyyy-mm"))</f>
        <v>0</v>
      </c>
      <c r="E67" s="23">
        <f>IF(B67="","",WEEKNUM(B67,IF(WeekStart="Sunday",1,2)))</f>
        <v>0</v>
      </c>
      <c r="F67" s="17">
        <f>IF(B67="","",TEXT(B67,"ddd"))</f>
        <v>0</v>
      </c>
      <c r="Q67" s="29">
        <f>IF(H67="","",IF(P67="","Add - no caption",IFERROR(INDEX('Caption Bank'!$R$5:$R$204,MATCH(P67,'Caption Bank'!$B$5:$B$204,0)),"Check - not in bank")))</f>
        <v>0</v>
      </c>
      <c r="S67" s="23">
        <f>IF(R67="","",COUNTIF('Hashtag Bank'!$D$5:$D$304,R67))</f>
        <v>0</v>
      </c>
      <c r="U67" s="29">
        <f>IF(H67="","",IF(T67="","Add - no asset",IFERROR(INDEX(Assets!$N$5:$N$254,MATCH(T67,Assets!$A$5:$A$254,0)),"Check - not in library")))</f>
        <v>0</v>
      </c>
      <c r="Y67" s="16">
        <f>IF(B67="","",B67-ProductionDays)</f>
        <v>0</v>
      </c>
      <c r="Z67" s="16">
        <f>IF(B67="","",B67-ApprovalDays)</f>
        <v>0</v>
      </c>
      <c r="AA67" s="23">
        <f>IF(B67="","",B67-TODAY())</f>
        <v>0</v>
      </c>
      <c r="AC67" s="29">
        <f>IF(H67="","",IF(X67="Published",IF(AB67="","Add - link missing","Yes"),"No"))</f>
        <v>0</v>
      </c>
      <c r="AD67" s="23">
        <f>IF(A67="","",IF(COUNTIF(Performance!$B$5:$B$404,A67)=0,"",SUMIFS(Performance!$O$5:$O$404,Performance!$B$5:$B$404,A67)))</f>
        <v>0</v>
      </c>
      <c r="AE67" s="23">
        <f>IF(AD67="","",SUMIFS(Performance!$Z$5:$Z$404,Performance!$B$5:$B$404,A67))</f>
        <v>0</v>
      </c>
      <c r="AF67" s="24">
        <f>IF(OR(AD67="",AD67=0),"",AE67/AD67)</f>
        <v>0</v>
      </c>
      <c r="AG67" s="23">
        <f>IF(AD67="","",SUMIFS(Performance!$U$5:$U$404,Performance!$B$5:$B$404,A67))</f>
        <v>0</v>
      </c>
      <c r="AH67" s="23">
        <f>IF(A67="","",COUNTIF(Repurposing!$B$5:$B$154,A67))</f>
        <v>0</v>
      </c>
      <c r="AI67" s="32">
        <f>IF(OR(H67="",B67=""),"",B67+ROW()/100000)</f>
        <v>0</v>
      </c>
      <c r="AJ67" s="32">
        <f>IF(OR(H67="",B67=""),"",IF(OR(X67="Published",X67="Cancelled",X67="Archived"),"",IF(B67&lt;TODAY(),"",B67+ROW()/100000)))</f>
        <v>0</v>
      </c>
      <c r="AK67" s="32">
        <f>IF(OR(H67="",B67=""),"",IF(OR(X67="Published",X67="Cancelled",X67="Archived"),"",IF(B67&gt;=TODAY(),"",B67+ROW()/100000)))</f>
        <v>0</v>
      </c>
      <c r="AL67" s="29">
        <f>IF(H67="","",IF(COUNTIFS('Content Calendar'!$H$5:$H$604,H67,'Content Calendar'!$G$5:$G$604,G67,'Content Calendar'!$B$5:$B$604,B67)&gt;1,"Duplicate","OK"))</f>
        <v>0</v>
      </c>
      <c r="AM67" s="29">
        <f>IF(H67="","",IF(AND(B67&lt;&gt;"",B67&lt;TODAY(),X67&lt;&gt;"Published",X67&lt;&gt;"Cancelled",X67&lt;&gt;"Archived"),"Overdue - date has passed",IF(AND(X67="Published",AB67=""),"Add - publish link missing",IF(AND(B67=TODAY(),X67&lt;&gt;"Published"),"Today - due to go live",IF(AND(Y67&lt;&gt;"",Y67&lt;TODAY(),OR(X67="Idea",X67="Brief",X67="In production")),"Late - draft not ready",IF(AND(AA67&gt;=0,AA67&lt;=3,OR(X67="Draft",X67="Awaiting review")),"Due - needs approval",IF(AND(H67&lt;&gt;"",P67=""),"Add - caption missing","OK")))))))</f>
        <v>0</v>
      </c>
    </row>
    <row r="68" spans="1:39">
      <c r="A68" s="41">
        <f>IF(H68="","",ContentPrefix&amp;TEXT(ROW()-4,"0000"))</f>
        <v>0</v>
      </c>
      <c r="D68" s="17">
        <f>IF(B68="","",TEXT(B68,"yyyy-mm"))</f>
        <v>0</v>
      </c>
      <c r="E68" s="23">
        <f>IF(B68="","",WEEKNUM(B68,IF(WeekStart="Sunday",1,2)))</f>
        <v>0</v>
      </c>
      <c r="F68" s="17">
        <f>IF(B68="","",TEXT(B68,"ddd"))</f>
        <v>0</v>
      </c>
      <c r="Q68" s="29">
        <f>IF(H68="","",IF(P68="","Add - no caption",IFERROR(INDEX('Caption Bank'!$R$5:$R$204,MATCH(P68,'Caption Bank'!$B$5:$B$204,0)),"Check - not in bank")))</f>
        <v>0</v>
      </c>
      <c r="S68" s="23">
        <f>IF(R68="","",COUNTIF('Hashtag Bank'!$D$5:$D$304,R68))</f>
        <v>0</v>
      </c>
      <c r="U68" s="29">
        <f>IF(H68="","",IF(T68="","Add - no asset",IFERROR(INDEX(Assets!$N$5:$N$254,MATCH(T68,Assets!$A$5:$A$254,0)),"Check - not in library")))</f>
        <v>0</v>
      </c>
      <c r="Y68" s="16">
        <f>IF(B68="","",B68-ProductionDays)</f>
        <v>0</v>
      </c>
      <c r="Z68" s="16">
        <f>IF(B68="","",B68-ApprovalDays)</f>
        <v>0</v>
      </c>
      <c r="AA68" s="23">
        <f>IF(B68="","",B68-TODAY())</f>
        <v>0</v>
      </c>
      <c r="AC68" s="29">
        <f>IF(H68="","",IF(X68="Published",IF(AB68="","Add - link missing","Yes"),"No"))</f>
        <v>0</v>
      </c>
      <c r="AD68" s="23">
        <f>IF(A68="","",IF(COUNTIF(Performance!$B$5:$B$404,A68)=0,"",SUMIFS(Performance!$O$5:$O$404,Performance!$B$5:$B$404,A68)))</f>
        <v>0</v>
      </c>
      <c r="AE68" s="23">
        <f>IF(AD68="","",SUMIFS(Performance!$Z$5:$Z$404,Performance!$B$5:$B$404,A68))</f>
        <v>0</v>
      </c>
      <c r="AF68" s="24">
        <f>IF(OR(AD68="",AD68=0),"",AE68/AD68)</f>
        <v>0</v>
      </c>
      <c r="AG68" s="23">
        <f>IF(AD68="","",SUMIFS(Performance!$U$5:$U$404,Performance!$B$5:$B$404,A68))</f>
        <v>0</v>
      </c>
      <c r="AH68" s="23">
        <f>IF(A68="","",COUNTIF(Repurposing!$B$5:$B$154,A68))</f>
        <v>0</v>
      </c>
      <c r="AI68" s="32">
        <f>IF(OR(H68="",B68=""),"",B68+ROW()/100000)</f>
        <v>0</v>
      </c>
      <c r="AJ68" s="32">
        <f>IF(OR(H68="",B68=""),"",IF(OR(X68="Published",X68="Cancelled",X68="Archived"),"",IF(B68&lt;TODAY(),"",B68+ROW()/100000)))</f>
        <v>0</v>
      </c>
      <c r="AK68" s="32">
        <f>IF(OR(H68="",B68=""),"",IF(OR(X68="Published",X68="Cancelled",X68="Archived"),"",IF(B68&gt;=TODAY(),"",B68+ROW()/100000)))</f>
        <v>0</v>
      </c>
      <c r="AL68" s="29">
        <f>IF(H68="","",IF(COUNTIFS('Content Calendar'!$H$5:$H$604,H68,'Content Calendar'!$G$5:$G$604,G68,'Content Calendar'!$B$5:$B$604,B68)&gt;1,"Duplicate","OK"))</f>
        <v>0</v>
      </c>
      <c r="AM68" s="29">
        <f>IF(H68="","",IF(AND(B68&lt;&gt;"",B68&lt;TODAY(),X68&lt;&gt;"Published",X68&lt;&gt;"Cancelled",X68&lt;&gt;"Archived"),"Overdue - date has passed",IF(AND(X68="Published",AB68=""),"Add - publish link missing",IF(AND(B68=TODAY(),X68&lt;&gt;"Published"),"Today - due to go live",IF(AND(Y68&lt;&gt;"",Y68&lt;TODAY(),OR(X68="Idea",X68="Brief",X68="In production")),"Late - draft not ready",IF(AND(AA68&gt;=0,AA68&lt;=3,OR(X68="Draft",X68="Awaiting review")),"Due - needs approval",IF(AND(H68&lt;&gt;"",P68=""),"Add - caption missing","OK")))))))</f>
        <v>0</v>
      </c>
    </row>
    <row r="69" spans="1:39">
      <c r="A69" s="41">
        <f>IF(H69="","",ContentPrefix&amp;TEXT(ROW()-4,"0000"))</f>
        <v>0</v>
      </c>
      <c r="D69" s="17">
        <f>IF(B69="","",TEXT(B69,"yyyy-mm"))</f>
        <v>0</v>
      </c>
      <c r="E69" s="23">
        <f>IF(B69="","",WEEKNUM(B69,IF(WeekStart="Sunday",1,2)))</f>
        <v>0</v>
      </c>
      <c r="F69" s="17">
        <f>IF(B69="","",TEXT(B69,"ddd"))</f>
        <v>0</v>
      </c>
      <c r="Q69" s="29">
        <f>IF(H69="","",IF(P69="","Add - no caption",IFERROR(INDEX('Caption Bank'!$R$5:$R$204,MATCH(P69,'Caption Bank'!$B$5:$B$204,0)),"Check - not in bank")))</f>
        <v>0</v>
      </c>
      <c r="S69" s="23">
        <f>IF(R69="","",COUNTIF('Hashtag Bank'!$D$5:$D$304,R69))</f>
        <v>0</v>
      </c>
      <c r="U69" s="29">
        <f>IF(H69="","",IF(T69="","Add - no asset",IFERROR(INDEX(Assets!$N$5:$N$254,MATCH(T69,Assets!$A$5:$A$254,0)),"Check - not in library")))</f>
        <v>0</v>
      </c>
      <c r="Y69" s="16">
        <f>IF(B69="","",B69-ProductionDays)</f>
        <v>0</v>
      </c>
      <c r="Z69" s="16">
        <f>IF(B69="","",B69-ApprovalDays)</f>
        <v>0</v>
      </c>
      <c r="AA69" s="23">
        <f>IF(B69="","",B69-TODAY())</f>
        <v>0</v>
      </c>
      <c r="AC69" s="29">
        <f>IF(H69="","",IF(X69="Published",IF(AB69="","Add - link missing","Yes"),"No"))</f>
        <v>0</v>
      </c>
      <c r="AD69" s="23">
        <f>IF(A69="","",IF(COUNTIF(Performance!$B$5:$B$404,A69)=0,"",SUMIFS(Performance!$O$5:$O$404,Performance!$B$5:$B$404,A69)))</f>
        <v>0</v>
      </c>
      <c r="AE69" s="23">
        <f>IF(AD69="","",SUMIFS(Performance!$Z$5:$Z$404,Performance!$B$5:$B$404,A69))</f>
        <v>0</v>
      </c>
      <c r="AF69" s="24">
        <f>IF(OR(AD69="",AD69=0),"",AE69/AD69)</f>
        <v>0</v>
      </c>
      <c r="AG69" s="23">
        <f>IF(AD69="","",SUMIFS(Performance!$U$5:$U$404,Performance!$B$5:$B$404,A69))</f>
        <v>0</v>
      </c>
      <c r="AH69" s="23">
        <f>IF(A69="","",COUNTIF(Repurposing!$B$5:$B$154,A69))</f>
        <v>0</v>
      </c>
      <c r="AI69" s="32">
        <f>IF(OR(H69="",B69=""),"",B69+ROW()/100000)</f>
        <v>0</v>
      </c>
      <c r="AJ69" s="32">
        <f>IF(OR(H69="",B69=""),"",IF(OR(X69="Published",X69="Cancelled",X69="Archived"),"",IF(B69&lt;TODAY(),"",B69+ROW()/100000)))</f>
        <v>0</v>
      </c>
      <c r="AK69" s="32">
        <f>IF(OR(H69="",B69=""),"",IF(OR(X69="Published",X69="Cancelled",X69="Archived"),"",IF(B69&gt;=TODAY(),"",B69+ROW()/100000)))</f>
        <v>0</v>
      </c>
      <c r="AL69" s="29">
        <f>IF(H69="","",IF(COUNTIFS('Content Calendar'!$H$5:$H$604,H69,'Content Calendar'!$G$5:$G$604,G69,'Content Calendar'!$B$5:$B$604,B69)&gt;1,"Duplicate","OK"))</f>
        <v>0</v>
      </c>
      <c r="AM69" s="29">
        <f>IF(H69="","",IF(AND(B69&lt;&gt;"",B69&lt;TODAY(),X69&lt;&gt;"Published",X69&lt;&gt;"Cancelled",X69&lt;&gt;"Archived"),"Overdue - date has passed",IF(AND(X69="Published",AB69=""),"Add - publish link missing",IF(AND(B69=TODAY(),X69&lt;&gt;"Published"),"Today - due to go live",IF(AND(Y69&lt;&gt;"",Y69&lt;TODAY(),OR(X69="Idea",X69="Brief",X69="In production")),"Late - draft not ready",IF(AND(AA69&gt;=0,AA69&lt;=3,OR(X69="Draft",X69="Awaiting review")),"Due - needs approval",IF(AND(H69&lt;&gt;"",P69=""),"Add - caption missing","OK")))))))</f>
        <v>0</v>
      </c>
    </row>
    <row r="70" spans="1:39">
      <c r="A70" s="41">
        <f>IF(H70="","",ContentPrefix&amp;TEXT(ROW()-4,"0000"))</f>
        <v>0</v>
      </c>
      <c r="D70" s="17">
        <f>IF(B70="","",TEXT(B70,"yyyy-mm"))</f>
        <v>0</v>
      </c>
      <c r="E70" s="23">
        <f>IF(B70="","",WEEKNUM(B70,IF(WeekStart="Sunday",1,2)))</f>
        <v>0</v>
      </c>
      <c r="F70" s="17">
        <f>IF(B70="","",TEXT(B70,"ddd"))</f>
        <v>0</v>
      </c>
      <c r="Q70" s="29">
        <f>IF(H70="","",IF(P70="","Add - no caption",IFERROR(INDEX('Caption Bank'!$R$5:$R$204,MATCH(P70,'Caption Bank'!$B$5:$B$204,0)),"Check - not in bank")))</f>
        <v>0</v>
      </c>
      <c r="S70" s="23">
        <f>IF(R70="","",COUNTIF('Hashtag Bank'!$D$5:$D$304,R70))</f>
        <v>0</v>
      </c>
      <c r="U70" s="29">
        <f>IF(H70="","",IF(T70="","Add - no asset",IFERROR(INDEX(Assets!$N$5:$N$254,MATCH(T70,Assets!$A$5:$A$254,0)),"Check - not in library")))</f>
        <v>0</v>
      </c>
      <c r="Y70" s="16">
        <f>IF(B70="","",B70-ProductionDays)</f>
        <v>0</v>
      </c>
      <c r="Z70" s="16">
        <f>IF(B70="","",B70-ApprovalDays)</f>
        <v>0</v>
      </c>
      <c r="AA70" s="23">
        <f>IF(B70="","",B70-TODAY())</f>
        <v>0</v>
      </c>
      <c r="AC70" s="29">
        <f>IF(H70="","",IF(X70="Published",IF(AB70="","Add - link missing","Yes"),"No"))</f>
        <v>0</v>
      </c>
      <c r="AD70" s="23">
        <f>IF(A70="","",IF(COUNTIF(Performance!$B$5:$B$404,A70)=0,"",SUMIFS(Performance!$O$5:$O$404,Performance!$B$5:$B$404,A70)))</f>
        <v>0</v>
      </c>
      <c r="AE70" s="23">
        <f>IF(AD70="","",SUMIFS(Performance!$Z$5:$Z$404,Performance!$B$5:$B$404,A70))</f>
        <v>0</v>
      </c>
      <c r="AF70" s="24">
        <f>IF(OR(AD70="",AD70=0),"",AE70/AD70)</f>
        <v>0</v>
      </c>
      <c r="AG70" s="23">
        <f>IF(AD70="","",SUMIFS(Performance!$U$5:$U$404,Performance!$B$5:$B$404,A70))</f>
        <v>0</v>
      </c>
      <c r="AH70" s="23">
        <f>IF(A70="","",COUNTIF(Repurposing!$B$5:$B$154,A70))</f>
        <v>0</v>
      </c>
      <c r="AI70" s="32">
        <f>IF(OR(H70="",B70=""),"",B70+ROW()/100000)</f>
        <v>0</v>
      </c>
      <c r="AJ70" s="32">
        <f>IF(OR(H70="",B70=""),"",IF(OR(X70="Published",X70="Cancelled",X70="Archived"),"",IF(B70&lt;TODAY(),"",B70+ROW()/100000)))</f>
        <v>0</v>
      </c>
      <c r="AK70" s="32">
        <f>IF(OR(H70="",B70=""),"",IF(OR(X70="Published",X70="Cancelled",X70="Archived"),"",IF(B70&gt;=TODAY(),"",B70+ROW()/100000)))</f>
        <v>0</v>
      </c>
      <c r="AL70" s="29">
        <f>IF(H70="","",IF(COUNTIFS('Content Calendar'!$H$5:$H$604,H70,'Content Calendar'!$G$5:$G$604,G70,'Content Calendar'!$B$5:$B$604,B70)&gt;1,"Duplicate","OK"))</f>
        <v>0</v>
      </c>
      <c r="AM70" s="29">
        <f>IF(H70="","",IF(AND(B70&lt;&gt;"",B70&lt;TODAY(),X70&lt;&gt;"Published",X70&lt;&gt;"Cancelled",X70&lt;&gt;"Archived"),"Overdue - date has passed",IF(AND(X70="Published",AB70=""),"Add - publish link missing",IF(AND(B70=TODAY(),X70&lt;&gt;"Published"),"Today - due to go live",IF(AND(Y70&lt;&gt;"",Y70&lt;TODAY(),OR(X70="Idea",X70="Brief",X70="In production")),"Late - draft not ready",IF(AND(AA70&gt;=0,AA70&lt;=3,OR(X70="Draft",X70="Awaiting review")),"Due - needs approval",IF(AND(H70&lt;&gt;"",P70=""),"Add - caption missing","OK")))))))</f>
        <v>0</v>
      </c>
    </row>
    <row r="71" spans="1:39">
      <c r="A71" s="41">
        <f>IF(H71="","",ContentPrefix&amp;TEXT(ROW()-4,"0000"))</f>
        <v>0</v>
      </c>
      <c r="D71" s="17">
        <f>IF(B71="","",TEXT(B71,"yyyy-mm"))</f>
        <v>0</v>
      </c>
      <c r="E71" s="23">
        <f>IF(B71="","",WEEKNUM(B71,IF(WeekStart="Sunday",1,2)))</f>
        <v>0</v>
      </c>
      <c r="F71" s="17">
        <f>IF(B71="","",TEXT(B71,"ddd"))</f>
        <v>0</v>
      </c>
      <c r="Q71" s="29">
        <f>IF(H71="","",IF(P71="","Add - no caption",IFERROR(INDEX('Caption Bank'!$R$5:$R$204,MATCH(P71,'Caption Bank'!$B$5:$B$204,0)),"Check - not in bank")))</f>
        <v>0</v>
      </c>
      <c r="S71" s="23">
        <f>IF(R71="","",COUNTIF('Hashtag Bank'!$D$5:$D$304,R71))</f>
        <v>0</v>
      </c>
      <c r="U71" s="29">
        <f>IF(H71="","",IF(T71="","Add - no asset",IFERROR(INDEX(Assets!$N$5:$N$254,MATCH(T71,Assets!$A$5:$A$254,0)),"Check - not in library")))</f>
        <v>0</v>
      </c>
      <c r="Y71" s="16">
        <f>IF(B71="","",B71-ProductionDays)</f>
        <v>0</v>
      </c>
      <c r="Z71" s="16">
        <f>IF(B71="","",B71-ApprovalDays)</f>
        <v>0</v>
      </c>
      <c r="AA71" s="23">
        <f>IF(B71="","",B71-TODAY())</f>
        <v>0</v>
      </c>
      <c r="AC71" s="29">
        <f>IF(H71="","",IF(X71="Published",IF(AB71="","Add - link missing","Yes"),"No"))</f>
        <v>0</v>
      </c>
      <c r="AD71" s="23">
        <f>IF(A71="","",IF(COUNTIF(Performance!$B$5:$B$404,A71)=0,"",SUMIFS(Performance!$O$5:$O$404,Performance!$B$5:$B$404,A71)))</f>
        <v>0</v>
      </c>
      <c r="AE71" s="23">
        <f>IF(AD71="","",SUMIFS(Performance!$Z$5:$Z$404,Performance!$B$5:$B$404,A71))</f>
        <v>0</v>
      </c>
      <c r="AF71" s="24">
        <f>IF(OR(AD71="",AD71=0),"",AE71/AD71)</f>
        <v>0</v>
      </c>
      <c r="AG71" s="23">
        <f>IF(AD71="","",SUMIFS(Performance!$U$5:$U$404,Performance!$B$5:$B$404,A71))</f>
        <v>0</v>
      </c>
      <c r="AH71" s="23">
        <f>IF(A71="","",COUNTIF(Repurposing!$B$5:$B$154,A71))</f>
        <v>0</v>
      </c>
      <c r="AI71" s="32">
        <f>IF(OR(H71="",B71=""),"",B71+ROW()/100000)</f>
        <v>0</v>
      </c>
      <c r="AJ71" s="32">
        <f>IF(OR(H71="",B71=""),"",IF(OR(X71="Published",X71="Cancelled",X71="Archived"),"",IF(B71&lt;TODAY(),"",B71+ROW()/100000)))</f>
        <v>0</v>
      </c>
      <c r="AK71" s="32">
        <f>IF(OR(H71="",B71=""),"",IF(OR(X71="Published",X71="Cancelled",X71="Archived"),"",IF(B71&gt;=TODAY(),"",B71+ROW()/100000)))</f>
        <v>0</v>
      </c>
      <c r="AL71" s="29">
        <f>IF(H71="","",IF(COUNTIFS('Content Calendar'!$H$5:$H$604,H71,'Content Calendar'!$G$5:$G$604,G71,'Content Calendar'!$B$5:$B$604,B71)&gt;1,"Duplicate","OK"))</f>
        <v>0</v>
      </c>
      <c r="AM71" s="29">
        <f>IF(H71="","",IF(AND(B71&lt;&gt;"",B71&lt;TODAY(),X71&lt;&gt;"Published",X71&lt;&gt;"Cancelled",X71&lt;&gt;"Archived"),"Overdue - date has passed",IF(AND(X71="Published",AB71=""),"Add - publish link missing",IF(AND(B71=TODAY(),X71&lt;&gt;"Published"),"Today - due to go live",IF(AND(Y71&lt;&gt;"",Y71&lt;TODAY(),OR(X71="Idea",X71="Brief",X71="In production")),"Late - draft not ready",IF(AND(AA71&gt;=0,AA71&lt;=3,OR(X71="Draft",X71="Awaiting review")),"Due - needs approval",IF(AND(H71&lt;&gt;"",P71=""),"Add - caption missing","OK")))))))</f>
        <v>0</v>
      </c>
    </row>
    <row r="72" spans="1:39">
      <c r="A72" s="41">
        <f>IF(H72="","",ContentPrefix&amp;TEXT(ROW()-4,"0000"))</f>
        <v>0</v>
      </c>
      <c r="D72" s="17">
        <f>IF(B72="","",TEXT(B72,"yyyy-mm"))</f>
        <v>0</v>
      </c>
      <c r="E72" s="23">
        <f>IF(B72="","",WEEKNUM(B72,IF(WeekStart="Sunday",1,2)))</f>
        <v>0</v>
      </c>
      <c r="F72" s="17">
        <f>IF(B72="","",TEXT(B72,"ddd"))</f>
        <v>0</v>
      </c>
      <c r="Q72" s="29">
        <f>IF(H72="","",IF(P72="","Add - no caption",IFERROR(INDEX('Caption Bank'!$R$5:$R$204,MATCH(P72,'Caption Bank'!$B$5:$B$204,0)),"Check - not in bank")))</f>
        <v>0</v>
      </c>
      <c r="S72" s="23">
        <f>IF(R72="","",COUNTIF('Hashtag Bank'!$D$5:$D$304,R72))</f>
        <v>0</v>
      </c>
      <c r="U72" s="29">
        <f>IF(H72="","",IF(T72="","Add - no asset",IFERROR(INDEX(Assets!$N$5:$N$254,MATCH(T72,Assets!$A$5:$A$254,0)),"Check - not in library")))</f>
        <v>0</v>
      </c>
      <c r="Y72" s="16">
        <f>IF(B72="","",B72-ProductionDays)</f>
        <v>0</v>
      </c>
      <c r="Z72" s="16">
        <f>IF(B72="","",B72-ApprovalDays)</f>
        <v>0</v>
      </c>
      <c r="AA72" s="23">
        <f>IF(B72="","",B72-TODAY())</f>
        <v>0</v>
      </c>
      <c r="AC72" s="29">
        <f>IF(H72="","",IF(X72="Published",IF(AB72="","Add - link missing","Yes"),"No"))</f>
        <v>0</v>
      </c>
      <c r="AD72" s="23">
        <f>IF(A72="","",IF(COUNTIF(Performance!$B$5:$B$404,A72)=0,"",SUMIFS(Performance!$O$5:$O$404,Performance!$B$5:$B$404,A72)))</f>
        <v>0</v>
      </c>
      <c r="AE72" s="23">
        <f>IF(AD72="","",SUMIFS(Performance!$Z$5:$Z$404,Performance!$B$5:$B$404,A72))</f>
        <v>0</v>
      </c>
      <c r="AF72" s="24">
        <f>IF(OR(AD72="",AD72=0),"",AE72/AD72)</f>
        <v>0</v>
      </c>
      <c r="AG72" s="23">
        <f>IF(AD72="","",SUMIFS(Performance!$U$5:$U$404,Performance!$B$5:$B$404,A72))</f>
        <v>0</v>
      </c>
      <c r="AH72" s="23">
        <f>IF(A72="","",COUNTIF(Repurposing!$B$5:$B$154,A72))</f>
        <v>0</v>
      </c>
      <c r="AI72" s="32">
        <f>IF(OR(H72="",B72=""),"",B72+ROW()/100000)</f>
        <v>0</v>
      </c>
      <c r="AJ72" s="32">
        <f>IF(OR(H72="",B72=""),"",IF(OR(X72="Published",X72="Cancelled",X72="Archived"),"",IF(B72&lt;TODAY(),"",B72+ROW()/100000)))</f>
        <v>0</v>
      </c>
      <c r="AK72" s="32">
        <f>IF(OR(H72="",B72=""),"",IF(OR(X72="Published",X72="Cancelled",X72="Archived"),"",IF(B72&gt;=TODAY(),"",B72+ROW()/100000)))</f>
        <v>0</v>
      </c>
      <c r="AL72" s="29">
        <f>IF(H72="","",IF(COUNTIFS('Content Calendar'!$H$5:$H$604,H72,'Content Calendar'!$G$5:$G$604,G72,'Content Calendar'!$B$5:$B$604,B72)&gt;1,"Duplicate","OK"))</f>
        <v>0</v>
      </c>
      <c r="AM72" s="29">
        <f>IF(H72="","",IF(AND(B72&lt;&gt;"",B72&lt;TODAY(),X72&lt;&gt;"Published",X72&lt;&gt;"Cancelled",X72&lt;&gt;"Archived"),"Overdue - date has passed",IF(AND(X72="Published",AB72=""),"Add - publish link missing",IF(AND(B72=TODAY(),X72&lt;&gt;"Published"),"Today - due to go live",IF(AND(Y72&lt;&gt;"",Y72&lt;TODAY(),OR(X72="Idea",X72="Brief",X72="In production")),"Late - draft not ready",IF(AND(AA72&gt;=0,AA72&lt;=3,OR(X72="Draft",X72="Awaiting review")),"Due - needs approval",IF(AND(H72&lt;&gt;"",P72=""),"Add - caption missing","OK")))))))</f>
        <v>0</v>
      </c>
    </row>
    <row r="73" spans="1:39">
      <c r="A73" s="41">
        <f>IF(H73="","",ContentPrefix&amp;TEXT(ROW()-4,"0000"))</f>
        <v>0</v>
      </c>
      <c r="D73" s="17">
        <f>IF(B73="","",TEXT(B73,"yyyy-mm"))</f>
        <v>0</v>
      </c>
      <c r="E73" s="23">
        <f>IF(B73="","",WEEKNUM(B73,IF(WeekStart="Sunday",1,2)))</f>
        <v>0</v>
      </c>
      <c r="F73" s="17">
        <f>IF(B73="","",TEXT(B73,"ddd"))</f>
        <v>0</v>
      </c>
      <c r="Q73" s="29">
        <f>IF(H73="","",IF(P73="","Add - no caption",IFERROR(INDEX('Caption Bank'!$R$5:$R$204,MATCH(P73,'Caption Bank'!$B$5:$B$204,0)),"Check - not in bank")))</f>
        <v>0</v>
      </c>
      <c r="S73" s="23">
        <f>IF(R73="","",COUNTIF('Hashtag Bank'!$D$5:$D$304,R73))</f>
        <v>0</v>
      </c>
      <c r="U73" s="29">
        <f>IF(H73="","",IF(T73="","Add - no asset",IFERROR(INDEX(Assets!$N$5:$N$254,MATCH(T73,Assets!$A$5:$A$254,0)),"Check - not in library")))</f>
        <v>0</v>
      </c>
      <c r="Y73" s="16">
        <f>IF(B73="","",B73-ProductionDays)</f>
        <v>0</v>
      </c>
      <c r="Z73" s="16">
        <f>IF(B73="","",B73-ApprovalDays)</f>
        <v>0</v>
      </c>
      <c r="AA73" s="23">
        <f>IF(B73="","",B73-TODAY())</f>
        <v>0</v>
      </c>
      <c r="AC73" s="29">
        <f>IF(H73="","",IF(X73="Published",IF(AB73="","Add - link missing","Yes"),"No"))</f>
        <v>0</v>
      </c>
      <c r="AD73" s="23">
        <f>IF(A73="","",IF(COUNTIF(Performance!$B$5:$B$404,A73)=0,"",SUMIFS(Performance!$O$5:$O$404,Performance!$B$5:$B$404,A73)))</f>
        <v>0</v>
      </c>
      <c r="AE73" s="23">
        <f>IF(AD73="","",SUMIFS(Performance!$Z$5:$Z$404,Performance!$B$5:$B$404,A73))</f>
        <v>0</v>
      </c>
      <c r="AF73" s="24">
        <f>IF(OR(AD73="",AD73=0),"",AE73/AD73)</f>
        <v>0</v>
      </c>
      <c r="AG73" s="23">
        <f>IF(AD73="","",SUMIFS(Performance!$U$5:$U$404,Performance!$B$5:$B$404,A73))</f>
        <v>0</v>
      </c>
      <c r="AH73" s="23">
        <f>IF(A73="","",COUNTIF(Repurposing!$B$5:$B$154,A73))</f>
        <v>0</v>
      </c>
      <c r="AI73" s="32">
        <f>IF(OR(H73="",B73=""),"",B73+ROW()/100000)</f>
        <v>0</v>
      </c>
      <c r="AJ73" s="32">
        <f>IF(OR(H73="",B73=""),"",IF(OR(X73="Published",X73="Cancelled",X73="Archived"),"",IF(B73&lt;TODAY(),"",B73+ROW()/100000)))</f>
        <v>0</v>
      </c>
      <c r="AK73" s="32">
        <f>IF(OR(H73="",B73=""),"",IF(OR(X73="Published",X73="Cancelled",X73="Archived"),"",IF(B73&gt;=TODAY(),"",B73+ROW()/100000)))</f>
        <v>0</v>
      </c>
      <c r="AL73" s="29">
        <f>IF(H73="","",IF(COUNTIFS('Content Calendar'!$H$5:$H$604,H73,'Content Calendar'!$G$5:$G$604,G73,'Content Calendar'!$B$5:$B$604,B73)&gt;1,"Duplicate","OK"))</f>
        <v>0</v>
      </c>
      <c r="AM73" s="29">
        <f>IF(H73="","",IF(AND(B73&lt;&gt;"",B73&lt;TODAY(),X73&lt;&gt;"Published",X73&lt;&gt;"Cancelled",X73&lt;&gt;"Archived"),"Overdue - date has passed",IF(AND(X73="Published",AB73=""),"Add - publish link missing",IF(AND(B73=TODAY(),X73&lt;&gt;"Published"),"Today - due to go live",IF(AND(Y73&lt;&gt;"",Y73&lt;TODAY(),OR(X73="Idea",X73="Brief",X73="In production")),"Late - draft not ready",IF(AND(AA73&gt;=0,AA73&lt;=3,OR(X73="Draft",X73="Awaiting review")),"Due - needs approval",IF(AND(H73&lt;&gt;"",P73=""),"Add - caption missing","OK")))))))</f>
        <v>0</v>
      </c>
    </row>
    <row r="74" spans="1:39">
      <c r="A74" s="41">
        <f>IF(H74="","",ContentPrefix&amp;TEXT(ROW()-4,"0000"))</f>
        <v>0</v>
      </c>
      <c r="D74" s="17">
        <f>IF(B74="","",TEXT(B74,"yyyy-mm"))</f>
        <v>0</v>
      </c>
      <c r="E74" s="23">
        <f>IF(B74="","",WEEKNUM(B74,IF(WeekStart="Sunday",1,2)))</f>
        <v>0</v>
      </c>
      <c r="F74" s="17">
        <f>IF(B74="","",TEXT(B74,"ddd"))</f>
        <v>0</v>
      </c>
      <c r="Q74" s="29">
        <f>IF(H74="","",IF(P74="","Add - no caption",IFERROR(INDEX('Caption Bank'!$R$5:$R$204,MATCH(P74,'Caption Bank'!$B$5:$B$204,0)),"Check - not in bank")))</f>
        <v>0</v>
      </c>
      <c r="S74" s="23">
        <f>IF(R74="","",COUNTIF('Hashtag Bank'!$D$5:$D$304,R74))</f>
        <v>0</v>
      </c>
      <c r="U74" s="29">
        <f>IF(H74="","",IF(T74="","Add - no asset",IFERROR(INDEX(Assets!$N$5:$N$254,MATCH(T74,Assets!$A$5:$A$254,0)),"Check - not in library")))</f>
        <v>0</v>
      </c>
      <c r="Y74" s="16">
        <f>IF(B74="","",B74-ProductionDays)</f>
        <v>0</v>
      </c>
      <c r="Z74" s="16">
        <f>IF(B74="","",B74-ApprovalDays)</f>
        <v>0</v>
      </c>
      <c r="AA74" s="23">
        <f>IF(B74="","",B74-TODAY())</f>
        <v>0</v>
      </c>
      <c r="AC74" s="29">
        <f>IF(H74="","",IF(X74="Published",IF(AB74="","Add - link missing","Yes"),"No"))</f>
        <v>0</v>
      </c>
      <c r="AD74" s="23">
        <f>IF(A74="","",IF(COUNTIF(Performance!$B$5:$B$404,A74)=0,"",SUMIFS(Performance!$O$5:$O$404,Performance!$B$5:$B$404,A74)))</f>
        <v>0</v>
      </c>
      <c r="AE74" s="23">
        <f>IF(AD74="","",SUMIFS(Performance!$Z$5:$Z$404,Performance!$B$5:$B$404,A74))</f>
        <v>0</v>
      </c>
      <c r="AF74" s="24">
        <f>IF(OR(AD74="",AD74=0),"",AE74/AD74)</f>
        <v>0</v>
      </c>
      <c r="AG74" s="23">
        <f>IF(AD74="","",SUMIFS(Performance!$U$5:$U$404,Performance!$B$5:$B$404,A74))</f>
        <v>0</v>
      </c>
      <c r="AH74" s="23">
        <f>IF(A74="","",COUNTIF(Repurposing!$B$5:$B$154,A74))</f>
        <v>0</v>
      </c>
      <c r="AI74" s="32">
        <f>IF(OR(H74="",B74=""),"",B74+ROW()/100000)</f>
        <v>0</v>
      </c>
      <c r="AJ74" s="32">
        <f>IF(OR(H74="",B74=""),"",IF(OR(X74="Published",X74="Cancelled",X74="Archived"),"",IF(B74&lt;TODAY(),"",B74+ROW()/100000)))</f>
        <v>0</v>
      </c>
      <c r="AK74" s="32">
        <f>IF(OR(H74="",B74=""),"",IF(OR(X74="Published",X74="Cancelled",X74="Archived"),"",IF(B74&gt;=TODAY(),"",B74+ROW()/100000)))</f>
        <v>0</v>
      </c>
      <c r="AL74" s="29">
        <f>IF(H74="","",IF(COUNTIFS('Content Calendar'!$H$5:$H$604,H74,'Content Calendar'!$G$5:$G$604,G74,'Content Calendar'!$B$5:$B$604,B74)&gt;1,"Duplicate","OK"))</f>
        <v>0</v>
      </c>
      <c r="AM74" s="29">
        <f>IF(H74="","",IF(AND(B74&lt;&gt;"",B74&lt;TODAY(),X74&lt;&gt;"Published",X74&lt;&gt;"Cancelled",X74&lt;&gt;"Archived"),"Overdue - date has passed",IF(AND(X74="Published",AB74=""),"Add - publish link missing",IF(AND(B74=TODAY(),X74&lt;&gt;"Published"),"Today - due to go live",IF(AND(Y74&lt;&gt;"",Y74&lt;TODAY(),OR(X74="Idea",X74="Brief",X74="In production")),"Late - draft not ready",IF(AND(AA74&gt;=0,AA74&lt;=3,OR(X74="Draft",X74="Awaiting review")),"Due - needs approval",IF(AND(H74&lt;&gt;"",P74=""),"Add - caption missing","OK")))))))</f>
        <v>0</v>
      </c>
    </row>
    <row r="75" spans="1:39">
      <c r="A75" s="41">
        <f>IF(H75="","",ContentPrefix&amp;TEXT(ROW()-4,"0000"))</f>
        <v>0</v>
      </c>
      <c r="D75" s="17">
        <f>IF(B75="","",TEXT(B75,"yyyy-mm"))</f>
        <v>0</v>
      </c>
      <c r="E75" s="23">
        <f>IF(B75="","",WEEKNUM(B75,IF(WeekStart="Sunday",1,2)))</f>
        <v>0</v>
      </c>
      <c r="F75" s="17">
        <f>IF(B75="","",TEXT(B75,"ddd"))</f>
        <v>0</v>
      </c>
      <c r="Q75" s="29">
        <f>IF(H75="","",IF(P75="","Add - no caption",IFERROR(INDEX('Caption Bank'!$R$5:$R$204,MATCH(P75,'Caption Bank'!$B$5:$B$204,0)),"Check - not in bank")))</f>
        <v>0</v>
      </c>
      <c r="S75" s="23">
        <f>IF(R75="","",COUNTIF('Hashtag Bank'!$D$5:$D$304,R75))</f>
        <v>0</v>
      </c>
      <c r="U75" s="29">
        <f>IF(H75="","",IF(T75="","Add - no asset",IFERROR(INDEX(Assets!$N$5:$N$254,MATCH(T75,Assets!$A$5:$A$254,0)),"Check - not in library")))</f>
        <v>0</v>
      </c>
      <c r="Y75" s="16">
        <f>IF(B75="","",B75-ProductionDays)</f>
        <v>0</v>
      </c>
      <c r="Z75" s="16">
        <f>IF(B75="","",B75-ApprovalDays)</f>
        <v>0</v>
      </c>
      <c r="AA75" s="23">
        <f>IF(B75="","",B75-TODAY())</f>
        <v>0</v>
      </c>
      <c r="AC75" s="29">
        <f>IF(H75="","",IF(X75="Published",IF(AB75="","Add - link missing","Yes"),"No"))</f>
        <v>0</v>
      </c>
      <c r="AD75" s="23">
        <f>IF(A75="","",IF(COUNTIF(Performance!$B$5:$B$404,A75)=0,"",SUMIFS(Performance!$O$5:$O$404,Performance!$B$5:$B$404,A75)))</f>
        <v>0</v>
      </c>
      <c r="AE75" s="23">
        <f>IF(AD75="","",SUMIFS(Performance!$Z$5:$Z$404,Performance!$B$5:$B$404,A75))</f>
        <v>0</v>
      </c>
      <c r="AF75" s="24">
        <f>IF(OR(AD75="",AD75=0),"",AE75/AD75)</f>
        <v>0</v>
      </c>
      <c r="AG75" s="23">
        <f>IF(AD75="","",SUMIFS(Performance!$U$5:$U$404,Performance!$B$5:$B$404,A75))</f>
        <v>0</v>
      </c>
      <c r="AH75" s="23">
        <f>IF(A75="","",COUNTIF(Repurposing!$B$5:$B$154,A75))</f>
        <v>0</v>
      </c>
      <c r="AI75" s="32">
        <f>IF(OR(H75="",B75=""),"",B75+ROW()/100000)</f>
        <v>0</v>
      </c>
      <c r="AJ75" s="32">
        <f>IF(OR(H75="",B75=""),"",IF(OR(X75="Published",X75="Cancelled",X75="Archived"),"",IF(B75&lt;TODAY(),"",B75+ROW()/100000)))</f>
        <v>0</v>
      </c>
      <c r="AK75" s="32">
        <f>IF(OR(H75="",B75=""),"",IF(OR(X75="Published",X75="Cancelled",X75="Archived"),"",IF(B75&gt;=TODAY(),"",B75+ROW()/100000)))</f>
        <v>0</v>
      </c>
      <c r="AL75" s="29">
        <f>IF(H75="","",IF(COUNTIFS('Content Calendar'!$H$5:$H$604,H75,'Content Calendar'!$G$5:$G$604,G75,'Content Calendar'!$B$5:$B$604,B75)&gt;1,"Duplicate","OK"))</f>
        <v>0</v>
      </c>
      <c r="AM75" s="29">
        <f>IF(H75="","",IF(AND(B75&lt;&gt;"",B75&lt;TODAY(),X75&lt;&gt;"Published",X75&lt;&gt;"Cancelled",X75&lt;&gt;"Archived"),"Overdue - date has passed",IF(AND(X75="Published",AB75=""),"Add - publish link missing",IF(AND(B75=TODAY(),X75&lt;&gt;"Published"),"Today - due to go live",IF(AND(Y75&lt;&gt;"",Y75&lt;TODAY(),OR(X75="Idea",X75="Brief",X75="In production")),"Late - draft not ready",IF(AND(AA75&gt;=0,AA75&lt;=3,OR(X75="Draft",X75="Awaiting review")),"Due - needs approval",IF(AND(H75&lt;&gt;"",P75=""),"Add - caption missing","OK")))))))</f>
        <v>0</v>
      </c>
    </row>
    <row r="76" spans="1:39">
      <c r="A76" s="41">
        <f>IF(H76="","",ContentPrefix&amp;TEXT(ROW()-4,"0000"))</f>
        <v>0</v>
      </c>
      <c r="D76" s="17">
        <f>IF(B76="","",TEXT(B76,"yyyy-mm"))</f>
        <v>0</v>
      </c>
      <c r="E76" s="23">
        <f>IF(B76="","",WEEKNUM(B76,IF(WeekStart="Sunday",1,2)))</f>
        <v>0</v>
      </c>
      <c r="F76" s="17">
        <f>IF(B76="","",TEXT(B76,"ddd"))</f>
        <v>0</v>
      </c>
      <c r="Q76" s="29">
        <f>IF(H76="","",IF(P76="","Add - no caption",IFERROR(INDEX('Caption Bank'!$R$5:$R$204,MATCH(P76,'Caption Bank'!$B$5:$B$204,0)),"Check - not in bank")))</f>
        <v>0</v>
      </c>
      <c r="S76" s="23">
        <f>IF(R76="","",COUNTIF('Hashtag Bank'!$D$5:$D$304,R76))</f>
        <v>0</v>
      </c>
      <c r="U76" s="29">
        <f>IF(H76="","",IF(T76="","Add - no asset",IFERROR(INDEX(Assets!$N$5:$N$254,MATCH(T76,Assets!$A$5:$A$254,0)),"Check - not in library")))</f>
        <v>0</v>
      </c>
      <c r="Y76" s="16">
        <f>IF(B76="","",B76-ProductionDays)</f>
        <v>0</v>
      </c>
      <c r="Z76" s="16">
        <f>IF(B76="","",B76-ApprovalDays)</f>
        <v>0</v>
      </c>
      <c r="AA76" s="23">
        <f>IF(B76="","",B76-TODAY())</f>
        <v>0</v>
      </c>
      <c r="AC76" s="29">
        <f>IF(H76="","",IF(X76="Published",IF(AB76="","Add - link missing","Yes"),"No"))</f>
        <v>0</v>
      </c>
      <c r="AD76" s="23">
        <f>IF(A76="","",IF(COUNTIF(Performance!$B$5:$B$404,A76)=0,"",SUMIFS(Performance!$O$5:$O$404,Performance!$B$5:$B$404,A76)))</f>
        <v>0</v>
      </c>
      <c r="AE76" s="23">
        <f>IF(AD76="","",SUMIFS(Performance!$Z$5:$Z$404,Performance!$B$5:$B$404,A76))</f>
        <v>0</v>
      </c>
      <c r="AF76" s="24">
        <f>IF(OR(AD76="",AD76=0),"",AE76/AD76)</f>
        <v>0</v>
      </c>
      <c r="AG76" s="23">
        <f>IF(AD76="","",SUMIFS(Performance!$U$5:$U$404,Performance!$B$5:$B$404,A76))</f>
        <v>0</v>
      </c>
      <c r="AH76" s="23">
        <f>IF(A76="","",COUNTIF(Repurposing!$B$5:$B$154,A76))</f>
        <v>0</v>
      </c>
      <c r="AI76" s="32">
        <f>IF(OR(H76="",B76=""),"",B76+ROW()/100000)</f>
        <v>0</v>
      </c>
      <c r="AJ76" s="32">
        <f>IF(OR(H76="",B76=""),"",IF(OR(X76="Published",X76="Cancelled",X76="Archived"),"",IF(B76&lt;TODAY(),"",B76+ROW()/100000)))</f>
        <v>0</v>
      </c>
      <c r="AK76" s="32">
        <f>IF(OR(H76="",B76=""),"",IF(OR(X76="Published",X76="Cancelled",X76="Archived"),"",IF(B76&gt;=TODAY(),"",B76+ROW()/100000)))</f>
        <v>0</v>
      </c>
      <c r="AL76" s="29">
        <f>IF(H76="","",IF(COUNTIFS('Content Calendar'!$H$5:$H$604,H76,'Content Calendar'!$G$5:$G$604,G76,'Content Calendar'!$B$5:$B$604,B76)&gt;1,"Duplicate","OK"))</f>
        <v>0</v>
      </c>
      <c r="AM76" s="29">
        <f>IF(H76="","",IF(AND(B76&lt;&gt;"",B76&lt;TODAY(),X76&lt;&gt;"Published",X76&lt;&gt;"Cancelled",X76&lt;&gt;"Archived"),"Overdue - date has passed",IF(AND(X76="Published",AB76=""),"Add - publish link missing",IF(AND(B76=TODAY(),X76&lt;&gt;"Published"),"Today - due to go live",IF(AND(Y76&lt;&gt;"",Y76&lt;TODAY(),OR(X76="Idea",X76="Brief",X76="In production")),"Late - draft not ready",IF(AND(AA76&gt;=0,AA76&lt;=3,OR(X76="Draft",X76="Awaiting review")),"Due - needs approval",IF(AND(H76&lt;&gt;"",P76=""),"Add - caption missing","OK")))))))</f>
        <v>0</v>
      </c>
    </row>
    <row r="77" spans="1:39">
      <c r="A77" s="41">
        <f>IF(H77="","",ContentPrefix&amp;TEXT(ROW()-4,"0000"))</f>
        <v>0</v>
      </c>
      <c r="D77" s="17">
        <f>IF(B77="","",TEXT(B77,"yyyy-mm"))</f>
        <v>0</v>
      </c>
      <c r="E77" s="23">
        <f>IF(B77="","",WEEKNUM(B77,IF(WeekStart="Sunday",1,2)))</f>
        <v>0</v>
      </c>
      <c r="F77" s="17">
        <f>IF(B77="","",TEXT(B77,"ddd"))</f>
        <v>0</v>
      </c>
      <c r="Q77" s="29">
        <f>IF(H77="","",IF(P77="","Add - no caption",IFERROR(INDEX('Caption Bank'!$R$5:$R$204,MATCH(P77,'Caption Bank'!$B$5:$B$204,0)),"Check - not in bank")))</f>
        <v>0</v>
      </c>
      <c r="S77" s="23">
        <f>IF(R77="","",COUNTIF('Hashtag Bank'!$D$5:$D$304,R77))</f>
        <v>0</v>
      </c>
      <c r="U77" s="29">
        <f>IF(H77="","",IF(T77="","Add - no asset",IFERROR(INDEX(Assets!$N$5:$N$254,MATCH(T77,Assets!$A$5:$A$254,0)),"Check - not in library")))</f>
        <v>0</v>
      </c>
      <c r="Y77" s="16">
        <f>IF(B77="","",B77-ProductionDays)</f>
        <v>0</v>
      </c>
      <c r="Z77" s="16">
        <f>IF(B77="","",B77-ApprovalDays)</f>
        <v>0</v>
      </c>
      <c r="AA77" s="23">
        <f>IF(B77="","",B77-TODAY())</f>
        <v>0</v>
      </c>
      <c r="AC77" s="29">
        <f>IF(H77="","",IF(X77="Published",IF(AB77="","Add - link missing","Yes"),"No"))</f>
        <v>0</v>
      </c>
      <c r="AD77" s="23">
        <f>IF(A77="","",IF(COUNTIF(Performance!$B$5:$B$404,A77)=0,"",SUMIFS(Performance!$O$5:$O$404,Performance!$B$5:$B$404,A77)))</f>
        <v>0</v>
      </c>
      <c r="AE77" s="23">
        <f>IF(AD77="","",SUMIFS(Performance!$Z$5:$Z$404,Performance!$B$5:$B$404,A77))</f>
        <v>0</v>
      </c>
      <c r="AF77" s="24">
        <f>IF(OR(AD77="",AD77=0),"",AE77/AD77)</f>
        <v>0</v>
      </c>
      <c r="AG77" s="23">
        <f>IF(AD77="","",SUMIFS(Performance!$U$5:$U$404,Performance!$B$5:$B$404,A77))</f>
        <v>0</v>
      </c>
      <c r="AH77" s="23">
        <f>IF(A77="","",COUNTIF(Repurposing!$B$5:$B$154,A77))</f>
        <v>0</v>
      </c>
      <c r="AI77" s="32">
        <f>IF(OR(H77="",B77=""),"",B77+ROW()/100000)</f>
        <v>0</v>
      </c>
      <c r="AJ77" s="32">
        <f>IF(OR(H77="",B77=""),"",IF(OR(X77="Published",X77="Cancelled",X77="Archived"),"",IF(B77&lt;TODAY(),"",B77+ROW()/100000)))</f>
        <v>0</v>
      </c>
      <c r="AK77" s="32">
        <f>IF(OR(H77="",B77=""),"",IF(OR(X77="Published",X77="Cancelled",X77="Archived"),"",IF(B77&gt;=TODAY(),"",B77+ROW()/100000)))</f>
        <v>0</v>
      </c>
      <c r="AL77" s="29">
        <f>IF(H77="","",IF(COUNTIFS('Content Calendar'!$H$5:$H$604,H77,'Content Calendar'!$G$5:$G$604,G77,'Content Calendar'!$B$5:$B$604,B77)&gt;1,"Duplicate","OK"))</f>
        <v>0</v>
      </c>
      <c r="AM77" s="29">
        <f>IF(H77="","",IF(AND(B77&lt;&gt;"",B77&lt;TODAY(),X77&lt;&gt;"Published",X77&lt;&gt;"Cancelled",X77&lt;&gt;"Archived"),"Overdue - date has passed",IF(AND(X77="Published",AB77=""),"Add - publish link missing",IF(AND(B77=TODAY(),X77&lt;&gt;"Published"),"Today - due to go live",IF(AND(Y77&lt;&gt;"",Y77&lt;TODAY(),OR(X77="Idea",X77="Brief",X77="In production")),"Late - draft not ready",IF(AND(AA77&gt;=0,AA77&lt;=3,OR(X77="Draft",X77="Awaiting review")),"Due - needs approval",IF(AND(H77&lt;&gt;"",P77=""),"Add - caption missing","OK")))))))</f>
        <v>0</v>
      </c>
    </row>
    <row r="78" spans="1:39">
      <c r="A78" s="41">
        <f>IF(H78="","",ContentPrefix&amp;TEXT(ROW()-4,"0000"))</f>
        <v>0</v>
      </c>
      <c r="D78" s="17">
        <f>IF(B78="","",TEXT(B78,"yyyy-mm"))</f>
        <v>0</v>
      </c>
      <c r="E78" s="23">
        <f>IF(B78="","",WEEKNUM(B78,IF(WeekStart="Sunday",1,2)))</f>
        <v>0</v>
      </c>
      <c r="F78" s="17">
        <f>IF(B78="","",TEXT(B78,"ddd"))</f>
        <v>0</v>
      </c>
      <c r="Q78" s="29">
        <f>IF(H78="","",IF(P78="","Add - no caption",IFERROR(INDEX('Caption Bank'!$R$5:$R$204,MATCH(P78,'Caption Bank'!$B$5:$B$204,0)),"Check - not in bank")))</f>
        <v>0</v>
      </c>
      <c r="S78" s="23">
        <f>IF(R78="","",COUNTIF('Hashtag Bank'!$D$5:$D$304,R78))</f>
        <v>0</v>
      </c>
      <c r="U78" s="29">
        <f>IF(H78="","",IF(T78="","Add - no asset",IFERROR(INDEX(Assets!$N$5:$N$254,MATCH(T78,Assets!$A$5:$A$254,0)),"Check - not in library")))</f>
        <v>0</v>
      </c>
      <c r="Y78" s="16">
        <f>IF(B78="","",B78-ProductionDays)</f>
        <v>0</v>
      </c>
      <c r="Z78" s="16">
        <f>IF(B78="","",B78-ApprovalDays)</f>
        <v>0</v>
      </c>
      <c r="AA78" s="23">
        <f>IF(B78="","",B78-TODAY())</f>
        <v>0</v>
      </c>
      <c r="AC78" s="29">
        <f>IF(H78="","",IF(X78="Published",IF(AB78="","Add - link missing","Yes"),"No"))</f>
        <v>0</v>
      </c>
      <c r="AD78" s="23">
        <f>IF(A78="","",IF(COUNTIF(Performance!$B$5:$B$404,A78)=0,"",SUMIFS(Performance!$O$5:$O$404,Performance!$B$5:$B$404,A78)))</f>
        <v>0</v>
      </c>
      <c r="AE78" s="23">
        <f>IF(AD78="","",SUMIFS(Performance!$Z$5:$Z$404,Performance!$B$5:$B$404,A78))</f>
        <v>0</v>
      </c>
      <c r="AF78" s="24">
        <f>IF(OR(AD78="",AD78=0),"",AE78/AD78)</f>
        <v>0</v>
      </c>
      <c r="AG78" s="23">
        <f>IF(AD78="","",SUMIFS(Performance!$U$5:$U$404,Performance!$B$5:$B$404,A78))</f>
        <v>0</v>
      </c>
      <c r="AH78" s="23">
        <f>IF(A78="","",COUNTIF(Repurposing!$B$5:$B$154,A78))</f>
        <v>0</v>
      </c>
      <c r="AI78" s="32">
        <f>IF(OR(H78="",B78=""),"",B78+ROW()/100000)</f>
        <v>0</v>
      </c>
      <c r="AJ78" s="32">
        <f>IF(OR(H78="",B78=""),"",IF(OR(X78="Published",X78="Cancelled",X78="Archived"),"",IF(B78&lt;TODAY(),"",B78+ROW()/100000)))</f>
        <v>0</v>
      </c>
      <c r="AK78" s="32">
        <f>IF(OR(H78="",B78=""),"",IF(OR(X78="Published",X78="Cancelled",X78="Archived"),"",IF(B78&gt;=TODAY(),"",B78+ROW()/100000)))</f>
        <v>0</v>
      </c>
      <c r="AL78" s="29">
        <f>IF(H78="","",IF(COUNTIFS('Content Calendar'!$H$5:$H$604,H78,'Content Calendar'!$G$5:$G$604,G78,'Content Calendar'!$B$5:$B$604,B78)&gt;1,"Duplicate","OK"))</f>
        <v>0</v>
      </c>
      <c r="AM78" s="29">
        <f>IF(H78="","",IF(AND(B78&lt;&gt;"",B78&lt;TODAY(),X78&lt;&gt;"Published",X78&lt;&gt;"Cancelled",X78&lt;&gt;"Archived"),"Overdue - date has passed",IF(AND(X78="Published",AB78=""),"Add - publish link missing",IF(AND(B78=TODAY(),X78&lt;&gt;"Published"),"Today - due to go live",IF(AND(Y78&lt;&gt;"",Y78&lt;TODAY(),OR(X78="Idea",X78="Brief",X78="In production")),"Late - draft not ready",IF(AND(AA78&gt;=0,AA78&lt;=3,OR(X78="Draft",X78="Awaiting review")),"Due - needs approval",IF(AND(H78&lt;&gt;"",P78=""),"Add - caption missing","OK")))))))</f>
        <v>0</v>
      </c>
    </row>
    <row r="79" spans="1:39">
      <c r="A79" s="41">
        <f>IF(H79="","",ContentPrefix&amp;TEXT(ROW()-4,"0000"))</f>
        <v>0</v>
      </c>
      <c r="D79" s="17">
        <f>IF(B79="","",TEXT(B79,"yyyy-mm"))</f>
        <v>0</v>
      </c>
      <c r="E79" s="23">
        <f>IF(B79="","",WEEKNUM(B79,IF(WeekStart="Sunday",1,2)))</f>
        <v>0</v>
      </c>
      <c r="F79" s="17">
        <f>IF(B79="","",TEXT(B79,"ddd"))</f>
        <v>0</v>
      </c>
      <c r="Q79" s="29">
        <f>IF(H79="","",IF(P79="","Add - no caption",IFERROR(INDEX('Caption Bank'!$R$5:$R$204,MATCH(P79,'Caption Bank'!$B$5:$B$204,0)),"Check - not in bank")))</f>
        <v>0</v>
      </c>
      <c r="S79" s="23">
        <f>IF(R79="","",COUNTIF('Hashtag Bank'!$D$5:$D$304,R79))</f>
        <v>0</v>
      </c>
      <c r="U79" s="29">
        <f>IF(H79="","",IF(T79="","Add - no asset",IFERROR(INDEX(Assets!$N$5:$N$254,MATCH(T79,Assets!$A$5:$A$254,0)),"Check - not in library")))</f>
        <v>0</v>
      </c>
      <c r="Y79" s="16">
        <f>IF(B79="","",B79-ProductionDays)</f>
        <v>0</v>
      </c>
      <c r="Z79" s="16">
        <f>IF(B79="","",B79-ApprovalDays)</f>
        <v>0</v>
      </c>
      <c r="AA79" s="23">
        <f>IF(B79="","",B79-TODAY())</f>
        <v>0</v>
      </c>
      <c r="AC79" s="29">
        <f>IF(H79="","",IF(X79="Published",IF(AB79="","Add - link missing","Yes"),"No"))</f>
        <v>0</v>
      </c>
      <c r="AD79" s="23">
        <f>IF(A79="","",IF(COUNTIF(Performance!$B$5:$B$404,A79)=0,"",SUMIFS(Performance!$O$5:$O$404,Performance!$B$5:$B$404,A79)))</f>
        <v>0</v>
      </c>
      <c r="AE79" s="23">
        <f>IF(AD79="","",SUMIFS(Performance!$Z$5:$Z$404,Performance!$B$5:$B$404,A79))</f>
        <v>0</v>
      </c>
      <c r="AF79" s="24">
        <f>IF(OR(AD79="",AD79=0),"",AE79/AD79)</f>
        <v>0</v>
      </c>
      <c r="AG79" s="23">
        <f>IF(AD79="","",SUMIFS(Performance!$U$5:$U$404,Performance!$B$5:$B$404,A79))</f>
        <v>0</v>
      </c>
      <c r="AH79" s="23">
        <f>IF(A79="","",COUNTIF(Repurposing!$B$5:$B$154,A79))</f>
        <v>0</v>
      </c>
      <c r="AI79" s="32">
        <f>IF(OR(H79="",B79=""),"",B79+ROW()/100000)</f>
        <v>0</v>
      </c>
      <c r="AJ79" s="32">
        <f>IF(OR(H79="",B79=""),"",IF(OR(X79="Published",X79="Cancelled",X79="Archived"),"",IF(B79&lt;TODAY(),"",B79+ROW()/100000)))</f>
        <v>0</v>
      </c>
      <c r="AK79" s="32">
        <f>IF(OR(H79="",B79=""),"",IF(OR(X79="Published",X79="Cancelled",X79="Archived"),"",IF(B79&gt;=TODAY(),"",B79+ROW()/100000)))</f>
        <v>0</v>
      </c>
      <c r="AL79" s="29">
        <f>IF(H79="","",IF(COUNTIFS('Content Calendar'!$H$5:$H$604,H79,'Content Calendar'!$G$5:$G$604,G79,'Content Calendar'!$B$5:$B$604,B79)&gt;1,"Duplicate","OK"))</f>
        <v>0</v>
      </c>
      <c r="AM79" s="29">
        <f>IF(H79="","",IF(AND(B79&lt;&gt;"",B79&lt;TODAY(),X79&lt;&gt;"Published",X79&lt;&gt;"Cancelled",X79&lt;&gt;"Archived"),"Overdue - date has passed",IF(AND(X79="Published",AB79=""),"Add - publish link missing",IF(AND(B79=TODAY(),X79&lt;&gt;"Published"),"Today - due to go live",IF(AND(Y79&lt;&gt;"",Y79&lt;TODAY(),OR(X79="Idea",X79="Brief",X79="In production")),"Late - draft not ready",IF(AND(AA79&gt;=0,AA79&lt;=3,OR(X79="Draft",X79="Awaiting review")),"Due - needs approval",IF(AND(H79&lt;&gt;"",P79=""),"Add - caption missing","OK")))))))</f>
        <v>0</v>
      </c>
    </row>
    <row r="80" spans="1:39">
      <c r="A80" s="41">
        <f>IF(H80="","",ContentPrefix&amp;TEXT(ROW()-4,"0000"))</f>
        <v>0</v>
      </c>
      <c r="D80" s="17">
        <f>IF(B80="","",TEXT(B80,"yyyy-mm"))</f>
        <v>0</v>
      </c>
      <c r="E80" s="23">
        <f>IF(B80="","",WEEKNUM(B80,IF(WeekStart="Sunday",1,2)))</f>
        <v>0</v>
      </c>
      <c r="F80" s="17">
        <f>IF(B80="","",TEXT(B80,"ddd"))</f>
        <v>0</v>
      </c>
      <c r="Q80" s="29">
        <f>IF(H80="","",IF(P80="","Add - no caption",IFERROR(INDEX('Caption Bank'!$R$5:$R$204,MATCH(P80,'Caption Bank'!$B$5:$B$204,0)),"Check - not in bank")))</f>
        <v>0</v>
      </c>
      <c r="S80" s="23">
        <f>IF(R80="","",COUNTIF('Hashtag Bank'!$D$5:$D$304,R80))</f>
        <v>0</v>
      </c>
      <c r="U80" s="29">
        <f>IF(H80="","",IF(T80="","Add - no asset",IFERROR(INDEX(Assets!$N$5:$N$254,MATCH(T80,Assets!$A$5:$A$254,0)),"Check - not in library")))</f>
        <v>0</v>
      </c>
      <c r="Y80" s="16">
        <f>IF(B80="","",B80-ProductionDays)</f>
        <v>0</v>
      </c>
      <c r="Z80" s="16">
        <f>IF(B80="","",B80-ApprovalDays)</f>
        <v>0</v>
      </c>
      <c r="AA80" s="23">
        <f>IF(B80="","",B80-TODAY())</f>
        <v>0</v>
      </c>
      <c r="AC80" s="29">
        <f>IF(H80="","",IF(X80="Published",IF(AB80="","Add - link missing","Yes"),"No"))</f>
        <v>0</v>
      </c>
      <c r="AD80" s="23">
        <f>IF(A80="","",IF(COUNTIF(Performance!$B$5:$B$404,A80)=0,"",SUMIFS(Performance!$O$5:$O$404,Performance!$B$5:$B$404,A80)))</f>
        <v>0</v>
      </c>
      <c r="AE80" s="23">
        <f>IF(AD80="","",SUMIFS(Performance!$Z$5:$Z$404,Performance!$B$5:$B$404,A80))</f>
        <v>0</v>
      </c>
      <c r="AF80" s="24">
        <f>IF(OR(AD80="",AD80=0),"",AE80/AD80)</f>
        <v>0</v>
      </c>
      <c r="AG80" s="23">
        <f>IF(AD80="","",SUMIFS(Performance!$U$5:$U$404,Performance!$B$5:$B$404,A80))</f>
        <v>0</v>
      </c>
      <c r="AH80" s="23">
        <f>IF(A80="","",COUNTIF(Repurposing!$B$5:$B$154,A80))</f>
        <v>0</v>
      </c>
      <c r="AI80" s="32">
        <f>IF(OR(H80="",B80=""),"",B80+ROW()/100000)</f>
        <v>0</v>
      </c>
      <c r="AJ80" s="32">
        <f>IF(OR(H80="",B80=""),"",IF(OR(X80="Published",X80="Cancelled",X80="Archived"),"",IF(B80&lt;TODAY(),"",B80+ROW()/100000)))</f>
        <v>0</v>
      </c>
      <c r="AK80" s="32">
        <f>IF(OR(H80="",B80=""),"",IF(OR(X80="Published",X80="Cancelled",X80="Archived"),"",IF(B80&gt;=TODAY(),"",B80+ROW()/100000)))</f>
        <v>0</v>
      </c>
      <c r="AL80" s="29">
        <f>IF(H80="","",IF(COUNTIFS('Content Calendar'!$H$5:$H$604,H80,'Content Calendar'!$G$5:$G$604,G80,'Content Calendar'!$B$5:$B$604,B80)&gt;1,"Duplicate","OK"))</f>
        <v>0</v>
      </c>
      <c r="AM80" s="29">
        <f>IF(H80="","",IF(AND(B80&lt;&gt;"",B80&lt;TODAY(),X80&lt;&gt;"Published",X80&lt;&gt;"Cancelled",X80&lt;&gt;"Archived"),"Overdue - date has passed",IF(AND(X80="Published",AB80=""),"Add - publish link missing",IF(AND(B80=TODAY(),X80&lt;&gt;"Published"),"Today - due to go live",IF(AND(Y80&lt;&gt;"",Y80&lt;TODAY(),OR(X80="Idea",X80="Brief",X80="In production")),"Late - draft not ready",IF(AND(AA80&gt;=0,AA80&lt;=3,OR(X80="Draft",X80="Awaiting review")),"Due - needs approval",IF(AND(H80&lt;&gt;"",P80=""),"Add - caption missing","OK")))))))</f>
        <v>0</v>
      </c>
    </row>
    <row r="81" spans="1:39">
      <c r="A81" s="41">
        <f>IF(H81="","",ContentPrefix&amp;TEXT(ROW()-4,"0000"))</f>
        <v>0</v>
      </c>
      <c r="D81" s="17">
        <f>IF(B81="","",TEXT(B81,"yyyy-mm"))</f>
        <v>0</v>
      </c>
      <c r="E81" s="23">
        <f>IF(B81="","",WEEKNUM(B81,IF(WeekStart="Sunday",1,2)))</f>
        <v>0</v>
      </c>
      <c r="F81" s="17">
        <f>IF(B81="","",TEXT(B81,"ddd"))</f>
        <v>0</v>
      </c>
      <c r="Q81" s="29">
        <f>IF(H81="","",IF(P81="","Add - no caption",IFERROR(INDEX('Caption Bank'!$R$5:$R$204,MATCH(P81,'Caption Bank'!$B$5:$B$204,0)),"Check - not in bank")))</f>
        <v>0</v>
      </c>
      <c r="S81" s="23">
        <f>IF(R81="","",COUNTIF('Hashtag Bank'!$D$5:$D$304,R81))</f>
        <v>0</v>
      </c>
      <c r="U81" s="29">
        <f>IF(H81="","",IF(T81="","Add - no asset",IFERROR(INDEX(Assets!$N$5:$N$254,MATCH(T81,Assets!$A$5:$A$254,0)),"Check - not in library")))</f>
        <v>0</v>
      </c>
      <c r="Y81" s="16">
        <f>IF(B81="","",B81-ProductionDays)</f>
        <v>0</v>
      </c>
      <c r="Z81" s="16">
        <f>IF(B81="","",B81-ApprovalDays)</f>
        <v>0</v>
      </c>
      <c r="AA81" s="23">
        <f>IF(B81="","",B81-TODAY())</f>
        <v>0</v>
      </c>
      <c r="AC81" s="29">
        <f>IF(H81="","",IF(X81="Published",IF(AB81="","Add - link missing","Yes"),"No"))</f>
        <v>0</v>
      </c>
      <c r="AD81" s="23">
        <f>IF(A81="","",IF(COUNTIF(Performance!$B$5:$B$404,A81)=0,"",SUMIFS(Performance!$O$5:$O$404,Performance!$B$5:$B$404,A81)))</f>
        <v>0</v>
      </c>
      <c r="AE81" s="23">
        <f>IF(AD81="","",SUMIFS(Performance!$Z$5:$Z$404,Performance!$B$5:$B$404,A81))</f>
        <v>0</v>
      </c>
      <c r="AF81" s="24">
        <f>IF(OR(AD81="",AD81=0),"",AE81/AD81)</f>
        <v>0</v>
      </c>
      <c r="AG81" s="23">
        <f>IF(AD81="","",SUMIFS(Performance!$U$5:$U$404,Performance!$B$5:$B$404,A81))</f>
        <v>0</v>
      </c>
      <c r="AH81" s="23">
        <f>IF(A81="","",COUNTIF(Repurposing!$B$5:$B$154,A81))</f>
        <v>0</v>
      </c>
      <c r="AI81" s="32">
        <f>IF(OR(H81="",B81=""),"",B81+ROW()/100000)</f>
        <v>0</v>
      </c>
      <c r="AJ81" s="32">
        <f>IF(OR(H81="",B81=""),"",IF(OR(X81="Published",X81="Cancelled",X81="Archived"),"",IF(B81&lt;TODAY(),"",B81+ROW()/100000)))</f>
        <v>0</v>
      </c>
      <c r="AK81" s="32">
        <f>IF(OR(H81="",B81=""),"",IF(OR(X81="Published",X81="Cancelled",X81="Archived"),"",IF(B81&gt;=TODAY(),"",B81+ROW()/100000)))</f>
        <v>0</v>
      </c>
      <c r="AL81" s="29">
        <f>IF(H81="","",IF(COUNTIFS('Content Calendar'!$H$5:$H$604,H81,'Content Calendar'!$G$5:$G$604,G81,'Content Calendar'!$B$5:$B$604,B81)&gt;1,"Duplicate","OK"))</f>
        <v>0</v>
      </c>
      <c r="AM81" s="29">
        <f>IF(H81="","",IF(AND(B81&lt;&gt;"",B81&lt;TODAY(),X81&lt;&gt;"Published",X81&lt;&gt;"Cancelled",X81&lt;&gt;"Archived"),"Overdue - date has passed",IF(AND(X81="Published",AB81=""),"Add - publish link missing",IF(AND(B81=TODAY(),X81&lt;&gt;"Published"),"Today - due to go live",IF(AND(Y81&lt;&gt;"",Y81&lt;TODAY(),OR(X81="Idea",X81="Brief",X81="In production")),"Late - draft not ready",IF(AND(AA81&gt;=0,AA81&lt;=3,OR(X81="Draft",X81="Awaiting review")),"Due - needs approval",IF(AND(H81&lt;&gt;"",P81=""),"Add - caption missing","OK")))))))</f>
        <v>0</v>
      </c>
    </row>
    <row r="82" spans="1:39">
      <c r="A82" s="41">
        <f>IF(H82="","",ContentPrefix&amp;TEXT(ROW()-4,"0000"))</f>
        <v>0</v>
      </c>
      <c r="D82" s="17">
        <f>IF(B82="","",TEXT(B82,"yyyy-mm"))</f>
        <v>0</v>
      </c>
      <c r="E82" s="23">
        <f>IF(B82="","",WEEKNUM(B82,IF(WeekStart="Sunday",1,2)))</f>
        <v>0</v>
      </c>
      <c r="F82" s="17">
        <f>IF(B82="","",TEXT(B82,"ddd"))</f>
        <v>0</v>
      </c>
      <c r="Q82" s="29">
        <f>IF(H82="","",IF(P82="","Add - no caption",IFERROR(INDEX('Caption Bank'!$R$5:$R$204,MATCH(P82,'Caption Bank'!$B$5:$B$204,0)),"Check - not in bank")))</f>
        <v>0</v>
      </c>
      <c r="S82" s="23">
        <f>IF(R82="","",COUNTIF('Hashtag Bank'!$D$5:$D$304,R82))</f>
        <v>0</v>
      </c>
      <c r="U82" s="29">
        <f>IF(H82="","",IF(T82="","Add - no asset",IFERROR(INDEX(Assets!$N$5:$N$254,MATCH(T82,Assets!$A$5:$A$254,0)),"Check - not in library")))</f>
        <v>0</v>
      </c>
      <c r="Y82" s="16">
        <f>IF(B82="","",B82-ProductionDays)</f>
        <v>0</v>
      </c>
      <c r="Z82" s="16">
        <f>IF(B82="","",B82-ApprovalDays)</f>
        <v>0</v>
      </c>
      <c r="AA82" s="23">
        <f>IF(B82="","",B82-TODAY())</f>
        <v>0</v>
      </c>
      <c r="AC82" s="29">
        <f>IF(H82="","",IF(X82="Published",IF(AB82="","Add - link missing","Yes"),"No"))</f>
        <v>0</v>
      </c>
      <c r="AD82" s="23">
        <f>IF(A82="","",IF(COUNTIF(Performance!$B$5:$B$404,A82)=0,"",SUMIFS(Performance!$O$5:$O$404,Performance!$B$5:$B$404,A82)))</f>
        <v>0</v>
      </c>
      <c r="AE82" s="23">
        <f>IF(AD82="","",SUMIFS(Performance!$Z$5:$Z$404,Performance!$B$5:$B$404,A82))</f>
        <v>0</v>
      </c>
      <c r="AF82" s="24">
        <f>IF(OR(AD82="",AD82=0),"",AE82/AD82)</f>
        <v>0</v>
      </c>
      <c r="AG82" s="23">
        <f>IF(AD82="","",SUMIFS(Performance!$U$5:$U$404,Performance!$B$5:$B$404,A82))</f>
        <v>0</v>
      </c>
      <c r="AH82" s="23">
        <f>IF(A82="","",COUNTIF(Repurposing!$B$5:$B$154,A82))</f>
        <v>0</v>
      </c>
      <c r="AI82" s="32">
        <f>IF(OR(H82="",B82=""),"",B82+ROW()/100000)</f>
        <v>0</v>
      </c>
      <c r="AJ82" s="32">
        <f>IF(OR(H82="",B82=""),"",IF(OR(X82="Published",X82="Cancelled",X82="Archived"),"",IF(B82&lt;TODAY(),"",B82+ROW()/100000)))</f>
        <v>0</v>
      </c>
      <c r="AK82" s="32">
        <f>IF(OR(H82="",B82=""),"",IF(OR(X82="Published",X82="Cancelled",X82="Archived"),"",IF(B82&gt;=TODAY(),"",B82+ROW()/100000)))</f>
        <v>0</v>
      </c>
      <c r="AL82" s="29">
        <f>IF(H82="","",IF(COUNTIFS('Content Calendar'!$H$5:$H$604,H82,'Content Calendar'!$G$5:$G$604,G82,'Content Calendar'!$B$5:$B$604,B82)&gt;1,"Duplicate","OK"))</f>
        <v>0</v>
      </c>
      <c r="AM82" s="29">
        <f>IF(H82="","",IF(AND(B82&lt;&gt;"",B82&lt;TODAY(),X82&lt;&gt;"Published",X82&lt;&gt;"Cancelled",X82&lt;&gt;"Archived"),"Overdue - date has passed",IF(AND(X82="Published",AB82=""),"Add - publish link missing",IF(AND(B82=TODAY(),X82&lt;&gt;"Published"),"Today - due to go live",IF(AND(Y82&lt;&gt;"",Y82&lt;TODAY(),OR(X82="Idea",X82="Brief",X82="In production")),"Late - draft not ready",IF(AND(AA82&gt;=0,AA82&lt;=3,OR(X82="Draft",X82="Awaiting review")),"Due - needs approval",IF(AND(H82&lt;&gt;"",P82=""),"Add - caption missing","OK")))))))</f>
        <v>0</v>
      </c>
    </row>
    <row r="83" spans="1:39">
      <c r="A83" s="41">
        <f>IF(H83="","",ContentPrefix&amp;TEXT(ROW()-4,"0000"))</f>
        <v>0</v>
      </c>
      <c r="D83" s="17">
        <f>IF(B83="","",TEXT(B83,"yyyy-mm"))</f>
        <v>0</v>
      </c>
      <c r="E83" s="23">
        <f>IF(B83="","",WEEKNUM(B83,IF(WeekStart="Sunday",1,2)))</f>
        <v>0</v>
      </c>
      <c r="F83" s="17">
        <f>IF(B83="","",TEXT(B83,"ddd"))</f>
        <v>0</v>
      </c>
      <c r="Q83" s="29">
        <f>IF(H83="","",IF(P83="","Add - no caption",IFERROR(INDEX('Caption Bank'!$R$5:$R$204,MATCH(P83,'Caption Bank'!$B$5:$B$204,0)),"Check - not in bank")))</f>
        <v>0</v>
      </c>
      <c r="S83" s="23">
        <f>IF(R83="","",COUNTIF('Hashtag Bank'!$D$5:$D$304,R83))</f>
        <v>0</v>
      </c>
      <c r="U83" s="29">
        <f>IF(H83="","",IF(T83="","Add - no asset",IFERROR(INDEX(Assets!$N$5:$N$254,MATCH(T83,Assets!$A$5:$A$254,0)),"Check - not in library")))</f>
        <v>0</v>
      </c>
      <c r="Y83" s="16">
        <f>IF(B83="","",B83-ProductionDays)</f>
        <v>0</v>
      </c>
      <c r="Z83" s="16">
        <f>IF(B83="","",B83-ApprovalDays)</f>
        <v>0</v>
      </c>
      <c r="AA83" s="23">
        <f>IF(B83="","",B83-TODAY())</f>
        <v>0</v>
      </c>
      <c r="AC83" s="29">
        <f>IF(H83="","",IF(X83="Published",IF(AB83="","Add - link missing","Yes"),"No"))</f>
        <v>0</v>
      </c>
      <c r="AD83" s="23">
        <f>IF(A83="","",IF(COUNTIF(Performance!$B$5:$B$404,A83)=0,"",SUMIFS(Performance!$O$5:$O$404,Performance!$B$5:$B$404,A83)))</f>
        <v>0</v>
      </c>
      <c r="AE83" s="23">
        <f>IF(AD83="","",SUMIFS(Performance!$Z$5:$Z$404,Performance!$B$5:$B$404,A83))</f>
        <v>0</v>
      </c>
      <c r="AF83" s="24">
        <f>IF(OR(AD83="",AD83=0),"",AE83/AD83)</f>
        <v>0</v>
      </c>
      <c r="AG83" s="23">
        <f>IF(AD83="","",SUMIFS(Performance!$U$5:$U$404,Performance!$B$5:$B$404,A83))</f>
        <v>0</v>
      </c>
      <c r="AH83" s="23">
        <f>IF(A83="","",COUNTIF(Repurposing!$B$5:$B$154,A83))</f>
        <v>0</v>
      </c>
      <c r="AI83" s="32">
        <f>IF(OR(H83="",B83=""),"",B83+ROW()/100000)</f>
        <v>0</v>
      </c>
      <c r="AJ83" s="32">
        <f>IF(OR(H83="",B83=""),"",IF(OR(X83="Published",X83="Cancelled",X83="Archived"),"",IF(B83&lt;TODAY(),"",B83+ROW()/100000)))</f>
        <v>0</v>
      </c>
      <c r="AK83" s="32">
        <f>IF(OR(H83="",B83=""),"",IF(OR(X83="Published",X83="Cancelled",X83="Archived"),"",IF(B83&gt;=TODAY(),"",B83+ROW()/100000)))</f>
        <v>0</v>
      </c>
      <c r="AL83" s="29">
        <f>IF(H83="","",IF(COUNTIFS('Content Calendar'!$H$5:$H$604,H83,'Content Calendar'!$G$5:$G$604,G83,'Content Calendar'!$B$5:$B$604,B83)&gt;1,"Duplicate","OK"))</f>
        <v>0</v>
      </c>
      <c r="AM83" s="29">
        <f>IF(H83="","",IF(AND(B83&lt;&gt;"",B83&lt;TODAY(),X83&lt;&gt;"Published",X83&lt;&gt;"Cancelled",X83&lt;&gt;"Archived"),"Overdue - date has passed",IF(AND(X83="Published",AB83=""),"Add - publish link missing",IF(AND(B83=TODAY(),X83&lt;&gt;"Published"),"Today - due to go live",IF(AND(Y83&lt;&gt;"",Y83&lt;TODAY(),OR(X83="Idea",X83="Brief",X83="In production")),"Late - draft not ready",IF(AND(AA83&gt;=0,AA83&lt;=3,OR(X83="Draft",X83="Awaiting review")),"Due - needs approval",IF(AND(H83&lt;&gt;"",P83=""),"Add - caption missing","OK")))))))</f>
        <v>0</v>
      </c>
    </row>
    <row r="84" spans="1:39">
      <c r="A84" s="41">
        <f>IF(H84="","",ContentPrefix&amp;TEXT(ROW()-4,"0000"))</f>
        <v>0</v>
      </c>
      <c r="D84" s="17">
        <f>IF(B84="","",TEXT(B84,"yyyy-mm"))</f>
        <v>0</v>
      </c>
      <c r="E84" s="23">
        <f>IF(B84="","",WEEKNUM(B84,IF(WeekStart="Sunday",1,2)))</f>
        <v>0</v>
      </c>
      <c r="F84" s="17">
        <f>IF(B84="","",TEXT(B84,"ddd"))</f>
        <v>0</v>
      </c>
      <c r="Q84" s="29">
        <f>IF(H84="","",IF(P84="","Add - no caption",IFERROR(INDEX('Caption Bank'!$R$5:$R$204,MATCH(P84,'Caption Bank'!$B$5:$B$204,0)),"Check - not in bank")))</f>
        <v>0</v>
      </c>
      <c r="S84" s="23">
        <f>IF(R84="","",COUNTIF('Hashtag Bank'!$D$5:$D$304,R84))</f>
        <v>0</v>
      </c>
      <c r="U84" s="29">
        <f>IF(H84="","",IF(T84="","Add - no asset",IFERROR(INDEX(Assets!$N$5:$N$254,MATCH(T84,Assets!$A$5:$A$254,0)),"Check - not in library")))</f>
        <v>0</v>
      </c>
      <c r="Y84" s="16">
        <f>IF(B84="","",B84-ProductionDays)</f>
        <v>0</v>
      </c>
      <c r="Z84" s="16">
        <f>IF(B84="","",B84-ApprovalDays)</f>
        <v>0</v>
      </c>
      <c r="AA84" s="23">
        <f>IF(B84="","",B84-TODAY())</f>
        <v>0</v>
      </c>
      <c r="AC84" s="29">
        <f>IF(H84="","",IF(X84="Published",IF(AB84="","Add - link missing","Yes"),"No"))</f>
        <v>0</v>
      </c>
      <c r="AD84" s="23">
        <f>IF(A84="","",IF(COUNTIF(Performance!$B$5:$B$404,A84)=0,"",SUMIFS(Performance!$O$5:$O$404,Performance!$B$5:$B$404,A84)))</f>
        <v>0</v>
      </c>
      <c r="AE84" s="23">
        <f>IF(AD84="","",SUMIFS(Performance!$Z$5:$Z$404,Performance!$B$5:$B$404,A84))</f>
        <v>0</v>
      </c>
      <c r="AF84" s="24">
        <f>IF(OR(AD84="",AD84=0),"",AE84/AD84)</f>
        <v>0</v>
      </c>
      <c r="AG84" s="23">
        <f>IF(AD84="","",SUMIFS(Performance!$U$5:$U$404,Performance!$B$5:$B$404,A84))</f>
        <v>0</v>
      </c>
      <c r="AH84" s="23">
        <f>IF(A84="","",COUNTIF(Repurposing!$B$5:$B$154,A84))</f>
        <v>0</v>
      </c>
      <c r="AI84" s="32">
        <f>IF(OR(H84="",B84=""),"",B84+ROW()/100000)</f>
        <v>0</v>
      </c>
      <c r="AJ84" s="32">
        <f>IF(OR(H84="",B84=""),"",IF(OR(X84="Published",X84="Cancelled",X84="Archived"),"",IF(B84&lt;TODAY(),"",B84+ROW()/100000)))</f>
        <v>0</v>
      </c>
      <c r="AK84" s="32">
        <f>IF(OR(H84="",B84=""),"",IF(OR(X84="Published",X84="Cancelled",X84="Archived"),"",IF(B84&gt;=TODAY(),"",B84+ROW()/100000)))</f>
        <v>0</v>
      </c>
      <c r="AL84" s="29">
        <f>IF(H84="","",IF(COUNTIFS('Content Calendar'!$H$5:$H$604,H84,'Content Calendar'!$G$5:$G$604,G84,'Content Calendar'!$B$5:$B$604,B84)&gt;1,"Duplicate","OK"))</f>
        <v>0</v>
      </c>
      <c r="AM84" s="29">
        <f>IF(H84="","",IF(AND(B84&lt;&gt;"",B84&lt;TODAY(),X84&lt;&gt;"Published",X84&lt;&gt;"Cancelled",X84&lt;&gt;"Archived"),"Overdue - date has passed",IF(AND(X84="Published",AB84=""),"Add - publish link missing",IF(AND(B84=TODAY(),X84&lt;&gt;"Published"),"Today - due to go live",IF(AND(Y84&lt;&gt;"",Y84&lt;TODAY(),OR(X84="Idea",X84="Brief",X84="In production")),"Late - draft not ready",IF(AND(AA84&gt;=0,AA84&lt;=3,OR(X84="Draft",X84="Awaiting review")),"Due - needs approval",IF(AND(H84&lt;&gt;"",P84=""),"Add - caption missing","OK")))))))</f>
        <v>0</v>
      </c>
    </row>
    <row r="85" spans="1:39">
      <c r="A85" s="41">
        <f>IF(H85="","",ContentPrefix&amp;TEXT(ROW()-4,"0000"))</f>
        <v>0</v>
      </c>
      <c r="D85" s="17">
        <f>IF(B85="","",TEXT(B85,"yyyy-mm"))</f>
        <v>0</v>
      </c>
      <c r="E85" s="23">
        <f>IF(B85="","",WEEKNUM(B85,IF(WeekStart="Sunday",1,2)))</f>
        <v>0</v>
      </c>
      <c r="F85" s="17">
        <f>IF(B85="","",TEXT(B85,"ddd"))</f>
        <v>0</v>
      </c>
      <c r="Q85" s="29">
        <f>IF(H85="","",IF(P85="","Add - no caption",IFERROR(INDEX('Caption Bank'!$R$5:$R$204,MATCH(P85,'Caption Bank'!$B$5:$B$204,0)),"Check - not in bank")))</f>
        <v>0</v>
      </c>
      <c r="S85" s="23">
        <f>IF(R85="","",COUNTIF('Hashtag Bank'!$D$5:$D$304,R85))</f>
        <v>0</v>
      </c>
      <c r="U85" s="29">
        <f>IF(H85="","",IF(T85="","Add - no asset",IFERROR(INDEX(Assets!$N$5:$N$254,MATCH(T85,Assets!$A$5:$A$254,0)),"Check - not in library")))</f>
        <v>0</v>
      </c>
      <c r="Y85" s="16">
        <f>IF(B85="","",B85-ProductionDays)</f>
        <v>0</v>
      </c>
      <c r="Z85" s="16">
        <f>IF(B85="","",B85-ApprovalDays)</f>
        <v>0</v>
      </c>
      <c r="AA85" s="23">
        <f>IF(B85="","",B85-TODAY())</f>
        <v>0</v>
      </c>
      <c r="AC85" s="29">
        <f>IF(H85="","",IF(X85="Published",IF(AB85="","Add - link missing","Yes"),"No"))</f>
        <v>0</v>
      </c>
      <c r="AD85" s="23">
        <f>IF(A85="","",IF(COUNTIF(Performance!$B$5:$B$404,A85)=0,"",SUMIFS(Performance!$O$5:$O$404,Performance!$B$5:$B$404,A85)))</f>
        <v>0</v>
      </c>
      <c r="AE85" s="23">
        <f>IF(AD85="","",SUMIFS(Performance!$Z$5:$Z$404,Performance!$B$5:$B$404,A85))</f>
        <v>0</v>
      </c>
      <c r="AF85" s="24">
        <f>IF(OR(AD85="",AD85=0),"",AE85/AD85)</f>
        <v>0</v>
      </c>
      <c r="AG85" s="23">
        <f>IF(AD85="","",SUMIFS(Performance!$U$5:$U$404,Performance!$B$5:$B$404,A85))</f>
        <v>0</v>
      </c>
      <c r="AH85" s="23">
        <f>IF(A85="","",COUNTIF(Repurposing!$B$5:$B$154,A85))</f>
        <v>0</v>
      </c>
      <c r="AI85" s="32">
        <f>IF(OR(H85="",B85=""),"",B85+ROW()/100000)</f>
        <v>0</v>
      </c>
      <c r="AJ85" s="32">
        <f>IF(OR(H85="",B85=""),"",IF(OR(X85="Published",X85="Cancelled",X85="Archived"),"",IF(B85&lt;TODAY(),"",B85+ROW()/100000)))</f>
        <v>0</v>
      </c>
      <c r="AK85" s="32">
        <f>IF(OR(H85="",B85=""),"",IF(OR(X85="Published",X85="Cancelled",X85="Archived"),"",IF(B85&gt;=TODAY(),"",B85+ROW()/100000)))</f>
        <v>0</v>
      </c>
      <c r="AL85" s="29">
        <f>IF(H85="","",IF(COUNTIFS('Content Calendar'!$H$5:$H$604,H85,'Content Calendar'!$G$5:$G$604,G85,'Content Calendar'!$B$5:$B$604,B85)&gt;1,"Duplicate","OK"))</f>
        <v>0</v>
      </c>
      <c r="AM85" s="29">
        <f>IF(H85="","",IF(AND(B85&lt;&gt;"",B85&lt;TODAY(),X85&lt;&gt;"Published",X85&lt;&gt;"Cancelled",X85&lt;&gt;"Archived"),"Overdue - date has passed",IF(AND(X85="Published",AB85=""),"Add - publish link missing",IF(AND(B85=TODAY(),X85&lt;&gt;"Published"),"Today - due to go live",IF(AND(Y85&lt;&gt;"",Y85&lt;TODAY(),OR(X85="Idea",X85="Brief",X85="In production")),"Late - draft not ready",IF(AND(AA85&gt;=0,AA85&lt;=3,OR(X85="Draft",X85="Awaiting review")),"Due - needs approval",IF(AND(H85&lt;&gt;"",P85=""),"Add - caption missing","OK")))))))</f>
        <v>0</v>
      </c>
    </row>
    <row r="86" spans="1:39">
      <c r="A86" s="41">
        <f>IF(H86="","",ContentPrefix&amp;TEXT(ROW()-4,"0000"))</f>
        <v>0</v>
      </c>
      <c r="D86" s="17">
        <f>IF(B86="","",TEXT(B86,"yyyy-mm"))</f>
        <v>0</v>
      </c>
      <c r="E86" s="23">
        <f>IF(B86="","",WEEKNUM(B86,IF(WeekStart="Sunday",1,2)))</f>
        <v>0</v>
      </c>
      <c r="F86" s="17">
        <f>IF(B86="","",TEXT(B86,"ddd"))</f>
        <v>0</v>
      </c>
      <c r="Q86" s="29">
        <f>IF(H86="","",IF(P86="","Add - no caption",IFERROR(INDEX('Caption Bank'!$R$5:$R$204,MATCH(P86,'Caption Bank'!$B$5:$B$204,0)),"Check - not in bank")))</f>
        <v>0</v>
      </c>
      <c r="S86" s="23">
        <f>IF(R86="","",COUNTIF('Hashtag Bank'!$D$5:$D$304,R86))</f>
        <v>0</v>
      </c>
      <c r="U86" s="29">
        <f>IF(H86="","",IF(T86="","Add - no asset",IFERROR(INDEX(Assets!$N$5:$N$254,MATCH(T86,Assets!$A$5:$A$254,0)),"Check - not in library")))</f>
        <v>0</v>
      </c>
      <c r="Y86" s="16">
        <f>IF(B86="","",B86-ProductionDays)</f>
        <v>0</v>
      </c>
      <c r="Z86" s="16">
        <f>IF(B86="","",B86-ApprovalDays)</f>
        <v>0</v>
      </c>
      <c r="AA86" s="23">
        <f>IF(B86="","",B86-TODAY())</f>
        <v>0</v>
      </c>
      <c r="AC86" s="29">
        <f>IF(H86="","",IF(X86="Published",IF(AB86="","Add - link missing","Yes"),"No"))</f>
        <v>0</v>
      </c>
      <c r="AD86" s="23">
        <f>IF(A86="","",IF(COUNTIF(Performance!$B$5:$B$404,A86)=0,"",SUMIFS(Performance!$O$5:$O$404,Performance!$B$5:$B$404,A86)))</f>
        <v>0</v>
      </c>
      <c r="AE86" s="23">
        <f>IF(AD86="","",SUMIFS(Performance!$Z$5:$Z$404,Performance!$B$5:$B$404,A86))</f>
        <v>0</v>
      </c>
      <c r="AF86" s="24">
        <f>IF(OR(AD86="",AD86=0),"",AE86/AD86)</f>
        <v>0</v>
      </c>
      <c r="AG86" s="23">
        <f>IF(AD86="","",SUMIFS(Performance!$U$5:$U$404,Performance!$B$5:$B$404,A86))</f>
        <v>0</v>
      </c>
      <c r="AH86" s="23">
        <f>IF(A86="","",COUNTIF(Repurposing!$B$5:$B$154,A86))</f>
        <v>0</v>
      </c>
      <c r="AI86" s="32">
        <f>IF(OR(H86="",B86=""),"",B86+ROW()/100000)</f>
        <v>0</v>
      </c>
      <c r="AJ86" s="32">
        <f>IF(OR(H86="",B86=""),"",IF(OR(X86="Published",X86="Cancelled",X86="Archived"),"",IF(B86&lt;TODAY(),"",B86+ROW()/100000)))</f>
        <v>0</v>
      </c>
      <c r="AK86" s="32">
        <f>IF(OR(H86="",B86=""),"",IF(OR(X86="Published",X86="Cancelled",X86="Archived"),"",IF(B86&gt;=TODAY(),"",B86+ROW()/100000)))</f>
        <v>0</v>
      </c>
      <c r="AL86" s="29">
        <f>IF(H86="","",IF(COUNTIFS('Content Calendar'!$H$5:$H$604,H86,'Content Calendar'!$G$5:$G$604,G86,'Content Calendar'!$B$5:$B$604,B86)&gt;1,"Duplicate","OK"))</f>
        <v>0</v>
      </c>
      <c r="AM86" s="29">
        <f>IF(H86="","",IF(AND(B86&lt;&gt;"",B86&lt;TODAY(),X86&lt;&gt;"Published",X86&lt;&gt;"Cancelled",X86&lt;&gt;"Archived"),"Overdue - date has passed",IF(AND(X86="Published",AB86=""),"Add - publish link missing",IF(AND(B86=TODAY(),X86&lt;&gt;"Published"),"Today - due to go live",IF(AND(Y86&lt;&gt;"",Y86&lt;TODAY(),OR(X86="Idea",X86="Brief",X86="In production")),"Late - draft not ready",IF(AND(AA86&gt;=0,AA86&lt;=3,OR(X86="Draft",X86="Awaiting review")),"Due - needs approval",IF(AND(H86&lt;&gt;"",P86=""),"Add - caption missing","OK")))))))</f>
        <v>0</v>
      </c>
    </row>
    <row r="87" spans="1:39">
      <c r="A87" s="41">
        <f>IF(H87="","",ContentPrefix&amp;TEXT(ROW()-4,"0000"))</f>
        <v>0</v>
      </c>
      <c r="D87" s="17">
        <f>IF(B87="","",TEXT(B87,"yyyy-mm"))</f>
        <v>0</v>
      </c>
      <c r="E87" s="23">
        <f>IF(B87="","",WEEKNUM(B87,IF(WeekStart="Sunday",1,2)))</f>
        <v>0</v>
      </c>
      <c r="F87" s="17">
        <f>IF(B87="","",TEXT(B87,"ddd"))</f>
        <v>0</v>
      </c>
      <c r="Q87" s="29">
        <f>IF(H87="","",IF(P87="","Add - no caption",IFERROR(INDEX('Caption Bank'!$R$5:$R$204,MATCH(P87,'Caption Bank'!$B$5:$B$204,0)),"Check - not in bank")))</f>
        <v>0</v>
      </c>
      <c r="S87" s="23">
        <f>IF(R87="","",COUNTIF('Hashtag Bank'!$D$5:$D$304,R87))</f>
        <v>0</v>
      </c>
      <c r="U87" s="29">
        <f>IF(H87="","",IF(T87="","Add - no asset",IFERROR(INDEX(Assets!$N$5:$N$254,MATCH(T87,Assets!$A$5:$A$254,0)),"Check - not in library")))</f>
        <v>0</v>
      </c>
      <c r="Y87" s="16">
        <f>IF(B87="","",B87-ProductionDays)</f>
        <v>0</v>
      </c>
      <c r="Z87" s="16">
        <f>IF(B87="","",B87-ApprovalDays)</f>
        <v>0</v>
      </c>
      <c r="AA87" s="23">
        <f>IF(B87="","",B87-TODAY())</f>
        <v>0</v>
      </c>
      <c r="AC87" s="29">
        <f>IF(H87="","",IF(X87="Published",IF(AB87="","Add - link missing","Yes"),"No"))</f>
        <v>0</v>
      </c>
      <c r="AD87" s="23">
        <f>IF(A87="","",IF(COUNTIF(Performance!$B$5:$B$404,A87)=0,"",SUMIFS(Performance!$O$5:$O$404,Performance!$B$5:$B$404,A87)))</f>
        <v>0</v>
      </c>
      <c r="AE87" s="23">
        <f>IF(AD87="","",SUMIFS(Performance!$Z$5:$Z$404,Performance!$B$5:$B$404,A87))</f>
        <v>0</v>
      </c>
      <c r="AF87" s="24">
        <f>IF(OR(AD87="",AD87=0),"",AE87/AD87)</f>
        <v>0</v>
      </c>
      <c r="AG87" s="23">
        <f>IF(AD87="","",SUMIFS(Performance!$U$5:$U$404,Performance!$B$5:$B$404,A87))</f>
        <v>0</v>
      </c>
      <c r="AH87" s="23">
        <f>IF(A87="","",COUNTIF(Repurposing!$B$5:$B$154,A87))</f>
        <v>0</v>
      </c>
      <c r="AI87" s="32">
        <f>IF(OR(H87="",B87=""),"",B87+ROW()/100000)</f>
        <v>0</v>
      </c>
      <c r="AJ87" s="32">
        <f>IF(OR(H87="",B87=""),"",IF(OR(X87="Published",X87="Cancelled",X87="Archived"),"",IF(B87&lt;TODAY(),"",B87+ROW()/100000)))</f>
        <v>0</v>
      </c>
      <c r="AK87" s="32">
        <f>IF(OR(H87="",B87=""),"",IF(OR(X87="Published",X87="Cancelled",X87="Archived"),"",IF(B87&gt;=TODAY(),"",B87+ROW()/100000)))</f>
        <v>0</v>
      </c>
      <c r="AL87" s="29">
        <f>IF(H87="","",IF(COUNTIFS('Content Calendar'!$H$5:$H$604,H87,'Content Calendar'!$G$5:$G$604,G87,'Content Calendar'!$B$5:$B$604,B87)&gt;1,"Duplicate","OK"))</f>
        <v>0</v>
      </c>
      <c r="AM87" s="29">
        <f>IF(H87="","",IF(AND(B87&lt;&gt;"",B87&lt;TODAY(),X87&lt;&gt;"Published",X87&lt;&gt;"Cancelled",X87&lt;&gt;"Archived"),"Overdue - date has passed",IF(AND(X87="Published",AB87=""),"Add - publish link missing",IF(AND(B87=TODAY(),X87&lt;&gt;"Published"),"Today - due to go live",IF(AND(Y87&lt;&gt;"",Y87&lt;TODAY(),OR(X87="Idea",X87="Brief",X87="In production")),"Late - draft not ready",IF(AND(AA87&gt;=0,AA87&lt;=3,OR(X87="Draft",X87="Awaiting review")),"Due - needs approval",IF(AND(H87&lt;&gt;"",P87=""),"Add - caption missing","OK")))))))</f>
        <v>0</v>
      </c>
    </row>
    <row r="88" spans="1:39">
      <c r="A88" s="41">
        <f>IF(H88="","",ContentPrefix&amp;TEXT(ROW()-4,"0000"))</f>
        <v>0</v>
      </c>
      <c r="D88" s="17">
        <f>IF(B88="","",TEXT(B88,"yyyy-mm"))</f>
        <v>0</v>
      </c>
      <c r="E88" s="23">
        <f>IF(B88="","",WEEKNUM(B88,IF(WeekStart="Sunday",1,2)))</f>
        <v>0</v>
      </c>
      <c r="F88" s="17">
        <f>IF(B88="","",TEXT(B88,"ddd"))</f>
        <v>0</v>
      </c>
      <c r="Q88" s="29">
        <f>IF(H88="","",IF(P88="","Add - no caption",IFERROR(INDEX('Caption Bank'!$R$5:$R$204,MATCH(P88,'Caption Bank'!$B$5:$B$204,0)),"Check - not in bank")))</f>
        <v>0</v>
      </c>
      <c r="S88" s="23">
        <f>IF(R88="","",COUNTIF('Hashtag Bank'!$D$5:$D$304,R88))</f>
        <v>0</v>
      </c>
      <c r="U88" s="29">
        <f>IF(H88="","",IF(T88="","Add - no asset",IFERROR(INDEX(Assets!$N$5:$N$254,MATCH(T88,Assets!$A$5:$A$254,0)),"Check - not in library")))</f>
        <v>0</v>
      </c>
      <c r="Y88" s="16">
        <f>IF(B88="","",B88-ProductionDays)</f>
        <v>0</v>
      </c>
      <c r="Z88" s="16">
        <f>IF(B88="","",B88-ApprovalDays)</f>
        <v>0</v>
      </c>
      <c r="AA88" s="23">
        <f>IF(B88="","",B88-TODAY())</f>
        <v>0</v>
      </c>
      <c r="AC88" s="29">
        <f>IF(H88="","",IF(X88="Published",IF(AB88="","Add - link missing","Yes"),"No"))</f>
        <v>0</v>
      </c>
      <c r="AD88" s="23">
        <f>IF(A88="","",IF(COUNTIF(Performance!$B$5:$B$404,A88)=0,"",SUMIFS(Performance!$O$5:$O$404,Performance!$B$5:$B$404,A88)))</f>
        <v>0</v>
      </c>
      <c r="AE88" s="23">
        <f>IF(AD88="","",SUMIFS(Performance!$Z$5:$Z$404,Performance!$B$5:$B$404,A88))</f>
        <v>0</v>
      </c>
      <c r="AF88" s="24">
        <f>IF(OR(AD88="",AD88=0),"",AE88/AD88)</f>
        <v>0</v>
      </c>
      <c r="AG88" s="23">
        <f>IF(AD88="","",SUMIFS(Performance!$U$5:$U$404,Performance!$B$5:$B$404,A88))</f>
        <v>0</v>
      </c>
      <c r="AH88" s="23">
        <f>IF(A88="","",COUNTIF(Repurposing!$B$5:$B$154,A88))</f>
        <v>0</v>
      </c>
      <c r="AI88" s="32">
        <f>IF(OR(H88="",B88=""),"",B88+ROW()/100000)</f>
        <v>0</v>
      </c>
      <c r="AJ88" s="32">
        <f>IF(OR(H88="",B88=""),"",IF(OR(X88="Published",X88="Cancelled",X88="Archived"),"",IF(B88&lt;TODAY(),"",B88+ROW()/100000)))</f>
        <v>0</v>
      </c>
      <c r="AK88" s="32">
        <f>IF(OR(H88="",B88=""),"",IF(OR(X88="Published",X88="Cancelled",X88="Archived"),"",IF(B88&gt;=TODAY(),"",B88+ROW()/100000)))</f>
        <v>0</v>
      </c>
      <c r="AL88" s="29">
        <f>IF(H88="","",IF(COUNTIFS('Content Calendar'!$H$5:$H$604,H88,'Content Calendar'!$G$5:$G$604,G88,'Content Calendar'!$B$5:$B$604,B88)&gt;1,"Duplicate","OK"))</f>
        <v>0</v>
      </c>
      <c r="AM88" s="29">
        <f>IF(H88="","",IF(AND(B88&lt;&gt;"",B88&lt;TODAY(),X88&lt;&gt;"Published",X88&lt;&gt;"Cancelled",X88&lt;&gt;"Archived"),"Overdue - date has passed",IF(AND(X88="Published",AB88=""),"Add - publish link missing",IF(AND(B88=TODAY(),X88&lt;&gt;"Published"),"Today - due to go live",IF(AND(Y88&lt;&gt;"",Y88&lt;TODAY(),OR(X88="Idea",X88="Brief",X88="In production")),"Late - draft not ready",IF(AND(AA88&gt;=0,AA88&lt;=3,OR(X88="Draft",X88="Awaiting review")),"Due - needs approval",IF(AND(H88&lt;&gt;"",P88=""),"Add - caption missing","OK")))))))</f>
        <v>0</v>
      </c>
    </row>
    <row r="89" spans="1:39">
      <c r="A89" s="41">
        <f>IF(H89="","",ContentPrefix&amp;TEXT(ROW()-4,"0000"))</f>
        <v>0</v>
      </c>
      <c r="D89" s="17">
        <f>IF(B89="","",TEXT(B89,"yyyy-mm"))</f>
        <v>0</v>
      </c>
      <c r="E89" s="23">
        <f>IF(B89="","",WEEKNUM(B89,IF(WeekStart="Sunday",1,2)))</f>
        <v>0</v>
      </c>
      <c r="F89" s="17">
        <f>IF(B89="","",TEXT(B89,"ddd"))</f>
        <v>0</v>
      </c>
      <c r="Q89" s="29">
        <f>IF(H89="","",IF(P89="","Add - no caption",IFERROR(INDEX('Caption Bank'!$R$5:$R$204,MATCH(P89,'Caption Bank'!$B$5:$B$204,0)),"Check - not in bank")))</f>
        <v>0</v>
      </c>
      <c r="S89" s="23">
        <f>IF(R89="","",COUNTIF('Hashtag Bank'!$D$5:$D$304,R89))</f>
        <v>0</v>
      </c>
      <c r="U89" s="29">
        <f>IF(H89="","",IF(T89="","Add - no asset",IFERROR(INDEX(Assets!$N$5:$N$254,MATCH(T89,Assets!$A$5:$A$254,0)),"Check - not in library")))</f>
        <v>0</v>
      </c>
      <c r="Y89" s="16">
        <f>IF(B89="","",B89-ProductionDays)</f>
        <v>0</v>
      </c>
      <c r="Z89" s="16">
        <f>IF(B89="","",B89-ApprovalDays)</f>
        <v>0</v>
      </c>
      <c r="AA89" s="23">
        <f>IF(B89="","",B89-TODAY())</f>
        <v>0</v>
      </c>
      <c r="AC89" s="29">
        <f>IF(H89="","",IF(X89="Published",IF(AB89="","Add - link missing","Yes"),"No"))</f>
        <v>0</v>
      </c>
      <c r="AD89" s="23">
        <f>IF(A89="","",IF(COUNTIF(Performance!$B$5:$B$404,A89)=0,"",SUMIFS(Performance!$O$5:$O$404,Performance!$B$5:$B$404,A89)))</f>
        <v>0</v>
      </c>
      <c r="AE89" s="23">
        <f>IF(AD89="","",SUMIFS(Performance!$Z$5:$Z$404,Performance!$B$5:$B$404,A89))</f>
        <v>0</v>
      </c>
      <c r="AF89" s="24">
        <f>IF(OR(AD89="",AD89=0),"",AE89/AD89)</f>
        <v>0</v>
      </c>
      <c r="AG89" s="23">
        <f>IF(AD89="","",SUMIFS(Performance!$U$5:$U$404,Performance!$B$5:$B$404,A89))</f>
        <v>0</v>
      </c>
      <c r="AH89" s="23">
        <f>IF(A89="","",COUNTIF(Repurposing!$B$5:$B$154,A89))</f>
        <v>0</v>
      </c>
      <c r="AI89" s="32">
        <f>IF(OR(H89="",B89=""),"",B89+ROW()/100000)</f>
        <v>0</v>
      </c>
      <c r="AJ89" s="32">
        <f>IF(OR(H89="",B89=""),"",IF(OR(X89="Published",X89="Cancelled",X89="Archived"),"",IF(B89&lt;TODAY(),"",B89+ROW()/100000)))</f>
        <v>0</v>
      </c>
      <c r="AK89" s="32">
        <f>IF(OR(H89="",B89=""),"",IF(OR(X89="Published",X89="Cancelled",X89="Archived"),"",IF(B89&gt;=TODAY(),"",B89+ROW()/100000)))</f>
        <v>0</v>
      </c>
      <c r="AL89" s="29">
        <f>IF(H89="","",IF(COUNTIFS('Content Calendar'!$H$5:$H$604,H89,'Content Calendar'!$G$5:$G$604,G89,'Content Calendar'!$B$5:$B$604,B89)&gt;1,"Duplicate","OK"))</f>
        <v>0</v>
      </c>
      <c r="AM89" s="29">
        <f>IF(H89="","",IF(AND(B89&lt;&gt;"",B89&lt;TODAY(),X89&lt;&gt;"Published",X89&lt;&gt;"Cancelled",X89&lt;&gt;"Archived"),"Overdue - date has passed",IF(AND(X89="Published",AB89=""),"Add - publish link missing",IF(AND(B89=TODAY(),X89&lt;&gt;"Published"),"Today - due to go live",IF(AND(Y89&lt;&gt;"",Y89&lt;TODAY(),OR(X89="Idea",X89="Brief",X89="In production")),"Late - draft not ready",IF(AND(AA89&gt;=0,AA89&lt;=3,OR(X89="Draft",X89="Awaiting review")),"Due - needs approval",IF(AND(H89&lt;&gt;"",P89=""),"Add - caption missing","OK")))))))</f>
        <v>0</v>
      </c>
    </row>
    <row r="90" spans="1:39">
      <c r="A90" s="41">
        <f>IF(H90="","",ContentPrefix&amp;TEXT(ROW()-4,"0000"))</f>
        <v>0</v>
      </c>
      <c r="D90" s="17">
        <f>IF(B90="","",TEXT(B90,"yyyy-mm"))</f>
        <v>0</v>
      </c>
      <c r="E90" s="23">
        <f>IF(B90="","",WEEKNUM(B90,IF(WeekStart="Sunday",1,2)))</f>
        <v>0</v>
      </c>
      <c r="F90" s="17">
        <f>IF(B90="","",TEXT(B90,"ddd"))</f>
        <v>0</v>
      </c>
      <c r="Q90" s="29">
        <f>IF(H90="","",IF(P90="","Add - no caption",IFERROR(INDEX('Caption Bank'!$R$5:$R$204,MATCH(P90,'Caption Bank'!$B$5:$B$204,0)),"Check - not in bank")))</f>
        <v>0</v>
      </c>
      <c r="S90" s="23">
        <f>IF(R90="","",COUNTIF('Hashtag Bank'!$D$5:$D$304,R90))</f>
        <v>0</v>
      </c>
      <c r="U90" s="29">
        <f>IF(H90="","",IF(T90="","Add - no asset",IFERROR(INDEX(Assets!$N$5:$N$254,MATCH(T90,Assets!$A$5:$A$254,0)),"Check - not in library")))</f>
        <v>0</v>
      </c>
      <c r="Y90" s="16">
        <f>IF(B90="","",B90-ProductionDays)</f>
        <v>0</v>
      </c>
      <c r="Z90" s="16">
        <f>IF(B90="","",B90-ApprovalDays)</f>
        <v>0</v>
      </c>
      <c r="AA90" s="23">
        <f>IF(B90="","",B90-TODAY())</f>
        <v>0</v>
      </c>
      <c r="AC90" s="29">
        <f>IF(H90="","",IF(X90="Published",IF(AB90="","Add - link missing","Yes"),"No"))</f>
        <v>0</v>
      </c>
      <c r="AD90" s="23">
        <f>IF(A90="","",IF(COUNTIF(Performance!$B$5:$B$404,A90)=0,"",SUMIFS(Performance!$O$5:$O$404,Performance!$B$5:$B$404,A90)))</f>
        <v>0</v>
      </c>
      <c r="AE90" s="23">
        <f>IF(AD90="","",SUMIFS(Performance!$Z$5:$Z$404,Performance!$B$5:$B$404,A90))</f>
        <v>0</v>
      </c>
      <c r="AF90" s="24">
        <f>IF(OR(AD90="",AD90=0),"",AE90/AD90)</f>
        <v>0</v>
      </c>
      <c r="AG90" s="23">
        <f>IF(AD90="","",SUMIFS(Performance!$U$5:$U$404,Performance!$B$5:$B$404,A90))</f>
        <v>0</v>
      </c>
      <c r="AH90" s="23">
        <f>IF(A90="","",COUNTIF(Repurposing!$B$5:$B$154,A90))</f>
        <v>0</v>
      </c>
      <c r="AI90" s="32">
        <f>IF(OR(H90="",B90=""),"",B90+ROW()/100000)</f>
        <v>0</v>
      </c>
      <c r="AJ90" s="32">
        <f>IF(OR(H90="",B90=""),"",IF(OR(X90="Published",X90="Cancelled",X90="Archived"),"",IF(B90&lt;TODAY(),"",B90+ROW()/100000)))</f>
        <v>0</v>
      </c>
      <c r="AK90" s="32">
        <f>IF(OR(H90="",B90=""),"",IF(OR(X90="Published",X90="Cancelled",X90="Archived"),"",IF(B90&gt;=TODAY(),"",B90+ROW()/100000)))</f>
        <v>0</v>
      </c>
      <c r="AL90" s="29">
        <f>IF(H90="","",IF(COUNTIFS('Content Calendar'!$H$5:$H$604,H90,'Content Calendar'!$G$5:$G$604,G90,'Content Calendar'!$B$5:$B$604,B90)&gt;1,"Duplicate","OK"))</f>
        <v>0</v>
      </c>
      <c r="AM90" s="29">
        <f>IF(H90="","",IF(AND(B90&lt;&gt;"",B90&lt;TODAY(),X90&lt;&gt;"Published",X90&lt;&gt;"Cancelled",X90&lt;&gt;"Archived"),"Overdue - date has passed",IF(AND(X90="Published",AB90=""),"Add - publish link missing",IF(AND(B90=TODAY(),X90&lt;&gt;"Published"),"Today - due to go live",IF(AND(Y90&lt;&gt;"",Y90&lt;TODAY(),OR(X90="Idea",X90="Brief",X90="In production")),"Late - draft not ready",IF(AND(AA90&gt;=0,AA90&lt;=3,OR(X90="Draft",X90="Awaiting review")),"Due - needs approval",IF(AND(H90&lt;&gt;"",P90=""),"Add - caption missing","OK")))))))</f>
        <v>0</v>
      </c>
    </row>
    <row r="91" spans="1:39">
      <c r="A91" s="41">
        <f>IF(H91="","",ContentPrefix&amp;TEXT(ROW()-4,"0000"))</f>
        <v>0</v>
      </c>
      <c r="D91" s="17">
        <f>IF(B91="","",TEXT(B91,"yyyy-mm"))</f>
        <v>0</v>
      </c>
      <c r="E91" s="23">
        <f>IF(B91="","",WEEKNUM(B91,IF(WeekStart="Sunday",1,2)))</f>
        <v>0</v>
      </c>
      <c r="F91" s="17">
        <f>IF(B91="","",TEXT(B91,"ddd"))</f>
        <v>0</v>
      </c>
      <c r="Q91" s="29">
        <f>IF(H91="","",IF(P91="","Add - no caption",IFERROR(INDEX('Caption Bank'!$R$5:$R$204,MATCH(P91,'Caption Bank'!$B$5:$B$204,0)),"Check - not in bank")))</f>
        <v>0</v>
      </c>
      <c r="S91" s="23">
        <f>IF(R91="","",COUNTIF('Hashtag Bank'!$D$5:$D$304,R91))</f>
        <v>0</v>
      </c>
      <c r="U91" s="29">
        <f>IF(H91="","",IF(T91="","Add - no asset",IFERROR(INDEX(Assets!$N$5:$N$254,MATCH(T91,Assets!$A$5:$A$254,0)),"Check - not in library")))</f>
        <v>0</v>
      </c>
      <c r="Y91" s="16">
        <f>IF(B91="","",B91-ProductionDays)</f>
        <v>0</v>
      </c>
      <c r="Z91" s="16">
        <f>IF(B91="","",B91-ApprovalDays)</f>
        <v>0</v>
      </c>
      <c r="AA91" s="23">
        <f>IF(B91="","",B91-TODAY())</f>
        <v>0</v>
      </c>
      <c r="AC91" s="29">
        <f>IF(H91="","",IF(X91="Published",IF(AB91="","Add - link missing","Yes"),"No"))</f>
        <v>0</v>
      </c>
      <c r="AD91" s="23">
        <f>IF(A91="","",IF(COUNTIF(Performance!$B$5:$B$404,A91)=0,"",SUMIFS(Performance!$O$5:$O$404,Performance!$B$5:$B$404,A91)))</f>
        <v>0</v>
      </c>
      <c r="AE91" s="23">
        <f>IF(AD91="","",SUMIFS(Performance!$Z$5:$Z$404,Performance!$B$5:$B$404,A91))</f>
        <v>0</v>
      </c>
      <c r="AF91" s="24">
        <f>IF(OR(AD91="",AD91=0),"",AE91/AD91)</f>
        <v>0</v>
      </c>
      <c r="AG91" s="23">
        <f>IF(AD91="","",SUMIFS(Performance!$U$5:$U$404,Performance!$B$5:$B$404,A91))</f>
        <v>0</v>
      </c>
      <c r="AH91" s="23">
        <f>IF(A91="","",COUNTIF(Repurposing!$B$5:$B$154,A91))</f>
        <v>0</v>
      </c>
      <c r="AI91" s="32">
        <f>IF(OR(H91="",B91=""),"",B91+ROW()/100000)</f>
        <v>0</v>
      </c>
      <c r="AJ91" s="32">
        <f>IF(OR(H91="",B91=""),"",IF(OR(X91="Published",X91="Cancelled",X91="Archived"),"",IF(B91&lt;TODAY(),"",B91+ROW()/100000)))</f>
        <v>0</v>
      </c>
      <c r="AK91" s="32">
        <f>IF(OR(H91="",B91=""),"",IF(OR(X91="Published",X91="Cancelled",X91="Archived"),"",IF(B91&gt;=TODAY(),"",B91+ROW()/100000)))</f>
        <v>0</v>
      </c>
      <c r="AL91" s="29">
        <f>IF(H91="","",IF(COUNTIFS('Content Calendar'!$H$5:$H$604,H91,'Content Calendar'!$G$5:$G$604,G91,'Content Calendar'!$B$5:$B$604,B91)&gt;1,"Duplicate","OK"))</f>
        <v>0</v>
      </c>
      <c r="AM91" s="29">
        <f>IF(H91="","",IF(AND(B91&lt;&gt;"",B91&lt;TODAY(),X91&lt;&gt;"Published",X91&lt;&gt;"Cancelled",X91&lt;&gt;"Archived"),"Overdue - date has passed",IF(AND(X91="Published",AB91=""),"Add - publish link missing",IF(AND(B91=TODAY(),X91&lt;&gt;"Published"),"Today - due to go live",IF(AND(Y91&lt;&gt;"",Y91&lt;TODAY(),OR(X91="Idea",X91="Brief",X91="In production")),"Late - draft not ready",IF(AND(AA91&gt;=0,AA91&lt;=3,OR(X91="Draft",X91="Awaiting review")),"Due - needs approval",IF(AND(H91&lt;&gt;"",P91=""),"Add - caption missing","OK")))))))</f>
        <v>0</v>
      </c>
    </row>
    <row r="92" spans="1:39">
      <c r="A92" s="41">
        <f>IF(H92="","",ContentPrefix&amp;TEXT(ROW()-4,"0000"))</f>
        <v>0</v>
      </c>
      <c r="D92" s="17">
        <f>IF(B92="","",TEXT(B92,"yyyy-mm"))</f>
        <v>0</v>
      </c>
      <c r="E92" s="23">
        <f>IF(B92="","",WEEKNUM(B92,IF(WeekStart="Sunday",1,2)))</f>
        <v>0</v>
      </c>
      <c r="F92" s="17">
        <f>IF(B92="","",TEXT(B92,"ddd"))</f>
        <v>0</v>
      </c>
      <c r="Q92" s="29">
        <f>IF(H92="","",IF(P92="","Add - no caption",IFERROR(INDEX('Caption Bank'!$R$5:$R$204,MATCH(P92,'Caption Bank'!$B$5:$B$204,0)),"Check - not in bank")))</f>
        <v>0</v>
      </c>
      <c r="S92" s="23">
        <f>IF(R92="","",COUNTIF('Hashtag Bank'!$D$5:$D$304,R92))</f>
        <v>0</v>
      </c>
      <c r="U92" s="29">
        <f>IF(H92="","",IF(T92="","Add - no asset",IFERROR(INDEX(Assets!$N$5:$N$254,MATCH(T92,Assets!$A$5:$A$254,0)),"Check - not in library")))</f>
        <v>0</v>
      </c>
      <c r="Y92" s="16">
        <f>IF(B92="","",B92-ProductionDays)</f>
        <v>0</v>
      </c>
      <c r="Z92" s="16">
        <f>IF(B92="","",B92-ApprovalDays)</f>
        <v>0</v>
      </c>
      <c r="AA92" s="23">
        <f>IF(B92="","",B92-TODAY())</f>
        <v>0</v>
      </c>
      <c r="AC92" s="29">
        <f>IF(H92="","",IF(X92="Published",IF(AB92="","Add - link missing","Yes"),"No"))</f>
        <v>0</v>
      </c>
      <c r="AD92" s="23">
        <f>IF(A92="","",IF(COUNTIF(Performance!$B$5:$B$404,A92)=0,"",SUMIFS(Performance!$O$5:$O$404,Performance!$B$5:$B$404,A92)))</f>
        <v>0</v>
      </c>
      <c r="AE92" s="23">
        <f>IF(AD92="","",SUMIFS(Performance!$Z$5:$Z$404,Performance!$B$5:$B$404,A92))</f>
        <v>0</v>
      </c>
      <c r="AF92" s="24">
        <f>IF(OR(AD92="",AD92=0),"",AE92/AD92)</f>
        <v>0</v>
      </c>
      <c r="AG92" s="23">
        <f>IF(AD92="","",SUMIFS(Performance!$U$5:$U$404,Performance!$B$5:$B$404,A92))</f>
        <v>0</v>
      </c>
      <c r="AH92" s="23">
        <f>IF(A92="","",COUNTIF(Repurposing!$B$5:$B$154,A92))</f>
        <v>0</v>
      </c>
      <c r="AI92" s="32">
        <f>IF(OR(H92="",B92=""),"",B92+ROW()/100000)</f>
        <v>0</v>
      </c>
      <c r="AJ92" s="32">
        <f>IF(OR(H92="",B92=""),"",IF(OR(X92="Published",X92="Cancelled",X92="Archived"),"",IF(B92&lt;TODAY(),"",B92+ROW()/100000)))</f>
        <v>0</v>
      </c>
      <c r="AK92" s="32">
        <f>IF(OR(H92="",B92=""),"",IF(OR(X92="Published",X92="Cancelled",X92="Archived"),"",IF(B92&gt;=TODAY(),"",B92+ROW()/100000)))</f>
        <v>0</v>
      </c>
      <c r="AL92" s="29">
        <f>IF(H92="","",IF(COUNTIFS('Content Calendar'!$H$5:$H$604,H92,'Content Calendar'!$G$5:$G$604,G92,'Content Calendar'!$B$5:$B$604,B92)&gt;1,"Duplicate","OK"))</f>
        <v>0</v>
      </c>
      <c r="AM92" s="29">
        <f>IF(H92="","",IF(AND(B92&lt;&gt;"",B92&lt;TODAY(),X92&lt;&gt;"Published",X92&lt;&gt;"Cancelled",X92&lt;&gt;"Archived"),"Overdue - date has passed",IF(AND(X92="Published",AB92=""),"Add - publish link missing",IF(AND(B92=TODAY(),X92&lt;&gt;"Published"),"Today - due to go live",IF(AND(Y92&lt;&gt;"",Y92&lt;TODAY(),OR(X92="Idea",X92="Brief",X92="In production")),"Late - draft not ready",IF(AND(AA92&gt;=0,AA92&lt;=3,OR(X92="Draft",X92="Awaiting review")),"Due - needs approval",IF(AND(H92&lt;&gt;"",P92=""),"Add - caption missing","OK")))))))</f>
        <v>0</v>
      </c>
    </row>
    <row r="93" spans="1:39">
      <c r="A93" s="41">
        <f>IF(H93="","",ContentPrefix&amp;TEXT(ROW()-4,"0000"))</f>
        <v>0</v>
      </c>
      <c r="D93" s="17">
        <f>IF(B93="","",TEXT(B93,"yyyy-mm"))</f>
        <v>0</v>
      </c>
      <c r="E93" s="23">
        <f>IF(B93="","",WEEKNUM(B93,IF(WeekStart="Sunday",1,2)))</f>
        <v>0</v>
      </c>
      <c r="F93" s="17">
        <f>IF(B93="","",TEXT(B93,"ddd"))</f>
        <v>0</v>
      </c>
      <c r="Q93" s="29">
        <f>IF(H93="","",IF(P93="","Add - no caption",IFERROR(INDEX('Caption Bank'!$R$5:$R$204,MATCH(P93,'Caption Bank'!$B$5:$B$204,0)),"Check - not in bank")))</f>
        <v>0</v>
      </c>
      <c r="S93" s="23">
        <f>IF(R93="","",COUNTIF('Hashtag Bank'!$D$5:$D$304,R93))</f>
        <v>0</v>
      </c>
      <c r="U93" s="29">
        <f>IF(H93="","",IF(T93="","Add - no asset",IFERROR(INDEX(Assets!$N$5:$N$254,MATCH(T93,Assets!$A$5:$A$254,0)),"Check - not in library")))</f>
        <v>0</v>
      </c>
      <c r="Y93" s="16">
        <f>IF(B93="","",B93-ProductionDays)</f>
        <v>0</v>
      </c>
      <c r="Z93" s="16">
        <f>IF(B93="","",B93-ApprovalDays)</f>
        <v>0</v>
      </c>
      <c r="AA93" s="23">
        <f>IF(B93="","",B93-TODAY())</f>
        <v>0</v>
      </c>
      <c r="AC93" s="29">
        <f>IF(H93="","",IF(X93="Published",IF(AB93="","Add - link missing","Yes"),"No"))</f>
        <v>0</v>
      </c>
      <c r="AD93" s="23">
        <f>IF(A93="","",IF(COUNTIF(Performance!$B$5:$B$404,A93)=0,"",SUMIFS(Performance!$O$5:$O$404,Performance!$B$5:$B$404,A93)))</f>
        <v>0</v>
      </c>
      <c r="AE93" s="23">
        <f>IF(AD93="","",SUMIFS(Performance!$Z$5:$Z$404,Performance!$B$5:$B$404,A93))</f>
        <v>0</v>
      </c>
      <c r="AF93" s="24">
        <f>IF(OR(AD93="",AD93=0),"",AE93/AD93)</f>
        <v>0</v>
      </c>
      <c r="AG93" s="23">
        <f>IF(AD93="","",SUMIFS(Performance!$U$5:$U$404,Performance!$B$5:$B$404,A93))</f>
        <v>0</v>
      </c>
      <c r="AH93" s="23">
        <f>IF(A93="","",COUNTIF(Repurposing!$B$5:$B$154,A93))</f>
        <v>0</v>
      </c>
      <c r="AI93" s="32">
        <f>IF(OR(H93="",B93=""),"",B93+ROW()/100000)</f>
        <v>0</v>
      </c>
      <c r="AJ93" s="32">
        <f>IF(OR(H93="",B93=""),"",IF(OR(X93="Published",X93="Cancelled",X93="Archived"),"",IF(B93&lt;TODAY(),"",B93+ROW()/100000)))</f>
        <v>0</v>
      </c>
      <c r="AK93" s="32">
        <f>IF(OR(H93="",B93=""),"",IF(OR(X93="Published",X93="Cancelled",X93="Archived"),"",IF(B93&gt;=TODAY(),"",B93+ROW()/100000)))</f>
        <v>0</v>
      </c>
      <c r="AL93" s="29">
        <f>IF(H93="","",IF(COUNTIFS('Content Calendar'!$H$5:$H$604,H93,'Content Calendar'!$G$5:$G$604,G93,'Content Calendar'!$B$5:$B$604,B93)&gt;1,"Duplicate","OK"))</f>
        <v>0</v>
      </c>
      <c r="AM93" s="29">
        <f>IF(H93="","",IF(AND(B93&lt;&gt;"",B93&lt;TODAY(),X93&lt;&gt;"Published",X93&lt;&gt;"Cancelled",X93&lt;&gt;"Archived"),"Overdue - date has passed",IF(AND(X93="Published",AB93=""),"Add - publish link missing",IF(AND(B93=TODAY(),X93&lt;&gt;"Published"),"Today - due to go live",IF(AND(Y93&lt;&gt;"",Y93&lt;TODAY(),OR(X93="Idea",X93="Brief",X93="In production")),"Late - draft not ready",IF(AND(AA93&gt;=0,AA93&lt;=3,OR(X93="Draft",X93="Awaiting review")),"Due - needs approval",IF(AND(H93&lt;&gt;"",P93=""),"Add - caption missing","OK")))))))</f>
        <v>0</v>
      </c>
    </row>
    <row r="94" spans="1:39">
      <c r="A94" s="41">
        <f>IF(H94="","",ContentPrefix&amp;TEXT(ROW()-4,"0000"))</f>
        <v>0</v>
      </c>
      <c r="D94" s="17">
        <f>IF(B94="","",TEXT(B94,"yyyy-mm"))</f>
        <v>0</v>
      </c>
      <c r="E94" s="23">
        <f>IF(B94="","",WEEKNUM(B94,IF(WeekStart="Sunday",1,2)))</f>
        <v>0</v>
      </c>
      <c r="F94" s="17">
        <f>IF(B94="","",TEXT(B94,"ddd"))</f>
        <v>0</v>
      </c>
      <c r="Q94" s="29">
        <f>IF(H94="","",IF(P94="","Add - no caption",IFERROR(INDEX('Caption Bank'!$R$5:$R$204,MATCH(P94,'Caption Bank'!$B$5:$B$204,0)),"Check - not in bank")))</f>
        <v>0</v>
      </c>
      <c r="S94" s="23">
        <f>IF(R94="","",COUNTIF('Hashtag Bank'!$D$5:$D$304,R94))</f>
        <v>0</v>
      </c>
      <c r="U94" s="29">
        <f>IF(H94="","",IF(T94="","Add - no asset",IFERROR(INDEX(Assets!$N$5:$N$254,MATCH(T94,Assets!$A$5:$A$254,0)),"Check - not in library")))</f>
        <v>0</v>
      </c>
      <c r="Y94" s="16">
        <f>IF(B94="","",B94-ProductionDays)</f>
        <v>0</v>
      </c>
      <c r="Z94" s="16">
        <f>IF(B94="","",B94-ApprovalDays)</f>
        <v>0</v>
      </c>
      <c r="AA94" s="23">
        <f>IF(B94="","",B94-TODAY())</f>
        <v>0</v>
      </c>
      <c r="AC94" s="29">
        <f>IF(H94="","",IF(X94="Published",IF(AB94="","Add - link missing","Yes"),"No"))</f>
        <v>0</v>
      </c>
      <c r="AD94" s="23">
        <f>IF(A94="","",IF(COUNTIF(Performance!$B$5:$B$404,A94)=0,"",SUMIFS(Performance!$O$5:$O$404,Performance!$B$5:$B$404,A94)))</f>
        <v>0</v>
      </c>
      <c r="AE94" s="23">
        <f>IF(AD94="","",SUMIFS(Performance!$Z$5:$Z$404,Performance!$B$5:$B$404,A94))</f>
        <v>0</v>
      </c>
      <c r="AF94" s="24">
        <f>IF(OR(AD94="",AD94=0),"",AE94/AD94)</f>
        <v>0</v>
      </c>
      <c r="AG94" s="23">
        <f>IF(AD94="","",SUMIFS(Performance!$U$5:$U$404,Performance!$B$5:$B$404,A94))</f>
        <v>0</v>
      </c>
      <c r="AH94" s="23">
        <f>IF(A94="","",COUNTIF(Repurposing!$B$5:$B$154,A94))</f>
        <v>0</v>
      </c>
      <c r="AI94" s="32">
        <f>IF(OR(H94="",B94=""),"",B94+ROW()/100000)</f>
        <v>0</v>
      </c>
      <c r="AJ94" s="32">
        <f>IF(OR(H94="",B94=""),"",IF(OR(X94="Published",X94="Cancelled",X94="Archived"),"",IF(B94&lt;TODAY(),"",B94+ROW()/100000)))</f>
        <v>0</v>
      </c>
      <c r="AK94" s="32">
        <f>IF(OR(H94="",B94=""),"",IF(OR(X94="Published",X94="Cancelled",X94="Archived"),"",IF(B94&gt;=TODAY(),"",B94+ROW()/100000)))</f>
        <v>0</v>
      </c>
      <c r="AL94" s="29">
        <f>IF(H94="","",IF(COUNTIFS('Content Calendar'!$H$5:$H$604,H94,'Content Calendar'!$G$5:$G$604,G94,'Content Calendar'!$B$5:$B$604,B94)&gt;1,"Duplicate","OK"))</f>
        <v>0</v>
      </c>
      <c r="AM94" s="29">
        <f>IF(H94="","",IF(AND(B94&lt;&gt;"",B94&lt;TODAY(),X94&lt;&gt;"Published",X94&lt;&gt;"Cancelled",X94&lt;&gt;"Archived"),"Overdue - date has passed",IF(AND(X94="Published",AB94=""),"Add - publish link missing",IF(AND(B94=TODAY(),X94&lt;&gt;"Published"),"Today - due to go live",IF(AND(Y94&lt;&gt;"",Y94&lt;TODAY(),OR(X94="Idea",X94="Brief",X94="In production")),"Late - draft not ready",IF(AND(AA94&gt;=0,AA94&lt;=3,OR(X94="Draft",X94="Awaiting review")),"Due - needs approval",IF(AND(H94&lt;&gt;"",P94=""),"Add - caption missing","OK")))))))</f>
        <v>0</v>
      </c>
    </row>
    <row r="95" spans="1:39">
      <c r="A95" s="41">
        <f>IF(H95="","",ContentPrefix&amp;TEXT(ROW()-4,"0000"))</f>
        <v>0</v>
      </c>
      <c r="D95" s="17">
        <f>IF(B95="","",TEXT(B95,"yyyy-mm"))</f>
        <v>0</v>
      </c>
      <c r="E95" s="23">
        <f>IF(B95="","",WEEKNUM(B95,IF(WeekStart="Sunday",1,2)))</f>
        <v>0</v>
      </c>
      <c r="F95" s="17">
        <f>IF(B95="","",TEXT(B95,"ddd"))</f>
        <v>0</v>
      </c>
      <c r="Q95" s="29">
        <f>IF(H95="","",IF(P95="","Add - no caption",IFERROR(INDEX('Caption Bank'!$R$5:$R$204,MATCH(P95,'Caption Bank'!$B$5:$B$204,0)),"Check - not in bank")))</f>
        <v>0</v>
      </c>
      <c r="S95" s="23">
        <f>IF(R95="","",COUNTIF('Hashtag Bank'!$D$5:$D$304,R95))</f>
        <v>0</v>
      </c>
      <c r="U95" s="29">
        <f>IF(H95="","",IF(T95="","Add - no asset",IFERROR(INDEX(Assets!$N$5:$N$254,MATCH(T95,Assets!$A$5:$A$254,0)),"Check - not in library")))</f>
        <v>0</v>
      </c>
      <c r="Y95" s="16">
        <f>IF(B95="","",B95-ProductionDays)</f>
        <v>0</v>
      </c>
      <c r="Z95" s="16">
        <f>IF(B95="","",B95-ApprovalDays)</f>
        <v>0</v>
      </c>
      <c r="AA95" s="23">
        <f>IF(B95="","",B95-TODAY())</f>
        <v>0</v>
      </c>
      <c r="AC95" s="29">
        <f>IF(H95="","",IF(X95="Published",IF(AB95="","Add - link missing","Yes"),"No"))</f>
        <v>0</v>
      </c>
      <c r="AD95" s="23">
        <f>IF(A95="","",IF(COUNTIF(Performance!$B$5:$B$404,A95)=0,"",SUMIFS(Performance!$O$5:$O$404,Performance!$B$5:$B$404,A95)))</f>
        <v>0</v>
      </c>
      <c r="AE95" s="23">
        <f>IF(AD95="","",SUMIFS(Performance!$Z$5:$Z$404,Performance!$B$5:$B$404,A95))</f>
        <v>0</v>
      </c>
      <c r="AF95" s="24">
        <f>IF(OR(AD95="",AD95=0),"",AE95/AD95)</f>
        <v>0</v>
      </c>
      <c r="AG95" s="23">
        <f>IF(AD95="","",SUMIFS(Performance!$U$5:$U$404,Performance!$B$5:$B$404,A95))</f>
        <v>0</v>
      </c>
      <c r="AH95" s="23">
        <f>IF(A95="","",COUNTIF(Repurposing!$B$5:$B$154,A95))</f>
        <v>0</v>
      </c>
      <c r="AI95" s="32">
        <f>IF(OR(H95="",B95=""),"",B95+ROW()/100000)</f>
        <v>0</v>
      </c>
      <c r="AJ95" s="32">
        <f>IF(OR(H95="",B95=""),"",IF(OR(X95="Published",X95="Cancelled",X95="Archived"),"",IF(B95&lt;TODAY(),"",B95+ROW()/100000)))</f>
        <v>0</v>
      </c>
      <c r="AK95" s="32">
        <f>IF(OR(H95="",B95=""),"",IF(OR(X95="Published",X95="Cancelled",X95="Archived"),"",IF(B95&gt;=TODAY(),"",B95+ROW()/100000)))</f>
        <v>0</v>
      </c>
      <c r="AL95" s="29">
        <f>IF(H95="","",IF(COUNTIFS('Content Calendar'!$H$5:$H$604,H95,'Content Calendar'!$G$5:$G$604,G95,'Content Calendar'!$B$5:$B$604,B95)&gt;1,"Duplicate","OK"))</f>
        <v>0</v>
      </c>
      <c r="AM95" s="29">
        <f>IF(H95="","",IF(AND(B95&lt;&gt;"",B95&lt;TODAY(),X95&lt;&gt;"Published",X95&lt;&gt;"Cancelled",X95&lt;&gt;"Archived"),"Overdue - date has passed",IF(AND(X95="Published",AB95=""),"Add - publish link missing",IF(AND(B95=TODAY(),X95&lt;&gt;"Published"),"Today - due to go live",IF(AND(Y95&lt;&gt;"",Y95&lt;TODAY(),OR(X95="Idea",X95="Brief",X95="In production")),"Late - draft not ready",IF(AND(AA95&gt;=0,AA95&lt;=3,OR(X95="Draft",X95="Awaiting review")),"Due - needs approval",IF(AND(H95&lt;&gt;"",P95=""),"Add - caption missing","OK")))))))</f>
        <v>0</v>
      </c>
    </row>
    <row r="96" spans="1:39">
      <c r="A96" s="41">
        <f>IF(H96="","",ContentPrefix&amp;TEXT(ROW()-4,"0000"))</f>
        <v>0</v>
      </c>
      <c r="D96" s="17">
        <f>IF(B96="","",TEXT(B96,"yyyy-mm"))</f>
        <v>0</v>
      </c>
      <c r="E96" s="23">
        <f>IF(B96="","",WEEKNUM(B96,IF(WeekStart="Sunday",1,2)))</f>
        <v>0</v>
      </c>
      <c r="F96" s="17">
        <f>IF(B96="","",TEXT(B96,"ddd"))</f>
        <v>0</v>
      </c>
      <c r="Q96" s="29">
        <f>IF(H96="","",IF(P96="","Add - no caption",IFERROR(INDEX('Caption Bank'!$R$5:$R$204,MATCH(P96,'Caption Bank'!$B$5:$B$204,0)),"Check - not in bank")))</f>
        <v>0</v>
      </c>
      <c r="S96" s="23">
        <f>IF(R96="","",COUNTIF('Hashtag Bank'!$D$5:$D$304,R96))</f>
        <v>0</v>
      </c>
      <c r="U96" s="29">
        <f>IF(H96="","",IF(T96="","Add - no asset",IFERROR(INDEX(Assets!$N$5:$N$254,MATCH(T96,Assets!$A$5:$A$254,0)),"Check - not in library")))</f>
        <v>0</v>
      </c>
      <c r="Y96" s="16">
        <f>IF(B96="","",B96-ProductionDays)</f>
        <v>0</v>
      </c>
      <c r="Z96" s="16">
        <f>IF(B96="","",B96-ApprovalDays)</f>
        <v>0</v>
      </c>
      <c r="AA96" s="23">
        <f>IF(B96="","",B96-TODAY())</f>
        <v>0</v>
      </c>
      <c r="AC96" s="29">
        <f>IF(H96="","",IF(X96="Published",IF(AB96="","Add - link missing","Yes"),"No"))</f>
        <v>0</v>
      </c>
      <c r="AD96" s="23">
        <f>IF(A96="","",IF(COUNTIF(Performance!$B$5:$B$404,A96)=0,"",SUMIFS(Performance!$O$5:$O$404,Performance!$B$5:$B$404,A96)))</f>
        <v>0</v>
      </c>
      <c r="AE96" s="23">
        <f>IF(AD96="","",SUMIFS(Performance!$Z$5:$Z$404,Performance!$B$5:$B$404,A96))</f>
        <v>0</v>
      </c>
      <c r="AF96" s="24">
        <f>IF(OR(AD96="",AD96=0),"",AE96/AD96)</f>
        <v>0</v>
      </c>
      <c r="AG96" s="23">
        <f>IF(AD96="","",SUMIFS(Performance!$U$5:$U$404,Performance!$B$5:$B$404,A96))</f>
        <v>0</v>
      </c>
      <c r="AH96" s="23">
        <f>IF(A96="","",COUNTIF(Repurposing!$B$5:$B$154,A96))</f>
        <v>0</v>
      </c>
      <c r="AI96" s="32">
        <f>IF(OR(H96="",B96=""),"",B96+ROW()/100000)</f>
        <v>0</v>
      </c>
      <c r="AJ96" s="32">
        <f>IF(OR(H96="",B96=""),"",IF(OR(X96="Published",X96="Cancelled",X96="Archived"),"",IF(B96&lt;TODAY(),"",B96+ROW()/100000)))</f>
        <v>0</v>
      </c>
      <c r="AK96" s="32">
        <f>IF(OR(H96="",B96=""),"",IF(OR(X96="Published",X96="Cancelled",X96="Archived"),"",IF(B96&gt;=TODAY(),"",B96+ROW()/100000)))</f>
        <v>0</v>
      </c>
      <c r="AL96" s="29">
        <f>IF(H96="","",IF(COUNTIFS('Content Calendar'!$H$5:$H$604,H96,'Content Calendar'!$G$5:$G$604,G96,'Content Calendar'!$B$5:$B$604,B96)&gt;1,"Duplicate","OK"))</f>
        <v>0</v>
      </c>
      <c r="AM96" s="29">
        <f>IF(H96="","",IF(AND(B96&lt;&gt;"",B96&lt;TODAY(),X96&lt;&gt;"Published",X96&lt;&gt;"Cancelled",X96&lt;&gt;"Archived"),"Overdue - date has passed",IF(AND(X96="Published",AB96=""),"Add - publish link missing",IF(AND(B96=TODAY(),X96&lt;&gt;"Published"),"Today - due to go live",IF(AND(Y96&lt;&gt;"",Y96&lt;TODAY(),OR(X96="Idea",X96="Brief",X96="In production")),"Late - draft not ready",IF(AND(AA96&gt;=0,AA96&lt;=3,OR(X96="Draft",X96="Awaiting review")),"Due - needs approval",IF(AND(H96&lt;&gt;"",P96=""),"Add - caption missing","OK")))))))</f>
        <v>0</v>
      </c>
    </row>
    <row r="97" spans="1:39">
      <c r="A97" s="41">
        <f>IF(H97="","",ContentPrefix&amp;TEXT(ROW()-4,"0000"))</f>
        <v>0</v>
      </c>
      <c r="D97" s="17">
        <f>IF(B97="","",TEXT(B97,"yyyy-mm"))</f>
        <v>0</v>
      </c>
      <c r="E97" s="23">
        <f>IF(B97="","",WEEKNUM(B97,IF(WeekStart="Sunday",1,2)))</f>
        <v>0</v>
      </c>
      <c r="F97" s="17">
        <f>IF(B97="","",TEXT(B97,"ddd"))</f>
        <v>0</v>
      </c>
      <c r="Q97" s="29">
        <f>IF(H97="","",IF(P97="","Add - no caption",IFERROR(INDEX('Caption Bank'!$R$5:$R$204,MATCH(P97,'Caption Bank'!$B$5:$B$204,0)),"Check - not in bank")))</f>
        <v>0</v>
      </c>
      <c r="S97" s="23">
        <f>IF(R97="","",COUNTIF('Hashtag Bank'!$D$5:$D$304,R97))</f>
        <v>0</v>
      </c>
      <c r="U97" s="29">
        <f>IF(H97="","",IF(T97="","Add - no asset",IFERROR(INDEX(Assets!$N$5:$N$254,MATCH(T97,Assets!$A$5:$A$254,0)),"Check - not in library")))</f>
        <v>0</v>
      </c>
      <c r="Y97" s="16">
        <f>IF(B97="","",B97-ProductionDays)</f>
        <v>0</v>
      </c>
      <c r="Z97" s="16">
        <f>IF(B97="","",B97-ApprovalDays)</f>
        <v>0</v>
      </c>
      <c r="AA97" s="23">
        <f>IF(B97="","",B97-TODAY())</f>
        <v>0</v>
      </c>
      <c r="AC97" s="29">
        <f>IF(H97="","",IF(X97="Published",IF(AB97="","Add - link missing","Yes"),"No"))</f>
        <v>0</v>
      </c>
      <c r="AD97" s="23">
        <f>IF(A97="","",IF(COUNTIF(Performance!$B$5:$B$404,A97)=0,"",SUMIFS(Performance!$O$5:$O$404,Performance!$B$5:$B$404,A97)))</f>
        <v>0</v>
      </c>
      <c r="AE97" s="23">
        <f>IF(AD97="","",SUMIFS(Performance!$Z$5:$Z$404,Performance!$B$5:$B$404,A97))</f>
        <v>0</v>
      </c>
      <c r="AF97" s="24">
        <f>IF(OR(AD97="",AD97=0),"",AE97/AD97)</f>
        <v>0</v>
      </c>
      <c r="AG97" s="23">
        <f>IF(AD97="","",SUMIFS(Performance!$U$5:$U$404,Performance!$B$5:$B$404,A97))</f>
        <v>0</v>
      </c>
      <c r="AH97" s="23">
        <f>IF(A97="","",COUNTIF(Repurposing!$B$5:$B$154,A97))</f>
        <v>0</v>
      </c>
      <c r="AI97" s="32">
        <f>IF(OR(H97="",B97=""),"",B97+ROW()/100000)</f>
        <v>0</v>
      </c>
      <c r="AJ97" s="32">
        <f>IF(OR(H97="",B97=""),"",IF(OR(X97="Published",X97="Cancelled",X97="Archived"),"",IF(B97&lt;TODAY(),"",B97+ROW()/100000)))</f>
        <v>0</v>
      </c>
      <c r="AK97" s="32">
        <f>IF(OR(H97="",B97=""),"",IF(OR(X97="Published",X97="Cancelled",X97="Archived"),"",IF(B97&gt;=TODAY(),"",B97+ROW()/100000)))</f>
        <v>0</v>
      </c>
      <c r="AL97" s="29">
        <f>IF(H97="","",IF(COUNTIFS('Content Calendar'!$H$5:$H$604,H97,'Content Calendar'!$G$5:$G$604,G97,'Content Calendar'!$B$5:$B$604,B97)&gt;1,"Duplicate","OK"))</f>
        <v>0</v>
      </c>
      <c r="AM97" s="29">
        <f>IF(H97="","",IF(AND(B97&lt;&gt;"",B97&lt;TODAY(),X97&lt;&gt;"Published",X97&lt;&gt;"Cancelled",X97&lt;&gt;"Archived"),"Overdue - date has passed",IF(AND(X97="Published",AB97=""),"Add - publish link missing",IF(AND(B97=TODAY(),X97&lt;&gt;"Published"),"Today - due to go live",IF(AND(Y97&lt;&gt;"",Y97&lt;TODAY(),OR(X97="Idea",X97="Brief",X97="In production")),"Late - draft not ready",IF(AND(AA97&gt;=0,AA97&lt;=3,OR(X97="Draft",X97="Awaiting review")),"Due - needs approval",IF(AND(H97&lt;&gt;"",P97=""),"Add - caption missing","OK")))))))</f>
        <v>0</v>
      </c>
    </row>
    <row r="98" spans="1:39">
      <c r="A98" s="41">
        <f>IF(H98="","",ContentPrefix&amp;TEXT(ROW()-4,"0000"))</f>
        <v>0</v>
      </c>
      <c r="D98" s="17">
        <f>IF(B98="","",TEXT(B98,"yyyy-mm"))</f>
        <v>0</v>
      </c>
      <c r="E98" s="23">
        <f>IF(B98="","",WEEKNUM(B98,IF(WeekStart="Sunday",1,2)))</f>
        <v>0</v>
      </c>
      <c r="F98" s="17">
        <f>IF(B98="","",TEXT(B98,"ddd"))</f>
        <v>0</v>
      </c>
      <c r="Q98" s="29">
        <f>IF(H98="","",IF(P98="","Add - no caption",IFERROR(INDEX('Caption Bank'!$R$5:$R$204,MATCH(P98,'Caption Bank'!$B$5:$B$204,0)),"Check - not in bank")))</f>
        <v>0</v>
      </c>
      <c r="S98" s="23">
        <f>IF(R98="","",COUNTIF('Hashtag Bank'!$D$5:$D$304,R98))</f>
        <v>0</v>
      </c>
      <c r="U98" s="29">
        <f>IF(H98="","",IF(T98="","Add - no asset",IFERROR(INDEX(Assets!$N$5:$N$254,MATCH(T98,Assets!$A$5:$A$254,0)),"Check - not in library")))</f>
        <v>0</v>
      </c>
      <c r="Y98" s="16">
        <f>IF(B98="","",B98-ProductionDays)</f>
        <v>0</v>
      </c>
      <c r="Z98" s="16">
        <f>IF(B98="","",B98-ApprovalDays)</f>
        <v>0</v>
      </c>
      <c r="AA98" s="23">
        <f>IF(B98="","",B98-TODAY())</f>
        <v>0</v>
      </c>
      <c r="AC98" s="29">
        <f>IF(H98="","",IF(X98="Published",IF(AB98="","Add - link missing","Yes"),"No"))</f>
        <v>0</v>
      </c>
      <c r="AD98" s="23">
        <f>IF(A98="","",IF(COUNTIF(Performance!$B$5:$B$404,A98)=0,"",SUMIFS(Performance!$O$5:$O$404,Performance!$B$5:$B$404,A98)))</f>
        <v>0</v>
      </c>
      <c r="AE98" s="23">
        <f>IF(AD98="","",SUMIFS(Performance!$Z$5:$Z$404,Performance!$B$5:$B$404,A98))</f>
        <v>0</v>
      </c>
      <c r="AF98" s="24">
        <f>IF(OR(AD98="",AD98=0),"",AE98/AD98)</f>
        <v>0</v>
      </c>
      <c r="AG98" s="23">
        <f>IF(AD98="","",SUMIFS(Performance!$U$5:$U$404,Performance!$B$5:$B$404,A98))</f>
        <v>0</v>
      </c>
      <c r="AH98" s="23">
        <f>IF(A98="","",COUNTIF(Repurposing!$B$5:$B$154,A98))</f>
        <v>0</v>
      </c>
      <c r="AI98" s="32">
        <f>IF(OR(H98="",B98=""),"",B98+ROW()/100000)</f>
        <v>0</v>
      </c>
      <c r="AJ98" s="32">
        <f>IF(OR(H98="",B98=""),"",IF(OR(X98="Published",X98="Cancelled",X98="Archived"),"",IF(B98&lt;TODAY(),"",B98+ROW()/100000)))</f>
        <v>0</v>
      </c>
      <c r="AK98" s="32">
        <f>IF(OR(H98="",B98=""),"",IF(OR(X98="Published",X98="Cancelled",X98="Archived"),"",IF(B98&gt;=TODAY(),"",B98+ROW()/100000)))</f>
        <v>0</v>
      </c>
      <c r="AL98" s="29">
        <f>IF(H98="","",IF(COUNTIFS('Content Calendar'!$H$5:$H$604,H98,'Content Calendar'!$G$5:$G$604,G98,'Content Calendar'!$B$5:$B$604,B98)&gt;1,"Duplicate","OK"))</f>
        <v>0</v>
      </c>
      <c r="AM98" s="29">
        <f>IF(H98="","",IF(AND(B98&lt;&gt;"",B98&lt;TODAY(),X98&lt;&gt;"Published",X98&lt;&gt;"Cancelled",X98&lt;&gt;"Archived"),"Overdue - date has passed",IF(AND(X98="Published",AB98=""),"Add - publish link missing",IF(AND(B98=TODAY(),X98&lt;&gt;"Published"),"Today - due to go live",IF(AND(Y98&lt;&gt;"",Y98&lt;TODAY(),OR(X98="Idea",X98="Brief",X98="In production")),"Late - draft not ready",IF(AND(AA98&gt;=0,AA98&lt;=3,OR(X98="Draft",X98="Awaiting review")),"Due - needs approval",IF(AND(H98&lt;&gt;"",P98=""),"Add - caption missing","OK")))))))</f>
        <v>0</v>
      </c>
    </row>
    <row r="99" spans="1:39">
      <c r="A99" s="41">
        <f>IF(H99="","",ContentPrefix&amp;TEXT(ROW()-4,"0000"))</f>
        <v>0</v>
      </c>
      <c r="D99" s="17">
        <f>IF(B99="","",TEXT(B99,"yyyy-mm"))</f>
        <v>0</v>
      </c>
      <c r="E99" s="23">
        <f>IF(B99="","",WEEKNUM(B99,IF(WeekStart="Sunday",1,2)))</f>
        <v>0</v>
      </c>
      <c r="F99" s="17">
        <f>IF(B99="","",TEXT(B99,"ddd"))</f>
        <v>0</v>
      </c>
      <c r="Q99" s="29">
        <f>IF(H99="","",IF(P99="","Add - no caption",IFERROR(INDEX('Caption Bank'!$R$5:$R$204,MATCH(P99,'Caption Bank'!$B$5:$B$204,0)),"Check - not in bank")))</f>
        <v>0</v>
      </c>
      <c r="S99" s="23">
        <f>IF(R99="","",COUNTIF('Hashtag Bank'!$D$5:$D$304,R99))</f>
        <v>0</v>
      </c>
      <c r="U99" s="29">
        <f>IF(H99="","",IF(T99="","Add - no asset",IFERROR(INDEX(Assets!$N$5:$N$254,MATCH(T99,Assets!$A$5:$A$254,0)),"Check - not in library")))</f>
        <v>0</v>
      </c>
      <c r="Y99" s="16">
        <f>IF(B99="","",B99-ProductionDays)</f>
        <v>0</v>
      </c>
      <c r="Z99" s="16">
        <f>IF(B99="","",B99-ApprovalDays)</f>
        <v>0</v>
      </c>
      <c r="AA99" s="23">
        <f>IF(B99="","",B99-TODAY())</f>
        <v>0</v>
      </c>
      <c r="AC99" s="29">
        <f>IF(H99="","",IF(X99="Published",IF(AB99="","Add - link missing","Yes"),"No"))</f>
        <v>0</v>
      </c>
      <c r="AD99" s="23">
        <f>IF(A99="","",IF(COUNTIF(Performance!$B$5:$B$404,A99)=0,"",SUMIFS(Performance!$O$5:$O$404,Performance!$B$5:$B$404,A99)))</f>
        <v>0</v>
      </c>
      <c r="AE99" s="23">
        <f>IF(AD99="","",SUMIFS(Performance!$Z$5:$Z$404,Performance!$B$5:$B$404,A99))</f>
        <v>0</v>
      </c>
      <c r="AF99" s="24">
        <f>IF(OR(AD99="",AD99=0),"",AE99/AD99)</f>
        <v>0</v>
      </c>
      <c r="AG99" s="23">
        <f>IF(AD99="","",SUMIFS(Performance!$U$5:$U$404,Performance!$B$5:$B$404,A99))</f>
        <v>0</v>
      </c>
      <c r="AH99" s="23">
        <f>IF(A99="","",COUNTIF(Repurposing!$B$5:$B$154,A99))</f>
        <v>0</v>
      </c>
      <c r="AI99" s="32">
        <f>IF(OR(H99="",B99=""),"",B99+ROW()/100000)</f>
        <v>0</v>
      </c>
      <c r="AJ99" s="32">
        <f>IF(OR(H99="",B99=""),"",IF(OR(X99="Published",X99="Cancelled",X99="Archived"),"",IF(B99&lt;TODAY(),"",B99+ROW()/100000)))</f>
        <v>0</v>
      </c>
      <c r="AK99" s="32">
        <f>IF(OR(H99="",B99=""),"",IF(OR(X99="Published",X99="Cancelled",X99="Archived"),"",IF(B99&gt;=TODAY(),"",B99+ROW()/100000)))</f>
        <v>0</v>
      </c>
      <c r="AL99" s="29">
        <f>IF(H99="","",IF(COUNTIFS('Content Calendar'!$H$5:$H$604,H99,'Content Calendar'!$G$5:$G$604,G99,'Content Calendar'!$B$5:$B$604,B99)&gt;1,"Duplicate","OK"))</f>
        <v>0</v>
      </c>
      <c r="AM99" s="29">
        <f>IF(H99="","",IF(AND(B99&lt;&gt;"",B99&lt;TODAY(),X99&lt;&gt;"Published",X99&lt;&gt;"Cancelled",X99&lt;&gt;"Archived"),"Overdue - date has passed",IF(AND(X99="Published",AB99=""),"Add - publish link missing",IF(AND(B99=TODAY(),X99&lt;&gt;"Published"),"Today - due to go live",IF(AND(Y99&lt;&gt;"",Y99&lt;TODAY(),OR(X99="Idea",X99="Brief",X99="In production")),"Late - draft not ready",IF(AND(AA99&gt;=0,AA99&lt;=3,OR(X99="Draft",X99="Awaiting review")),"Due - needs approval",IF(AND(H99&lt;&gt;"",P99=""),"Add - caption missing","OK")))))))</f>
        <v>0</v>
      </c>
    </row>
    <row r="100" spans="1:39">
      <c r="A100" s="41">
        <f>IF(H100="","",ContentPrefix&amp;TEXT(ROW()-4,"0000"))</f>
        <v>0</v>
      </c>
      <c r="D100" s="17">
        <f>IF(B100="","",TEXT(B100,"yyyy-mm"))</f>
        <v>0</v>
      </c>
      <c r="E100" s="23">
        <f>IF(B100="","",WEEKNUM(B100,IF(WeekStart="Sunday",1,2)))</f>
        <v>0</v>
      </c>
      <c r="F100" s="17">
        <f>IF(B100="","",TEXT(B100,"ddd"))</f>
        <v>0</v>
      </c>
      <c r="Q100" s="29">
        <f>IF(H100="","",IF(P100="","Add - no caption",IFERROR(INDEX('Caption Bank'!$R$5:$R$204,MATCH(P100,'Caption Bank'!$B$5:$B$204,0)),"Check - not in bank")))</f>
        <v>0</v>
      </c>
      <c r="S100" s="23">
        <f>IF(R100="","",COUNTIF('Hashtag Bank'!$D$5:$D$304,R100))</f>
        <v>0</v>
      </c>
      <c r="U100" s="29">
        <f>IF(H100="","",IF(T100="","Add - no asset",IFERROR(INDEX(Assets!$N$5:$N$254,MATCH(T100,Assets!$A$5:$A$254,0)),"Check - not in library")))</f>
        <v>0</v>
      </c>
      <c r="Y100" s="16">
        <f>IF(B100="","",B100-ProductionDays)</f>
        <v>0</v>
      </c>
      <c r="Z100" s="16">
        <f>IF(B100="","",B100-ApprovalDays)</f>
        <v>0</v>
      </c>
      <c r="AA100" s="23">
        <f>IF(B100="","",B100-TODAY())</f>
        <v>0</v>
      </c>
      <c r="AC100" s="29">
        <f>IF(H100="","",IF(X100="Published",IF(AB100="","Add - link missing","Yes"),"No"))</f>
        <v>0</v>
      </c>
      <c r="AD100" s="23">
        <f>IF(A100="","",IF(COUNTIF(Performance!$B$5:$B$404,A100)=0,"",SUMIFS(Performance!$O$5:$O$404,Performance!$B$5:$B$404,A100)))</f>
        <v>0</v>
      </c>
      <c r="AE100" s="23">
        <f>IF(AD100="","",SUMIFS(Performance!$Z$5:$Z$404,Performance!$B$5:$B$404,A100))</f>
        <v>0</v>
      </c>
      <c r="AF100" s="24">
        <f>IF(OR(AD100="",AD100=0),"",AE100/AD100)</f>
        <v>0</v>
      </c>
      <c r="AG100" s="23">
        <f>IF(AD100="","",SUMIFS(Performance!$U$5:$U$404,Performance!$B$5:$B$404,A100))</f>
        <v>0</v>
      </c>
      <c r="AH100" s="23">
        <f>IF(A100="","",COUNTIF(Repurposing!$B$5:$B$154,A100))</f>
        <v>0</v>
      </c>
      <c r="AI100" s="32">
        <f>IF(OR(H100="",B100=""),"",B100+ROW()/100000)</f>
        <v>0</v>
      </c>
      <c r="AJ100" s="32">
        <f>IF(OR(H100="",B100=""),"",IF(OR(X100="Published",X100="Cancelled",X100="Archived"),"",IF(B100&lt;TODAY(),"",B100+ROW()/100000)))</f>
        <v>0</v>
      </c>
      <c r="AK100" s="32">
        <f>IF(OR(H100="",B100=""),"",IF(OR(X100="Published",X100="Cancelled",X100="Archived"),"",IF(B100&gt;=TODAY(),"",B100+ROW()/100000)))</f>
        <v>0</v>
      </c>
      <c r="AL100" s="29">
        <f>IF(H100="","",IF(COUNTIFS('Content Calendar'!$H$5:$H$604,H100,'Content Calendar'!$G$5:$G$604,G100,'Content Calendar'!$B$5:$B$604,B100)&gt;1,"Duplicate","OK"))</f>
        <v>0</v>
      </c>
      <c r="AM100" s="29">
        <f>IF(H100="","",IF(AND(B100&lt;&gt;"",B100&lt;TODAY(),X100&lt;&gt;"Published",X100&lt;&gt;"Cancelled",X100&lt;&gt;"Archived"),"Overdue - date has passed",IF(AND(X100="Published",AB100=""),"Add - publish link missing",IF(AND(B100=TODAY(),X100&lt;&gt;"Published"),"Today - due to go live",IF(AND(Y100&lt;&gt;"",Y100&lt;TODAY(),OR(X100="Idea",X100="Brief",X100="In production")),"Late - draft not ready",IF(AND(AA100&gt;=0,AA100&lt;=3,OR(X100="Draft",X100="Awaiting review")),"Due - needs approval",IF(AND(H100&lt;&gt;"",P100=""),"Add - caption missing","OK")))))))</f>
        <v>0</v>
      </c>
    </row>
    <row r="101" spans="1:39">
      <c r="A101" s="41">
        <f>IF(H101="","",ContentPrefix&amp;TEXT(ROW()-4,"0000"))</f>
        <v>0</v>
      </c>
      <c r="D101" s="17">
        <f>IF(B101="","",TEXT(B101,"yyyy-mm"))</f>
        <v>0</v>
      </c>
      <c r="E101" s="23">
        <f>IF(B101="","",WEEKNUM(B101,IF(WeekStart="Sunday",1,2)))</f>
        <v>0</v>
      </c>
      <c r="F101" s="17">
        <f>IF(B101="","",TEXT(B101,"ddd"))</f>
        <v>0</v>
      </c>
      <c r="Q101" s="29">
        <f>IF(H101="","",IF(P101="","Add - no caption",IFERROR(INDEX('Caption Bank'!$R$5:$R$204,MATCH(P101,'Caption Bank'!$B$5:$B$204,0)),"Check - not in bank")))</f>
        <v>0</v>
      </c>
      <c r="S101" s="23">
        <f>IF(R101="","",COUNTIF('Hashtag Bank'!$D$5:$D$304,R101))</f>
        <v>0</v>
      </c>
      <c r="U101" s="29">
        <f>IF(H101="","",IF(T101="","Add - no asset",IFERROR(INDEX(Assets!$N$5:$N$254,MATCH(T101,Assets!$A$5:$A$254,0)),"Check - not in library")))</f>
        <v>0</v>
      </c>
      <c r="Y101" s="16">
        <f>IF(B101="","",B101-ProductionDays)</f>
        <v>0</v>
      </c>
      <c r="Z101" s="16">
        <f>IF(B101="","",B101-ApprovalDays)</f>
        <v>0</v>
      </c>
      <c r="AA101" s="23">
        <f>IF(B101="","",B101-TODAY())</f>
        <v>0</v>
      </c>
      <c r="AC101" s="29">
        <f>IF(H101="","",IF(X101="Published",IF(AB101="","Add - link missing","Yes"),"No"))</f>
        <v>0</v>
      </c>
      <c r="AD101" s="23">
        <f>IF(A101="","",IF(COUNTIF(Performance!$B$5:$B$404,A101)=0,"",SUMIFS(Performance!$O$5:$O$404,Performance!$B$5:$B$404,A101)))</f>
        <v>0</v>
      </c>
      <c r="AE101" s="23">
        <f>IF(AD101="","",SUMIFS(Performance!$Z$5:$Z$404,Performance!$B$5:$B$404,A101))</f>
        <v>0</v>
      </c>
      <c r="AF101" s="24">
        <f>IF(OR(AD101="",AD101=0),"",AE101/AD101)</f>
        <v>0</v>
      </c>
      <c r="AG101" s="23">
        <f>IF(AD101="","",SUMIFS(Performance!$U$5:$U$404,Performance!$B$5:$B$404,A101))</f>
        <v>0</v>
      </c>
      <c r="AH101" s="23">
        <f>IF(A101="","",COUNTIF(Repurposing!$B$5:$B$154,A101))</f>
        <v>0</v>
      </c>
      <c r="AI101" s="32">
        <f>IF(OR(H101="",B101=""),"",B101+ROW()/100000)</f>
        <v>0</v>
      </c>
      <c r="AJ101" s="32">
        <f>IF(OR(H101="",B101=""),"",IF(OR(X101="Published",X101="Cancelled",X101="Archived"),"",IF(B101&lt;TODAY(),"",B101+ROW()/100000)))</f>
        <v>0</v>
      </c>
      <c r="AK101" s="32">
        <f>IF(OR(H101="",B101=""),"",IF(OR(X101="Published",X101="Cancelled",X101="Archived"),"",IF(B101&gt;=TODAY(),"",B101+ROW()/100000)))</f>
        <v>0</v>
      </c>
      <c r="AL101" s="29">
        <f>IF(H101="","",IF(COUNTIFS('Content Calendar'!$H$5:$H$604,H101,'Content Calendar'!$G$5:$G$604,G101,'Content Calendar'!$B$5:$B$604,B101)&gt;1,"Duplicate","OK"))</f>
        <v>0</v>
      </c>
      <c r="AM101" s="29">
        <f>IF(H101="","",IF(AND(B101&lt;&gt;"",B101&lt;TODAY(),X101&lt;&gt;"Published",X101&lt;&gt;"Cancelled",X101&lt;&gt;"Archived"),"Overdue - date has passed",IF(AND(X101="Published",AB101=""),"Add - publish link missing",IF(AND(B101=TODAY(),X101&lt;&gt;"Published"),"Today - due to go live",IF(AND(Y101&lt;&gt;"",Y101&lt;TODAY(),OR(X101="Idea",X101="Brief",X101="In production")),"Late - draft not ready",IF(AND(AA101&gt;=0,AA101&lt;=3,OR(X101="Draft",X101="Awaiting review")),"Due - needs approval",IF(AND(H101&lt;&gt;"",P101=""),"Add - caption missing","OK")))))))</f>
        <v>0</v>
      </c>
    </row>
    <row r="102" spans="1:39">
      <c r="A102" s="41">
        <f>IF(H102="","",ContentPrefix&amp;TEXT(ROW()-4,"0000"))</f>
        <v>0</v>
      </c>
      <c r="D102" s="17">
        <f>IF(B102="","",TEXT(B102,"yyyy-mm"))</f>
        <v>0</v>
      </c>
      <c r="E102" s="23">
        <f>IF(B102="","",WEEKNUM(B102,IF(WeekStart="Sunday",1,2)))</f>
        <v>0</v>
      </c>
      <c r="F102" s="17">
        <f>IF(B102="","",TEXT(B102,"ddd"))</f>
        <v>0</v>
      </c>
      <c r="Q102" s="29">
        <f>IF(H102="","",IF(P102="","Add - no caption",IFERROR(INDEX('Caption Bank'!$R$5:$R$204,MATCH(P102,'Caption Bank'!$B$5:$B$204,0)),"Check - not in bank")))</f>
        <v>0</v>
      </c>
      <c r="S102" s="23">
        <f>IF(R102="","",COUNTIF('Hashtag Bank'!$D$5:$D$304,R102))</f>
        <v>0</v>
      </c>
      <c r="U102" s="29">
        <f>IF(H102="","",IF(T102="","Add - no asset",IFERROR(INDEX(Assets!$N$5:$N$254,MATCH(T102,Assets!$A$5:$A$254,0)),"Check - not in library")))</f>
        <v>0</v>
      </c>
      <c r="Y102" s="16">
        <f>IF(B102="","",B102-ProductionDays)</f>
        <v>0</v>
      </c>
      <c r="Z102" s="16">
        <f>IF(B102="","",B102-ApprovalDays)</f>
        <v>0</v>
      </c>
      <c r="AA102" s="23">
        <f>IF(B102="","",B102-TODAY())</f>
        <v>0</v>
      </c>
      <c r="AC102" s="29">
        <f>IF(H102="","",IF(X102="Published",IF(AB102="","Add - link missing","Yes"),"No"))</f>
        <v>0</v>
      </c>
      <c r="AD102" s="23">
        <f>IF(A102="","",IF(COUNTIF(Performance!$B$5:$B$404,A102)=0,"",SUMIFS(Performance!$O$5:$O$404,Performance!$B$5:$B$404,A102)))</f>
        <v>0</v>
      </c>
      <c r="AE102" s="23">
        <f>IF(AD102="","",SUMIFS(Performance!$Z$5:$Z$404,Performance!$B$5:$B$404,A102))</f>
        <v>0</v>
      </c>
      <c r="AF102" s="24">
        <f>IF(OR(AD102="",AD102=0),"",AE102/AD102)</f>
        <v>0</v>
      </c>
      <c r="AG102" s="23">
        <f>IF(AD102="","",SUMIFS(Performance!$U$5:$U$404,Performance!$B$5:$B$404,A102))</f>
        <v>0</v>
      </c>
      <c r="AH102" s="23">
        <f>IF(A102="","",COUNTIF(Repurposing!$B$5:$B$154,A102))</f>
        <v>0</v>
      </c>
      <c r="AI102" s="32">
        <f>IF(OR(H102="",B102=""),"",B102+ROW()/100000)</f>
        <v>0</v>
      </c>
      <c r="AJ102" s="32">
        <f>IF(OR(H102="",B102=""),"",IF(OR(X102="Published",X102="Cancelled",X102="Archived"),"",IF(B102&lt;TODAY(),"",B102+ROW()/100000)))</f>
        <v>0</v>
      </c>
      <c r="AK102" s="32">
        <f>IF(OR(H102="",B102=""),"",IF(OR(X102="Published",X102="Cancelled",X102="Archived"),"",IF(B102&gt;=TODAY(),"",B102+ROW()/100000)))</f>
        <v>0</v>
      </c>
      <c r="AL102" s="29">
        <f>IF(H102="","",IF(COUNTIFS('Content Calendar'!$H$5:$H$604,H102,'Content Calendar'!$G$5:$G$604,G102,'Content Calendar'!$B$5:$B$604,B102)&gt;1,"Duplicate","OK"))</f>
        <v>0</v>
      </c>
      <c r="AM102" s="29">
        <f>IF(H102="","",IF(AND(B102&lt;&gt;"",B102&lt;TODAY(),X102&lt;&gt;"Published",X102&lt;&gt;"Cancelled",X102&lt;&gt;"Archived"),"Overdue - date has passed",IF(AND(X102="Published",AB102=""),"Add - publish link missing",IF(AND(B102=TODAY(),X102&lt;&gt;"Published"),"Today - due to go live",IF(AND(Y102&lt;&gt;"",Y102&lt;TODAY(),OR(X102="Idea",X102="Brief",X102="In production")),"Late - draft not ready",IF(AND(AA102&gt;=0,AA102&lt;=3,OR(X102="Draft",X102="Awaiting review")),"Due - needs approval",IF(AND(H102&lt;&gt;"",P102=""),"Add - caption missing","OK")))))))</f>
        <v>0</v>
      </c>
    </row>
    <row r="103" spans="1:39">
      <c r="A103" s="41">
        <f>IF(H103="","",ContentPrefix&amp;TEXT(ROW()-4,"0000"))</f>
        <v>0</v>
      </c>
      <c r="D103" s="17">
        <f>IF(B103="","",TEXT(B103,"yyyy-mm"))</f>
        <v>0</v>
      </c>
      <c r="E103" s="23">
        <f>IF(B103="","",WEEKNUM(B103,IF(WeekStart="Sunday",1,2)))</f>
        <v>0</v>
      </c>
      <c r="F103" s="17">
        <f>IF(B103="","",TEXT(B103,"ddd"))</f>
        <v>0</v>
      </c>
      <c r="Q103" s="29">
        <f>IF(H103="","",IF(P103="","Add - no caption",IFERROR(INDEX('Caption Bank'!$R$5:$R$204,MATCH(P103,'Caption Bank'!$B$5:$B$204,0)),"Check - not in bank")))</f>
        <v>0</v>
      </c>
      <c r="S103" s="23">
        <f>IF(R103="","",COUNTIF('Hashtag Bank'!$D$5:$D$304,R103))</f>
        <v>0</v>
      </c>
      <c r="U103" s="29">
        <f>IF(H103="","",IF(T103="","Add - no asset",IFERROR(INDEX(Assets!$N$5:$N$254,MATCH(T103,Assets!$A$5:$A$254,0)),"Check - not in library")))</f>
        <v>0</v>
      </c>
      <c r="Y103" s="16">
        <f>IF(B103="","",B103-ProductionDays)</f>
        <v>0</v>
      </c>
      <c r="Z103" s="16">
        <f>IF(B103="","",B103-ApprovalDays)</f>
        <v>0</v>
      </c>
      <c r="AA103" s="23">
        <f>IF(B103="","",B103-TODAY())</f>
        <v>0</v>
      </c>
      <c r="AC103" s="29">
        <f>IF(H103="","",IF(X103="Published",IF(AB103="","Add - link missing","Yes"),"No"))</f>
        <v>0</v>
      </c>
      <c r="AD103" s="23">
        <f>IF(A103="","",IF(COUNTIF(Performance!$B$5:$B$404,A103)=0,"",SUMIFS(Performance!$O$5:$O$404,Performance!$B$5:$B$404,A103)))</f>
        <v>0</v>
      </c>
      <c r="AE103" s="23">
        <f>IF(AD103="","",SUMIFS(Performance!$Z$5:$Z$404,Performance!$B$5:$B$404,A103))</f>
        <v>0</v>
      </c>
      <c r="AF103" s="24">
        <f>IF(OR(AD103="",AD103=0),"",AE103/AD103)</f>
        <v>0</v>
      </c>
      <c r="AG103" s="23">
        <f>IF(AD103="","",SUMIFS(Performance!$U$5:$U$404,Performance!$B$5:$B$404,A103))</f>
        <v>0</v>
      </c>
      <c r="AH103" s="23">
        <f>IF(A103="","",COUNTIF(Repurposing!$B$5:$B$154,A103))</f>
        <v>0</v>
      </c>
      <c r="AI103" s="32">
        <f>IF(OR(H103="",B103=""),"",B103+ROW()/100000)</f>
        <v>0</v>
      </c>
      <c r="AJ103" s="32">
        <f>IF(OR(H103="",B103=""),"",IF(OR(X103="Published",X103="Cancelled",X103="Archived"),"",IF(B103&lt;TODAY(),"",B103+ROW()/100000)))</f>
        <v>0</v>
      </c>
      <c r="AK103" s="32">
        <f>IF(OR(H103="",B103=""),"",IF(OR(X103="Published",X103="Cancelled",X103="Archived"),"",IF(B103&gt;=TODAY(),"",B103+ROW()/100000)))</f>
        <v>0</v>
      </c>
      <c r="AL103" s="29">
        <f>IF(H103="","",IF(COUNTIFS('Content Calendar'!$H$5:$H$604,H103,'Content Calendar'!$G$5:$G$604,G103,'Content Calendar'!$B$5:$B$604,B103)&gt;1,"Duplicate","OK"))</f>
        <v>0</v>
      </c>
      <c r="AM103" s="29">
        <f>IF(H103="","",IF(AND(B103&lt;&gt;"",B103&lt;TODAY(),X103&lt;&gt;"Published",X103&lt;&gt;"Cancelled",X103&lt;&gt;"Archived"),"Overdue - date has passed",IF(AND(X103="Published",AB103=""),"Add - publish link missing",IF(AND(B103=TODAY(),X103&lt;&gt;"Published"),"Today - due to go live",IF(AND(Y103&lt;&gt;"",Y103&lt;TODAY(),OR(X103="Idea",X103="Brief",X103="In production")),"Late - draft not ready",IF(AND(AA103&gt;=0,AA103&lt;=3,OR(X103="Draft",X103="Awaiting review")),"Due - needs approval",IF(AND(H103&lt;&gt;"",P103=""),"Add - caption missing","OK")))))))</f>
        <v>0</v>
      </c>
    </row>
    <row r="104" spans="1:39">
      <c r="A104" s="41">
        <f>IF(H104="","",ContentPrefix&amp;TEXT(ROW()-4,"0000"))</f>
        <v>0</v>
      </c>
      <c r="D104" s="17">
        <f>IF(B104="","",TEXT(B104,"yyyy-mm"))</f>
        <v>0</v>
      </c>
      <c r="E104" s="23">
        <f>IF(B104="","",WEEKNUM(B104,IF(WeekStart="Sunday",1,2)))</f>
        <v>0</v>
      </c>
      <c r="F104" s="17">
        <f>IF(B104="","",TEXT(B104,"ddd"))</f>
        <v>0</v>
      </c>
      <c r="Q104" s="29">
        <f>IF(H104="","",IF(P104="","Add - no caption",IFERROR(INDEX('Caption Bank'!$R$5:$R$204,MATCH(P104,'Caption Bank'!$B$5:$B$204,0)),"Check - not in bank")))</f>
        <v>0</v>
      </c>
      <c r="S104" s="23">
        <f>IF(R104="","",COUNTIF('Hashtag Bank'!$D$5:$D$304,R104))</f>
        <v>0</v>
      </c>
      <c r="U104" s="29">
        <f>IF(H104="","",IF(T104="","Add - no asset",IFERROR(INDEX(Assets!$N$5:$N$254,MATCH(T104,Assets!$A$5:$A$254,0)),"Check - not in library")))</f>
        <v>0</v>
      </c>
      <c r="Y104" s="16">
        <f>IF(B104="","",B104-ProductionDays)</f>
        <v>0</v>
      </c>
      <c r="Z104" s="16">
        <f>IF(B104="","",B104-ApprovalDays)</f>
        <v>0</v>
      </c>
      <c r="AA104" s="23">
        <f>IF(B104="","",B104-TODAY())</f>
        <v>0</v>
      </c>
      <c r="AC104" s="29">
        <f>IF(H104="","",IF(X104="Published",IF(AB104="","Add - link missing","Yes"),"No"))</f>
        <v>0</v>
      </c>
      <c r="AD104" s="23">
        <f>IF(A104="","",IF(COUNTIF(Performance!$B$5:$B$404,A104)=0,"",SUMIFS(Performance!$O$5:$O$404,Performance!$B$5:$B$404,A104)))</f>
        <v>0</v>
      </c>
      <c r="AE104" s="23">
        <f>IF(AD104="","",SUMIFS(Performance!$Z$5:$Z$404,Performance!$B$5:$B$404,A104))</f>
        <v>0</v>
      </c>
      <c r="AF104" s="24">
        <f>IF(OR(AD104="",AD104=0),"",AE104/AD104)</f>
        <v>0</v>
      </c>
      <c r="AG104" s="23">
        <f>IF(AD104="","",SUMIFS(Performance!$U$5:$U$404,Performance!$B$5:$B$404,A104))</f>
        <v>0</v>
      </c>
      <c r="AH104" s="23">
        <f>IF(A104="","",COUNTIF(Repurposing!$B$5:$B$154,A104))</f>
        <v>0</v>
      </c>
      <c r="AI104" s="32">
        <f>IF(OR(H104="",B104=""),"",B104+ROW()/100000)</f>
        <v>0</v>
      </c>
      <c r="AJ104" s="32">
        <f>IF(OR(H104="",B104=""),"",IF(OR(X104="Published",X104="Cancelled",X104="Archived"),"",IF(B104&lt;TODAY(),"",B104+ROW()/100000)))</f>
        <v>0</v>
      </c>
      <c r="AK104" s="32">
        <f>IF(OR(H104="",B104=""),"",IF(OR(X104="Published",X104="Cancelled",X104="Archived"),"",IF(B104&gt;=TODAY(),"",B104+ROW()/100000)))</f>
        <v>0</v>
      </c>
      <c r="AL104" s="29">
        <f>IF(H104="","",IF(COUNTIFS('Content Calendar'!$H$5:$H$604,H104,'Content Calendar'!$G$5:$G$604,G104,'Content Calendar'!$B$5:$B$604,B104)&gt;1,"Duplicate","OK"))</f>
        <v>0</v>
      </c>
      <c r="AM104" s="29">
        <f>IF(H104="","",IF(AND(B104&lt;&gt;"",B104&lt;TODAY(),X104&lt;&gt;"Published",X104&lt;&gt;"Cancelled",X104&lt;&gt;"Archived"),"Overdue - date has passed",IF(AND(X104="Published",AB104=""),"Add - publish link missing",IF(AND(B104=TODAY(),X104&lt;&gt;"Published"),"Today - due to go live",IF(AND(Y104&lt;&gt;"",Y104&lt;TODAY(),OR(X104="Idea",X104="Brief",X104="In production")),"Late - draft not ready",IF(AND(AA104&gt;=0,AA104&lt;=3,OR(X104="Draft",X104="Awaiting review")),"Due - needs approval",IF(AND(H104&lt;&gt;"",P104=""),"Add - caption missing","OK")))))))</f>
        <v>0</v>
      </c>
    </row>
    <row r="105" spans="1:39">
      <c r="A105" s="41">
        <f>IF(H105="","",ContentPrefix&amp;TEXT(ROW()-4,"0000"))</f>
        <v>0</v>
      </c>
      <c r="D105" s="17">
        <f>IF(B105="","",TEXT(B105,"yyyy-mm"))</f>
        <v>0</v>
      </c>
      <c r="E105" s="23">
        <f>IF(B105="","",WEEKNUM(B105,IF(WeekStart="Sunday",1,2)))</f>
        <v>0</v>
      </c>
      <c r="F105" s="17">
        <f>IF(B105="","",TEXT(B105,"ddd"))</f>
        <v>0</v>
      </c>
      <c r="Q105" s="29">
        <f>IF(H105="","",IF(P105="","Add - no caption",IFERROR(INDEX('Caption Bank'!$R$5:$R$204,MATCH(P105,'Caption Bank'!$B$5:$B$204,0)),"Check - not in bank")))</f>
        <v>0</v>
      </c>
      <c r="S105" s="23">
        <f>IF(R105="","",COUNTIF('Hashtag Bank'!$D$5:$D$304,R105))</f>
        <v>0</v>
      </c>
      <c r="U105" s="29">
        <f>IF(H105="","",IF(T105="","Add - no asset",IFERROR(INDEX(Assets!$N$5:$N$254,MATCH(T105,Assets!$A$5:$A$254,0)),"Check - not in library")))</f>
        <v>0</v>
      </c>
      <c r="Y105" s="16">
        <f>IF(B105="","",B105-ProductionDays)</f>
        <v>0</v>
      </c>
      <c r="Z105" s="16">
        <f>IF(B105="","",B105-ApprovalDays)</f>
        <v>0</v>
      </c>
      <c r="AA105" s="23">
        <f>IF(B105="","",B105-TODAY())</f>
        <v>0</v>
      </c>
      <c r="AC105" s="29">
        <f>IF(H105="","",IF(X105="Published",IF(AB105="","Add - link missing","Yes"),"No"))</f>
        <v>0</v>
      </c>
      <c r="AD105" s="23">
        <f>IF(A105="","",IF(COUNTIF(Performance!$B$5:$B$404,A105)=0,"",SUMIFS(Performance!$O$5:$O$404,Performance!$B$5:$B$404,A105)))</f>
        <v>0</v>
      </c>
      <c r="AE105" s="23">
        <f>IF(AD105="","",SUMIFS(Performance!$Z$5:$Z$404,Performance!$B$5:$B$404,A105))</f>
        <v>0</v>
      </c>
      <c r="AF105" s="24">
        <f>IF(OR(AD105="",AD105=0),"",AE105/AD105)</f>
        <v>0</v>
      </c>
      <c r="AG105" s="23">
        <f>IF(AD105="","",SUMIFS(Performance!$U$5:$U$404,Performance!$B$5:$B$404,A105))</f>
        <v>0</v>
      </c>
      <c r="AH105" s="23">
        <f>IF(A105="","",COUNTIF(Repurposing!$B$5:$B$154,A105))</f>
        <v>0</v>
      </c>
      <c r="AI105" s="32">
        <f>IF(OR(H105="",B105=""),"",B105+ROW()/100000)</f>
        <v>0</v>
      </c>
      <c r="AJ105" s="32">
        <f>IF(OR(H105="",B105=""),"",IF(OR(X105="Published",X105="Cancelled",X105="Archived"),"",IF(B105&lt;TODAY(),"",B105+ROW()/100000)))</f>
        <v>0</v>
      </c>
      <c r="AK105" s="32">
        <f>IF(OR(H105="",B105=""),"",IF(OR(X105="Published",X105="Cancelled",X105="Archived"),"",IF(B105&gt;=TODAY(),"",B105+ROW()/100000)))</f>
        <v>0</v>
      </c>
      <c r="AL105" s="29">
        <f>IF(H105="","",IF(COUNTIFS('Content Calendar'!$H$5:$H$604,H105,'Content Calendar'!$G$5:$G$604,G105,'Content Calendar'!$B$5:$B$604,B105)&gt;1,"Duplicate","OK"))</f>
        <v>0</v>
      </c>
      <c r="AM105" s="29">
        <f>IF(H105="","",IF(AND(B105&lt;&gt;"",B105&lt;TODAY(),X105&lt;&gt;"Published",X105&lt;&gt;"Cancelled",X105&lt;&gt;"Archived"),"Overdue - date has passed",IF(AND(X105="Published",AB105=""),"Add - publish link missing",IF(AND(B105=TODAY(),X105&lt;&gt;"Published"),"Today - due to go live",IF(AND(Y105&lt;&gt;"",Y105&lt;TODAY(),OR(X105="Idea",X105="Brief",X105="In production")),"Late - draft not ready",IF(AND(AA105&gt;=0,AA105&lt;=3,OR(X105="Draft",X105="Awaiting review")),"Due - needs approval",IF(AND(H105&lt;&gt;"",P105=""),"Add - caption missing","OK")))))))</f>
        <v>0</v>
      </c>
    </row>
    <row r="106" spans="1:39">
      <c r="A106" s="41">
        <f>IF(H106="","",ContentPrefix&amp;TEXT(ROW()-4,"0000"))</f>
        <v>0</v>
      </c>
      <c r="D106" s="17">
        <f>IF(B106="","",TEXT(B106,"yyyy-mm"))</f>
        <v>0</v>
      </c>
      <c r="E106" s="23">
        <f>IF(B106="","",WEEKNUM(B106,IF(WeekStart="Sunday",1,2)))</f>
        <v>0</v>
      </c>
      <c r="F106" s="17">
        <f>IF(B106="","",TEXT(B106,"ddd"))</f>
        <v>0</v>
      </c>
      <c r="Q106" s="29">
        <f>IF(H106="","",IF(P106="","Add - no caption",IFERROR(INDEX('Caption Bank'!$R$5:$R$204,MATCH(P106,'Caption Bank'!$B$5:$B$204,0)),"Check - not in bank")))</f>
        <v>0</v>
      </c>
      <c r="S106" s="23">
        <f>IF(R106="","",COUNTIF('Hashtag Bank'!$D$5:$D$304,R106))</f>
        <v>0</v>
      </c>
      <c r="U106" s="29">
        <f>IF(H106="","",IF(T106="","Add - no asset",IFERROR(INDEX(Assets!$N$5:$N$254,MATCH(T106,Assets!$A$5:$A$254,0)),"Check - not in library")))</f>
        <v>0</v>
      </c>
      <c r="Y106" s="16">
        <f>IF(B106="","",B106-ProductionDays)</f>
        <v>0</v>
      </c>
      <c r="Z106" s="16">
        <f>IF(B106="","",B106-ApprovalDays)</f>
        <v>0</v>
      </c>
      <c r="AA106" s="23">
        <f>IF(B106="","",B106-TODAY())</f>
        <v>0</v>
      </c>
      <c r="AC106" s="29">
        <f>IF(H106="","",IF(X106="Published",IF(AB106="","Add - link missing","Yes"),"No"))</f>
        <v>0</v>
      </c>
      <c r="AD106" s="23">
        <f>IF(A106="","",IF(COUNTIF(Performance!$B$5:$B$404,A106)=0,"",SUMIFS(Performance!$O$5:$O$404,Performance!$B$5:$B$404,A106)))</f>
        <v>0</v>
      </c>
      <c r="AE106" s="23">
        <f>IF(AD106="","",SUMIFS(Performance!$Z$5:$Z$404,Performance!$B$5:$B$404,A106))</f>
        <v>0</v>
      </c>
      <c r="AF106" s="24">
        <f>IF(OR(AD106="",AD106=0),"",AE106/AD106)</f>
        <v>0</v>
      </c>
      <c r="AG106" s="23">
        <f>IF(AD106="","",SUMIFS(Performance!$U$5:$U$404,Performance!$B$5:$B$404,A106))</f>
        <v>0</v>
      </c>
      <c r="AH106" s="23">
        <f>IF(A106="","",COUNTIF(Repurposing!$B$5:$B$154,A106))</f>
        <v>0</v>
      </c>
      <c r="AI106" s="32">
        <f>IF(OR(H106="",B106=""),"",B106+ROW()/100000)</f>
        <v>0</v>
      </c>
      <c r="AJ106" s="32">
        <f>IF(OR(H106="",B106=""),"",IF(OR(X106="Published",X106="Cancelled",X106="Archived"),"",IF(B106&lt;TODAY(),"",B106+ROW()/100000)))</f>
        <v>0</v>
      </c>
      <c r="AK106" s="32">
        <f>IF(OR(H106="",B106=""),"",IF(OR(X106="Published",X106="Cancelled",X106="Archived"),"",IF(B106&gt;=TODAY(),"",B106+ROW()/100000)))</f>
        <v>0</v>
      </c>
      <c r="AL106" s="29">
        <f>IF(H106="","",IF(COUNTIFS('Content Calendar'!$H$5:$H$604,H106,'Content Calendar'!$G$5:$G$604,G106,'Content Calendar'!$B$5:$B$604,B106)&gt;1,"Duplicate","OK"))</f>
        <v>0</v>
      </c>
      <c r="AM106" s="29">
        <f>IF(H106="","",IF(AND(B106&lt;&gt;"",B106&lt;TODAY(),X106&lt;&gt;"Published",X106&lt;&gt;"Cancelled",X106&lt;&gt;"Archived"),"Overdue - date has passed",IF(AND(X106="Published",AB106=""),"Add - publish link missing",IF(AND(B106=TODAY(),X106&lt;&gt;"Published"),"Today - due to go live",IF(AND(Y106&lt;&gt;"",Y106&lt;TODAY(),OR(X106="Idea",X106="Brief",X106="In production")),"Late - draft not ready",IF(AND(AA106&gt;=0,AA106&lt;=3,OR(X106="Draft",X106="Awaiting review")),"Due - needs approval",IF(AND(H106&lt;&gt;"",P106=""),"Add - caption missing","OK")))))))</f>
        <v>0</v>
      </c>
    </row>
    <row r="107" spans="1:39">
      <c r="A107" s="41">
        <f>IF(H107="","",ContentPrefix&amp;TEXT(ROW()-4,"0000"))</f>
        <v>0</v>
      </c>
      <c r="D107" s="17">
        <f>IF(B107="","",TEXT(B107,"yyyy-mm"))</f>
        <v>0</v>
      </c>
      <c r="E107" s="23">
        <f>IF(B107="","",WEEKNUM(B107,IF(WeekStart="Sunday",1,2)))</f>
        <v>0</v>
      </c>
      <c r="F107" s="17">
        <f>IF(B107="","",TEXT(B107,"ddd"))</f>
        <v>0</v>
      </c>
      <c r="Q107" s="29">
        <f>IF(H107="","",IF(P107="","Add - no caption",IFERROR(INDEX('Caption Bank'!$R$5:$R$204,MATCH(P107,'Caption Bank'!$B$5:$B$204,0)),"Check - not in bank")))</f>
        <v>0</v>
      </c>
      <c r="S107" s="23">
        <f>IF(R107="","",COUNTIF('Hashtag Bank'!$D$5:$D$304,R107))</f>
        <v>0</v>
      </c>
      <c r="U107" s="29">
        <f>IF(H107="","",IF(T107="","Add - no asset",IFERROR(INDEX(Assets!$N$5:$N$254,MATCH(T107,Assets!$A$5:$A$254,0)),"Check - not in library")))</f>
        <v>0</v>
      </c>
      <c r="Y107" s="16">
        <f>IF(B107="","",B107-ProductionDays)</f>
        <v>0</v>
      </c>
      <c r="Z107" s="16">
        <f>IF(B107="","",B107-ApprovalDays)</f>
        <v>0</v>
      </c>
      <c r="AA107" s="23">
        <f>IF(B107="","",B107-TODAY())</f>
        <v>0</v>
      </c>
      <c r="AC107" s="29">
        <f>IF(H107="","",IF(X107="Published",IF(AB107="","Add - link missing","Yes"),"No"))</f>
        <v>0</v>
      </c>
      <c r="AD107" s="23">
        <f>IF(A107="","",IF(COUNTIF(Performance!$B$5:$B$404,A107)=0,"",SUMIFS(Performance!$O$5:$O$404,Performance!$B$5:$B$404,A107)))</f>
        <v>0</v>
      </c>
      <c r="AE107" s="23">
        <f>IF(AD107="","",SUMIFS(Performance!$Z$5:$Z$404,Performance!$B$5:$B$404,A107))</f>
        <v>0</v>
      </c>
      <c r="AF107" s="24">
        <f>IF(OR(AD107="",AD107=0),"",AE107/AD107)</f>
        <v>0</v>
      </c>
      <c r="AG107" s="23">
        <f>IF(AD107="","",SUMIFS(Performance!$U$5:$U$404,Performance!$B$5:$B$404,A107))</f>
        <v>0</v>
      </c>
      <c r="AH107" s="23">
        <f>IF(A107="","",COUNTIF(Repurposing!$B$5:$B$154,A107))</f>
        <v>0</v>
      </c>
      <c r="AI107" s="32">
        <f>IF(OR(H107="",B107=""),"",B107+ROW()/100000)</f>
        <v>0</v>
      </c>
      <c r="AJ107" s="32">
        <f>IF(OR(H107="",B107=""),"",IF(OR(X107="Published",X107="Cancelled",X107="Archived"),"",IF(B107&lt;TODAY(),"",B107+ROW()/100000)))</f>
        <v>0</v>
      </c>
      <c r="AK107" s="32">
        <f>IF(OR(H107="",B107=""),"",IF(OR(X107="Published",X107="Cancelled",X107="Archived"),"",IF(B107&gt;=TODAY(),"",B107+ROW()/100000)))</f>
        <v>0</v>
      </c>
      <c r="AL107" s="29">
        <f>IF(H107="","",IF(COUNTIFS('Content Calendar'!$H$5:$H$604,H107,'Content Calendar'!$G$5:$G$604,G107,'Content Calendar'!$B$5:$B$604,B107)&gt;1,"Duplicate","OK"))</f>
        <v>0</v>
      </c>
      <c r="AM107" s="29">
        <f>IF(H107="","",IF(AND(B107&lt;&gt;"",B107&lt;TODAY(),X107&lt;&gt;"Published",X107&lt;&gt;"Cancelled",X107&lt;&gt;"Archived"),"Overdue - date has passed",IF(AND(X107="Published",AB107=""),"Add - publish link missing",IF(AND(B107=TODAY(),X107&lt;&gt;"Published"),"Today - due to go live",IF(AND(Y107&lt;&gt;"",Y107&lt;TODAY(),OR(X107="Idea",X107="Brief",X107="In production")),"Late - draft not ready",IF(AND(AA107&gt;=0,AA107&lt;=3,OR(X107="Draft",X107="Awaiting review")),"Due - needs approval",IF(AND(H107&lt;&gt;"",P107=""),"Add - caption missing","OK")))))))</f>
        <v>0</v>
      </c>
    </row>
    <row r="108" spans="1:39">
      <c r="A108" s="41">
        <f>IF(H108="","",ContentPrefix&amp;TEXT(ROW()-4,"0000"))</f>
        <v>0</v>
      </c>
      <c r="D108" s="17">
        <f>IF(B108="","",TEXT(B108,"yyyy-mm"))</f>
        <v>0</v>
      </c>
      <c r="E108" s="23">
        <f>IF(B108="","",WEEKNUM(B108,IF(WeekStart="Sunday",1,2)))</f>
        <v>0</v>
      </c>
      <c r="F108" s="17">
        <f>IF(B108="","",TEXT(B108,"ddd"))</f>
        <v>0</v>
      </c>
      <c r="Q108" s="29">
        <f>IF(H108="","",IF(P108="","Add - no caption",IFERROR(INDEX('Caption Bank'!$R$5:$R$204,MATCH(P108,'Caption Bank'!$B$5:$B$204,0)),"Check - not in bank")))</f>
        <v>0</v>
      </c>
      <c r="S108" s="23">
        <f>IF(R108="","",COUNTIF('Hashtag Bank'!$D$5:$D$304,R108))</f>
        <v>0</v>
      </c>
      <c r="U108" s="29">
        <f>IF(H108="","",IF(T108="","Add - no asset",IFERROR(INDEX(Assets!$N$5:$N$254,MATCH(T108,Assets!$A$5:$A$254,0)),"Check - not in library")))</f>
        <v>0</v>
      </c>
      <c r="Y108" s="16">
        <f>IF(B108="","",B108-ProductionDays)</f>
        <v>0</v>
      </c>
      <c r="Z108" s="16">
        <f>IF(B108="","",B108-ApprovalDays)</f>
        <v>0</v>
      </c>
      <c r="AA108" s="23">
        <f>IF(B108="","",B108-TODAY())</f>
        <v>0</v>
      </c>
      <c r="AC108" s="29">
        <f>IF(H108="","",IF(X108="Published",IF(AB108="","Add - link missing","Yes"),"No"))</f>
        <v>0</v>
      </c>
      <c r="AD108" s="23">
        <f>IF(A108="","",IF(COUNTIF(Performance!$B$5:$B$404,A108)=0,"",SUMIFS(Performance!$O$5:$O$404,Performance!$B$5:$B$404,A108)))</f>
        <v>0</v>
      </c>
      <c r="AE108" s="23">
        <f>IF(AD108="","",SUMIFS(Performance!$Z$5:$Z$404,Performance!$B$5:$B$404,A108))</f>
        <v>0</v>
      </c>
      <c r="AF108" s="24">
        <f>IF(OR(AD108="",AD108=0),"",AE108/AD108)</f>
        <v>0</v>
      </c>
      <c r="AG108" s="23">
        <f>IF(AD108="","",SUMIFS(Performance!$U$5:$U$404,Performance!$B$5:$B$404,A108))</f>
        <v>0</v>
      </c>
      <c r="AH108" s="23">
        <f>IF(A108="","",COUNTIF(Repurposing!$B$5:$B$154,A108))</f>
        <v>0</v>
      </c>
      <c r="AI108" s="32">
        <f>IF(OR(H108="",B108=""),"",B108+ROW()/100000)</f>
        <v>0</v>
      </c>
      <c r="AJ108" s="32">
        <f>IF(OR(H108="",B108=""),"",IF(OR(X108="Published",X108="Cancelled",X108="Archived"),"",IF(B108&lt;TODAY(),"",B108+ROW()/100000)))</f>
        <v>0</v>
      </c>
      <c r="AK108" s="32">
        <f>IF(OR(H108="",B108=""),"",IF(OR(X108="Published",X108="Cancelled",X108="Archived"),"",IF(B108&gt;=TODAY(),"",B108+ROW()/100000)))</f>
        <v>0</v>
      </c>
      <c r="AL108" s="29">
        <f>IF(H108="","",IF(COUNTIFS('Content Calendar'!$H$5:$H$604,H108,'Content Calendar'!$G$5:$G$604,G108,'Content Calendar'!$B$5:$B$604,B108)&gt;1,"Duplicate","OK"))</f>
        <v>0</v>
      </c>
      <c r="AM108" s="29">
        <f>IF(H108="","",IF(AND(B108&lt;&gt;"",B108&lt;TODAY(),X108&lt;&gt;"Published",X108&lt;&gt;"Cancelled",X108&lt;&gt;"Archived"),"Overdue - date has passed",IF(AND(X108="Published",AB108=""),"Add - publish link missing",IF(AND(B108=TODAY(),X108&lt;&gt;"Published"),"Today - due to go live",IF(AND(Y108&lt;&gt;"",Y108&lt;TODAY(),OR(X108="Idea",X108="Brief",X108="In production")),"Late - draft not ready",IF(AND(AA108&gt;=0,AA108&lt;=3,OR(X108="Draft",X108="Awaiting review")),"Due - needs approval",IF(AND(H108&lt;&gt;"",P108=""),"Add - caption missing","OK")))))))</f>
        <v>0</v>
      </c>
    </row>
    <row r="109" spans="1:39">
      <c r="A109" s="41">
        <f>IF(H109="","",ContentPrefix&amp;TEXT(ROW()-4,"0000"))</f>
        <v>0</v>
      </c>
      <c r="D109" s="17">
        <f>IF(B109="","",TEXT(B109,"yyyy-mm"))</f>
        <v>0</v>
      </c>
      <c r="E109" s="23">
        <f>IF(B109="","",WEEKNUM(B109,IF(WeekStart="Sunday",1,2)))</f>
        <v>0</v>
      </c>
      <c r="F109" s="17">
        <f>IF(B109="","",TEXT(B109,"ddd"))</f>
        <v>0</v>
      </c>
      <c r="Q109" s="29">
        <f>IF(H109="","",IF(P109="","Add - no caption",IFERROR(INDEX('Caption Bank'!$R$5:$R$204,MATCH(P109,'Caption Bank'!$B$5:$B$204,0)),"Check - not in bank")))</f>
        <v>0</v>
      </c>
      <c r="S109" s="23">
        <f>IF(R109="","",COUNTIF('Hashtag Bank'!$D$5:$D$304,R109))</f>
        <v>0</v>
      </c>
      <c r="U109" s="29">
        <f>IF(H109="","",IF(T109="","Add - no asset",IFERROR(INDEX(Assets!$N$5:$N$254,MATCH(T109,Assets!$A$5:$A$254,0)),"Check - not in library")))</f>
        <v>0</v>
      </c>
      <c r="Y109" s="16">
        <f>IF(B109="","",B109-ProductionDays)</f>
        <v>0</v>
      </c>
      <c r="Z109" s="16">
        <f>IF(B109="","",B109-ApprovalDays)</f>
        <v>0</v>
      </c>
      <c r="AA109" s="23">
        <f>IF(B109="","",B109-TODAY())</f>
        <v>0</v>
      </c>
      <c r="AC109" s="29">
        <f>IF(H109="","",IF(X109="Published",IF(AB109="","Add - link missing","Yes"),"No"))</f>
        <v>0</v>
      </c>
      <c r="AD109" s="23">
        <f>IF(A109="","",IF(COUNTIF(Performance!$B$5:$B$404,A109)=0,"",SUMIFS(Performance!$O$5:$O$404,Performance!$B$5:$B$404,A109)))</f>
        <v>0</v>
      </c>
      <c r="AE109" s="23">
        <f>IF(AD109="","",SUMIFS(Performance!$Z$5:$Z$404,Performance!$B$5:$B$404,A109))</f>
        <v>0</v>
      </c>
      <c r="AF109" s="24">
        <f>IF(OR(AD109="",AD109=0),"",AE109/AD109)</f>
        <v>0</v>
      </c>
      <c r="AG109" s="23">
        <f>IF(AD109="","",SUMIFS(Performance!$U$5:$U$404,Performance!$B$5:$B$404,A109))</f>
        <v>0</v>
      </c>
      <c r="AH109" s="23">
        <f>IF(A109="","",COUNTIF(Repurposing!$B$5:$B$154,A109))</f>
        <v>0</v>
      </c>
      <c r="AI109" s="32">
        <f>IF(OR(H109="",B109=""),"",B109+ROW()/100000)</f>
        <v>0</v>
      </c>
      <c r="AJ109" s="32">
        <f>IF(OR(H109="",B109=""),"",IF(OR(X109="Published",X109="Cancelled",X109="Archived"),"",IF(B109&lt;TODAY(),"",B109+ROW()/100000)))</f>
        <v>0</v>
      </c>
      <c r="AK109" s="32">
        <f>IF(OR(H109="",B109=""),"",IF(OR(X109="Published",X109="Cancelled",X109="Archived"),"",IF(B109&gt;=TODAY(),"",B109+ROW()/100000)))</f>
        <v>0</v>
      </c>
      <c r="AL109" s="29">
        <f>IF(H109="","",IF(COUNTIFS('Content Calendar'!$H$5:$H$604,H109,'Content Calendar'!$G$5:$G$604,G109,'Content Calendar'!$B$5:$B$604,B109)&gt;1,"Duplicate","OK"))</f>
        <v>0</v>
      </c>
      <c r="AM109" s="29">
        <f>IF(H109="","",IF(AND(B109&lt;&gt;"",B109&lt;TODAY(),X109&lt;&gt;"Published",X109&lt;&gt;"Cancelled",X109&lt;&gt;"Archived"),"Overdue - date has passed",IF(AND(X109="Published",AB109=""),"Add - publish link missing",IF(AND(B109=TODAY(),X109&lt;&gt;"Published"),"Today - due to go live",IF(AND(Y109&lt;&gt;"",Y109&lt;TODAY(),OR(X109="Idea",X109="Brief",X109="In production")),"Late - draft not ready",IF(AND(AA109&gt;=0,AA109&lt;=3,OR(X109="Draft",X109="Awaiting review")),"Due - needs approval",IF(AND(H109&lt;&gt;"",P109=""),"Add - caption missing","OK")))))))</f>
        <v>0</v>
      </c>
    </row>
    <row r="110" spans="1:39">
      <c r="A110" s="41">
        <f>IF(H110="","",ContentPrefix&amp;TEXT(ROW()-4,"0000"))</f>
        <v>0</v>
      </c>
      <c r="D110" s="17">
        <f>IF(B110="","",TEXT(B110,"yyyy-mm"))</f>
        <v>0</v>
      </c>
      <c r="E110" s="23">
        <f>IF(B110="","",WEEKNUM(B110,IF(WeekStart="Sunday",1,2)))</f>
        <v>0</v>
      </c>
      <c r="F110" s="17">
        <f>IF(B110="","",TEXT(B110,"ddd"))</f>
        <v>0</v>
      </c>
      <c r="Q110" s="29">
        <f>IF(H110="","",IF(P110="","Add - no caption",IFERROR(INDEX('Caption Bank'!$R$5:$R$204,MATCH(P110,'Caption Bank'!$B$5:$B$204,0)),"Check - not in bank")))</f>
        <v>0</v>
      </c>
      <c r="S110" s="23">
        <f>IF(R110="","",COUNTIF('Hashtag Bank'!$D$5:$D$304,R110))</f>
        <v>0</v>
      </c>
      <c r="U110" s="29">
        <f>IF(H110="","",IF(T110="","Add - no asset",IFERROR(INDEX(Assets!$N$5:$N$254,MATCH(T110,Assets!$A$5:$A$254,0)),"Check - not in library")))</f>
        <v>0</v>
      </c>
      <c r="Y110" s="16">
        <f>IF(B110="","",B110-ProductionDays)</f>
        <v>0</v>
      </c>
      <c r="Z110" s="16">
        <f>IF(B110="","",B110-ApprovalDays)</f>
        <v>0</v>
      </c>
      <c r="AA110" s="23">
        <f>IF(B110="","",B110-TODAY())</f>
        <v>0</v>
      </c>
      <c r="AC110" s="29">
        <f>IF(H110="","",IF(X110="Published",IF(AB110="","Add - link missing","Yes"),"No"))</f>
        <v>0</v>
      </c>
      <c r="AD110" s="23">
        <f>IF(A110="","",IF(COUNTIF(Performance!$B$5:$B$404,A110)=0,"",SUMIFS(Performance!$O$5:$O$404,Performance!$B$5:$B$404,A110)))</f>
        <v>0</v>
      </c>
      <c r="AE110" s="23">
        <f>IF(AD110="","",SUMIFS(Performance!$Z$5:$Z$404,Performance!$B$5:$B$404,A110))</f>
        <v>0</v>
      </c>
      <c r="AF110" s="24">
        <f>IF(OR(AD110="",AD110=0),"",AE110/AD110)</f>
        <v>0</v>
      </c>
      <c r="AG110" s="23">
        <f>IF(AD110="","",SUMIFS(Performance!$U$5:$U$404,Performance!$B$5:$B$404,A110))</f>
        <v>0</v>
      </c>
      <c r="AH110" s="23">
        <f>IF(A110="","",COUNTIF(Repurposing!$B$5:$B$154,A110))</f>
        <v>0</v>
      </c>
      <c r="AI110" s="32">
        <f>IF(OR(H110="",B110=""),"",B110+ROW()/100000)</f>
        <v>0</v>
      </c>
      <c r="AJ110" s="32">
        <f>IF(OR(H110="",B110=""),"",IF(OR(X110="Published",X110="Cancelled",X110="Archived"),"",IF(B110&lt;TODAY(),"",B110+ROW()/100000)))</f>
        <v>0</v>
      </c>
      <c r="AK110" s="32">
        <f>IF(OR(H110="",B110=""),"",IF(OR(X110="Published",X110="Cancelled",X110="Archived"),"",IF(B110&gt;=TODAY(),"",B110+ROW()/100000)))</f>
        <v>0</v>
      </c>
      <c r="AL110" s="29">
        <f>IF(H110="","",IF(COUNTIFS('Content Calendar'!$H$5:$H$604,H110,'Content Calendar'!$G$5:$G$604,G110,'Content Calendar'!$B$5:$B$604,B110)&gt;1,"Duplicate","OK"))</f>
        <v>0</v>
      </c>
      <c r="AM110" s="29">
        <f>IF(H110="","",IF(AND(B110&lt;&gt;"",B110&lt;TODAY(),X110&lt;&gt;"Published",X110&lt;&gt;"Cancelled",X110&lt;&gt;"Archived"),"Overdue - date has passed",IF(AND(X110="Published",AB110=""),"Add - publish link missing",IF(AND(B110=TODAY(),X110&lt;&gt;"Published"),"Today - due to go live",IF(AND(Y110&lt;&gt;"",Y110&lt;TODAY(),OR(X110="Idea",X110="Brief",X110="In production")),"Late - draft not ready",IF(AND(AA110&gt;=0,AA110&lt;=3,OR(X110="Draft",X110="Awaiting review")),"Due - needs approval",IF(AND(H110&lt;&gt;"",P110=""),"Add - caption missing","OK")))))))</f>
        <v>0</v>
      </c>
    </row>
    <row r="111" spans="1:39">
      <c r="A111" s="41">
        <f>IF(H111="","",ContentPrefix&amp;TEXT(ROW()-4,"0000"))</f>
        <v>0</v>
      </c>
      <c r="D111" s="17">
        <f>IF(B111="","",TEXT(B111,"yyyy-mm"))</f>
        <v>0</v>
      </c>
      <c r="E111" s="23">
        <f>IF(B111="","",WEEKNUM(B111,IF(WeekStart="Sunday",1,2)))</f>
        <v>0</v>
      </c>
      <c r="F111" s="17">
        <f>IF(B111="","",TEXT(B111,"ddd"))</f>
        <v>0</v>
      </c>
      <c r="Q111" s="29">
        <f>IF(H111="","",IF(P111="","Add - no caption",IFERROR(INDEX('Caption Bank'!$R$5:$R$204,MATCH(P111,'Caption Bank'!$B$5:$B$204,0)),"Check - not in bank")))</f>
        <v>0</v>
      </c>
      <c r="S111" s="23">
        <f>IF(R111="","",COUNTIF('Hashtag Bank'!$D$5:$D$304,R111))</f>
        <v>0</v>
      </c>
      <c r="U111" s="29">
        <f>IF(H111="","",IF(T111="","Add - no asset",IFERROR(INDEX(Assets!$N$5:$N$254,MATCH(T111,Assets!$A$5:$A$254,0)),"Check - not in library")))</f>
        <v>0</v>
      </c>
      <c r="Y111" s="16">
        <f>IF(B111="","",B111-ProductionDays)</f>
        <v>0</v>
      </c>
      <c r="Z111" s="16">
        <f>IF(B111="","",B111-ApprovalDays)</f>
        <v>0</v>
      </c>
      <c r="AA111" s="23">
        <f>IF(B111="","",B111-TODAY())</f>
        <v>0</v>
      </c>
      <c r="AC111" s="29">
        <f>IF(H111="","",IF(X111="Published",IF(AB111="","Add - link missing","Yes"),"No"))</f>
        <v>0</v>
      </c>
      <c r="AD111" s="23">
        <f>IF(A111="","",IF(COUNTIF(Performance!$B$5:$B$404,A111)=0,"",SUMIFS(Performance!$O$5:$O$404,Performance!$B$5:$B$404,A111)))</f>
        <v>0</v>
      </c>
      <c r="AE111" s="23">
        <f>IF(AD111="","",SUMIFS(Performance!$Z$5:$Z$404,Performance!$B$5:$B$404,A111))</f>
        <v>0</v>
      </c>
      <c r="AF111" s="24">
        <f>IF(OR(AD111="",AD111=0),"",AE111/AD111)</f>
        <v>0</v>
      </c>
      <c r="AG111" s="23">
        <f>IF(AD111="","",SUMIFS(Performance!$U$5:$U$404,Performance!$B$5:$B$404,A111))</f>
        <v>0</v>
      </c>
      <c r="AH111" s="23">
        <f>IF(A111="","",COUNTIF(Repurposing!$B$5:$B$154,A111))</f>
        <v>0</v>
      </c>
      <c r="AI111" s="32">
        <f>IF(OR(H111="",B111=""),"",B111+ROW()/100000)</f>
        <v>0</v>
      </c>
      <c r="AJ111" s="32">
        <f>IF(OR(H111="",B111=""),"",IF(OR(X111="Published",X111="Cancelled",X111="Archived"),"",IF(B111&lt;TODAY(),"",B111+ROW()/100000)))</f>
        <v>0</v>
      </c>
      <c r="AK111" s="32">
        <f>IF(OR(H111="",B111=""),"",IF(OR(X111="Published",X111="Cancelled",X111="Archived"),"",IF(B111&gt;=TODAY(),"",B111+ROW()/100000)))</f>
        <v>0</v>
      </c>
      <c r="AL111" s="29">
        <f>IF(H111="","",IF(COUNTIFS('Content Calendar'!$H$5:$H$604,H111,'Content Calendar'!$G$5:$G$604,G111,'Content Calendar'!$B$5:$B$604,B111)&gt;1,"Duplicate","OK"))</f>
        <v>0</v>
      </c>
      <c r="AM111" s="29">
        <f>IF(H111="","",IF(AND(B111&lt;&gt;"",B111&lt;TODAY(),X111&lt;&gt;"Published",X111&lt;&gt;"Cancelled",X111&lt;&gt;"Archived"),"Overdue - date has passed",IF(AND(X111="Published",AB111=""),"Add - publish link missing",IF(AND(B111=TODAY(),X111&lt;&gt;"Published"),"Today - due to go live",IF(AND(Y111&lt;&gt;"",Y111&lt;TODAY(),OR(X111="Idea",X111="Brief",X111="In production")),"Late - draft not ready",IF(AND(AA111&gt;=0,AA111&lt;=3,OR(X111="Draft",X111="Awaiting review")),"Due - needs approval",IF(AND(H111&lt;&gt;"",P111=""),"Add - caption missing","OK")))))))</f>
        <v>0</v>
      </c>
    </row>
    <row r="112" spans="1:39">
      <c r="A112" s="41">
        <f>IF(H112="","",ContentPrefix&amp;TEXT(ROW()-4,"0000"))</f>
        <v>0</v>
      </c>
      <c r="D112" s="17">
        <f>IF(B112="","",TEXT(B112,"yyyy-mm"))</f>
        <v>0</v>
      </c>
      <c r="E112" s="23">
        <f>IF(B112="","",WEEKNUM(B112,IF(WeekStart="Sunday",1,2)))</f>
        <v>0</v>
      </c>
      <c r="F112" s="17">
        <f>IF(B112="","",TEXT(B112,"ddd"))</f>
        <v>0</v>
      </c>
      <c r="Q112" s="29">
        <f>IF(H112="","",IF(P112="","Add - no caption",IFERROR(INDEX('Caption Bank'!$R$5:$R$204,MATCH(P112,'Caption Bank'!$B$5:$B$204,0)),"Check - not in bank")))</f>
        <v>0</v>
      </c>
      <c r="S112" s="23">
        <f>IF(R112="","",COUNTIF('Hashtag Bank'!$D$5:$D$304,R112))</f>
        <v>0</v>
      </c>
      <c r="U112" s="29">
        <f>IF(H112="","",IF(T112="","Add - no asset",IFERROR(INDEX(Assets!$N$5:$N$254,MATCH(T112,Assets!$A$5:$A$254,0)),"Check - not in library")))</f>
        <v>0</v>
      </c>
      <c r="Y112" s="16">
        <f>IF(B112="","",B112-ProductionDays)</f>
        <v>0</v>
      </c>
      <c r="Z112" s="16">
        <f>IF(B112="","",B112-ApprovalDays)</f>
        <v>0</v>
      </c>
      <c r="AA112" s="23">
        <f>IF(B112="","",B112-TODAY())</f>
        <v>0</v>
      </c>
      <c r="AC112" s="29">
        <f>IF(H112="","",IF(X112="Published",IF(AB112="","Add - link missing","Yes"),"No"))</f>
        <v>0</v>
      </c>
      <c r="AD112" s="23">
        <f>IF(A112="","",IF(COUNTIF(Performance!$B$5:$B$404,A112)=0,"",SUMIFS(Performance!$O$5:$O$404,Performance!$B$5:$B$404,A112)))</f>
        <v>0</v>
      </c>
      <c r="AE112" s="23">
        <f>IF(AD112="","",SUMIFS(Performance!$Z$5:$Z$404,Performance!$B$5:$B$404,A112))</f>
        <v>0</v>
      </c>
      <c r="AF112" s="24">
        <f>IF(OR(AD112="",AD112=0),"",AE112/AD112)</f>
        <v>0</v>
      </c>
      <c r="AG112" s="23">
        <f>IF(AD112="","",SUMIFS(Performance!$U$5:$U$404,Performance!$B$5:$B$404,A112))</f>
        <v>0</v>
      </c>
      <c r="AH112" s="23">
        <f>IF(A112="","",COUNTIF(Repurposing!$B$5:$B$154,A112))</f>
        <v>0</v>
      </c>
      <c r="AI112" s="32">
        <f>IF(OR(H112="",B112=""),"",B112+ROW()/100000)</f>
        <v>0</v>
      </c>
      <c r="AJ112" s="32">
        <f>IF(OR(H112="",B112=""),"",IF(OR(X112="Published",X112="Cancelled",X112="Archived"),"",IF(B112&lt;TODAY(),"",B112+ROW()/100000)))</f>
        <v>0</v>
      </c>
      <c r="AK112" s="32">
        <f>IF(OR(H112="",B112=""),"",IF(OR(X112="Published",X112="Cancelled",X112="Archived"),"",IF(B112&gt;=TODAY(),"",B112+ROW()/100000)))</f>
        <v>0</v>
      </c>
      <c r="AL112" s="29">
        <f>IF(H112="","",IF(COUNTIFS('Content Calendar'!$H$5:$H$604,H112,'Content Calendar'!$G$5:$G$604,G112,'Content Calendar'!$B$5:$B$604,B112)&gt;1,"Duplicate","OK"))</f>
        <v>0</v>
      </c>
      <c r="AM112" s="29">
        <f>IF(H112="","",IF(AND(B112&lt;&gt;"",B112&lt;TODAY(),X112&lt;&gt;"Published",X112&lt;&gt;"Cancelled",X112&lt;&gt;"Archived"),"Overdue - date has passed",IF(AND(X112="Published",AB112=""),"Add - publish link missing",IF(AND(B112=TODAY(),X112&lt;&gt;"Published"),"Today - due to go live",IF(AND(Y112&lt;&gt;"",Y112&lt;TODAY(),OR(X112="Idea",X112="Brief",X112="In production")),"Late - draft not ready",IF(AND(AA112&gt;=0,AA112&lt;=3,OR(X112="Draft",X112="Awaiting review")),"Due - needs approval",IF(AND(H112&lt;&gt;"",P112=""),"Add - caption missing","OK")))))))</f>
        <v>0</v>
      </c>
    </row>
    <row r="113" spans="1:39">
      <c r="A113" s="41">
        <f>IF(H113="","",ContentPrefix&amp;TEXT(ROW()-4,"0000"))</f>
        <v>0</v>
      </c>
      <c r="D113" s="17">
        <f>IF(B113="","",TEXT(B113,"yyyy-mm"))</f>
        <v>0</v>
      </c>
      <c r="E113" s="23">
        <f>IF(B113="","",WEEKNUM(B113,IF(WeekStart="Sunday",1,2)))</f>
        <v>0</v>
      </c>
      <c r="F113" s="17">
        <f>IF(B113="","",TEXT(B113,"ddd"))</f>
        <v>0</v>
      </c>
      <c r="Q113" s="29">
        <f>IF(H113="","",IF(P113="","Add - no caption",IFERROR(INDEX('Caption Bank'!$R$5:$R$204,MATCH(P113,'Caption Bank'!$B$5:$B$204,0)),"Check - not in bank")))</f>
        <v>0</v>
      </c>
      <c r="S113" s="23">
        <f>IF(R113="","",COUNTIF('Hashtag Bank'!$D$5:$D$304,R113))</f>
        <v>0</v>
      </c>
      <c r="U113" s="29">
        <f>IF(H113="","",IF(T113="","Add - no asset",IFERROR(INDEX(Assets!$N$5:$N$254,MATCH(T113,Assets!$A$5:$A$254,0)),"Check - not in library")))</f>
        <v>0</v>
      </c>
      <c r="Y113" s="16">
        <f>IF(B113="","",B113-ProductionDays)</f>
        <v>0</v>
      </c>
      <c r="Z113" s="16">
        <f>IF(B113="","",B113-ApprovalDays)</f>
        <v>0</v>
      </c>
      <c r="AA113" s="23">
        <f>IF(B113="","",B113-TODAY())</f>
        <v>0</v>
      </c>
      <c r="AC113" s="29">
        <f>IF(H113="","",IF(X113="Published",IF(AB113="","Add - link missing","Yes"),"No"))</f>
        <v>0</v>
      </c>
      <c r="AD113" s="23">
        <f>IF(A113="","",IF(COUNTIF(Performance!$B$5:$B$404,A113)=0,"",SUMIFS(Performance!$O$5:$O$404,Performance!$B$5:$B$404,A113)))</f>
        <v>0</v>
      </c>
      <c r="AE113" s="23">
        <f>IF(AD113="","",SUMIFS(Performance!$Z$5:$Z$404,Performance!$B$5:$B$404,A113))</f>
        <v>0</v>
      </c>
      <c r="AF113" s="24">
        <f>IF(OR(AD113="",AD113=0),"",AE113/AD113)</f>
        <v>0</v>
      </c>
      <c r="AG113" s="23">
        <f>IF(AD113="","",SUMIFS(Performance!$U$5:$U$404,Performance!$B$5:$B$404,A113))</f>
        <v>0</v>
      </c>
      <c r="AH113" s="23">
        <f>IF(A113="","",COUNTIF(Repurposing!$B$5:$B$154,A113))</f>
        <v>0</v>
      </c>
      <c r="AI113" s="32">
        <f>IF(OR(H113="",B113=""),"",B113+ROW()/100000)</f>
        <v>0</v>
      </c>
      <c r="AJ113" s="32">
        <f>IF(OR(H113="",B113=""),"",IF(OR(X113="Published",X113="Cancelled",X113="Archived"),"",IF(B113&lt;TODAY(),"",B113+ROW()/100000)))</f>
        <v>0</v>
      </c>
      <c r="AK113" s="32">
        <f>IF(OR(H113="",B113=""),"",IF(OR(X113="Published",X113="Cancelled",X113="Archived"),"",IF(B113&gt;=TODAY(),"",B113+ROW()/100000)))</f>
        <v>0</v>
      </c>
      <c r="AL113" s="29">
        <f>IF(H113="","",IF(COUNTIFS('Content Calendar'!$H$5:$H$604,H113,'Content Calendar'!$G$5:$G$604,G113,'Content Calendar'!$B$5:$B$604,B113)&gt;1,"Duplicate","OK"))</f>
        <v>0</v>
      </c>
      <c r="AM113" s="29">
        <f>IF(H113="","",IF(AND(B113&lt;&gt;"",B113&lt;TODAY(),X113&lt;&gt;"Published",X113&lt;&gt;"Cancelled",X113&lt;&gt;"Archived"),"Overdue - date has passed",IF(AND(X113="Published",AB113=""),"Add - publish link missing",IF(AND(B113=TODAY(),X113&lt;&gt;"Published"),"Today - due to go live",IF(AND(Y113&lt;&gt;"",Y113&lt;TODAY(),OR(X113="Idea",X113="Brief",X113="In production")),"Late - draft not ready",IF(AND(AA113&gt;=0,AA113&lt;=3,OR(X113="Draft",X113="Awaiting review")),"Due - needs approval",IF(AND(H113&lt;&gt;"",P113=""),"Add - caption missing","OK")))))))</f>
        <v>0</v>
      </c>
    </row>
    <row r="114" spans="1:39">
      <c r="A114" s="41">
        <f>IF(H114="","",ContentPrefix&amp;TEXT(ROW()-4,"0000"))</f>
        <v>0</v>
      </c>
      <c r="D114" s="17">
        <f>IF(B114="","",TEXT(B114,"yyyy-mm"))</f>
        <v>0</v>
      </c>
      <c r="E114" s="23">
        <f>IF(B114="","",WEEKNUM(B114,IF(WeekStart="Sunday",1,2)))</f>
        <v>0</v>
      </c>
      <c r="F114" s="17">
        <f>IF(B114="","",TEXT(B114,"ddd"))</f>
        <v>0</v>
      </c>
      <c r="Q114" s="29">
        <f>IF(H114="","",IF(P114="","Add - no caption",IFERROR(INDEX('Caption Bank'!$R$5:$R$204,MATCH(P114,'Caption Bank'!$B$5:$B$204,0)),"Check - not in bank")))</f>
        <v>0</v>
      </c>
      <c r="S114" s="23">
        <f>IF(R114="","",COUNTIF('Hashtag Bank'!$D$5:$D$304,R114))</f>
        <v>0</v>
      </c>
      <c r="U114" s="29">
        <f>IF(H114="","",IF(T114="","Add - no asset",IFERROR(INDEX(Assets!$N$5:$N$254,MATCH(T114,Assets!$A$5:$A$254,0)),"Check - not in library")))</f>
        <v>0</v>
      </c>
      <c r="Y114" s="16">
        <f>IF(B114="","",B114-ProductionDays)</f>
        <v>0</v>
      </c>
      <c r="Z114" s="16">
        <f>IF(B114="","",B114-ApprovalDays)</f>
        <v>0</v>
      </c>
      <c r="AA114" s="23">
        <f>IF(B114="","",B114-TODAY())</f>
        <v>0</v>
      </c>
      <c r="AC114" s="29">
        <f>IF(H114="","",IF(X114="Published",IF(AB114="","Add - link missing","Yes"),"No"))</f>
        <v>0</v>
      </c>
      <c r="AD114" s="23">
        <f>IF(A114="","",IF(COUNTIF(Performance!$B$5:$B$404,A114)=0,"",SUMIFS(Performance!$O$5:$O$404,Performance!$B$5:$B$404,A114)))</f>
        <v>0</v>
      </c>
      <c r="AE114" s="23">
        <f>IF(AD114="","",SUMIFS(Performance!$Z$5:$Z$404,Performance!$B$5:$B$404,A114))</f>
        <v>0</v>
      </c>
      <c r="AF114" s="24">
        <f>IF(OR(AD114="",AD114=0),"",AE114/AD114)</f>
        <v>0</v>
      </c>
      <c r="AG114" s="23">
        <f>IF(AD114="","",SUMIFS(Performance!$U$5:$U$404,Performance!$B$5:$B$404,A114))</f>
        <v>0</v>
      </c>
      <c r="AH114" s="23">
        <f>IF(A114="","",COUNTIF(Repurposing!$B$5:$B$154,A114))</f>
        <v>0</v>
      </c>
      <c r="AI114" s="32">
        <f>IF(OR(H114="",B114=""),"",B114+ROW()/100000)</f>
        <v>0</v>
      </c>
      <c r="AJ114" s="32">
        <f>IF(OR(H114="",B114=""),"",IF(OR(X114="Published",X114="Cancelled",X114="Archived"),"",IF(B114&lt;TODAY(),"",B114+ROW()/100000)))</f>
        <v>0</v>
      </c>
      <c r="AK114" s="32">
        <f>IF(OR(H114="",B114=""),"",IF(OR(X114="Published",X114="Cancelled",X114="Archived"),"",IF(B114&gt;=TODAY(),"",B114+ROW()/100000)))</f>
        <v>0</v>
      </c>
      <c r="AL114" s="29">
        <f>IF(H114="","",IF(COUNTIFS('Content Calendar'!$H$5:$H$604,H114,'Content Calendar'!$G$5:$G$604,G114,'Content Calendar'!$B$5:$B$604,B114)&gt;1,"Duplicate","OK"))</f>
        <v>0</v>
      </c>
      <c r="AM114" s="29">
        <f>IF(H114="","",IF(AND(B114&lt;&gt;"",B114&lt;TODAY(),X114&lt;&gt;"Published",X114&lt;&gt;"Cancelled",X114&lt;&gt;"Archived"),"Overdue - date has passed",IF(AND(X114="Published",AB114=""),"Add - publish link missing",IF(AND(B114=TODAY(),X114&lt;&gt;"Published"),"Today - due to go live",IF(AND(Y114&lt;&gt;"",Y114&lt;TODAY(),OR(X114="Idea",X114="Brief",X114="In production")),"Late - draft not ready",IF(AND(AA114&gt;=0,AA114&lt;=3,OR(X114="Draft",X114="Awaiting review")),"Due - needs approval",IF(AND(H114&lt;&gt;"",P114=""),"Add - caption missing","OK")))))))</f>
        <v>0</v>
      </c>
    </row>
    <row r="115" spans="1:39">
      <c r="A115" s="41">
        <f>IF(H115="","",ContentPrefix&amp;TEXT(ROW()-4,"0000"))</f>
        <v>0</v>
      </c>
      <c r="D115" s="17">
        <f>IF(B115="","",TEXT(B115,"yyyy-mm"))</f>
        <v>0</v>
      </c>
      <c r="E115" s="23">
        <f>IF(B115="","",WEEKNUM(B115,IF(WeekStart="Sunday",1,2)))</f>
        <v>0</v>
      </c>
      <c r="F115" s="17">
        <f>IF(B115="","",TEXT(B115,"ddd"))</f>
        <v>0</v>
      </c>
      <c r="Q115" s="29">
        <f>IF(H115="","",IF(P115="","Add - no caption",IFERROR(INDEX('Caption Bank'!$R$5:$R$204,MATCH(P115,'Caption Bank'!$B$5:$B$204,0)),"Check - not in bank")))</f>
        <v>0</v>
      </c>
      <c r="S115" s="23">
        <f>IF(R115="","",COUNTIF('Hashtag Bank'!$D$5:$D$304,R115))</f>
        <v>0</v>
      </c>
      <c r="U115" s="29">
        <f>IF(H115="","",IF(T115="","Add - no asset",IFERROR(INDEX(Assets!$N$5:$N$254,MATCH(T115,Assets!$A$5:$A$254,0)),"Check - not in library")))</f>
        <v>0</v>
      </c>
      <c r="Y115" s="16">
        <f>IF(B115="","",B115-ProductionDays)</f>
        <v>0</v>
      </c>
      <c r="Z115" s="16">
        <f>IF(B115="","",B115-ApprovalDays)</f>
        <v>0</v>
      </c>
      <c r="AA115" s="23">
        <f>IF(B115="","",B115-TODAY())</f>
        <v>0</v>
      </c>
      <c r="AC115" s="29">
        <f>IF(H115="","",IF(X115="Published",IF(AB115="","Add - link missing","Yes"),"No"))</f>
        <v>0</v>
      </c>
      <c r="AD115" s="23">
        <f>IF(A115="","",IF(COUNTIF(Performance!$B$5:$B$404,A115)=0,"",SUMIFS(Performance!$O$5:$O$404,Performance!$B$5:$B$404,A115)))</f>
        <v>0</v>
      </c>
      <c r="AE115" s="23">
        <f>IF(AD115="","",SUMIFS(Performance!$Z$5:$Z$404,Performance!$B$5:$B$404,A115))</f>
        <v>0</v>
      </c>
      <c r="AF115" s="24">
        <f>IF(OR(AD115="",AD115=0),"",AE115/AD115)</f>
        <v>0</v>
      </c>
      <c r="AG115" s="23">
        <f>IF(AD115="","",SUMIFS(Performance!$U$5:$U$404,Performance!$B$5:$B$404,A115))</f>
        <v>0</v>
      </c>
      <c r="AH115" s="23">
        <f>IF(A115="","",COUNTIF(Repurposing!$B$5:$B$154,A115))</f>
        <v>0</v>
      </c>
      <c r="AI115" s="32">
        <f>IF(OR(H115="",B115=""),"",B115+ROW()/100000)</f>
        <v>0</v>
      </c>
      <c r="AJ115" s="32">
        <f>IF(OR(H115="",B115=""),"",IF(OR(X115="Published",X115="Cancelled",X115="Archived"),"",IF(B115&lt;TODAY(),"",B115+ROW()/100000)))</f>
        <v>0</v>
      </c>
      <c r="AK115" s="32">
        <f>IF(OR(H115="",B115=""),"",IF(OR(X115="Published",X115="Cancelled",X115="Archived"),"",IF(B115&gt;=TODAY(),"",B115+ROW()/100000)))</f>
        <v>0</v>
      </c>
      <c r="AL115" s="29">
        <f>IF(H115="","",IF(COUNTIFS('Content Calendar'!$H$5:$H$604,H115,'Content Calendar'!$G$5:$G$604,G115,'Content Calendar'!$B$5:$B$604,B115)&gt;1,"Duplicate","OK"))</f>
        <v>0</v>
      </c>
      <c r="AM115" s="29">
        <f>IF(H115="","",IF(AND(B115&lt;&gt;"",B115&lt;TODAY(),X115&lt;&gt;"Published",X115&lt;&gt;"Cancelled",X115&lt;&gt;"Archived"),"Overdue - date has passed",IF(AND(X115="Published",AB115=""),"Add - publish link missing",IF(AND(B115=TODAY(),X115&lt;&gt;"Published"),"Today - due to go live",IF(AND(Y115&lt;&gt;"",Y115&lt;TODAY(),OR(X115="Idea",X115="Brief",X115="In production")),"Late - draft not ready",IF(AND(AA115&gt;=0,AA115&lt;=3,OR(X115="Draft",X115="Awaiting review")),"Due - needs approval",IF(AND(H115&lt;&gt;"",P115=""),"Add - caption missing","OK")))))))</f>
        <v>0</v>
      </c>
    </row>
    <row r="116" spans="1:39">
      <c r="A116" s="41">
        <f>IF(H116="","",ContentPrefix&amp;TEXT(ROW()-4,"0000"))</f>
        <v>0</v>
      </c>
      <c r="D116" s="17">
        <f>IF(B116="","",TEXT(B116,"yyyy-mm"))</f>
        <v>0</v>
      </c>
      <c r="E116" s="23">
        <f>IF(B116="","",WEEKNUM(B116,IF(WeekStart="Sunday",1,2)))</f>
        <v>0</v>
      </c>
      <c r="F116" s="17">
        <f>IF(B116="","",TEXT(B116,"ddd"))</f>
        <v>0</v>
      </c>
      <c r="Q116" s="29">
        <f>IF(H116="","",IF(P116="","Add - no caption",IFERROR(INDEX('Caption Bank'!$R$5:$R$204,MATCH(P116,'Caption Bank'!$B$5:$B$204,0)),"Check - not in bank")))</f>
        <v>0</v>
      </c>
      <c r="S116" s="23">
        <f>IF(R116="","",COUNTIF('Hashtag Bank'!$D$5:$D$304,R116))</f>
        <v>0</v>
      </c>
      <c r="U116" s="29">
        <f>IF(H116="","",IF(T116="","Add - no asset",IFERROR(INDEX(Assets!$N$5:$N$254,MATCH(T116,Assets!$A$5:$A$254,0)),"Check - not in library")))</f>
        <v>0</v>
      </c>
      <c r="Y116" s="16">
        <f>IF(B116="","",B116-ProductionDays)</f>
        <v>0</v>
      </c>
      <c r="Z116" s="16">
        <f>IF(B116="","",B116-ApprovalDays)</f>
        <v>0</v>
      </c>
      <c r="AA116" s="23">
        <f>IF(B116="","",B116-TODAY())</f>
        <v>0</v>
      </c>
      <c r="AC116" s="29">
        <f>IF(H116="","",IF(X116="Published",IF(AB116="","Add - link missing","Yes"),"No"))</f>
        <v>0</v>
      </c>
      <c r="AD116" s="23">
        <f>IF(A116="","",IF(COUNTIF(Performance!$B$5:$B$404,A116)=0,"",SUMIFS(Performance!$O$5:$O$404,Performance!$B$5:$B$404,A116)))</f>
        <v>0</v>
      </c>
      <c r="AE116" s="23">
        <f>IF(AD116="","",SUMIFS(Performance!$Z$5:$Z$404,Performance!$B$5:$B$404,A116))</f>
        <v>0</v>
      </c>
      <c r="AF116" s="24">
        <f>IF(OR(AD116="",AD116=0),"",AE116/AD116)</f>
        <v>0</v>
      </c>
      <c r="AG116" s="23">
        <f>IF(AD116="","",SUMIFS(Performance!$U$5:$U$404,Performance!$B$5:$B$404,A116))</f>
        <v>0</v>
      </c>
      <c r="AH116" s="23">
        <f>IF(A116="","",COUNTIF(Repurposing!$B$5:$B$154,A116))</f>
        <v>0</v>
      </c>
      <c r="AI116" s="32">
        <f>IF(OR(H116="",B116=""),"",B116+ROW()/100000)</f>
        <v>0</v>
      </c>
      <c r="AJ116" s="32">
        <f>IF(OR(H116="",B116=""),"",IF(OR(X116="Published",X116="Cancelled",X116="Archived"),"",IF(B116&lt;TODAY(),"",B116+ROW()/100000)))</f>
        <v>0</v>
      </c>
      <c r="AK116" s="32">
        <f>IF(OR(H116="",B116=""),"",IF(OR(X116="Published",X116="Cancelled",X116="Archived"),"",IF(B116&gt;=TODAY(),"",B116+ROW()/100000)))</f>
        <v>0</v>
      </c>
      <c r="AL116" s="29">
        <f>IF(H116="","",IF(COUNTIFS('Content Calendar'!$H$5:$H$604,H116,'Content Calendar'!$G$5:$G$604,G116,'Content Calendar'!$B$5:$B$604,B116)&gt;1,"Duplicate","OK"))</f>
        <v>0</v>
      </c>
      <c r="AM116" s="29">
        <f>IF(H116="","",IF(AND(B116&lt;&gt;"",B116&lt;TODAY(),X116&lt;&gt;"Published",X116&lt;&gt;"Cancelled",X116&lt;&gt;"Archived"),"Overdue - date has passed",IF(AND(X116="Published",AB116=""),"Add - publish link missing",IF(AND(B116=TODAY(),X116&lt;&gt;"Published"),"Today - due to go live",IF(AND(Y116&lt;&gt;"",Y116&lt;TODAY(),OR(X116="Idea",X116="Brief",X116="In production")),"Late - draft not ready",IF(AND(AA116&gt;=0,AA116&lt;=3,OR(X116="Draft",X116="Awaiting review")),"Due - needs approval",IF(AND(H116&lt;&gt;"",P116=""),"Add - caption missing","OK")))))))</f>
        <v>0</v>
      </c>
    </row>
    <row r="117" spans="1:39">
      <c r="A117" s="41">
        <f>IF(H117="","",ContentPrefix&amp;TEXT(ROW()-4,"0000"))</f>
        <v>0</v>
      </c>
      <c r="D117" s="17">
        <f>IF(B117="","",TEXT(B117,"yyyy-mm"))</f>
        <v>0</v>
      </c>
      <c r="E117" s="23">
        <f>IF(B117="","",WEEKNUM(B117,IF(WeekStart="Sunday",1,2)))</f>
        <v>0</v>
      </c>
      <c r="F117" s="17">
        <f>IF(B117="","",TEXT(B117,"ddd"))</f>
        <v>0</v>
      </c>
      <c r="Q117" s="29">
        <f>IF(H117="","",IF(P117="","Add - no caption",IFERROR(INDEX('Caption Bank'!$R$5:$R$204,MATCH(P117,'Caption Bank'!$B$5:$B$204,0)),"Check - not in bank")))</f>
        <v>0</v>
      </c>
      <c r="S117" s="23">
        <f>IF(R117="","",COUNTIF('Hashtag Bank'!$D$5:$D$304,R117))</f>
        <v>0</v>
      </c>
      <c r="U117" s="29">
        <f>IF(H117="","",IF(T117="","Add - no asset",IFERROR(INDEX(Assets!$N$5:$N$254,MATCH(T117,Assets!$A$5:$A$254,0)),"Check - not in library")))</f>
        <v>0</v>
      </c>
      <c r="Y117" s="16">
        <f>IF(B117="","",B117-ProductionDays)</f>
        <v>0</v>
      </c>
      <c r="Z117" s="16">
        <f>IF(B117="","",B117-ApprovalDays)</f>
        <v>0</v>
      </c>
      <c r="AA117" s="23">
        <f>IF(B117="","",B117-TODAY())</f>
        <v>0</v>
      </c>
      <c r="AC117" s="29">
        <f>IF(H117="","",IF(X117="Published",IF(AB117="","Add - link missing","Yes"),"No"))</f>
        <v>0</v>
      </c>
      <c r="AD117" s="23">
        <f>IF(A117="","",IF(COUNTIF(Performance!$B$5:$B$404,A117)=0,"",SUMIFS(Performance!$O$5:$O$404,Performance!$B$5:$B$404,A117)))</f>
        <v>0</v>
      </c>
      <c r="AE117" s="23">
        <f>IF(AD117="","",SUMIFS(Performance!$Z$5:$Z$404,Performance!$B$5:$B$404,A117))</f>
        <v>0</v>
      </c>
      <c r="AF117" s="24">
        <f>IF(OR(AD117="",AD117=0),"",AE117/AD117)</f>
        <v>0</v>
      </c>
      <c r="AG117" s="23">
        <f>IF(AD117="","",SUMIFS(Performance!$U$5:$U$404,Performance!$B$5:$B$404,A117))</f>
        <v>0</v>
      </c>
      <c r="AH117" s="23">
        <f>IF(A117="","",COUNTIF(Repurposing!$B$5:$B$154,A117))</f>
        <v>0</v>
      </c>
      <c r="AI117" s="32">
        <f>IF(OR(H117="",B117=""),"",B117+ROW()/100000)</f>
        <v>0</v>
      </c>
      <c r="AJ117" s="32">
        <f>IF(OR(H117="",B117=""),"",IF(OR(X117="Published",X117="Cancelled",X117="Archived"),"",IF(B117&lt;TODAY(),"",B117+ROW()/100000)))</f>
        <v>0</v>
      </c>
      <c r="AK117" s="32">
        <f>IF(OR(H117="",B117=""),"",IF(OR(X117="Published",X117="Cancelled",X117="Archived"),"",IF(B117&gt;=TODAY(),"",B117+ROW()/100000)))</f>
        <v>0</v>
      </c>
      <c r="AL117" s="29">
        <f>IF(H117="","",IF(COUNTIFS('Content Calendar'!$H$5:$H$604,H117,'Content Calendar'!$G$5:$G$604,G117,'Content Calendar'!$B$5:$B$604,B117)&gt;1,"Duplicate","OK"))</f>
        <v>0</v>
      </c>
      <c r="AM117" s="29">
        <f>IF(H117="","",IF(AND(B117&lt;&gt;"",B117&lt;TODAY(),X117&lt;&gt;"Published",X117&lt;&gt;"Cancelled",X117&lt;&gt;"Archived"),"Overdue - date has passed",IF(AND(X117="Published",AB117=""),"Add - publish link missing",IF(AND(B117=TODAY(),X117&lt;&gt;"Published"),"Today - due to go live",IF(AND(Y117&lt;&gt;"",Y117&lt;TODAY(),OR(X117="Idea",X117="Brief",X117="In production")),"Late - draft not ready",IF(AND(AA117&gt;=0,AA117&lt;=3,OR(X117="Draft",X117="Awaiting review")),"Due - needs approval",IF(AND(H117&lt;&gt;"",P117=""),"Add - caption missing","OK")))))))</f>
        <v>0</v>
      </c>
    </row>
    <row r="118" spans="1:39">
      <c r="A118" s="41">
        <f>IF(H118="","",ContentPrefix&amp;TEXT(ROW()-4,"0000"))</f>
        <v>0</v>
      </c>
      <c r="D118" s="17">
        <f>IF(B118="","",TEXT(B118,"yyyy-mm"))</f>
        <v>0</v>
      </c>
      <c r="E118" s="23">
        <f>IF(B118="","",WEEKNUM(B118,IF(WeekStart="Sunday",1,2)))</f>
        <v>0</v>
      </c>
      <c r="F118" s="17">
        <f>IF(B118="","",TEXT(B118,"ddd"))</f>
        <v>0</v>
      </c>
      <c r="Q118" s="29">
        <f>IF(H118="","",IF(P118="","Add - no caption",IFERROR(INDEX('Caption Bank'!$R$5:$R$204,MATCH(P118,'Caption Bank'!$B$5:$B$204,0)),"Check - not in bank")))</f>
        <v>0</v>
      </c>
      <c r="S118" s="23">
        <f>IF(R118="","",COUNTIF('Hashtag Bank'!$D$5:$D$304,R118))</f>
        <v>0</v>
      </c>
      <c r="U118" s="29">
        <f>IF(H118="","",IF(T118="","Add - no asset",IFERROR(INDEX(Assets!$N$5:$N$254,MATCH(T118,Assets!$A$5:$A$254,0)),"Check - not in library")))</f>
        <v>0</v>
      </c>
      <c r="Y118" s="16">
        <f>IF(B118="","",B118-ProductionDays)</f>
        <v>0</v>
      </c>
      <c r="Z118" s="16">
        <f>IF(B118="","",B118-ApprovalDays)</f>
        <v>0</v>
      </c>
      <c r="AA118" s="23">
        <f>IF(B118="","",B118-TODAY())</f>
        <v>0</v>
      </c>
      <c r="AC118" s="29">
        <f>IF(H118="","",IF(X118="Published",IF(AB118="","Add - link missing","Yes"),"No"))</f>
        <v>0</v>
      </c>
      <c r="AD118" s="23">
        <f>IF(A118="","",IF(COUNTIF(Performance!$B$5:$B$404,A118)=0,"",SUMIFS(Performance!$O$5:$O$404,Performance!$B$5:$B$404,A118)))</f>
        <v>0</v>
      </c>
      <c r="AE118" s="23">
        <f>IF(AD118="","",SUMIFS(Performance!$Z$5:$Z$404,Performance!$B$5:$B$404,A118))</f>
        <v>0</v>
      </c>
      <c r="AF118" s="24">
        <f>IF(OR(AD118="",AD118=0),"",AE118/AD118)</f>
        <v>0</v>
      </c>
      <c r="AG118" s="23">
        <f>IF(AD118="","",SUMIFS(Performance!$U$5:$U$404,Performance!$B$5:$B$404,A118))</f>
        <v>0</v>
      </c>
      <c r="AH118" s="23">
        <f>IF(A118="","",COUNTIF(Repurposing!$B$5:$B$154,A118))</f>
        <v>0</v>
      </c>
      <c r="AI118" s="32">
        <f>IF(OR(H118="",B118=""),"",B118+ROW()/100000)</f>
        <v>0</v>
      </c>
      <c r="AJ118" s="32">
        <f>IF(OR(H118="",B118=""),"",IF(OR(X118="Published",X118="Cancelled",X118="Archived"),"",IF(B118&lt;TODAY(),"",B118+ROW()/100000)))</f>
        <v>0</v>
      </c>
      <c r="AK118" s="32">
        <f>IF(OR(H118="",B118=""),"",IF(OR(X118="Published",X118="Cancelled",X118="Archived"),"",IF(B118&gt;=TODAY(),"",B118+ROW()/100000)))</f>
        <v>0</v>
      </c>
      <c r="AL118" s="29">
        <f>IF(H118="","",IF(COUNTIFS('Content Calendar'!$H$5:$H$604,H118,'Content Calendar'!$G$5:$G$604,G118,'Content Calendar'!$B$5:$B$604,B118)&gt;1,"Duplicate","OK"))</f>
        <v>0</v>
      </c>
      <c r="AM118" s="29">
        <f>IF(H118="","",IF(AND(B118&lt;&gt;"",B118&lt;TODAY(),X118&lt;&gt;"Published",X118&lt;&gt;"Cancelled",X118&lt;&gt;"Archived"),"Overdue - date has passed",IF(AND(X118="Published",AB118=""),"Add - publish link missing",IF(AND(B118=TODAY(),X118&lt;&gt;"Published"),"Today - due to go live",IF(AND(Y118&lt;&gt;"",Y118&lt;TODAY(),OR(X118="Idea",X118="Brief",X118="In production")),"Late - draft not ready",IF(AND(AA118&gt;=0,AA118&lt;=3,OR(X118="Draft",X118="Awaiting review")),"Due - needs approval",IF(AND(H118&lt;&gt;"",P118=""),"Add - caption missing","OK")))))))</f>
        <v>0</v>
      </c>
    </row>
    <row r="119" spans="1:39">
      <c r="A119" s="41">
        <f>IF(H119="","",ContentPrefix&amp;TEXT(ROW()-4,"0000"))</f>
        <v>0</v>
      </c>
      <c r="D119" s="17">
        <f>IF(B119="","",TEXT(B119,"yyyy-mm"))</f>
        <v>0</v>
      </c>
      <c r="E119" s="23">
        <f>IF(B119="","",WEEKNUM(B119,IF(WeekStart="Sunday",1,2)))</f>
        <v>0</v>
      </c>
      <c r="F119" s="17">
        <f>IF(B119="","",TEXT(B119,"ddd"))</f>
        <v>0</v>
      </c>
      <c r="Q119" s="29">
        <f>IF(H119="","",IF(P119="","Add - no caption",IFERROR(INDEX('Caption Bank'!$R$5:$R$204,MATCH(P119,'Caption Bank'!$B$5:$B$204,0)),"Check - not in bank")))</f>
        <v>0</v>
      </c>
      <c r="S119" s="23">
        <f>IF(R119="","",COUNTIF('Hashtag Bank'!$D$5:$D$304,R119))</f>
        <v>0</v>
      </c>
      <c r="U119" s="29">
        <f>IF(H119="","",IF(T119="","Add - no asset",IFERROR(INDEX(Assets!$N$5:$N$254,MATCH(T119,Assets!$A$5:$A$254,0)),"Check - not in library")))</f>
        <v>0</v>
      </c>
      <c r="Y119" s="16">
        <f>IF(B119="","",B119-ProductionDays)</f>
        <v>0</v>
      </c>
      <c r="Z119" s="16">
        <f>IF(B119="","",B119-ApprovalDays)</f>
        <v>0</v>
      </c>
      <c r="AA119" s="23">
        <f>IF(B119="","",B119-TODAY())</f>
        <v>0</v>
      </c>
      <c r="AC119" s="29">
        <f>IF(H119="","",IF(X119="Published",IF(AB119="","Add - link missing","Yes"),"No"))</f>
        <v>0</v>
      </c>
      <c r="AD119" s="23">
        <f>IF(A119="","",IF(COUNTIF(Performance!$B$5:$B$404,A119)=0,"",SUMIFS(Performance!$O$5:$O$404,Performance!$B$5:$B$404,A119)))</f>
        <v>0</v>
      </c>
      <c r="AE119" s="23">
        <f>IF(AD119="","",SUMIFS(Performance!$Z$5:$Z$404,Performance!$B$5:$B$404,A119))</f>
        <v>0</v>
      </c>
      <c r="AF119" s="24">
        <f>IF(OR(AD119="",AD119=0),"",AE119/AD119)</f>
        <v>0</v>
      </c>
      <c r="AG119" s="23">
        <f>IF(AD119="","",SUMIFS(Performance!$U$5:$U$404,Performance!$B$5:$B$404,A119))</f>
        <v>0</v>
      </c>
      <c r="AH119" s="23">
        <f>IF(A119="","",COUNTIF(Repurposing!$B$5:$B$154,A119))</f>
        <v>0</v>
      </c>
      <c r="AI119" s="32">
        <f>IF(OR(H119="",B119=""),"",B119+ROW()/100000)</f>
        <v>0</v>
      </c>
      <c r="AJ119" s="32">
        <f>IF(OR(H119="",B119=""),"",IF(OR(X119="Published",X119="Cancelled",X119="Archived"),"",IF(B119&lt;TODAY(),"",B119+ROW()/100000)))</f>
        <v>0</v>
      </c>
      <c r="AK119" s="32">
        <f>IF(OR(H119="",B119=""),"",IF(OR(X119="Published",X119="Cancelled",X119="Archived"),"",IF(B119&gt;=TODAY(),"",B119+ROW()/100000)))</f>
        <v>0</v>
      </c>
      <c r="AL119" s="29">
        <f>IF(H119="","",IF(COUNTIFS('Content Calendar'!$H$5:$H$604,H119,'Content Calendar'!$G$5:$G$604,G119,'Content Calendar'!$B$5:$B$604,B119)&gt;1,"Duplicate","OK"))</f>
        <v>0</v>
      </c>
      <c r="AM119" s="29">
        <f>IF(H119="","",IF(AND(B119&lt;&gt;"",B119&lt;TODAY(),X119&lt;&gt;"Published",X119&lt;&gt;"Cancelled",X119&lt;&gt;"Archived"),"Overdue - date has passed",IF(AND(X119="Published",AB119=""),"Add - publish link missing",IF(AND(B119=TODAY(),X119&lt;&gt;"Published"),"Today - due to go live",IF(AND(Y119&lt;&gt;"",Y119&lt;TODAY(),OR(X119="Idea",X119="Brief",X119="In production")),"Late - draft not ready",IF(AND(AA119&gt;=0,AA119&lt;=3,OR(X119="Draft",X119="Awaiting review")),"Due - needs approval",IF(AND(H119&lt;&gt;"",P119=""),"Add - caption missing","OK")))))))</f>
        <v>0</v>
      </c>
    </row>
    <row r="120" spans="1:39">
      <c r="A120" s="41">
        <f>IF(H120="","",ContentPrefix&amp;TEXT(ROW()-4,"0000"))</f>
        <v>0</v>
      </c>
      <c r="D120" s="17">
        <f>IF(B120="","",TEXT(B120,"yyyy-mm"))</f>
        <v>0</v>
      </c>
      <c r="E120" s="23">
        <f>IF(B120="","",WEEKNUM(B120,IF(WeekStart="Sunday",1,2)))</f>
        <v>0</v>
      </c>
      <c r="F120" s="17">
        <f>IF(B120="","",TEXT(B120,"ddd"))</f>
        <v>0</v>
      </c>
      <c r="Q120" s="29">
        <f>IF(H120="","",IF(P120="","Add - no caption",IFERROR(INDEX('Caption Bank'!$R$5:$R$204,MATCH(P120,'Caption Bank'!$B$5:$B$204,0)),"Check - not in bank")))</f>
        <v>0</v>
      </c>
      <c r="S120" s="23">
        <f>IF(R120="","",COUNTIF('Hashtag Bank'!$D$5:$D$304,R120))</f>
        <v>0</v>
      </c>
      <c r="U120" s="29">
        <f>IF(H120="","",IF(T120="","Add - no asset",IFERROR(INDEX(Assets!$N$5:$N$254,MATCH(T120,Assets!$A$5:$A$254,0)),"Check - not in library")))</f>
        <v>0</v>
      </c>
      <c r="Y120" s="16">
        <f>IF(B120="","",B120-ProductionDays)</f>
        <v>0</v>
      </c>
      <c r="Z120" s="16">
        <f>IF(B120="","",B120-ApprovalDays)</f>
        <v>0</v>
      </c>
      <c r="AA120" s="23">
        <f>IF(B120="","",B120-TODAY())</f>
        <v>0</v>
      </c>
      <c r="AC120" s="29">
        <f>IF(H120="","",IF(X120="Published",IF(AB120="","Add - link missing","Yes"),"No"))</f>
        <v>0</v>
      </c>
      <c r="AD120" s="23">
        <f>IF(A120="","",IF(COUNTIF(Performance!$B$5:$B$404,A120)=0,"",SUMIFS(Performance!$O$5:$O$404,Performance!$B$5:$B$404,A120)))</f>
        <v>0</v>
      </c>
      <c r="AE120" s="23">
        <f>IF(AD120="","",SUMIFS(Performance!$Z$5:$Z$404,Performance!$B$5:$B$404,A120))</f>
        <v>0</v>
      </c>
      <c r="AF120" s="24">
        <f>IF(OR(AD120="",AD120=0),"",AE120/AD120)</f>
        <v>0</v>
      </c>
      <c r="AG120" s="23">
        <f>IF(AD120="","",SUMIFS(Performance!$U$5:$U$404,Performance!$B$5:$B$404,A120))</f>
        <v>0</v>
      </c>
      <c r="AH120" s="23">
        <f>IF(A120="","",COUNTIF(Repurposing!$B$5:$B$154,A120))</f>
        <v>0</v>
      </c>
      <c r="AI120" s="32">
        <f>IF(OR(H120="",B120=""),"",B120+ROW()/100000)</f>
        <v>0</v>
      </c>
      <c r="AJ120" s="32">
        <f>IF(OR(H120="",B120=""),"",IF(OR(X120="Published",X120="Cancelled",X120="Archived"),"",IF(B120&lt;TODAY(),"",B120+ROW()/100000)))</f>
        <v>0</v>
      </c>
      <c r="AK120" s="32">
        <f>IF(OR(H120="",B120=""),"",IF(OR(X120="Published",X120="Cancelled",X120="Archived"),"",IF(B120&gt;=TODAY(),"",B120+ROW()/100000)))</f>
        <v>0</v>
      </c>
      <c r="AL120" s="29">
        <f>IF(H120="","",IF(COUNTIFS('Content Calendar'!$H$5:$H$604,H120,'Content Calendar'!$G$5:$G$604,G120,'Content Calendar'!$B$5:$B$604,B120)&gt;1,"Duplicate","OK"))</f>
        <v>0</v>
      </c>
      <c r="AM120" s="29">
        <f>IF(H120="","",IF(AND(B120&lt;&gt;"",B120&lt;TODAY(),X120&lt;&gt;"Published",X120&lt;&gt;"Cancelled",X120&lt;&gt;"Archived"),"Overdue - date has passed",IF(AND(X120="Published",AB120=""),"Add - publish link missing",IF(AND(B120=TODAY(),X120&lt;&gt;"Published"),"Today - due to go live",IF(AND(Y120&lt;&gt;"",Y120&lt;TODAY(),OR(X120="Idea",X120="Brief",X120="In production")),"Late - draft not ready",IF(AND(AA120&gt;=0,AA120&lt;=3,OR(X120="Draft",X120="Awaiting review")),"Due - needs approval",IF(AND(H120&lt;&gt;"",P120=""),"Add - caption missing","OK")))))))</f>
        <v>0</v>
      </c>
    </row>
    <row r="121" spans="1:39">
      <c r="A121" s="41">
        <f>IF(H121="","",ContentPrefix&amp;TEXT(ROW()-4,"0000"))</f>
        <v>0</v>
      </c>
      <c r="D121" s="17">
        <f>IF(B121="","",TEXT(B121,"yyyy-mm"))</f>
        <v>0</v>
      </c>
      <c r="E121" s="23">
        <f>IF(B121="","",WEEKNUM(B121,IF(WeekStart="Sunday",1,2)))</f>
        <v>0</v>
      </c>
      <c r="F121" s="17">
        <f>IF(B121="","",TEXT(B121,"ddd"))</f>
        <v>0</v>
      </c>
      <c r="Q121" s="29">
        <f>IF(H121="","",IF(P121="","Add - no caption",IFERROR(INDEX('Caption Bank'!$R$5:$R$204,MATCH(P121,'Caption Bank'!$B$5:$B$204,0)),"Check - not in bank")))</f>
        <v>0</v>
      </c>
      <c r="S121" s="23">
        <f>IF(R121="","",COUNTIF('Hashtag Bank'!$D$5:$D$304,R121))</f>
        <v>0</v>
      </c>
      <c r="U121" s="29">
        <f>IF(H121="","",IF(T121="","Add - no asset",IFERROR(INDEX(Assets!$N$5:$N$254,MATCH(T121,Assets!$A$5:$A$254,0)),"Check - not in library")))</f>
        <v>0</v>
      </c>
      <c r="Y121" s="16">
        <f>IF(B121="","",B121-ProductionDays)</f>
        <v>0</v>
      </c>
      <c r="Z121" s="16">
        <f>IF(B121="","",B121-ApprovalDays)</f>
        <v>0</v>
      </c>
      <c r="AA121" s="23">
        <f>IF(B121="","",B121-TODAY())</f>
        <v>0</v>
      </c>
      <c r="AC121" s="29">
        <f>IF(H121="","",IF(X121="Published",IF(AB121="","Add - link missing","Yes"),"No"))</f>
        <v>0</v>
      </c>
      <c r="AD121" s="23">
        <f>IF(A121="","",IF(COUNTIF(Performance!$B$5:$B$404,A121)=0,"",SUMIFS(Performance!$O$5:$O$404,Performance!$B$5:$B$404,A121)))</f>
        <v>0</v>
      </c>
      <c r="AE121" s="23">
        <f>IF(AD121="","",SUMIFS(Performance!$Z$5:$Z$404,Performance!$B$5:$B$404,A121))</f>
        <v>0</v>
      </c>
      <c r="AF121" s="24">
        <f>IF(OR(AD121="",AD121=0),"",AE121/AD121)</f>
        <v>0</v>
      </c>
      <c r="AG121" s="23">
        <f>IF(AD121="","",SUMIFS(Performance!$U$5:$U$404,Performance!$B$5:$B$404,A121))</f>
        <v>0</v>
      </c>
      <c r="AH121" s="23">
        <f>IF(A121="","",COUNTIF(Repurposing!$B$5:$B$154,A121))</f>
        <v>0</v>
      </c>
      <c r="AI121" s="32">
        <f>IF(OR(H121="",B121=""),"",B121+ROW()/100000)</f>
        <v>0</v>
      </c>
      <c r="AJ121" s="32">
        <f>IF(OR(H121="",B121=""),"",IF(OR(X121="Published",X121="Cancelled",X121="Archived"),"",IF(B121&lt;TODAY(),"",B121+ROW()/100000)))</f>
        <v>0</v>
      </c>
      <c r="AK121" s="32">
        <f>IF(OR(H121="",B121=""),"",IF(OR(X121="Published",X121="Cancelled",X121="Archived"),"",IF(B121&gt;=TODAY(),"",B121+ROW()/100000)))</f>
        <v>0</v>
      </c>
      <c r="AL121" s="29">
        <f>IF(H121="","",IF(COUNTIFS('Content Calendar'!$H$5:$H$604,H121,'Content Calendar'!$G$5:$G$604,G121,'Content Calendar'!$B$5:$B$604,B121)&gt;1,"Duplicate","OK"))</f>
        <v>0</v>
      </c>
      <c r="AM121" s="29">
        <f>IF(H121="","",IF(AND(B121&lt;&gt;"",B121&lt;TODAY(),X121&lt;&gt;"Published",X121&lt;&gt;"Cancelled",X121&lt;&gt;"Archived"),"Overdue - date has passed",IF(AND(X121="Published",AB121=""),"Add - publish link missing",IF(AND(B121=TODAY(),X121&lt;&gt;"Published"),"Today - due to go live",IF(AND(Y121&lt;&gt;"",Y121&lt;TODAY(),OR(X121="Idea",X121="Brief",X121="In production")),"Late - draft not ready",IF(AND(AA121&gt;=0,AA121&lt;=3,OR(X121="Draft",X121="Awaiting review")),"Due - needs approval",IF(AND(H121&lt;&gt;"",P121=""),"Add - caption missing","OK")))))))</f>
        <v>0</v>
      </c>
    </row>
    <row r="122" spans="1:39">
      <c r="A122" s="41">
        <f>IF(H122="","",ContentPrefix&amp;TEXT(ROW()-4,"0000"))</f>
        <v>0</v>
      </c>
      <c r="D122" s="17">
        <f>IF(B122="","",TEXT(B122,"yyyy-mm"))</f>
        <v>0</v>
      </c>
      <c r="E122" s="23">
        <f>IF(B122="","",WEEKNUM(B122,IF(WeekStart="Sunday",1,2)))</f>
        <v>0</v>
      </c>
      <c r="F122" s="17">
        <f>IF(B122="","",TEXT(B122,"ddd"))</f>
        <v>0</v>
      </c>
      <c r="Q122" s="29">
        <f>IF(H122="","",IF(P122="","Add - no caption",IFERROR(INDEX('Caption Bank'!$R$5:$R$204,MATCH(P122,'Caption Bank'!$B$5:$B$204,0)),"Check - not in bank")))</f>
        <v>0</v>
      </c>
      <c r="S122" s="23">
        <f>IF(R122="","",COUNTIF('Hashtag Bank'!$D$5:$D$304,R122))</f>
        <v>0</v>
      </c>
      <c r="U122" s="29">
        <f>IF(H122="","",IF(T122="","Add - no asset",IFERROR(INDEX(Assets!$N$5:$N$254,MATCH(T122,Assets!$A$5:$A$254,0)),"Check - not in library")))</f>
        <v>0</v>
      </c>
      <c r="Y122" s="16">
        <f>IF(B122="","",B122-ProductionDays)</f>
        <v>0</v>
      </c>
      <c r="Z122" s="16">
        <f>IF(B122="","",B122-ApprovalDays)</f>
        <v>0</v>
      </c>
      <c r="AA122" s="23">
        <f>IF(B122="","",B122-TODAY())</f>
        <v>0</v>
      </c>
      <c r="AC122" s="29">
        <f>IF(H122="","",IF(X122="Published",IF(AB122="","Add - link missing","Yes"),"No"))</f>
        <v>0</v>
      </c>
      <c r="AD122" s="23">
        <f>IF(A122="","",IF(COUNTIF(Performance!$B$5:$B$404,A122)=0,"",SUMIFS(Performance!$O$5:$O$404,Performance!$B$5:$B$404,A122)))</f>
        <v>0</v>
      </c>
      <c r="AE122" s="23">
        <f>IF(AD122="","",SUMIFS(Performance!$Z$5:$Z$404,Performance!$B$5:$B$404,A122))</f>
        <v>0</v>
      </c>
      <c r="AF122" s="24">
        <f>IF(OR(AD122="",AD122=0),"",AE122/AD122)</f>
        <v>0</v>
      </c>
      <c r="AG122" s="23">
        <f>IF(AD122="","",SUMIFS(Performance!$U$5:$U$404,Performance!$B$5:$B$404,A122))</f>
        <v>0</v>
      </c>
      <c r="AH122" s="23">
        <f>IF(A122="","",COUNTIF(Repurposing!$B$5:$B$154,A122))</f>
        <v>0</v>
      </c>
      <c r="AI122" s="32">
        <f>IF(OR(H122="",B122=""),"",B122+ROW()/100000)</f>
        <v>0</v>
      </c>
      <c r="AJ122" s="32">
        <f>IF(OR(H122="",B122=""),"",IF(OR(X122="Published",X122="Cancelled",X122="Archived"),"",IF(B122&lt;TODAY(),"",B122+ROW()/100000)))</f>
        <v>0</v>
      </c>
      <c r="AK122" s="32">
        <f>IF(OR(H122="",B122=""),"",IF(OR(X122="Published",X122="Cancelled",X122="Archived"),"",IF(B122&gt;=TODAY(),"",B122+ROW()/100000)))</f>
        <v>0</v>
      </c>
      <c r="AL122" s="29">
        <f>IF(H122="","",IF(COUNTIFS('Content Calendar'!$H$5:$H$604,H122,'Content Calendar'!$G$5:$G$604,G122,'Content Calendar'!$B$5:$B$604,B122)&gt;1,"Duplicate","OK"))</f>
        <v>0</v>
      </c>
      <c r="AM122" s="29">
        <f>IF(H122="","",IF(AND(B122&lt;&gt;"",B122&lt;TODAY(),X122&lt;&gt;"Published",X122&lt;&gt;"Cancelled",X122&lt;&gt;"Archived"),"Overdue - date has passed",IF(AND(X122="Published",AB122=""),"Add - publish link missing",IF(AND(B122=TODAY(),X122&lt;&gt;"Published"),"Today - due to go live",IF(AND(Y122&lt;&gt;"",Y122&lt;TODAY(),OR(X122="Idea",X122="Brief",X122="In production")),"Late - draft not ready",IF(AND(AA122&gt;=0,AA122&lt;=3,OR(X122="Draft",X122="Awaiting review")),"Due - needs approval",IF(AND(H122&lt;&gt;"",P122=""),"Add - caption missing","OK")))))))</f>
        <v>0</v>
      </c>
    </row>
    <row r="123" spans="1:39">
      <c r="A123" s="41">
        <f>IF(H123="","",ContentPrefix&amp;TEXT(ROW()-4,"0000"))</f>
        <v>0</v>
      </c>
      <c r="D123" s="17">
        <f>IF(B123="","",TEXT(B123,"yyyy-mm"))</f>
        <v>0</v>
      </c>
      <c r="E123" s="23">
        <f>IF(B123="","",WEEKNUM(B123,IF(WeekStart="Sunday",1,2)))</f>
        <v>0</v>
      </c>
      <c r="F123" s="17">
        <f>IF(B123="","",TEXT(B123,"ddd"))</f>
        <v>0</v>
      </c>
      <c r="Q123" s="29">
        <f>IF(H123="","",IF(P123="","Add - no caption",IFERROR(INDEX('Caption Bank'!$R$5:$R$204,MATCH(P123,'Caption Bank'!$B$5:$B$204,0)),"Check - not in bank")))</f>
        <v>0</v>
      </c>
      <c r="S123" s="23">
        <f>IF(R123="","",COUNTIF('Hashtag Bank'!$D$5:$D$304,R123))</f>
        <v>0</v>
      </c>
      <c r="U123" s="29">
        <f>IF(H123="","",IF(T123="","Add - no asset",IFERROR(INDEX(Assets!$N$5:$N$254,MATCH(T123,Assets!$A$5:$A$254,0)),"Check - not in library")))</f>
        <v>0</v>
      </c>
      <c r="Y123" s="16">
        <f>IF(B123="","",B123-ProductionDays)</f>
        <v>0</v>
      </c>
      <c r="Z123" s="16">
        <f>IF(B123="","",B123-ApprovalDays)</f>
        <v>0</v>
      </c>
      <c r="AA123" s="23">
        <f>IF(B123="","",B123-TODAY())</f>
        <v>0</v>
      </c>
      <c r="AC123" s="29">
        <f>IF(H123="","",IF(X123="Published",IF(AB123="","Add - link missing","Yes"),"No"))</f>
        <v>0</v>
      </c>
      <c r="AD123" s="23">
        <f>IF(A123="","",IF(COUNTIF(Performance!$B$5:$B$404,A123)=0,"",SUMIFS(Performance!$O$5:$O$404,Performance!$B$5:$B$404,A123)))</f>
        <v>0</v>
      </c>
      <c r="AE123" s="23">
        <f>IF(AD123="","",SUMIFS(Performance!$Z$5:$Z$404,Performance!$B$5:$B$404,A123))</f>
        <v>0</v>
      </c>
      <c r="AF123" s="24">
        <f>IF(OR(AD123="",AD123=0),"",AE123/AD123)</f>
        <v>0</v>
      </c>
      <c r="AG123" s="23">
        <f>IF(AD123="","",SUMIFS(Performance!$U$5:$U$404,Performance!$B$5:$B$404,A123))</f>
        <v>0</v>
      </c>
      <c r="AH123" s="23">
        <f>IF(A123="","",COUNTIF(Repurposing!$B$5:$B$154,A123))</f>
        <v>0</v>
      </c>
      <c r="AI123" s="32">
        <f>IF(OR(H123="",B123=""),"",B123+ROW()/100000)</f>
        <v>0</v>
      </c>
      <c r="AJ123" s="32">
        <f>IF(OR(H123="",B123=""),"",IF(OR(X123="Published",X123="Cancelled",X123="Archived"),"",IF(B123&lt;TODAY(),"",B123+ROW()/100000)))</f>
        <v>0</v>
      </c>
      <c r="AK123" s="32">
        <f>IF(OR(H123="",B123=""),"",IF(OR(X123="Published",X123="Cancelled",X123="Archived"),"",IF(B123&gt;=TODAY(),"",B123+ROW()/100000)))</f>
        <v>0</v>
      </c>
      <c r="AL123" s="29">
        <f>IF(H123="","",IF(COUNTIFS('Content Calendar'!$H$5:$H$604,H123,'Content Calendar'!$G$5:$G$604,G123,'Content Calendar'!$B$5:$B$604,B123)&gt;1,"Duplicate","OK"))</f>
        <v>0</v>
      </c>
      <c r="AM123" s="29">
        <f>IF(H123="","",IF(AND(B123&lt;&gt;"",B123&lt;TODAY(),X123&lt;&gt;"Published",X123&lt;&gt;"Cancelled",X123&lt;&gt;"Archived"),"Overdue - date has passed",IF(AND(X123="Published",AB123=""),"Add - publish link missing",IF(AND(B123=TODAY(),X123&lt;&gt;"Published"),"Today - due to go live",IF(AND(Y123&lt;&gt;"",Y123&lt;TODAY(),OR(X123="Idea",X123="Brief",X123="In production")),"Late - draft not ready",IF(AND(AA123&gt;=0,AA123&lt;=3,OR(X123="Draft",X123="Awaiting review")),"Due - needs approval",IF(AND(H123&lt;&gt;"",P123=""),"Add - caption missing","OK")))))))</f>
        <v>0</v>
      </c>
    </row>
    <row r="124" spans="1:39">
      <c r="A124" s="41">
        <f>IF(H124="","",ContentPrefix&amp;TEXT(ROW()-4,"0000"))</f>
        <v>0</v>
      </c>
      <c r="D124" s="17">
        <f>IF(B124="","",TEXT(B124,"yyyy-mm"))</f>
        <v>0</v>
      </c>
      <c r="E124" s="23">
        <f>IF(B124="","",WEEKNUM(B124,IF(WeekStart="Sunday",1,2)))</f>
        <v>0</v>
      </c>
      <c r="F124" s="17">
        <f>IF(B124="","",TEXT(B124,"ddd"))</f>
        <v>0</v>
      </c>
      <c r="Q124" s="29">
        <f>IF(H124="","",IF(P124="","Add - no caption",IFERROR(INDEX('Caption Bank'!$R$5:$R$204,MATCH(P124,'Caption Bank'!$B$5:$B$204,0)),"Check - not in bank")))</f>
        <v>0</v>
      </c>
      <c r="S124" s="23">
        <f>IF(R124="","",COUNTIF('Hashtag Bank'!$D$5:$D$304,R124))</f>
        <v>0</v>
      </c>
      <c r="U124" s="29">
        <f>IF(H124="","",IF(T124="","Add - no asset",IFERROR(INDEX(Assets!$N$5:$N$254,MATCH(T124,Assets!$A$5:$A$254,0)),"Check - not in library")))</f>
        <v>0</v>
      </c>
      <c r="Y124" s="16">
        <f>IF(B124="","",B124-ProductionDays)</f>
        <v>0</v>
      </c>
      <c r="Z124" s="16">
        <f>IF(B124="","",B124-ApprovalDays)</f>
        <v>0</v>
      </c>
      <c r="AA124" s="23">
        <f>IF(B124="","",B124-TODAY())</f>
        <v>0</v>
      </c>
      <c r="AC124" s="29">
        <f>IF(H124="","",IF(X124="Published",IF(AB124="","Add - link missing","Yes"),"No"))</f>
        <v>0</v>
      </c>
      <c r="AD124" s="23">
        <f>IF(A124="","",IF(COUNTIF(Performance!$B$5:$B$404,A124)=0,"",SUMIFS(Performance!$O$5:$O$404,Performance!$B$5:$B$404,A124)))</f>
        <v>0</v>
      </c>
      <c r="AE124" s="23">
        <f>IF(AD124="","",SUMIFS(Performance!$Z$5:$Z$404,Performance!$B$5:$B$404,A124))</f>
        <v>0</v>
      </c>
      <c r="AF124" s="24">
        <f>IF(OR(AD124="",AD124=0),"",AE124/AD124)</f>
        <v>0</v>
      </c>
      <c r="AG124" s="23">
        <f>IF(AD124="","",SUMIFS(Performance!$U$5:$U$404,Performance!$B$5:$B$404,A124))</f>
        <v>0</v>
      </c>
      <c r="AH124" s="23">
        <f>IF(A124="","",COUNTIF(Repurposing!$B$5:$B$154,A124))</f>
        <v>0</v>
      </c>
      <c r="AI124" s="32">
        <f>IF(OR(H124="",B124=""),"",B124+ROW()/100000)</f>
        <v>0</v>
      </c>
      <c r="AJ124" s="32">
        <f>IF(OR(H124="",B124=""),"",IF(OR(X124="Published",X124="Cancelled",X124="Archived"),"",IF(B124&lt;TODAY(),"",B124+ROW()/100000)))</f>
        <v>0</v>
      </c>
      <c r="AK124" s="32">
        <f>IF(OR(H124="",B124=""),"",IF(OR(X124="Published",X124="Cancelled",X124="Archived"),"",IF(B124&gt;=TODAY(),"",B124+ROW()/100000)))</f>
        <v>0</v>
      </c>
      <c r="AL124" s="29">
        <f>IF(H124="","",IF(COUNTIFS('Content Calendar'!$H$5:$H$604,H124,'Content Calendar'!$G$5:$G$604,G124,'Content Calendar'!$B$5:$B$604,B124)&gt;1,"Duplicate","OK"))</f>
        <v>0</v>
      </c>
      <c r="AM124" s="29">
        <f>IF(H124="","",IF(AND(B124&lt;&gt;"",B124&lt;TODAY(),X124&lt;&gt;"Published",X124&lt;&gt;"Cancelled",X124&lt;&gt;"Archived"),"Overdue - date has passed",IF(AND(X124="Published",AB124=""),"Add - publish link missing",IF(AND(B124=TODAY(),X124&lt;&gt;"Published"),"Today - due to go live",IF(AND(Y124&lt;&gt;"",Y124&lt;TODAY(),OR(X124="Idea",X124="Brief",X124="In production")),"Late - draft not ready",IF(AND(AA124&gt;=0,AA124&lt;=3,OR(X124="Draft",X124="Awaiting review")),"Due - needs approval",IF(AND(H124&lt;&gt;"",P124=""),"Add - caption missing","OK")))))))</f>
        <v>0</v>
      </c>
    </row>
    <row r="125" spans="1:39">
      <c r="A125" s="41">
        <f>IF(H125="","",ContentPrefix&amp;TEXT(ROW()-4,"0000"))</f>
        <v>0</v>
      </c>
      <c r="D125" s="17">
        <f>IF(B125="","",TEXT(B125,"yyyy-mm"))</f>
        <v>0</v>
      </c>
      <c r="E125" s="23">
        <f>IF(B125="","",WEEKNUM(B125,IF(WeekStart="Sunday",1,2)))</f>
        <v>0</v>
      </c>
      <c r="F125" s="17">
        <f>IF(B125="","",TEXT(B125,"ddd"))</f>
        <v>0</v>
      </c>
      <c r="Q125" s="29">
        <f>IF(H125="","",IF(P125="","Add - no caption",IFERROR(INDEX('Caption Bank'!$R$5:$R$204,MATCH(P125,'Caption Bank'!$B$5:$B$204,0)),"Check - not in bank")))</f>
        <v>0</v>
      </c>
      <c r="S125" s="23">
        <f>IF(R125="","",COUNTIF('Hashtag Bank'!$D$5:$D$304,R125))</f>
        <v>0</v>
      </c>
      <c r="U125" s="29">
        <f>IF(H125="","",IF(T125="","Add - no asset",IFERROR(INDEX(Assets!$N$5:$N$254,MATCH(T125,Assets!$A$5:$A$254,0)),"Check - not in library")))</f>
        <v>0</v>
      </c>
      <c r="Y125" s="16">
        <f>IF(B125="","",B125-ProductionDays)</f>
        <v>0</v>
      </c>
      <c r="Z125" s="16">
        <f>IF(B125="","",B125-ApprovalDays)</f>
        <v>0</v>
      </c>
      <c r="AA125" s="23">
        <f>IF(B125="","",B125-TODAY())</f>
        <v>0</v>
      </c>
      <c r="AC125" s="29">
        <f>IF(H125="","",IF(X125="Published",IF(AB125="","Add - link missing","Yes"),"No"))</f>
        <v>0</v>
      </c>
      <c r="AD125" s="23">
        <f>IF(A125="","",IF(COUNTIF(Performance!$B$5:$B$404,A125)=0,"",SUMIFS(Performance!$O$5:$O$404,Performance!$B$5:$B$404,A125)))</f>
        <v>0</v>
      </c>
      <c r="AE125" s="23">
        <f>IF(AD125="","",SUMIFS(Performance!$Z$5:$Z$404,Performance!$B$5:$B$404,A125))</f>
        <v>0</v>
      </c>
      <c r="AF125" s="24">
        <f>IF(OR(AD125="",AD125=0),"",AE125/AD125)</f>
        <v>0</v>
      </c>
      <c r="AG125" s="23">
        <f>IF(AD125="","",SUMIFS(Performance!$U$5:$U$404,Performance!$B$5:$B$404,A125))</f>
        <v>0</v>
      </c>
      <c r="AH125" s="23">
        <f>IF(A125="","",COUNTIF(Repurposing!$B$5:$B$154,A125))</f>
        <v>0</v>
      </c>
      <c r="AI125" s="32">
        <f>IF(OR(H125="",B125=""),"",B125+ROW()/100000)</f>
        <v>0</v>
      </c>
      <c r="AJ125" s="32">
        <f>IF(OR(H125="",B125=""),"",IF(OR(X125="Published",X125="Cancelled",X125="Archived"),"",IF(B125&lt;TODAY(),"",B125+ROW()/100000)))</f>
        <v>0</v>
      </c>
      <c r="AK125" s="32">
        <f>IF(OR(H125="",B125=""),"",IF(OR(X125="Published",X125="Cancelled",X125="Archived"),"",IF(B125&gt;=TODAY(),"",B125+ROW()/100000)))</f>
        <v>0</v>
      </c>
      <c r="AL125" s="29">
        <f>IF(H125="","",IF(COUNTIFS('Content Calendar'!$H$5:$H$604,H125,'Content Calendar'!$G$5:$G$604,G125,'Content Calendar'!$B$5:$B$604,B125)&gt;1,"Duplicate","OK"))</f>
        <v>0</v>
      </c>
      <c r="AM125" s="29">
        <f>IF(H125="","",IF(AND(B125&lt;&gt;"",B125&lt;TODAY(),X125&lt;&gt;"Published",X125&lt;&gt;"Cancelled",X125&lt;&gt;"Archived"),"Overdue - date has passed",IF(AND(X125="Published",AB125=""),"Add - publish link missing",IF(AND(B125=TODAY(),X125&lt;&gt;"Published"),"Today - due to go live",IF(AND(Y125&lt;&gt;"",Y125&lt;TODAY(),OR(X125="Idea",X125="Brief",X125="In production")),"Late - draft not ready",IF(AND(AA125&gt;=0,AA125&lt;=3,OR(X125="Draft",X125="Awaiting review")),"Due - needs approval",IF(AND(H125&lt;&gt;"",P125=""),"Add - caption missing","OK")))))))</f>
        <v>0</v>
      </c>
    </row>
    <row r="126" spans="1:39">
      <c r="A126" s="41">
        <f>IF(H126="","",ContentPrefix&amp;TEXT(ROW()-4,"0000"))</f>
        <v>0</v>
      </c>
      <c r="D126" s="17">
        <f>IF(B126="","",TEXT(B126,"yyyy-mm"))</f>
        <v>0</v>
      </c>
      <c r="E126" s="23">
        <f>IF(B126="","",WEEKNUM(B126,IF(WeekStart="Sunday",1,2)))</f>
        <v>0</v>
      </c>
      <c r="F126" s="17">
        <f>IF(B126="","",TEXT(B126,"ddd"))</f>
        <v>0</v>
      </c>
      <c r="Q126" s="29">
        <f>IF(H126="","",IF(P126="","Add - no caption",IFERROR(INDEX('Caption Bank'!$R$5:$R$204,MATCH(P126,'Caption Bank'!$B$5:$B$204,0)),"Check - not in bank")))</f>
        <v>0</v>
      </c>
      <c r="S126" s="23">
        <f>IF(R126="","",COUNTIF('Hashtag Bank'!$D$5:$D$304,R126))</f>
        <v>0</v>
      </c>
      <c r="U126" s="29">
        <f>IF(H126="","",IF(T126="","Add - no asset",IFERROR(INDEX(Assets!$N$5:$N$254,MATCH(T126,Assets!$A$5:$A$254,0)),"Check - not in library")))</f>
        <v>0</v>
      </c>
      <c r="Y126" s="16">
        <f>IF(B126="","",B126-ProductionDays)</f>
        <v>0</v>
      </c>
      <c r="Z126" s="16">
        <f>IF(B126="","",B126-ApprovalDays)</f>
        <v>0</v>
      </c>
      <c r="AA126" s="23">
        <f>IF(B126="","",B126-TODAY())</f>
        <v>0</v>
      </c>
      <c r="AC126" s="29">
        <f>IF(H126="","",IF(X126="Published",IF(AB126="","Add - link missing","Yes"),"No"))</f>
        <v>0</v>
      </c>
      <c r="AD126" s="23">
        <f>IF(A126="","",IF(COUNTIF(Performance!$B$5:$B$404,A126)=0,"",SUMIFS(Performance!$O$5:$O$404,Performance!$B$5:$B$404,A126)))</f>
        <v>0</v>
      </c>
      <c r="AE126" s="23">
        <f>IF(AD126="","",SUMIFS(Performance!$Z$5:$Z$404,Performance!$B$5:$B$404,A126))</f>
        <v>0</v>
      </c>
      <c r="AF126" s="24">
        <f>IF(OR(AD126="",AD126=0),"",AE126/AD126)</f>
        <v>0</v>
      </c>
      <c r="AG126" s="23">
        <f>IF(AD126="","",SUMIFS(Performance!$U$5:$U$404,Performance!$B$5:$B$404,A126))</f>
        <v>0</v>
      </c>
      <c r="AH126" s="23">
        <f>IF(A126="","",COUNTIF(Repurposing!$B$5:$B$154,A126))</f>
        <v>0</v>
      </c>
      <c r="AI126" s="32">
        <f>IF(OR(H126="",B126=""),"",B126+ROW()/100000)</f>
        <v>0</v>
      </c>
      <c r="AJ126" s="32">
        <f>IF(OR(H126="",B126=""),"",IF(OR(X126="Published",X126="Cancelled",X126="Archived"),"",IF(B126&lt;TODAY(),"",B126+ROW()/100000)))</f>
        <v>0</v>
      </c>
      <c r="AK126" s="32">
        <f>IF(OR(H126="",B126=""),"",IF(OR(X126="Published",X126="Cancelled",X126="Archived"),"",IF(B126&gt;=TODAY(),"",B126+ROW()/100000)))</f>
        <v>0</v>
      </c>
      <c r="AL126" s="29">
        <f>IF(H126="","",IF(COUNTIFS('Content Calendar'!$H$5:$H$604,H126,'Content Calendar'!$G$5:$G$604,G126,'Content Calendar'!$B$5:$B$604,B126)&gt;1,"Duplicate","OK"))</f>
        <v>0</v>
      </c>
      <c r="AM126" s="29">
        <f>IF(H126="","",IF(AND(B126&lt;&gt;"",B126&lt;TODAY(),X126&lt;&gt;"Published",X126&lt;&gt;"Cancelled",X126&lt;&gt;"Archived"),"Overdue - date has passed",IF(AND(X126="Published",AB126=""),"Add - publish link missing",IF(AND(B126=TODAY(),X126&lt;&gt;"Published"),"Today - due to go live",IF(AND(Y126&lt;&gt;"",Y126&lt;TODAY(),OR(X126="Idea",X126="Brief",X126="In production")),"Late - draft not ready",IF(AND(AA126&gt;=0,AA126&lt;=3,OR(X126="Draft",X126="Awaiting review")),"Due - needs approval",IF(AND(H126&lt;&gt;"",P126=""),"Add - caption missing","OK")))))))</f>
        <v>0</v>
      </c>
    </row>
    <row r="127" spans="1:39">
      <c r="A127" s="41">
        <f>IF(H127="","",ContentPrefix&amp;TEXT(ROW()-4,"0000"))</f>
        <v>0</v>
      </c>
      <c r="D127" s="17">
        <f>IF(B127="","",TEXT(B127,"yyyy-mm"))</f>
        <v>0</v>
      </c>
      <c r="E127" s="23">
        <f>IF(B127="","",WEEKNUM(B127,IF(WeekStart="Sunday",1,2)))</f>
        <v>0</v>
      </c>
      <c r="F127" s="17">
        <f>IF(B127="","",TEXT(B127,"ddd"))</f>
        <v>0</v>
      </c>
      <c r="Q127" s="29">
        <f>IF(H127="","",IF(P127="","Add - no caption",IFERROR(INDEX('Caption Bank'!$R$5:$R$204,MATCH(P127,'Caption Bank'!$B$5:$B$204,0)),"Check - not in bank")))</f>
        <v>0</v>
      </c>
      <c r="S127" s="23">
        <f>IF(R127="","",COUNTIF('Hashtag Bank'!$D$5:$D$304,R127))</f>
        <v>0</v>
      </c>
      <c r="U127" s="29">
        <f>IF(H127="","",IF(T127="","Add - no asset",IFERROR(INDEX(Assets!$N$5:$N$254,MATCH(T127,Assets!$A$5:$A$254,0)),"Check - not in library")))</f>
        <v>0</v>
      </c>
      <c r="Y127" s="16">
        <f>IF(B127="","",B127-ProductionDays)</f>
        <v>0</v>
      </c>
      <c r="Z127" s="16">
        <f>IF(B127="","",B127-ApprovalDays)</f>
        <v>0</v>
      </c>
      <c r="AA127" s="23">
        <f>IF(B127="","",B127-TODAY())</f>
        <v>0</v>
      </c>
      <c r="AC127" s="29">
        <f>IF(H127="","",IF(X127="Published",IF(AB127="","Add - link missing","Yes"),"No"))</f>
        <v>0</v>
      </c>
      <c r="AD127" s="23">
        <f>IF(A127="","",IF(COUNTIF(Performance!$B$5:$B$404,A127)=0,"",SUMIFS(Performance!$O$5:$O$404,Performance!$B$5:$B$404,A127)))</f>
        <v>0</v>
      </c>
      <c r="AE127" s="23">
        <f>IF(AD127="","",SUMIFS(Performance!$Z$5:$Z$404,Performance!$B$5:$B$404,A127))</f>
        <v>0</v>
      </c>
      <c r="AF127" s="24">
        <f>IF(OR(AD127="",AD127=0),"",AE127/AD127)</f>
        <v>0</v>
      </c>
      <c r="AG127" s="23">
        <f>IF(AD127="","",SUMIFS(Performance!$U$5:$U$404,Performance!$B$5:$B$404,A127))</f>
        <v>0</v>
      </c>
      <c r="AH127" s="23">
        <f>IF(A127="","",COUNTIF(Repurposing!$B$5:$B$154,A127))</f>
        <v>0</v>
      </c>
      <c r="AI127" s="32">
        <f>IF(OR(H127="",B127=""),"",B127+ROW()/100000)</f>
        <v>0</v>
      </c>
      <c r="AJ127" s="32">
        <f>IF(OR(H127="",B127=""),"",IF(OR(X127="Published",X127="Cancelled",X127="Archived"),"",IF(B127&lt;TODAY(),"",B127+ROW()/100000)))</f>
        <v>0</v>
      </c>
      <c r="AK127" s="32">
        <f>IF(OR(H127="",B127=""),"",IF(OR(X127="Published",X127="Cancelled",X127="Archived"),"",IF(B127&gt;=TODAY(),"",B127+ROW()/100000)))</f>
        <v>0</v>
      </c>
      <c r="AL127" s="29">
        <f>IF(H127="","",IF(COUNTIFS('Content Calendar'!$H$5:$H$604,H127,'Content Calendar'!$G$5:$G$604,G127,'Content Calendar'!$B$5:$B$604,B127)&gt;1,"Duplicate","OK"))</f>
        <v>0</v>
      </c>
      <c r="AM127" s="29">
        <f>IF(H127="","",IF(AND(B127&lt;&gt;"",B127&lt;TODAY(),X127&lt;&gt;"Published",X127&lt;&gt;"Cancelled",X127&lt;&gt;"Archived"),"Overdue - date has passed",IF(AND(X127="Published",AB127=""),"Add - publish link missing",IF(AND(B127=TODAY(),X127&lt;&gt;"Published"),"Today - due to go live",IF(AND(Y127&lt;&gt;"",Y127&lt;TODAY(),OR(X127="Idea",X127="Brief",X127="In production")),"Late - draft not ready",IF(AND(AA127&gt;=0,AA127&lt;=3,OR(X127="Draft",X127="Awaiting review")),"Due - needs approval",IF(AND(H127&lt;&gt;"",P127=""),"Add - caption missing","OK")))))))</f>
        <v>0</v>
      </c>
    </row>
    <row r="128" spans="1:39">
      <c r="A128" s="41">
        <f>IF(H128="","",ContentPrefix&amp;TEXT(ROW()-4,"0000"))</f>
        <v>0</v>
      </c>
      <c r="D128" s="17">
        <f>IF(B128="","",TEXT(B128,"yyyy-mm"))</f>
        <v>0</v>
      </c>
      <c r="E128" s="23">
        <f>IF(B128="","",WEEKNUM(B128,IF(WeekStart="Sunday",1,2)))</f>
        <v>0</v>
      </c>
      <c r="F128" s="17">
        <f>IF(B128="","",TEXT(B128,"ddd"))</f>
        <v>0</v>
      </c>
      <c r="Q128" s="29">
        <f>IF(H128="","",IF(P128="","Add - no caption",IFERROR(INDEX('Caption Bank'!$R$5:$R$204,MATCH(P128,'Caption Bank'!$B$5:$B$204,0)),"Check - not in bank")))</f>
        <v>0</v>
      </c>
      <c r="S128" s="23">
        <f>IF(R128="","",COUNTIF('Hashtag Bank'!$D$5:$D$304,R128))</f>
        <v>0</v>
      </c>
      <c r="U128" s="29">
        <f>IF(H128="","",IF(T128="","Add - no asset",IFERROR(INDEX(Assets!$N$5:$N$254,MATCH(T128,Assets!$A$5:$A$254,0)),"Check - not in library")))</f>
        <v>0</v>
      </c>
      <c r="Y128" s="16">
        <f>IF(B128="","",B128-ProductionDays)</f>
        <v>0</v>
      </c>
      <c r="Z128" s="16">
        <f>IF(B128="","",B128-ApprovalDays)</f>
        <v>0</v>
      </c>
      <c r="AA128" s="23">
        <f>IF(B128="","",B128-TODAY())</f>
        <v>0</v>
      </c>
      <c r="AC128" s="29">
        <f>IF(H128="","",IF(X128="Published",IF(AB128="","Add - link missing","Yes"),"No"))</f>
        <v>0</v>
      </c>
      <c r="AD128" s="23">
        <f>IF(A128="","",IF(COUNTIF(Performance!$B$5:$B$404,A128)=0,"",SUMIFS(Performance!$O$5:$O$404,Performance!$B$5:$B$404,A128)))</f>
        <v>0</v>
      </c>
      <c r="AE128" s="23">
        <f>IF(AD128="","",SUMIFS(Performance!$Z$5:$Z$404,Performance!$B$5:$B$404,A128))</f>
        <v>0</v>
      </c>
      <c r="AF128" s="24">
        <f>IF(OR(AD128="",AD128=0),"",AE128/AD128)</f>
        <v>0</v>
      </c>
      <c r="AG128" s="23">
        <f>IF(AD128="","",SUMIFS(Performance!$U$5:$U$404,Performance!$B$5:$B$404,A128))</f>
        <v>0</v>
      </c>
      <c r="AH128" s="23">
        <f>IF(A128="","",COUNTIF(Repurposing!$B$5:$B$154,A128))</f>
        <v>0</v>
      </c>
      <c r="AI128" s="32">
        <f>IF(OR(H128="",B128=""),"",B128+ROW()/100000)</f>
        <v>0</v>
      </c>
      <c r="AJ128" s="32">
        <f>IF(OR(H128="",B128=""),"",IF(OR(X128="Published",X128="Cancelled",X128="Archived"),"",IF(B128&lt;TODAY(),"",B128+ROW()/100000)))</f>
        <v>0</v>
      </c>
      <c r="AK128" s="32">
        <f>IF(OR(H128="",B128=""),"",IF(OR(X128="Published",X128="Cancelled",X128="Archived"),"",IF(B128&gt;=TODAY(),"",B128+ROW()/100000)))</f>
        <v>0</v>
      </c>
      <c r="AL128" s="29">
        <f>IF(H128="","",IF(COUNTIFS('Content Calendar'!$H$5:$H$604,H128,'Content Calendar'!$G$5:$G$604,G128,'Content Calendar'!$B$5:$B$604,B128)&gt;1,"Duplicate","OK"))</f>
        <v>0</v>
      </c>
      <c r="AM128" s="29">
        <f>IF(H128="","",IF(AND(B128&lt;&gt;"",B128&lt;TODAY(),X128&lt;&gt;"Published",X128&lt;&gt;"Cancelled",X128&lt;&gt;"Archived"),"Overdue - date has passed",IF(AND(X128="Published",AB128=""),"Add - publish link missing",IF(AND(B128=TODAY(),X128&lt;&gt;"Published"),"Today - due to go live",IF(AND(Y128&lt;&gt;"",Y128&lt;TODAY(),OR(X128="Idea",X128="Brief",X128="In production")),"Late - draft not ready",IF(AND(AA128&gt;=0,AA128&lt;=3,OR(X128="Draft",X128="Awaiting review")),"Due - needs approval",IF(AND(H128&lt;&gt;"",P128=""),"Add - caption missing","OK")))))))</f>
        <v>0</v>
      </c>
    </row>
    <row r="129" spans="1:39">
      <c r="A129" s="41">
        <f>IF(H129="","",ContentPrefix&amp;TEXT(ROW()-4,"0000"))</f>
        <v>0</v>
      </c>
      <c r="D129" s="17">
        <f>IF(B129="","",TEXT(B129,"yyyy-mm"))</f>
        <v>0</v>
      </c>
      <c r="E129" s="23">
        <f>IF(B129="","",WEEKNUM(B129,IF(WeekStart="Sunday",1,2)))</f>
        <v>0</v>
      </c>
      <c r="F129" s="17">
        <f>IF(B129="","",TEXT(B129,"ddd"))</f>
        <v>0</v>
      </c>
      <c r="Q129" s="29">
        <f>IF(H129="","",IF(P129="","Add - no caption",IFERROR(INDEX('Caption Bank'!$R$5:$R$204,MATCH(P129,'Caption Bank'!$B$5:$B$204,0)),"Check - not in bank")))</f>
        <v>0</v>
      </c>
      <c r="S129" s="23">
        <f>IF(R129="","",COUNTIF('Hashtag Bank'!$D$5:$D$304,R129))</f>
        <v>0</v>
      </c>
      <c r="U129" s="29">
        <f>IF(H129="","",IF(T129="","Add - no asset",IFERROR(INDEX(Assets!$N$5:$N$254,MATCH(T129,Assets!$A$5:$A$254,0)),"Check - not in library")))</f>
        <v>0</v>
      </c>
      <c r="Y129" s="16">
        <f>IF(B129="","",B129-ProductionDays)</f>
        <v>0</v>
      </c>
      <c r="Z129" s="16">
        <f>IF(B129="","",B129-ApprovalDays)</f>
        <v>0</v>
      </c>
      <c r="AA129" s="23">
        <f>IF(B129="","",B129-TODAY())</f>
        <v>0</v>
      </c>
      <c r="AC129" s="29">
        <f>IF(H129="","",IF(X129="Published",IF(AB129="","Add - link missing","Yes"),"No"))</f>
        <v>0</v>
      </c>
      <c r="AD129" s="23">
        <f>IF(A129="","",IF(COUNTIF(Performance!$B$5:$B$404,A129)=0,"",SUMIFS(Performance!$O$5:$O$404,Performance!$B$5:$B$404,A129)))</f>
        <v>0</v>
      </c>
      <c r="AE129" s="23">
        <f>IF(AD129="","",SUMIFS(Performance!$Z$5:$Z$404,Performance!$B$5:$B$404,A129))</f>
        <v>0</v>
      </c>
      <c r="AF129" s="24">
        <f>IF(OR(AD129="",AD129=0),"",AE129/AD129)</f>
        <v>0</v>
      </c>
      <c r="AG129" s="23">
        <f>IF(AD129="","",SUMIFS(Performance!$U$5:$U$404,Performance!$B$5:$B$404,A129))</f>
        <v>0</v>
      </c>
      <c r="AH129" s="23">
        <f>IF(A129="","",COUNTIF(Repurposing!$B$5:$B$154,A129))</f>
        <v>0</v>
      </c>
      <c r="AI129" s="32">
        <f>IF(OR(H129="",B129=""),"",B129+ROW()/100000)</f>
        <v>0</v>
      </c>
      <c r="AJ129" s="32">
        <f>IF(OR(H129="",B129=""),"",IF(OR(X129="Published",X129="Cancelled",X129="Archived"),"",IF(B129&lt;TODAY(),"",B129+ROW()/100000)))</f>
        <v>0</v>
      </c>
      <c r="AK129" s="32">
        <f>IF(OR(H129="",B129=""),"",IF(OR(X129="Published",X129="Cancelled",X129="Archived"),"",IF(B129&gt;=TODAY(),"",B129+ROW()/100000)))</f>
        <v>0</v>
      </c>
      <c r="AL129" s="29">
        <f>IF(H129="","",IF(COUNTIFS('Content Calendar'!$H$5:$H$604,H129,'Content Calendar'!$G$5:$G$604,G129,'Content Calendar'!$B$5:$B$604,B129)&gt;1,"Duplicate","OK"))</f>
        <v>0</v>
      </c>
      <c r="AM129" s="29">
        <f>IF(H129="","",IF(AND(B129&lt;&gt;"",B129&lt;TODAY(),X129&lt;&gt;"Published",X129&lt;&gt;"Cancelled",X129&lt;&gt;"Archived"),"Overdue - date has passed",IF(AND(X129="Published",AB129=""),"Add - publish link missing",IF(AND(B129=TODAY(),X129&lt;&gt;"Published"),"Today - due to go live",IF(AND(Y129&lt;&gt;"",Y129&lt;TODAY(),OR(X129="Idea",X129="Brief",X129="In production")),"Late - draft not ready",IF(AND(AA129&gt;=0,AA129&lt;=3,OR(X129="Draft",X129="Awaiting review")),"Due - needs approval",IF(AND(H129&lt;&gt;"",P129=""),"Add - caption missing","OK")))))))</f>
        <v>0</v>
      </c>
    </row>
    <row r="130" spans="1:39">
      <c r="A130" s="41">
        <f>IF(H130="","",ContentPrefix&amp;TEXT(ROW()-4,"0000"))</f>
        <v>0</v>
      </c>
      <c r="D130" s="17">
        <f>IF(B130="","",TEXT(B130,"yyyy-mm"))</f>
        <v>0</v>
      </c>
      <c r="E130" s="23">
        <f>IF(B130="","",WEEKNUM(B130,IF(WeekStart="Sunday",1,2)))</f>
        <v>0</v>
      </c>
      <c r="F130" s="17">
        <f>IF(B130="","",TEXT(B130,"ddd"))</f>
        <v>0</v>
      </c>
      <c r="Q130" s="29">
        <f>IF(H130="","",IF(P130="","Add - no caption",IFERROR(INDEX('Caption Bank'!$R$5:$R$204,MATCH(P130,'Caption Bank'!$B$5:$B$204,0)),"Check - not in bank")))</f>
        <v>0</v>
      </c>
      <c r="S130" s="23">
        <f>IF(R130="","",COUNTIF('Hashtag Bank'!$D$5:$D$304,R130))</f>
        <v>0</v>
      </c>
      <c r="U130" s="29">
        <f>IF(H130="","",IF(T130="","Add - no asset",IFERROR(INDEX(Assets!$N$5:$N$254,MATCH(T130,Assets!$A$5:$A$254,0)),"Check - not in library")))</f>
        <v>0</v>
      </c>
      <c r="Y130" s="16">
        <f>IF(B130="","",B130-ProductionDays)</f>
        <v>0</v>
      </c>
      <c r="Z130" s="16">
        <f>IF(B130="","",B130-ApprovalDays)</f>
        <v>0</v>
      </c>
      <c r="AA130" s="23">
        <f>IF(B130="","",B130-TODAY())</f>
        <v>0</v>
      </c>
      <c r="AC130" s="29">
        <f>IF(H130="","",IF(X130="Published",IF(AB130="","Add - link missing","Yes"),"No"))</f>
        <v>0</v>
      </c>
      <c r="AD130" s="23">
        <f>IF(A130="","",IF(COUNTIF(Performance!$B$5:$B$404,A130)=0,"",SUMIFS(Performance!$O$5:$O$404,Performance!$B$5:$B$404,A130)))</f>
        <v>0</v>
      </c>
      <c r="AE130" s="23">
        <f>IF(AD130="","",SUMIFS(Performance!$Z$5:$Z$404,Performance!$B$5:$B$404,A130))</f>
        <v>0</v>
      </c>
      <c r="AF130" s="24">
        <f>IF(OR(AD130="",AD130=0),"",AE130/AD130)</f>
        <v>0</v>
      </c>
      <c r="AG130" s="23">
        <f>IF(AD130="","",SUMIFS(Performance!$U$5:$U$404,Performance!$B$5:$B$404,A130))</f>
        <v>0</v>
      </c>
      <c r="AH130" s="23">
        <f>IF(A130="","",COUNTIF(Repurposing!$B$5:$B$154,A130))</f>
        <v>0</v>
      </c>
      <c r="AI130" s="32">
        <f>IF(OR(H130="",B130=""),"",B130+ROW()/100000)</f>
        <v>0</v>
      </c>
      <c r="AJ130" s="32">
        <f>IF(OR(H130="",B130=""),"",IF(OR(X130="Published",X130="Cancelled",X130="Archived"),"",IF(B130&lt;TODAY(),"",B130+ROW()/100000)))</f>
        <v>0</v>
      </c>
      <c r="AK130" s="32">
        <f>IF(OR(H130="",B130=""),"",IF(OR(X130="Published",X130="Cancelled",X130="Archived"),"",IF(B130&gt;=TODAY(),"",B130+ROW()/100000)))</f>
        <v>0</v>
      </c>
      <c r="AL130" s="29">
        <f>IF(H130="","",IF(COUNTIFS('Content Calendar'!$H$5:$H$604,H130,'Content Calendar'!$G$5:$G$604,G130,'Content Calendar'!$B$5:$B$604,B130)&gt;1,"Duplicate","OK"))</f>
        <v>0</v>
      </c>
      <c r="AM130" s="29">
        <f>IF(H130="","",IF(AND(B130&lt;&gt;"",B130&lt;TODAY(),X130&lt;&gt;"Published",X130&lt;&gt;"Cancelled",X130&lt;&gt;"Archived"),"Overdue - date has passed",IF(AND(X130="Published",AB130=""),"Add - publish link missing",IF(AND(B130=TODAY(),X130&lt;&gt;"Published"),"Today - due to go live",IF(AND(Y130&lt;&gt;"",Y130&lt;TODAY(),OR(X130="Idea",X130="Brief",X130="In production")),"Late - draft not ready",IF(AND(AA130&gt;=0,AA130&lt;=3,OR(X130="Draft",X130="Awaiting review")),"Due - needs approval",IF(AND(H130&lt;&gt;"",P130=""),"Add - caption missing","OK")))))))</f>
        <v>0</v>
      </c>
    </row>
    <row r="131" spans="1:39">
      <c r="A131" s="41">
        <f>IF(H131="","",ContentPrefix&amp;TEXT(ROW()-4,"0000"))</f>
        <v>0</v>
      </c>
      <c r="D131" s="17">
        <f>IF(B131="","",TEXT(B131,"yyyy-mm"))</f>
        <v>0</v>
      </c>
      <c r="E131" s="23">
        <f>IF(B131="","",WEEKNUM(B131,IF(WeekStart="Sunday",1,2)))</f>
        <v>0</v>
      </c>
      <c r="F131" s="17">
        <f>IF(B131="","",TEXT(B131,"ddd"))</f>
        <v>0</v>
      </c>
      <c r="Q131" s="29">
        <f>IF(H131="","",IF(P131="","Add - no caption",IFERROR(INDEX('Caption Bank'!$R$5:$R$204,MATCH(P131,'Caption Bank'!$B$5:$B$204,0)),"Check - not in bank")))</f>
        <v>0</v>
      </c>
      <c r="S131" s="23">
        <f>IF(R131="","",COUNTIF('Hashtag Bank'!$D$5:$D$304,R131))</f>
        <v>0</v>
      </c>
      <c r="U131" s="29">
        <f>IF(H131="","",IF(T131="","Add - no asset",IFERROR(INDEX(Assets!$N$5:$N$254,MATCH(T131,Assets!$A$5:$A$254,0)),"Check - not in library")))</f>
        <v>0</v>
      </c>
      <c r="Y131" s="16">
        <f>IF(B131="","",B131-ProductionDays)</f>
        <v>0</v>
      </c>
      <c r="Z131" s="16">
        <f>IF(B131="","",B131-ApprovalDays)</f>
        <v>0</v>
      </c>
      <c r="AA131" s="23">
        <f>IF(B131="","",B131-TODAY())</f>
        <v>0</v>
      </c>
      <c r="AC131" s="29">
        <f>IF(H131="","",IF(X131="Published",IF(AB131="","Add - link missing","Yes"),"No"))</f>
        <v>0</v>
      </c>
      <c r="AD131" s="23">
        <f>IF(A131="","",IF(COUNTIF(Performance!$B$5:$B$404,A131)=0,"",SUMIFS(Performance!$O$5:$O$404,Performance!$B$5:$B$404,A131)))</f>
        <v>0</v>
      </c>
      <c r="AE131" s="23">
        <f>IF(AD131="","",SUMIFS(Performance!$Z$5:$Z$404,Performance!$B$5:$B$404,A131))</f>
        <v>0</v>
      </c>
      <c r="AF131" s="24">
        <f>IF(OR(AD131="",AD131=0),"",AE131/AD131)</f>
        <v>0</v>
      </c>
      <c r="AG131" s="23">
        <f>IF(AD131="","",SUMIFS(Performance!$U$5:$U$404,Performance!$B$5:$B$404,A131))</f>
        <v>0</v>
      </c>
      <c r="AH131" s="23">
        <f>IF(A131="","",COUNTIF(Repurposing!$B$5:$B$154,A131))</f>
        <v>0</v>
      </c>
      <c r="AI131" s="32">
        <f>IF(OR(H131="",B131=""),"",B131+ROW()/100000)</f>
        <v>0</v>
      </c>
      <c r="AJ131" s="32">
        <f>IF(OR(H131="",B131=""),"",IF(OR(X131="Published",X131="Cancelled",X131="Archived"),"",IF(B131&lt;TODAY(),"",B131+ROW()/100000)))</f>
        <v>0</v>
      </c>
      <c r="AK131" s="32">
        <f>IF(OR(H131="",B131=""),"",IF(OR(X131="Published",X131="Cancelled",X131="Archived"),"",IF(B131&gt;=TODAY(),"",B131+ROW()/100000)))</f>
        <v>0</v>
      </c>
      <c r="AL131" s="29">
        <f>IF(H131="","",IF(COUNTIFS('Content Calendar'!$H$5:$H$604,H131,'Content Calendar'!$G$5:$G$604,G131,'Content Calendar'!$B$5:$B$604,B131)&gt;1,"Duplicate","OK"))</f>
        <v>0</v>
      </c>
      <c r="AM131" s="29">
        <f>IF(H131="","",IF(AND(B131&lt;&gt;"",B131&lt;TODAY(),X131&lt;&gt;"Published",X131&lt;&gt;"Cancelled",X131&lt;&gt;"Archived"),"Overdue - date has passed",IF(AND(X131="Published",AB131=""),"Add - publish link missing",IF(AND(B131=TODAY(),X131&lt;&gt;"Published"),"Today - due to go live",IF(AND(Y131&lt;&gt;"",Y131&lt;TODAY(),OR(X131="Idea",X131="Brief",X131="In production")),"Late - draft not ready",IF(AND(AA131&gt;=0,AA131&lt;=3,OR(X131="Draft",X131="Awaiting review")),"Due - needs approval",IF(AND(H131&lt;&gt;"",P131=""),"Add - caption missing","OK")))))))</f>
        <v>0</v>
      </c>
    </row>
    <row r="132" spans="1:39">
      <c r="A132" s="41">
        <f>IF(H132="","",ContentPrefix&amp;TEXT(ROW()-4,"0000"))</f>
        <v>0</v>
      </c>
      <c r="D132" s="17">
        <f>IF(B132="","",TEXT(B132,"yyyy-mm"))</f>
        <v>0</v>
      </c>
      <c r="E132" s="23">
        <f>IF(B132="","",WEEKNUM(B132,IF(WeekStart="Sunday",1,2)))</f>
        <v>0</v>
      </c>
      <c r="F132" s="17">
        <f>IF(B132="","",TEXT(B132,"ddd"))</f>
        <v>0</v>
      </c>
      <c r="Q132" s="29">
        <f>IF(H132="","",IF(P132="","Add - no caption",IFERROR(INDEX('Caption Bank'!$R$5:$R$204,MATCH(P132,'Caption Bank'!$B$5:$B$204,0)),"Check - not in bank")))</f>
        <v>0</v>
      </c>
      <c r="S132" s="23">
        <f>IF(R132="","",COUNTIF('Hashtag Bank'!$D$5:$D$304,R132))</f>
        <v>0</v>
      </c>
      <c r="U132" s="29">
        <f>IF(H132="","",IF(T132="","Add - no asset",IFERROR(INDEX(Assets!$N$5:$N$254,MATCH(T132,Assets!$A$5:$A$254,0)),"Check - not in library")))</f>
        <v>0</v>
      </c>
      <c r="Y132" s="16">
        <f>IF(B132="","",B132-ProductionDays)</f>
        <v>0</v>
      </c>
      <c r="Z132" s="16">
        <f>IF(B132="","",B132-ApprovalDays)</f>
        <v>0</v>
      </c>
      <c r="AA132" s="23">
        <f>IF(B132="","",B132-TODAY())</f>
        <v>0</v>
      </c>
      <c r="AC132" s="29">
        <f>IF(H132="","",IF(X132="Published",IF(AB132="","Add - link missing","Yes"),"No"))</f>
        <v>0</v>
      </c>
      <c r="AD132" s="23">
        <f>IF(A132="","",IF(COUNTIF(Performance!$B$5:$B$404,A132)=0,"",SUMIFS(Performance!$O$5:$O$404,Performance!$B$5:$B$404,A132)))</f>
        <v>0</v>
      </c>
      <c r="AE132" s="23">
        <f>IF(AD132="","",SUMIFS(Performance!$Z$5:$Z$404,Performance!$B$5:$B$404,A132))</f>
        <v>0</v>
      </c>
      <c r="AF132" s="24">
        <f>IF(OR(AD132="",AD132=0),"",AE132/AD132)</f>
        <v>0</v>
      </c>
      <c r="AG132" s="23">
        <f>IF(AD132="","",SUMIFS(Performance!$U$5:$U$404,Performance!$B$5:$B$404,A132))</f>
        <v>0</v>
      </c>
      <c r="AH132" s="23">
        <f>IF(A132="","",COUNTIF(Repurposing!$B$5:$B$154,A132))</f>
        <v>0</v>
      </c>
      <c r="AI132" s="32">
        <f>IF(OR(H132="",B132=""),"",B132+ROW()/100000)</f>
        <v>0</v>
      </c>
      <c r="AJ132" s="32">
        <f>IF(OR(H132="",B132=""),"",IF(OR(X132="Published",X132="Cancelled",X132="Archived"),"",IF(B132&lt;TODAY(),"",B132+ROW()/100000)))</f>
        <v>0</v>
      </c>
      <c r="AK132" s="32">
        <f>IF(OR(H132="",B132=""),"",IF(OR(X132="Published",X132="Cancelled",X132="Archived"),"",IF(B132&gt;=TODAY(),"",B132+ROW()/100000)))</f>
        <v>0</v>
      </c>
      <c r="AL132" s="29">
        <f>IF(H132="","",IF(COUNTIFS('Content Calendar'!$H$5:$H$604,H132,'Content Calendar'!$G$5:$G$604,G132,'Content Calendar'!$B$5:$B$604,B132)&gt;1,"Duplicate","OK"))</f>
        <v>0</v>
      </c>
      <c r="AM132" s="29">
        <f>IF(H132="","",IF(AND(B132&lt;&gt;"",B132&lt;TODAY(),X132&lt;&gt;"Published",X132&lt;&gt;"Cancelled",X132&lt;&gt;"Archived"),"Overdue - date has passed",IF(AND(X132="Published",AB132=""),"Add - publish link missing",IF(AND(B132=TODAY(),X132&lt;&gt;"Published"),"Today - due to go live",IF(AND(Y132&lt;&gt;"",Y132&lt;TODAY(),OR(X132="Idea",X132="Brief",X132="In production")),"Late - draft not ready",IF(AND(AA132&gt;=0,AA132&lt;=3,OR(X132="Draft",X132="Awaiting review")),"Due - needs approval",IF(AND(H132&lt;&gt;"",P132=""),"Add - caption missing","OK")))))))</f>
        <v>0</v>
      </c>
    </row>
    <row r="133" spans="1:39">
      <c r="A133" s="41">
        <f>IF(H133="","",ContentPrefix&amp;TEXT(ROW()-4,"0000"))</f>
        <v>0</v>
      </c>
      <c r="D133" s="17">
        <f>IF(B133="","",TEXT(B133,"yyyy-mm"))</f>
        <v>0</v>
      </c>
      <c r="E133" s="23">
        <f>IF(B133="","",WEEKNUM(B133,IF(WeekStart="Sunday",1,2)))</f>
        <v>0</v>
      </c>
      <c r="F133" s="17">
        <f>IF(B133="","",TEXT(B133,"ddd"))</f>
        <v>0</v>
      </c>
      <c r="Q133" s="29">
        <f>IF(H133="","",IF(P133="","Add - no caption",IFERROR(INDEX('Caption Bank'!$R$5:$R$204,MATCH(P133,'Caption Bank'!$B$5:$B$204,0)),"Check - not in bank")))</f>
        <v>0</v>
      </c>
      <c r="S133" s="23">
        <f>IF(R133="","",COUNTIF('Hashtag Bank'!$D$5:$D$304,R133))</f>
        <v>0</v>
      </c>
      <c r="U133" s="29">
        <f>IF(H133="","",IF(T133="","Add - no asset",IFERROR(INDEX(Assets!$N$5:$N$254,MATCH(T133,Assets!$A$5:$A$254,0)),"Check - not in library")))</f>
        <v>0</v>
      </c>
      <c r="Y133" s="16">
        <f>IF(B133="","",B133-ProductionDays)</f>
        <v>0</v>
      </c>
      <c r="Z133" s="16">
        <f>IF(B133="","",B133-ApprovalDays)</f>
        <v>0</v>
      </c>
      <c r="AA133" s="23">
        <f>IF(B133="","",B133-TODAY())</f>
        <v>0</v>
      </c>
      <c r="AC133" s="29">
        <f>IF(H133="","",IF(X133="Published",IF(AB133="","Add - link missing","Yes"),"No"))</f>
        <v>0</v>
      </c>
      <c r="AD133" s="23">
        <f>IF(A133="","",IF(COUNTIF(Performance!$B$5:$B$404,A133)=0,"",SUMIFS(Performance!$O$5:$O$404,Performance!$B$5:$B$404,A133)))</f>
        <v>0</v>
      </c>
      <c r="AE133" s="23">
        <f>IF(AD133="","",SUMIFS(Performance!$Z$5:$Z$404,Performance!$B$5:$B$404,A133))</f>
        <v>0</v>
      </c>
      <c r="AF133" s="24">
        <f>IF(OR(AD133="",AD133=0),"",AE133/AD133)</f>
        <v>0</v>
      </c>
      <c r="AG133" s="23">
        <f>IF(AD133="","",SUMIFS(Performance!$U$5:$U$404,Performance!$B$5:$B$404,A133))</f>
        <v>0</v>
      </c>
      <c r="AH133" s="23">
        <f>IF(A133="","",COUNTIF(Repurposing!$B$5:$B$154,A133))</f>
        <v>0</v>
      </c>
      <c r="AI133" s="32">
        <f>IF(OR(H133="",B133=""),"",B133+ROW()/100000)</f>
        <v>0</v>
      </c>
      <c r="AJ133" s="32">
        <f>IF(OR(H133="",B133=""),"",IF(OR(X133="Published",X133="Cancelled",X133="Archived"),"",IF(B133&lt;TODAY(),"",B133+ROW()/100000)))</f>
        <v>0</v>
      </c>
      <c r="AK133" s="32">
        <f>IF(OR(H133="",B133=""),"",IF(OR(X133="Published",X133="Cancelled",X133="Archived"),"",IF(B133&gt;=TODAY(),"",B133+ROW()/100000)))</f>
        <v>0</v>
      </c>
      <c r="AL133" s="29">
        <f>IF(H133="","",IF(COUNTIFS('Content Calendar'!$H$5:$H$604,H133,'Content Calendar'!$G$5:$G$604,G133,'Content Calendar'!$B$5:$B$604,B133)&gt;1,"Duplicate","OK"))</f>
        <v>0</v>
      </c>
      <c r="AM133" s="29">
        <f>IF(H133="","",IF(AND(B133&lt;&gt;"",B133&lt;TODAY(),X133&lt;&gt;"Published",X133&lt;&gt;"Cancelled",X133&lt;&gt;"Archived"),"Overdue - date has passed",IF(AND(X133="Published",AB133=""),"Add - publish link missing",IF(AND(B133=TODAY(),X133&lt;&gt;"Published"),"Today - due to go live",IF(AND(Y133&lt;&gt;"",Y133&lt;TODAY(),OR(X133="Idea",X133="Brief",X133="In production")),"Late - draft not ready",IF(AND(AA133&gt;=0,AA133&lt;=3,OR(X133="Draft",X133="Awaiting review")),"Due - needs approval",IF(AND(H133&lt;&gt;"",P133=""),"Add - caption missing","OK")))))))</f>
        <v>0</v>
      </c>
    </row>
    <row r="134" spans="1:39">
      <c r="A134" s="41">
        <f>IF(H134="","",ContentPrefix&amp;TEXT(ROW()-4,"0000"))</f>
        <v>0</v>
      </c>
      <c r="D134" s="17">
        <f>IF(B134="","",TEXT(B134,"yyyy-mm"))</f>
        <v>0</v>
      </c>
      <c r="E134" s="23">
        <f>IF(B134="","",WEEKNUM(B134,IF(WeekStart="Sunday",1,2)))</f>
        <v>0</v>
      </c>
      <c r="F134" s="17">
        <f>IF(B134="","",TEXT(B134,"ddd"))</f>
        <v>0</v>
      </c>
      <c r="Q134" s="29">
        <f>IF(H134="","",IF(P134="","Add - no caption",IFERROR(INDEX('Caption Bank'!$R$5:$R$204,MATCH(P134,'Caption Bank'!$B$5:$B$204,0)),"Check - not in bank")))</f>
        <v>0</v>
      </c>
      <c r="S134" s="23">
        <f>IF(R134="","",COUNTIF('Hashtag Bank'!$D$5:$D$304,R134))</f>
        <v>0</v>
      </c>
      <c r="U134" s="29">
        <f>IF(H134="","",IF(T134="","Add - no asset",IFERROR(INDEX(Assets!$N$5:$N$254,MATCH(T134,Assets!$A$5:$A$254,0)),"Check - not in library")))</f>
        <v>0</v>
      </c>
      <c r="Y134" s="16">
        <f>IF(B134="","",B134-ProductionDays)</f>
        <v>0</v>
      </c>
      <c r="Z134" s="16">
        <f>IF(B134="","",B134-ApprovalDays)</f>
        <v>0</v>
      </c>
      <c r="AA134" s="23">
        <f>IF(B134="","",B134-TODAY())</f>
        <v>0</v>
      </c>
      <c r="AC134" s="29">
        <f>IF(H134="","",IF(X134="Published",IF(AB134="","Add - link missing","Yes"),"No"))</f>
        <v>0</v>
      </c>
      <c r="AD134" s="23">
        <f>IF(A134="","",IF(COUNTIF(Performance!$B$5:$B$404,A134)=0,"",SUMIFS(Performance!$O$5:$O$404,Performance!$B$5:$B$404,A134)))</f>
        <v>0</v>
      </c>
      <c r="AE134" s="23">
        <f>IF(AD134="","",SUMIFS(Performance!$Z$5:$Z$404,Performance!$B$5:$B$404,A134))</f>
        <v>0</v>
      </c>
      <c r="AF134" s="24">
        <f>IF(OR(AD134="",AD134=0),"",AE134/AD134)</f>
        <v>0</v>
      </c>
      <c r="AG134" s="23">
        <f>IF(AD134="","",SUMIFS(Performance!$U$5:$U$404,Performance!$B$5:$B$404,A134))</f>
        <v>0</v>
      </c>
      <c r="AH134" s="23">
        <f>IF(A134="","",COUNTIF(Repurposing!$B$5:$B$154,A134))</f>
        <v>0</v>
      </c>
      <c r="AI134" s="32">
        <f>IF(OR(H134="",B134=""),"",B134+ROW()/100000)</f>
        <v>0</v>
      </c>
      <c r="AJ134" s="32">
        <f>IF(OR(H134="",B134=""),"",IF(OR(X134="Published",X134="Cancelled",X134="Archived"),"",IF(B134&lt;TODAY(),"",B134+ROW()/100000)))</f>
        <v>0</v>
      </c>
      <c r="AK134" s="32">
        <f>IF(OR(H134="",B134=""),"",IF(OR(X134="Published",X134="Cancelled",X134="Archived"),"",IF(B134&gt;=TODAY(),"",B134+ROW()/100000)))</f>
        <v>0</v>
      </c>
      <c r="AL134" s="29">
        <f>IF(H134="","",IF(COUNTIFS('Content Calendar'!$H$5:$H$604,H134,'Content Calendar'!$G$5:$G$604,G134,'Content Calendar'!$B$5:$B$604,B134)&gt;1,"Duplicate","OK"))</f>
        <v>0</v>
      </c>
      <c r="AM134" s="29">
        <f>IF(H134="","",IF(AND(B134&lt;&gt;"",B134&lt;TODAY(),X134&lt;&gt;"Published",X134&lt;&gt;"Cancelled",X134&lt;&gt;"Archived"),"Overdue - date has passed",IF(AND(X134="Published",AB134=""),"Add - publish link missing",IF(AND(B134=TODAY(),X134&lt;&gt;"Published"),"Today - due to go live",IF(AND(Y134&lt;&gt;"",Y134&lt;TODAY(),OR(X134="Idea",X134="Brief",X134="In production")),"Late - draft not ready",IF(AND(AA134&gt;=0,AA134&lt;=3,OR(X134="Draft",X134="Awaiting review")),"Due - needs approval",IF(AND(H134&lt;&gt;"",P134=""),"Add - caption missing","OK")))))))</f>
        <v>0</v>
      </c>
    </row>
    <row r="135" spans="1:39">
      <c r="A135" s="41">
        <f>IF(H135="","",ContentPrefix&amp;TEXT(ROW()-4,"0000"))</f>
        <v>0</v>
      </c>
      <c r="D135" s="17">
        <f>IF(B135="","",TEXT(B135,"yyyy-mm"))</f>
        <v>0</v>
      </c>
      <c r="E135" s="23">
        <f>IF(B135="","",WEEKNUM(B135,IF(WeekStart="Sunday",1,2)))</f>
        <v>0</v>
      </c>
      <c r="F135" s="17">
        <f>IF(B135="","",TEXT(B135,"ddd"))</f>
        <v>0</v>
      </c>
      <c r="Q135" s="29">
        <f>IF(H135="","",IF(P135="","Add - no caption",IFERROR(INDEX('Caption Bank'!$R$5:$R$204,MATCH(P135,'Caption Bank'!$B$5:$B$204,0)),"Check - not in bank")))</f>
        <v>0</v>
      </c>
      <c r="S135" s="23">
        <f>IF(R135="","",COUNTIF('Hashtag Bank'!$D$5:$D$304,R135))</f>
        <v>0</v>
      </c>
      <c r="U135" s="29">
        <f>IF(H135="","",IF(T135="","Add - no asset",IFERROR(INDEX(Assets!$N$5:$N$254,MATCH(T135,Assets!$A$5:$A$254,0)),"Check - not in library")))</f>
        <v>0</v>
      </c>
      <c r="Y135" s="16">
        <f>IF(B135="","",B135-ProductionDays)</f>
        <v>0</v>
      </c>
      <c r="Z135" s="16">
        <f>IF(B135="","",B135-ApprovalDays)</f>
        <v>0</v>
      </c>
      <c r="AA135" s="23">
        <f>IF(B135="","",B135-TODAY())</f>
        <v>0</v>
      </c>
      <c r="AC135" s="29">
        <f>IF(H135="","",IF(X135="Published",IF(AB135="","Add - link missing","Yes"),"No"))</f>
        <v>0</v>
      </c>
      <c r="AD135" s="23">
        <f>IF(A135="","",IF(COUNTIF(Performance!$B$5:$B$404,A135)=0,"",SUMIFS(Performance!$O$5:$O$404,Performance!$B$5:$B$404,A135)))</f>
        <v>0</v>
      </c>
      <c r="AE135" s="23">
        <f>IF(AD135="","",SUMIFS(Performance!$Z$5:$Z$404,Performance!$B$5:$B$404,A135))</f>
        <v>0</v>
      </c>
      <c r="AF135" s="24">
        <f>IF(OR(AD135="",AD135=0),"",AE135/AD135)</f>
        <v>0</v>
      </c>
      <c r="AG135" s="23">
        <f>IF(AD135="","",SUMIFS(Performance!$U$5:$U$404,Performance!$B$5:$B$404,A135))</f>
        <v>0</v>
      </c>
      <c r="AH135" s="23">
        <f>IF(A135="","",COUNTIF(Repurposing!$B$5:$B$154,A135))</f>
        <v>0</v>
      </c>
      <c r="AI135" s="32">
        <f>IF(OR(H135="",B135=""),"",B135+ROW()/100000)</f>
        <v>0</v>
      </c>
      <c r="AJ135" s="32">
        <f>IF(OR(H135="",B135=""),"",IF(OR(X135="Published",X135="Cancelled",X135="Archived"),"",IF(B135&lt;TODAY(),"",B135+ROW()/100000)))</f>
        <v>0</v>
      </c>
      <c r="AK135" s="32">
        <f>IF(OR(H135="",B135=""),"",IF(OR(X135="Published",X135="Cancelled",X135="Archived"),"",IF(B135&gt;=TODAY(),"",B135+ROW()/100000)))</f>
        <v>0</v>
      </c>
      <c r="AL135" s="29">
        <f>IF(H135="","",IF(COUNTIFS('Content Calendar'!$H$5:$H$604,H135,'Content Calendar'!$G$5:$G$604,G135,'Content Calendar'!$B$5:$B$604,B135)&gt;1,"Duplicate","OK"))</f>
        <v>0</v>
      </c>
      <c r="AM135" s="29">
        <f>IF(H135="","",IF(AND(B135&lt;&gt;"",B135&lt;TODAY(),X135&lt;&gt;"Published",X135&lt;&gt;"Cancelled",X135&lt;&gt;"Archived"),"Overdue - date has passed",IF(AND(X135="Published",AB135=""),"Add - publish link missing",IF(AND(B135=TODAY(),X135&lt;&gt;"Published"),"Today - due to go live",IF(AND(Y135&lt;&gt;"",Y135&lt;TODAY(),OR(X135="Idea",X135="Brief",X135="In production")),"Late - draft not ready",IF(AND(AA135&gt;=0,AA135&lt;=3,OR(X135="Draft",X135="Awaiting review")),"Due - needs approval",IF(AND(H135&lt;&gt;"",P135=""),"Add - caption missing","OK")))))))</f>
        <v>0</v>
      </c>
    </row>
    <row r="136" spans="1:39">
      <c r="A136" s="41">
        <f>IF(H136="","",ContentPrefix&amp;TEXT(ROW()-4,"0000"))</f>
        <v>0</v>
      </c>
      <c r="D136" s="17">
        <f>IF(B136="","",TEXT(B136,"yyyy-mm"))</f>
        <v>0</v>
      </c>
      <c r="E136" s="23">
        <f>IF(B136="","",WEEKNUM(B136,IF(WeekStart="Sunday",1,2)))</f>
        <v>0</v>
      </c>
      <c r="F136" s="17">
        <f>IF(B136="","",TEXT(B136,"ddd"))</f>
        <v>0</v>
      </c>
      <c r="Q136" s="29">
        <f>IF(H136="","",IF(P136="","Add - no caption",IFERROR(INDEX('Caption Bank'!$R$5:$R$204,MATCH(P136,'Caption Bank'!$B$5:$B$204,0)),"Check - not in bank")))</f>
        <v>0</v>
      </c>
      <c r="S136" s="23">
        <f>IF(R136="","",COUNTIF('Hashtag Bank'!$D$5:$D$304,R136))</f>
        <v>0</v>
      </c>
      <c r="U136" s="29">
        <f>IF(H136="","",IF(T136="","Add - no asset",IFERROR(INDEX(Assets!$N$5:$N$254,MATCH(T136,Assets!$A$5:$A$254,0)),"Check - not in library")))</f>
        <v>0</v>
      </c>
      <c r="Y136" s="16">
        <f>IF(B136="","",B136-ProductionDays)</f>
        <v>0</v>
      </c>
      <c r="Z136" s="16">
        <f>IF(B136="","",B136-ApprovalDays)</f>
        <v>0</v>
      </c>
      <c r="AA136" s="23">
        <f>IF(B136="","",B136-TODAY())</f>
        <v>0</v>
      </c>
      <c r="AC136" s="29">
        <f>IF(H136="","",IF(X136="Published",IF(AB136="","Add - link missing","Yes"),"No"))</f>
        <v>0</v>
      </c>
      <c r="AD136" s="23">
        <f>IF(A136="","",IF(COUNTIF(Performance!$B$5:$B$404,A136)=0,"",SUMIFS(Performance!$O$5:$O$404,Performance!$B$5:$B$404,A136)))</f>
        <v>0</v>
      </c>
      <c r="AE136" s="23">
        <f>IF(AD136="","",SUMIFS(Performance!$Z$5:$Z$404,Performance!$B$5:$B$404,A136))</f>
        <v>0</v>
      </c>
      <c r="AF136" s="24">
        <f>IF(OR(AD136="",AD136=0),"",AE136/AD136)</f>
        <v>0</v>
      </c>
      <c r="AG136" s="23">
        <f>IF(AD136="","",SUMIFS(Performance!$U$5:$U$404,Performance!$B$5:$B$404,A136))</f>
        <v>0</v>
      </c>
      <c r="AH136" s="23">
        <f>IF(A136="","",COUNTIF(Repurposing!$B$5:$B$154,A136))</f>
        <v>0</v>
      </c>
      <c r="AI136" s="32">
        <f>IF(OR(H136="",B136=""),"",B136+ROW()/100000)</f>
        <v>0</v>
      </c>
      <c r="AJ136" s="32">
        <f>IF(OR(H136="",B136=""),"",IF(OR(X136="Published",X136="Cancelled",X136="Archived"),"",IF(B136&lt;TODAY(),"",B136+ROW()/100000)))</f>
        <v>0</v>
      </c>
      <c r="AK136" s="32">
        <f>IF(OR(H136="",B136=""),"",IF(OR(X136="Published",X136="Cancelled",X136="Archived"),"",IF(B136&gt;=TODAY(),"",B136+ROW()/100000)))</f>
        <v>0</v>
      </c>
      <c r="AL136" s="29">
        <f>IF(H136="","",IF(COUNTIFS('Content Calendar'!$H$5:$H$604,H136,'Content Calendar'!$G$5:$G$604,G136,'Content Calendar'!$B$5:$B$604,B136)&gt;1,"Duplicate","OK"))</f>
        <v>0</v>
      </c>
      <c r="AM136" s="29">
        <f>IF(H136="","",IF(AND(B136&lt;&gt;"",B136&lt;TODAY(),X136&lt;&gt;"Published",X136&lt;&gt;"Cancelled",X136&lt;&gt;"Archived"),"Overdue - date has passed",IF(AND(X136="Published",AB136=""),"Add - publish link missing",IF(AND(B136=TODAY(),X136&lt;&gt;"Published"),"Today - due to go live",IF(AND(Y136&lt;&gt;"",Y136&lt;TODAY(),OR(X136="Idea",X136="Brief",X136="In production")),"Late - draft not ready",IF(AND(AA136&gt;=0,AA136&lt;=3,OR(X136="Draft",X136="Awaiting review")),"Due - needs approval",IF(AND(H136&lt;&gt;"",P136=""),"Add - caption missing","OK")))))))</f>
        <v>0</v>
      </c>
    </row>
    <row r="137" spans="1:39">
      <c r="A137" s="41">
        <f>IF(H137="","",ContentPrefix&amp;TEXT(ROW()-4,"0000"))</f>
        <v>0</v>
      </c>
      <c r="D137" s="17">
        <f>IF(B137="","",TEXT(B137,"yyyy-mm"))</f>
        <v>0</v>
      </c>
      <c r="E137" s="23">
        <f>IF(B137="","",WEEKNUM(B137,IF(WeekStart="Sunday",1,2)))</f>
        <v>0</v>
      </c>
      <c r="F137" s="17">
        <f>IF(B137="","",TEXT(B137,"ddd"))</f>
        <v>0</v>
      </c>
      <c r="Q137" s="29">
        <f>IF(H137="","",IF(P137="","Add - no caption",IFERROR(INDEX('Caption Bank'!$R$5:$R$204,MATCH(P137,'Caption Bank'!$B$5:$B$204,0)),"Check - not in bank")))</f>
        <v>0</v>
      </c>
      <c r="S137" s="23">
        <f>IF(R137="","",COUNTIF('Hashtag Bank'!$D$5:$D$304,R137))</f>
        <v>0</v>
      </c>
      <c r="U137" s="29">
        <f>IF(H137="","",IF(T137="","Add - no asset",IFERROR(INDEX(Assets!$N$5:$N$254,MATCH(T137,Assets!$A$5:$A$254,0)),"Check - not in library")))</f>
        <v>0</v>
      </c>
      <c r="Y137" s="16">
        <f>IF(B137="","",B137-ProductionDays)</f>
        <v>0</v>
      </c>
      <c r="Z137" s="16">
        <f>IF(B137="","",B137-ApprovalDays)</f>
        <v>0</v>
      </c>
      <c r="AA137" s="23">
        <f>IF(B137="","",B137-TODAY())</f>
        <v>0</v>
      </c>
      <c r="AC137" s="29">
        <f>IF(H137="","",IF(X137="Published",IF(AB137="","Add - link missing","Yes"),"No"))</f>
        <v>0</v>
      </c>
      <c r="AD137" s="23">
        <f>IF(A137="","",IF(COUNTIF(Performance!$B$5:$B$404,A137)=0,"",SUMIFS(Performance!$O$5:$O$404,Performance!$B$5:$B$404,A137)))</f>
        <v>0</v>
      </c>
      <c r="AE137" s="23">
        <f>IF(AD137="","",SUMIFS(Performance!$Z$5:$Z$404,Performance!$B$5:$B$404,A137))</f>
        <v>0</v>
      </c>
      <c r="AF137" s="24">
        <f>IF(OR(AD137="",AD137=0),"",AE137/AD137)</f>
        <v>0</v>
      </c>
      <c r="AG137" s="23">
        <f>IF(AD137="","",SUMIFS(Performance!$U$5:$U$404,Performance!$B$5:$B$404,A137))</f>
        <v>0</v>
      </c>
      <c r="AH137" s="23">
        <f>IF(A137="","",COUNTIF(Repurposing!$B$5:$B$154,A137))</f>
        <v>0</v>
      </c>
      <c r="AI137" s="32">
        <f>IF(OR(H137="",B137=""),"",B137+ROW()/100000)</f>
        <v>0</v>
      </c>
      <c r="AJ137" s="32">
        <f>IF(OR(H137="",B137=""),"",IF(OR(X137="Published",X137="Cancelled",X137="Archived"),"",IF(B137&lt;TODAY(),"",B137+ROW()/100000)))</f>
        <v>0</v>
      </c>
      <c r="AK137" s="32">
        <f>IF(OR(H137="",B137=""),"",IF(OR(X137="Published",X137="Cancelled",X137="Archived"),"",IF(B137&gt;=TODAY(),"",B137+ROW()/100000)))</f>
        <v>0</v>
      </c>
      <c r="AL137" s="29">
        <f>IF(H137="","",IF(COUNTIFS('Content Calendar'!$H$5:$H$604,H137,'Content Calendar'!$G$5:$G$604,G137,'Content Calendar'!$B$5:$B$604,B137)&gt;1,"Duplicate","OK"))</f>
        <v>0</v>
      </c>
      <c r="AM137" s="29">
        <f>IF(H137="","",IF(AND(B137&lt;&gt;"",B137&lt;TODAY(),X137&lt;&gt;"Published",X137&lt;&gt;"Cancelled",X137&lt;&gt;"Archived"),"Overdue - date has passed",IF(AND(X137="Published",AB137=""),"Add - publish link missing",IF(AND(B137=TODAY(),X137&lt;&gt;"Published"),"Today - due to go live",IF(AND(Y137&lt;&gt;"",Y137&lt;TODAY(),OR(X137="Idea",X137="Brief",X137="In production")),"Late - draft not ready",IF(AND(AA137&gt;=0,AA137&lt;=3,OR(X137="Draft",X137="Awaiting review")),"Due - needs approval",IF(AND(H137&lt;&gt;"",P137=""),"Add - caption missing","OK")))))))</f>
        <v>0</v>
      </c>
    </row>
    <row r="138" spans="1:39">
      <c r="A138" s="41">
        <f>IF(H138="","",ContentPrefix&amp;TEXT(ROW()-4,"0000"))</f>
        <v>0</v>
      </c>
      <c r="D138" s="17">
        <f>IF(B138="","",TEXT(B138,"yyyy-mm"))</f>
        <v>0</v>
      </c>
      <c r="E138" s="23">
        <f>IF(B138="","",WEEKNUM(B138,IF(WeekStart="Sunday",1,2)))</f>
        <v>0</v>
      </c>
      <c r="F138" s="17">
        <f>IF(B138="","",TEXT(B138,"ddd"))</f>
        <v>0</v>
      </c>
      <c r="Q138" s="29">
        <f>IF(H138="","",IF(P138="","Add - no caption",IFERROR(INDEX('Caption Bank'!$R$5:$R$204,MATCH(P138,'Caption Bank'!$B$5:$B$204,0)),"Check - not in bank")))</f>
        <v>0</v>
      </c>
      <c r="S138" s="23">
        <f>IF(R138="","",COUNTIF('Hashtag Bank'!$D$5:$D$304,R138))</f>
        <v>0</v>
      </c>
      <c r="U138" s="29">
        <f>IF(H138="","",IF(T138="","Add - no asset",IFERROR(INDEX(Assets!$N$5:$N$254,MATCH(T138,Assets!$A$5:$A$254,0)),"Check - not in library")))</f>
        <v>0</v>
      </c>
      <c r="Y138" s="16">
        <f>IF(B138="","",B138-ProductionDays)</f>
        <v>0</v>
      </c>
      <c r="Z138" s="16">
        <f>IF(B138="","",B138-ApprovalDays)</f>
        <v>0</v>
      </c>
      <c r="AA138" s="23">
        <f>IF(B138="","",B138-TODAY())</f>
        <v>0</v>
      </c>
      <c r="AC138" s="29">
        <f>IF(H138="","",IF(X138="Published",IF(AB138="","Add - link missing","Yes"),"No"))</f>
        <v>0</v>
      </c>
      <c r="AD138" s="23">
        <f>IF(A138="","",IF(COUNTIF(Performance!$B$5:$B$404,A138)=0,"",SUMIFS(Performance!$O$5:$O$404,Performance!$B$5:$B$404,A138)))</f>
        <v>0</v>
      </c>
      <c r="AE138" s="23">
        <f>IF(AD138="","",SUMIFS(Performance!$Z$5:$Z$404,Performance!$B$5:$B$404,A138))</f>
        <v>0</v>
      </c>
      <c r="AF138" s="24">
        <f>IF(OR(AD138="",AD138=0),"",AE138/AD138)</f>
        <v>0</v>
      </c>
      <c r="AG138" s="23">
        <f>IF(AD138="","",SUMIFS(Performance!$U$5:$U$404,Performance!$B$5:$B$404,A138))</f>
        <v>0</v>
      </c>
      <c r="AH138" s="23">
        <f>IF(A138="","",COUNTIF(Repurposing!$B$5:$B$154,A138))</f>
        <v>0</v>
      </c>
      <c r="AI138" s="32">
        <f>IF(OR(H138="",B138=""),"",B138+ROW()/100000)</f>
        <v>0</v>
      </c>
      <c r="AJ138" s="32">
        <f>IF(OR(H138="",B138=""),"",IF(OR(X138="Published",X138="Cancelled",X138="Archived"),"",IF(B138&lt;TODAY(),"",B138+ROW()/100000)))</f>
        <v>0</v>
      </c>
      <c r="AK138" s="32">
        <f>IF(OR(H138="",B138=""),"",IF(OR(X138="Published",X138="Cancelled",X138="Archived"),"",IF(B138&gt;=TODAY(),"",B138+ROW()/100000)))</f>
        <v>0</v>
      </c>
      <c r="AL138" s="29">
        <f>IF(H138="","",IF(COUNTIFS('Content Calendar'!$H$5:$H$604,H138,'Content Calendar'!$G$5:$G$604,G138,'Content Calendar'!$B$5:$B$604,B138)&gt;1,"Duplicate","OK"))</f>
        <v>0</v>
      </c>
      <c r="AM138" s="29">
        <f>IF(H138="","",IF(AND(B138&lt;&gt;"",B138&lt;TODAY(),X138&lt;&gt;"Published",X138&lt;&gt;"Cancelled",X138&lt;&gt;"Archived"),"Overdue - date has passed",IF(AND(X138="Published",AB138=""),"Add - publish link missing",IF(AND(B138=TODAY(),X138&lt;&gt;"Published"),"Today - due to go live",IF(AND(Y138&lt;&gt;"",Y138&lt;TODAY(),OR(X138="Idea",X138="Brief",X138="In production")),"Late - draft not ready",IF(AND(AA138&gt;=0,AA138&lt;=3,OR(X138="Draft",X138="Awaiting review")),"Due - needs approval",IF(AND(H138&lt;&gt;"",P138=""),"Add - caption missing","OK")))))))</f>
        <v>0</v>
      </c>
    </row>
    <row r="139" spans="1:39">
      <c r="A139" s="41">
        <f>IF(H139="","",ContentPrefix&amp;TEXT(ROW()-4,"0000"))</f>
        <v>0</v>
      </c>
      <c r="D139" s="17">
        <f>IF(B139="","",TEXT(B139,"yyyy-mm"))</f>
        <v>0</v>
      </c>
      <c r="E139" s="23">
        <f>IF(B139="","",WEEKNUM(B139,IF(WeekStart="Sunday",1,2)))</f>
        <v>0</v>
      </c>
      <c r="F139" s="17">
        <f>IF(B139="","",TEXT(B139,"ddd"))</f>
        <v>0</v>
      </c>
      <c r="Q139" s="29">
        <f>IF(H139="","",IF(P139="","Add - no caption",IFERROR(INDEX('Caption Bank'!$R$5:$R$204,MATCH(P139,'Caption Bank'!$B$5:$B$204,0)),"Check - not in bank")))</f>
        <v>0</v>
      </c>
      <c r="S139" s="23">
        <f>IF(R139="","",COUNTIF('Hashtag Bank'!$D$5:$D$304,R139))</f>
        <v>0</v>
      </c>
      <c r="U139" s="29">
        <f>IF(H139="","",IF(T139="","Add - no asset",IFERROR(INDEX(Assets!$N$5:$N$254,MATCH(T139,Assets!$A$5:$A$254,0)),"Check - not in library")))</f>
        <v>0</v>
      </c>
      <c r="Y139" s="16">
        <f>IF(B139="","",B139-ProductionDays)</f>
        <v>0</v>
      </c>
      <c r="Z139" s="16">
        <f>IF(B139="","",B139-ApprovalDays)</f>
        <v>0</v>
      </c>
      <c r="AA139" s="23">
        <f>IF(B139="","",B139-TODAY())</f>
        <v>0</v>
      </c>
      <c r="AC139" s="29">
        <f>IF(H139="","",IF(X139="Published",IF(AB139="","Add - link missing","Yes"),"No"))</f>
        <v>0</v>
      </c>
      <c r="AD139" s="23">
        <f>IF(A139="","",IF(COUNTIF(Performance!$B$5:$B$404,A139)=0,"",SUMIFS(Performance!$O$5:$O$404,Performance!$B$5:$B$404,A139)))</f>
        <v>0</v>
      </c>
      <c r="AE139" s="23">
        <f>IF(AD139="","",SUMIFS(Performance!$Z$5:$Z$404,Performance!$B$5:$B$404,A139))</f>
        <v>0</v>
      </c>
      <c r="AF139" s="24">
        <f>IF(OR(AD139="",AD139=0),"",AE139/AD139)</f>
        <v>0</v>
      </c>
      <c r="AG139" s="23">
        <f>IF(AD139="","",SUMIFS(Performance!$U$5:$U$404,Performance!$B$5:$B$404,A139))</f>
        <v>0</v>
      </c>
      <c r="AH139" s="23">
        <f>IF(A139="","",COUNTIF(Repurposing!$B$5:$B$154,A139))</f>
        <v>0</v>
      </c>
      <c r="AI139" s="32">
        <f>IF(OR(H139="",B139=""),"",B139+ROW()/100000)</f>
        <v>0</v>
      </c>
      <c r="AJ139" s="32">
        <f>IF(OR(H139="",B139=""),"",IF(OR(X139="Published",X139="Cancelled",X139="Archived"),"",IF(B139&lt;TODAY(),"",B139+ROW()/100000)))</f>
        <v>0</v>
      </c>
      <c r="AK139" s="32">
        <f>IF(OR(H139="",B139=""),"",IF(OR(X139="Published",X139="Cancelled",X139="Archived"),"",IF(B139&gt;=TODAY(),"",B139+ROW()/100000)))</f>
        <v>0</v>
      </c>
      <c r="AL139" s="29">
        <f>IF(H139="","",IF(COUNTIFS('Content Calendar'!$H$5:$H$604,H139,'Content Calendar'!$G$5:$G$604,G139,'Content Calendar'!$B$5:$B$604,B139)&gt;1,"Duplicate","OK"))</f>
        <v>0</v>
      </c>
      <c r="AM139" s="29">
        <f>IF(H139="","",IF(AND(B139&lt;&gt;"",B139&lt;TODAY(),X139&lt;&gt;"Published",X139&lt;&gt;"Cancelled",X139&lt;&gt;"Archived"),"Overdue - date has passed",IF(AND(X139="Published",AB139=""),"Add - publish link missing",IF(AND(B139=TODAY(),X139&lt;&gt;"Published"),"Today - due to go live",IF(AND(Y139&lt;&gt;"",Y139&lt;TODAY(),OR(X139="Idea",X139="Brief",X139="In production")),"Late - draft not ready",IF(AND(AA139&gt;=0,AA139&lt;=3,OR(X139="Draft",X139="Awaiting review")),"Due - needs approval",IF(AND(H139&lt;&gt;"",P139=""),"Add - caption missing","OK")))))))</f>
        <v>0</v>
      </c>
    </row>
    <row r="140" spans="1:39">
      <c r="A140" s="41">
        <f>IF(H140="","",ContentPrefix&amp;TEXT(ROW()-4,"0000"))</f>
        <v>0</v>
      </c>
      <c r="D140" s="17">
        <f>IF(B140="","",TEXT(B140,"yyyy-mm"))</f>
        <v>0</v>
      </c>
      <c r="E140" s="23">
        <f>IF(B140="","",WEEKNUM(B140,IF(WeekStart="Sunday",1,2)))</f>
        <v>0</v>
      </c>
      <c r="F140" s="17">
        <f>IF(B140="","",TEXT(B140,"ddd"))</f>
        <v>0</v>
      </c>
      <c r="Q140" s="29">
        <f>IF(H140="","",IF(P140="","Add - no caption",IFERROR(INDEX('Caption Bank'!$R$5:$R$204,MATCH(P140,'Caption Bank'!$B$5:$B$204,0)),"Check - not in bank")))</f>
        <v>0</v>
      </c>
      <c r="S140" s="23">
        <f>IF(R140="","",COUNTIF('Hashtag Bank'!$D$5:$D$304,R140))</f>
        <v>0</v>
      </c>
      <c r="U140" s="29">
        <f>IF(H140="","",IF(T140="","Add - no asset",IFERROR(INDEX(Assets!$N$5:$N$254,MATCH(T140,Assets!$A$5:$A$254,0)),"Check - not in library")))</f>
        <v>0</v>
      </c>
      <c r="Y140" s="16">
        <f>IF(B140="","",B140-ProductionDays)</f>
        <v>0</v>
      </c>
      <c r="Z140" s="16">
        <f>IF(B140="","",B140-ApprovalDays)</f>
        <v>0</v>
      </c>
      <c r="AA140" s="23">
        <f>IF(B140="","",B140-TODAY())</f>
        <v>0</v>
      </c>
      <c r="AC140" s="29">
        <f>IF(H140="","",IF(X140="Published",IF(AB140="","Add - link missing","Yes"),"No"))</f>
        <v>0</v>
      </c>
      <c r="AD140" s="23">
        <f>IF(A140="","",IF(COUNTIF(Performance!$B$5:$B$404,A140)=0,"",SUMIFS(Performance!$O$5:$O$404,Performance!$B$5:$B$404,A140)))</f>
        <v>0</v>
      </c>
      <c r="AE140" s="23">
        <f>IF(AD140="","",SUMIFS(Performance!$Z$5:$Z$404,Performance!$B$5:$B$404,A140))</f>
        <v>0</v>
      </c>
      <c r="AF140" s="24">
        <f>IF(OR(AD140="",AD140=0),"",AE140/AD140)</f>
        <v>0</v>
      </c>
      <c r="AG140" s="23">
        <f>IF(AD140="","",SUMIFS(Performance!$U$5:$U$404,Performance!$B$5:$B$404,A140))</f>
        <v>0</v>
      </c>
      <c r="AH140" s="23">
        <f>IF(A140="","",COUNTIF(Repurposing!$B$5:$B$154,A140))</f>
        <v>0</v>
      </c>
      <c r="AI140" s="32">
        <f>IF(OR(H140="",B140=""),"",B140+ROW()/100000)</f>
        <v>0</v>
      </c>
      <c r="AJ140" s="32">
        <f>IF(OR(H140="",B140=""),"",IF(OR(X140="Published",X140="Cancelled",X140="Archived"),"",IF(B140&lt;TODAY(),"",B140+ROW()/100000)))</f>
        <v>0</v>
      </c>
      <c r="AK140" s="32">
        <f>IF(OR(H140="",B140=""),"",IF(OR(X140="Published",X140="Cancelled",X140="Archived"),"",IF(B140&gt;=TODAY(),"",B140+ROW()/100000)))</f>
        <v>0</v>
      </c>
      <c r="AL140" s="29">
        <f>IF(H140="","",IF(COUNTIFS('Content Calendar'!$H$5:$H$604,H140,'Content Calendar'!$G$5:$G$604,G140,'Content Calendar'!$B$5:$B$604,B140)&gt;1,"Duplicate","OK"))</f>
        <v>0</v>
      </c>
      <c r="AM140" s="29">
        <f>IF(H140="","",IF(AND(B140&lt;&gt;"",B140&lt;TODAY(),X140&lt;&gt;"Published",X140&lt;&gt;"Cancelled",X140&lt;&gt;"Archived"),"Overdue - date has passed",IF(AND(X140="Published",AB140=""),"Add - publish link missing",IF(AND(B140=TODAY(),X140&lt;&gt;"Published"),"Today - due to go live",IF(AND(Y140&lt;&gt;"",Y140&lt;TODAY(),OR(X140="Idea",X140="Brief",X140="In production")),"Late - draft not ready",IF(AND(AA140&gt;=0,AA140&lt;=3,OR(X140="Draft",X140="Awaiting review")),"Due - needs approval",IF(AND(H140&lt;&gt;"",P140=""),"Add - caption missing","OK")))))))</f>
        <v>0</v>
      </c>
    </row>
    <row r="141" spans="1:39">
      <c r="A141" s="41">
        <f>IF(H141="","",ContentPrefix&amp;TEXT(ROW()-4,"0000"))</f>
        <v>0</v>
      </c>
      <c r="D141" s="17">
        <f>IF(B141="","",TEXT(B141,"yyyy-mm"))</f>
        <v>0</v>
      </c>
      <c r="E141" s="23">
        <f>IF(B141="","",WEEKNUM(B141,IF(WeekStart="Sunday",1,2)))</f>
        <v>0</v>
      </c>
      <c r="F141" s="17">
        <f>IF(B141="","",TEXT(B141,"ddd"))</f>
        <v>0</v>
      </c>
      <c r="Q141" s="29">
        <f>IF(H141="","",IF(P141="","Add - no caption",IFERROR(INDEX('Caption Bank'!$R$5:$R$204,MATCH(P141,'Caption Bank'!$B$5:$B$204,0)),"Check - not in bank")))</f>
        <v>0</v>
      </c>
      <c r="S141" s="23">
        <f>IF(R141="","",COUNTIF('Hashtag Bank'!$D$5:$D$304,R141))</f>
        <v>0</v>
      </c>
      <c r="U141" s="29">
        <f>IF(H141="","",IF(T141="","Add - no asset",IFERROR(INDEX(Assets!$N$5:$N$254,MATCH(T141,Assets!$A$5:$A$254,0)),"Check - not in library")))</f>
        <v>0</v>
      </c>
      <c r="Y141" s="16">
        <f>IF(B141="","",B141-ProductionDays)</f>
        <v>0</v>
      </c>
      <c r="Z141" s="16">
        <f>IF(B141="","",B141-ApprovalDays)</f>
        <v>0</v>
      </c>
      <c r="AA141" s="23">
        <f>IF(B141="","",B141-TODAY())</f>
        <v>0</v>
      </c>
      <c r="AC141" s="29">
        <f>IF(H141="","",IF(X141="Published",IF(AB141="","Add - link missing","Yes"),"No"))</f>
        <v>0</v>
      </c>
      <c r="AD141" s="23">
        <f>IF(A141="","",IF(COUNTIF(Performance!$B$5:$B$404,A141)=0,"",SUMIFS(Performance!$O$5:$O$404,Performance!$B$5:$B$404,A141)))</f>
        <v>0</v>
      </c>
      <c r="AE141" s="23">
        <f>IF(AD141="","",SUMIFS(Performance!$Z$5:$Z$404,Performance!$B$5:$B$404,A141))</f>
        <v>0</v>
      </c>
      <c r="AF141" s="24">
        <f>IF(OR(AD141="",AD141=0),"",AE141/AD141)</f>
        <v>0</v>
      </c>
      <c r="AG141" s="23">
        <f>IF(AD141="","",SUMIFS(Performance!$U$5:$U$404,Performance!$B$5:$B$404,A141))</f>
        <v>0</v>
      </c>
      <c r="AH141" s="23">
        <f>IF(A141="","",COUNTIF(Repurposing!$B$5:$B$154,A141))</f>
        <v>0</v>
      </c>
      <c r="AI141" s="32">
        <f>IF(OR(H141="",B141=""),"",B141+ROW()/100000)</f>
        <v>0</v>
      </c>
      <c r="AJ141" s="32">
        <f>IF(OR(H141="",B141=""),"",IF(OR(X141="Published",X141="Cancelled",X141="Archived"),"",IF(B141&lt;TODAY(),"",B141+ROW()/100000)))</f>
        <v>0</v>
      </c>
      <c r="AK141" s="32">
        <f>IF(OR(H141="",B141=""),"",IF(OR(X141="Published",X141="Cancelled",X141="Archived"),"",IF(B141&gt;=TODAY(),"",B141+ROW()/100000)))</f>
        <v>0</v>
      </c>
      <c r="AL141" s="29">
        <f>IF(H141="","",IF(COUNTIFS('Content Calendar'!$H$5:$H$604,H141,'Content Calendar'!$G$5:$G$604,G141,'Content Calendar'!$B$5:$B$604,B141)&gt;1,"Duplicate","OK"))</f>
        <v>0</v>
      </c>
      <c r="AM141" s="29">
        <f>IF(H141="","",IF(AND(B141&lt;&gt;"",B141&lt;TODAY(),X141&lt;&gt;"Published",X141&lt;&gt;"Cancelled",X141&lt;&gt;"Archived"),"Overdue - date has passed",IF(AND(X141="Published",AB141=""),"Add - publish link missing",IF(AND(B141=TODAY(),X141&lt;&gt;"Published"),"Today - due to go live",IF(AND(Y141&lt;&gt;"",Y141&lt;TODAY(),OR(X141="Idea",X141="Brief",X141="In production")),"Late - draft not ready",IF(AND(AA141&gt;=0,AA141&lt;=3,OR(X141="Draft",X141="Awaiting review")),"Due - needs approval",IF(AND(H141&lt;&gt;"",P141=""),"Add - caption missing","OK")))))))</f>
        <v>0</v>
      </c>
    </row>
    <row r="142" spans="1:39">
      <c r="A142" s="41">
        <f>IF(H142="","",ContentPrefix&amp;TEXT(ROW()-4,"0000"))</f>
        <v>0</v>
      </c>
      <c r="D142" s="17">
        <f>IF(B142="","",TEXT(B142,"yyyy-mm"))</f>
        <v>0</v>
      </c>
      <c r="E142" s="23">
        <f>IF(B142="","",WEEKNUM(B142,IF(WeekStart="Sunday",1,2)))</f>
        <v>0</v>
      </c>
      <c r="F142" s="17">
        <f>IF(B142="","",TEXT(B142,"ddd"))</f>
        <v>0</v>
      </c>
      <c r="Q142" s="29">
        <f>IF(H142="","",IF(P142="","Add - no caption",IFERROR(INDEX('Caption Bank'!$R$5:$R$204,MATCH(P142,'Caption Bank'!$B$5:$B$204,0)),"Check - not in bank")))</f>
        <v>0</v>
      </c>
      <c r="S142" s="23">
        <f>IF(R142="","",COUNTIF('Hashtag Bank'!$D$5:$D$304,R142))</f>
        <v>0</v>
      </c>
      <c r="U142" s="29">
        <f>IF(H142="","",IF(T142="","Add - no asset",IFERROR(INDEX(Assets!$N$5:$N$254,MATCH(T142,Assets!$A$5:$A$254,0)),"Check - not in library")))</f>
        <v>0</v>
      </c>
      <c r="Y142" s="16">
        <f>IF(B142="","",B142-ProductionDays)</f>
        <v>0</v>
      </c>
      <c r="Z142" s="16">
        <f>IF(B142="","",B142-ApprovalDays)</f>
        <v>0</v>
      </c>
      <c r="AA142" s="23">
        <f>IF(B142="","",B142-TODAY())</f>
        <v>0</v>
      </c>
      <c r="AC142" s="29">
        <f>IF(H142="","",IF(X142="Published",IF(AB142="","Add - link missing","Yes"),"No"))</f>
        <v>0</v>
      </c>
      <c r="AD142" s="23">
        <f>IF(A142="","",IF(COUNTIF(Performance!$B$5:$B$404,A142)=0,"",SUMIFS(Performance!$O$5:$O$404,Performance!$B$5:$B$404,A142)))</f>
        <v>0</v>
      </c>
      <c r="AE142" s="23">
        <f>IF(AD142="","",SUMIFS(Performance!$Z$5:$Z$404,Performance!$B$5:$B$404,A142))</f>
        <v>0</v>
      </c>
      <c r="AF142" s="24">
        <f>IF(OR(AD142="",AD142=0),"",AE142/AD142)</f>
        <v>0</v>
      </c>
      <c r="AG142" s="23">
        <f>IF(AD142="","",SUMIFS(Performance!$U$5:$U$404,Performance!$B$5:$B$404,A142))</f>
        <v>0</v>
      </c>
      <c r="AH142" s="23">
        <f>IF(A142="","",COUNTIF(Repurposing!$B$5:$B$154,A142))</f>
        <v>0</v>
      </c>
      <c r="AI142" s="32">
        <f>IF(OR(H142="",B142=""),"",B142+ROW()/100000)</f>
        <v>0</v>
      </c>
      <c r="AJ142" s="32">
        <f>IF(OR(H142="",B142=""),"",IF(OR(X142="Published",X142="Cancelled",X142="Archived"),"",IF(B142&lt;TODAY(),"",B142+ROW()/100000)))</f>
        <v>0</v>
      </c>
      <c r="AK142" s="32">
        <f>IF(OR(H142="",B142=""),"",IF(OR(X142="Published",X142="Cancelled",X142="Archived"),"",IF(B142&gt;=TODAY(),"",B142+ROW()/100000)))</f>
        <v>0</v>
      </c>
      <c r="AL142" s="29">
        <f>IF(H142="","",IF(COUNTIFS('Content Calendar'!$H$5:$H$604,H142,'Content Calendar'!$G$5:$G$604,G142,'Content Calendar'!$B$5:$B$604,B142)&gt;1,"Duplicate","OK"))</f>
        <v>0</v>
      </c>
      <c r="AM142" s="29">
        <f>IF(H142="","",IF(AND(B142&lt;&gt;"",B142&lt;TODAY(),X142&lt;&gt;"Published",X142&lt;&gt;"Cancelled",X142&lt;&gt;"Archived"),"Overdue - date has passed",IF(AND(X142="Published",AB142=""),"Add - publish link missing",IF(AND(B142=TODAY(),X142&lt;&gt;"Published"),"Today - due to go live",IF(AND(Y142&lt;&gt;"",Y142&lt;TODAY(),OR(X142="Idea",X142="Brief",X142="In production")),"Late - draft not ready",IF(AND(AA142&gt;=0,AA142&lt;=3,OR(X142="Draft",X142="Awaiting review")),"Due - needs approval",IF(AND(H142&lt;&gt;"",P142=""),"Add - caption missing","OK")))))))</f>
        <v>0</v>
      </c>
    </row>
    <row r="143" spans="1:39">
      <c r="A143" s="41">
        <f>IF(H143="","",ContentPrefix&amp;TEXT(ROW()-4,"0000"))</f>
        <v>0</v>
      </c>
      <c r="D143" s="17">
        <f>IF(B143="","",TEXT(B143,"yyyy-mm"))</f>
        <v>0</v>
      </c>
      <c r="E143" s="23">
        <f>IF(B143="","",WEEKNUM(B143,IF(WeekStart="Sunday",1,2)))</f>
        <v>0</v>
      </c>
      <c r="F143" s="17">
        <f>IF(B143="","",TEXT(B143,"ddd"))</f>
        <v>0</v>
      </c>
      <c r="Q143" s="29">
        <f>IF(H143="","",IF(P143="","Add - no caption",IFERROR(INDEX('Caption Bank'!$R$5:$R$204,MATCH(P143,'Caption Bank'!$B$5:$B$204,0)),"Check - not in bank")))</f>
        <v>0</v>
      </c>
      <c r="S143" s="23">
        <f>IF(R143="","",COUNTIF('Hashtag Bank'!$D$5:$D$304,R143))</f>
        <v>0</v>
      </c>
      <c r="U143" s="29">
        <f>IF(H143="","",IF(T143="","Add - no asset",IFERROR(INDEX(Assets!$N$5:$N$254,MATCH(T143,Assets!$A$5:$A$254,0)),"Check - not in library")))</f>
        <v>0</v>
      </c>
      <c r="Y143" s="16">
        <f>IF(B143="","",B143-ProductionDays)</f>
        <v>0</v>
      </c>
      <c r="Z143" s="16">
        <f>IF(B143="","",B143-ApprovalDays)</f>
        <v>0</v>
      </c>
      <c r="AA143" s="23">
        <f>IF(B143="","",B143-TODAY())</f>
        <v>0</v>
      </c>
      <c r="AC143" s="29">
        <f>IF(H143="","",IF(X143="Published",IF(AB143="","Add - link missing","Yes"),"No"))</f>
        <v>0</v>
      </c>
      <c r="AD143" s="23">
        <f>IF(A143="","",IF(COUNTIF(Performance!$B$5:$B$404,A143)=0,"",SUMIFS(Performance!$O$5:$O$404,Performance!$B$5:$B$404,A143)))</f>
        <v>0</v>
      </c>
      <c r="AE143" s="23">
        <f>IF(AD143="","",SUMIFS(Performance!$Z$5:$Z$404,Performance!$B$5:$B$404,A143))</f>
        <v>0</v>
      </c>
      <c r="AF143" s="24">
        <f>IF(OR(AD143="",AD143=0),"",AE143/AD143)</f>
        <v>0</v>
      </c>
      <c r="AG143" s="23">
        <f>IF(AD143="","",SUMIFS(Performance!$U$5:$U$404,Performance!$B$5:$B$404,A143))</f>
        <v>0</v>
      </c>
      <c r="AH143" s="23">
        <f>IF(A143="","",COUNTIF(Repurposing!$B$5:$B$154,A143))</f>
        <v>0</v>
      </c>
      <c r="AI143" s="32">
        <f>IF(OR(H143="",B143=""),"",B143+ROW()/100000)</f>
        <v>0</v>
      </c>
      <c r="AJ143" s="32">
        <f>IF(OR(H143="",B143=""),"",IF(OR(X143="Published",X143="Cancelled",X143="Archived"),"",IF(B143&lt;TODAY(),"",B143+ROW()/100000)))</f>
        <v>0</v>
      </c>
      <c r="AK143" s="32">
        <f>IF(OR(H143="",B143=""),"",IF(OR(X143="Published",X143="Cancelled",X143="Archived"),"",IF(B143&gt;=TODAY(),"",B143+ROW()/100000)))</f>
        <v>0</v>
      </c>
      <c r="AL143" s="29">
        <f>IF(H143="","",IF(COUNTIFS('Content Calendar'!$H$5:$H$604,H143,'Content Calendar'!$G$5:$G$604,G143,'Content Calendar'!$B$5:$B$604,B143)&gt;1,"Duplicate","OK"))</f>
        <v>0</v>
      </c>
      <c r="AM143" s="29">
        <f>IF(H143="","",IF(AND(B143&lt;&gt;"",B143&lt;TODAY(),X143&lt;&gt;"Published",X143&lt;&gt;"Cancelled",X143&lt;&gt;"Archived"),"Overdue - date has passed",IF(AND(X143="Published",AB143=""),"Add - publish link missing",IF(AND(B143=TODAY(),X143&lt;&gt;"Published"),"Today - due to go live",IF(AND(Y143&lt;&gt;"",Y143&lt;TODAY(),OR(X143="Idea",X143="Brief",X143="In production")),"Late - draft not ready",IF(AND(AA143&gt;=0,AA143&lt;=3,OR(X143="Draft",X143="Awaiting review")),"Due - needs approval",IF(AND(H143&lt;&gt;"",P143=""),"Add - caption missing","OK")))))))</f>
        <v>0</v>
      </c>
    </row>
    <row r="144" spans="1:39">
      <c r="A144" s="41">
        <f>IF(H144="","",ContentPrefix&amp;TEXT(ROW()-4,"0000"))</f>
        <v>0</v>
      </c>
      <c r="D144" s="17">
        <f>IF(B144="","",TEXT(B144,"yyyy-mm"))</f>
        <v>0</v>
      </c>
      <c r="E144" s="23">
        <f>IF(B144="","",WEEKNUM(B144,IF(WeekStart="Sunday",1,2)))</f>
        <v>0</v>
      </c>
      <c r="F144" s="17">
        <f>IF(B144="","",TEXT(B144,"ddd"))</f>
        <v>0</v>
      </c>
      <c r="Q144" s="29">
        <f>IF(H144="","",IF(P144="","Add - no caption",IFERROR(INDEX('Caption Bank'!$R$5:$R$204,MATCH(P144,'Caption Bank'!$B$5:$B$204,0)),"Check - not in bank")))</f>
        <v>0</v>
      </c>
      <c r="S144" s="23">
        <f>IF(R144="","",COUNTIF('Hashtag Bank'!$D$5:$D$304,R144))</f>
        <v>0</v>
      </c>
      <c r="U144" s="29">
        <f>IF(H144="","",IF(T144="","Add - no asset",IFERROR(INDEX(Assets!$N$5:$N$254,MATCH(T144,Assets!$A$5:$A$254,0)),"Check - not in library")))</f>
        <v>0</v>
      </c>
      <c r="Y144" s="16">
        <f>IF(B144="","",B144-ProductionDays)</f>
        <v>0</v>
      </c>
      <c r="Z144" s="16">
        <f>IF(B144="","",B144-ApprovalDays)</f>
        <v>0</v>
      </c>
      <c r="AA144" s="23">
        <f>IF(B144="","",B144-TODAY())</f>
        <v>0</v>
      </c>
      <c r="AC144" s="29">
        <f>IF(H144="","",IF(X144="Published",IF(AB144="","Add - link missing","Yes"),"No"))</f>
        <v>0</v>
      </c>
      <c r="AD144" s="23">
        <f>IF(A144="","",IF(COUNTIF(Performance!$B$5:$B$404,A144)=0,"",SUMIFS(Performance!$O$5:$O$404,Performance!$B$5:$B$404,A144)))</f>
        <v>0</v>
      </c>
      <c r="AE144" s="23">
        <f>IF(AD144="","",SUMIFS(Performance!$Z$5:$Z$404,Performance!$B$5:$B$404,A144))</f>
        <v>0</v>
      </c>
      <c r="AF144" s="24">
        <f>IF(OR(AD144="",AD144=0),"",AE144/AD144)</f>
        <v>0</v>
      </c>
      <c r="AG144" s="23">
        <f>IF(AD144="","",SUMIFS(Performance!$U$5:$U$404,Performance!$B$5:$B$404,A144))</f>
        <v>0</v>
      </c>
      <c r="AH144" s="23">
        <f>IF(A144="","",COUNTIF(Repurposing!$B$5:$B$154,A144))</f>
        <v>0</v>
      </c>
      <c r="AI144" s="32">
        <f>IF(OR(H144="",B144=""),"",B144+ROW()/100000)</f>
        <v>0</v>
      </c>
      <c r="AJ144" s="32">
        <f>IF(OR(H144="",B144=""),"",IF(OR(X144="Published",X144="Cancelled",X144="Archived"),"",IF(B144&lt;TODAY(),"",B144+ROW()/100000)))</f>
        <v>0</v>
      </c>
      <c r="AK144" s="32">
        <f>IF(OR(H144="",B144=""),"",IF(OR(X144="Published",X144="Cancelled",X144="Archived"),"",IF(B144&gt;=TODAY(),"",B144+ROW()/100000)))</f>
        <v>0</v>
      </c>
      <c r="AL144" s="29">
        <f>IF(H144="","",IF(COUNTIFS('Content Calendar'!$H$5:$H$604,H144,'Content Calendar'!$G$5:$G$604,G144,'Content Calendar'!$B$5:$B$604,B144)&gt;1,"Duplicate","OK"))</f>
        <v>0</v>
      </c>
      <c r="AM144" s="29">
        <f>IF(H144="","",IF(AND(B144&lt;&gt;"",B144&lt;TODAY(),X144&lt;&gt;"Published",X144&lt;&gt;"Cancelled",X144&lt;&gt;"Archived"),"Overdue - date has passed",IF(AND(X144="Published",AB144=""),"Add - publish link missing",IF(AND(B144=TODAY(),X144&lt;&gt;"Published"),"Today - due to go live",IF(AND(Y144&lt;&gt;"",Y144&lt;TODAY(),OR(X144="Idea",X144="Brief",X144="In production")),"Late - draft not ready",IF(AND(AA144&gt;=0,AA144&lt;=3,OR(X144="Draft",X144="Awaiting review")),"Due - needs approval",IF(AND(H144&lt;&gt;"",P144=""),"Add - caption missing","OK")))))))</f>
        <v>0</v>
      </c>
    </row>
    <row r="145" spans="1:39">
      <c r="A145" s="41">
        <f>IF(H145="","",ContentPrefix&amp;TEXT(ROW()-4,"0000"))</f>
        <v>0</v>
      </c>
      <c r="D145" s="17">
        <f>IF(B145="","",TEXT(B145,"yyyy-mm"))</f>
        <v>0</v>
      </c>
      <c r="E145" s="23">
        <f>IF(B145="","",WEEKNUM(B145,IF(WeekStart="Sunday",1,2)))</f>
        <v>0</v>
      </c>
      <c r="F145" s="17">
        <f>IF(B145="","",TEXT(B145,"ddd"))</f>
        <v>0</v>
      </c>
      <c r="Q145" s="29">
        <f>IF(H145="","",IF(P145="","Add - no caption",IFERROR(INDEX('Caption Bank'!$R$5:$R$204,MATCH(P145,'Caption Bank'!$B$5:$B$204,0)),"Check - not in bank")))</f>
        <v>0</v>
      </c>
      <c r="S145" s="23">
        <f>IF(R145="","",COUNTIF('Hashtag Bank'!$D$5:$D$304,R145))</f>
        <v>0</v>
      </c>
      <c r="U145" s="29">
        <f>IF(H145="","",IF(T145="","Add - no asset",IFERROR(INDEX(Assets!$N$5:$N$254,MATCH(T145,Assets!$A$5:$A$254,0)),"Check - not in library")))</f>
        <v>0</v>
      </c>
      <c r="Y145" s="16">
        <f>IF(B145="","",B145-ProductionDays)</f>
        <v>0</v>
      </c>
      <c r="Z145" s="16">
        <f>IF(B145="","",B145-ApprovalDays)</f>
        <v>0</v>
      </c>
      <c r="AA145" s="23">
        <f>IF(B145="","",B145-TODAY())</f>
        <v>0</v>
      </c>
      <c r="AC145" s="29">
        <f>IF(H145="","",IF(X145="Published",IF(AB145="","Add - link missing","Yes"),"No"))</f>
        <v>0</v>
      </c>
      <c r="AD145" s="23">
        <f>IF(A145="","",IF(COUNTIF(Performance!$B$5:$B$404,A145)=0,"",SUMIFS(Performance!$O$5:$O$404,Performance!$B$5:$B$404,A145)))</f>
        <v>0</v>
      </c>
      <c r="AE145" s="23">
        <f>IF(AD145="","",SUMIFS(Performance!$Z$5:$Z$404,Performance!$B$5:$B$404,A145))</f>
        <v>0</v>
      </c>
      <c r="AF145" s="24">
        <f>IF(OR(AD145="",AD145=0),"",AE145/AD145)</f>
        <v>0</v>
      </c>
      <c r="AG145" s="23">
        <f>IF(AD145="","",SUMIFS(Performance!$U$5:$U$404,Performance!$B$5:$B$404,A145))</f>
        <v>0</v>
      </c>
      <c r="AH145" s="23">
        <f>IF(A145="","",COUNTIF(Repurposing!$B$5:$B$154,A145))</f>
        <v>0</v>
      </c>
      <c r="AI145" s="32">
        <f>IF(OR(H145="",B145=""),"",B145+ROW()/100000)</f>
        <v>0</v>
      </c>
      <c r="AJ145" s="32">
        <f>IF(OR(H145="",B145=""),"",IF(OR(X145="Published",X145="Cancelled",X145="Archived"),"",IF(B145&lt;TODAY(),"",B145+ROW()/100000)))</f>
        <v>0</v>
      </c>
      <c r="AK145" s="32">
        <f>IF(OR(H145="",B145=""),"",IF(OR(X145="Published",X145="Cancelled",X145="Archived"),"",IF(B145&gt;=TODAY(),"",B145+ROW()/100000)))</f>
        <v>0</v>
      </c>
      <c r="AL145" s="29">
        <f>IF(H145="","",IF(COUNTIFS('Content Calendar'!$H$5:$H$604,H145,'Content Calendar'!$G$5:$G$604,G145,'Content Calendar'!$B$5:$B$604,B145)&gt;1,"Duplicate","OK"))</f>
        <v>0</v>
      </c>
      <c r="AM145" s="29">
        <f>IF(H145="","",IF(AND(B145&lt;&gt;"",B145&lt;TODAY(),X145&lt;&gt;"Published",X145&lt;&gt;"Cancelled",X145&lt;&gt;"Archived"),"Overdue - date has passed",IF(AND(X145="Published",AB145=""),"Add - publish link missing",IF(AND(B145=TODAY(),X145&lt;&gt;"Published"),"Today - due to go live",IF(AND(Y145&lt;&gt;"",Y145&lt;TODAY(),OR(X145="Idea",X145="Brief",X145="In production")),"Late - draft not ready",IF(AND(AA145&gt;=0,AA145&lt;=3,OR(X145="Draft",X145="Awaiting review")),"Due - needs approval",IF(AND(H145&lt;&gt;"",P145=""),"Add - caption missing","OK")))))))</f>
        <v>0</v>
      </c>
    </row>
    <row r="146" spans="1:39">
      <c r="A146" s="41">
        <f>IF(H146="","",ContentPrefix&amp;TEXT(ROW()-4,"0000"))</f>
        <v>0</v>
      </c>
      <c r="D146" s="17">
        <f>IF(B146="","",TEXT(B146,"yyyy-mm"))</f>
        <v>0</v>
      </c>
      <c r="E146" s="23">
        <f>IF(B146="","",WEEKNUM(B146,IF(WeekStart="Sunday",1,2)))</f>
        <v>0</v>
      </c>
      <c r="F146" s="17">
        <f>IF(B146="","",TEXT(B146,"ddd"))</f>
        <v>0</v>
      </c>
      <c r="Q146" s="29">
        <f>IF(H146="","",IF(P146="","Add - no caption",IFERROR(INDEX('Caption Bank'!$R$5:$R$204,MATCH(P146,'Caption Bank'!$B$5:$B$204,0)),"Check - not in bank")))</f>
        <v>0</v>
      </c>
      <c r="S146" s="23">
        <f>IF(R146="","",COUNTIF('Hashtag Bank'!$D$5:$D$304,R146))</f>
        <v>0</v>
      </c>
      <c r="U146" s="29">
        <f>IF(H146="","",IF(T146="","Add - no asset",IFERROR(INDEX(Assets!$N$5:$N$254,MATCH(T146,Assets!$A$5:$A$254,0)),"Check - not in library")))</f>
        <v>0</v>
      </c>
      <c r="Y146" s="16">
        <f>IF(B146="","",B146-ProductionDays)</f>
        <v>0</v>
      </c>
      <c r="Z146" s="16">
        <f>IF(B146="","",B146-ApprovalDays)</f>
        <v>0</v>
      </c>
      <c r="AA146" s="23">
        <f>IF(B146="","",B146-TODAY())</f>
        <v>0</v>
      </c>
      <c r="AC146" s="29">
        <f>IF(H146="","",IF(X146="Published",IF(AB146="","Add - link missing","Yes"),"No"))</f>
        <v>0</v>
      </c>
      <c r="AD146" s="23">
        <f>IF(A146="","",IF(COUNTIF(Performance!$B$5:$B$404,A146)=0,"",SUMIFS(Performance!$O$5:$O$404,Performance!$B$5:$B$404,A146)))</f>
        <v>0</v>
      </c>
      <c r="AE146" s="23">
        <f>IF(AD146="","",SUMIFS(Performance!$Z$5:$Z$404,Performance!$B$5:$B$404,A146))</f>
        <v>0</v>
      </c>
      <c r="AF146" s="24">
        <f>IF(OR(AD146="",AD146=0),"",AE146/AD146)</f>
        <v>0</v>
      </c>
      <c r="AG146" s="23">
        <f>IF(AD146="","",SUMIFS(Performance!$U$5:$U$404,Performance!$B$5:$B$404,A146))</f>
        <v>0</v>
      </c>
      <c r="AH146" s="23">
        <f>IF(A146="","",COUNTIF(Repurposing!$B$5:$B$154,A146))</f>
        <v>0</v>
      </c>
      <c r="AI146" s="32">
        <f>IF(OR(H146="",B146=""),"",B146+ROW()/100000)</f>
        <v>0</v>
      </c>
      <c r="AJ146" s="32">
        <f>IF(OR(H146="",B146=""),"",IF(OR(X146="Published",X146="Cancelled",X146="Archived"),"",IF(B146&lt;TODAY(),"",B146+ROW()/100000)))</f>
        <v>0</v>
      </c>
      <c r="AK146" s="32">
        <f>IF(OR(H146="",B146=""),"",IF(OR(X146="Published",X146="Cancelled",X146="Archived"),"",IF(B146&gt;=TODAY(),"",B146+ROW()/100000)))</f>
        <v>0</v>
      </c>
      <c r="AL146" s="29">
        <f>IF(H146="","",IF(COUNTIFS('Content Calendar'!$H$5:$H$604,H146,'Content Calendar'!$G$5:$G$604,G146,'Content Calendar'!$B$5:$B$604,B146)&gt;1,"Duplicate","OK"))</f>
        <v>0</v>
      </c>
      <c r="AM146" s="29">
        <f>IF(H146="","",IF(AND(B146&lt;&gt;"",B146&lt;TODAY(),X146&lt;&gt;"Published",X146&lt;&gt;"Cancelled",X146&lt;&gt;"Archived"),"Overdue - date has passed",IF(AND(X146="Published",AB146=""),"Add - publish link missing",IF(AND(B146=TODAY(),X146&lt;&gt;"Published"),"Today - due to go live",IF(AND(Y146&lt;&gt;"",Y146&lt;TODAY(),OR(X146="Idea",X146="Brief",X146="In production")),"Late - draft not ready",IF(AND(AA146&gt;=0,AA146&lt;=3,OR(X146="Draft",X146="Awaiting review")),"Due - needs approval",IF(AND(H146&lt;&gt;"",P146=""),"Add - caption missing","OK")))))))</f>
        <v>0</v>
      </c>
    </row>
    <row r="147" spans="1:39">
      <c r="A147" s="41">
        <f>IF(H147="","",ContentPrefix&amp;TEXT(ROW()-4,"0000"))</f>
        <v>0</v>
      </c>
      <c r="D147" s="17">
        <f>IF(B147="","",TEXT(B147,"yyyy-mm"))</f>
        <v>0</v>
      </c>
      <c r="E147" s="23">
        <f>IF(B147="","",WEEKNUM(B147,IF(WeekStart="Sunday",1,2)))</f>
        <v>0</v>
      </c>
      <c r="F147" s="17">
        <f>IF(B147="","",TEXT(B147,"ddd"))</f>
        <v>0</v>
      </c>
      <c r="Q147" s="29">
        <f>IF(H147="","",IF(P147="","Add - no caption",IFERROR(INDEX('Caption Bank'!$R$5:$R$204,MATCH(P147,'Caption Bank'!$B$5:$B$204,0)),"Check - not in bank")))</f>
        <v>0</v>
      </c>
      <c r="S147" s="23">
        <f>IF(R147="","",COUNTIF('Hashtag Bank'!$D$5:$D$304,R147))</f>
        <v>0</v>
      </c>
      <c r="U147" s="29">
        <f>IF(H147="","",IF(T147="","Add - no asset",IFERROR(INDEX(Assets!$N$5:$N$254,MATCH(T147,Assets!$A$5:$A$254,0)),"Check - not in library")))</f>
        <v>0</v>
      </c>
      <c r="Y147" s="16">
        <f>IF(B147="","",B147-ProductionDays)</f>
        <v>0</v>
      </c>
      <c r="Z147" s="16">
        <f>IF(B147="","",B147-ApprovalDays)</f>
        <v>0</v>
      </c>
      <c r="AA147" s="23">
        <f>IF(B147="","",B147-TODAY())</f>
        <v>0</v>
      </c>
      <c r="AC147" s="29">
        <f>IF(H147="","",IF(X147="Published",IF(AB147="","Add - link missing","Yes"),"No"))</f>
        <v>0</v>
      </c>
      <c r="AD147" s="23">
        <f>IF(A147="","",IF(COUNTIF(Performance!$B$5:$B$404,A147)=0,"",SUMIFS(Performance!$O$5:$O$404,Performance!$B$5:$B$404,A147)))</f>
        <v>0</v>
      </c>
      <c r="AE147" s="23">
        <f>IF(AD147="","",SUMIFS(Performance!$Z$5:$Z$404,Performance!$B$5:$B$404,A147))</f>
        <v>0</v>
      </c>
      <c r="AF147" s="24">
        <f>IF(OR(AD147="",AD147=0),"",AE147/AD147)</f>
        <v>0</v>
      </c>
      <c r="AG147" s="23">
        <f>IF(AD147="","",SUMIFS(Performance!$U$5:$U$404,Performance!$B$5:$B$404,A147))</f>
        <v>0</v>
      </c>
      <c r="AH147" s="23">
        <f>IF(A147="","",COUNTIF(Repurposing!$B$5:$B$154,A147))</f>
        <v>0</v>
      </c>
      <c r="AI147" s="32">
        <f>IF(OR(H147="",B147=""),"",B147+ROW()/100000)</f>
        <v>0</v>
      </c>
      <c r="AJ147" s="32">
        <f>IF(OR(H147="",B147=""),"",IF(OR(X147="Published",X147="Cancelled",X147="Archived"),"",IF(B147&lt;TODAY(),"",B147+ROW()/100000)))</f>
        <v>0</v>
      </c>
      <c r="AK147" s="32">
        <f>IF(OR(H147="",B147=""),"",IF(OR(X147="Published",X147="Cancelled",X147="Archived"),"",IF(B147&gt;=TODAY(),"",B147+ROW()/100000)))</f>
        <v>0</v>
      </c>
      <c r="AL147" s="29">
        <f>IF(H147="","",IF(COUNTIFS('Content Calendar'!$H$5:$H$604,H147,'Content Calendar'!$G$5:$G$604,G147,'Content Calendar'!$B$5:$B$604,B147)&gt;1,"Duplicate","OK"))</f>
        <v>0</v>
      </c>
      <c r="AM147" s="29">
        <f>IF(H147="","",IF(AND(B147&lt;&gt;"",B147&lt;TODAY(),X147&lt;&gt;"Published",X147&lt;&gt;"Cancelled",X147&lt;&gt;"Archived"),"Overdue - date has passed",IF(AND(X147="Published",AB147=""),"Add - publish link missing",IF(AND(B147=TODAY(),X147&lt;&gt;"Published"),"Today - due to go live",IF(AND(Y147&lt;&gt;"",Y147&lt;TODAY(),OR(X147="Idea",X147="Brief",X147="In production")),"Late - draft not ready",IF(AND(AA147&gt;=0,AA147&lt;=3,OR(X147="Draft",X147="Awaiting review")),"Due - needs approval",IF(AND(H147&lt;&gt;"",P147=""),"Add - caption missing","OK")))))))</f>
        <v>0</v>
      </c>
    </row>
    <row r="148" spans="1:39">
      <c r="A148" s="41">
        <f>IF(H148="","",ContentPrefix&amp;TEXT(ROW()-4,"0000"))</f>
        <v>0</v>
      </c>
      <c r="D148" s="17">
        <f>IF(B148="","",TEXT(B148,"yyyy-mm"))</f>
        <v>0</v>
      </c>
      <c r="E148" s="23">
        <f>IF(B148="","",WEEKNUM(B148,IF(WeekStart="Sunday",1,2)))</f>
        <v>0</v>
      </c>
      <c r="F148" s="17">
        <f>IF(B148="","",TEXT(B148,"ddd"))</f>
        <v>0</v>
      </c>
      <c r="Q148" s="29">
        <f>IF(H148="","",IF(P148="","Add - no caption",IFERROR(INDEX('Caption Bank'!$R$5:$R$204,MATCH(P148,'Caption Bank'!$B$5:$B$204,0)),"Check - not in bank")))</f>
        <v>0</v>
      </c>
      <c r="S148" s="23">
        <f>IF(R148="","",COUNTIF('Hashtag Bank'!$D$5:$D$304,R148))</f>
        <v>0</v>
      </c>
      <c r="U148" s="29">
        <f>IF(H148="","",IF(T148="","Add - no asset",IFERROR(INDEX(Assets!$N$5:$N$254,MATCH(T148,Assets!$A$5:$A$254,0)),"Check - not in library")))</f>
        <v>0</v>
      </c>
      <c r="Y148" s="16">
        <f>IF(B148="","",B148-ProductionDays)</f>
        <v>0</v>
      </c>
      <c r="Z148" s="16">
        <f>IF(B148="","",B148-ApprovalDays)</f>
        <v>0</v>
      </c>
      <c r="AA148" s="23">
        <f>IF(B148="","",B148-TODAY())</f>
        <v>0</v>
      </c>
      <c r="AC148" s="29">
        <f>IF(H148="","",IF(X148="Published",IF(AB148="","Add - link missing","Yes"),"No"))</f>
        <v>0</v>
      </c>
      <c r="AD148" s="23">
        <f>IF(A148="","",IF(COUNTIF(Performance!$B$5:$B$404,A148)=0,"",SUMIFS(Performance!$O$5:$O$404,Performance!$B$5:$B$404,A148)))</f>
        <v>0</v>
      </c>
      <c r="AE148" s="23">
        <f>IF(AD148="","",SUMIFS(Performance!$Z$5:$Z$404,Performance!$B$5:$B$404,A148))</f>
        <v>0</v>
      </c>
      <c r="AF148" s="24">
        <f>IF(OR(AD148="",AD148=0),"",AE148/AD148)</f>
        <v>0</v>
      </c>
      <c r="AG148" s="23">
        <f>IF(AD148="","",SUMIFS(Performance!$U$5:$U$404,Performance!$B$5:$B$404,A148))</f>
        <v>0</v>
      </c>
      <c r="AH148" s="23">
        <f>IF(A148="","",COUNTIF(Repurposing!$B$5:$B$154,A148))</f>
        <v>0</v>
      </c>
      <c r="AI148" s="32">
        <f>IF(OR(H148="",B148=""),"",B148+ROW()/100000)</f>
        <v>0</v>
      </c>
      <c r="AJ148" s="32">
        <f>IF(OR(H148="",B148=""),"",IF(OR(X148="Published",X148="Cancelled",X148="Archived"),"",IF(B148&lt;TODAY(),"",B148+ROW()/100000)))</f>
        <v>0</v>
      </c>
      <c r="AK148" s="32">
        <f>IF(OR(H148="",B148=""),"",IF(OR(X148="Published",X148="Cancelled",X148="Archived"),"",IF(B148&gt;=TODAY(),"",B148+ROW()/100000)))</f>
        <v>0</v>
      </c>
      <c r="AL148" s="29">
        <f>IF(H148="","",IF(COUNTIFS('Content Calendar'!$H$5:$H$604,H148,'Content Calendar'!$G$5:$G$604,G148,'Content Calendar'!$B$5:$B$604,B148)&gt;1,"Duplicate","OK"))</f>
        <v>0</v>
      </c>
      <c r="AM148" s="29">
        <f>IF(H148="","",IF(AND(B148&lt;&gt;"",B148&lt;TODAY(),X148&lt;&gt;"Published",X148&lt;&gt;"Cancelled",X148&lt;&gt;"Archived"),"Overdue - date has passed",IF(AND(X148="Published",AB148=""),"Add - publish link missing",IF(AND(B148=TODAY(),X148&lt;&gt;"Published"),"Today - due to go live",IF(AND(Y148&lt;&gt;"",Y148&lt;TODAY(),OR(X148="Idea",X148="Brief",X148="In production")),"Late - draft not ready",IF(AND(AA148&gt;=0,AA148&lt;=3,OR(X148="Draft",X148="Awaiting review")),"Due - needs approval",IF(AND(H148&lt;&gt;"",P148=""),"Add - caption missing","OK")))))))</f>
        <v>0</v>
      </c>
    </row>
    <row r="149" spans="1:39">
      <c r="A149" s="41">
        <f>IF(H149="","",ContentPrefix&amp;TEXT(ROW()-4,"0000"))</f>
        <v>0</v>
      </c>
      <c r="D149" s="17">
        <f>IF(B149="","",TEXT(B149,"yyyy-mm"))</f>
        <v>0</v>
      </c>
      <c r="E149" s="23">
        <f>IF(B149="","",WEEKNUM(B149,IF(WeekStart="Sunday",1,2)))</f>
        <v>0</v>
      </c>
      <c r="F149" s="17">
        <f>IF(B149="","",TEXT(B149,"ddd"))</f>
        <v>0</v>
      </c>
      <c r="Q149" s="29">
        <f>IF(H149="","",IF(P149="","Add - no caption",IFERROR(INDEX('Caption Bank'!$R$5:$R$204,MATCH(P149,'Caption Bank'!$B$5:$B$204,0)),"Check - not in bank")))</f>
        <v>0</v>
      </c>
      <c r="S149" s="23">
        <f>IF(R149="","",COUNTIF('Hashtag Bank'!$D$5:$D$304,R149))</f>
        <v>0</v>
      </c>
      <c r="U149" s="29">
        <f>IF(H149="","",IF(T149="","Add - no asset",IFERROR(INDEX(Assets!$N$5:$N$254,MATCH(T149,Assets!$A$5:$A$254,0)),"Check - not in library")))</f>
        <v>0</v>
      </c>
      <c r="Y149" s="16">
        <f>IF(B149="","",B149-ProductionDays)</f>
        <v>0</v>
      </c>
      <c r="Z149" s="16">
        <f>IF(B149="","",B149-ApprovalDays)</f>
        <v>0</v>
      </c>
      <c r="AA149" s="23">
        <f>IF(B149="","",B149-TODAY())</f>
        <v>0</v>
      </c>
      <c r="AC149" s="29">
        <f>IF(H149="","",IF(X149="Published",IF(AB149="","Add - link missing","Yes"),"No"))</f>
        <v>0</v>
      </c>
      <c r="AD149" s="23">
        <f>IF(A149="","",IF(COUNTIF(Performance!$B$5:$B$404,A149)=0,"",SUMIFS(Performance!$O$5:$O$404,Performance!$B$5:$B$404,A149)))</f>
        <v>0</v>
      </c>
      <c r="AE149" s="23">
        <f>IF(AD149="","",SUMIFS(Performance!$Z$5:$Z$404,Performance!$B$5:$B$404,A149))</f>
        <v>0</v>
      </c>
      <c r="AF149" s="24">
        <f>IF(OR(AD149="",AD149=0),"",AE149/AD149)</f>
        <v>0</v>
      </c>
      <c r="AG149" s="23">
        <f>IF(AD149="","",SUMIFS(Performance!$U$5:$U$404,Performance!$B$5:$B$404,A149))</f>
        <v>0</v>
      </c>
      <c r="AH149" s="23">
        <f>IF(A149="","",COUNTIF(Repurposing!$B$5:$B$154,A149))</f>
        <v>0</v>
      </c>
      <c r="AI149" s="32">
        <f>IF(OR(H149="",B149=""),"",B149+ROW()/100000)</f>
        <v>0</v>
      </c>
      <c r="AJ149" s="32">
        <f>IF(OR(H149="",B149=""),"",IF(OR(X149="Published",X149="Cancelled",X149="Archived"),"",IF(B149&lt;TODAY(),"",B149+ROW()/100000)))</f>
        <v>0</v>
      </c>
      <c r="AK149" s="32">
        <f>IF(OR(H149="",B149=""),"",IF(OR(X149="Published",X149="Cancelled",X149="Archived"),"",IF(B149&gt;=TODAY(),"",B149+ROW()/100000)))</f>
        <v>0</v>
      </c>
      <c r="AL149" s="29">
        <f>IF(H149="","",IF(COUNTIFS('Content Calendar'!$H$5:$H$604,H149,'Content Calendar'!$G$5:$G$604,G149,'Content Calendar'!$B$5:$B$604,B149)&gt;1,"Duplicate","OK"))</f>
        <v>0</v>
      </c>
      <c r="AM149" s="29">
        <f>IF(H149="","",IF(AND(B149&lt;&gt;"",B149&lt;TODAY(),X149&lt;&gt;"Published",X149&lt;&gt;"Cancelled",X149&lt;&gt;"Archived"),"Overdue - date has passed",IF(AND(X149="Published",AB149=""),"Add - publish link missing",IF(AND(B149=TODAY(),X149&lt;&gt;"Published"),"Today - due to go live",IF(AND(Y149&lt;&gt;"",Y149&lt;TODAY(),OR(X149="Idea",X149="Brief",X149="In production")),"Late - draft not ready",IF(AND(AA149&gt;=0,AA149&lt;=3,OR(X149="Draft",X149="Awaiting review")),"Due - needs approval",IF(AND(H149&lt;&gt;"",P149=""),"Add - caption missing","OK")))))))</f>
        <v>0</v>
      </c>
    </row>
    <row r="150" spans="1:39">
      <c r="A150" s="41">
        <f>IF(H150="","",ContentPrefix&amp;TEXT(ROW()-4,"0000"))</f>
        <v>0</v>
      </c>
      <c r="D150" s="17">
        <f>IF(B150="","",TEXT(B150,"yyyy-mm"))</f>
        <v>0</v>
      </c>
      <c r="E150" s="23">
        <f>IF(B150="","",WEEKNUM(B150,IF(WeekStart="Sunday",1,2)))</f>
        <v>0</v>
      </c>
      <c r="F150" s="17">
        <f>IF(B150="","",TEXT(B150,"ddd"))</f>
        <v>0</v>
      </c>
      <c r="Q150" s="29">
        <f>IF(H150="","",IF(P150="","Add - no caption",IFERROR(INDEX('Caption Bank'!$R$5:$R$204,MATCH(P150,'Caption Bank'!$B$5:$B$204,0)),"Check - not in bank")))</f>
        <v>0</v>
      </c>
      <c r="S150" s="23">
        <f>IF(R150="","",COUNTIF('Hashtag Bank'!$D$5:$D$304,R150))</f>
        <v>0</v>
      </c>
      <c r="U150" s="29">
        <f>IF(H150="","",IF(T150="","Add - no asset",IFERROR(INDEX(Assets!$N$5:$N$254,MATCH(T150,Assets!$A$5:$A$254,0)),"Check - not in library")))</f>
        <v>0</v>
      </c>
      <c r="Y150" s="16">
        <f>IF(B150="","",B150-ProductionDays)</f>
        <v>0</v>
      </c>
      <c r="Z150" s="16">
        <f>IF(B150="","",B150-ApprovalDays)</f>
        <v>0</v>
      </c>
      <c r="AA150" s="23">
        <f>IF(B150="","",B150-TODAY())</f>
        <v>0</v>
      </c>
      <c r="AC150" s="29">
        <f>IF(H150="","",IF(X150="Published",IF(AB150="","Add - link missing","Yes"),"No"))</f>
        <v>0</v>
      </c>
      <c r="AD150" s="23">
        <f>IF(A150="","",IF(COUNTIF(Performance!$B$5:$B$404,A150)=0,"",SUMIFS(Performance!$O$5:$O$404,Performance!$B$5:$B$404,A150)))</f>
        <v>0</v>
      </c>
      <c r="AE150" s="23">
        <f>IF(AD150="","",SUMIFS(Performance!$Z$5:$Z$404,Performance!$B$5:$B$404,A150))</f>
        <v>0</v>
      </c>
      <c r="AF150" s="24">
        <f>IF(OR(AD150="",AD150=0),"",AE150/AD150)</f>
        <v>0</v>
      </c>
      <c r="AG150" s="23">
        <f>IF(AD150="","",SUMIFS(Performance!$U$5:$U$404,Performance!$B$5:$B$404,A150))</f>
        <v>0</v>
      </c>
      <c r="AH150" s="23">
        <f>IF(A150="","",COUNTIF(Repurposing!$B$5:$B$154,A150))</f>
        <v>0</v>
      </c>
      <c r="AI150" s="32">
        <f>IF(OR(H150="",B150=""),"",B150+ROW()/100000)</f>
        <v>0</v>
      </c>
      <c r="AJ150" s="32">
        <f>IF(OR(H150="",B150=""),"",IF(OR(X150="Published",X150="Cancelled",X150="Archived"),"",IF(B150&lt;TODAY(),"",B150+ROW()/100000)))</f>
        <v>0</v>
      </c>
      <c r="AK150" s="32">
        <f>IF(OR(H150="",B150=""),"",IF(OR(X150="Published",X150="Cancelled",X150="Archived"),"",IF(B150&gt;=TODAY(),"",B150+ROW()/100000)))</f>
        <v>0</v>
      </c>
      <c r="AL150" s="29">
        <f>IF(H150="","",IF(COUNTIFS('Content Calendar'!$H$5:$H$604,H150,'Content Calendar'!$G$5:$G$604,G150,'Content Calendar'!$B$5:$B$604,B150)&gt;1,"Duplicate","OK"))</f>
        <v>0</v>
      </c>
      <c r="AM150" s="29">
        <f>IF(H150="","",IF(AND(B150&lt;&gt;"",B150&lt;TODAY(),X150&lt;&gt;"Published",X150&lt;&gt;"Cancelled",X150&lt;&gt;"Archived"),"Overdue - date has passed",IF(AND(X150="Published",AB150=""),"Add - publish link missing",IF(AND(B150=TODAY(),X150&lt;&gt;"Published"),"Today - due to go live",IF(AND(Y150&lt;&gt;"",Y150&lt;TODAY(),OR(X150="Idea",X150="Brief",X150="In production")),"Late - draft not ready",IF(AND(AA150&gt;=0,AA150&lt;=3,OR(X150="Draft",X150="Awaiting review")),"Due - needs approval",IF(AND(H150&lt;&gt;"",P150=""),"Add - caption missing","OK")))))))</f>
        <v>0</v>
      </c>
    </row>
    <row r="151" spans="1:39">
      <c r="A151" s="41">
        <f>IF(H151="","",ContentPrefix&amp;TEXT(ROW()-4,"0000"))</f>
        <v>0</v>
      </c>
      <c r="D151" s="17">
        <f>IF(B151="","",TEXT(B151,"yyyy-mm"))</f>
        <v>0</v>
      </c>
      <c r="E151" s="23">
        <f>IF(B151="","",WEEKNUM(B151,IF(WeekStart="Sunday",1,2)))</f>
        <v>0</v>
      </c>
      <c r="F151" s="17">
        <f>IF(B151="","",TEXT(B151,"ddd"))</f>
        <v>0</v>
      </c>
      <c r="Q151" s="29">
        <f>IF(H151="","",IF(P151="","Add - no caption",IFERROR(INDEX('Caption Bank'!$R$5:$R$204,MATCH(P151,'Caption Bank'!$B$5:$B$204,0)),"Check - not in bank")))</f>
        <v>0</v>
      </c>
      <c r="S151" s="23">
        <f>IF(R151="","",COUNTIF('Hashtag Bank'!$D$5:$D$304,R151))</f>
        <v>0</v>
      </c>
      <c r="U151" s="29">
        <f>IF(H151="","",IF(T151="","Add - no asset",IFERROR(INDEX(Assets!$N$5:$N$254,MATCH(T151,Assets!$A$5:$A$254,0)),"Check - not in library")))</f>
        <v>0</v>
      </c>
      <c r="Y151" s="16">
        <f>IF(B151="","",B151-ProductionDays)</f>
        <v>0</v>
      </c>
      <c r="Z151" s="16">
        <f>IF(B151="","",B151-ApprovalDays)</f>
        <v>0</v>
      </c>
      <c r="AA151" s="23">
        <f>IF(B151="","",B151-TODAY())</f>
        <v>0</v>
      </c>
      <c r="AC151" s="29">
        <f>IF(H151="","",IF(X151="Published",IF(AB151="","Add - link missing","Yes"),"No"))</f>
        <v>0</v>
      </c>
      <c r="AD151" s="23">
        <f>IF(A151="","",IF(COUNTIF(Performance!$B$5:$B$404,A151)=0,"",SUMIFS(Performance!$O$5:$O$404,Performance!$B$5:$B$404,A151)))</f>
        <v>0</v>
      </c>
      <c r="AE151" s="23">
        <f>IF(AD151="","",SUMIFS(Performance!$Z$5:$Z$404,Performance!$B$5:$B$404,A151))</f>
        <v>0</v>
      </c>
      <c r="AF151" s="24">
        <f>IF(OR(AD151="",AD151=0),"",AE151/AD151)</f>
        <v>0</v>
      </c>
      <c r="AG151" s="23">
        <f>IF(AD151="","",SUMIFS(Performance!$U$5:$U$404,Performance!$B$5:$B$404,A151))</f>
        <v>0</v>
      </c>
      <c r="AH151" s="23">
        <f>IF(A151="","",COUNTIF(Repurposing!$B$5:$B$154,A151))</f>
        <v>0</v>
      </c>
      <c r="AI151" s="32">
        <f>IF(OR(H151="",B151=""),"",B151+ROW()/100000)</f>
        <v>0</v>
      </c>
      <c r="AJ151" s="32">
        <f>IF(OR(H151="",B151=""),"",IF(OR(X151="Published",X151="Cancelled",X151="Archived"),"",IF(B151&lt;TODAY(),"",B151+ROW()/100000)))</f>
        <v>0</v>
      </c>
      <c r="AK151" s="32">
        <f>IF(OR(H151="",B151=""),"",IF(OR(X151="Published",X151="Cancelled",X151="Archived"),"",IF(B151&gt;=TODAY(),"",B151+ROW()/100000)))</f>
        <v>0</v>
      </c>
      <c r="AL151" s="29">
        <f>IF(H151="","",IF(COUNTIFS('Content Calendar'!$H$5:$H$604,H151,'Content Calendar'!$G$5:$G$604,G151,'Content Calendar'!$B$5:$B$604,B151)&gt;1,"Duplicate","OK"))</f>
        <v>0</v>
      </c>
      <c r="AM151" s="29">
        <f>IF(H151="","",IF(AND(B151&lt;&gt;"",B151&lt;TODAY(),X151&lt;&gt;"Published",X151&lt;&gt;"Cancelled",X151&lt;&gt;"Archived"),"Overdue - date has passed",IF(AND(X151="Published",AB151=""),"Add - publish link missing",IF(AND(B151=TODAY(),X151&lt;&gt;"Published"),"Today - due to go live",IF(AND(Y151&lt;&gt;"",Y151&lt;TODAY(),OR(X151="Idea",X151="Brief",X151="In production")),"Late - draft not ready",IF(AND(AA151&gt;=0,AA151&lt;=3,OR(X151="Draft",X151="Awaiting review")),"Due - needs approval",IF(AND(H151&lt;&gt;"",P151=""),"Add - caption missing","OK")))))))</f>
        <v>0</v>
      </c>
    </row>
    <row r="152" spans="1:39">
      <c r="A152" s="41">
        <f>IF(H152="","",ContentPrefix&amp;TEXT(ROW()-4,"0000"))</f>
        <v>0</v>
      </c>
      <c r="D152" s="17">
        <f>IF(B152="","",TEXT(B152,"yyyy-mm"))</f>
        <v>0</v>
      </c>
      <c r="E152" s="23">
        <f>IF(B152="","",WEEKNUM(B152,IF(WeekStart="Sunday",1,2)))</f>
        <v>0</v>
      </c>
      <c r="F152" s="17">
        <f>IF(B152="","",TEXT(B152,"ddd"))</f>
        <v>0</v>
      </c>
      <c r="Q152" s="29">
        <f>IF(H152="","",IF(P152="","Add - no caption",IFERROR(INDEX('Caption Bank'!$R$5:$R$204,MATCH(P152,'Caption Bank'!$B$5:$B$204,0)),"Check - not in bank")))</f>
        <v>0</v>
      </c>
      <c r="S152" s="23">
        <f>IF(R152="","",COUNTIF('Hashtag Bank'!$D$5:$D$304,R152))</f>
        <v>0</v>
      </c>
      <c r="U152" s="29">
        <f>IF(H152="","",IF(T152="","Add - no asset",IFERROR(INDEX(Assets!$N$5:$N$254,MATCH(T152,Assets!$A$5:$A$254,0)),"Check - not in library")))</f>
        <v>0</v>
      </c>
      <c r="Y152" s="16">
        <f>IF(B152="","",B152-ProductionDays)</f>
        <v>0</v>
      </c>
      <c r="Z152" s="16">
        <f>IF(B152="","",B152-ApprovalDays)</f>
        <v>0</v>
      </c>
      <c r="AA152" s="23">
        <f>IF(B152="","",B152-TODAY())</f>
        <v>0</v>
      </c>
      <c r="AC152" s="29">
        <f>IF(H152="","",IF(X152="Published",IF(AB152="","Add - link missing","Yes"),"No"))</f>
        <v>0</v>
      </c>
      <c r="AD152" s="23">
        <f>IF(A152="","",IF(COUNTIF(Performance!$B$5:$B$404,A152)=0,"",SUMIFS(Performance!$O$5:$O$404,Performance!$B$5:$B$404,A152)))</f>
        <v>0</v>
      </c>
      <c r="AE152" s="23">
        <f>IF(AD152="","",SUMIFS(Performance!$Z$5:$Z$404,Performance!$B$5:$B$404,A152))</f>
        <v>0</v>
      </c>
      <c r="AF152" s="24">
        <f>IF(OR(AD152="",AD152=0),"",AE152/AD152)</f>
        <v>0</v>
      </c>
      <c r="AG152" s="23">
        <f>IF(AD152="","",SUMIFS(Performance!$U$5:$U$404,Performance!$B$5:$B$404,A152))</f>
        <v>0</v>
      </c>
      <c r="AH152" s="23">
        <f>IF(A152="","",COUNTIF(Repurposing!$B$5:$B$154,A152))</f>
        <v>0</v>
      </c>
      <c r="AI152" s="32">
        <f>IF(OR(H152="",B152=""),"",B152+ROW()/100000)</f>
        <v>0</v>
      </c>
      <c r="AJ152" s="32">
        <f>IF(OR(H152="",B152=""),"",IF(OR(X152="Published",X152="Cancelled",X152="Archived"),"",IF(B152&lt;TODAY(),"",B152+ROW()/100000)))</f>
        <v>0</v>
      </c>
      <c r="AK152" s="32">
        <f>IF(OR(H152="",B152=""),"",IF(OR(X152="Published",X152="Cancelled",X152="Archived"),"",IF(B152&gt;=TODAY(),"",B152+ROW()/100000)))</f>
        <v>0</v>
      </c>
      <c r="AL152" s="29">
        <f>IF(H152="","",IF(COUNTIFS('Content Calendar'!$H$5:$H$604,H152,'Content Calendar'!$G$5:$G$604,G152,'Content Calendar'!$B$5:$B$604,B152)&gt;1,"Duplicate","OK"))</f>
        <v>0</v>
      </c>
      <c r="AM152" s="29">
        <f>IF(H152="","",IF(AND(B152&lt;&gt;"",B152&lt;TODAY(),X152&lt;&gt;"Published",X152&lt;&gt;"Cancelled",X152&lt;&gt;"Archived"),"Overdue - date has passed",IF(AND(X152="Published",AB152=""),"Add - publish link missing",IF(AND(B152=TODAY(),X152&lt;&gt;"Published"),"Today - due to go live",IF(AND(Y152&lt;&gt;"",Y152&lt;TODAY(),OR(X152="Idea",X152="Brief",X152="In production")),"Late - draft not ready",IF(AND(AA152&gt;=0,AA152&lt;=3,OR(X152="Draft",X152="Awaiting review")),"Due - needs approval",IF(AND(H152&lt;&gt;"",P152=""),"Add - caption missing","OK")))))))</f>
        <v>0</v>
      </c>
    </row>
    <row r="153" spans="1:39">
      <c r="A153" s="41">
        <f>IF(H153="","",ContentPrefix&amp;TEXT(ROW()-4,"0000"))</f>
        <v>0</v>
      </c>
      <c r="D153" s="17">
        <f>IF(B153="","",TEXT(B153,"yyyy-mm"))</f>
        <v>0</v>
      </c>
      <c r="E153" s="23">
        <f>IF(B153="","",WEEKNUM(B153,IF(WeekStart="Sunday",1,2)))</f>
        <v>0</v>
      </c>
      <c r="F153" s="17">
        <f>IF(B153="","",TEXT(B153,"ddd"))</f>
        <v>0</v>
      </c>
      <c r="Q153" s="29">
        <f>IF(H153="","",IF(P153="","Add - no caption",IFERROR(INDEX('Caption Bank'!$R$5:$R$204,MATCH(P153,'Caption Bank'!$B$5:$B$204,0)),"Check - not in bank")))</f>
        <v>0</v>
      </c>
      <c r="S153" s="23">
        <f>IF(R153="","",COUNTIF('Hashtag Bank'!$D$5:$D$304,R153))</f>
        <v>0</v>
      </c>
      <c r="U153" s="29">
        <f>IF(H153="","",IF(T153="","Add - no asset",IFERROR(INDEX(Assets!$N$5:$N$254,MATCH(T153,Assets!$A$5:$A$254,0)),"Check - not in library")))</f>
        <v>0</v>
      </c>
      <c r="Y153" s="16">
        <f>IF(B153="","",B153-ProductionDays)</f>
        <v>0</v>
      </c>
      <c r="Z153" s="16">
        <f>IF(B153="","",B153-ApprovalDays)</f>
        <v>0</v>
      </c>
      <c r="AA153" s="23">
        <f>IF(B153="","",B153-TODAY())</f>
        <v>0</v>
      </c>
      <c r="AC153" s="29">
        <f>IF(H153="","",IF(X153="Published",IF(AB153="","Add - link missing","Yes"),"No"))</f>
        <v>0</v>
      </c>
      <c r="AD153" s="23">
        <f>IF(A153="","",IF(COUNTIF(Performance!$B$5:$B$404,A153)=0,"",SUMIFS(Performance!$O$5:$O$404,Performance!$B$5:$B$404,A153)))</f>
        <v>0</v>
      </c>
      <c r="AE153" s="23">
        <f>IF(AD153="","",SUMIFS(Performance!$Z$5:$Z$404,Performance!$B$5:$B$404,A153))</f>
        <v>0</v>
      </c>
      <c r="AF153" s="24">
        <f>IF(OR(AD153="",AD153=0),"",AE153/AD153)</f>
        <v>0</v>
      </c>
      <c r="AG153" s="23">
        <f>IF(AD153="","",SUMIFS(Performance!$U$5:$U$404,Performance!$B$5:$B$404,A153))</f>
        <v>0</v>
      </c>
      <c r="AH153" s="23">
        <f>IF(A153="","",COUNTIF(Repurposing!$B$5:$B$154,A153))</f>
        <v>0</v>
      </c>
      <c r="AI153" s="32">
        <f>IF(OR(H153="",B153=""),"",B153+ROW()/100000)</f>
        <v>0</v>
      </c>
      <c r="AJ153" s="32">
        <f>IF(OR(H153="",B153=""),"",IF(OR(X153="Published",X153="Cancelled",X153="Archived"),"",IF(B153&lt;TODAY(),"",B153+ROW()/100000)))</f>
        <v>0</v>
      </c>
      <c r="AK153" s="32">
        <f>IF(OR(H153="",B153=""),"",IF(OR(X153="Published",X153="Cancelled",X153="Archived"),"",IF(B153&gt;=TODAY(),"",B153+ROW()/100000)))</f>
        <v>0</v>
      </c>
      <c r="AL153" s="29">
        <f>IF(H153="","",IF(COUNTIFS('Content Calendar'!$H$5:$H$604,H153,'Content Calendar'!$G$5:$G$604,G153,'Content Calendar'!$B$5:$B$604,B153)&gt;1,"Duplicate","OK"))</f>
        <v>0</v>
      </c>
      <c r="AM153" s="29">
        <f>IF(H153="","",IF(AND(B153&lt;&gt;"",B153&lt;TODAY(),X153&lt;&gt;"Published",X153&lt;&gt;"Cancelled",X153&lt;&gt;"Archived"),"Overdue - date has passed",IF(AND(X153="Published",AB153=""),"Add - publish link missing",IF(AND(B153=TODAY(),X153&lt;&gt;"Published"),"Today - due to go live",IF(AND(Y153&lt;&gt;"",Y153&lt;TODAY(),OR(X153="Idea",X153="Brief",X153="In production")),"Late - draft not ready",IF(AND(AA153&gt;=0,AA153&lt;=3,OR(X153="Draft",X153="Awaiting review")),"Due - needs approval",IF(AND(H153&lt;&gt;"",P153=""),"Add - caption missing","OK")))))))</f>
        <v>0</v>
      </c>
    </row>
    <row r="154" spans="1:39">
      <c r="A154" s="41">
        <f>IF(H154="","",ContentPrefix&amp;TEXT(ROW()-4,"0000"))</f>
        <v>0</v>
      </c>
      <c r="D154" s="17">
        <f>IF(B154="","",TEXT(B154,"yyyy-mm"))</f>
        <v>0</v>
      </c>
      <c r="E154" s="23">
        <f>IF(B154="","",WEEKNUM(B154,IF(WeekStart="Sunday",1,2)))</f>
        <v>0</v>
      </c>
      <c r="F154" s="17">
        <f>IF(B154="","",TEXT(B154,"ddd"))</f>
        <v>0</v>
      </c>
      <c r="Q154" s="29">
        <f>IF(H154="","",IF(P154="","Add - no caption",IFERROR(INDEX('Caption Bank'!$R$5:$R$204,MATCH(P154,'Caption Bank'!$B$5:$B$204,0)),"Check - not in bank")))</f>
        <v>0</v>
      </c>
      <c r="S154" s="23">
        <f>IF(R154="","",COUNTIF('Hashtag Bank'!$D$5:$D$304,R154))</f>
        <v>0</v>
      </c>
      <c r="U154" s="29">
        <f>IF(H154="","",IF(T154="","Add - no asset",IFERROR(INDEX(Assets!$N$5:$N$254,MATCH(T154,Assets!$A$5:$A$254,0)),"Check - not in library")))</f>
        <v>0</v>
      </c>
      <c r="Y154" s="16">
        <f>IF(B154="","",B154-ProductionDays)</f>
        <v>0</v>
      </c>
      <c r="Z154" s="16">
        <f>IF(B154="","",B154-ApprovalDays)</f>
        <v>0</v>
      </c>
      <c r="AA154" s="23">
        <f>IF(B154="","",B154-TODAY())</f>
        <v>0</v>
      </c>
      <c r="AC154" s="29">
        <f>IF(H154="","",IF(X154="Published",IF(AB154="","Add - link missing","Yes"),"No"))</f>
        <v>0</v>
      </c>
      <c r="AD154" s="23">
        <f>IF(A154="","",IF(COUNTIF(Performance!$B$5:$B$404,A154)=0,"",SUMIFS(Performance!$O$5:$O$404,Performance!$B$5:$B$404,A154)))</f>
        <v>0</v>
      </c>
      <c r="AE154" s="23">
        <f>IF(AD154="","",SUMIFS(Performance!$Z$5:$Z$404,Performance!$B$5:$B$404,A154))</f>
        <v>0</v>
      </c>
      <c r="AF154" s="24">
        <f>IF(OR(AD154="",AD154=0),"",AE154/AD154)</f>
        <v>0</v>
      </c>
      <c r="AG154" s="23">
        <f>IF(AD154="","",SUMIFS(Performance!$U$5:$U$404,Performance!$B$5:$B$404,A154))</f>
        <v>0</v>
      </c>
      <c r="AH154" s="23">
        <f>IF(A154="","",COUNTIF(Repurposing!$B$5:$B$154,A154))</f>
        <v>0</v>
      </c>
      <c r="AI154" s="32">
        <f>IF(OR(H154="",B154=""),"",B154+ROW()/100000)</f>
        <v>0</v>
      </c>
      <c r="AJ154" s="32">
        <f>IF(OR(H154="",B154=""),"",IF(OR(X154="Published",X154="Cancelled",X154="Archived"),"",IF(B154&lt;TODAY(),"",B154+ROW()/100000)))</f>
        <v>0</v>
      </c>
      <c r="AK154" s="32">
        <f>IF(OR(H154="",B154=""),"",IF(OR(X154="Published",X154="Cancelled",X154="Archived"),"",IF(B154&gt;=TODAY(),"",B154+ROW()/100000)))</f>
        <v>0</v>
      </c>
      <c r="AL154" s="29">
        <f>IF(H154="","",IF(COUNTIFS('Content Calendar'!$H$5:$H$604,H154,'Content Calendar'!$G$5:$G$604,G154,'Content Calendar'!$B$5:$B$604,B154)&gt;1,"Duplicate","OK"))</f>
        <v>0</v>
      </c>
      <c r="AM154" s="29">
        <f>IF(H154="","",IF(AND(B154&lt;&gt;"",B154&lt;TODAY(),X154&lt;&gt;"Published",X154&lt;&gt;"Cancelled",X154&lt;&gt;"Archived"),"Overdue - date has passed",IF(AND(X154="Published",AB154=""),"Add - publish link missing",IF(AND(B154=TODAY(),X154&lt;&gt;"Published"),"Today - due to go live",IF(AND(Y154&lt;&gt;"",Y154&lt;TODAY(),OR(X154="Idea",X154="Brief",X154="In production")),"Late - draft not ready",IF(AND(AA154&gt;=0,AA154&lt;=3,OR(X154="Draft",X154="Awaiting review")),"Due - needs approval",IF(AND(H154&lt;&gt;"",P154=""),"Add - caption missing","OK")))))))</f>
        <v>0</v>
      </c>
    </row>
    <row r="155" spans="1:39">
      <c r="A155" s="41">
        <f>IF(H155="","",ContentPrefix&amp;TEXT(ROW()-4,"0000"))</f>
        <v>0</v>
      </c>
      <c r="D155" s="17">
        <f>IF(B155="","",TEXT(B155,"yyyy-mm"))</f>
        <v>0</v>
      </c>
      <c r="E155" s="23">
        <f>IF(B155="","",WEEKNUM(B155,IF(WeekStart="Sunday",1,2)))</f>
        <v>0</v>
      </c>
      <c r="F155" s="17">
        <f>IF(B155="","",TEXT(B155,"ddd"))</f>
        <v>0</v>
      </c>
      <c r="Q155" s="29">
        <f>IF(H155="","",IF(P155="","Add - no caption",IFERROR(INDEX('Caption Bank'!$R$5:$R$204,MATCH(P155,'Caption Bank'!$B$5:$B$204,0)),"Check - not in bank")))</f>
        <v>0</v>
      </c>
      <c r="S155" s="23">
        <f>IF(R155="","",COUNTIF('Hashtag Bank'!$D$5:$D$304,R155))</f>
        <v>0</v>
      </c>
      <c r="U155" s="29">
        <f>IF(H155="","",IF(T155="","Add - no asset",IFERROR(INDEX(Assets!$N$5:$N$254,MATCH(T155,Assets!$A$5:$A$254,0)),"Check - not in library")))</f>
        <v>0</v>
      </c>
      <c r="Y155" s="16">
        <f>IF(B155="","",B155-ProductionDays)</f>
        <v>0</v>
      </c>
      <c r="Z155" s="16">
        <f>IF(B155="","",B155-ApprovalDays)</f>
        <v>0</v>
      </c>
      <c r="AA155" s="23">
        <f>IF(B155="","",B155-TODAY())</f>
        <v>0</v>
      </c>
      <c r="AC155" s="29">
        <f>IF(H155="","",IF(X155="Published",IF(AB155="","Add - link missing","Yes"),"No"))</f>
        <v>0</v>
      </c>
      <c r="AD155" s="23">
        <f>IF(A155="","",IF(COUNTIF(Performance!$B$5:$B$404,A155)=0,"",SUMIFS(Performance!$O$5:$O$404,Performance!$B$5:$B$404,A155)))</f>
        <v>0</v>
      </c>
      <c r="AE155" s="23">
        <f>IF(AD155="","",SUMIFS(Performance!$Z$5:$Z$404,Performance!$B$5:$B$404,A155))</f>
        <v>0</v>
      </c>
      <c r="AF155" s="24">
        <f>IF(OR(AD155="",AD155=0),"",AE155/AD155)</f>
        <v>0</v>
      </c>
      <c r="AG155" s="23">
        <f>IF(AD155="","",SUMIFS(Performance!$U$5:$U$404,Performance!$B$5:$B$404,A155))</f>
        <v>0</v>
      </c>
      <c r="AH155" s="23">
        <f>IF(A155="","",COUNTIF(Repurposing!$B$5:$B$154,A155))</f>
        <v>0</v>
      </c>
      <c r="AI155" s="32">
        <f>IF(OR(H155="",B155=""),"",B155+ROW()/100000)</f>
        <v>0</v>
      </c>
      <c r="AJ155" s="32">
        <f>IF(OR(H155="",B155=""),"",IF(OR(X155="Published",X155="Cancelled",X155="Archived"),"",IF(B155&lt;TODAY(),"",B155+ROW()/100000)))</f>
        <v>0</v>
      </c>
      <c r="AK155" s="32">
        <f>IF(OR(H155="",B155=""),"",IF(OR(X155="Published",X155="Cancelled",X155="Archived"),"",IF(B155&gt;=TODAY(),"",B155+ROW()/100000)))</f>
        <v>0</v>
      </c>
      <c r="AL155" s="29">
        <f>IF(H155="","",IF(COUNTIFS('Content Calendar'!$H$5:$H$604,H155,'Content Calendar'!$G$5:$G$604,G155,'Content Calendar'!$B$5:$B$604,B155)&gt;1,"Duplicate","OK"))</f>
        <v>0</v>
      </c>
      <c r="AM155" s="29">
        <f>IF(H155="","",IF(AND(B155&lt;&gt;"",B155&lt;TODAY(),X155&lt;&gt;"Published",X155&lt;&gt;"Cancelled",X155&lt;&gt;"Archived"),"Overdue - date has passed",IF(AND(X155="Published",AB155=""),"Add - publish link missing",IF(AND(B155=TODAY(),X155&lt;&gt;"Published"),"Today - due to go live",IF(AND(Y155&lt;&gt;"",Y155&lt;TODAY(),OR(X155="Idea",X155="Brief",X155="In production")),"Late - draft not ready",IF(AND(AA155&gt;=0,AA155&lt;=3,OR(X155="Draft",X155="Awaiting review")),"Due - needs approval",IF(AND(H155&lt;&gt;"",P155=""),"Add - caption missing","OK")))))))</f>
        <v>0</v>
      </c>
    </row>
    <row r="156" spans="1:39">
      <c r="A156" s="41">
        <f>IF(H156="","",ContentPrefix&amp;TEXT(ROW()-4,"0000"))</f>
        <v>0</v>
      </c>
      <c r="D156" s="17">
        <f>IF(B156="","",TEXT(B156,"yyyy-mm"))</f>
        <v>0</v>
      </c>
      <c r="E156" s="23">
        <f>IF(B156="","",WEEKNUM(B156,IF(WeekStart="Sunday",1,2)))</f>
        <v>0</v>
      </c>
      <c r="F156" s="17">
        <f>IF(B156="","",TEXT(B156,"ddd"))</f>
        <v>0</v>
      </c>
      <c r="Q156" s="29">
        <f>IF(H156="","",IF(P156="","Add - no caption",IFERROR(INDEX('Caption Bank'!$R$5:$R$204,MATCH(P156,'Caption Bank'!$B$5:$B$204,0)),"Check - not in bank")))</f>
        <v>0</v>
      </c>
      <c r="S156" s="23">
        <f>IF(R156="","",COUNTIF('Hashtag Bank'!$D$5:$D$304,R156))</f>
        <v>0</v>
      </c>
      <c r="U156" s="29">
        <f>IF(H156="","",IF(T156="","Add - no asset",IFERROR(INDEX(Assets!$N$5:$N$254,MATCH(T156,Assets!$A$5:$A$254,0)),"Check - not in library")))</f>
        <v>0</v>
      </c>
      <c r="Y156" s="16">
        <f>IF(B156="","",B156-ProductionDays)</f>
        <v>0</v>
      </c>
      <c r="Z156" s="16">
        <f>IF(B156="","",B156-ApprovalDays)</f>
        <v>0</v>
      </c>
      <c r="AA156" s="23">
        <f>IF(B156="","",B156-TODAY())</f>
        <v>0</v>
      </c>
      <c r="AC156" s="29">
        <f>IF(H156="","",IF(X156="Published",IF(AB156="","Add - link missing","Yes"),"No"))</f>
        <v>0</v>
      </c>
      <c r="AD156" s="23">
        <f>IF(A156="","",IF(COUNTIF(Performance!$B$5:$B$404,A156)=0,"",SUMIFS(Performance!$O$5:$O$404,Performance!$B$5:$B$404,A156)))</f>
        <v>0</v>
      </c>
      <c r="AE156" s="23">
        <f>IF(AD156="","",SUMIFS(Performance!$Z$5:$Z$404,Performance!$B$5:$B$404,A156))</f>
        <v>0</v>
      </c>
      <c r="AF156" s="24">
        <f>IF(OR(AD156="",AD156=0),"",AE156/AD156)</f>
        <v>0</v>
      </c>
      <c r="AG156" s="23">
        <f>IF(AD156="","",SUMIFS(Performance!$U$5:$U$404,Performance!$B$5:$B$404,A156))</f>
        <v>0</v>
      </c>
      <c r="AH156" s="23">
        <f>IF(A156="","",COUNTIF(Repurposing!$B$5:$B$154,A156))</f>
        <v>0</v>
      </c>
      <c r="AI156" s="32">
        <f>IF(OR(H156="",B156=""),"",B156+ROW()/100000)</f>
        <v>0</v>
      </c>
      <c r="AJ156" s="32">
        <f>IF(OR(H156="",B156=""),"",IF(OR(X156="Published",X156="Cancelled",X156="Archived"),"",IF(B156&lt;TODAY(),"",B156+ROW()/100000)))</f>
        <v>0</v>
      </c>
      <c r="AK156" s="32">
        <f>IF(OR(H156="",B156=""),"",IF(OR(X156="Published",X156="Cancelled",X156="Archived"),"",IF(B156&gt;=TODAY(),"",B156+ROW()/100000)))</f>
        <v>0</v>
      </c>
      <c r="AL156" s="29">
        <f>IF(H156="","",IF(COUNTIFS('Content Calendar'!$H$5:$H$604,H156,'Content Calendar'!$G$5:$G$604,G156,'Content Calendar'!$B$5:$B$604,B156)&gt;1,"Duplicate","OK"))</f>
        <v>0</v>
      </c>
      <c r="AM156" s="29">
        <f>IF(H156="","",IF(AND(B156&lt;&gt;"",B156&lt;TODAY(),X156&lt;&gt;"Published",X156&lt;&gt;"Cancelled",X156&lt;&gt;"Archived"),"Overdue - date has passed",IF(AND(X156="Published",AB156=""),"Add - publish link missing",IF(AND(B156=TODAY(),X156&lt;&gt;"Published"),"Today - due to go live",IF(AND(Y156&lt;&gt;"",Y156&lt;TODAY(),OR(X156="Idea",X156="Brief",X156="In production")),"Late - draft not ready",IF(AND(AA156&gt;=0,AA156&lt;=3,OR(X156="Draft",X156="Awaiting review")),"Due - needs approval",IF(AND(H156&lt;&gt;"",P156=""),"Add - caption missing","OK")))))))</f>
        <v>0</v>
      </c>
    </row>
    <row r="157" spans="1:39">
      <c r="A157" s="41">
        <f>IF(H157="","",ContentPrefix&amp;TEXT(ROW()-4,"0000"))</f>
        <v>0</v>
      </c>
      <c r="D157" s="17">
        <f>IF(B157="","",TEXT(B157,"yyyy-mm"))</f>
        <v>0</v>
      </c>
      <c r="E157" s="23">
        <f>IF(B157="","",WEEKNUM(B157,IF(WeekStart="Sunday",1,2)))</f>
        <v>0</v>
      </c>
      <c r="F157" s="17">
        <f>IF(B157="","",TEXT(B157,"ddd"))</f>
        <v>0</v>
      </c>
      <c r="Q157" s="29">
        <f>IF(H157="","",IF(P157="","Add - no caption",IFERROR(INDEX('Caption Bank'!$R$5:$R$204,MATCH(P157,'Caption Bank'!$B$5:$B$204,0)),"Check - not in bank")))</f>
        <v>0</v>
      </c>
      <c r="S157" s="23">
        <f>IF(R157="","",COUNTIF('Hashtag Bank'!$D$5:$D$304,R157))</f>
        <v>0</v>
      </c>
      <c r="U157" s="29">
        <f>IF(H157="","",IF(T157="","Add - no asset",IFERROR(INDEX(Assets!$N$5:$N$254,MATCH(T157,Assets!$A$5:$A$254,0)),"Check - not in library")))</f>
        <v>0</v>
      </c>
      <c r="Y157" s="16">
        <f>IF(B157="","",B157-ProductionDays)</f>
        <v>0</v>
      </c>
      <c r="Z157" s="16">
        <f>IF(B157="","",B157-ApprovalDays)</f>
        <v>0</v>
      </c>
      <c r="AA157" s="23">
        <f>IF(B157="","",B157-TODAY())</f>
        <v>0</v>
      </c>
      <c r="AC157" s="29">
        <f>IF(H157="","",IF(X157="Published",IF(AB157="","Add - link missing","Yes"),"No"))</f>
        <v>0</v>
      </c>
      <c r="AD157" s="23">
        <f>IF(A157="","",IF(COUNTIF(Performance!$B$5:$B$404,A157)=0,"",SUMIFS(Performance!$O$5:$O$404,Performance!$B$5:$B$404,A157)))</f>
        <v>0</v>
      </c>
      <c r="AE157" s="23">
        <f>IF(AD157="","",SUMIFS(Performance!$Z$5:$Z$404,Performance!$B$5:$B$404,A157))</f>
        <v>0</v>
      </c>
      <c r="AF157" s="24">
        <f>IF(OR(AD157="",AD157=0),"",AE157/AD157)</f>
        <v>0</v>
      </c>
      <c r="AG157" s="23">
        <f>IF(AD157="","",SUMIFS(Performance!$U$5:$U$404,Performance!$B$5:$B$404,A157))</f>
        <v>0</v>
      </c>
      <c r="AH157" s="23">
        <f>IF(A157="","",COUNTIF(Repurposing!$B$5:$B$154,A157))</f>
        <v>0</v>
      </c>
      <c r="AI157" s="32">
        <f>IF(OR(H157="",B157=""),"",B157+ROW()/100000)</f>
        <v>0</v>
      </c>
      <c r="AJ157" s="32">
        <f>IF(OR(H157="",B157=""),"",IF(OR(X157="Published",X157="Cancelled",X157="Archived"),"",IF(B157&lt;TODAY(),"",B157+ROW()/100000)))</f>
        <v>0</v>
      </c>
      <c r="AK157" s="32">
        <f>IF(OR(H157="",B157=""),"",IF(OR(X157="Published",X157="Cancelled",X157="Archived"),"",IF(B157&gt;=TODAY(),"",B157+ROW()/100000)))</f>
        <v>0</v>
      </c>
      <c r="AL157" s="29">
        <f>IF(H157="","",IF(COUNTIFS('Content Calendar'!$H$5:$H$604,H157,'Content Calendar'!$G$5:$G$604,G157,'Content Calendar'!$B$5:$B$604,B157)&gt;1,"Duplicate","OK"))</f>
        <v>0</v>
      </c>
      <c r="AM157" s="29">
        <f>IF(H157="","",IF(AND(B157&lt;&gt;"",B157&lt;TODAY(),X157&lt;&gt;"Published",X157&lt;&gt;"Cancelled",X157&lt;&gt;"Archived"),"Overdue - date has passed",IF(AND(X157="Published",AB157=""),"Add - publish link missing",IF(AND(B157=TODAY(),X157&lt;&gt;"Published"),"Today - due to go live",IF(AND(Y157&lt;&gt;"",Y157&lt;TODAY(),OR(X157="Idea",X157="Brief",X157="In production")),"Late - draft not ready",IF(AND(AA157&gt;=0,AA157&lt;=3,OR(X157="Draft",X157="Awaiting review")),"Due - needs approval",IF(AND(H157&lt;&gt;"",P157=""),"Add - caption missing","OK")))))))</f>
        <v>0</v>
      </c>
    </row>
    <row r="158" spans="1:39">
      <c r="A158" s="41">
        <f>IF(H158="","",ContentPrefix&amp;TEXT(ROW()-4,"0000"))</f>
        <v>0</v>
      </c>
      <c r="D158" s="17">
        <f>IF(B158="","",TEXT(B158,"yyyy-mm"))</f>
        <v>0</v>
      </c>
      <c r="E158" s="23">
        <f>IF(B158="","",WEEKNUM(B158,IF(WeekStart="Sunday",1,2)))</f>
        <v>0</v>
      </c>
      <c r="F158" s="17">
        <f>IF(B158="","",TEXT(B158,"ddd"))</f>
        <v>0</v>
      </c>
      <c r="Q158" s="29">
        <f>IF(H158="","",IF(P158="","Add - no caption",IFERROR(INDEX('Caption Bank'!$R$5:$R$204,MATCH(P158,'Caption Bank'!$B$5:$B$204,0)),"Check - not in bank")))</f>
        <v>0</v>
      </c>
      <c r="S158" s="23">
        <f>IF(R158="","",COUNTIF('Hashtag Bank'!$D$5:$D$304,R158))</f>
        <v>0</v>
      </c>
      <c r="U158" s="29">
        <f>IF(H158="","",IF(T158="","Add - no asset",IFERROR(INDEX(Assets!$N$5:$N$254,MATCH(T158,Assets!$A$5:$A$254,0)),"Check - not in library")))</f>
        <v>0</v>
      </c>
      <c r="Y158" s="16">
        <f>IF(B158="","",B158-ProductionDays)</f>
        <v>0</v>
      </c>
      <c r="Z158" s="16">
        <f>IF(B158="","",B158-ApprovalDays)</f>
        <v>0</v>
      </c>
      <c r="AA158" s="23">
        <f>IF(B158="","",B158-TODAY())</f>
        <v>0</v>
      </c>
      <c r="AC158" s="29">
        <f>IF(H158="","",IF(X158="Published",IF(AB158="","Add - link missing","Yes"),"No"))</f>
        <v>0</v>
      </c>
      <c r="AD158" s="23">
        <f>IF(A158="","",IF(COUNTIF(Performance!$B$5:$B$404,A158)=0,"",SUMIFS(Performance!$O$5:$O$404,Performance!$B$5:$B$404,A158)))</f>
        <v>0</v>
      </c>
      <c r="AE158" s="23">
        <f>IF(AD158="","",SUMIFS(Performance!$Z$5:$Z$404,Performance!$B$5:$B$404,A158))</f>
        <v>0</v>
      </c>
      <c r="AF158" s="24">
        <f>IF(OR(AD158="",AD158=0),"",AE158/AD158)</f>
        <v>0</v>
      </c>
      <c r="AG158" s="23">
        <f>IF(AD158="","",SUMIFS(Performance!$U$5:$U$404,Performance!$B$5:$B$404,A158))</f>
        <v>0</v>
      </c>
      <c r="AH158" s="23">
        <f>IF(A158="","",COUNTIF(Repurposing!$B$5:$B$154,A158))</f>
        <v>0</v>
      </c>
      <c r="AI158" s="32">
        <f>IF(OR(H158="",B158=""),"",B158+ROW()/100000)</f>
        <v>0</v>
      </c>
      <c r="AJ158" s="32">
        <f>IF(OR(H158="",B158=""),"",IF(OR(X158="Published",X158="Cancelled",X158="Archived"),"",IF(B158&lt;TODAY(),"",B158+ROW()/100000)))</f>
        <v>0</v>
      </c>
      <c r="AK158" s="32">
        <f>IF(OR(H158="",B158=""),"",IF(OR(X158="Published",X158="Cancelled",X158="Archived"),"",IF(B158&gt;=TODAY(),"",B158+ROW()/100000)))</f>
        <v>0</v>
      </c>
      <c r="AL158" s="29">
        <f>IF(H158="","",IF(COUNTIFS('Content Calendar'!$H$5:$H$604,H158,'Content Calendar'!$G$5:$G$604,G158,'Content Calendar'!$B$5:$B$604,B158)&gt;1,"Duplicate","OK"))</f>
        <v>0</v>
      </c>
      <c r="AM158" s="29">
        <f>IF(H158="","",IF(AND(B158&lt;&gt;"",B158&lt;TODAY(),X158&lt;&gt;"Published",X158&lt;&gt;"Cancelled",X158&lt;&gt;"Archived"),"Overdue - date has passed",IF(AND(X158="Published",AB158=""),"Add - publish link missing",IF(AND(B158=TODAY(),X158&lt;&gt;"Published"),"Today - due to go live",IF(AND(Y158&lt;&gt;"",Y158&lt;TODAY(),OR(X158="Idea",X158="Brief",X158="In production")),"Late - draft not ready",IF(AND(AA158&gt;=0,AA158&lt;=3,OR(X158="Draft",X158="Awaiting review")),"Due - needs approval",IF(AND(H158&lt;&gt;"",P158=""),"Add - caption missing","OK")))))))</f>
        <v>0</v>
      </c>
    </row>
    <row r="159" spans="1:39">
      <c r="A159" s="41">
        <f>IF(H159="","",ContentPrefix&amp;TEXT(ROW()-4,"0000"))</f>
        <v>0</v>
      </c>
      <c r="D159" s="17">
        <f>IF(B159="","",TEXT(B159,"yyyy-mm"))</f>
        <v>0</v>
      </c>
      <c r="E159" s="23">
        <f>IF(B159="","",WEEKNUM(B159,IF(WeekStart="Sunday",1,2)))</f>
        <v>0</v>
      </c>
      <c r="F159" s="17">
        <f>IF(B159="","",TEXT(B159,"ddd"))</f>
        <v>0</v>
      </c>
      <c r="Q159" s="29">
        <f>IF(H159="","",IF(P159="","Add - no caption",IFERROR(INDEX('Caption Bank'!$R$5:$R$204,MATCH(P159,'Caption Bank'!$B$5:$B$204,0)),"Check - not in bank")))</f>
        <v>0</v>
      </c>
      <c r="S159" s="23">
        <f>IF(R159="","",COUNTIF('Hashtag Bank'!$D$5:$D$304,R159))</f>
        <v>0</v>
      </c>
      <c r="U159" s="29">
        <f>IF(H159="","",IF(T159="","Add - no asset",IFERROR(INDEX(Assets!$N$5:$N$254,MATCH(T159,Assets!$A$5:$A$254,0)),"Check - not in library")))</f>
        <v>0</v>
      </c>
      <c r="Y159" s="16">
        <f>IF(B159="","",B159-ProductionDays)</f>
        <v>0</v>
      </c>
      <c r="Z159" s="16">
        <f>IF(B159="","",B159-ApprovalDays)</f>
        <v>0</v>
      </c>
      <c r="AA159" s="23">
        <f>IF(B159="","",B159-TODAY())</f>
        <v>0</v>
      </c>
      <c r="AC159" s="29">
        <f>IF(H159="","",IF(X159="Published",IF(AB159="","Add - link missing","Yes"),"No"))</f>
        <v>0</v>
      </c>
      <c r="AD159" s="23">
        <f>IF(A159="","",IF(COUNTIF(Performance!$B$5:$B$404,A159)=0,"",SUMIFS(Performance!$O$5:$O$404,Performance!$B$5:$B$404,A159)))</f>
        <v>0</v>
      </c>
      <c r="AE159" s="23">
        <f>IF(AD159="","",SUMIFS(Performance!$Z$5:$Z$404,Performance!$B$5:$B$404,A159))</f>
        <v>0</v>
      </c>
      <c r="AF159" s="24">
        <f>IF(OR(AD159="",AD159=0),"",AE159/AD159)</f>
        <v>0</v>
      </c>
      <c r="AG159" s="23">
        <f>IF(AD159="","",SUMIFS(Performance!$U$5:$U$404,Performance!$B$5:$B$404,A159))</f>
        <v>0</v>
      </c>
      <c r="AH159" s="23">
        <f>IF(A159="","",COUNTIF(Repurposing!$B$5:$B$154,A159))</f>
        <v>0</v>
      </c>
      <c r="AI159" s="32">
        <f>IF(OR(H159="",B159=""),"",B159+ROW()/100000)</f>
        <v>0</v>
      </c>
      <c r="AJ159" s="32">
        <f>IF(OR(H159="",B159=""),"",IF(OR(X159="Published",X159="Cancelled",X159="Archived"),"",IF(B159&lt;TODAY(),"",B159+ROW()/100000)))</f>
        <v>0</v>
      </c>
      <c r="AK159" s="32">
        <f>IF(OR(H159="",B159=""),"",IF(OR(X159="Published",X159="Cancelled",X159="Archived"),"",IF(B159&gt;=TODAY(),"",B159+ROW()/100000)))</f>
        <v>0</v>
      </c>
      <c r="AL159" s="29">
        <f>IF(H159="","",IF(COUNTIFS('Content Calendar'!$H$5:$H$604,H159,'Content Calendar'!$G$5:$G$604,G159,'Content Calendar'!$B$5:$B$604,B159)&gt;1,"Duplicate","OK"))</f>
        <v>0</v>
      </c>
      <c r="AM159" s="29">
        <f>IF(H159="","",IF(AND(B159&lt;&gt;"",B159&lt;TODAY(),X159&lt;&gt;"Published",X159&lt;&gt;"Cancelled",X159&lt;&gt;"Archived"),"Overdue - date has passed",IF(AND(X159="Published",AB159=""),"Add - publish link missing",IF(AND(B159=TODAY(),X159&lt;&gt;"Published"),"Today - due to go live",IF(AND(Y159&lt;&gt;"",Y159&lt;TODAY(),OR(X159="Idea",X159="Brief",X159="In production")),"Late - draft not ready",IF(AND(AA159&gt;=0,AA159&lt;=3,OR(X159="Draft",X159="Awaiting review")),"Due - needs approval",IF(AND(H159&lt;&gt;"",P159=""),"Add - caption missing","OK")))))))</f>
        <v>0</v>
      </c>
    </row>
    <row r="160" spans="1:39">
      <c r="A160" s="41">
        <f>IF(H160="","",ContentPrefix&amp;TEXT(ROW()-4,"0000"))</f>
        <v>0</v>
      </c>
      <c r="D160" s="17">
        <f>IF(B160="","",TEXT(B160,"yyyy-mm"))</f>
        <v>0</v>
      </c>
      <c r="E160" s="23">
        <f>IF(B160="","",WEEKNUM(B160,IF(WeekStart="Sunday",1,2)))</f>
        <v>0</v>
      </c>
      <c r="F160" s="17">
        <f>IF(B160="","",TEXT(B160,"ddd"))</f>
        <v>0</v>
      </c>
      <c r="Q160" s="29">
        <f>IF(H160="","",IF(P160="","Add - no caption",IFERROR(INDEX('Caption Bank'!$R$5:$R$204,MATCH(P160,'Caption Bank'!$B$5:$B$204,0)),"Check - not in bank")))</f>
        <v>0</v>
      </c>
      <c r="S160" s="23">
        <f>IF(R160="","",COUNTIF('Hashtag Bank'!$D$5:$D$304,R160))</f>
        <v>0</v>
      </c>
      <c r="U160" s="29">
        <f>IF(H160="","",IF(T160="","Add - no asset",IFERROR(INDEX(Assets!$N$5:$N$254,MATCH(T160,Assets!$A$5:$A$254,0)),"Check - not in library")))</f>
        <v>0</v>
      </c>
      <c r="Y160" s="16">
        <f>IF(B160="","",B160-ProductionDays)</f>
        <v>0</v>
      </c>
      <c r="Z160" s="16">
        <f>IF(B160="","",B160-ApprovalDays)</f>
        <v>0</v>
      </c>
      <c r="AA160" s="23">
        <f>IF(B160="","",B160-TODAY())</f>
        <v>0</v>
      </c>
      <c r="AC160" s="29">
        <f>IF(H160="","",IF(X160="Published",IF(AB160="","Add - link missing","Yes"),"No"))</f>
        <v>0</v>
      </c>
      <c r="AD160" s="23">
        <f>IF(A160="","",IF(COUNTIF(Performance!$B$5:$B$404,A160)=0,"",SUMIFS(Performance!$O$5:$O$404,Performance!$B$5:$B$404,A160)))</f>
        <v>0</v>
      </c>
      <c r="AE160" s="23">
        <f>IF(AD160="","",SUMIFS(Performance!$Z$5:$Z$404,Performance!$B$5:$B$404,A160))</f>
        <v>0</v>
      </c>
      <c r="AF160" s="24">
        <f>IF(OR(AD160="",AD160=0),"",AE160/AD160)</f>
        <v>0</v>
      </c>
      <c r="AG160" s="23">
        <f>IF(AD160="","",SUMIFS(Performance!$U$5:$U$404,Performance!$B$5:$B$404,A160))</f>
        <v>0</v>
      </c>
      <c r="AH160" s="23">
        <f>IF(A160="","",COUNTIF(Repurposing!$B$5:$B$154,A160))</f>
        <v>0</v>
      </c>
      <c r="AI160" s="32">
        <f>IF(OR(H160="",B160=""),"",B160+ROW()/100000)</f>
        <v>0</v>
      </c>
      <c r="AJ160" s="32">
        <f>IF(OR(H160="",B160=""),"",IF(OR(X160="Published",X160="Cancelled",X160="Archived"),"",IF(B160&lt;TODAY(),"",B160+ROW()/100000)))</f>
        <v>0</v>
      </c>
      <c r="AK160" s="32">
        <f>IF(OR(H160="",B160=""),"",IF(OR(X160="Published",X160="Cancelled",X160="Archived"),"",IF(B160&gt;=TODAY(),"",B160+ROW()/100000)))</f>
        <v>0</v>
      </c>
      <c r="AL160" s="29">
        <f>IF(H160="","",IF(COUNTIFS('Content Calendar'!$H$5:$H$604,H160,'Content Calendar'!$G$5:$G$604,G160,'Content Calendar'!$B$5:$B$604,B160)&gt;1,"Duplicate","OK"))</f>
        <v>0</v>
      </c>
      <c r="AM160" s="29">
        <f>IF(H160="","",IF(AND(B160&lt;&gt;"",B160&lt;TODAY(),X160&lt;&gt;"Published",X160&lt;&gt;"Cancelled",X160&lt;&gt;"Archived"),"Overdue - date has passed",IF(AND(X160="Published",AB160=""),"Add - publish link missing",IF(AND(B160=TODAY(),X160&lt;&gt;"Published"),"Today - due to go live",IF(AND(Y160&lt;&gt;"",Y160&lt;TODAY(),OR(X160="Idea",X160="Brief",X160="In production")),"Late - draft not ready",IF(AND(AA160&gt;=0,AA160&lt;=3,OR(X160="Draft",X160="Awaiting review")),"Due - needs approval",IF(AND(H160&lt;&gt;"",P160=""),"Add - caption missing","OK")))))))</f>
        <v>0</v>
      </c>
    </row>
    <row r="161" spans="1:39">
      <c r="A161" s="41">
        <f>IF(H161="","",ContentPrefix&amp;TEXT(ROW()-4,"0000"))</f>
        <v>0</v>
      </c>
      <c r="D161" s="17">
        <f>IF(B161="","",TEXT(B161,"yyyy-mm"))</f>
        <v>0</v>
      </c>
      <c r="E161" s="23">
        <f>IF(B161="","",WEEKNUM(B161,IF(WeekStart="Sunday",1,2)))</f>
        <v>0</v>
      </c>
      <c r="F161" s="17">
        <f>IF(B161="","",TEXT(B161,"ddd"))</f>
        <v>0</v>
      </c>
      <c r="Q161" s="29">
        <f>IF(H161="","",IF(P161="","Add - no caption",IFERROR(INDEX('Caption Bank'!$R$5:$R$204,MATCH(P161,'Caption Bank'!$B$5:$B$204,0)),"Check - not in bank")))</f>
        <v>0</v>
      </c>
      <c r="S161" s="23">
        <f>IF(R161="","",COUNTIF('Hashtag Bank'!$D$5:$D$304,R161))</f>
        <v>0</v>
      </c>
      <c r="U161" s="29">
        <f>IF(H161="","",IF(T161="","Add - no asset",IFERROR(INDEX(Assets!$N$5:$N$254,MATCH(T161,Assets!$A$5:$A$254,0)),"Check - not in library")))</f>
        <v>0</v>
      </c>
      <c r="Y161" s="16">
        <f>IF(B161="","",B161-ProductionDays)</f>
        <v>0</v>
      </c>
      <c r="Z161" s="16">
        <f>IF(B161="","",B161-ApprovalDays)</f>
        <v>0</v>
      </c>
      <c r="AA161" s="23">
        <f>IF(B161="","",B161-TODAY())</f>
        <v>0</v>
      </c>
      <c r="AC161" s="29">
        <f>IF(H161="","",IF(X161="Published",IF(AB161="","Add - link missing","Yes"),"No"))</f>
        <v>0</v>
      </c>
      <c r="AD161" s="23">
        <f>IF(A161="","",IF(COUNTIF(Performance!$B$5:$B$404,A161)=0,"",SUMIFS(Performance!$O$5:$O$404,Performance!$B$5:$B$404,A161)))</f>
        <v>0</v>
      </c>
      <c r="AE161" s="23">
        <f>IF(AD161="","",SUMIFS(Performance!$Z$5:$Z$404,Performance!$B$5:$B$404,A161))</f>
        <v>0</v>
      </c>
      <c r="AF161" s="24">
        <f>IF(OR(AD161="",AD161=0),"",AE161/AD161)</f>
        <v>0</v>
      </c>
      <c r="AG161" s="23">
        <f>IF(AD161="","",SUMIFS(Performance!$U$5:$U$404,Performance!$B$5:$B$404,A161))</f>
        <v>0</v>
      </c>
      <c r="AH161" s="23">
        <f>IF(A161="","",COUNTIF(Repurposing!$B$5:$B$154,A161))</f>
        <v>0</v>
      </c>
      <c r="AI161" s="32">
        <f>IF(OR(H161="",B161=""),"",B161+ROW()/100000)</f>
        <v>0</v>
      </c>
      <c r="AJ161" s="32">
        <f>IF(OR(H161="",B161=""),"",IF(OR(X161="Published",X161="Cancelled",X161="Archived"),"",IF(B161&lt;TODAY(),"",B161+ROW()/100000)))</f>
        <v>0</v>
      </c>
      <c r="AK161" s="32">
        <f>IF(OR(H161="",B161=""),"",IF(OR(X161="Published",X161="Cancelled",X161="Archived"),"",IF(B161&gt;=TODAY(),"",B161+ROW()/100000)))</f>
        <v>0</v>
      </c>
      <c r="AL161" s="29">
        <f>IF(H161="","",IF(COUNTIFS('Content Calendar'!$H$5:$H$604,H161,'Content Calendar'!$G$5:$G$604,G161,'Content Calendar'!$B$5:$B$604,B161)&gt;1,"Duplicate","OK"))</f>
        <v>0</v>
      </c>
      <c r="AM161" s="29">
        <f>IF(H161="","",IF(AND(B161&lt;&gt;"",B161&lt;TODAY(),X161&lt;&gt;"Published",X161&lt;&gt;"Cancelled",X161&lt;&gt;"Archived"),"Overdue - date has passed",IF(AND(X161="Published",AB161=""),"Add - publish link missing",IF(AND(B161=TODAY(),X161&lt;&gt;"Published"),"Today - due to go live",IF(AND(Y161&lt;&gt;"",Y161&lt;TODAY(),OR(X161="Idea",X161="Brief",X161="In production")),"Late - draft not ready",IF(AND(AA161&gt;=0,AA161&lt;=3,OR(X161="Draft",X161="Awaiting review")),"Due - needs approval",IF(AND(H161&lt;&gt;"",P161=""),"Add - caption missing","OK")))))))</f>
        <v>0</v>
      </c>
    </row>
    <row r="162" spans="1:39">
      <c r="A162" s="41">
        <f>IF(H162="","",ContentPrefix&amp;TEXT(ROW()-4,"0000"))</f>
        <v>0</v>
      </c>
      <c r="D162" s="17">
        <f>IF(B162="","",TEXT(B162,"yyyy-mm"))</f>
        <v>0</v>
      </c>
      <c r="E162" s="23">
        <f>IF(B162="","",WEEKNUM(B162,IF(WeekStart="Sunday",1,2)))</f>
        <v>0</v>
      </c>
      <c r="F162" s="17">
        <f>IF(B162="","",TEXT(B162,"ddd"))</f>
        <v>0</v>
      </c>
      <c r="Q162" s="29">
        <f>IF(H162="","",IF(P162="","Add - no caption",IFERROR(INDEX('Caption Bank'!$R$5:$R$204,MATCH(P162,'Caption Bank'!$B$5:$B$204,0)),"Check - not in bank")))</f>
        <v>0</v>
      </c>
      <c r="S162" s="23">
        <f>IF(R162="","",COUNTIF('Hashtag Bank'!$D$5:$D$304,R162))</f>
        <v>0</v>
      </c>
      <c r="U162" s="29">
        <f>IF(H162="","",IF(T162="","Add - no asset",IFERROR(INDEX(Assets!$N$5:$N$254,MATCH(T162,Assets!$A$5:$A$254,0)),"Check - not in library")))</f>
        <v>0</v>
      </c>
      <c r="Y162" s="16">
        <f>IF(B162="","",B162-ProductionDays)</f>
        <v>0</v>
      </c>
      <c r="Z162" s="16">
        <f>IF(B162="","",B162-ApprovalDays)</f>
        <v>0</v>
      </c>
      <c r="AA162" s="23">
        <f>IF(B162="","",B162-TODAY())</f>
        <v>0</v>
      </c>
      <c r="AC162" s="29">
        <f>IF(H162="","",IF(X162="Published",IF(AB162="","Add - link missing","Yes"),"No"))</f>
        <v>0</v>
      </c>
      <c r="AD162" s="23">
        <f>IF(A162="","",IF(COUNTIF(Performance!$B$5:$B$404,A162)=0,"",SUMIFS(Performance!$O$5:$O$404,Performance!$B$5:$B$404,A162)))</f>
        <v>0</v>
      </c>
      <c r="AE162" s="23">
        <f>IF(AD162="","",SUMIFS(Performance!$Z$5:$Z$404,Performance!$B$5:$B$404,A162))</f>
        <v>0</v>
      </c>
      <c r="AF162" s="24">
        <f>IF(OR(AD162="",AD162=0),"",AE162/AD162)</f>
        <v>0</v>
      </c>
      <c r="AG162" s="23">
        <f>IF(AD162="","",SUMIFS(Performance!$U$5:$U$404,Performance!$B$5:$B$404,A162))</f>
        <v>0</v>
      </c>
      <c r="AH162" s="23">
        <f>IF(A162="","",COUNTIF(Repurposing!$B$5:$B$154,A162))</f>
        <v>0</v>
      </c>
      <c r="AI162" s="32">
        <f>IF(OR(H162="",B162=""),"",B162+ROW()/100000)</f>
        <v>0</v>
      </c>
      <c r="AJ162" s="32">
        <f>IF(OR(H162="",B162=""),"",IF(OR(X162="Published",X162="Cancelled",X162="Archived"),"",IF(B162&lt;TODAY(),"",B162+ROW()/100000)))</f>
        <v>0</v>
      </c>
      <c r="AK162" s="32">
        <f>IF(OR(H162="",B162=""),"",IF(OR(X162="Published",X162="Cancelled",X162="Archived"),"",IF(B162&gt;=TODAY(),"",B162+ROW()/100000)))</f>
        <v>0</v>
      </c>
      <c r="AL162" s="29">
        <f>IF(H162="","",IF(COUNTIFS('Content Calendar'!$H$5:$H$604,H162,'Content Calendar'!$G$5:$G$604,G162,'Content Calendar'!$B$5:$B$604,B162)&gt;1,"Duplicate","OK"))</f>
        <v>0</v>
      </c>
      <c r="AM162" s="29">
        <f>IF(H162="","",IF(AND(B162&lt;&gt;"",B162&lt;TODAY(),X162&lt;&gt;"Published",X162&lt;&gt;"Cancelled",X162&lt;&gt;"Archived"),"Overdue - date has passed",IF(AND(X162="Published",AB162=""),"Add - publish link missing",IF(AND(B162=TODAY(),X162&lt;&gt;"Published"),"Today - due to go live",IF(AND(Y162&lt;&gt;"",Y162&lt;TODAY(),OR(X162="Idea",X162="Brief",X162="In production")),"Late - draft not ready",IF(AND(AA162&gt;=0,AA162&lt;=3,OR(X162="Draft",X162="Awaiting review")),"Due - needs approval",IF(AND(H162&lt;&gt;"",P162=""),"Add - caption missing","OK")))))))</f>
        <v>0</v>
      </c>
    </row>
    <row r="163" spans="1:39">
      <c r="A163" s="41">
        <f>IF(H163="","",ContentPrefix&amp;TEXT(ROW()-4,"0000"))</f>
        <v>0</v>
      </c>
      <c r="D163" s="17">
        <f>IF(B163="","",TEXT(B163,"yyyy-mm"))</f>
        <v>0</v>
      </c>
      <c r="E163" s="23">
        <f>IF(B163="","",WEEKNUM(B163,IF(WeekStart="Sunday",1,2)))</f>
        <v>0</v>
      </c>
      <c r="F163" s="17">
        <f>IF(B163="","",TEXT(B163,"ddd"))</f>
        <v>0</v>
      </c>
      <c r="Q163" s="29">
        <f>IF(H163="","",IF(P163="","Add - no caption",IFERROR(INDEX('Caption Bank'!$R$5:$R$204,MATCH(P163,'Caption Bank'!$B$5:$B$204,0)),"Check - not in bank")))</f>
        <v>0</v>
      </c>
      <c r="S163" s="23">
        <f>IF(R163="","",COUNTIF('Hashtag Bank'!$D$5:$D$304,R163))</f>
        <v>0</v>
      </c>
      <c r="U163" s="29">
        <f>IF(H163="","",IF(T163="","Add - no asset",IFERROR(INDEX(Assets!$N$5:$N$254,MATCH(T163,Assets!$A$5:$A$254,0)),"Check - not in library")))</f>
        <v>0</v>
      </c>
      <c r="Y163" s="16">
        <f>IF(B163="","",B163-ProductionDays)</f>
        <v>0</v>
      </c>
      <c r="Z163" s="16">
        <f>IF(B163="","",B163-ApprovalDays)</f>
        <v>0</v>
      </c>
      <c r="AA163" s="23">
        <f>IF(B163="","",B163-TODAY())</f>
        <v>0</v>
      </c>
      <c r="AC163" s="29">
        <f>IF(H163="","",IF(X163="Published",IF(AB163="","Add - link missing","Yes"),"No"))</f>
        <v>0</v>
      </c>
      <c r="AD163" s="23">
        <f>IF(A163="","",IF(COUNTIF(Performance!$B$5:$B$404,A163)=0,"",SUMIFS(Performance!$O$5:$O$404,Performance!$B$5:$B$404,A163)))</f>
        <v>0</v>
      </c>
      <c r="AE163" s="23">
        <f>IF(AD163="","",SUMIFS(Performance!$Z$5:$Z$404,Performance!$B$5:$B$404,A163))</f>
        <v>0</v>
      </c>
      <c r="AF163" s="24">
        <f>IF(OR(AD163="",AD163=0),"",AE163/AD163)</f>
        <v>0</v>
      </c>
      <c r="AG163" s="23">
        <f>IF(AD163="","",SUMIFS(Performance!$U$5:$U$404,Performance!$B$5:$B$404,A163))</f>
        <v>0</v>
      </c>
      <c r="AH163" s="23">
        <f>IF(A163="","",COUNTIF(Repurposing!$B$5:$B$154,A163))</f>
        <v>0</v>
      </c>
      <c r="AI163" s="32">
        <f>IF(OR(H163="",B163=""),"",B163+ROW()/100000)</f>
        <v>0</v>
      </c>
      <c r="AJ163" s="32">
        <f>IF(OR(H163="",B163=""),"",IF(OR(X163="Published",X163="Cancelled",X163="Archived"),"",IF(B163&lt;TODAY(),"",B163+ROW()/100000)))</f>
        <v>0</v>
      </c>
      <c r="AK163" s="32">
        <f>IF(OR(H163="",B163=""),"",IF(OR(X163="Published",X163="Cancelled",X163="Archived"),"",IF(B163&gt;=TODAY(),"",B163+ROW()/100000)))</f>
        <v>0</v>
      </c>
      <c r="AL163" s="29">
        <f>IF(H163="","",IF(COUNTIFS('Content Calendar'!$H$5:$H$604,H163,'Content Calendar'!$G$5:$G$604,G163,'Content Calendar'!$B$5:$B$604,B163)&gt;1,"Duplicate","OK"))</f>
        <v>0</v>
      </c>
      <c r="AM163" s="29">
        <f>IF(H163="","",IF(AND(B163&lt;&gt;"",B163&lt;TODAY(),X163&lt;&gt;"Published",X163&lt;&gt;"Cancelled",X163&lt;&gt;"Archived"),"Overdue - date has passed",IF(AND(X163="Published",AB163=""),"Add - publish link missing",IF(AND(B163=TODAY(),X163&lt;&gt;"Published"),"Today - due to go live",IF(AND(Y163&lt;&gt;"",Y163&lt;TODAY(),OR(X163="Idea",X163="Brief",X163="In production")),"Late - draft not ready",IF(AND(AA163&gt;=0,AA163&lt;=3,OR(X163="Draft",X163="Awaiting review")),"Due - needs approval",IF(AND(H163&lt;&gt;"",P163=""),"Add - caption missing","OK")))))))</f>
        <v>0</v>
      </c>
    </row>
    <row r="164" spans="1:39">
      <c r="A164" s="41">
        <f>IF(H164="","",ContentPrefix&amp;TEXT(ROW()-4,"0000"))</f>
        <v>0</v>
      </c>
      <c r="D164" s="17">
        <f>IF(B164="","",TEXT(B164,"yyyy-mm"))</f>
        <v>0</v>
      </c>
      <c r="E164" s="23">
        <f>IF(B164="","",WEEKNUM(B164,IF(WeekStart="Sunday",1,2)))</f>
        <v>0</v>
      </c>
      <c r="F164" s="17">
        <f>IF(B164="","",TEXT(B164,"ddd"))</f>
        <v>0</v>
      </c>
      <c r="Q164" s="29">
        <f>IF(H164="","",IF(P164="","Add - no caption",IFERROR(INDEX('Caption Bank'!$R$5:$R$204,MATCH(P164,'Caption Bank'!$B$5:$B$204,0)),"Check - not in bank")))</f>
        <v>0</v>
      </c>
      <c r="S164" s="23">
        <f>IF(R164="","",COUNTIF('Hashtag Bank'!$D$5:$D$304,R164))</f>
        <v>0</v>
      </c>
      <c r="U164" s="29">
        <f>IF(H164="","",IF(T164="","Add - no asset",IFERROR(INDEX(Assets!$N$5:$N$254,MATCH(T164,Assets!$A$5:$A$254,0)),"Check - not in library")))</f>
        <v>0</v>
      </c>
      <c r="Y164" s="16">
        <f>IF(B164="","",B164-ProductionDays)</f>
        <v>0</v>
      </c>
      <c r="Z164" s="16">
        <f>IF(B164="","",B164-ApprovalDays)</f>
        <v>0</v>
      </c>
      <c r="AA164" s="23">
        <f>IF(B164="","",B164-TODAY())</f>
        <v>0</v>
      </c>
      <c r="AC164" s="29">
        <f>IF(H164="","",IF(X164="Published",IF(AB164="","Add - link missing","Yes"),"No"))</f>
        <v>0</v>
      </c>
      <c r="AD164" s="23">
        <f>IF(A164="","",IF(COUNTIF(Performance!$B$5:$B$404,A164)=0,"",SUMIFS(Performance!$O$5:$O$404,Performance!$B$5:$B$404,A164)))</f>
        <v>0</v>
      </c>
      <c r="AE164" s="23">
        <f>IF(AD164="","",SUMIFS(Performance!$Z$5:$Z$404,Performance!$B$5:$B$404,A164))</f>
        <v>0</v>
      </c>
      <c r="AF164" s="24">
        <f>IF(OR(AD164="",AD164=0),"",AE164/AD164)</f>
        <v>0</v>
      </c>
      <c r="AG164" s="23">
        <f>IF(AD164="","",SUMIFS(Performance!$U$5:$U$404,Performance!$B$5:$B$404,A164))</f>
        <v>0</v>
      </c>
      <c r="AH164" s="23">
        <f>IF(A164="","",COUNTIF(Repurposing!$B$5:$B$154,A164))</f>
        <v>0</v>
      </c>
      <c r="AI164" s="32">
        <f>IF(OR(H164="",B164=""),"",B164+ROW()/100000)</f>
        <v>0</v>
      </c>
      <c r="AJ164" s="32">
        <f>IF(OR(H164="",B164=""),"",IF(OR(X164="Published",X164="Cancelled",X164="Archived"),"",IF(B164&lt;TODAY(),"",B164+ROW()/100000)))</f>
        <v>0</v>
      </c>
      <c r="AK164" s="32">
        <f>IF(OR(H164="",B164=""),"",IF(OR(X164="Published",X164="Cancelled",X164="Archived"),"",IF(B164&gt;=TODAY(),"",B164+ROW()/100000)))</f>
        <v>0</v>
      </c>
      <c r="AL164" s="29">
        <f>IF(H164="","",IF(COUNTIFS('Content Calendar'!$H$5:$H$604,H164,'Content Calendar'!$G$5:$G$604,G164,'Content Calendar'!$B$5:$B$604,B164)&gt;1,"Duplicate","OK"))</f>
        <v>0</v>
      </c>
      <c r="AM164" s="29">
        <f>IF(H164="","",IF(AND(B164&lt;&gt;"",B164&lt;TODAY(),X164&lt;&gt;"Published",X164&lt;&gt;"Cancelled",X164&lt;&gt;"Archived"),"Overdue - date has passed",IF(AND(X164="Published",AB164=""),"Add - publish link missing",IF(AND(B164=TODAY(),X164&lt;&gt;"Published"),"Today - due to go live",IF(AND(Y164&lt;&gt;"",Y164&lt;TODAY(),OR(X164="Idea",X164="Brief",X164="In production")),"Late - draft not ready",IF(AND(AA164&gt;=0,AA164&lt;=3,OR(X164="Draft",X164="Awaiting review")),"Due - needs approval",IF(AND(H164&lt;&gt;"",P164=""),"Add - caption missing","OK")))))))</f>
        <v>0</v>
      </c>
    </row>
    <row r="165" spans="1:39">
      <c r="A165" s="41">
        <f>IF(H165="","",ContentPrefix&amp;TEXT(ROW()-4,"0000"))</f>
        <v>0</v>
      </c>
      <c r="D165" s="17">
        <f>IF(B165="","",TEXT(B165,"yyyy-mm"))</f>
        <v>0</v>
      </c>
      <c r="E165" s="23">
        <f>IF(B165="","",WEEKNUM(B165,IF(WeekStart="Sunday",1,2)))</f>
        <v>0</v>
      </c>
      <c r="F165" s="17">
        <f>IF(B165="","",TEXT(B165,"ddd"))</f>
        <v>0</v>
      </c>
      <c r="Q165" s="29">
        <f>IF(H165="","",IF(P165="","Add - no caption",IFERROR(INDEX('Caption Bank'!$R$5:$R$204,MATCH(P165,'Caption Bank'!$B$5:$B$204,0)),"Check - not in bank")))</f>
        <v>0</v>
      </c>
      <c r="S165" s="23">
        <f>IF(R165="","",COUNTIF('Hashtag Bank'!$D$5:$D$304,R165))</f>
        <v>0</v>
      </c>
      <c r="U165" s="29">
        <f>IF(H165="","",IF(T165="","Add - no asset",IFERROR(INDEX(Assets!$N$5:$N$254,MATCH(T165,Assets!$A$5:$A$254,0)),"Check - not in library")))</f>
        <v>0</v>
      </c>
      <c r="Y165" s="16">
        <f>IF(B165="","",B165-ProductionDays)</f>
        <v>0</v>
      </c>
      <c r="Z165" s="16">
        <f>IF(B165="","",B165-ApprovalDays)</f>
        <v>0</v>
      </c>
      <c r="AA165" s="23">
        <f>IF(B165="","",B165-TODAY())</f>
        <v>0</v>
      </c>
      <c r="AC165" s="29">
        <f>IF(H165="","",IF(X165="Published",IF(AB165="","Add - link missing","Yes"),"No"))</f>
        <v>0</v>
      </c>
      <c r="AD165" s="23">
        <f>IF(A165="","",IF(COUNTIF(Performance!$B$5:$B$404,A165)=0,"",SUMIFS(Performance!$O$5:$O$404,Performance!$B$5:$B$404,A165)))</f>
        <v>0</v>
      </c>
      <c r="AE165" s="23">
        <f>IF(AD165="","",SUMIFS(Performance!$Z$5:$Z$404,Performance!$B$5:$B$404,A165))</f>
        <v>0</v>
      </c>
      <c r="AF165" s="24">
        <f>IF(OR(AD165="",AD165=0),"",AE165/AD165)</f>
        <v>0</v>
      </c>
      <c r="AG165" s="23">
        <f>IF(AD165="","",SUMIFS(Performance!$U$5:$U$404,Performance!$B$5:$B$404,A165))</f>
        <v>0</v>
      </c>
      <c r="AH165" s="23">
        <f>IF(A165="","",COUNTIF(Repurposing!$B$5:$B$154,A165))</f>
        <v>0</v>
      </c>
      <c r="AI165" s="32">
        <f>IF(OR(H165="",B165=""),"",B165+ROW()/100000)</f>
        <v>0</v>
      </c>
      <c r="AJ165" s="32">
        <f>IF(OR(H165="",B165=""),"",IF(OR(X165="Published",X165="Cancelled",X165="Archived"),"",IF(B165&lt;TODAY(),"",B165+ROW()/100000)))</f>
        <v>0</v>
      </c>
      <c r="AK165" s="32">
        <f>IF(OR(H165="",B165=""),"",IF(OR(X165="Published",X165="Cancelled",X165="Archived"),"",IF(B165&gt;=TODAY(),"",B165+ROW()/100000)))</f>
        <v>0</v>
      </c>
      <c r="AL165" s="29">
        <f>IF(H165="","",IF(COUNTIFS('Content Calendar'!$H$5:$H$604,H165,'Content Calendar'!$G$5:$G$604,G165,'Content Calendar'!$B$5:$B$604,B165)&gt;1,"Duplicate","OK"))</f>
        <v>0</v>
      </c>
      <c r="AM165" s="29">
        <f>IF(H165="","",IF(AND(B165&lt;&gt;"",B165&lt;TODAY(),X165&lt;&gt;"Published",X165&lt;&gt;"Cancelled",X165&lt;&gt;"Archived"),"Overdue - date has passed",IF(AND(X165="Published",AB165=""),"Add - publish link missing",IF(AND(B165=TODAY(),X165&lt;&gt;"Published"),"Today - due to go live",IF(AND(Y165&lt;&gt;"",Y165&lt;TODAY(),OR(X165="Idea",X165="Brief",X165="In production")),"Late - draft not ready",IF(AND(AA165&gt;=0,AA165&lt;=3,OR(X165="Draft",X165="Awaiting review")),"Due - needs approval",IF(AND(H165&lt;&gt;"",P165=""),"Add - caption missing","OK")))))))</f>
        <v>0</v>
      </c>
    </row>
    <row r="166" spans="1:39">
      <c r="A166" s="41">
        <f>IF(H166="","",ContentPrefix&amp;TEXT(ROW()-4,"0000"))</f>
        <v>0</v>
      </c>
      <c r="D166" s="17">
        <f>IF(B166="","",TEXT(B166,"yyyy-mm"))</f>
        <v>0</v>
      </c>
      <c r="E166" s="23">
        <f>IF(B166="","",WEEKNUM(B166,IF(WeekStart="Sunday",1,2)))</f>
        <v>0</v>
      </c>
      <c r="F166" s="17">
        <f>IF(B166="","",TEXT(B166,"ddd"))</f>
        <v>0</v>
      </c>
      <c r="Q166" s="29">
        <f>IF(H166="","",IF(P166="","Add - no caption",IFERROR(INDEX('Caption Bank'!$R$5:$R$204,MATCH(P166,'Caption Bank'!$B$5:$B$204,0)),"Check - not in bank")))</f>
        <v>0</v>
      </c>
      <c r="S166" s="23">
        <f>IF(R166="","",COUNTIF('Hashtag Bank'!$D$5:$D$304,R166))</f>
        <v>0</v>
      </c>
      <c r="U166" s="29">
        <f>IF(H166="","",IF(T166="","Add - no asset",IFERROR(INDEX(Assets!$N$5:$N$254,MATCH(T166,Assets!$A$5:$A$254,0)),"Check - not in library")))</f>
        <v>0</v>
      </c>
      <c r="Y166" s="16">
        <f>IF(B166="","",B166-ProductionDays)</f>
        <v>0</v>
      </c>
      <c r="Z166" s="16">
        <f>IF(B166="","",B166-ApprovalDays)</f>
        <v>0</v>
      </c>
      <c r="AA166" s="23">
        <f>IF(B166="","",B166-TODAY())</f>
        <v>0</v>
      </c>
      <c r="AC166" s="29">
        <f>IF(H166="","",IF(X166="Published",IF(AB166="","Add - link missing","Yes"),"No"))</f>
        <v>0</v>
      </c>
      <c r="AD166" s="23">
        <f>IF(A166="","",IF(COUNTIF(Performance!$B$5:$B$404,A166)=0,"",SUMIFS(Performance!$O$5:$O$404,Performance!$B$5:$B$404,A166)))</f>
        <v>0</v>
      </c>
      <c r="AE166" s="23">
        <f>IF(AD166="","",SUMIFS(Performance!$Z$5:$Z$404,Performance!$B$5:$B$404,A166))</f>
        <v>0</v>
      </c>
      <c r="AF166" s="24">
        <f>IF(OR(AD166="",AD166=0),"",AE166/AD166)</f>
        <v>0</v>
      </c>
      <c r="AG166" s="23">
        <f>IF(AD166="","",SUMIFS(Performance!$U$5:$U$404,Performance!$B$5:$B$404,A166))</f>
        <v>0</v>
      </c>
      <c r="AH166" s="23">
        <f>IF(A166="","",COUNTIF(Repurposing!$B$5:$B$154,A166))</f>
        <v>0</v>
      </c>
      <c r="AI166" s="32">
        <f>IF(OR(H166="",B166=""),"",B166+ROW()/100000)</f>
        <v>0</v>
      </c>
      <c r="AJ166" s="32">
        <f>IF(OR(H166="",B166=""),"",IF(OR(X166="Published",X166="Cancelled",X166="Archived"),"",IF(B166&lt;TODAY(),"",B166+ROW()/100000)))</f>
        <v>0</v>
      </c>
      <c r="AK166" s="32">
        <f>IF(OR(H166="",B166=""),"",IF(OR(X166="Published",X166="Cancelled",X166="Archived"),"",IF(B166&gt;=TODAY(),"",B166+ROW()/100000)))</f>
        <v>0</v>
      </c>
      <c r="AL166" s="29">
        <f>IF(H166="","",IF(COUNTIFS('Content Calendar'!$H$5:$H$604,H166,'Content Calendar'!$G$5:$G$604,G166,'Content Calendar'!$B$5:$B$604,B166)&gt;1,"Duplicate","OK"))</f>
        <v>0</v>
      </c>
      <c r="AM166" s="29">
        <f>IF(H166="","",IF(AND(B166&lt;&gt;"",B166&lt;TODAY(),X166&lt;&gt;"Published",X166&lt;&gt;"Cancelled",X166&lt;&gt;"Archived"),"Overdue - date has passed",IF(AND(X166="Published",AB166=""),"Add - publish link missing",IF(AND(B166=TODAY(),X166&lt;&gt;"Published"),"Today - due to go live",IF(AND(Y166&lt;&gt;"",Y166&lt;TODAY(),OR(X166="Idea",X166="Brief",X166="In production")),"Late - draft not ready",IF(AND(AA166&gt;=0,AA166&lt;=3,OR(X166="Draft",X166="Awaiting review")),"Due - needs approval",IF(AND(H166&lt;&gt;"",P166=""),"Add - caption missing","OK")))))))</f>
        <v>0</v>
      </c>
    </row>
    <row r="167" spans="1:39">
      <c r="A167" s="41">
        <f>IF(H167="","",ContentPrefix&amp;TEXT(ROW()-4,"0000"))</f>
        <v>0</v>
      </c>
      <c r="D167" s="17">
        <f>IF(B167="","",TEXT(B167,"yyyy-mm"))</f>
        <v>0</v>
      </c>
      <c r="E167" s="23">
        <f>IF(B167="","",WEEKNUM(B167,IF(WeekStart="Sunday",1,2)))</f>
        <v>0</v>
      </c>
      <c r="F167" s="17">
        <f>IF(B167="","",TEXT(B167,"ddd"))</f>
        <v>0</v>
      </c>
      <c r="Q167" s="29">
        <f>IF(H167="","",IF(P167="","Add - no caption",IFERROR(INDEX('Caption Bank'!$R$5:$R$204,MATCH(P167,'Caption Bank'!$B$5:$B$204,0)),"Check - not in bank")))</f>
        <v>0</v>
      </c>
      <c r="S167" s="23">
        <f>IF(R167="","",COUNTIF('Hashtag Bank'!$D$5:$D$304,R167))</f>
        <v>0</v>
      </c>
      <c r="U167" s="29">
        <f>IF(H167="","",IF(T167="","Add - no asset",IFERROR(INDEX(Assets!$N$5:$N$254,MATCH(T167,Assets!$A$5:$A$254,0)),"Check - not in library")))</f>
        <v>0</v>
      </c>
      <c r="Y167" s="16">
        <f>IF(B167="","",B167-ProductionDays)</f>
        <v>0</v>
      </c>
      <c r="Z167" s="16">
        <f>IF(B167="","",B167-ApprovalDays)</f>
        <v>0</v>
      </c>
      <c r="AA167" s="23">
        <f>IF(B167="","",B167-TODAY())</f>
        <v>0</v>
      </c>
      <c r="AC167" s="29">
        <f>IF(H167="","",IF(X167="Published",IF(AB167="","Add - link missing","Yes"),"No"))</f>
        <v>0</v>
      </c>
      <c r="AD167" s="23">
        <f>IF(A167="","",IF(COUNTIF(Performance!$B$5:$B$404,A167)=0,"",SUMIFS(Performance!$O$5:$O$404,Performance!$B$5:$B$404,A167)))</f>
        <v>0</v>
      </c>
      <c r="AE167" s="23">
        <f>IF(AD167="","",SUMIFS(Performance!$Z$5:$Z$404,Performance!$B$5:$B$404,A167))</f>
        <v>0</v>
      </c>
      <c r="AF167" s="24">
        <f>IF(OR(AD167="",AD167=0),"",AE167/AD167)</f>
        <v>0</v>
      </c>
      <c r="AG167" s="23">
        <f>IF(AD167="","",SUMIFS(Performance!$U$5:$U$404,Performance!$B$5:$B$404,A167))</f>
        <v>0</v>
      </c>
      <c r="AH167" s="23">
        <f>IF(A167="","",COUNTIF(Repurposing!$B$5:$B$154,A167))</f>
        <v>0</v>
      </c>
      <c r="AI167" s="32">
        <f>IF(OR(H167="",B167=""),"",B167+ROW()/100000)</f>
        <v>0</v>
      </c>
      <c r="AJ167" s="32">
        <f>IF(OR(H167="",B167=""),"",IF(OR(X167="Published",X167="Cancelled",X167="Archived"),"",IF(B167&lt;TODAY(),"",B167+ROW()/100000)))</f>
        <v>0</v>
      </c>
      <c r="AK167" s="32">
        <f>IF(OR(H167="",B167=""),"",IF(OR(X167="Published",X167="Cancelled",X167="Archived"),"",IF(B167&gt;=TODAY(),"",B167+ROW()/100000)))</f>
        <v>0</v>
      </c>
      <c r="AL167" s="29">
        <f>IF(H167="","",IF(COUNTIFS('Content Calendar'!$H$5:$H$604,H167,'Content Calendar'!$G$5:$G$604,G167,'Content Calendar'!$B$5:$B$604,B167)&gt;1,"Duplicate","OK"))</f>
        <v>0</v>
      </c>
      <c r="AM167" s="29">
        <f>IF(H167="","",IF(AND(B167&lt;&gt;"",B167&lt;TODAY(),X167&lt;&gt;"Published",X167&lt;&gt;"Cancelled",X167&lt;&gt;"Archived"),"Overdue - date has passed",IF(AND(X167="Published",AB167=""),"Add - publish link missing",IF(AND(B167=TODAY(),X167&lt;&gt;"Published"),"Today - due to go live",IF(AND(Y167&lt;&gt;"",Y167&lt;TODAY(),OR(X167="Idea",X167="Brief",X167="In production")),"Late - draft not ready",IF(AND(AA167&gt;=0,AA167&lt;=3,OR(X167="Draft",X167="Awaiting review")),"Due - needs approval",IF(AND(H167&lt;&gt;"",P167=""),"Add - caption missing","OK")))))))</f>
        <v>0</v>
      </c>
    </row>
    <row r="168" spans="1:39">
      <c r="A168" s="41">
        <f>IF(H168="","",ContentPrefix&amp;TEXT(ROW()-4,"0000"))</f>
        <v>0</v>
      </c>
      <c r="D168" s="17">
        <f>IF(B168="","",TEXT(B168,"yyyy-mm"))</f>
        <v>0</v>
      </c>
      <c r="E168" s="23">
        <f>IF(B168="","",WEEKNUM(B168,IF(WeekStart="Sunday",1,2)))</f>
        <v>0</v>
      </c>
      <c r="F168" s="17">
        <f>IF(B168="","",TEXT(B168,"ddd"))</f>
        <v>0</v>
      </c>
      <c r="Q168" s="29">
        <f>IF(H168="","",IF(P168="","Add - no caption",IFERROR(INDEX('Caption Bank'!$R$5:$R$204,MATCH(P168,'Caption Bank'!$B$5:$B$204,0)),"Check - not in bank")))</f>
        <v>0</v>
      </c>
      <c r="S168" s="23">
        <f>IF(R168="","",COUNTIF('Hashtag Bank'!$D$5:$D$304,R168))</f>
        <v>0</v>
      </c>
      <c r="U168" s="29">
        <f>IF(H168="","",IF(T168="","Add - no asset",IFERROR(INDEX(Assets!$N$5:$N$254,MATCH(T168,Assets!$A$5:$A$254,0)),"Check - not in library")))</f>
        <v>0</v>
      </c>
      <c r="Y168" s="16">
        <f>IF(B168="","",B168-ProductionDays)</f>
        <v>0</v>
      </c>
      <c r="Z168" s="16">
        <f>IF(B168="","",B168-ApprovalDays)</f>
        <v>0</v>
      </c>
      <c r="AA168" s="23">
        <f>IF(B168="","",B168-TODAY())</f>
        <v>0</v>
      </c>
      <c r="AC168" s="29">
        <f>IF(H168="","",IF(X168="Published",IF(AB168="","Add - link missing","Yes"),"No"))</f>
        <v>0</v>
      </c>
      <c r="AD168" s="23">
        <f>IF(A168="","",IF(COUNTIF(Performance!$B$5:$B$404,A168)=0,"",SUMIFS(Performance!$O$5:$O$404,Performance!$B$5:$B$404,A168)))</f>
        <v>0</v>
      </c>
      <c r="AE168" s="23">
        <f>IF(AD168="","",SUMIFS(Performance!$Z$5:$Z$404,Performance!$B$5:$B$404,A168))</f>
        <v>0</v>
      </c>
      <c r="AF168" s="24">
        <f>IF(OR(AD168="",AD168=0),"",AE168/AD168)</f>
        <v>0</v>
      </c>
      <c r="AG168" s="23">
        <f>IF(AD168="","",SUMIFS(Performance!$U$5:$U$404,Performance!$B$5:$B$404,A168))</f>
        <v>0</v>
      </c>
      <c r="AH168" s="23">
        <f>IF(A168="","",COUNTIF(Repurposing!$B$5:$B$154,A168))</f>
        <v>0</v>
      </c>
      <c r="AI168" s="32">
        <f>IF(OR(H168="",B168=""),"",B168+ROW()/100000)</f>
        <v>0</v>
      </c>
      <c r="AJ168" s="32">
        <f>IF(OR(H168="",B168=""),"",IF(OR(X168="Published",X168="Cancelled",X168="Archived"),"",IF(B168&lt;TODAY(),"",B168+ROW()/100000)))</f>
        <v>0</v>
      </c>
      <c r="AK168" s="32">
        <f>IF(OR(H168="",B168=""),"",IF(OR(X168="Published",X168="Cancelled",X168="Archived"),"",IF(B168&gt;=TODAY(),"",B168+ROW()/100000)))</f>
        <v>0</v>
      </c>
      <c r="AL168" s="29">
        <f>IF(H168="","",IF(COUNTIFS('Content Calendar'!$H$5:$H$604,H168,'Content Calendar'!$G$5:$G$604,G168,'Content Calendar'!$B$5:$B$604,B168)&gt;1,"Duplicate","OK"))</f>
        <v>0</v>
      </c>
      <c r="AM168" s="29">
        <f>IF(H168="","",IF(AND(B168&lt;&gt;"",B168&lt;TODAY(),X168&lt;&gt;"Published",X168&lt;&gt;"Cancelled",X168&lt;&gt;"Archived"),"Overdue - date has passed",IF(AND(X168="Published",AB168=""),"Add - publish link missing",IF(AND(B168=TODAY(),X168&lt;&gt;"Published"),"Today - due to go live",IF(AND(Y168&lt;&gt;"",Y168&lt;TODAY(),OR(X168="Idea",X168="Brief",X168="In production")),"Late - draft not ready",IF(AND(AA168&gt;=0,AA168&lt;=3,OR(X168="Draft",X168="Awaiting review")),"Due - needs approval",IF(AND(H168&lt;&gt;"",P168=""),"Add - caption missing","OK")))))))</f>
        <v>0</v>
      </c>
    </row>
    <row r="169" spans="1:39">
      <c r="A169" s="41">
        <f>IF(H169="","",ContentPrefix&amp;TEXT(ROW()-4,"0000"))</f>
        <v>0</v>
      </c>
      <c r="D169" s="17">
        <f>IF(B169="","",TEXT(B169,"yyyy-mm"))</f>
        <v>0</v>
      </c>
      <c r="E169" s="23">
        <f>IF(B169="","",WEEKNUM(B169,IF(WeekStart="Sunday",1,2)))</f>
        <v>0</v>
      </c>
      <c r="F169" s="17">
        <f>IF(B169="","",TEXT(B169,"ddd"))</f>
        <v>0</v>
      </c>
      <c r="Q169" s="29">
        <f>IF(H169="","",IF(P169="","Add - no caption",IFERROR(INDEX('Caption Bank'!$R$5:$R$204,MATCH(P169,'Caption Bank'!$B$5:$B$204,0)),"Check - not in bank")))</f>
        <v>0</v>
      </c>
      <c r="S169" s="23">
        <f>IF(R169="","",COUNTIF('Hashtag Bank'!$D$5:$D$304,R169))</f>
        <v>0</v>
      </c>
      <c r="U169" s="29">
        <f>IF(H169="","",IF(T169="","Add - no asset",IFERROR(INDEX(Assets!$N$5:$N$254,MATCH(T169,Assets!$A$5:$A$254,0)),"Check - not in library")))</f>
        <v>0</v>
      </c>
      <c r="Y169" s="16">
        <f>IF(B169="","",B169-ProductionDays)</f>
        <v>0</v>
      </c>
      <c r="Z169" s="16">
        <f>IF(B169="","",B169-ApprovalDays)</f>
        <v>0</v>
      </c>
      <c r="AA169" s="23">
        <f>IF(B169="","",B169-TODAY())</f>
        <v>0</v>
      </c>
      <c r="AC169" s="29">
        <f>IF(H169="","",IF(X169="Published",IF(AB169="","Add - link missing","Yes"),"No"))</f>
        <v>0</v>
      </c>
      <c r="AD169" s="23">
        <f>IF(A169="","",IF(COUNTIF(Performance!$B$5:$B$404,A169)=0,"",SUMIFS(Performance!$O$5:$O$404,Performance!$B$5:$B$404,A169)))</f>
        <v>0</v>
      </c>
      <c r="AE169" s="23">
        <f>IF(AD169="","",SUMIFS(Performance!$Z$5:$Z$404,Performance!$B$5:$B$404,A169))</f>
        <v>0</v>
      </c>
      <c r="AF169" s="24">
        <f>IF(OR(AD169="",AD169=0),"",AE169/AD169)</f>
        <v>0</v>
      </c>
      <c r="AG169" s="23">
        <f>IF(AD169="","",SUMIFS(Performance!$U$5:$U$404,Performance!$B$5:$B$404,A169))</f>
        <v>0</v>
      </c>
      <c r="AH169" s="23">
        <f>IF(A169="","",COUNTIF(Repurposing!$B$5:$B$154,A169))</f>
        <v>0</v>
      </c>
      <c r="AI169" s="32">
        <f>IF(OR(H169="",B169=""),"",B169+ROW()/100000)</f>
        <v>0</v>
      </c>
      <c r="AJ169" s="32">
        <f>IF(OR(H169="",B169=""),"",IF(OR(X169="Published",X169="Cancelled",X169="Archived"),"",IF(B169&lt;TODAY(),"",B169+ROW()/100000)))</f>
        <v>0</v>
      </c>
      <c r="AK169" s="32">
        <f>IF(OR(H169="",B169=""),"",IF(OR(X169="Published",X169="Cancelled",X169="Archived"),"",IF(B169&gt;=TODAY(),"",B169+ROW()/100000)))</f>
        <v>0</v>
      </c>
      <c r="AL169" s="29">
        <f>IF(H169="","",IF(COUNTIFS('Content Calendar'!$H$5:$H$604,H169,'Content Calendar'!$G$5:$G$604,G169,'Content Calendar'!$B$5:$B$604,B169)&gt;1,"Duplicate","OK"))</f>
        <v>0</v>
      </c>
      <c r="AM169" s="29">
        <f>IF(H169="","",IF(AND(B169&lt;&gt;"",B169&lt;TODAY(),X169&lt;&gt;"Published",X169&lt;&gt;"Cancelled",X169&lt;&gt;"Archived"),"Overdue - date has passed",IF(AND(X169="Published",AB169=""),"Add - publish link missing",IF(AND(B169=TODAY(),X169&lt;&gt;"Published"),"Today - due to go live",IF(AND(Y169&lt;&gt;"",Y169&lt;TODAY(),OR(X169="Idea",X169="Brief",X169="In production")),"Late - draft not ready",IF(AND(AA169&gt;=0,AA169&lt;=3,OR(X169="Draft",X169="Awaiting review")),"Due - needs approval",IF(AND(H169&lt;&gt;"",P169=""),"Add - caption missing","OK")))))))</f>
        <v>0</v>
      </c>
    </row>
    <row r="170" spans="1:39">
      <c r="A170" s="41">
        <f>IF(H170="","",ContentPrefix&amp;TEXT(ROW()-4,"0000"))</f>
        <v>0</v>
      </c>
      <c r="D170" s="17">
        <f>IF(B170="","",TEXT(B170,"yyyy-mm"))</f>
        <v>0</v>
      </c>
      <c r="E170" s="23">
        <f>IF(B170="","",WEEKNUM(B170,IF(WeekStart="Sunday",1,2)))</f>
        <v>0</v>
      </c>
      <c r="F170" s="17">
        <f>IF(B170="","",TEXT(B170,"ddd"))</f>
        <v>0</v>
      </c>
      <c r="Q170" s="29">
        <f>IF(H170="","",IF(P170="","Add - no caption",IFERROR(INDEX('Caption Bank'!$R$5:$R$204,MATCH(P170,'Caption Bank'!$B$5:$B$204,0)),"Check - not in bank")))</f>
        <v>0</v>
      </c>
      <c r="S170" s="23">
        <f>IF(R170="","",COUNTIF('Hashtag Bank'!$D$5:$D$304,R170))</f>
        <v>0</v>
      </c>
      <c r="U170" s="29">
        <f>IF(H170="","",IF(T170="","Add - no asset",IFERROR(INDEX(Assets!$N$5:$N$254,MATCH(T170,Assets!$A$5:$A$254,0)),"Check - not in library")))</f>
        <v>0</v>
      </c>
      <c r="Y170" s="16">
        <f>IF(B170="","",B170-ProductionDays)</f>
        <v>0</v>
      </c>
      <c r="Z170" s="16">
        <f>IF(B170="","",B170-ApprovalDays)</f>
        <v>0</v>
      </c>
      <c r="AA170" s="23">
        <f>IF(B170="","",B170-TODAY())</f>
        <v>0</v>
      </c>
      <c r="AC170" s="29">
        <f>IF(H170="","",IF(X170="Published",IF(AB170="","Add - link missing","Yes"),"No"))</f>
        <v>0</v>
      </c>
      <c r="AD170" s="23">
        <f>IF(A170="","",IF(COUNTIF(Performance!$B$5:$B$404,A170)=0,"",SUMIFS(Performance!$O$5:$O$404,Performance!$B$5:$B$404,A170)))</f>
        <v>0</v>
      </c>
      <c r="AE170" s="23">
        <f>IF(AD170="","",SUMIFS(Performance!$Z$5:$Z$404,Performance!$B$5:$B$404,A170))</f>
        <v>0</v>
      </c>
      <c r="AF170" s="24">
        <f>IF(OR(AD170="",AD170=0),"",AE170/AD170)</f>
        <v>0</v>
      </c>
      <c r="AG170" s="23">
        <f>IF(AD170="","",SUMIFS(Performance!$U$5:$U$404,Performance!$B$5:$B$404,A170))</f>
        <v>0</v>
      </c>
      <c r="AH170" s="23">
        <f>IF(A170="","",COUNTIF(Repurposing!$B$5:$B$154,A170))</f>
        <v>0</v>
      </c>
      <c r="AI170" s="32">
        <f>IF(OR(H170="",B170=""),"",B170+ROW()/100000)</f>
        <v>0</v>
      </c>
      <c r="AJ170" s="32">
        <f>IF(OR(H170="",B170=""),"",IF(OR(X170="Published",X170="Cancelled",X170="Archived"),"",IF(B170&lt;TODAY(),"",B170+ROW()/100000)))</f>
        <v>0</v>
      </c>
      <c r="AK170" s="32">
        <f>IF(OR(H170="",B170=""),"",IF(OR(X170="Published",X170="Cancelled",X170="Archived"),"",IF(B170&gt;=TODAY(),"",B170+ROW()/100000)))</f>
        <v>0</v>
      </c>
      <c r="AL170" s="29">
        <f>IF(H170="","",IF(COUNTIFS('Content Calendar'!$H$5:$H$604,H170,'Content Calendar'!$G$5:$G$604,G170,'Content Calendar'!$B$5:$B$604,B170)&gt;1,"Duplicate","OK"))</f>
        <v>0</v>
      </c>
      <c r="AM170" s="29">
        <f>IF(H170="","",IF(AND(B170&lt;&gt;"",B170&lt;TODAY(),X170&lt;&gt;"Published",X170&lt;&gt;"Cancelled",X170&lt;&gt;"Archived"),"Overdue - date has passed",IF(AND(X170="Published",AB170=""),"Add - publish link missing",IF(AND(B170=TODAY(),X170&lt;&gt;"Published"),"Today - due to go live",IF(AND(Y170&lt;&gt;"",Y170&lt;TODAY(),OR(X170="Idea",X170="Brief",X170="In production")),"Late - draft not ready",IF(AND(AA170&gt;=0,AA170&lt;=3,OR(X170="Draft",X170="Awaiting review")),"Due - needs approval",IF(AND(H170&lt;&gt;"",P170=""),"Add - caption missing","OK")))))))</f>
        <v>0</v>
      </c>
    </row>
    <row r="171" spans="1:39">
      <c r="A171" s="41">
        <f>IF(H171="","",ContentPrefix&amp;TEXT(ROW()-4,"0000"))</f>
        <v>0</v>
      </c>
      <c r="D171" s="17">
        <f>IF(B171="","",TEXT(B171,"yyyy-mm"))</f>
        <v>0</v>
      </c>
      <c r="E171" s="23">
        <f>IF(B171="","",WEEKNUM(B171,IF(WeekStart="Sunday",1,2)))</f>
        <v>0</v>
      </c>
      <c r="F171" s="17">
        <f>IF(B171="","",TEXT(B171,"ddd"))</f>
        <v>0</v>
      </c>
      <c r="Q171" s="29">
        <f>IF(H171="","",IF(P171="","Add - no caption",IFERROR(INDEX('Caption Bank'!$R$5:$R$204,MATCH(P171,'Caption Bank'!$B$5:$B$204,0)),"Check - not in bank")))</f>
        <v>0</v>
      </c>
      <c r="S171" s="23">
        <f>IF(R171="","",COUNTIF('Hashtag Bank'!$D$5:$D$304,R171))</f>
        <v>0</v>
      </c>
      <c r="U171" s="29">
        <f>IF(H171="","",IF(T171="","Add - no asset",IFERROR(INDEX(Assets!$N$5:$N$254,MATCH(T171,Assets!$A$5:$A$254,0)),"Check - not in library")))</f>
        <v>0</v>
      </c>
      <c r="Y171" s="16">
        <f>IF(B171="","",B171-ProductionDays)</f>
        <v>0</v>
      </c>
      <c r="Z171" s="16">
        <f>IF(B171="","",B171-ApprovalDays)</f>
        <v>0</v>
      </c>
      <c r="AA171" s="23">
        <f>IF(B171="","",B171-TODAY())</f>
        <v>0</v>
      </c>
      <c r="AC171" s="29">
        <f>IF(H171="","",IF(X171="Published",IF(AB171="","Add - link missing","Yes"),"No"))</f>
        <v>0</v>
      </c>
      <c r="AD171" s="23">
        <f>IF(A171="","",IF(COUNTIF(Performance!$B$5:$B$404,A171)=0,"",SUMIFS(Performance!$O$5:$O$404,Performance!$B$5:$B$404,A171)))</f>
        <v>0</v>
      </c>
      <c r="AE171" s="23">
        <f>IF(AD171="","",SUMIFS(Performance!$Z$5:$Z$404,Performance!$B$5:$B$404,A171))</f>
        <v>0</v>
      </c>
      <c r="AF171" s="24">
        <f>IF(OR(AD171="",AD171=0),"",AE171/AD171)</f>
        <v>0</v>
      </c>
      <c r="AG171" s="23">
        <f>IF(AD171="","",SUMIFS(Performance!$U$5:$U$404,Performance!$B$5:$B$404,A171))</f>
        <v>0</v>
      </c>
      <c r="AH171" s="23">
        <f>IF(A171="","",COUNTIF(Repurposing!$B$5:$B$154,A171))</f>
        <v>0</v>
      </c>
      <c r="AI171" s="32">
        <f>IF(OR(H171="",B171=""),"",B171+ROW()/100000)</f>
        <v>0</v>
      </c>
      <c r="AJ171" s="32">
        <f>IF(OR(H171="",B171=""),"",IF(OR(X171="Published",X171="Cancelled",X171="Archived"),"",IF(B171&lt;TODAY(),"",B171+ROW()/100000)))</f>
        <v>0</v>
      </c>
      <c r="AK171" s="32">
        <f>IF(OR(H171="",B171=""),"",IF(OR(X171="Published",X171="Cancelled",X171="Archived"),"",IF(B171&gt;=TODAY(),"",B171+ROW()/100000)))</f>
        <v>0</v>
      </c>
      <c r="AL171" s="29">
        <f>IF(H171="","",IF(COUNTIFS('Content Calendar'!$H$5:$H$604,H171,'Content Calendar'!$G$5:$G$604,G171,'Content Calendar'!$B$5:$B$604,B171)&gt;1,"Duplicate","OK"))</f>
        <v>0</v>
      </c>
      <c r="AM171" s="29">
        <f>IF(H171="","",IF(AND(B171&lt;&gt;"",B171&lt;TODAY(),X171&lt;&gt;"Published",X171&lt;&gt;"Cancelled",X171&lt;&gt;"Archived"),"Overdue - date has passed",IF(AND(X171="Published",AB171=""),"Add - publish link missing",IF(AND(B171=TODAY(),X171&lt;&gt;"Published"),"Today - due to go live",IF(AND(Y171&lt;&gt;"",Y171&lt;TODAY(),OR(X171="Idea",X171="Brief",X171="In production")),"Late - draft not ready",IF(AND(AA171&gt;=0,AA171&lt;=3,OR(X171="Draft",X171="Awaiting review")),"Due - needs approval",IF(AND(H171&lt;&gt;"",P171=""),"Add - caption missing","OK")))))))</f>
        <v>0</v>
      </c>
    </row>
    <row r="172" spans="1:39">
      <c r="A172" s="41">
        <f>IF(H172="","",ContentPrefix&amp;TEXT(ROW()-4,"0000"))</f>
        <v>0</v>
      </c>
      <c r="D172" s="17">
        <f>IF(B172="","",TEXT(B172,"yyyy-mm"))</f>
        <v>0</v>
      </c>
      <c r="E172" s="23">
        <f>IF(B172="","",WEEKNUM(B172,IF(WeekStart="Sunday",1,2)))</f>
        <v>0</v>
      </c>
      <c r="F172" s="17">
        <f>IF(B172="","",TEXT(B172,"ddd"))</f>
        <v>0</v>
      </c>
      <c r="Q172" s="29">
        <f>IF(H172="","",IF(P172="","Add - no caption",IFERROR(INDEX('Caption Bank'!$R$5:$R$204,MATCH(P172,'Caption Bank'!$B$5:$B$204,0)),"Check - not in bank")))</f>
        <v>0</v>
      </c>
      <c r="S172" s="23">
        <f>IF(R172="","",COUNTIF('Hashtag Bank'!$D$5:$D$304,R172))</f>
        <v>0</v>
      </c>
      <c r="U172" s="29">
        <f>IF(H172="","",IF(T172="","Add - no asset",IFERROR(INDEX(Assets!$N$5:$N$254,MATCH(T172,Assets!$A$5:$A$254,0)),"Check - not in library")))</f>
        <v>0</v>
      </c>
      <c r="Y172" s="16">
        <f>IF(B172="","",B172-ProductionDays)</f>
        <v>0</v>
      </c>
      <c r="Z172" s="16">
        <f>IF(B172="","",B172-ApprovalDays)</f>
        <v>0</v>
      </c>
      <c r="AA172" s="23">
        <f>IF(B172="","",B172-TODAY())</f>
        <v>0</v>
      </c>
      <c r="AC172" s="29">
        <f>IF(H172="","",IF(X172="Published",IF(AB172="","Add - link missing","Yes"),"No"))</f>
        <v>0</v>
      </c>
      <c r="AD172" s="23">
        <f>IF(A172="","",IF(COUNTIF(Performance!$B$5:$B$404,A172)=0,"",SUMIFS(Performance!$O$5:$O$404,Performance!$B$5:$B$404,A172)))</f>
        <v>0</v>
      </c>
      <c r="AE172" s="23">
        <f>IF(AD172="","",SUMIFS(Performance!$Z$5:$Z$404,Performance!$B$5:$B$404,A172))</f>
        <v>0</v>
      </c>
      <c r="AF172" s="24">
        <f>IF(OR(AD172="",AD172=0),"",AE172/AD172)</f>
        <v>0</v>
      </c>
      <c r="AG172" s="23">
        <f>IF(AD172="","",SUMIFS(Performance!$U$5:$U$404,Performance!$B$5:$B$404,A172))</f>
        <v>0</v>
      </c>
      <c r="AH172" s="23">
        <f>IF(A172="","",COUNTIF(Repurposing!$B$5:$B$154,A172))</f>
        <v>0</v>
      </c>
      <c r="AI172" s="32">
        <f>IF(OR(H172="",B172=""),"",B172+ROW()/100000)</f>
        <v>0</v>
      </c>
      <c r="AJ172" s="32">
        <f>IF(OR(H172="",B172=""),"",IF(OR(X172="Published",X172="Cancelled",X172="Archived"),"",IF(B172&lt;TODAY(),"",B172+ROW()/100000)))</f>
        <v>0</v>
      </c>
      <c r="AK172" s="32">
        <f>IF(OR(H172="",B172=""),"",IF(OR(X172="Published",X172="Cancelled",X172="Archived"),"",IF(B172&gt;=TODAY(),"",B172+ROW()/100000)))</f>
        <v>0</v>
      </c>
      <c r="AL172" s="29">
        <f>IF(H172="","",IF(COUNTIFS('Content Calendar'!$H$5:$H$604,H172,'Content Calendar'!$G$5:$G$604,G172,'Content Calendar'!$B$5:$B$604,B172)&gt;1,"Duplicate","OK"))</f>
        <v>0</v>
      </c>
      <c r="AM172" s="29">
        <f>IF(H172="","",IF(AND(B172&lt;&gt;"",B172&lt;TODAY(),X172&lt;&gt;"Published",X172&lt;&gt;"Cancelled",X172&lt;&gt;"Archived"),"Overdue - date has passed",IF(AND(X172="Published",AB172=""),"Add - publish link missing",IF(AND(B172=TODAY(),X172&lt;&gt;"Published"),"Today - due to go live",IF(AND(Y172&lt;&gt;"",Y172&lt;TODAY(),OR(X172="Idea",X172="Brief",X172="In production")),"Late - draft not ready",IF(AND(AA172&gt;=0,AA172&lt;=3,OR(X172="Draft",X172="Awaiting review")),"Due - needs approval",IF(AND(H172&lt;&gt;"",P172=""),"Add - caption missing","OK")))))))</f>
        <v>0</v>
      </c>
    </row>
    <row r="173" spans="1:39">
      <c r="A173" s="41">
        <f>IF(H173="","",ContentPrefix&amp;TEXT(ROW()-4,"0000"))</f>
        <v>0</v>
      </c>
      <c r="D173" s="17">
        <f>IF(B173="","",TEXT(B173,"yyyy-mm"))</f>
        <v>0</v>
      </c>
      <c r="E173" s="23">
        <f>IF(B173="","",WEEKNUM(B173,IF(WeekStart="Sunday",1,2)))</f>
        <v>0</v>
      </c>
      <c r="F173" s="17">
        <f>IF(B173="","",TEXT(B173,"ddd"))</f>
        <v>0</v>
      </c>
      <c r="Q173" s="29">
        <f>IF(H173="","",IF(P173="","Add - no caption",IFERROR(INDEX('Caption Bank'!$R$5:$R$204,MATCH(P173,'Caption Bank'!$B$5:$B$204,0)),"Check - not in bank")))</f>
        <v>0</v>
      </c>
      <c r="S173" s="23">
        <f>IF(R173="","",COUNTIF('Hashtag Bank'!$D$5:$D$304,R173))</f>
        <v>0</v>
      </c>
      <c r="U173" s="29">
        <f>IF(H173="","",IF(T173="","Add - no asset",IFERROR(INDEX(Assets!$N$5:$N$254,MATCH(T173,Assets!$A$5:$A$254,0)),"Check - not in library")))</f>
        <v>0</v>
      </c>
      <c r="Y173" s="16">
        <f>IF(B173="","",B173-ProductionDays)</f>
        <v>0</v>
      </c>
      <c r="Z173" s="16">
        <f>IF(B173="","",B173-ApprovalDays)</f>
        <v>0</v>
      </c>
      <c r="AA173" s="23">
        <f>IF(B173="","",B173-TODAY())</f>
        <v>0</v>
      </c>
      <c r="AC173" s="29">
        <f>IF(H173="","",IF(X173="Published",IF(AB173="","Add - link missing","Yes"),"No"))</f>
        <v>0</v>
      </c>
      <c r="AD173" s="23">
        <f>IF(A173="","",IF(COUNTIF(Performance!$B$5:$B$404,A173)=0,"",SUMIFS(Performance!$O$5:$O$404,Performance!$B$5:$B$404,A173)))</f>
        <v>0</v>
      </c>
      <c r="AE173" s="23">
        <f>IF(AD173="","",SUMIFS(Performance!$Z$5:$Z$404,Performance!$B$5:$B$404,A173))</f>
        <v>0</v>
      </c>
      <c r="AF173" s="24">
        <f>IF(OR(AD173="",AD173=0),"",AE173/AD173)</f>
        <v>0</v>
      </c>
      <c r="AG173" s="23">
        <f>IF(AD173="","",SUMIFS(Performance!$U$5:$U$404,Performance!$B$5:$B$404,A173))</f>
        <v>0</v>
      </c>
      <c r="AH173" s="23">
        <f>IF(A173="","",COUNTIF(Repurposing!$B$5:$B$154,A173))</f>
        <v>0</v>
      </c>
      <c r="AI173" s="32">
        <f>IF(OR(H173="",B173=""),"",B173+ROW()/100000)</f>
        <v>0</v>
      </c>
      <c r="AJ173" s="32">
        <f>IF(OR(H173="",B173=""),"",IF(OR(X173="Published",X173="Cancelled",X173="Archived"),"",IF(B173&lt;TODAY(),"",B173+ROW()/100000)))</f>
        <v>0</v>
      </c>
      <c r="AK173" s="32">
        <f>IF(OR(H173="",B173=""),"",IF(OR(X173="Published",X173="Cancelled",X173="Archived"),"",IF(B173&gt;=TODAY(),"",B173+ROW()/100000)))</f>
        <v>0</v>
      </c>
      <c r="AL173" s="29">
        <f>IF(H173="","",IF(COUNTIFS('Content Calendar'!$H$5:$H$604,H173,'Content Calendar'!$G$5:$G$604,G173,'Content Calendar'!$B$5:$B$604,B173)&gt;1,"Duplicate","OK"))</f>
        <v>0</v>
      </c>
      <c r="AM173" s="29">
        <f>IF(H173="","",IF(AND(B173&lt;&gt;"",B173&lt;TODAY(),X173&lt;&gt;"Published",X173&lt;&gt;"Cancelled",X173&lt;&gt;"Archived"),"Overdue - date has passed",IF(AND(X173="Published",AB173=""),"Add - publish link missing",IF(AND(B173=TODAY(),X173&lt;&gt;"Published"),"Today - due to go live",IF(AND(Y173&lt;&gt;"",Y173&lt;TODAY(),OR(X173="Idea",X173="Brief",X173="In production")),"Late - draft not ready",IF(AND(AA173&gt;=0,AA173&lt;=3,OR(X173="Draft",X173="Awaiting review")),"Due - needs approval",IF(AND(H173&lt;&gt;"",P173=""),"Add - caption missing","OK")))))))</f>
        <v>0</v>
      </c>
    </row>
    <row r="174" spans="1:39">
      <c r="A174" s="41">
        <f>IF(H174="","",ContentPrefix&amp;TEXT(ROW()-4,"0000"))</f>
        <v>0</v>
      </c>
      <c r="D174" s="17">
        <f>IF(B174="","",TEXT(B174,"yyyy-mm"))</f>
        <v>0</v>
      </c>
      <c r="E174" s="23">
        <f>IF(B174="","",WEEKNUM(B174,IF(WeekStart="Sunday",1,2)))</f>
        <v>0</v>
      </c>
      <c r="F174" s="17">
        <f>IF(B174="","",TEXT(B174,"ddd"))</f>
        <v>0</v>
      </c>
      <c r="Q174" s="29">
        <f>IF(H174="","",IF(P174="","Add - no caption",IFERROR(INDEX('Caption Bank'!$R$5:$R$204,MATCH(P174,'Caption Bank'!$B$5:$B$204,0)),"Check - not in bank")))</f>
        <v>0</v>
      </c>
      <c r="S174" s="23">
        <f>IF(R174="","",COUNTIF('Hashtag Bank'!$D$5:$D$304,R174))</f>
        <v>0</v>
      </c>
      <c r="U174" s="29">
        <f>IF(H174="","",IF(T174="","Add - no asset",IFERROR(INDEX(Assets!$N$5:$N$254,MATCH(T174,Assets!$A$5:$A$254,0)),"Check - not in library")))</f>
        <v>0</v>
      </c>
      <c r="Y174" s="16">
        <f>IF(B174="","",B174-ProductionDays)</f>
        <v>0</v>
      </c>
      <c r="Z174" s="16">
        <f>IF(B174="","",B174-ApprovalDays)</f>
        <v>0</v>
      </c>
      <c r="AA174" s="23">
        <f>IF(B174="","",B174-TODAY())</f>
        <v>0</v>
      </c>
      <c r="AC174" s="29">
        <f>IF(H174="","",IF(X174="Published",IF(AB174="","Add - link missing","Yes"),"No"))</f>
        <v>0</v>
      </c>
      <c r="AD174" s="23">
        <f>IF(A174="","",IF(COUNTIF(Performance!$B$5:$B$404,A174)=0,"",SUMIFS(Performance!$O$5:$O$404,Performance!$B$5:$B$404,A174)))</f>
        <v>0</v>
      </c>
      <c r="AE174" s="23">
        <f>IF(AD174="","",SUMIFS(Performance!$Z$5:$Z$404,Performance!$B$5:$B$404,A174))</f>
        <v>0</v>
      </c>
      <c r="AF174" s="24">
        <f>IF(OR(AD174="",AD174=0),"",AE174/AD174)</f>
        <v>0</v>
      </c>
      <c r="AG174" s="23">
        <f>IF(AD174="","",SUMIFS(Performance!$U$5:$U$404,Performance!$B$5:$B$404,A174))</f>
        <v>0</v>
      </c>
      <c r="AH174" s="23">
        <f>IF(A174="","",COUNTIF(Repurposing!$B$5:$B$154,A174))</f>
        <v>0</v>
      </c>
      <c r="AI174" s="32">
        <f>IF(OR(H174="",B174=""),"",B174+ROW()/100000)</f>
        <v>0</v>
      </c>
      <c r="AJ174" s="32">
        <f>IF(OR(H174="",B174=""),"",IF(OR(X174="Published",X174="Cancelled",X174="Archived"),"",IF(B174&lt;TODAY(),"",B174+ROW()/100000)))</f>
        <v>0</v>
      </c>
      <c r="AK174" s="32">
        <f>IF(OR(H174="",B174=""),"",IF(OR(X174="Published",X174="Cancelled",X174="Archived"),"",IF(B174&gt;=TODAY(),"",B174+ROW()/100000)))</f>
        <v>0</v>
      </c>
      <c r="AL174" s="29">
        <f>IF(H174="","",IF(COUNTIFS('Content Calendar'!$H$5:$H$604,H174,'Content Calendar'!$G$5:$G$604,G174,'Content Calendar'!$B$5:$B$604,B174)&gt;1,"Duplicate","OK"))</f>
        <v>0</v>
      </c>
      <c r="AM174" s="29">
        <f>IF(H174="","",IF(AND(B174&lt;&gt;"",B174&lt;TODAY(),X174&lt;&gt;"Published",X174&lt;&gt;"Cancelled",X174&lt;&gt;"Archived"),"Overdue - date has passed",IF(AND(X174="Published",AB174=""),"Add - publish link missing",IF(AND(B174=TODAY(),X174&lt;&gt;"Published"),"Today - due to go live",IF(AND(Y174&lt;&gt;"",Y174&lt;TODAY(),OR(X174="Idea",X174="Brief",X174="In production")),"Late - draft not ready",IF(AND(AA174&gt;=0,AA174&lt;=3,OR(X174="Draft",X174="Awaiting review")),"Due - needs approval",IF(AND(H174&lt;&gt;"",P174=""),"Add - caption missing","OK")))))))</f>
        <v>0</v>
      </c>
    </row>
    <row r="175" spans="1:39">
      <c r="A175" s="41">
        <f>IF(H175="","",ContentPrefix&amp;TEXT(ROW()-4,"0000"))</f>
        <v>0</v>
      </c>
      <c r="D175" s="17">
        <f>IF(B175="","",TEXT(B175,"yyyy-mm"))</f>
        <v>0</v>
      </c>
      <c r="E175" s="23">
        <f>IF(B175="","",WEEKNUM(B175,IF(WeekStart="Sunday",1,2)))</f>
        <v>0</v>
      </c>
      <c r="F175" s="17">
        <f>IF(B175="","",TEXT(B175,"ddd"))</f>
        <v>0</v>
      </c>
      <c r="Q175" s="29">
        <f>IF(H175="","",IF(P175="","Add - no caption",IFERROR(INDEX('Caption Bank'!$R$5:$R$204,MATCH(P175,'Caption Bank'!$B$5:$B$204,0)),"Check - not in bank")))</f>
        <v>0</v>
      </c>
      <c r="S175" s="23">
        <f>IF(R175="","",COUNTIF('Hashtag Bank'!$D$5:$D$304,R175))</f>
        <v>0</v>
      </c>
      <c r="U175" s="29">
        <f>IF(H175="","",IF(T175="","Add - no asset",IFERROR(INDEX(Assets!$N$5:$N$254,MATCH(T175,Assets!$A$5:$A$254,0)),"Check - not in library")))</f>
        <v>0</v>
      </c>
      <c r="Y175" s="16">
        <f>IF(B175="","",B175-ProductionDays)</f>
        <v>0</v>
      </c>
      <c r="Z175" s="16">
        <f>IF(B175="","",B175-ApprovalDays)</f>
        <v>0</v>
      </c>
      <c r="AA175" s="23">
        <f>IF(B175="","",B175-TODAY())</f>
        <v>0</v>
      </c>
      <c r="AC175" s="29">
        <f>IF(H175="","",IF(X175="Published",IF(AB175="","Add - link missing","Yes"),"No"))</f>
        <v>0</v>
      </c>
      <c r="AD175" s="23">
        <f>IF(A175="","",IF(COUNTIF(Performance!$B$5:$B$404,A175)=0,"",SUMIFS(Performance!$O$5:$O$404,Performance!$B$5:$B$404,A175)))</f>
        <v>0</v>
      </c>
      <c r="AE175" s="23">
        <f>IF(AD175="","",SUMIFS(Performance!$Z$5:$Z$404,Performance!$B$5:$B$404,A175))</f>
        <v>0</v>
      </c>
      <c r="AF175" s="24">
        <f>IF(OR(AD175="",AD175=0),"",AE175/AD175)</f>
        <v>0</v>
      </c>
      <c r="AG175" s="23">
        <f>IF(AD175="","",SUMIFS(Performance!$U$5:$U$404,Performance!$B$5:$B$404,A175))</f>
        <v>0</v>
      </c>
      <c r="AH175" s="23">
        <f>IF(A175="","",COUNTIF(Repurposing!$B$5:$B$154,A175))</f>
        <v>0</v>
      </c>
      <c r="AI175" s="32">
        <f>IF(OR(H175="",B175=""),"",B175+ROW()/100000)</f>
        <v>0</v>
      </c>
      <c r="AJ175" s="32">
        <f>IF(OR(H175="",B175=""),"",IF(OR(X175="Published",X175="Cancelled",X175="Archived"),"",IF(B175&lt;TODAY(),"",B175+ROW()/100000)))</f>
        <v>0</v>
      </c>
      <c r="AK175" s="32">
        <f>IF(OR(H175="",B175=""),"",IF(OR(X175="Published",X175="Cancelled",X175="Archived"),"",IF(B175&gt;=TODAY(),"",B175+ROW()/100000)))</f>
        <v>0</v>
      </c>
      <c r="AL175" s="29">
        <f>IF(H175="","",IF(COUNTIFS('Content Calendar'!$H$5:$H$604,H175,'Content Calendar'!$G$5:$G$604,G175,'Content Calendar'!$B$5:$B$604,B175)&gt;1,"Duplicate","OK"))</f>
        <v>0</v>
      </c>
      <c r="AM175" s="29">
        <f>IF(H175="","",IF(AND(B175&lt;&gt;"",B175&lt;TODAY(),X175&lt;&gt;"Published",X175&lt;&gt;"Cancelled",X175&lt;&gt;"Archived"),"Overdue - date has passed",IF(AND(X175="Published",AB175=""),"Add - publish link missing",IF(AND(B175=TODAY(),X175&lt;&gt;"Published"),"Today - due to go live",IF(AND(Y175&lt;&gt;"",Y175&lt;TODAY(),OR(X175="Idea",X175="Brief",X175="In production")),"Late - draft not ready",IF(AND(AA175&gt;=0,AA175&lt;=3,OR(X175="Draft",X175="Awaiting review")),"Due - needs approval",IF(AND(H175&lt;&gt;"",P175=""),"Add - caption missing","OK")))))))</f>
        <v>0</v>
      </c>
    </row>
    <row r="176" spans="1:39">
      <c r="A176" s="41">
        <f>IF(H176="","",ContentPrefix&amp;TEXT(ROW()-4,"0000"))</f>
        <v>0</v>
      </c>
      <c r="D176" s="17">
        <f>IF(B176="","",TEXT(B176,"yyyy-mm"))</f>
        <v>0</v>
      </c>
      <c r="E176" s="23">
        <f>IF(B176="","",WEEKNUM(B176,IF(WeekStart="Sunday",1,2)))</f>
        <v>0</v>
      </c>
      <c r="F176" s="17">
        <f>IF(B176="","",TEXT(B176,"ddd"))</f>
        <v>0</v>
      </c>
      <c r="Q176" s="29">
        <f>IF(H176="","",IF(P176="","Add - no caption",IFERROR(INDEX('Caption Bank'!$R$5:$R$204,MATCH(P176,'Caption Bank'!$B$5:$B$204,0)),"Check - not in bank")))</f>
        <v>0</v>
      </c>
      <c r="S176" s="23">
        <f>IF(R176="","",COUNTIF('Hashtag Bank'!$D$5:$D$304,R176))</f>
        <v>0</v>
      </c>
      <c r="U176" s="29">
        <f>IF(H176="","",IF(T176="","Add - no asset",IFERROR(INDEX(Assets!$N$5:$N$254,MATCH(T176,Assets!$A$5:$A$254,0)),"Check - not in library")))</f>
        <v>0</v>
      </c>
      <c r="Y176" s="16">
        <f>IF(B176="","",B176-ProductionDays)</f>
        <v>0</v>
      </c>
      <c r="Z176" s="16">
        <f>IF(B176="","",B176-ApprovalDays)</f>
        <v>0</v>
      </c>
      <c r="AA176" s="23">
        <f>IF(B176="","",B176-TODAY())</f>
        <v>0</v>
      </c>
      <c r="AC176" s="29">
        <f>IF(H176="","",IF(X176="Published",IF(AB176="","Add - link missing","Yes"),"No"))</f>
        <v>0</v>
      </c>
      <c r="AD176" s="23">
        <f>IF(A176="","",IF(COUNTIF(Performance!$B$5:$B$404,A176)=0,"",SUMIFS(Performance!$O$5:$O$404,Performance!$B$5:$B$404,A176)))</f>
        <v>0</v>
      </c>
      <c r="AE176" s="23">
        <f>IF(AD176="","",SUMIFS(Performance!$Z$5:$Z$404,Performance!$B$5:$B$404,A176))</f>
        <v>0</v>
      </c>
      <c r="AF176" s="24">
        <f>IF(OR(AD176="",AD176=0),"",AE176/AD176)</f>
        <v>0</v>
      </c>
      <c r="AG176" s="23">
        <f>IF(AD176="","",SUMIFS(Performance!$U$5:$U$404,Performance!$B$5:$B$404,A176))</f>
        <v>0</v>
      </c>
      <c r="AH176" s="23">
        <f>IF(A176="","",COUNTIF(Repurposing!$B$5:$B$154,A176))</f>
        <v>0</v>
      </c>
      <c r="AI176" s="32">
        <f>IF(OR(H176="",B176=""),"",B176+ROW()/100000)</f>
        <v>0</v>
      </c>
      <c r="AJ176" s="32">
        <f>IF(OR(H176="",B176=""),"",IF(OR(X176="Published",X176="Cancelled",X176="Archived"),"",IF(B176&lt;TODAY(),"",B176+ROW()/100000)))</f>
        <v>0</v>
      </c>
      <c r="AK176" s="32">
        <f>IF(OR(H176="",B176=""),"",IF(OR(X176="Published",X176="Cancelled",X176="Archived"),"",IF(B176&gt;=TODAY(),"",B176+ROW()/100000)))</f>
        <v>0</v>
      </c>
      <c r="AL176" s="29">
        <f>IF(H176="","",IF(COUNTIFS('Content Calendar'!$H$5:$H$604,H176,'Content Calendar'!$G$5:$G$604,G176,'Content Calendar'!$B$5:$B$604,B176)&gt;1,"Duplicate","OK"))</f>
        <v>0</v>
      </c>
      <c r="AM176" s="29">
        <f>IF(H176="","",IF(AND(B176&lt;&gt;"",B176&lt;TODAY(),X176&lt;&gt;"Published",X176&lt;&gt;"Cancelled",X176&lt;&gt;"Archived"),"Overdue - date has passed",IF(AND(X176="Published",AB176=""),"Add - publish link missing",IF(AND(B176=TODAY(),X176&lt;&gt;"Published"),"Today - due to go live",IF(AND(Y176&lt;&gt;"",Y176&lt;TODAY(),OR(X176="Idea",X176="Brief",X176="In production")),"Late - draft not ready",IF(AND(AA176&gt;=0,AA176&lt;=3,OR(X176="Draft",X176="Awaiting review")),"Due - needs approval",IF(AND(H176&lt;&gt;"",P176=""),"Add - caption missing","OK")))))))</f>
        <v>0</v>
      </c>
    </row>
    <row r="177" spans="1:39">
      <c r="A177" s="41">
        <f>IF(H177="","",ContentPrefix&amp;TEXT(ROW()-4,"0000"))</f>
        <v>0</v>
      </c>
      <c r="D177" s="17">
        <f>IF(B177="","",TEXT(B177,"yyyy-mm"))</f>
        <v>0</v>
      </c>
      <c r="E177" s="23">
        <f>IF(B177="","",WEEKNUM(B177,IF(WeekStart="Sunday",1,2)))</f>
        <v>0</v>
      </c>
      <c r="F177" s="17">
        <f>IF(B177="","",TEXT(B177,"ddd"))</f>
        <v>0</v>
      </c>
      <c r="Q177" s="29">
        <f>IF(H177="","",IF(P177="","Add - no caption",IFERROR(INDEX('Caption Bank'!$R$5:$R$204,MATCH(P177,'Caption Bank'!$B$5:$B$204,0)),"Check - not in bank")))</f>
        <v>0</v>
      </c>
      <c r="S177" s="23">
        <f>IF(R177="","",COUNTIF('Hashtag Bank'!$D$5:$D$304,R177))</f>
        <v>0</v>
      </c>
      <c r="U177" s="29">
        <f>IF(H177="","",IF(T177="","Add - no asset",IFERROR(INDEX(Assets!$N$5:$N$254,MATCH(T177,Assets!$A$5:$A$254,0)),"Check - not in library")))</f>
        <v>0</v>
      </c>
      <c r="Y177" s="16">
        <f>IF(B177="","",B177-ProductionDays)</f>
        <v>0</v>
      </c>
      <c r="Z177" s="16">
        <f>IF(B177="","",B177-ApprovalDays)</f>
        <v>0</v>
      </c>
      <c r="AA177" s="23">
        <f>IF(B177="","",B177-TODAY())</f>
        <v>0</v>
      </c>
      <c r="AC177" s="29">
        <f>IF(H177="","",IF(X177="Published",IF(AB177="","Add - link missing","Yes"),"No"))</f>
        <v>0</v>
      </c>
      <c r="AD177" s="23">
        <f>IF(A177="","",IF(COUNTIF(Performance!$B$5:$B$404,A177)=0,"",SUMIFS(Performance!$O$5:$O$404,Performance!$B$5:$B$404,A177)))</f>
        <v>0</v>
      </c>
      <c r="AE177" s="23">
        <f>IF(AD177="","",SUMIFS(Performance!$Z$5:$Z$404,Performance!$B$5:$B$404,A177))</f>
        <v>0</v>
      </c>
      <c r="AF177" s="24">
        <f>IF(OR(AD177="",AD177=0),"",AE177/AD177)</f>
        <v>0</v>
      </c>
      <c r="AG177" s="23">
        <f>IF(AD177="","",SUMIFS(Performance!$U$5:$U$404,Performance!$B$5:$B$404,A177))</f>
        <v>0</v>
      </c>
      <c r="AH177" s="23">
        <f>IF(A177="","",COUNTIF(Repurposing!$B$5:$B$154,A177))</f>
        <v>0</v>
      </c>
      <c r="AI177" s="32">
        <f>IF(OR(H177="",B177=""),"",B177+ROW()/100000)</f>
        <v>0</v>
      </c>
      <c r="AJ177" s="32">
        <f>IF(OR(H177="",B177=""),"",IF(OR(X177="Published",X177="Cancelled",X177="Archived"),"",IF(B177&lt;TODAY(),"",B177+ROW()/100000)))</f>
        <v>0</v>
      </c>
      <c r="AK177" s="32">
        <f>IF(OR(H177="",B177=""),"",IF(OR(X177="Published",X177="Cancelled",X177="Archived"),"",IF(B177&gt;=TODAY(),"",B177+ROW()/100000)))</f>
        <v>0</v>
      </c>
      <c r="AL177" s="29">
        <f>IF(H177="","",IF(COUNTIFS('Content Calendar'!$H$5:$H$604,H177,'Content Calendar'!$G$5:$G$604,G177,'Content Calendar'!$B$5:$B$604,B177)&gt;1,"Duplicate","OK"))</f>
        <v>0</v>
      </c>
      <c r="AM177" s="29">
        <f>IF(H177="","",IF(AND(B177&lt;&gt;"",B177&lt;TODAY(),X177&lt;&gt;"Published",X177&lt;&gt;"Cancelled",X177&lt;&gt;"Archived"),"Overdue - date has passed",IF(AND(X177="Published",AB177=""),"Add - publish link missing",IF(AND(B177=TODAY(),X177&lt;&gt;"Published"),"Today - due to go live",IF(AND(Y177&lt;&gt;"",Y177&lt;TODAY(),OR(X177="Idea",X177="Brief",X177="In production")),"Late - draft not ready",IF(AND(AA177&gt;=0,AA177&lt;=3,OR(X177="Draft",X177="Awaiting review")),"Due - needs approval",IF(AND(H177&lt;&gt;"",P177=""),"Add - caption missing","OK")))))))</f>
        <v>0</v>
      </c>
    </row>
    <row r="178" spans="1:39">
      <c r="A178" s="41">
        <f>IF(H178="","",ContentPrefix&amp;TEXT(ROW()-4,"0000"))</f>
        <v>0</v>
      </c>
      <c r="D178" s="17">
        <f>IF(B178="","",TEXT(B178,"yyyy-mm"))</f>
        <v>0</v>
      </c>
      <c r="E178" s="23">
        <f>IF(B178="","",WEEKNUM(B178,IF(WeekStart="Sunday",1,2)))</f>
        <v>0</v>
      </c>
      <c r="F178" s="17">
        <f>IF(B178="","",TEXT(B178,"ddd"))</f>
        <v>0</v>
      </c>
      <c r="Q178" s="29">
        <f>IF(H178="","",IF(P178="","Add - no caption",IFERROR(INDEX('Caption Bank'!$R$5:$R$204,MATCH(P178,'Caption Bank'!$B$5:$B$204,0)),"Check - not in bank")))</f>
        <v>0</v>
      </c>
      <c r="S178" s="23">
        <f>IF(R178="","",COUNTIF('Hashtag Bank'!$D$5:$D$304,R178))</f>
        <v>0</v>
      </c>
      <c r="U178" s="29">
        <f>IF(H178="","",IF(T178="","Add - no asset",IFERROR(INDEX(Assets!$N$5:$N$254,MATCH(T178,Assets!$A$5:$A$254,0)),"Check - not in library")))</f>
        <v>0</v>
      </c>
      <c r="Y178" s="16">
        <f>IF(B178="","",B178-ProductionDays)</f>
        <v>0</v>
      </c>
      <c r="Z178" s="16">
        <f>IF(B178="","",B178-ApprovalDays)</f>
        <v>0</v>
      </c>
      <c r="AA178" s="23">
        <f>IF(B178="","",B178-TODAY())</f>
        <v>0</v>
      </c>
      <c r="AC178" s="29">
        <f>IF(H178="","",IF(X178="Published",IF(AB178="","Add - link missing","Yes"),"No"))</f>
        <v>0</v>
      </c>
      <c r="AD178" s="23">
        <f>IF(A178="","",IF(COUNTIF(Performance!$B$5:$B$404,A178)=0,"",SUMIFS(Performance!$O$5:$O$404,Performance!$B$5:$B$404,A178)))</f>
        <v>0</v>
      </c>
      <c r="AE178" s="23">
        <f>IF(AD178="","",SUMIFS(Performance!$Z$5:$Z$404,Performance!$B$5:$B$404,A178))</f>
        <v>0</v>
      </c>
      <c r="AF178" s="24">
        <f>IF(OR(AD178="",AD178=0),"",AE178/AD178)</f>
        <v>0</v>
      </c>
      <c r="AG178" s="23">
        <f>IF(AD178="","",SUMIFS(Performance!$U$5:$U$404,Performance!$B$5:$B$404,A178))</f>
        <v>0</v>
      </c>
      <c r="AH178" s="23">
        <f>IF(A178="","",COUNTIF(Repurposing!$B$5:$B$154,A178))</f>
        <v>0</v>
      </c>
      <c r="AI178" s="32">
        <f>IF(OR(H178="",B178=""),"",B178+ROW()/100000)</f>
        <v>0</v>
      </c>
      <c r="AJ178" s="32">
        <f>IF(OR(H178="",B178=""),"",IF(OR(X178="Published",X178="Cancelled",X178="Archived"),"",IF(B178&lt;TODAY(),"",B178+ROW()/100000)))</f>
        <v>0</v>
      </c>
      <c r="AK178" s="32">
        <f>IF(OR(H178="",B178=""),"",IF(OR(X178="Published",X178="Cancelled",X178="Archived"),"",IF(B178&gt;=TODAY(),"",B178+ROW()/100000)))</f>
        <v>0</v>
      </c>
      <c r="AL178" s="29">
        <f>IF(H178="","",IF(COUNTIFS('Content Calendar'!$H$5:$H$604,H178,'Content Calendar'!$G$5:$G$604,G178,'Content Calendar'!$B$5:$B$604,B178)&gt;1,"Duplicate","OK"))</f>
        <v>0</v>
      </c>
      <c r="AM178" s="29">
        <f>IF(H178="","",IF(AND(B178&lt;&gt;"",B178&lt;TODAY(),X178&lt;&gt;"Published",X178&lt;&gt;"Cancelled",X178&lt;&gt;"Archived"),"Overdue - date has passed",IF(AND(X178="Published",AB178=""),"Add - publish link missing",IF(AND(B178=TODAY(),X178&lt;&gt;"Published"),"Today - due to go live",IF(AND(Y178&lt;&gt;"",Y178&lt;TODAY(),OR(X178="Idea",X178="Brief",X178="In production")),"Late - draft not ready",IF(AND(AA178&gt;=0,AA178&lt;=3,OR(X178="Draft",X178="Awaiting review")),"Due - needs approval",IF(AND(H178&lt;&gt;"",P178=""),"Add - caption missing","OK")))))))</f>
        <v>0</v>
      </c>
    </row>
    <row r="179" spans="1:39">
      <c r="A179" s="41">
        <f>IF(H179="","",ContentPrefix&amp;TEXT(ROW()-4,"0000"))</f>
        <v>0</v>
      </c>
      <c r="D179" s="17">
        <f>IF(B179="","",TEXT(B179,"yyyy-mm"))</f>
        <v>0</v>
      </c>
      <c r="E179" s="23">
        <f>IF(B179="","",WEEKNUM(B179,IF(WeekStart="Sunday",1,2)))</f>
        <v>0</v>
      </c>
      <c r="F179" s="17">
        <f>IF(B179="","",TEXT(B179,"ddd"))</f>
        <v>0</v>
      </c>
      <c r="Q179" s="29">
        <f>IF(H179="","",IF(P179="","Add - no caption",IFERROR(INDEX('Caption Bank'!$R$5:$R$204,MATCH(P179,'Caption Bank'!$B$5:$B$204,0)),"Check - not in bank")))</f>
        <v>0</v>
      </c>
      <c r="S179" s="23">
        <f>IF(R179="","",COUNTIF('Hashtag Bank'!$D$5:$D$304,R179))</f>
        <v>0</v>
      </c>
      <c r="U179" s="29">
        <f>IF(H179="","",IF(T179="","Add - no asset",IFERROR(INDEX(Assets!$N$5:$N$254,MATCH(T179,Assets!$A$5:$A$254,0)),"Check - not in library")))</f>
        <v>0</v>
      </c>
      <c r="Y179" s="16">
        <f>IF(B179="","",B179-ProductionDays)</f>
        <v>0</v>
      </c>
      <c r="Z179" s="16">
        <f>IF(B179="","",B179-ApprovalDays)</f>
        <v>0</v>
      </c>
      <c r="AA179" s="23">
        <f>IF(B179="","",B179-TODAY())</f>
        <v>0</v>
      </c>
      <c r="AC179" s="29">
        <f>IF(H179="","",IF(X179="Published",IF(AB179="","Add - link missing","Yes"),"No"))</f>
        <v>0</v>
      </c>
      <c r="AD179" s="23">
        <f>IF(A179="","",IF(COUNTIF(Performance!$B$5:$B$404,A179)=0,"",SUMIFS(Performance!$O$5:$O$404,Performance!$B$5:$B$404,A179)))</f>
        <v>0</v>
      </c>
      <c r="AE179" s="23">
        <f>IF(AD179="","",SUMIFS(Performance!$Z$5:$Z$404,Performance!$B$5:$B$404,A179))</f>
        <v>0</v>
      </c>
      <c r="AF179" s="24">
        <f>IF(OR(AD179="",AD179=0),"",AE179/AD179)</f>
        <v>0</v>
      </c>
      <c r="AG179" s="23">
        <f>IF(AD179="","",SUMIFS(Performance!$U$5:$U$404,Performance!$B$5:$B$404,A179))</f>
        <v>0</v>
      </c>
      <c r="AH179" s="23">
        <f>IF(A179="","",COUNTIF(Repurposing!$B$5:$B$154,A179))</f>
        <v>0</v>
      </c>
      <c r="AI179" s="32">
        <f>IF(OR(H179="",B179=""),"",B179+ROW()/100000)</f>
        <v>0</v>
      </c>
      <c r="AJ179" s="32">
        <f>IF(OR(H179="",B179=""),"",IF(OR(X179="Published",X179="Cancelled",X179="Archived"),"",IF(B179&lt;TODAY(),"",B179+ROW()/100000)))</f>
        <v>0</v>
      </c>
      <c r="AK179" s="32">
        <f>IF(OR(H179="",B179=""),"",IF(OR(X179="Published",X179="Cancelled",X179="Archived"),"",IF(B179&gt;=TODAY(),"",B179+ROW()/100000)))</f>
        <v>0</v>
      </c>
      <c r="AL179" s="29">
        <f>IF(H179="","",IF(COUNTIFS('Content Calendar'!$H$5:$H$604,H179,'Content Calendar'!$G$5:$G$604,G179,'Content Calendar'!$B$5:$B$604,B179)&gt;1,"Duplicate","OK"))</f>
        <v>0</v>
      </c>
      <c r="AM179" s="29">
        <f>IF(H179="","",IF(AND(B179&lt;&gt;"",B179&lt;TODAY(),X179&lt;&gt;"Published",X179&lt;&gt;"Cancelled",X179&lt;&gt;"Archived"),"Overdue - date has passed",IF(AND(X179="Published",AB179=""),"Add - publish link missing",IF(AND(B179=TODAY(),X179&lt;&gt;"Published"),"Today - due to go live",IF(AND(Y179&lt;&gt;"",Y179&lt;TODAY(),OR(X179="Idea",X179="Brief",X179="In production")),"Late - draft not ready",IF(AND(AA179&gt;=0,AA179&lt;=3,OR(X179="Draft",X179="Awaiting review")),"Due - needs approval",IF(AND(H179&lt;&gt;"",P179=""),"Add - caption missing","OK")))))))</f>
        <v>0</v>
      </c>
    </row>
    <row r="180" spans="1:39">
      <c r="A180" s="41">
        <f>IF(H180="","",ContentPrefix&amp;TEXT(ROW()-4,"0000"))</f>
        <v>0</v>
      </c>
      <c r="D180" s="17">
        <f>IF(B180="","",TEXT(B180,"yyyy-mm"))</f>
        <v>0</v>
      </c>
      <c r="E180" s="23">
        <f>IF(B180="","",WEEKNUM(B180,IF(WeekStart="Sunday",1,2)))</f>
        <v>0</v>
      </c>
      <c r="F180" s="17">
        <f>IF(B180="","",TEXT(B180,"ddd"))</f>
        <v>0</v>
      </c>
      <c r="Q180" s="29">
        <f>IF(H180="","",IF(P180="","Add - no caption",IFERROR(INDEX('Caption Bank'!$R$5:$R$204,MATCH(P180,'Caption Bank'!$B$5:$B$204,0)),"Check - not in bank")))</f>
        <v>0</v>
      </c>
      <c r="S180" s="23">
        <f>IF(R180="","",COUNTIF('Hashtag Bank'!$D$5:$D$304,R180))</f>
        <v>0</v>
      </c>
      <c r="U180" s="29">
        <f>IF(H180="","",IF(T180="","Add - no asset",IFERROR(INDEX(Assets!$N$5:$N$254,MATCH(T180,Assets!$A$5:$A$254,0)),"Check - not in library")))</f>
        <v>0</v>
      </c>
      <c r="Y180" s="16">
        <f>IF(B180="","",B180-ProductionDays)</f>
        <v>0</v>
      </c>
      <c r="Z180" s="16">
        <f>IF(B180="","",B180-ApprovalDays)</f>
        <v>0</v>
      </c>
      <c r="AA180" s="23">
        <f>IF(B180="","",B180-TODAY())</f>
        <v>0</v>
      </c>
      <c r="AC180" s="29">
        <f>IF(H180="","",IF(X180="Published",IF(AB180="","Add - link missing","Yes"),"No"))</f>
        <v>0</v>
      </c>
      <c r="AD180" s="23">
        <f>IF(A180="","",IF(COUNTIF(Performance!$B$5:$B$404,A180)=0,"",SUMIFS(Performance!$O$5:$O$404,Performance!$B$5:$B$404,A180)))</f>
        <v>0</v>
      </c>
      <c r="AE180" s="23">
        <f>IF(AD180="","",SUMIFS(Performance!$Z$5:$Z$404,Performance!$B$5:$B$404,A180))</f>
        <v>0</v>
      </c>
      <c r="AF180" s="24">
        <f>IF(OR(AD180="",AD180=0),"",AE180/AD180)</f>
        <v>0</v>
      </c>
      <c r="AG180" s="23">
        <f>IF(AD180="","",SUMIFS(Performance!$U$5:$U$404,Performance!$B$5:$B$404,A180))</f>
        <v>0</v>
      </c>
      <c r="AH180" s="23">
        <f>IF(A180="","",COUNTIF(Repurposing!$B$5:$B$154,A180))</f>
        <v>0</v>
      </c>
      <c r="AI180" s="32">
        <f>IF(OR(H180="",B180=""),"",B180+ROW()/100000)</f>
        <v>0</v>
      </c>
      <c r="AJ180" s="32">
        <f>IF(OR(H180="",B180=""),"",IF(OR(X180="Published",X180="Cancelled",X180="Archived"),"",IF(B180&lt;TODAY(),"",B180+ROW()/100000)))</f>
        <v>0</v>
      </c>
      <c r="AK180" s="32">
        <f>IF(OR(H180="",B180=""),"",IF(OR(X180="Published",X180="Cancelled",X180="Archived"),"",IF(B180&gt;=TODAY(),"",B180+ROW()/100000)))</f>
        <v>0</v>
      </c>
      <c r="AL180" s="29">
        <f>IF(H180="","",IF(COUNTIFS('Content Calendar'!$H$5:$H$604,H180,'Content Calendar'!$G$5:$G$604,G180,'Content Calendar'!$B$5:$B$604,B180)&gt;1,"Duplicate","OK"))</f>
        <v>0</v>
      </c>
      <c r="AM180" s="29">
        <f>IF(H180="","",IF(AND(B180&lt;&gt;"",B180&lt;TODAY(),X180&lt;&gt;"Published",X180&lt;&gt;"Cancelled",X180&lt;&gt;"Archived"),"Overdue - date has passed",IF(AND(X180="Published",AB180=""),"Add - publish link missing",IF(AND(B180=TODAY(),X180&lt;&gt;"Published"),"Today - due to go live",IF(AND(Y180&lt;&gt;"",Y180&lt;TODAY(),OR(X180="Idea",X180="Brief",X180="In production")),"Late - draft not ready",IF(AND(AA180&gt;=0,AA180&lt;=3,OR(X180="Draft",X180="Awaiting review")),"Due - needs approval",IF(AND(H180&lt;&gt;"",P180=""),"Add - caption missing","OK")))))))</f>
        <v>0</v>
      </c>
    </row>
    <row r="181" spans="1:39">
      <c r="A181" s="41">
        <f>IF(H181="","",ContentPrefix&amp;TEXT(ROW()-4,"0000"))</f>
        <v>0</v>
      </c>
      <c r="D181" s="17">
        <f>IF(B181="","",TEXT(B181,"yyyy-mm"))</f>
        <v>0</v>
      </c>
      <c r="E181" s="23">
        <f>IF(B181="","",WEEKNUM(B181,IF(WeekStart="Sunday",1,2)))</f>
        <v>0</v>
      </c>
      <c r="F181" s="17">
        <f>IF(B181="","",TEXT(B181,"ddd"))</f>
        <v>0</v>
      </c>
      <c r="Q181" s="29">
        <f>IF(H181="","",IF(P181="","Add - no caption",IFERROR(INDEX('Caption Bank'!$R$5:$R$204,MATCH(P181,'Caption Bank'!$B$5:$B$204,0)),"Check - not in bank")))</f>
        <v>0</v>
      </c>
      <c r="S181" s="23">
        <f>IF(R181="","",COUNTIF('Hashtag Bank'!$D$5:$D$304,R181))</f>
        <v>0</v>
      </c>
      <c r="U181" s="29">
        <f>IF(H181="","",IF(T181="","Add - no asset",IFERROR(INDEX(Assets!$N$5:$N$254,MATCH(T181,Assets!$A$5:$A$254,0)),"Check - not in library")))</f>
        <v>0</v>
      </c>
      <c r="Y181" s="16">
        <f>IF(B181="","",B181-ProductionDays)</f>
        <v>0</v>
      </c>
      <c r="Z181" s="16">
        <f>IF(B181="","",B181-ApprovalDays)</f>
        <v>0</v>
      </c>
      <c r="AA181" s="23">
        <f>IF(B181="","",B181-TODAY())</f>
        <v>0</v>
      </c>
      <c r="AC181" s="29">
        <f>IF(H181="","",IF(X181="Published",IF(AB181="","Add - link missing","Yes"),"No"))</f>
        <v>0</v>
      </c>
      <c r="AD181" s="23">
        <f>IF(A181="","",IF(COUNTIF(Performance!$B$5:$B$404,A181)=0,"",SUMIFS(Performance!$O$5:$O$404,Performance!$B$5:$B$404,A181)))</f>
        <v>0</v>
      </c>
      <c r="AE181" s="23">
        <f>IF(AD181="","",SUMIFS(Performance!$Z$5:$Z$404,Performance!$B$5:$B$404,A181))</f>
        <v>0</v>
      </c>
      <c r="AF181" s="24">
        <f>IF(OR(AD181="",AD181=0),"",AE181/AD181)</f>
        <v>0</v>
      </c>
      <c r="AG181" s="23">
        <f>IF(AD181="","",SUMIFS(Performance!$U$5:$U$404,Performance!$B$5:$B$404,A181))</f>
        <v>0</v>
      </c>
      <c r="AH181" s="23">
        <f>IF(A181="","",COUNTIF(Repurposing!$B$5:$B$154,A181))</f>
        <v>0</v>
      </c>
      <c r="AI181" s="32">
        <f>IF(OR(H181="",B181=""),"",B181+ROW()/100000)</f>
        <v>0</v>
      </c>
      <c r="AJ181" s="32">
        <f>IF(OR(H181="",B181=""),"",IF(OR(X181="Published",X181="Cancelled",X181="Archived"),"",IF(B181&lt;TODAY(),"",B181+ROW()/100000)))</f>
        <v>0</v>
      </c>
      <c r="AK181" s="32">
        <f>IF(OR(H181="",B181=""),"",IF(OR(X181="Published",X181="Cancelled",X181="Archived"),"",IF(B181&gt;=TODAY(),"",B181+ROW()/100000)))</f>
        <v>0</v>
      </c>
      <c r="AL181" s="29">
        <f>IF(H181="","",IF(COUNTIFS('Content Calendar'!$H$5:$H$604,H181,'Content Calendar'!$G$5:$G$604,G181,'Content Calendar'!$B$5:$B$604,B181)&gt;1,"Duplicate","OK"))</f>
        <v>0</v>
      </c>
      <c r="AM181" s="29">
        <f>IF(H181="","",IF(AND(B181&lt;&gt;"",B181&lt;TODAY(),X181&lt;&gt;"Published",X181&lt;&gt;"Cancelled",X181&lt;&gt;"Archived"),"Overdue - date has passed",IF(AND(X181="Published",AB181=""),"Add - publish link missing",IF(AND(B181=TODAY(),X181&lt;&gt;"Published"),"Today - due to go live",IF(AND(Y181&lt;&gt;"",Y181&lt;TODAY(),OR(X181="Idea",X181="Brief",X181="In production")),"Late - draft not ready",IF(AND(AA181&gt;=0,AA181&lt;=3,OR(X181="Draft",X181="Awaiting review")),"Due - needs approval",IF(AND(H181&lt;&gt;"",P181=""),"Add - caption missing","OK")))))))</f>
        <v>0</v>
      </c>
    </row>
    <row r="182" spans="1:39">
      <c r="A182" s="41">
        <f>IF(H182="","",ContentPrefix&amp;TEXT(ROW()-4,"0000"))</f>
        <v>0</v>
      </c>
      <c r="D182" s="17">
        <f>IF(B182="","",TEXT(B182,"yyyy-mm"))</f>
        <v>0</v>
      </c>
      <c r="E182" s="23">
        <f>IF(B182="","",WEEKNUM(B182,IF(WeekStart="Sunday",1,2)))</f>
        <v>0</v>
      </c>
      <c r="F182" s="17">
        <f>IF(B182="","",TEXT(B182,"ddd"))</f>
        <v>0</v>
      </c>
      <c r="Q182" s="29">
        <f>IF(H182="","",IF(P182="","Add - no caption",IFERROR(INDEX('Caption Bank'!$R$5:$R$204,MATCH(P182,'Caption Bank'!$B$5:$B$204,0)),"Check - not in bank")))</f>
        <v>0</v>
      </c>
      <c r="S182" s="23">
        <f>IF(R182="","",COUNTIF('Hashtag Bank'!$D$5:$D$304,R182))</f>
        <v>0</v>
      </c>
      <c r="U182" s="29">
        <f>IF(H182="","",IF(T182="","Add - no asset",IFERROR(INDEX(Assets!$N$5:$N$254,MATCH(T182,Assets!$A$5:$A$254,0)),"Check - not in library")))</f>
        <v>0</v>
      </c>
      <c r="Y182" s="16">
        <f>IF(B182="","",B182-ProductionDays)</f>
        <v>0</v>
      </c>
      <c r="Z182" s="16">
        <f>IF(B182="","",B182-ApprovalDays)</f>
        <v>0</v>
      </c>
      <c r="AA182" s="23">
        <f>IF(B182="","",B182-TODAY())</f>
        <v>0</v>
      </c>
      <c r="AC182" s="29">
        <f>IF(H182="","",IF(X182="Published",IF(AB182="","Add - link missing","Yes"),"No"))</f>
        <v>0</v>
      </c>
      <c r="AD182" s="23">
        <f>IF(A182="","",IF(COUNTIF(Performance!$B$5:$B$404,A182)=0,"",SUMIFS(Performance!$O$5:$O$404,Performance!$B$5:$B$404,A182)))</f>
        <v>0</v>
      </c>
      <c r="AE182" s="23">
        <f>IF(AD182="","",SUMIFS(Performance!$Z$5:$Z$404,Performance!$B$5:$B$404,A182))</f>
        <v>0</v>
      </c>
      <c r="AF182" s="24">
        <f>IF(OR(AD182="",AD182=0),"",AE182/AD182)</f>
        <v>0</v>
      </c>
      <c r="AG182" s="23">
        <f>IF(AD182="","",SUMIFS(Performance!$U$5:$U$404,Performance!$B$5:$B$404,A182))</f>
        <v>0</v>
      </c>
      <c r="AH182" s="23">
        <f>IF(A182="","",COUNTIF(Repurposing!$B$5:$B$154,A182))</f>
        <v>0</v>
      </c>
      <c r="AI182" s="32">
        <f>IF(OR(H182="",B182=""),"",B182+ROW()/100000)</f>
        <v>0</v>
      </c>
      <c r="AJ182" s="32">
        <f>IF(OR(H182="",B182=""),"",IF(OR(X182="Published",X182="Cancelled",X182="Archived"),"",IF(B182&lt;TODAY(),"",B182+ROW()/100000)))</f>
        <v>0</v>
      </c>
      <c r="AK182" s="32">
        <f>IF(OR(H182="",B182=""),"",IF(OR(X182="Published",X182="Cancelled",X182="Archived"),"",IF(B182&gt;=TODAY(),"",B182+ROW()/100000)))</f>
        <v>0</v>
      </c>
      <c r="AL182" s="29">
        <f>IF(H182="","",IF(COUNTIFS('Content Calendar'!$H$5:$H$604,H182,'Content Calendar'!$G$5:$G$604,G182,'Content Calendar'!$B$5:$B$604,B182)&gt;1,"Duplicate","OK"))</f>
        <v>0</v>
      </c>
      <c r="AM182" s="29">
        <f>IF(H182="","",IF(AND(B182&lt;&gt;"",B182&lt;TODAY(),X182&lt;&gt;"Published",X182&lt;&gt;"Cancelled",X182&lt;&gt;"Archived"),"Overdue - date has passed",IF(AND(X182="Published",AB182=""),"Add - publish link missing",IF(AND(B182=TODAY(),X182&lt;&gt;"Published"),"Today - due to go live",IF(AND(Y182&lt;&gt;"",Y182&lt;TODAY(),OR(X182="Idea",X182="Brief",X182="In production")),"Late - draft not ready",IF(AND(AA182&gt;=0,AA182&lt;=3,OR(X182="Draft",X182="Awaiting review")),"Due - needs approval",IF(AND(H182&lt;&gt;"",P182=""),"Add - caption missing","OK")))))))</f>
        <v>0</v>
      </c>
    </row>
    <row r="183" spans="1:39">
      <c r="A183" s="41">
        <f>IF(H183="","",ContentPrefix&amp;TEXT(ROW()-4,"0000"))</f>
        <v>0</v>
      </c>
      <c r="D183" s="17">
        <f>IF(B183="","",TEXT(B183,"yyyy-mm"))</f>
        <v>0</v>
      </c>
      <c r="E183" s="23">
        <f>IF(B183="","",WEEKNUM(B183,IF(WeekStart="Sunday",1,2)))</f>
        <v>0</v>
      </c>
      <c r="F183" s="17">
        <f>IF(B183="","",TEXT(B183,"ddd"))</f>
        <v>0</v>
      </c>
      <c r="Q183" s="29">
        <f>IF(H183="","",IF(P183="","Add - no caption",IFERROR(INDEX('Caption Bank'!$R$5:$R$204,MATCH(P183,'Caption Bank'!$B$5:$B$204,0)),"Check - not in bank")))</f>
        <v>0</v>
      </c>
      <c r="S183" s="23">
        <f>IF(R183="","",COUNTIF('Hashtag Bank'!$D$5:$D$304,R183))</f>
        <v>0</v>
      </c>
      <c r="U183" s="29">
        <f>IF(H183="","",IF(T183="","Add - no asset",IFERROR(INDEX(Assets!$N$5:$N$254,MATCH(T183,Assets!$A$5:$A$254,0)),"Check - not in library")))</f>
        <v>0</v>
      </c>
      <c r="Y183" s="16">
        <f>IF(B183="","",B183-ProductionDays)</f>
        <v>0</v>
      </c>
      <c r="Z183" s="16">
        <f>IF(B183="","",B183-ApprovalDays)</f>
        <v>0</v>
      </c>
      <c r="AA183" s="23">
        <f>IF(B183="","",B183-TODAY())</f>
        <v>0</v>
      </c>
      <c r="AC183" s="29">
        <f>IF(H183="","",IF(X183="Published",IF(AB183="","Add - link missing","Yes"),"No"))</f>
        <v>0</v>
      </c>
      <c r="AD183" s="23">
        <f>IF(A183="","",IF(COUNTIF(Performance!$B$5:$B$404,A183)=0,"",SUMIFS(Performance!$O$5:$O$404,Performance!$B$5:$B$404,A183)))</f>
        <v>0</v>
      </c>
      <c r="AE183" s="23">
        <f>IF(AD183="","",SUMIFS(Performance!$Z$5:$Z$404,Performance!$B$5:$B$404,A183))</f>
        <v>0</v>
      </c>
      <c r="AF183" s="24">
        <f>IF(OR(AD183="",AD183=0),"",AE183/AD183)</f>
        <v>0</v>
      </c>
      <c r="AG183" s="23">
        <f>IF(AD183="","",SUMIFS(Performance!$U$5:$U$404,Performance!$B$5:$B$404,A183))</f>
        <v>0</v>
      </c>
      <c r="AH183" s="23">
        <f>IF(A183="","",COUNTIF(Repurposing!$B$5:$B$154,A183))</f>
        <v>0</v>
      </c>
      <c r="AI183" s="32">
        <f>IF(OR(H183="",B183=""),"",B183+ROW()/100000)</f>
        <v>0</v>
      </c>
      <c r="AJ183" s="32">
        <f>IF(OR(H183="",B183=""),"",IF(OR(X183="Published",X183="Cancelled",X183="Archived"),"",IF(B183&lt;TODAY(),"",B183+ROW()/100000)))</f>
        <v>0</v>
      </c>
      <c r="AK183" s="32">
        <f>IF(OR(H183="",B183=""),"",IF(OR(X183="Published",X183="Cancelled",X183="Archived"),"",IF(B183&gt;=TODAY(),"",B183+ROW()/100000)))</f>
        <v>0</v>
      </c>
      <c r="AL183" s="29">
        <f>IF(H183="","",IF(COUNTIFS('Content Calendar'!$H$5:$H$604,H183,'Content Calendar'!$G$5:$G$604,G183,'Content Calendar'!$B$5:$B$604,B183)&gt;1,"Duplicate","OK"))</f>
        <v>0</v>
      </c>
      <c r="AM183" s="29">
        <f>IF(H183="","",IF(AND(B183&lt;&gt;"",B183&lt;TODAY(),X183&lt;&gt;"Published",X183&lt;&gt;"Cancelled",X183&lt;&gt;"Archived"),"Overdue - date has passed",IF(AND(X183="Published",AB183=""),"Add - publish link missing",IF(AND(B183=TODAY(),X183&lt;&gt;"Published"),"Today - due to go live",IF(AND(Y183&lt;&gt;"",Y183&lt;TODAY(),OR(X183="Idea",X183="Brief",X183="In production")),"Late - draft not ready",IF(AND(AA183&gt;=0,AA183&lt;=3,OR(X183="Draft",X183="Awaiting review")),"Due - needs approval",IF(AND(H183&lt;&gt;"",P183=""),"Add - caption missing","OK")))))))</f>
        <v>0</v>
      </c>
    </row>
    <row r="184" spans="1:39">
      <c r="A184" s="41">
        <f>IF(H184="","",ContentPrefix&amp;TEXT(ROW()-4,"0000"))</f>
        <v>0</v>
      </c>
      <c r="D184" s="17">
        <f>IF(B184="","",TEXT(B184,"yyyy-mm"))</f>
        <v>0</v>
      </c>
      <c r="E184" s="23">
        <f>IF(B184="","",WEEKNUM(B184,IF(WeekStart="Sunday",1,2)))</f>
        <v>0</v>
      </c>
      <c r="F184" s="17">
        <f>IF(B184="","",TEXT(B184,"ddd"))</f>
        <v>0</v>
      </c>
      <c r="Q184" s="29">
        <f>IF(H184="","",IF(P184="","Add - no caption",IFERROR(INDEX('Caption Bank'!$R$5:$R$204,MATCH(P184,'Caption Bank'!$B$5:$B$204,0)),"Check - not in bank")))</f>
        <v>0</v>
      </c>
      <c r="S184" s="23">
        <f>IF(R184="","",COUNTIF('Hashtag Bank'!$D$5:$D$304,R184))</f>
        <v>0</v>
      </c>
      <c r="U184" s="29">
        <f>IF(H184="","",IF(T184="","Add - no asset",IFERROR(INDEX(Assets!$N$5:$N$254,MATCH(T184,Assets!$A$5:$A$254,0)),"Check - not in library")))</f>
        <v>0</v>
      </c>
      <c r="Y184" s="16">
        <f>IF(B184="","",B184-ProductionDays)</f>
        <v>0</v>
      </c>
      <c r="Z184" s="16">
        <f>IF(B184="","",B184-ApprovalDays)</f>
        <v>0</v>
      </c>
      <c r="AA184" s="23">
        <f>IF(B184="","",B184-TODAY())</f>
        <v>0</v>
      </c>
      <c r="AC184" s="29">
        <f>IF(H184="","",IF(X184="Published",IF(AB184="","Add - link missing","Yes"),"No"))</f>
        <v>0</v>
      </c>
      <c r="AD184" s="23">
        <f>IF(A184="","",IF(COUNTIF(Performance!$B$5:$B$404,A184)=0,"",SUMIFS(Performance!$O$5:$O$404,Performance!$B$5:$B$404,A184)))</f>
        <v>0</v>
      </c>
      <c r="AE184" s="23">
        <f>IF(AD184="","",SUMIFS(Performance!$Z$5:$Z$404,Performance!$B$5:$B$404,A184))</f>
        <v>0</v>
      </c>
      <c r="AF184" s="24">
        <f>IF(OR(AD184="",AD184=0),"",AE184/AD184)</f>
        <v>0</v>
      </c>
      <c r="AG184" s="23">
        <f>IF(AD184="","",SUMIFS(Performance!$U$5:$U$404,Performance!$B$5:$B$404,A184))</f>
        <v>0</v>
      </c>
      <c r="AH184" s="23">
        <f>IF(A184="","",COUNTIF(Repurposing!$B$5:$B$154,A184))</f>
        <v>0</v>
      </c>
      <c r="AI184" s="32">
        <f>IF(OR(H184="",B184=""),"",B184+ROW()/100000)</f>
        <v>0</v>
      </c>
      <c r="AJ184" s="32">
        <f>IF(OR(H184="",B184=""),"",IF(OR(X184="Published",X184="Cancelled",X184="Archived"),"",IF(B184&lt;TODAY(),"",B184+ROW()/100000)))</f>
        <v>0</v>
      </c>
      <c r="AK184" s="32">
        <f>IF(OR(H184="",B184=""),"",IF(OR(X184="Published",X184="Cancelled",X184="Archived"),"",IF(B184&gt;=TODAY(),"",B184+ROW()/100000)))</f>
        <v>0</v>
      </c>
      <c r="AL184" s="29">
        <f>IF(H184="","",IF(COUNTIFS('Content Calendar'!$H$5:$H$604,H184,'Content Calendar'!$G$5:$G$604,G184,'Content Calendar'!$B$5:$B$604,B184)&gt;1,"Duplicate","OK"))</f>
        <v>0</v>
      </c>
      <c r="AM184" s="29">
        <f>IF(H184="","",IF(AND(B184&lt;&gt;"",B184&lt;TODAY(),X184&lt;&gt;"Published",X184&lt;&gt;"Cancelled",X184&lt;&gt;"Archived"),"Overdue - date has passed",IF(AND(X184="Published",AB184=""),"Add - publish link missing",IF(AND(B184=TODAY(),X184&lt;&gt;"Published"),"Today - due to go live",IF(AND(Y184&lt;&gt;"",Y184&lt;TODAY(),OR(X184="Idea",X184="Brief",X184="In production")),"Late - draft not ready",IF(AND(AA184&gt;=0,AA184&lt;=3,OR(X184="Draft",X184="Awaiting review")),"Due - needs approval",IF(AND(H184&lt;&gt;"",P184=""),"Add - caption missing","OK")))))))</f>
        <v>0</v>
      </c>
    </row>
    <row r="185" spans="1:39">
      <c r="A185" s="41">
        <f>IF(H185="","",ContentPrefix&amp;TEXT(ROW()-4,"0000"))</f>
        <v>0</v>
      </c>
      <c r="D185" s="17">
        <f>IF(B185="","",TEXT(B185,"yyyy-mm"))</f>
        <v>0</v>
      </c>
      <c r="E185" s="23">
        <f>IF(B185="","",WEEKNUM(B185,IF(WeekStart="Sunday",1,2)))</f>
        <v>0</v>
      </c>
      <c r="F185" s="17">
        <f>IF(B185="","",TEXT(B185,"ddd"))</f>
        <v>0</v>
      </c>
      <c r="Q185" s="29">
        <f>IF(H185="","",IF(P185="","Add - no caption",IFERROR(INDEX('Caption Bank'!$R$5:$R$204,MATCH(P185,'Caption Bank'!$B$5:$B$204,0)),"Check - not in bank")))</f>
        <v>0</v>
      </c>
      <c r="S185" s="23">
        <f>IF(R185="","",COUNTIF('Hashtag Bank'!$D$5:$D$304,R185))</f>
        <v>0</v>
      </c>
      <c r="U185" s="29">
        <f>IF(H185="","",IF(T185="","Add - no asset",IFERROR(INDEX(Assets!$N$5:$N$254,MATCH(T185,Assets!$A$5:$A$254,0)),"Check - not in library")))</f>
        <v>0</v>
      </c>
      <c r="Y185" s="16">
        <f>IF(B185="","",B185-ProductionDays)</f>
        <v>0</v>
      </c>
      <c r="Z185" s="16">
        <f>IF(B185="","",B185-ApprovalDays)</f>
        <v>0</v>
      </c>
      <c r="AA185" s="23">
        <f>IF(B185="","",B185-TODAY())</f>
        <v>0</v>
      </c>
      <c r="AC185" s="29">
        <f>IF(H185="","",IF(X185="Published",IF(AB185="","Add - link missing","Yes"),"No"))</f>
        <v>0</v>
      </c>
      <c r="AD185" s="23">
        <f>IF(A185="","",IF(COUNTIF(Performance!$B$5:$B$404,A185)=0,"",SUMIFS(Performance!$O$5:$O$404,Performance!$B$5:$B$404,A185)))</f>
        <v>0</v>
      </c>
      <c r="AE185" s="23">
        <f>IF(AD185="","",SUMIFS(Performance!$Z$5:$Z$404,Performance!$B$5:$B$404,A185))</f>
        <v>0</v>
      </c>
      <c r="AF185" s="24">
        <f>IF(OR(AD185="",AD185=0),"",AE185/AD185)</f>
        <v>0</v>
      </c>
      <c r="AG185" s="23">
        <f>IF(AD185="","",SUMIFS(Performance!$U$5:$U$404,Performance!$B$5:$B$404,A185))</f>
        <v>0</v>
      </c>
      <c r="AH185" s="23">
        <f>IF(A185="","",COUNTIF(Repurposing!$B$5:$B$154,A185))</f>
        <v>0</v>
      </c>
      <c r="AI185" s="32">
        <f>IF(OR(H185="",B185=""),"",B185+ROW()/100000)</f>
        <v>0</v>
      </c>
      <c r="AJ185" s="32">
        <f>IF(OR(H185="",B185=""),"",IF(OR(X185="Published",X185="Cancelled",X185="Archived"),"",IF(B185&lt;TODAY(),"",B185+ROW()/100000)))</f>
        <v>0</v>
      </c>
      <c r="AK185" s="32">
        <f>IF(OR(H185="",B185=""),"",IF(OR(X185="Published",X185="Cancelled",X185="Archived"),"",IF(B185&gt;=TODAY(),"",B185+ROW()/100000)))</f>
        <v>0</v>
      </c>
      <c r="AL185" s="29">
        <f>IF(H185="","",IF(COUNTIFS('Content Calendar'!$H$5:$H$604,H185,'Content Calendar'!$G$5:$G$604,G185,'Content Calendar'!$B$5:$B$604,B185)&gt;1,"Duplicate","OK"))</f>
        <v>0</v>
      </c>
      <c r="AM185" s="29">
        <f>IF(H185="","",IF(AND(B185&lt;&gt;"",B185&lt;TODAY(),X185&lt;&gt;"Published",X185&lt;&gt;"Cancelled",X185&lt;&gt;"Archived"),"Overdue - date has passed",IF(AND(X185="Published",AB185=""),"Add - publish link missing",IF(AND(B185=TODAY(),X185&lt;&gt;"Published"),"Today - due to go live",IF(AND(Y185&lt;&gt;"",Y185&lt;TODAY(),OR(X185="Idea",X185="Brief",X185="In production")),"Late - draft not ready",IF(AND(AA185&gt;=0,AA185&lt;=3,OR(X185="Draft",X185="Awaiting review")),"Due - needs approval",IF(AND(H185&lt;&gt;"",P185=""),"Add - caption missing","OK")))))))</f>
        <v>0</v>
      </c>
    </row>
    <row r="186" spans="1:39">
      <c r="A186" s="41">
        <f>IF(H186="","",ContentPrefix&amp;TEXT(ROW()-4,"0000"))</f>
        <v>0</v>
      </c>
      <c r="D186" s="17">
        <f>IF(B186="","",TEXT(B186,"yyyy-mm"))</f>
        <v>0</v>
      </c>
      <c r="E186" s="23">
        <f>IF(B186="","",WEEKNUM(B186,IF(WeekStart="Sunday",1,2)))</f>
        <v>0</v>
      </c>
      <c r="F186" s="17">
        <f>IF(B186="","",TEXT(B186,"ddd"))</f>
        <v>0</v>
      </c>
      <c r="Q186" s="29">
        <f>IF(H186="","",IF(P186="","Add - no caption",IFERROR(INDEX('Caption Bank'!$R$5:$R$204,MATCH(P186,'Caption Bank'!$B$5:$B$204,0)),"Check - not in bank")))</f>
        <v>0</v>
      </c>
      <c r="S186" s="23">
        <f>IF(R186="","",COUNTIF('Hashtag Bank'!$D$5:$D$304,R186))</f>
        <v>0</v>
      </c>
      <c r="U186" s="29">
        <f>IF(H186="","",IF(T186="","Add - no asset",IFERROR(INDEX(Assets!$N$5:$N$254,MATCH(T186,Assets!$A$5:$A$254,0)),"Check - not in library")))</f>
        <v>0</v>
      </c>
      <c r="Y186" s="16">
        <f>IF(B186="","",B186-ProductionDays)</f>
        <v>0</v>
      </c>
      <c r="Z186" s="16">
        <f>IF(B186="","",B186-ApprovalDays)</f>
        <v>0</v>
      </c>
      <c r="AA186" s="23">
        <f>IF(B186="","",B186-TODAY())</f>
        <v>0</v>
      </c>
      <c r="AC186" s="29">
        <f>IF(H186="","",IF(X186="Published",IF(AB186="","Add - link missing","Yes"),"No"))</f>
        <v>0</v>
      </c>
      <c r="AD186" s="23">
        <f>IF(A186="","",IF(COUNTIF(Performance!$B$5:$B$404,A186)=0,"",SUMIFS(Performance!$O$5:$O$404,Performance!$B$5:$B$404,A186)))</f>
        <v>0</v>
      </c>
      <c r="AE186" s="23">
        <f>IF(AD186="","",SUMIFS(Performance!$Z$5:$Z$404,Performance!$B$5:$B$404,A186))</f>
        <v>0</v>
      </c>
      <c r="AF186" s="24">
        <f>IF(OR(AD186="",AD186=0),"",AE186/AD186)</f>
        <v>0</v>
      </c>
      <c r="AG186" s="23">
        <f>IF(AD186="","",SUMIFS(Performance!$U$5:$U$404,Performance!$B$5:$B$404,A186))</f>
        <v>0</v>
      </c>
      <c r="AH186" s="23">
        <f>IF(A186="","",COUNTIF(Repurposing!$B$5:$B$154,A186))</f>
        <v>0</v>
      </c>
      <c r="AI186" s="32">
        <f>IF(OR(H186="",B186=""),"",B186+ROW()/100000)</f>
        <v>0</v>
      </c>
      <c r="AJ186" s="32">
        <f>IF(OR(H186="",B186=""),"",IF(OR(X186="Published",X186="Cancelled",X186="Archived"),"",IF(B186&lt;TODAY(),"",B186+ROW()/100000)))</f>
        <v>0</v>
      </c>
      <c r="AK186" s="32">
        <f>IF(OR(H186="",B186=""),"",IF(OR(X186="Published",X186="Cancelled",X186="Archived"),"",IF(B186&gt;=TODAY(),"",B186+ROW()/100000)))</f>
        <v>0</v>
      </c>
      <c r="AL186" s="29">
        <f>IF(H186="","",IF(COUNTIFS('Content Calendar'!$H$5:$H$604,H186,'Content Calendar'!$G$5:$G$604,G186,'Content Calendar'!$B$5:$B$604,B186)&gt;1,"Duplicate","OK"))</f>
        <v>0</v>
      </c>
      <c r="AM186" s="29">
        <f>IF(H186="","",IF(AND(B186&lt;&gt;"",B186&lt;TODAY(),X186&lt;&gt;"Published",X186&lt;&gt;"Cancelled",X186&lt;&gt;"Archived"),"Overdue - date has passed",IF(AND(X186="Published",AB186=""),"Add - publish link missing",IF(AND(B186=TODAY(),X186&lt;&gt;"Published"),"Today - due to go live",IF(AND(Y186&lt;&gt;"",Y186&lt;TODAY(),OR(X186="Idea",X186="Brief",X186="In production")),"Late - draft not ready",IF(AND(AA186&gt;=0,AA186&lt;=3,OR(X186="Draft",X186="Awaiting review")),"Due - needs approval",IF(AND(H186&lt;&gt;"",P186=""),"Add - caption missing","OK")))))))</f>
        <v>0</v>
      </c>
    </row>
    <row r="187" spans="1:39">
      <c r="A187" s="41">
        <f>IF(H187="","",ContentPrefix&amp;TEXT(ROW()-4,"0000"))</f>
        <v>0</v>
      </c>
      <c r="D187" s="17">
        <f>IF(B187="","",TEXT(B187,"yyyy-mm"))</f>
        <v>0</v>
      </c>
      <c r="E187" s="23">
        <f>IF(B187="","",WEEKNUM(B187,IF(WeekStart="Sunday",1,2)))</f>
        <v>0</v>
      </c>
      <c r="F187" s="17">
        <f>IF(B187="","",TEXT(B187,"ddd"))</f>
        <v>0</v>
      </c>
      <c r="Q187" s="29">
        <f>IF(H187="","",IF(P187="","Add - no caption",IFERROR(INDEX('Caption Bank'!$R$5:$R$204,MATCH(P187,'Caption Bank'!$B$5:$B$204,0)),"Check - not in bank")))</f>
        <v>0</v>
      </c>
      <c r="S187" s="23">
        <f>IF(R187="","",COUNTIF('Hashtag Bank'!$D$5:$D$304,R187))</f>
        <v>0</v>
      </c>
      <c r="U187" s="29">
        <f>IF(H187="","",IF(T187="","Add - no asset",IFERROR(INDEX(Assets!$N$5:$N$254,MATCH(T187,Assets!$A$5:$A$254,0)),"Check - not in library")))</f>
        <v>0</v>
      </c>
      <c r="Y187" s="16">
        <f>IF(B187="","",B187-ProductionDays)</f>
        <v>0</v>
      </c>
      <c r="Z187" s="16">
        <f>IF(B187="","",B187-ApprovalDays)</f>
        <v>0</v>
      </c>
      <c r="AA187" s="23">
        <f>IF(B187="","",B187-TODAY())</f>
        <v>0</v>
      </c>
      <c r="AC187" s="29">
        <f>IF(H187="","",IF(X187="Published",IF(AB187="","Add - link missing","Yes"),"No"))</f>
        <v>0</v>
      </c>
      <c r="AD187" s="23">
        <f>IF(A187="","",IF(COUNTIF(Performance!$B$5:$B$404,A187)=0,"",SUMIFS(Performance!$O$5:$O$404,Performance!$B$5:$B$404,A187)))</f>
        <v>0</v>
      </c>
      <c r="AE187" s="23">
        <f>IF(AD187="","",SUMIFS(Performance!$Z$5:$Z$404,Performance!$B$5:$B$404,A187))</f>
        <v>0</v>
      </c>
      <c r="AF187" s="24">
        <f>IF(OR(AD187="",AD187=0),"",AE187/AD187)</f>
        <v>0</v>
      </c>
      <c r="AG187" s="23">
        <f>IF(AD187="","",SUMIFS(Performance!$U$5:$U$404,Performance!$B$5:$B$404,A187))</f>
        <v>0</v>
      </c>
      <c r="AH187" s="23">
        <f>IF(A187="","",COUNTIF(Repurposing!$B$5:$B$154,A187))</f>
        <v>0</v>
      </c>
      <c r="AI187" s="32">
        <f>IF(OR(H187="",B187=""),"",B187+ROW()/100000)</f>
        <v>0</v>
      </c>
      <c r="AJ187" s="32">
        <f>IF(OR(H187="",B187=""),"",IF(OR(X187="Published",X187="Cancelled",X187="Archived"),"",IF(B187&lt;TODAY(),"",B187+ROW()/100000)))</f>
        <v>0</v>
      </c>
      <c r="AK187" s="32">
        <f>IF(OR(H187="",B187=""),"",IF(OR(X187="Published",X187="Cancelled",X187="Archived"),"",IF(B187&gt;=TODAY(),"",B187+ROW()/100000)))</f>
        <v>0</v>
      </c>
      <c r="AL187" s="29">
        <f>IF(H187="","",IF(COUNTIFS('Content Calendar'!$H$5:$H$604,H187,'Content Calendar'!$G$5:$G$604,G187,'Content Calendar'!$B$5:$B$604,B187)&gt;1,"Duplicate","OK"))</f>
        <v>0</v>
      </c>
      <c r="AM187" s="29">
        <f>IF(H187="","",IF(AND(B187&lt;&gt;"",B187&lt;TODAY(),X187&lt;&gt;"Published",X187&lt;&gt;"Cancelled",X187&lt;&gt;"Archived"),"Overdue - date has passed",IF(AND(X187="Published",AB187=""),"Add - publish link missing",IF(AND(B187=TODAY(),X187&lt;&gt;"Published"),"Today - due to go live",IF(AND(Y187&lt;&gt;"",Y187&lt;TODAY(),OR(X187="Idea",X187="Brief",X187="In production")),"Late - draft not ready",IF(AND(AA187&gt;=0,AA187&lt;=3,OR(X187="Draft",X187="Awaiting review")),"Due - needs approval",IF(AND(H187&lt;&gt;"",P187=""),"Add - caption missing","OK")))))))</f>
        <v>0</v>
      </c>
    </row>
    <row r="188" spans="1:39">
      <c r="A188" s="41">
        <f>IF(H188="","",ContentPrefix&amp;TEXT(ROW()-4,"0000"))</f>
        <v>0</v>
      </c>
      <c r="D188" s="17">
        <f>IF(B188="","",TEXT(B188,"yyyy-mm"))</f>
        <v>0</v>
      </c>
      <c r="E188" s="23">
        <f>IF(B188="","",WEEKNUM(B188,IF(WeekStart="Sunday",1,2)))</f>
        <v>0</v>
      </c>
      <c r="F188" s="17">
        <f>IF(B188="","",TEXT(B188,"ddd"))</f>
        <v>0</v>
      </c>
      <c r="Q188" s="29">
        <f>IF(H188="","",IF(P188="","Add - no caption",IFERROR(INDEX('Caption Bank'!$R$5:$R$204,MATCH(P188,'Caption Bank'!$B$5:$B$204,0)),"Check - not in bank")))</f>
        <v>0</v>
      </c>
      <c r="S188" s="23">
        <f>IF(R188="","",COUNTIF('Hashtag Bank'!$D$5:$D$304,R188))</f>
        <v>0</v>
      </c>
      <c r="U188" s="29">
        <f>IF(H188="","",IF(T188="","Add - no asset",IFERROR(INDEX(Assets!$N$5:$N$254,MATCH(T188,Assets!$A$5:$A$254,0)),"Check - not in library")))</f>
        <v>0</v>
      </c>
      <c r="Y188" s="16">
        <f>IF(B188="","",B188-ProductionDays)</f>
        <v>0</v>
      </c>
      <c r="Z188" s="16">
        <f>IF(B188="","",B188-ApprovalDays)</f>
        <v>0</v>
      </c>
      <c r="AA188" s="23">
        <f>IF(B188="","",B188-TODAY())</f>
        <v>0</v>
      </c>
      <c r="AC188" s="29">
        <f>IF(H188="","",IF(X188="Published",IF(AB188="","Add - link missing","Yes"),"No"))</f>
        <v>0</v>
      </c>
      <c r="AD188" s="23">
        <f>IF(A188="","",IF(COUNTIF(Performance!$B$5:$B$404,A188)=0,"",SUMIFS(Performance!$O$5:$O$404,Performance!$B$5:$B$404,A188)))</f>
        <v>0</v>
      </c>
      <c r="AE188" s="23">
        <f>IF(AD188="","",SUMIFS(Performance!$Z$5:$Z$404,Performance!$B$5:$B$404,A188))</f>
        <v>0</v>
      </c>
      <c r="AF188" s="24">
        <f>IF(OR(AD188="",AD188=0),"",AE188/AD188)</f>
        <v>0</v>
      </c>
      <c r="AG188" s="23">
        <f>IF(AD188="","",SUMIFS(Performance!$U$5:$U$404,Performance!$B$5:$B$404,A188))</f>
        <v>0</v>
      </c>
      <c r="AH188" s="23">
        <f>IF(A188="","",COUNTIF(Repurposing!$B$5:$B$154,A188))</f>
        <v>0</v>
      </c>
      <c r="AI188" s="32">
        <f>IF(OR(H188="",B188=""),"",B188+ROW()/100000)</f>
        <v>0</v>
      </c>
      <c r="AJ188" s="32">
        <f>IF(OR(H188="",B188=""),"",IF(OR(X188="Published",X188="Cancelled",X188="Archived"),"",IF(B188&lt;TODAY(),"",B188+ROW()/100000)))</f>
        <v>0</v>
      </c>
      <c r="AK188" s="32">
        <f>IF(OR(H188="",B188=""),"",IF(OR(X188="Published",X188="Cancelled",X188="Archived"),"",IF(B188&gt;=TODAY(),"",B188+ROW()/100000)))</f>
        <v>0</v>
      </c>
      <c r="AL188" s="29">
        <f>IF(H188="","",IF(COUNTIFS('Content Calendar'!$H$5:$H$604,H188,'Content Calendar'!$G$5:$G$604,G188,'Content Calendar'!$B$5:$B$604,B188)&gt;1,"Duplicate","OK"))</f>
        <v>0</v>
      </c>
      <c r="AM188" s="29">
        <f>IF(H188="","",IF(AND(B188&lt;&gt;"",B188&lt;TODAY(),X188&lt;&gt;"Published",X188&lt;&gt;"Cancelled",X188&lt;&gt;"Archived"),"Overdue - date has passed",IF(AND(X188="Published",AB188=""),"Add - publish link missing",IF(AND(B188=TODAY(),X188&lt;&gt;"Published"),"Today - due to go live",IF(AND(Y188&lt;&gt;"",Y188&lt;TODAY(),OR(X188="Idea",X188="Brief",X188="In production")),"Late - draft not ready",IF(AND(AA188&gt;=0,AA188&lt;=3,OR(X188="Draft",X188="Awaiting review")),"Due - needs approval",IF(AND(H188&lt;&gt;"",P188=""),"Add - caption missing","OK")))))))</f>
        <v>0</v>
      </c>
    </row>
    <row r="189" spans="1:39">
      <c r="A189" s="41">
        <f>IF(H189="","",ContentPrefix&amp;TEXT(ROW()-4,"0000"))</f>
        <v>0</v>
      </c>
      <c r="D189" s="17">
        <f>IF(B189="","",TEXT(B189,"yyyy-mm"))</f>
        <v>0</v>
      </c>
      <c r="E189" s="23">
        <f>IF(B189="","",WEEKNUM(B189,IF(WeekStart="Sunday",1,2)))</f>
        <v>0</v>
      </c>
      <c r="F189" s="17">
        <f>IF(B189="","",TEXT(B189,"ddd"))</f>
        <v>0</v>
      </c>
      <c r="Q189" s="29">
        <f>IF(H189="","",IF(P189="","Add - no caption",IFERROR(INDEX('Caption Bank'!$R$5:$R$204,MATCH(P189,'Caption Bank'!$B$5:$B$204,0)),"Check - not in bank")))</f>
        <v>0</v>
      </c>
      <c r="S189" s="23">
        <f>IF(R189="","",COUNTIF('Hashtag Bank'!$D$5:$D$304,R189))</f>
        <v>0</v>
      </c>
      <c r="U189" s="29">
        <f>IF(H189="","",IF(T189="","Add - no asset",IFERROR(INDEX(Assets!$N$5:$N$254,MATCH(T189,Assets!$A$5:$A$254,0)),"Check - not in library")))</f>
        <v>0</v>
      </c>
      <c r="Y189" s="16">
        <f>IF(B189="","",B189-ProductionDays)</f>
        <v>0</v>
      </c>
      <c r="Z189" s="16">
        <f>IF(B189="","",B189-ApprovalDays)</f>
        <v>0</v>
      </c>
      <c r="AA189" s="23">
        <f>IF(B189="","",B189-TODAY())</f>
        <v>0</v>
      </c>
      <c r="AC189" s="29">
        <f>IF(H189="","",IF(X189="Published",IF(AB189="","Add - link missing","Yes"),"No"))</f>
        <v>0</v>
      </c>
      <c r="AD189" s="23">
        <f>IF(A189="","",IF(COUNTIF(Performance!$B$5:$B$404,A189)=0,"",SUMIFS(Performance!$O$5:$O$404,Performance!$B$5:$B$404,A189)))</f>
        <v>0</v>
      </c>
      <c r="AE189" s="23">
        <f>IF(AD189="","",SUMIFS(Performance!$Z$5:$Z$404,Performance!$B$5:$B$404,A189))</f>
        <v>0</v>
      </c>
      <c r="AF189" s="24">
        <f>IF(OR(AD189="",AD189=0),"",AE189/AD189)</f>
        <v>0</v>
      </c>
      <c r="AG189" s="23">
        <f>IF(AD189="","",SUMIFS(Performance!$U$5:$U$404,Performance!$B$5:$B$404,A189))</f>
        <v>0</v>
      </c>
      <c r="AH189" s="23">
        <f>IF(A189="","",COUNTIF(Repurposing!$B$5:$B$154,A189))</f>
        <v>0</v>
      </c>
      <c r="AI189" s="32">
        <f>IF(OR(H189="",B189=""),"",B189+ROW()/100000)</f>
        <v>0</v>
      </c>
      <c r="AJ189" s="32">
        <f>IF(OR(H189="",B189=""),"",IF(OR(X189="Published",X189="Cancelled",X189="Archived"),"",IF(B189&lt;TODAY(),"",B189+ROW()/100000)))</f>
        <v>0</v>
      </c>
      <c r="AK189" s="32">
        <f>IF(OR(H189="",B189=""),"",IF(OR(X189="Published",X189="Cancelled",X189="Archived"),"",IF(B189&gt;=TODAY(),"",B189+ROW()/100000)))</f>
        <v>0</v>
      </c>
      <c r="AL189" s="29">
        <f>IF(H189="","",IF(COUNTIFS('Content Calendar'!$H$5:$H$604,H189,'Content Calendar'!$G$5:$G$604,G189,'Content Calendar'!$B$5:$B$604,B189)&gt;1,"Duplicate","OK"))</f>
        <v>0</v>
      </c>
      <c r="AM189" s="29">
        <f>IF(H189="","",IF(AND(B189&lt;&gt;"",B189&lt;TODAY(),X189&lt;&gt;"Published",X189&lt;&gt;"Cancelled",X189&lt;&gt;"Archived"),"Overdue - date has passed",IF(AND(X189="Published",AB189=""),"Add - publish link missing",IF(AND(B189=TODAY(),X189&lt;&gt;"Published"),"Today - due to go live",IF(AND(Y189&lt;&gt;"",Y189&lt;TODAY(),OR(X189="Idea",X189="Brief",X189="In production")),"Late - draft not ready",IF(AND(AA189&gt;=0,AA189&lt;=3,OR(X189="Draft",X189="Awaiting review")),"Due - needs approval",IF(AND(H189&lt;&gt;"",P189=""),"Add - caption missing","OK")))))))</f>
        <v>0</v>
      </c>
    </row>
    <row r="190" spans="1:39">
      <c r="A190" s="41">
        <f>IF(H190="","",ContentPrefix&amp;TEXT(ROW()-4,"0000"))</f>
        <v>0</v>
      </c>
      <c r="D190" s="17">
        <f>IF(B190="","",TEXT(B190,"yyyy-mm"))</f>
        <v>0</v>
      </c>
      <c r="E190" s="23">
        <f>IF(B190="","",WEEKNUM(B190,IF(WeekStart="Sunday",1,2)))</f>
        <v>0</v>
      </c>
      <c r="F190" s="17">
        <f>IF(B190="","",TEXT(B190,"ddd"))</f>
        <v>0</v>
      </c>
      <c r="Q190" s="29">
        <f>IF(H190="","",IF(P190="","Add - no caption",IFERROR(INDEX('Caption Bank'!$R$5:$R$204,MATCH(P190,'Caption Bank'!$B$5:$B$204,0)),"Check - not in bank")))</f>
        <v>0</v>
      </c>
      <c r="S190" s="23">
        <f>IF(R190="","",COUNTIF('Hashtag Bank'!$D$5:$D$304,R190))</f>
        <v>0</v>
      </c>
      <c r="U190" s="29">
        <f>IF(H190="","",IF(T190="","Add - no asset",IFERROR(INDEX(Assets!$N$5:$N$254,MATCH(T190,Assets!$A$5:$A$254,0)),"Check - not in library")))</f>
        <v>0</v>
      </c>
      <c r="Y190" s="16">
        <f>IF(B190="","",B190-ProductionDays)</f>
        <v>0</v>
      </c>
      <c r="Z190" s="16">
        <f>IF(B190="","",B190-ApprovalDays)</f>
        <v>0</v>
      </c>
      <c r="AA190" s="23">
        <f>IF(B190="","",B190-TODAY())</f>
        <v>0</v>
      </c>
      <c r="AC190" s="29">
        <f>IF(H190="","",IF(X190="Published",IF(AB190="","Add - link missing","Yes"),"No"))</f>
        <v>0</v>
      </c>
      <c r="AD190" s="23">
        <f>IF(A190="","",IF(COUNTIF(Performance!$B$5:$B$404,A190)=0,"",SUMIFS(Performance!$O$5:$O$404,Performance!$B$5:$B$404,A190)))</f>
        <v>0</v>
      </c>
      <c r="AE190" s="23">
        <f>IF(AD190="","",SUMIFS(Performance!$Z$5:$Z$404,Performance!$B$5:$B$404,A190))</f>
        <v>0</v>
      </c>
      <c r="AF190" s="24">
        <f>IF(OR(AD190="",AD190=0),"",AE190/AD190)</f>
        <v>0</v>
      </c>
      <c r="AG190" s="23">
        <f>IF(AD190="","",SUMIFS(Performance!$U$5:$U$404,Performance!$B$5:$B$404,A190))</f>
        <v>0</v>
      </c>
      <c r="AH190" s="23">
        <f>IF(A190="","",COUNTIF(Repurposing!$B$5:$B$154,A190))</f>
        <v>0</v>
      </c>
      <c r="AI190" s="32">
        <f>IF(OR(H190="",B190=""),"",B190+ROW()/100000)</f>
        <v>0</v>
      </c>
      <c r="AJ190" s="32">
        <f>IF(OR(H190="",B190=""),"",IF(OR(X190="Published",X190="Cancelled",X190="Archived"),"",IF(B190&lt;TODAY(),"",B190+ROW()/100000)))</f>
        <v>0</v>
      </c>
      <c r="AK190" s="32">
        <f>IF(OR(H190="",B190=""),"",IF(OR(X190="Published",X190="Cancelled",X190="Archived"),"",IF(B190&gt;=TODAY(),"",B190+ROW()/100000)))</f>
        <v>0</v>
      </c>
      <c r="AL190" s="29">
        <f>IF(H190="","",IF(COUNTIFS('Content Calendar'!$H$5:$H$604,H190,'Content Calendar'!$G$5:$G$604,G190,'Content Calendar'!$B$5:$B$604,B190)&gt;1,"Duplicate","OK"))</f>
        <v>0</v>
      </c>
      <c r="AM190" s="29">
        <f>IF(H190="","",IF(AND(B190&lt;&gt;"",B190&lt;TODAY(),X190&lt;&gt;"Published",X190&lt;&gt;"Cancelled",X190&lt;&gt;"Archived"),"Overdue - date has passed",IF(AND(X190="Published",AB190=""),"Add - publish link missing",IF(AND(B190=TODAY(),X190&lt;&gt;"Published"),"Today - due to go live",IF(AND(Y190&lt;&gt;"",Y190&lt;TODAY(),OR(X190="Idea",X190="Brief",X190="In production")),"Late - draft not ready",IF(AND(AA190&gt;=0,AA190&lt;=3,OR(X190="Draft",X190="Awaiting review")),"Due - needs approval",IF(AND(H190&lt;&gt;"",P190=""),"Add - caption missing","OK")))))))</f>
        <v>0</v>
      </c>
    </row>
    <row r="191" spans="1:39">
      <c r="A191" s="41">
        <f>IF(H191="","",ContentPrefix&amp;TEXT(ROW()-4,"0000"))</f>
        <v>0</v>
      </c>
      <c r="D191" s="17">
        <f>IF(B191="","",TEXT(B191,"yyyy-mm"))</f>
        <v>0</v>
      </c>
      <c r="E191" s="23">
        <f>IF(B191="","",WEEKNUM(B191,IF(WeekStart="Sunday",1,2)))</f>
        <v>0</v>
      </c>
      <c r="F191" s="17">
        <f>IF(B191="","",TEXT(B191,"ddd"))</f>
        <v>0</v>
      </c>
      <c r="Q191" s="29">
        <f>IF(H191="","",IF(P191="","Add - no caption",IFERROR(INDEX('Caption Bank'!$R$5:$R$204,MATCH(P191,'Caption Bank'!$B$5:$B$204,0)),"Check - not in bank")))</f>
        <v>0</v>
      </c>
      <c r="S191" s="23">
        <f>IF(R191="","",COUNTIF('Hashtag Bank'!$D$5:$D$304,R191))</f>
        <v>0</v>
      </c>
      <c r="U191" s="29">
        <f>IF(H191="","",IF(T191="","Add - no asset",IFERROR(INDEX(Assets!$N$5:$N$254,MATCH(T191,Assets!$A$5:$A$254,0)),"Check - not in library")))</f>
        <v>0</v>
      </c>
      <c r="Y191" s="16">
        <f>IF(B191="","",B191-ProductionDays)</f>
        <v>0</v>
      </c>
      <c r="Z191" s="16">
        <f>IF(B191="","",B191-ApprovalDays)</f>
        <v>0</v>
      </c>
      <c r="AA191" s="23">
        <f>IF(B191="","",B191-TODAY())</f>
        <v>0</v>
      </c>
      <c r="AC191" s="29">
        <f>IF(H191="","",IF(X191="Published",IF(AB191="","Add - link missing","Yes"),"No"))</f>
        <v>0</v>
      </c>
      <c r="AD191" s="23">
        <f>IF(A191="","",IF(COUNTIF(Performance!$B$5:$B$404,A191)=0,"",SUMIFS(Performance!$O$5:$O$404,Performance!$B$5:$B$404,A191)))</f>
        <v>0</v>
      </c>
      <c r="AE191" s="23">
        <f>IF(AD191="","",SUMIFS(Performance!$Z$5:$Z$404,Performance!$B$5:$B$404,A191))</f>
        <v>0</v>
      </c>
      <c r="AF191" s="24">
        <f>IF(OR(AD191="",AD191=0),"",AE191/AD191)</f>
        <v>0</v>
      </c>
      <c r="AG191" s="23">
        <f>IF(AD191="","",SUMIFS(Performance!$U$5:$U$404,Performance!$B$5:$B$404,A191))</f>
        <v>0</v>
      </c>
      <c r="AH191" s="23">
        <f>IF(A191="","",COUNTIF(Repurposing!$B$5:$B$154,A191))</f>
        <v>0</v>
      </c>
      <c r="AI191" s="32">
        <f>IF(OR(H191="",B191=""),"",B191+ROW()/100000)</f>
        <v>0</v>
      </c>
      <c r="AJ191" s="32">
        <f>IF(OR(H191="",B191=""),"",IF(OR(X191="Published",X191="Cancelled",X191="Archived"),"",IF(B191&lt;TODAY(),"",B191+ROW()/100000)))</f>
        <v>0</v>
      </c>
      <c r="AK191" s="32">
        <f>IF(OR(H191="",B191=""),"",IF(OR(X191="Published",X191="Cancelled",X191="Archived"),"",IF(B191&gt;=TODAY(),"",B191+ROW()/100000)))</f>
        <v>0</v>
      </c>
      <c r="AL191" s="29">
        <f>IF(H191="","",IF(COUNTIFS('Content Calendar'!$H$5:$H$604,H191,'Content Calendar'!$G$5:$G$604,G191,'Content Calendar'!$B$5:$B$604,B191)&gt;1,"Duplicate","OK"))</f>
        <v>0</v>
      </c>
      <c r="AM191" s="29">
        <f>IF(H191="","",IF(AND(B191&lt;&gt;"",B191&lt;TODAY(),X191&lt;&gt;"Published",X191&lt;&gt;"Cancelled",X191&lt;&gt;"Archived"),"Overdue - date has passed",IF(AND(X191="Published",AB191=""),"Add - publish link missing",IF(AND(B191=TODAY(),X191&lt;&gt;"Published"),"Today - due to go live",IF(AND(Y191&lt;&gt;"",Y191&lt;TODAY(),OR(X191="Idea",X191="Brief",X191="In production")),"Late - draft not ready",IF(AND(AA191&gt;=0,AA191&lt;=3,OR(X191="Draft",X191="Awaiting review")),"Due - needs approval",IF(AND(H191&lt;&gt;"",P191=""),"Add - caption missing","OK")))))))</f>
        <v>0</v>
      </c>
    </row>
    <row r="192" spans="1:39">
      <c r="A192" s="41">
        <f>IF(H192="","",ContentPrefix&amp;TEXT(ROW()-4,"0000"))</f>
        <v>0</v>
      </c>
      <c r="D192" s="17">
        <f>IF(B192="","",TEXT(B192,"yyyy-mm"))</f>
        <v>0</v>
      </c>
      <c r="E192" s="23">
        <f>IF(B192="","",WEEKNUM(B192,IF(WeekStart="Sunday",1,2)))</f>
        <v>0</v>
      </c>
      <c r="F192" s="17">
        <f>IF(B192="","",TEXT(B192,"ddd"))</f>
        <v>0</v>
      </c>
      <c r="Q192" s="29">
        <f>IF(H192="","",IF(P192="","Add - no caption",IFERROR(INDEX('Caption Bank'!$R$5:$R$204,MATCH(P192,'Caption Bank'!$B$5:$B$204,0)),"Check - not in bank")))</f>
        <v>0</v>
      </c>
      <c r="S192" s="23">
        <f>IF(R192="","",COUNTIF('Hashtag Bank'!$D$5:$D$304,R192))</f>
        <v>0</v>
      </c>
      <c r="U192" s="29">
        <f>IF(H192="","",IF(T192="","Add - no asset",IFERROR(INDEX(Assets!$N$5:$N$254,MATCH(T192,Assets!$A$5:$A$254,0)),"Check - not in library")))</f>
        <v>0</v>
      </c>
      <c r="Y192" s="16">
        <f>IF(B192="","",B192-ProductionDays)</f>
        <v>0</v>
      </c>
      <c r="Z192" s="16">
        <f>IF(B192="","",B192-ApprovalDays)</f>
        <v>0</v>
      </c>
      <c r="AA192" s="23">
        <f>IF(B192="","",B192-TODAY())</f>
        <v>0</v>
      </c>
      <c r="AC192" s="29">
        <f>IF(H192="","",IF(X192="Published",IF(AB192="","Add - link missing","Yes"),"No"))</f>
        <v>0</v>
      </c>
      <c r="AD192" s="23">
        <f>IF(A192="","",IF(COUNTIF(Performance!$B$5:$B$404,A192)=0,"",SUMIFS(Performance!$O$5:$O$404,Performance!$B$5:$B$404,A192)))</f>
        <v>0</v>
      </c>
      <c r="AE192" s="23">
        <f>IF(AD192="","",SUMIFS(Performance!$Z$5:$Z$404,Performance!$B$5:$B$404,A192))</f>
        <v>0</v>
      </c>
      <c r="AF192" s="24">
        <f>IF(OR(AD192="",AD192=0),"",AE192/AD192)</f>
        <v>0</v>
      </c>
      <c r="AG192" s="23">
        <f>IF(AD192="","",SUMIFS(Performance!$U$5:$U$404,Performance!$B$5:$B$404,A192))</f>
        <v>0</v>
      </c>
      <c r="AH192" s="23">
        <f>IF(A192="","",COUNTIF(Repurposing!$B$5:$B$154,A192))</f>
        <v>0</v>
      </c>
      <c r="AI192" s="32">
        <f>IF(OR(H192="",B192=""),"",B192+ROW()/100000)</f>
        <v>0</v>
      </c>
      <c r="AJ192" s="32">
        <f>IF(OR(H192="",B192=""),"",IF(OR(X192="Published",X192="Cancelled",X192="Archived"),"",IF(B192&lt;TODAY(),"",B192+ROW()/100000)))</f>
        <v>0</v>
      </c>
      <c r="AK192" s="32">
        <f>IF(OR(H192="",B192=""),"",IF(OR(X192="Published",X192="Cancelled",X192="Archived"),"",IF(B192&gt;=TODAY(),"",B192+ROW()/100000)))</f>
        <v>0</v>
      </c>
      <c r="AL192" s="29">
        <f>IF(H192="","",IF(COUNTIFS('Content Calendar'!$H$5:$H$604,H192,'Content Calendar'!$G$5:$G$604,G192,'Content Calendar'!$B$5:$B$604,B192)&gt;1,"Duplicate","OK"))</f>
        <v>0</v>
      </c>
      <c r="AM192" s="29">
        <f>IF(H192="","",IF(AND(B192&lt;&gt;"",B192&lt;TODAY(),X192&lt;&gt;"Published",X192&lt;&gt;"Cancelled",X192&lt;&gt;"Archived"),"Overdue - date has passed",IF(AND(X192="Published",AB192=""),"Add - publish link missing",IF(AND(B192=TODAY(),X192&lt;&gt;"Published"),"Today - due to go live",IF(AND(Y192&lt;&gt;"",Y192&lt;TODAY(),OR(X192="Idea",X192="Brief",X192="In production")),"Late - draft not ready",IF(AND(AA192&gt;=0,AA192&lt;=3,OR(X192="Draft",X192="Awaiting review")),"Due - needs approval",IF(AND(H192&lt;&gt;"",P192=""),"Add - caption missing","OK")))))))</f>
        <v>0</v>
      </c>
    </row>
    <row r="193" spans="1:39">
      <c r="A193" s="41">
        <f>IF(H193="","",ContentPrefix&amp;TEXT(ROW()-4,"0000"))</f>
        <v>0</v>
      </c>
      <c r="D193" s="17">
        <f>IF(B193="","",TEXT(B193,"yyyy-mm"))</f>
        <v>0</v>
      </c>
      <c r="E193" s="23">
        <f>IF(B193="","",WEEKNUM(B193,IF(WeekStart="Sunday",1,2)))</f>
        <v>0</v>
      </c>
      <c r="F193" s="17">
        <f>IF(B193="","",TEXT(B193,"ddd"))</f>
        <v>0</v>
      </c>
      <c r="Q193" s="29">
        <f>IF(H193="","",IF(P193="","Add - no caption",IFERROR(INDEX('Caption Bank'!$R$5:$R$204,MATCH(P193,'Caption Bank'!$B$5:$B$204,0)),"Check - not in bank")))</f>
        <v>0</v>
      </c>
      <c r="S193" s="23">
        <f>IF(R193="","",COUNTIF('Hashtag Bank'!$D$5:$D$304,R193))</f>
        <v>0</v>
      </c>
      <c r="U193" s="29">
        <f>IF(H193="","",IF(T193="","Add - no asset",IFERROR(INDEX(Assets!$N$5:$N$254,MATCH(T193,Assets!$A$5:$A$254,0)),"Check - not in library")))</f>
        <v>0</v>
      </c>
      <c r="Y193" s="16">
        <f>IF(B193="","",B193-ProductionDays)</f>
        <v>0</v>
      </c>
      <c r="Z193" s="16">
        <f>IF(B193="","",B193-ApprovalDays)</f>
        <v>0</v>
      </c>
      <c r="AA193" s="23">
        <f>IF(B193="","",B193-TODAY())</f>
        <v>0</v>
      </c>
      <c r="AC193" s="29">
        <f>IF(H193="","",IF(X193="Published",IF(AB193="","Add - link missing","Yes"),"No"))</f>
        <v>0</v>
      </c>
      <c r="AD193" s="23">
        <f>IF(A193="","",IF(COUNTIF(Performance!$B$5:$B$404,A193)=0,"",SUMIFS(Performance!$O$5:$O$404,Performance!$B$5:$B$404,A193)))</f>
        <v>0</v>
      </c>
      <c r="AE193" s="23">
        <f>IF(AD193="","",SUMIFS(Performance!$Z$5:$Z$404,Performance!$B$5:$B$404,A193))</f>
        <v>0</v>
      </c>
      <c r="AF193" s="24">
        <f>IF(OR(AD193="",AD193=0),"",AE193/AD193)</f>
        <v>0</v>
      </c>
      <c r="AG193" s="23">
        <f>IF(AD193="","",SUMIFS(Performance!$U$5:$U$404,Performance!$B$5:$B$404,A193))</f>
        <v>0</v>
      </c>
      <c r="AH193" s="23">
        <f>IF(A193="","",COUNTIF(Repurposing!$B$5:$B$154,A193))</f>
        <v>0</v>
      </c>
      <c r="AI193" s="32">
        <f>IF(OR(H193="",B193=""),"",B193+ROW()/100000)</f>
        <v>0</v>
      </c>
      <c r="AJ193" s="32">
        <f>IF(OR(H193="",B193=""),"",IF(OR(X193="Published",X193="Cancelled",X193="Archived"),"",IF(B193&lt;TODAY(),"",B193+ROW()/100000)))</f>
        <v>0</v>
      </c>
      <c r="AK193" s="32">
        <f>IF(OR(H193="",B193=""),"",IF(OR(X193="Published",X193="Cancelled",X193="Archived"),"",IF(B193&gt;=TODAY(),"",B193+ROW()/100000)))</f>
        <v>0</v>
      </c>
      <c r="AL193" s="29">
        <f>IF(H193="","",IF(COUNTIFS('Content Calendar'!$H$5:$H$604,H193,'Content Calendar'!$G$5:$G$604,G193,'Content Calendar'!$B$5:$B$604,B193)&gt;1,"Duplicate","OK"))</f>
        <v>0</v>
      </c>
      <c r="AM193" s="29">
        <f>IF(H193="","",IF(AND(B193&lt;&gt;"",B193&lt;TODAY(),X193&lt;&gt;"Published",X193&lt;&gt;"Cancelled",X193&lt;&gt;"Archived"),"Overdue - date has passed",IF(AND(X193="Published",AB193=""),"Add - publish link missing",IF(AND(B193=TODAY(),X193&lt;&gt;"Published"),"Today - due to go live",IF(AND(Y193&lt;&gt;"",Y193&lt;TODAY(),OR(X193="Idea",X193="Brief",X193="In production")),"Late - draft not ready",IF(AND(AA193&gt;=0,AA193&lt;=3,OR(X193="Draft",X193="Awaiting review")),"Due - needs approval",IF(AND(H193&lt;&gt;"",P193=""),"Add - caption missing","OK")))))))</f>
        <v>0</v>
      </c>
    </row>
    <row r="194" spans="1:39">
      <c r="A194" s="41">
        <f>IF(H194="","",ContentPrefix&amp;TEXT(ROW()-4,"0000"))</f>
        <v>0</v>
      </c>
      <c r="D194" s="17">
        <f>IF(B194="","",TEXT(B194,"yyyy-mm"))</f>
        <v>0</v>
      </c>
      <c r="E194" s="23">
        <f>IF(B194="","",WEEKNUM(B194,IF(WeekStart="Sunday",1,2)))</f>
        <v>0</v>
      </c>
      <c r="F194" s="17">
        <f>IF(B194="","",TEXT(B194,"ddd"))</f>
        <v>0</v>
      </c>
      <c r="Q194" s="29">
        <f>IF(H194="","",IF(P194="","Add - no caption",IFERROR(INDEX('Caption Bank'!$R$5:$R$204,MATCH(P194,'Caption Bank'!$B$5:$B$204,0)),"Check - not in bank")))</f>
        <v>0</v>
      </c>
      <c r="S194" s="23">
        <f>IF(R194="","",COUNTIF('Hashtag Bank'!$D$5:$D$304,R194))</f>
        <v>0</v>
      </c>
      <c r="U194" s="29">
        <f>IF(H194="","",IF(T194="","Add - no asset",IFERROR(INDEX(Assets!$N$5:$N$254,MATCH(T194,Assets!$A$5:$A$254,0)),"Check - not in library")))</f>
        <v>0</v>
      </c>
      <c r="Y194" s="16">
        <f>IF(B194="","",B194-ProductionDays)</f>
        <v>0</v>
      </c>
      <c r="Z194" s="16">
        <f>IF(B194="","",B194-ApprovalDays)</f>
        <v>0</v>
      </c>
      <c r="AA194" s="23">
        <f>IF(B194="","",B194-TODAY())</f>
        <v>0</v>
      </c>
      <c r="AC194" s="29">
        <f>IF(H194="","",IF(X194="Published",IF(AB194="","Add - link missing","Yes"),"No"))</f>
        <v>0</v>
      </c>
      <c r="AD194" s="23">
        <f>IF(A194="","",IF(COUNTIF(Performance!$B$5:$B$404,A194)=0,"",SUMIFS(Performance!$O$5:$O$404,Performance!$B$5:$B$404,A194)))</f>
        <v>0</v>
      </c>
      <c r="AE194" s="23">
        <f>IF(AD194="","",SUMIFS(Performance!$Z$5:$Z$404,Performance!$B$5:$B$404,A194))</f>
        <v>0</v>
      </c>
      <c r="AF194" s="24">
        <f>IF(OR(AD194="",AD194=0),"",AE194/AD194)</f>
        <v>0</v>
      </c>
      <c r="AG194" s="23">
        <f>IF(AD194="","",SUMIFS(Performance!$U$5:$U$404,Performance!$B$5:$B$404,A194))</f>
        <v>0</v>
      </c>
      <c r="AH194" s="23">
        <f>IF(A194="","",COUNTIF(Repurposing!$B$5:$B$154,A194))</f>
        <v>0</v>
      </c>
      <c r="AI194" s="32">
        <f>IF(OR(H194="",B194=""),"",B194+ROW()/100000)</f>
        <v>0</v>
      </c>
      <c r="AJ194" s="32">
        <f>IF(OR(H194="",B194=""),"",IF(OR(X194="Published",X194="Cancelled",X194="Archived"),"",IF(B194&lt;TODAY(),"",B194+ROW()/100000)))</f>
        <v>0</v>
      </c>
      <c r="AK194" s="32">
        <f>IF(OR(H194="",B194=""),"",IF(OR(X194="Published",X194="Cancelled",X194="Archived"),"",IF(B194&gt;=TODAY(),"",B194+ROW()/100000)))</f>
        <v>0</v>
      </c>
      <c r="AL194" s="29">
        <f>IF(H194="","",IF(COUNTIFS('Content Calendar'!$H$5:$H$604,H194,'Content Calendar'!$G$5:$G$604,G194,'Content Calendar'!$B$5:$B$604,B194)&gt;1,"Duplicate","OK"))</f>
        <v>0</v>
      </c>
      <c r="AM194" s="29">
        <f>IF(H194="","",IF(AND(B194&lt;&gt;"",B194&lt;TODAY(),X194&lt;&gt;"Published",X194&lt;&gt;"Cancelled",X194&lt;&gt;"Archived"),"Overdue - date has passed",IF(AND(X194="Published",AB194=""),"Add - publish link missing",IF(AND(B194=TODAY(),X194&lt;&gt;"Published"),"Today - due to go live",IF(AND(Y194&lt;&gt;"",Y194&lt;TODAY(),OR(X194="Idea",X194="Brief",X194="In production")),"Late - draft not ready",IF(AND(AA194&gt;=0,AA194&lt;=3,OR(X194="Draft",X194="Awaiting review")),"Due - needs approval",IF(AND(H194&lt;&gt;"",P194=""),"Add - caption missing","OK")))))))</f>
        <v>0</v>
      </c>
    </row>
    <row r="195" spans="1:39">
      <c r="A195" s="41">
        <f>IF(H195="","",ContentPrefix&amp;TEXT(ROW()-4,"0000"))</f>
        <v>0</v>
      </c>
      <c r="D195" s="17">
        <f>IF(B195="","",TEXT(B195,"yyyy-mm"))</f>
        <v>0</v>
      </c>
      <c r="E195" s="23">
        <f>IF(B195="","",WEEKNUM(B195,IF(WeekStart="Sunday",1,2)))</f>
        <v>0</v>
      </c>
      <c r="F195" s="17">
        <f>IF(B195="","",TEXT(B195,"ddd"))</f>
        <v>0</v>
      </c>
      <c r="Q195" s="29">
        <f>IF(H195="","",IF(P195="","Add - no caption",IFERROR(INDEX('Caption Bank'!$R$5:$R$204,MATCH(P195,'Caption Bank'!$B$5:$B$204,0)),"Check - not in bank")))</f>
        <v>0</v>
      </c>
      <c r="S195" s="23">
        <f>IF(R195="","",COUNTIF('Hashtag Bank'!$D$5:$D$304,R195))</f>
        <v>0</v>
      </c>
      <c r="U195" s="29">
        <f>IF(H195="","",IF(T195="","Add - no asset",IFERROR(INDEX(Assets!$N$5:$N$254,MATCH(T195,Assets!$A$5:$A$254,0)),"Check - not in library")))</f>
        <v>0</v>
      </c>
      <c r="Y195" s="16">
        <f>IF(B195="","",B195-ProductionDays)</f>
        <v>0</v>
      </c>
      <c r="Z195" s="16">
        <f>IF(B195="","",B195-ApprovalDays)</f>
        <v>0</v>
      </c>
      <c r="AA195" s="23">
        <f>IF(B195="","",B195-TODAY())</f>
        <v>0</v>
      </c>
      <c r="AC195" s="29">
        <f>IF(H195="","",IF(X195="Published",IF(AB195="","Add - link missing","Yes"),"No"))</f>
        <v>0</v>
      </c>
      <c r="AD195" s="23">
        <f>IF(A195="","",IF(COUNTIF(Performance!$B$5:$B$404,A195)=0,"",SUMIFS(Performance!$O$5:$O$404,Performance!$B$5:$B$404,A195)))</f>
        <v>0</v>
      </c>
      <c r="AE195" s="23">
        <f>IF(AD195="","",SUMIFS(Performance!$Z$5:$Z$404,Performance!$B$5:$B$404,A195))</f>
        <v>0</v>
      </c>
      <c r="AF195" s="24">
        <f>IF(OR(AD195="",AD195=0),"",AE195/AD195)</f>
        <v>0</v>
      </c>
      <c r="AG195" s="23">
        <f>IF(AD195="","",SUMIFS(Performance!$U$5:$U$404,Performance!$B$5:$B$404,A195))</f>
        <v>0</v>
      </c>
      <c r="AH195" s="23">
        <f>IF(A195="","",COUNTIF(Repurposing!$B$5:$B$154,A195))</f>
        <v>0</v>
      </c>
      <c r="AI195" s="32">
        <f>IF(OR(H195="",B195=""),"",B195+ROW()/100000)</f>
        <v>0</v>
      </c>
      <c r="AJ195" s="32">
        <f>IF(OR(H195="",B195=""),"",IF(OR(X195="Published",X195="Cancelled",X195="Archived"),"",IF(B195&lt;TODAY(),"",B195+ROW()/100000)))</f>
        <v>0</v>
      </c>
      <c r="AK195" s="32">
        <f>IF(OR(H195="",B195=""),"",IF(OR(X195="Published",X195="Cancelled",X195="Archived"),"",IF(B195&gt;=TODAY(),"",B195+ROW()/100000)))</f>
        <v>0</v>
      </c>
      <c r="AL195" s="29">
        <f>IF(H195="","",IF(COUNTIFS('Content Calendar'!$H$5:$H$604,H195,'Content Calendar'!$G$5:$G$604,G195,'Content Calendar'!$B$5:$B$604,B195)&gt;1,"Duplicate","OK"))</f>
        <v>0</v>
      </c>
      <c r="AM195" s="29">
        <f>IF(H195="","",IF(AND(B195&lt;&gt;"",B195&lt;TODAY(),X195&lt;&gt;"Published",X195&lt;&gt;"Cancelled",X195&lt;&gt;"Archived"),"Overdue - date has passed",IF(AND(X195="Published",AB195=""),"Add - publish link missing",IF(AND(B195=TODAY(),X195&lt;&gt;"Published"),"Today - due to go live",IF(AND(Y195&lt;&gt;"",Y195&lt;TODAY(),OR(X195="Idea",X195="Brief",X195="In production")),"Late - draft not ready",IF(AND(AA195&gt;=0,AA195&lt;=3,OR(X195="Draft",X195="Awaiting review")),"Due - needs approval",IF(AND(H195&lt;&gt;"",P195=""),"Add - caption missing","OK")))))))</f>
        <v>0</v>
      </c>
    </row>
    <row r="196" spans="1:39">
      <c r="A196" s="41">
        <f>IF(H196="","",ContentPrefix&amp;TEXT(ROW()-4,"0000"))</f>
        <v>0</v>
      </c>
      <c r="D196" s="17">
        <f>IF(B196="","",TEXT(B196,"yyyy-mm"))</f>
        <v>0</v>
      </c>
      <c r="E196" s="23">
        <f>IF(B196="","",WEEKNUM(B196,IF(WeekStart="Sunday",1,2)))</f>
        <v>0</v>
      </c>
      <c r="F196" s="17">
        <f>IF(B196="","",TEXT(B196,"ddd"))</f>
        <v>0</v>
      </c>
      <c r="Q196" s="29">
        <f>IF(H196="","",IF(P196="","Add - no caption",IFERROR(INDEX('Caption Bank'!$R$5:$R$204,MATCH(P196,'Caption Bank'!$B$5:$B$204,0)),"Check - not in bank")))</f>
        <v>0</v>
      </c>
      <c r="S196" s="23">
        <f>IF(R196="","",COUNTIF('Hashtag Bank'!$D$5:$D$304,R196))</f>
        <v>0</v>
      </c>
      <c r="U196" s="29">
        <f>IF(H196="","",IF(T196="","Add - no asset",IFERROR(INDEX(Assets!$N$5:$N$254,MATCH(T196,Assets!$A$5:$A$254,0)),"Check - not in library")))</f>
        <v>0</v>
      </c>
      <c r="Y196" s="16">
        <f>IF(B196="","",B196-ProductionDays)</f>
        <v>0</v>
      </c>
      <c r="Z196" s="16">
        <f>IF(B196="","",B196-ApprovalDays)</f>
        <v>0</v>
      </c>
      <c r="AA196" s="23">
        <f>IF(B196="","",B196-TODAY())</f>
        <v>0</v>
      </c>
      <c r="AC196" s="29">
        <f>IF(H196="","",IF(X196="Published",IF(AB196="","Add - link missing","Yes"),"No"))</f>
        <v>0</v>
      </c>
      <c r="AD196" s="23">
        <f>IF(A196="","",IF(COUNTIF(Performance!$B$5:$B$404,A196)=0,"",SUMIFS(Performance!$O$5:$O$404,Performance!$B$5:$B$404,A196)))</f>
        <v>0</v>
      </c>
      <c r="AE196" s="23">
        <f>IF(AD196="","",SUMIFS(Performance!$Z$5:$Z$404,Performance!$B$5:$B$404,A196))</f>
        <v>0</v>
      </c>
      <c r="AF196" s="24">
        <f>IF(OR(AD196="",AD196=0),"",AE196/AD196)</f>
        <v>0</v>
      </c>
      <c r="AG196" s="23">
        <f>IF(AD196="","",SUMIFS(Performance!$U$5:$U$404,Performance!$B$5:$B$404,A196))</f>
        <v>0</v>
      </c>
      <c r="AH196" s="23">
        <f>IF(A196="","",COUNTIF(Repurposing!$B$5:$B$154,A196))</f>
        <v>0</v>
      </c>
      <c r="AI196" s="32">
        <f>IF(OR(H196="",B196=""),"",B196+ROW()/100000)</f>
        <v>0</v>
      </c>
      <c r="AJ196" s="32">
        <f>IF(OR(H196="",B196=""),"",IF(OR(X196="Published",X196="Cancelled",X196="Archived"),"",IF(B196&lt;TODAY(),"",B196+ROW()/100000)))</f>
        <v>0</v>
      </c>
      <c r="AK196" s="32">
        <f>IF(OR(H196="",B196=""),"",IF(OR(X196="Published",X196="Cancelled",X196="Archived"),"",IF(B196&gt;=TODAY(),"",B196+ROW()/100000)))</f>
        <v>0</v>
      </c>
      <c r="AL196" s="29">
        <f>IF(H196="","",IF(COUNTIFS('Content Calendar'!$H$5:$H$604,H196,'Content Calendar'!$G$5:$G$604,G196,'Content Calendar'!$B$5:$B$604,B196)&gt;1,"Duplicate","OK"))</f>
        <v>0</v>
      </c>
      <c r="AM196" s="29">
        <f>IF(H196="","",IF(AND(B196&lt;&gt;"",B196&lt;TODAY(),X196&lt;&gt;"Published",X196&lt;&gt;"Cancelled",X196&lt;&gt;"Archived"),"Overdue - date has passed",IF(AND(X196="Published",AB196=""),"Add - publish link missing",IF(AND(B196=TODAY(),X196&lt;&gt;"Published"),"Today - due to go live",IF(AND(Y196&lt;&gt;"",Y196&lt;TODAY(),OR(X196="Idea",X196="Brief",X196="In production")),"Late - draft not ready",IF(AND(AA196&gt;=0,AA196&lt;=3,OR(X196="Draft",X196="Awaiting review")),"Due - needs approval",IF(AND(H196&lt;&gt;"",P196=""),"Add - caption missing","OK")))))))</f>
        <v>0</v>
      </c>
    </row>
    <row r="197" spans="1:39">
      <c r="A197" s="41">
        <f>IF(H197="","",ContentPrefix&amp;TEXT(ROW()-4,"0000"))</f>
        <v>0</v>
      </c>
      <c r="D197" s="17">
        <f>IF(B197="","",TEXT(B197,"yyyy-mm"))</f>
        <v>0</v>
      </c>
      <c r="E197" s="23">
        <f>IF(B197="","",WEEKNUM(B197,IF(WeekStart="Sunday",1,2)))</f>
        <v>0</v>
      </c>
      <c r="F197" s="17">
        <f>IF(B197="","",TEXT(B197,"ddd"))</f>
        <v>0</v>
      </c>
      <c r="Q197" s="29">
        <f>IF(H197="","",IF(P197="","Add - no caption",IFERROR(INDEX('Caption Bank'!$R$5:$R$204,MATCH(P197,'Caption Bank'!$B$5:$B$204,0)),"Check - not in bank")))</f>
        <v>0</v>
      </c>
      <c r="S197" s="23">
        <f>IF(R197="","",COUNTIF('Hashtag Bank'!$D$5:$D$304,R197))</f>
        <v>0</v>
      </c>
      <c r="U197" s="29">
        <f>IF(H197="","",IF(T197="","Add - no asset",IFERROR(INDEX(Assets!$N$5:$N$254,MATCH(T197,Assets!$A$5:$A$254,0)),"Check - not in library")))</f>
        <v>0</v>
      </c>
      <c r="Y197" s="16">
        <f>IF(B197="","",B197-ProductionDays)</f>
        <v>0</v>
      </c>
      <c r="Z197" s="16">
        <f>IF(B197="","",B197-ApprovalDays)</f>
        <v>0</v>
      </c>
      <c r="AA197" s="23">
        <f>IF(B197="","",B197-TODAY())</f>
        <v>0</v>
      </c>
      <c r="AC197" s="29">
        <f>IF(H197="","",IF(X197="Published",IF(AB197="","Add - link missing","Yes"),"No"))</f>
        <v>0</v>
      </c>
      <c r="AD197" s="23">
        <f>IF(A197="","",IF(COUNTIF(Performance!$B$5:$B$404,A197)=0,"",SUMIFS(Performance!$O$5:$O$404,Performance!$B$5:$B$404,A197)))</f>
        <v>0</v>
      </c>
      <c r="AE197" s="23">
        <f>IF(AD197="","",SUMIFS(Performance!$Z$5:$Z$404,Performance!$B$5:$B$404,A197))</f>
        <v>0</v>
      </c>
      <c r="AF197" s="24">
        <f>IF(OR(AD197="",AD197=0),"",AE197/AD197)</f>
        <v>0</v>
      </c>
      <c r="AG197" s="23">
        <f>IF(AD197="","",SUMIFS(Performance!$U$5:$U$404,Performance!$B$5:$B$404,A197))</f>
        <v>0</v>
      </c>
      <c r="AH197" s="23">
        <f>IF(A197="","",COUNTIF(Repurposing!$B$5:$B$154,A197))</f>
        <v>0</v>
      </c>
      <c r="AI197" s="32">
        <f>IF(OR(H197="",B197=""),"",B197+ROW()/100000)</f>
        <v>0</v>
      </c>
      <c r="AJ197" s="32">
        <f>IF(OR(H197="",B197=""),"",IF(OR(X197="Published",X197="Cancelled",X197="Archived"),"",IF(B197&lt;TODAY(),"",B197+ROW()/100000)))</f>
        <v>0</v>
      </c>
      <c r="AK197" s="32">
        <f>IF(OR(H197="",B197=""),"",IF(OR(X197="Published",X197="Cancelled",X197="Archived"),"",IF(B197&gt;=TODAY(),"",B197+ROW()/100000)))</f>
        <v>0</v>
      </c>
      <c r="AL197" s="29">
        <f>IF(H197="","",IF(COUNTIFS('Content Calendar'!$H$5:$H$604,H197,'Content Calendar'!$G$5:$G$604,G197,'Content Calendar'!$B$5:$B$604,B197)&gt;1,"Duplicate","OK"))</f>
        <v>0</v>
      </c>
      <c r="AM197" s="29">
        <f>IF(H197="","",IF(AND(B197&lt;&gt;"",B197&lt;TODAY(),X197&lt;&gt;"Published",X197&lt;&gt;"Cancelled",X197&lt;&gt;"Archived"),"Overdue - date has passed",IF(AND(X197="Published",AB197=""),"Add - publish link missing",IF(AND(B197=TODAY(),X197&lt;&gt;"Published"),"Today - due to go live",IF(AND(Y197&lt;&gt;"",Y197&lt;TODAY(),OR(X197="Idea",X197="Brief",X197="In production")),"Late - draft not ready",IF(AND(AA197&gt;=0,AA197&lt;=3,OR(X197="Draft",X197="Awaiting review")),"Due - needs approval",IF(AND(H197&lt;&gt;"",P197=""),"Add - caption missing","OK")))))))</f>
        <v>0</v>
      </c>
    </row>
    <row r="198" spans="1:39">
      <c r="A198" s="41">
        <f>IF(H198="","",ContentPrefix&amp;TEXT(ROW()-4,"0000"))</f>
        <v>0</v>
      </c>
      <c r="D198" s="17">
        <f>IF(B198="","",TEXT(B198,"yyyy-mm"))</f>
        <v>0</v>
      </c>
      <c r="E198" s="23">
        <f>IF(B198="","",WEEKNUM(B198,IF(WeekStart="Sunday",1,2)))</f>
        <v>0</v>
      </c>
      <c r="F198" s="17">
        <f>IF(B198="","",TEXT(B198,"ddd"))</f>
        <v>0</v>
      </c>
      <c r="Q198" s="29">
        <f>IF(H198="","",IF(P198="","Add - no caption",IFERROR(INDEX('Caption Bank'!$R$5:$R$204,MATCH(P198,'Caption Bank'!$B$5:$B$204,0)),"Check - not in bank")))</f>
        <v>0</v>
      </c>
      <c r="S198" s="23">
        <f>IF(R198="","",COUNTIF('Hashtag Bank'!$D$5:$D$304,R198))</f>
        <v>0</v>
      </c>
      <c r="U198" s="29">
        <f>IF(H198="","",IF(T198="","Add - no asset",IFERROR(INDEX(Assets!$N$5:$N$254,MATCH(T198,Assets!$A$5:$A$254,0)),"Check - not in library")))</f>
        <v>0</v>
      </c>
      <c r="Y198" s="16">
        <f>IF(B198="","",B198-ProductionDays)</f>
        <v>0</v>
      </c>
      <c r="Z198" s="16">
        <f>IF(B198="","",B198-ApprovalDays)</f>
        <v>0</v>
      </c>
      <c r="AA198" s="23">
        <f>IF(B198="","",B198-TODAY())</f>
        <v>0</v>
      </c>
      <c r="AC198" s="29">
        <f>IF(H198="","",IF(X198="Published",IF(AB198="","Add - link missing","Yes"),"No"))</f>
        <v>0</v>
      </c>
      <c r="AD198" s="23">
        <f>IF(A198="","",IF(COUNTIF(Performance!$B$5:$B$404,A198)=0,"",SUMIFS(Performance!$O$5:$O$404,Performance!$B$5:$B$404,A198)))</f>
        <v>0</v>
      </c>
      <c r="AE198" s="23">
        <f>IF(AD198="","",SUMIFS(Performance!$Z$5:$Z$404,Performance!$B$5:$B$404,A198))</f>
        <v>0</v>
      </c>
      <c r="AF198" s="24">
        <f>IF(OR(AD198="",AD198=0),"",AE198/AD198)</f>
        <v>0</v>
      </c>
      <c r="AG198" s="23">
        <f>IF(AD198="","",SUMIFS(Performance!$U$5:$U$404,Performance!$B$5:$B$404,A198))</f>
        <v>0</v>
      </c>
      <c r="AH198" s="23">
        <f>IF(A198="","",COUNTIF(Repurposing!$B$5:$B$154,A198))</f>
        <v>0</v>
      </c>
      <c r="AI198" s="32">
        <f>IF(OR(H198="",B198=""),"",B198+ROW()/100000)</f>
        <v>0</v>
      </c>
      <c r="AJ198" s="32">
        <f>IF(OR(H198="",B198=""),"",IF(OR(X198="Published",X198="Cancelled",X198="Archived"),"",IF(B198&lt;TODAY(),"",B198+ROW()/100000)))</f>
        <v>0</v>
      </c>
      <c r="AK198" s="32">
        <f>IF(OR(H198="",B198=""),"",IF(OR(X198="Published",X198="Cancelled",X198="Archived"),"",IF(B198&gt;=TODAY(),"",B198+ROW()/100000)))</f>
        <v>0</v>
      </c>
      <c r="AL198" s="29">
        <f>IF(H198="","",IF(COUNTIFS('Content Calendar'!$H$5:$H$604,H198,'Content Calendar'!$G$5:$G$604,G198,'Content Calendar'!$B$5:$B$604,B198)&gt;1,"Duplicate","OK"))</f>
        <v>0</v>
      </c>
      <c r="AM198" s="29">
        <f>IF(H198="","",IF(AND(B198&lt;&gt;"",B198&lt;TODAY(),X198&lt;&gt;"Published",X198&lt;&gt;"Cancelled",X198&lt;&gt;"Archived"),"Overdue - date has passed",IF(AND(X198="Published",AB198=""),"Add - publish link missing",IF(AND(B198=TODAY(),X198&lt;&gt;"Published"),"Today - due to go live",IF(AND(Y198&lt;&gt;"",Y198&lt;TODAY(),OR(X198="Idea",X198="Brief",X198="In production")),"Late - draft not ready",IF(AND(AA198&gt;=0,AA198&lt;=3,OR(X198="Draft",X198="Awaiting review")),"Due - needs approval",IF(AND(H198&lt;&gt;"",P198=""),"Add - caption missing","OK")))))))</f>
        <v>0</v>
      </c>
    </row>
    <row r="199" spans="1:39">
      <c r="A199" s="41">
        <f>IF(H199="","",ContentPrefix&amp;TEXT(ROW()-4,"0000"))</f>
        <v>0</v>
      </c>
      <c r="D199" s="17">
        <f>IF(B199="","",TEXT(B199,"yyyy-mm"))</f>
        <v>0</v>
      </c>
      <c r="E199" s="23">
        <f>IF(B199="","",WEEKNUM(B199,IF(WeekStart="Sunday",1,2)))</f>
        <v>0</v>
      </c>
      <c r="F199" s="17">
        <f>IF(B199="","",TEXT(B199,"ddd"))</f>
        <v>0</v>
      </c>
      <c r="Q199" s="29">
        <f>IF(H199="","",IF(P199="","Add - no caption",IFERROR(INDEX('Caption Bank'!$R$5:$R$204,MATCH(P199,'Caption Bank'!$B$5:$B$204,0)),"Check - not in bank")))</f>
        <v>0</v>
      </c>
      <c r="S199" s="23">
        <f>IF(R199="","",COUNTIF('Hashtag Bank'!$D$5:$D$304,R199))</f>
        <v>0</v>
      </c>
      <c r="U199" s="29">
        <f>IF(H199="","",IF(T199="","Add - no asset",IFERROR(INDEX(Assets!$N$5:$N$254,MATCH(T199,Assets!$A$5:$A$254,0)),"Check - not in library")))</f>
        <v>0</v>
      </c>
      <c r="Y199" s="16">
        <f>IF(B199="","",B199-ProductionDays)</f>
        <v>0</v>
      </c>
      <c r="Z199" s="16">
        <f>IF(B199="","",B199-ApprovalDays)</f>
        <v>0</v>
      </c>
      <c r="AA199" s="23">
        <f>IF(B199="","",B199-TODAY())</f>
        <v>0</v>
      </c>
      <c r="AC199" s="29">
        <f>IF(H199="","",IF(X199="Published",IF(AB199="","Add - link missing","Yes"),"No"))</f>
        <v>0</v>
      </c>
      <c r="AD199" s="23">
        <f>IF(A199="","",IF(COUNTIF(Performance!$B$5:$B$404,A199)=0,"",SUMIFS(Performance!$O$5:$O$404,Performance!$B$5:$B$404,A199)))</f>
        <v>0</v>
      </c>
      <c r="AE199" s="23">
        <f>IF(AD199="","",SUMIFS(Performance!$Z$5:$Z$404,Performance!$B$5:$B$404,A199))</f>
        <v>0</v>
      </c>
      <c r="AF199" s="24">
        <f>IF(OR(AD199="",AD199=0),"",AE199/AD199)</f>
        <v>0</v>
      </c>
      <c r="AG199" s="23">
        <f>IF(AD199="","",SUMIFS(Performance!$U$5:$U$404,Performance!$B$5:$B$404,A199))</f>
        <v>0</v>
      </c>
      <c r="AH199" s="23">
        <f>IF(A199="","",COUNTIF(Repurposing!$B$5:$B$154,A199))</f>
        <v>0</v>
      </c>
      <c r="AI199" s="32">
        <f>IF(OR(H199="",B199=""),"",B199+ROW()/100000)</f>
        <v>0</v>
      </c>
      <c r="AJ199" s="32">
        <f>IF(OR(H199="",B199=""),"",IF(OR(X199="Published",X199="Cancelled",X199="Archived"),"",IF(B199&lt;TODAY(),"",B199+ROW()/100000)))</f>
        <v>0</v>
      </c>
      <c r="AK199" s="32">
        <f>IF(OR(H199="",B199=""),"",IF(OR(X199="Published",X199="Cancelled",X199="Archived"),"",IF(B199&gt;=TODAY(),"",B199+ROW()/100000)))</f>
        <v>0</v>
      </c>
      <c r="AL199" s="29">
        <f>IF(H199="","",IF(COUNTIFS('Content Calendar'!$H$5:$H$604,H199,'Content Calendar'!$G$5:$G$604,G199,'Content Calendar'!$B$5:$B$604,B199)&gt;1,"Duplicate","OK"))</f>
        <v>0</v>
      </c>
      <c r="AM199" s="29">
        <f>IF(H199="","",IF(AND(B199&lt;&gt;"",B199&lt;TODAY(),X199&lt;&gt;"Published",X199&lt;&gt;"Cancelled",X199&lt;&gt;"Archived"),"Overdue - date has passed",IF(AND(X199="Published",AB199=""),"Add - publish link missing",IF(AND(B199=TODAY(),X199&lt;&gt;"Published"),"Today - due to go live",IF(AND(Y199&lt;&gt;"",Y199&lt;TODAY(),OR(X199="Idea",X199="Brief",X199="In production")),"Late - draft not ready",IF(AND(AA199&gt;=0,AA199&lt;=3,OR(X199="Draft",X199="Awaiting review")),"Due - needs approval",IF(AND(H199&lt;&gt;"",P199=""),"Add - caption missing","OK")))))))</f>
        <v>0</v>
      </c>
    </row>
    <row r="200" spans="1:39">
      <c r="A200" s="41">
        <f>IF(H200="","",ContentPrefix&amp;TEXT(ROW()-4,"0000"))</f>
        <v>0</v>
      </c>
      <c r="D200" s="17">
        <f>IF(B200="","",TEXT(B200,"yyyy-mm"))</f>
        <v>0</v>
      </c>
      <c r="E200" s="23">
        <f>IF(B200="","",WEEKNUM(B200,IF(WeekStart="Sunday",1,2)))</f>
        <v>0</v>
      </c>
      <c r="F200" s="17">
        <f>IF(B200="","",TEXT(B200,"ddd"))</f>
        <v>0</v>
      </c>
      <c r="Q200" s="29">
        <f>IF(H200="","",IF(P200="","Add - no caption",IFERROR(INDEX('Caption Bank'!$R$5:$R$204,MATCH(P200,'Caption Bank'!$B$5:$B$204,0)),"Check - not in bank")))</f>
        <v>0</v>
      </c>
      <c r="S200" s="23">
        <f>IF(R200="","",COUNTIF('Hashtag Bank'!$D$5:$D$304,R200))</f>
        <v>0</v>
      </c>
      <c r="U200" s="29">
        <f>IF(H200="","",IF(T200="","Add - no asset",IFERROR(INDEX(Assets!$N$5:$N$254,MATCH(T200,Assets!$A$5:$A$254,0)),"Check - not in library")))</f>
        <v>0</v>
      </c>
      <c r="Y200" s="16">
        <f>IF(B200="","",B200-ProductionDays)</f>
        <v>0</v>
      </c>
      <c r="Z200" s="16">
        <f>IF(B200="","",B200-ApprovalDays)</f>
        <v>0</v>
      </c>
      <c r="AA200" s="23">
        <f>IF(B200="","",B200-TODAY())</f>
        <v>0</v>
      </c>
      <c r="AC200" s="29">
        <f>IF(H200="","",IF(X200="Published",IF(AB200="","Add - link missing","Yes"),"No"))</f>
        <v>0</v>
      </c>
      <c r="AD200" s="23">
        <f>IF(A200="","",IF(COUNTIF(Performance!$B$5:$B$404,A200)=0,"",SUMIFS(Performance!$O$5:$O$404,Performance!$B$5:$B$404,A200)))</f>
        <v>0</v>
      </c>
      <c r="AE200" s="23">
        <f>IF(AD200="","",SUMIFS(Performance!$Z$5:$Z$404,Performance!$B$5:$B$404,A200))</f>
        <v>0</v>
      </c>
      <c r="AF200" s="24">
        <f>IF(OR(AD200="",AD200=0),"",AE200/AD200)</f>
        <v>0</v>
      </c>
      <c r="AG200" s="23">
        <f>IF(AD200="","",SUMIFS(Performance!$U$5:$U$404,Performance!$B$5:$B$404,A200))</f>
        <v>0</v>
      </c>
      <c r="AH200" s="23">
        <f>IF(A200="","",COUNTIF(Repurposing!$B$5:$B$154,A200))</f>
        <v>0</v>
      </c>
      <c r="AI200" s="32">
        <f>IF(OR(H200="",B200=""),"",B200+ROW()/100000)</f>
        <v>0</v>
      </c>
      <c r="AJ200" s="32">
        <f>IF(OR(H200="",B200=""),"",IF(OR(X200="Published",X200="Cancelled",X200="Archived"),"",IF(B200&lt;TODAY(),"",B200+ROW()/100000)))</f>
        <v>0</v>
      </c>
      <c r="AK200" s="32">
        <f>IF(OR(H200="",B200=""),"",IF(OR(X200="Published",X200="Cancelled",X200="Archived"),"",IF(B200&gt;=TODAY(),"",B200+ROW()/100000)))</f>
        <v>0</v>
      </c>
      <c r="AL200" s="29">
        <f>IF(H200="","",IF(COUNTIFS('Content Calendar'!$H$5:$H$604,H200,'Content Calendar'!$G$5:$G$604,G200,'Content Calendar'!$B$5:$B$604,B200)&gt;1,"Duplicate","OK"))</f>
        <v>0</v>
      </c>
      <c r="AM200" s="29">
        <f>IF(H200="","",IF(AND(B200&lt;&gt;"",B200&lt;TODAY(),X200&lt;&gt;"Published",X200&lt;&gt;"Cancelled",X200&lt;&gt;"Archived"),"Overdue - date has passed",IF(AND(X200="Published",AB200=""),"Add - publish link missing",IF(AND(B200=TODAY(),X200&lt;&gt;"Published"),"Today - due to go live",IF(AND(Y200&lt;&gt;"",Y200&lt;TODAY(),OR(X200="Idea",X200="Brief",X200="In production")),"Late - draft not ready",IF(AND(AA200&gt;=0,AA200&lt;=3,OR(X200="Draft",X200="Awaiting review")),"Due - needs approval",IF(AND(H200&lt;&gt;"",P200=""),"Add - caption missing","OK")))))))</f>
        <v>0</v>
      </c>
    </row>
    <row r="201" spans="1:39">
      <c r="A201" s="41">
        <f>IF(H201="","",ContentPrefix&amp;TEXT(ROW()-4,"0000"))</f>
        <v>0</v>
      </c>
      <c r="D201" s="17">
        <f>IF(B201="","",TEXT(B201,"yyyy-mm"))</f>
        <v>0</v>
      </c>
      <c r="E201" s="23">
        <f>IF(B201="","",WEEKNUM(B201,IF(WeekStart="Sunday",1,2)))</f>
        <v>0</v>
      </c>
      <c r="F201" s="17">
        <f>IF(B201="","",TEXT(B201,"ddd"))</f>
        <v>0</v>
      </c>
      <c r="Q201" s="29">
        <f>IF(H201="","",IF(P201="","Add - no caption",IFERROR(INDEX('Caption Bank'!$R$5:$R$204,MATCH(P201,'Caption Bank'!$B$5:$B$204,0)),"Check - not in bank")))</f>
        <v>0</v>
      </c>
      <c r="S201" s="23">
        <f>IF(R201="","",COUNTIF('Hashtag Bank'!$D$5:$D$304,R201))</f>
        <v>0</v>
      </c>
      <c r="U201" s="29">
        <f>IF(H201="","",IF(T201="","Add - no asset",IFERROR(INDEX(Assets!$N$5:$N$254,MATCH(T201,Assets!$A$5:$A$254,0)),"Check - not in library")))</f>
        <v>0</v>
      </c>
      <c r="Y201" s="16">
        <f>IF(B201="","",B201-ProductionDays)</f>
        <v>0</v>
      </c>
      <c r="Z201" s="16">
        <f>IF(B201="","",B201-ApprovalDays)</f>
        <v>0</v>
      </c>
      <c r="AA201" s="23">
        <f>IF(B201="","",B201-TODAY())</f>
        <v>0</v>
      </c>
      <c r="AC201" s="29">
        <f>IF(H201="","",IF(X201="Published",IF(AB201="","Add - link missing","Yes"),"No"))</f>
        <v>0</v>
      </c>
      <c r="AD201" s="23">
        <f>IF(A201="","",IF(COUNTIF(Performance!$B$5:$B$404,A201)=0,"",SUMIFS(Performance!$O$5:$O$404,Performance!$B$5:$B$404,A201)))</f>
        <v>0</v>
      </c>
      <c r="AE201" s="23">
        <f>IF(AD201="","",SUMIFS(Performance!$Z$5:$Z$404,Performance!$B$5:$B$404,A201))</f>
        <v>0</v>
      </c>
      <c r="AF201" s="24">
        <f>IF(OR(AD201="",AD201=0),"",AE201/AD201)</f>
        <v>0</v>
      </c>
      <c r="AG201" s="23">
        <f>IF(AD201="","",SUMIFS(Performance!$U$5:$U$404,Performance!$B$5:$B$404,A201))</f>
        <v>0</v>
      </c>
      <c r="AH201" s="23">
        <f>IF(A201="","",COUNTIF(Repurposing!$B$5:$B$154,A201))</f>
        <v>0</v>
      </c>
      <c r="AI201" s="32">
        <f>IF(OR(H201="",B201=""),"",B201+ROW()/100000)</f>
        <v>0</v>
      </c>
      <c r="AJ201" s="32">
        <f>IF(OR(H201="",B201=""),"",IF(OR(X201="Published",X201="Cancelled",X201="Archived"),"",IF(B201&lt;TODAY(),"",B201+ROW()/100000)))</f>
        <v>0</v>
      </c>
      <c r="AK201" s="32">
        <f>IF(OR(H201="",B201=""),"",IF(OR(X201="Published",X201="Cancelled",X201="Archived"),"",IF(B201&gt;=TODAY(),"",B201+ROW()/100000)))</f>
        <v>0</v>
      </c>
      <c r="AL201" s="29">
        <f>IF(H201="","",IF(COUNTIFS('Content Calendar'!$H$5:$H$604,H201,'Content Calendar'!$G$5:$G$604,G201,'Content Calendar'!$B$5:$B$604,B201)&gt;1,"Duplicate","OK"))</f>
        <v>0</v>
      </c>
      <c r="AM201" s="29">
        <f>IF(H201="","",IF(AND(B201&lt;&gt;"",B201&lt;TODAY(),X201&lt;&gt;"Published",X201&lt;&gt;"Cancelled",X201&lt;&gt;"Archived"),"Overdue - date has passed",IF(AND(X201="Published",AB201=""),"Add - publish link missing",IF(AND(B201=TODAY(),X201&lt;&gt;"Published"),"Today - due to go live",IF(AND(Y201&lt;&gt;"",Y201&lt;TODAY(),OR(X201="Idea",X201="Brief",X201="In production")),"Late - draft not ready",IF(AND(AA201&gt;=0,AA201&lt;=3,OR(X201="Draft",X201="Awaiting review")),"Due - needs approval",IF(AND(H201&lt;&gt;"",P201=""),"Add - caption missing","OK")))))))</f>
        <v>0</v>
      </c>
    </row>
    <row r="202" spans="1:39">
      <c r="A202" s="41">
        <f>IF(H202="","",ContentPrefix&amp;TEXT(ROW()-4,"0000"))</f>
        <v>0</v>
      </c>
      <c r="D202" s="17">
        <f>IF(B202="","",TEXT(B202,"yyyy-mm"))</f>
        <v>0</v>
      </c>
      <c r="E202" s="23">
        <f>IF(B202="","",WEEKNUM(B202,IF(WeekStart="Sunday",1,2)))</f>
        <v>0</v>
      </c>
      <c r="F202" s="17">
        <f>IF(B202="","",TEXT(B202,"ddd"))</f>
        <v>0</v>
      </c>
      <c r="Q202" s="29">
        <f>IF(H202="","",IF(P202="","Add - no caption",IFERROR(INDEX('Caption Bank'!$R$5:$R$204,MATCH(P202,'Caption Bank'!$B$5:$B$204,0)),"Check - not in bank")))</f>
        <v>0</v>
      </c>
      <c r="S202" s="23">
        <f>IF(R202="","",COUNTIF('Hashtag Bank'!$D$5:$D$304,R202))</f>
        <v>0</v>
      </c>
      <c r="U202" s="29">
        <f>IF(H202="","",IF(T202="","Add - no asset",IFERROR(INDEX(Assets!$N$5:$N$254,MATCH(T202,Assets!$A$5:$A$254,0)),"Check - not in library")))</f>
        <v>0</v>
      </c>
      <c r="Y202" s="16">
        <f>IF(B202="","",B202-ProductionDays)</f>
        <v>0</v>
      </c>
      <c r="Z202" s="16">
        <f>IF(B202="","",B202-ApprovalDays)</f>
        <v>0</v>
      </c>
      <c r="AA202" s="23">
        <f>IF(B202="","",B202-TODAY())</f>
        <v>0</v>
      </c>
      <c r="AC202" s="29">
        <f>IF(H202="","",IF(X202="Published",IF(AB202="","Add - link missing","Yes"),"No"))</f>
        <v>0</v>
      </c>
      <c r="AD202" s="23">
        <f>IF(A202="","",IF(COUNTIF(Performance!$B$5:$B$404,A202)=0,"",SUMIFS(Performance!$O$5:$O$404,Performance!$B$5:$B$404,A202)))</f>
        <v>0</v>
      </c>
      <c r="AE202" s="23">
        <f>IF(AD202="","",SUMIFS(Performance!$Z$5:$Z$404,Performance!$B$5:$B$404,A202))</f>
        <v>0</v>
      </c>
      <c r="AF202" s="24">
        <f>IF(OR(AD202="",AD202=0),"",AE202/AD202)</f>
        <v>0</v>
      </c>
      <c r="AG202" s="23">
        <f>IF(AD202="","",SUMIFS(Performance!$U$5:$U$404,Performance!$B$5:$B$404,A202))</f>
        <v>0</v>
      </c>
      <c r="AH202" s="23">
        <f>IF(A202="","",COUNTIF(Repurposing!$B$5:$B$154,A202))</f>
        <v>0</v>
      </c>
      <c r="AI202" s="32">
        <f>IF(OR(H202="",B202=""),"",B202+ROW()/100000)</f>
        <v>0</v>
      </c>
      <c r="AJ202" s="32">
        <f>IF(OR(H202="",B202=""),"",IF(OR(X202="Published",X202="Cancelled",X202="Archived"),"",IF(B202&lt;TODAY(),"",B202+ROW()/100000)))</f>
        <v>0</v>
      </c>
      <c r="AK202" s="32">
        <f>IF(OR(H202="",B202=""),"",IF(OR(X202="Published",X202="Cancelled",X202="Archived"),"",IF(B202&gt;=TODAY(),"",B202+ROW()/100000)))</f>
        <v>0</v>
      </c>
      <c r="AL202" s="29">
        <f>IF(H202="","",IF(COUNTIFS('Content Calendar'!$H$5:$H$604,H202,'Content Calendar'!$G$5:$G$604,G202,'Content Calendar'!$B$5:$B$604,B202)&gt;1,"Duplicate","OK"))</f>
        <v>0</v>
      </c>
      <c r="AM202" s="29">
        <f>IF(H202="","",IF(AND(B202&lt;&gt;"",B202&lt;TODAY(),X202&lt;&gt;"Published",X202&lt;&gt;"Cancelled",X202&lt;&gt;"Archived"),"Overdue - date has passed",IF(AND(X202="Published",AB202=""),"Add - publish link missing",IF(AND(B202=TODAY(),X202&lt;&gt;"Published"),"Today - due to go live",IF(AND(Y202&lt;&gt;"",Y202&lt;TODAY(),OR(X202="Idea",X202="Brief",X202="In production")),"Late - draft not ready",IF(AND(AA202&gt;=0,AA202&lt;=3,OR(X202="Draft",X202="Awaiting review")),"Due - needs approval",IF(AND(H202&lt;&gt;"",P202=""),"Add - caption missing","OK")))))))</f>
        <v>0</v>
      </c>
    </row>
    <row r="203" spans="1:39">
      <c r="A203" s="41">
        <f>IF(H203="","",ContentPrefix&amp;TEXT(ROW()-4,"0000"))</f>
        <v>0</v>
      </c>
      <c r="D203" s="17">
        <f>IF(B203="","",TEXT(B203,"yyyy-mm"))</f>
        <v>0</v>
      </c>
      <c r="E203" s="23">
        <f>IF(B203="","",WEEKNUM(B203,IF(WeekStart="Sunday",1,2)))</f>
        <v>0</v>
      </c>
      <c r="F203" s="17">
        <f>IF(B203="","",TEXT(B203,"ddd"))</f>
        <v>0</v>
      </c>
      <c r="Q203" s="29">
        <f>IF(H203="","",IF(P203="","Add - no caption",IFERROR(INDEX('Caption Bank'!$R$5:$R$204,MATCH(P203,'Caption Bank'!$B$5:$B$204,0)),"Check - not in bank")))</f>
        <v>0</v>
      </c>
      <c r="S203" s="23">
        <f>IF(R203="","",COUNTIF('Hashtag Bank'!$D$5:$D$304,R203))</f>
        <v>0</v>
      </c>
      <c r="U203" s="29">
        <f>IF(H203="","",IF(T203="","Add - no asset",IFERROR(INDEX(Assets!$N$5:$N$254,MATCH(T203,Assets!$A$5:$A$254,0)),"Check - not in library")))</f>
        <v>0</v>
      </c>
      <c r="Y203" s="16">
        <f>IF(B203="","",B203-ProductionDays)</f>
        <v>0</v>
      </c>
      <c r="Z203" s="16">
        <f>IF(B203="","",B203-ApprovalDays)</f>
        <v>0</v>
      </c>
      <c r="AA203" s="23">
        <f>IF(B203="","",B203-TODAY())</f>
        <v>0</v>
      </c>
      <c r="AC203" s="29">
        <f>IF(H203="","",IF(X203="Published",IF(AB203="","Add - link missing","Yes"),"No"))</f>
        <v>0</v>
      </c>
      <c r="AD203" s="23">
        <f>IF(A203="","",IF(COUNTIF(Performance!$B$5:$B$404,A203)=0,"",SUMIFS(Performance!$O$5:$O$404,Performance!$B$5:$B$404,A203)))</f>
        <v>0</v>
      </c>
      <c r="AE203" s="23">
        <f>IF(AD203="","",SUMIFS(Performance!$Z$5:$Z$404,Performance!$B$5:$B$404,A203))</f>
        <v>0</v>
      </c>
      <c r="AF203" s="24">
        <f>IF(OR(AD203="",AD203=0),"",AE203/AD203)</f>
        <v>0</v>
      </c>
      <c r="AG203" s="23">
        <f>IF(AD203="","",SUMIFS(Performance!$U$5:$U$404,Performance!$B$5:$B$404,A203))</f>
        <v>0</v>
      </c>
      <c r="AH203" s="23">
        <f>IF(A203="","",COUNTIF(Repurposing!$B$5:$B$154,A203))</f>
        <v>0</v>
      </c>
      <c r="AI203" s="32">
        <f>IF(OR(H203="",B203=""),"",B203+ROW()/100000)</f>
        <v>0</v>
      </c>
      <c r="AJ203" s="32">
        <f>IF(OR(H203="",B203=""),"",IF(OR(X203="Published",X203="Cancelled",X203="Archived"),"",IF(B203&lt;TODAY(),"",B203+ROW()/100000)))</f>
        <v>0</v>
      </c>
      <c r="AK203" s="32">
        <f>IF(OR(H203="",B203=""),"",IF(OR(X203="Published",X203="Cancelled",X203="Archived"),"",IF(B203&gt;=TODAY(),"",B203+ROW()/100000)))</f>
        <v>0</v>
      </c>
      <c r="AL203" s="29">
        <f>IF(H203="","",IF(COUNTIFS('Content Calendar'!$H$5:$H$604,H203,'Content Calendar'!$G$5:$G$604,G203,'Content Calendar'!$B$5:$B$604,B203)&gt;1,"Duplicate","OK"))</f>
        <v>0</v>
      </c>
      <c r="AM203" s="29">
        <f>IF(H203="","",IF(AND(B203&lt;&gt;"",B203&lt;TODAY(),X203&lt;&gt;"Published",X203&lt;&gt;"Cancelled",X203&lt;&gt;"Archived"),"Overdue - date has passed",IF(AND(X203="Published",AB203=""),"Add - publish link missing",IF(AND(B203=TODAY(),X203&lt;&gt;"Published"),"Today - due to go live",IF(AND(Y203&lt;&gt;"",Y203&lt;TODAY(),OR(X203="Idea",X203="Brief",X203="In production")),"Late - draft not ready",IF(AND(AA203&gt;=0,AA203&lt;=3,OR(X203="Draft",X203="Awaiting review")),"Due - needs approval",IF(AND(H203&lt;&gt;"",P203=""),"Add - caption missing","OK")))))))</f>
        <v>0</v>
      </c>
    </row>
    <row r="204" spans="1:39">
      <c r="A204" s="41">
        <f>IF(H204="","",ContentPrefix&amp;TEXT(ROW()-4,"0000"))</f>
        <v>0</v>
      </c>
      <c r="D204" s="17">
        <f>IF(B204="","",TEXT(B204,"yyyy-mm"))</f>
        <v>0</v>
      </c>
      <c r="E204" s="23">
        <f>IF(B204="","",WEEKNUM(B204,IF(WeekStart="Sunday",1,2)))</f>
        <v>0</v>
      </c>
      <c r="F204" s="17">
        <f>IF(B204="","",TEXT(B204,"ddd"))</f>
        <v>0</v>
      </c>
      <c r="Q204" s="29">
        <f>IF(H204="","",IF(P204="","Add - no caption",IFERROR(INDEX('Caption Bank'!$R$5:$R$204,MATCH(P204,'Caption Bank'!$B$5:$B$204,0)),"Check - not in bank")))</f>
        <v>0</v>
      </c>
      <c r="S204" s="23">
        <f>IF(R204="","",COUNTIF('Hashtag Bank'!$D$5:$D$304,R204))</f>
        <v>0</v>
      </c>
      <c r="U204" s="29">
        <f>IF(H204="","",IF(T204="","Add - no asset",IFERROR(INDEX(Assets!$N$5:$N$254,MATCH(T204,Assets!$A$5:$A$254,0)),"Check - not in library")))</f>
        <v>0</v>
      </c>
      <c r="Y204" s="16">
        <f>IF(B204="","",B204-ProductionDays)</f>
        <v>0</v>
      </c>
      <c r="Z204" s="16">
        <f>IF(B204="","",B204-ApprovalDays)</f>
        <v>0</v>
      </c>
      <c r="AA204" s="23">
        <f>IF(B204="","",B204-TODAY())</f>
        <v>0</v>
      </c>
      <c r="AC204" s="29">
        <f>IF(H204="","",IF(X204="Published",IF(AB204="","Add - link missing","Yes"),"No"))</f>
        <v>0</v>
      </c>
      <c r="AD204" s="23">
        <f>IF(A204="","",IF(COUNTIF(Performance!$B$5:$B$404,A204)=0,"",SUMIFS(Performance!$O$5:$O$404,Performance!$B$5:$B$404,A204)))</f>
        <v>0</v>
      </c>
      <c r="AE204" s="23">
        <f>IF(AD204="","",SUMIFS(Performance!$Z$5:$Z$404,Performance!$B$5:$B$404,A204))</f>
        <v>0</v>
      </c>
      <c r="AF204" s="24">
        <f>IF(OR(AD204="",AD204=0),"",AE204/AD204)</f>
        <v>0</v>
      </c>
      <c r="AG204" s="23">
        <f>IF(AD204="","",SUMIFS(Performance!$U$5:$U$404,Performance!$B$5:$B$404,A204))</f>
        <v>0</v>
      </c>
      <c r="AH204" s="23">
        <f>IF(A204="","",COUNTIF(Repurposing!$B$5:$B$154,A204))</f>
        <v>0</v>
      </c>
      <c r="AI204" s="32">
        <f>IF(OR(H204="",B204=""),"",B204+ROW()/100000)</f>
        <v>0</v>
      </c>
      <c r="AJ204" s="32">
        <f>IF(OR(H204="",B204=""),"",IF(OR(X204="Published",X204="Cancelled",X204="Archived"),"",IF(B204&lt;TODAY(),"",B204+ROW()/100000)))</f>
        <v>0</v>
      </c>
      <c r="AK204" s="32">
        <f>IF(OR(H204="",B204=""),"",IF(OR(X204="Published",X204="Cancelled",X204="Archived"),"",IF(B204&gt;=TODAY(),"",B204+ROW()/100000)))</f>
        <v>0</v>
      </c>
      <c r="AL204" s="29">
        <f>IF(H204="","",IF(COUNTIFS('Content Calendar'!$H$5:$H$604,H204,'Content Calendar'!$G$5:$G$604,G204,'Content Calendar'!$B$5:$B$604,B204)&gt;1,"Duplicate","OK"))</f>
        <v>0</v>
      </c>
      <c r="AM204" s="29">
        <f>IF(H204="","",IF(AND(B204&lt;&gt;"",B204&lt;TODAY(),X204&lt;&gt;"Published",X204&lt;&gt;"Cancelled",X204&lt;&gt;"Archived"),"Overdue - date has passed",IF(AND(X204="Published",AB204=""),"Add - publish link missing",IF(AND(B204=TODAY(),X204&lt;&gt;"Published"),"Today - due to go live",IF(AND(Y204&lt;&gt;"",Y204&lt;TODAY(),OR(X204="Idea",X204="Brief",X204="In production")),"Late - draft not ready",IF(AND(AA204&gt;=0,AA204&lt;=3,OR(X204="Draft",X204="Awaiting review")),"Due - needs approval",IF(AND(H204&lt;&gt;"",P204=""),"Add - caption missing","OK")))))))</f>
        <v>0</v>
      </c>
    </row>
    <row r="205" spans="1:39">
      <c r="A205" s="41">
        <f>IF(H205="","",ContentPrefix&amp;TEXT(ROW()-4,"0000"))</f>
        <v>0</v>
      </c>
      <c r="D205" s="17">
        <f>IF(B205="","",TEXT(B205,"yyyy-mm"))</f>
        <v>0</v>
      </c>
      <c r="E205" s="23">
        <f>IF(B205="","",WEEKNUM(B205,IF(WeekStart="Sunday",1,2)))</f>
        <v>0</v>
      </c>
      <c r="F205" s="17">
        <f>IF(B205="","",TEXT(B205,"ddd"))</f>
        <v>0</v>
      </c>
      <c r="Q205" s="29">
        <f>IF(H205="","",IF(P205="","Add - no caption",IFERROR(INDEX('Caption Bank'!$R$5:$R$204,MATCH(P205,'Caption Bank'!$B$5:$B$204,0)),"Check - not in bank")))</f>
        <v>0</v>
      </c>
      <c r="S205" s="23">
        <f>IF(R205="","",COUNTIF('Hashtag Bank'!$D$5:$D$304,R205))</f>
        <v>0</v>
      </c>
      <c r="U205" s="29">
        <f>IF(H205="","",IF(T205="","Add - no asset",IFERROR(INDEX(Assets!$N$5:$N$254,MATCH(T205,Assets!$A$5:$A$254,0)),"Check - not in library")))</f>
        <v>0</v>
      </c>
      <c r="Y205" s="16">
        <f>IF(B205="","",B205-ProductionDays)</f>
        <v>0</v>
      </c>
      <c r="Z205" s="16">
        <f>IF(B205="","",B205-ApprovalDays)</f>
        <v>0</v>
      </c>
      <c r="AA205" s="23">
        <f>IF(B205="","",B205-TODAY())</f>
        <v>0</v>
      </c>
      <c r="AC205" s="29">
        <f>IF(H205="","",IF(X205="Published",IF(AB205="","Add - link missing","Yes"),"No"))</f>
        <v>0</v>
      </c>
      <c r="AD205" s="23">
        <f>IF(A205="","",IF(COUNTIF(Performance!$B$5:$B$404,A205)=0,"",SUMIFS(Performance!$O$5:$O$404,Performance!$B$5:$B$404,A205)))</f>
        <v>0</v>
      </c>
      <c r="AE205" s="23">
        <f>IF(AD205="","",SUMIFS(Performance!$Z$5:$Z$404,Performance!$B$5:$B$404,A205))</f>
        <v>0</v>
      </c>
      <c r="AF205" s="24">
        <f>IF(OR(AD205="",AD205=0),"",AE205/AD205)</f>
        <v>0</v>
      </c>
      <c r="AG205" s="23">
        <f>IF(AD205="","",SUMIFS(Performance!$U$5:$U$404,Performance!$B$5:$B$404,A205))</f>
        <v>0</v>
      </c>
      <c r="AH205" s="23">
        <f>IF(A205="","",COUNTIF(Repurposing!$B$5:$B$154,A205))</f>
        <v>0</v>
      </c>
      <c r="AI205" s="32">
        <f>IF(OR(H205="",B205=""),"",B205+ROW()/100000)</f>
        <v>0</v>
      </c>
      <c r="AJ205" s="32">
        <f>IF(OR(H205="",B205=""),"",IF(OR(X205="Published",X205="Cancelled",X205="Archived"),"",IF(B205&lt;TODAY(),"",B205+ROW()/100000)))</f>
        <v>0</v>
      </c>
      <c r="AK205" s="32">
        <f>IF(OR(H205="",B205=""),"",IF(OR(X205="Published",X205="Cancelled",X205="Archived"),"",IF(B205&gt;=TODAY(),"",B205+ROW()/100000)))</f>
        <v>0</v>
      </c>
      <c r="AL205" s="29">
        <f>IF(H205="","",IF(COUNTIFS('Content Calendar'!$H$5:$H$604,H205,'Content Calendar'!$G$5:$G$604,G205,'Content Calendar'!$B$5:$B$604,B205)&gt;1,"Duplicate","OK"))</f>
        <v>0</v>
      </c>
      <c r="AM205" s="29">
        <f>IF(H205="","",IF(AND(B205&lt;&gt;"",B205&lt;TODAY(),X205&lt;&gt;"Published",X205&lt;&gt;"Cancelled",X205&lt;&gt;"Archived"),"Overdue - date has passed",IF(AND(X205="Published",AB205=""),"Add - publish link missing",IF(AND(B205=TODAY(),X205&lt;&gt;"Published"),"Today - due to go live",IF(AND(Y205&lt;&gt;"",Y205&lt;TODAY(),OR(X205="Idea",X205="Brief",X205="In production")),"Late - draft not ready",IF(AND(AA205&gt;=0,AA205&lt;=3,OR(X205="Draft",X205="Awaiting review")),"Due - needs approval",IF(AND(H205&lt;&gt;"",P205=""),"Add - caption missing","OK")))))))</f>
        <v>0</v>
      </c>
    </row>
    <row r="206" spans="1:39">
      <c r="A206" s="41">
        <f>IF(H206="","",ContentPrefix&amp;TEXT(ROW()-4,"0000"))</f>
        <v>0</v>
      </c>
      <c r="D206" s="17">
        <f>IF(B206="","",TEXT(B206,"yyyy-mm"))</f>
        <v>0</v>
      </c>
      <c r="E206" s="23">
        <f>IF(B206="","",WEEKNUM(B206,IF(WeekStart="Sunday",1,2)))</f>
        <v>0</v>
      </c>
      <c r="F206" s="17">
        <f>IF(B206="","",TEXT(B206,"ddd"))</f>
        <v>0</v>
      </c>
      <c r="Q206" s="29">
        <f>IF(H206="","",IF(P206="","Add - no caption",IFERROR(INDEX('Caption Bank'!$R$5:$R$204,MATCH(P206,'Caption Bank'!$B$5:$B$204,0)),"Check - not in bank")))</f>
        <v>0</v>
      </c>
      <c r="S206" s="23">
        <f>IF(R206="","",COUNTIF('Hashtag Bank'!$D$5:$D$304,R206))</f>
        <v>0</v>
      </c>
      <c r="U206" s="29">
        <f>IF(H206="","",IF(T206="","Add - no asset",IFERROR(INDEX(Assets!$N$5:$N$254,MATCH(T206,Assets!$A$5:$A$254,0)),"Check - not in library")))</f>
        <v>0</v>
      </c>
      <c r="Y206" s="16">
        <f>IF(B206="","",B206-ProductionDays)</f>
        <v>0</v>
      </c>
      <c r="Z206" s="16">
        <f>IF(B206="","",B206-ApprovalDays)</f>
        <v>0</v>
      </c>
      <c r="AA206" s="23">
        <f>IF(B206="","",B206-TODAY())</f>
        <v>0</v>
      </c>
      <c r="AC206" s="29">
        <f>IF(H206="","",IF(X206="Published",IF(AB206="","Add - link missing","Yes"),"No"))</f>
        <v>0</v>
      </c>
      <c r="AD206" s="23">
        <f>IF(A206="","",IF(COUNTIF(Performance!$B$5:$B$404,A206)=0,"",SUMIFS(Performance!$O$5:$O$404,Performance!$B$5:$B$404,A206)))</f>
        <v>0</v>
      </c>
      <c r="AE206" s="23">
        <f>IF(AD206="","",SUMIFS(Performance!$Z$5:$Z$404,Performance!$B$5:$B$404,A206))</f>
        <v>0</v>
      </c>
      <c r="AF206" s="24">
        <f>IF(OR(AD206="",AD206=0),"",AE206/AD206)</f>
        <v>0</v>
      </c>
      <c r="AG206" s="23">
        <f>IF(AD206="","",SUMIFS(Performance!$U$5:$U$404,Performance!$B$5:$B$404,A206))</f>
        <v>0</v>
      </c>
      <c r="AH206" s="23">
        <f>IF(A206="","",COUNTIF(Repurposing!$B$5:$B$154,A206))</f>
        <v>0</v>
      </c>
      <c r="AI206" s="32">
        <f>IF(OR(H206="",B206=""),"",B206+ROW()/100000)</f>
        <v>0</v>
      </c>
      <c r="AJ206" s="32">
        <f>IF(OR(H206="",B206=""),"",IF(OR(X206="Published",X206="Cancelled",X206="Archived"),"",IF(B206&lt;TODAY(),"",B206+ROW()/100000)))</f>
        <v>0</v>
      </c>
      <c r="AK206" s="32">
        <f>IF(OR(H206="",B206=""),"",IF(OR(X206="Published",X206="Cancelled",X206="Archived"),"",IF(B206&gt;=TODAY(),"",B206+ROW()/100000)))</f>
        <v>0</v>
      </c>
      <c r="AL206" s="29">
        <f>IF(H206="","",IF(COUNTIFS('Content Calendar'!$H$5:$H$604,H206,'Content Calendar'!$G$5:$G$604,G206,'Content Calendar'!$B$5:$B$604,B206)&gt;1,"Duplicate","OK"))</f>
        <v>0</v>
      </c>
      <c r="AM206" s="29">
        <f>IF(H206="","",IF(AND(B206&lt;&gt;"",B206&lt;TODAY(),X206&lt;&gt;"Published",X206&lt;&gt;"Cancelled",X206&lt;&gt;"Archived"),"Overdue - date has passed",IF(AND(X206="Published",AB206=""),"Add - publish link missing",IF(AND(B206=TODAY(),X206&lt;&gt;"Published"),"Today - due to go live",IF(AND(Y206&lt;&gt;"",Y206&lt;TODAY(),OR(X206="Idea",X206="Brief",X206="In production")),"Late - draft not ready",IF(AND(AA206&gt;=0,AA206&lt;=3,OR(X206="Draft",X206="Awaiting review")),"Due - needs approval",IF(AND(H206&lt;&gt;"",P206=""),"Add - caption missing","OK")))))))</f>
        <v>0</v>
      </c>
    </row>
    <row r="207" spans="1:39">
      <c r="A207" s="41">
        <f>IF(H207="","",ContentPrefix&amp;TEXT(ROW()-4,"0000"))</f>
        <v>0</v>
      </c>
      <c r="D207" s="17">
        <f>IF(B207="","",TEXT(B207,"yyyy-mm"))</f>
        <v>0</v>
      </c>
      <c r="E207" s="23">
        <f>IF(B207="","",WEEKNUM(B207,IF(WeekStart="Sunday",1,2)))</f>
        <v>0</v>
      </c>
      <c r="F207" s="17">
        <f>IF(B207="","",TEXT(B207,"ddd"))</f>
        <v>0</v>
      </c>
      <c r="Q207" s="29">
        <f>IF(H207="","",IF(P207="","Add - no caption",IFERROR(INDEX('Caption Bank'!$R$5:$R$204,MATCH(P207,'Caption Bank'!$B$5:$B$204,0)),"Check - not in bank")))</f>
        <v>0</v>
      </c>
      <c r="S207" s="23">
        <f>IF(R207="","",COUNTIF('Hashtag Bank'!$D$5:$D$304,R207))</f>
        <v>0</v>
      </c>
      <c r="U207" s="29">
        <f>IF(H207="","",IF(T207="","Add - no asset",IFERROR(INDEX(Assets!$N$5:$N$254,MATCH(T207,Assets!$A$5:$A$254,0)),"Check - not in library")))</f>
        <v>0</v>
      </c>
      <c r="Y207" s="16">
        <f>IF(B207="","",B207-ProductionDays)</f>
        <v>0</v>
      </c>
      <c r="Z207" s="16">
        <f>IF(B207="","",B207-ApprovalDays)</f>
        <v>0</v>
      </c>
      <c r="AA207" s="23">
        <f>IF(B207="","",B207-TODAY())</f>
        <v>0</v>
      </c>
      <c r="AC207" s="29">
        <f>IF(H207="","",IF(X207="Published",IF(AB207="","Add - link missing","Yes"),"No"))</f>
        <v>0</v>
      </c>
      <c r="AD207" s="23">
        <f>IF(A207="","",IF(COUNTIF(Performance!$B$5:$B$404,A207)=0,"",SUMIFS(Performance!$O$5:$O$404,Performance!$B$5:$B$404,A207)))</f>
        <v>0</v>
      </c>
      <c r="AE207" s="23">
        <f>IF(AD207="","",SUMIFS(Performance!$Z$5:$Z$404,Performance!$B$5:$B$404,A207))</f>
        <v>0</v>
      </c>
      <c r="AF207" s="24">
        <f>IF(OR(AD207="",AD207=0),"",AE207/AD207)</f>
        <v>0</v>
      </c>
      <c r="AG207" s="23">
        <f>IF(AD207="","",SUMIFS(Performance!$U$5:$U$404,Performance!$B$5:$B$404,A207))</f>
        <v>0</v>
      </c>
      <c r="AH207" s="23">
        <f>IF(A207="","",COUNTIF(Repurposing!$B$5:$B$154,A207))</f>
        <v>0</v>
      </c>
      <c r="AI207" s="32">
        <f>IF(OR(H207="",B207=""),"",B207+ROW()/100000)</f>
        <v>0</v>
      </c>
      <c r="AJ207" s="32">
        <f>IF(OR(H207="",B207=""),"",IF(OR(X207="Published",X207="Cancelled",X207="Archived"),"",IF(B207&lt;TODAY(),"",B207+ROW()/100000)))</f>
        <v>0</v>
      </c>
      <c r="AK207" s="32">
        <f>IF(OR(H207="",B207=""),"",IF(OR(X207="Published",X207="Cancelled",X207="Archived"),"",IF(B207&gt;=TODAY(),"",B207+ROW()/100000)))</f>
        <v>0</v>
      </c>
      <c r="AL207" s="29">
        <f>IF(H207="","",IF(COUNTIFS('Content Calendar'!$H$5:$H$604,H207,'Content Calendar'!$G$5:$G$604,G207,'Content Calendar'!$B$5:$B$604,B207)&gt;1,"Duplicate","OK"))</f>
        <v>0</v>
      </c>
      <c r="AM207" s="29">
        <f>IF(H207="","",IF(AND(B207&lt;&gt;"",B207&lt;TODAY(),X207&lt;&gt;"Published",X207&lt;&gt;"Cancelled",X207&lt;&gt;"Archived"),"Overdue - date has passed",IF(AND(X207="Published",AB207=""),"Add - publish link missing",IF(AND(B207=TODAY(),X207&lt;&gt;"Published"),"Today - due to go live",IF(AND(Y207&lt;&gt;"",Y207&lt;TODAY(),OR(X207="Idea",X207="Brief",X207="In production")),"Late - draft not ready",IF(AND(AA207&gt;=0,AA207&lt;=3,OR(X207="Draft",X207="Awaiting review")),"Due - needs approval",IF(AND(H207&lt;&gt;"",P207=""),"Add - caption missing","OK")))))))</f>
        <v>0</v>
      </c>
    </row>
    <row r="208" spans="1:39">
      <c r="A208" s="41">
        <f>IF(H208="","",ContentPrefix&amp;TEXT(ROW()-4,"0000"))</f>
        <v>0</v>
      </c>
      <c r="D208" s="17">
        <f>IF(B208="","",TEXT(B208,"yyyy-mm"))</f>
        <v>0</v>
      </c>
      <c r="E208" s="23">
        <f>IF(B208="","",WEEKNUM(B208,IF(WeekStart="Sunday",1,2)))</f>
        <v>0</v>
      </c>
      <c r="F208" s="17">
        <f>IF(B208="","",TEXT(B208,"ddd"))</f>
        <v>0</v>
      </c>
      <c r="Q208" s="29">
        <f>IF(H208="","",IF(P208="","Add - no caption",IFERROR(INDEX('Caption Bank'!$R$5:$R$204,MATCH(P208,'Caption Bank'!$B$5:$B$204,0)),"Check - not in bank")))</f>
        <v>0</v>
      </c>
      <c r="S208" s="23">
        <f>IF(R208="","",COUNTIF('Hashtag Bank'!$D$5:$D$304,R208))</f>
        <v>0</v>
      </c>
      <c r="U208" s="29">
        <f>IF(H208="","",IF(T208="","Add - no asset",IFERROR(INDEX(Assets!$N$5:$N$254,MATCH(T208,Assets!$A$5:$A$254,0)),"Check - not in library")))</f>
        <v>0</v>
      </c>
      <c r="Y208" s="16">
        <f>IF(B208="","",B208-ProductionDays)</f>
        <v>0</v>
      </c>
      <c r="Z208" s="16">
        <f>IF(B208="","",B208-ApprovalDays)</f>
        <v>0</v>
      </c>
      <c r="AA208" s="23">
        <f>IF(B208="","",B208-TODAY())</f>
        <v>0</v>
      </c>
      <c r="AC208" s="29">
        <f>IF(H208="","",IF(X208="Published",IF(AB208="","Add - link missing","Yes"),"No"))</f>
        <v>0</v>
      </c>
      <c r="AD208" s="23">
        <f>IF(A208="","",IF(COUNTIF(Performance!$B$5:$B$404,A208)=0,"",SUMIFS(Performance!$O$5:$O$404,Performance!$B$5:$B$404,A208)))</f>
        <v>0</v>
      </c>
      <c r="AE208" s="23">
        <f>IF(AD208="","",SUMIFS(Performance!$Z$5:$Z$404,Performance!$B$5:$B$404,A208))</f>
        <v>0</v>
      </c>
      <c r="AF208" s="24">
        <f>IF(OR(AD208="",AD208=0),"",AE208/AD208)</f>
        <v>0</v>
      </c>
      <c r="AG208" s="23">
        <f>IF(AD208="","",SUMIFS(Performance!$U$5:$U$404,Performance!$B$5:$B$404,A208))</f>
        <v>0</v>
      </c>
      <c r="AH208" s="23">
        <f>IF(A208="","",COUNTIF(Repurposing!$B$5:$B$154,A208))</f>
        <v>0</v>
      </c>
      <c r="AI208" s="32">
        <f>IF(OR(H208="",B208=""),"",B208+ROW()/100000)</f>
        <v>0</v>
      </c>
      <c r="AJ208" s="32">
        <f>IF(OR(H208="",B208=""),"",IF(OR(X208="Published",X208="Cancelled",X208="Archived"),"",IF(B208&lt;TODAY(),"",B208+ROW()/100000)))</f>
        <v>0</v>
      </c>
      <c r="AK208" s="32">
        <f>IF(OR(H208="",B208=""),"",IF(OR(X208="Published",X208="Cancelled",X208="Archived"),"",IF(B208&gt;=TODAY(),"",B208+ROW()/100000)))</f>
        <v>0</v>
      </c>
      <c r="AL208" s="29">
        <f>IF(H208="","",IF(COUNTIFS('Content Calendar'!$H$5:$H$604,H208,'Content Calendar'!$G$5:$G$604,G208,'Content Calendar'!$B$5:$B$604,B208)&gt;1,"Duplicate","OK"))</f>
        <v>0</v>
      </c>
      <c r="AM208" s="29">
        <f>IF(H208="","",IF(AND(B208&lt;&gt;"",B208&lt;TODAY(),X208&lt;&gt;"Published",X208&lt;&gt;"Cancelled",X208&lt;&gt;"Archived"),"Overdue - date has passed",IF(AND(X208="Published",AB208=""),"Add - publish link missing",IF(AND(B208=TODAY(),X208&lt;&gt;"Published"),"Today - due to go live",IF(AND(Y208&lt;&gt;"",Y208&lt;TODAY(),OR(X208="Idea",X208="Brief",X208="In production")),"Late - draft not ready",IF(AND(AA208&gt;=0,AA208&lt;=3,OR(X208="Draft",X208="Awaiting review")),"Due - needs approval",IF(AND(H208&lt;&gt;"",P208=""),"Add - caption missing","OK")))))))</f>
        <v>0</v>
      </c>
    </row>
    <row r="209" spans="1:39">
      <c r="A209" s="41">
        <f>IF(H209="","",ContentPrefix&amp;TEXT(ROW()-4,"0000"))</f>
        <v>0</v>
      </c>
      <c r="D209" s="17">
        <f>IF(B209="","",TEXT(B209,"yyyy-mm"))</f>
        <v>0</v>
      </c>
      <c r="E209" s="23">
        <f>IF(B209="","",WEEKNUM(B209,IF(WeekStart="Sunday",1,2)))</f>
        <v>0</v>
      </c>
      <c r="F209" s="17">
        <f>IF(B209="","",TEXT(B209,"ddd"))</f>
        <v>0</v>
      </c>
      <c r="Q209" s="29">
        <f>IF(H209="","",IF(P209="","Add - no caption",IFERROR(INDEX('Caption Bank'!$R$5:$R$204,MATCH(P209,'Caption Bank'!$B$5:$B$204,0)),"Check - not in bank")))</f>
        <v>0</v>
      </c>
      <c r="S209" s="23">
        <f>IF(R209="","",COUNTIF('Hashtag Bank'!$D$5:$D$304,R209))</f>
        <v>0</v>
      </c>
      <c r="U209" s="29">
        <f>IF(H209="","",IF(T209="","Add - no asset",IFERROR(INDEX(Assets!$N$5:$N$254,MATCH(T209,Assets!$A$5:$A$254,0)),"Check - not in library")))</f>
        <v>0</v>
      </c>
      <c r="Y209" s="16">
        <f>IF(B209="","",B209-ProductionDays)</f>
        <v>0</v>
      </c>
      <c r="Z209" s="16">
        <f>IF(B209="","",B209-ApprovalDays)</f>
        <v>0</v>
      </c>
      <c r="AA209" s="23">
        <f>IF(B209="","",B209-TODAY())</f>
        <v>0</v>
      </c>
      <c r="AC209" s="29">
        <f>IF(H209="","",IF(X209="Published",IF(AB209="","Add - link missing","Yes"),"No"))</f>
        <v>0</v>
      </c>
      <c r="AD209" s="23">
        <f>IF(A209="","",IF(COUNTIF(Performance!$B$5:$B$404,A209)=0,"",SUMIFS(Performance!$O$5:$O$404,Performance!$B$5:$B$404,A209)))</f>
        <v>0</v>
      </c>
      <c r="AE209" s="23">
        <f>IF(AD209="","",SUMIFS(Performance!$Z$5:$Z$404,Performance!$B$5:$B$404,A209))</f>
        <v>0</v>
      </c>
      <c r="AF209" s="24">
        <f>IF(OR(AD209="",AD209=0),"",AE209/AD209)</f>
        <v>0</v>
      </c>
      <c r="AG209" s="23">
        <f>IF(AD209="","",SUMIFS(Performance!$U$5:$U$404,Performance!$B$5:$B$404,A209))</f>
        <v>0</v>
      </c>
      <c r="AH209" s="23">
        <f>IF(A209="","",COUNTIF(Repurposing!$B$5:$B$154,A209))</f>
        <v>0</v>
      </c>
      <c r="AI209" s="32">
        <f>IF(OR(H209="",B209=""),"",B209+ROW()/100000)</f>
        <v>0</v>
      </c>
      <c r="AJ209" s="32">
        <f>IF(OR(H209="",B209=""),"",IF(OR(X209="Published",X209="Cancelled",X209="Archived"),"",IF(B209&lt;TODAY(),"",B209+ROW()/100000)))</f>
        <v>0</v>
      </c>
      <c r="AK209" s="32">
        <f>IF(OR(H209="",B209=""),"",IF(OR(X209="Published",X209="Cancelled",X209="Archived"),"",IF(B209&gt;=TODAY(),"",B209+ROW()/100000)))</f>
        <v>0</v>
      </c>
      <c r="AL209" s="29">
        <f>IF(H209="","",IF(COUNTIFS('Content Calendar'!$H$5:$H$604,H209,'Content Calendar'!$G$5:$G$604,G209,'Content Calendar'!$B$5:$B$604,B209)&gt;1,"Duplicate","OK"))</f>
        <v>0</v>
      </c>
      <c r="AM209" s="29">
        <f>IF(H209="","",IF(AND(B209&lt;&gt;"",B209&lt;TODAY(),X209&lt;&gt;"Published",X209&lt;&gt;"Cancelled",X209&lt;&gt;"Archived"),"Overdue - date has passed",IF(AND(X209="Published",AB209=""),"Add - publish link missing",IF(AND(B209=TODAY(),X209&lt;&gt;"Published"),"Today - due to go live",IF(AND(Y209&lt;&gt;"",Y209&lt;TODAY(),OR(X209="Idea",X209="Brief",X209="In production")),"Late - draft not ready",IF(AND(AA209&gt;=0,AA209&lt;=3,OR(X209="Draft",X209="Awaiting review")),"Due - needs approval",IF(AND(H209&lt;&gt;"",P209=""),"Add - caption missing","OK")))))))</f>
        <v>0</v>
      </c>
    </row>
    <row r="210" spans="1:39">
      <c r="A210" s="41">
        <f>IF(H210="","",ContentPrefix&amp;TEXT(ROW()-4,"0000"))</f>
        <v>0</v>
      </c>
      <c r="D210" s="17">
        <f>IF(B210="","",TEXT(B210,"yyyy-mm"))</f>
        <v>0</v>
      </c>
      <c r="E210" s="23">
        <f>IF(B210="","",WEEKNUM(B210,IF(WeekStart="Sunday",1,2)))</f>
        <v>0</v>
      </c>
      <c r="F210" s="17">
        <f>IF(B210="","",TEXT(B210,"ddd"))</f>
        <v>0</v>
      </c>
      <c r="Q210" s="29">
        <f>IF(H210="","",IF(P210="","Add - no caption",IFERROR(INDEX('Caption Bank'!$R$5:$R$204,MATCH(P210,'Caption Bank'!$B$5:$B$204,0)),"Check - not in bank")))</f>
        <v>0</v>
      </c>
      <c r="S210" s="23">
        <f>IF(R210="","",COUNTIF('Hashtag Bank'!$D$5:$D$304,R210))</f>
        <v>0</v>
      </c>
      <c r="U210" s="29">
        <f>IF(H210="","",IF(T210="","Add - no asset",IFERROR(INDEX(Assets!$N$5:$N$254,MATCH(T210,Assets!$A$5:$A$254,0)),"Check - not in library")))</f>
        <v>0</v>
      </c>
      <c r="Y210" s="16">
        <f>IF(B210="","",B210-ProductionDays)</f>
        <v>0</v>
      </c>
      <c r="Z210" s="16">
        <f>IF(B210="","",B210-ApprovalDays)</f>
        <v>0</v>
      </c>
      <c r="AA210" s="23">
        <f>IF(B210="","",B210-TODAY())</f>
        <v>0</v>
      </c>
      <c r="AC210" s="29">
        <f>IF(H210="","",IF(X210="Published",IF(AB210="","Add - link missing","Yes"),"No"))</f>
        <v>0</v>
      </c>
      <c r="AD210" s="23">
        <f>IF(A210="","",IF(COUNTIF(Performance!$B$5:$B$404,A210)=0,"",SUMIFS(Performance!$O$5:$O$404,Performance!$B$5:$B$404,A210)))</f>
        <v>0</v>
      </c>
      <c r="AE210" s="23">
        <f>IF(AD210="","",SUMIFS(Performance!$Z$5:$Z$404,Performance!$B$5:$B$404,A210))</f>
        <v>0</v>
      </c>
      <c r="AF210" s="24">
        <f>IF(OR(AD210="",AD210=0),"",AE210/AD210)</f>
        <v>0</v>
      </c>
      <c r="AG210" s="23">
        <f>IF(AD210="","",SUMIFS(Performance!$U$5:$U$404,Performance!$B$5:$B$404,A210))</f>
        <v>0</v>
      </c>
      <c r="AH210" s="23">
        <f>IF(A210="","",COUNTIF(Repurposing!$B$5:$B$154,A210))</f>
        <v>0</v>
      </c>
      <c r="AI210" s="32">
        <f>IF(OR(H210="",B210=""),"",B210+ROW()/100000)</f>
        <v>0</v>
      </c>
      <c r="AJ210" s="32">
        <f>IF(OR(H210="",B210=""),"",IF(OR(X210="Published",X210="Cancelled",X210="Archived"),"",IF(B210&lt;TODAY(),"",B210+ROW()/100000)))</f>
        <v>0</v>
      </c>
      <c r="AK210" s="32">
        <f>IF(OR(H210="",B210=""),"",IF(OR(X210="Published",X210="Cancelled",X210="Archived"),"",IF(B210&gt;=TODAY(),"",B210+ROW()/100000)))</f>
        <v>0</v>
      </c>
      <c r="AL210" s="29">
        <f>IF(H210="","",IF(COUNTIFS('Content Calendar'!$H$5:$H$604,H210,'Content Calendar'!$G$5:$G$604,G210,'Content Calendar'!$B$5:$B$604,B210)&gt;1,"Duplicate","OK"))</f>
        <v>0</v>
      </c>
      <c r="AM210" s="29">
        <f>IF(H210="","",IF(AND(B210&lt;&gt;"",B210&lt;TODAY(),X210&lt;&gt;"Published",X210&lt;&gt;"Cancelled",X210&lt;&gt;"Archived"),"Overdue - date has passed",IF(AND(X210="Published",AB210=""),"Add - publish link missing",IF(AND(B210=TODAY(),X210&lt;&gt;"Published"),"Today - due to go live",IF(AND(Y210&lt;&gt;"",Y210&lt;TODAY(),OR(X210="Idea",X210="Brief",X210="In production")),"Late - draft not ready",IF(AND(AA210&gt;=0,AA210&lt;=3,OR(X210="Draft",X210="Awaiting review")),"Due - needs approval",IF(AND(H210&lt;&gt;"",P210=""),"Add - caption missing","OK")))))))</f>
        <v>0</v>
      </c>
    </row>
    <row r="211" spans="1:39">
      <c r="A211" s="41">
        <f>IF(H211="","",ContentPrefix&amp;TEXT(ROW()-4,"0000"))</f>
        <v>0</v>
      </c>
      <c r="D211" s="17">
        <f>IF(B211="","",TEXT(B211,"yyyy-mm"))</f>
        <v>0</v>
      </c>
      <c r="E211" s="23">
        <f>IF(B211="","",WEEKNUM(B211,IF(WeekStart="Sunday",1,2)))</f>
        <v>0</v>
      </c>
      <c r="F211" s="17">
        <f>IF(B211="","",TEXT(B211,"ddd"))</f>
        <v>0</v>
      </c>
      <c r="Q211" s="29">
        <f>IF(H211="","",IF(P211="","Add - no caption",IFERROR(INDEX('Caption Bank'!$R$5:$R$204,MATCH(P211,'Caption Bank'!$B$5:$B$204,0)),"Check - not in bank")))</f>
        <v>0</v>
      </c>
      <c r="S211" s="23">
        <f>IF(R211="","",COUNTIF('Hashtag Bank'!$D$5:$D$304,R211))</f>
        <v>0</v>
      </c>
      <c r="U211" s="29">
        <f>IF(H211="","",IF(T211="","Add - no asset",IFERROR(INDEX(Assets!$N$5:$N$254,MATCH(T211,Assets!$A$5:$A$254,0)),"Check - not in library")))</f>
        <v>0</v>
      </c>
      <c r="Y211" s="16">
        <f>IF(B211="","",B211-ProductionDays)</f>
        <v>0</v>
      </c>
      <c r="Z211" s="16">
        <f>IF(B211="","",B211-ApprovalDays)</f>
        <v>0</v>
      </c>
      <c r="AA211" s="23">
        <f>IF(B211="","",B211-TODAY())</f>
        <v>0</v>
      </c>
      <c r="AC211" s="29">
        <f>IF(H211="","",IF(X211="Published",IF(AB211="","Add - link missing","Yes"),"No"))</f>
        <v>0</v>
      </c>
      <c r="AD211" s="23">
        <f>IF(A211="","",IF(COUNTIF(Performance!$B$5:$B$404,A211)=0,"",SUMIFS(Performance!$O$5:$O$404,Performance!$B$5:$B$404,A211)))</f>
        <v>0</v>
      </c>
      <c r="AE211" s="23">
        <f>IF(AD211="","",SUMIFS(Performance!$Z$5:$Z$404,Performance!$B$5:$B$404,A211))</f>
        <v>0</v>
      </c>
      <c r="AF211" s="24">
        <f>IF(OR(AD211="",AD211=0),"",AE211/AD211)</f>
        <v>0</v>
      </c>
      <c r="AG211" s="23">
        <f>IF(AD211="","",SUMIFS(Performance!$U$5:$U$404,Performance!$B$5:$B$404,A211))</f>
        <v>0</v>
      </c>
      <c r="AH211" s="23">
        <f>IF(A211="","",COUNTIF(Repurposing!$B$5:$B$154,A211))</f>
        <v>0</v>
      </c>
      <c r="AI211" s="32">
        <f>IF(OR(H211="",B211=""),"",B211+ROW()/100000)</f>
        <v>0</v>
      </c>
      <c r="AJ211" s="32">
        <f>IF(OR(H211="",B211=""),"",IF(OR(X211="Published",X211="Cancelled",X211="Archived"),"",IF(B211&lt;TODAY(),"",B211+ROW()/100000)))</f>
        <v>0</v>
      </c>
      <c r="AK211" s="32">
        <f>IF(OR(H211="",B211=""),"",IF(OR(X211="Published",X211="Cancelled",X211="Archived"),"",IF(B211&gt;=TODAY(),"",B211+ROW()/100000)))</f>
        <v>0</v>
      </c>
      <c r="AL211" s="29">
        <f>IF(H211="","",IF(COUNTIFS('Content Calendar'!$H$5:$H$604,H211,'Content Calendar'!$G$5:$G$604,G211,'Content Calendar'!$B$5:$B$604,B211)&gt;1,"Duplicate","OK"))</f>
        <v>0</v>
      </c>
      <c r="AM211" s="29">
        <f>IF(H211="","",IF(AND(B211&lt;&gt;"",B211&lt;TODAY(),X211&lt;&gt;"Published",X211&lt;&gt;"Cancelled",X211&lt;&gt;"Archived"),"Overdue - date has passed",IF(AND(X211="Published",AB211=""),"Add - publish link missing",IF(AND(B211=TODAY(),X211&lt;&gt;"Published"),"Today - due to go live",IF(AND(Y211&lt;&gt;"",Y211&lt;TODAY(),OR(X211="Idea",X211="Brief",X211="In production")),"Late - draft not ready",IF(AND(AA211&gt;=0,AA211&lt;=3,OR(X211="Draft",X211="Awaiting review")),"Due - needs approval",IF(AND(H211&lt;&gt;"",P211=""),"Add - caption missing","OK")))))))</f>
        <v>0</v>
      </c>
    </row>
    <row r="212" spans="1:39">
      <c r="A212" s="41">
        <f>IF(H212="","",ContentPrefix&amp;TEXT(ROW()-4,"0000"))</f>
        <v>0</v>
      </c>
      <c r="D212" s="17">
        <f>IF(B212="","",TEXT(B212,"yyyy-mm"))</f>
        <v>0</v>
      </c>
      <c r="E212" s="23">
        <f>IF(B212="","",WEEKNUM(B212,IF(WeekStart="Sunday",1,2)))</f>
        <v>0</v>
      </c>
      <c r="F212" s="17">
        <f>IF(B212="","",TEXT(B212,"ddd"))</f>
        <v>0</v>
      </c>
      <c r="Q212" s="29">
        <f>IF(H212="","",IF(P212="","Add - no caption",IFERROR(INDEX('Caption Bank'!$R$5:$R$204,MATCH(P212,'Caption Bank'!$B$5:$B$204,0)),"Check - not in bank")))</f>
        <v>0</v>
      </c>
      <c r="S212" s="23">
        <f>IF(R212="","",COUNTIF('Hashtag Bank'!$D$5:$D$304,R212))</f>
        <v>0</v>
      </c>
      <c r="U212" s="29">
        <f>IF(H212="","",IF(T212="","Add - no asset",IFERROR(INDEX(Assets!$N$5:$N$254,MATCH(T212,Assets!$A$5:$A$254,0)),"Check - not in library")))</f>
        <v>0</v>
      </c>
      <c r="Y212" s="16">
        <f>IF(B212="","",B212-ProductionDays)</f>
        <v>0</v>
      </c>
      <c r="Z212" s="16">
        <f>IF(B212="","",B212-ApprovalDays)</f>
        <v>0</v>
      </c>
      <c r="AA212" s="23">
        <f>IF(B212="","",B212-TODAY())</f>
        <v>0</v>
      </c>
      <c r="AC212" s="29">
        <f>IF(H212="","",IF(X212="Published",IF(AB212="","Add - link missing","Yes"),"No"))</f>
        <v>0</v>
      </c>
      <c r="AD212" s="23">
        <f>IF(A212="","",IF(COUNTIF(Performance!$B$5:$B$404,A212)=0,"",SUMIFS(Performance!$O$5:$O$404,Performance!$B$5:$B$404,A212)))</f>
        <v>0</v>
      </c>
      <c r="AE212" s="23">
        <f>IF(AD212="","",SUMIFS(Performance!$Z$5:$Z$404,Performance!$B$5:$B$404,A212))</f>
        <v>0</v>
      </c>
      <c r="AF212" s="24">
        <f>IF(OR(AD212="",AD212=0),"",AE212/AD212)</f>
        <v>0</v>
      </c>
      <c r="AG212" s="23">
        <f>IF(AD212="","",SUMIFS(Performance!$U$5:$U$404,Performance!$B$5:$B$404,A212))</f>
        <v>0</v>
      </c>
      <c r="AH212" s="23">
        <f>IF(A212="","",COUNTIF(Repurposing!$B$5:$B$154,A212))</f>
        <v>0</v>
      </c>
      <c r="AI212" s="32">
        <f>IF(OR(H212="",B212=""),"",B212+ROW()/100000)</f>
        <v>0</v>
      </c>
      <c r="AJ212" s="32">
        <f>IF(OR(H212="",B212=""),"",IF(OR(X212="Published",X212="Cancelled",X212="Archived"),"",IF(B212&lt;TODAY(),"",B212+ROW()/100000)))</f>
        <v>0</v>
      </c>
      <c r="AK212" s="32">
        <f>IF(OR(H212="",B212=""),"",IF(OR(X212="Published",X212="Cancelled",X212="Archived"),"",IF(B212&gt;=TODAY(),"",B212+ROW()/100000)))</f>
        <v>0</v>
      </c>
      <c r="AL212" s="29">
        <f>IF(H212="","",IF(COUNTIFS('Content Calendar'!$H$5:$H$604,H212,'Content Calendar'!$G$5:$G$604,G212,'Content Calendar'!$B$5:$B$604,B212)&gt;1,"Duplicate","OK"))</f>
        <v>0</v>
      </c>
      <c r="AM212" s="29">
        <f>IF(H212="","",IF(AND(B212&lt;&gt;"",B212&lt;TODAY(),X212&lt;&gt;"Published",X212&lt;&gt;"Cancelled",X212&lt;&gt;"Archived"),"Overdue - date has passed",IF(AND(X212="Published",AB212=""),"Add - publish link missing",IF(AND(B212=TODAY(),X212&lt;&gt;"Published"),"Today - due to go live",IF(AND(Y212&lt;&gt;"",Y212&lt;TODAY(),OR(X212="Idea",X212="Brief",X212="In production")),"Late - draft not ready",IF(AND(AA212&gt;=0,AA212&lt;=3,OR(X212="Draft",X212="Awaiting review")),"Due - needs approval",IF(AND(H212&lt;&gt;"",P212=""),"Add - caption missing","OK")))))))</f>
        <v>0</v>
      </c>
    </row>
    <row r="213" spans="1:39">
      <c r="A213" s="41">
        <f>IF(H213="","",ContentPrefix&amp;TEXT(ROW()-4,"0000"))</f>
        <v>0</v>
      </c>
      <c r="D213" s="17">
        <f>IF(B213="","",TEXT(B213,"yyyy-mm"))</f>
        <v>0</v>
      </c>
      <c r="E213" s="23">
        <f>IF(B213="","",WEEKNUM(B213,IF(WeekStart="Sunday",1,2)))</f>
        <v>0</v>
      </c>
      <c r="F213" s="17">
        <f>IF(B213="","",TEXT(B213,"ddd"))</f>
        <v>0</v>
      </c>
      <c r="Q213" s="29">
        <f>IF(H213="","",IF(P213="","Add - no caption",IFERROR(INDEX('Caption Bank'!$R$5:$R$204,MATCH(P213,'Caption Bank'!$B$5:$B$204,0)),"Check - not in bank")))</f>
        <v>0</v>
      </c>
      <c r="S213" s="23">
        <f>IF(R213="","",COUNTIF('Hashtag Bank'!$D$5:$D$304,R213))</f>
        <v>0</v>
      </c>
      <c r="U213" s="29">
        <f>IF(H213="","",IF(T213="","Add - no asset",IFERROR(INDEX(Assets!$N$5:$N$254,MATCH(T213,Assets!$A$5:$A$254,0)),"Check - not in library")))</f>
        <v>0</v>
      </c>
      <c r="Y213" s="16">
        <f>IF(B213="","",B213-ProductionDays)</f>
        <v>0</v>
      </c>
      <c r="Z213" s="16">
        <f>IF(B213="","",B213-ApprovalDays)</f>
        <v>0</v>
      </c>
      <c r="AA213" s="23">
        <f>IF(B213="","",B213-TODAY())</f>
        <v>0</v>
      </c>
      <c r="AC213" s="29">
        <f>IF(H213="","",IF(X213="Published",IF(AB213="","Add - link missing","Yes"),"No"))</f>
        <v>0</v>
      </c>
      <c r="AD213" s="23">
        <f>IF(A213="","",IF(COUNTIF(Performance!$B$5:$B$404,A213)=0,"",SUMIFS(Performance!$O$5:$O$404,Performance!$B$5:$B$404,A213)))</f>
        <v>0</v>
      </c>
      <c r="AE213" s="23">
        <f>IF(AD213="","",SUMIFS(Performance!$Z$5:$Z$404,Performance!$B$5:$B$404,A213))</f>
        <v>0</v>
      </c>
      <c r="AF213" s="24">
        <f>IF(OR(AD213="",AD213=0),"",AE213/AD213)</f>
        <v>0</v>
      </c>
      <c r="AG213" s="23">
        <f>IF(AD213="","",SUMIFS(Performance!$U$5:$U$404,Performance!$B$5:$B$404,A213))</f>
        <v>0</v>
      </c>
      <c r="AH213" s="23">
        <f>IF(A213="","",COUNTIF(Repurposing!$B$5:$B$154,A213))</f>
        <v>0</v>
      </c>
      <c r="AI213" s="32">
        <f>IF(OR(H213="",B213=""),"",B213+ROW()/100000)</f>
        <v>0</v>
      </c>
      <c r="AJ213" s="32">
        <f>IF(OR(H213="",B213=""),"",IF(OR(X213="Published",X213="Cancelled",X213="Archived"),"",IF(B213&lt;TODAY(),"",B213+ROW()/100000)))</f>
        <v>0</v>
      </c>
      <c r="AK213" s="32">
        <f>IF(OR(H213="",B213=""),"",IF(OR(X213="Published",X213="Cancelled",X213="Archived"),"",IF(B213&gt;=TODAY(),"",B213+ROW()/100000)))</f>
        <v>0</v>
      </c>
      <c r="AL213" s="29">
        <f>IF(H213="","",IF(COUNTIFS('Content Calendar'!$H$5:$H$604,H213,'Content Calendar'!$G$5:$G$604,G213,'Content Calendar'!$B$5:$B$604,B213)&gt;1,"Duplicate","OK"))</f>
        <v>0</v>
      </c>
      <c r="AM213" s="29">
        <f>IF(H213="","",IF(AND(B213&lt;&gt;"",B213&lt;TODAY(),X213&lt;&gt;"Published",X213&lt;&gt;"Cancelled",X213&lt;&gt;"Archived"),"Overdue - date has passed",IF(AND(X213="Published",AB213=""),"Add - publish link missing",IF(AND(B213=TODAY(),X213&lt;&gt;"Published"),"Today - due to go live",IF(AND(Y213&lt;&gt;"",Y213&lt;TODAY(),OR(X213="Idea",X213="Brief",X213="In production")),"Late - draft not ready",IF(AND(AA213&gt;=0,AA213&lt;=3,OR(X213="Draft",X213="Awaiting review")),"Due - needs approval",IF(AND(H213&lt;&gt;"",P213=""),"Add - caption missing","OK")))))))</f>
        <v>0</v>
      </c>
    </row>
    <row r="214" spans="1:39">
      <c r="A214" s="41">
        <f>IF(H214="","",ContentPrefix&amp;TEXT(ROW()-4,"0000"))</f>
        <v>0</v>
      </c>
      <c r="D214" s="17">
        <f>IF(B214="","",TEXT(B214,"yyyy-mm"))</f>
        <v>0</v>
      </c>
      <c r="E214" s="23">
        <f>IF(B214="","",WEEKNUM(B214,IF(WeekStart="Sunday",1,2)))</f>
        <v>0</v>
      </c>
      <c r="F214" s="17">
        <f>IF(B214="","",TEXT(B214,"ddd"))</f>
        <v>0</v>
      </c>
      <c r="Q214" s="29">
        <f>IF(H214="","",IF(P214="","Add - no caption",IFERROR(INDEX('Caption Bank'!$R$5:$R$204,MATCH(P214,'Caption Bank'!$B$5:$B$204,0)),"Check - not in bank")))</f>
        <v>0</v>
      </c>
      <c r="S214" s="23">
        <f>IF(R214="","",COUNTIF('Hashtag Bank'!$D$5:$D$304,R214))</f>
        <v>0</v>
      </c>
      <c r="U214" s="29">
        <f>IF(H214="","",IF(T214="","Add - no asset",IFERROR(INDEX(Assets!$N$5:$N$254,MATCH(T214,Assets!$A$5:$A$254,0)),"Check - not in library")))</f>
        <v>0</v>
      </c>
      <c r="Y214" s="16">
        <f>IF(B214="","",B214-ProductionDays)</f>
        <v>0</v>
      </c>
      <c r="Z214" s="16">
        <f>IF(B214="","",B214-ApprovalDays)</f>
        <v>0</v>
      </c>
      <c r="AA214" s="23">
        <f>IF(B214="","",B214-TODAY())</f>
        <v>0</v>
      </c>
      <c r="AC214" s="29">
        <f>IF(H214="","",IF(X214="Published",IF(AB214="","Add - link missing","Yes"),"No"))</f>
        <v>0</v>
      </c>
      <c r="AD214" s="23">
        <f>IF(A214="","",IF(COUNTIF(Performance!$B$5:$B$404,A214)=0,"",SUMIFS(Performance!$O$5:$O$404,Performance!$B$5:$B$404,A214)))</f>
        <v>0</v>
      </c>
      <c r="AE214" s="23">
        <f>IF(AD214="","",SUMIFS(Performance!$Z$5:$Z$404,Performance!$B$5:$B$404,A214))</f>
        <v>0</v>
      </c>
      <c r="AF214" s="24">
        <f>IF(OR(AD214="",AD214=0),"",AE214/AD214)</f>
        <v>0</v>
      </c>
      <c r="AG214" s="23">
        <f>IF(AD214="","",SUMIFS(Performance!$U$5:$U$404,Performance!$B$5:$B$404,A214))</f>
        <v>0</v>
      </c>
      <c r="AH214" s="23">
        <f>IF(A214="","",COUNTIF(Repurposing!$B$5:$B$154,A214))</f>
        <v>0</v>
      </c>
      <c r="AI214" s="32">
        <f>IF(OR(H214="",B214=""),"",B214+ROW()/100000)</f>
        <v>0</v>
      </c>
      <c r="AJ214" s="32">
        <f>IF(OR(H214="",B214=""),"",IF(OR(X214="Published",X214="Cancelled",X214="Archived"),"",IF(B214&lt;TODAY(),"",B214+ROW()/100000)))</f>
        <v>0</v>
      </c>
      <c r="AK214" s="32">
        <f>IF(OR(H214="",B214=""),"",IF(OR(X214="Published",X214="Cancelled",X214="Archived"),"",IF(B214&gt;=TODAY(),"",B214+ROW()/100000)))</f>
        <v>0</v>
      </c>
      <c r="AL214" s="29">
        <f>IF(H214="","",IF(COUNTIFS('Content Calendar'!$H$5:$H$604,H214,'Content Calendar'!$G$5:$G$604,G214,'Content Calendar'!$B$5:$B$604,B214)&gt;1,"Duplicate","OK"))</f>
        <v>0</v>
      </c>
      <c r="AM214" s="29">
        <f>IF(H214="","",IF(AND(B214&lt;&gt;"",B214&lt;TODAY(),X214&lt;&gt;"Published",X214&lt;&gt;"Cancelled",X214&lt;&gt;"Archived"),"Overdue - date has passed",IF(AND(X214="Published",AB214=""),"Add - publish link missing",IF(AND(B214=TODAY(),X214&lt;&gt;"Published"),"Today - due to go live",IF(AND(Y214&lt;&gt;"",Y214&lt;TODAY(),OR(X214="Idea",X214="Brief",X214="In production")),"Late - draft not ready",IF(AND(AA214&gt;=0,AA214&lt;=3,OR(X214="Draft",X214="Awaiting review")),"Due - needs approval",IF(AND(H214&lt;&gt;"",P214=""),"Add - caption missing","OK")))))))</f>
        <v>0</v>
      </c>
    </row>
    <row r="215" spans="1:39">
      <c r="A215" s="41">
        <f>IF(H215="","",ContentPrefix&amp;TEXT(ROW()-4,"0000"))</f>
        <v>0</v>
      </c>
      <c r="D215" s="17">
        <f>IF(B215="","",TEXT(B215,"yyyy-mm"))</f>
        <v>0</v>
      </c>
      <c r="E215" s="23">
        <f>IF(B215="","",WEEKNUM(B215,IF(WeekStart="Sunday",1,2)))</f>
        <v>0</v>
      </c>
      <c r="F215" s="17">
        <f>IF(B215="","",TEXT(B215,"ddd"))</f>
        <v>0</v>
      </c>
      <c r="Q215" s="29">
        <f>IF(H215="","",IF(P215="","Add - no caption",IFERROR(INDEX('Caption Bank'!$R$5:$R$204,MATCH(P215,'Caption Bank'!$B$5:$B$204,0)),"Check - not in bank")))</f>
        <v>0</v>
      </c>
      <c r="S215" s="23">
        <f>IF(R215="","",COUNTIF('Hashtag Bank'!$D$5:$D$304,R215))</f>
        <v>0</v>
      </c>
      <c r="U215" s="29">
        <f>IF(H215="","",IF(T215="","Add - no asset",IFERROR(INDEX(Assets!$N$5:$N$254,MATCH(T215,Assets!$A$5:$A$254,0)),"Check - not in library")))</f>
        <v>0</v>
      </c>
      <c r="Y215" s="16">
        <f>IF(B215="","",B215-ProductionDays)</f>
        <v>0</v>
      </c>
      <c r="Z215" s="16">
        <f>IF(B215="","",B215-ApprovalDays)</f>
        <v>0</v>
      </c>
      <c r="AA215" s="23">
        <f>IF(B215="","",B215-TODAY())</f>
        <v>0</v>
      </c>
      <c r="AC215" s="29">
        <f>IF(H215="","",IF(X215="Published",IF(AB215="","Add - link missing","Yes"),"No"))</f>
        <v>0</v>
      </c>
      <c r="AD215" s="23">
        <f>IF(A215="","",IF(COUNTIF(Performance!$B$5:$B$404,A215)=0,"",SUMIFS(Performance!$O$5:$O$404,Performance!$B$5:$B$404,A215)))</f>
        <v>0</v>
      </c>
      <c r="AE215" s="23">
        <f>IF(AD215="","",SUMIFS(Performance!$Z$5:$Z$404,Performance!$B$5:$B$404,A215))</f>
        <v>0</v>
      </c>
      <c r="AF215" s="24">
        <f>IF(OR(AD215="",AD215=0),"",AE215/AD215)</f>
        <v>0</v>
      </c>
      <c r="AG215" s="23">
        <f>IF(AD215="","",SUMIFS(Performance!$U$5:$U$404,Performance!$B$5:$B$404,A215))</f>
        <v>0</v>
      </c>
      <c r="AH215" s="23">
        <f>IF(A215="","",COUNTIF(Repurposing!$B$5:$B$154,A215))</f>
        <v>0</v>
      </c>
      <c r="AI215" s="32">
        <f>IF(OR(H215="",B215=""),"",B215+ROW()/100000)</f>
        <v>0</v>
      </c>
      <c r="AJ215" s="32">
        <f>IF(OR(H215="",B215=""),"",IF(OR(X215="Published",X215="Cancelled",X215="Archived"),"",IF(B215&lt;TODAY(),"",B215+ROW()/100000)))</f>
        <v>0</v>
      </c>
      <c r="AK215" s="32">
        <f>IF(OR(H215="",B215=""),"",IF(OR(X215="Published",X215="Cancelled",X215="Archived"),"",IF(B215&gt;=TODAY(),"",B215+ROW()/100000)))</f>
        <v>0</v>
      </c>
      <c r="AL215" s="29">
        <f>IF(H215="","",IF(COUNTIFS('Content Calendar'!$H$5:$H$604,H215,'Content Calendar'!$G$5:$G$604,G215,'Content Calendar'!$B$5:$B$604,B215)&gt;1,"Duplicate","OK"))</f>
        <v>0</v>
      </c>
      <c r="AM215" s="29">
        <f>IF(H215="","",IF(AND(B215&lt;&gt;"",B215&lt;TODAY(),X215&lt;&gt;"Published",X215&lt;&gt;"Cancelled",X215&lt;&gt;"Archived"),"Overdue - date has passed",IF(AND(X215="Published",AB215=""),"Add - publish link missing",IF(AND(B215=TODAY(),X215&lt;&gt;"Published"),"Today - due to go live",IF(AND(Y215&lt;&gt;"",Y215&lt;TODAY(),OR(X215="Idea",X215="Brief",X215="In production")),"Late - draft not ready",IF(AND(AA215&gt;=0,AA215&lt;=3,OR(X215="Draft",X215="Awaiting review")),"Due - needs approval",IF(AND(H215&lt;&gt;"",P215=""),"Add - caption missing","OK")))))))</f>
        <v>0</v>
      </c>
    </row>
    <row r="216" spans="1:39">
      <c r="A216" s="41">
        <f>IF(H216="","",ContentPrefix&amp;TEXT(ROW()-4,"0000"))</f>
        <v>0</v>
      </c>
      <c r="D216" s="17">
        <f>IF(B216="","",TEXT(B216,"yyyy-mm"))</f>
        <v>0</v>
      </c>
      <c r="E216" s="23">
        <f>IF(B216="","",WEEKNUM(B216,IF(WeekStart="Sunday",1,2)))</f>
        <v>0</v>
      </c>
      <c r="F216" s="17">
        <f>IF(B216="","",TEXT(B216,"ddd"))</f>
        <v>0</v>
      </c>
      <c r="Q216" s="29">
        <f>IF(H216="","",IF(P216="","Add - no caption",IFERROR(INDEX('Caption Bank'!$R$5:$R$204,MATCH(P216,'Caption Bank'!$B$5:$B$204,0)),"Check - not in bank")))</f>
        <v>0</v>
      </c>
      <c r="S216" s="23">
        <f>IF(R216="","",COUNTIF('Hashtag Bank'!$D$5:$D$304,R216))</f>
        <v>0</v>
      </c>
      <c r="U216" s="29">
        <f>IF(H216="","",IF(T216="","Add - no asset",IFERROR(INDEX(Assets!$N$5:$N$254,MATCH(T216,Assets!$A$5:$A$254,0)),"Check - not in library")))</f>
        <v>0</v>
      </c>
      <c r="Y216" s="16">
        <f>IF(B216="","",B216-ProductionDays)</f>
        <v>0</v>
      </c>
      <c r="Z216" s="16">
        <f>IF(B216="","",B216-ApprovalDays)</f>
        <v>0</v>
      </c>
      <c r="AA216" s="23">
        <f>IF(B216="","",B216-TODAY())</f>
        <v>0</v>
      </c>
      <c r="AC216" s="29">
        <f>IF(H216="","",IF(X216="Published",IF(AB216="","Add - link missing","Yes"),"No"))</f>
        <v>0</v>
      </c>
      <c r="AD216" s="23">
        <f>IF(A216="","",IF(COUNTIF(Performance!$B$5:$B$404,A216)=0,"",SUMIFS(Performance!$O$5:$O$404,Performance!$B$5:$B$404,A216)))</f>
        <v>0</v>
      </c>
      <c r="AE216" s="23">
        <f>IF(AD216="","",SUMIFS(Performance!$Z$5:$Z$404,Performance!$B$5:$B$404,A216))</f>
        <v>0</v>
      </c>
      <c r="AF216" s="24">
        <f>IF(OR(AD216="",AD216=0),"",AE216/AD216)</f>
        <v>0</v>
      </c>
      <c r="AG216" s="23">
        <f>IF(AD216="","",SUMIFS(Performance!$U$5:$U$404,Performance!$B$5:$B$404,A216))</f>
        <v>0</v>
      </c>
      <c r="AH216" s="23">
        <f>IF(A216="","",COUNTIF(Repurposing!$B$5:$B$154,A216))</f>
        <v>0</v>
      </c>
      <c r="AI216" s="32">
        <f>IF(OR(H216="",B216=""),"",B216+ROW()/100000)</f>
        <v>0</v>
      </c>
      <c r="AJ216" s="32">
        <f>IF(OR(H216="",B216=""),"",IF(OR(X216="Published",X216="Cancelled",X216="Archived"),"",IF(B216&lt;TODAY(),"",B216+ROW()/100000)))</f>
        <v>0</v>
      </c>
      <c r="AK216" s="32">
        <f>IF(OR(H216="",B216=""),"",IF(OR(X216="Published",X216="Cancelled",X216="Archived"),"",IF(B216&gt;=TODAY(),"",B216+ROW()/100000)))</f>
        <v>0</v>
      </c>
      <c r="AL216" s="29">
        <f>IF(H216="","",IF(COUNTIFS('Content Calendar'!$H$5:$H$604,H216,'Content Calendar'!$G$5:$G$604,G216,'Content Calendar'!$B$5:$B$604,B216)&gt;1,"Duplicate","OK"))</f>
        <v>0</v>
      </c>
      <c r="AM216" s="29">
        <f>IF(H216="","",IF(AND(B216&lt;&gt;"",B216&lt;TODAY(),X216&lt;&gt;"Published",X216&lt;&gt;"Cancelled",X216&lt;&gt;"Archived"),"Overdue - date has passed",IF(AND(X216="Published",AB216=""),"Add - publish link missing",IF(AND(B216=TODAY(),X216&lt;&gt;"Published"),"Today - due to go live",IF(AND(Y216&lt;&gt;"",Y216&lt;TODAY(),OR(X216="Idea",X216="Brief",X216="In production")),"Late - draft not ready",IF(AND(AA216&gt;=0,AA216&lt;=3,OR(X216="Draft",X216="Awaiting review")),"Due - needs approval",IF(AND(H216&lt;&gt;"",P216=""),"Add - caption missing","OK")))))))</f>
        <v>0</v>
      </c>
    </row>
    <row r="217" spans="1:39">
      <c r="A217" s="41">
        <f>IF(H217="","",ContentPrefix&amp;TEXT(ROW()-4,"0000"))</f>
        <v>0</v>
      </c>
      <c r="D217" s="17">
        <f>IF(B217="","",TEXT(B217,"yyyy-mm"))</f>
        <v>0</v>
      </c>
      <c r="E217" s="23">
        <f>IF(B217="","",WEEKNUM(B217,IF(WeekStart="Sunday",1,2)))</f>
        <v>0</v>
      </c>
      <c r="F217" s="17">
        <f>IF(B217="","",TEXT(B217,"ddd"))</f>
        <v>0</v>
      </c>
      <c r="Q217" s="29">
        <f>IF(H217="","",IF(P217="","Add - no caption",IFERROR(INDEX('Caption Bank'!$R$5:$R$204,MATCH(P217,'Caption Bank'!$B$5:$B$204,0)),"Check - not in bank")))</f>
        <v>0</v>
      </c>
      <c r="S217" s="23">
        <f>IF(R217="","",COUNTIF('Hashtag Bank'!$D$5:$D$304,R217))</f>
        <v>0</v>
      </c>
      <c r="U217" s="29">
        <f>IF(H217="","",IF(T217="","Add - no asset",IFERROR(INDEX(Assets!$N$5:$N$254,MATCH(T217,Assets!$A$5:$A$254,0)),"Check - not in library")))</f>
        <v>0</v>
      </c>
      <c r="Y217" s="16">
        <f>IF(B217="","",B217-ProductionDays)</f>
        <v>0</v>
      </c>
      <c r="Z217" s="16">
        <f>IF(B217="","",B217-ApprovalDays)</f>
        <v>0</v>
      </c>
      <c r="AA217" s="23">
        <f>IF(B217="","",B217-TODAY())</f>
        <v>0</v>
      </c>
      <c r="AC217" s="29">
        <f>IF(H217="","",IF(X217="Published",IF(AB217="","Add - link missing","Yes"),"No"))</f>
        <v>0</v>
      </c>
      <c r="AD217" s="23">
        <f>IF(A217="","",IF(COUNTIF(Performance!$B$5:$B$404,A217)=0,"",SUMIFS(Performance!$O$5:$O$404,Performance!$B$5:$B$404,A217)))</f>
        <v>0</v>
      </c>
      <c r="AE217" s="23">
        <f>IF(AD217="","",SUMIFS(Performance!$Z$5:$Z$404,Performance!$B$5:$B$404,A217))</f>
        <v>0</v>
      </c>
      <c r="AF217" s="24">
        <f>IF(OR(AD217="",AD217=0),"",AE217/AD217)</f>
        <v>0</v>
      </c>
      <c r="AG217" s="23">
        <f>IF(AD217="","",SUMIFS(Performance!$U$5:$U$404,Performance!$B$5:$B$404,A217))</f>
        <v>0</v>
      </c>
      <c r="AH217" s="23">
        <f>IF(A217="","",COUNTIF(Repurposing!$B$5:$B$154,A217))</f>
        <v>0</v>
      </c>
      <c r="AI217" s="32">
        <f>IF(OR(H217="",B217=""),"",B217+ROW()/100000)</f>
        <v>0</v>
      </c>
      <c r="AJ217" s="32">
        <f>IF(OR(H217="",B217=""),"",IF(OR(X217="Published",X217="Cancelled",X217="Archived"),"",IF(B217&lt;TODAY(),"",B217+ROW()/100000)))</f>
        <v>0</v>
      </c>
      <c r="AK217" s="32">
        <f>IF(OR(H217="",B217=""),"",IF(OR(X217="Published",X217="Cancelled",X217="Archived"),"",IF(B217&gt;=TODAY(),"",B217+ROW()/100000)))</f>
        <v>0</v>
      </c>
      <c r="AL217" s="29">
        <f>IF(H217="","",IF(COUNTIFS('Content Calendar'!$H$5:$H$604,H217,'Content Calendar'!$G$5:$G$604,G217,'Content Calendar'!$B$5:$B$604,B217)&gt;1,"Duplicate","OK"))</f>
        <v>0</v>
      </c>
      <c r="AM217" s="29">
        <f>IF(H217="","",IF(AND(B217&lt;&gt;"",B217&lt;TODAY(),X217&lt;&gt;"Published",X217&lt;&gt;"Cancelled",X217&lt;&gt;"Archived"),"Overdue - date has passed",IF(AND(X217="Published",AB217=""),"Add - publish link missing",IF(AND(B217=TODAY(),X217&lt;&gt;"Published"),"Today - due to go live",IF(AND(Y217&lt;&gt;"",Y217&lt;TODAY(),OR(X217="Idea",X217="Brief",X217="In production")),"Late - draft not ready",IF(AND(AA217&gt;=0,AA217&lt;=3,OR(X217="Draft",X217="Awaiting review")),"Due - needs approval",IF(AND(H217&lt;&gt;"",P217=""),"Add - caption missing","OK")))))))</f>
        <v>0</v>
      </c>
    </row>
    <row r="218" spans="1:39">
      <c r="A218" s="41">
        <f>IF(H218="","",ContentPrefix&amp;TEXT(ROW()-4,"0000"))</f>
        <v>0</v>
      </c>
      <c r="D218" s="17">
        <f>IF(B218="","",TEXT(B218,"yyyy-mm"))</f>
        <v>0</v>
      </c>
      <c r="E218" s="23">
        <f>IF(B218="","",WEEKNUM(B218,IF(WeekStart="Sunday",1,2)))</f>
        <v>0</v>
      </c>
      <c r="F218" s="17">
        <f>IF(B218="","",TEXT(B218,"ddd"))</f>
        <v>0</v>
      </c>
      <c r="Q218" s="29">
        <f>IF(H218="","",IF(P218="","Add - no caption",IFERROR(INDEX('Caption Bank'!$R$5:$R$204,MATCH(P218,'Caption Bank'!$B$5:$B$204,0)),"Check - not in bank")))</f>
        <v>0</v>
      </c>
      <c r="S218" s="23">
        <f>IF(R218="","",COUNTIF('Hashtag Bank'!$D$5:$D$304,R218))</f>
        <v>0</v>
      </c>
      <c r="U218" s="29">
        <f>IF(H218="","",IF(T218="","Add - no asset",IFERROR(INDEX(Assets!$N$5:$N$254,MATCH(T218,Assets!$A$5:$A$254,0)),"Check - not in library")))</f>
        <v>0</v>
      </c>
      <c r="Y218" s="16">
        <f>IF(B218="","",B218-ProductionDays)</f>
        <v>0</v>
      </c>
      <c r="Z218" s="16">
        <f>IF(B218="","",B218-ApprovalDays)</f>
        <v>0</v>
      </c>
      <c r="AA218" s="23">
        <f>IF(B218="","",B218-TODAY())</f>
        <v>0</v>
      </c>
      <c r="AC218" s="29">
        <f>IF(H218="","",IF(X218="Published",IF(AB218="","Add - link missing","Yes"),"No"))</f>
        <v>0</v>
      </c>
      <c r="AD218" s="23">
        <f>IF(A218="","",IF(COUNTIF(Performance!$B$5:$B$404,A218)=0,"",SUMIFS(Performance!$O$5:$O$404,Performance!$B$5:$B$404,A218)))</f>
        <v>0</v>
      </c>
      <c r="AE218" s="23">
        <f>IF(AD218="","",SUMIFS(Performance!$Z$5:$Z$404,Performance!$B$5:$B$404,A218))</f>
        <v>0</v>
      </c>
      <c r="AF218" s="24">
        <f>IF(OR(AD218="",AD218=0),"",AE218/AD218)</f>
        <v>0</v>
      </c>
      <c r="AG218" s="23">
        <f>IF(AD218="","",SUMIFS(Performance!$U$5:$U$404,Performance!$B$5:$B$404,A218))</f>
        <v>0</v>
      </c>
      <c r="AH218" s="23">
        <f>IF(A218="","",COUNTIF(Repurposing!$B$5:$B$154,A218))</f>
        <v>0</v>
      </c>
      <c r="AI218" s="32">
        <f>IF(OR(H218="",B218=""),"",B218+ROW()/100000)</f>
        <v>0</v>
      </c>
      <c r="AJ218" s="32">
        <f>IF(OR(H218="",B218=""),"",IF(OR(X218="Published",X218="Cancelled",X218="Archived"),"",IF(B218&lt;TODAY(),"",B218+ROW()/100000)))</f>
        <v>0</v>
      </c>
      <c r="AK218" s="32">
        <f>IF(OR(H218="",B218=""),"",IF(OR(X218="Published",X218="Cancelled",X218="Archived"),"",IF(B218&gt;=TODAY(),"",B218+ROW()/100000)))</f>
        <v>0</v>
      </c>
      <c r="AL218" s="29">
        <f>IF(H218="","",IF(COUNTIFS('Content Calendar'!$H$5:$H$604,H218,'Content Calendar'!$G$5:$G$604,G218,'Content Calendar'!$B$5:$B$604,B218)&gt;1,"Duplicate","OK"))</f>
        <v>0</v>
      </c>
      <c r="AM218" s="29">
        <f>IF(H218="","",IF(AND(B218&lt;&gt;"",B218&lt;TODAY(),X218&lt;&gt;"Published",X218&lt;&gt;"Cancelled",X218&lt;&gt;"Archived"),"Overdue - date has passed",IF(AND(X218="Published",AB218=""),"Add - publish link missing",IF(AND(B218=TODAY(),X218&lt;&gt;"Published"),"Today - due to go live",IF(AND(Y218&lt;&gt;"",Y218&lt;TODAY(),OR(X218="Idea",X218="Brief",X218="In production")),"Late - draft not ready",IF(AND(AA218&gt;=0,AA218&lt;=3,OR(X218="Draft",X218="Awaiting review")),"Due - needs approval",IF(AND(H218&lt;&gt;"",P218=""),"Add - caption missing","OK")))))))</f>
        <v>0</v>
      </c>
    </row>
    <row r="219" spans="1:39">
      <c r="A219" s="41">
        <f>IF(H219="","",ContentPrefix&amp;TEXT(ROW()-4,"0000"))</f>
        <v>0</v>
      </c>
      <c r="D219" s="17">
        <f>IF(B219="","",TEXT(B219,"yyyy-mm"))</f>
        <v>0</v>
      </c>
      <c r="E219" s="23">
        <f>IF(B219="","",WEEKNUM(B219,IF(WeekStart="Sunday",1,2)))</f>
        <v>0</v>
      </c>
      <c r="F219" s="17">
        <f>IF(B219="","",TEXT(B219,"ddd"))</f>
        <v>0</v>
      </c>
      <c r="Q219" s="29">
        <f>IF(H219="","",IF(P219="","Add - no caption",IFERROR(INDEX('Caption Bank'!$R$5:$R$204,MATCH(P219,'Caption Bank'!$B$5:$B$204,0)),"Check - not in bank")))</f>
        <v>0</v>
      </c>
      <c r="S219" s="23">
        <f>IF(R219="","",COUNTIF('Hashtag Bank'!$D$5:$D$304,R219))</f>
        <v>0</v>
      </c>
      <c r="U219" s="29">
        <f>IF(H219="","",IF(T219="","Add - no asset",IFERROR(INDEX(Assets!$N$5:$N$254,MATCH(T219,Assets!$A$5:$A$254,0)),"Check - not in library")))</f>
        <v>0</v>
      </c>
      <c r="Y219" s="16">
        <f>IF(B219="","",B219-ProductionDays)</f>
        <v>0</v>
      </c>
      <c r="Z219" s="16">
        <f>IF(B219="","",B219-ApprovalDays)</f>
        <v>0</v>
      </c>
      <c r="AA219" s="23">
        <f>IF(B219="","",B219-TODAY())</f>
        <v>0</v>
      </c>
      <c r="AC219" s="29">
        <f>IF(H219="","",IF(X219="Published",IF(AB219="","Add - link missing","Yes"),"No"))</f>
        <v>0</v>
      </c>
      <c r="AD219" s="23">
        <f>IF(A219="","",IF(COUNTIF(Performance!$B$5:$B$404,A219)=0,"",SUMIFS(Performance!$O$5:$O$404,Performance!$B$5:$B$404,A219)))</f>
        <v>0</v>
      </c>
      <c r="AE219" s="23">
        <f>IF(AD219="","",SUMIFS(Performance!$Z$5:$Z$404,Performance!$B$5:$B$404,A219))</f>
        <v>0</v>
      </c>
      <c r="AF219" s="24">
        <f>IF(OR(AD219="",AD219=0),"",AE219/AD219)</f>
        <v>0</v>
      </c>
      <c r="AG219" s="23">
        <f>IF(AD219="","",SUMIFS(Performance!$U$5:$U$404,Performance!$B$5:$B$404,A219))</f>
        <v>0</v>
      </c>
      <c r="AH219" s="23">
        <f>IF(A219="","",COUNTIF(Repurposing!$B$5:$B$154,A219))</f>
        <v>0</v>
      </c>
      <c r="AI219" s="32">
        <f>IF(OR(H219="",B219=""),"",B219+ROW()/100000)</f>
        <v>0</v>
      </c>
      <c r="AJ219" s="32">
        <f>IF(OR(H219="",B219=""),"",IF(OR(X219="Published",X219="Cancelled",X219="Archived"),"",IF(B219&lt;TODAY(),"",B219+ROW()/100000)))</f>
        <v>0</v>
      </c>
      <c r="AK219" s="32">
        <f>IF(OR(H219="",B219=""),"",IF(OR(X219="Published",X219="Cancelled",X219="Archived"),"",IF(B219&gt;=TODAY(),"",B219+ROW()/100000)))</f>
        <v>0</v>
      </c>
      <c r="AL219" s="29">
        <f>IF(H219="","",IF(COUNTIFS('Content Calendar'!$H$5:$H$604,H219,'Content Calendar'!$G$5:$G$604,G219,'Content Calendar'!$B$5:$B$604,B219)&gt;1,"Duplicate","OK"))</f>
        <v>0</v>
      </c>
      <c r="AM219" s="29">
        <f>IF(H219="","",IF(AND(B219&lt;&gt;"",B219&lt;TODAY(),X219&lt;&gt;"Published",X219&lt;&gt;"Cancelled",X219&lt;&gt;"Archived"),"Overdue - date has passed",IF(AND(X219="Published",AB219=""),"Add - publish link missing",IF(AND(B219=TODAY(),X219&lt;&gt;"Published"),"Today - due to go live",IF(AND(Y219&lt;&gt;"",Y219&lt;TODAY(),OR(X219="Idea",X219="Brief",X219="In production")),"Late - draft not ready",IF(AND(AA219&gt;=0,AA219&lt;=3,OR(X219="Draft",X219="Awaiting review")),"Due - needs approval",IF(AND(H219&lt;&gt;"",P219=""),"Add - caption missing","OK")))))))</f>
        <v>0</v>
      </c>
    </row>
    <row r="220" spans="1:39">
      <c r="A220" s="41">
        <f>IF(H220="","",ContentPrefix&amp;TEXT(ROW()-4,"0000"))</f>
        <v>0</v>
      </c>
      <c r="D220" s="17">
        <f>IF(B220="","",TEXT(B220,"yyyy-mm"))</f>
        <v>0</v>
      </c>
      <c r="E220" s="23">
        <f>IF(B220="","",WEEKNUM(B220,IF(WeekStart="Sunday",1,2)))</f>
        <v>0</v>
      </c>
      <c r="F220" s="17">
        <f>IF(B220="","",TEXT(B220,"ddd"))</f>
        <v>0</v>
      </c>
      <c r="Q220" s="29">
        <f>IF(H220="","",IF(P220="","Add - no caption",IFERROR(INDEX('Caption Bank'!$R$5:$R$204,MATCH(P220,'Caption Bank'!$B$5:$B$204,0)),"Check - not in bank")))</f>
        <v>0</v>
      </c>
      <c r="S220" s="23">
        <f>IF(R220="","",COUNTIF('Hashtag Bank'!$D$5:$D$304,R220))</f>
        <v>0</v>
      </c>
      <c r="U220" s="29">
        <f>IF(H220="","",IF(T220="","Add - no asset",IFERROR(INDEX(Assets!$N$5:$N$254,MATCH(T220,Assets!$A$5:$A$254,0)),"Check - not in library")))</f>
        <v>0</v>
      </c>
      <c r="Y220" s="16">
        <f>IF(B220="","",B220-ProductionDays)</f>
        <v>0</v>
      </c>
      <c r="Z220" s="16">
        <f>IF(B220="","",B220-ApprovalDays)</f>
        <v>0</v>
      </c>
      <c r="AA220" s="23">
        <f>IF(B220="","",B220-TODAY())</f>
        <v>0</v>
      </c>
      <c r="AC220" s="29">
        <f>IF(H220="","",IF(X220="Published",IF(AB220="","Add - link missing","Yes"),"No"))</f>
        <v>0</v>
      </c>
      <c r="AD220" s="23">
        <f>IF(A220="","",IF(COUNTIF(Performance!$B$5:$B$404,A220)=0,"",SUMIFS(Performance!$O$5:$O$404,Performance!$B$5:$B$404,A220)))</f>
        <v>0</v>
      </c>
      <c r="AE220" s="23">
        <f>IF(AD220="","",SUMIFS(Performance!$Z$5:$Z$404,Performance!$B$5:$B$404,A220))</f>
        <v>0</v>
      </c>
      <c r="AF220" s="24">
        <f>IF(OR(AD220="",AD220=0),"",AE220/AD220)</f>
        <v>0</v>
      </c>
      <c r="AG220" s="23">
        <f>IF(AD220="","",SUMIFS(Performance!$U$5:$U$404,Performance!$B$5:$B$404,A220))</f>
        <v>0</v>
      </c>
      <c r="AH220" s="23">
        <f>IF(A220="","",COUNTIF(Repurposing!$B$5:$B$154,A220))</f>
        <v>0</v>
      </c>
      <c r="AI220" s="32">
        <f>IF(OR(H220="",B220=""),"",B220+ROW()/100000)</f>
        <v>0</v>
      </c>
      <c r="AJ220" s="32">
        <f>IF(OR(H220="",B220=""),"",IF(OR(X220="Published",X220="Cancelled",X220="Archived"),"",IF(B220&lt;TODAY(),"",B220+ROW()/100000)))</f>
        <v>0</v>
      </c>
      <c r="AK220" s="32">
        <f>IF(OR(H220="",B220=""),"",IF(OR(X220="Published",X220="Cancelled",X220="Archived"),"",IF(B220&gt;=TODAY(),"",B220+ROW()/100000)))</f>
        <v>0</v>
      </c>
      <c r="AL220" s="29">
        <f>IF(H220="","",IF(COUNTIFS('Content Calendar'!$H$5:$H$604,H220,'Content Calendar'!$G$5:$G$604,G220,'Content Calendar'!$B$5:$B$604,B220)&gt;1,"Duplicate","OK"))</f>
        <v>0</v>
      </c>
      <c r="AM220" s="29">
        <f>IF(H220="","",IF(AND(B220&lt;&gt;"",B220&lt;TODAY(),X220&lt;&gt;"Published",X220&lt;&gt;"Cancelled",X220&lt;&gt;"Archived"),"Overdue - date has passed",IF(AND(X220="Published",AB220=""),"Add - publish link missing",IF(AND(B220=TODAY(),X220&lt;&gt;"Published"),"Today - due to go live",IF(AND(Y220&lt;&gt;"",Y220&lt;TODAY(),OR(X220="Idea",X220="Brief",X220="In production")),"Late - draft not ready",IF(AND(AA220&gt;=0,AA220&lt;=3,OR(X220="Draft",X220="Awaiting review")),"Due - needs approval",IF(AND(H220&lt;&gt;"",P220=""),"Add - caption missing","OK")))))))</f>
        <v>0</v>
      </c>
    </row>
    <row r="221" spans="1:39">
      <c r="A221" s="41">
        <f>IF(H221="","",ContentPrefix&amp;TEXT(ROW()-4,"0000"))</f>
        <v>0</v>
      </c>
      <c r="D221" s="17">
        <f>IF(B221="","",TEXT(B221,"yyyy-mm"))</f>
        <v>0</v>
      </c>
      <c r="E221" s="23">
        <f>IF(B221="","",WEEKNUM(B221,IF(WeekStart="Sunday",1,2)))</f>
        <v>0</v>
      </c>
      <c r="F221" s="17">
        <f>IF(B221="","",TEXT(B221,"ddd"))</f>
        <v>0</v>
      </c>
      <c r="Q221" s="29">
        <f>IF(H221="","",IF(P221="","Add - no caption",IFERROR(INDEX('Caption Bank'!$R$5:$R$204,MATCH(P221,'Caption Bank'!$B$5:$B$204,0)),"Check - not in bank")))</f>
        <v>0</v>
      </c>
      <c r="S221" s="23">
        <f>IF(R221="","",COUNTIF('Hashtag Bank'!$D$5:$D$304,R221))</f>
        <v>0</v>
      </c>
      <c r="U221" s="29">
        <f>IF(H221="","",IF(T221="","Add - no asset",IFERROR(INDEX(Assets!$N$5:$N$254,MATCH(T221,Assets!$A$5:$A$254,0)),"Check - not in library")))</f>
        <v>0</v>
      </c>
      <c r="Y221" s="16">
        <f>IF(B221="","",B221-ProductionDays)</f>
        <v>0</v>
      </c>
      <c r="Z221" s="16">
        <f>IF(B221="","",B221-ApprovalDays)</f>
        <v>0</v>
      </c>
      <c r="AA221" s="23">
        <f>IF(B221="","",B221-TODAY())</f>
        <v>0</v>
      </c>
      <c r="AC221" s="29">
        <f>IF(H221="","",IF(X221="Published",IF(AB221="","Add - link missing","Yes"),"No"))</f>
        <v>0</v>
      </c>
      <c r="AD221" s="23">
        <f>IF(A221="","",IF(COUNTIF(Performance!$B$5:$B$404,A221)=0,"",SUMIFS(Performance!$O$5:$O$404,Performance!$B$5:$B$404,A221)))</f>
        <v>0</v>
      </c>
      <c r="AE221" s="23">
        <f>IF(AD221="","",SUMIFS(Performance!$Z$5:$Z$404,Performance!$B$5:$B$404,A221))</f>
        <v>0</v>
      </c>
      <c r="AF221" s="24">
        <f>IF(OR(AD221="",AD221=0),"",AE221/AD221)</f>
        <v>0</v>
      </c>
      <c r="AG221" s="23">
        <f>IF(AD221="","",SUMIFS(Performance!$U$5:$U$404,Performance!$B$5:$B$404,A221))</f>
        <v>0</v>
      </c>
      <c r="AH221" s="23">
        <f>IF(A221="","",COUNTIF(Repurposing!$B$5:$B$154,A221))</f>
        <v>0</v>
      </c>
      <c r="AI221" s="32">
        <f>IF(OR(H221="",B221=""),"",B221+ROW()/100000)</f>
        <v>0</v>
      </c>
      <c r="AJ221" s="32">
        <f>IF(OR(H221="",B221=""),"",IF(OR(X221="Published",X221="Cancelled",X221="Archived"),"",IF(B221&lt;TODAY(),"",B221+ROW()/100000)))</f>
        <v>0</v>
      </c>
      <c r="AK221" s="32">
        <f>IF(OR(H221="",B221=""),"",IF(OR(X221="Published",X221="Cancelled",X221="Archived"),"",IF(B221&gt;=TODAY(),"",B221+ROW()/100000)))</f>
        <v>0</v>
      </c>
      <c r="AL221" s="29">
        <f>IF(H221="","",IF(COUNTIFS('Content Calendar'!$H$5:$H$604,H221,'Content Calendar'!$G$5:$G$604,G221,'Content Calendar'!$B$5:$B$604,B221)&gt;1,"Duplicate","OK"))</f>
        <v>0</v>
      </c>
      <c r="AM221" s="29">
        <f>IF(H221="","",IF(AND(B221&lt;&gt;"",B221&lt;TODAY(),X221&lt;&gt;"Published",X221&lt;&gt;"Cancelled",X221&lt;&gt;"Archived"),"Overdue - date has passed",IF(AND(X221="Published",AB221=""),"Add - publish link missing",IF(AND(B221=TODAY(),X221&lt;&gt;"Published"),"Today - due to go live",IF(AND(Y221&lt;&gt;"",Y221&lt;TODAY(),OR(X221="Idea",X221="Brief",X221="In production")),"Late - draft not ready",IF(AND(AA221&gt;=0,AA221&lt;=3,OR(X221="Draft",X221="Awaiting review")),"Due - needs approval",IF(AND(H221&lt;&gt;"",P221=""),"Add - caption missing","OK")))))))</f>
        <v>0</v>
      </c>
    </row>
    <row r="222" spans="1:39">
      <c r="A222" s="41">
        <f>IF(H222="","",ContentPrefix&amp;TEXT(ROW()-4,"0000"))</f>
        <v>0</v>
      </c>
      <c r="D222" s="17">
        <f>IF(B222="","",TEXT(B222,"yyyy-mm"))</f>
        <v>0</v>
      </c>
      <c r="E222" s="23">
        <f>IF(B222="","",WEEKNUM(B222,IF(WeekStart="Sunday",1,2)))</f>
        <v>0</v>
      </c>
      <c r="F222" s="17">
        <f>IF(B222="","",TEXT(B222,"ddd"))</f>
        <v>0</v>
      </c>
      <c r="Q222" s="29">
        <f>IF(H222="","",IF(P222="","Add - no caption",IFERROR(INDEX('Caption Bank'!$R$5:$R$204,MATCH(P222,'Caption Bank'!$B$5:$B$204,0)),"Check - not in bank")))</f>
        <v>0</v>
      </c>
      <c r="S222" s="23">
        <f>IF(R222="","",COUNTIF('Hashtag Bank'!$D$5:$D$304,R222))</f>
        <v>0</v>
      </c>
      <c r="U222" s="29">
        <f>IF(H222="","",IF(T222="","Add - no asset",IFERROR(INDEX(Assets!$N$5:$N$254,MATCH(T222,Assets!$A$5:$A$254,0)),"Check - not in library")))</f>
        <v>0</v>
      </c>
      <c r="Y222" s="16">
        <f>IF(B222="","",B222-ProductionDays)</f>
        <v>0</v>
      </c>
      <c r="Z222" s="16">
        <f>IF(B222="","",B222-ApprovalDays)</f>
        <v>0</v>
      </c>
      <c r="AA222" s="23">
        <f>IF(B222="","",B222-TODAY())</f>
        <v>0</v>
      </c>
      <c r="AC222" s="29">
        <f>IF(H222="","",IF(X222="Published",IF(AB222="","Add - link missing","Yes"),"No"))</f>
        <v>0</v>
      </c>
      <c r="AD222" s="23">
        <f>IF(A222="","",IF(COUNTIF(Performance!$B$5:$B$404,A222)=0,"",SUMIFS(Performance!$O$5:$O$404,Performance!$B$5:$B$404,A222)))</f>
        <v>0</v>
      </c>
      <c r="AE222" s="23">
        <f>IF(AD222="","",SUMIFS(Performance!$Z$5:$Z$404,Performance!$B$5:$B$404,A222))</f>
        <v>0</v>
      </c>
      <c r="AF222" s="24">
        <f>IF(OR(AD222="",AD222=0),"",AE222/AD222)</f>
        <v>0</v>
      </c>
      <c r="AG222" s="23">
        <f>IF(AD222="","",SUMIFS(Performance!$U$5:$U$404,Performance!$B$5:$B$404,A222))</f>
        <v>0</v>
      </c>
      <c r="AH222" s="23">
        <f>IF(A222="","",COUNTIF(Repurposing!$B$5:$B$154,A222))</f>
        <v>0</v>
      </c>
      <c r="AI222" s="32">
        <f>IF(OR(H222="",B222=""),"",B222+ROW()/100000)</f>
        <v>0</v>
      </c>
      <c r="AJ222" s="32">
        <f>IF(OR(H222="",B222=""),"",IF(OR(X222="Published",X222="Cancelled",X222="Archived"),"",IF(B222&lt;TODAY(),"",B222+ROW()/100000)))</f>
        <v>0</v>
      </c>
      <c r="AK222" s="32">
        <f>IF(OR(H222="",B222=""),"",IF(OR(X222="Published",X222="Cancelled",X222="Archived"),"",IF(B222&gt;=TODAY(),"",B222+ROW()/100000)))</f>
        <v>0</v>
      </c>
      <c r="AL222" s="29">
        <f>IF(H222="","",IF(COUNTIFS('Content Calendar'!$H$5:$H$604,H222,'Content Calendar'!$G$5:$G$604,G222,'Content Calendar'!$B$5:$B$604,B222)&gt;1,"Duplicate","OK"))</f>
        <v>0</v>
      </c>
      <c r="AM222" s="29">
        <f>IF(H222="","",IF(AND(B222&lt;&gt;"",B222&lt;TODAY(),X222&lt;&gt;"Published",X222&lt;&gt;"Cancelled",X222&lt;&gt;"Archived"),"Overdue - date has passed",IF(AND(X222="Published",AB222=""),"Add - publish link missing",IF(AND(B222=TODAY(),X222&lt;&gt;"Published"),"Today - due to go live",IF(AND(Y222&lt;&gt;"",Y222&lt;TODAY(),OR(X222="Idea",X222="Brief",X222="In production")),"Late - draft not ready",IF(AND(AA222&gt;=0,AA222&lt;=3,OR(X222="Draft",X222="Awaiting review")),"Due - needs approval",IF(AND(H222&lt;&gt;"",P222=""),"Add - caption missing","OK")))))))</f>
        <v>0</v>
      </c>
    </row>
    <row r="223" spans="1:39">
      <c r="A223" s="41">
        <f>IF(H223="","",ContentPrefix&amp;TEXT(ROW()-4,"0000"))</f>
        <v>0</v>
      </c>
      <c r="D223" s="17">
        <f>IF(B223="","",TEXT(B223,"yyyy-mm"))</f>
        <v>0</v>
      </c>
      <c r="E223" s="23">
        <f>IF(B223="","",WEEKNUM(B223,IF(WeekStart="Sunday",1,2)))</f>
        <v>0</v>
      </c>
      <c r="F223" s="17">
        <f>IF(B223="","",TEXT(B223,"ddd"))</f>
        <v>0</v>
      </c>
      <c r="Q223" s="29">
        <f>IF(H223="","",IF(P223="","Add - no caption",IFERROR(INDEX('Caption Bank'!$R$5:$R$204,MATCH(P223,'Caption Bank'!$B$5:$B$204,0)),"Check - not in bank")))</f>
        <v>0</v>
      </c>
      <c r="S223" s="23">
        <f>IF(R223="","",COUNTIF('Hashtag Bank'!$D$5:$D$304,R223))</f>
        <v>0</v>
      </c>
      <c r="U223" s="29">
        <f>IF(H223="","",IF(T223="","Add - no asset",IFERROR(INDEX(Assets!$N$5:$N$254,MATCH(T223,Assets!$A$5:$A$254,0)),"Check - not in library")))</f>
        <v>0</v>
      </c>
      <c r="Y223" s="16">
        <f>IF(B223="","",B223-ProductionDays)</f>
        <v>0</v>
      </c>
      <c r="Z223" s="16">
        <f>IF(B223="","",B223-ApprovalDays)</f>
        <v>0</v>
      </c>
      <c r="AA223" s="23">
        <f>IF(B223="","",B223-TODAY())</f>
        <v>0</v>
      </c>
      <c r="AC223" s="29">
        <f>IF(H223="","",IF(X223="Published",IF(AB223="","Add - link missing","Yes"),"No"))</f>
        <v>0</v>
      </c>
      <c r="AD223" s="23">
        <f>IF(A223="","",IF(COUNTIF(Performance!$B$5:$B$404,A223)=0,"",SUMIFS(Performance!$O$5:$O$404,Performance!$B$5:$B$404,A223)))</f>
        <v>0</v>
      </c>
      <c r="AE223" s="23">
        <f>IF(AD223="","",SUMIFS(Performance!$Z$5:$Z$404,Performance!$B$5:$B$404,A223))</f>
        <v>0</v>
      </c>
      <c r="AF223" s="24">
        <f>IF(OR(AD223="",AD223=0),"",AE223/AD223)</f>
        <v>0</v>
      </c>
      <c r="AG223" s="23">
        <f>IF(AD223="","",SUMIFS(Performance!$U$5:$U$404,Performance!$B$5:$B$404,A223))</f>
        <v>0</v>
      </c>
      <c r="AH223" s="23">
        <f>IF(A223="","",COUNTIF(Repurposing!$B$5:$B$154,A223))</f>
        <v>0</v>
      </c>
      <c r="AI223" s="32">
        <f>IF(OR(H223="",B223=""),"",B223+ROW()/100000)</f>
        <v>0</v>
      </c>
      <c r="AJ223" s="32">
        <f>IF(OR(H223="",B223=""),"",IF(OR(X223="Published",X223="Cancelled",X223="Archived"),"",IF(B223&lt;TODAY(),"",B223+ROW()/100000)))</f>
        <v>0</v>
      </c>
      <c r="AK223" s="32">
        <f>IF(OR(H223="",B223=""),"",IF(OR(X223="Published",X223="Cancelled",X223="Archived"),"",IF(B223&gt;=TODAY(),"",B223+ROW()/100000)))</f>
        <v>0</v>
      </c>
      <c r="AL223" s="29">
        <f>IF(H223="","",IF(COUNTIFS('Content Calendar'!$H$5:$H$604,H223,'Content Calendar'!$G$5:$G$604,G223,'Content Calendar'!$B$5:$B$604,B223)&gt;1,"Duplicate","OK"))</f>
        <v>0</v>
      </c>
      <c r="AM223" s="29">
        <f>IF(H223="","",IF(AND(B223&lt;&gt;"",B223&lt;TODAY(),X223&lt;&gt;"Published",X223&lt;&gt;"Cancelled",X223&lt;&gt;"Archived"),"Overdue - date has passed",IF(AND(X223="Published",AB223=""),"Add - publish link missing",IF(AND(B223=TODAY(),X223&lt;&gt;"Published"),"Today - due to go live",IF(AND(Y223&lt;&gt;"",Y223&lt;TODAY(),OR(X223="Idea",X223="Brief",X223="In production")),"Late - draft not ready",IF(AND(AA223&gt;=0,AA223&lt;=3,OR(X223="Draft",X223="Awaiting review")),"Due - needs approval",IF(AND(H223&lt;&gt;"",P223=""),"Add - caption missing","OK")))))))</f>
        <v>0</v>
      </c>
    </row>
    <row r="224" spans="1:39">
      <c r="A224" s="41">
        <f>IF(H224="","",ContentPrefix&amp;TEXT(ROW()-4,"0000"))</f>
        <v>0</v>
      </c>
      <c r="D224" s="17">
        <f>IF(B224="","",TEXT(B224,"yyyy-mm"))</f>
        <v>0</v>
      </c>
      <c r="E224" s="23">
        <f>IF(B224="","",WEEKNUM(B224,IF(WeekStart="Sunday",1,2)))</f>
        <v>0</v>
      </c>
      <c r="F224" s="17">
        <f>IF(B224="","",TEXT(B224,"ddd"))</f>
        <v>0</v>
      </c>
      <c r="Q224" s="29">
        <f>IF(H224="","",IF(P224="","Add - no caption",IFERROR(INDEX('Caption Bank'!$R$5:$R$204,MATCH(P224,'Caption Bank'!$B$5:$B$204,0)),"Check - not in bank")))</f>
        <v>0</v>
      </c>
      <c r="S224" s="23">
        <f>IF(R224="","",COUNTIF('Hashtag Bank'!$D$5:$D$304,R224))</f>
        <v>0</v>
      </c>
      <c r="U224" s="29">
        <f>IF(H224="","",IF(T224="","Add - no asset",IFERROR(INDEX(Assets!$N$5:$N$254,MATCH(T224,Assets!$A$5:$A$254,0)),"Check - not in library")))</f>
        <v>0</v>
      </c>
      <c r="Y224" s="16">
        <f>IF(B224="","",B224-ProductionDays)</f>
        <v>0</v>
      </c>
      <c r="Z224" s="16">
        <f>IF(B224="","",B224-ApprovalDays)</f>
        <v>0</v>
      </c>
      <c r="AA224" s="23">
        <f>IF(B224="","",B224-TODAY())</f>
        <v>0</v>
      </c>
      <c r="AC224" s="29">
        <f>IF(H224="","",IF(X224="Published",IF(AB224="","Add - link missing","Yes"),"No"))</f>
        <v>0</v>
      </c>
      <c r="AD224" s="23">
        <f>IF(A224="","",IF(COUNTIF(Performance!$B$5:$B$404,A224)=0,"",SUMIFS(Performance!$O$5:$O$404,Performance!$B$5:$B$404,A224)))</f>
        <v>0</v>
      </c>
      <c r="AE224" s="23">
        <f>IF(AD224="","",SUMIFS(Performance!$Z$5:$Z$404,Performance!$B$5:$B$404,A224))</f>
        <v>0</v>
      </c>
      <c r="AF224" s="24">
        <f>IF(OR(AD224="",AD224=0),"",AE224/AD224)</f>
        <v>0</v>
      </c>
      <c r="AG224" s="23">
        <f>IF(AD224="","",SUMIFS(Performance!$U$5:$U$404,Performance!$B$5:$B$404,A224))</f>
        <v>0</v>
      </c>
      <c r="AH224" s="23">
        <f>IF(A224="","",COUNTIF(Repurposing!$B$5:$B$154,A224))</f>
        <v>0</v>
      </c>
      <c r="AI224" s="32">
        <f>IF(OR(H224="",B224=""),"",B224+ROW()/100000)</f>
        <v>0</v>
      </c>
      <c r="AJ224" s="32">
        <f>IF(OR(H224="",B224=""),"",IF(OR(X224="Published",X224="Cancelled",X224="Archived"),"",IF(B224&lt;TODAY(),"",B224+ROW()/100000)))</f>
        <v>0</v>
      </c>
      <c r="AK224" s="32">
        <f>IF(OR(H224="",B224=""),"",IF(OR(X224="Published",X224="Cancelled",X224="Archived"),"",IF(B224&gt;=TODAY(),"",B224+ROW()/100000)))</f>
        <v>0</v>
      </c>
      <c r="AL224" s="29">
        <f>IF(H224="","",IF(COUNTIFS('Content Calendar'!$H$5:$H$604,H224,'Content Calendar'!$G$5:$G$604,G224,'Content Calendar'!$B$5:$B$604,B224)&gt;1,"Duplicate","OK"))</f>
        <v>0</v>
      </c>
      <c r="AM224" s="29">
        <f>IF(H224="","",IF(AND(B224&lt;&gt;"",B224&lt;TODAY(),X224&lt;&gt;"Published",X224&lt;&gt;"Cancelled",X224&lt;&gt;"Archived"),"Overdue - date has passed",IF(AND(X224="Published",AB224=""),"Add - publish link missing",IF(AND(B224=TODAY(),X224&lt;&gt;"Published"),"Today - due to go live",IF(AND(Y224&lt;&gt;"",Y224&lt;TODAY(),OR(X224="Idea",X224="Brief",X224="In production")),"Late - draft not ready",IF(AND(AA224&gt;=0,AA224&lt;=3,OR(X224="Draft",X224="Awaiting review")),"Due - needs approval",IF(AND(H224&lt;&gt;"",P224=""),"Add - caption missing","OK")))))))</f>
        <v>0</v>
      </c>
    </row>
    <row r="225" spans="1:39">
      <c r="A225" s="41">
        <f>IF(H225="","",ContentPrefix&amp;TEXT(ROW()-4,"0000"))</f>
        <v>0</v>
      </c>
      <c r="D225" s="17">
        <f>IF(B225="","",TEXT(B225,"yyyy-mm"))</f>
        <v>0</v>
      </c>
      <c r="E225" s="23">
        <f>IF(B225="","",WEEKNUM(B225,IF(WeekStart="Sunday",1,2)))</f>
        <v>0</v>
      </c>
      <c r="F225" s="17">
        <f>IF(B225="","",TEXT(B225,"ddd"))</f>
        <v>0</v>
      </c>
      <c r="Q225" s="29">
        <f>IF(H225="","",IF(P225="","Add - no caption",IFERROR(INDEX('Caption Bank'!$R$5:$R$204,MATCH(P225,'Caption Bank'!$B$5:$B$204,0)),"Check - not in bank")))</f>
        <v>0</v>
      </c>
      <c r="S225" s="23">
        <f>IF(R225="","",COUNTIF('Hashtag Bank'!$D$5:$D$304,R225))</f>
        <v>0</v>
      </c>
      <c r="U225" s="29">
        <f>IF(H225="","",IF(T225="","Add - no asset",IFERROR(INDEX(Assets!$N$5:$N$254,MATCH(T225,Assets!$A$5:$A$254,0)),"Check - not in library")))</f>
        <v>0</v>
      </c>
      <c r="Y225" s="16">
        <f>IF(B225="","",B225-ProductionDays)</f>
        <v>0</v>
      </c>
      <c r="Z225" s="16">
        <f>IF(B225="","",B225-ApprovalDays)</f>
        <v>0</v>
      </c>
      <c r="AA225" s="23">
        <f>IF(B225="","",B225-TODAY())</f>
        <v>0</v>
      </c>
      <c r="AC225" s="29">
        <f>IF(H225="","",IF(X225="Published",IF(AB225="","Add - link missing","Yes"),"No"))</f>
        <v>0</v>
      </c>
      <c r="AD225" s="23">
        <f>IF(A225="","",IF(COUNTIF(Performance!$B$5:$B$404,A225)=0,"",SUMIFS(Performance!$O$5:$O$404,Performance!$B$5:$B$404,A225)))</f>
        <v>0</v>
      </c>
      <c r="AE225" s="23">
        <f>IF(AD225="","",SUMIFS(Performance!$Z$5:$Z$404,Performance!$B$5:$B$404,A225))</f>
        <v>0</v>
      </c>
      <c r="AF225" s="24">
        <f>IF(OR(AD225="",AD225=0),"",AE225/AD225)</f>
        <v>0</v>
      </c>
      <c r="AG225" s="23">
        <f>IF(AD225="","",SUMIFS(Performance!$U$5:$U$404,Performance!$B$5:$B$404,A225))</f>
        <v>0</v>
      </c>
      <c r="AH225" s="23">
        <f>IF(A225="","",COUNTIF(Repurposing!$B$5:$B$154,A225))</f>
        <v>0</v>
      </c>
      <c r="AI225" s="32">
        <f>IF(OR(H225="",B225=""),"",B225+ROW()/100000)</f>
        <v>0</v>
      </c>
      <c r="AJ225" s="32">
        <f>IF(OR(H225="",B225=""),"",IF(OR(X225="Published",X225="Cancelled",X225="Archived"),"",IF(B225&lt;TODAY(),"",B225+ROW()/100000)))</f>
        <v>0</v>
      </c>
      <c r="AK225" s="32">
        <f>IF(OR(H225="",B225=""),"",IF(OR(X225="Published",X225="Cancelled",X225="Archived"),"",IF(B225&gt;=TODAY(),"",B225+ROW()/100000)))</f>
        <v>0</v>
      </c>
      <c r="AL225" s="29">
        <f>IF(H225="","",IF(COUNTIFS('Content Calendar'!$H$5:$H$604,H225,'Content Calendar'!$G$5:$G$604,G225,'Content Calendar'!$B$5:$B$604,B225)&gt;1,"Duplicate","OK"))</f>
        <v>0</v>
      </c>
      <c r="AM225" s="29">
        <f>IF(H225="","",IF(AND(B225&lt;&gt;"",B225&lt;TODAY(),X225&lt;&gt;"Published",X225&lt;&gt;"Cancelled",X225&lt;&gt;"Archived"),"Overdue - date has passed",IF(AND(X225="Published",AB225=""),"Add - publish link missing",IF(AND(B225=TODAY(),X225&lt;&gt;"Published"),"Today - due to go live",IF(AND(Y225&lt;&gt;"",Y225&lt;TODAY(),OR(X225="Idea",X225="Brief",X225="In production")),"Late - draft not ready",IF(AND(AA225&gt;=0,AA225&lt;=3,OR(X225="Draft",X225="Awaiting review")),"Due - needs approval",IF(AND(H225&lt;&gt;"",P225=""),"Add - caption missing","OK")))))))</f>
        <v>0</v>
      </c>
    </row>
    <row r="226" spans="1:39">
      <c r="A226" s="41">
        <f>IF(H226="","",ContentPrefix&amp;TEXT(ROW()-4,"0000"))</f>
        <v>0</v>
      </c>
      <c r="D226" s="17">
        <f>IF(B226="","",TEXT(B226,"yyyy-mm"))</f>
        <v>0</v>
      </c>
      <c r="E226" s="23">
        <f>IF(B226="","",WEEKNUM(B226,IF(WeekStart="Sunday",1,2)))</f>
        <v>0</v>
      </c>
      <c r="F226" s="17">
        <f>IF(B226="","",TEXT(B226,"ddd"))</f>
        <v>0</v>
      </c>
      <c r="Q226" s="29">
        <f>IF(H226="","",IF(P226="","Add - no caption",IFERROR(INDEX('Caption Bank'!$R$5:$R$204,MATCH(P226,'Caption Bank'!$B$5:$B$204,0)),"Check - not in bank")))</f>
        <v>0</v>
      </c>
      <c r="S226" s="23">
        <f>IF(R226="","",COUNTIF('Hashtag Bank'!$D$5:$D$304,R226))</f>
        <v>0</v>
      </c>
      <c r="U226" s="29">
        <f>IF(H226="","",IF(T226="","Add - no asset",IFERROR(INDEX(Assets!$N$5:$N$254,MATCH(T226,Assets!$A$5:$A$254,0)),"Check - not in library")))</f>
        <v>0</v>
      </c>
      <c r="Y226" s="16">
        <f>IF(B226="","",B226-ProductionDays)</f>
        <v>0</v>
      </c>
      <c r="Z226" s="16">
        <f>IF(B226="","",B226-ApprovalDays)</f>
        <v>0</v>
      </c>
      <c r="AA226" s="23">
        <f>IF(B226="","",B226-TODAY())</f>
        <v>0</v>
      </c>
      <c r="AC226" s="29">
        <f>IF(H226="","",IF(X226="Published",IF(AB226="","Add - link missing","Yes"),"No"))</f>
        <v>0</v>
      </c>
      <c r="AD226" s="23">
        <f>IF(A226="","",IF(COUNTIF(Performance!$B$5:$B$404,A226)=0,"",SUMIFS(Performance!$O$5:$O$404,Performance!$B$5:$B$404,A226)))</f>
        <v>0</v>
      </c>
      <c r="AE226" s="23">
        <f>IF(AD226="","",SUMIFS(Performance!$Z$5:$Z$404,Performance!$B$5:$B$404,A226))</f>
        <v>0</v>
      </c>
      <c r="AF226" s="24">
        <f>IF(OR(AD226="",AD226=0),"",AE226/AD226)</f>
        <v>0</v>
      </c>
      <c r="AG226" s="23">
        <f>IF(AD226="","",SUMIFS(Performance!$U$5:$U$404,Performance!$B$5:$B$404,A226))</f>
        <v>0</v>
      </c>
      <c r="AH226" s="23">
        <f>IF(A226="","",COUNTIF(Repurposing!$B$5:$B$154,A226))</f>
        <v>0</v>
      </c>
      <c r="AI226" s="32">
        <f>IF(OR(H226="",B226=""),"",B226+ROW()/100000)</f>
        <v>0</v>
      </c>
      <c r="AJ226" s="32">
        <f>IF(OR(H226="",B226=""),"",IF(OR(X226="Published",X226="Cancelled",X226="Archived"),"",IF(B226&lt;TODAY(),"",B226+ROW()/100000)))</f>
        <v>0</v>
      </c>
      <c r="AK226" s="32">
        <f>IF(OR(H226="",B226=""),"",IF(OR(X226="Published",X226="Cancelled",X226="Archived"),"",IF(B226&gt;=TODAY(),"",B226+ROW()/100000)))</f>
        <v>0</v>
      </c>
      <c r="AL226" s="29">
        <f>IF(H226="","",IF(COUNTIFS('Content Calendar'!$H$5:$H$604,H226,'Content Calendar'!$G$5:$G$604,G226,'Content Calendar'!$B$5:$B$604,B226)&gt;1,"Duplicate","OK"))</f>
        <v>0</v>
      </c>
      <c r="AM226" s="29">
        <f>IF(H226="","",IF(AND(B226&lt;&gt;"",B226&lt;TODAY(),X226&lt;&gt;"Published",X226&lt;&gt;"Cancelled",X226&lt;&gt;"Archived"),"Overdue - date has passed",IF(AND(X226="Published",AB226=""),"Add - publish link missing",IF(AND(B226=TODAY(),X226&lt;&gt;"Published"),"Today - due to go live",IF(AND(Y226&lt;&gt;"",Y226&lt;TODAY(),OR(X226="Idea",X226="Brief",X226="In production")),"Late - draft not ready",IF(AND(AA226&gt;=0,AA226&lt;=3,OR(X226="Draft",X226="Awaiting review")),"Due - needs approval",IF(AND(H226&lt;&gt;"",P226=""),"Add - caption missing","OK")))))))</f>
        <v>0</v>
      </c>
    </row>
    <row r="227" spans="1:39">
      <c r="A227" s="41">
        <f>IF(H227="","",ContentPrefix&amp;TEXT(ROW()-4,"0000"))</f>
        <v>0</v>
      </c>
      <c r="D227" s="17">
        <f>IF(B227="","",TEXT(B227,"yyyy-mm"))</f>
        <v>0</v>
      </c>
      <c r="E227" s="23">
        <f>IF(B227="","",WEEKNUM(B227,IF(WeekStart="Sunday",1,2)))</f>
        <v>0</v>
      </c>
      <c r="F227" s="17">
        <f>IF(B227="","",TEXT(B227,"ddd"))</f>
        <v>0</v>
      </c>
      <c r="Q227" s="29">
        <f>IF(H227="","",IF(P227="","Add - no caption",IFERROR(INDEX('Caption Bank'!$R$5:$R$204,MATCH(P227,'Caption Bank'!$B$5:$B$204,0)),"Check - not in bank")))</f>
        <v>0</v>
      </c>
      <c r="S227" s="23">
        <f>IF(R227="","",COUNTIF('Hashtag Bank'!$D$5:$D$304,R227))</f>
        <v>0</v>
      </c>
      <c r="U227" s="29">
        <f>IF(H227="","",IF(T227="","Add - no asset",IFERROR(INDEX(Assets!$N$5:$N$254,MATCH(T227,Assets!$A$5:$A$254,0)),"Check - not in library")))</f>
        <v>0</v>
      </c>
      <c r="Y227" s="16">
        <f>IF(B227="","",B227-ProductionDays)</f>
        <v>0</v>
      </c>
      <c r="Z227" s="16">
        <f>IF(B227="","",B227-ApprovalDays)</f>
        <v>0</v>
      </c>
      <c r="AA227" s="23">
        <f>IF(B227="","",B227-TODAY())</f>
        <v>0</v>
      </c>
      <c r="AC227" s="29">
        <f>IF(H227="","",IF(X227="Published",IF(AB227="","Add - link missing","Yes"),"No"))</f>
        <v>0</v>
      </c>
      <c r="AD227" s="23">
        <f>IF(A227="","",IF(COUNTIF(Performance!$B$5:$B$404,A227)=0,"",SUMIFS(Performance!$O$5:$O$404,Performance!$B$5:$B$404,A227)))</f>
        <v>0</v>
      </c>
      <c r="AE227" s="23">
        <f>IF(AD227="","",SUMIFS(Performance!$Z$5:$Z$404,Performance!$B$5:$B$404,A227))</f>
        <v>0</v>
      </c>
      <c r="AF227" s="24">
        <f>IF(OR(AD227="",AD227=0),"",AE227/AD227)</f>
        <v>0</v>
      </c>
      <c r="AG227" s="23">
        <f>IF(AD227="","",SUMIFS(Performance!$U$5:$U$404,Performance!$B$5:$B$404,A227))</f>
        <v>0</v>
      </c>
      <c r="AH227" s="23">
        <f>IF(A227="","",COUNTIF(Repurposing!$B$5:$B$154,A227))</f>
        <v>0</v>
      </c>
      <c r="AI227" s="32">
        <f>IF(OR(H227="",B227=""),"",B227+ROW()/100000)</f>
        <v>0</v>
      </c>
      <c r="AJ227" s="32">
        <f>IF(OR(H227="",B227=""),"",IF(OR(X227="Published",X227="Cancelled",X227="Archived"),"",IF(B227&lt;TODAY(),"",B227+ROW()/100000)))</f>
        <v>0</v>
      </c>
      <c r="AK227" s="32">
        <f>IF(OR(H227="",B227=""),"",IF(OR(X227="Published",X227="Cancelled",X227="Archived"),"",IF(B227&gt;=TODAY(),"",B227+ROW()/100000)))</f>
        <v>0</v>
      </c>
      <c r="AL227" s="29">
        <f>IF(H227="","",IF(COUNTIFS('Content Calendar'!$H$5:$H$604,H227,'Content Calendar'!$G$5:$G$604,G227,'Content Calendar'!$B$5:$B$604,B227)&gt;1,"Duplicate","OK"))</f>
        <v>0</v>
      </c>
      <c r="AM227" s="29">
        <f>IF(H227="","",IF(AND(B227&lt;&gt;"",B227&lt;TODAY(),X227&lt;&gt;"Published",X227&lt;&gt;"Cancelled",X227&lt;&gt;"Archived"),"Overdue - date has passed",IF(AND(X227="Published",AB227=""),"Add - publish link missing",IF(AND(B227=TODAY(),X227&lt;&gt;"Published"),"Today - due to go live",IF(AND(Y227&lt;&gt;"",Y227&lt;TODAY(),OR(X227="Idea",X227="Brief",X227="In production")),"Late - draft not ready",IF(AND(AA227&gt;=0,AA227&lt;=3,OR(X227="Draft",X227="Awaiting review")),"Due - needs approval",IF(AND(H227&lt;&gt;"",P227=""),"Add - caption missing","OK")))))))</f>
        <v>0</v>
      </c>
    </row>
    <row r="228" spans="1:39">
      <c r="A228" s="41">
        <f>IF(H228="","",ContentPrefix&amp;TEXT(ROW()-4,"0000"))</f>
        <v>0</v>
      </c>
      <c r="D228" s="17">
        <f>IF(B228="","",TEXT(B228,"yyyy-mm"))</f>
        <v>0</v>
      </c>
      <c r="E228" s="23">
        <f>IF(B228="","",WEEKNUM(B228,IF(WeekStart="Sunday",1,2)))</f>
        <v>0</v>
      </c>
      <c r="F228" s="17">
        <f>IF(B228="","",TEXT(B228,"ddd"))</f>
        <v>0</v>
      </c>
      <c r="Q228" s="29">
        <f>IF(H228="","",IF(P228="","Add - no caption",IFERROR(INDEX('Caption Bank'!$R$5:$R$204,MATCH(P228,'Caption Bank'!$B$5:$B$204,0)),"Check - not in bank")))</f>
        <v>0</v>
      </c>
      <c r="S228" s="23">
        <f>IF(R228="","",COUNTIF('Hashtag Bank'!$D$5:$D$304,R228))</f>
        <v>0</v>
      </c>
      <c r="U228" s="29">
        <f>IF(H228="","",IF(T228="","Add - no asset",IFERROR(INDEX(Assets!$N$5:$N$254,MATCH(T228,Assets!$A$5:$A$254,0)),"Check - not in library")))</f>
        <v>0</v>
      </c>
      <c r="Y228" s="16">
        <f>IF(B228="","",B228-ProductionDays)</f>
        <v>0</v>
      </c>
      <c r="Z228" s="16">
        <f>IF(B228="","",B228-ApprovalDays)</f>
        <v>0</v>
      </c>
      <c r="AA228" s="23">
        <f>IF(B228="","",B228-TODAY())</f>
        <v>0</v>
      </c>
      <c r="AC228" s="29">
        <f>IF(H228="","",IF(X228="Published",IF(AB228="","Add - link missing","Yes"),"No"))</f>
        <v>0</v>
      </c>
      <c r="AD228" s="23">
        <f>IF(A228="","",IF(COUNTIF(Performance!$B$5:$B$404,A228)=0,"",SUMIFS(Performance!$O$5:$O$404,Performance!$B$5:$B$404,A228)))</f>
        <v>0</v>
      </c>
      <c r="AE228" s="23">
        <f>IF(AD228="","",SUMIFS(Performance!$Z$5:$Z$404,Performance!$B$5:$B$404,A228))</f>
        <v>0</v>
      </c>
      <c r="AF228" s="24">
        <f>IF(OR(AD228="",AD228=0),"",AE228/AD228)</f>
        <v>0</v>
      </c>
      <c r="AG228" s="23">
        <f>IF(AD228="","",SUMIFS(Performance!$U$5:$U$404,Performance!$B$5:$B$404,A228))</f>
        <v>0</v>
      </c>
      <c r="AH228" s="23">
        <f>IF(A228="","",COUNTIF(Repurposing!$B$5:$B$154,A228))</f>
        <v>0</v>
      </c>
      <c r="AI228" s="32">
        <f>IF(OR(H228="",B228=""),"",B228+ROW()/100000)</f>
        <v>0</v>
      </c>
      <c r="AJ228" s="32">
        <f>IF(OR(H228="",B228=""),"",IF(OR(X228="Published",X228="Cancelled",X228="Archived"),"",IF(B228&lt;TODAY(),"",B228+ROW()/100000)))</f>
        <v>0</v>
      </c>
      <c r="AK228" s="32">
        <f>IF(OR(H228="",B228=""),"",IF(OR(X228="Published",X228="Cancelled",X228="Archived"),"",IF(B228&gt;=TODAY(),"",B228+ROW()/100000)))</f>
        <v>0</v>
      </c>
      <c r="AL228" s="29">
        <f>IF(H228="","",IF(COUNTIFS('Content Calendar'!$H$5:$H$604,H228,'Content Calendar'!$G$5:$G$604,G228,'Content Calendar'!$B$5:$B$604,B228)&gt;1,"Duplicate","OK"))</f>
        <v>0</v>
      </c>
      <c r="AM228" s="29">
        <f>IF(H228="","",IF(AND(B228&lt;&gt;"",B228&lt;TODAY(),X228&lt;&gt;"Published",X228&lt;&gt;"Cancelled",X228&lt;&gt;"Archived"),"Overdue - date has passed",IF(AND(X228="Published",AB228=""),"Add - publish link missing",IF(AND(B228=TODAY(),X228&lt;&gt;"Published"),"Today - due to go live",IF(AND(Y228&lt;&gt;"",Y228&lt;TODAY(),OR(X228="Idea",X228="Brief",X228="In production")),"Late - draft not ready",IF(AND(AA228&gt;=0,AA228&lt;=3,OR(X228="Draft",X228="Awaiting review")),"Due - needs approval",IF(AND(H228&lt;&gt;"",P228=""),"Add - caption missing","OK")))))))</f>
        <v>0</v>
      </c>
    </row>
    <row r="229" spans="1:39">
      <c r="A229" s="41">
        <f>IF(H229="","",ContentPrefix&amp;TEXT(ROW()-4,"0000"))</f>
        <v>0</v>
      </c>
      <c r="D229" s="17">
        <f>IF(B229="","",TEXT(B229,"yyyy-mm"))</f>
        <v>0</v>
      </c>
      <c r="E229" s="23">
        <f>IF(B229="","",WEEKNUM(B229,IF(WeekStart="Sunday",1,2)))</f>
        <v>0</v>
      </c>
      <c r="F229" s="17">
        <f>IF(B229="","",TEXT(B229,"ddd"))</f>
        <v>0</v>
      </c>
      <c r="Q229" s="29">
        <f>IF(H229="","",IF(P229="","Add - no caption",IFERROR(INDEX('Caption Bank'!$R$5:$R$204,MATCH(P229,'Caption Bank'!$B$5:$B$204,0)),"Check - not in bank")))</f>
        <v>0</v>
      </c>
      <c r="S229" s="23">
        <f>IF(R229="","",COUNTIF('Hashtag Bank'!$D$5:$D$304,R229))</f>
        <v>0</v>
      </c>
      <c r="U229" s="29">
        <f>IF(H229="","",IF(T229="","Add - no asset",IFERROR(INDEX(Assets!$N$5:$N$254,MATCH(T229,Assets!$A$5:$A$254,0)),"Check - not in library")))</f>
        <v>0</v>
      </c>
      <c r="Y229" s="16">
        <f>IF(B229="","",B229-ProductionDays)</f>
        <v>0</v>
      </c>
      <c r="Z229" s="16">
        <f>IF(B229="","",B229-ApprovalDays)</f>
        <v>0</v>
      </c>
      <c r="AA229" s="23">
        <f>IF(B229="","",B229-TODAY())</f>
        <v>0</v>
      </c>
      <c r="AC229" s="29">
        <f>IF(H229="","",IF(X229="Published",IF(AB229="","Add - link missing","Yes"),"No"))</f>
        <v>0</v>
      </c>
      <c r="AD229" s="23">
        <f>IF(A229="","",IF(COUNTIF(Performance!$B$5:$B$404,A229)=0,"",SUMIFS(Performance!$O$5:$O$404,Performance!$B$5:$B$404,A229)))</f>
        <v>0</v>
      </c>
      <c r="AE229" s="23">
        <f>IF(AD229="","",SUMIFS(Performance!$Z$5:$Z$404,Performance!$B$5:$B$404,A229))</f>
        <v>0</v>
      </c>
      <c r="AF229" s="24">
        <f>IF(OR(AD229="",AD229=0),"",AE229/AD229)</f>
        <v>0</v>
      </c>
      <c r="AG229" s="23">
        <f>IF(AD229="","",SUMIFS(Performance!$U$5:$U$404,Performance!$B$5:$B$404,A229))</f>
        <v>0</v>
      </c>
      <c r="AH229" s="23">
        <f>IF(A229="","",COUNTIF(Repurposing!$B$5:$B$154,A229))</f>
        <v>0</v>
      </c>
      <c r="AI229" s="32">
        <f>IF(OR(H229="",B229=""),"",B229+ROW()/100000)</f>
        <v>0</v>
      </c>
      <c r="AJ229" s="32">
        <f>IF(OR(H229="",B229=""),"",IF(OR(X229="Published",X229="Cancelled",X229="Archived"),"",IF(B229&lt;TODAY(),"",B229+ROW()/100000)))</f>
        <v>0</v>
      </c>
      <c r="AK229" s="32">
        <f>IF(OR(H229="",B229=""),"",IF(OR(X229="Published",X229="Cancelled",X229="Archived"),"",IF(B229&gt;=TODAY(),"",B229+ROW()/100000)))</f>
        <v>0</v>
      </c>
      <c r="AL229" s="29">
        <f>IF(H229="","",IF(COUNTIFS('Content Calendar'!$H$5:$H$604,H229,'Content Calendar'!$G$5:$G$604,G229,'Content Calendar'!$B$5:$B$604,B229)&gt;1,"Duplicate","OK"))</f>
        <v>0</v>
      </c>
      <c r="AM229" s="29">
        <f>IF(H229="","",IF(AND(B229&lt;&gt;"",B229&lt;TODAY(),X229&lt;&gt;"Published",X229&lt;&gt;"Cancelled",X229&lt;&gt;"Archived"),"Overdue - date has passed",IF(AND(X229="Published",AB229=""),"Add - publish link missing",IF(AND(B229=TODAY(),X229&lt;&gt;"Published"),"Today - due to go live",IF(AND(Y229&lt;&gt;"",Y229&lt;TODAY(),OR(X229="Idea",X229="Brief",X229="In production")),"Late - draft not ready",IF(AND(AA229&gt;=0,AA229&lt;=3,OR(X229="Draft",X229="Awaiting review")),"Due - needs approval",IF(AND(H229&lt;&gt;"",P229=""),"Add - caption missing","OK")))))))</f>
        <v>0</v>
      </c>
    </row>
    <row r="230" spans="1:39">
      <c r="A230" s="41">
        <f>IF(H230="","",ContentPrefix&amp;TEXT(ROW()-4,"0000"))</f>
        <v>0</v>
      </c>
      <c r="D230" s="17">
        <f>IF(B230="","",TEXT(B230,"yyyy-mm"))</f>
        <v>0</v>
      </c>
      <c r="E230" s="23">
        <f>IF(B230="","",WEEKNUM(B230,IF(WeekStart="Sunday",1,2)))</f>
        <v>0</v>
      </c>
      <c r="F230" s="17">
        <f>IF(B230="","",TEXT(B230,"ddd"))</f>
        <v>0</v>
      </c>
      <c r="Q230" s="29">
        <f>IF(H230="","",IF(P230="","Add - no caption",IFERROR(INDEX('Caption Bank'!$R$5:$R$204,MATCH(P230,'Caption Bank'!$B$5:$B$204,0)),"Check - not in bank")))</f>
        <v>0</v>
      </c>
      <c r="S230" s="23">
        <f>IF(R230="","",COUNTIF('Hashtag Bank'!$D$5:$D$304,R230))</f>
        <v>0</v>
      </c>
      <c r="U230" s="29">
        <f>IF(H230="","",IF(T230="","Add - no asset",IFERROR(INDEX(Assets!$N$5:$N$254,MATCH(T230,Assets!$A$5:$A$254,0)),"Check - not in library")))</f>
        <v>0</v>
      </c>
      <c r="Y230" s="16">
        <f>IF(B230="","",B230-ProductionDays)</f>
        <v>0</v>
      </c>
      <c r="Z230" s="16">
        <f>IF(B230="","",B230-ApprovalDays)</f>
        <v>0</v>
      </c>
      <c r="AA230" s="23">
        <f>IF(B230="","",B230-TODAY())</f>
        <v>0</v>
      </c>
      <c r="AC230" s="29">
        <f>IF(H230="","",IF(X230="Published",IF(AB230="","Add - link missing","Yes"),"No"))</f>
        <v>0</v>
      </c>
      <c r="AD230" s="23">
        <f>IF(A230="","",IF(COUNTIF(Performance!$B$5:$B$404,A230)=0,"",SUMIFS(Performance!$O$5:$O$404,Performance!$B$5:$B$404,A230)))</f>
        <v>0</v>
      </c>
      <c r="AE230" s="23">
        <f>IF(AD230="","",SUMIFS(Performance!$Z$5:$Z$404,Performance!$B$5:$B$404,A230))</f>
        <v>0</v>
      </c>
      <c r="AF230" s="24">
        <f>IF(OR(AD230="",AD230=0),"",AE230/AD230)</f>
        <v>0</v>
      </c>
      <c r="AG230" s="23">
        <f>IF(AD230="","",SUMIFS(Performance!$U$5:$U$404,Performance!$B$5:$B$404,A230))</f>
        <v>0</v>
      </c>
      <c r="AH230" s="23">
        <f>IF(A230="","",COUNTIF(Repurposing!$B$5:$B$154,A230))</f>
        <v>0</v>
      </c>
      <c r="AI230" s="32">
        <f>IF(OR(H230="",B230=""),"",B230+ROW()/100000)</f>
        <v>0</v>
      </c>
      <c r="AJ230" s="32">
        <f>IF(OR(H230="",B230=""),"",IF(OR(X230="Published",X230="Cancelled",X230="Archived"),"",IF(B230&lt;TODAY(),"",B230+ROW()/100000)))</f>
        <v>0</v>
      </c>
      <c r="AK230" s="32">
        <f>IF(OR(H230="",B230=""),"",IF(OR(X230="Published",X230="Cancelled",X230="Archived"),"",IF(B230&gt;=TODAY(),"",B230+ROW()/100000)))</f>
        <v>0</v>
      </c>
      <c r="AL230" s="29">
        <f>IF(H230="","",IF(COUNTIFS('Content Calendar'!$H$5:$H$604,H230,'Content Calendar'!$G$5:$G$604,G230,'Content Calendar'!$B$5:$B$604,B230)&gt;1,"Duplicate","OK"))</f>
        <v>0</v>
      </c>
      <c r="AM230" s="29">
        <f>IF(H230="","",IF(AND(B230&lt;&gt;"",B230&lt;TODAY(),X230&lt;&gt;"Published",X230&lt;&gt;"Cancelled",X230&lt;&gt;"Archived"),"Overdue - date has passed",IF(AND(X230="Published",AB230=""),"Add - publish link missing",IF(AND(B230=TODAY(),X230&lt;&gt;"Published"),"Today - due to go live",IF(AND(Y230&lt;&gt;"",Y230&lt;TODAY(),OR(X230="Idea",X230="Brief",X230="In production")),"Late - draft not ready",IF(AND(AA230&gt;=0,AA230&lt;=3,OR(X230="Draft",X230="Awaiting review")),"Due - needs approval",IF(AND(H230&lt;&gt;"",P230=""),"Add - caption missing","OK")))))))</f>
        <v>0</v>
      </c>
    </row>
    <row r="231" spans="1:39">
      <c r="A231" s="41">
        <f>IF(H231="","",ContentPrefix&amp;TEXT(ROW()-4,"0000"))</f>
        <v>0</v>
      </c>
      <c r="D231" s="17">
        <f>IF(B231="","",TEXT(B231,"yyyy-mm"))</f>
        <v>0</v>
      </c>
      <c r="E231" s="23">
        <f>IF(B231="","",WEEKNUM(B231,IF(WeekStart="Sunday",1,2)))</f>
        <v>0</v>
      </c>
      <c r="F231" s="17">
        <f>IF(B231="","",TEXT(B231,"ddd"))</f>
        <v>0</v>
      </c>
      <c r="Q231" s="29">
        <f>IF(H231="","",IF(P231="","Add - no caption",IFERROR(INDEX('Caption Bank'!$R$5:$R$204,MATCH(P231,'Caption Bank'!$B$5:$B$204,0)),"Check - not in bank")))</f>
        <v>0</v>
      </c>
      <c r="S231" s="23">
        <f>IF(R231="","",COUNTIF('Hashtag Bank'!$D$5:$D$304,R231))</f>
        <v>0</v>
      </c>
      <c r="U231" s="29">
        <f>IF(H231="","",IF(T231="","Add - no asset",IFERROR(INDEX(Assets!$N$5:$N$254,MATCH(T231,Assets!$A$5:$A$254,0)),"Check - not in library")))</f>
        <v>0</v>
      </c>
      <c r="Y231" s="16">
        <f>IF(B231="","",B231-ProductionDays)</f>
        <v>0</v>
      </c>
      <c r="Z231" s="16">
        <f>IF(B231="","",B231-ApprovalDays)</f>
        <v>0</v>
      </c>
      <c r="AA231" s="23">
        <f>IF(B231="","",B231-TODAY())</f>
        <v>0</v>
      </c>
      <c r="AC231" s="29">
        <f>IF(H231="","",IF(X231="Published",IF(AB231="","Add - link missing","Yes"),"No"))</f>
        <v>0</v>
      </c>
      <c r="AD231" s="23">
        <f>IF(A231="","",IF(COUNTIF(Performance!$B$5:$B$404,A231)=0,"",SUMIFS(Performance!$O$5:$O$404,Performance!$B$5:$B$404,A231)))</f>
        <v>0</v>
      </c>
      <c r="AE231" s="23">
        <f>IF(AD231="","",SUMIFS(Performance!$Z$5:$Z$404,Performance!$B$5:$B$404,A231))</f>
        <v>0</v>
      </c>
      <c r="AF231" s="24">
        <f>IF(OR(AD231="",AD231=0),"",AE231/AD231)</f>
        <v>0</v>
      </c>
      <c r="AG231" s="23">
        <f>IF(AD231="","",SUMIFS(Performance!$U$5:$U$404,Performance!$B$5:$B$404,A231))</f>
        <v>0</v>
      </c>
      <c r="AH231" s="23">
        <f>IF(A231="","",COUNTIF(Repurposing!$B$5:$B$154,A231))</f>
        <v>0</v>
      </c>
      <c r="AI231" s="32">
        <f>IF(OR(H231="",B231=""),"",B231+ROW()/100000)</f>
        <v>0</v>
      </c>
      <c r="AJ231" s="32">
        <f>IF(OR(H231="",B231=""),"",IF(OR(X231="Published",X231="Cancelled",X231="Archived"),"",IF(B231&lt;TODAY(),"",B231+ROW()/100000)))</f>
        <v>0</v>
      </c>
      <c r="AK231" s="32">
        <f>IF(OR(H231="",B231=""),"",IF(OR(X231="Published",X231="Cancelled",X231="Archived"),"",IF(B231&gt;=TODAY(),"",B231+ROW()/100000)))</f>
        <v>0</v>
      </c>
      <c r="AL231" s="29">
        <f>IF(H231="","",IF(COUNTIFS('Content Calendar'!$H$5:$H$604,H231,'Content Calendar'!$G$5:$G$604,G231,'Content Calendar'!$B$5:$B$604,B231)&gt;1,"Duplicate","OK"))</f>
        <v>0</v>
      </c>
      <c r="AM231" s="29">
        <f>IF(H231="","",IF(AND(B231&lt;&gt;"",B231&lt;TODAY(),X231&lt;&gt;"Published",X231&lt;&gt;"Cancelled",X231&lt;&gt;"Archived"),"Overdue - date has passed",IF(AND(X231="Published",AB231=""),"Add - publish link missing",IF(AND(B231=TODAY(),X231&lt;&gt;"Published"),"Today - due to go live",IF(AND(Y231&lt;&gt;"",Y231&lt;TODAY(),OR(X231="Idea",X231="Brief",X231="In production")),"Late - draft not ready",IF(AND(AA231&gt;=0,AA231&lt;=3,OR(X231="Draft",X231="Awaiting review")),"Due - needs approval",IF(AND(H231&lt;&gt;"",P231=""),"Add - caption missing","OK")))))))</f>
        <v>0</v>
      </c>
    </row>
    <row r="232" spans="1:39">
      <c r="A232" s="41">
        <f>IF(H232="","",ContentPrefix&amp;TEXT(ROW()-4,"0000"))</f>
        <v>0</v>
      </c>
      <c r="D232" s="17">
        <f>IF(B232="","",TEXT(B232,"yyyy-mm"))</f>
        <v>0</v>
      </c>
      <c r="E232" s="23">
        <f>IF(B232="","",WEEKNUM(B232,IF(WeekStart="Sunday",1,2)))</f>
        <v>0</v>
      </c>
      <c r="F232" s="17">
        <f>IF(B232="","",TEXT(B232,"ddd"))</f>
        <v>0</v>
      </c>
      <c r="Q232" s="29">
        <f>IF(H232="","",IF(P232="","Add - no caption",IFERROR(INDEX('Caption Bank'!$R$5:$R$204,MATCH(P232,'Caption Bank'!$B$5:$B$204,0)),"Check - not in bank")))</f>
        <v>0</v>
      </c>
      <c r="S232" s="23">
        <f>IF(R232="","",COUNTIF('Hashtag Bank'!$D$5:$D$304,R232))</f>
        <v>0</v>
      </c>
      <c r="U232" s="29">
        <f>IF(H232="","",IF(T232="","Add - no asset",IFERROR(INDEX(Assets!$N$5:$N$254,MATCH(T232,Assets!$A$5:$A$254,0)),"Check - not in library")))</f>
        <v>0</v>
      </c>
      <c r="Y232" s="16">
        <f>IF(B232="","",B232-ProductionDays)</f>
        <v>0</v>
      </c>
      <c r="Z232" s="16">
        <f>IF(B232="","",B232-ApprovalDays)</f>
        <v>0</v>
      </c>
      <c r="AA232" s="23">
        <f>IF(B232="","",B232-TODAY())</f>
        <v>0</v>
      </c>
      <c r="AC232" s="29">
        <f>IF(H232="","",IF(X232="Published",IF(AB232="","Add - link missing","Yes"),"No"))</f>
        <v>0</v>
      </c>
      <c r="AD232" s="23">
        <f>IF(A232="","",IF(COUNTIF(Performance!$B$5:$B$404,A232)=0,"",SUMIFS(Performance!$O$5:$O$404,Performance!$B$5:$B$404,A232)))</f>
        <v>0</v>
      </c>
      <c r="AE232" s="23">
        <f>IF(AD232="","",SUMIFS(Performance!$Z$5:$Z$404,Performance!$B$5:$B$404,A232))</f>
        <v>0</v>
      </c>
      <c r="AF232" s="24">
        <f>IF(OR(AD232="",AD232=0),"",AE232/AD232)</f>
        <v>0</v>
      </c>
      <c r="AG232" s="23">
        <f>IF(AD232="","",SUMIFS(Performance!$U$5:$U$404,Performance!$B$5:$B$404,A232))</f>
        <v>0</v>
      </c>
      <c r="AH232" s="23">
        <f>IF(A232="","",COUNTIF(Repurposing!$B$5:$B$154,A232))</f>
        <v>0</v>
      </c>
      <c r="AI232" s="32">
        <f>IF(OR(H232="",B232=""),"",B232+ROW()/100000)</f>
        <v>0</v>
      </c>
      <c r="AJ232" s="32">
        <f>IF(OR(H232="",B232=""),"",IF(OR(X232="Published",X232="Cancelled",X232="Archived"),"",IF(B232&lt;TODAY(),"",B232+ROW()/100000)))</f>
        <v>0</v>
      </c>
      <c r="AK232" s="32">
        <f>IF(OR(H232="",B232=""),"",IF(OR(X232="Published",X232="Cancelled",X232="Archived"),"",IF(B232&gt;=TODAY(),"",B232+ROW()/100000)))</f>
        <v>0</v>
      </c>
      <c r="AL232" s="29">
        <f>IF(H232="","",IF(COUNTIFS('Content Calendar'!$H$5:$H$604,H232,'Content Calendar'!$G$5:$G$604,G232,'Content Calendar'!$B$5:$B$604,B232)&gt;1,"Duplicate","OK"))</f>
        <v>0</v>
      </c>
      <c r="AM232" s="29">
        <f>IF(H232="","",IF(AND(B232&lt;&gt;"",B232&lt;TODAY(),X232&lt;&gt;"Published",X232&lt;&gt;"Cancelled",X232&lt;&gt;"Archived"),"Overdue - date has passed",IF(AND(X232="Published",AB232=""),"Add - publish link missing",IF(AND(B232=TODAY(),X232&lt;&gt;"Published"),"Today - due to go live",IF(AND(Y232&lt;&gt;"",Y232&lt;TODAY(),OR(X232="Idea",X232="Brief",X232="In production")),"Late - draft not ready",IF(AND(AA232&gt;=0,AA232&lt;=3,OR(X232="Draft",X232="Awaiting review")),"Due - needs approval",IF(AND(H232&lt;&gt;"",P232=""),"Add - caption missing","OK")))))))</f>
        <v>0</v>
      </c>
    </row>
    <row r="233" spans="1:39">
      <c r="A233" s="41">
        <f>IF(H233="","",ContentPrefix&amp;TEXT(ROW()-4,"0000"))</f>
        <v>0</v>
      </c>
      <c r="D233" s="17">
        <f>IF(B233="","",TEXT(B233,"yyyy-mm"))</f>
        <v>0</v>
      </c>
      <c r="E233" s="23">
        <f>IF(B233="","",WEEKNUM(B233,IF(WeekStart="Sunday",1,2)))</f>
        <v>0</v>
      </c>
      <c r="F233" s="17">
        <f>IF(B233="","",TEXT(B233,"ddd"))</f>
        <v>0</v>
      </c>
      <c r="Q233" s="29">
        <f>IF(H233="","",IF(P233="","Add - no caption",IFERROR(INDEX('Caption Bank'!$R$5:$R$204,MATCH(P233,'Caption Bank'!$B$5:$B$204,0)),"Check - not in bank")))</f>
        <v>0</v>
      </c>
      <c r="S233" s="23">
        <f>IF(R233="","",COUNTIF('Hashtag Bank'!$D$5:$D$304,R233))</f>
        <v>0</v>
      </c>
      <c r="U233" s="29">
        <f>IF(H233="","",IF(T233="","Add - no asset",IFERROR(INDEX(Assets!$N$5:$N$254,MATCH(T233,Assets!$A$5:$A$254,0)),"Check - not in library")))</f>
        <v>0</v>
      </c>
      <c r="Y233" s="16">
        <f>IF(B233="","",B233-ProductionDays)</f>
        <v>0</v>
      </c>
      <c r="Z233" s="16">
        <f>IF(B233="","",B233-ApprovalDays)</f>
        <v>0</v>
      </c>
      <c r="AA233" s="23">
        <f>IF(B233="","",B233-TODAY())</f>
        <v>0</v>
      </c>
      <c r="AC233" s="29">
        <f>IF(H233="","",IF(X233="Published",IF(AB233="","Add - link missing","Yes"),"No"))</f>
        <v>0</v>
      </c>
      <c r="AD233" s="23">
        <f>IF(A233="","",IF(COUNTIF(Performance!$B$5:$B$404,A233)=0,"",SUMIFS(Performance!$O$5:$O$404,Performance!$B$5:$B$404,A233)))</f>
        <v>0</v>
      </c>
      <c r="AE233" s="23">
        <f>IF(AD233="","",SUMIFS(Performance!$Z$5:$Z$404,Performance!$B$5:$B$404,A233))</f>
        <v>0</v>
      </c>
      <c r="AF233" s="24">
        <f>IF(OR(AD233="",AD233=0),"",AE233/AD233)</f>
        <v>0</v>
      </c>
      <c r="AG233" s="23">
        <f>IF(AD233="","",SUMIFS(Performance!$U$5:$U$404,Performance!$B$5:$B$404,A233))</f>
        <v>0</v>
      </c>
      <c r="AH233" s="23">
        <f>IF(A233="","",COUNTIF(Repurposing!$B$5:$B$154,A233))</f>
        <v>0</v>
      </c>
      <c r="AI233" s="32">
        <f>IF(OR(H233="",B233=""),"",B233+ROW()/100000)</f>
        <v>0</v>
      </c>
      <c r="AJ233" s="32">
        <f>IF(OR(H233="",B233=""),"",IF(OR(X233="Published",X233="Cancelled",X233="Archived"),"",IF(B233&lt;TODAY(),"",B233+ROW()/100000)))</f>
        <v>0</v>
      </c>
      <c r="AK233" s="32">
        <f>IF(OR(H233="",B233=""),"",IF(OR(X233="Published",X233="Cancelled",X233="Archived"),"",IF(B233&gt;=TODAY(),"",B233+ROW()/100000)))</f>
        <v>0</v>
      </c>
      <c r="AL233" s="29">
        <f>IF(H233="","",IF(COUNTIFS('Content Calendar'!$H$5:$H$604,H233,'Content Calendar'!$G$5:$G$604,G233,'Content Calendar'!$B$5:$B$604,B233)&gt;1,"Duplicate","OK"))</f>
        <v>0</v>
      </c>
      <c r="AM233" s="29">
        <f>IF(H233="","",IF(AND(B233&lt;&gt;"",B233&lt;TODAY(),X233&lt;&gt;"Published",X233&lt;&gt;"Cancelled",X233&lt;&gt;"Archived"),"Overdue - date has passed",IF(AND(X233="Published",AB233=""),"Add - publish link missing",IF(AND(B233=TODAY(),X233&lt;&gt;"Published"),"Today - due to go live",IF(AND(Y233&lt;&gt;"",Y233&lt;TODAY(),OR(X233="Idea",X233="Brief",X233="In production")),"Late - draft not ready",IF(AND(AA233&gt;=0,AA233&lt;=3,OR(X233="Draft",X233="Awaiting review")),"Due - needs approval",IF(AND(H233&lt;&gt;"",P233=""),"Add - caption missing","OK")))))))</f>
        <v>0</v>
      </c>
    </row>
    <row r="234" spans="1:39">
      <c r="A234" s="41">
        <f>IF(H234="","",ContentPrefix&amp;TEXT(ROW()-4,"0000"))</f>
        <v>0</v>
      </c>
      <c r="D234" s="17">
        <f>IF(B234="","",TEXT(B234,"yyyy-mm"))</f>
        <v>0</v>
      </c>
      <c r="E234" s="23">
        <f>IF(B234="","",WEEKNUM(B234,IF(WeekStart="Sunday",1,2)))</f>
        <v>0</v>
      </c>
      <c r="F234" s="17">
        <f>IF(B234="","",TEXT(B234,"ddd"))</f>
        <v>0</v>
      </c>
      <c r="Q234" s="29">
        <f>IF(H234="","",IF(P234="","Add - no caption",IFERROR(INDEX('Caption Bank'!$R$5:$R$204,MATCH(P234,'Caption Bank'!$B$5:$B$204,0)),"Check - not in bank")))</f>
        <v>0</v>
      </c>
      <c r="S234" s="23">
        <f>IF(R234="","",COUNTIF('Hashtag Bank'!$D$5:$D$304,R234))</f>
        <v>0</v>
      </c>
      <c r="U234" s="29">
        <f>IF(H234="","",IF(T234="","Add - no asset",IFERROR(INDEX(Assets!$N$5:$N$254,MATCH(T234,Assets!$A$5:$A$254,0)),"Check - not in library")))</f>
        <v>0</v>
      </c>
      <c r="Y234" s="16">
        <f>IF(B234="","",B234-ProductionDays)</f>
        <v>0</v>
      </c>
      <c r="Z234" s="16">
        <f>IF(B234="","",B234-ApprovalDays)</f>
        <v>0</v>
      </c>
      <c r="AA234" s="23">
        <f>IF(B234="","",B234-TODAY())</f>
        <v>0</v>
      </c>
      <c r="AC234" s="29">
        <f>IF(H234="","",IF(X234="Published",IF(AB234="","Add - link missing","Yes"),"No"))</f>
        <v>0</v>
      </c>
      <c r="AD234" s="23">
        <f>IF(A234="","",IF(COUNTIF(Performance!$B$5:$B$404,A234)=0,"",SUMIFS(Performance!$O$5:$O$404,Performance!$B$5:$B$404,A234)))</f>
        <v>0</v>
      </c>
      <c r="AE234" s="23">
        <f>IF(AD234="","",SUMIFS(Performance!$Z$5:$Z$404,Performance!$B$5:$B$404,A234))</f>
        <v>0</v>
      </c>
      <c r="AF234" s="24">
        <f>IF(OR(AD234="",AD234=0),"",AE234/AD234)</f>
        <v>0</v>
      </c>
      <c r="AG234" s="23">
        <f>IF(AD234="","",SUMIFS(Performance!$U$5:$U$404,Performance!$B$5:$B$404,A234))</f>
        <v>0</v>
      </c>
      <c r="AH234" s="23">
        <f>IF(A234="","",COUNTIF(Repurposing!$B$5:$B$154,A234))</f>
        <v>0</v>
      </c>
      <c r="AI234" s="32">
        <f>IF(OR(H234="",B234=""),"",B234+ROW()/100000)</f>
        <v>0</v>
      </c>
      <c r="AJ234" s="32">
        <f>IF(OR(H234="",B234=""),"",IF(OR(X234="Published",X234="Cancelled",X234="Archived"),"",IF(B234&lt;TODAY(),"",B234+ROW()/100000)))</f>
        <v>0</v>
      </c>
      <c r="AK234" s="32">
        <f>IF(OR(H234="",B234=""),"",IF(OR(X234="Published",X234="Cancelled",X234="Archived"),"",IF(B234&gt;=TODAY(),"",B234+ROW()/100000)))</f>
        <v>0</v>
      </c>
      <c r="AL234" s="29">
        <f>IF(H234="","",IF(COUNTIFS('Content Calendar'!$H$5:$H$604,H234,'Content Calendar'!$G$5:$G$604,G234,'Content Calendar'!$B$5:$B$604,B234)&gt;1,"Duplicate","OK"))</f>
        <v>0</v>
      </c>
      <c r="AM234" s="29">
        <f>IF(H234="","",IF(AND(B234&lt;&gt;"",B234&lt;TODAY(),X234&lt;&gt;"Published",X234&lt;&gt;"Cancelled",X234&lt;&gt;"Archived"),"Overdue - date has passed",IF(AND(X234="Published",AB234=""),"Add - publish link missing",IF(AND(B234=TODAY(),X234&lt;&gt;"Published"),"Today - due to go live",IF(AND(Y234&lt;&gt;"",Y234&lt;TODAY(),OR(X234="Idea",X234="Brief",X234="In production")),"Late - draft not ready",IF(AND(AA234&gt;=0,AA234&lt;=3,OR(X234="Draft",X234="Awaiting review")),"Due - needs approval",IF(AND(H234&lt;&gt;"",P234=""),"Add - caption missing","OK")))))))</f>
        <v>0</v>
      </c>
    </row>
    <row r="235" spans="1:39">
      <c r="A235" s="41">
        <f>IF(H235="","",ContentPrefix&amp;TEXT(ROW()-4,"0000"))</f>
        <v>0</v>
      </c>
      <c r="D235" s="17">
        <f>IF(B235="","",TEXT(B235,"yyyy-mm"))</f>
        <v>0</v>
      </c>
      <c r="E235" s="23">
        <f>IF(B235="","",WEEKNUM(B235,IF(WeekStart="Sunday",1,2)))</f>
        <v>0</v>
      </c>
      <c r="F235" s="17">
        <f>IF(B235="","",TEXT(B235,"ddd"))</f>
        <v>0</v>
      </c>
      <c r="Q235" s="29">
        <f>IF(H235="","",IF(P235="","Add - no caption",IFERROR(INDEX('Caption Bank'!$R$5:$R$204,MATCH(P235,'Caption Bank'!$B$5:$B$204,0)),"Check - not in bank")))</f>
        <v>0</v>
      </c>
      <c r="S235" s="23">
        <f>IF(R235="","",COUNTIF('Hashtag Bank'!$D$5:$D$304,R235))</f>
        <v>0</v>
      </c>
      <c r="U235" s="29">
        <f>IF(H235="","",IF(T235="","Add - no asset",IFERROR(INDEX(Assets!$N$5:$N$254,MATCH(T235,Assets!$A$5:$A$254,0)),"Check - not in library")))</f>
        <v>0</v>
      </c>
      <c r="Y235" s="16">
        <f>IF(B235="","",B235-ProductionDays)</f>
        <v>0</v>
      </c>
      <c r="Z235" s="16">
        <f>IF(B235="","",B235-ApprovalDays)</f>
        <v>0</v>
      </c>
      <c r="AA235" s="23">
        <f>IF(B235="","",B235-TODAY())</f>
        <v>0</v>
      </c>
      <c r="AC235" s="29">
        <f>IF(H235="","",IF(X235="Published",IF(AB235="","Add - link missing","Yes"),"No"))</f>
        <v>0</v>
      </c>
      <c r="AD235" s="23">
        <f>IF(A235="","",IF(COUNTIF(Performance!$B$5:$B$404,A235)=0,"",SUMIFS(Performance!$O$5:$O$404,Performance!$B$5:$B$404,A235)))</f>
        <v>0</v>
      </c>
      <c r="AE235" s="23">
        <f>IF(AD235="","",SUMIFS(Performance!$Z$5:$Z$404,Performance!$B$5:$B$404,A235))</f>
        <v>0</v>
      </c>
      <c r="AF235" s="24">
        <f>IF(OR(AD235="",AD235=0),"",AE235/AD235)</f>
        <v>0</v>
      </c>
      <c r="AG235" s="23">
        <f>IF(AD235="","",SUMIFS(Performance!$U$5:$U$404,Performance!$B$5:$B$404,A235))</f>
        <v>0</v>
      </c>
      <c r="AH235" s="23">
        <f>IF(A235="","",COUNTIF(Repurposing!$B$5:$B$154,A235))</f>
        <v>0</v>
      </c>
      <c r="AI235" s="32">
        <f>IF(OR(H235="",B235=""),"",B235+ROW()/100000)</f>
        <v>0</v>
      </c>
      <c r="AJ235" s="32">
        <f>IF(OR(H235="",B235=""),"",IF(OR(X235="Published",X235="Cancelled",X235="Archived"),"",IF(B235&lt;TODAY(),"",B235+ROW()/100000)))</f>
        <v>0</v>
      </c>
      <c r="AK235" s="32">
        <f>IF(OR(H235="",B235=""),"",IF(OR(X235="Published",X235="Cancelled",X235="Archived"),"",IF(B235&gt;=TODAY(),"",B235+ROW()/100000)))</f>
        <v>0</v>
      </c>
      <c r="AL235" s="29">
        <f>IF(H235="","",IF(COUNTIFS('Content Calendar'!$H$5:$H$604,H235,'Content Calendar'!$G$5:$G$604,G235,'Content Calendar'!$B$5:$B$604,B235)&gt;1,"Duplicate","OK"))</f>
        <v>0</v>
      </c>
      <c r="AM235" s="29">
        <f>IF(H235="","",IF(AND(B235&lt;&gt;"",B235&lt;TODAY(),X235&lt;&gt;"Published",X235&lt;&gt;"Cancelled",X235&lt;&gt;"Archived"),"Overdue - date has passed",IF(AND(X235="Published",AB235=""),"Add - publish link missing",IF(AND(B235=TODAY(),X235&lt;&gt;"Published"),"Today - due to go live",IF(AND(Y235&lt;&gt;"",Y235&lt;TODAY(),OR(X235="Idea",X235="Brief",X235="In production")),"Late - draft not ready",IF(AND(AA235&gt;=0,AA235&lt;=3,OR(X235="Draft",X235="Awaiting review")),"Due - needs approval",IF(AND(H235&lt;&gt;"",P235=""),"Add - caption missing","OK")))))))</f>
        <v>0</v>
      </c>
    </row>
    <row r="236" spans="1:39">
      <c r="A236" s="41">
        <f>IF(H236="","",ContentPrefix&amp;TEXT(ROW()-4,"0000"))</f>
        <v>0</v>
      </c>
      <c r="D236" s="17">
        <f>IF(B236="","",TEXT(B236,"yyyy-mm"))</f>
        <v>0</v>
      </c>
      <c r="E236" s="23">
        <f>IF(B236="","",WEEKNUM(B236,IF(WeekStart="Sunday",1,2)))</f>
        <v>0</v>
      </c>
      <c r="F236" s="17">
        <f>IF(B236="","",TEXT(B236,"ddd"))</f>
        <v>0</v>
      </c>
      <c r="Q236" s="29">
        <f>IF(H236="","",IF(P236="","Add - no caption",IFERROR(INDEX('Caption Bank'!$R$5:$R$204,MATCH(P236,'Caption Bank'!$B$5:$B$204,0)),"Check - not in bank")))</f>
        <v>0</v>
      </c>
      <c r="S236" s="23">
        <f>IF(R236="","",COUNTIF('Hashtag Bank'!$D$5:$D$304,R236))</f>
        <v>0</v>
      </c>
      <c r="U236" s="29">
        <f>IF(H236="","",IF(T236="","Add - no asset",IFERROR(INDEX(Assets!$N$5:$N$254,MATCH(T236,Assets!$A$5:$A$254,0)),"Check - not in library")))</f>
        <v>0</v>
      </c>
      <c r="Y236" s="16">
        <f>IF(B236="","",B236-ProductionDays)</f>
        <v>0</v>
      </c>
      <c r="Z236" s="16">
        <f>IF(B236="","",B236-ApprovalDays)</f>
        <v>0</v>
      </c>
      <c r="AA236" s="23">
        <f>IF(B236="","",B236-TODAY())</f>
        <v>0</v>
      </c>
      <c r="AC236" s="29">
        <f>IF(H236="","",IF(X236="Published",IF(AB236="","Add - link missing","Yes"),"No"))</f>
        <v>0</v>
      </c>
      <c r="AD236" s="23">
        <f>IF(A236="","",IF(COUNTIF(Performance!$B$5:$B$404,A236)=0,"",SUMIFS(Performance!$O$5:$O$404,Performance!$B$5:$B$404,A236)))</f>
        <v>0</v>
      </c>
      <c r="AE236" s="23">
        <f>IF(AD236="","",SUMIFS(Performance!$Z$5:$Z$404,Performance!$B$5:$B$404,A236))</f>
        <v>0</v>
      </c>
      <c r="AF236" s="24">
        <f>IF(OR(AD236="",AD236=0),"",AE236/AD236)</f>
        <v>0</v>
      </c>
      <c r="AG236" s="23">
        <f>IF(AD236="","",SUMIFS(Performance!$U$5:$U$404,Performance!$B$5:$B$404,A236))</f>
        <v>0</v>
      </c>
      <c r="AH236" s="23">
        <f>IF(A236="","",COUNTIF(Repurposing!$B$5:$B$154,A236))</f>
        <v>0</v>
      </c>
      <c r="AI236" s="32">
        <f>IF(OR(H236="",B236=""),"",B236+ROW()/100000)</f>
        <v>0</v>
      </c>
      <c r="AJ236" s="32">
        <f>IF(OR(H236="",B236=""),"",IF(OR(X236="Published",X236="Cancelled",X236="Archived"),"",IF(B236&lt;TODAY(),"",B236+ROW()/100000)))</f>
        <v>0</v>
      </c>
      <c r="AK236" s="32">
        <f>IF(OR(H236="",B236=""),"",IF(OR(X236="Published",X236="Cancelled",X236="Archived"),"",IF(B236&gt;=TODAY(),"",B236+ROW()/100000)))</f>
        <v>0</v>
      </c>
      <c r="AL236" s="29">
        <f>IF(H236="","",IF(COUNTIFS('Content Calendar'!$H$5:$H$604,H236,'Content Calendar'!$G$5:$G$604,G236,'Content Calendar'!$B$5:$B$604,B236)&gt;1,"Duplicate","OK"))</f>
        <v>0</v>
      </c>
      <c r="AM236" s="29">
        <f>IF(H236="","",IF(AND(B236&lt;&gt;"",B236&lt;TODAY(),X236&lt;&gt;"Published",X236&lt;&gt;"Cancelled",X236&lt;&gt;"Archived"),"Overdue - date has passed",IF(AND(X236="Published",AB236=""),"Add - publish link missing",IF(AND(B236=TODAY(),X236&lt;&gt;"Published"),"Today - due to go live",IF(AND(Y236&lt;&gt;"",Y236&lt;TODAY(),OR(X236="Idea",X236="Brief",X236="In production")),"Late - draft not ready",IF(AND(AA236&gt;=0,AA236&lt;=3,OR(X236="Draft",X236="Awaiting review")),"Due - needs approval",IF(AND(H236&lt;&gt;"",P236=""),"Add - caption missing","OK")))))))</f>
        <v>0</v>
      </c>
    </row>
    <row r="237" spans="1:39">
      <c r="A237" s="41">
        <f>IF(H237="","",ContentPrefix&amp;TEXT(ROW()-4,"0000"))</f>
        <v>0</v>
      </c>
      <c r="D237" s="17">
        <f>IF(B237="","",TEXT(B237,"yyyy-mm"))</f>
        <v>0</v>
      </c>
      <c r="E237" s="23">
        <f>IF(B237="","",WEEKNUM(B237,IF(WeekStart="Sunday",1,2)))</f>
        <v>0</v>
      </c>
      <c r="F237" s="17">
        <f>IF(B237="","",TEXT(B237,"ddd"))</f>
        <v>0</v>
      </c>
      <c r="Q237" s="29">
        <f>IF(H237="","",IF(P237="","Add - no caption",IFERROR(INDEX('Caption Bank'!$R$5:$R$204,MATCH(P237,'Caption Bank'!$B$5:$B$204,0)),"Check - not in bank")))</f>
        <v>0</v>
      </c>
      <c r="S237" s="23">
        <f>IF(R237="","",COUNTIF('Hashtag Bank'!$D$5:$D$304,R237))</f>
        <v>0</v>
      </c>
      <c r="U237" s="29">
        <f>IF(H237="","",IF(T237="","Add - no asset",IFERROR(INDEX(Assets!$N$5:$N$254,MATCH(T237,Assets!$A$5:$A$254,0)),"Check - not in library")))</f>
        <v>0</v>
      </c>
      <c r="Y237" s="16">
        <f>IF(B237="","",B237-ProductionDays)</f>
        <v>0</v>
      </c>
      <c r="Z237" s="16">
        <f>IF(B237="","",B237-ApprovalDays)</f>
        <v>0</v>
      </c>
      <c r="AA237" s="23">
        <f>IF(B237="","",B237-TODAY())</f>
        <v>0</v>
      </c>
      <c r="AC237" s="29">
        <f>IF(H237="","",IF(X237="Published",IF(AB237="","Add - link missing","Yes"),"No"))</f>
        <v>0</v>
      </c>
      <c r="AD237" s="23">
        <f>IF(A237="","",IF(COUNTIF(Performance!$B$5:$B$404,A237)=0,"",SUMIFS(Performance!$O$5:$O$404,Performance!$B$5:$B$404,A237)))</f>
        <v>0</v>
      </c>
      <c r="AE237" s="23">
        <f>IF(AD237="","",SUMIFS(Performance!$Z$5:$Z$404,Performance!$B$5:$B$404,A237))</f>
        <v>0</v>
      </c>
      <c r="AF237" s="24">
        <f>IF(OR(AD237="",AD237=0),"",AE237/AD237)</f>
        <v>0</v>
      </c>
      <c r="AG237" s="23">
        <f>IF(AD237="","",SUMIFS(Performance!$U$5:$U$404,Performance!$B$5:$B$404,A237))</f>
        <v>0</v>
      </c>
      <c r="AH237" s="23">
        <f>IF(A237="","",COUNTIF(Repurposing!$B$5:$B$154,A237))</f>
        <v>0</v>
      </c>
      <c r="AI237" s="32">
        <f>IF(OR(H237="",B237=""),"",B237+ROW()/100000)</f>
        <v>0</v>
      </c>
      <c r="AJ237" s="32">
        <f>IF(OR(H237="",B237=""),"",IF(OR(X237="Published",X237="Cancelled",X237="Archived"),"",IF(B237&lt;TODAY(),"",B237+ROW()/100000)))</f>
        <v>0</v>
      </c>
      <c r="AK237" s="32">
        <f>IF(OR(H237="",B237=""),"",IF(OR(X237="Published",X237="Cancelled",X237="Archived"),"",IF(B237&gt;=TODAY(),"",B237+ROW()/100000)))</f>
        <v>0</v>
      </c>
      <c r="AL237" s="29">
        <f>IF(H237="","",IF(COUNTIFS('Content Calendar'!$H$5:$H$604,H237,'Content Calendar'!$G$5:$G$604,G237,'Content Calendar'!$B$5:$B$604,B237)&gt;1,"Duplicate","OK"))</f>
        <v>0</v>
      </c>
      <c r="AM237" s="29">
        <f>IF(H237="","",IF(AND(B237&lt;&gt;"",B237&lt;TODAY(),X237&lt;&gt;"Published",X237&lt;&gt;"Cancelled",X237&lt;&gt;"Archived"),"Overdue - date has passed",IF(AND(X237="Published",AB237=""),"Add - publish link missing",IF(AND(B237=TODAY(),X237&lt;&gt;"Published"),"Today - due to go live",IF(AND(Y237&lt;&gt;"",Y237&lt;TODAY(),OR(X237="Idea",X237="Brief",X237="In production")),"Late - draft not ready",IF(AND(AA237&gt;=0,AA237&lt;=3,OR(X237="Draft",X237="Awaiting review")),"Due - needs approval",IF(AND(H237&lt;&gt;"",P237=""),"Add - caption missing","OK")))))))</f>
        <v>0</v>
      </c>
    </row>
    <row r="238" spans="1:39">
      <c r="A238" s="41">
        <f>IF(H238="","",ContentPrefix&amp;TEXT(ROW()-4,"0000"))</f>
        <v>0</v>
      </c>
      <c r="D238" s="17">
        <f>IF(B238="","",TEXT(B238,"yyyy-mm"))</f>
        <v>0</v>
      </c>
      <c r="E238" s="23">
        <f>IF(B238="","",WEEKNUM(B238,IF(WeekStart="Sunday",1,2)))</f>
        <v>0</v>
      </c>
      <c r="F238" s="17">
        <f>IF(B238="","",TEXT(B238,"ddd"))</f>
        <v>0</v>
      </c>
      <c r="Q238" s="29">
        <f>IF(H238="","",IF(P238="","Add - no caption",IFERROR(INDEX('Caption Bank'!$R$5:$R$204,MATCH(P238,'Caption Bank'!$B$5:$B$204,0)),"Check - not in bank")))</f>
        <v>0</v>
      </c>
      <c r="S238" s="23">
        <f>IF(R238="","",COUNTIF('Hashtag Bank'!$D$5:$D$304,R238))</f>
        <v>0</v>
      </c>
      <c r="U238" s="29">
        <f>IF(H238="","",IF(T238="","Add - no asset",IFERROR(INDEX(Assets!$N$5:$N$254,MATCH(T238,Assets!$A$5:$A$254,0)),"Check - not in library")))</f>
        <v>0</v>
      </c>
      <c r="Y238" s="16">
        <f>IF(B238="","",B238-ProductionDays)</f>
        <v>0</v>
      </c>
      <c r="Z238" s="16">
        <f>IF(B238="","",B238-ApprovalDays)</f>
        <v>0</v>
      </c>
      <c r="AA238" s="23">
        <f>IF(B238="","",B238-TODAY())</f>
        <v>0</v>
      </c>
      <c r="AC238" s="29">
        <f>IF(H238="","",IF(X238="Published",IF(AB238="","Add - link missing","Yes"),"No"))</f>
        <v>0</v>
      </c>
      <c r="AD238" s="23">
        <f>IF(A238="","",IF(COUNTIF(Performance!$B$5:$B$404,A238)=0,"",SUMIFS(Performance!$O$5:$O$404,Performance!$B$5:$B$404,A238)))</f>
        <v>0</v>
      </c>
      <c r="AE238" s="23">
        <f>IF(AD238="","",SUMIFS(Performance!$Z$5:$Z$404,Performance!$B$5:$B$404,A238))</f>
        <v>0</v>
      </c>
      <c r="AF238" s="24">
        <f>IF(OR(AD238="",AD238=0),"",AE238/AD238)</f>
        <v>0</v>
      </c>
      <c r="AG238" s="23">
        <f>IF(AD238="","",SUMIFS(Performance!$U$5:$U$404,Performance!$B$5:$B$404,A238))</f>
        <v>0</v>
      </c>
      <c r="AH238" s="23">
        <f>IF(A238="","",COUNTIF(Repurposing!$B$5:$B$154,A238))</f>
        <v>0</v>
      </c>
      <c r="AI238" s="32">
        <f>IF(OR(H238="",B238=""),"",B238+ROW()/100000)</f>
        <v>0</v>
      </c>
      <c r="AJ238" s="32">
        <f>IF(OR(H238="",B238=""),"",IF(OR(X238="Published",X238="Cancelled",X238="Archived"),"",IF(B238&lt;TODAY(),"",B238+ROW()/100000)))</f>
        <v>0</v>
      </c>
      <c r="AK238" s="32">
        <f>IF(OR(H238="",B238=""),"",IF(OR(X238="Published",X238="Cancelled",X238="Archived"),"",IF(B238&gt;=TODAY(),"",B238+ROW()/100000)))</f>
        <v>0</v>
      </c>
      <c r="AL238" s="29">
        <f>IF(H238="","",IF(COUNTIFS('Content Calendar'!$H$5:$H$604,H238,'Content Calendar'!$G$5:$G$604,G238,'Content Calendar'!$B$5:$B$604,B238)&gt;1,"Duplicate","OK"))</f>
        <v>0</v>
      </c>
      <c r="AM238" s="29">
        <f>IF(H238="","",IF(AND(B238&lt;&gt;"",B238&lt;TODAY(),X238&lt;&gt;"Published",X238&lt;&gt;"Cancelled",X238&lt;&gt;"Archived"),"Overdue - date has passed",IF(AND(X238="Published",AB238=""),"Add - publish link missing",IF(AND(B238=TODAY(),X238&lt;&gt;"Published"),"Today - due to go live",IF(AND(Y238&lt;&gt;"",Y238&lt;TODAY(),OR(X238="Idea",X238="Brief",X238="In production")),"Late - draft not ready",IF(AND(AA238&gt;=0,AA238&lt;=3,OR(X238="Draft",X238="Awaiting review")),"Due - needs approval",IF(AND(H238&lt;&gt;"",P238=""),"Add - caption missing","OK")))))))</f>
        <v>0</v>
      </c>
    </row>
    <row r="239" spans="1:39">
      <c r="A239" s="41">
        <f>IF(H239="","",ContentPrefix&amp;TEXT(ROW()-4,"0000"))</f>
        <v>0</v>
      </c>
      <c r="D239" s="17">
        <f>IF(B239="","",TEXT(B239,"yyyy-mm"))</f>
        <v>0</v>
      </c>
      <c r="E239" s="23">
        <f>IF(B239="","",WEEKNUM(B239,IF(WeekStart="Sunday",1,2)))</f>
        <v>0</v>
      </c>
      <c r="F239" s="17">
        <f>IF(B239="","",TEXT(B239,"ddd"))</f>
        <v>0</v>
      </c>
      <c r="Q239" s="29">
        <f>IF(H239="","",IF(P239="","Add - no caption",IFERROR(INDEX('Caption Bank'!$R$5:$R$204,MATCH(P239,'Caption Bank'!$B$5:$B$204,0)),"Check - not in bank")))</f>
        <v>0</v>
      </c>
      <c r="S239" s="23">
        <f>IF(R239="","",COUNTIF('Hashtag Bank'!$D$5:$D$304,R239))</f>
        <v>0</v>
      </c>
      <c r="U239" s="29">
        <f>IF(H239="","",IF(T239="","Add - no asset",IFERROR(INDEX(Assets!$N$5:$N$254,MATCH(T239,Assets!$A$5:$A$254,0)),"Check - not in library")))</f>
        <v>0</v>
      </c>
      <c r="Y239" s="16">
        <f>IF(B239="","",B239-ProductionDays)</f>
        <v>0</v>
      </c>
      <c r="Z239" s="16">
        <f>IF(B239="","",B239-ApprovalDays)</f>
        <v>0</v>
      </c>
      <c r="AA239" s="23">
        <f>IF(B239="","",B239-TODAY())</f>
        <v>0</v>
      </c>
      <c r="AC239" s="29">
        <f>IF(H239="","",IF(X239="Published",IF(AB239="","Add - link missing","Yes"),"No"))</f>
        <v>0</v>
      </c>
      <c r="AD239" s="23">
        <f>IF(A239="","",IF(COUNTIF(Performance!$B$5:$B$404,A239)=0,"",SUMIFS(Performance!$O$5:$O$404,Performance!$B$5:$B$404,A239)))</f>
        <v>0</v>
      </c>
      <c r="AE239" s="23">
        <f>IF(AD239="","",SUMIFS(Performance!$Z$5:$Z$404,Performance!$B$5:$B$404,A239))</f>
        <v>0</v>
      </c>
      <c r="AF239" s="24">
        <f>IF(OR(AD239="",AD239=0),"",AE239/AD239)</f>
        <v>0</v>
      </c>
      <c r="AG239" s="23">
        <f>IF(AD239="","",SUMIFS(Performance!$U$5:$U$404,Performance!$B$5:$B$404,A239))</f>
        <v>0</v>
      </c>
      <c r="AH239" s="23">
        <f>IF(A239="","",COUNTIF(Repurposing!$B$5:$B$154,A239))</f>
        <v>0</v>
      </c>
      <c r="AI239" s="32">
        <f>IF(OR(H239="",B239=""),"",B239+ROW()/100000)</f>
        <v>0</v>
      </c>
      <c r="AJ239" s="32">
        <f>IF(OR(H239="",B239=""),"",IF(OR(X239="Published",X239="Cancelled",X239="Archived"),"",IF(B239&lt;TODAY(),"",B239+ROW()/100000)))</f>
        <v>0</v>
      </c>
      <c r="AK239" s="32">
        <f>IF(OR(H239="",B239=""),"",IF(OR(X239="Published",X239="Cancelled",X239="Archived"),"",IF(B239&gt;=TODAY(),"",B239+ROW()/100000)))</f>
        <v>0</v>
      </c>
      <c r="AL239" s="29">
        <f>IF(H239="","",IF(COUNTIFS('Content Calendar'!$H$5:$H$604,H239,'Content Calendar'!$G$5:$G$604,G239,'Content Calendar'!$B$5:$B$604,B239)&gt;1,"Duplicate","OK"))</f>
        <v>0</v>
      </c>
      <c r="AM239" s="29">
        <f>IF(H239="","",IF(AND(B239&lt;&gt;"",B239&lt;TODAY(),X239&lt;&gt;"Published",X239&lt;&gt;"Cancelled",X239&lt;&gt;"Archived"),"Overdue - date has passed",IF(AND(X239="Published",AB239=""),"Add - publish link missing",IF(AND(B239=TODAY(),X239&lt;&gt;"Published"),"Today - due to go live",IF(AND(Y239&lt;&gt;"",Y239&lt;TODAY(),OR(X239="Idea",X239="Brief",X239="In production")),"Late - draft not ready",IF(AND(AA239&gt;=0,AA239&lt;=3,OR(X239="Draft",X239="Awaiting review")),"Due - needs approval",IF(AND(H239&lt;&gt;"",P239=""),"Add - caption missing","OK")))))))</f>
        <v>0</v>
      </c>
    </row>
    <row r="240" spans="1:39">
      <c r="A240" s="41">
        <f>IF(H240="","",ContentPrefix&amp;TEXT(ROW()-4,"0000"))</f>
        <v>0</v>
      </c>
      <c r="D240" s="17">
        <f>IF(B240="","",TEXT(B240,"yyyy-mm"))</f>
        <v>0</v>
      </c>
      <c r="E240" s="23">
        <f>IF(B240="","",WEEKNUM(B240,IF(WeekStart="Sunday",1,2)))</f>
        <v>0</v>
      </c>
      <c r="F240" s="17">
        <f>IF(B240="","",TEXT(B240,"ddd"))</f>
        <v>0</v>
      </c>
      <c r="Q240" s="29">
        <f>IF(H240="","",IF(P240="","Add - no caption",IFERROR(INDEX('Caption Bank'!$R$5:$R$204,MATCH(P240,'Caption Bank'!$B$5:$B$204,0)),"Check - not in bank")))</f>
        <v>0</v>
      </c>
      <c r="S240" s="23">
        <f>IF(R240="","",COUNTIF('Hashtag Bank'!$D$5:$D$304,R240))</f>
        <v>0</v>
      </c>
      <c r="U240" s="29">
        <f>IF(H240="","",IF(T240="","Add - no asset",IFERROR(INDEX(Assets!$N$5:$N$254,MATCH(T240,Assets!$A$5:$A$254,0)),"Check - not in library")))</f>
        <v>0</v>
      </c>
      <c r="Y240" s="16">
        <f>IF(B240="","",B240-ProductionDays)</f>
        <v>0</v>
      </c>
      <c r="Z240" s="16">
        <f>IF(B240="","",B240-ApprovalDays)</f>
        <v>0</v>
      </c>
      <c r="AA240" s="23">
        <f>IF(B240="","",B240-TODAY())</f>
        <v>0</v>
      </c>
      <c r="AC240" s="29">
        <f>IF(H240="","",IF(X240="Published",IF(AB240="","Add - link missing","Yes"),"No"))</f>
        <v>0</v>
      </c>
      <c r="AD240" s="23">
        <f>IF(A240="","",IF(COUNTIF(Performance!$B$5:$B$404,A240)=0,"",SUMIFS(Performance!$O$5:$O$404,Performance!$B$5:$B$404,A240)))</f>
        <v>0</v>
      </c>
      <c r="AE240" s="23">
        <f>IF(AD240="","",SUMIFS(Performance!$Z$5:$Z$404,Performance!$B$5:$B$404,A240))</f>
        <v>0</v>
      </c>
      <c r="AF240" s="24">
        <f>IF(OR(AD240="",AD240=0),"",AE240/AD240)</f>
        <v>0</v>
      </c>
      <c r="AG240" s="23">
        <f>IF(AD240="","",SUMIFS(Performance!$U$5:$U$404,Performance!$B$5:$B$404,A240))</f>
        <v>0</v>
      </c>
      <c r="AH240" s="23">
        <f>IF(A240="","",COUNTIF(Repurposing!$B$5:$B$154,A240))</f>
        <v>0</v>
      </c>
      <c r="AI240" s="32">
        <f>IF(OR(H240="",B240=""),"",B240+ROW()/100000)</f>
        <v>0</v>
      </c>
      <c r="AJ240" s="32">
        <f>IF(OR(H240="",B240=""),"",IF(OR(X240="Published",X240="Cancelled",X240="Archived"),"",IF(B240&lt;TODAY(),"",B240+ROW()/100000)))</f>
        <v>0</v>
      </c>
      <c r="AK240" s="32">
        <f>IF(OR(H240="",B240=""),"",IF(OR(X240="Published",X240="Cancelled",X240="Archived"),"",IF(B240&gt;=TODAY(),"",B240+ROW()/100000)))</f>
        <v>0</v>
      </c>
      <c r="AL240" s="29">
        <f>IF(H240="","",IF(COUNTIFS('Content Calendar'!$H$5:$H$604,H240,'Content Calendar'!$G$5:$G$604,G240,'Content Calendar'!$B$5:$B$604,B240)&gt;1,"Duplicate","OK"))</f>
        <v>0</v>
      </c>
      <c r="AM240" s="29">
        <f>IF(H240="","",IF(AND(B240&lt;&gt;"",B240&lt;TODAY(),X240&lt;&gt;"Published",X240&lt;&gt;"Cancelled",X240&lt;&gt;"Archived"),"Overdue - date has passed",IF(AND(X240="Published",AB240=""),"Add - publish link missing",IF(AND(B240=TODAY(),X240&lt;&gt;"Published"),"Today - due to go live",IF(AND(Y240&lt;&gt;"",Y240&lt;TODAY(),OR(X240="Idea",X240="Brief",X240="In production")),"Late - draft not ready",IF(AND(AA240&gt;=0,AA240&lt;=3,OR(X240="Draft",X240="Awaiting review")),"Due - needs approval",IF(AND(H240&lt;&gt;"",P240=""),"Add - caption missing","OK")))))))</f>
        <v>0</v>
      </c>
    </row>
    <row r="241" spans="1:39">
      <c r="A241" s="41">
        <f>IF(H241="","",ContentPrefix&amp;TEXT(ROW()-4,"0000"))</f>
        <v>0</v>
      </c>
      <c r="D241" s="17">
        <f>IF(B241="","",TEXT(B241,"yyyy-mm"))</f>
        <v>0</v>
      </c>
      <c r="E241" s="23">
        <f>IF(B241="","",WEEKNUM(B241,IF(WeekStart="Sunday",1,2)))</f>
        <v>0</v>
      </c>
      <c r="F241" s="17">
        <f>IF(B241="","",TEXT(B241,"ddd"))</f>
        <v>0</v>
      </c>
      <c r="Q241" s="29">
        <f>IF(H241="","",IF(P241="","Add - no caption",IFERROR(INDEX('Caption Bank'!$R$5:$R$204,MATCH(P241,'Caption Bank'!$B$5:$B$204,0)),"Check - not in bank")))</f>
        <v>0</v>
      </c>
      <c r="S241" s="23">
        <f>IF(R241="","",COUNTIF('Hashtag Bank'!$D$5:$D$304,R241))</f>
        <v>0</v>
      </c>
      <c r="U241" s="29">
        <f>IF(H241="","",IF(T241="","Add - no asset",IFERROR(INDEX(Assets!$N$5:$N$254,MATCH(T241,Assets!$A$5:$A$254,0)),"Check - not in library")))</f>
        <v>0</v>
      </c>
      <c r="Y241" s="16">
        <f>IF(B241="","",B241-ProductionDays)</f>
        <v>0</v>
      </c>
      <c r="Z241" s="16">
        <f>IF(B241="","",B241-ApprovalDays)</f>
        <v>0</v>
      </c>
      <c r="AA241" s="23">
        <f>IF(B241="","",B241-TODAY())</f>
        <v>0</v>
      </c>
      <c r="AC241" s="29">
        <f>IF(H241="","",IF(X241="Published",IF(AB241="","Add - link missing","Yes"),"No"))</f>
        <v>0</v>
      </c>
      <c r="AD241" s="23">
        <f>IF(A241="","",IF(COUNTIF(Performance!$B$5:$B$404,A241)=0,"",SUMIFS(Performance!$O$5:$O$404,Performance!$B$5:$B$404,A241)))</f>
        <v>0</v>
      </c>
      <c r="AE241" s="23">
        <f>IF(AD241="","",SUMIFS(Performance!$Z$5:$Z$404,Performance!$B$5:$B$404,A241))</f>
        <v>0</v>
      </c>
      <c r="AF241" s="24">
        <f>IF(OR(AD241="",AD241=0),"",AE241/AD241)</f>
        <v>0</v>
      </c>
      <c r="AG241" s="23">
        <f>IF(AD241="","",SUMIFS(Performance!$U$5:$U$404,Performance!$B$5:$B$404,A241))</f>
        <v>0</v>
      </c>
      <c r="AH241" s="23">
        <f>IF(A241="","",COUNTIF(Repurposing!$B$5:$B$154,A241))</f>
        <v>0</v>
      </c>
      <c r="AI241" s="32">
        <f>IF(OR(H241="",B241=""),"",B241+ROW()/100000)</f>
        <v>0</v>
      </c>
      <c r="AJ241" s="32">
        <f>IF(OR(H241="",B241=""),"",IF(OR(X241="Published",X241="Cancelled",X241="Archived"),"",IF(B241&lt;TODAY(),"",B241+ROW()/100000)))</f>
        <v>0</v>
      </c>
      <c r="AK241" s="32">
        <f>IF(OR(H241="",B241=""),"",IF(OR(X241="Published",X241="Cancelled",X241="Archived"),"",IF(B241&gt;=TODAY(),"",B241+ROW()/100000)))</f>
        <v>0</v>
      </c>
      <c r="AL241" s="29">
        <f>IF(H241="","",IF(COUNTIFS('Content Calendar'!$H$5:$H$604,H241,'Content Calendar'!$G$5:$G$604,G241,'Content Calendar'!$B$5:$B$604,B241)&gt;1,"Duplicate","OK"))</f>
        <v>0</v>
      </c>
      <c r="AM241" s="29">
        <f>IF(H241="","",IF(AND(B241&lt;&gt;"",B241&lt;TODAY(),X241&lt;&gt;"Published",X241&lt;&gt;"Cancelled",X241&lt;&gt;"Archived"),"Overdue - date has passed",IF(AND(X241="Published",AB241=""),"Add - publish link missing",IF(AND(B241=TODAY(),X241&lt;&gt;"Published"),"Today - due to go live",IF(AND(Y241&lt;&gt;"",Y241&lt;TODAY(),OR(X241="Idea",X241="Brief",X241="In production")),"Late - draft not ready",IF(AND(AA241&gt;=0,AA241&lt;=3,OR(X241="Draft",X241="Awaiting review")),"Due - needs approval",IF(AND(H241&lt;&gt;"",P241=""),"Add - caption missing","OK")))))))</f>
        <v>0</v>
      </c>
    </row>
    <row r="242" spans="1:39">
      <c r="A242" s="41">
        <f>IF(H242="","",ContentPrefix&amp;TEXT(ROW()-4,"0000"))</f>
        <v>0</v>
      </c>
      <c r="D242" s="17">
        <f>IF(B242="","",TEXT(B242,"yyyy-mm"))</f>
        <v>0</v>
      </c>
      <c r="E242" s="23">
        <f>IF(B242="","",WEEKNUM(B242,IF(WeekStart="Sunday",1,2)))</f>
        <v>0</v>
      </c>
      <c r="F242" s="17">
        <f>IF(B242="","",TEXT(B242,"ddd"))</f>
        <v>0</v>
      </c>
      <c r="Q242" s="29">
        <f>IF(H242="","",IF(P242="","Add - no caption",IFERROR(INDEX('Caption Bank'!$R$5:$R$204,MATCH(P242,'Caption Bank'!$B$5:$B$204,0)),"Check - not in bank")))</f>
        <v>0</v>
      </c>
      <c r="S242" s="23">
        <f>IF(R242="","",COUNTIF('Hashtag Bank'!$D$5:$D$304,R242))</f>
        <v>0</v>
      </c>
      <c r="U242" s="29">
        <f>IF(H242="","",IF(T242="","Add - no asset",IFERROR(INDEX(Assets!$N$5:$N$254,MATCH(T242,Assets!$A$5:$A$254,0)),"Check - not in library")))</f>
        <v>0</v>
      </c>
      <c r="Y242" s="16">
        <f>IF(B242="","",B242-ProductionDays)</f>
        <v>0</v>
      </c>
      <c r="Z242" s="16">
        <f>IF(B242="","",B242-ApprovalDays)</f>
        <v>0</v>
      </c>
      <c r="AA242" s="23">
        <f>IF(B242="","",B242-TODAY())</f>
        <v>0</v>
      </c>
      <c r="AC242" s="29">
        <f>IF(H242="","",IF(X242="Published",IF(AB242="","Add - link missing","Yes"),"No"))</f>
        <v>0</v>
      </c>
      <c r="AD242" s="23">
        <f>IF(A242="","",IF(COUNTIF(Performance!$B$5:$B$404,A242)=0,"",SUMIFS(Performance!$O$5:$O$404,Performance!$B$5:$B$404,A242)))</f>
        <v>0</v>
      </c>
      <c r="AE242" s="23">
        <f>IF(AD242="","",SUMIFS(Performance!$Z$5:$Z$404,Performance!$B$5:$B$404,A242))</f>
        <v>0</v>
      </c>
      <c r="AF242" s="24">
        <f>IF(OR(AD242="",AD242=0),"",AE242/AD242)</f>
        <v>0</v>
      </c>
      <c r="AG242" s="23">
        <f>IF(AD242="","",SUMIFS(Performance!$U$5:$U$404,Performance!$B$5:$B$404,A242))</f>
        <v>0</v>
      </c>
      <c r="AH242" s="23">
        <f>IF(A242="","",COUNTIF(Repurposing!$B$5:$B$154,A242))</f>
        <v>0</v>
      </c>
      <c r="AI242" s="32">
        <f>IF(OR(H242="",B242=""),"",B242+ROW()/100000)</f>
        <v>0</v>
      </c>
      <c r="AJ242" s="32">
        <f>IF(OR(H242="",B242=""),"",IF(OR(X242="Published",X242="Cancelled",X242="Archived"),"",IF(B242&lt;TODAY(),"",B242+ROW()/100000)))</f>
        <v>0</v>
      </c>
      <c r="AK242" s="32">
        <f>IF(OR(H242="",B242=""),"",IF(OR(X242="Published",X242="Cancelled",X242="Archived"),"",IF(B242&gt;=TODAY(),"",B242+ROW()/100000)))</f>
        <v>0</v>
      </c>
      <c r="AL242" s="29">
        <f>IF(H242="","",IF(COUNTIFS('Content Calendar'!$H$5:$H$604,H242,'Content Calendar'!$G$5:$G$604,G242,'Content Calendar'!$B$5:$B$604,B242)&gt;1,"Duplicate","OK"))</f>
        <v>0</v>
      </c>
      <c r="AM242" s="29">
        <f>IF(H242="","",IF(AND(B242&lt;&gt;"",B242&lt;TODAY(),X242&lt;&gt;"Published",X242&lt;&gt;"Cancelled",X242&lt;&gt;"Archived"),"Overdue - date has passed",IF(AND(X242="Published",AB242=""),"Add - publish link missing",IF(AND(B242=TODAY(),X242&lt;&gt;"Published"),"Today - due to go live",IF(AND(Y242&lt;&gt;"",Y242&lt;TODAY(),OR(X242="Idea",X242="Brief",X242="In production")),"Late - draft not ready",IF(AND(AA242&gt;=0,AA242&lt;=3,OR(X242="Draft",X242="Awaiting review")),"Due - needs approval",IF(AND(H242&lt;&gt;"",P242=""),"Add - caption missing","OK")))))))</f>
        <v>0</v>
      </c>
    </row>
    <row r="243" spans="1:39">
      <c r="A243" s="41">
        <f>IF(H243="","",ContentPrefix&amp;TEXT(ROW()-4,"0000"))</f>
        <v>0</v>
      </c>
      <c r="D243" s="17">
        <f>IF(B243="","",TEXT(B243,"yyyy-mm"))</f>
        <v>0</v>
      </c>
      <c r="E243" s="23">
        <f>IF(B243="","",WEEKNUM(B243,IF(WeekStart="Sunday",1,2)))</f>
        <v>0</v>
      </c>
      <c r="F243" s="17">
        <f>IF(B243="","",TEXT(B243,"ddd"))</f>
        <v>0</v>
      </c>
      <c r="Q243" s="29">
        <f>IF(H243="","",IF(P243="","Add - no caption",IFERROR(INDEX('Caption Bank'!$R$5:$R$204,MATCH(P243,'Caption Bank'!$B$5:$B$204,0)),"Check - not in bank")))</f>
        <v>0</v>
      </c>
      <c r="S243" s="23">
        <f>IF(R243="","",COUNTIF('Hashtag Bank'!$D$5:$D$304,R243))</f>
        <v>0</v>
      </c>
      <c r="U243" s="29">
        <f>IF(H243="","",IF(T243="","Add - no asset",IFERROR(INDEX(Assets!$N$5:$N$254,MATCH(T243,Assets!$A$5:$A$254,0)),"Check - not in library")))</f>
        <v>0</v>
      </c>
      <c r="Y243" s="16">
        <f>IF(B243="","",B243-ProductionDays)</f>
        <v>0</v>
      </c>
      <c r="Z243" s="16">
        <f>IF(B243="","",B243-ApprovalDays)</f>
        <v>0</v>
      </c>
      <c r="AA243" s="23">
        <f>IF(B243="","",B243-TODAY())</f>
        <v>0</v>
      </c>
      <c r="AC243" s="29">
        <f>IF(H243="","",IF(X243="Published",IF(AB243="","Add - link missing","Yes"),"No"))</f>
        <v>0</v>
      </c>
      <c r="AD243" s="23">
        <f>IF(A243="","",IF(COUNTIF(Performance!$B$5:$B$404,A243)=0,"",SUMIFS(Performance!$O$5:$O$404,Performance!$B$5:$B$404,A243)))</f>
        <v>0</v>
      </c>
      <c r="AE243" s="23">
        <f>IF(AD243="","",SUMIFS(Performance!$Z$5:$Z$404,Performance!$B$5:$B$404,A243))</f>
        <v>0</v>
      </c>
      <c r="AF243" s="24">
        <f>IF(OR(AD243="",AD243=0),"",AE243/AD243)</f>
        <v>0</v>
      </c>
      <c r="AG243" s="23">
        <f>IF(AD243="","",SUMIFS(Performance!$U$5:$U$404,Performance!$B$5:$B$404,A243))</f>
        <v>0</v>
      </c>
      <c r="AH243" s="23">
        <f>IF(A243="","",COUNTIF(Repurposing!$B$5:$B$154,A243))</f>
        <v>0</v>
      </c>
      <c r="AI243" s="32">
        <f>IF(OR(H243="",B243=""),"",B243+ROW()/100000)</f>
        <v>0</v>
      </c>
      <c r="AJ243" s="32">
        <f>IF(OR(H243="",B243=""),"",IF(OR(X243="Published",X243="Cancelled",X243="Archived"),"",IF(B243&lt;TODAY(),"",B243+ROW()/100000)))</f>
        <v>0</v>
      </c>
      <c r="AK243" s="32">
        <f>IF(OR(H243="",B243=""),"",IF(OR(X243="Published",X243="Cancelled",X243="Archived"),"",IF(B243&gt;=TODAY(),"",B243+ROW()/100000)))</f>
        <v>0</v>
      </c>
      <c r="AL243" s="29">
        <f>IF(H243="","",IF(COUNTIFS('Content Calendar'!$H$5:$H$604,H243,'Content Calendar'!$G$5:$G$604,G243,'Content Calendar'!$B$5:$B$604,B243)&gt;1,"Duplicate","OK"))</f>
        <v>0</v>
      </c>
      <c r="AM243" s="29">
        <f>IF(H243="","",IF(AND(B243&lt;&gt;"",B243&lt;TODAY(),X243&lt;&gt;"Published",X243&lt;&gt;"Cancelled",X243&lt;&gt;"Archived"),"Overdue - date has passed",IF(AND(X243="Published",AB243=""),"Add - publish link missing",IF(AND(B243=TODAY(),X243&lt;&gt;"Published"),"Today - due to go live",IF(AND(Y243&lt;&gt;"",Y243&lt;TODAY(),OR(X243="Idea",X243="Brief",X243="In production")),"Late - draft not ready",IF(AND(AA243&gt;=0,AA243&lt;=3,OR(X243="Draft",X243="Awaiting review")),"Due - needs approval",IF(AND(H243&lt;&gt;"",P243=""),"Add - caption missing","OK")))))))</f>
        <v>0</v>
      </c>
    </row>
    <row r="244" spans="1:39">
      <c r="A244" s="41">
        <f>IF(H244="","",ContentPrefix&amp;TEXT(ROW()-4,"0000"))</f>
        <v>0</v>
      </c>
      <c r="D244" s="17">
        <f>IF(B244="","",TEXT(B244,"yyyy-mm"))</f>
        <v>0</v>
      </c>
      <c r="E244" s="23">
        <f>IF(B244="","",WEEKNUM(B244,IF(WeekStart="Sunday",1,2)))</f>
        <v>0</v>
      </c>
      <c r="F244" s="17">
        <f>IF(B244="","",TEXT(B244,"ddd"))</f>
        <v>0</v>
      </c>
      <c r="Q244" s="29">
        <f>IF(H244="","",IF(P244="","Add - no caption",IFERROR(INDEX('Caption Bank'!$R$5:$R$204,MATCH(P244,'Caption Bank'!$B$5:$B$204,0)),"Check - not in bank")))</f>
        <v>0</v>
      </c>
      <c r="S244" s="23">
        <f>IF(R244="","",COUNTIF('Hashtag Bank'!$D$5:$D$304,R244))</f>
        <v>0</v>
      </c>
      <c r="U244" s="29">
        <f>IF(H244="","",IF(T244="","Add - no asset",IFERROR(INDEX(Assets!$N$5:$N$254,MATCH(T244,Assets!$A$5:$A$254,0)),"Check - not in library")))</f>
        <v>0</v>
      </c>
      <c r="Y244" s="16">
        <f>IF(B244="","",B244-ProductionDays)</f>
        <v>0</v>
      </c>
      <c r="Z244" s="16">
        <f>IF(B244="","",B244-ApprovalDays)</f>
        <v>0</v>
      </c>
      <c r="AA244" s="23">
        <f>IF(B244="","",B244-TODAY())</f>
        <v>0</v>
      </c>
      <c r="AC244" s="29">
        <f>IF(H244="","",IF(X244="Published",IF(AB244="","Add - link missing","Yes"),"No"))</f>
        <v>0</v>
      </c>
      <c r="AD244" s="23">
        <f>IF(A244="","",IF(COUNTIF(Performance!$B$5:$B$404,A244)=0,"",SUMIFS(Performance!$O$5:$O$404,Performance!$B$5:$B$404,A244)))</f>
        <v>0</v>
      </c>
      <c r="AE244" s="23">
        <f>IF(AD244="","",SUMIFS(Performance!$Z$5:$Z$404,Performance!$B$5:$B$404,A244))</f>
        <v>0</v>
      </c>
      <c r="AF244" s="24">
        <f>IF(OR(AD244="",AD244=0),"",AE244/AD244)</f>
        <v>0</v>
      </c>
      <c r="AG244" s="23">
        <f>IF(AD244="","",SUMIFS(Performance!$U$5:$U$404,Performance!$B$5:$B$404,A244))</f>
        <v>0</v>
      </c>
      <c r="AH244" s="23">
        <f>IF(A244="","",COUNTIF(Repurposing!$B$5:$B$154,A244))</f>
        <v>0</v>
      </c>
      <c r="AI244" s="32">
        <f>IF(OR(H244="",B244=""),"",B244+ROW()/100000)</f>
        <v>0</v>
      </c>
      <c r="AJ244" s="32">
        <f>IF(OR(H244="",B244=""),"",IF(OR(X244="Published",X244="Cancelled",X244="Archived"),"",IF(B244&lt;TODAY(),"",B244+ROW()/100000)))</f>
        <v>0</v>
      </c>
      <c r="AK244" s="32">
        <f>IF(OR(H244="",B244=""),"",IF(OR(X244="Published",X244="Cancelled",X244="Archived"),"",IF(B244&gt;=TODAY(),"",B244+ROW()/100000)))</f>
        <v>0</v>
      </c>
      <c r="AL244" s="29">
        <f>IF(H244="","",IF(COUNTIFS('Content Calendar'!$H$5:$H$604,H244,'Content Calendar'!$G$5:$G$604,G244,'Content Calendar'!$B$5:$B$604,B244)&gt;1,"Duplicate","OK"))</f>
        <v>0</v>
      </c>
      <c r="AM244" s="29">
        <f>IF(H244="","",IF(AND(B244&lt;&gt;"",B244&lt;TODAY(),X244&lt;&gt;"Published",X244&lt;&gt;"Cancelled",X244&lt;&gt;"Archived"),"Overdue - date has passed",IF(AND(X244="Published",AB244=""),"Add - publish link missing",IF(AND(B244=TODAY(),X244&lt;&gt;"Published"),"Today - due to go live",IF(AND(Y244&lt;&gt;"",Y244&lt;TODAY(),OR(X244="Idea",X244="Brief",X244="In production")),"Late - draft not ready",IF(AND(AA244&gt;=0,AA244&lt;=3,OR(X244="Draft",X244="Awaiting review")),"Due - needs approval",IF(AND(H244&lt;&gt;"",P244=""),"Add - caption missing","OK")))))))</f>
        <v>0</v>
      </c>
    </row>
    <row r="245" spans="1:39">
      <c r="A245" s="41">
        <f>IF(H245="","",ContentPrefix&amp;TEXT(ROW()-4,"0000"))</f>
        <v>0</v>
      </c>
      <c r="D245" s="17">
        <f>IF(B245="","",TEXT(B245,"yyyy-mm"))</f>
        <v>0</v>
      </c>
      <c r="E245" s="23">
        <f>IF(B245="","",WEEKNUM(B245,IF(WeekStart="Sunday",1,2)))</f>
        <v>0</v>
      </c>
      <c r="F245" s="17">
        <f>IF(B245="","",TEXT(B245,"ddd"))</f>
        <v>0</v>
      </c>
      <c r="Q245" s="29">
        <f>IF(H245="","",IF(P245="","Add - no caption",IFERROR(INDEX('Caption Bank'!$R$5:$R$204,MATCH(P245,'Caption Bank'!$B$5:$B$204,0)),"Check - not in bank")))</f>
        <v>0</v>
      </c>
      <c r="S245" s="23">
        <f>IF(R245="","",COUNTIF('Hashtag Bank'!$D$5:$D$304,R245))</f>
        <v>0</v>
      </c>
      <c r="U245" s="29">
        <f>IF(H245="","",IF(T245="","Add - no asset",IFERROR(INDEX(Assets!$N$5:$N$254,MATCH(T245,Assets!$A$5:$A$254,0)),"Check - not in library")))</f>
        <v>0</v>
      </c>
      <c r="Y245" s="16">
        <f>IF(B245="","",B245-ProductionDays)</f>
        <v>0</v>
      </c>
      <c r="Z245" s="16">
        <f>IF(B245="","",B245-ApprovalDays)</f>
        <v>0</v>
      </c>
      <c r="AA245" s="23">
        <f>IF(B245="","",B245-TODAY())</f>
        <v>0</v>
      </c>
      <c r="AC245" s="29">
        <f>IF(H245="","",IF(X245="Published",IF(AB245="","Add - link missing","Yes"),"No"))</f>
        <v>0</v>
      </c>
      <c r="AD245" s="23">
        <f>IF(A245="","",IF(COUNTIF(Performance!$B$5:$B$404,A245)=0,"",SUMIFS(Performance!$O$5:$O$404,Performance!$B$5:$B$404,A245)))</f>
        <v>0</v>
      </c>
      <c r="AE245" s="23">
        <f>IF(AD245="","",SUMIFS(Performance!$Z$5:$Z$404,Performance!$B$5:$B$404,A245))</f>
        <v>0</v>
      </c>
      <c r="AF245" s="24">
        <f>IF(OR(AD245="",AD245=0),"",AE245/AD245)</f>
        <v>0</v>
      </c>
      <c r="AG245" s="23">
        <f>IF(AD245="","",SUMIFS(Performance!$U$5:$U$404,Performance!$B$5:$B$404,A245))</f>
        <v>0</v>
      </c>
      <c r="AH245" s="23">
        <f>IF(A245="","",COUNTIF(Repurposing!$B$5:$B$154,A245))</f>
        <v>0</v>
      </c>
      <c r="AI245" s="32">
        <f>IF(OR(H245="",B245=""),"",B245+ROW()/100000)</f>
        <v>0</v>
      </c>
      <c r="AJ245" s="32">
        <f>IF(OR(H245="",B245=""),"",IF(OR(X245="Published",X245="Cancelled",X245="Archived"),"",IF(B245&lt;TODAY(),"",B245+ROW()/100000)))</f>
        <v>0</v>
      </c>
      <c r="AK245" s="32">
        <f>IF(OR(H245="",B245=""),"",IF(OR(X245="Published",X245="Cancelled",X245="Archived"),"",IF(B245&gt;=TODAY(),"",B245+ROW()/100000)))</f>
        <v>0</v>
      </c>
      <c r="AL245" s="29">
        <f>IF(H245="","",IF(COUNTIFS('Content Calendar'!$H$5:$H$604,H245,'Content Calendar'!$G$5:$G$604,G245,'Content Calendar'!$B$5:$B$604,B245)&gt;1,"Duplicate","OK"))</f>
        <v>0</v>
      </c>
      <c r="AM245" s="29">
        <f>IF(H245="","",IF(AND(B245&lt;&gt;"",B245&lt;TODAY(),X245&lt;&gt;"Published",X245&lt;&gt;"Cancelled",X245&lt;&gt;"Archived"),"Overdue - date has passed",IF(AND(X245="Published",AB245=""),"Add - publish link missing",IF(AND(B245=TODAY(),X245&lt;&gt;"Published"),"Today - due to go live",IF(AND(Y245&lt;&gt;"",Y245&lt;TODAY(),OR(X245="Idea",X245="Brief",X245="In production")),"Late - draft not ready",IF(AND(AA245&gt;=0,AA245&lt;=3,OR(X245="Draft",X245="Awaiting review")),"Due - needs approval",IF(AND(H245&lt;&gt;"",P245=""),"Add - caption missing","OK")))))))</f>
        <v>0</v>
      </c>
    </row>
    <row r="246" spans="1:39">
      <c r="A246" s="41">
        <f>IF(H246="","",ContentPrefix&amp;TEXT(ROW()-4,"0000"))</f>
        <v>0</v>
      </c>
      <c r="D246" s="17">
        <f>IF(B246="","",TEXT(B246,"yyyy-mm"))</f>
        <v>0</v>
      </c>
      <c r="E246" s="23">
        <f>IF(B246="","",WEEKNUM(B246,IF(WeekStart="Sunday",1,2)))</f>
        <v>0</v>
      </c>
      <c r="F246" s="17">
        <f>IF(B246="","",TEXT(B246,"ddd"))</f>
        <v>0</v>
      </c>
      <c r="Q246" s="29">
        <f>IF(H246="","",IF(P246="","Add - no caption",IFERROR(INDEX('Caption Bank'!$R$5:$R$204,MATCH(P246,'Caption Bank'!$B$5:$B$204,0)),"Check - not in bank")))</f>
        <v>0</v>
      </c>
      <c r="S246" s="23">
        <f>IF(R246="","",COUNTIF('Hashtag Bank'!$D$5:$D$304,R246))</f>
        <v>0</v>
      </c>
      <c r="U246" s="29">
        <f>IF(H246="","",IF(T246="","Add - no asset",IFERROR(INDEX(Assets!$N$5:$N$254,MATCH(T246,Assets!$A$5:$A$254,0)),"Check - not in library")))</f>
        <v>0</v>
      </c>
      <c r="Y246" s="16">
        <f>IF(B246="","",B246-ProductionDays)</f>
        <v>0</v>
      </c>
      <c r="Z246" s="16">
        <f>IF(B246="","",B246-ApprovalDays)</f>
        <v>0</v>
      </c>
      <c r="AA246" s="23">
        <f>IF(B246="","",B246-TODAY())</f>
        <v>0</v>
      </c>
      <c r="AC246" s="29">
        <f>IF(H246="","",IF(X246="Published",IF(AB246="","Add - link missing","Yes"),"No"))</f>
        <v>0</v>
      </c>
      <c r="AD246" s="23">
        <f>IF(A246="","",IF(COUNTIF(Performance!$B$5:$B$404,A246)=0,"",SUMIFS(Performance!$O$5:$O$404,Performance!$B$5:$B$404,A246)))</f>
        <v>0</v>
      </c>
      <c r="AE246" s="23">
        <f>IF(AD246="","",SUMIFS(Performance!$Z$5:$Z$404,Performance!$B$5:$B$404,A246))</f>
        <v>0</v>
      </c>
      <c r="AF246" s="24">
        <f>IF(OR(AD246="",AD246=0),"",AE246/AD246)</f>
        <v>0</v>
      </c>
      <c r="AG246" s="23">
        <f>IF(AD246="","",SUMIFS(Performance!$U$5:$U$404,Performance!$B$5:$B$404,A246))</f>
        <v>0</v>
      </c>
      <c r="AH246" s="23">
        <f>IF(A246="","",COUNTIF(Repurposing!$B$5:$B$154,A246))</f>
        <v>0</v>
      </c>
      <c r="AI246" s="32">
        <f>IF(OR(H246="",B246=""),"",B246+ROW()/100000)</f>
        <v>0</v>
      </c>
      <c r="AJ246" s="32">
        <f>IF(OR(H246="",B246=""),"",IF(OR(X246="Published",X246="Cancelled",X246="Archived"),"",IF(B246&lt;TODAY(),"",B246+ROW()/100000)))</f>
        <v>0</v>
      </c>
      <c r="AK246" s="32">
        <f>IF(OR(H246="",B246=""),"",IF(OR(X246="Published",X246="Cancelled",X246="Archived"),"",IF(B246&gt;=TODAY(),"",B246+ROW()/100000)))</f>
        <v>0</v>
      </c>
      <c r="AL246" s="29">
        <f>IF(H246="","",IF(COUNTIFS('Content Calendar'!$H$5:$H$604,H246,'Content Calendar'!$G$5:$G$604,G246,'Content Calendar'!$B$5:$B$604,B246)&gt;1,"Duplicate","OK"))</f>
        <v>0</v>
      </c>
      <c r="AM246" s="29">
        <f>IF(H246="","",IF(AND(B246&lt;&gt;"",B246&lt;TODAY(),X246&lt;&gt;"Published",X246&lt;&gt;"Cancelled",X246&lt;&gt;"Archived"),"Overdue - date has passed",IF(AND(X246="Published",AB246=""),"Add - publish link missing",IF(AND(B246=TODAY(),X246&lt;&gt;"Published"),"Today - due to go live",IF(AND(Y246&lt;&gt;"",Y246&lt;TODAY(),OR(X246="Idea",X246="Brief",X246="In production")),"Late - draft not ready",IF(AND(AA246&gt;=0,AA246&lt;=3,OR(X246="Draft",X246="Awaiting review")),"Due - needs approval",IF(AND(H246&lt;&gt;"",P246=""),"Add - caption missing","OK")))))))</f>
        <v>0</v>
      </c>
    </row>
    <row r="247" spans="1:39">
      <c r="A247" s="41">
        <f>IF(H247="","",ContentPrefix&amp;TEXT(ROW()-4,"0000"))</f>
        <v>0</v>
      </c>
      <c r="D247" s="17">
        <f>IF(B247="","",TEXT(B247,"yyyy-mm"))</f>
        <v>0</v>
      </c>
      <c r="E247" s="23">
        <f>IF(B247="","",WEEKNUM(B247,IF(WeekStart="Sunday",1,2)))</f>
        <v>0</v>
      </c>
      <c r="F247" s="17">
        <f>IF(B247="","",TEXT(B247,"ddd"))</f>
        <v>0</v>
      </c>
      <c r="Q247" s="29">
        <f>IF(H247="","",IF(P247="","Add - no caption",IFERROR(INDEX('Caption Bank'!$R$5:$R$204,MATCH(P247,'Caption Bank'!$B$5:$B$204,0)),"Check - not in bank")))</f>
        <v>0</v>
      </c>
      <c r="S247" s="23">
        <f>IF(R247="","",COUNTIF('Hashtag Bank'!$D$5:$D$304,R247))</f>
        <v>0</v>
      </c>
      <c r="U247" s="29">
        <f>IF(H247="","",IF(T247="","Add - no asset",IFERROR(INDEX(Assets!$N$5:$N$254,MATCH(T247,Assets!$A$5:$A$254,0)),"Check - not in library")))</f>
        <v>0</v>
      </c>
      <c r="Y247" s="16">
        <f>IF(B247="","",B247-ProductionDays)</f>
        <v>0</v>
      </c>
      <c r="Z247" s="16">
        <f>IF(B247="","",B247-ApprovalDays)</f>
        <v>0</v>
      </c>
      <c r="AA247" s="23">
        <f>IF(B247="","",B247-TODAY())</f>
        <v>0</v>
      </c>
      <c r="AC247" s="29">
        <f>IF(H247="","",IF(X247="Published",IF(AB247="","Add - link missing","Yes"),"No"))</f>
        <v>0</v>
      </c>
      <c r="AD247" s="23">
        <f>IF(A247="","",IF(COUNTIF(Performance!$B$5:$B$404,A247)=0,"",SUMIFS(Performance!$O$5:$O$404,Performance!$B$5:$B$404,A247)))</f>
        <v>0</v>
      </c>
      <c r="AE247" s="23">
        <f>IF(AD247="","",SUMIFS(Performance!$Z$5:$Z$404,Performance!$B$5:$B$404,A247))</f>
        <v>0</v>
      </c>
      <c r="AF247" s="24">
        <f>IF(OR(AD247="",AD247=0),"",AE247/AD247)</f>
        <v>0</v>
      </c>
      <c r="AG247" s="23">
        <f>IF(AD247="","",SUMIFS(Performance!$U$5:$U$404,Performance!$B$5:$B$404,A247))</f>
        <v>0</v>
      </c>
      <c r="AH247" s="23">
        <f>IF(A247="","",COUNTIF(Repurposing!$B$5:$B$154,A247))</f>
        <v>0</v>
      </c>
      <c r="AI247" s="32">
        <f>IF(OR(H247="",B247=""),"",B247+ROW()/100000)</f>
        <v>0</v>
      </c>
      <c r="AJ247" s="32">
        <f>IF(OR(H247="",B247=""),"",IF(OR(X247="Published",X247="Cancelled",X247="Archived"),"",IF(B247&lt;TODAY(),"",B247+ROW()/100000)))</f>
        <v>0</v>
      </c>
      <c r="AK247" s="32">
        <f>IF(OR(H247="",B247=""),"",IF(OR(X247="Published",X247="Cancelled",X247="Archived"),"",IF(B247&gt;=TODAY(),"",B247+ROW()/100000)))</f>
        <v>0</v>
      </c>
      <c r="AL247" s="29">
        <f>IF(H247="","",IF(COUNTIFS('Content Calendar'!$H$5:$H$604,H247,'Content Calendar'!$G$5:$G$604,G247,'Content Calendar'!$B$5:$B$604,B247)&gt;1,"Duplicate","OK"))</f>
        <v>0</v>
      </c>
      <c r="AM247" s="29">
        <f>IF(H247="","",IF(AND(B247&lt;&gt;"",B247&lt;TODAY(),X247&lt;&gt;"Published",X247&lt;&gt;"Cancelled",X247&lt;&gt;"Archived"),"Overdue - date has passed",IF(AND(X247="Published",AB247=""),"Add - publish link missing",IF(AND(B247=TODAY(),X247&lt;&gt;"Published"),"Today - due to go live",IF(AND(Y247&lt;&gt;"",Y247&lt;TODAY(),OR(X247="Idea",X247="Brief",X247="In production")),"Late - draft not ready",IF(AND(AA247&gt;=0,AA247&lt;=3,OR(X247="Draft",X247="Awaiting review")),"Due - needs approval",IF(AND(H247&lt;&gt;"",P247=""),"Add - caption missing","OK")))))))</f>
        <v>0</v>
      </c>
    </row>
    <row r="248" spans="1:39">
      <c r="A248" s="41">
        <f>IF(H248="","",ContentPrefix&amp;TEXT(ROW()-4,"0000"))</f>
        <v>0</v>
      </c>
      <c r="D248" s="17">
        <f>IF(B248="","",TEXT(B248,"yyyy-mm"))</f>
        <v>0</v>
      </c>
      <c r="E248" s="23">
        <f>IF(B248="","",WEEKNUM(B248,IF(WeekStart="Sunday",1,2)))</f>
        <v>0</v>
      </c>
      <c r="F248" s="17">
        <f>IF(B248="","",TEXT(B248,"ddd"))</f>
        <v>0</v>
      </c>
      <c r="Q248" s="29">
        <f>IF(H248="","",IF(P248="","Add - no caption",IFERROR(INDEX('Caption Bank'!$R$5:$R$204,MATCH(P248,'Caption Bank'!$B$5:$B$204,0)),"Check - not in bank")))</f>
        <v>0</v>
      </c>
      <c r="S248" s="23">
        <f>IF(R248="","",COUNTIF('Hashtag Bank'!$D$5:$D$304,R248))</f>
        <v>0</v>
      </c>
      <c r="U248" s="29">
        <f>IF(H248="","",IF(T248="","Add - no asset",IFERROR(INDEX(Assets!$N$5:$N$254,MATCH(T248,Assets!$A$5:$A$254,0)),"Check - not in library")))</f>
        <v>0</v>
      </c>
      <c r="Y248" s="16">
        <f>IF(B248="","",B248-ProductionDays)</f>
        <v>0</v>
      </c>
      <c r="Z248" s="16">
        <f>IF(B248="","",B248-ApprovalDays)</f>
        <v>0</v>
      </c>
      <c r="AA248" s="23">
        <f>IF(B248="","",B248-TODAY())</f>
        <v>0</v>
      </c>
      <c r="AC248" s="29">
        <f>IF(H248="","",IF(X248="Published",IF(AB248="","Add - link missing","Yes"),"No"))</f>
        <v>0</v>
      </c>
      <c r="AD248" s="23">
        <f>IF(A248="","",IF(COUNTIF(Performance!$B$5:$B$404,A248)=0,"",SUMIFS(Performance!$O$5:$O$404,Performance!$B$5:$B$404,A248)))</f>
        <v>0</v>
      </c>
      <c r="AE248" s="23">
        <f>IF(AD248="","",SUMIFS(Performance!$Z$5:$Z$404,Performance!$B$5:$B$404,A248))</f>
        <v>0</v>
      </c>
      <c r="AF248" s="24">
        <f>IF(OR(AD248="",AD248=0),"",AE248/AD248)</f>
        <v>0</v>
      </c>
      <c r="AG248" s="23">
        <f>IF(AD248="","",SUMIFS(Performance!$U$5:$U$404,Performance!$B$5:$B$404,A248))</f>
        <v>0</v>
      </c>
      <c r="AH248" s="23">
        <f>IF(A248="","",COUNTIF(Repurposing!$B$5:$B$154,A248))</f>
        <v>0</v>
      </c>
      <c r="AI248" s="32">
        <f>IF(OR(H248="",B248=""),"",B248+ROW()/100000)</f>
        <v>0</v>
      </c>
      <c r="AJ248" s="32">
        <f>IF(OR(H248="",B248=""),"",IF(OR(X248="Published",X248="Cancelled",X248="Archived"),"",IF(B248&lt;TODAY(),"",B248+ROW()/100000)))</f>
        <v>0</v>
      </c>
      <c r="AK248" s="32">
        <f>IF(OR(H248="",B248=""),"",IF(OR(X248="Published",X248="Cancelled",X248="Archived"),"",IF(B248&gt;=TODAY(),"",B248+ROW()/100000)))</f>
        <v>0</v>
      </c>
      <c r="AL248" s="29">
        <f>IF(H248="","",IF(COUNTIFS('Content Calendar'!$H$5:$H$604,H248,'Content Calendar'!$G$5:$G$604,G248,'Content Calendar'!$B$5:$B$604,B248)&gt;1,"Duplicate","OK"))</f>
        <v>0</v>
      </c>
      <c r="AM248" s="29">
        <f>IF(H248="","",IF(AND(B248&lt;&gt;"",B248&lt;TODAY(),X248&lt;&gt;"Published",X248&lt;&gt;"Cancelled",X248&lt;&gt;"Archived"),"Overdue - date has passed",IF(AND(X248="Published",AB248=""),"Add - publish link missing",IF(AND(B248=TODAY(),X248&lt;&gt;"Published"),"Today - due to go live",IF(AND(Y248&lt;&gt;"",Y248&lt;TODAY(),OR(X248="Idea",X248="Brief",X248="In production")),"Late - draft not ready",IF(AND(AA248&gt;=0,AA248&lt;=3,OR(X248="Draft",X248="Awaiting review")),"Due - needs approval",IF(AND(H248&lt;&gt;"",P248=""),"Add - caption missing","OK")))))))</f>
        <v>0</v>
      </c>
    </row>
    <row r="249" spans="1:39">
      <c r="A249" s="41">
        <f>IF(H249="","",ContentPrefix&amp;TEXT(ROW()-4,"0000"))</f>
        <v>0</v>
      </c>
      <c r="D249" s="17">
        <f>IF(B249="","",TEXT(B249,"yyyy-mm"))</f>
        <v>0</v>
      </c>
      <c r="E249" s="23">
        <f>IF(B249="","",WEEKNUM(B249,IF(WeekStart="Sunday",1,2)))</f>
        <v>0</v>
      </c>
      <c r="F249" s="17">
        <f>IF(B249="","",TEXT(B249,"ddd"))</f>
        <v>0</v>
      </c>
      <c r="Q249" s="29">
        <f>IF(H249="","",IF(P249="","Add - no caption",IFERROR(INDEX('Caption Bank'!$R$5:$R$204,MATCH(P249,'Caption Bank'!$B$5:$B$204,0)),"Check - not in bank")))</f>
        <v>0</v>
      </c>
      <c r="S249" s="23">
        <f>IF(R249="","",COUNTIF('Hashtag Bank'!$D$5:$D$304,R249))</f>
        <v>0</v>
      </c>
      <c r="U249" s="29">
        <f>IF(H249="","",IF(T249="","Add - no asset",IFERROR(INDEX(Assets!$N$5:$N$254,MATCH(T249,Assets!$A$5:$A$254,0)),"Check - not in library")))</f>
        <v>0</v>
      </c>
      <c r="Y249" s="16">
        <f>IF(B249="","",B249-ProductionDays)</f>
        <v>0</v>
      </c>
      <c r="Z249" s="16">
        <f>IF(B249="","",B249-ApprovalDays)</f>
        <v>0</v>
      </c>
      <c r="AA249" s="23">
        <f>IF(B249="","",B249-TODAY())</f>
        <v>0</v>
      </c>
      <c r="AC249" s="29">
        <f>IF(H249="","",IF(X249="Published",IF(AB249="","Add - link missing","Yes"),"No"))</f>
        <v>0</v>
      </c>
      <c r="AD249" s="23">
        <f>IF(A249="","",IF(COUNTIF(Performance!$B$5:$B$404,A249)=0,"",SUMIFS(Performance!$O$5:$O$404,Performance!$B$5:$B$404,A249)))</f>
        <v>0</v>
      </c>
      <c r="AE249" s="23">
        <f>IF(AD249="","",SUMIFS(Performance!$Z$5:$Z$404,Performance!$B$5:$B$404,A249))</f>
        <v>0</v>
      </c>
      <c r="AF249" s="24">
        <f>IF(OR(AD249="",AD249=0),"",AE249/AD249)</f>
        <v>0</v>
      </c>
      <c r="AG249" s="23">
        <f>IF(AD249="","",SUMIFS(Performance!$U$5:$U$404,Performance!$B$5:$B$404,A249))</f>
        <v>0</v>
      </c>
      <c r="AH249" s="23">
        <f>IF(A249="","",COUNTIF(Repurposing!$B$5:$B$154,A249))</f>
        <v>0</v>
      </c>
      <c r="AI249" s="32">
        <f>IF(OR(H249="",B249=""),"",B249+ROW()/100000)</f>
        <v>0</v>
      </c>
      <c r="AJ249" s="32">
        <f>IF(OR(H249="",B249=""),"",IF(OR(X249="Published",X249="Cancelled",X249="Archived"),"",IF(B249&lt;TODAY(),"",B249+ROW()/100000)))</f>
        <v>0</v>
      </c>
      <c r="AK249" s="32">
        <f>IF(OR(H249="",B249=""),"",IF(OR(X249="Published",X249="Cancelled",X249="Archived"),"",IF(B249&gt;=TODAY(),"",B249+ROW()/100000)))</f>
        <v>0</v>
      </c>
      <c r="AL249" s="29">
        <f>IF(H249="","",IF(COUNTIFS('Content Calendar'!$H$5:$H$604,H249,'Content Calendar'!$G$5:$G$604,G249,'Content Calendar'!$B$5:$B$604,B249)&gt;1,"Duplicate","OK"))</f>
        <v>0</v>
      </c>
      <c r="AM249" s="29">
        <f>IF(H249="","",IF(AND(B249&lt;&gt;"",B249&lt;TODAY(),X249&lt;&gt;"Published",X249&lt;&gt;"Cancelled",X249&lt;&gt;"Archived"),"Overdue - date has passed",IF(AND(X249="Published",AB249=""),"Add - publish link missing",IF(AND(B249=TODAY(),X249&lt;&gt;"Published"),"Today - due to go live",IF(AND(Y249&lt;&gt;"",Y249&lt;TODAY(),OR(X249="Idea",X249="Brief",X249="In production")),"Late - draft not ready",IF(AND(AA249&gt;=0,AA249&lt;=3,OR(X249="Draft",X249="Awaiting review")),"Due - needs approval",IF(AND(H249&lt;&gt;"",P249=""),"Add - caption missing","OK")))))))</f>
        <v>0</v>
      </c>
    </row>
    <row r="250" spans="1:39">
      <c r="A250" s="41">
        <f>IF(H250="","",ContentPrefix&amp;TEXT(ROW()-4,"0000"))</f>
        <v>0</v>
      </c>
      <c r="D250" s="17">
        <f>IF(B250="","",TEXT(B250,"yyyy-mm"))</f>
        <v>0</v>
      </c>
      <c r="E250" s="23">
        <f>IF(B250="","",WEEKNUM(B250,IF(WeekStart="Sunday",1,2)))</f>
        <v>0</v>
      </c>
      <c r="F250" s="17">
        <f>IF(B250="","",TEXT(B250,"ddd"))</f>
        <v>0</v>
      </c>
      <c r="Q250" s="29">
        <f>IF(H250="","",IF(P250="","Add - no caption",IFERROR(INDEX('Caption Bank'!$R$5:$R$204,MATCH(P250,'Caption Bank'!$B$5:$B$204,0)),"Check - not in bank")))</f>
        <v>0</v>
      </c>
      <c r="S250" s="23">
        <f>IF(R250="","",COUNTIF('Hashtag Bank'!$D$5:$D$304,R250))</f>
        <v>0</v>
      </c>
      <c r="U250" s="29">
        <f>IF(H250="","",IF(T250="","Add - no asset",IFERROR(INDEX(Assets!$N$5:$N$254,MATCH(T250,Assets!$A$5:$A$254,0)),"Check - not in library")))</f>
        <v>0</v>
      </c>
      <c r="Y250" s="16">
        <f>IF(B250="","",B250-ProductionDays)</f>
        <v>0</v>
      </c>
      <c r="Z250" s="16">
        <f>IF(B250="","",B250-ApprovalDays)</f>
        <v>0</v>
      </c>
      <c r="AA250" s="23">
        <f>IF(B250="","",B250-TODAY())</f>
        <v>0</v>
      </c>
      <c r="AC250" s="29">
        <f>IF(H250="","",IF(X250="Published",IF(AB250="","Add - link missing","Yes"),"No"))</f>
        <v>0</v>
      </c>
      <c r="AD250" s="23">
        <f>IF(A250="","",IF(COUNTIF(Performance!$B$5:$B$404,A250)=0,"",SUMIFS(Performance!$O$5:$O$404,Performance!$B$5:$B$404,A250)))</f>
        <v>0</v>
      </c>
      <c r="AE250" s="23">
        <f>IF(AD250="","",SUMIFS(Performance!$Z$5:$Z$404,Performance!$B$5:$B$404,A250))</f>
        <v>0</v>
      </c>
      <c r="AF250" s="24">
        <f>IF(OR(AD250="",AD250=0),"",AE250/AD250)</f>
        <v>0</v>
      </c>
      <c r="AG250" s="23">
        <f>IF(AD250="","",SUMIFS(Performance!$U$5:$U$404,Performance!$B$5:$B$404,A250))</f>
        <v>0</v>
      </c>
      <c r="AH250" s="23">
        <f>IF(A250="","",COUNTIF(Repurposing!$B$5:$B$154,A250))</f>
        <v>0</v>
      </c>
      <c r="AI250" s="32">
        <f>IF(OR(H250="",B250=""),"",B250+ROW()/100000)</f>
        <v>0</v>
      </c>
      <c r="AJ250" s="32">
        <f>IF(OR(H250="",B250=""),"",IF(OR(X250="Published",X250="Cancelled",X250="Archived"),"",IF(B250&lt;TODAY(),"",B250+ROW()/100000)))</f>
        <v>0</v>
      </c>
      <c r="AK250" s="32">
        <f>IF(OR(H250="",B250=""),"",IF(OR(X250="Published",X250="Cancelled",X250="Archived"),"",IF(B250&gt;=TODAY(),"",B250+ROW()/100000)))</f>
        <v>0</v>
      </c>
      <c r="AL250" s="29">
        <f>IF(H250="","",IF(COUNTIFS('Content Calendar'!$H$5:$H$604,H250,'Content Calendar'!$G$5:$G$604,G250,'Content Calendar'!$B$5:$B$604,B250)&gt;1,"Duplicate","OK"))</f>
        <v>0</v>
      </c>
      <c r="AM250" s="29">
        <f>IF(H250="","",IF(AND(B250&lt;&gt;"",B250&lt;TODAY(),X250&lt;&gt;"Published",X250&lt;&gt;"Cancelled",X250&lt;&gt;"Archived"),"Overdue - date has passed",IF(AND(X250="Published",AB250=""),"Add - publish link missing",IF(AND(B250=TODAY(),X250&lt;&gt;"Published"),"Today - due to go live",IF(AND(Y250&lt;&gt;"",Y250&lt;TODAY(),OR(X250="Idea",X250="Brief",X250="In production")),"Late - draft not ready",IF(AND(AA250&gt;=0,AA250&lt;=3,OR(X250="Draft",X250="Awaiting review")),"Due - needs approval",IF(AND(H250&lt;&gt;"",P250=""),"Add - caption missing","OK")))))))</f>
        <v>0</v>
      </c>
    </row>
    <row r="251" spans="1:39">
      <c r="A251" s="41">
        <f>IF(H251="","",ContentPrefix&amp;TEXT(ROW()-4,"0000"))</f>
        <v>0</v>
      </c>
      <c r="D251" s="17">
        <f>IF(B251="","",TEXT(B251,"yyyy-mm"))</f>
        <v>0</v>
      </c>
      <c r="E251" s="23">
        <f>IF(B251="","",WEEKNUM(B251,IF(WeekStart="Sunday",1,2)))</f>
        <v>0</v>
      </c>
      <c r="F251" s="17">
        <f>IF(B251="","",TEXT(B251,"ddd"))</f>
        <v>0</v>
      </c>
      <c r="Q251" s="29">
        <f>IF(H251="","",IF(P251="","Add - no caption",IFERROR(INDEX('Caption Bank'!$R$5:$R$204,MATCH(P251,'Caption Bank'!$B$5:$B$204,0)),"Check - not in bank")))</f>
        <v>0</v>
      </c>
      <c r="S251" s="23">
        <f>IF(R251="","",COUNTIF('Hashtag Bank'!$D$5:$D$304,R251))</f>
        <v>0</v>
      </c>
      <c r="U251" s="29">
        <f>IF(H251="","",IF(T251="","Add - no asset",IFERROR(INDEX(Assets!$N$5:$N$254,MATCH(T251,Assets!$A$5:$A$254,0)),"Check - not in library")))</f>
        <v>0</v>
      </c>
      <c r="Y251" s="16">
        <f>IF(B251="","",B251-ProductionDays)</f>
        <v>0</v>
      </c>
      <c r="Z251" s="16">
        <f>IF(B251="","",B251-ApprovalDays)</f>
        <v>0</v>
      </c>
      <c r="AA251" s="23">
        <f>IF(B251="","",B251-TODAY())</f>
        <v>0</v>
      </c>
      <c r="AC251" s="29">
        <f>IF(H251="","",IF(X251="Published",IF(AB251="","Add - link missing","Yes"),"No"))</f>
        <v>0</v>
      </c>
      <c r="AD251" s="23">
        <f>IF(A251="","",IF(COUNTIF(Performance!$B$5:$B$404,A251)=0,"",SUMIFS(Performance!$O$5:$O$404,Performance!$B$5:$B$404,A251)))</f>
        <v>0</v>
      </c>
      <c r="AE251" s="23">
        <f>IF(AD251="","",SUMIFS(Performance!$Z$5:$Z$404,Performance!$B$5:$B$404,A251))</f>
        <v>0</v>
      </c>
      <c r="AF251" s="24">
        <f>IF(OR(AD251="",AD251=0),"",AE251/AD251)</f>
        <v>0</v>
      </c>
      <c r="AG251" s="23">
        <f>IF(AD251="","",SUMIFS(Performance!$U$5:$U$404,Performance!$B$5:$B$404,A251))</f>
        <v>0</v>
      </c>
      <c r="AH251" s="23">
        <f>IF(A251="","",COUNTIF(Repurposing!$B$5:$B$154,A251))</f>
        <v>0</v>
      </c>
      <c r="AI251" s="32">
        <f>IF(OR(H251="",B251=""),"",B251+ROW()/100000)</f>
        <v>0</v>
      </c>
      <c r="AJ251" s="32">
        <f>IF(OR(H251="",B251=""),"",IF(OR(X251="Published",X251="Cancelled",X251="Archived"),"",IF(B251&lt;TODAY(),"",B251+ROW()/100000)))</f>
        <v>0</v>
      </c>
      <c r="AK251" s="32">
        <f>IF(OR(H251="",B251=""),"",IF(OR(X251="Published",X251="Cancelled",X251="Archived"),"",IF(B251&gt;=TODAY(),"",B251+ROW()/100000)))</f>
        <v>0</v>
      </c>
      <c r="AL251" s="29">
        <f>IF(H251="","",IF(COUNTIFS('Content Calendar'!$H$5:$H$604,H251,'Content Calendar'!$G$5:$G$604,G251,'Content Calendar'!$B$5:$B$604,B251)&gt;1,"Duplicate","OK"))</f>
        <v>0</v>
      </c>
      <c r="AM251" s="29">
        <f>IF(H251="","",IF(AND(B251&lt;&gt;"",B251&lt;TODAY(),X251&lt;&gt;"Published",X251&lt;&gt;"Cancelled",X251&lt;&gt;"Archived"),"Overdue - date has passed",IF(AND(X251="Published",AB251=""),"Add - publish link missing",IF(AND(B251=TODAY(),X251&lt;&gt;"Published"),"Today - due to go live",IF(AND(Y251&lt;&gt;"",Y251&lt;TODAY(),OR(X251="Idea",X251="Brief",X251="In production")),"Late - draft not ready",IF(AND(AA251&gt;=0,AA251&lt;=3,OR(X251="Draft",X251="Awaiting review")),"Due - needs approval",IF(AND(H251&lt;&gt;"",P251=""),"Add - caption missing","OK")))))))</f>
        <v>0</v>
      </c>
    </row>
    <row r="252" spans="1:39">
      <c r="A252" s="41">
        <f>IF(H252="","",ContentPrefix&amp;TEXT(ROW()-4,"0000"))</f>
        <v>0</v>
      </c>
      <c r="D252" s="17">
        <f>IF(B252="","",TEXT(B252,"yyyy-mm"))</f>
        <v>0</v>
      </c>
      <c r="E252" s="23">
        <f>IF(B252="","",WEEKNUM(B252,IF(WeekStart="Sunday",1,2)))</f>
        <v>0</v>
      </c>
      <c r="F252" s="17">
        <f>IF(B252="","",TEXT(B252,"ddd"))</f>
        <v>0</v>
      </c>
      <c r="Q252" s="29">
        <f>IF(H252="","",IF(P252="","Add - no caption",IFERROR(INDEX('Caption Bank'!$R$5:$R$204,MATCH(P252,'Caption Bank'!$B$5:$B$204,0)),"Check - not in bank")))</f>
        <v>0</v>
      </c>
      <c r="S252" s="23">
        <f>IF(R252="","",COUNTIF('Hashtag Bank'!$D$5:$D$304,R252))</f>
        <v>0</v>
      </c>
      <c r="U252" s="29">
        <f>IF(H252="","",IF(T252="","Add - no asset",IFERROR(INDEX(Assets!$N$5:$N$254,MATCH(T252,Assets!$A$5:$A$254,0)),"Check - not in library")))</f>
        <v>0</v>
      </c>
      <c r="Y252" s="16">
        <f>IF(B252="","",B252-ProductionDays)</f>
        <v>0</v>
      </c>
      <c r="Z252" s="16">
        <f>IF(B252="","",B252-ApprovalDays)</f>
        <v>0</v>
      </c>
      <c r="AA252" s="23">
        <f>IF(B252="","",B252-TODAY())</f>
        <v>0</v>
      </c>
      <c r="AC252" s="29">
        <f>IF(H252="","",IF(X252="Published",IF(AB252="","Add - link missing","Yes"),"No"))</f>
        <v>0</v>
      </c>
      <c r="AD252" s="23">
        <f>IF(A252="","",IF(COUNTIF(Performance!$B$5:$B$404,A252)=0,"",SUMIFS(Performance!$O$5:$O$404,Performance!$B$5:$B$404,A252)))</f>
        <v>0</v>
      </c>
      <c r="AE252" s="23">
        <f>IF(AD252="","",SUMIFS(Performance!$Z$5:$Z$404,Performance!$B$5:$B$404,A252))</f>
        <v>0</v>
      </c>
      <c r="AF252" s="24">
        <f>IF(OR(AD252="",AD252=0),"",AE252/AD252)</f>
        <v>0</v>
      </c>
      <c r="AG252" s="23">
        <f>IF(AD252="","",SUMIFS(Performance!$U$5:$U$404,Performance!$B$5:$B$404,A252))</f>
        <v>0</v>
      </c>
      <c r="AH252" s="23">
        <f>IF(A252="","",COUNTIF(Repurposing!$B$5:$B$154,A252))</f>
        <v>0</v>
      </c>
      <c r="AI252" s="32">
        <f>IF(OR(H252="",B252=""),"",B252+ROW()/100000)</f>
        <v>0</v>
      </c>
      <c r="AJ252" s="32">
        <f>IF(OR(H252="",B252=""),"",IF(OR(X252="Published",X252="Cancelled",X252="Archived"),"",IF(B252&lt;TODAY(),"",B252+ROW()/100000)))</f>
        <v>0</v>
      </c>
      <c r="AK252" s="32">
        <f>IF(OR(H252="",B252=""),"",IF(OR(X252="Published",X252="Cancelled",X252="Archived"),"",IF(B252&gt;=TODAY(),"",B252+ROW()/100000)))</f>
        <v>0</v>
      </c>
      <c r="AL252" s="29">
        <f>IF(H252="","",IF(COUNTIFS('Content Calendar'!$H$5:$H$604,H252,'Content Calendar'!$G$5:$G$604,G252,'Content Calendar'!$B$5:$B$604,B252)&gt;1,"Duplicate","OK"))</f>
        <v>0</v>
      </c>
      <c r="AM252" s="29">
        <f>IF(H252="","",IF(AND(B252&lt;&gt;"",B252&lt;TODAY(),X252&lt;&gt;"Published",X252&lt;&gt;"Cancelled",X252&lt;&gt;"Archived"),"Overdue - date has passed",IF(AND(X252="Published",AB252=""),"Add - publish link missing",IF(AND(B252=TODAY(),X252&lt;&gt;"Published"),"Today - due to go live",IF(AND(Y252&lt;&gt;"",Y252&lt;TODAY(),OR(X252="Idea",X252="Brief",X252="In production")),"Late - draft not ready",IF(AND(AA252&gt;=0,AA252&lt;=3,OR(X252="Draft",X252="Awaiting review")),"Due - needs approval",IF(AND(H252&lt;&gt;"",P252=""),"Add - caption missing","OK")))))))</f>
        <v>0</v>
      </c>
    </row>
    <row r="253" spans="1:39">
      <c r="A253" s="41">
        <f>IF(H253="","",ContentPrefix&amp;TEXT(ROW()-4,"0000"))</f>
        <v>0</v>
      </c>
      <c r="D253" s="17">
        <f>IF(B253="","",TEXT(B253,"yyyy-mm"))</f>
        <v>0</v>
      </c>
      <c r="E253" s="23">
        <f>IF(B253="","",WEEKNUM(B253,IF(WeekStart="Sunday",1,2)))</f>
        <v>0</v>
      </c>
      <c r="F253" s="17">
        <f>IF(B253="","",TEXT(B253,"ddd"))</f>
        <v>0</v>
      </c>
      <c r="Q253" s="29">
        <f>IF(H253="","",IF(P253="","Add - no caption",IFERROR(INDEX('Caption Bank'!$R$5:$R$204,MATCH(P253,'Caption Bank'!$B$5:$B$204,0)),"Check - not in bank")))</f>
        <v>0</v>
      </c>
      <c r="S253" s="23">
        <f>IF(R253="","",COUNTIF('Hashtag Bank'!$D$5:$D$304,R253))</f>
        <v>0</v>
      </c>
      <c r="U253" s="29">
        <f>IF(H253="","",IF(T253="","Add - no asset",IFERROR(INDEX(Assets!$N$5:$N$254,MATCH(T253,Assets!$A$5:$A$254,0)),"Check - not in library")))</f>
        <v>0</v>
      </c>
      <c r="Y253" s="16">
        <f>IF(B253="","",B253-ProductionDays)</f>
        <v>0</v>
      </c>
      <c r="Z253" s="16">
        <f>IF(B253="","",B253-ApprovalDays)</f>
        <v>0</v>
      </c>
      <c r="AA253" s="23">
        <f>IF(B253="","",B253-TODAY())</f>
        <v>0</v>
      </c>
      <c r="AC253" s="29">
        <f>IF(H253="","",IF(X253="Published",IF(AB253="","Add - link missing","Yes"),"No"))</f>
        <v>0</v>
      </c>
      <c r="AD253" s="23">
        <f>IF(A253="","",IF(COUNTIF(Performance!$B$5:$B$404,A253)=0,"",SUMIFS(Performance!$O$5:$O$404,Performance!$B$5:$B$404,A253)))</f>
        <v>0</v>
      </c>
      <c r="AE253" s="23">
        <f>IF(AD253="","",SUMIFS(Performance!$Z$5:$Z$404,Performance!$B$5:$B$404,A253))</f>
        <v>0</v>
      </c>
      <c r="AF253" s="24">
        <f>IF(OR(AD253="",AD253=0),"",AE253/AD253)</f>
        <v>0</v>
      </c>
      <c r="AG253" s="23">
        <f>IF(AD253="","",SUMIFS(Performance!$U$5:$U$404,Performance!$B$5:$B$404,A253))</f>
        <v>0</v>
      </c>
      <c r="AH253" s="23">
        <f>IF(A253="","",COUNTIF(Repurposing!$B$5:$B$154,A253))</f>
        <v>0</v>
      </c>
      <c r="AI253" s="32">
        <f>IF(OR(H253="",B253=""),"",B253+ROW()/100000)</f>
        <v>0</v>
      </c>
      <c r="AJ253" s="32">
        <f>IF(OR(H253="",B253=""),"",IF(OR(X253="Published",X253="Cancelled",X253="Archived"),"",IF(B253&lt;TODAY(),"",B253+ROW()/100000)))</f>
        <v>0</v>
      </c>
      <c r="AK253" s="32">
        <f>IF(OR(H253="",B253=""),"",IF(OR(X253="Published",X253="Cancelled",X253="Archived"),"",IF(B253&gt;=TODAY(),"",B253+ROW()/100000)))</f>
        <v>0</v>
      </c>
      <c r="AL253" s="29">
        <f>IF(H253="","",IF(COUNTIFS('Content Calendar'!$H$5:$H$604,H253,'Content Calendar'!$G$5:$G$604,G253,'Content Calendar'!$B$5:$B$604,B253)&gt;1,"Duplicate","OK"))</f>
        <v>0</v>
      </c>
      <c r="AM253" s="29">
        <f>IF(H253="","",IF(AND(B253&lt;&gt;"",B253&lt;TODAY(),X253&lt;&gt;"Published",X253&lt;&gt;"Cancelled",X253&lt;&gt;"Archived"),"Overdue - date has passed",IF(AND(X253="Published",AB253=""),"Add - publish link missing",IF(AND(B253=TODAY(),X253&lt;&gt;"Published"),"Today - due to go live",IF(AND(Y253&lt;&gt;"",Y253&lt;TODAY(),OR(X253="Idea",X253="Brief",X253="In production")),"Late - draft not ready",IF(AND(AA253&gt;=0,AA253&lt;=3,OR(X253="Draft",X253="Awaiting review")),"Due - needs approval",IF(AND(H253&lt;&gt;"",P253=""),"Add - caption missing","OK")))))))</f>
        <v>0</v>
      </c>
    </row>
    <row r="254" spans="1:39">
      <c r="A254" s="41">
        <f>IF(H254="","",ContentPrefix&amp;TEXT(ROW()-4,"0000"))</f>
        <v>0</v>
      </c>
      <c r="D254" s="17">
        <f>IF(B254="","",TEXT(B254,"yyyy-mm"))</f>
        <v>0</v>
      </c>
      <c r="E254" s="23">
        <f>IF(B254="","",WEEKNUM(B254,IF(WeekStart="Sunday",1,2)))</f>
        <v>0</v>
      </c>
      <c r="F254" s="17">
        <f>IF(B254="","",TEXT(B254,"ddd"))</f>
        <v>0</v>
      </c>
      <c r="Q254" s="29">
        <f>IF(H254="","",IF(P254="","Add - no caption",IFERROR(INDEX('Caption Bank'!$R$5:$R$204,MATCH(P254,'Caption Bank'!$B$5:$B$204,0)),"Check - not in bank")))</f>
        <v>0</v>
      </c>
      <c r="S254" s="23">
        <f>IF(R254="","",COUNTIF('Hashtag Bank'!$D$5:$D$304,R254))</f>
        <v>0</v>
      </c>
      <c r="U254" s="29">
        <f>IF(H254="","",IF(T254="","Add - no asset",IFERROR(INDEX(Assets!$N$5:$N$254,MATCH(T254,Assets!$A$5:$A$254,0)),"Check - not in library")))</f>
        <v>0</v>
      </c>
      <c r="Y254" s="16">
        <f>IF(B254="","",B254-ProductionDays)</f>
        <v>0</v>
      </c>
      <c r="Z254" s="16">
        <f>IF(B254="","",B254-ApprovalDays)</f>
        <v>0</v>
      </c>
      <c r="AA254" s="23">
        <f>IF(B254="","",B254-TODAY())</f>
        <v>0</v>
      </c>
      <c r="AC254" s="29">
        <f>IF(H254="","",IF(X254="Published",IF(AB254="","Add - link missing","Yes"),"No"))</f>
        <v>0</v>
      </c>
      <c r="AD254" s="23">
        <f>IF(A254="","",IF(COUNTIF(Performance!$B$5:$B$404,A254)=0,"",SUMIFS(Performance!$O$5:$O$404,Performance!$B$5:$B$404,A254)))</f>
        <v>0</v>
      </c>
      <c r="AE254" s="23">
        <f>IF(AD254="","",SUMIFS(Performance!$Z$5:$Z$404,Performance!$B$5:$B$404,A254))</f>
        <v>0</v>
      </c>
      <c r="AF254" s="24">
        <f>IF(OR(AD254="",AD254=0),"",AE254/AD254)</f>
        <v>0</v>
      </c>
      <c r="AG254" s="23">
        <f>IF(AD254="","",SUMIFS(Performance!$U$5:$U$404,Performance!$B$5:$B$404,A254))</f>
        <v>0</v>
      </c>
      <c r="AH254" s="23">
        <f>IF(A254="","",COUNTIF(Repurposing!$B$5:$B$154,A254))</f>
        <v>0</v>
      </c>
      <c r="AI254" s="32">
        <f>IF(OR(H254="",B254=""),"",B254+ROW()/100000)</f>
        <v>0</v>
      </c>
      <c r="AJ254" s="32">
        <f>IF(OR(H254="",B254=""),"",IF(OR(X254="Published",X254="Cancelled",X254="Archived"),"",IF(B254&lt;TODAY(),"",B254+ROW()/100000)))</f>
        <v>0</v>
      </c>
      <c r="AK254" s="32">
        <f>IF(OR(H254="",B254=""),"",IF(OR(X254="Published",X254="Cancelled",X254="Archived"),"",IF(B254&gt;=TODAY(),"",B254+ROW()/100000)))</f>
        <v>0</v>
      </c>
      <c r="AL254" s="29">
        <f>IF(H254="","",IF(COUNTIFS('Content Calendar'!$H$5:$H$604,H254,'Content Calendar'!$G$5:$G$604,G254,'Content Calendar'!$B$5:$B$604,B254)&gt;1,"Duplicate","OK"))</f>
        <v>0</v>
      </c>
      <c r="AM254" s="29">
        <f>IF(H254="","",IF(AND(B254&lt;&gt;"",B254&lt;TODAY(),X254&lt;&gt;"Published",X254&lt;&gt;"Cancelled",X254&lt;&gt;"Archived"),"Overdue - date has passed",IF(AND(X254="Published",AB254=""),"Add - publish link missing",IF(AND(B254=TODAY(),X254&lt;&gt;"Published"),"Today - due to go live",IF(AND(Y254&lt;&gt;"",Y254&lt;TODAY(),OR(X254="Idea",X254="Brief",X254="In production")),"Late - draft not ready",IF(AND(AA254&gt;=0,AA254&lt;=3,OR(X254="Draft",X254="Awaiting review")),"Due - needs approval",IF(AND(H254&lt;&gt;"",P254=""),"Add - caption missing","OK")))))))</f>
        <v>0</v>
      </c>
    </row>
    <row r="255" spans="1:39">
      <c r="A255" s="41">
        <f>IF(H255="","",ContentPrefix&amp;TEXT(ROW()-4,"0000"))</f>
        <v>0</v>
      </c>
      <c r="D255" s="17">
        <f>IF(B255="","",TEXT(B255,"yyyy-mm"))</f>
        <v>0</v>
      </c>
      <c r="E255" s="23">
        <f>IF(B255="","",WEEKNUM(B255,IF(WeekStart="Sunday",1,2)))</f>
        <v>0</v>
      </c>
      <c r="F255" s="17">
        <f>IF(B255="","",TEXT(B255,"ddd"))</f>
        <v>0</v>
      </c>
      <c r="Q255" s="29">
        <f>IF(H255="","",IF(P255="","Add - no caption",IFERROR(INDEX('Caption Bank'!$R$5:$R$204,MATCH(P255,'Caption Bank'!$B$5:$B$204,0)),"Check - not in bank")))</f>
        <v>0</v>
      </c>
      <c r="S255" s="23">
        <f>IF(R255="","",COUNTIF('Hashtag Bank'!$D$5:$D$304,R255))</f>
        <v>0</v>
      </c>
      <c r="U255" s="29">
        <f>IF(H255="","",IF(T255="","Add - no asset",IFERROR(INDEX(Assets!$N$5:$N$254,MATCH(T255,Assets!$A$5:$A$254,0)),"Check - not in library")))</f>
        <v>0</v>
      </c>
      <c r="Y255" s="16">
        <f>IF(B255="","",B255-ProductionDays)</f>
        <v>0</v>
      </c>
      <c r="Z255" s="16">
        <f>IF(B255="","",B255-ApprovalDays)</f>
        <v>0</v>
      </c>
      <c r="AA255" s="23">
        <f>IF(B255="","",B255-TODAY())</f>
        <v>0</v>
      </c>
      <c r="AC255" s="29">
        <f>IF(H255="","",IF(X255="Published",IF(AB255="","Add - link missing","Yes"),"No"))</f>
        <v>0</v>
      </c>
      <c r="AD255" s="23">
        <f>IF(A255="","",IF(COUNTIF(Performance!$B$5:$B$404,A255)=0,"",SUMIFS(Performance!$O$5:$O$404,Performance!$B$5:$B$404,A255)))</f>
        <v>0</v>
      </c>
      <c r="AE255" s="23">
        <f>IF(AD255="","",SUMIFS(Performance!$Z$5:$Z$404,Performance!$B$5:$B$404,A255))</f>
        <v>0</v>
      </c>
      <c r="AF255" s="24">
        <f>IF(OR(AD255="",AD255=0),"",AE255/AD255)</f>
        <v>0</v>
      </c>
      <c r="AG255" s="23">
        <f>IF(AD255="","",SUMIFS(Performance!$U$5:$U$404,Performance!$B$5:$B$404,A255))</f>
        <v>0</v>
      </c>
      <c r="AH255" s="23">
        <f>IF(A255="","",COUNTIF(Repurposing!$B$5:$B$154,A255))</f>
        <v>0</v>
      </c>
      <c r="AI255" s="32">
        <f>IF(OR(H255="",B255=""),"",B255+ROW()/100000)</f>
        <v>0</v>
      </c>
      <c r="AJ255" s="32">
        <f>IF(OR(H255="",B255=""),"",IF(OR(X255="Published",X255="Cancelled",X255="Archived"),"",IF(B255&lt;TODAY(),"",B255+ROW()/100000)))</f>
        <v>0</v>
      </c>
      <c r="AK255" s="32">
        <f>IF(OR(H255="",B255=""),"",IF(OR(X255="Published",X255="Cancelled",X255="Archived"),"",IF(B255&gt;=TODAY(),"",B255+ROW()/100000)))</f>
        <v>0</v>
      </c>
      <c r="AL255" s="29">
        <f>IF(H255="","",IF(COUNTIFS('Content Calendar'!$H$5:$H$604,H255,'Content Calendar'!$G$5:$G$604,G255,'Content Calendar'!$B$5:$B$604,B255)&gt;1,"Duplicate","OK"))</f>
        <v>0</v>
      </c>
      <c r="AM255" s="29">
        <f>IF(H255="","",IF(AND(B255&lt;&gt;"",B255&lt;TODAY(),X255&lt;&gt;"Published",X255&lt;&gt;"Cancelled",X255&lt;&gt;"Archived"),"Overdue - date has passed",IF(AND(X255="Published",AB255=""),"Add - publish link missing",IF(AND(B255=TODAY(),X255&lt;&gt;"Published"),"Today - due to go live",IF(AND(Y255&lt;&gt;"",Y255&lt;TODAY(),OR(X255="Idea",X255="Brief",X255="In production")),"Late - draft not ready",IF(AND(AA255&gt;=0,AA255&lt;=3,OR(X255="Draft",X255="Awaiting review")),"Due - needs approval",IF(AND(H255&lt;&gt;"",P255=""),"Add - caption missing","OK")))))))</f>
        <v>0</v>
      </c>
    </row>
    <row r="256" spans="1:39">
      <c r="A256" s="41">
        <f>IF(H256="","",ContentPrefix&amp;TEXT(ROW()-4,"0000"))</f>
        <v>0</v>
      </c>
      <c r="D256" s="17">
        <f>IF(B256="","",TEXT(B256,"yyyy-mm"))</f>
        <v>0</v>
      </c>
      <c r="E256" s="23">
        <f>IF(B256="","",WEEKNUM(B256,IF(WeekStart="Sunday",1,2)))</f>
        <v>0</v>
      </c>
      <c r="F256" s="17">
        <f>IF(B256="","",TEXT(B256,"ddd"))</f>
        <v>0</v>
      </c>
      <c r="Q256" s="29">
        <f>IF(H256="","",IF(P256="","Add - no caption",IFERROR(INDEX('Caption Bank'!$R$5:$R$204,MATCH(P256,'Caption Bank'!$B$5:$B$204,0)),"Check - not in bank")))</f>
        <v>0</v>
      </c>
      <c r="S256" s="23">
        <f>IF(R256="","",COUNTIF('Hashtag Bank'!$D$5:$D$304,R256))</f>
        <v>0</v>
      </c>
      <c r="U256" s="29">
        <f>IF(H256="","",IF(T256="","Add - no asset",IFERROR(INDEX(Assets!$N$5:$N$254,MATCH(T256,Assets!$A$5:$A$254,0)),"Check - not in library")))</f>
        <v>0</v>
      </c>
      <c r="Y256" s="16">
        <f>IF(B256="","",B256-ProductionDays)</f>
        <v>0</v>
      </c>
      <c r="Z256" s="16">
        <f>IF(B256="","",B256-ApprovalDays)</f>
        <v>0</v>
      </c>
      <c r="AA256" s="23">
        <f>IF(B256="","",B256-TODAY())</f>
        <v>0</v>
      </c>
      <c r="AC256" s="29">
        <f>IF(H256="","",IF(X256="Published",IF(AB256="","Add - link missing","Yes"),"No"))</f>
        <v>0</v>
      </c>
      <c r="AD256" s="23">
        <f>IF(A256="","",IF(COUNTIF(Performance!$B$5:$B$404,A256)=0,"",SUMIFS(Performance!$O$5:$O$404,Performance!$B$5:$B$404,A256)))</f>
        <v>0</v>
      </c>
      <c r="AE256" s="23">
        <f>IF(AD256="","",SUMIFS(Performance!$Z$5:$Z$404,Performance!$B$5:$B$404,A256))</f>
        <v>0</v>
      </c>
      <c r="AF256" s="24">
        <f>IF(OR(AD256="",AD256=0),"",AE256/AD256)</f>
        <v>0</v>
      </c>
      <c r="AG256" s="23">
        <f>IF(AD256="","",SUMIFS(Performance!$U$5:$U$404,Performance!$B$5:$B$404,A256))</f>
        <v>0</v>
      </c>
      <c r="AH256" s="23">
        <f>IF(A256="","",COUNTIF(Repurposing!$B$5:$B$154,A256))</f>
        <v>0</v>
      </c>
      <c r="AI256" s="32">
        <f>IF(OR(H256="",B256=""),"",B256+ROW()/100000)</f>
        <v>0</v>
      </c>
      <c r="AJ256" s="32">
        <f>IF(OR(H256="",B256=""),"",IF(OR(X256="Published",X256="Cancelled",X256="Archived"),"",IF(B256&lt;TODAY(),"",B256+ROW()/100000)))</f>
        <v>0</v>
      </c>
      <c r="AK256" s="32">
        <f>IF(OR(H256="",B256=""),"",IF(OR(X256="Published",X256="Cancelled",X256="Archived"),"",IF(B256&gt;=TODAY(),"",B256+ROW()/100000)))</f>
        <v>0</v>
      </c>
      <c r="AL256" s="29">
        <f>IF(H256="","",IF(COUNTIFS('Content Calendar'!$H$5:$H$604,H256,'Content Calendar'!$G$5:$G$604,G256,'Content Calendar'!$B$5:$B$604,B256)&gt;1,"Duplicate","OK"))</f>
        <v>0</v>
      </c>
      <c r="AM256" s="29">
        <f>IF(H256="","",IF(AND(B256&lt;&gt;"",B256&lt;TODAY(),X256&lt;&gt;"Published",X256&lt;&gt;"Cancelled",X256&lt;&gt;"Archived"),"Overdue - date has passed",IF(AND(X256="Published",AB256=""),"Add - publish link missing",IF(AND(B256=TODAY(),X256&lt;&gt;"Published"),"Today - due to go live",IF(AND(Y256&lt;&gt;"",Y256&lt;TODAY(),OR(X256="Idea",X256="Brief",X256="In production")),"Late - draft not ready",IF(AND(AA256&gt;=0,AA256&lt;=3,OR(X256="Draft",X256="Awaiting review")),"Due - needs approval",IF(AND(H256&lt;&gt;"",P256=""),"Add - caption missing","OK")))))))</f>
        <v>0</v>
      </c>
    </row>
    <row r="257" spans="1:39">
      <c r="A257" s="41">
        <f>IF(H257="","",ContentPrefix&amp;TEXT(ROW()-4,"0000"))</f>
        <v>0</v>
      </c>
      <c r="D257" s="17">
        <f>IF(B257="","",TEXT(B257,"yyyy-mm"))</f>
        <v>0</v>
      </c>
      <c r="E257" s="23">
        <f>IF(B257="","",WEEKNUM(B257,IF(WeekStart="Sunday",1,2)))</f>
        <v>0</v>
      </c>
      <c r="F257" s="17">
        <f>IF(B257="","",TEXT(B257,"ddd"))</f>
        <v>0</v>
      </c>
      <c r="Q257" s="29">
        <f>IF(H257="","",IF(P257="","Add - no caption",IFERROR(INDEX('Caption Bank'!$R$5:$R$204,MATCH(P257,'Caption Bank'!$B$5:$B$204,0)),"Check - not in bank")))</f>
        <v>0</v>
      </c>
      <c r="S257" s="23">
        <f>IF(R257="","",COUNTIF('Hashtag Bank'!$D$5:$D$304,R257))</f>
        <v>0</v>
      </c>
      <c r="U257" s="29">
        <f>IF(H257="","",IF(T257="","Add - no asset",IFERROR(INDEX(Assets!$N$5:$N$254,MATCH(T257,Assets!$A$5:$A$254,0)),"Check - not in library")))</f>
        <v>0</v>
      </c>
      <c r="Y257" s="16">
        <f>IF(B257="","",B257-ProductionDays)</f>
        <v>0</v>
      </c>
      <c r="Z257" s="16">
        <f>IF(B257="","",B257-ApprovalDays)</f>
        <v>0</v>
      </c>
      <c r="AA257" s="23">
        <f>IF(B257="","",B257-TODAY())</f>
        <v>0</v>
      </c>
      <c r="AC257" s="29">
        <f>IF(H257="","",IF(X257="Published",IF(AB257="","Add - link missing","Yes"),"No"))</f>
        <v>0</v>
      </c>
      <c r="AD257" s="23">
        <f>IF(A257="","",IF(COUNTIF(Performance!$B$5:$B$404,A257)=0,"",SUMIFS(Performance!$O$5:$O$404,Performance!$B$5:$B$404,A257)))</f>
        <v>0</v>
      </c>
      <c r="AE257" s="23">
        <f>IF(AD257="","",SUMIFS(Performance!$Z$5:$Z$404,Performance!$B$5:$B$404,A257))</f>
        <v>0</v>
      </c>
      <c r="AF257" s="24">
        <f>IF(OR(AD257="",AD257=0),"",AE257/AD257)</f>
        <v>0</v>
      </c>
      <c r="AG257" s="23">
        <f>IF(AD257="","",SUMIFS(Performance!$U$5:$U$404,Performance!$B$5:$B$404,A257))</f>
        <v>0</v>
      </c>
      <c r="AH257" s="23">
        <f>IF(A257="","",COUNTIF(Repurposing!$B$5:$B$154,A257))</f>
        <v>0</v>
      </c>
      <c r="AI257" s="32">
        <f>IF(OR(H257="",B257=""),"",B257+ROW()/100000)</f>
        <v>0</v>
      </c>
      <c r="AJ257" s="32">
        <f>IF(OR(H257="",B257=""),"",IF(OR(X257="Published",X257="Cancelled",X257="Archived"),"",IF(B257&lt;TODAY(),"",B257+ROW()/100000)))</f>
        <v>0</v>
      </c>
      <c r="AK257" s="32">
        <f>IF(OR(H257="",B257=""),"",IF(OR(X257="Published",X257="Cancelled",X257="Archived"),"",IF(B257&gt;=TODAY(),"",B257+ROW()/100000)))</f>
        <v>0</v>
      </c>
      <c r="AL257" s="29">
        <f>IF(H257="","",IF(COUNTIFS('Content Calendar'!$H$5:$H$604,H257,'Content Calendar'!$G$5:$G$604,G257,'Content Calendar'!$B$5:$B$604,B257)&gt;1,"Duplicate","OK"))</f>
        <v>0</v>
      </c>
      <c r="AM257" s="29">
        <f>IF(H257="","",IF(AND(B257&lt;&gt;"",B257&lt;TODAY(),X257&lt;&gt;"Published",X257&lt;&gt;"Cancelled",X257&lt;&gt;"Archived"),"Overdue - date has passed",IF(AND(X257="Published",AB257=""),"Add - publish link missing",IF(AND(B257=TODAY(),X257&lt;&gt;"Published"),"Today - due to go live",IF(AND(Y257&lt;&gt;"",Y257&lt;TODAY(),OR(X257="Idea",X257="Brief",X257="In production")),"Late - draft not ready",IF(AND(AA257&gt;=0,AA257&lt;=3,OR(X257="Draft",X257="Awaiting review")),"Due - needs approval",IF(AND(H257&lt;&gt;"",P257=""),"Add - caption missing","OK")))))))</f>
        <v>0</v>
      </c>
    </row>
    <row r="258" spans="1:39">
      <c r="A258" s="41">
        <f>IF(H258="","",ContentPrefix&amp;TEXT(ROW()-4,"0000"))</f>
        <v>0</v>
      </c>
      <c r="D258" s="17">
        <f>IF(B258="","",TEXT(B258,"yyyy-mm"))</f>
        <v>0</v>
      </c>
      <c r="E258" s="23">
        <f>IF(B258="","",WEEKNUM(B258,IF(WeekStart="Sunday",1,2)))</f>
        <v>0</v>
      </c>
      <c r="F258" s="17">
        <f>IF(B258="","",TEXT(B258,"ddd"))</f>
        <v>0</v>
      </c>
      <c r="Q258" s="29">
        <f>IF(H258="","",IF(P258="","Add - no caption",IFERROR(INDEX('Caption Bank'!$R$5:$R$204,MATCH(P258,'Caption Bank'!$B$5:$B$204,0)),"Check - not in bank")))</f>
        <v>0</v>
      </c>
      <c r="S258" s="23">
        <f>IF(R258="","",COUNTIF('Hashtag Bank'!$D$5:$D$304,R258))</f>
        <v>0</v>
      </c>
      <c r="U258" s="29">
        <f>IF(H258="","",IF(T258="","Add - no asset",IFERROR(INDEX(Assets!$N$5:$N$254,MATCH(T258,Assets!$A$5:$A$254,0)),"Check - not in library")))</f>
        <v>0</v>
      </c>
      <c r="Y258" s="16">
        <f>IF(B258="","",B258-ProductionDays)</f>
        <v>0</v>
      </c>
      <c r="Z258" s="16">
        <f>IF(B258="","",B258-ApprovalDays)</f>
        <v>0</v>
      </c>
      <c r="AA258" s="23">
        <f>IF(B258="","",B258-TODAY())</f>
        <v>0</v>
      </c>
      <c r="AC258" s="29">
        <f>IF(H258="","",IF(X258="Published",IF(AB258="","Add - link missing","Yes"),"No"))</f>
        <v>0</v>
      </c>
      <c r="AD258" s="23">
        <f>IF(A258="","",IF(COUNTIF(Performance!$B$5:$B$404,A258)=0,"",SUMIFS(Performance!$O$5:$O$404,Performance!$B$5:$B$404,A258)))</f>
        <v>0</v>
      </c>
      <c r="AE258" s="23">
        <f>IF(AD258="","",SUMIFS(Performance!$Z$5:$Z$404,Performance!$B$5:$B$404,A258))</f>
        <v>0</v>
      </c>
      <c r="AF258" s="24">
        <f>IF(OR(AD258="",AD258=0),"",AE258/AD258)</f>
        <v>0</v>
      </c>
      <c r="AG258" s="23">
        <f>IF(AD258="","",SUMIFS(Performance!$U$5:$U$404,Performance!$B$5:$B$404,A258))</f>
        <v>0</v>
      </c>
      <c r="AH258" s="23">
        <f>IF(A258="","",COUNTIF(Repurposing!$B$5:$B$154,A258))</f>
        <v>0</v>
      </c>
      <c r="AI258" s="32">
        <f>IF(OR(H258="",B258=""),"",B258+ROW()/100000)</f>
        <v>0</v>
      </c>
      <c r="AJ258" s="32">
        <f>IF(OR(H258="",B258=""),"",IF(OR(X258="Published",X258="Cancelled",X258="Archived"),"",IF(B258&lt;TODAY(),"",B258+ROW()/100000)))</f>
        <v>0</v>
      </c>
      <c r="AK258" s="32">
        <f>IF(OR(H258="",B258=""),"",IF(OR(X258="Published",X258="Cancelled",X258="Archived"),"",IF(B258&gt;=TODAY(),"",B258+ROW()/100000)))</f>
        <v>0</v>
      </c>
      <c r="AL258" s="29">
        <f>IF(H258="","",IF(COUNTIFS('Content Calendar'!$H$5:$H$604,H258,'Content Calendar'!$G$5:$G$604,G258,'Content Calendar'!$B$5:$B$604,B258)&gt;1,"Duplicate","OK"))</f>
        <v>0</v>
      </c>
      <c r="AM258" s="29">
        <f>IF(H258="","",IF(AND(B258&lt;&gt;"",B258&lt;TODAY(),X258&lt;&gt;"Published",X258&lt;&gt;"Cancelled",X258&lt;&gt;"Archived"),"Overdue - date has passed",IF(AND(X258="Published",AB258=""),"Add - publish link missing",IF(AND(B258=TODAY(),X258&lt;&gt;"Published"),"Today - due to go live",IF(AND(Y258&lt;&gt;"",Y258&lt;TODAY(),OR(X258="Idea",X258="Brief",X258="In production")),"Late - draft not ready",IF(AND(AA258&gt;=0,AA258&lt;=3,OR(X258="Draft",X258="Awaiting review")),"Due - needs approval",IF(AND(H258&lt;&gt;"",P258=""),"Add - caption missing","OK")))))))</f>
        <v>0</v>
      </c>
    </row>
    <row r="259" spans="1:39">
      <c r="A259" s="41">
        <f>IF(H259="","",ContentPrefix&amp;TEXT(ROW()-4,"0000"))</f>
        <v>0</v>
      </c>
      <c r="D259" s="17">
        <f>IF(B259="","",TEXT(B259,"yyyy-mm"))</f>
        <v>0</v>
      </c>
      <c r="E259" s="23">
        <f>IF(B259="","",WEEKNUM(B259,IF(WeekStart="Sunday",1,2)))</f>
        <v>0</v>
      </c>
      <c r="F259" s="17">
        <f>IF(B259="","",TEXT(B259,"ddd"))</f>
        <v>0</v>
      </c>
      <c r="Q259" s="29">
        <f>IF(H259="","",IF(P259="","Add - no caption",IFERROR(INDEX('Caption Bank'!$R$5:$R$204,MATCH(P259,'Caption Bank'!$B$5:$B$204,0)),"Check - not in bank")))</f>
        <v>0</v>
      </c>
      <c r="S259" s="23">
        <f>IF(R259="","",COUNTIF('Hashtag Bank'!$D$5:$D$304,R259))</f>
        <v>0</v>
      </c>
      <c r="U259" s="29">
        <f>IF(H259="","",IF(T259="","Add - no asset",IFERROR(INDEX(Assets!$N$5:$N$254,MATCH(T259,Assets!$A$5:$A$254,0)),"Check - not in library")))</f>
        <v>0</v>
      </c>
      <c r="Y259" s="16">
        <f>IF(B259="","",B259-ProductionDays)</f>
        <v>0</v>
      </c>
      <c r="Z259" s="16">
        <f>IF(B259="","",B259-ApprovalDays)</f>
        <v>0</v>
      </c>
      <c r="AA259" s="23">
        <f>IF(B259="","",B259-TODAY())</f>
        <v>0</v>
      </c>
      <c r="AC259" s="29">
        <f>IF(H259="","",IF(X259="Published",IF(AB259="","Add - link missing","Yes"),"No"))</f>
        <v>0</v>
      </c>
      <c r="AD259" s="23">
        <f>IF(A259="","",IF(COUNTIF(Performance!$B$5:$B$404,A259)=0,"",SUMIFS(Performance!$O$5:$O$404,Performance!$B$5:$B$404,A259)))</f>
        <v>0</v>
      </c>
      <c r="AE259" s="23">
        <f>IF(AD259="","",SUMIFS(Performance!$Z$5:$Z$404,Performance!$B$5:$B$404,A259))</f>
        <v>0</v>
      </c>
      <c r="AF259" s="24">
        <f>IF(OR(AD259="",AD259=0),"",AE259/AD259)</f>
        <v>0</v>
      </c>
      <c r="AG259" s="23">
        <f>IF(AD259="","",SUMIFS(Performance!$U$5:$U$404,Performance!$B$5:$B$404,A259))</f>
        <v>0</v>
      </c>
      <c r="AH259" s="23">
        <f>IF(A259="","",COUNTIF(Repurposing!$B$5:$B$154,A259))</f>
        <v>0</v>
      </c>
      <c r="AI259" s="32">
        <f>IF(OR(H259="",B259=""),"",B259+ROW()/100000)</f>
        <v>0</v>
      </c>
      <c r="AJ259" s="32">
        <f>IF(OR(H259="",B259=""),"",IF(OR(X259="Published",X259="Cancelled",X259="Archived"),"",IF(B259&lt;TODAY(),"",B259+ROW()/100000)))</f>
        <v>0</v>
      </c>
      <c r="AK259" s="32">
        <f>IF(OR(H259="",B259=""),"",IF(OR(X259="Published",X259="Cancelled",X259="Archived"),"",IF(B259&gt;=TODAY(),"",B259+ROW()/100000)))</f>
        <v>0</v>
      </c>
      <c r="AL259" s="29">
        <f>IF(H259="","",IF(COUNTIFS('Content Calendar'!$H$5:$H$604,H259,'Content Calendar'!$G$5:$G$604,G259,'Content Calendar'!$B$5:$B$604,B259)&gt;1,"Duplicate","OK"))</f>
        <v>0</v>
      </c>
      <c r="AM259" s="29">
        <f>IF(H259="","",IF(AND(B259&lt;&gt;"",B259&lt;TODAY(),X259&lt;&gt;"Published",X259&lt;&gt;"Cancelled",X259&lt;&gt;"Archived"),"Overdue - date has passed",IF(AND(X259="Published",AB259=""),"Add - publish link missing",IF(AND(B259=TODAY(),X259&lt;&gt;"Published"),"Today - due to go live",IF(AND(Y259&lt;&gt;"",Y259&lt;TODAY(),OR(X259="Idea",X259="Brief",X259="In production")),"Late - draft not ready",IF(AND(AA259&gt;=0,AA259&lt;=3,OR(X259="Draft",X259="Awaiting review")),"Due - needs approval",IF(AND(H259&lt;&gt;"",P259=""),"Add - caption missing","OK")))))))</f>
        <v>0</v>
      </c>
    </row>
    <row r="260" spans="1:39">
      <c r="A260" s="41">
        <f>IF(H260="","",ContentPrefix&amp;TEXT(ROW()-4,"0000"))</f>
        <v>0</v>
      </c>
      <c r="D260" s="17">
        <f>IF(B260="","",TEXT(B260,"yyyy-mm"))</f>
        <v>0</v>
      </c>
      <c r="E260" s="23">
        <f>IF(B260="","",WEEKNUM(B260,IF(WeekStart="Sunday",1,2)))</f>
        <v>0</v>
      </c>
      <c r="F260" s="17">
        <f>IF(B260="","",TEXT(B260,"ddd"))</f>
        <v>0</v>
      </c>
      <c r="Q260" s="29">
        <f>IF(H260="","",IF(P260="","Add - no caption",IFERROR(INDEX('Caption Bank'!$R$5:$R$204,MATCH(P260,'Caption Bank'!$B$5:$B$204,0)),"Check - not in bank")))</f>
        <v>0</v>
      </c>
      <c r="S260" s="23">
        <f>IF(R260="","",COUNTIF('Hashtag Bank'!$D$5:$D$304,R260))</f>
        <v>0</v>
      </c>
      <c r="U260" s="29">
        <f>IF(H260="","",IF(T260="","Add - no asset",IFERROR(INDEX(Assets!$N$5:$N$254,MATCH(T260,Assets!$A$5:$A$254,0)),"Check - not in library")))</f>
        <v>0</v>
      </c>
      <c r="Y260" s="16">
        <f>IF(B260="","",B260-ProductionDays)</f>
        <v>0</v>
      </c>
      <c r="Z260" s="16">
        <f>IF(B260="","",B260-ApprovalDays)</f>
        <v>0</v>
      </c>
      <c r="AA260" s="23">
        <f>IF(B260="","",B260-TODAY())</f>
        <v>0</v>
      </c>
      <c r="AC260" s="29">
        <f>IF(H260="","",IF(X260="Published",IF(AB260="","Add - link missing","Yes"),"No"))</f>
        <v>0</v>
      </c>
      <c r="AD260" s="23">
        <f>IF(A260="","",IF(COUNTIF(Performance!$B$5:$B$404,A260)=0,"",SUMIFS(Performance!$O$5:$O$404,Performance!$B$5:$B$404,A260)))</f>
        <v>0</v>
      </c>
      <c r="AE260" s="23">
        <f>IF(AD260="","",SUMIFS(Performance!$Z$5:$Z$404,Performance!$B$5:$B$404,A260))</f>
        <v>0</v>
      </c>
      <c r="AF260" s="24">
        <f>IF(OR(AD260="",AD260=0),"",AE260/AD260)</f>
        <v>0</v>
      </c>
      <c r="AG260" s="23">
        <f>IF(AD260="","",SUMIFS(Performance!$U$5:$U$404,Performance!$B$5:$B$404,A260))</f>
        <v>0</v>
      </c>
      <c r="AH260" s="23">
        <f>IF(A260="","",COUNTIF(Repurposing!$B$5:$B$154,A260))</f>
        <v>0</v>
      </c>
      <c r="AI260" s="32">
        <f>IF(OR(H260="",B260=""),"",B260+ROW()/100000)</f>
        <v>0</v>
      </c>
      <c r="AJ260" s="32">
        <f>IF(OR(H260="",B260=""),"",IF(OR(X260="Published",X260="Cancelled",X260="Archived"),"",IF(B260&lt;TODAY(),"",B260+ROW()/100000)))</f>
        <v>0</v>
      </c>
      <c r="AK260" s="32">
        <f>IF(OR(H260="",B260=""),"",IF(OR(X260="Published",X260="Cancelled",X260="Archived"),"",IF(B260&gt;=TODAY(),"",B260+ROW()/100000)))</f>
        <v>0</v>
      </c>
      <c r="AL260" s="29">
        <f>IF(H260="","",IF(COUNTIFS('Content Calendar'!$H$5:$H$604,H260,'Content Calendar'!$G$5:$G$604,G260,'Content Calendar'!$B$5:$B$604,B260)&gt;1,"Duplicate","OK"))</f>
        <v>0</v>
      </c>
      <c r="AM260" s="29">
        <f>IF(H260="","",IF(AND(B260&lt;&gt;"",B260&lt;TODAY(),X260&lt;&gt;"Published",X260&lt;&gt;"Cancelled",X260&lt;&gt;"Archived"),"Overdue - date has passed",IF(AND(X260="Published",AB260=""),"Add - publish link missing",IF(AND(B260=TODAY(),X260&lt;&gt;"Published"),"Today - due to go live",IF(AND(Y260&lt;&gt;"",Y260&lt;TODAY(),OR(X260="Idea",X260="Brief",X260="In production")),"Late - draft not ready",IF(AND(AA260&gt;=0,AA260&lt;=3,OR(X260="Draft",X260="Awaiting review")),"Due - needs approval",IF(AND(H260&lt;&gt;"",P260=""),"Add - caption missing","OK")))))))</f>
        <v>0</v>
      </c>
    </row>
    <row r="261" spans="1:39">
      <c r="A261" s="41">
        <f>IF(H261="","",ContentPrefix&amp;TEXT(ROW()-4,"0000"))</f>
        <v>0</v>
      </c>
      <c r="D261" s="17">
        <f>IF(B261="","",TEXT(B261,"yyyy-mm"))</f>
        <v>0</v>
      </c>
      <c r="E261" s="23">
        <f>IF(B261="","",WEEKNUM(B261,IF(WeekStart="Sunday",1,2)))</f>
        <v>0</v>
      </c>
      <c r="F261" s="17">
        <f>IF(B261="","",TEXT(B261,"ddd"))</f>
        <v>0</v>
      </c>
      <c r="Q261" s="29">
        <f>IF(H261="","",IF(P261="","Add - no caption",IFERROR(INDEX('Caption Bank'!$R$5:$R$204,MATCH(P261,'Caption Bank'!$B$5:$B$204,0)),"Check - not in bank")))</f>
        <v>0</v>
      </c>
      <c r="S261" s="23">
        <f>IF(R261="","",COUNTIF('Hashtag Bank'!$D$5:$D$304,R261))</f>
        <v>0</v>
      </c>
      <c r="U261" s="29">
        <f>IF(H261="","",IF(T261="","Add - no asset",IFERROR(INDEX(Assets!$N$5:$N$254,MATCH(T261,Assets!$A$5:$A$254,0)),"Check - not in library")))</f>
        <v>0</v>
      </c>
      <c r="Y261" s="16">
        <f>IF(B261="","",B261-ProductionDays)</f>
        <v>0</v>
      </c>
      <c r="Z261" s="16">
        <f>IF(B261="","",B261-ApprovalDays)</f>
        <v>0</v>
      </c>
      <c r="AA261" s="23">
        <f>IF(B261="","",B261-TODAY())</f>
        <v>0</v>
      </c>
      <c r="AC261" s="29">
        <f>IF(H261="","",IF(X261="Published",IF(AB261="","Add - link missing","Yes"),"No"))</f>
        <v>0</v>
      </c>
      <c r="AD261" s="23">
        <f>IF(A261="","",IF(COUNTIF(Performance!$B$5:$B$404,A261)=0,"",SUMIFS(Performance!$O$5:$O$404,Performance!$B$5:$B$404,A261)))</f>
        <v>0</v>
      </c>
      <c r="AE261" s="23">
        <f>IF(AD261="","",SUMIFS(Performance!$Z$5:$Z$404,Performance!$B$5:$B$404,A261))</f>
        <v>0</v>
      </c>
      <c r="AF261" s="24">
        <f>IF(OR(AD261="",AD261=0),"",AE261/AD261)</f>
        <v>0</v>
      </c>
      <c r="AG261" s="23">
        <f>IF(AD261="","",SUMIFS(Performance!$U$5:$U$404,Performance!$B$5:$B$404,A261))</f>
        <v>0</v>
      </c>
      <c r="AH261" s="23">
        <f>IF(A261="","",COUNTIF(Repurposing!$B$5:$B$154,A261))</f>
        <v>0</v>
      </c>
      <c r="AI261" s="32">
        <f>IF(OR(H261="",B261=""),"",B261+ROW()/100000)</f>
        <v>0</v>
      </c>
      <c r="AJ261" s="32">
        <f>IF(OR(H261="",B261=""),"",IF(OR(X261="Published",X261="Cancelled",X261="Archived"),"",IF(B261&lt;TODAY(),"",B261+ROW()/100000)))</f>
        <v>0</v>
      </c>
      <c r="AK261" s="32">
        <f>IF(OR(H261="",B261=""),"",IF(OR(X261="Published",X261="Cancelled",X261="Archived"),"",IF(B261&gt;=TODAY(),"",B261+ROW()/100000)))</f>
        <v>0</v>
      </c>
      <c r="AL261" s="29">
        <f>IF(H261="","",IF(COUNTIFS('Content Calendar'!$H$5:$H$604,H261,'Content Calendar'!$G$5:$G$604,G261,'Content Calendar'!$B$5:$B$604,B261)&gt;1,"Duplicate","OK"))</f>
        <v>0</v>
      </c>
      <c r="AM261" s="29">
        <f>IF(H261="","",IF(AND(B261&lt;&gt;"",B261&lt;TODAY(),X261&lt;&gt;"Published",X261&lt;&gt;"Cancelled",X261&lt;&gt;"Archived"),"Overdue - date has passed",IF(AND(X261="Published",AB261=""),"Add - publish link missing",IF(AND(B261=TODAY(),X261&lt;&gt;"Published"),"Today - due to go live",IF(AND(Y261&lt;&gt;"",Y261&lt;TODAY(),OR(X261="Idea",X261="Brief",X261="In production")),"Late - draft not ready",IF(AND(AA261&gt;=0,AA261&lt;=3,OR(X261="Draft",X261="Awaiting review")),"Due - needs approval",IF(AND(H261&lt;&gt;"",P261=""),"Add - caption missing","OK")))))))</f>
        <v>0</v>
      </c>
    </row>
    <row r="262" spans="1:39">
      <c r="A262" s="41">
        <f>IF(H262="","",ContentPrefix&amp;TEXT(ROW()-4,"0000"))</f>
        <v>0</v>
      </c>
      <c r="D262" s="17">
        <f>IF(B262="","",TEXT(B262,"yyyy-mm"))</f>
        <v>0</v>
      </c>
      <c r="E262" s="23">
        <f>IF(B262="","",WEEKNUM(B262,IF(WeekStart="Sunday",1,2)))</f>
        <v>0</v>
      </c>
      <c r="F262" s="17">
        <f>IF(B262="","",TEXT(B262,"ddd"))</f>
        <v>0</v>
      </c>
      <c r="Q262" s="29">
        <f>IF(H262="","",IF(P262="","Add - no caption",IFERROR(INDEX('Caption Bank'!$R$5:$R$204,MATCH(P262,'Caption Bank'!$B$5:$B$204,0)),"Check - not in bank")))</f>
        <v>0</v>
      </c>
      <c r="S262" s="23">
        <f>IF(R262="","",COUNTIF('Hashtag Bank'!$D$5:$D$304,R262))</f>
        <v>0</v>
      </c>
      <c r="U262" s="29">
        <f>IF(H262="","",IF(T262="","Add - no asset",IFERROR(INDEX(Assets!$N$5:$N$254,MATCH(T262,Assets!$A$5:$A$254,0)),"Check - not in library")))</f>
        <v>0</v>
      </c>
      <c r="Y262" s="16">
        <f>IF(B262="","",B262-ProductionDays)</f>
        <v>0</v>
      </c>
      <c r="Z262" s="16">
        <f>IF(B262="","",B262-ApprovalDays)</f>
        <v>0</v>
      </c>
      <c r="AA262" s="23">
        <f>IF(B262="","",B262-TODAY())</f>
        <v>0</v>
      </c>
      <c r="AC262" s="29">
        <f>IF(H262="","",IF(X262="Published",IF(AB262="","Add - link missing","Yes"),"No"))</f>
        <v>0</v>
      </c>
      <c r="AD262" s="23">
        <f>IF(A262="","",IF(COUNTIF(Performance!$B$5:$B$404,A262)=0,"",SUMIFS(Performance!$O$5:$O$404,Performance!$B$5:$B$404,A262)))</f>
        <v>0</v>
      </c>
      <c r="AE262" s="23">
        <f>IF(AD262="","",SUMIFS(Performance!$Z$5:$Z$404,Performance!$B$5:$B$404,A262))</f>
        <v>0</v>
      </c>
      <c r="AF262" s="24">
        <f>IF(OR(AD262="",AD262=0),"",AE262/AD262)</f>
        <v>0</v>
      </c>
      <c r="AG262" s="23">
        <f>IF(AD262="","",SUMIFS(Performance!$U$5:$U$404,Performance!$B$5:$B$404,A262))</f>
        <v>0</v>
      </c>
      <c r="AH262" s="23">
        <f>IF(A262="","",COUNTIF(Repurposing!$B$5:$B$154,A262))</f>
        <v>0</v>
      </c>
      <c r="AI262" s="32">
        <f>IF(OR(H262="",B262=""),"",B262+ROW()/100000)</f>
        <v>0</v>
      </c>
      <c r="AJ262" s="32">
        <f>IF(OR(H262="",B262=""),"",IF(OR(X262="Published",X262="Cancelled",X262="Archived"),"",IF(B262&lt;TODAY(),"",B262+ROW()/100000)))</f>
        <v>0</v>
      </c>
      <c r="AK262" s="32">
        <f>IF(OR(H262="",B262=""),"",IF(OR(X262="Published",X262="Cancelled",X262="Archived"),"",IF(B262&gt;=TODAY(),"",B262+ROW()/100000)))</f>
        <v>0</v>
      </c>
      <c r="AL262" s="29">
        <f>IF(H262="","",IF(COUNTIFS('Content Calendar'!$H$5:$H$604,H262,'Content Calendar'!$G$5:$G$604,G262,'Content Calendar'!$B$5:$B$604,B262)&gt;1,"Duplicate","OK"))</f>
        <v>0</v>
      </c>
      <c r="AM262" s="29">
        <f>IF(H262="","",IF(AND(B262&lt;&gt;"",B262&lt;TODAY(),X262&lt;&gt;"Published",X262&lt;&gt;"Cancelled",X262&lt;&gt;"Archived"),"Overdue - date has passed",IF(AND(X262="Published",AB262=""),"Add - publish link missing",IF(AND(B262=TODAY(),X262&lt;&gt;"Published"),"Today - due to go live",IF(AND(Y262&lt;&gt;"",Y262&lt;TODAY(),OR(X262="Idea",X262="Brief",X262="In production")),"Late - draft not ready",IF(AND(AA262&gt;=0,AA262&lt;=3,OR(X262="Draft",X262="Awaiting review")),"Due - needs approval",IF(AND(H262&lt;&gt;"",P262=""),"Add - caption missing","OK")))))))</f>
        <v>0</v>
      </c>
    </row>
    <row r="263" spans="1:39">
      <c r="A263" s="41">
        <f>IF(H263="","",ContentPrefix&amp;TEXT(ROW()-4,"0000"))</f>
        <v>0</v>
      </c>
      <c r="D263" s="17">
        <f>IF(B263="","",TEXT(B263,"yyyy-mm"))</f>
        <v>0</v>
      </c>
      <c r="E263" s="23">
        <f>IF(B263="","",WEEKNUM(B263,IF(WeekStart="Sunday",1,2)))</f>
        <v>0</v>
      </c>
      <c r="F263" s="17">
        <f>IF(B263="","",TEXT(B263,"ddd"))</f>
        <v>0</v>
      </c>
      <c r="Q263" s="29">
        <f>IF(H263="","",IF(P263="","Add - no caption",IFERROR(INDEX('Caption Bank'!$R$5:$R$204,MATCH(P263,'Caption Bank'!$B$5:$B$204,0)),"Check - not in bank")))</f>
        <v>0</v>
      </c>
      <c r="S263" s="23">
        <f>IF(R263="","",COUNTIF('Hashtag Bank'!$D$5:$D$304,R263))</f>
        <v>0</v>
      </c>
      <c r="U263" s="29">
        <f>IF(H263="","",IF(T263="","Add - no asset",IFERROR(INDEX(Assets!$N$5:$N$254,MATCH(T263,Assets!$A$5:$A$254,0)),"Check - not in library")))</f>
        <v>0</v>
      </c>
      <c r="Y263" s="16">
        <f>IF(B263="","",B263-ProductionDays)</f>
        <v>0</v>
      </c>
      <c r="Z263" s="16">
        <f>IF(B263="","",B263-ApprovalDays)</f>
        <v>0</v>
      </c>
      <c r="AA263" s="23">
        <f>IF(B263="","",B263-TODAY())</f>
        <v>0</v>
      </c>
      <c r="AC263" s="29">
        <f>IF(H263="","",IF(X263="Published",IF(AB263="","Add - link missing","Yes"),"No"))</f>
        <v>0</v>
      </c>
      <c r="AD263" s="23">
        <f>IF(A263="","",IF(COUNTIF(Performance!$B$5:$B$404,A263)=0,"",SUMIFS(Performance!$O$5:$O$404,Performance!$B$5:$B$404,A263)))</f>
        <v>0</v>
      </c>
      <c r="AE263" s="23">
        <f>IF(AD263="","",SUMIFS(Performance!$Z$5:$Z$404,Performance!$B$5:$B$404,A263))</f>
        <v>0</v>
      </c>
      <c r="AF263" s="24">
        <f>IF(OR(AD263="",AD263=0),"",AE263/AD263)</f>
        <v>0</v>
      </c>
      <c r="AG263" s="23">
        <f>IF(AD263="","",SUMIFS(Performance!$U$5:$U$404,Performance!$B$5:$B$404,A263))</f>
        <v>0</v>
      </c>
      <c r="AH263" s="23">
        <f>IF(A263="","",COUNTIF(Repurposing!$B$5:$B$154,A263))</f>
        <v>0</v>
      </c>
      <c r="AI263" s="32">
        <f>IF(OR(H263="",B263=""),"",B263+ROW()/100000)</f>
        <v>0</v>
      </c>
      <c r="AJ263" s="32">
        <f>IF(OR(H263="",B263=""),"",IF(OR(X263="Published",X263="Cancelled",X263="Archived"),"",IF(B263&lt;TODAY(),"",B263+ROW()/100000)))</f>
        <v>0</v>
      </c>
      <c r="AK263" s="32">
        <f>IF(OR(H263="",B263=""),"",IF(OR(X263="Published",X263="Cancelled",X263="Archived"),"",IF(B263&gt;=TODAY(),"",B263+ROW()/100000)))</f>
        <v>0</v>
      </c>
      <c r="AL263" s="29">
        <f>IF(H263="","",IF(COUNTIFS('Content Calendar'!$H$5:$H$604,H263,'Content Calendar'!$G$5:$G$604,G263,'Content Calendar'!$B$5:$B$604,B263)&gt;1,"Duplicate","OK"))</f>
        <v>0</v>
      </c>
      <c r="AM263" s="29">
        <f>IF(H263="","",IF(AND(B263&lt;&gt;"",B263&lt;TODAY(),X263&lt;&gt;"Published",X263&lt;&gt;"Cancelled",X263&lt;&gt;"Archived"),"Overdue - date has passed",IF(AND(X263="Published",AB263=""),"Add - publish link missing",IF(AND(B263=TODAY(),X263&lt;&gt;"Published"),"Today - due to go live",IF(AND(Y263&lt;&gt;"",Y263&lt;TODAY(),OR(X263="Idea",X263="Brief",X263="In production")),"Late - draft not ready",IF(AND(AA263&gt;=0,AA263&lt;=3,OR(X263="Draft",X263="Awaiting review")),"Due - needs approval",IF(AND(H263&lt;&gt;"",P263=""),"Add - caption missing","OK")))))))</f>
        <v>0</v>
      </c>
    </row>
    <row r="264" spans="1:39">
      <c r="A264" s="41">
        <f>IF(H264="","",ContentPrefix&amp;TEXT(ROW()-4,"0000"))</f>
        <v>0</v>
      </c>
      <c r="D264" s="17">
        <f>IF(B264="","",TEXT(B264,"yyyy-mm"))</f>
        <v>0</v>
      </c>
      <c r="E264" s="23">
        <f>IF(B264="","",WEEKNUM(B264,IF(WeekStart="Sunday",1,2)))</f>
        <v>0</v>
      </c>
      <c r="F264" s="17">
        <f>IF(B264="","",TEXT(B264,"ddd"))</f>
        <v>0</v>
      </c>
      <c r="Q264" s="29">
        <f>IF(H264="","",IF(P264="","Add - no caption",IFERROR(INDEX('Caption Bank'!$R$5:$R$204,MATCH(P264,'Caption Bank'!$B$5:$B$204,0)),"Check - not in bank")))</f>
        <v>0</v>
      </c>
      <c r="S264" s="23">
        <f>IF(R264="","",COUNTIF('Hashtag Bank'!$D$5:$D$304,R264))</f>
        <v>0</v>
      </c>
      <c r="U264" s="29">
        <f>IF(H264="","",IF(T264="","Add - no asset",IFERROR(INDEX(Assets!$N$5:$N$254,MATCH(T264,Assets!$A$5:$A$254,0)),"Check - not in library")))</f>
        <v>0</v>
      </c>
      <c r="Y264" s="16">
        <f>IF(B264="","",B264-ProductionDays)</f>
        <v>0</v>
      </c>
      <c r="Z264" s="16">
        <f>IF(B264="","",B264-ApprovalDays)</f>
        <v>0</v>
      </c>
      <c r="AA264" s="23">
        <f>IF(B264="","",B264-TODAY())</f>
        <v>0</v>
      </c>
      <c r="AC264" s="29">
        <f>IF(H264="","",IF(X264="Published",IF(AB264="","Add - link missing","Yes"),"No"))</f>
        <v>0</v>
      </c>
      <c r="AD264" s="23">
        <f>IF(A264="","",IF(COUNTIF(Performance!$B$5:$B$404,A264)=0,"",SUMIFS(Performance!$O$5:$O$404,Performance!$B$5:$B$404,A264)))</f>
        <v>0</v>
      </c>
      <c r="AE264" s="23">
        <f>IF(AD264="","",SUMIFS(Performance!$Z$5:$Z$404,Performance!$B$5:$B$404,A264))</f>
        <v>0</v>
      </c>
      <c r="AF264" s="24">
        <f>IF(OR(AD264="",AD264=0),"",AE264/AD264)</f>
        <v>0</v>
      </c>
      <c r="AG264" s="23">
        <f>IF(AD264="","",SUMIFS(Performance!$U$5:$U$404,Performance!$B$5:$B$404,A264))</f>
        <v>0</v>
      </c>
      <c r="AH264" s="23">
        <f>IF(A264="","",COUNTIF(Repurposing!$B$5:$B$154,A264))</f>
        <v>0</v>
      </c>
      <c r="AI264" s="32">
        <f>IF(OR(H264="",B264=""),"",B264+ROW()/100000)</f>
        <v>0</v>
      </c>
      <c r="AJ264" s="32">
        <f>IF(OR(H264="",B264=""),"",IF(OR(X264="Published",X264="Cancelled",X264="Archived"),"",IF(B264&lt;TODAY(),"",B264+ROW()/100000)))</f>
        <v>0</v>
      </c>
      <c r="AK264" s="32">
        <f>IF(OR(H264="",B264=""),"",IF(OR(X264="Published",X264="Cancelled",X264="Archived"),"",IF(B264&gt;=TODAY(),"",B264+ROW()/100000)))</f>
        <v>0</v>
      </c>
      <c r="AL264" s="29">
        <f>IF(H264="","",IF(COUNTIFS('Content Calendar'!$H$5:$H$604,H264,'Content Calendar'!$G$5:$G$604,G264,'Content Calendar'!$B$5:$B$604,B264)&gt;1,"Duplicate","OK"))</f>
        <v>0</v>
      </c>
      <c r="AM264" s="29">
        <f>IF(H264="","",IF(AND(B264&lt;&gt;"",B264&lt;TODAY(),X264&lt;&gt;"Published",X264&lt;&gt;"Cancelled",X264&lt;&gt;"Archived"),"Overdue - date has passed",IF(AND(X264="Published",AB264=""),"Add - publish link missing",IF(AND(B264=TODAY(),X264&lt;&gt;"Published"),"Today - due to go live",IF(AND(Y264&lt;&gt;"",Y264&lt;TODAY(),OR(X264="Idea",X264="Brief",X264="In production")),"Late - draft not ready",IF(AND(AA264&gt;=0,AA264&lt;=3,OR(X264="Draft",X264="Awaiting review")),"Due - needs approval",IF(AND(H264&lt;&gt;"",P264=""),"Add - caption missing","OK")))))))</f>
        <v>0</v>
      </c>
    </row>
    <row r="265" spans="1:39">
      <c r="A265" s="41">
        <f>IF(H265="","",ContentPrefix&amp;TEXT(ROW()-4,"0000"))</f>
        <v>0</v>
      </c>
      <c r="D265" s="17">
        <f>IF(B265="","",TEXT(B265,"yyyy-mm"))</f>
        <v>0</v>
      </c>
      <c r="E265" s="23">
        <f>IF(B265="","",WEEKNUM(B265,IF(WeekStart="Sunday",1,2)))</f>
        <v>0</v>
      </c>
      <c r="F265" s="17">
        <f>IF(B265="","",TEXT(B265,"ddd"))</f>
        <v>0</v>
      </c>
      <c r="Q265" s="29">
        <f>IF(H265="","",IF(P265="","Add - no caption",IFERROR(INDEX('Caption Bank'!$R$5:$R$204,MATCH(P265,'Caption Bank'!$B$5:$B$204,0)),"Check - not in bank")))</f>
        <v>0</v>
      </c>
      <c r="S265" s="23">
        <f>IF(R265="","",COUNTIF('Hashtag Bank'!$D$5:$D$304,R265))</f>
        <v>0</v>
      </c>
      <c r="U265" s="29">
        <f>IF(H265="","",IF(T265="","Add - no asset",IFERROR(INDEX(Assets!$N$5:$N$254,MATCH(T265,Assets!$A$5:$A$254,0)),"Check - not in library")))</f>
        <v>0</v>
      </c>
      <c r="Y265" s="16">
        <f>IF(B265="","",B265-ProductionDays)</f>
        <v>0</v>
      </c>
      <c r="Z265" s="16">
        <f>IF(B265="","",B265-ApprovalDays)</f>
        <v>0</v>
      </c>
      <c r="AA265" s="23">
        <f>IF(B265="","",B265-TODAY())</f>
        <v>0</v>
      </c>
      <c r="AC265" s="29">
        <f>IF(H265="","",IF(X265="Published",IF(AB265="","Add - link missing","Yes"),"No"))</f>
        <v>0</v>
      </c>
      <c r="AD265" s="23">
        <f>IF(A265="","",IF(COUNTIF(Performance!$B$5:$B$404,A265)=0,"",SUMIFS(Performance!$O$5:$O$404,Performance!$B$5:$B$404,A265)))</f>
        <v>0</v>
      </c>
      <c r="AE265" s="23">
        <f>IF(AD265="","",SUMIFS(Performance!$Z$5:$Z$404,Performance!$B$5:$B$404,A265))</f>
        <v>0</v>
      </c>
      <c r="AF265" s="24">
        <f>IF(OR(AD265="",AD265=0),"",AE265/AD265)</f>
        <v>0</v>
      </c>
      <c r="AG265" s="23">
        <f>IF(AD265="","",SUMIFS(Performance!$U$5:$U$404,Performance!$B$5:$B$404,A265))</f>
        <v>0</v>
      </c>
      <c r="AH265" s="23">
        <f>IF(A265="","",COUNTIF(Repurposing!$B$5:$B$154,A265))</f>
        <v>0</v>
      </c>
      <c r="AI265" s="32">
        <f>IF(OR(H265="",B265=""),"",B265+ROW()/100000)</f>
        <v>0</v>
      </c>
      <c r="AJ265" s="32">
        <f>IF(OR(H265="",B265=""),"",IF(OR(X265="Published",X265="Cancelled",X265="Archived"),"",IF(B265&lt;TODAY(),"",B265+ROW()/100000)))</f>
        <v>0</v>
      </c>
      <c r="AK265" s="32">
        <f>IF(OR(H265="",B265=""),"",IF(OR(X265="Published",X265="Cancelled",X265="Archived"),"",IF(B265&gt;=TODAY(),"",B265+ROW()/100000)))</f>
        <v>0</v>
      </c>
      <c r="AL265" s="29">
        <f>IF(H265="","",IF(COUNTIFS('Content Calendar'!$H$5:$H$604,H265,'Content Calendar'!$G$5:$G$604,G265,'Content Calendar'!$B$5:$B$604,B265)&gt;1,"Duplicate","OK"))</f>
        <v>0</v>
      </c>
      <c r="AM265" s="29">
        <f>IF(H265="","",IF(AND(B265&lt;&gt;"",B265&lt;TODAY(),X265&lt;&gt;"Published",X265&lt;&gt;"Cancelled",X265&lt;&gt;"Archived"),"Overdue - date has passed",IF(AND(X265="Published",AB265=""),"Add - publish link missing",IF(AND(B265=TODAY(),X265&lt;&gt;"Published"),"Today - due to go live",IF(AND(Y265&lt;&gt;"",Y265&lt;TODAY(),OR(X265="Idea",X265="Brief",X265="In production")),"Late - draft not ready",IF(AND(AA265&gt;=0,AA265&lt;=3,OR(X265="Draft",X265="Awaiting review")),"Due - needs approval",IF(AND(H265&lt;&gt;"",P265=""),"Add - caption missing","OK")))))))</f>
        <v>0</v>
      </c>
    </row>
    <row r="266" spans="1:39">
      <c r="A266" s="41">
        <f>IF(H266="","",ContentPrefix&amp;TEXT(ROW()-4,"0000"))</f>
        <v>0</v>
      </c>
      <c r="D266" s="17">
        <f>IF(B266="","",TEXT(B266,"yyyy-mm"))</f>
        <v>0</v>
      </c>
      <c r="E266" s="23">
        <f>IF(B266="","",WEEKNUM(B266,IF(WeekStart="Sunday",1,2)))</f>
        <v>0</v>
      </c>
      <c r="F266" s="17">
        <f>IF(B266="","",TEXT(B266,"ddd"))</f>
        <v>0</v>
      </c>
      <c r="Q266" s="29">
        <f>IF(H266="","",IF(P266="","Add - no caption",IFERROR(INDEX('Caption Bank'!$R$5:$R$204,MATCH(P266,'Caption Bank'!$B$5:$B$204,0)),"Check - not in bank")))</f>
        <v>0</v>
      </c>
      <c r="S266" s="23">
        <f>IF(R266="","",COUNTIF('Hashtag Bank'!$D$5:$D$304,R266))</f>
        <v>0</v>
      </c>
      <c r="U266" s="29">
        <f>IF(H266="","",IF(T266="","Add - no asset",IFERROR(INDEX(Assets!$N$5:$N$254,MATCH(T266,Assets!$A$5:$A$254,0)),"Check - not in library")))</f>
        <v>0</v>
      </c>
      <c r="Y266" s="16">
        <f>IF(B266="","",B266-ProductionDays)</f>
        <v>0</v>
      </c>
      <c r="Z266" s="16">
        <f>IF(B266="","",B266-ApprovalDays)</f>
        <v>0</v>
      </c>
      <c r="AA266" s="23">
        <f>IF(B266="","",B266-TODAY())</f>
        <v>0</v>
      </c>
      <c r="AC266" s="29">
        <f>IF(H266="","",IF(X266="Published",IF(AB266="","Add - link missing","Yes"),"No"))</f>
        <v>0</v>
      </c>
      <c r="AD266" s="23">
        <f>IF(A266="","",IF(COUNTIF(Performance!$B$5:$B$404,A266)=0,"",SUMIFS(Performance!$O$5:$O$404,Performance!$B$5:$B$404,A266)))</f>
        <v>0</v>
      </c>
      <c r="AE266" s="23">
        <f>IF(AD266="","",SUMIFS(Performance!$Z$5:$Z$404,Performance!$B$5:$B$404,A266))</f>
        <v>0</v>
      </c>
      <c r="AF266" s="24">
        <f>IF(OR(AD266="",AD266=0),"",AE266/AD266)</f>
        <v>0</v>
      </c>
      <c r="AG266" s="23">
        <f>IF(AD266="","",SUMIFS(Performance!$U$5:$U$404,Performance!$B$5:$B$404,A266))</f>
        <v>0</v>
      </c>
      <c r="AH266" s="23">
        <f>IF(A266="","",COUNTIF(Repurposing!$B$5:$B$154,A266))</f>
        <v>0</v>
      </c>
      <c r="AI266" s="32">
        <f>IF(OR(H266="",B266=""),"",B266+ROW()/100000)</f>
        <v>0</v>
      </c>
      <c r="AJ266" s="32">
        <f>IF(OR(H266="",B266=""),"",IF(OR(X266="Published",X266="Cancelled",X266="Archived"),"",IF(B266&lt;TODAY(),"",B266+ROW()/100000)))</f>
        <v>0</v>
      </c>
      <c r="AK266" s="32">
        <f>IF(OR(H266="",B266=""),"",IF(OR(X266="Published",X266="Cancelled",X266="Archived"),"",IF(B266&gt;=TODAY(),"",B266+ROW()/100000)))</f>
        <v>0</v>
      </c>
      <c r="AL266" s="29">
        <f>IF(H266="","",IF(COUNTIFS('Content Calendar'!$H$5:$H$604,H266,'Content Calendar'!$G$5:$G$604,G266,'Content Calendar'!$B$5:$B$604,B266)&gt;1,"Duplicate","OK"))</f>
        <v>0</v>
      </c>
      <c r="AM266" s="29">
        <f>IF(H266="","",IF(AND(B266&lt;&gt;"",B266&lt;TODAY(),X266&lt;&gt;"Published",X266&lt;&gt;"Cancelled",X266&lt;&gt;"Archived"),"Overdue - date has passed",IF(AND(X266="Published",AB266=""),"Add - publish link missing",IF(AND(B266=TODAY(),X266&lt;&gt;"Published"),"Today - due to go live",IF(AND(Y266&lt;&gt;"",Y266&lt;TODAY(),OR(X266="Idea",X266="Brief",X266="In production")),"Late - draft not ready",IF(AND(AA266&gt;=0,AA266&lt;=3,OR(X266="Draft",X266="Awaiting review")),"Due - needs approval",IF(AND(H266&lt;&gt;"",P266=""),"Add - caption missing","OK")))))))</f>
        <v>0</v>
      </c>
    </row>
    <row r="267" spans="1:39">
      <c r="A267" s="41">
        <f>IF(H267="","",ContentPrefix&amp;TEXT(ROW()-4,"0000"))</f>
        <v>0</v>
      </c>
      <c r="D267" s="17">
        <f>IF(B267="","",TEXT(B267,"yyyy-mm"))</f>
        <v>0</v>
      </c>
      <c r="E267" s="23">
        <f>IF(B267="","",WEEKNUM(B267,IF(WeekStart="Sunday",1,2)))</f>
        <v>0</v>
      </c>
      <c r="F267" s="17">
        <f>IF(B267="","",TEXT(B267,"ddd"))</f>
        <v>0</v>
      </c>
      <c r="Q267" s="29">
        <f>IF(H267="","",IF(P267="","Add - no caption",IFERROR(INDEX('Caption Bank'!$R$5:$R$204,MATCH(P267,'Caption Bank'!$B$5:$B$204,0)),"Check - not in bank")))</f>
        <v>0</v>
      </c>
      <c r="S267" s="23">
        <f>IF(R267="","",COUNTIF('Hashtag Bank'!$D$5:$D$304,R267))</f>
        <v>0</v>
      </c>
      <c r="U267" s="29">
        <f>IF(H267="","",IF(T267="","Add - no asset",IFERROR(INDEX(Assets!$N$5:$N$254,MATCH(T267,Assets!$A$5:$A$254,0)),"Check - not in library")))</f>
        <v>0</v>
      </c>
      <c r="Y267" s="16">
        <f>IF(B267="","",B267-ProductionDays)</f>
        <v>0</v>
      </c>
      <c r="Z267" s="16">
        <f>IF(B267="","",B267-ApprovalDays)</f>
        <v>0</v>
      </c>
      <c r="AA267" s="23">
        <f>IF(B267="","",B267-TODAY())</f>
        <v>0</v>
      </c>
      <c r="AC267" s="29">
        <f>IF(H267="","",IF(X267="Published",IF(AB267="","Add - link missing","Yes"),"No"))</f>
        <v>0</v>
      </c>
      <c r="AD267" s="23">
        <f>IF(A267="","",IF(COUNTIF(Performance!$B$5:$B$404,A267)=0,"",SUMIFS(Performance!$O$5:$O$404,Performance!$B$5:$B$404,A267)))</f>
        <v>0</v>
      </c>
      <c r="AE267" s="23">
        <f>IF(AD267="","",SUMIFS(Performance!$Z$5:$Z$404,Performance!$B$5:$B$404,A267))</f>
        <v>0</v>
      </c>
      <c r="AF267" s="24">
        <f>IF(OR(AD267="",AD267=0),"",AE267/AD267)</f>
        <v>0</v>
      </c>
      <c r="AG267" s="23">
        <f>IF(AD267="","",SUMIFS(Performance!$U$5:$U$404,Performance!$B$5:$B$404,A267))</f>
        <v>0</v>
      </c>
      <c r="AH267" s="23">
        <f>IF(A267="","",COUNTIF(Repurposing!$B$5:$B$154,A267))</f>
        <v>0</v>
      </c>
      <c r="AI267" s="32">
        <f>IF(OR(H267="",B267=""),"",B267+ROW()/100000)</f>
        <v>0</v>
      </c>
      <c r="AJ267" s="32">
        <f>IF(OR(H267="",B267=""),"",IF(OR(X267="Published",X267="Cancelled",X267="Archived"),"",IF(B267&lt;TODAY(),"",B267+ROW()/100000)))</f>
        <v>0</v>
      </c>
      <c r="AK267" s="32">
        <f>IF(OR(H267="",B267=""),"",IF(OR(X267="Published",X267="Cancelled",X267="Archived"),"",IF(B267&gt;=TODAY(),"",B267+ROW()/100000)))</f>
        <v>0</v>
      </c>
      <c r="AL267" s="29">
        <f>IF(H267="","",IF(COUNTIFS('Content Calendar'!$H$5:$H$604,H267,'Content Calendar'!$G$5:$G$604,G267,'Content Calendar'!$B$5:$B$604,B267)&gt;1,"Duplicate","OK"))</f>
        <v>0</v>
      </c>
      <c r="AM267" s="29">
        <f>IF(H267="","",IF(AND(B267&lt;&gt;"",B267&lt;TODAY(),X267&lt;&gt;"Published",X267&lt;&gt;"Cancelled",X267&lt;&gt;"Archived"),"Overdue - date has passed",IF(AND(X267="Published",AB267=""),"Add - publish link missing",IF(AND(B267=TODAY(),X267&lt;&gt;"Published"),"Today - due to go live",IF(AND(Y267&lt;&gt;"",Y267&lt;TODAY(),OR(X267="Idea",X267="Brief",X267="In production")),"Late - draft not ready",IF(AND(AA267&gt;=0,AA267&lt;=3,OR(X267="Draft",X267="Awaiting review")),"Due - needs approval",IF(AND(H267&lt;&gt;"",P267=""),"Add - caption missing","OK")))))))</f>
        <v>0</v>
      </c>
    </row>
    <row r="268" spans="1:39">
      <c r="A268" s="41">
        <f>IF(H268="","",ContentPrefix&amp;TEXT(ROW()-4,"0000"))</f>
        <v>0</v>
      </c>
      <c r="D268" s="17">
        <f>IF(B268="","",TEXT(B268,"yyyy-mm"))</f>
        <v>0</v>
      </c>
      <c r="E268" s="23">
        <f>IF(B268="","",WEEKNUM(B268,IF(WeekStart="Sunday",1,2)))</f>
        <v>0</v>
      </c>
      <c r="F268" s="17">
        <f>IF(B268="","",TEXT(B268,"ddd"))</f>
        <v>0</v>
      </c>
      <c r="Q268" s="29">
        <f>IF(H268="","",IF(P268="","Add - no caption",IFERROR(INDEX('Caption Bank'!$R$5:$R$204,MATCH(P268,'Caption Bank'!$B$5:$B$204,0)),"Check - not in bank")))</f>
        <v>0</v>
      </c>
      <c r="S268" s="23">
        <f>IF(R268="","",COUNTIF('Hashtag Bank'!$D$5:$D$304,R268))</f>
        <v>0</v>
      </c>
      <c r="U268" s="29">
        <f>IF(H268="","",IF(T268="","Add - no asset",IFERROR(INDEX(Assets!$N$5:$N$254,MATCH(T268,Assets!$A$5:$A$254,0)),"Check - not in library")))</f>
        <v>0</v>
      </c>
      <c r="Y268" s="16">
        <f>IF(B268="","",B268-ProductionDays)</f>
        <v>0</v>
      </c>
      <c r="Z268" s="16">
        <f>IF(B268="","",B268-ApprovalDays)</f>
        <v>0</v>
      </c>
      <c r="AA268" s="23">
        <f>IF(B268="","",B268-TODAY())</f>
        <v>0</v>
      </c>
      <c r="AC268" s="29">
        <f>IF(H268="","",IF(X268="Published",IF(AB268="","Add - link missing","Yes"),"No"))</f>
        <v>0</v>
      </c>
      <c r="AD268" s="23">
        <f>IF(A268="","",IF(COUNTIF(Performance!$B$5:$B$404,A268)=0,"",SUMIFS(Performance!$O$5:$O$404,Performance!$B$5:$B$404,A268)))</f>
        <v>0</v>
      </c>
      <c r="AE268" s="23">
        <f>IF(AD268="","",SUMIFS(Performance!$Z$5:$Z$404,Performance!$B$5:$B$404,A268))</f>
        <v>0</v>
      </c>
      <c r="AF268" s="24">
        <f>IF(OR(AD268="",AD268=0),"",AE268/AD268)</f>
        <v>0</v>
      </c>
      <c r="AG268" s="23">
        <f>IF(AD268="","",SUMIFS(Performance!$U$5:$U$404,Performance!$B$5:$B$404,A268))</f>
        <v>0</v>
      </c>
      <c r="AH268" s="23">
        <f>IF(A268="","",COUNTIF(Repurposing!$B$5:$B$154,A268))</f>
        <v>0</v>
      </c>
      <c r="AI268" s="32">
        <f>IF(OR(H268="",B268=""),"",B268+ROW()/100000)</f>
        <v>0</v>
      </c>
      <c r="AJ268" s="32">
        <f>IF(OR(H268="",B268=""),"",IF(OR(X268="Published",X268="Cancelled",X268="Archived"),"",IF(B268&lt;TODAY(),"",B268+ROW()/100000)))</f>
        <v>0</v>
      </c>
      <c r="AK268" s="32">
        <f>IF(OR(H268="",B268=""),"",IF(OR(X268="Published",X268="Cancelled",X268="Archived"),"",IF(B268&gt;=TODAY(),"",B268+ROW()/100000)))</f>
        <v>0</v>
      </c>
      <c r="AL268" s="29">
        <f>IF(H268="","",IF(COUNTIFS('Content Calendar'!$H$5:$H$604,H268,'Content Calendar'!$G$5:$G$604,G268,'Content Calendar'!$B$5:$B$604,B268)&gt;1,"Duplicate","OK"))</f>
        <v>0</v>
      </c>
      <c r="AM268" s="29">
        <f>IF(H268="","",IF(AND(B268&lt;&gt;"",B268&lt;TODAY(),X268&lt;&gt;"Published",X268&lt;&gt;"Cancelled",X268&lt;&gt;"Archived"),"Overdue - date has passed",IF(AND(X268="Published",AB268=""),"Add - publish link missing",IF(AND(B268=TODAY(),X268&lt;&gt;"Published"),"Today - due to go live",IF(AND(Y268&lt;&gt;"",Y268&lt;TODAY(),OR(X268="Idea",X268="Brief",X268="In production")),"Late - draft not ready",IF(AND(AA268&gt;=0,AA268&lt;=3,OR(X268="Draft",X268="Awaiting review")),"Due - needs approval",IF(AND(H268&lt;&gt;"",P268=""),"Add - caption missing","OK")))))))</f>
        <v>0</v>
      </c>
    </row>
    <row r="269" spans="1:39">
      <c r="A269" s="41">
        <f>IF(H269="","",ContentPrefix&amp;TEXT(ROW()-4,"0000"))</f>
        <v>0</v>
      </c>
      <c r="D269" s="17">
        <f>IF(B269="","",TEXT(B269,"yyyy-mm"))</f>
        <v>0</v>
      </c>
      <c r="E269" s="23">
        <f>IF(B269="","",WEEKNUM(B269,IF(WeekStart="Sunday",1,2)))</f>
        <v>0</v>
      </c>
      <c r="F269" s="17">
        <f>IF(B269="","",TEXT(B269,"ddd"))</f>
        <v>0</v>
      </c>
      <c r="Q269" s="29">
        <f>IF(H269="","",IF(P269="","Add - no caption",IFERROR(INDEX('Caption Bank'!$R$5:$R$204,MATCH(P269,'Caption Bank'!$B$5:$B$204,0)),"Check - not in bank")))</f>
        <v>0</v>
      </c>
      <c r="S269" s="23">
        <f>IF(R269="","",COUNTIF('Hashtag Bank'!$D$5:$D$304,R269))</f>
        <v>0</v>
      </c>
      <c r="U269" s="29">
        <f>IF(H269="","",IF(T269="","Add - no asset",IFERROR(INDEX(Assets!$N$5:$N$254,MATCH(T269,Assets!$A$5:$A$254,0)),"Check - not in library")))</f>
        <v>0</v>
      </c>
      <c r="Y269" s="16">
        <f>IF(B269="","",B269-ProductionDays)</f>
        <v>0</v>
      </c>
      <c r="Z269" s="16">
        <f>IF(B269="","",B269-ApprovalDays)</f>
        <v>0</v>
      </c>
      <c r="AA269" s="23">
        <f>IF(B269="","",B269-TODAY())</f>
        <v>0</v>
      </c>
      <c r="AC269" s="29">
        <f>IF(H269="","",IF(X269="Published",IF(AB269="","Add - link missing","Yes"),"No"))</f>
        <v>0</v>
      </c>
      <c r="AD269" s="23">
        <f>IF(A269="","",IF(COUNTIF(Performance!$B$5:$B$404,A269)=0,"",SUMIFS(Performance!$O$5:$O$404,Performance!$B$5:$B$404,A269)))</f>
        <v>0</v>
      </c>
      <c r="AE269" s="23">
        <f>IF(AD269="","",SUMIFS(Performance!$Z$5:$Z$404,Performance!$B$5:$B$404,A269))</f>
        <v>0</v>
      </c>
      <c r="AF269" s="24">
        <f>IF(OR(AD269="",AD269=0),"",AE269/AD269)</f>
        <v>0</v>
      </c>
      <c r="AG269" s="23">
        <f>IF(AD269="","",SUMIFS(Performance!$U$5:$U$404,Performance!$B$5:$B$404,A269))</f>
        <v>0</v>
      </c>
      <c r="AH269" s="23">
        <f>IF(A269="","",COUNTIF(Repurposing!$B$5:$B$154,A269))</f>
        <v>0</v>
      </c>
      <c r="AI269" s="32">
        <f>IF(OR(H269="",B269=""),"",B269+ROW()/100000)</f>
        <v>0</v>
      </c>
      <c r="AJ269" s="32">
        <f>IF(OR(H269="",B269=""),"",IF(OR(X269="Published",X269="Cancelled",X269="Archived"),"",IF(B269&lt;TODAY(),"",B269+ROW()/100000)))</f>
        <v>0</v>
      </c>
      <c r="AK269" s="32">
        <f>IF(OR(H269="",B269=""),"",IF(OR(X269="Published",X269="Cancelled",X269="Archived"),"",IF(B269&gt;=TODAY(),"",B269+ROW()/100000)))</f>
        <v>0</v>
      </c>
      <c r="AL269" s="29">
        <f>IF(H269="","",IF(COUNTIFS('Content Calendar'!$H$5:$H$604,H269,'Content Calendar'!$G$5:$G$604,G269,'Content Calendar'!$B$5:$B$604,B269)&gt;1,"Duplicate","OK"))</f>
        <v>0</v>
      </c>
      <c r="AM269" s="29">
        <f>IF(H269="","",IF(AND(B269&lt;&gt;"",B269&lt;TODAY(),X269&lt;&gt;"Published",X269&lt;&gt;"Cancelled",X269&lt;&gt;"Archived"),"Overdue - date has passed",IF(AND(X269="Published",AB269=""),"Add - publish link missing",IF(AND(B269=TODAY(),X269&lt;&gt;"Published"),"Today - due to go live",IF(AND(Y269&lt;&gt;"",Y269&lt;TODAY(),OR(X269="Idea",X269="Brief",X269="In production")),"Late - draft not ready",IF(AND(AA269&gt;=0,AA269&lt;=3,OR(X269="Draft",X269="Awaiting review")),"Due - needs approval",IF(AND(H269&lt;&gt;"",P269=""),"Add - caption missing","OK")))))))</f>
        <v>0</v>
      </c>
    </row>
    <row r="270" spans="1:39">
      <c r="A270" s="41">
        <f>IF(H270="","",ContentPrefix&amp;TEXT(ROW()-4,"0000"))</f>
        <v>0</v>
      </c>
      <c r="D270" s="17">
        <f>IF(B270="","",TEXT(B270,"yyyy-mm"))</f>
        <v>0</v>
      </c>
      <c r="E270" s="23">
        <f>IF(B270="","",WEEKNUM(B270,IF(WeekStart="Sunday",1,2)))</f>
        <v>0</v>
      </c>
      <c r="F270" s="17">
        <f>IF(B270="","",TEXT(B270,"ddd"))</f>
        <v>0</v>
      </c>
      <c r="Q270" s="29">
        <f>IF(H270="","",IF(P270="","Add - no caption",IFERROR(INDEX('Caption Bank'!$R$5:$R$204,MATCH(P270,'Caption Bank'!$B$5:$B$204,0)),"Check - not in bank")))</f>
        <v>0</v>
      </c>
      <c r="S270" s="23">
        <f>IF(R270="","",COUNTIF('Hashtag Bank'!$D$5:$D$304,R270))</f>
        <v>0</v>
      </c>
      <c r="U270" s="29">
        <f>IF(H270="","",IF(T270="","Add - no asset",IFERROR(INDEX(Assets!$N$5:$N$254,MATCH(T270,Assets!$A$5:$A$254,0)),"Check - not in library")))</f>
        <v>0</v>
      </c>
      <c r="Y270" s="16">
        <f>IF(B270="","",B270-ProductionDays)</f>
        <v>0</v>
      </c>
      <c r="Z270" s="16">
        <f>IF(B270="","",B270-ApprovalDays)</f>
        <v>0</v>
      </c>
      <c r="AA270" s="23">
        <f>IF(B270="","",B270-TODAY())</f>
        <v>0</v>
      </c>
      <c r="AC270" s="29">
        <f>IF(H270="","",IF(X270="Published",IF(AB270="","Add - link missing","Yes"),"No"))</f>
        <v>0</v>
      </c>
      <c r="AD270" s="23">
        <f>IF(A270="","",IF(COUNTIF(Performance!$B$5:$B$404,A270)=0,"",SUMIFS(Performance!$O$5:$O$404,Performance!$B$5:$B$404,A270)))</f>
        <v>0</v>
      </c>
      <c r="AE270" s="23">
        <f>IF(AD270="","",SUMIFS(Performance!$Z$5:$Z$404,Performance!$B$5:$B$404,A270))</f>
        <v>0</v>
      </c>
      <c r="AF270" s="24">
        <f>IF(OR(AD270="",AD270=0),"",AE270/AD270)</f>
        <v>0</v>
      </c>
      <c r="AG270" s="23">
        <f>IF(AD270="","",SUMIFS(Performance!$U$5:$U$404,Performance!$B$5:$B$404,A270))</f>
        <v>0</v>
      </c>
      <c r="AH270" s="23">
        <f>IF(A270="","",COUNTIF(Repurposing!$B$5:$B$154,A270))</f>
        <v>0</v>
      </c>
      <c r="AI270" s="32">
        <f>IF(OR(H270="",B270=""),"",B270+ROW()/100000)</f>
        <v>0</v>
      </c>
      <c r="AJ270" s="32">
        <f>IF(OR(H270="",B270=""),"",IF(OR(X270="Published",X270="Cancelled",X270="Archived"),"",IF(B270&lt;TODAY(),"",B270+ROW()/100000)))</f>
        <v>0</v>
      </c>
      <c r="AK270" s="32">
        <f>IF(OR(H270="",B270=""),"",IF(OR(X270="Published",X270="Cancelled",X270="Archived"),"",IF(B270&gt;=TODAY(),"",B270+ROW()/100000)))</f>
        <v>0</v>
      </c>
      <c r="AL270" s="29">
        <f>IF(H270="","",IF(COUNTIFS('Content Calendar'!$H$5:$H$604,H270,'Content Calendar'!$G$5:$G$604,G270,'Content Calendar'!$B$5:$B$604,B270)&gt;1,"Duplicate","OK"))</f>
        <v>0</v>
      </c>
      <c r="AM270" s="29">
        <f>IF(H270="","",IF(AND(B270&lt;&gt;"",B270&lt;TODAY(),X270&lt;&gt;"Published",X270&lt;&gt;"Cancelled",X270&lt;&gt;"Archived"),"Overdue - date has passed",IF(AND(X270="Published",AB270=""),"Add - publish link missing",IF(AND(B270=TODAY(),X270&lt;&gt;"Published"),"Today - due to go live",IF(AND(Y270&lt;&gt;"",Y270&lt;TODAY(),OR(X270="Idea",X270="Brief",X270="In production")),"Late - draft not ready",IF(AND(AA270&gt;=0,AA270&lt;=3,OR(X270="Draft",X270="Awaiting review")),"Due - needs approval",IF(AND(H270&lt;&gt;"",P270=""),"Add - caption missing","OK")))))))</f>
        <v>0</v>
      </c>
    </row>
    <row r="271" spans="1:39">
      <c r="A271" s="41">
        <f>IF(H271="","",ContentPrefix&amp;TEXT(ROW()-4,"0000"))</f>
        <v>0</v>
      </c>
      <c r="D271" s="17">
        <f>IF(B271="","",TEXT(B271,"yyyy-mm"))</f>
        <v>0</v>
      </c>
      <c r="E271" s="23">
        <f>IF(B271="","",WEEKNUM(B271,IF(WeekStart="Sunday",1,2)))</f>
        <v>0</v>
      </c>
      <c r="F271" s="17">
        <f>IF(B271="","",TEXT(B271,"ddd"))</f>
        <v>0</v>
      </c>
      <c r="Q271" s="29">
        <f>IF(H271="","",IF(P271="","Add - no caption",IFERROR(INDEX('Caption Bank'!$R$5:$R$204,MATCH(P271,'Caption Bank'!$B$5:$B$204,0)),"Check - not in bank")))</f>
        <v>0</v>
      </c>
      <c r="S271" s="23">
        <f>IF(R271="","",COUNTIF('Hashtag Bank'!$D$5:$D$304,R271))</f>
        <v>0</v>
      </c>
      <c r="U271" s="29">
        <f>IF(H271="","",IF(T271="","Add - no asset",IFERROR(INDEX(Assets!$N$5:$N$254,MATCH(T271,Assets!$A$5:$A$254,0)),"Check - not in library")))</f>
        <v>0</v>
      </c>
      <c r="Y271" s="16">
        <f>IF(B271="","",B271-ProductionDays)</f>
        <v>0</v>
      </c>
      <c r="Z271" s="16">
        <f>IF(B271="","",B271-ApprovalDays)</f>
        <v>0</v>
      </c>
      <c r="AA271" s="23">
        <f>IF(B271="","",B271-TODAY())</f>
        <v>0</v>
      </c>
      <c r="AC271" s="29">
        <f>IF(H271="","",IF(X271="Published",IF(AB271="","Add - link missing","Yes"),"No"))</f>
        <v>0</v>
      </c>
      <c r="AD271" s="23">
        <f>IF(A271="","",IF(COUNTIF(Performance!$B$5:$B$404,A271)=0,"",SUMIFS(Performance!$O$5:$O$404,Performance!$B$5:$B$404,A271)))</f>
        <v>0</v>
      </c>
      <c r="AE271" s="23">
        <f>IF(AD271="","",SUMIFS(Performance!$Z$5:$Z$404,Performance!$B$5:$B$404,A271))</f>
        <v>0</v>
      </c>
      <c r="AF271" s="24">
        <f>IF(OR(AD271="",AD271=0),"",AE271/AD271)</f>
        <v>0</v>
      </c>
      <c r="AG271" s="23">
        <f>IF(AD271="","",SUMIFS(Performance!$U$5:$U$404,Performance!$B$5:$B$404,A271))</f>
        <v>0</v>
      </c>
      <c r="AH271" s="23">
        <f>IF(A271="","",COUNTIF(Repurposing!$B$5:$B$154,A271))</f>
        <v>0</v>
      </c>
      <c r="AI271" s="32">
        <f>IF(OR(H271="",B271=""),"",B271+ROW()/100000)</f>
        <v>0</v>
      </c>
      <c r="AJ271" s="32">
        <f>IF(OR(H271="",B271=""),"",IF(OR(X271="Published",X271="Cancelled",X271="Archived"),"",IF(B271&lt;TODAY(),"",B271+ROW()/100000)))</f>
        <v>0</v>
      </c>
      <c r="AK271" s="32">
        <f>IF(OR(H271="",B271=""),"",IF(OR(X271="Published",X271="Cancelled",X271="Archived"),"",IF(B271&gt;=TODAY(),"",B271+ROW()/100000)))</f>
        <v>0</v>
      </c>
      <c r="AL271" s="29">
        <f>IF(H271="","",IF(COUNTIFS('Content Calendar'!$H$5:$H$604,H271,'Content Calendar'!$G$5:$G$604,G271,'Content Calendar'!$B$5:$B$604,B271)&gt;1,"Duplicate","OK"))</f>
        <v>0</v>
      </c>
      <c r="AM271" s="29">
        <f>IF(H271="","",IF(AND(B271&lt;&gt;"",B271&lt;TODAY(),X271&lt;&gt;"Published",X271&lt;&gt;"Cancelled",X271&lt;&gt;"Archived"),"Overdue - date has passed",IF(AND(X271="Published",AB271=""),"Add - publish link missing",IF(AND(B271=TODAY(),X271&lt;&gt;"Published"),"Today - due to go live",IF(AND(Y271&lt;&gt;"",Y271&lt;TODAY(),OR(X271="Idea",X271="Brief",X271="In production")),"Late - draft not ready",IF(AND(AA271&gt;=0,AA271&lt;=3,OR(X271="Draft",X271="Awaiting review")),"Due - needs approval",IF(AND(H271&lt;&gt;"",P271=""),"Add - caption missing","OK")))))))</f>
        <v>0</v>
      </c>
    </row>
    <row r="272" spans="1:39">
      <c r="A272" s="41">
        <f>IF(H272="","",ContentPrefix&amp;TEXT(ROW()-4,"0000"))</f>
        <v>0</v>
      </c>
      <c r="D272" s="17">
        <f>IF(B272="","",TEXT(B272,"yyyy-mm"))</f>
        <v>0</v>
      </c>
      <c r="E272" s="23">
        <f>IF(B272="","",WEEKNUM(B272,IF(WeekStart="Sunday",1,2)))</f>
        <v>0</v>
      </c>
      <c r="F272" s="17">
        <f>IF(B272="","",TEXT(B272,"ddd"))</f>
        <v>0</v>
      </c>
      <c r="Q272" s="29">
        <f>IF(H272="","",IF(P272="","Add - no caption",IFERROR(INDEX('Caption Bank'!$R$5:$R$204,MATCH(P272,'Caption Bank'!$B$5:$B$204,0)),"Check - not in bank")))</f>
        <v>0</v>
      </c>
      <c r="S272" s="23">
        <f>IF(R272="","",COUNTIF('Hashtag Bank'!$D$5:$D$304,R272))</f>
        <v>0</v>
      </c>
      <c r="U272" s="29">
        <f>IF(H272="","",IF(T272="","Add - no asset",IFERROR(INDEX(Assets!$N$5:$N$254,MATCH(T272,Assets!$A$5:$A$254,0)),"Check - not in library")))</f>
        <v>0</v>
      </c>
      <c r="Y272" s="16">
        <f>IF(B272="","",B272-ProductionDays)</f>
        <v>0</v>
      </c>
      <c r="Z272" s="16">
        <f>IF(B272="","",B272-ApprovalDays)</f>
        <v>0</v>
      </c>
      <c r="AA272" s="23">
        <f>IF(B272="","",B272-TODAY())</f>
        <v>0</v>
      </c>
      <c r="AC272" s="29">
        <f>IF(H272="","",IF(X272="Published",IF(AB272="","Add - link missing","Yes"),"No"))</f>
        <v>0</v>
      </c>
      <c r="AD272" s="23">
        <f>IF(A272="","",IF(COUNTIF(Performance!$B$5:$B$404,A272)=0,"",SUMIFS(Performance!$O$5:$O$404,Performance!$B$5:$B$404,A272)))</f>
        <v>0</v>
      </c>
      <c r="AE272" s="23">
        <f>IF(AD272="","",SUMIFS(Performance!$Z$5:$Z$404,Performance!$B$5:$B$404,A272))</f>
        <v>0</v>
      </c>
      <c r="AF272" s="24">
        <f>IF(OR(AD272="",AD272=0),"",AE272/AD272)</f>
        <v>0</v>
      </c>
      <c r="AG272" s="23">
        <f>IF(AD272="","",SUMIFS(Performance!$U$5:$U$404,Performance!$B$5:$B$404,A272))</f>
        <v>0</v>
      </c>
      <c r="AH272" s="23">
        <f>IF(A272="","",COUNTIF(Repurposing!$B$5:$B$154,A272))</f>
        <v>0</v>
      </c>
      <c r="AI272" s="32">
        <f>IF(OR(H272="",B272=""),"",B272+ROW()/100000)</f>
        <v>0</v>
      </c>
      <c r="AJ272" s="32">
        <f>IF(OR(H272="",B272=""),"",IF(OR(X272="Published",X272="Cancelled",X272="Archived"),"",IF(B272&lt;TODAY(),"",B272+ROW()/100000)))</f>
        <v>0</v>
      </c>
      <c r="AK272" s="32">
        <f>IF(OR(H272="",B272=""),"",IF(OR(X272="Published",X272="Cancelled",X272="Archived"),"",IF(B272&gt;=TODAY(),"",B272+ROW()/100000)))</f>
        <v>0</v>
      </c>
      <c r="AL272" s="29">
        <f>IF(H272="","",IF(COUNTIFS('Content Calendar'!$H$5:$H$604,H272,'Content Calendar'!$G$5:$G$604,G272,'Content Calendar'!$B$5:$B$604,B272)&gt;1,"Duplicate","OK"))</f>
        <v>0</v>
      </c>
      <c r="AM272" s="29">
        <f>IF(H272="","",IF(AND(B272&lt;&gt;"",B272&lt;TODAY(),X272&lt;&gt;"Published",X272&lt;&gt;"Cancelled",X272&lt;&gt;"Archived"),"Overdue - date has passed",IF(AND(X272="Published",AB272=""),"Add - publish link missing",IF(AND(B272=TODAY(),X272&lt;&gt;"Published"),"Today - due to go live",IF(AND(Y272&lt;&gt;"",Y272&lt;TODAY(),OR(X272="Idea",X272="Brief",X272="In production")),"Late - draft not ready",IF(AND(AA272&gt;=0,AA272&lt;=3,OR(X272="Draft",X272="Awaiting review")),"Due - needs approval",IF(AND(H272&lt;&gt;"",P272=""),"Add - caption missing","OK")))))))</f>
        <v>0</v>
      </c>
    </row>
    <row r="273" spans="1:39">
      <c r="A273" s="41">
        <f>IF(H273="","",ContentPrefix&amp;TEXT(ROW()-4,"0000"))</f>
        <v>0</v>
      </c>
      <c r="D273" s="17">
        <f>IF(B273="","",TEXT(B273,"yyyy-mm"))</f>
        <v>0</v>
      </c>
      <c r="E273" s="23">
        <f>IF(B273="","",WEEKNUM(B273,IF(WeekStart="Sunday",1,2)))</f>
        <v>0</v>
      </c>
      <c r="F273" s="17">
        <f>IF(B273="","",TEXT(B273,"ddd"))</f>
        <v>0</v>
      </c>
      <c r="Q273" s="29">
        <f>IF(H273="","",IF(P273="","Add - no caption",IFERROR(INDEX('Caption Bank'!$R$5:$R$204,MATCH(P273,'Caption Bank'!$B$5:$B$204,0)),"Check - not in bank")))</f>
        <v>0</v>
      </c>
      <c r="S273" s="23">
        <f>IF(R273="","",COUNTIF('Hashtag Bank'!$D$5:$D$304,R273))</f>
        <v>0</v>
      </c>
      <c r="U273" s="29">
        <f>IF(H273="","",IF(T273="","Add - no asset",IFERROR(INDEX(Assets!$N$5:$N$254,MATCH(T273,Assets!$A$5:$A$254,0)),"Check - not in library")))</f>
        <v>0</v>
      </c>
      <c r="Y273" s="16">
        <f>IF(B273="","",B273-ProductionDays)</f>
        <v>0</v>
      </c>
      <c r="Z273" s="16">
        <f>IF(B273="","",B273-ApprovalDays)</f>
        <v>0</v>
      </c>
      <c r="AA273" s="23">
        <f>IF(B273="","",B273-TODAY())</f>
        <v>0</v>
      </c>
      <c r="AC273" s="29">
        <f>IF(H273="","",IF(X273="Published",IF(AB273="","Add - link missing","Yes"),"No"))</f>
        <v>0</v>
      </c>
      <c r="AD273" s="23">
        <f>IF(A273="","",IF(COUNTIF(Performance!$B$5:$B$404,A273)=0,"",SUMIFS(Performance!$O$5:$O$404,Performance!$B$5:$B$404,A273)))</f>
        <v>0</v>
      </c>
      <c r="AE273" s="23">
        <f>IF(AD273="","",SUMIFS(Performance!$Z$5:$Z$404,Performance!$B$5:$B$404,A273))</f>
        <v>0</v>
      </c>
      <c r="AF273" s="24">
        <f>IF(OR(AD273="",AD273=0),"",AE273/AD273)</f>
        <v>0</v>
      </c>
      <c r="AG273" s="23">
        <f>IF(AD273="","",SUMIFS(Performance!$U$5:$U$404,Performance!$B$5:$B$404,A273))</f>
        <v>0</v>
      </c>
      <c r="AH273" s="23">
        <f>IF(A273="","",COUNTIF(Repurposing!$B$5:$B$154,A273))</f>
        <v>0</v>
      </c>
      <c r="AI273" s="32">
        <f>IF(OR(H273="",B273=""),"",B273+ROW()/100000)</f>
        <v>0</v>
      </c>
      <c r="AJ273" s="32">
        <f>IF(OR(H273="",B273=""),"",IF(OR(X273="Published",X273="Cancelled",X273="Archived"),"",IF(B273&lt;TODAY(),"",B273+ROW()/100000)))</f>
        <v>0</v>
      </c>
      <c r="AK273" s="32">
        <f>IF(OR(H273="",B273=""),"",IF(OR(X273="Published",X273="Cancelled",X273="Archived"),"",IF(B273&gt;=TODAY(),"",B273+ROW()/100000)))</f>
        <v>0</v>
      </c>
      <c r="AL273" s="29">
        <f>IF(H273="","",IF(COUNTIFS('Content Calendar'!$H$5:$H$604,H273,'Content Calendar'!$G$5:$G$604,G273,'Content Calendar'!$B$5:$B$604,B273)&gt;1,"Duplicate","OK"))</f>
        <v>0</v>
      </c>
      <c r="AM273" s="29">
        <f>IF(H273="","",IF(AND(B273&lt;&gt;"",B273&lt;TODAY(),X273&lt;&gt;"Published",X273&lt;&gt;"Cancelled",X273&lt;&gt;"Archived"),"Overdue - date has passed",IF(AND(X273="Published",AB273=""),"Add - publish link missing",IF(AND(B273=TODAY(),X273&lt;&gt;"Published"),"Today - due to go live",IF(AND(Y273&lt;&gt;"",Y273&lt;TODAY(),OR(X273="Idea",X273="Brief",X273="In production")),"Late - draft not ready",IF(AND(AA273&gt;=0,AA273&lt;=3,OR(X273="Draft",X273="Awaiting review")),"Due - needs approval",IF(AND(H273&lt;&gt;"",P273=""),"Add - caption missing","OK")))))))</f>
        <v>0</v>
      </c>
    </row>
    <row r="274" spans="1:39">
      <c r="A274" s="41">
        <f>IF(H274="","",ContentPrefix&amp;TEXT(ROW()-4,"0000"))</f>
        <v>0</v>
      </c>
      <c r="D274" s="17">
        <f>IF(B274="","",TEXT(B274,"yyyy-mm"))</f>
        <v>0</v>
      </c>
      <c r="E274" s="23">
        <f>IF(B274="","",WEEKNUM(B274,IF(WeekStart="Sunday",1,2)))</f>
        <v>0</v>
      </c>
      <c r="F274" s="17">
        <f>IF(B274="","",TEXT(B274,"ddd"))</f>
        <v>0</v>
      </c>
      <c r="Q274" s="29">
        <f>IF(H274="","",IF(P274="","Add - no caption",IFERROR(INDEX('Caption Bank'!$R$5:$R$204,MATCH(P274,'Caption Bank'!$B$5:$B$204,0)),"Check - not in bank")))</f>
        <v>0</v>
      </c>
      <c r="S274" s="23">
        <f>IF(R274="","",COUNTIF('Hashtag Bank'!$D$5:$D$304,R274))</f>
        <v>0</v>
      </c>
      <c r="U274" s="29">
        <f>IF(H274="","",IF(T274="","Add - no asset",IFERROR(INDEX(Assets!$N$5:$N$254,MATCH(T274,Assets!$A$5:$A$254,0)),"Check - not in library")))</f>
        <v>0</v>
      </c>
      <c r="Y274" s="16">
        <f>IF(B274="","",B274-ProductionDays)</f>
        <v>0</v>
      </c>
      <c r="Z274" s="16">
        <f>IF(B274="","",B274-ApprovalDays)</f>
        <v>0</v>
      </c>
      <c r="AA274" s="23">
        <f>IF(B274="","",B274-TODAY())</f>
        <v>0</v>
      </c>
      <c r="AC274" s="29">
        <f>IF(H274="","",IF(X274="Published",IF(AB274="","Add - link missing","Yes"),"No"))</f>
        <v>0</v>
      </c>
      <c r="AD274" s="23">
        <f>IF(A274="","",IF(COUNTIF(Performance!$B$5:$B$404,A274)=0,"",SUMIFS(Performance!$O$5:$O$404,Performance!$B$5:$B$404,A274)))</f>
        <v>0</v>
      </c>
      <c r="AE274" s="23">
        <f>IF(AD274="","",SUMIFS(Performance!$Z$5:$Z$404,Performance!$B$5:$B$404,A274))</f>
        <v>0</v>
      </c>
      <c r="AF274" s="24">
        <f>IF(OR(AD274="",AD274=0),"",AE274/AD274)</f>
        <v>0</v>
      </c>
      <c r="AG274" s="23">
        <f>IF(AD274="","",SUMIFS(Performance!$U$5:$U$404,Performance!$B$5:$B$404,A274))</f>
        <v>0</v>
      </c>
      <c r="AH274" s="23">
        <f>IF(A274="","",COUNTIF(Repurposing!$B$5:$B$154,A274))</f>
        <v>0</v>
      </c>
      <c r="AI274" s="32">
        <f>IF(OR(H274="",B274=""),"",B274+ROW()/100000)</f>
        <v>0</v>
      </c>
      <c r="AJ274" s="32">
        <f>IF(OR(H274="",B274=""),"",IF(OR(X274="Published",X274="Cancelled",X274="Archived"),"",IF(B274&lt;TODAY(),"",B274+ROW()/100000)))</f>
        <v>0</v>
      </c>
      <c r="AK274" s="32">
        <f>IF(OR(H274="",B274=""),"",IF(OR(X274="Published",X274="Cancelled",X274="Archived"),"",IF(B274&gt;=TODAY(),"",B274+ROW()/100000)))</f>
        <v>0</v>
      </c>
      <c r="AL274" s="29">
        <f>IF(H274="","",IF(COUNTIFS('Content Calendar'!$H$5:$H$604,H274,'Content Calendar'!$G$5:$G$604,G274,'Content Calendar'!$B$5:$B$604,B274)&gt;1,"Duplicate","OK"))</f>
        <v>0</v>
      </c>
      <c r="AM274" s="29">
        <f>IF(H274="","",IF(AND(B274&lt;&gt;"",B274&lt;TODAY(),X274&lt;&gt;"Published",X274&lt;&gt;"Cancelled",X274&lt;&gt;"Archived"),"Overdue - date has passed",IF(AND(X274="Published",AB274=""),"Add - publish link missing",IF(AND(B274=TODAY(),X274&lt;&gt;"Published"),"Today - due to go live",IF(AND(Y274&lt;&gt;"",Y274&lt;TODAY(),OR(X274="Idea",X274="Brief",X274="In production")),"Late - draft not ready",IF(AND(AA274&gt;=0,AA274&lt;=3,OR(X274="Draft",X274="Awaiting review")),"Due - needs approval",IF(AND(H274&lt;&gt;"",P274=""),"Add - caption missing","OK")))))))</f>
        <v>0</v>
      </c>
    </row>
    <row r="275" spans="1:39">
      <c r="A275" s="41">
        <f>IF(H275="","",ContentPrefix&amp;TEXT(ROW()-4,"0000"))</f>
        <v>0</v>
      </c>
      <c r="D275" s="17">
        <f>IF(B275="","",TEXT(B275,"yyyy-mm"))</f>
        <v>0</v>
      </c>
      <c r="E275" s="23">
        <f>IF(B275="","",WEEKNUM(B275,IF(WeekStart="Sunday",1,2)))</f>
        <v>0</v>
      </c>
      <c r="F275" s="17">
        <f>IF(B275="","",TEXT(B275,"ddd"))</f>
        <v>0</v>
      </c>
      <c r="Q275" s="29">
        <f>IF(H275="","",IF(P275="","Add - no caption",IFERROR(INDEX('Caption Bank'!$R$5:$R$204,MATCH(P275,'Caption Bank'!$B$5:$B$204,0)),"Check - not in bank")))</f>
        <v>0</v>
      </c>
      <c r="S275" s="23">
        <f>IF(R275="","",COUNTIF('Hashtag Bank'!$D$5:$D$304,R275))</f>
        <v>0</v>
      </c>
      <c r="U275" s="29">
        <f>IF(H275="","",IF(T275="","Add - no asset",IFERROR(INDEX(Assets!$N$5:$N$254,MATCH(T275,Assets!$A$5:$A$254,0)),"Check - not in library")))</f>
        <v>0</v>
      </c>
      <c r="Y275" s="16">
        <f>IF(B275="","",B275-ProductionDays)</f>
        <v>0</v>
      </c>
      <c r="Z275" s="16">
        <f>IF(B275="","",B275-ApprovalDays)</f>
        <v>0</v>
      </c>
      <c r="AA275" s="23">
        <f>IF(B275="","",B275-TODAY())</f>
        <v>0</v>
      </c>
      <c r="AC275" s="29">
        <f>IF(H275="","",IF(X275="Published",IF(AB275="","Add - link missing","Yes"),"No"))</f>
        <v>0</v>
      </c>
      <c r="AD275" s="23">
        <f>IF(A275="","",IF(COUNTIF(Performance!$B$5:$B$404,A275)=0,"",SUMIFS(Performance!$O$5:$O$404,Performance!$B$5:$B$404,A275)))</f>
        <v>0</v>
      </c>
      <c r="AE275" s="23">
        <f>IF(AD275="","",SUMIFS(Performance!$Z$5:$Z$404,Performance!$B$5:$B$404,A275))</f>
        <v>0</v>
      </c>
      <c r="AF275" s="24">
        <f>IF(OR(AD275="",AD275=0),"",AE275/AD275)</f>
        <v>0</v>
      </c>
      <c r="AG275" s="23">
        <f>IF(AD275="","",SUMIFS(Performance!$U$5:$U$404,Performance!$B$5:$B$404,A275))</f>
        <v>0</v>
      </c>
      <c r="AH275" s="23">
        <f>IF(A275="","",COUNTIF(Repurposing!$B$5:$B$154,A275))</f>
        <v>0</v>
      </c>
      <c r="AI275" s="32">
        <f>IF(OR(H275="",B275=""),"",B275+ROW()/100000)</f>
        <v>0</v>
      </c>
      <c r="AJ275" s="32">
        <f>IF(OR(H275="",B275=""),"",IF(OR(X275="Published",X275="Cancelled",X275="Archived"),"",IF(B275&lt;TODAY(),"",B275+ROW()/100000)))</f>
        <v>0</v>
      </c>
      <c r="AK275" s="32">
        <f>IF(OR(H275="",B275=""),"",IF(OR(X275="Published",X275="Cancelled",X275="Archived"),"",IF(B275&gt;=TODAY(),"",B275+ROW()/100000)))</f>
        <v>0</v>
      </c>
      <c r="AL275" s="29">
        <f>IF(H275="","",IF(COUNTIFS('Content Calendar'!$H$5:$H$604,H275,'Content Calendar'!$G$5:$G$604,G275,'Content Calendar'!$B$5:$B$604,B275)&gt;1,"Duplicate","OK"))</f>
        <v>0</v>
      </c>
      <c r="AM275" s="29">
        <f>IF(H275="","",IF(AND(B275&lt;&gt;"",B275&lt;TODAY(),X275&lt;&gt;"Published",X275&lt;&gt;"Cancelled",X275&lt;&gt;"Archived"),"Overdue - date has passed",IF(AND(X275="Published",AB275=""),"Add - publish link missing",IF(AND(B275=TODAY(),X275&lt;&gt;"Published"),"Today - due to go live",IF(AND(Y275&lt;&gt;"",Y275&lt;TODAY(),OR(X275="Idea",X275="Brief",X275="In production")),"Late - draft not ready",IF(AND(AA275&gt;=0,AA275&lt;=3,OR(X275="Draft",X275="Awaiting review")),"Due - needs approval",IF(AND(H275&lt;&gt;"",P275=""),"Add - caption missing","OK")))))))</f>
        <v>0</v>
      </c>
    </row>
    <row r="276" spans="1:39">
      <c r="A276" s="41">
        <f>IF(H276="","",ContentPrefix&amp;TEXT(ROW()-4,"0000"))</f>
        <v>0</v>
      </c>
      <c r="D276" s="17">
        <f>IF(B276="","",TEXT(B276,"yyyy-mm"))</f>
        <v>0</v>
      </c>
      <c r="E276" s="23">
        <f>IF(B276="","",WEEKNUM(B276,IF(WeekStart="Sunday",1,2)))</f>
        <v>0</v>
      </c>
      <c r="F276" s="17">
        <f>IF(B276="","",TEXT(B276,"ddd"))</f>
        <v>0</v>
      </c>
      <c r="Q276" s="29">
        <f>IF(H276="","",IF(P276="","Add - no caption",IFERROR(INDEX('Caption Bank'!$R$5:$R$204,MATCH(P276,'Caption Bank'!$B$5:$B$204,0)),"Check - not in bank")))</f>
        <v>0</v>
      </c>
      <c r="S276" s="23">
        <f>IF(R276="","",COUNTIF('Hashtag Bank'!$D$5:$D$304,R276))</f>
        <v>0</v>
      </c>
      <c r="U276" s="29">
        <f>IF(H276="","",IF(T276="","Add - no asset",IFERROR(INDEX(Assets!$N$5:$N$254,MATCH(T276,Assets!$A$5:$A$254,0)),"Check - not in library")))</f>
        <v>0</v>
      </c>
      <c r="Y276" s="16">
        <f>IF(B276="","",B276-ProductionDays)</f>
        <v>0</v>
      </c>
      <c r="Z276" s="16">
        <f>IF(B276="","",B276-ApprovalDays)</f>
        <v>0</v>
      </c>
      <c r="AA276" s="23">
        <f>IF(B276="","",B276-TODAY())</f>
        <v>0</v>
      </c>
      <c r="AC276" s="29">
        <f>IF(H276="","",IF(X276="Published",IF(AB276="","Add - link missing","Yes"),"No"))</f>
        <v>0</v>
      </c>
      <c r="AD276" s="23">
        <f>IF(A276="","",IF(COUNTIF(Performance!$B$5:$B$404,A276)=0,"",SUMIFS(Performance!$O$5:$O$404,Performance!$B$5:$B$404,A276)))</f>
        <v>0</v>
      </c>
      <c r="AE276" s="23">
        <f>IF(AD276="","",SUMIFS(Performance!$Z$5:$Z$404,Performance!$B$5:$B$404,A276))</f>
        <v>0</v>
      </c>
      <c r="AF276" s="24">
        <f>IF(OR(AD276="",AD276=0),"",AE276/AD276)</f>
        <v>0</v>
      </c>
      <c r="AG276" s="23">
        <f>IF(AD276="","",SUMIFS(Performance!$U$5:$U$404,Performance!$B$5:$B$404,A276))</f>
        <v>0</v>
      </c>
      <c r="AH276" s="23">
        <f>IF(A276="","",COUNTIF(Repurposing!$B$5:$B$154,A276))</f>
        <v>0</v>
      </c>
      <c r="AI276" s="32">
        <f>IF(OR(H276="",B276=""),"",B276+ROW()/100000)</f>
        <v>0</v>
      </c>
      <c r="AJ276" s="32">
        <f>IF(OR(H276="",B276=""),"",IF(OR(X276="Published",X276="Cancelled",X276="Archived"),"",IF(B276&lt;TODAY(),"",B276+ROW()/100000)))</f>
        <v>0</v>
      </c>
      <c r="AK276" s="32">
        <f>IF(OR(H276="",B276=""),"",IF(OR(X276="Published",X276="Cancelled",X276="Archived"),"",IF(B276&gt;=TODAY(),"",B276+ROW()/100000)))</f>
        <v>0</v>
      </c>
      <c r="AL276" s="29">
        <f>IF(H276="","",IF(COUNTIFS('Content Calendar'!$H$5:$H$604,H276,'Content Calendar'!$G$5:$G$604,G276,'Content Calendar'!$B$5:$B$604,B276)&gt;1,"Duplicate","OK"))</f>
        <v>0</v>
      </c>
      <c r="AM276" s="29">
        <f>IF(H276="","",IF(AND(B276&lt;&gt;"",B276&lt;TODAY(),X276&lt;&gt;"Published",X276&lt;&gt;"Cancelled",X276&lt;&gt;"Archived"),"Overdue - date has passed",IF(AND(X276="Published",AB276=""),"Add - publish link missing",IF(AND(B276=TODAY(),X276&lt;&gt;"Published"),"Today - due to go live",IF(AND(Y276&lt;&gt;"",Y276&lt;TODAY(),OR(X276="Idea",X276="Brief",X276="In production")),"Late - draft not ready",IF(AND(AA276&gt;=0,AA276&lt;=3,OR(X276="Draft",X276="Awaiting review")),"Due - needs approval",IF(AND(H276&lt;&gt;"",P276=""),"Add - caption missing","OK")))))))</f>
        <v>0</v>
      </c>
    </row>
    <row r="277" spans="1:39">
      <c r="A277" s="41">
        <f>IF(H277="","",ContentPrefix&amp;TEXT(ROW()-4,"0000"))</f>
        <v>0</v>
      </c>
      <c r="D277" s="17">
        <f>IF(B277="","",TEXT(B277,"yyyy-mm"))</f>
        <v>0</v>
      </c>
      <c r="E277" s="23">
        <f>IF(B277="","",WEEKNUM(B277,IF(WeekStart="Sunday",1,2)))</f>
        <v>0</v>
      </c>
      <c r="F277" s="17">
        <f>IF(B277="","",TEXT(B277,"ddd"))</f>
        <v>0</v>
      </c>
      <c r="Q277" s="29">
        <f>IF(H277="","",IF(P277="","Add - no caption",IFERROR(INDEX('Caption Bank'!$R$5:$R$204,MATCH(P277,'Caption Bank'!$B$5:$B$204,0)),"Check - not in bank")))</f>
        <v>0</v>
      </c>
      <c r="S277" s="23">
        <f>IF(R277="","",COUNTIF('Hashtag Bank'!$D$5:$D$304,R277))</f>
        <v>0</v>
      </c>
      <c r="U277" s="29">
        <f>IF(H277="","",IF(T277="","Add - no asset",IFERROR(INDEX(Assets!$N$5:$N$254,MATCH(T277,Assets!$A$5:$A$254,0)),"Check - not in library")))</f>
        <v>0</v>
      </c>
      <c r="Y277" s="16">
        <f>IF(B277="","",B277-ProductionDays)</f>
        <v>0</v>
      </c>
      <c r="Z277" s="16">
        <f>IF(B277="","",B277-ApprovalDays)</f>
        <v>0</v>
      </c>
      <c r="AA277" s="23">
        <f>IF(B277="","",B277-TODAY())</f>
        <v>0</v>
      </c>
      <c r="AC277" s="29">
        <f>IF(H277="","",IF(X277="Published",IF(AB277="","Add - link missing","Yes"),"No"))</f>
        <v>0</v>
      </c>
      <c r="AD277" s="23">
        <f>IF(A277="","",IF(COUNTIF(Performance!$B$5:$B$404,A277)=0,"",SUMIFS(Performance!$O$5:$O$404,Performance!$B$5:$B$404,A277)))</f>
        <v>0</v>
      </c>
      <c r="AE277" s="23">
        <f>IF(AD277="","",SUMIFS(Performance!$Z$5:$Z$404,Performance!$B$5:$B$404,A277))</f>
        <v>0</v>
      </c>
      <c r="AF277" s="24">
        <f>IF(OR(AD277="",AD277=0),"",AE277/AD277)</f>
        <v>0</v>
      </c>
      <c r="AG277" s="23">
        <f>IF(AD277="","",SUMIFS(Performance!$U$5:$U$404,Performance!$B$5:$B$404,A277))</f>
        <v>0</v>
      </c>
      <c r="AH277" s="23">
        <f>IF(A277="","",COUNTIF(Repurposing!$B$5:$B$154,A277))</f>
        <v>0</v>
      </c>
      <c r="AI277" s="32">
        <f>IF(OR(H277="",B277=""),"",B277+ROW()/100000)</f>
        <v>0</v>
      </c>
      <c r="AJ277" s="32">
        <f>IF(OR(H277="",B277=""),"",IF(OR(X277="Published",X277="Cancelled",X277="Archived"),"",IF(B277&lt;TODAY(),"",B277+ROW()/100000)))</f>
        <v>0</v>
      </c>
      <c r="AK277" s="32">
        <f>IF(OR(H277="",B277=""),"",IF(OR(X277="Published",X277="Cancelled",X277="Archived"),"",IF(B277&gt;=TODAY(),"",B277+ROW()/100000)))</f>
        <v>0</v>
      </c>
      <c r="AL277" s="29">
        <f>IF(H277="","",IF(COUNTIFS('Content Calendar'!$H$5:$H$604,H277,'Content Calendar'!$G$5:$G$604,G277,'Content Calendar'!$B$5:$B$604,B277)&gt;1,"Duplicate","OK"))</f>
        <v>0</v>
      </c>
      <c r="AM277" s="29">
        <f>IF(H277="","",IF(AND(B277&lt;&gt;"",B277&lt;TODAY(),X277&lt;&gt;"Published",X277&lt;&gt;"Cancelled",X277&lt;&gt;"Archived"),"Overdue - date has passed",IF(AND(X277="Published",AB277=""),"Add - publish link missing",IF(AND(B277=TODAY(),X277&lt;&gt;"Published"),"Today - due to go live",IF(AND(Y277&lt;&gt;"",Y277&lt;TODAY(),OR(X277="Idea",X277="Brief",X277="In production")),"Late - draft not ready",IF(AND(AA277&gt;=0,AA277&lt;=3,OR(X277="Draft",X277="Awaiting review")),"Due - needs approval",IF(AND(H277&lt;&gt;"",P277=""),"Add - caption missing","OK")))))))</f>
        <v>0</v>
      </c>
    </row>
    <row r="278" spans="1:39">
      <c r="A278" s="41">
        <f>IF(H278="","",ContentPrefix&amp;TEXT(ROW()-4,"0000"))</f>
        <v>0</v>
      </c>
      <c r="D278" s="17">
        <f>IF(B278="","",TEXT(B278,"yyyy-mm"))</f>
        <v>0</v>
      </c>
      <c r="E278" s="23">
        <f>IF(B278="","",WEEKNUM(B278,IF(WeekStart="Sunday",1,2)))</f>
        <v>0</v>
      </c>
      <c r="F278" s="17">
        <f>IF(B278="","",TEXT(B278,"ddd"))</f>
        <v>0</v>
      </c>
      <c r="Q278" s="29">
        <f>IF(H278="","",IF(P278="","Add - no caption",IFERROR(INDEX('Caption Bank'!$R$5:$R$204,MATCH(P278,'Caption Bank'!$B$5:$B$204,0)),"Check - not in bank")))</f>
        <v>0</v>
      </c>
      <c r="S278" s="23">
        <f>IF(R278="","",COUNTIF('Hashtag Bank'!$D$5:$D$304,R278))</f>
        <v>0</v>
      </c>
      <c r="U278" s="29">
        <f>IF(H278="","",IF(T278="","Add - no asset",IFERROR(INDEX(Assets!$N$5:$N$254,MATCH(T278,Assets!$A$5:$A$254,0)),"Check - not in library")))</f>
        <v>0</v>
      </c>
      <c r="Y278" s="16">
        <f>IF(B278="","",B278-ProductionDays)</f>
        <v>0</v>
      </c>
      <c r="Z278" s="16">
        <f>IF(B278="","",B278-ApprovalDays)</f>
        <v>0</v>
      </c>
      <c r="AA278" s="23">
        <f>IF(B278="","",B278-TODAY())</f>
        <v>0</v>
      </c>
      <c r="AC278" s="29">
        <f>IF(H278="","",IF(X278="Published",IF(AB278="","Add - link missing","Yes"),"No"))</f>
        <v>0</v>
      </c>
      <c r="AD278" s="23">
        <f>IF(A278="","",IF(COUNTIF(Performance!$B$5:$B$404,A278)=0,"",SUMIFS(Performance!$O$5:$O$404,Performance!$B$5:$B$404,A278)))</f>
        <v>0</v>
      </c>
      <c r="AE278" s="23">
        <f>IF(AD278="","",SUMIFS(Performance!$Z$5:$Z$404,Performance!$B$5:$B$404,A278))</f>
        <v>0</v>
      </c>
      <c r="AF278" s="24">
        <f>IF(OR(AD278="",AD278=0),"",AE278/AD278)</f>
        <v>0</v>
      </c>
      <c r="AG278" s="23">
        <f>IF(AD278="","",SUMIFS(Performance!$U$5:$U$404,Performance!$B$5:$B$404,A278))</f>
        <v>0</v>
      </c>
      <c r="AH278" s="23">
        <f>IF(A278="","",COUNTIF(Repurposing!$B$5:$B$154,A278))</f>
        <v>0</v>
      </c>
      <c r="AI278" s="32">
        <f>IF(OR(H278="",B278=""),"",B278+ROW()/100000)</f>
        <v>0</v>
      </c>
      <c r="AJ278" s="32">
        <f>IF(OR(H278="",B278=""),"",IF(OR(X278="Published",X278="Cancelled",X278="Archived"),"",IF(B278&lt;TODAY(),"",B278+ROW()/100000)))</f>
        <v>0</v>
      </c>
      <c r="AK278" s="32">
        <f>IF(OR(H278="",B278=""),"",IF(OR(X278="Published",X278="Cancelled",X278="Archived"),"",IF(B278&gt;=TODAY(),"",B278+ROW()/100000)))</f>
        <v>0</v>
      </c>
      <c r="AL278" s="29">
        <f>IF(H278="","",IF(COUNTIFS('Content Calendar'!$H$5:$H$604,H278,'Content Calendar'!$G$5:$G$604,G278,'Content Calendar'!$B$5:$B$604,B278)&gt;1,"Duplicate","OK"))</f>
        <v>0</v>
      </c>
      <c r="AM278" s="29">
        <f>IF(H278="","",IF(AND(B278&lt;&gt;"",B278&lt;TODAY(),X278&lt;&gt;"Published",X278&lt;&gt;"Cancelled",X278&lt;&gt;"Archived"),"Overdue - date has passed",IF(AND(X278="Published",AB278=""),"Add - publish link missing",IF(AND(B278=TODAY(),X278&lt;&gt;"Published"),"Today - due to go live",IF(AND(Y278&lt;&gt;"",Y278&lt;TODAY(),OR(X278="Idea",X278="Brief",X278="In production")),"Late - draft not ready",IF(AND(AA278&gt;=0,AA278&lt;=3,OR(X278="Draft",X278="Awaiting review")),"Due - needs approval",IF(AND(H278&lt;&gt;"",P278=""),"Add - caption missing","OK")))))))</f>
        <v>0</v>
      </c>
    </row>
    <row r="279" spans="1:39">
      <c r="A279" s="41">
        <f>IF(H279="","",ContentPrefix&amp;TEXT(ROW()-4,"0000"))</f>
        <v>0</v>
      </c>
      <c r="D279" s="17">
        <f>IF(B279="","",TEXT(B279,"yyyy-mm"))</f>
        <v>0</v>
      </c>
      <c r="E279" s="23">
        <f>IF(B279="","",WEEKNUM(B279,IF(WeekStart="Sunday",1,2)))</f>
        <v>0</v>
      </c>
      <c r="F279" s="17">
        <f>IF(B279="","",TEXT(B279,"ddd"))</f>
        <v>0</v>
      </c>
      <c r="Q279" s="29">
        <f>IF(H279="","",IF(P279="","Add - no caption",IFERROR(INDEX('Caption Bank'!$R$5:$R$204,MATCH(P279,'Caption Bank'!$B$5:$B$204,0)),"Check - not in bank")))</f>
        <v>0</v>
      </c>
      <c r="S279" s="23">
        <f>IF(R279="","",COUNTIF('Hashtag Bank'!$D$5:$D$304,R279))</f>
        <v>0</v>
      </c>
      <c r="U279" s="29">
        <f>IF(H279="","",IF(T279="","Add - no asset",IFERROR(INDEX(Assets!$N$5:$N$254,MATCH(T279,Assets!$A$5:$A$254,0)),"Check - not in library")))</f>
        <v>0</v>
      </c>
      <c r="Y279" s="16">
        <f>IF(B279="","",B279-ProductionDays)</f>
        <v>0</v>
      </c>
      <c r="Z279" s="16">
        <f>IF(B279="","",B279-ApprovalDays)</f>
        <v>0</v>
      </c>
      <c r="AA279" s="23">
        <f>IF(B279="","",B279-TODAY())</f>
        <v>0</v>
      </c>
      <c r="AC279" s="29">
        <f>IF(H279="","",IF(X279="Published",IF(AB279="","Add - link missing","Yes"),"No"))</f>
        <v>0</v>
      </c>
      <c r="AD279" s="23">
        <f>IF(A279="","",IF(COUNTIF(Performance!$B$5:$B$404,A279)=0,"",SUMIFS(Performance!$O$5:$O$404,Performance!$B$5:$B$404,A279)))</f>
        <v>0</v>
      </c>
      <c r="AE279" s="23">
        <f>IF(AD279="","",SUMIFS(Performance!$Z$5:$Z$404,Performance!$B$5:$B$404,A279))</f>
        <v>0</v>
      </c>
      <c r="AF279" s="24">
        <f>IF(OR(AD279="",AD279=0),"",AE279/AD279)</f>
        <v>0</v>
      </c>
      <c r="AG279" s="23">
        <f>IF(AD279="","",SUMIFS(Performance!$U$5:$U$404,Performance!$B$5:$B$404,A279))</f>
        <v>0</v>
      </c>
      <c r="AH279" s="23">
        <f>IF(A279="","",COUNTIF(Repurposing!$B$5:$B$154,A279))</f>
        <v>0</v>
      </c>
      <c r="AI279" s="32">
        <f>IF(OR(H279="",B279=""),"",B279+ROW()/100000)</f>
        <v>0</v>
      </c>
      <c r="AJ279" s="32">
        <f>IF(OR(H279="",B279=""),"",IF(OR(X279="Published",X279="Cancelled",X279="Archived"),"",IF(B279&lt;TODAY(),"",B279+ROW()/100000)))</f>
        <v>0</v>
      </c>
      <c r="AK279" s="32">
        <f>IF(OR(H279="",B279=""),"",IF(OR(X279="Published",X279="Cancelled",X279="Archived"),"",IF(B279&gt;=TODAY(),"",B279+ROW()/100000)))</f>
        <v>0</v>
      </c>
      <c r="AL279" s="29">
        <f>IF(H279="","",IF(COUNTIFS('Content Calendar'!$H$5:$H$604,H279,'Content Calendar'!$G$5:$G$604,G279,'Content Calendar'!$B$5:$B$604,B279)&gt;1,"Duplicate","OK"))</f>
        <v>0</v>
      </c>
      <c r="AM279" s="29">
        <f>IF(H279="","",IF(AND(B279&lt;&gt;"",B279&lt;TODAY(),X279&lt;&gt;"Published",X279&lt;&gt;"Cancelled",X279&lt;&gt;"Archived"),"Overdue - date has passed",IF(AND(X279="Published",AB279=""),"Add - publish link missing",IF(AND(B279=TODAY(),X279&lt;&gt;"Published"),"Today - due to go live",IF(AND(Y279&lt;&gt;"",Y279&lt;TODAY(),OR(X279="Idea",X279="Brief",X279="In production")),"Late - draft not ready",IF(AND(AA279&gt;=0,AA279&lt;=3,OR(X279="Draft",X279="Awaiting review")),"Due - needs approval",IF(AND(H279&lt;&gt;"",P279=""),"Add - caption missing","OK")))))))</f>
        <v>0</v>
      </c>
    </row>
    <row r="280" spans="1:39">
      <c r="A280" s="41">
        <f>IF(H280="","",ContentPrefix&amp;TEXT(ROW()-4,"0000"))</f>
        <v>0</v>
      </c>
      <c r="D280" s="17">
        <f>IF(B280="","",TEXT(B280,"yyyy-mm"))</f>
        <v>0</v>
      </c>
      <c r="E280" s="23">
        <f>IF(B280="","",WEEKNUM(B280,IF(WeekStart="Sunday",1,2)))</f>
        <v>0</v>
      </c>
      <c r="F280" s="17">
        <f>IF(B280="","",TEXT(B280,"ddd"))</f>
        <v>0</v>
      </c>
      <c r="Q280" s="29">
        <f>IF(H280="","",IF(P280="","Add - no caption",IFERROR(INDEX('Caption Bank'!$R$5:$R$204,MATCH(P280,'Caption Bank'!$B$5:$B$204,0)),"Check - not in bank")))</f>
        <v>0</v>
      </c>
      <c r="S280" s="23">
        <f>IF(R280="","",COUNTIF('Hashtag Bank'!$D$5:$D$304,R280))</f>
        <v>0</v>
      </c>
      <c r="U280" s="29">
        <f>IF(H280="","",IF(T280="","Add - no asset",IFERROR(INDEX(Assets!$N$5:$N$254,MATCH(T280,Assets!$A$5:$A$254,0)),"Check - not in library")))</f>
        <v>0</v>
      </c>
      <c r="Y280" s="16">
        <f>IF(B280="","",B280-ProductionDays)</f>
        <v>0</v>
      </c>
      <c r="Z280" s="16">
        <f>IF(B280="","",B280-ApprovalDays)</f>
        <v>0</v>
      </c>
      <c r="AA280" s="23">
        <f>IF(B280="","",B280-TODAY())</f>
        <v>0</v>
      </c>
      <c r="AC280" s="29">
        <f>IF(H280="","",IF(X280="Published",IF(AB280="","Add - link missing","Yes"),"No"))</f>
        <v>0</v>
      </c>
      <c r="AD280" s="23">
        <f>IF(A280="","",IF(COUNTIF(Performance!$B$5:$B$404,A280)=0,"",SUMIFS(Performance!$O$5:$O$404,Performance!$B$5:$B$404,A280)))</f>
        <v>0</v>
      </c>
      <c r="AE280" s="23">
        <f>IF(AD280="","",SUMIFS(Performance!$Z$5:$Z$404,Performance!$B$5:$B$404,A280))</f>
        <v>0</v>
      </c>
      <c r="AF280" s="24">
        <f>IF(OR(AD280="",AD280=0),"",AE280/AD280)</f>
        <v>0</v>
      </c>
      <c r="AG280" s="23">
        <f>IF(AD280="","",SUMIFS(Performance!$U$5:$U$404,Performance!$B$5:$B$404,A280))</f>
        <v>0</v>
      </c>
      <c r="AH280" s="23">
        <f>IF(A280="","",COUNTIF(Repurposing!$B$5:$B$154,A280))</f>
        <v>0</v>
      </c>
      <c r="AI280" s="32">
        <f>IF(OR(H280="",B280=""),"",B280+ROW()/100000)</f>
        <v>0</v>
      </c>
      <c r="AJ280" s="32">
        <f>IF(OR(H280="",B280=""),"",IF(OR(X280="Published",X280="Cancelled",X280="Archived"),"",IF(B280&lt;TODAY(),"",B280+ROW()/100000)))</f>
        <v>0</v>
      </c>
      <c r="AK280" s="32">
        <f>IF(OR(H280="",B280=""),"",IF(OR(X280="Published",X280="Cancelled",X280="Archived"),"",IF(B280&gt;=TODAY(),"",B280+ROW()/100000)))</f>
        <v>0</v>
      </c>
      <c r="AL280" s="29">
        <f>IF(H280="","",IF(COUNTIFS('Content Calendar'!$H$5:$H$604,H280,'Content Calendar'!$G$5:$G$604,G280,'Content Calendar'!$B$5:$B$604,B280)&gt;1,"Duplicate","OK"))</f>
        <v>0</v>
      </c>
      <c r="AM280" s="29">
        <f>IF(H280="","",IF(AND(B280&lt;&gt;"",B280&lt;TODAY(),X280&lt;&gt;"Published",X280&lt;&gt;"Cancelled",X280&lt;&gt;"Archived"),"Overdue - date has passed",IF(AND(X280="Published",AB280=""),"Add - publish link missing",IF(AND(B280=TODAY(),X280&lt;&gt;"Published"),"Today - due to go live",IF(AND(Y280&lt;&gt;"",Y280&lt;TODAY(),OR(X280="Idea",X280="Brief",X280="In production")),"Late - draft not ready",IF(AND(AA280&gt;=0,AA280&lt;=3,OR(X280="Draft",X280="Awaiting review")),"Due - needs approval",IF(AND(H280&lt;&gt;"",P280=""),"Add - caption missing","OK")))))))</f>
        <v>0</v>
      </c>
    </row>
    <row r="281" spans="1:39">
      <c r="A281" s="41">
        <f>IF(H281="","",ContentPrefix&amp;TEXT(ROW()-4,"0000"))</f>
        <v>0</v>
      </c>
      <c r="D281" s="17">
        <f>IF(B281="","",TEXT(B281,"yyyy-mm"))</f>
        <v>0</v>
      </c>
      <c r="E281" s="23">
        <f>IF(B281="","",WEEKNUM(B281,IF(WeekStart="Sunday",1,2)))</f>
        <v>0</v>
      </c>
      <c r="F281" s="17">
        <f>IF(B281="","",TEXT(B281,"ddd"))</f>
        <v>0</v>
      </c>
      <c r="Q281" s="29">
        <f>IF(H281="","",IF(P281="","Add - no caption",IFERROR(INDEX('Caption Bank'!$R$5:$R$204,MATCH(P281,'Caption Bank'!$B$5:$B$204,0)),"Check - not in bank")))</f>
        <v>0</v>
      </c>
      <c r="S281" s="23">
        <f>IF(R281="","",COUNTIF('Hashtag Bank'!$D$5:$D$304,R281))</f>
        <v>0</v>
      </c>
      <c r="U281" s="29">
        <f>IF(H281="","",IF(T281="","Add - no asset",IFERROR(INDEX(Assets!$N$5:$N$254,MATCH(T281,Assets!$A$5:$A$254,0)),"Check - not in library")))</f>
        <v>0</v>
      </c>
      <c r="Y281" s="16">
        <f>IF(B281="","",B281-ProductionDays)</f>
        <v>0</v>
      </c>
      <c r="Z281" s="16">
        <f>IF(B281="","",B281-ApprovalDays)</f>
        <v>0</v>
      </c>
      <c r="AA281" s="23">
        <f>IF(B281="","",B281-TODAY())</f>
        <v>0</v>
      </c>
      <c r="AC281" s="29">
        <f>IF(H281="","",IF(X281="Published",IF(AB281="","Add - link missing","Yes"),"No"))</f>
        <v>0</v>
      </c>
      <c r="AD281" s="23">
        <f>IF(A281="","",IF(COUNTIF(Performance!$B$5:$B$404,A281)=0,"",SUMIFS(Performance!$O$5:$O$404,Performance!$B$5:$B$404,A281)))</f>
        <v>0</v>
      </c>
      <c r="AE281" s="23">
        <f>IF(AD281="","",SUMIFS(Performance!$Z$5:$Z$404,Performance!$B$5:$B$404,A281))</f>
        <v>0</v>
      </c>
      <c r="AF281" s="24">
        <f>IF(OR(AD281="",AD281=0),"",AE281/AD281)</f>
        <v>0</v>
      </c>
      <c r="AG281" s="23">
        <f>IF(AD281="","",SUMIFS(Performance!$U$5:$U$404,Performance!$B$5:$B$404,A281))</f>
        <v>0</v>
      </c>
      <c r="AH281" s="23">
        <f>IF(A281="","",COUNTIF(Repurposing!$B$5:$B$154,A281))</f>
        <v>0</v>
      </c>
      <c r="AI281" s="32">
        <f>IF(OR(H281="",B281=""),"",B281+ROW()/100000)</f>
        <v>0</v>
      </c>
      <c r="AJ281" s="32">
        <f>IF(OR(H281="",B281=""),"",IF(OR(X281="Published",X281="Cancelled",X281="Archived"),"",IF(B281&lt;TODAY(),"",B281+ROW()/100000)))</f>
        <v>0</v>
      </c>
      <c r="AK281" s="32">
        <f>IF(OR(H281="",B281=""),"",IF(OR(X281="Published",X281="Cancelled",X281="Archived"),"",IF(B281&gt;=TODAY(),"",B281+ROW()/100000)))</f>
        <v>0</v>
      </c>
      <c r="AL281" s="29">
        <f>IF(H281="","",IF(COUNTIFS('Content Calendar'!$H$5:$H$604,H281,'Content Calendar'!$G$5:$G$604,G281,'Content Calendar'!$B$5:$B$604,B281)&gt;1,"Duplicate","OK"))</f>
        <v>0</v>
      </c>
      <c r="AM281" s="29">
        <f>IF(H281="","",IF(AND(B281&lt;&gt;"",B281&lt;TODAY(),X281&lt;&gt;"Published",X281&lt;&gt;"Cancelled",X281&lt;&gt;"Archived"),"Overdue - date has passed",IF(AND(X281="Published",AB281=""),"Add - publish link missing",IF(AND(B281=TODAY(),X281&lt;&gt;"Published"),"Today - due to go live",IF(AND(Y281&lt;&gt;"",Y281&lt;TODAY(),OR(X281="Idea",X281="Brief",X281="In production")),"Late - draft not ready",IF(AND(AA281&gt;=0,AA281&lt;=3,OR(X281="Draft",X281="Awaiting review")),"Due - needs approval",IF(AND(H281&lt;&gt;"",P281=""),"Add - caption missing","OK")))))))</f>
        <v>0</v>
      </c>
    </row>
    <row r="282" spans="1:39">
      <c r="A282" s="41">
        <f>IF(H282="","",ContentPrefix&amp;TEXT(ROW()-4,"0000"))</f>
        <v>0</v>
      </c>
      <c r="D282" s="17">
        <f>IF(B282="","",TEXT(B282,"yyyy-mm"))</f>
        <v>0</v>
      </c>
      <c r="E282" s="23">
        <f>IF(B282="","",WEEKNUM(B282,IF(WeekStart="Sunday",1,2)))</f>
        <v>0</v>
      </c>
      <c r="F282" s="17">
        <f>IF(B282="","",TEXT(B282,"ddd"))</f>
        <v>0</v>
      </c>
      <c r="Q282" s="29">
        <f>IF(H282="","",IF(P282="","Add - no caption",IFERROR(INDEX('Caption Bank'!$R$5:$R$204,MATCH(P282,'Caption Bank'!$B$5:$B$204,0)),"Check - not in bank")))</f>
        <v>0</v>
      </c>
      <c r="S282" s="23">
        <f>IF(R282="","",COUNTIF('Hashtag Bank'!$D$5:$D$304,R282))</f>
        <v>0</v>
      </c>
      <c r="U282" s="29">
        <f>IF(H282="","",IF(T282="","Add - no asset",IFERROR(INDEX(Assets!$N$5:$N$254,MATCH(T282,Assets!$A$5:$A$254,0)),"Check - not in library")))</f>
        <v>0</v>
      </c>
      <c r="Y282" s="16">
        <f>IF(B282="","",B282-ProductionDays)</f>
        <v>0</v>
      </c>
      <c r="Z282" s="16">
        <f>IF(B282="","",B282-ApprovalDays)</f>
        <v>0</v>
      </c>
      <c r="AA282" s="23">
        <f>IF(B282="","",B282-TODAY())</f>
        <v>0</v>
      </c>
      <c r="AC282" s="29">
        <f>IF(H282="","",IF(X282="Published",IF(AB282="","Add - link missing","Yes"),"No"))</f>
        <v>0</v>
      </c>
      <c r="AD282" s="23">
        <f>IF(A282="","",IF(COUNTIF(Performance!$B$5:$B$404,A282)=0,"",SUMIFS(Performance!$O$5:$O$404,Performance!$B$5:$B$404,A282)))</f>
        <v>0</v>
      </c>
      <c r="AE282" s="23">
        <f>IF(AD282="","",SUMIFS(Performance!$Z$5:$Z$404,Performance!$B$5:$B$404,A282))</f>
        <v>0</v>
      </c>
      <c r="AF282" s="24">
        <f>IF(OR(AD282="",AD282=0),"",AE282/AD282)</f>
        <v>0</v>
      </c>
      <c r="AG282" s="23">
        <f>IF(AD282="","",SUMIFS(Performance!$U$5:$U$404,Performance!$B$5:$B$404,A282))</f>
        <v>0</v>
      </c>
      <c r="AH282" s="23">
        <f>IF(A282="","",COUNTIF(Repurposing!$B$5:$B$154,A282))</f>
        <v>0</v>
      </c>
      <c r="AI282" s="32">
        <f>IF(OR(H282="",B282=""),"",B282+ROW()/100000)</f>
        <v>0</v>
      </c>
      <c r="AJ282" s="32">
        <f>IF(OR(H282="",B282=""),"",IF(OR(X282="Published",X282="Cancelled",X282="Archived"),"",IF(B282&lt;TODAY(),"",B282+ROW()/100000)))</f>
        <v>0</v>
      </c>
      <c r="AK282" s="32">
        <f>IF(OR(H282="",B282=""),"",IF(OR(X282="Published",X282="Cancelled",X282="Archived"),"",IF(B282&gt;=TODAY(),"",B282+ROW()/100000)))</f>
        <v>0</v>
      </c>
      <c r="AL282" s="29">
        <f>IF(H282="","",IF(COUNTIFS('Content Calendar'!$H$5:$H$604,H282,'Content Calendar'!$G$5:$G$604,G282,'Content Calendar'!$B$5:$B$604,B282)&gt;1,"Duplicate","OK"))</f>
        <v>0</v>
      </c>
      <c r="AM282" s="29">
        <f>IF(H282="","",IF(AND(B282&lt;&gt;"",B282&lt;TODAY(),X282&lt;&gt;"Published",X282&lt;&gt;"Cancelled",X282&lt;&gt;"Archived"),"Overdue - date has passed",IF(AND(X282="Published",AB282=""),"Add - publish link missing",IF(AND(B282=TODAY(),X282&lt;&gt;"Published"),"Today - due to go live",IF(AND(Y282&lt;&gt;"",Y282&lt;TODAY(),OR(X282="Idea",X282="Brief",X282="In production")),"Late - draft not ready",IF(AND(AA282&gt;=0,AA282&lt;=3,OR(X282="Draft",X282="Awaiting review")),"Due - needs approval",IF(AND(H282&lt;&gt;"",P282=""),"Add - caption missing","OK")))))))</f>
        <v>0</v>
      </c>
    </row>
    <row r="283" spans="1:39">
      <c r="A283" s="41">
        <f>IF(H283="","",ContentPrefix&amp;TEXT(ROW()-4,"0000"))</f>
        <v>0</v>
      </c>
      <c r="D283" s="17">
        <f>IF(B283="","",TEXT(B283,"yyyy-mm"))</f>
        <v>0</v>
      </c>
      <c r="E283" s="23">
        <f>IF(B283="","",WEEKNUM(B283,IF(WeekStart="Sunday",1,2)))</f>
        <v>0</v>
      </c>
      <c r="F283" s="17">
        <f>IF(B283="","",TEXT(B283,"ddd"))</f>
        <v>0</v>
      </c>
      <c r="Q283" s="29">
        <f>IF(H283="","",IF(P283="","Add - no caption",IFERROR(INDEX('Caption Bank'!$R$5:$R$204,MATCH(P283,'Caption Bank'!$B$5:$B$204,0)),"Check - not in bank")))</f>
        <v>0</v>
      </c>
      <c r="S283" s="23">
        <f>IF(R283="","",COUNTIF('Hashtag Bank'!$D$5:$D$304,R283))</f>
        <v>0</v>
      </c>
      <c r="U283" s="29">
        <f>IF(H283="","",IF(T283="","Add - no asset",IFERROR(INDEX(Assets!$N$5:$N$254,MATCH(T283,Assets!$A$5:$A$254,0)),"Check - not in library")))</f>
        <v>0</v>
      </c>
      <c r="Y283" s="16">
        <f>IF(B283="","",B283-ProductionDays)</f>
        <v>0</v>
      </c>
      <c r="Z283" s="16">
        <f>IF(B283="","",B283-ApprovalDays)</f>
        <v>0</v>
      </c>
      <c r="AA283" s="23">
        <f>IF(B283="","",B283-TODAY())</f>
        <v>0</v>
      </c>
      <c r="AC283" s="29">
        <f>IF(H283="","",IF(X283="Published",IF(AB283="","Add - link missing","Yes"),"No"))</f>
        <v>0</v>
      </c>
      <c r="AD283" s="23">
        <f>IF(A283="","",IF(COUNTIF(Performance!$B$5:$B$404,A283)=0,"",SUMIFS(Performance!$O$5:$O$404,Performance!$B$5:$B$404,A283)))</f>
        <v>0</v>
      </c>
      <c r="AE283" s="23">
        <f>IF(AD283="","",SUMIFS(Performance!$Z$5:$Z$404,Performance!$B$5:$B$404,A283))</f>
        <v>0</v>
      </c>
      <c r="AF283" s="24">
        <f>IF(OR(AD283="",AD283=0),"",AE283/AD283)</f>
        <v>0</v>
      </c>
      <c r="AG283" s="23">
        <f>IF(AD283="","",SUMIFS(Performance!$U$5:$U$404,Performance!$B$5:$B$404,A283))</f>
        <v>0</v>
      </c>
      <c r="AH283" s="23">
        <f>IF(A283="","",COUNTIF(Repurposing!$B$5:$B$154,A283))</f>
        <v>0</v>
      </c>
      <c r="AI283" s="32">
        <f>IF(OR(H283="",B283=""),"",B283+ROW()/100000)</f>
        <v>0</v>
      </c>
      <c r="AJ283" s="32">
        <f>IF(OR(H283="",B283=""),"",IF(OR(X283="Published",X283="Cancelled",X283="Archived"),"",IF(B283&lt;TODAY(),"",B283+ROW()/100000)))</f>
        <v>0</v>
      </c>
      <c r="AK283" s="32">
        <f>IF(OR(H283="",B283=""),"",IF(OR(X283="Published",X283="Cancelled",X283="Archived"),"",IF(B283&gt;=TODAY(),"",B283+ROW()/100000)))</f>
        <v>0</v>
      </c>
      <c r="AL283" s="29">
        <f>IF(H283="","",IF(COUNTIFS('Content Calendar'!$H$5:$H$604,H283,'Content Calendar'!$G$5:$G$604,G283,'Content Calendar'!$B$5:$B$604,B283)&gt;1,"Duplicate","OK"))</f>
        <v>0</v>
      </c>
      <c r="AM283" s="29">
        <f>IF(H283="","",IF(AND(B283&lt;&gt;"",B283&lt;TODAY(),X283&lt;&gt;"Published",X283&lt;&gt;"Cancelled",X283&lt;&gt;"Archived"),"Overdue - date has passed",IF(AND(X283="Published",AB283=""),"Add - publish link missing",IF(AND(B283=TODAY(),X283&lt;&gt;"Published"),"Today - due to go live",IF(AND(Y283&lt;&gt;"",Y283&lt;TODAY(),OR(X283="Idea",X283="Brief",X283="In production")),"Late - draft not ready",IF(AND(AA283&gt;=0,AA283&lt;=3,OR(X283="Draft",X283="Awaiting review")),"Due - needs approval",IF(AND(H283&lt;&gt;"",P283=""),"Add - caption missing","OK")))))))</f>
        <v>0</v>
      </c>
    </row>
    <row r="284" spans="1:39">
      <c r="A284" s="41">
        <f>IF(H284="","",ContentPrefix&amp;TEXT(ROW()-4,"0000"))</f>
        <v>0</v>
      </c>
      <c r="D284" s="17">
        <f>IF(B284="","",TEXT(B284,"yyyy-mm"))</f>
        <v>0</v>
      </c>
      <c r="E284" s="23">
        <f>IF(B284="","",WEEKNUM(B284,IF(WeekStart="Sunday",1,2)))</f>
        <v>0</v>
      </c>
      <c r="F284" s="17">
        <f>IF(B284="","",TEXT(B284,"ddd"))</f>
        <v>0</v>
      </c>
      <c r="Q284" s="29">
        <f>IF(H284="","",IF(P284="","Add - no caption",IFERROR(INDEX('Caption Bank'!$R$5:$R$204,MATCH(P284,'Caption Bank'!$B$5:$B$204,0)),"Check - not in bank")))</f>
        <v>0</v>
      </c>
      <c r="S284" s="23">
        <f>IF(R284="","",COUNTIF('Hashtag Bank'!$D$5:$D$304,R284))</f>
        <v>0</v>
      </c>
      <c r="U284" s="29">
        <f>IF(H284="","",IF(T284="","Add - no asset",IFERROR(INDEX(Assets!$N$5:$N$254,MATCH(T284,Assets!$A$5:$A$254,0)),"Check - not in library")))</f>
        <v>0</v>
      </c>
      <c r="Y284" s="16">
        <f>IF(B284="","",B284-ProductionDays)</f>
        <v>0</v>
      </c>
      <c r="Z284" s="16">
        <f>IF(B284="","",B284-ApprovalDays)</f>
        <v>0</v>
      </c>
      <c r="AA284" s="23">
        <f>IF(B284="","",B284-TODAY())</f>
        <v>0</v>
      </c>
      <c r="AC284" s="29">
        <f>IF(H284="","",IF(X284="Published",IF(AB284="","Add - link missing","Yes"),"No"))</f>
        <v>0</v>
      </c>
      <c r="AD284" s="23">
        <f>IF(A284="","",IF(COUNTIF(Performance!$B$5:$B$404,A284)=0,"",SUMIFS(Performance!$O$5:$O$404,Performance!$B$5:$B$404,A284)))</f>
        <v>0</v>
      </c>
      <c r="AE284" s="23">
        <f>IF(AD284="","",SUMIFS(Performance!$Z$5:$Z$404,Performance!$B$5:$B$404,A284))</f>
        <v>0</v>
      </c>
      <c r="AF284" s="24">
        <f>IF(OR(AD284="",AD284=0),"",AE284/AD284)</f>
        <v>0</v>
      </c>
      <c r="AG284" s="23">
        <f>IF(AD284="","",SUMIFS(Performance!$U$5:$U$404,Performance!$B$5:$B$404,A284))</f>
        <v>0</v>
      </c>
      <c r="AH284" s="23">
        <f>IF(A284="","",COUNTIF(Repurposing!$B$5:$B$154,A284))</f>
        <v>0</v>
      </c>
      <c r="AI284" s="32">
        <f>IF(OR(H284="",B284=""),"",B284+ROW()/100000)</f>
        <v>0</v>
      </c>
      <c r="AJ284" s="32">
        <f>IF(OR(H284="",B284=""),"",IF(OR(X284="Published",X284="Cancelled",X284="Archived"),"",IF(B284&lt;TODAY(),"",B284+ROW()/100000)))</f>
        <v>0</v>
      </c>
      <c r="AK284" s="32">
        <f>IF(OR(H284="",B284=""),"",IF(OR(X284="Published",X284="Cancelled",X284="Archived"),"",IF(B284&gt;=TODAY(),"",B284+ROW()/100000)))</f>
        <v>0</v>
      </c>
      <c r="AL284" s="29">
        <f>IF(H284="","",IF(COUNTIFS('Content Calendar'!$H$5:$H$604,H284,'Content Calendar'!$G$5:$G$604,G284,'Content Calendar'!$B$5:$B$604,B284)&gt;1,"Duplicate","OK"))</f>
        <v>0</v>
      </c>
      <c r="AM284" s="29">
        <f>IF(H284="","",IF(AND(B284&lt;&gt;"",B284&lt;TODAY(),X284&lt;&gt;"Published",X284&lt;&gt;"Cancelled",X284&lt;&gt;"Archived"),"Overdue - date has passed",IF(AND(X284="Published",AB284=""),"Add - publish link missing",IF(AND(B284=TODAY(),X284&lt;&gt;"Published"),"Today - due to go live",IF(AND(Y284&lt;&gt;"",Y284&lt;TODAY(),OR(X284="Idea",X284="Brief",X284="In production")),"Late - draft not ready",IF(AND(AA284&gt;=0,AA284&lt;=3,OR(X284="Draft",X284="Awaiting review")),"Due - needs approval",IF(AND(H284&lt;&gt;"",P284=""),"Add - caption missing","OK")))))))</f>
        <v>0</v>
      </c>
    </row>
    <row r="285" spans="1:39">
      <c r="A285" s="41">
        <f>IF(H285="","",ContentPrefix&amp;TEXT(ROW()-4,"0000"))</f>
        <v>0</v>
      </c>
      <c r="D285" s="17">
        <f>IF(B285="","",TEXT(B285,"yyyy-mm"))</f>
        <v>0</v>
      </c>
      <c r="E285" s="23">
        <f>IF(B285="","",WEEKNUM(B285,IF(WeekStart="Sunday",1,2)))</f>
        <v>0</v>
      </c>
      <c r="F285" s="17">
        <f>IF(B285="","",TEXT(B285,"ddd"))</f>
        <v>0</v>
      </c>
      <c r="Q285" s="29">
        <f>IF(H285="","",IF(P285="","Add - no caption",IFERROR(INDEX('Caption Bank'!$R$5:$R$204,MATCH(P285,'Caption Bank'!$B$5:$B$204,0)),"Check - not in bank")))</f>
        <v>0</v>
      </c>
      <c r="S285" s="23">
        <f>IF(R285="","",COUNTIF('Hashtag Bank'!$D$5:$D$304,R285))</f>
        <v>0</v>
      </c>
      <c r="U285" s="29">
        <f>IF(H285="","",IF(T285="","Add - no asset",IFERROR(INDEX(Assets!$N$5:$N$254,MATCH(T285,Assets!$A$5:$A$254,0)),"Check - not in library")))</f>
        <v>0</v>
      </c>
      <c r="Y285" s="16">
        <f>IF(B285="","",B285-ProductionDays)</f>
        <v>0</v>
      </c>
      <c r="Z285" s="16">
        <f>IF(B285="","",B285-ApprovalDays)</f>
        <v>0</v>
      </c>
      <c r="AA285" s="23">
        <f>IF(B285="","",B285-TODAY())</f>
        <v>0</v>
      </c>
      <c r="AC285" s="29">
        <f>IF(H285="","",IF(X285="Published",IF(AB285="","Add - link missing","Yes"),"No"))</f>
        <v>0</v>
      </c>
      <c r="AD285" s="23">
        <f>IF(A285="","",IF(COUNTIF(Performance!$B$5:$B$404,A285)=0,"",SUMIFS(Performance!$O$5:$O$404,Performance!$B$5:$B$404,A285)))</f>
        <v>0</v>
      </c>
      <c r="AE285" s="23">
        <f>IF(AD285="","",SUMIFS(Performance!$Z$5:$Z$404,Performance!$B$5:$B$404,A285))</f>
        <v>0</v>
      </c>
      <c r="AF285" s="24">
        <f>IF(OR(AD285="",AD285=0),"",AE285/AD285)</f>
        <v>0</v>
      </c>
      <c r="AG285" s="23">
        <f>IF(AD285="","",SUMIFS(Performance!$U$5:$U$404,Performance!$B$5:$B$404,A285))</f>
        <v>0</v>
      </c>
      <c r="AH285" s="23">
        <f>IF(A285="","",COUNTIF(Repurposing!$B$5:$B$154,A285))</f>
        <v>0</v>
      </c>
      <c r="AI285" s="32">
        <f>IF(OR(H285="",B285=""),"",B285+ROW()/100000)</f>
        <v>0</v>
      </c>
      <c r="AJ285" s="32">
        <f>IF(OR(H285="",B285=""),"",IF(OR(X285="Published",X285="Cancelled",X285="Archived"),"",IF(B285&lt;TODAY(),"",B285+ROW()/100000)))</f>
        <v>0</v>
      </c>
      <c r="AK285" s="32">
        <f>IF(OR(H285="",B285=""),"",IF(OR(X285="Published",X285="Cancelled",X285="Archived"),"",IF(B285&gt;=TODAY(),"",B285+ROW()/100000)))</f>
        <v>0</v>
      </c>
      <c r="AL285" s="29">
        <f>IF(H285="","",IF(COUNTIFS('Content Calendar'!$H$5:$H$604,H285,'Content Calendar'!$G$5:$G$604,G285,'Content Calendar'!$B$5:$B$604,B285)&gt;1,"Duplicate","OK"))</f>
        <v>0</v>
      </c>
      <c r="AM285" s="29">
        <f>IF(H285="","",IF(AND(B285&lt;&gt;"",B285&lt;TODAY(),X285&lt;&gt;"Published",X285&lt;&gt;"Cancelled",X285&lt;&gt;"Archived"),"Overdue - date has passed",IF(AND(X285="Published",AB285=""),"Add - publish link missing",IF(AND(B285=TODAY(),X285&lt;&gt;"Published"),"Today - due to go live",IF(AND(Y285&lt;&gt;"",Y285&lt;TODAY(),OR(X285="Idea",X285="Brief",X285="In production")),"Late - draft not ready",IF(AND(AA285&gt;=0,AA285&lt;=3,OR(X285="Draft",X285="Awaiting review")),"Due - needs approval",IF(AND(H285&lt;&gt;"",P285=""),"Add - caption missing","OK")))))))</f>
        <v>0</v>
      </c>
    </row>
    <row r="286" spans="1:39">
      <c r="A286" s="41">
        <f>IF(H286="","",ContentPrefix&amp;TEXT(ROW()-4,"0000"))</f>
        <v>0</v>
      </c>
      <c r="D286" s="17">
        <f>IF(B286="","",TEXT(B286,"yyyy-mm"))</f>
        <v>0</v>
      </c>
      <c r="E286" s="23">
        <f>IF(B286="","",WEEKNUM(B286,IF(WeekStart="Sunday",1,2)))</f>
        <v>0</v>
      </c>
      <c r="F286" s="17">
        <f>IF(B286="","",TEXT(B286,"ddd"))</f>
        <v>0</v>
      </c>
      <c r="Q286" s="29">
        <f>IF(H286="","",IF(P286="","Add - no caption",IFERROR(INDEX('Caption Bank'!$R$5:$R$204,MATCH(P286,'Caption Bank'!$B$5:$B$204,0)),"Check - not in bank")))</f>
        <v>0</v>
      </c>
      <c r="S286" s="23">
        <f>IF(R286="","",COUNTIF('Hashtag Bank'!$D$5:$D$304,R286))</f>
        <v>0</v>
      </c>
      <c r="U286" s="29">
        <f>IF(H286="","",IF(T286="","Add - no asset",IFERROR(INDEX(Assets!$N$5:$N$254,MATCH(T286,Assets!$A$5:$A$254,0)),"Check - not in library")))</f>
        <v>0</v>
      </c>
      <c r="Y286" s="16">
        <f>IF(B286="","",B286-ProductionDays)</f>
        <v>0</v>
      </c>
      <c r="Z286" s="16">
        <f>IF(B286="","",B286-ApprovalDays)</f>
        <v>0</v>
      </c>
      <c r="AA286" s="23">
        <f>IF(B286="","",B286-TODAY())</f>
        <v>0</v>
      </c>
      <c r="AC286" s="29">
        <f>IF(H286="","",IF(X286="Published",IF(AB286="","Add - link missing","Yes"),"No"))</f>
        <v>0</v>
      </c>
      <c r="AD286" s="23">
        <f>IF(A286="","",IF(COUNTIF(Performance!$B$5:$B$404,A286)=0,"",SUMIFS(Performance!$O$5:$O$404,Performance!$B$5:$B$404,A286)))</f>
        <v>0</v>
      </c>
      <c r="AE286" s="23">
        <f>IF(AD286="","",SUMIFS(Performance!$Z$5:$Z$404,Performance!$B$5:$B$404,A286))</f>
        <v>0</v>
      </c>
      <c r="AF286" s="24">
        <f>IF(OR(AD286="",AD286=0),"",AE286/AD286)</f>
        <v>0</v>
      </c>
      <c r="AG286" s="23">
        <f>IF(AD286="","",SUMIFS(Performance!$U$5:$U$404,Performance!$B$5:$B$404,A286))</f>
        <v>0</v>
      </c>
      <c r="AH286" s="23">
        <f>IF(A286="","",COUNTIF(Repurposing!$B$5:$B$154,A286))</f>
        <v>0</v>
      </c>
      <c r="AI286" s="32">
        <f>IF(OR(H286="",B286=""),"",B286+ROW()/100000)</f>
        <v>0</v>
      </c>
      <c r="AJ286" s="32">
        <f>IF(OR(H286="",B286=""),"",IF(OR(X286="Published",X286="Cancelled",X286="Archived"),"",IF(B286&lt;TODAY(),"",B286+ROW()/100000)))</f>
        <v>0</v>
      </c>
      <c r="AK286" s="32">
        <f>IF(OR(H286="",B286=""),"",IF(OR(X286="Published",X286="Cancelled",X286="Archived"),"",IF(B286&gt;=TODAY(),"",B286+ROW()/100000)))</f>
        <v>0</v>
      </c>
      <c r="AL286" s="29">
        <f>IF(H286="","",IF(COUNTIFS('Content Calendar'!$H$5:$H$604,H286,'Content Calendar'!$G$5:$G$604,G286,'Content Calendar'!$B$5:$B$604,B286)&gt;1,"Duplicate","OK"))</f>
        <v>0</v>
      </c>
      <c r="AM286" s="29">
        <f>IF(H286="","",IF(AND(B286&lt;&gt;"",B286&lt;TODAY(),X286&lt;&gt;"Published",X286&lt;&gt;"Cancelled",X286&lt;&gt;"Archived"),"Overdue - date has passed",IF(AND(X286="Published",AB286=""),"Add - publish link missing",IF(AND(B286=TODAY(),X286&lt;&gt;"Published"),"Today - due to go live",IF(AND(Y286&lt;&gt;"",Y286&lt;TODAY(),OR(X286="Idea",X286="Brief",X286="In production")),"Late - draft not ready",IF(AND(AA286&gt;=0,AA286&lt;=3,OR(X286="Draft",X286="Awaiting review")),"Due - needs approval",IF(AND(H286&lt;&gt;"",P286=""),"Add - caption missing","OK")))))))</f>
        <v>0</v>
      </c>
    </row>
    <row r="287" spans="1:39">
      <c r="A287" s="41">
        <f>IF(H287="","",ContentPrefix&amp;TEXT(ROW()-4,"0000"))</f>
        <v>0</v>
      </c>
      <c r="D287" s="17">
        <f>IF(B287="","",TEXT(B287,"yyyy-mm"))</f>
        <v>0</v>
      </c>
      <c r="E287" s="23">
        <f>IF(B287="","",WEEKNUM(B287,IF(WeekStart="Sunday",1,2)))</f>
        <v>0</v>
      </c>
      <c r="F287" s="17">
        <f>IF(B287="","",TEXT(B287,"ddd"))</f>
        <v>0</v>
      </c>
      <c r="Q287" s="29">
        <f>IF(H287="","",IF(P287="","Add - no caption",IFERROR(INDEX('Caption Bank'!$R$5:$R$204,MATCH(P287,'Caption Bank'!$B$5:$B$204,0)),"Check - not in bank")))</f>
        <v>0</v>
      </c>
      <c r="S287" s="23">
        <f>IF(R287="","",COUNTIF('Hashtag Bank'!$D$5:$D$304,R287))</f>
        <v>0</v>
      </c>
      <c r="U287" s="29">
        <f>IF(H287="","",IF(T287="","Add - no asset",IFERROR(INDEX(Assets!$N$5:$N$254,MATCH(T287,Assets!$A$5:$A$254,0)),"Check - not in library")))</f>
        <v>0</v>
      </c>
      <c r="Y287" s="16">
        <f>IF(B287="","",B287-ProductionDays)</f>
        <v>0</v>
      </c>
      <c r="Z287" s="16">
        <f>IF(B287="","",B287-ApprovalDays)</f>
        <v>0</v>
      </c>
      <c r="AA287" s="23">
        <f>IF(B287="","",B287-TODAY())</f>
        <v>0</v>
      </c>
      <c r="AC287" s="29">
        <f>IF(H287="","",IF(X287="Published",IF(AB287="","Add - link missing","Yes"),"No"))</f>
        <v>0</v>
      </c>
      <c r="AD287" s="23">
        <f>IF(A287="","",IF(COUNTIF(Performance!$B$5:$B$404,A287)=0,"",SUMIFS(Performance!$O$5:$O$404,Performance!$B$5:$B$404,A287)))</f>
        <v>0</v>
      </c>
      <c r="AE287" s="23">
        <f>IF(AD287="","",SUMIFS(Performance!$Z$5:$Z$404,Performance!$B$5:$B$404,A287))</f>
        <v>0</v>
      </c>
      <c r="AF287" s="24">
        <f>IF(OR(AD287="",AD287=0),"",AE287/AD287)</f>
        <v>0</v>
      </c>
      <c r="AG287" s="23">
        <f>IF(AD287="","",SUMIFS(Performance!$U$5:$U$404,Performance!$B$5:$B$404,A287))</f>
        <v>0</v>
      </c>
      <c r="AH287" s="23">
        <f>IF(A287="","",COUNTIF(Repurposing!$B$5:$B$154,A287))</f>
        <v>0</v>
      </c>
      <c r="AI287" s="32">
        <f>IF(OR(H287="",B287=""),"",B287+ROW()/100000)</f>
        <v>0</v>
      </c>
      <c r="AJ287" s="32">
        <f>IF(OR(H287="",B287=""),"",IF(OR(X287="Published",X287="Cancelled",X287="Archived"),"",IF(B287&lt;TODAY(),"",B287+ROW()/100000)))</f>
        <v>0</v>
      </c>
      <c r="AK287" s="32">
        <f>IF(OR(H287="",B287=""),"",IF(OR(X287="Published",X287="Cancelled",X287="Archived"),"",IF(B287&gt;=TODAY(),"",B287+ROW()/100000)))</f>
        <v>0</v>
      </c>
      <c r="AL287" s="29">
        <f>IF(H287="","",IF(COUNTIFS('Content Calendar'!$H$5:$H$604,H287,'Content Calendar'!$G$5:$G$604,G287,'Content Calendar'!$B$5:$B$604,B287)&gt;1,"Duplicate","OK"))</f>
        <v>0</v>
      </c>
      <c r="AM287" s="29">
        <f>IF(H287="","",IF(AND(B287&lt;&gt;"",B287&lt;TODAY(),X287&lt;&gt;"Published",X287&lt;&gt;"Cancelled",X287&lt;&gt;"Archived"),"Overdue - date has passed",IF(AND(X287="Published",AB287=""),"Add - publish link missing",IF(AND(B287=TODAY(),X287&lt;&gt;"Published"),"Today - due to go live",IF(AND(Y287&lt;&gt;"",Y287&lt;TODAY(),OR(X287="Idea",X287="Brief",X287="In production")),"Late - draft not ready",IF(AND(AA287&gt;=0,AA287&lt;=3,OR(X287="Draft",X287="Awaiting review")),"Due - needs approval",IF(AND(H287&lt;&gt;"",P287=""),"Add - caption missing","OK")))))))</f>
        <v>0</v>
      </c>
    </row>
    <row r="288" spans="1:39">
      <c r="A288" s="41">
        <f>IF(H288="","",ContentPrefix&amp;TEXT(ROW()-4,"0000"))</f>
        <v>0</v>
      </c>
      <c r="D288" s="17">
        <f>IF(B288="","",TEXT(B288,"yyyy-mm"))</f>
        <v>0</v>
      </c>
      <c r="E288" s="23">
        <f>IF(B288="","",WEEKNUM(B288,IF(WeekStart="Sunday",1,2)))</f>
        <v>0</v>
      </c>
      <c r="F288" s="17">
        <f>IF(B288="","",TEXT(B288,"ddd"))</f>
        <v>0</v>
      </c>
      <c r="Q288" s="29">
        <f>IF(H288="","",IF(P288="","Add - no caption",IFERROR(INDEX('Caption Bank'!$R$5:$R$204,MATCH(P288,'Caption Bank'!$B$5:$B$204,0)),"Check - not in bank")))</f>
        <v>0</v>
      </c>
      <c r="S288" s="23">
        <f>IF(R288="","",COUNTIF('Hashtag Bank'!$D$5:$D$304,R288))</f>
        <v>0</v>
      </c>
      <c r="U288" s="29">
        <f>IF(H288="","",IF(T288="","Add - no asset",IFERROR(INDEX(Assets!$N$5:$N$254,MATCH(T288,Assets!$A$5:$A$254,0)),"Check - not in library")))</f>
        <v>0</v>
      </c>
      <c r="Y288" s="16">
        <f>IF(B288="","",B288-ProductionDays)</f>
        <v>0</v>
      </c>
      <c r="Z288" s="16">
        <f>IF(B288="","",B288-ApprovalDays)</f>
        <v>0</v>
      </c>
      <c r="AA288" s="23">
        <f>IF(B288="","",B288-TODAY())</f>
        <v>0</v>
      </c>
      <c r="AC288" s="29">
        <f>IF(H288="","",IF(X288="Published",IF(AB288="","Add - link missing","Yes"),"No"))</f>
        <v>0</v>
      </c>
      <c r="AD288" s="23">
        <f>IF(A288="","",IF(COUNTIF(Performance!$B$5:$B$404,A288)=0,"",SUMIFS(Performance!$O$5:$O$404,Performance!$B$5:$B$404,A288)))</f>
        <v>0</v>
      </c>
      <c r="AE288" s="23">
        <f>IF(AD288="","",SUMIFS(Performance!$Z$5:$Z$404,Performance!$B$5:$B$404,A288))</f>
        <v>0</v>
      </c>
      <c r="AF288" s="24">
        <f>IF(OR(AD288="",AD288=0),"",AE288/AD288)</f>
        <v>0</v>
      </c>
      <c r="AG288" s="23">
        <f>IF(AD288="","",SUMIFS(Performance!$U$5:$U$404,Performance!$B$5:$B$404,A288))</f>
        <v>0</v>
      </c>
      <c r="AH288" s="23">
        <f>IF(A288="","",COUNTIF(Repurposing!$B$5:$B$154,A288))</f>
        <v>0</v>
      </c>
      <c r="AI288" s="32">
        <f>IF(OR(H288="",B288=""),"",B288+ROW()/100000)</f>
        <v>0</v>
      </c>
      <c r="AJ288" s="32">
        <f>IF(OR(H288="",B288=""),"",IF(OR(X288="Published",X288="Cancelled",X288="Archived"),"",IF(B288&lt;TODAY(),"",B288+ROW()/100000)))</f>
        <v>0</v>
      </c>
      <c r="AK288" s="32">
        <f>IF(OR(H288="",B288=""),"",IF(OR(X288="Published",X288="Cancelled",X288="Archived"),"",IF(B288&gt;=TODAY(),"",B288+ROW()/100000)))</f>
        <v>0</v>
      </c>
      <c r="AL288" s="29">
        <f>IF(H288="","",IF(COUNTIFS('Content Calendar'!$H$5:$H$604,H288,'Content Calendar'!$G$5:$G$604,G288,'Content Calendar'!$B$5:$B$604,B288)&gt;1,"Duplicate","OK"))</f>
        <v>0</v>
      </c>
      <c r="AM288" s="29">
        <f>IF(H288="","",IF(AND(B288&lt;&gt;"",B288&lt;TODAY(),X288&lt;&gt;"Published",X288&lt;&gt;"Cancelled",X288&lt;&gt;"Archived"),"Overdue - date has passed",IF(AND(X288="Published",AB288=""),"Add - publish link missing",IF(AND(B288=TODAY(),X288&lt;&gt;"Published"),"Today - due to go live",IF(AND(Y288&lt;&gt;"",Y288&lt;TODAY(),OR(X288="Idea",X288="Brief",X288="In production")),"Late - draft not ready",IF(AND(AA288&gt;=0,AA288&lt;=3,OR(X288="Draft",X288="Awaiting review")),"Due - needs approval",IF(AND(H288&lt;&gt;"",P288=""),"Add - caption missing","OK")))))))</f>
        <v>0</v>
      </c>
    </row>
    <row r="289" spans="1:39">
      <c r="A289" s="41">
        <f>IF(H289="","",ContentPrefix&amp;TEXT(ROW()-4,"0000"))</f>
        <v>0</v>
      </c>
      <c r="D289" s="17">
        <f>IF(B289="","",TEXT(B289,"yyyy-mm"))</f>
        <v>0</v>
      </c>
      <c r="E289" s="23">
        <f>IF(B289="","",WEEKNUM(B289,IF(WeekStart="Sunday",1,2)))</f>
        <v>0</v>
      </c>
      <c r="F289" s="17">
        <f>IF(B289="","",TEXT(B289,"ddd"))</f>
        <v>0</v>
      </c>
      <c r="Q289" s="29">
        <f>IF(H289="","",IF(P289="","Add - no caption",IFERROR(INDEX('Caption Bank'!$R$5:$R$204,MATCH(P289,'Caption Bank'!$B$5:$B$204,0)),"Check - not in bank")))</f>
        <v>0</v>
      </c>
      <c r="S289" s="23">
        <f>IF(R289="","",COUNTIF('Hashtag Bank'!$D$5:$D$304,R289))</f>
        <v>0</v>
      </c>
      <c r="U289" s="29">
        <f>IF(H289="","",IF(T289="","Add - no asset",IFERROR(INDEX(Assets!$N$5:$N$254,MATCH(T289,Assets!$A$5:$A$254,0)),"Check - not in library")))</f>
        <v>0</v>
      </c>
      <c r="Y289" s="16">
        <f>IF(B289="","",B289-ProductionDays)</f>
        <v>0</v>
      </c>
      <c r="Z289" s="16">
        <f>IF(B289="","",B289-ApprovalDays)</f>
        <v>0</v>
      </c>
      <c r="AA289" s="23">
        <f>IF(B289="","",B289-TODAY())</f>
        <v>0</v>
      </c>
      <c r="AC289" s="29">
        <f>IF(H289="","",IF(X289="Published",IF(AB289="","Add - link missing","Yes"),"No"))</f>
        <v>0</v>
      </c>
      <c r="AD289" s="23">
        <f>IF(A289="","",IF(COUNTIF(Performance!$B$5:$B$404,A289)=0,"",SUMIFS(Performance!$O$5:$O$404,Performance!$B$5:$B$404,A289)))</f>
        <v>0</v>
      </c>
      <c r="AE289" s="23">
        <f>IF(AD289="","",SUMIFS(Performance!$Z$5:$Z$404,Performance!$B$5:$B$404,A289))</f>
        <v>0</v>
      </c>
      <c r="AF289" s="24">
        <f>IF(OR(AD289="",AD289=0),"",AE289/AD289)</f>
        <v>0</v>
      </c>
      <c r="AG289" s="23">
        <f>IF(AD289="","",SUMIFS(Performance!$U$5:$U$404,Performance!$B$5:$B$404,A289))</f>
        <v>0</v>
      </c>
      <c r="AH289" s="23">
        <f>IF(A289="","",COUNTIF(Repurposing!$B$5:$B$154,A289))</f>
        <v>0</v>
      </c>
      <c r="AI289" s="32">
        <f>IF(OR(H289="",B289=""),"",B289+ROW()/100000)</f>
        <v>0</v>
      </c>
      <c r="AJ289" s="32">
        <f>IF(OR(H289="",B289=""),"",IF(OR(X289="Published",X289="Cancelled",X289="Archived"),"",IF(B289&lt;TODAY(),"",B289+ROW()/100000)))</f>
        <v>0</v>
      </c>
      <c r="AK289" s="32">
        <f>IF(OR(H289="",B289=""),"",IF(OR(X289="Published",X289="Cancelled",X289="Archived"),"",IF(B289&gt;=TODAY(),"",B289+ROW()/100000)))</f>
        <v>0</v>
      </c>
      <c r="AL289" s="29">
        <f>IF(H289="","",IF(COUNTIFS('Content Calendar'!$H$5:$H$604,H289,'Content Calendar'!$G$5:$G$604,G289,'Content Calendar'!$B$5:$B$604,B289)&gt;1,"Duplicate","OK"))</f>
        <v>0</v>
      </c>
      <c r="AM289" s="29">
        <f>IF(H289="","",IF(AND(B289&lt;&gt;"",B289&lt;TODAY(),X289&lt;&gt;"Published",X289&lt;&gt;"Cancelled",X289&lt;&gt;"Archived"),"Overdue - date has passed",IF(AND(X289="Published",AB289=""),"Add - publish link missing",IF(AND(B289=TODAY(),X289&lt;&gt;"Published"),"Today - due to go live",IF(AND(Y289&lt;&gt;"",Y289&lt;TODAY(),OR(X289="Idea",X289="Brief",X289="In production")),"Late - draft not ready",IF(AND(AA289&gt;=0,AA289&lt;=3,OR(X289="Draft",X289="Awaiting review")),"Due - needs approval",IF(AND(H289&lt;&gt;"",P289=""),"Add - caption missing","OK")))))))</f>
        <v>0</v>
      </c>
    </row>
    <row r="290" spans="1:39">
      <c r="A290" s="41">
        <f>IF(H290="","",ContentPrefix&amp;TEXT(ROW()-4,"0000"))</f>
        <v>0</v>
      </c>
      <c r="D290" s="17">
        <f>IF(B290="","",TEXT(B290,"yyyy-mm"))</f>
        <v>0</v>
      </c>
      <c r="E290" s="23">
        <f>IF(B290="","",WEEKNUM(B290,IF(WeekStart="Sunday",1,2)))</f>
        <v>0</v>
      </c>
      <c r="F290" s="17">
        <f>IF(B290="","",TEXT(B290,"ddd"))</f>
        <v>0</v>
      </c>
      <c r="Q290" s="29">
        <f>IF(H290="","",IF(P290="","Add - no caption",IFERROR(INDEX('Caption Bank'!$R$5:$R$204,MATCH(P290,'Caption Bank'!$B$5:$B$204,0)),"Check - not in bank")))</f>
        <v>0</v>
      </c>
      <c r="S290" s="23">
        <f>IF(R290="","",COUNTIF('Hashtag Bank'!$D$5:$D$304,R290))</f>
        <v>0</v>
      </c>
      <c r="U290" s="29">
        <f>IF(H290="","",IF(T290="","Add - no asset",IFERROR(INDEX(Assets!$N$5:$N$254,MATCH(T290,Assets!$A$5:$A$254,0)),"Check - not in library")))</f>
        <v>0</v>
      </c>
      <c r="Y290" s="16">
        <f>IF(B290="","",B290-ProductionDays)</f>
        <v>0</v>
      </c>
      <c r="Z290" s="16">
        <f>IF(B290="","",B290-ApprovalDays)</f>
        <v>0</v>
      </c>
      <c r="AA290" s="23">
        <f>IF(B290="","",B290-TODAY())</f>
        <v>0</v>
      </c>
      <c r="AC290" s="29">
        <f>IF(H290="","",IF(X290="Published",IF(AB290="","Add - link missing","Yes"),"No"))</f>
        <v>0</v>
      </c>
      <c r="AD290" s="23">
        <f>IF(A290="","",IF(COUNTIF(Performance!$B$5:$B$404,A290)=0,"",SUMIFS(Performance!$O$5:$O$404,Performance!$B$5:$B$404,A290)))</f>
        <v>0</v>
      </c>
      <c r="AE290" s="23">
        <f>IF(AD290="","",SUMIFS(Performance!$Z$5:$Z$404,Performance!$B$5:$B$404,A290))</f>
        <v>0</v>
      </c>
      <c r="AF290" s="24">
        <f>IF(OR(AD290="",AD290=0),"",AE290/AD290)</f>
        <v>0</v>
      </c>
      <c r="AG290" s="23">
        <f>IF(AD290="","",SUMIFS(Performance!$U$5:$U$404,Performance!$B$5:$B$404,A290))</f>
        <v>0</v>
      </c>
      <c r="AH290" s="23">
        <f>IF(A290="","",COUNTIF(Repurposing!$B$5:$B$154,A290))</f>
        <v>0</v>
      </c>
      <c r="AI290" s="32">
        <f>IF(OR(H290="",B290=""),"",B290+ROW()/100000)</f>
        <v>0</v>
      </c>
      <c r="AJ290" s="32">
        <f>IF(OR(H290="",B290=""),"",IF(OR(X290="Published",X290="Cancelled",X290="Archived"),"",IF(B290&lt;TODAY(),"",B290+ROW()/100000)))</f>
        <v>0</v>
      </c>
      <c r="AK290" s="32">
        <f>IF(OR(H290="",B290=""),"",IF(OR(X290="Published",X290="Cancelled",X290="Archived"),"",IF(B290&gt;=TODAY(),"",B290+ROW()/100000)))</f>
        <v>0</v>
      </c>
      <c r="AL290" s="29">
        <f>IF(H290="","",IF(COUNTIFS('Content Calendar'!$H$5:$H$604,H290,'Content Calendar'!$G$5:$G$604,G290,'Content Calendar'!$B$5:$B$604,B290)&gt;1,"Duplicate","OK"))</f>
        <v>0</v>
      </c>
      <c r="AM290" s="29">
        <f>IF(H290="","",IF(AND(B290&lt;&gt;"",B290&lt;TODAY(),X290&lt;&gt;"Published",X290&lt;&gt;"Cancelled",X290&lt;&gt;"Archived"),"Overdue - date has passed",IF(AND(X290="Published",AB290=""),"Add - publish link missing",IF(AND(B290=TODAY(),X290&lt;&gt;"Published"),"Today - due to go live",IF(AND(Y290&lt;&gt;"",Y290&lt;TODAY(),OR(X290="Idea",X290="Brief",X290="In production")),"Late - draft not ready",IF(AND(AA290&gt;=0,AA290&lt;=3,OR(X290="Draft",X290="Awaiting review")),"Due - needs approval",IF(AND(H290&lt;&gt;"",P290=""),"Add - caption missing","OK")))))))</f>
        <v>0</v>
      </c>
    </row>
    <row r="291" spans="1:39">
      <c r="A291" s="41">
        <f>IF(H291="","",ContentPrefix&amp;TEXT(ROW()-4,"0000"))</f>
        <v>0</v>
      </c>
      <c r="D291" s="17">
        <f>IF(B291="","",TEXT(B291,"yyyy-mm"))</f>
        <v>0</v>
      </c>
      <c r="E291" s="23">
        <f>IF(B291="","",WEEKNUM(B291,IF(WeekStart="Sunday",1,2)))</f>
        <v>0</v>
      </c>
      <c r="F291" s="17">
        <f>IF(B291="","",TEXT(B291,"ddd"))</f>
        <v>0</v>
      </c>
      <c r="Q291" s="29">
        <f>IF(H291="","",IF(P291="","Add - no caption",IFERROR(INDEX('Caption Bank'!$R$5:$R$204,MATCH(P291,'Caption Bank'!$B$5:$B$204,0)),"Check - not in bank")))</f>
        <v>0</v>
      </c>
      <c r="S291" s="23">
        <f>IF(R291="","",COUNTIF('Hashtag Bank'!$D$5:$D$304,R291))</f>
        <v>0</v>
      </c>
      <c r="U291" s="29">
        <f>IF(H291="","",IF(T291="","Add - no asset",IFERROR(INDEX(Assets!$N$5:$N$254,MATCH(T291,Assets!$A$5:$A$254,0)),"Check - not in library")))</f>
        <v>0</v>
      </c>
      <c r="Y291" s="16">
        <f>IF(B291="","",B291-ProductionDays)</f>
        <v>0</v>
      </c>
      <c r="Z291" s="16">
        <f>IF(B291="","",B291-ApprovalDays)</f>
        <v>0</v>
      </c>
      <c r="AA291" s="23">
        <f>IF(B291="","",B291-TODAY())</f>
        <v>0</v>
      </c>
      <c r="AC291" s="29">
        <f>IF(H291="","",IF(X291="Published",IF(AB291="","Add - link missing","Yes"),"No"))</f>
        <v>0</v>
      </c>
      <c r="AD291" s="23">
        <f>IF(A291="","",IF(COUNTIF(Performance!$B$5:$B$404,A291)=0,"",SUMIFS(Performance!$O$5:$O$404,Performance!$B$5:$B$404,A291)))</f>
        <v>0</v>
      </c>
      <c r="AE291" s="23">
        <f>IF(AD291="","",SUMIFS(Performance!$Z$5:$Z$404,Performance!$B$5:$B$404,A291))</f>
        <v>0</v>
      </c>
      <c r="AF291" s="24">
        <f>IF(OR(AD291="",AD291=0),"",AE291/AD291)</f>
        <v>0</v>
      </c>
      <c r="AG291" s="23">
        <f>IF(AD291="","",SUMIFS(Performance!$U$5:$U$404,Performance!$B$5:$B$404,A291))</f>
        <v>0</v>
      </c>
      <c r="AH291" s="23">
        <f>IF(A291="","",COUNTIF(Repurposing!$B$5:$B$154,A291))</f>
        <v>0</v>
      </c>
      <c r="AI291" s="32">
        <f>IF(OR(H291="",B291=""),"",B291+ROW()/100000)</f>
        <v>0</v>
      </c>
      <c r="AJ291" s="32">
        <f>IF(OR(H291="",B291=""),"",IF(OR(X291="Published",X291="Cancelled",X291="Archived"),"",IF(B291&lt;TODAY(),"",B291+ROW()/100000)))</f>
        <v>0</v>
      </c>
      <c r="AK291" s="32">
        <f>IF(OR(H291="",B291=""),"",IF(OR(X291="Published",X291="Cancelled",X291="Archived"),"",IF(B291&gt;=TODAY(),"",B291+ROW()/100000)))</f>
        <v>0</v>
      </c>
      <c r="AL291" s="29">
        <f>IF(H291="","",IF(COUNTIFS('Content Calendar'!$H$5:$H$604,H291,'Content Calendar'!$G$5:$G$604,G291,'Content Calendar'!$B$5:$B$604,B291)&gt;1,"Duplicate","OK"))</f>
        <v>0</v>
      </c>
      <c r="AM291" s="29">
        <f>IF(H291="","",IF(AND(B291&lt;&gt;"",B291&lt;TODAY(),X291&lt;&gt;"Published",X291&lt;&gt;"Cancelled",X291&lt;&gt;"Archived"),"Overdue - date has passed",IF(AND(X291="Published",AB291=""),"Add - publish link missing",IF(AND(B291=TODAY(),X291&lt;&gt;"Published"),"Today - due to go live",IF(AND(Y291&lt;&gt;"",Y291&lt;TODAY(),OR(X291="Idea",X291="Brief",X291="In production")),"Late - draft not ready",IF(AND(AA291&gt;=0,AA291&lt;=3,OR(X291="Draft",X291="Awaiting review")),"Due - needs approval",IF(AND(H291&lt;&gt;"",P291=""),"Add - caption missing","OK")))))))</f>
        <v>0</v>
      </c>
    </row>
    <row r="292" spans="1:39">
      <c r="A292" s="41">
        <f>IF(H292="","",ContentPrefix&amp;TEXT(ROW()-4,"0000"))</f>
        <v>0</v>
      </c>
      <c r="D292" s="17">
        <f>IF(B292="","",TEXT(B292,"yyyy-mm"))</f>
        <v>0</v>
      </c>
      <c r="E292" s="23">
        <f>IF(B292="","",WEEKNUM(B292,IF(WeekStart="Sunday",1,2)))</f>
        <v>0</v>
      </c>
      <c r="F292" s="17">
        <f>IF(B292="","",TEXT(B292,"ddd"))</f>
        <v>0</v>
      </c>
      <c r="Q292" s="29">
        <f>IF(H292="","",IF(P292="","Add - no caption",IFERROR(INDEX('Caption Bank'!$R$5:$R$204,MATCH(P292,'Caption Bank'!$B$5:$B$204,0)),"Check - not in bank")))</f>
        <v>0</v>
      </c>
      <c r="S292" s="23">
        <f>IF(R292="","",COUNTIF('Hashtag Bank'!$D$5:$D$304,R292))</f>
        <v>0</v>
      </c>
      <c r="U292" s="29">
        <f>IF(H292="","",IF(T292="","Add - no asset",IFERROR(INDEX(Assets!$N$5:$N$254,MATCH(T292,Assets!$A$5:$A$254,0)),"Check - not in library")))</f>
        <v>0</v>
      </c>
      <c r="Y292" s="16">
        <f>IF(B292="","",B292-ProductionDays)</f>
        <v>0</v>
      </c>
      <c r="Z292" s="16">
        <f>IF(B292="","",B292-ApprovalDays)</f>
        <v>0</v>
      </c>
      <c r="AA292" s="23">
        <f>IF(B292="","",B292-TODAY())</f>
        <v>0</v>
      </c>
      <c r="AC292" s="29">
        <f>IF(H292="","",IF(X292="Published",IF(AB292="","Add - link missing","Yes"),"No"))</f>
        <v>0</v>
      </c>
      <c r="AD292" s="23">
        <f>IF(A292="","",IF(COUNTIF(Performance!$B$5:$B$404,A292)=0,"",SUMIFS(Performance!$O$5:$O$404,Performance!$B$5:$B$404,A292)))</f>
        <v>0</v>
      </c>
      <c r="AE292" s="23">
        <f>IF(AD292="","",SUMIFS(Performance!$Z$5:$Z$404,Performance!$B$5:$B$404,A292))</f>
        <v>0</v>
      </c>
      <c r="AF292" s="24">
        <f>IF(OR(AD292="",AD292=0),"",AE292/AD292)</f>
        <v>0</v>
      </c>
      <c r="AG292" s="23">
        <f>IF(AD292="","",SUMIFS(Performance!$U$5:$U$404,Performance!$B$5:$B$404,A292))</f>
        <v>0</v>
      </c>
      <c r="AH292" s="23">
        <f>IF(A292="","",COUNTIF(Repurposing!$B$5:$B$154,A292))</f>
        <v>0</v>
      </c>
      <c r="AI292" s="32">
        <f>IF(OR(H292="",B292=""),"",B292+ROW()/100000)</f>
        <v>0</v>
      </c>
      <c r="AJ292" s="32">
        <f>IF(OR(H292="",B292=""),"",IF(OR(X292="Published",X292="Cancelled",X292="Archived"),"",IF(B292&lt;TODAY(),"",B292+ROW()/100000)))</f>
        <v>0</v>
      </c>
      <c r="AK292" s="32">
        <f>IF(OR(H292="",B292=""),"",IF(OR(X292="Published",X292="Cancelled",X292="Archived"),"",IF(B292&gt;=TODAY(),"",B292+ROW()/100000)))</f>
        <v>0</v>
      </c>
      <c r="AL292" s="29">
        <f>IF(H292="","",IF(COUNTIFS('Content Calendar'!$H$5:$H$604,H292,'Content Calendar'!$G$5:$G$604,G292,'Content Calendar'!$B$5:$B$604,B292)&gt;1,"Duplicate","OK"))</f>
        <v>0</v>
      </c>
      <c r="AM292" s="29">
        <f>IF(H292="","",IF(AND(B292&lt;&gt;"",B292&lt;TODAY(),X292&lt;&gt;"Published",X292&lt;&gt;"Cancelled",X292&lt;&gt;"Archived"),"Overdue - date has passed",IF(AND(X292="Published",AB292=""),"Add - publish link missing",IF(AND(B292=TODAY(),X292&lt;&gt;"Published"),"Today - due to go live",IF(AND(Y292&lt;&gt;"",Y292&lt;TODAY(),OR(X292="Idea",X292="Brief",X292="In production")),"Late - draft not ready",IF(AND(AA292&gt;=0,AA292&lt;=3,OR(X292="Draft",X292="Awaiting review")),"Due - needs approval",IF(AND(H292&lt;&gt;"",P292=""),"Add - caption missing","OK")))))))</f>
        <v>0</v>
      </c>
    </row>
    <row r="293" spans="1:39">
      <c r="A293" s="41">
        <f>IF(H293="","",ContentPrefix&amp;TEXT(ROW()-4,"0000"))</f>
        <v>0</v>
      </c>
      <c r="D293" s="17">
        <f>IF(B293="","",TEXT(B293,"yyyy-mm"))</f>
        <v>0</v>
      </c>
      <c r="E293" s="23">
        <f>IF(B293="","",WEEKNUM(B293,IF(WeekStart="Sunday",1,2)))</f>
        <v>0</v>
      </c>
      <c r="F293" s="17">
        <f>IF(B293="","",TEXT(B293,"ddd"))</f>
        <v>0</v>
      </c>
      <c r="Q293" s="29">
        <f>IF(H293="","",IF(P293="","Add - no caption",IFERROR(INDEX('Caption Bank'!$R$5:$R$204,MATCH(P293,'Caption Bank'!$B$5:$B$204,0)),"Check - not in bank")))</f>
        <v>0</v>
      </c>
      <c r="S293" s="23">
        <f>IF(R293="","",COUNTIF('Hashtag Bank'!$D$5:$D$304,R293))</f>
        <v>0</v>
      </c>
      <c r="U293" s="29">
        <f>IF(H293="","",IF(T293="","Add - no asset",IFERROR(INDEX(Assets!$N$5:$N$254,MATCH(T293,Assets!$A$5:$A$254,0)),"Check - not in library")))</f>
        <v>0</v>
      </c>
      <c r="Y293" s="16">
        <f>IF(B293="","",B293-ProductionDays)</f>
        <v>0</v>
      </c>
      <c r="Z293" s="16">
        <f>IF(B293="","",B293-ApprovalDays)</f>
        <v>0</v>
      </c>
      <c r="AA293" s="23">
        <f>IF(B293="","",B293-TODAY())</f>
        <v>0</v>
      </c>
      <c r="AC293" s="29">
        <f>IF(H293="","",IF(X293="Published",IF(AB293="","Add - link missing","Yes"),"No"))</f>
        <v>0</v>
      </c>
      <c r="AD293" s="23">
        <f>IF(A293="","",IF(COUNTIF(Performance!$B$5:$B$404,A293)=0,"",SUMIFS(Performance!$O$5:$O$404,Performance!$B$5:$B$404,A293)))</f>
        <v>0</v>
      </c>
      <c r="AE293" s="23">
        <f>IF(AD293="","",SUMIFS(Performance!$Z$5:$Z$404,Performance!$B$5:$B$404,A293))</f>
        <v>0</v>
      </c>
      <c r="AF293" s="24">
        <f>IF(OR(AD293="",AD293=0),"",AE293/AD293)</f>
        <v>0</v>
      </c>
      <c r="AG293" s="23">
        <f>IF(AD293="","",SUMIFS(Performance!$U$5:$U$404,Performance!$B$5:$B$404,A293))</f>
        <v>0</v>
      </c>
      <c r="AH293" s="23">
        <f>IF(A293="","",COUNTIF(Repurposing!$B$5:$B$154,A293))</f>
        <v>0</v>
      </c>
      <c r="AI293" s="32">
        <f>IF(OR(H293="",B293=""),"",B293+ROW()/100000)</f>
        <v>0</v>
      </c>
      <c r="AJ293" s="32">
        <f>IF(OR(H293="",B293=""),"",IF(OR(X293="Published",X293="Cancelled",X293="Archived"),"",IF(B293&lt;TODAY(),"",B293+ROW()/100000)))</f>
        <v>0</v>
      </c>
      <c r="AK293" s="32">
        <f>IF(OR(H293="",B293=""),"",IF(OR(X293="Published",X293="Cancelled",X293="Archived"),"",IF(B293&gt;=TODAY(),"",B293+ROW()/100000)))</f>
        <v>0</v>
      </c>
      <c r="AL293" s="29">
        <f>IF(H293="","",IF(COUNTIFS('Content Calendar'!$H$5:$H$604,H293,'Content Calendar'!$G$5:$G$604,G293,'Content Calendar'!$B$5:$B$604,B293)&gt;1,"Duplicate","OK"))</f>
        <v>0</v>
      </c>
      <c r="AM293" s="29">
        <f>IF(H293="","",IF(AND(B293&lt;&gt;"",B293&lt;TODAY(),X293&lt;&gt;"Published",X293&lt;&gt;"Cancelled",X293&lt;&gt;"Archived"),"Overdue - date has passed",IF(AND(X293="Published",AB293=""),"Add - publish link missing",IF(AND(B293=TODAY(),X293&lt;&gt;"Published"),"Today - due to go live",IF(AND(Y293&lt;&gt;"",Y293&lt;TODAY(),OR(X293="Idea",X293="Brief",X293="In production")),"Late - draft not ready",IF(AND(AA293&gt;=0,AA293&lt;=3,OR(X293="Draft",X293="Awaiting review")),"Due - needs approval",IF(AND(H293&lt;&gt;"",P293=""),"Add - caption missing","OK")))))))</f>
        <v>0</v>
      </c>
    </row>
    <row r="294" spans="1:39">
      <c r="A294" s="41">
        <f>IF(H294="","",ContentPrefix&amp;TEXT(ROW()-4,"0000"))</f>
        <v>0</v>
      </c>
      <c r="D294" s="17">
        <f>IF(B294="","",TEXT(B294,"yyyy-mm"))</f>
        <v>0</v>
      </c>
      <c r="E294" s="23">
        <f>IF(B294="","",WEEKNUM(B294,IF(WeekStart="Sunday",1,2)))</f>
        <v>0</v>
      </c>
      <c r="F294" s="17">
        <f>IF(B294="","",TEXT(B294,"ddd"))</f>
        <v>0</v>
      </c>
      <c r="Q294" s="29">
        <f>IF(H294="","",IF(P294="","Add - no caption",IFERROR(INDEX('Caption Bank'!$R$5:$R$204,MATCH(P294,'Caption Bank'!$B$5:$B$204,0)),"Check - not in bank")))</f>
        <v>0</v>
      </c>
      <c r="S294" s="23">
        <f>IF(R294="","",COUNTIF('Hashtag Bank'!$D$5:$D$304,R294))</f>
        <v>0</v>
      </c>
      <c r="U294" s="29">
        <f>IF(H294="","",IF(T294="","Add - no asset",IFERROR(INDEX(Assets!$N$5:$N$254,MATCH(T294,Assets!$A$5:$A$254,0)),"Check - not in library")))</f>
        <v>0</v>
      </c>
      <c r="Y294" s="16">
        <f>IF(B294="","",B294-ProductionDays)</f>
        <v>0</v>
      </c>
      <c r="Z294" s="16">
        <f>IF(B294="","",B294-ApprovalDays)</f>
        <v>0</v>
      </c>
      <c r="AA294" s="23">
        <f>IF(B294="","",B294-TODAY())</f>
        <v>0</v>
      </c>
      <c r="AC294" s="29">
        <f>IF(H294="","",IF(X294="Published",IF(AB294="","Add - link missing","Yes"),"No"))</f>
        <v>0</v>
      </c>
      <c r="AD294" s="23">
        <f>IF(A294="","",IF(COUNTIF(Performance!$B$5:$B$404,A294)=0,"",SUMIFS(Performance!$O$5:$O$404,Performance!$B$5:$B$404,A294)))</f>
        <v>0</v>
      </c>
      <c r="AE294" s="23">
        <f>IF(AD294="","",SUMIFS(Performance!$Z$5:$Z$404,Performance!$B$5:$B$404,A294))</f>
        <v>0</v>
      </c>
      <c r="AF294" s="24">
        <f>IF(OR(AD294="",AD294=0),"",AE294/AD294)</f>
        <v>0</v>
      </c>
      <c r="AG294" s="23">
        <f>IF(AD294="","",SUMIFS(Performance!$U$5:$U$404,Performance!$B$5:$B$404,A294))</f>
        <v>0</v>
      </c>
      <c r="AH294" s="23">
        <f>IF(A294="","",COUNTIF(Repurposing!$B$5:$B$154,A294))</f>
        <v>0</v>
      </c>
      <c r="AI294" s="32">
        <f>IF(OR(H294="",B294=""),"",B294+ROW()/100000)</f>
        <v>0</v>
      </c>
      <c r="AJ294" s="32">
        <f>IF(OR(H294="",B294=""),"",IF(OR(X294="Published",X294="Cancelled",X294="Archived"),"",IF(B294&lt;TODAY(),"",B294+ROW()/100000)))</f>
        <v>0</v>
      </c>
      <c r="AK294" s="32">
        <f>IF(OR(H294="",B294=""),"",IF(OR(X294="Published",X294="Cancelled",X294="Archived"),"",IF(B294&gt;=TODAY(),"",B294+ROW()/100000)))</f>
        <v>0</v>
      </c>
      <c r="AL294" s="29">
        <f>IF(H294="","",IF(COUNTIFS('Content Calendar'!$H$5:$H$604,H294,'Content Calendar'!$G$5:$G$604,G294,'Content Calendar'!$B$5:$B$604,B294)&gt;1,"Duplicate","OK"))</f>
        <v>0</v>
      </c>
      <c r="AM294" s="29">
        <f>IF(H294="","",IF(AND(B294&lt;&gt;"",B294&lt;TODAY(),X294&lt;&gt;"Published",X294&lt;&gt;"Cancelled",X294&lt;&gt;"Archived"),"Overdue - date has passed",IF(AND(X294="Published",AB294=""),"Add - publish link missing",IF(AND(B294=TODAY(),X294&lt;&gt;"Published"),"Today - due to go live",IF(AND(Y294&lt;&gt;"",Y294&lt;TODAY(),OR(X294="Idea",X294="Brief",X294="In production")),"Late - draft not ready",IF(AND(AA294&gt;=0,AA294&lt;=3,OR(X294="Draft",X294="Awaiting review")),"Due - needs approval",IF(AND(H294&lt;&gt;"",P294=""),"Add - caption missing","OK")))))))</f>
        <v>0</v>
      </c>
    </row>
    <row r="295" spans="1:39">
      <c r="A295" s="41">
        <f>IF(H295="","",ContentPrefix&amp;TEXT(ROW()-4,"0000"))</f>
        <v>0</v>
      </c>
      <c r="D295" s="17">
        <f>IF(B295="","",TEXT(B295,"yyyy-mm"))</f>
        <v>0</v>
      </c>
      <c r="E295" s="23">
        <f>IF(B295="","",WEEKNUM(B295,IF(WeekStart="Sunday",1,2)))</f>
        <v>0</v>
      </c>
      <c r="F295" s="17">
        <f>IF(B295="","",TEXT(B295,"ddd"))</f>
        <v>0</v>
      </c>
      <c r="Q295" s="29">
        <f>IF(H295="","",IF(P295="","Add - no caption",IFERROR(INDEX('Caption Bank'!$R$5:$R$204,MATCH(P295,'Caption Bank'!$B$5:$B$204,0)),"Check - not in bank")))</f>
        <v>0</v>
      </c>
      <c r="S295" s="23">
        <f>IF(R295="","",COUNTIF('Hashtag Bank'!$D$5:$D$304,R295))</f>
        <v>0</v>
      </c>
      <c r="U295" s="29">
        <f>IF(H295="","",IF(T295="","Add - no asset",IFERROR(INDEX(Assets!$N$5:$N$254,MATCH(T295,Assets!$A$5:$A$254,0)),"Check - not in library")))</f>
        <v>0</v>
      </c>
      <c r="Y295" s="16">
        <f>IF(B295="","",B295-ProductionDays)</f>
        <v>0</v>
      </c>
      <c r="Z295" s="16">
        <f>IF(B295="","",B295-ApprovalDays)</f>
        <v>0</v>
      </c>
      <c r="AA295" s="23">
        <f>IF(B295="","",B295-TODAY())</f>
        <v>0</v>
      </c>
      <c r="AC295" s="29">
        <f>IF(H295="","",IF(X295="Published",IF(AB295="","Add - link missing","Yes"),"No"))</f>
        <v>0</v>
      </c>
      <c r="AD295" s="23">
        <f>IF(A295="","",IF(COUNTIF(Performance!$B$5:$B$404,A295)=0,"",SUMIFS(Performance!$O$5:$O$404,Performance!$B$5:$B$404,A295)))</f>
        <v>0</v>
      </c>
      <c r="AE295" s="23">
        <f>IF(AD295="","",SUMIFS(Performance!$Z$5:$Z$404,Performance!$B$5:$B$404,A295))</f>
        <v>0</v>
      </c>
      <c r="AF295" s="24">
        <f>IF(OR(AD295="",AD295=0),"",AE295/AD295)</f>
        <v>0</v>
      </c>
      <c r="AG295" s="23">
        <f>IF(AD295="","",SUMIFS(Performance!$U$5:$U$404,Performance!$B$5:$B$404,A295))</f>
        <v>0</v>
      </c>
      <c r="AH295" s="23">
        <f>IF(A295="","",COUNTIF(Repurposing!$B$5:$B$154,A295))</f>
        <v>0</v>
      </c>
      <c r="AI295" s="32">
        <f>IF(OR(H295="",B295=""),"",B295+ROW()/100000)</f>
        <v>0</v>
      </c>
      <c r="AJ295" s="32">
        <f>IF(OR(H295="",B295=""),"",IF(OR(X295="Published",X295="Cancelled",X295="Archived"),"",IF(B295&lt;TODAY(),"",B295+ROW()/100000)))</f>
        <v>0</v>
      </c>
      <c r="AK295" s="32">
        <f>IF(OR(H295="",B295=""),"",IF(OR(X295="Published",X295="Cancelled",X295="Archived"),"",IF(B295&gt;=TODAY(),"",B295+ROW()/100000)))</f>
        <v>0</v>
      </c>
      <c r="AL295" s="29">
        <f>IF(H295="","",IF(COUNTIFS('Content Calendar'!$H$5:$H$604,H295,'Content Calendar'!$G$5:$G$604,G295,'Content Calendar'!$B$5:$B$604,B295)&gt;1,"Duplicate","OK"))</f>
        <v>0</v>
      </c>
      <c r="AM295" s="29">
        <f>IF(H295="","",IF(AND(B295&lt;&gt;"",B295&lt;TODAY(),X295&lt;&gt;"Published",X295&lt;&gt;"Cancelled",X295&lt;&gt;"Archived"),"Overdue - date has passed",IF(AND(X295="Published",AB295=""),"Add - publish link missing",IF(AND(B295=TODAY(),X295&lt;&gt;"Published"),"Today - due to go live",IF(AND(Y295&lt;&gt;"",Y295&lt;TODAY(),OR(X295="Idea",X295="Brief",X295="In production")),"Late - draft not ready",IF(AND(AA295&gt;=0,AA295&lt;=3,OR(X295="Draft",X295="Awaiting review")),"Due - needs approval",IF(AND(H295&lt;&gt;"",P295=""),"Add - caption missing","OK")))))))</f>
        <v>0</v>
      </c>
    </row>
    <row r="296" spans="1:39">
      <c r="A296" s="41">
        <f>IF(H296="","",ContentPrefix&amp;TEXT(ROW()-4,"0000"))</f>
        <v>0</v>
      </c>
      <c r="D296" s="17">
        <f>IF(B296="","",TEXT(B296,"yyyy-mm"))</f>
        <v>0</v>
      </c>
      <c r="E296" s="23">
        <f>IF(B296="","",WEEKNUM(B296,IF(WeekStart="Sunday",1,2)))</f>
        <v>0</v>
      </c>
      <c r="F296" s="17">
        <f>IF(B296="","",TEXT(B296,"ddd"))</f>
        <v>0</v>
      </c>
      <c r="Q296" s="29">
        <f>IF(H296="","",IF(P296="","Add - no caption",IFERROR(INDEX('Caption Bank'!$R$5:$R$204,MATCH(P296,'Caption Bank'!$B$5:$B$204,0)),"Check - not in bank")))</f>
        <v>0</v>
      </c>
      <c r="S296" s="23">
        <f>IF(R296="","",COUNTIF('Hashtag Bank'!$D$5:$D$304,R296))</f>
        <v>0</v>
      </c>
      <c r="U296" s="29">
        <f>IF(H296="","",IF(T296="","Add - no asset",IFERROR(INDEX(Assets!$N$5:$N$254,MATCH(T296,Assets!$A$5:$A$254,0)),"Check - not in library")))</f>
        <v>0</v>
      </c>
      <c r="Y296" s="16">
        <f>IF(B296="","",B296-ProductionDays)</f>
        <v>0</v>
      </c>
      <c r="Z296" s="16">
        <f>IF(B296="","",B296-ApprovalDays)</f>
        <v>0</v>
      </c>
      <c r="AA296" s="23">
        <f>IF(B296="","",B296-TODAY())</f>
        <v>0</v>
      </c>
      <c r="AC296" s="29">
        <f>IF(H296="","",IF(X296="Published",IF(AB296="","Add - link missing","Yes"),"No"))</f>
        <v>0</v>
      </c>
      <c r="AD296" s="23">
        <f>IF(A296="","",IF(COUNTIF(Performance!$B$5:$B$404,A296)=0,"",SUMIFS(Performance!$O$5:$O$404,Performance!$B$5:$B$404,A296)))</f>
        <v>0</v>
      </c>
      <c r="AE296" s="23">
        <f>IF(AD296="","",SUMIFS(Performance!$Z$5:$Z$404,Performance!$B$5:$B$404,A296))</f>
        <v>0</v>
      </c>
      <c r="AF296" s="24">
        <f>IF(OR(AD296="",AD296=0),"",AE296/AD296)</f>
        <v>0</v>
      </c>
      <c r="AG296" s="23">
        <f>IF(AD296="","",SUMIFS(Performance!$U$5:$U$404,Performance!$B$5:$B$404,A296))</f>
        <v>0</v>
      </c>
      <c r="AH296" s="23">
        <f>IF(A296="","",COUNTIF(Repurposing!$B$5:$B$154,A296))</f>
        <v>0</v>
      </c>
      <c r="AI296" s="32">
        <f>IF(OR(H296="",B296=""),"",B296+ROW()/100000)</f>
        <v>0</v>
      </c>
      <c r="AJ296" s="32">
        <f>IF(OR(H296="",B296=""),"",IF(OR(X296="Published",X296="Cancelled",X296="Archived"),"",IF(B296&lt;TODAY(),"",B296+ROW()/100000)))</f>
        <v>0</v>
      </c>
      <c r="AK296" s="32">
        <f>IF(OR(H296="",B296=""),"",IF(OR(X296="Published",X296="Cancelled",X296="Archived"),"",IF(B296&gt;=TODAY(),"",B296+ROW()/100000)))</f>
        <v>0</v>
      </c>
      <c r="AL296" s="29">
        <f>IF(H296="","",IF(COUNTIFS('Content Calendar'!$H$5:$H$604,H296,'Content Calendar'!$G$5:$G$604,G296,'Content Calendar'!$B$5:$B$604,B296)&gt;1,"Duplicate","OK"))</f>
        <v>0</v>
      </c>
      <c r="AM296" s="29">
        <f>IF(H296="","",IF(AND(B296&lt;&gt;"",B296&lt;TODAY(),X296&lt;&gt;"Published",X296&lt;&gt;"Cancelled",X296&lt;&gt;"Archived"),"Overdue - date has passed",IF(AND(X296="Published",AB296=""),"Add - publish link missing",IF(AND(B296=TODAY(),X296&lt;&gt;"Published"),"Today - due to go live",IF(AND(Y296&lt;&gt;"",Y296&lt;TODAY(),OR(X296="Idea",X296="Brief",X296="In production")),"Late - draft not ready",IF(AND(AA296&gt;=0,AA296&lt;=3,OR(X296="Draft",X296="Awaiting review")),"Due - needs approval",IF(AND(H296&lt;&gt;"",P296=""),"Add - caption missing","OK")))))))</f>
        <v>0</v>
      </c>
    </row>
    <row r="297" spans="1:39">
      <c r="A297" s="41">
        <f>IF(H297="","",ContentPrefix&amp;TEXT(ROW()-4,"0000"))</f>
        <v>0</v>
      </c>
      <c r="D297" s="17">
        <f>IF(B297="","",TEXT(B297,"yyyy-mm"))</f>
        <v>0</v>
      </c>
      <c r="E297" s="23">
        <f>IF(B297="","",WEEKNUM(B297,IF(WeekStart="Sunday",1,2)))</f>
        <v>0</v>
      </c>
      <c r="F297" s="17">
        <f>IF(B297="","",TEXT(B297,"ddd"))</f>
        <v>0</v>
      </c>
      <c r="Q297" s="29">
        <f>IF(H297="","",IF(P297="","Add - no caption",IFERROR(INDEX('Caption Bank'!$R$5:$R$204,MATCH(P297,'Caption Bank'!$B$5:$B$204,0)),"Check - not in bank")))</f>
        <v>0</v>
      </c>
      <c r="S297" s="23">
        <f>IF(R297="","",COUNTIF('Hashtag Bank'!$D$5:$D$304,R297))</f>
        <v>0</v>
      </c>
      <c r="U297" s="29">
        <f>IF(H297="","",IF(T297="","Add - no asset",IFERROR(INDEX(Assets!$N$5:$N$254,MATCH(T297,Assets!$A$5:$A$254,0)),"Check - not in library")))</f>
        <v>0</v>
      </c>
      <c r="Y297" s="16">
        <f>IF(B297="","",B297-ProductionDays)</f>
        <v>0</v>
      </c>
      <c r="Z297" s="16">
        <f>IF(B297="","",B297-ApprovalDays)</f>
        <v>0</v>
      </c>
      <c r="AA297" s="23">
        <f>IF(B297="","",B297-TODAY())</f>
        <v>0</v>
      </c>
      <c r="AC297" s="29">
        <f>IF(H297="","",IF(X297="Published",IF(AB297="","Add - link missing","Yes"),"No"))</f>
        <v>0</v>
      </c>
      <c r="AD297" s="23">
        <f>IF(A297="","",IF(COUNTIF(Performance!$B$5:$B$404,A297)=0,"",SUMIFS(Performance!$O$5:$O$404,Performance!$B$5:$B$404,A297)))</f>
        <v>0</v>
      </c>
      <c r="AE297" s="23">
        <f>IF(AD297="","",SUMIFS(Performance!$Z$5:$Z$404,Performance!$B$5:$B$404,A297))</f>
        <v>0</v>
      </c>
      <c r="AF297" s="24">
        <f>IF(OR(AD297="",AD297=0),"",AE297/AD297)</f>
        <v>0</v>
      </c>
      <c r="AG297" s="23">
        <f>IF(AD297="","",SUMIFS(Performance!$U$5:$U$404,Performance!$B$5:$B$404,A297))</f>
        <v>0</v>
      </c>
      <c r="AH297" s="23">
        <f>IF(A297="","",COUNTIF(Repurposing!$B$5:$B$154,A297))</f>
        <v>0</v>
      </c>
      <c r="AI297" s="32">
        <f>IF(OR(H297="",B297=""),"",B297+ROW()/100000)</f>
        <v>0</v>
      </c>
      <c r="AJ297" s="32">
        <f>IF(OR(H297="",B297=""),"",IF(OR(X297="Published",X297="Cancelled",X297="Archived"),"",IF(B297&lt;TODAY(),"",B297+ROW()/100000)))</f>
        <v>0</v>
      </c>
      <c r="AK297" s="32">
        <f>IF(OR(H297="",B297=""),"",IF(OR(X297="Published",X297="Cancelled",X297="Archived"),"",IF(B297&gt;=TODAY(),"",B297+ROW()/100000)))</f>
        <v>0</v>
      </c>
      <c r="AL297" s="29">
        <f>IF(H297="","",IF(COUNTIFS('Content Calendar'!$H$5:$H$604,H297,'Content Calendar'!$G$5:$G$604,G297,'Content Calendar'!$B$5:$B$604,B297)&gt;1,"Duplicate","OK"))</f>
        <v>0</v>
      </c>
      <c r="AM297" s="29">
        <f>IF(H297="","",IF(AND(B297&lt;&gt;"",B297&lt;TODAY(),X297&lt;&gt;"Published",X297&lt;&gt;"Cancelled",X297&lt;&gt;"Archived"),"Overdue - date has passed",IF(AND(X297="Published",AB297=""),"Add - publish link missing",IF(AND(B297=TODAY(),X297&lt;&gt;"Published"),"Today - due to go live",IF(AND(Y297&lt;&gt;"",Y297&lt;TODAY(),OR(X297="Idea",X297="Brief",X297="In production")),"Late - draft not ready",IF(AND(AA297&gt;=0,AA297&lt;=3,OR(X297="Draft",X297="Awaiting review")),"Due - needs approval",IF(AND(H297&lt;&gt;"",P297=""),"Add - caption missing","OK")))))))</f>
        <v>0</v>
      </c>
    </row>
    <row r="298" spans="1:39">
      <c r="A298" s="41">
        <f>IF(H298="","",ContentPrefix&amp;TEXT(ROW()-4,"0000"))</f>
        <v>0</v>
      </c>
      <c r="D298" s="17">
        <f>IF(B298="","",TEXT(B298,"yyyy-mm"))</f>
        <v>0</v>
      </c>
      <c r="E298" s="23">
        <f>IF(B298="","",WEEKNUM(B298,IF(WeekStart="Sunday",1,2)))</f>
        <v>0</v>
      </c>
      <c r="F298" s="17">
        <f>IF(B298="","",TEXT(B298,"ddd"))</f>
        <v>0</v>
      </c>
      <c r="Q298" s="29">
        <f>IF(H298="","",IF(P298="","Add - no caption",IFERROR(INDEX('Caption Bank'!$R$5:$R$204,MATCH(P298,'Caption Bank'!$B$5:$B$204,0)),"Check - not in bank")))</f>
        <v>0</v>
      </c>
      <c r="S298" s="23">
        <f>IF(R298="","",COUNTIF('Hashtag Bank'!$D$5:$D$304,R298))</f>
        <v>0</v>
      </c>
      <c r="U298" s="29">
        <f>IF(H298="","",IF(T298="","Add - no asset",IFERROR(INDEX(Assets!$N$5:$N$254,MATCH(T298,Assets!$A$5:$A$254,0)),"Check - not in library")))</f>
        <v>0</v>
      </c>
      <c r="Y298" s="16">
        <f>IF(B298="","",B298-ProductionDays)</f>
        <v>0</v>
      </c>
      <c r="Z298" s="16">
        <f>IF(B298="","",B298-ApprovalDays)</f>
        <v>0</v>
      </c>
      <c r="AA298" s="23">
        <f>IF(B298="","",B298-TODAY())</f>
        <v>0</v>
      </c>
      <c r="AC298" s="29">
        <f>IF(H298="","",IF(X298="Published",IF(AB298="","Add - link missing","Yes"),"No"))</f>
        <v>0</v>
      </c>
      <c r="AD298" s="23">
        <f>IF(A298="","",IF(COUNTIF(Performance!$B$5:$B$404,A298)=0,"",SUMIFS(Performance!$O$5:$O$404,Performance!$B$5:$B$404,A298)))</f>
        <v>0</v>
      </c>
      <c r="AE298" s="23">
        <f>IF(AD298="","",SUMIFS(Performance!$Z$5:$Z$404,Performance!$B$5:$B$404,A298))</f>
        <v>0</v>
      </c>
      <c r="AF298" s="24">
        <f>IF(OR(AD298="",AD298=0),"",AE298/AD298)</f>
        <v>0</v>
      </c>
      <c r="AG298" s="23">
        <f>IF(AD298="","",SUMIFS(Performance!$U$5:$U$404,Performance!$B$5:$B$404,A298))</f>
        <v>0</v>
      </c>
      <c r="AH298" s="23">
        <f>IF(A298="","",COUNTIF(Repurposing!$B$5:$B$154,A298))</f>
        <v>0</v>
      </c>
      <c r="AI298" s="32">
        <f>IF(OR(H298="",B298=""),"",B298+ROW()/100000)</f>
        <v>0</v>
      </c>
      <c r="AJ298" s="32">
        <f>IF(OR(H298="",B298=""),"",IF(OR(X298="Published",X298="Cancelled",X298="Archived"),"",IF(B298&lt;TODAY(),"",B298+ROW()/100000)))</f>
        <v>0</v>
      </c>
      <c r="AK298" s="32">
        <f>IF(OR(H298="",B298=""),"",IF(OR(X298="Published",X298="Cancelled",X298="Archived"),"",IF(B298&gt;=TODAY(),"",B298+ROW()/100000)))</f>
        <v>0</v>
      </c>
      <c r="AL298" s="29">
        <f>IF(H298="","",IF(COUNTIFS('Content Calendar'!$H$5:$H$604,H298,'Content Calendar'!$G$5:$G$604,G298,'Content Calendar'!$B$5:$B$604,B298)&gt;1,"Duplicate","OK"))</f>
        <v>0</v>
      </c>
      <c r="AM298" s="29">
        <f>IF(H298="","",IF(AND(B298&lt;&gt;"",B298&lt;TODAY(),X298&lt;&gt;"Published",X298&lt;&gt;"Cancelled",X298&lt;&gt;"Archived"),"Overdue - date has passed",IF(AND(X298="Published",AB298=""),"Add - publish link missing",IF(AND(B298=TODAY(),X298&lt;&gt;"Published"),"Today - due to go live",IF(AND(Y298&lt;&gt;"",Y298&lt;TODAY(),OR(X298="Idea",X298="Brief",X298="In production")),"Late - draft not ready",IF(AND(AA298&gt;=0,AA298&lt;=3,OR(X298="Draft",X298="Awaiting review")),"Due - needs approval",IF(AND(H298&lt;&gt;"",P298=""),"Add - caption missing","OK")))))))</f>
        <v>0</v>
      </c>
    </row>
    <row r="299" spans="1:39">
      <c r="A299" s="41">
        <f>IF(H299="","",ContentPrefix&amp;TEXT(ROW()-4,"0000"))</f>
        <v>0</v>
      </c>
      <c r="D299" s="17">
        <f>IF(B299="","",TEXT(B299,"yyyy-mm"))</f>
        <v>0</v>
      </c>
      <c r="E299" s="23">
        <f>IF(B299="","",WEEKNUM(B299,IF(WeekStart="Sunday",1,2)))</f>
        <v>0</v>
      </c>
      <c r="F299" s="17">
        <f>IF(B299="","",TEXT(B299,"ddd"))</f>
        <v>0</v>
      </c>
      <c r="Q299" s="29">
        <f>IF(H299="","",IF(P299="","Add - no caption",IFERROR(INDEX('Caption Bank'!$R$5:$R$204,MATCH(P299,'Caption Bank'!$B$5:$B$204,0)),"Check - not in bank")))</f>
        <v>0</v>
      </c>
      <c r="S299" s="23">
        <f>IF(R299="","",COUNTIF('Hashtag Bank'!$D$5:$D$304,R299))</f>
        <v>0</v>
      </c>
      <c r="U299" s="29">
        <f>IF(H299="","",IF(T299="","Add - no asset",IFERROR(INDEX(Assets!$N$5:$N$254,MATCH(T299,Assets!$A$5:$A$254,0)),"Check - not in library")))</f>
        <v>0</v>
      </c>
      <c r="Y299" s="16">
        <f>IF(B299="","",B299-ProductionDays)</f>
        <v>0</v>
      </c>
      <c r="Z299" s="16">
        <f>IF(B299="","",B299-ApprovalDays)</f>
        <v>0</v>
      </c>
      <c r="AA299" s="23">
        <f>IF(B299="","",B299-TODAY())</f>
        <v>0</v>
      </c>
      <c r="AC299" s="29">
        <f>IF(H299="","",IF(X299="Published",IF(AB299="","Add - link missing","Yes"),"No"))</f>
        <v>0</v>
      </c>
      <c r="AD299" s="23">
        <f>IF(A299="","",IF(COUNTIF(Performance!$B$5:$B$404,A299)=0,"",SUMIFS(Performance!$O$5:$O$404,Performance!$B$5:$B$404,A299)))</f>
        <v>0</v>
      </c>
      <c r="AE299" s="23">
        <f>IF(AD299="","",SUMIFS(Performance!$Z$5:$Z$404,Performance!$B$5:$B$404,A299))</f>
        <v>0</v>
      </c>
      <c r="AF299" s="24">
        <f>IF(OR(AD299="",AD299=0),"",AE299/AD299)</f>
        <v>0</v>
      </c>
      <c r="AG299" s="23">
        <f>IF(AD299="","",SUMIFS(Performance!$U$5:$U$404,Performance!$B$5:$B$404,A299))</f>
        <v>0</v>
      </c>
      <c r="AH299" s="23">
        <f>IF(A299="","",COUNTIF(Repurposing!$B$5:$B$154,A299))</f>
        <v>0</v>
      </c>
      <c r="AI299" s="32">
        <f>IF(OR(H299="",B299=""),"",B299+ROW()/100000)</f>
        <v>0</v>
      </c>
      <c r="AJ299" s="32">
        <f>IF(OR(H299="",B299=""),"",IF(OR(X299="Published",X299="Cancelled",X299="Archived"),"",IF(B299&lt;TODAY(),"",B299+ROW()/100000)))</f>
        <v>0</v>
      </c>
      <c r="AK299" s="32">
        <f>IF(OR(H299="",B299=""),"",IF(OR(X299="Published",X299="Cancelled",X299="Archived"),"",IF(B299&gt;=TODAY(),"",B299+ROW()/100000)))</f>
        <v>0</v>
      </c>
      <c r="AL299" s="29">
        <f>IF(H299="","",IF(COUNTIFS('Content Calendar'!$H$5:$H$604,H299,'Content Calendar'!$G$5:$G$604,G299,'Content Calendar'!$B$5:$B$604,B299)&gt;1,"Duplicate","OK"))</f>
        <v>0</v>
      </c>
      <c r="AM299" s="29">
        <f>IF(H299="","",IF(AND(B299&lt;&gt;"",B299&lt;TODAY(),X299&lt;&gt;"Published",X299&lt;&gt;"Cancelled",X299&lt;&gt;"Archived"),"Overdue - date has passed",IF(AND(X299="Published",AB299=""),"Add - publish link missing",IF(AND(B299=TODAY(),X299&lt;&gt;"Published"),"Today - due to go live",IF(AND(Y299&lt;&gt;"",Y299&lt;TODAY(),OR(X299="Idea",X299="Brief",X299="In production")),"Late - draft not ready",IF(AND(AA299&gt;=0,AA299&lt;=3,OR(X299="Draft",X299="Awaiting review")),"Due - needs approval",IF(AND(H299&lt;&gt;"",P299=""),"Add - caption missing","OK")))))))</f>
        <v>0</v>
      </c>
    </row>
    <row r="300" spans="1:39">
      <c r="A300" s="41">
        <f>IF(H300="","",ContentPrefix&amp;TEXT(ROW()-4,"0000"))</f>
        <v>0</v>
      </c>
      <c r="D300" s="17">
        <f>IF(B300="","",TEXT(B300,"yyyy-mm"))</f>
        <v>0</v>
      </c>
      <c r="E300" s="23">
        <f>IF(B300="","",WEEKNUM(B300,IF(WeekStart="Sunday",1,2)))</f>
        <v>0</v>
      </c>
      <c r="F300" s="17">
        <f>IF(B300="","",TEXT(B300,"ddd"))</f>
        <v>0</v>
      </c>
      <c r="Q300" s="29">
        <f>IF(H300="","",IF(P300="","Add - no caption",IFERROR(INDEX('Caption Bank'!$R$5:$R$204,MATCH(P300,'Caption Bank'!$B$5:$B$204,0)),"Check - not in bank")))</f>
        <v>0</v>
      </c>
      <c r="S300" s="23">
        <f>IF(R300="","",COUNTIF('Hashtag Bank'!$D$5:$D$304,R300))</f>
        <v>0</v>
      </c>
      <c r="U300" s="29">
        <f>IF(H300="","",IF(T300="","Add - no asset",IFERROR(INDEX(Assets!$N$5:$N$254,MATCH(T300,Assets!$A$5:$A$254,0)),"Check - not in library")))</f>
        <v>0</v>
      </c>
      <c r="Y300" s="16">
        <f>IF(B300="","",B300-ProductionDays)</f>
        <v>0</v>
      </c>
      <c r="Z300" s="16">
        <f>IF(B300="","",B300-ApprovalDays)</f>
        <v>0</v>
      </c>
      <c r="AA300" s="23">
        <f>IF(B300="","",B300-TODAY())</f>
        <v>0</v>
      </c>
      <c r="AC300" s="29">
        <f>IF(H300="","",IF(X300="Published",IF(AB300="","Add - link missing","Yes"),"No"))</f>
        <v>0</v>
      </c>
      <c r="AD300" s="23">
        <f>IF(A300="","",IF(COUNTIF(Performance!$B$5:$B$404,A300)=0,"",SUMIFS(Performance!$O$5:$O$404,Performance!$B$5:$B$404,A300)))</f>
        <v>0</v>
      </c>
      <c r="AE300" s="23">
        <f>IF(AD300="","",SUMIFS(Performance!$Z$5:$Z$404,Performance!$B$5:$B$404,A300))</f>
        <v>0</v>
      </c>
      <c r="AF300" s="24">
        <f>IF(OR(AD300="",AD300=0),"",AE300/AD300)</f>
        <v>0</v>
      </c>
      <c r="AG300" s="23">
        <f>IF(AD300="","",SUMIFS(Performance!$U$5:$U$404,Performance!$B$5:$B$404,A300))</f>
        <v>0</v>
      </c>
      <c r="AH300" s="23">
        <f>IF(A300="","",COUNTIF(Repurposing!$B$5:$B$154,A300))</f>
        <v>0</v>
      </c>
      <c r="AI300" s="32">
        <f>IF(OR(H300="",B300=""),"",B300+ROW()/100000)</f>
        <v>0</v>
      </c>
      <c r="AJ300" s="32">
        <f>IF(OR(H300="",B300=""),"",IF(OR(X300="Published",X300="Cancelled",X300="Archived"),"",IF(B300&lt;TODAY(),"",B300+ROW()/100000)))</f>
        <v>0</v>
      </c>
      <c r="AK300" s="32">
        <f>IF(OR(H300="",B300=""),"",IF(OR(X300="Published",X300="Cancelled",X300="Archived"),"",IF(B300&gt;=TODAY(),"",B300+ROW()/100000)))</f>
        <v>0</v>
      </c>
      <c r="AL300" s="29">
        <f>IF(H300="","",IF(COUNTIFS('Content Calendar'!$H$5:$H$604,H300,'Content Calendar'!$G$5:$G$604,G300,'Content Calendar'!$B$5:$B$604,B300)&gt;1,"Duplicate","OK"))</f>
        <v>0</v>
      </c>
      <c r="AM300" s="29">
        <f>IF(H300="","",IF(AND(B300&lt;&gt;"",B300&lt;TODAY(),X300&lt;&gt;"Published",X300&lt;&gt;"Cancelled",X300&lt;&gt;"Archived"),"Overdue - date has passed",IF(AND(X300="Published",AB300=""),"Add - publish link missing",IF(AND(B300=TODAY(),X300&lt;&gt;"Published"),"Today - due to go live",IF(AND(Y300&lt;&gt;"",Y300&lt;TODAY(),OR(X300="Idea",X300="Brief",X300="In production")),"Late - draft not ready",IF(AND(AA300&gt;=0,AA300&lt;=3,OR(X300="Draft",X300="Awaiting review")),"Due - needs approval",IF(AND(H300&lt;&gt;"",P300=""),"Add - caption missing","OK")))))))</f>
        <v>0</v>
      </c>
    </row>
    <row r="301" spans="1:39">
      <c r="A301" s="41">
        <f>IF(H301="","",ContentPrefix&amp;TEXT(ROW()-4,"0000"))</f>
        <v>0</v>
      </c>
      <c r="D301" s="17">
        <f>IF(B301="","",TEXT(B301,"yyyy-mm"))</f>
        <v>0</v>
      </c>
      <c r="E301" s="23">
        <f>IF(B301="","",WEEKNUM(B301,IF(WeekStart="Sunday",1,2)))</f>
        <v>0</v>
      </c>
      <c r="F301" s="17">
        <f>IF(B301="","",TEXT(B301,"ddd"))</f>
        <v>0</v>
      </c>
      <c r="Q301" s="29">
        <f>IF(H301="","",IF(P301="","Add - no caption",IFERROR(INDEX('Caption Bank'!$R$5:$R$204,MATCH(P301,'Caption Bank'!$B$5:$B$204,0)),"Check - not in bank")))</f>
        <v>0</v>
      </c>
      <c r="S301" s="23">
        <f>IF(R301="","",COUNTIF('Hashtag Bank'!$D$5:$D$304,R301))</f>
        <v>0</v>
      </c>
      <c r="U301" s="29">
        <f>IF(H301="","",IF(T301="","Add - no asset",IFERROR(INDEX(Assets!$N$5:$N$254,MATCH(T301,Assets!$A$5:$A$254,0)),"Check - not in library")))</f>
        <v>0</v>
      </c>
      <c r="Y301" s="16">
        <f>IF(B301="","",B301-ProductionDays)</f>
        <v>0</v>
      </c>
      <c r="Z301" s="16">
        <f>IF(B301="","",B301-ApprovalDays)</f>
        <v>0</v>
      </c>
      <c r="AA301" s="23">
        <f>IF(B301="","",B301-TODAY())</f>
        <v>0</v>
      </c>
      <c r="AC301" s="29">
        <f>IF(H301="","",IF(X301="Published",IF(AB301="","Add - link missing","Yes"),"No"))</f>
        <v>0</v>
      </c>
      <c r="AD301" s="23">
        <f>IF(A301="","",IF(COUNTIF(Performance!$B$5:$B$404,A301)=0,"",SUMIFS(Performance!$O$5:$O$404,Performance!$B$5:$B$404,A301)))</f>
        <v>0</v>
      </c>
      <c r="AE301" s="23">
        <f>IF(AD301="","",SUMIFS(Performance!$Z$5:$Z$404,Performance!$B$5:$B$404,A301))</f>
        <v>0</v>
      </c>
      <c r="AF301" s="24">
        <f>IF(OR(AD301="",AD301=0),"",AE301/AD301)</f>
        <v>0</v>
      </c>
      <c r="AG301" s="23">
        <f>IF(AD301="","",SUMIFS(Performance!$U$5:$U$404,Performance!$B$5:$B$404,A301))</f>
        <v>0</v>
      </c>
      <c r="AH301" s="23">
        <f>IF(A301="","",COUNTIF(Repurposing!$B$5:$B$154,A301))</f>
        <v>0</v>
      </c>
      <c r="AI301" s="32">
        <f>IF(OR(H301="",B301=""),"",B301+ROW()/100000)</f>
        <v>0</v>
      </c>
      <c r="AJ301" s="32">
        <f>IF(OR(H301="",B301=""),"",IF(OR(X301="Published",X301="Cancelled",X301="Archived"),"",IF(B301&lt;TODAY(),"",B301+ROW()/100000)))</f>
        <v>0</v>
      </c>
      <c r="AK301" s="32">
        <f>IF(OR(H301="",B301=""),"",IF(OR(X301="Published",X301="Cancelled",X301="Archived"),"",IF(B301&gt;=TODAY(),"",B301+ROW()/100000)))</f>
        <v>0</v>
      </c>
      <c r="AL301" s="29">
        <f>IF(H301="","",IF(COUNTIFS('Content Calendar'!$H$5:$H$604,H301,'Content Calendar'!$G$5:$G$604,G301,'Content Calendar'!$B$5:$B$604,B301)&gt;1,"Duplicate","OK"))</f>
        <v>0</v>
      </c>
      <c r="AM301" s="29">
        <f>IF(H301="","",IF(AND(B301&lt;&gt;"",B301&lt;TODAY(),X301&lt;&gt;"Published",X301&lt;&gt;"Cancelled",X301&lt;&gt;"Archived"),"Overdue - date has passed",IF(AND(X301="Published",AB301=""),"Add - publish link missing",IF(AND(B301=TODAY(),X301&lt;&gt;"Published"),"Today - due to go live",IF(AND(Y301&lt;&gt;"",Y301&lt;TODAY(),OR(X301="Idea",X301="Brief",X301="In production")),"Late - draft not ready",IF(AND(AA301&gt;=0,AA301&lt;=3,OR(X301="Draft",X301="Awaiting review")),"Due - needs approval",IF(AND(H301&lt;&gt;"",P301=""),"Add - caption missing","OK")))))))</f>
        <v>0</v>
      </c>
    </row>
    <row r="302" spans="1:39">
      <c r="A302" s="41">
        <f>IF(H302="","",ContentPrefix&amp;TEXT(ROW()-4,"0000"))</f>
        <v>0</v>
      </c>
      <c r="D302" s="17">
        <f>IF(B302="","",TEXT(B302,"yyyy-mm"))</f>
        <v>0</v>
      </c>
      <c r="E302" s="23">
        <f>IF(B302="","",WEEKNUM(B302,IF(WeekStart="Sunday",1,2)))</f>
        <v>0</v>
      </c>
      <c r="F302" s="17">
        <f>IF(B302="","",TEXT(B302,"ddd"))</f>
        <v>0</v>
      </c>
      <c r="Q302" s="29">
        <f>IF(H302="","",IF(P302="","Add - no caption",IFERROR(INDEX('Caption Bank'!$R$5:$R$204,MATCH(P302,'Caption Bank'!$B$5:$B$204,0)),"Check - not in bank")))</f>
        <v>0</v>
      </c>
      <c r="S302" s="23">
        <f>IF(R302="","",COUNTIF('Hashtag Bank'!$D$5:$D$304,R302))</f>
        <v>0</v>
      </c>
      <c r="U302" s="29">
        <f>IF(H302="","",IF(T302="","Add - no asset",IFERROR(INDEX(Assets!$N$5:$N$254,MATCH(T302,Assets!$A$5:$A$254,0)),"Check - not in library")))</f>
        <v>0</v>
      </c>
      <c r="Y302" s="16">
        <f>IF(B302="","",B302-ProductionDays)</f>
        <v>0</v>
      </c>
      <c r="Z302" s="16">
        <f>IF(B302="","",B302-ApprovalDays)</f>
        <v>0</v>
      </c>
      <c r="AA302" s="23">
        <f>IF(B302="","",B302-TODAY())</f>
        <v>0</v>
      </c>
      <c r="AC302" s="29">
        <f>IF(H302="","",IF(X302="Published",IF(AB302="","Add - link missing","Yes"),"No"))</f>
        <v>0</v>
      </c>
      <c r="AD302" s="23">
        <f>IF(A302="","",IF(COUNTIF(Performance!$B$5:$B$404,A302)=0,"",SUMIFS(Performance!$O$5:$O$404,Performance!$B$5:$B$404,A302)))</f>
        <v>0</v>
      </c>
      <c r="AE302" s="23">
        <f>IF(AD302="","",SUMIFS(Performance!$Z$5:$Z$404,Performance!$B$5:$B$404,A302))</f>
        <v>0</v>
      </c>
      <c r="AF302" s="24">
        <f>IF(OR(AD302="",AD302=0),"",AE302/AD302)</f>
        <v>0</v>
      </c>
      <c r="AG302" s="23">
        <f>IF(AD302="","",SUMIFS(Performance!$U$5:$U$404,Performance!$B$5:$B$404,A302))</f>
        <v>0</v>
      </c>
      <c r="AH302" s="23">
        <f>IF(A302="","",COUNTIF(Repurposing!$B$5:$B$154,A302))</f>
        <v>0</v>
      </c>
      <c r="AI302" s="32">
        <f>IF(OR(H302="",B302=""),"",B302+ROW()/100000)</f>
        <v>0</v>
      </c>
      <c r="AJ302" s="32">
        <f>IF(OR(H302="",B302=""),"",IF(OR(X302="Published",X302="Cancelled",X302="Archived"),"",IF(B302&lt;TODAY(),"",B302+ROW()/100000)))</f>
        <v>0</v>
      </c>
      <c r="AK302" s="32">
        <f>IF(OR(H302="",B302=""),"",IF(OR(X302="Published",X302="Cancelled",X302="Archived"),"",IF(B302&gt;=TODAY(),"",B302+ROW()/100000)))</f>
        <v>0</v>
      </c>
      <c r="AL302" s="29">
        <f>IF(H302="","",IF(COUNTIFS('Content Calendar'!$H$5:$H$604,H302,'Content Calendar'!$G$5:$G$604,G302,'Content Calendar'!$B$5:$B$604,B302)&gt;1,"Duplicate","OK"))</f>
        <v>0</v>
      </c>
      <c r="AM302" s="29">
        <f>IF(H302="","",IF(AND(B302&lt;&gt;"",B302&lt;TODAY(),X302&lt;&gt;"Published",X302&lt;&gt;"Cancelled",X302&lt;&gt;"Archived"),"Overdue - date has passed",IF(AND(X302="Published",AB302=""),"Add - publish link missing",IF(AND(B302=TODAY(),X302&lt;&gt;"Published"),"Today - due to go live",IF(AND(Y302&lt;&gt;"",Y302&lt;TODAY(),OR(X302="Idea",X302="Brief",X302="In production")),"Late - draft not ready",IF(AND(AA302&gt;=0,AA302&lt;=3,OR(X302="Draft",X302="Awaiting review")),"Due - needs approval",IF(AND(H302&lt;&gt;"",P302=""),"Add - caption missing","OK")))))))</f>
        <v>0</v>
      </c>
    </row>
    <row r="303" spans="1:39">
      <c r="A303" s="41">
        <f>IF(H303="","",ContentPrefix&amp;TEXT(ROW()-4,"0000"))</f>
        <v>0</v>
      </c>
      <c r="D303" s="17">
        <f>IF(B303="","",TEXT(B303,"yyyy-mm"))</f>
        <v>0</v>
      </c>
      <c r="E303" s="23">
        <f>IF(B303="","",WEEKNUM(B303,IF(WeekStart="Sunday",1,2)))</f>
        <v>0</v>
      </c>
      <c r="F303" s="17">
        <f>IF(B303="","",TEXT(B303,"ddd"))</f>
        <v>0</v>
      </c>
      <c r="Q303" s="29">
        <f>IF(H303="","",IF(P303="","Add - no caption",IFERROR(INDEX('Caption Bank'!$R$5:$R$204,MATCH(P303,'Caption Bank'!$B$5:$B$204,0)),"Check - not in bank")))</f>
        <v>0</v>
      </c>
      <c r="S303" s="23">
        <f>IF(R303="","",COUNTIF('Hashtag Bank'!$D$5:$D$304,R303))</f>
        <v>0</v>
      </c>
      <c r="U303" s="29">
        <f>IF(H303="","",IF(T303="","Add - no asset",IFERROR(INDEX(Assets!$N$5:$N$254,MATCH(T303,Assets!$A$5:$A$254,0)),"Check - not in library")))</f>
        <v>0</v>
      </c>
      <c r="Y303" s="16">
        <f>IF(B303="","",B303-ProductionDays)</f>
        <v>0</v>
      </c>
      <c r="Z303" s="16">
        <f>IF(B303="","",B303-ApprovalDays)</f>
        <v>0</v>
      </c>
      <c r="AA303" s="23">
        <f>IF(B303="","",B303-TODAY())</f>
        <v>0</v>
      </c>
      <c r="AC303" s="29">
        <f>IF(H303="","",IF(X303="Published",IF(AB303="","Add - link missing","Yes"),"No"))</f>
        <v>0</v>
      </c>
      <c r="AD303" s="23">
        <f>IF(A303="","",IF(COUNTIF(Performance!$B$5:$B$404,A303)=0,"",SUMIFS(Performance!$O$5:$O$404,Performance!$B$5:$B$404,A303)))</f>
        <v>0</v>
      </c>
      <c r="AE303" s="23">
        <f>IF(AD303="","",SUMIFS(Performance!$Z$5:$Z$404,Performance!$B$5:$B$404,A303))</f>
        <v>0</v>
      </c>
      <c r="AF303" s="24">
        <f>IF(OR(AD303="",AD303=0),"",AE303/AD303)</f>
        <v>0</v>
      </c>
      <c r="AG303" s="23">
        <f>IF(AD303="","",SUMIFS(Performance!$U$5:$U$404,Performance!$B$5:$B$404,A303))</f>
        <v>0</v>
      </c>
      <c r="AH303" s="23">
        <f>IF(A303="","",COUNTIF(Repurposing!$B$5:$B$154,A303))</f>
        <v>0</v>
      </c>
      <c r="AI303" s="32">
        <f>IF(OR(H303="",B303=""),"",B303+ROW()/100000)</f>
        <v>0</v>
      </c>
      <c r="AJ303" s="32">
        <f>IF(OR(H303="",B303=""),"",IF(OR(X303="Published",X303="Cancelled",X303="Archived"),"",IF(B303&lt;TODAY(),"",B303+ROW()/100000)))</f>
        <v>0</v>
      </c>
      <c r="AK303" s="32">
        <f>IF(OR(H303="",B303=""),"",IF(OR(X303="Published",X303="Cancelled",X303="Archived"),"",IF(B303&gt;=TODAY(),"",B303+ROW()/100000)))</f>
        <v>0</v>
      </c>
      <c r="AL303" s="29">
        <f>IF(H303="","",IF(COUNTIFS('Content Calendar'!$H$5:$H$604,H303,'Content Calendar'!$G$5:$G$604,G303,'Content Calendar'!$B$5:$B$604,B303)&gt;1,"Duplicate","OK"))</f>
        <v>0</v>
      </c>
      <c r="AM303" s="29">
        <f>IF(H303="","",IF(AND(B303&lt;&gt;"",B303&lt;TODAY(),X303&lt;&gt;"Published",X303&lt;&gt;"Cancelled",X303&lt;&gt;"Archived"),"Overdue - date has passed",IF(AND(X303="Published",AB303=""),"Add - publish link missing",IF(AND(B303=TODAY(),X303&lt;&gt;"Published"),"Today - due to go live",IF(AND(Y303&lt;&gt;"",Y303&lt;TODAY(),OR(X303="Idea",X303="Brief",X303="In production")),"Late - draft not ready",IF(AND(AA303&gt;=0,AA303&lt;=3,OR(X303="Draft",X303="Awaiting review")),"Due - needs approval",IF(AND(H303&lt;&gt;"",P303=""),"Add - caption missing","OK")))))))</f>
        <v>0</v>
      </c>
    </row>
    <row r="304" spans="1:39">
      <c r="A304" s="41">
        <f>IF(H304="","",ContentPrefix&amp;TEXT(ROW()-4,"0000"))</f>
        <v>0</v>
      </c>
      <c r="D304" s="17">
        <f>IF(B304="","",TEXT(B304,"yyyy-mm"))</f>
        <v>0</v>
      </c>
      <c r="E304" s="23">
        <f>IF(B304="","",WEEKNUM(B304,IF(WeekStart="Sunday",1,2)))</f>
        <v>0</v>
      </c>
      <c r="F304" s="17">
        <f>IF(B304="","",TEXT(B304,"ddd"))</f>
        <v>0</v>
      </c>
      <c r="Q304" s="29">
        <f>IF(H304="","",IF(P304="","Add - no caption",IFERROR(INDEX('Caption Bank'!$R$5:$R$204,MATCH(P304,'Caption Bank'!$B$5:$B$204,0)),"Check - not in bank")))</f>
        <v>0</v>
      </c>
      <c r="S304" s="23">
        <f>IF(R304="","",COUNTIF('Hashtag Bank'!$D$5:$D$304,R304))</f>
        <v>0</v>
      </c>
      <c r="U304" s="29">
        <f>IF(H304="","",IF(T304="","Add - no asset",IFERROR(INDEX(Assets!$N$5:$N$254,MATCH(T304,Assets!$A$5:$A$254,0)),"Check - not in library")))</f>
        <v>0</v>
      </c>
      <c r="Y304" s="16">
        <f>IF(B304="","",B304-ProductionDays)</f>
        <v>0</v>
      </c>
      <c r="Z304" s="16">
        <f>IF(B304="","",B304-ApprovalDays)</f>
        <v>0</v>
      </c>
      <c r="AA304" s="23">
        <f>IF(B304="","",B304-TODAY())</f>
        <v>0</v>
      </c>
      <c r="AC304" s="29">
        <f>IF(H304="","",IF(X304="Published",IF(AB304="","Add - link missing","Yes"),"No"))</f>
        <v>0</v>
      </c>
      <c r="AD304" s="23">
        <f>IF(A304="","",IF(COUNTIF(Performance!$B$5:$B$404,A304)=0,"",SUMIFS(Performance!$O$5:$O$404,Performance!$B$5:$B$404,A304)))</f>
        <v>0</v>
      </c>
      <c r="AE304" s="23">
        <f>IF(AD304="","",SUMIFS(Performance!$Z$5:$Z$404,Performance!$B$5:$B$404,A304))</f>
        <v>0</v>
      </c>
      <c r="AF304" s="24">
        <f>IF(OR(AD304="",AD304=0),"",AE304/AD304)</f>
        <v>0</v>
      </c>
      <c r="AG304" s="23">
        <f>IF(AD304="","",SUMIFS(Performance!$U$5:$U$404,Performance!$B$5:$B$404,A304))</f>
        <v>0</v>
      </c>
      <c r="AH304" s="23">
        <f>IF(A304="","",COUNTIF(Repurposing!$B$5:$B$154,A304))</f>
        <v>0</v>
      </c>
      <c r="AI304" s="32">
        <f>IF(OR(H304="",B304=""),"",B304+ROW()/100000)</f>
        <v>0</v>
      </c>
      <c r="AJ304" s="32">
        <f>IF(OR(H304="",B304=""),"",IF(OR(X304="Published",X304="Cancelled",X304="Archived"),"",IF(B304&lt;TODAY(),"",B304+ROW()/100000)))</f>
        <v>0</v>
      </c>
      <c r="AK304" s="32">
        <f>IF(OR(H304="",B304=""),"",IF(OR(X304="Published",X304="Cancelled",X304="Archived"),"",IF(B304&gt;=TODAY(),"",B304+ROW()/100000)))</f>
        <v>0</v>
      </c>
      <c r="AL304" s="29">
        <f>IF(H304="","",IF(COUNTIFS('Content Calendar'!$H$5:$H$604,H304,'Content Calendar'!$G$5:$G$604,G304,'Content Calendar'!$B$5:$B$604,B304)&gt;1,"Duplicate","OK"))</f>
        <v>0</v>
      </c>
      <c r="AM304" s="29">
        <f>IF(H304="","",IF(AND(B304&lt;&gt;"",B304&lt;TODAY(),X304&lt;&gt;"Published",X304&lt;&gt;"Cancelled",X304&lt;&gt;"Archived"),"Overdue - date has passed",IF(AND(X304="Published",AB304=""),"Add - publish link missing",IF(AND(B304=TODAY(),X304&lt;&gt;"Published"),"Today - due to go live",IF(AND(Y304&lt;&gt;"",Y304&lt;TODAY(),OR(X304="Idea",X304="Brief",X304="In production")),"Late - draft not ready",IF(AND(AA304&gt;=0,AA304&lt;=3,OR(X304="Draft",X304="Awaiting review")),"Due - needs approval",IF(AND(H304&lt;&gt;"",P304=""),"Add - caption missing","OK")))))))</f>
        <v>0</v>
      </c>
    </row>
    <row r="305" spans="1:39">
      <c r="A305" s="41">
        <f>IF(H305="","",ContentPrefix&amp;TEXT(ROW()-4,"0000"))</f>
        <v>0</v>
      </c>
      <c r="D305" s="17">
        <f>IF(B305="","",TEXT(B305,"yyyy-mm"))</f>
        <v>0</v>
      </c>
      <c r="E305" s="23">
        <f>IF(B305="","",WEEKNUM(B305,IF(WeekStart="Sunday",1,2)))</f>
        <v>0</v>
      </c>
      <c r="F305" s="17">
        <f>IF(B305="","",TEXT(B305,"ddd"))</f>
        <v>0</v>
      </c>
      <c r="Q305" s="29">
        <f>IF(H305="","",IF(P305="","Add - no caption",IFERROR(INDEX('Caption Bank'!$R$5:$R$204,MATCH(P305,'Caption Bank'!$B$5:$B$204,0)),"Check - not in bank")))</f>
        <v>0</v>
      </c>
      <c r="S305" s="23">
        <f>IF(R305="","",COUNTIF('Hashtag Bank'!$D$5:$D$304,R305))</f>
        <v>0</v>
      </c>
      <c r="U305" s="29">
        <f>IF(H305="","",IF(T305="","Add - no asset",IFERROR(INDEX(Assets!$N$5:$N$254,MATCH(T305,Assets!$A$5:$A$254,0)),"Check - not in library")))</f>
        <v>0</v>
      </c>
      <c r="Y305" s="16">
        <f>IF(B305="","",B305-ProductionDays)</f>
        <v>0</v>
      </c>
      <c r="Z305" s="16">
        <f>IF(B305="","",B305-ApprovalDays)</f>
        <v>0</v>
      </c>
      <c r="AA305" s="23">
        <f>IF(B305="","",B305-TODAY())</f>
        <v>0</v>
      </c>
      <c r="AC305" s="29">
        <f>IF(H305="","",IF(X305="Published",IF(AB305="","Add - link missing","Yes"),"No"))</f>
        <v>0</v>
      </c>
      <c r="AD305" s="23">
        <f>IF(A305="","",IF(COUNTIF(Performance!$B$5:$B$404,A305)=0,"",SUMIFS(Performance!$O$5:$O$404,Performance!$B$5:$B$404,A305)))</f>
        <v>0</v>
      </c>
      <c r="AE305" s="23">
        <f>IF(AD305="","",SUMIFS(Performance!$Z$5:$Z$404,Performance!$B$5:$B$404,A305))</f>
        <v>0</v>
      </c>
      <c r="AF305" s="24">
        <f>IF(OR(AD305="",AD305=0),"",AE305/AD305)</f>
        <v>0</v>
      </c>
      <c r="AG305" s="23">
        <f>IF(AD305="","",SUMIFS(Performance!$U$5:$U$404,Performance!$B$5:$B$404,A305))</f>
        <v>0</v>
      </c>
      <c r="AH305" s="23">
        <f>IF(A305="","",COUNTIF(Repurposing!$B$5:$B$154,A305))</f>
        <v>0</v>
      </c>
      <c r="AI305" s="32">
        <f>IF(OR(H305="",B305=""),"",B305+ROW()/100000)</f>
        <v>0</v>
      </c>
      <c r="AJ305" s="32">
        <f>IF(OR(H305="",B305=""),"",IF(OR(X305="Published",X305="Cancelled",X305="Archived"),"",IF(B305&lt;TODAY(),"",B305+ROW()/100000)))</f>
        <v>0</v>
      </c>
      <c r="AK305" s="32">
        <f>IF(OR(H305="",B305=""),"",IF(OR(X305="Published",X305="Cancelled",X305="Archived"),"",IF(B305&gt;=TODAY(),"",B305+ROW()/100000)))</f>
        <v>0</v>
      </c>
      <c r="AL305" s="29">
        <f>IF(H305="","",IF(COUNTIFS('Content Calendar'!$H$5:$H$604,H305,'Content Calendar'!$G$5:$G$604,G305,'Content Calendar'!$B$5:$B$604,B305)&gt;1,"Duplicate","OK"))</f>
        <v>0</v>
      </c>
      <c r="AM305" s="29">
        <f>IF(H305="","",IF(AND(B305&lt;&gt;"",B305&lt;TODAY(),X305&lt;&gt;"Published",X305&lt;&gt;"Cancelled",X305&lt;&gt;"Archived"),"Overdue - date has passed",IF(AND(X305="Published",AB305=""),"Add - publish link missing",IF(AND(B305=TODAY(),X305&lt;&gt;"Published"),"Today - due to go live",IF(AND(Y305&lt;&gt;"",Y305&lt;TODAY(),OR(X305="Idea",X305="Brief",X305="In production")),"Late - draft not ready",IF(AND(AA305&gt;=0,AA305&lt;=3,OR(X305="Draft",X305="Awaiting review")),"Due - needs approval",IF(AND(H305&lt;&gt;"",P305=""),"Add - caption missing","OK")))))))</f>
        <v>0</v>
      </c>
    </row>
    <row r="306" spans="1:39">
      <c r="A306" s="41">
        <f>IF(H306="","",ContentPrefix&amp;TEXT(ROW()-4,"0000"))</f>
        <v>0</v>
      </c>
      <c r="D306" s="17">
        <f>IF(B306="","",TEXT(B306,"yyyy-mm"))</f>
        <v>0</v>
      </c>
      <c r="E306" s="23">
        <f>IF(B306="","",WEEKNUM(B306,IF(WeekStart="Sunday",1,2)))</f>
        <v>0</v>
      </c>
      <c r="F306" s="17">
        <f>IF(B306="","",TEXT(B306,"ddd"))</f>
        <v>0</v>
      </c>
      <c r="Q306" s="29">
        <f>IF(H306="","",IF(P306="","Add - no caption",IFERROR(INDEX('Caption Bank'!$R$5:$R$204,MATCH(P306,'Caption Bank'!$B$5:$B$204,0)),"Check - not in bank")))</f>
        <v>0</v>
      </c>
      <c r="S306" s="23">
        <f>IF(R306="","",COUNTIF('Hashtag Bank'!$D$5:$D$304,R306))</f>
        <v>0</v>
      </c>
      <c r="U306" s="29">
        <f>IF(H306="","",IF(T306="","Add - no asset",IFERROR(INDEX(Assets!$N$5:$N$254,MATCH(T306,Assets!$A$5:$A$254,0)),"Check - not in library")))</f>
        <v>0</v>
      </c>
      <c r="Y306" s="16">
        <f>IF(B306="","",B306-ProductionDays)</f>
        <v>0</v>
      </c>
      <c r="Z306" s="16">
        <f>IF(B306="","",B306-ApprovalDays)</f>
        <v>0</v>
      </c>
      <c r="AA306" s="23">
        <f>IF(B306="","",B306-TODAY())</f>
        <v>0</v>
      </c>
      <c r="AC306" s="29">
        <f>IF(H306="","",IF(X306="Published",IF(AB306="","Add - link missing","Yes"),"No"))</f>
        <v>0</v>
      </c>
      <c r="AD306" s="23">
        <f>IF(A306="","",IF(COUNTIF(Performance!$B$5:$B$404,A306)=0,"",SUMIFS(Performance!$O$5:$O$404,Performance!$B$5:$B$404,A306)))</f>
        <v>0</v>
      </c>
      <c r="AE306" s="23">
        <f>IF(AD306="","",SUMIFS(Performance!$Z$5:$Z$404,Performance!$B$5:$B$404,A306))</f>
        <v>0</v>
      </c>
      <c r="AF306" s="24">
        <f>IF(OR(AD306="",AD306=0),"",AE306/AD306)</f>
        <v>0</v>
      </c>
      <c r="AG306" s="23">
        <f>IF(AD306="","",SUMIFS(Performance!$U$5:$U$404,Performance!$B$5:$B$404,A306))</f>
        <v>0</v>
      </c>
      <c r="AH306" s="23">
        <f>IF(A306="","",COUNTIF(Repurposing!$B$5:$B$154,A306))</f>
        <v>0</v>
      </c>
      <c r="AI306" s="32">
        <f>IF(OR(H306="",B306=""),"",B306+ROW()/100000)</f>
        <v>0</v>
      </c>
      <c r="AJ306" s="32">
        <f>IF(OR(H306="",B306=""),"",IF(OR(X306="Published",X306="Cancelled",X306="Archived"),"",IF(B306&lt;TODAY(),"",B306+ROW()/100000)))</f>
        <v>0</v>
      </c>
      <c r="AK306" s="32">
        <f>IF(OR(H306="",B306=""),"",IF(OR(X306="Published",X306="Cancelled",X306="Archived"),"",IF(B306&gt;=TODAY(),"",B306+ROW()/100000)))</f>
        <v>0</v>
      </c>
      <c r="AL306" s="29">
        <f>IF(H306="","",IF(COUNTIFS('Content Calendar'!$H$5:$H$604,H306,'Content Calendar'!$G$5:$G$604,G306,'Content Calendar'!$B$5:$B$604,B306)&gt;1,"Duplicate","OK"))</f>
        <v>0</v>
      </c>
      <c r="AM306" s="29">
        <f>IF(H306="","",IF(AND(B306&lt;&gt;"",B306&lt;TODAY(),X306&lt;&gt;"Published",X306&lt;&gt;"Cancelled",X306&lt;&gt;"Archived"),"Overdue - date has passed",IF(AND(X306="Published",AB306=""),"Add - publish link missing",IF(AND(B306=TODAY(),X306&lt;&gt;"Published"),"Today - due to go live",IF(AND(Y306&lt;&gt;"",Y306&lt;TODAY(),OR(X306="Idea",X306="Brief",X306="In production")),"Late - draft not ready",IF(AND(AA306&gt;=0,AA306&lt;=3,OR(X306="Draft",X306="Awaiting review")),"Due - needs approval",IF(AND(H306&lt;&gt;"",P306=""),"Add - caption missing","OK")))))))</f>
        <v>0</v>
      </c>
    </row>
    <row r="307" spans="1:39">
      <c r="A307" s="41">
        <f>IF(H307="","",ContentPrefix&amp;TEXT(ROW()-4,"0000"))</f>
        <v>0</v>
      </c>
      <c r="D307" s="17">
        <f>IF(B307="","",TEXT(B307,"yyyy-mm"))</f>
        <v>0</v>
      </c>
      <c r="E307" s="23">
        <f>IF(B307="","",WEEKNUM(B307,IF(WeekStart="Sunday",1,2)))</f>
        <v>0</v>
      </c>
      <c r="F307" s="17">
        <f>IF(B307="","",TEXT(B307,"ddd"))</f>
        <v>0</v>
      </c>
      <c r="Q307" s="29">
        <f>IF(H307="","",IF(P307="","Add - no caption",IFERROR(INDEX('Caption Bank'!$R$5:$R$204,MATCH(P307,'Caption Bank'!$B$5:$B$204,0)),"Check - not in bank")))</f>
        <v>0</v>
      </c>
      <c r="S307" s="23">
        <f>IF(R307="","",COUNTIF('Hashtag Bank'!$D$5:$D$304,R307))</f>
        <v>0</v>
      </c>
      <c r="U307" s="29">
        <f>IF(H307="","",IF(T307="","Add - no asset",IFERROR(INDEX(Assets!$N$5:$N$254,MATCH(T307,Assets!$A$5:$A$254,0)),"Check - not in library")))</f>
        <v>0</v>
      </c>
      <c r="Y307" s="16">
        <f>IF(B307="","",B307-ProductionDays)</f>
        <v>0</v>
      </c>
      <c r="Z307" s="16">
        <f>IF(B307="","",B307-ApprovalDays)</f>
        <v>0</v>
      </c>
      <c r="AA307" s="23">
        <f>IF(B307="","",B307-TODAY())</f>
        <v>0</v>
      </c>
      <c r="AC307" s="29">
        <f>IF(H307="","",IF(X307="Published",IF(AB307="","Add - link missing","Yes"),"No"))</f>
        <v>0</v>
      </c>
      <c r="AD307" s="23">
        <f>IF(A307="","",IF(COUNTIF(Performance!$B$5:$B$404,A307)=0,"",SUMIFS(Performance!$O$5:$O$404,Performance!$B$5:$B$404,A307)))</f>
        <v>0</v>
      </c>
      <c r="AE307" s="23">
        <f>IF(AD307="","",SUMIFS(Performance!$Z$5:$Z$404,Performance!$B$5:$B$404,A307))</f>
        <v>0</v>
      </c>
      <c r="AF307" s="24">
        <f>IF(OR(AD307="",AD307=0),"",AE307/AD307)</f>
        <v>0</v>
      </c>
      <c r="AG307" s="23">
        <f>IF(AD307="","",SUMIFS(Performance!$U$5:$U$404,Performance!$B$5:$B$404,A307))</f>
        <v>0</v>
      </c>
      <c r="AH307" s="23">
        <f>IF(A307="","",COUNTIF(Repurposing!$B$5:$B$154,A307))</f>
        <v>0</v>
      </c>
      <c r="AI307" s="32">
        <f>IF(OR(H307="",B307=""),"",B307+ROW()/100000)</f>
        <v>0</v>
      </c>
      <c r="AJ307" s="32">
        <f>IF(OR(H307="",B307=""),"",IF(OR(X307="Published",X307="Cancelled",X307="Archived"),"",IF(B307&lt;TODAY(),"",B307+ROW()/100000)))</f>
        <v>0</v>
      </c>
      <c r="AK307" s="32">
        <f>IF(OR(H307="",B307=""),"",IF(OR(X307="Published",X307="Cancelled",X307="Archived"),"",IF(B307&gt;=TODAY(),"",B307+ROW()/100000)))</f>
        <v>0</v>
      </c>
      <c r="AL307" s="29">
        <f>IF(H307="","",IF(COUNTIFS('Content Calendar'!$H$5:$H$604,H307,'Content Calendar'!$G$5:$G$604,G307,'Content Calendar'!$B$5:$B$604,B307)&gt;1,"Duplicate","OK"))</f>
        <v>0</v>
      </c>
      <c r="AM307" s="29">
        <f>IF(H307="","",IF(AND(B307&lt;&gt;"",B307&lt;TODAY(),X307&lt;&gt;"Published",X307&lt;&gt;"Cancelled",X307&lt;&gt;"Archived"),"Overdue - date has passed",IF(AND(X307="Published",AB307=""),"Add - publish link missing",IF(AND(B307=TODAY(),X307&lt;&gt;"Published"),"Today - due to go live",IF(AND(Y307&lt;&gt;"",Y307&lt;TODAY(),OR(X307="Idea",X307="Brief",X307="In production")),"Late - draft not ready",IF(AND(AA307&gt;=0,AA307&lt;=3,OR(X307="Draft",X307="Awaiting review")),"Due - needs approval",IF(AND(H307&lt;&gt;"",P307=""),"Add - caption missing","OK")))))))</f>
        <v>0</v>
      </c>
    </row>
    <row r="308" spans="1:39">
      <c r="A308" s="41">
        <f>IF(H308="","",ContentPrefix&amp;TEXT(ROW()-4,"0000"))</f>
        <v>0</v>
      </c>
      <c r="D308" s="17">
        <f>IF(B308="","",TEXT(B308,"yyyy-mm"))</f>
        <v>0</v>
      </c>
      <c r="E308" s="23">
        <f>IF(B308="","",WEEKNUM(B308,IF(WeekStart="Sunday",1,2)))</f>
        <v>0</v>
      </c>
      <c r="F308" s="17">
        <f>IF(B308="","",TEXT(B308,"ddd"))</f>
        <v>0</v>
      </c>
      <c r="Q308" s="29">
        <f>IF(H308="","",IF(P308="","Add - no caption",IFERROR(INDEX('Caption Bank'!$R$5:$R$204,MATCH(P308,'Caption Bank'!$B$5:$B$204,0)),"Check - not in bank")))</f>
        <v>0</v>
      </c>
      <c r="S308" s="23">
        <f>IF(R308="","",COUNTIF('Hashtag Bank'!$D$5:$D$304,R308))</f>
        <v>0</v>
      </c>
      <c r="U308" s="29">
        <f>IF(H308="","",IF(T308="","Add - no asset",IFERROR(INDEX(Assets!$N$5:$N$254,MATCH(T308,Assets!$A$5:$A$254,0)),"Check - not in library")))</f>
        <v>0</v>
      </c>
      <c r="Y308" s="16">
        <f>IF(B308="","",B308-ProductionDays)</f>
        <v>0</v>
      </c>
      <c r="Z308" s="16">
        <f>IF(B308="","",B308-ApprovalDays)</f>
        <v>0</v>
      </c>
      <c r="AA308" s="23">
        <f>IF(B308="","",B308-TODAY())</f>
        <v>0</v>
      </c>
      <c r="AC308" s="29">
        <f>IF(H308="","",IF(X308="Published",IF(AB308="","Add - link missing","Yes"),"No"))</f>
        <v>0</v>
      </c>
      <c r="AD308" s="23">
        <f>IF(A308="","",IF(COUNTIF(Performance!$B$5:$B$404,A308)=0,"",SUMIFS(Performance!$O$5:$O$404,Performance!$B$5:$B$404,A308)))</f>
        <v>0</v>
      </c>
      <c r="AE308" s="23">
        <f>IF(AD308="","",SUMIFS(Performance!$Z$5:$Z$404,Performance!$B$5:$B$404,A308))</f>
        <v>0</v>
      </c>
      <c r="AF308" s="24">
        <f>IF(OR(AD308="",AD308=0),"",AE308/AD308)</f>
        <v>0</v>
      </c>
      <c r="AG308" s="23">
        <f>IF(AD308="","",SUMIFS(Performance!$U$5:$U$404,Performance!$B$5:$B$404,A308))</f>
        <v>0</v>
      </c>
      <c r="AH308" s="23">
        <f>IF(A308="","",COUNTIF(Repurposing!$B$5:$B$154,A308))</f>
        <v>0</v>
      </c>
      <c r="AI308" s="32">
        <f>IF(OR(H308="",B308=""),"",B308+ROW()/100000)</f>
        <v>0</v>
      </c>
      <c r="AJ308" s="32">
        <f>IF(OR(H308="",B308=""),"",IF(OR(X308="Published",X308="Cancelled",X308="Archived"),"",IF(B308&lt;TODAY(),"",B308+ROW()/100000)))</f>
        <v>0</v>
      </c>
      <c r="AK308" s="32">
        <f>IF(OR(H308="",B308=""),"",IF(OR(X308="Published",X308="Cancelled",X308="Archived"),"",IF(B308&gt;=TODAY(),"",B308+ROW()/100000)))</f>
        <v>0</v>
      </c>
      <c r="AL308" s="29">
        <f>IF(H308="","",IF(COUNTIFS('Content Calendar'!$H$5:$H$604,H308,'Content Calendar'!$G$5:$G$604,G308,'Content Calendar'!$B$5:$B$604,B308)&gt;1,"Duplicate","OK"))</f>
        <v>0</v>
      </c>
      <c r="AM308" s="29">
        <f>IF(H308="","",IF(AND(B308&lt;&gt;"",B308&lt;TODAY(),X308&lt;&gt;"Published",X308&lt;&gt;"Cancelled",X308&lt;&gt;"Archived"),"Overdue - date has passed",IF(AND(X308="Published",AB308=""),"Add - publish link missing",IF(AND(B308=TODAY(),X308&lt;&gt;"Published"),"Today - due to go live",IF(AND(Y308&lt;&gt;"",Y308&lt;TODAY(),OR(X308="Idea",X308="Brief",X308="In production")),"Late - draft not ready",IF(AND(AA308&gt;=0,AA308&lt;=3,OR(X308="Draft",X308="Awaiting review")),"Due - needs approval",IF(AND(H308&lt;&gt;"",P308=""),"Add - caption missing","OK")))))))</f>
        <v>0</v>
      </c>
    </row>
    <row r="309" spans="1:39">
      <c r="A309" s="41">
        <f>IF(H309="","",ContentPrefix&amp;TEXT(ROW()-4,"0000"))</f>
        <v>0</v>
      </c>
      <c r="D309" s="17">
        <f>IF(B309="","",TEXT(B309,"yyyy-mm"))</f>
        <v>0</v>
      </c>
      <c r="E309" s="23">
        <f>IF(B309="","",WEEKNUM(B309,IF(WeekStart="Sunday",1,2)))</f>
        <v>0</v>
      </c>
      <c r="F309" s="17">
        <f>IF(B309="","",TEXT(B309,"ddd"))</f>
        <v>0</v>
      </c>
      <c r="Q309" s="29">
        <f>IF(H309="","",IF(P309="","Add - no caption",IFERROR(INDEX('Caption Bank'!$R$5:$R$204,MATCH(P309,'Caption Bank'!$B$5:$B$204,0)),"Check - not in bank")))</f>
        <v>0</v>
      </c>
      <c r="S309" s="23">
        <f>IF(R309="","",COUNTIF('Hashtag Bank'!$D$5:$D$304,R309))</f>
        <v>0</v>
      </c>
      <c r="U309" s="29">
        <f>IF(H309="","",IF(T309="","Add - no asset",IFERROR(INDEX(Assets!$N$5:$N$254,MATCH(T309,Assets!$A$5:$A$254,0)),"Check - not in library")))</f>
        <v>0</v>
      </c>
      <c r="Y309" s="16">
        <f>IF(B309="","",B309-ProductionDays)</f>
        <v>0</v>
      </c>
      <c r="Z309" s="16">
        <f>IF(B309="","",B309-ApprovalDays)</f>
        <v>0</v>
      </c>
      <c r="AA309" s="23">
        <f>IF(B309="","",B309-TODAY())</f>
        <v>0</v>
      </c>
      <c r="AC309" s="29">
        <f>IF(H309="","",IF(X309="Published",IF(AB309="","Add - link missing","Yes"),"No"))</f>
        <v>0</v>
      </c>
      <c r="AD309" s="23">
        <f>IF(A309="","",IF(COUNTIF(Performance!$B$5:$B$404,A309)=0,"",SUMIFS(Performance!$O$5:$O$404,Performance!$B$5:$B$404,A309)))</f>
        <v>0</v>
      </c>
      <c r="AE309" s="23">
        <f>IF(AD309="","",SUMIFS(Performance!$Z$5:$Z$404,Performance!$B$5:$B$404,A309))</f>
        <v>0</v>
      </c>
      <c r="AF309" s="24">
        <f>IF(OR(AD309="",AD309=0),"",AE309/AD309)</f>
        <v>0</v>
      </c>
      <c r="AG309" s="23">
        <f>IF(AD309="","",SUMIFS(Performance!$U$5:$U$404,Performance!$B$5:$B$404,A309))</f>
        <v>0</v>
      </c>
      <c r="AH309" s="23">
        <f>IF(A309="","",COUNTIF(Repurposing!$B$5:$B$154,A309))</f>
        <v>0</v>
      </c>
      <c r="AI309" s="32">
        <f>IF(OR(H309="",B309=""),"",B309+ROW()/100000)</f>
        <v>0</v>
      </c>
      <c r="AJ309" s="32">
        <f>IF(OR(H309="",B309=""),"",IF(OR(X309="Published",X309="Cancelled",X309="Archived"),"",IF(B309&lt;TODAY(),"",B309+ROW()/100000)))</f>
        <v>0</v>
      </c>
      <c r="AK309" s="32">
        <f>IF(OR(H309="",B309=""),"",IF(OR(X309="Published",X309="Cancelled",X309="Archived"),"",IF(B309&gt;=TODAY(),"",B309+ROW()/100000)))</f>
        <v>0</v>
      </c>
      <c r="AL309" s="29">
        <f>IF(H309="","",IF(COUNTIFS('Content Calendar'!$H$5:$H$604,H309,'Content Calendar'!$G$5:$G$604,G309,'Content Calendar'!$B$5:$B$604,B309)&gt;1,"Duplicate","OK"))</f>
        <v>0</v>
      </c>
      <c r="AM309" s="29">
        <f>IF(H309="","",IF(AND(B309&lt;&gt;"",B309&lt;TODAY(),X309&lt;&gt;"Published",X309&lt;&gt;"Cancelled",X309&lt;&gt;"Archived"),"Overdue - date has passed",IF(AND(X309="Published",AB309=""),"Add - publish link missing",IF(AND(B309=TODAY(),X309&lt;&gt;"Published"),"Today - due to go live",IF(AND(Y309&lt;&gt;"",Y309&lt;TODAY(),OR(X309="Idea",X309="Brief",X309="In production")),"Late - draft not ready",IF(AND(AA309&gt;=0,AA309&lt;=3,OR(X309="Draft",X309="Awaiting review")),"Due - needs approval",IF(AND(H309&lt;&gt;"",P309=""),"Add - caption missing","OK")))))))</f>
        <v>0</v>
      </c>
    </row>
    <row r="310" spans="1:39">
      <c r="A310" s="41">
        <f>IF(H310="","",ContentPrefix&amp;TEXT(ROW()-4,"0000"))</f>
        <v>0</v>
      </c>
      <c r="D310" s="17">
        <f>IF(B310="","",TEXT(B310,"yyyy-mm"))</f>
        <v>0</v>
      </c>
      <c r="E310" s="23">
        <f>IF(B310="","",WEEKNUM(B310,IF(WeekStart="Sunday",1,2)))</f>
        <v>0</v>
      </c>
      <c r="F310" s="17">
        <f>IF(B310="","",TEXT(B310,"ddd"))</f>
        <v>0</v>
      </c>
      <c r="Q310" s="29">
        <f>IF(H310="","",IF(P310="","Add - no caption",IFERROR(INDEX('Caption Bank'!$R$5:$R$204,MATCH(P310,'Caption Bank'!$B$5:$B$204,0)),"Check - not in bank")))</f>
        <v>0</v>
      </c>
      <c r="S310" s="23">
        <f>IF(R310="","",COUNTIF('Hashtag Bank'!$D$5:$D$304,R310))</f>
        <v>0</v>
      </c>
      <c r="U310" s="29">
        <f>IF(H310="","",IF(T310="","Add - no asset",IFERROR(INDEX(Assets!$N$5:$N$254,MATCH(T310,Assets!$A$5:$A$254,0)),"Check - not in library")))</f>
        <v>0</v>
      </c>
      <c r="Y310" s="16">
        <f>IF(B310="","",B310-ProductionDays)</f>
        <v>0</v>
      </c>
      <c r="Z310" s="16">
        <f>IF(B310="","",B310-ApprovalDays)</f>
        <v>0</v>
      </c>
      <c r="AA310" s="23">
        <f>IF(B310="","",B310-TODAY())</f>
        <v>0</v>
      </c>
      <c r="AC310" s="29">
        <f>IF(H310="","",IF(X310="Published",IF(AB310="","Add - link missing","Yes"),"No"))</f>
        <v>0</v>
      </c>
      <c r="AD310" s="23">
        <f>IF(A310="","",IF(COUNTIF(Performance!$B$5:$B$404,A310)=0,"",SUMIFS(Performance!$O$5:$O$404,Performance!$B$5:$B$404,A310)))</f>
        <v>0</v>
      </c>
      <c r="AE310" s="23">
        <f>IF(AD310="","",SUMIFS(Performance!$Z$5:$Z$404,Performance!$B$5:$B$404,A310))</f>
        <v>0</v>
      </c>
      <c r="AF310" s="24">
        <f>IF(OR(AD310="",AD310=0),"",AE310/AD310)</f>
        <v>0</v>
      </c>
      <c r="AG310" s="23">
        <f>IF(AD310="","",SUMIFS(Performance!$U$5:$U$404,Performance!$B$5:$B$404,A310))</f>
        <v>0</v>
      </c>
      <c r="AH310" s="23">
        <f>IF(A310="","",COUNTIF(Repurposing!$B$5:$B$154,A310))</f>
        <v>0</v>
      </c>
      <c r="AI310" s="32">
        <f>IF(OR(H310="",B310=""),"",B310+ROW()/100000)</f>
        <v>0</v>
      </c>
      <c r="AJ310" s="32">
        <f>IF(OR(H310="",B310=""),"",IF(OR(X310="Published",X310="Cancelled",X310="Archived"),"",IF(B310&lt;TODAY(),"",B310+ROW()/100000)))</f>
        <v>0</v>
      </c>
      <c r="AK310" s="32">
        <f>IF(OR(H310="",B310=""),"",IF(OR(X310="Published",X310="Cancelled",X310="Archived"),"",IF(B310&gt;=TODAY(),"",B310+ROW()/100000)))</f>
        <v>0</v>
      </c>
      <c r="AL310" s="29">
        <f>IF(H310="","",IF(COUNTIFS('Content Calendar'!$H$5:$H$604,H310,'Content Calendar'!$G$5:$G$604,G310,'Content Calendar'!$B$5:$B$604,B310)&gt;1,"Duplicate","OK"))</f>
        <v>0</v>
      </c>
      <c r="AM310" s="29">
        <f>IF(H310="","",IF(AND(B310&lt;&gt;"",B310&lt;TODAY(),X310&lt;&gt;"Published",X310&lt;&gt;"Cancelled",X310&lt;&gt;"Archived"),"Overdue - date has passed",IF(AND(X310="Published",AB310=""),"Add - publish link missing",IF(AND(B310=TODAY(),X310&lt;&gt;"Published"),"Today - due to go live",IF(AND(Y310&lt;&gt;"",Y310&lt;TODAY(),OR(X310="Idea",X310="Brief",X310="In production")),"Late - draft not ready",IF(AND(AA310&gt;=0,AA310&lt;=3,OR(X310="Draft",X310="Awaiting review")),"Due - needs approval",IF(AND(H310&lt;&gt;"",P310=""),"Add - caption missing","OK")))))))</f>
        <v>0</v>
      </c>
    </row>
    <row r="311" spans="1:39">
      <c r="A311" s="41">
        <f>IF(H311="","",ContentPrefix&amp;TEXT(ROW()-4,"0000"))</f>
        <v>0</v>
      </c>
      <c r="D311" s="17">
        <f>IF(B311="","",TEXT(B311,"yyyy-mm"))</f>
        <v>0</v>
      </c>
      <c r="E311" s="23">
        <f>IF(B311="","",WEEKNUM(B311,IF(WeekStart="Sunday",1,2)))</f>
        <v>0</v>
      </c>
      <c r="F311" s="17">
        <f>IF(B311="","",TEXT(B311,"ddd"))</f>
        <v>0</v>
      </c>
      <c r="Q311" s="29">
        <f>IF(H311="","",IF(P311="","Add - no caption",IFERROR(INDEX('Caption Bank'!$R$5:$R$204,MATCH(P311,'Caption Bank'!$B$5:$B$204,0)),"Check - not in bank")))</f>
        <v>0</v>
      </c>
      <c r="S311" s="23">
        <f>IF(R311="","",COUNTIF('Hashtag Bank'!$D$5:$D$304,R311))</f>
        <v>0</v>
      </c>
      <c r="U311" s="29">
        <f>IF(H311="","",IF(T311="","Add - no asset",IFERROR(INDEX(Assets!$N$5:$N$254,MATCH(T311,Assets!$A$5:$A$254,0)),"Check - not in library")))</f>
        <v>0</v>
      </c>
      <c r="Y311" s="16">
        <f>IF(B311="","",B311-ProductionDays)</f>
        <v>0</v>
      </c>
      <c r="Z311" s="16">
        <f>IF(B311="","",B311-ApprovalDays)</f>
        <v>0</v>
      </c>
      <c r="AA311" s="23">
        <f>IF(B311="","",B311-TODAY())</f>
        <v>0</v>
      </c>
      <c r="AC311" s="29">
        <f>IF(H311="","",IF(X311="Published",IF(AB311="","Add - link missing","Yes"),"No"))</f>
        <v>0</v>
      </c>
      <c r="AD311" s="23">
        <f>IF(A311="","",IF(COUNTIF(Performance!$B$5:$B$404,A311)=0,"",SUMIFS(Performance!$O$5:$O$404,Performance!$B$5:$B$404,A311)))</f>
        <v>0</v>
      </c>
      <c r="AE311" s="23">
        <f>IF(AD311="","",SUMIFS(Performance!$Z$5:$Z$404,Performance!$B$5:$B$404,A311))</f>
        <v>0</v>
      </c>
      <c r="AF311" s="24">
        <f>IF(OR(AD311="",AD311=0),"",AE311/AD311)</f>
        <v>0</v>
      </c>
      <c r="AG311" s="23">
        <f>IF(AD311="","",SUMIFS(Performance!$U$5:$U$404,Performance!$B$5:$B$404,A311))</f>
        <v>0</v>
      </c>
      <c r="AH311" s="23">
        <f>IF(A311="","",COUNTIF(Repurposing!$B$5:$B$154,A311))</f>
        <v>0</v>
      </c>
      <c r="AI311" s="32">
        <f>IF(OR(H311="",B311=""),"",B311+ROW()/100000)</f>
        <v>0</v>
      </c>
      <c r="AJ311" s="32">
        <f>IF(OR(H311="",B311=""),"",IF(OR(X311="Published",X311="Cancelled",X311="Archived"),"",IF(B311&lt;TODAY(),"",B311+ROW()/100000)))</f>
        <v>0</v>
      </c>
      <c r="AK311" s="32">
        <f>IF(OR(H311="",B311=""),"",IF(OR(X311="Published",X311="Cancelled",X311="Archived"),"",IF(B311&gt;=TODAY(),"",B311+ROW()/100000)))</f>
        <v>0</v>
      </c>
      <c r="AL311" s="29">
        <f>IF(H311="","",IF(COUNTIFS('Content Calendar'!$H$5:$H$604,H311,'Content Calendar'!$G$5:$G$604,G311,'Content Calendar'!$B$5:$B$604,B311)&gt;1,"Duplicate","OK"))</f>
        <v>0</v>
      </c>
      <c r="AM311" s="29">
        <f>IF(H311="","",IF(AND(B311&lt;&gt;"",B311&lt;TODAY(),X311&lt;&gt;"Published",X311&lt;&gt;"Cancelled",X311&lt;&gt;"Archived"),"Overdue - date has passed",IF(AND(X311="Published",AB311=""),"Add - publish link missing",IF(AND(B311=TODAY(),X311&lt;&gt;"Published"),"Today - due to go live",IF(AND(Y311&lt;&gt;"",Y311&lt;TODAY(),OR(X311="Idea",X311="Brief",X311="In production")),"Late - draft not ready",IF(AND(AA311&gt;=0,AA311&lt;=3,OR(X311="Draft",X311="Awaiting review")),"Due - needs approval",IF(AND(H311&lt;&gt;"",P311=""),"Add - caption missing","OK")))))))</f>
        <v>0</v>
      </c>
    </row>
    <row r="312" spans="1:39">
      <c r="A312" s="41">
        <f>IF(H312="","",ContentPrefix&amp;TEXT(ROW()-4,"0000"))</f>
        <v>0</v>
      </c>
      <c r="D312" s="17">
        <f>IF(B312="","",TEXT(B312,"yyyy-mm"))</f>
        <v>0</v>
      </c>
      <c r="E312" s="23">
        <f>IF(B312="","",WEEKNUM(B312,IF(WeekStart="Sunday",1,2)))</f>
        <v>0</v>
      </c>
      <c r="F312" s="17">
        <f>IF(B312="","",TEXT(B312,"ddd"))</f>
        <v>0</v>
      </c>
      <c r="Q312" s="29">
        <f>IF(H312="","",IF(P312="","Add - no caption",IFERROR(INDEX('Caption Bank'!$R$5:$R$204,MATCH(P312,'Caption Bank'!$B$5:$B$204,0)),"Check - not in bank")))</f>
        <v>0</v>
      </c>
      <c r="S312" s="23">
        <f>IF(R312="","",COUNTIF('Hashtag Bank'!$D$5:$D$304,R312))</f>
        <v>0</v>
      </c>
      <c r="U312" s="29">
        <f>IF(H312="","",IF(T312="","Add - no asset",IFERROR(INDEX(Assets!$N$5:$N$254,MATCH(T312,Assets!$A$5:$A$254,0)),"Check - not in library")))</f>
        <v>0</v>
      </c>
      <c r="Y312" s="16">
        <f>IF(B312="","",B312-ProductionDays)</f>
        <v>0</v>
      </c>
      <c r="Z312" s="16">
        <f>IF(B312="","",B312-ApprovalDays)</f>
        <v>0</v>
      </c>
      <c r="AA312" s="23">
        <f>IF(B312="","",B312-TODAY())</f>
        <v>0</v>
      </c>
      <c r="AC312" s="29">
        <f>IF(H312="","",IF(X312="Published",IF(AB312="","Add - link missing","Yes"),"No"))</f>
        <v>0</v>
      </c>
      <c r="AD312" s="23">
        <f>IF(A312="","",IF(COUNTIF(Performance!$B$5:$B$404,A312)=0,"",SUMIFS(Performance!$O$5:$O$404,Performance!$B$5:$B$404,A312)))</f>
        <v>0</v>
      </c>
      <c r="AE312" s="23">
        <f>IF(AD312="","",SUMIFS(Performance!$Z$5:$Z$404,Performance!$B$5:$B$404,A312))</f>
        <v>0</v>
      </c>
      <c r="AF312" s="24">
        <f>IF(OR(AD312="",AD312=0),"",AE312/AD312)</f>
        <v>0</v>
      </c>
      <c r="AG312" s="23">
        <f>IF(AD312="","",SUMIFS(Performance!$U$5:$U$404,Performance!$B$5:$B$404,A312))</f>
        <v>0</v>
      </c>
      <c r="AH312" s="23">
        <f>IF(A312="","",COUNTIF(Repurposing!$B$5:$B$154,A312))</f>
        <v>0</v>
      </c>
      <c r="AI312" s="32">
        <f>IF(OR(H312="",B312=""),"",B312+ROW()/100000)</f>
        <v>0</v>
      </c>
      <c r="AJ312" s="32">
        <f>IF(OR(H312="",B312=""),"",IF(OR(X312="Published",X312="Cancelled",X312="Archived"),"",IF(B312&lt;TODAY(),"",B312+ROW()/100000)))</f>
        <v>0</v>
      </c>
      <c r="AK312" s="32">
        <f>IF(OR(H312="",B312=""),"",IF(OR(X312="Published",X312="Cancelled",X312="Archived"),"",IF(B312&gt;=TODAY(),"",B312+ROW()/100000)))</f>
        <v>0</v>
      </c>
      <c r="AL312" s="29">
        <f>IF(H312="","",IF(COUNTIFS('Content Calendar'!$H$5:$H$604,H312,'Content Calendar'!$G$5:$G$604,G312,'Content Calendar'!$B$5:$B$604,B312)&gt;1,"Duplicate","OK"))</f>
        <v>0</v>
      </c>
      <c r="AM312" s="29">
        <f>IF(H312="","",IF(AND(B312&lt;&gt;"",B312&lt;TODAY(),X312&lt;&gt;"Published",X312&lt;&gt;"Cancelled",X312&lt;&gt;"Archived"),"Overdue - date has passed",IF(AND(X312="Published",AB312=""),"Add - publish link missing",IF(AND(B312=TODAY(),X312&lt;&gt;"Published"),"Today - due to go live",IF(AND(Y312&lt;&gt;"",Y312&lt;TODAY(),OR(X312="Idea",X312="Brief",X312="In production")),"Late - draft not ready",IF(AND(AA312&gt;=0,AA312&lt;=3,OR(X312="Draft",X312="Awaiting review")),"Due - needs approval",IF(AND(H312&lt;&gt;"",P312=""),"Add - caption missing","OK")))))))</f>
        <v>0</v>
      </c>
    </row>
    <row r="313" spans="1:39">
      <c r="A313" s="41">
        <f>IF(H313="","",ContentPrefix&amp;TEXT(ROW()-4,"0000"))</f>
        <v>0</v>
      </c>
      <c r="D313" s="17">
        <f>IF(B313="","",TEXT(B313,"yyyy-mm"))</f>
        <v>0</v>
      </c>
      <c r="E313" s="23">
        <f>IF(B313="","",WEEKNUM(B313,IF(WeekStart="Sunday",1,2)))</f>
        <v>0</v>
      </c>
      <c r="F313" s="17">
        <f>IF(B313="","",TEXT(B313,"ddd"))</f>
        <v>0</v>
      </c>
      <c r="Q313" s="29">
        <f>IF(H313="","",IF(P313="","Add - no caption",IFERROR(INDEX('Caption Bank'!$R$5:$R$204,MATCH(P313,'Caption Bank'!$B$5:$B$204,0)),"Check - not in bank")))</f>
        <v>0</v>
      </c>
      <c r="S313" s="23">
        <f>IF(R313="","",COUNTIF('Hashtag Bank'!$D$5:$D$304,R313))</f>
        <v>0</v>
      </c>
      <c r="U313" s="29">
        <f>IF(H313="","",IF(T313="","Add - no asset",IFERROR(INDEX(Assets!$N$5:$N$254,MATCH(T313,Assets!$A$5:$A$254,0)),"Check - not in library")))</f>
        <v>0</v>
      </c>
      <c r="Y313" s="16">
        <f>IF(B313="","",B313-ProductionDays)</f>
        <v>0</v>
      </c>
      <c r="Z313" s="16">
        <f>IF(B313="","",B313-ApprovalDays)</f>
        <v>0</v>
      </c>
      <c r="AA313" s="23">
        <f>IF(B313="","",B313-TODAY())</f>
        <v>0</v>
      </c>
      <c r="AC313" s="29">
        <f>IF(H313="","",IF(X313="Published",IF(AB313="","Add - link missing","Yes"),"No"))</f>
        <v>0</v>
      </c>
      <c r="AD313" s="23">
        <f>IF(A313="","",IF(COUNTIF(Performance!$B$5:$B$404,A313)=0,"",SUMIFS(Performance!$O$5:$O$404,Performance!$B$5:$B$404,A313)))</f>
        <v>0</v>
      </c>
      <c r="AE313" s="23">
        <f>IF(AD313="","",SUMIFS(Performance!$Z$5:$Z$404,Performance!$B$5:$B$404,A313))</f>
        <v>0</v>
      </c>
      <c r="AF313" s="24">
        <f>IF(OR(AD313="",AD313=0),"",AE313/AD313)</f>
        <v>0</v>
      </c>
      <c r="AG313" s="23">
        <f>IF(AD313="","",SUMIFS(Performance!$U$5:$U$404,Performance!$B$5:$B$404,A313))</f>
        <v>0</v>
      </c>
      <c r="AH313" s="23">
        <f>IF(A313="","",COUNTIF(Repurposing!$B$5:$B$154,A313))</f>
        <v>0</v>
      </c>
      <c r="AI313" s="32">
        <f>IF(OR(H313="",B313=""),"",B313+ROW()/100000)</f>
        <v>0</v>
      </c>
      <c r="AJ313" s="32">
        <f>IF(OR(H313="",B313=""),"",IF(OR(X313="Published",X313="Cancelled",X313="Archived"),"",IF(B313&lt;TODAY(),"",B313+ROW()/100000)))</f>
        <v>0</v>
      </c>
      <c r="AK313" s="32">
        <f>IF(OR(H313="",B313=""),"",IF(OR(X313="Published",X313="Cancelled",X313="Archived"),"",IF(B313&gt;=TODAY(),"",B313+ROW()/100000)))</f>
        <v>0</v>
      </c>
      <c r="AL313" s="29">
        <f>IF(H313="","",IF(COUNTIFS('Content Calendar'!$H$5:$H$604,H313,'Content Calendar'!$G$5:$G$604,G313,'Content Calendar'!$B$5:$B$604,B313)&gt;1,"Duplicate","OK"))</f>
        <v>0</v>
      </c>
      <c r="AM313" s="29">
        <f>IF(H313="","",IF(AND(B313&lt;&gt;"",B313&lt;TODAY(),X313&lt;&gt;"Published",X313&lt;&gt;"Cancelled",X313&lt;&gt;"Archived"),"Overdue - date has passed",IF(AND(X313="Published",AB313=""),"Add - publish link missing",IF(AND(B313=TODAY(),X313&lt;&gt;"Published"),"Today - due to go live",IF(AND(Y313&lt;&gt;"",Y313&lt;TODAY(),OR(X313="Idea",X313="Brief",X313="In production")),"Late - draft not ready",IF(AND(AA313&gt;=0,AA313&lt;=3,OR(X313="Draft",X313="Awaiting review")),"Due - needs approval",IF(AND(H313&lt;&gt;"",P313=""),"Add - caption missing","OK")))))))</f>
        <v>0</v>
      </c>
    </row>
    <row r="314" spans="1:39">
      <c r="A314" s="41">
        <f>IF(H314="","",ContentPrefix&amp;TEXT(ROW()-4,"0000"))</f>
        <v>0</v>
      </c>
      <c r="D314" s="17">
        <f>IF(B314="","",TEXT(B314,"yyyy-mm"))</f>
        <v>0</v>
      </c>
      <c r="E314" s="23">
        <f>IF(B314="","",WEEKNUM(B314,IF(WeekStart="Sunday",1,2)))</f>
        <v>0</v>
      </c>
      <c r="F314" s="17">
        <f>IF(B314="","",TEXT(B314,"ddd"))</f>
        <v>0</v>
      </c>
      <c r="Q314" s="29">
        <f>IF(H314="","",IF(P314="","Add - no caption",IFERROR(INDEX('Caption Bank'!$R$5:$R$204,MATCH(P314,'Caption Bank'!$B$5:$B$204,0)),"Check - not in bank")))</f>
        <v>0</v>
      </c>
      <c r="S314" s="23">
        <f>IF(R314="","",COUNTIF('Hashtag Bank'!$D$5:$D$304,R314))</f>
        <v>0</v>
      </c>
      <c r="U314" s="29">
        <f>IF(H314="","",IF(T314="","Add - no asset",IFERROR(INDEX(Assets!$N$5:$N$254,MATCH(T314,Assets!$A$5:$A$254,0)),"Check - not in library")))</f>
        <v>0</v>
      </c>
      <c r="Y314" s="16">
        <f>IF(B314="","",B314-ProductionDays)</f>
        <v>0</v>
      </c>
      <c r="Z314" s="16">
        <f>IF(B314="","",B314-ApprovalDays)</f>
        <v>0</v>
      </c>
      <c r="AA314" s="23">
        <f>IF(B314="","",B314-TODAY())</f>
        <v>0</v>
      </c>
      <c r="AC314" s="29">
        <f>IF(H314="","",IF(X314="Published",IF(AB314="","Add - link missing","Yes"),"No"))</f>
        <v>0</v>
      </c>
      <c r="AD314" s="23">
        <f>IF(A314="","",IF(COUNTIF(Performance!$B$5:$B$404,A314)=0,"",SUMIFS(Performance!$O$5:$O$404,Performance!$B$5:$B$404,A314)))</f>
        <v>0</v>
      </c>
      <c r="AE314" s="23">
        <f>IF(AD314="","",SUMIFS(Performance!$Z$5:$Z$404,Performance!$B$5:$B$404,A314))</f>
        <v>0</v>
      </c>
      <c r="AF314" s="24">
        <f>IF(OR(AD314="",AD314=0),"",AE314/AD314)</f>
        <v>0</v>
      </c>
      <c r="AG314" s="23">
        <f>IF(AD314="","",SUMIFS(Performance!$U$5:$U$404,Performance!$B$5:$B$404,A314))</f>
        <v>0</v>
      </c>
      <c r="AH314" s="23">
        <f>IF(A314="","",COUNTIF(Repurposing!$B$5:$B$154,A314))</f>
        <v>0</v>
      </c>
      <c r="AI314" s="32">
        <f>IF(OR(H314="",B314=""),"",B314+ROW()/100000)</f>
        <v>0</v>
      </c>
      <c r="AJ314" s="32">
        <f>IF(OR(H314="",B314=""),"",IF(OR(X314="Published",X314="Cancelled",X314="Archived"),"",IF(B314&lt;TODAY(),"",B314+ROW()/100000)))</f>
        <v>0</v>
      </c>
      <c r="AK314" s="32">
        <f>IF(OR(H314="",B314=""),"",IF(OR(X314="Published",X314="Cancelled",X314="Archived"),"",IF(B314&gt;=TODAY(),"",B314+ROW()/100000)))</f>
        <v>0</v>
      </c>
      <c r="AL314" s="29">
        <f>IF(H314="","",IF(COUNTIFS('Content Calendar'!$H$5:$H$604,H314,'Content Calendar'!$G$5:$G$604,G314,'Content Calendar'!$B$5:$B$604,B314)&gt;1,"Duplicate","OK"))</f>
        <v>0</v>
      </c>
      <c r="AM314" s="29">
        <f>IF(H314="","",IF(AND(B314&lt;&gt;"",B314&lt;TODAY(),X314&lt;&gt;"Published",X314&lt;&gt;"Cancelled",X314&lt;&gt;"Archived"),"Overdue - date has passed",IF(AND(X314="Published",AB314=""),"Add - publish link missing",IF(AND(B314=TODAY(),X314&lt;&gt;"Published"),"Today - due to go live",IF(AND(Y314&lt;&gt;"",Y314&lt;TODAY(),OR(X314="Idea",X314="Brief",X314="In production")),"Late - draft not ready",IF(AND(AA314&gt;=0,AA314&lt;=3,OR(X314="Draft",X314="Awaiting review")),"Due - needs approval",IF(AND(H314&lt;&gt;"",P314=""),"Add - caption missing","OK")))))))</f>
        <v>0</v>
      </c>
    </row>
    <row r="315" spans="1:39">
      <c r="A315" s="41">
        <f>IF(H315="","",ContentPrefix&amp;TEXT(ROW()-4,"0000"))</f>
        <v>0</v>
      </c>
      <c r="D315" s="17">
        <f>IF(B315="","",TEXT(B315,"yyyy-mm"))</f>
        <v>0</v>
      </c>
      <c r="E315" s="23">
        <f>IF(B315="","",WEEKNUM(B315,IF(WeekStart="Sunday",1,2)))</f>
        <v>0</v>
      </c>
      <c r="F315" s="17">
        <f>IF(B315="","",TEXT(B315,"ddd"))</f>
        <v>0</v>
      </c>
      <c r="Q315" s="29">
        <f>IF(H315="","",IF(P315="","Add - no caption",IFERROR(INDEX('Caption Bank'!$R$5:$R$204,MATCH(P315,'Caption Bank'!$B$5:$B$204,0)),"Check - not in bank")))</f>
        <v>0</v>
      </c>
      <c r="S315" s="23">
        <f>IF(R315="","",COUNTIF('Hashtag Bank'!$D$5:$D$304,R315))</f>
        <v>0</v>
      </c>
      <c r="U315" s="29">
        <f>IF(H315="","",IF(T315="","Add - no asset",IFERROR(INDEX(Assets!$N$5:$N$254,MATCH(T315,Assets!$A$5:$A$254,0)),"Check - not in library")))</f>
        <v>0</v>
      </c>
      <c r="Y315" s="16">
        <f>IF(B315="","",B315-ProductionDays)</f>
        <v>0</v>
      </c>
      <c r="Z315" s="16">
        <f>IF(B315="","",B315-ApprovalDays)</f>
        <v>0</v>
      </c>
      <c r="AA315" s="23">
        <f>IF(B315="","",B315-TODAY())</f>
        <v>0</v>
      </c>
      <c r="AC315" s="29">
        <f>IF(H315="","",IF(X315="Published",IF(AB315="","Add - link missing","Yes"),"No"))</f>
        <v>0</v>
      </c>
      <c r="AD315" s="23">
        <f>IF(A315="","",IF(COUNTIF(Performance!$B$5:$B$404,A315)=0,"",SUMIFS(Performance!$O$5:$O$404,Performance!$B$5:$B$404,A315)))</f>
        <v>0</v>
      </c>
      <c r="AE315" s="23">
        <f>IF(AD315="","",SUMIFS(Performance!$Z$5:$Z$404,Performance!$B$5:$B$404,A315))</f>
        <v>0</v>
      </c>
      <c r="AF315" s="24">
        <f>IF(OR(AD315="",AD315=0),"",AE315/AD315)</f>
        <v>0</v>
      </c>
      <c r="AG315" s="23">
        <f>IF(AD315="","",SUMIFS(Performance!$U$5:$U$404,Performance!$B$5:$B$404,A315))</f>
        <v>0</v>
      </c>
      <c r="AH315" s="23">
        <f>IF(A315="","",COUNTIF(Repurposing!$B$5:$B$154,A315))</f>
        <v>0</v>
      </c>
      <c r="AI315" s="32">
        <f>IF(OR(H315="",B315=""),"",B315+ROW()/100000)</f>
        <v>0</v>
      </c>
      <c r="AJ315" s="32">
        <f>IF(OR(H315="",B315=""),"",IF(OR(X315="Published",X315="Cancelled",X315="Archived"),"",IF(B315&lt;TODAY(),"",B315+ROW()/100000)))</f>
        <v>0</v>
      </c>
      <c r="AK315" s="32">
        <f>IF(OR(H315="",B315=""),"",IF(OR(X315="Published",X315="Cancelled",X315="Archived"),"",IF(B315&gt;=TODAY(),"",B315+ROW()/100000)))</f>
        <v>0</v>
      </c>
      <c r="AL315" s="29">
        <f>IF(H315="","",IF(COUNTIFS('Content Calendar'!$H$5:$H$604,H315,'Content Calendar'!$G$5:$G$604,G315,'Content Calendar'!$B$5:$B$604,B315)&gt;1,"Duplicate","OK"))</f>
        <v>0</v>
      </c>
      <c r="AM315" s="29">
        <f>IF(H315="","",IF(AND(B315&lt;&gt;"",B315&lt;TODAY(),X315&lt;&gt;"Published",X315&lt;&gt;"Cancelled",X315&lt;&gt;"Archived"),"Overdue - date has passed",IF(AND(X315="Published",AB315=""),"Add - publish link missing",IF(AND(B315=TODAY(),X315&lt;&gt;"Published"),"Today - due to go live",IF(AND(Y315&lt;&gt;"",Y315&lt;TODAY(),OR(X315="Idea",X315="Brief",X315="In production")),"Late - draft not ready",IF(AND(AA315&gt;=0,AA315&lt;=3,OR(X315="Draft",X315="Awaiting review")),"Due - needs approval",IF(AND(H315&lt;&gt;"",P315=""),"Add - caption missing","OK")))))))</f>
        <v>0</v>
      </c>
    </row>
    <row r="316" spans="1:39">
      <c r="A316" s="41">
        <f>IF(H316="","",ContentPrefix&amp;TEXT(ROW()-4,"0000"))</f>
        <v>0</v>
      </c>
      <c r="D316" s="17">
        <f>IF(B316="","",TEXT(B316,"yyyy-mm"))</f>
        <v>0</v>
      </c>
      <c r="E316" s="23">
        <f>IF(B316="","",WEEKNUM(B316,IF(WeekStart="Sunday",1,2)))</f>
        <v>0</v>
      </c>
      <c r="F316" s="17">
        <f>IF(B316="","",TEXT(B316,"ddd"))</f>
        <v>0</v>
      </c>
      <c r="Q316" s="29">
        <f>IF(H316="","",IF(P316="","Add - no caption",IFERROR(INDEX('Caption Bank'!$R$5:$R$204,MATCH(P316,'Caption Bank'!$B$5:$B$204,0)),"Check - not in bank")))</f>
        <v>0</v>
      </c>
      <c r="S316" s="23">
        <f>IF(R316="","",COUNTIF('Hashtag Bank'!$D$5:$D$304,R316))</f>
        <v>0</v>
      </c>
      <c r="U316" s="29">
        <f>IF(H316="","",IF(T316="","Add - no asset",IFERROR(INDEX(Assets!$N$5:$N$254,MATCH(T316,Assets!$A$5:$A$254,0)),"Check - not in library")))</f>
        <v>0</v>
      </c>
      <c r="Y316" s="16">
        <f>IF(B316="","",B316-ProductionDays)</f>
        <v>0</v>
      </c>
      <c r="Z316" s="16">
        <f>IF(B316="","",B316-ApprovalDays)</f>
        <v>0</v>
      </c>
      <c r="AA316" s="23">
        <f>IF(B316="","",B316-TODAY())</f>
        <v>0</v>
      </c>
      <c r="AC316" s="29">
        <f>IF(H316="","",IF(X316="Published",IF(AB316="","Add - link missing","Yes"),"No"))</f>
        <v>0</v>
      </c>
      <c r="AD316" s="23">
        <f>IF(A316="","",IF(COUNTIF(Performance!$B$5:$B$404,A316)=0,"",SUMIFS(Performance!$O$5:$O$404,Performance!$B$5:$B$404,A316)))</f>
        <v>0</v>
      </c>
      <c r="AE316" s="23">
        <f>IF(AD316="","",SUMIFS(Performance!$Z$5:$Z$404,Performance!$B$5:$B$404,A316))</f>
        <v>0</v>
      </c>
      <c r="AF316" s="24">
        <f>IF(OR(AD316="",AD316=0),"",AE316/AD316)</f>
        <v>0</v>
      </c>
      <c r="AG316" s="23">
        <f>IF(AD316="","",SUMIFS(Performance!$U$5:$U$404,Performance!$B$5:$B$404,A316))</f>
        <v>0</v>
      </c>
      <c r="AH316" s="23">
        <f>IF(A316="","",COUNTIF(Repurposing!$B$5:$B$154,A316))</f>
        <v>0</v>
      </c>
      <c r="AI316" s="32">
        <f>IF(OR(H316="",B316=""),"",B316+ROW()/100000)</f>
        <v>0</v>
      </c>
      <c r="AJ316" s="32">
        <f>IF(OR(H316="",B316=""),"",IF(OR(X316="Published",X316="Cancelled",X316="Archived"),"",IF(B316&lt;TODAY(),"",B316+ROW()/100000)))</f>
        <v>0</v>
      </c>
      <c r="AK316" s="32">
        <f>IF(OR(H316="",B316=""),"",IF(OR(X316="Published",X316="Cancelled",X316="Archived"),"",IF(B316&gt;=TODAY(),"",B316+ROW()/100000)))</f>
        <v>0</v>
      </c>
      <c r="AL316" s="29">
        <f>IF(H316="","",IF(COUNTIFS('Content Calendar'!$H$5:$H$604,H316,'Content Calendar'!$G$5:$G$604,G316,'Content Calendar'!$B$5:$B$604,B316)&gt;1,"Duplicate","OK"))</f>
        <v>0</v>
      </c>
      <c r="AM316" s="29">
        <f>IF(H316="","",IF(AND(B316&lt;&gt;"",B316&lt;TODAY(),X316&lt;&gt;"Published",X316&lt;&gt;"Cancelled",X316&lt;&gt;"Archived"),"Overdue - date has passed",IF(AND(X316="Published",AB316=""),"Add - publish link missing",IF(AND(B316=TODAY(),X316&lt;&gt;"Published"),"Today - due to go live",IF(AND(Y316&lt;&gt;"",Y316&lt;TODAY(),OR(X316="Idea",X316="Brief",X316="In production")),"Late - draft not ready",IF(AND(AA316&gt;=0,AA316&lt;=3,OR(X316="Draft",X316="Awaiting review")),"Due - needs approval",IF(AND(H316&lt;&gt;"",P316=""),"Add - caption missing","OK")))))))</f>
        <v>0</v>
      </c>
    </row>
    <row r="317" spans="1:39">
      <c r="A317" s="41">
        <f>IF(H317="","",ContentPrefix&amp;TEXT(ROW()-4,"0000"))</f>
        <v>0</v>
      </c>
      <c r="D317" s="17">
        <f>IF(B317="","",TEXT(B317,"yyyy-mm"))</f>
        <v>0</v>
      </c>
      <c r="E317" s="23">
        <f>IF(B317="","",WEEKNUM(B317,IF(WeekStart="Sunday",1,2)))</f>
        <v>0</v>
      </c>
      <c r="F317" s="17">
        <f>IF(B317="","",TEXT(B317,"ddd"))</f>
        <v>0</v>
      </c>
      <c r="Q317" s="29">
        <f>IF(H317="","",IF(P317="","Add - no caption",IFERROR(INDEX('Caption Bank'!$R$5:$R$204,MATCH(P317,'Caption Bank'!$B$5:$B$204,0)),"Check - not in bank")))</f>
        <v>0</v>
      </c>
      <c r="S317" s="23">
        <f>IF(R317="","",COUNTIF('Hashtag Bank'!$D$5:$D$304,R317))</f>
        <v>0</v>
      </c>
      <c r="U317" s="29">
        <f>IF(H317="","",IF(T317="","Add - no asset",IFERROR(INDEX(Assets!$N$5:$N$254,MATCH(T317,Assets!$A$5:$A$254,0)),"Check - not in library")))</f>
        <v>0</v>
      </c>
      <c r="Y317" s="16">
        <f>IF(B317="","",B317-ProductionDays)</f>
        <v>0</v>
      </c>
      <c r="Z317" s="16">
        <f>IF(B317="","",B317-ApprovalDays)</f>
        <v>0</v>
      </c>
      <c r="AA317" s="23">
        <f>IF(B317="","",B317-TODAY())</f>
        <v>0</v>
      </c>
      <c r="AC317" s="29">
        <f>IF(H317="","",IF(X317="Published",IF(AB317="","Add - link missing","Yes"),"No"))</f>
        <v>0</v>
      </c>
      <c r="AD317" s="23">
        <f>IF(A317="","",IF(COUNTIF(Performance!$B$5:$B$404,A317)=0,"",SUMIFS(Performance!$O$5:$O$404,Performance!$B$5:$B$404,A317)))</f>
        <v>0</v>
      </c>
      <c r="AE317" s="23">
        <f>IF(AD317="","",SUMIFS(Performance!$Z$5:$Z$404,Performance!$B$5:$B$404,A317))</f>
        <v>0</v>
      </c>
      <c r="AF317" s="24">
        <f>IF(OR(AD317="",AD317=0),"",AE317/AD317)</f>
        <v>0</v>
      </c>
      <c r="AG317" s="23">
        <f>IF(AD317="","",SUMIFS(Performance!$U$5:$U$404,Performance!$B$5:$B$404,A317))</f>
        <v>0</v>
      </c>
      <c r="AH317" s="23">
        <f>IF(A317="","",COUNTIF(Repurposing!$B$5:$B$154,A317))</f>
        <v>0</v>
      </c>
      <c r="AI317" s="32">
        <f>IF(OR(H317="",B317=""),"",B317+ROW()/100000)</f>
        <v>0</v>
      </c>
      <c r="AJ317" s="32">
        <f>IF(OR(H317="",B317=""),"",IF(OR(X317="Published",X317="Cancelled",X317="Archived"),"",IF(B317&lt;TODAY(),"",B317+ROW()/100000)))</f>
        <v>0</v>
      </c>
      <c r="AK317" s="32">
        <f>IF(OR(H317="",B317=""),"",IF(OR(X317="Published",X317="Cancelled",X317="Archived"),"",IF(B317&gt;=TODAY(),"",B317+ROW()/100000)))</f>
        <v>0</v>
      </c>
      <c r="AL317" s="29">
        <f>IF(H317="","",IF(COUNTIFS('Content Calendar'!$H$5:$H$604,H317,'Content Calendar'!$G$5:$G$604,G317,'Content Calendar'!$B$5:$B$604,B317)&gt;1,"Duplicate","OK"))</f>
        <v>0</v>
      </c>
      <c r="AM317" s="29">
        <f>IF(H317="","",IF(AND(B317&lt;&gt;"",B317&lt;TODAY(),X317&lt;&gt;"Published",X317&lt;&gt;"Cancelled",X317&lt;&gt;"Archived"),"Overdue - date has passed",IF(AND(X317="Published",AB317=""),"Add - publish link missing",IF(AND(B317=TODAY(),X317&lt;&gt;"Published"),"Today - due to go live",IF(AND(Y317&lt;&gt;"",Y317&lt;TODAY(),OR(X317="Idea",X317="Brief",X317="In production")),"Late - draft not ready",IF(AND(AA317&gt;=0,AA317&lt;=3,OR(X317="Draft",X317="Awaiting review")),"Due - needs approval",IF(AND(H317&lt;&gt;"",P317=""),"Add - caption missing","OK")))))))</f>
        <v>0</v>
      </c>
    </row>
    <row r="318" spans="1:39">
      <c r="A318" s="41">
        <f>IF(H318="","",ContentPrefix&amp;TEXT(ROW()-4,"0000"))</f>
        <v>0</v>
      </c>
      <c r="D318" s="17">
        <f>IF(B318="","",TEXT(B318,"yyyy-mm"))</f>
        <v>0</v>
      </c>
      <c r="E318" s="23">
        <f>IF(B318="","",WEEKNUM(B318,IF(WeekStart="Sunday",1,2)))</f>
        <v>0</v>
      </c>
      <c r="F318" s="17">
        <f>IF(B318="","",TEXT(B318,"ddd"))</f>
        <v>0</v>
      </c>
      <c r="Q318" s="29">
        <f>IF(H318="","",IF(P318="","Add - no caption",IFERROR(INDEX('Caption Bank'!$R$5:$R$204,MATCH(P318,'Caption Bank'!$B$5:$B$204,0)),"Check - not in bank")))</f>
        <v>0</v>
      </c>
      <c r="S318" s="23">
        <f>IF(R318="","",COUNTIF('Hashtag Bank'!$D$5:$D$304,R318))</f>
        <v>0</v>
      </c>
      <c r="U318" s="29">
        <f>IF(H318="","",IF(T318="","Add - no asset",IFERROR(INDEX(Assets!$N$5:$N$254,MATCH(T318,Assets!$A$5:$A$254,0)),"Check - not in library")))</f>
        <v>0</v>
      </c>
      <c r="Y318" s="16">
        <f>IF(B318="","",B318-ProductionDays)</f>
        <v>0</v>
      </c>
      <c r="Z318" s="16">
        <f>IF(B318="","",B318-ApprovalDays)</f>
        <v>0</v>
      </c>
      <c r="AA318" s="23">
        <f>IF(B318="","",B318-TODAY())</f>
        <v>0</v>
      </c>
      <c r="AC318" s="29">
        <f>IF(H318="","",IF(X318="Published",IF(AB318="","Add - link missing","Yes"),"No"))</f>
        <v>0</v>
      </c>
      <c r="AD318" s="23">
        <f>IF(A318="","",IF(COUNTIF(Performance!$B$5:$B$404,A318)=0,"",SUMIFS(Performance!$O$5:$O$404,Performance!$B$5:$B$404,A318)))</f>
        <v>0</v>
      </c>
      <c r="AE318" s="23">
        <f>IF(AD318="","",SUMIFS(Performance!$Z$5:$Z$404,Performance!$B$5:$B$404,A318))</f>
        <v>0</v>
      </c>
      <c r="AF318" s="24">
        <f>IF(OR(AD318="",AD318=0),"",AE318/AD318)</f>
        <v>0</v>
      </c>
      <c r="AG318" s="23">
        <f>IF(AD318="","",SUMIFS(Performance!$U$5:$U$404,Performance!$B$5:$B$404,A318))</f>
        <v>0</v>
      </c>
      <c r="AH318" s="23">
        <f>IF(A318="","",COUNTIF(Repurposing!$B$5:$B$154,A318))</f>
        <v>0</v>
      </c>
      <c r="AI318" s="32">
        <f>IF(OR(H318="",B318=""),"",B318+ROW()/100000)</f>
        <v>0</v>
      </c>
      <c r="AJ318" s="32">
        <f>IF(OR(H318="",B318=""),"",IF(OR(X318="Published",X318="Cancelled",X318="Archived"),"",IF(B318&lt;TODAY(),"",B318+ROW()/100000)))</f>
        <v>0</v>
      </c>
      <c r="AK318" s="32">
        <f>IF(OR(H318="",B318=""),"",IF(OR(X318="Published",X318="Cancelled",X318="Archived"),"",IF(B318&gt;=TODAY(),"",B318+ROW()/100000)))</f>
        <v>0</v>
      </c>
      <c r="AL318" s="29">
        <f>IF(H318="","",IF(COUNTIFS('Content Calendar'!$H$5:$H$604,H318,'Content Calendar'!$G$5:$G$604,G318,'Content Calendar'!$B$5:$B$604,B318)&gt;1,"Duplicate","OK"))</f>
        <v>0</v>
      </c>
      <c r="AM318" s="29">
        <f>IF(H318="","",IF(AND(B318&lt;&gt;"",B318&lt;TODAY(),X318&lt;&gt;"Published",X318&lt;&gt;"Cancelled",X318&lt;&gt;"Archived"),"Overdue - date has passed",IF(AND(X318="Published",AB318=""),"Add - publish link missing",IF(AND(B318=TODAY(),X318&lt;&gt;"Published"),"Today - due to go live",IF(AND(Y318&lt;&gt;"",Y318&lt;TODAY(),OR(X318="Idea",X318="Brief",X318="In production")),"Late - draft not ready",IF(AND(AA318&gt;=0,AA318&lt;=3,OR(X318="Draft",X318="Awaiting review")),"Due - needs approval",IF(AND(H318&lt;&gt;"",P318=""),"Add - caption missing","OK")))))))</f>
        <v>0</v>
      </c>
    </row>
    <row r="319" spans="1:39">
      <c r="A319" s="41">
        <f>IF(H319="","",ContentPrefix&amp;TEXT(ROW()-4,"0000"))</f>
        <v>0</v>
      </c>
      <c r="D319" s="17">
        <f>IF(B319="","",TEXT(B319,"yyyy-mm"))</f>
        <v>0</v>
      </c>
      <c r="E319" s="23">
        <f>IF(B319="","",WEEKNUM(B319,IF(WeekStart="Sunday",1,2)))</f>
        <v>0</v>
      </c>
      <c r="F319" s="17">
        <f>IF(B319="","",TEXT(B319,"ddd"))</f>
        <v>0</v>
      </c>
      <c r="Q319" s="29">
        <f>IF(H319="","",IF(P319="","Add - no caption",IFERROR(INDEX('Caption Bank'!$R$5:$R$204,MATCH(P319,'Caption Bank'!$B$5:$B$204,0)),"Check - not in bank")))</f>
        <v>0</v>
      </c>
      <c r="S319" s="23">
        <f>IF(R319="","",COUNTIF('Hashtag Bank'!$D$5:$D$304,R319))</f>
        <v>0</v>
      </c>
      <c r="U319" s="29">
        <f>IF(H319="","",IF(T319="","Add - no asset",IFERROR(INDEX(Assets!$N$5:$N$254,MATCH(T319,Assets!$A$5:$A$254,0)),"Check - not in library")))</f>
        <v>0</v>
      </c>
      <c r="Y319" s="16">
        <f>IF(B319="","",B319-ProductionDays)</f>
        <v>0</v>
      </c>
      <c r="Z319" s="16">
        <f>IF(B319="","",B319-ApprovalDays)</f>
        <v>0</v>
      </c>
      <c r="AA319" s="23">
        <f>IF(B319="","",B319-TODAY())</f>
        <v>0</v>
      </c>
      <c r="AC319" s="29">
        <f>IF(H319="","",IF(X319="Published",IF(AB319="","Add - link missing","Yes"),"No"))</f>
        <v>0</v>
      </c>
      <c r="AD319" s="23">
        <f>IF(A319="","",IF(COUNTIF(Performance!$B$5:$B$404,A319)=0,"",SUMIFS(Performance!$O$5:$O$404,Performance!$B$5:$B$404,A319)))</f>
        <v>0</v>
      </c>
      <c r="AE319" s="23">
        <f>IF(AD319="","",SUMIFS(Performance!$Z$5:$Z$404,Performance!$B$5:$B$404,A319))</f>
        <v>0</v>
      </c>
      <c r="AF319" s="24">
        <f>IF(OR(AD319="",AD319=0),"",AE319/AD319)</f>
        <v>0</v>
      </c>
      <c r="AG319" s="23">
        <f>IF(AD319="","",SUMIFS(Performance!$U$5:$U$404,Performance!$B$5:$B$404,A319))</f>
        <v>0</v>
      </c>
      <c r="AH319" s="23">
        <f>IF(A319="","",COUNTIF(Repurposing!$B$5:$B$154,A319))</f>
        <v>0</v>
      </c>
      <c r="AI319" s="32">
        <f>IF(OR(H319="",B319=""),"",B319+ROW()/100000)</f>
        <v>0</v>
      </c>
      <c r="AJ319" s="32">
        <f>IF(OR(H319="",B319=""),"",IF(OR(X319="Published",X319="Cancelled",X319="Archived"),"",IF(B319&lt;TODAY(),"",B319+ROW()/100000)))</f>
        <v>0</v>
      </c>
      <c r="AK319" s="32">
        <f>IF(OR(H319="",B319=""),"",IF(OR(X319="Published",X319="Cancelled",X319="Archived"),"",IF(B319&gt;=TODAY(),"",B319+ROW()/100000)))</f>
        <v>0</v>
      </c>
      <c r="AL319" s="29">
        <f>IF(H319="","",IF(COUNTIFS('Content Calendar'!$H$5:$H$604,H319,'Content Calendar'!$G$5:$G$604,G319,'Content Calendar'!$B$5:$B$604,B319)&gt;1,"Duplicate","OK"))</f>
        <v>0</v>
      </c>
      <c r="AM319" s="29">
        <f>IF(H319="","",IF(AND(B319&lt;&gt;"",B319&lt;TODAY(),X319&lt;&gt;"Published",X319&lt;&gt;"Cancelled",X319&lt;&gt;"Archived"),"Overdue - date has passed",IF(AND(X319="Published",AB319=""),"Add - publish link missing",IF(AND(B319=TODAY(),X319&lt;&gt;"Published"),"Today - due to go live",IF(AND(Y319&lt;&gt;"",Y319&lt;TODAY(),OR(X319="Idea",X319="Brief",X319="In production")),"Late - draft not ready",IF(AND(AA319&gt;=0,AA319&lt;=3,OR(X319="Draft",X319="Awaiting review")),"Due - needs approval",IF(AND(H319&lt;&gt;"",P319=""),"Add - caption missing","OK")))))))</f>
        <v>0</v>
      </c>
    </row>
    <row r="320" spans="1:39">
      <c r="A320" s="41">
        <f>IF(H320="","",ContentPrefix&amp;TEXT(ROW()-4,"0000"))</f>
        <v>0</v>
      </c>
      <c r="D320" s="17">
        <f>IF(B320="","",TEXT(B320,"yyyy-mm"))</f>
        <v>0</v>
      </c>
      <c r="E320" s="23">
        <f>IF(B320="","",WEEKNUM(B320,IF(WeekStart="Sunday",1,2)))</f>
        <v>0</v>
      </c>
      <c r="F320" s="17">
        <f>IF(B320="","",TEXT(B320,"ddd"))</f>
        <v>0</v>
      </c>
      <c r="Q320" s="29">
        <f>IF(H320="","",IF(P320="","Add - no caption",IFERROR(INDEX('Caption Bank'!$R$5:$R$204,MATCH(P320,'Caption Bank'!$B$5:$B$204,0)),"Check - not in bank")))</f>
        <v>0</v>
      </c>
      <c r="S320" s="23">
        <f>IF(R320="","",COUNTIF('Hashtag Bank'!$D$5:$D$304,R320))</f>
        <v>0</v>
      </c>
      <c r="U320" s="29">
        <f>IF(H320="","",IF(T320="","Add - no asset",IFERROR(INDEX(Assets!$N$5:$N$254,MATCH(T320,Assets!$A$5:$A$254,0)),"Check - not in library")))</f>
        <v>0</v>
      </c>
      <c r="Y320" s="16">
        <f>IF(B320="","",B320-ProductionDays)</f>
        <v>0</v>
      </c>
      <c r="Z320" s="16">
        <f>IF(B320="","",B320-ApprovalDays)</f>
        <v>0</v>
      </c>
      <c r="AA320" s="23">
        <f>IF(B320="","",B320-TODAY())</f>
        <v>0</v>
      </c>
      <c r="AC320" s="29">
        <f>IF(H320="","",IF(X320="Published",IF(AB320="","Add - link missing","Yes"),"No"))</f>
        <v>0</v>
      </c>
      <c r="AD320" s="23">
        <f>IF(A320="","",IF(COUNTIF(Performance!$B$5:$B$404,A320)=0,"",SUMIFS(Performance!$O$5:$O$404,Performance!$B$5:$B$404,A320)))</f>
        <v>0</v>
      </c>
      <c r="AE320" s="23">
        <f>IF(AD320="","",SUMIFS(Performance!$Z$5:$Z$404,Performance!$B$5:$B$404,A320))</f>
        <v>0</v>
      </c>
      <c r="AF320" s="24">
        <f>IF(OR(AD320="",AD320=0),"",AE320/AD320)</f>
        <v>0</v>
      </c>
      <c r="AG320" s="23">
        <f>IF(AD320="","",SUMIFS(Performance!$U$5:$U$404,Performance!$B$5:$B$404,A320))</f>
        <v>0</v>
      </c>
      <c r="AH320" s="23">
        <f>IF(A320="","",COUNTIF(Repurposing!$B$5:$B$154,A320))</f>
        <v>0</v>
      </c>
      <c r="AI320" s="32">
        <f>IF(OR(H320="",B320=""),"",B320+ROW()/100000)</f>
        <v>0</v>
      </c>
      <c r="AJ320" s="32">
        <f>IF(OR(H320="",B320=""),"",IF(OR(X320="Published",X320="Cancelled",X320="Archived"),"",IF(B320&lt;TODAY(),"",B320+ROW()/100000)))</f>
        <v>0</v>
      </c>
      <c r="AK320" s="32">
        <f>IF(OR(H320="",B320=""),"",IF(OR(X320="Published",X320="Cancelled",X320="Archived"),"",IF(B320&gt;=TODAY(),"",B320+ROW()/100000)))</f>
        <v>0</v>
      </c>
      <c r="AL320" s="29">
        <f>IF(H320="","",IF(COUNTIFS('Content Calendar'!$H$5:$H$604,H320,'Content Calendar'!$G$5:$G$604,G320,'Content Calendar'!$B$5:$B$604,B320)&gt;1,"Duplicate","OK"))</f>
        <v>0</v>
      </c>
      <c r="AM320" s="29">
        <f>IF(H320="","",IF(AND(B320&lt;&gt;"",B320&lt;TODAY(),X320&lt;&gt;"Published",X320&lt;&gt;"Cancelled",X320&lt;&gt;"Archived"),"Overdue - date has passed",IF(AND(X320="Published",AB320=""),"Add - publish link missing",IF(AND(B320=TODAY(),X320&lt;&gt;"Published"),"Today - due to go live",IF(AND(Y320&lt;&gt;"",Y320&lt;TODAY(),OR(X320="Idea",X320="Brief",X320="In production")),"Late - draft not ready",IF(AND(AA320&gt;=0,AA320&lt;=3,OR(X320="Draft",X320="Awaiting review")),"Due - needs approval",IF(AND(H320&lt;&gt;"",P320=""),"Add - caption missing","OK")))))))</f>
        <v>0</v>
      </c>
    </row>
    <row r="321" spans="1:39">
      <c r="A321" s="41">
        <f>IF(H321="","",ContentPrefix&amp;TEXT(ROW()-4,"0000"))</f>
        <v>0</v>
      </c>
      <c r="D321" s="17">
        <f>IF(B321="","",TEXT(B321,"yyyy-mm"))</f>
        <v>0</v>
      </c>
      <c r="E321" s="23">
        <f>IF(B321="","",WEEKNUM(B321,IF(WeekStart="Sunday",1,2)))</f>
        <v>0</v>
      </c>
      <c r="F321" s="17">
        <f>IF(B321="","",TEXT(B321,"ddd"))</f>
        <v>0</v>
      </c>
      <c r="Q321" s="29">
        <f>IF(H321="","",IF(P321="","Add - no caption",IFERROR(INDEX('Caption Bank'!$R$5:$R$204,MATCH(P321,'Caption Bank'!$B$5:$B$204,0)),"Check - not in bank")))</f>
        <v>0</v>
      </c>
      <c r="S321" s="23">
        <f>IF(R321="","",COUNTIF('Hashtag Bank'!$D$5:$D$304,R321))</f>
        <v>0</v>
      </c>
      <c r="U321" s="29">
        <f>IF(H321="","",IF(T321="","Add - no asset",IFERROR(INDEX(Assets!$N$5:$N$254,MATCH(T321,Assets!$A$5:$A$254,0)),"Check - not in library")))</f>
        <v>0</v>
      </c>
      <c r="Y321" s="16">
        <f>IF(B321="","",B321-ProductionDays)</f>
        <v>0</v>
      </c>
      <c r="Z321" s="16">
        <f>IF(B321="","",B321-ApprovalDays)</f>
        <v>0</v>
      </c>
      <c r="AA321" s="23">
        <f>IF(B321="","",B321-TODAY())</f>
        <v>0</v>
      </c>
      <c r="AC321" s="29">
        <f>IF(H321="","",IF(X321="Published",IF(AB321="","Add - link missing","Yes"),"No"))</f>
        <v>0</v>
      </c>
      <c r="AD321" s="23">
        <f>IF(A321="","",IF(COUNTIF(Performance!$B$5:$B$404,A321)=0,"",SUMIFS(Performance!$O$5:$O$404,Performance!$B$5:$B$404,A321)))</f>
        <v>0</v>
      </c>
      <c r="AE321" s="23">
        <f>IF(AD321="","",SUMIFS(Performance!$Z$5:$Z$404,Performance!$B$5:$B$404,A321))</f>
        <v>0</v>
      </c>
      <c r="AF321" s="24">
        <f>IF(OR(AD321="",AD321=0),"",AE321/AD321)</f>
        <v>0</v>
      </c>
      <c r="AG321" s="23">
        <f>IF(AD321="","",SUMIFS(Performance!$U$5:$U$404,Performance!$B$5:$B$404,A321))</f>
        <v>0</v>
      </c>
      <c r="AH321" s="23">
        <f>IF(A321="","",COUNTIF(Repurposing!$B$5:$B$154,A321))</f>
        <v>0</v>
      </c>
      <c r="AI321" s="32">
        <f>IF(OR(H321="",B321=""),"",B321+ROW()/100000)</f>
        <v>0</v>
      </c>
      <c r="AJ321" s="32">
        <f>IF(OR(H321="",B321=""),"",IF(OR(X321="Published",X321="Cancelled",X321="Archived"),"",IF(B321&lt;TODAY(),"",B321+ROW()/100000)))</f>
        <v>0</v>
      </c>
      <c r="AK321" s="32">
        <f>IF(OR(H321="",B321=""),"",IF(OR(X321="Published",X321="Cancelled",X321="Archived"),"",IF(B321&gt;=TODAY(),"",B321+ROW()/100000)))</f>
        <v>0</v>
      </c>
      <c r="AL321" s="29">
        <f>IF(H321="","",IF(COUNTIFS('Content Calendar'!$H$5:$H$604,H321,'Content Calendar'!$G$5:$G$604,G321,'Content Calendar'!$B$5:$B$604,B321)&gt;1,"Duplicate","OK"))</f>
        <v>0</v>
      </c>
      <c r="AM321" s="29">
        <f>IF(H321="","",IF(AND(B321&lt;&gt;"",B321&lt;TODAY(),X321&lt;&gt;"Published",X321&lt;&gt;"Cancelled",X321&lt;&gt;"Archived"),"Overdue - date has passed",IF(AND(X321="Published",AB321=""),"Add - publish link missing",IF(AND(B321=TODAY(),X321&lt;&gt;"Published"),"Today - due to go live",IF(AND(Y321&lt;&gt;"",Y321&lt;TODAY(),OR(X321="Idea",X321="Brief",X321="In production")),"Late - draft not ready",IF(AND(AA321&gt;=0,AA321&lt;=3,OR(X321="Draft",X321="Awaiting review")),"Due - needs approval",IF(AND(H321&lt;&gt;"",P321=""),"Add - caption missing","OK")))))))</f>
        <v>0</v>
      </c>
    </row>
    <row r="322" spans="1:39">
      <c r="A322" s="41">
        <f>IF(H322="","",ContentPrefix&amp;TEXT(ROW()-4,"0000"))</f>
        <v>0</v>
      </c>
      <c r="D322" s="17">
        <f>IF(B322="","",TEXT(B322,"yyyy-mm"))</f>
        <v>0</v>
      </c>
      <c r="E322" s="23">
        <f>IF(B322="","",WEEKNUM(B322,IF(WeekStart="Sunday",1,2)))</f>
        <v>0</v>
      </c>
      <c r="F322" s="17">
        <f>IF(B322="","",TEXT(B322,"ddd"))</f>
        <v>0</v>
      </c>
      <c r="Q322" s="29">
        <f>IF(H322="","",IF(P322="","Add - no caption",IFERROR(INDEX('Caption Bank'!$R$5:$R$204,MATCH(P322,'Caption Bank'!$B$5:$B$204,0)),"Check - not in bank")))</f>
        <v>0</v>
      </c>
      <c r="S322" s="23">
        <f>IF(R322="","",COUNTIF('Hashtag Bank'!$D$5:$D$304,R322))</f>
        <v>0</v>
      </c>
      <c r="U322" s="29">
        <f>IF(H322="","",IF(T322="","Add - no asset",IFERROR(INDEX(Assets!$N$5:$N$254,MATCH(T322,Assets!$A$5:$A$254,0)),"Check - not in library")))</f>
        <v>0</v>
      </c>
      <c r="Y322" s="16">
        <f>IF(B322="","",B322-ProductionDays)</f>
        <v>0</v>
      </c>
      <c r="Z322" s="16">
        <f>IF(B322="","",B322-ApprovalDays)</f>
        <v>0</v>
      </c>
      <c r="AA322" s="23">
        <f>IF(B322="","",B322-TODAY())</f>
        <v>0</v>
      </c>
      <c r="AC322" s="29">
        <f>IF(H322="","",IF(X322="Published",IF(AB322="","Add - link missing","Yes"),"No"))</f>
        <v>0</v>
      </c>
      <c r="AD322" s="23">
        <f>IF(A322="","",IF(COUNTIF(Performance!$B$5:$B$404,A322)=0,"",SUMIFS(Performance!$O$5:$O$404,Performance!$B$5:$B$404,A322)))</f>
        <v>0</v>
      </c>
      <c r="AE322" s="23">
        <f>IF(AD322="","",SUMIFS(Performance!$Z$5:$Z$404,Performance!$B$5:$B$404,A322))</f>
        <v>0</v>
      </c>
      <c r="AF322" s="24">
        <f>IF(OR(AD322="",AD322=0),"",AE322/AD322)</f>
        <v>0</v>
      </c>
      <c r="AG322" s="23">
        <f>IF(AD322="","",SUMIFS(Performance!$U$5:$U$404,Performance!$B$5:$B$404,A322))</f>
        <v>0</v>
      </c>
      <c r="AH322" s="23">
        <f>IF(A322="","",COUNTIF(Repurposing!$B$5:$B$154,A322))</f>
        <v>0</v>
      </c>
      <c r="AI322" s="32">
        <f>IF(OR(H322="",B322=""),"",B322+ROW()/100000)</f>
        <v>0</v>
      </c>
      <c r="AJ322" s="32">
        <f>IF(OR(H322="",B322=""),"",IF(OR(X322="Published",X322="Cancelled",X322="Archived"),"",IF(B322&lt;TODAY(),"",B322+ROW()/100000)))</f>
        <v>0</v>
      </c>
      <c r="AK322" s="32">
        <f>IF(OR(H322="",B322=""),"",IF(OR(X322="Published",X322="Cancelled",X322="Archived"),"",IF(B322&gt;=TODAY(),"",B322+ROW()/100000)))</f>
        <v>0</v>
      </c>
      <c r="AL322" s="29">
        <f>IF(H322="","",IF(COUNTIFS('Content Calendar'!$H$5:$H$604,H322,'Content Calendar'!$G$5:$G$604,G322,'Content Calendar'!$B$5:$B$604,B322)&gt;1,"Duplicate","OK"))</f>
        <v>0</v>
      </c>
      <c r="AM322" s="29">
        <f>IF(H322="","",IF(AND(B322&lt;&gt;"",B322&lt;TODAY(),X322&lt;&gt;"Published",X322&lt;&gt;"Cancelled",X322&lt;&gt;"Archived"),"Overdue - date has passed",IF(AND(X322="Published",AB322=""),"Add - publish link missing",IF(AND(B322=TODAY(),X322&lt;&gt;"Published"),"Today - due to go live",IF(AND(Y322&lt;&gt;"",Y322&lt;TODAY(),OR(X322="Idea",X322="Brief",X322="In production")),"Late - draft not ready",IF(AND(AA322&gt;=0,AA322&lt;=3,OR(X322="Draft",X322="Awaiting review")),"Due - needs approval",IF(AND(H322&lt;&gt;"",P322=""),"Add - caption missing","OK")))))))</f>
        <v>0</v>
      </c>
    </row>
    <row r="323" spans="1:39">
      <c r="A323" s="41">
        <f>IF(H323="","",ContentPrefix&amp;TEXT(ROW()-4,"0000"))</f>
        <v>0</v>
      </c>
      <c r="D323" s="17">
        <f>IF(B323="","",TEXT(B323,"yyyy-mm"))</f>
        <v>0</v>
      </c>
      <c r="E323" s="23">
        <f>IF(B323="","",WEEKNUM(B323,IF(WeekStart="Sunday",1,2)))</f>
        <v>0</v>
      </c>
      <c r="F323" s="17">
        <f>IF(B323="","",TEXT(B323,"ddd"))</f>
        <v>0</v>
      </c>
      <c r="Q323" s="29">
        <f>IF(H323="","",IF(P323="","Add - no caption",IFERROR(INDEX('Caption Bank'!$R$5:$R$204,MATCH(P323,'Caption Bank'!$B$5:$B$204,0)),"Check - not in bank")))</f>
        <v>0</v>
      </c>
      <c r="S323" s="23">
        <f>IF(R323="","",COUNTIF('Hashtag Bank'!$D$5:$D$304,R323))</f>
        <v>0</v>
      </c>
      <c r="U323" s="29">
        <f>IF(H323="","",IF(T323="","Add - no asset",IFERROR(INDEX(Assets!$N$5:$N$254,MATCH(T323,Assets!$A$5:$A$254,0)),"Check - not in library")))</f>
        <v>0</v>
      </c>
      <c r="Y323" s="16">
        <f>IF(B323="","",B323-ProductionDays)</f>
        <v>0</v>
      </c>
      <c r="Z323" s="16">
        <f>IF(B323="","",B323-ApprovalDays)</f>
        <v>0</v>
      </c>
      <c r="AA323" s="23">
        <f>IF(B323="","",B323-TODAY())</f>
        <v>0</v>
      </c>
      <c r="AC323" s="29">
        <f>IF(H323="","",IF(X323="Published",IF(AB323="","Add - link missing","Yes"),"No"))</f>
        <v>0</v>
      </c>
      <c r="AD323" s="23">
        <f>IF(A323="","",IF(COUNTIF(Performance!$B$5:$B$404,A323)=0,"",SUMIFS(Performance!$O$5:$O$404,Performance!$B$5:$B$404,A323)))</f>
        <v>0</v>
      </c>
      <c r="AE323" s="23">
        <f>IF(AD323="","",SUMIFS(Performance!$Z$5:$Z$404,Performance!$B$5:$B$404,A323))</f>
        <v>0</v>
      </c>
      <c r="AF323" s="24">
        <f>IF(OR(AD323="",AD323=0),"",AE323/AD323)</f>
        <v>0</v>
      </c>
      <c r="AG323" s="23">
        <f>IF(AD323="","",SUMIFS(Performance!$U$5:$U$404,Performance!$B$5:$B$404,A323))</f>
        <v>0</v>
      </c>
      <c r="AH323" s="23">
        <f>IF(A323="","",COUNTIF(Repurposing!$B$5:$B$154,A323))</f>
        <v>0</v>
      </c>
      <c r="AI323" s="32">
        <f>IF(OR(H323="",B323=""),"",B323+ROW()/100000)</f>
        <v>0</v>
      </c>
      <c r="AJ323" s="32">
        <f>IF(OR(H323="",B323=""),"",IF(OR(X323="Published",X323="Cancelled",X323="Archived"),"",IF(B323&lt;TODAY(),"",B323+ROW()/100000)))</f>
        <v>0</v>
      </c>
      <c r="AK323" s="32">
        <f>IF(OR(H323="",B323=""),"",IF(OR(X323="Published",X323="Cancelled",X323="Archived"),"",IF(B323&gt;=TODAY(),"",B323+ROW()/100000)))</f>
        <v>0</v>
      </c>
      <c r="AL323" s="29">
        <f>IF(H323="","",IF(COUNTIFS('Content Calendar'!$H$5:$H$604,H323,'Content Calendar'!$G$5:$G$604,G323,'Content Calendar'!$B$5:$B$604,B323)&gt;1,"Duplicate","OK"))</f>
        <v>0</v>
      </c>
      <c r="AM323" s="29">
        <f>IF(H323="","",IF(AND(B323&lt;&gt;"",B323&lt;TODAY(),X323&lt;&gt;"Published",X323&lt;&gt;"Cancelled",X323&lt;&gt;"Archived"),"Overdue - date has passed",IF(AND(X323="Published",AB323=""),"Add - publish link missing",IF(AND(B323=TODAY(),X323&lt;&gt;"Published"),"Today - due to go live",IF(AND(Y323&lt;&gt;"",Y323&lt;TODAY(),OR(X323="Idea",X323="Brief",X323="In production")),"Late - draft not ready",IF(AND(AA323&gt;=0,AA323&lt;=3,OR(X323="Draft",X323="Awaiting review")),"Due - needs approval",IF(AND(H323&lt;&gt;"",P323=""),"Add - caption missing","OK")))))))</f>
        <v>0</v>
      </c>
    </row>
    <row r="324" spans="1:39">
      <c r="A324" s="41">
        <f>IF(H324="","",ContentPrefix&amp;TEXT(ROW()-4,"0000"))</f>
        <v>0</v>
      </c>
      <c r="D324" s="17">
        <f>IF(B324="","",TEXT(B324,"yyyy-mm"))</f>
        <v>0</v>
      </c>
      <c r="E324" s="23">
        <f>IF(B324="","",WEEKNUM(B324,IF(WeekStart="Sunday",1,2)))</f>
        <v>0</v>
      </c>
      <c r="F324" s="17">
        <f>IF(B324="","",TEXT(B324,"ddd"))</f>
        <v>0</v>
      </c>
      <c r="Q324" s="29">
        <f>IF(H324="","",IF(P324="","Add - no caption",IFERROR(INDEX('Caption Bank'!$R$5:$R$204,MATCH(P324,'Caption Bank'!$B$5:$B$204,0)),"Check - not in bank")))</f>
        <v>0</v>
      </c>
      <c r="S324" s="23">
        <f>IF(R324="","",COUNTIF('Hashtag Bank'!$D$5:$D$304,R324))</f>
        <v>0</v>
      </c>
      <c r="U324" s="29">
        <f>IF(H324="","",IF(T324="","Add - no asset",IFERROR(INDEX(Assets!$N$5:$N$254,MATCH(T324,Assets!$A$5:$A$254,0)),"Check - not in library")))</f>
        <v>0</v>
      </c>
      <c r="Y324" s="16">
        <f>IF(B324="","",B324-ProductionDays)</f>
        <v>0</v>
      </c>
      <c r="Z324" s="16">
        <f>IF(B324="","",B324-ApprovalDays)</f>
        <v>0</v>
      </c>
      <c r="AA324" s="23">
        <f>IF(B324="","",B324-TODAY())</f>
        <v>0</v>
      </c>
      <c r="AC324" s="29">
        <f>IF(H324="","",IF(X324="Published",IF(AB324="","Add - link missing","Yes"),"No"))</f>
        <v>0</v>
      </c>
      <c r="AD324" s="23">
        <f>IF(A324="","",IF(COUNTIF(Performance!$B$5:$B$404,A324)=0,"",SUMIFS(Performance!$O$5:$O$404,Performance!$B$5:$B$404,A324)))</f>
        <v>0</v>
      </c>
      <c r="AE324" s="23">
        <f>IF(AD324="","",SUMIFS(Performance!$Z$5:$Z$404,Performance!$B$5:$B$404,A324))</f>
        <v>0</v>
      </c>
      <c r="AF324" s="24">
        <f>IF(OR(AD324="",AD324=0),"",AE324/AD324)</f>
        <v>0</v>
      </c>
      <c r="AG324" s="23">
        <f>IF(AD324="","",SUMIFS(Performance!$U$5:$U$404,Performance!$B$5:$B$404,A324))</f>
        <v>0</v>
      </c>
      <c r="AH324" s="23">
        <f>IF(A324="","",COUNTIF(Repurposing!$B$5:$B$154,A324))</f>
        <v>0</v>
      </c>
      <c r="AI324" s="32">
        <f>IF(OR(H324="",B324=""),"",B324+ROW()/100000)</f>
        <v>0</v>
      </c>
      <c r="AJ324" s="32">
        <f>IF(OR(H324="",B324=""),"",IF(OR(X324="Published",X324="Cancelled",X324="Archived"),"",IF(B324&lt;TODAY(),"",B324+ROW()/100000)))</f>
        <v>0</v>
      </c>
      <c r="AK324" s="32">
        <f>IF(OR(H324="",B324=""),"",IF(OR(X324="Published",X324="Cancelled",X324="Archived"),"",IF(B324&gt;=TODAY(),"",B324+ROW()/100000)))</f>
        <v>0</v>
      </c>
      <c r="AL324" s="29">
        <f>IF(H324="","",IF(COUNTIFS('Content Calendar'!$H$5:$H$604,H324,'Content Calendar'!$G$5:$G$604,G324,'Content Calendar'!$B$5:$B$604,B324)&gt;1,"Duplicate","OK"))</f>
        <v>0</v>
      </c>
      <c r="AM324" s="29">
        <f>IF(H324="","",IF(AND(B324&lt;&gt;"",B324&lt;TODAY(),X324&lt;&gt;"Published",X324&lt;&gt;"Cancelled",X324&lt;&gt;"Archived"),"Overdue - date has passed",IF(AND(X324="Published",AB324=""),"Add - publish link missing",IF(AND(B324=TODAY(),X324&lt;&gt;"Published"),"Today - due to go live",IF(AND(Y324&lt;&gt;"",Y324&lt;TODAY(),OR(X324="Idea",X324="Brief",X324="In production")),"Late - draft not ready",IF(AND(AA324&gt;=0,AA324&lt;=3,OR(X324="Draft",X324="Awaiting review")),"Due - needs approval",IF(AND(H324&lt;&gt;"",P324=""),"Add - caption missing","OK")))))))</f>
        <v>0</v>
      </c>
    </row>
    <row r="325" spans="1:39">
      <c r="A325" s="41">
        <f>IF(H325="","",ContentPrefix&amp;TEXT(ROW()-4,"0000"))</f>
        <v>0</v>
      </c>
      <c r="D325" s="17">
        <f>IF(B325="","",TEXT(B325,"yyyy-mm"))</f>
        <v>0</v>
      </c>
      <c r="E325" s="23">
        <f>IF(B325="","",WEEKNUM(B325,IF(WeekStart="Sunday",1,2)))</f>
        <v>0</v>
      </c>
      <c r="F325" s="17">
        <f>IF(B325="","",TEXT(B325,"ddd"))</f>
        <v>0</v>
      </c>
      <c r="Q325" s="29">
        <f>IF(H325="","",IF(P325="","Add - no caption",IFERROR(INDEX('Caption Bank'!$R$5:$R$204,MATCH(P325,'Caption Bank'!$B$5:$B$204,0)),"Check - not in bank")))</f>
        <v>0</v>
      </c>
      <c r="S325" s="23">
        <f>IF(R325="","",COUNTIF('Hashtag Bank'!$D$5:$D$304,R325))</f>
        <v>0</v>
      </c>
      <c r="U325" s="29">
        <f>IF(H325="","",IF(T325="","Add - no asset",IFERROR(INDEX(Assets!$N$5:$N$254,MATCH(T325,Assets!$A$5:$A$254,0)),"Check - not in library")))</f>
        <v>0</v>
      </c>
      <c r="Y325" s="16">
        <f>IF(B325="","",B325-ProductionDays)</f>
        <v>0</v>
      </c>
      <c r="Z325" s="16">
        <f>IF(B325="","",B325-ApprovalDays)</f>
        <v>0</v>
      </c>
      <c r="AA325" s="23">
        <f>IF(B325="","",B325-TODAY())</f>
        <v>0</v>
      </c>
      <c r="AC325" s="29">
        <f>IF(H325="","",IF(X325="Published",IF(AB325="","Add - link missing","Yes"),"No"))</f>
        <v>0</v>
      </c>
      <c r="AD325" s="23">
        <f>IF(A325="","",IF(COUNTIF(Performance!$B$5:$B$404,A325)=0,"",SUMIFS(Performance!$O$5:$O$404,Performance!$B$5:$B$404,A325)))</f>
        <v>0</v>
      </c>
      <c r="AE325" s="23">
        <f>IF(AD325="","",SUMIFS(Performance!$Z$5:$Z$404,Performance!$B$5:$B$404,A325))</f>
        <v>0</v>
      </c>
      <c r="AF325" s="24">
        <f>IF(OR(AD325="",AD325=0),"",AE325/AD325)</f>
        <v>0</v>
      </c>
      <c r="AG325" s="23">
        <f>IF(AD325="","",SUMIFS(Performance!$U$5:$U$404,Performance!$B$5:$B$404,A325))</f>
        <v>0</v>
      </c>
      <c r="AH325" s="23">
        <f>IF(A325="","",COUNTIF(Repurposing!$B$5:$B$154,A325))</f>
        <v>0</v>
      </c>
      <c r="AI325" s="32">
        <f>IF(OR(H325="",B325=""),"",B325+ROW()/100000)</f>
        <v>0</v>
      </c>
      <c r="AJ325" s="32">
        <f>IF(OR(H325="",B325=""),"",IF(OR(X325="Published",X325="Cancelled",X325="Archived"),"",IF(B325&lt;TODAY(),"",B325+ROW()/100000)))</f>
        <v>0</v>
      </c>
      <c r="AK325" s="32">
        <f>IF(OR(H325="",B325=""),"",IF(OR(X325="Published",X325="Cancelled",X325="Archived"),"",IF(B325&gt;=TODAY(),"",B325+ROW()/100000)))</f>
        <v>0</v>
      </c>
      <c r="AL325" s="29">
        <f>IF(H325="","",IF(COUNTIFS('Content Calendar'!$H$5:$H$604,H325,'Content Calendar'!$G$5:$G$604,G325,'Content Calendar'!$B$5:$B$604,B325)&gt;1,"Duplicate","OK"))</f>
        <v>0</v>
      </c>
      <c r="AM325" s="29">
        <f>IF(H325="","",IF(AND(B325&lt;&gt;"",B325&lt;TODAY(),X325&lt;&gt;"Published",X325&lt;&gt;"Cancelled",X325&lt;&gt;"Archived"),"Overdue - date has passed",IF(AND(X325="Published",AB325=""),"Add - publish link missing",IF(AND(B325=TODAY(),X325&lt;&gt;"Published"),"Today - due to go live",IF(AND(Y325&lt;&gt;"",Y325&lt;TODAY(),OR(X325="Idea",X325="Brief",X325="In production")),"Late - draft not ready",IF(AND(AA325&gt;=0,AA325&lt;=3,OR(X325="Draft",X325="Awaiting review")),"Due - needs approval",IF(AND(H325&lt;&gt;"",P325=""),"Add - caption missing","OK")))))))</f>
        <v>0</v>
      </c>
    </row>
    <row r="326" spans="1:39">
      <c r="A326" s="41">
        <f>IF(H326="","",ContentPrefix&amp;TEXT(ROW()-4,"0000"))</f>
        <v>0</v>
      </c>
      <c r="D326" s="17">
        <f>IF(B326="","",TEXT(B326,"yyyy-mm"))</f>
        <v>0</v>
      </c>
      <c r="E326" s="23">
        <f>IF(B326="","",WEEKNUM(B326,IF(WeekStart="Sunday",1,2)))</f>
        <v>0</v>
      </c>
      <c r="F326" s="17">
        <f>IF(B326="","",TEXT(B326,"ddd"))</f>
        <v>0</v>
      </c>
      <c r="Q326" s="29">
        <f>IF(H326="","",IF(P326="","Add - no caption",IFERROR(INDEX('Caption Bank'!$R$5:$R$204,MATCH(P326,'Caption Bank'!$B$5:$B$204,0)),"Check - not in bank")))</f>
        <v>0</v>
      </c>
      <c r="S326" s="23">
        <f>IF(R326="","",COUNTIF('Hashtag Bank'!$D$5:$D$304,R326))</f>
        <v>0</v>
      </c>
      <c r="U326" s="29">
        <f>IF(H326="","",IF(T326="","Add - no asset",IFERROR(INDEX(Assets!$N$5:$N$254,MATCH(T326,Assets!$A$5:$A$254,0)),"Check - not in library")))</f>
        <v>0</v>
      </c>
      <c r="Y326" s="16">
        <f>IF(B326="","",B326-ProductionDays)</f>
        <v>0</v>
      </c>
      <c r="Z326" s="16">
        <f>IF(B326="","",B326-ApprovalDays)</f>
        <v>0</v>
      </c>
      <c r="AA326" s="23">
        <f>IF(B326="","",B326-TODAY())</f>
        <v>0</v>
      </c>
      <c r="AC326" s="29">
        <f>IF(H326="","",IF(X326="Published",IF(AB326="","Add - link missing","Yes"),"No"))</f>
        <v>0</v>
      </c>
      <c r="AD326" s="23">
        <f>IF(A326="","",IF(COUNTIF(Performance!$B$5:$B$404,A326)=0,"",SUMIFS(Performance!$O$5:$O$404,Performance!$B$5:$B$404,A326)))</f>
        <v>0</v>
      </c>
      <c r="AE326" s="23">
        <f>IF(AD326="","",SUMIFS(Performance!$Z$5:$Z$404,Performance!$B$5:$B$404,A326))</f>
        <v>0</v>
      </c>
      <c r="AF326" s="24">
        <f>IF(OR(AD326="",AD326=0),"",AE326/AD326)</f>
        <v>0</v>
      </c>
      <c r="AG326" s="23">
        <f>IF(AD326="","",SUMIFS(Performance!$U$5:$U$404,Performance!$B$5:$B$404,A326))</f>
        <v>0</v>
      </c>
      <c r="AH326" s="23">
        <f>IF(A326="","",COUNTIF(Repurposing!$B$5:$B$154,A326))</f>
        <v>0</v>
      </c>
      <c r="AI326" s="32">
        <f>IF(OR(H326="",B326=""),"",B326+ROW()/100000)</f>
        <v>0</v>
      </c>
      <c r="AJ326" s="32">
        <f>IF(OR(H326="",B326=""),"",IF(OR(X326="Published",X326="Cancelled",X326="Archived"),"",IF(B326&lt;TODAY(),"",B326+ROW()/100000)))</f>
        <v>0</v>
      </c>
      <c r="AK326" s="32">
        <f>IF(OR(H326="",B326=""),"",IF(OR(X326="Published",X326="Cancelled",X326="Archived"),"",IF(B326&gt;=TODAY(),"",B326+ROW()/100000)))</f>
        <v>0</v>
      </c>
      <c r="AL326" s="29">
        <f>IF(H326="","",IF(COUNTIFS('Content Calendar'!$H$5:$H$604,H326,'Content Calendar'!$G$5:$G$604,G326,'Content Calendar'!$B$5:$B$604,B326)&gt;1,"Duplicate","OK"))</f>
        <v>0</v>
      </c>
      <c r="AM326" s="29">
        <f>IF(H326="","",IF(AND(B326&lt;&gt;"",B326&lt;TODAY(),X326&lt;&gt;"Published",X326&lt;&gt;"Cancelled",X326&lt;&gt;"Archived"),"Overdue - date has passed",IF(AND(X326="Published",AB326=""),"Add - publish link missing",IF(AND(B326=TODAY(),X326&lt;&gt;"Published"),"Today - due to go live",IF(AND(Y326&lt;&gt;"",Y326&lt;TODAY(),OR(X326="Idea",X326="Brief",X326="In production")),"Late - draft not ready",IF(AND(AA326&gt;=0,AA326&lt;=3,OR(X326="Draft",X326="Awaiting review")),"Due - needs approval",IF(AND(H326&lt;&gt;"",P326=""),"Add - caption missing","OK")))))))</f>
        <v>0</v>
      </c>
    </row>
    <row r="327" spans="1:39">
      <c r="A327" s="41">
        <f>IF(H327="","",ContentPrefix&amp;TEXT(ROW()-4,"0000"))</f>
        <v>0</v>
      </c>
      <c r="D327" s="17">
        <f>IF(B327="","",TEXT(B327,"yyyy-mm"))</f>
        <v>0</v>
      </c>
      <c r="E327" s="23">
        <f>IF(B327="","",WEEKNUM(B327,IF(WeekStart="Sunday",1,2)))</f>
        <v>0</v>
      </c>
      <c r="F327" s="17">
        <f>IF(B327="","",TEXT(B327,"ddd"))</f>
        <v>0</v>
      </c>
      <c r="Q327" s="29">
        <f>IF(H327="","",IF(P327="","Add - no caption",IFERROR(INDEX('Caption Bank'!$R$5:$R$204,MATCH(P327,'Caption Bank'!$B$5:$B$204,0)),"Check - not in bank")))</f>
        <v>0</v>
      </c>
      <c r="S327" s="23">
        <f>IF(R327="","",COUNTIF('Hashtag Bank'!$D$5:$D$304,R327))</f>
        <v>0</v>
      </c>
      <c r="U327" s="29">
        <f>IF(H327="","",IF(T327="","Add - no asset",IFERROR(INDEX(Assets!$N$5:$N$254,MATCH(T327,Assets!$A$5:$A$254,0)),"Check - not in library")))</f>
        <v>0</v>
      </c>
      <c r="Y327" s="16">
        <f>IF(B327="","",B327-ProductionDays)</f>
        <v>0</v>
      </c>
      <c r="Z327" s="16">
        <f>IF(B327="","",B327-ApprovalDays)</f>
        <v>0</v>
      </c>
      <c r="AA327" s="23">
        <f>IF(B327="","",B327-TODAY())</f>
        <v>0</v>
      </c>
      <c r="AC327" s="29">
        <f>IF(H327="","",IF(X327="Published",IF(AB327="","Add - link missing","Yes"),"No"))</f>
        <v>0</v>
      </c>
      <c r="AD327" s="23">
        <f>IF(A327="","",IF(COUNTIF(Performance!$B$5:$B$404,A327)=0,"",SUMIFS(Performance!$O$5:$O$404,Performance!$B$5:$B$404,A327)))</f>
        <v>0</v>
      </c>
      <c r="AE327" s="23">
        <f>IF(AD327="","",SUMIFS(Performance!$Z$5:$Z$404,Performance!$B$5:$B$404,A327))</f>
        <v>0</v>
      </c>
      <c r="AF327" s="24">
        <f>IF(OR(AD327="",AD327=0),"",AE327/AD327)</f>
        <v>0</v>
      </c>
      <c r="AG327" s="23">
        <f>IF(AD327="","",SUMIFS(Performance!$U$5:$U$404,Performance!$B$5:$B$404,A327))</f>
        <v>0</v>
      </c>
      <c r="AH327" s="23">
        <f>IF(A327="","",COUNTIF(Repurposing!$B$5:$B$154,A327))</f>
        <v>0</v>
      </c>
      <c r="AI327" s="32">
        <f>IF(OR(H327="",B327=""),"",B327+ROW()/100000)</f>
        <v>0</v>
      </c>
      <c r="AJ327" s="32">
        <f>IF(OR(H327="",B327=""),"",IF(OR(X327="Published",X327="Cancelled",X327="Archived"),"",IF(B327&lt;TODAY(),"",B327+ROW()/100000)))</f>
        <v>0</v>
      </c>
      <c r="AK327" s="32">
        <f>IF(OR(H327="",B327=""),"",IF(OR(X327="Published",X327="Cancelled",X327="Archived"),"",IF(B327&gt;=TODAY(),"",B327+ROW()/100000)))</f>
        <v>0</v>
      </c>
      <c r="AL327" s="29">
        <f>IF(H327="","",IF(COUNTIFS('Content Calendar'!$H$5:$H$604,H327,'Content Calendar'!$G$5:$G$604,G327,'Content Calendar'!$B$5:$B$604,B327)&gt;1,"Duplicate","OK"))</f>
        <v>0</v>
      </c>
      <c r="AM327" s="29">
        <f>IF(H327="","",IF(AND(B327&lt;&gt;"",B327&lt;TODAY(),X327&lt;&gt;"Published",X327&lt;&gt;"Cancelled",X327&lt;&gt;"Archived"),"Overdue - date has passed",IF(AND(X327="Published",AB327=""),"Add - publish link missing",IF(AND(B327=TODAY(),X327&lt;&gt;"Published"),"Today - due to go live",IF(AND(Y327&lt;&gt;"",Y327&lt;TODAY(),OR(X327="Idea",X327="Brief",X327="In production")),"Late - draft not ready",IF(AND(AA327&gt;=0,AA327&lt;=3,OR(X327="Draft",X327="Awaiting review")),"Due - needs approval",IF(AND(H327&lt;&gt;"",P327=""),"Add - caption missing","OK")))))))</f>
        <v>0</v>
      </c>
    </row>
    <row r="328" spans="1:39">
      <c r="A328" s="41">
        <f>IF(H328="","",ContentPrefix&amp;TEXT(ROW()-4,"0000"))</f>
        <v>0</v>
      </c>
      <c r="D328" s="17">
        <f>IF(B328="","",TEXT(B328,"yyyy-mm"))</f>
        <v>0</v>
      </c>
      <c r="E328" s="23">
        <f>IF(B328="","",WEEKNUM(B328,IF(WeekStart="Sunday",1,2)))</f>
        <v>0</v>
      </c>
      <c r="F328" s="17">
        <f>IF(B328="","",TEXT(B328,"ddd"))</f>
        <v>0</v>
      </c>
      <c r="Q328" s="29">
        <f>IF(H328="","",IF(P328="","Add - no caption",IFERROR(INDEX('Caption Bank'!$R$5:$R$204,MATCH(P328,'Caption Bank'!$B$5:$B$204,0)),"Check - not in bank")))</f>
        <v>0</v>
      </c>
      <c r="S328" s="23">
        <f>IF(R328="","",COUNTIF('Hashtag Bank'!$D$5:$D$304,R328))</f>
        <v>0</v>
      </c>
      <c r="U328" s="29">
        <f>IF(H328="","",IF(T328="","Add - no asset",IFERROR(INDEX(Assets!$N$5:$N$254,MATCH(T328,Assets!$A$5:$A$254,0)),"Check - not in library")))</f>
        <v>0</v>
      </c>
      <c r="Y328" s="16">
        <f>IF(B328="","",B328-ProductionDays)</f>
        <v>0</v>
      </c>
      <c r="Z328" s="16">
        <f>IF(B328="","",B328-ApprovalDays)</f>
        <v>0</v>
      </c>
      <c r="AA328" s="23">
        <f>IF(B328="","",B328-TODAY())</f>
        <v>0</v>
      </c>
      <c r="AC328" s="29">
        <f>IF(H328="","",IF(X328="Published",IF(AB328="","Add - link missing","Yes"),"No"))</f>
        <v>0</v>
      </c>
      <c r="AD328" s="23">
        <f>IF(A328="","",IF(COUNTIF(Performance!$B$5:$B$404,A328)=0,"",SUMIFS(Performance!$O$5:$O$404,Performance!$B$5:$B$404,A328)))</f>
        <v>0</v>
      </c>
      <c r="AE328" s="23">
        <f>IF(AD328="","",SUMIFS(Performance!$Z$5:$Z$404,Performance!$B$5:$B$404,A328))</f>
        <v>0</v>
      </c>
      <c r="AF328" s="24">
        <f>IF(OR(AD328="",AD328=0),"",AE328/AD328)</f>
        <v>0</v>
      </c>
      <c r="AG328" s="23">
        <f>IF(AD328="","",SUMIFS(Performance!$U$5:$U$404,Performance!$B$5:$B$404,A328))</f>
        <v>0</v>
      </c>
      <c r="AH328" s="23">
        <f>IF(A328="","",COUNTIF(Repurposing!$B$5:$B$154,A328))</f>
        <v>0</v>
      </c>
      <c r="AI328" s="32">
        <f>IF(OR(H328="",B328=""),"",B328+ROW()/100000)</f>
        <v>0</v>
      </c>
      <c r="AJ328" s="32">
        <f>IF(OR(H328="",B328=""),"",IF(OR(X328="Published",X328="Cancelled",X328="Archived"),"",IF(B328&lt;TODAY(),"",B328+ROW()/100000)))</f>
        <v>0</v>
      </c>
      <c r="AK328" s="32">
        <f>IF(OR(H328="",B328=""),"",IF(OR(X328="Published",X328="Cancelled",X328="Archived"),"",IF(B328&gt;=TODAY(),"",B328+ROW()/100000)))</f>
        <v>0</v>
      </c>
      <c r="AL328" s="29">
        <f>IF(H328="","",IF(COUNTIFS('Content Calendar'!$H$5:$H$604,H328,'Content Calendar'!$G$5:$G$604,G328,'Content Calendar'!$B$5:$B$604,B328)&gt;1,"Duplicate","OK"))</f>
        <v>0</v>
      </c>
      <c r="AM328" s="29">
        <f>IF(H328="","",IF(AND(B328&lt;&gt;"",B328&lt;TODAY(),X328&lt;&gt;"Published",X328&lt;&gt;"Cancelled",X328&lt;&gt;"Archived"),"Overdue - date has passed",IF(AND(X328="Published",AB328=""),"Add - publish link missing",IF(AND(B328=TODAY(),X328&lt;&gt;"Published"),"Today - due to go live",IF(AND(Y328&lt;&gt;"",Y328&lt;TODAY(),OR(X328="Idea",X328="Brief",X328="In production")),"Late - draft not ready",IF(AND(AA328&gt;=0,AA328&lt;=3,OR(X328="Draft",X328="Awaiting review")),"Due - needs approval",IF(AND(H328&lt;&gt;"",P328=""),"Add - caption missing","OK")))))))</f>
        <v>0</v>
      </c>
    </row>
    <row r="329" spans="1:39">
      <c r="A329" s="41">
        <f>IF(H329="","",ContentPrefix&amp;TEXT(ROW()-4,"0000"))</f>
        <v>0</v>
      </c>
      <c r="D329" s="17">
        <f>IF(B329="","",TEXT(B329,"yyyy-mm"))</f>
        <v>0</v>
      </c>
      <c r="E329" s="23">
        <f>IF(B329="","",WEEKNUM(B329,IF(WeekStart="Sunday",1,2)))</f>
        <v>0</v>
      </c>
      <c r="F329" s="17">
        <f>IF(B329="","",TEXT(B329,"ddd"))</f>
        <v>0</v>
      </c>
      <c r="Q329" s="29">
        <f>IF(H329="","",IF(P329="","Add - no caption",IFERROR(INDEX('Caption Bank'!$R$5:$R$204,MATCH(P329,'Caption Bank'!$B$5:$B$204,0)),"Check - not in bank")))</f>
        <v>0</v>
      </c>
      <c r="S329" s="23">
        <f>IF(R329="","",COUNTIF('Hashtag Bank'!$D$5:$D$304,R329))</f>
        <v>0</v>
      </c>
      <c r="U329" s="29">
        <f>IF(H329="","",IF(T329="","Add - no asset",IFERROR(INDEX(Assets!$N$5:$N$254,MATCH(T329,Assets!$A$5:$A$254,0)),"Check - not in library")))</f>
        <v>0</v>
      </c>
      <c r="Y329" s="16">
        <f>IF(B329="","",B329-ProductionDays)</f>
        <v>0</v>
      </c>
      <c r="Z329" s="16">
        <f>IF(B329="","",B329-ApprovalDays)</f>
        <v>0</v>
      </c>
      <c r="AA329" s="23">
        <f>IF(B329="","",B329-TODAY())</f>
        <v>0</v>
      </c>
      <c r="AC329" s="29">
        <f>IF(H329="","",IF(X329="Published",IF(AB329="","Add - link missing","Yes"),"No"))</f>
        <v>0</v>
      </c>
      <c r="AD329" s="23">
        <f>IF(A329="","",IF(COUNTIF(Performance!$B$5:$B$404,A329)=0,"",SUMIFS(Performance!$O$5:$O$404,Performance!$B$5:$B$404,A329)))</f>
        <v>0</v>
      </c>
      <c r="AE329" s="23">
        <f>IF(AD329="","",SUMIFS(Performance!$Z$5:$Z$404,Performance!$B$5:$B$404,A329))</f>
        <v>0</v>
      </c>
      <c r="AF329" s="24">
        <f>IF(OR(AD329="",AD329=0),"",AE329/AD329)</f>
        <v>0</v>
      </c>
      <c r="AG329" s="23">
        <f>IF(AD329="","",SUMIFS(Performance!$U$5:$U$404,Performance!$B$5:$B$404,A329))</f>
        <v>0</v>
      </c>
      <c r="AH329" s="23">
        <f>IF(A329="","",COUNTIF(Repurposing!$B$5:$B$154,A329))</f>
        <v>0</v>
      </c>
      <c r="AI329" s="32">
        <f>IF(OR(H329="",B329=""),"",B329+ROW()/100000)</f>
        <v>0</v>
      </c>
      <c r="AJ329" s="32">
        <f>IF(OR(H329="",B329=""),"",IF(OR(X329="Published",X329="Cancelled",X329="Archived"),"",IF(B329&lt;TODAY(),"",B329+ROW()/100000)))</f>
        <v>0</v>
      </c>
      <c r="AK329" s="32">
        <f>IF(OR(H329="",B329=""),"",IF(OR(X329="Published",X329="Cancelled",X329="Archived"),"",IF(B329&gt;=TODAY(),"",B329+ROW()/100000)))</f>
        <v>0</v>
      </c>
      <c r="AL329" s="29">
        <f>IF(H329="","",IF(COUNTIFS('Content Calendar'!$H$5:$H$604,H329,'Content Calendar'!$G$5:$G$604,G329,'Content Calendar'!$B$5:$B$604,B329)&gt;1,"Duplicate","OK"))</f>
        <v>0</v>
      </c>
      <c r="AM329" s="29">
        <f>IF(H329="","",IF(AND(B329&lt;&gt;"",B329&lt;TODAY(),X329&lt;&gt;"Published",X329&lt;&gt;"Cancelled",X329&lt;&gt;"Archived"),"Overdue - date has passed",IF(AND(X329="Published",AB329=""),"Add - publish link missing",IF(AND(B329=TODAY(),X329&lt;&gt;"Published"),"Today - due to go live",IF(AND(Y329&lt;&gt;"",Y329&lt;TODAY(),OR(X329="Idea",X329="Brief",X329="In production")),"Late - draft not ready",IF(AND(AA329&gt;=0,AA329&lt;=3,OR(X329="Draft",X329="Awaiting review")),"Due - needs approval",IF(AND(H329&lt;&gt;"",P329=""),"Add - caption missing","OK")))))))</f>
        <v>0</v>
      </c>
    </row>
    <row r="330" spans="1:39">
      <c r="A330" s="41">
        <f>IF(H330="","",ContentPrefix&amp;TEXT(ROW()-4,"0000"))</f>
        <v>0</v>
      </c>
      <c r="D330" s="17">
        <f>IF(B330="","",TEXT(B330,"yyyy-mm"))</f>
        <v>0</v>
      </c>
      <c r="E330" s="23">
        <f>IF(B330="","",WEEKNUM(B330,IF(WeekStart="Sunday",1,2)))</f>
        <v>0</v>
      </c>
      <c r="F330" s="17">
        <f>IF(B330="","",TEXT(B330,"ddd"))</f>
        <v>0</v>
      </c>
      <c r="Q330" s="29">
        <f>IF(H330="","",IF(P330="","Add - no caption",IFERROR(INDEX('Caption Bank'!$R$5:$R$204,MATCH(P330,'Caption Bank'!$B$5:$B$204,0)),"Check - not in bank")))</f>
        <v>0</v>
      </c>
      <c r="S330" s="23">
        <f>IF(R330="","",COUNTIF('Hashtag Bank'!$D$5:$D$304,R330))</f>
        <v>0</v>
      </c>
      <c r="U330" s="29">
        <f>IF(H330="","",IF(T330="","Add - no asset",IFERROR(INDEX(Assets!$N$5:$N$254,MATCH(T330,Assets!$A$5:$A$254,0)),"Check - not in library")))</f>
        <v>0</v>
      </c>
      <c r="Y330" s="16">
        <f>IF(B330="","",B330-ProductionDays)</f>
        <v>0</v>
      </c>
      <c r="Z330" s="16">
        <f>IF(B330="","",B330-ApprovalDays)</f>
        <v>0</v>
      </c>
      <c r="AA330" s="23">
        <f>IF(B330="","",B330-TODAY())</f>
        <v>0</v>
      </c>
      <c r="AC330" s="29">
        <f>IF(H330="","",IF(X330="Published",IF(AB330="","Add - link missing","Yes"),"No"))</f>
        <v>0</v>
      </c>
      <c r="AD330" s="23">
        <f>IF(A330="","",IF(COUNTIF(Performance!$B$5:$B$404,A330)=0,"",SUMIFS(Performance!$O$5:$O$404,Performance!$B$5:$B$404,A330)))</f>
        <v>0</v>
      </c>
      <c r="AE330" s="23">
        <f>IF(AD330="","",SUMIFS(Performance!$Z$5:$Z$404,Performance!$B$5:$B$404,A330))</f>
        <v>0</v>
      </c>
      <c r="AF330" s="24">
        <f>IF(OR(AD330="",AD330=0),"",AE330/AD330)</f>
        <v>0</v>
      </c>
      <c r="AG330" s="23">
        <f>IF(AD330="","",SUMIFS(Performance!$U$5:$U$404,Performance!$B$5:$B$404,A330))</f>
        <v>0</v>
      </c>
      <c r="AH330" s="23">
        <f>IF(A330="","",COUNTIF(Repurposing!$B$5:$B$154,A330))</f>
        <v>0</v>
      </c>
      <c r="AI330" s="32">
        <f>IF(OR(H330="",B330=""),"",B330+ROW()/100000)</f>
        <v>0</v>
      </c>
      <c r="AJ330" s="32">
        <f>IF(OR(H330="",B330=""),"",IF(OR(X330="Published",X330="Cancelled",X330="Archived"),"",IF(B330&lt;TODAY(),"",B330+ROW()/100000)))</f>
        <v>0</v>
      </c>
      <c r="AK330" s="32">
        <f>IF(OR(H330="",B330=""),"",IF(OR(X330="Published",X330="Cancelled",X330="Archived"),"",IF(B330&gt;=TODAY(),"",B330+ROW()/100000)))</f>
        <v>0</v>
      </c>
      <c r="AL330" s="29">
        <f>IF(H330="","",IF(COUNTIFS('Content Calendar'!$H$5:$H$604,H330,'Content Calendar'!$G$5:$G$604,G330,'Content Calendar'!$B$5:$B$604,B330)&gt;1,"Duplicate","OK"))</f>
        <v>0</v>
      </c>
      <c r="AM330" s="29">
        <f>IF(H330="","",IF(AND(B330&lt;&gt;"",B330&lt;TODAY(),X330&lt;&gt;"Published",X330&lt;&gt;"Cancelled",X330&lt;&gt;"Archived"),"Overdue - date has passed",IF(AND(X330="Published",AB330=""),"Add - publish link missing",IF(AND(B330=TODAY(),X330&lt;&gt;"Published"),"Today - due to go live",IF(AND(Y330&lt;&gt;"",Y330&lt;TODAY(),OR(X330="Idea",X330="Brief",X330="In production")),"Late - draft not ready",IF(AND(AA330&gt;=0,AA330&lt;=3,OR(X330="Draft",X330="Awaiting review")),"Due - needs approval",IF(AND(H330&lt;&gt;"",P330=""),"Add - caption missing","OK")))))))</f>
        <v>0</v>
      </c>
    </row>
    <row r="331" spans="1:39">
      <c r="A331" s="41">
        <f>IF(H331="","",ContentPrefix&amp;TEXT(ROW()-4,"0000"))</f>
        <v>0</v>
      </c>
      <c r="D331" s="17">
        <f>IF(B331="","",TEXT(B331,"yyyy-mm"))</f>
        <v>0</v>
      </c>
      <c r="E331" s="23">
        <f>IF(B331="","",WEEKNUM(B331,IF(WeekStart="Sunday",1,2)))</f>
        <v>0</v>
      </c>
      <c r="F331" s="17">
        <f>IF(B331="","",TEXT(B331,"ddd"))</f>
        <v>0</v>
      </c>
      <c r="Q331" s="29">
        <f>IF(H331="","",IF(P331="","Add - no caption",IFERROR(INDEX('Caption Bank'!$R$5:$R$204,MATCH(P331,'Caption Bank'!$B$5:$B$204,0)),"Check - not in bank")))</f>
        <v>0</v>
      </c>
      <c r="S331" s="23">
        <f>IF(R331="","",COUNTIF('Hashtag Bank'!$D$5:$D$304,R331))</f>
        <v>0</v>
      </c>
      <c r="U331" s="29">
        <f>IF(H331="","",IF(T331="","Add - no asset",IFERROR(INDEX(Assets!$N$5:$N$254,MATCH(T331,Assets!$A$5:$A$254,0)),"Check - not in library")))</f>
        <v>0</v>
      </c>
      <c r="Y331" s="16">
        <f>IF(B331="","",B331-ProductionDays)</f>
        <v>0</v>
      </c>
      <c r="Z331" s="16">
        <f>IF(B331="","",B331-ApprovalDays)</f>
        <v>0</v>
      </c>
      <c r="AA331" s="23">
        <f>IF(B331="","",B331-TODAY())</f>
        <v>0</v>
      </c>
      <c r="AC331" s="29">
        <f>IF(H331="","",IF(X331="Published",IF(AB331="","Add - link missing","Yes"),"No"))</f>
        <v>0</v>
      </c>
      <c r="AD331" s="23">
        <f>IF(A331="","",IF(COUNTIF(Performance!$B$5:$B$404,A331)=0,"",SUMIFS(Performance!$O$5:$O$404,Performance!$B$5:$B$404,A331)))</f>
        <v>0</v>
      </c>
      <c r="AE331" s="23">
        <f>IF(AD331="","",SUMIFS(Performance!$Z$5:$Z$404,Performance!$B$5:$B$404,A331))</f>
        <v>0</v>
      </c>
      <c r="AF331" s="24">
        <f>IF(OR(AD331="",AD331=0),"",AE331/AD331)</f>
        <v>0</v>
      </c>
      <c r="AG331" s="23">
        <f>IF(AD331="","",SUMIFS(Performance!$U$5:$U$404,Performance!$B$5:$B$404,A331))</f>
        <v>0</v>
      </c>
      <c r="AH331" s="23">
        <f>IF(A331="","",COUNTIF(Repurposing!$B$5:$B$154,A331))</f>
        <v>0</v>
      </c>
      <c r="AI331" s="32">
        <f>IF(OR(H331="",B331=""),"",B331+ROW()/100000)</f>
        <v>0</v>
      </c>
      <c r="AJ331" s="32">
        <f>IF(OR(H331="",B331=""),"",IF(OR(X331="Published",X331="Cancelled",X331="Archived"),"",IF(B331&lt;TODAY(),"",B331+ROW()/100000)))</f>
        <v>0</v>
      </c>
      <c r="AK331" s="32">
        <f>IF(OR(H331="",B331=""),"",IF(OR(X331="Published",X331="Cancelled",X331="Archived"),"",IF(B331&gt;=TODAY(),"",B331+ROW()/100000)))</f>
        <v>0</v>
      </c>
      <c r="AL331" s="29">
        <f>IF(H331="","",IF(COUNTIFS('Content Calendar'!$H$5:$H$604,H331,'Content Calendar'!$G$5:$G$604,G331,'Content Calendar'!$B$5:$B$604,B331)&gt;1,"Duplicate","OK"))</f>
        <v>0</v>
      </c>
      <c r="AM331" s="29">
        <f>IF(H331="","",IF(AND(B331&lt;&gt;"",B331&lt;TODAY(),X331&lt;&gt;"Published",X331&lt;&gt;"Cancelled",X331&lt;&gt;"Archived"),"Overdue - date has passed",IF(AND(X331="Published",AB331=""),"Add - publish link missing",IF(AND(B331=TODAY(),X331&lt;&gt;"Published"),"Today - due to go live",IF(AND(Y331&lt;&gt;"",Y331&lt;TODAY(),OR(X331="Idea",X331="Brief",X331="In production")),"Late - draft not ready",IF(AND(AA331&gt;=0,AA331&lt;=3,OR(X331="Draft",X331="Awaiting review")),"Due - needs approval",IF(AND(H331&lt;&gt;"",P331=""),"Add - caption missing","OK")))))))</f>
        <v>0</v>
      </c>
    </row>
    <row r="332" spans="1:39">
      <c r="A332" s="41">
        <f>IF(H332="","",ContentPrefix&amp;TEXT(ROW()-4,"0000"))</f>
        <v>0</v>
      </c>
      <c r="D332" s="17">
        <f>IF(B332="","",TEXT(B332,"yyyy-mm"))</f>
        <v>0</v>
      </c>
      <c r="E332" s="23">
        <f>IF(B332="","",WEEKNUM(B332,IF(WeekStart="Sunday",1,2)))</f>
        <v>0</v>
      </c>
      <c r="F332" s="17">
        <f>IF(B332="","",TEXT(B332,"ddd"))</f>
        <v>0</v>
      </c>
      <c r="Q332" s="29">
        <f>IF(H332="","",IF(P332="","Add - no caption",IFERROR(INDEX('Caption Bank'!$R$5:$R$204,MATCH(P332,'Caption Bank'!$B$5:$B$204,0)),"Check - not in bank")))</f>
        <v>0</v>
      </c>
      <c r="S332" s="23">
        <f>IF(R332="","",COUNTIF('Hashtag Bank'!$D$5:$D$304,R332))</f>
        <v>0</v>
      </c>
      <c r="U332" s="29">
        <f>IF(H332="","",IF(T332="","Add - no asset",IFERROR(INDEX(Assets!$N$5:$N$254,MATCH(T332,Assets!$A$5:$A$254,0)),"Check - not in library")))</f>
        <v>0</v>
      </c>
      <c r="Y332" s="16">
        <f>IF(B332="","",B332-ProductionDays)</f>
        <v>0</v>
      </c>
      <c r="Z332" s="16">
        <f>IF(B332="","",B332-ApprovalDays)</f>
        <v>0</v>
      </c>
      <c r="AA332" s="23">
        <f>IF(B332="","",B332-TODAY())</f>
        <v>0</v>
      </c>
      <c r="AC332" s="29">
        <f>IF(H332="","",IF(X332="Published",IF(AB332="","Add - link missing","Yes"),"No"))</f>
        <v>0</v>
      </c>
      <c r="AD332" s="23">
        <f>IF(A332="","",IF(COUNTIF(Performance!$B$5:$B$404,A332)=0,"",SUMIFS(Performance!$O$5:$O$404,Performance!$B$5:$B$404,A332)))</f>
        <v>0</v>
      </c>
      <c r="AE332" s="23">
        <f>IF(AD332="","",SUMIFS(Performance!$Z$5:$Z$404,Performance!$B$5:$B$404,A332))</f>
        <v>0</v>
      </c>
      <c r="AF332" s="24">
        <f>IF(OR(AD332="",AD332=0),"",AE332/AD332)</f>
        <v>0</v>
      </c>
      <c r="AG332" s="23">
        <f>IF(AD332="","",SUMIFS(Performance!$U$5:$U$404,Performance!$B$5:$B$404,A332))</f>
        <v>0</v>
      </c>
      <c r="AH332" s="23">
        <f>IF(A332="","",COUNTIF(Repurposing!$B$5:$B$154,A332))</f>
        <v>0</v>
      </c>
      <c r="AI332" s="32">
        <f>IF(OR(H332="",B332=""),"",B332+ROW()/100000)</f>
        <v>0</v>
      </c>
      <c r="AJ332" s="32">
        <f>IF(OR(H332="",B332=""),"",IF(OR(X332="Published",X332="Cancelled",X332="Archived"),"",IF(B332&lt;TODAY(),"",B332+ROW()/100000)))</f>
        <v>0</v>
      </c>
      <c r="AK332" s="32">
        <f>IF(OR(H332="",B332=""),"",IF(OR(X332="Published",X332="Cancelled",X332="Archived"),"",IF(B332&gt;=TODAY(),"",B332+ROW()/100000)))</f>
        <v>0</v>
      </c>
      <c r="AL332" s="29">
        <f>IF(H332="","",IF(COUNTIFS('Content Calendar'!$H$5:$H$604,H332,'Content Calendar'!$G$5:$G$604,G332,'Content Calendar'!$B$5:$B$604,B332)&gt;1,"Duplicate","OK"))</f>
        <v>0</v>
      </c>
      <c r="AM332" s="29">
        <f>IF(H332="","",IF(AND(B332&lt;&gt;"",B332&lt;TODAY(),X332&lt;&gt;"Published",X332&lt;&gt;"Cancelled",X332&lt;&gt;"Archived"),"Overdue - date has passed",IF(AND(X332="Published",AB332=""),"Add - publish link missing",IF(AND(B332=TODAY(),X332&lt;&gt;"Published"),"Today - due to go live",IF(AND(Y332&lt;&gt;"",Y332&lt;TODAY(),OR(X332="Idea",X332="Brief",X332="In production")),"Late - draft not ready",IF(AND(AA332&gt;=0,AA332&lt;=3,OR(X332="Draft",X332="Awaiting review")),"Due - needs approval",IF(AND(H332&lt;&gt;"",P332=""),"Add - caption missing","OK")))))))</f>
        <v>0</v>
      </c>
    </row>
    <row r="333" spans="1:39">
      <c r="A333" s="41">
        <f>IF(H333="","",ContentPrefix&amp;TEXT(ROW()-4,"0000"))</f>
        <v>0</v>
      </c>
      <c r="D333" s="17">
        <f>IF(B333="","",TEXT(B333,"yyyy-mm"))</f>
        <v>0</v>
      </c>
      <c r="E333" s="23">
        <f>IF(B333="","",WEEKNUM(B333,IF(WeekStart="Sunday",1,2)))</f>
        <v>0</v>
      </c>
      <c r="F333" s="17">
        <f>IF(B333="","",TEXT(B333,"ddd"))</f>
        <v>0</v>
      </c>
      <c r="Q333" s="29">
        <f>IF(H333="","",IF(P333="","Add - no caption",IFERROR(INDEX('Caption Bank'!$R$5:$R$204,MATCH(P333,'Caption Bank'!$B$5:$B$204,0)),"Check - not in bank")))</f>
        <v>0</v>
      </c>
      <c r="S333" s="23">
        <f>IF(R333="","",COUNTIF('Hashtag Bank'!$D$5:$D$304,R333))</f>
        <v>0</v>
      </c>
      <c r="U333" s="29">
        <f>IF(H333="","",IF(T333="","Add - no asset",IFERROR(INDEX(Assets!$N$5:$N$254,MATCH(T333,Assets!$A$5:$A$254,0)),"Check - not in library")))</f>
        <v>0</v>
      </c>
      <c r="Y333" s="16">
        <f>IF(B333="","",B333-ProductionDays)</f>
        <v>0</v>
      </c>
      <c r="Z333" s="16">
        <f>IF(B333="","",B333-ApprovalDays)</f>
        <v>0</v>
      </c>
      <c r="AA333" s="23">
        <f>IF(B333="","",B333-TODAY())</f>
        <v>0</v>
      </c>
      <c r="AC333" s="29">
        <f>IF(H333="","",IF(X333="Published",IF(AB333="","Add - link missing","Yes"),"No"))</f>
        <v>0</v>
      </c>
      <c r="AD333" s="23">
        <f>IF(A333="","",IF(COUNTIF(Performance!$B$5:$B$404,A333)=0,"",SUMIFS(Performance!$O$5:$O$404,Performance!$B$5:$B$404,A333)))</f>
        <v>0</v>
      </c>
      <c r="AE333" s="23">
        <f>IF(AD333="","",SUMIFS(Performance!$Z$5:$Z$404,Performance!$B$5:$B$404,A333))</f>
        <v>0</v>
      </c>
      <c r="AF333" s="24">
        <f>IF(OR(AD333="",AD333=0),"",AE333/AD333)</f>
        <v>0</v>
      </c>
      <c r="AG333" s="23">
        <f>IF(AD333="","",SUMIFS(Performance!$U$5:$U$404,Performance!$B$5:$B$404,A333))</f>
        <v>0</v>
      </c>
      <c r="AH333" s="23">
        <f>IF(A333="","",COUNTIF(Repurposing!$B$5:$B$154,A333))</f>
        <v>0</v>
      </c>
      <c r="AI333" s="32">
        <f>IF(OR(H333="",B333=""),"",B333+ROW()/100000)</f>
        <v>0</v>
      </c>
      <c r="AJ333" s="32">
        <f>IF(OR(H333="",B333=""),"",IF(OR(X333="Published",X333="Cancelled",X333="Archived"),"",IF(B333&lt;TODAY(),"",B333+ROW()/100000)))</f>
        <v>0</v>
      </c>
      <c r="AK333" s="32">
        <f>IF(OR(H333="",B333=""),"",IF(OR(X333="Published",X333="Cancelled",X333="Archived"),"",IF(B333&gt;=TODAY(),"",B333+ROW()/100000)))</f>
        <v>0</v>
      </c>
      <c r="AL333" s="29">
        <f>IF(H333="","",IF(COUNTIFS('Content Calendar'!$H$5:$H$604,H333,'Content Calendar'!$G$5:$G$604,G333,'Content Calendar'!$B$5:$B$604,B333)&gt;1,"Duplicate","OK"))</f>
        <v>0</v>
      </c>
      <c r="AM333" s="29">
        <f>IF(H333="","",IF(AND(B333&lt;&gt;"",B333&lt;TODAY(),X333&lt;&gt;"Published",X333&lt;&gt;"Cancelled",X333&lt;&gt;"Archived"),"Overdue - date has passed",IF(AND(X333="Published",AB333=""),"Add - publish link missing",IF(AND(B333=TODAY(),X333&lt;&gt;"Published"),"Today - due to go live",IF(AND(Y333&lt;&gt;"",Y333&lt;TODAY(),OR(X333="Idea",X333="Brief",X333="In production")),"Late - draft not ready",IF(AND(AA333&gt;=0,AA333&lt;=3,OR(X333="Draft",X333="Awaiting review")),"Due - needs approval",IF(AND(H333&lt;&gt;"",P333=""),"Add - caption missing","OK")))))))</f>
        <v>0</v>
      </c>
    </row>
    <row r="334" spans="1:39">
      <c r="A334" s="41">
        <f>IF(H334="","",ContentPrefix&amp;TEXT(ROW()-4,"0000"))</f>
        <v>0</v>
      </c>
      <c r="D334" s="17">
        <f>IF(B334="","",TEXT(B334,"yyyy-mm"))</f>
        <v>0</v>
      </c>
      <c r="E334" s="23">
        <f>IF(B334="","",WEEKNUM(B334,IF(WeekStart="Sunday",1,2)))</f>
        <v>0</v>
      </c>
      <c r="F334" s="17">
        <f>IF(B334="","",TEXT(B334,"ddd"))</f>
        <v>0</v>
      </c>
      <c r="Q334" s="29">
        <f>IF(H334="","",IF(P334="","Add - no caption",IFERROR(INDEX('Caption Bank'!$R$5:$R$204,MATCH(P334,'Caption Bank'!$B$5:$B$204,0)),"Check - not in bank")))</f>
        <v>0</v>
      </c>
      <c r="S334" s="23">
        <f>IF(R334="","",COUNTIF('Hashtag Bank'!$D$5:$D$304,R334))</f>
        <v>0</v>
      </c>
      <c r="U334" s="29">
        <f>IF(H334="","",IF(T334="","Add - no asset",IFERROR(INDEX(Assets!$N$5:$N$254,MATCH(T334,Assets!$A$5:$A$254,0)),"Check - not in library")))</f>
        <v>0</v>
      </c>
      <c r="Y334" s="16">
        <f>IF(B334="","",B334-ProductionDays)</f>
        <v>0</v>
      </c>
      <c r="Z334" s="16">
        <f>IF(B334="","",B334-ApprovalDays)</f>
        <v>0</v>
      </c>
      <c r="AA334" s="23">
        <f>IF(B334="","",B334-TODAY())</f>
        <v>0</v>
      </c>
      <c r="AC334" s="29">
        <f>IF(H334="","",IF(X334="Published",IF(AB334="","Add - link missing","Yes"),"No"))</f>
        <v>0</v>
      </c>
      <c r="AD334" s="23">
        <f>IF(A334="","",IF(COUNTIF(Performance!$B$5:$B$404,A334)=0,"",SUMIFS(Performance!$O$5:$O$404,Performance!$B$5:$B$404,A334)))</f>
        <v>0</v>
      </c>
      <c r="AE334" s="23">
        <f>IF(AD334="","",SUMIFS(Performance!$Z$5:$Z$404,Performance!$B$5:$B$404,A334))</f>
        <v>0</v>
      </c>
      <c r="AF334" s="24">
        <f>IF(OR(AD334="",AD334=0),"",AE334/AD334)</f>
        <v>0</v>
      </c>
      <c r="AG334" s="23">
        <f>IF(AD334="","",SUMIFS(Performance!$U$5:$U$404,Performance!$B$5:$B$404,A334))</f>
        <v>0</v>
      </c>
      <c r="AH334" s="23">
        <f>IF(A334="","",COUNTIF(Repurposing!$B$5:$B$154,A334))</f>
        <v>0</v>
      </c>
      <c r="AI334" s="32">
        <f>IF(OR(H334="",B334=""),"",B334+ROW()/100000)</f>
        <v>0</v>
      </c>
      <c r="AJ334" s="32">
        <f>IF(OR(H334="",B334=""),"",IF(OR(X334="Published",X334="Cancelled",X334="Archived"),"",IF(B334&lt;TODAY(),"",B334+ROW()/100000)))</f>
        <v>0</v>
      </c>
      <c r="AK334" s="32">
        <f>IF(OR(H334="",B334=""),"",IF(OR(X334="Published",X334="Cancelled",X334="Archived"),"",IF(B334&gt;=TODAY(),"",B334+ROW()/100000)))</f>
        <v>0</v>
      </c>
      <c r="AL334" s="29">
        <f>IF(H334="","",IF(COUNTIFS('Content Calendar'!$H$5:$H$604,H334,'Content Calendar'!$G$5:$G$604,G334,'Content Calendar'!$B$5:$B$604,B334)&gt;1,"Duplicate","OK"))</f>
        <v>0</v>
      </c>
      <c r="AM334" s="29">
        <f>IF(H334="","",IF(AND(B334&lt;&gt;"",B334&lt;TODAY(),X334&lt;&gt;"Published",X334&lt;&gt;"Cancelled",X334&lt;&gt;"Archived"),"Overdue - date has passed",IF(AND(X334="Published",AB334=""),"Add - publish link missing",IF(AND(B334=TODAY(),X334&lt;&gt;"Published"),"Today - due to go live",IF(AND(Y334&lt;&gt;"",Y334&lt;TODAY(),OR(X334="Idea",X334="Brief",X334="In production")),"Late - draft not ready",IF(AND(AA334&gt;=0,AA334&lt;=3,OR(X334="Draft",X334="Awaiting review")),"Due - needs approval",IF(AND(H334&lt;&gt;"",P334=""),"Add - caption missing","OK")))))))</f>
        <v>0</v>
      </c>
    </row>
    <row r="335" spans="1:39">
      <c r="A335" s="41">
        <f>IF(H335="","",ContentPrefix&amp;TEXT(ROW()-4,"0000"))</f>
        <v>0</v>
      </c>
      <c r="D335" s="17">
        <f>IF(B335="","",TEXT(B335,"yyyy-mm"))</f>
        <v>0</v>
      </c>
      <c r="E335" s="23">
        <f>IF(B335="","",WEEKNUM(B335,IF(WeekStart="Sunday",1,2)))</f>
        <v>0</v>
      </c>
      <c r="F335" s="17">
        <f>IF(B335="","",TEXT(B335,"ddd"))</f>
        <v>0</v>
      </c>
      <c r="Q335" s="29">
        <f>IF(H335="","",IF(P335="","Add - no caption",IFERROR(INDEX('Caption Bank'!$R$5:$R$204,MATCH(P335,'Caption Bank'!$B$5:$B$204,0)),"Check - not in bank")))</f>
        <v>0</v>
      </c>
      <c r="S335" s="23">
        <f>IF(R335="","",COUNTIF('Hashtag Bank'!$D$5:$D$304,R335))</f>
        <v>0</v>
      </c>
      <c r="U335" s="29">
        <f>IF(H335="","",IF(T335="","Add - no asset",IFERROR(INDEX(Assets!$N$5:$N$254,MATCH(T335,Assets!$A$5:$A$254,0)),"Check - not in library")))</f>
        <v>0</v>
      </c>
      <c r="Y335" s="16">
        <f>IF(B335="","",B335-ProductionDays)</f>
        <v>0</v>
      </c>
      <c r="Z335" s="16">
        <f>IF(B335="","",B335-ApprovalDays)</f>
        <v>0</v>
      </c>
      <c r="AA335" s="23">
        <f>IF(B335="","",B335-TODAY())</f>
        <v>0</v>
      </c>
      <c r="AC335" s="29">
        <f>IF(H335="","",IF(X335="Published",IF(AB335="","Add - link missing","Yes"),"No"))</f>
        <v>0</v>
      </c>
      <c r="AD335" s="23">
        <f>IF(A335="","",IF(COUNTIF(Performance!$B$5:$B$404,A335)=0,"",SUMIFS(Performance!$O$5:$O$404,Performance!$B$5:$B$404,A335)))</f>
        <v>0</v>
      </c>
      <c r="AE335" s="23">
        <f>IF(AD335="","",SUMIFS(Performance!$Z$5:$Z$404,Performance!$B$5:$B$404,A335))</f>
        <v>0</v>
      </c>
      <c r="AF335" s="24">
        <f>IF(OR(AD335="",AD335=0),"",AE335/AD335)</f>
        <v>0</v>
      </c>
      <c r="AG335" s="23">
        <f>IF(AD335="","",SUMIFS(Performance!$U$5:$U$404,Performance!$B$5:$B$404,A335))</f>
        <v>0</v>
      </c>
      <c r="AH335" s="23">
        <f>IF(A335="","",COUNTIF(Repurposing!$B$5:$B$154,A335))</f>
        <v>0</v>
      </c>
      <c r="AI335" s="32">
        <f>IF(OR(H335="",B335=""),"",B335+ROW()/100000)</f>
        <v>0</v>
      </c>
      <c r="AJ335" s="32">
        <f>IF(OR(H335="",B335=""),"",IF(OR(X335="Published",X335="Cancelled",X335="Archived"),"",IF(B335&lt;TODAY(),"",B335+ROW()/100000)))</f>
        <v>0</v>
      </c>
      <c r="AK335" s="32">
        <f>IF(OR(H335="",B335=""),"",IF(OR(X335="Published",X335="Cancelled",X335="Archived"),"",IF(B335&gt;=TODAY(),"",B335+ROW()/100000)))</f>
        <v>0</v>
      </c>
      <c r="AL335" s="29">
        <f>IF(H335="","",IF(COUNTIFS('Content Calendar'!$H$5:$H$604,H335,'Content Calendar'!$G$5:$G$604,G335,'Content Calendar'!$B$5:$B$604,B335)&gt;1,"Duplicate","OK"))</f>
        <v>0</v>
      </c>
      <c r="AM335" s="29">
        <f>IF(H335="","",IF(AND(B335&lt;&gt;"",B335&lt;TODAY(),X335&lt;&gt;"Published",X335&lt;&gt;"Cancelled",X335&lt;&gt;"Archived"),"Overdue - date has passed",IF(AND(X335="Published",AB335=""),"Add - publish link missing",IF(AND(B335=TODAY(),X335&lt;&gt;"Published"),"Today - due to go live",IF(AND(Y335&lt;&gt;"",Y335&lt;TODAY(),OR(X335="Idea",X335="Brief",X335="In production")),"Late - draft not ready",IF(AND(AA335&gt;=0,AA335&lt;=3,OR(X335="Draft",X335="Awaiting review")),"Due - needs approval",IF(AND(H335&lt;&gt;"",P335=""),"Add - caption missing","OK")))))))</f>
        <v>0</v>
      </c>
    </row>
    <row r="336" spans="1:39">
      <c r="A336" s="41">
        <f>IF(H336="","",ContentPrefix&amp;TEXT(ROW()-4,"0000"))</f>
        <v>0</v>
      </c>
      <c r="D336" s="17">
        <f>IF(B336="","",TEXT(B336,"yyyy-mm"))</f>
        <v>0</v>
      </c>
      <c r="E336" s="23">
        <f>IF(B336="","",WEEKNUM(B336,IF(WeekStart="Sunday",1,2)))</f>
        <v>0</v>
      </c>
      <c r="F336" s="17">
        <f>IF(B336="","",TEXT(B336,"ddd"))</f>
        <v>0</v>
      </c>
      <c r="Q336" s="29">
        <f>IF(H336="","",IF(P336="","Add - no caption",IFERROR(INDEX('Caption Bank'!$R$5:$R$204,MATCH(P336,'Caption Bank'!$B$5:$B$204,0)),"Check - not in bank")))</f>
        <v>0</v>
      </c>
      <c r="S336" s="23">
        <f>IF(R336="","",COUNTIF('Hashtag Bank'!$D$5:$D$304,R336))</f>
        <v>0</v>
      </c>
      <c r="U336" s="29">
        <f>IF(H336="","",IF(T336="","Add - no asset",IFERROR(INDEX(Assets!$N$5:$N$254,MATCH(T336,Assets!$A$5:$A$254,0)),"Check - not in library")))</f>
        <v>0</v>
      </c>
      <c r="Y336" s="16">
        <f>IF(B336="","",B336-ProductionDays)</f>
        <v>0</v>
      </c>
      <c r="Z336" s="16">
        <f>IF(B336="","",B336-ApprovalDays)</f>
        <v>0</v>
      </c>
      <c r="AA336" s="23">
        <f>IF(B336="","",B336-TODAY())</f>
        <v>0</v>
      </c>
      <c r="AC336" s="29">
        <f>IF(H336="","",IF(X336="Published",IF(AB336="","Add - link missing","Yes"),"No"))</f>
        <v>0</v>
      </c>
      <c r="AD336" s="23">
        <f>IF(A336="","",IF(COUNTIF(Performance!$B$5:$B$404,A336)=0,"",SUMIFS(Performance!$O$5:$O$404,Performance!$B$5:$B$404,A336)))</f>
        <v>0</v>
      </c>
      <c r="AE336" s="23">
        <f>IF(AD336="","",SUMIFS(Performance!$Z$5:$Z$404,Performance!$B$5:$B$404,A336))</f>
        <v>0</v>
      </c>
      <c r="AF336" s="24">
        <f>IF(OR(AD336="",AD336=0),"",AE336/AD336)</f>
        <v>0</v>
      </c>
      <c r="AG336" s="23">
        <f>IF(AD336="","",SUMIFS(Performance!$U$5:$U$404,Performance!$B$5:$B$404,A336))</f>
        <v>0</v>
      </c>
      <c r="AH336" s="23">
        <f>IF(A336="","",COUNTIF(Repurposing!$B$5:$B$154,A336))</f>
        <v>0</v>
      </c>
      <c r="AI336" s="32">
        <f>IF(OR(H336="",B336=""),"",B336+ROW()/100000)</f>
        <v>0</v>
      </c>
      <c r="AJ336" s="32">
        <f>IF(OR(H336="",B336=""),"",IF(OR(X336="Published",X336="Cancelled",X336="Archived"),"",IF(B336&lt;TODAY(),"",B336+ROW()/100000)))</f>
        <v>0</v>
      </c>
      <c r="AK336" s="32">
        <f>IF(OR(H336="",B336=""),"",IF(OR(X336="Published",X336="Cancelled",X336="Archived"),"",IF(B336&gt;=TODAY(),"",B336+ROW()/100000)))</f>
        <v>0</v>
      </c>
      <c r="AL336" s="29">
        <f>IF(H336="","",IF(COUNTIFS('Content Calendar'!$H$5:$H$604,H336,'Content Calendar'!$G$5:$G$604,G336,'Content Calendar'!$B$5:$B$604,B336)&gt;1,"Duplicate","OK"))</f>
        <v>0</v>
      </c>
      <c r="AM336" s="29">
        <f>IF(H336="","",IF(AND(B336&lt;&gt;"",B336&lt;TODAY(),X336&lt;&gt;"Published",X336&lt;&gt;"Cancelled",X336&lt;&gt;"Archived"),"Overdue - date has passed",IF(AND(X336="Published",AB336=""),"Add - publish link missing",IF(AND(B336=TODAY(),X336&lt;&gt;"Published"),"Today - due to go live",IF(AND(Y336&lt;&gt;"",Y336&lt;TODAY(),OR(X336="Idea",X336="Brief",X336="In production")),"Late - draft not ready",IF(AND(AA336&gt;=0,AA336&lt;=3,OR(X336="Draft",X336="Awaiting review")),"Due - needs approval",IF(AND(H336&lt;&gt;"",P336=""),"Add - caption missing","OK")))))))</f>
        <v>0</v>
      </c>
    </row>
    <row r="337" spans="1:39">
      <c r="A337" s="41">
        <f>IF(H337="","",ContentPrefix&amp;TEXT(ROW()-4,"0000"))</f>
        <v>0</v>
      </c>
      <c r="D337" s="17">
        <f>IF(B337="","",TEXT(B337,"yyyy-mm"))</f>
        <v>0</v>
      </c>
      <c r="E337" s="23">
        <f>IF(B337="","",WEEKNUM(B337,IF(WeekStart="Sunday",1,2)))</f>
        <v>0</v>
      </c>
      <c r="F337" s="17">
        <f>IF(B337="","",TEXT(B337,"ddd"))</f>
        <v>0</v>
      </c>
      <c r="Q337" s="29">
        <f>IF(H337="","",IF(P337="","Add - no caption",IFERROR(INDEX('Caption Bank'!$R$5:$R$204,MATCH(P337,'Caption Bank'!$B$5:$B$204,0)),"Check - not in bank")))</f>
        <v>0</v>
      </c>
      <c r="S337" s="23">
        <f>IF(R337="","",COUNTIF('Hashtag Bank'!$D$5:$D$304,R337))</f>
        <v>0</v>
      </c>
      <c r="U337" s="29">
        <f>IF(H337="","",IF(T337="","Add - no asset",IFERROR(INDEX(Assets!$N$5:$N$254,MATCH(T337,Assets!$A$5:$A$254,0)),"Check - not in library")))</f>
        <v>0</v>
      </c>
      <c r="Y337" s="16">
        <f>IF(B337="","",B337-ProductionDays)</f>
        <v>0</v>
      </c>
      <c r="Z337" s="16">
        <f>IF(B337="","",B337-ApprovalDays)</f>
        <v>0</v>
      </c>
      <c r="AA337" s="23">
        <f>IF(B337="","",B337-TODAY())</f>
        <v>0</v>
      </c>
      <c r="AC337" s="29">
        <f>IF(H337="","",IF(X337="Published",IF(AB337="","Add - link missing","Yes"),"No"))</f>
        <v>0</v>
      </c>
      <c r="AD337" s="23">
        <f>IF(A337="","",IF(COUNTIF(Performance!$B$5:$B$404,A337)=0,"",SUMIFS(Performance!$O$5:$O$404,Performance!$B$5:$B$404,A337)))</f>
        <v>0</v>
      </c>
      <c r="AE337" s="23">
        <f>IF(AD337="","",SUMIFS(Performance!$Z$5:$Z$404,Performance!$B$5:$B$404,A337))</f>
        <v>0</v>
      </c>
      <c r="AF337" s="24">
        <f>IF(OR(AD337="",AD337=0),"",AE337/AD337)</f>
        <v>0</v>
      </c>
      <c r="AG337" s="23">
        <f>IF(AD337="","",SUMIFS(Performance!$U$5:$U$404,Performance!$B$5:$B$404,A337))</f>
        <v>0</v>
      </c>
      <c r="AH337" s="23">
        <f>IF(A337="","",COUNTIF(Repurposing!$B$5:$B$154,A337))</f>
        <v>0</v>
      </c>
      <c r="AI337" s="32">
        <f>IF(OR(H337="",B337=""),"",B337+ROW()/100000)</f>
        <v>0</v>
      </c>
      <c r="AJ337" s="32">
        <f>IF(OR(H337="",B337=""),"",IF(OR(X337="Published",X337="Cancelled",X337="Archived"),"",IF(B337&lt;TODAY(),"",B337+ROW()/100000)))</f>
        <v>0</v>
      </c>
      <c r="AK337" s="32">
        <f>IF(OR(H337="",B337=""),"",IF(OR(X337="Published",X337="Cancelled",X337="Archived"),"",IF(B337&gt;=TODAY(),"",B337+ROW()/100000)))</f>
        <v>0</v>
      </c>
      <c r="AL337" s="29">
        <f>IF(H337="","",IF(COUNTIFS('Content Calendar'!$H$5:$H$604,H337,'Content Calendar'!$G$5:$G$604,G337,'Content Calendar'!$B$5:$B$604,B337)&gt;1,"Duplicate","OK"))</f>
        <v>0</v>
      </c>
      <c r="AM337" s="29">
        <f>IF(H337="","",IF(AND(B337&lt;&gt;"",B337&lt;TODAY(),X337&lt;&gt;"Published",X337&lt;&gt;"Cancelled",X337&lt;&gt;"Archived"),"Overdue - date has passed",IF(AND(X337="Published",AB337=""),"Add - publish link missing",IF(AND(B337=TODAY(),X337&lt;&gt;"Published"),"Today - due to go live",IF(AND(Y337&lt;&gt;"",Y337&lt;TODAY(),OR(X337="Idea",X337="Brief",X337="In production")),"Late - draft not ready",IF(AND(AA337&gt;=0,AA337&lt;=3,OR(X337="Draft",X337="Awaiting review")),"Due - needs approval",IF(AND(H337&lt;&gt;"",P337=""),"Add - caption missing","OK")))))))</f>
        <v>0</v>
      </c>
    </row>
    <row r="338" spans="1:39">
      <c r="A338" s="41">
        <f>IF(H338="","",ContentPrefix&amp;TEXT(ROW()-4,"0000"))</f>
        <v>0</v>
      </c>
      <c r="D338" s="17">
        <f>IF(B338="","",TEXT(B338,"yyyy-mm"))</f>
        <v>0</v>
      </c>
      <c r="E338" s="23">
        <f>IF(B338="","",WEEKNUM(B338,IF(WeekStart="Sunday",1,2)))</f>
        <v>0</v>
      </c>
      <c r="F338" s="17">
        <f>IF(B338="","",TEXT(B338,"ddd"))</f>
        <v>0</v>
      </c>
      <c r="Q338" s="29">
        <f>IF(H338="","",IF(P338="","Add - no caption",IFERROR(INDEX('Caption Bank'!$R$5:$R$204,MATCH(P338,'Caption Bank'!$B$5:$B$204,0)),"Check - not in bank")))</f>
        <v>0</v>
      </c>
      <c r="S338" s="23">
        <f>IF(R338="","",COUNTIF('Hashtag Bank'!$D$5:$D$304,R338))</f>
        <v>0</v>
      </c>
      <c r="U338" s="29">
        <f>IF(H338="","",IF(T338="","Add - no asset",IFERROR(INDEX(Assets!$N$5:$N$254,MATCH(T338,Assets!$A$5:$A$254,0)),"Check - not in library")))</f>
        <v>0</v>
      </c>
      <c r="Y338" s="16">
        <f>IF(B338="","",B338-ProductionDays)</f>
        <v>0</v>
      </c>
      <c r="Z338" s="16">
        <f>IF(B338="","",B338-ApprovalDays)</f>
        <v>0</v>
      </c>
      <c r="AA338" s="23">
        <f>IF(B338="","",B338-TODAY())</f>
        <v>0</v>
      </c>
      <c r="AC338" s="29">
        <f>IF(H338="","",IF(X338="Published",IF(AB338="","Add - link missing","Yes"),"No"))</f>
        <v>0</v>
      </c>
      <c r="AD338" s="23">
        <f>IF(A338="","",IF(COUNTIF(Performance!$B$5:$B$404,A338)=0,"",SUMIFS(Performance!$O$5:$O$404,Performance!$B$5:$B$404,A338)))</f>
        <v>0</v>
      </c>
      <c r="AE338" s="23">
        <f>IF(AD338="","",SUMIFS(Performance!$Z$5:$Z$404,Performance!$B$5:$B$404,A338))</f>
        <v>0</v>
      </c>
      <c r="AF338" s="24">
        <f>IF(OR(AD338="",AD338=0),"",AE338/AD338)</f>
        <v>0</v>
      </c>
      <c r="AG338" s="23">
        <f>IF(AD338="","",SUMIFS(Performance!$U$5:$U$404,Performance!$B$5:$B$404,A338))</f>
        <v>0</v>
      </c>
      <c r="AH338" s="23">
        <f>IF(A338="","",COUNTIF(Repurposing!$B$5:$B$154,A338))</f>
        <v>0</v>
      </c>
      <c r="AI338" s="32">
        <f>IF(OR(H338="",B338=""),"",B338+ROW()/100000)</f>
        <v>0</v>
      </c>
      <c r="AJ338" s="32">
        <f>IF(OR(H338="",B338=""),"",IF(OR(X338="Published",X338="Cancelled",X338="Archived"),"",IF(B338&lt;TODAY(),"",B338+ROW()/100000)))</f>
        <v>0</v>
      </c>
      <c r="AK338" s="32">
        <f>IF(OR(H338="",B338=""),"",IF(OR(X338="Published",X338="Cancelled",X338="Archived"),"",IF(B338&gt;=TODAY(),"",B338+ROW()/100000)))</f>
        <v>0</v>
      </c>
      <c r="AL338" s="29">
        <f>IF(H338="","",IF(COUNTIFS('Content Calendar'!$H$5:$H$604,H338,'Content Calendar'!$G$5:$G$604,G338,'Content Calendar'!$B$5:$B$604,B338)&gt;1,"Duplicate","OK"))</f>
        <v>0</v>
      </c>
      <c r="AM338" s="29">
        <f>IF(H338="","",IF(AND(B338&lt;&gt;"",B338&lt;TODAY(),X338&lt;&gt;"Published",X338&lt;&gt;"Cancelled",X338&lt;&gt;"Archived"),"Overdue - date has passed",IF(AND(X338="Published",AB338=""),"Add - publish link missing",IF(AND(B338=TODAY(),X338&lt;&gt;"Published"),"Today - due to go live",IF(AND(Y338&lt;&gt;"",Y338&lt;TODAY(),OR(X338="Idea",X338="Brief",X338="In production")),"Late - draft not ready",IF(AND(AA338&gt;=0,AA338&lt;=3,OR(X338="Draft",X338="Awaiting review")),"Due - needs approval",IF(AND(H338&lt;&gt;"",P338=""),"Add - caption missing","OK")))))))</f>
        <v>0</v>
      </c>
    </row>
    <row r="339" spans="1:39">
      <c r="A339" s="41">
        <f>IF(H339="","",ContentPrefix&amp;TEXT(ROW()-4,"0000"))</f>
        <v>0</v>
      </c>
      <c r="D339" s="17">
        <f>IF(B339="","",TEXT(B339,"yyyy-mm"))</f>
        <v>0</v>
      </c>
      <c r="E339" s="23">
        <f>IF(B339="","",WEEKNUM(B339,IF(WeekStart="Sunday",1,2)))</f>
        <v>0</v>
      </c>
      <c r="F339" s="17">
        <f>IF(B339="","",TEXT(B339,"ddd"))</f>
        <v>0</v>
      </c>
      <c r="Q339" s="29">
        <f>IF(H339="","",IF(P339="","Add - no caption",IFERROR(INDEX('Caption Bank'!$R$5:$R$204,MATCH(P339,'Caption Bank'!$B$5:$B$204,0)),"Check - not in bank")))</f>
        <v>0</v>
      </c>
      <c r="S339" s="23">
        <f>IF(R339="","",COUNTIF('Hashtag Bank'!$D$5:$D$304,R339))</f>
        <v>0</v>
      </c>
      <c r="U339" s="29">
        <f>IF(H339="","",IF(T339="","Add - no asset",IFERROR(INDEX(Assets!$N$5:$N$254,MATCH(T339,Assets!$A$5:$A$254,0)),"Check - not in library")))</f>
        <v>0</v>
      </c>
      <c r="Y339" s="16">
        <f>IF(B339="","",B339-ProductionDays)</f>
        <v>0</v>
      </c>
      <c r="Z339" s="16">
        <f>IF(B339="","",B339-ApprovalDays)</f>
        <v>0</v>
      </c>
      <c r="AA339" s="23">
        <f>IF(B339="","",B339-TODAY())</f>
        <v>0</v>
      </c>
      <c r="AC339" s="29">
        <f>IF(H339="","",IF(X339="Published",IF(AB339="","Add - link missing","Yes"),"No"))</f>
        <v>0</v>
      </c>
      <c r="AD339" s="23">
        <f>IF(A339="","",IF(COUNTIF(Performance!$B$5:$B$404,A339)=0,"",SUMIFS(Performance!$O$5:$O$404,Performance!$B$5:$B$404,A339)))</f>
        <v>0</v>
      </c>
      <c r="AE339" s="23">
        <f>IF(AD339="","",SUMIFS(Performance!$Z$5:$Z$404,Performance!$B$5:$B$404,A339))</f>
        <v>0</v>
      </c>
      <c r="AF339" s="24">
        <f>IF(OR(AD339="",AD339=0),"",AE339/AD339)</f>
        <v>0</v>
      </c>
      <c r="AG339" s="23">
        <f>IF(AD339="","",SUMIFS(Performance!$U$5:$U$404,Performance!$B$5:$B$404,A339))</f>
        <v>0</v>
      </c>
      <c r="AH339" s="23">
        <f>IF(A339="","",COUNTIF(Repurposing!$B$5:$B$154,A339))</f>
        <v>0</v>
      </c>
      <c r="AI339" s="32">
        <f>IF(OR(H339="",B339=""),"",B339+ROW()/100000)</f>
        <v>0</v>
      </c>
      <c r="AJ339" s="32">
        <f>IF(OR(H339="",B339=""),"",IF(OR(X339="Published",X339="Cancelled",X339="Archived"),"",IF(B339&lt;TODAY(),"",B339+ROW()/100000)))</f>
        <v>0</v>
      </c>
      <c r="AK339" s="32">
        <f>IF(OR(H339="",B339=""),"",IF(OR(X339="Published",X339="Cancelled",X339="Archived"),"",IF(B339&gt;=TODAY(),"",B339+ROW()/100000)))</f>
        <v>0</v>
      </c>
      <c r="AL339" s="29">
        <f>IF(H339="","",IF(COUNTIFS('Content Calendar'!$H$5:$H$604,H339,'Content Calendar'!$G$5:$G$604,G339,'Content Calendar'!$B$5:$B$604,B339)&gt;1,"Duplicate","OK"))</f>
        <v>0</v>
      </c>
      <c r="AM339" s="29">
        <f>IF(H339="","",IF(AND(B339&lt;&gt;"",B339&lt;TODAY(),X339&lt;&gt;"Published",X339&lt;&gt;"Cancelled",X339&lt;&gt;"Archived"),"Overdue - date has passed",IF(AND(X339="Published",AB339=""),"Add - publish link missing",IF(AND(B339=TODAY(),X339&lt;&gt;"Published"),"Today - due to go live",IF(AND(Y339&lt;&gt;"",Y339&lt;TODAY(),OR(X339="Idea",X339="Brief",X339="In production")),"Late - draft not ready",IF(AND(AA339&gt;=0,AA339&lt;=3,OR(X339="Draft",X339="Awaiting review")),"Due - needs approval",IF(AND(H339&lt;&gt;"",P339=""),"Add - caption missing","OK")))))))</f>
        <v>0</v>
      </c>
    </row>
    <row r="340" spans="1:39">
      <c r="A340" s="41">
        <f>IF(H340="","",ContentPrefix&amp;TEXT(ROW()-4,"0000"))</f>
        <v>0</v>
      </c>
      <c r="D340" s="17">
        <f>IF(B340="","",TEXT(B340,"yyyy-mm"))</f>
        <v>0</v>
      </c>
      <c r="E340" s="23">
        <f>IF(B340="","",WEEKNUM(B340,IF(WeekStart="Sunday",1,2)))</f>
        <v>0</v>
      </c>
      <c r="F340" s="17">
        <f>IF(B340="","",TEXT(B340,"ddd"))</f>
        <v>0</v>
      </c>
      <c r="Q340" s="29">
        <f>IF(H340="","",IF(P340="","Add - no caption",IFERROR(INDEX('Caption Bank'!$R$5:$R$204,MATCH(P340,'Caption Bank'!$B$5:$B$204,0)),"Check - not in bank")))</f>
        <v>0</v>
      </c>
      <c r="S340" s="23">
        <f>IF(R340="","",COUNTIF('Hashtag Bank'!$D$5:$D$304,R340))</f>
        <v>0</v>
      </c>
      <c r="U340" s="29">
        <f>IF(H340="","",IF(T340="","Add - no asset",IFERROR(INDEX(Assets!$N$5:$N$254,MATCH(T340,Assets!$A$5:$A$254,0)),"Check - not in library")))</f>
        <v>0</v>
      </c>
      <c r="Y340" s="16">
        <f>IF(B340="","",B340-ProductionDays)</f>
        <v>0</v>
      </c>
      <c r="Z340" s="16">
        <f>IF(B340="","",B340-ApprovalDays)</f>
        <v>0</v>
      </c>
      <c r="AA340" s="23">
        <f>IF(B340="","",B340-TODAY())</f>
        <v>0</v>
      </c>
      <c r="AC340" s="29">
        <f>IF(H340="","",IF(X340="Published",IF(AB340="","Add - link missing","Yes"),"No"))</f>
        <v>0</v>
      </c>
      <c r="AD340" s="23">
        <f>IF(A340="","",IF(COUNTIF(Performance!$B$5:$B$404,A340)=0,"",SUMIFS(Performance!$O$5:$O$404,Performance!$B$5:$B$404,A340)))</f>
        <v>0</v>
      </c>
      <c r="AE340" s="23">
        <f>IF(AD340="","",SUMIFS(Performance!$Z$5:$Z$404,Performance!$B$5:$B$404,A340))</f>
        <v>0</v>
      </c>
      <c r="AF340" s="24">
        <f>IF(OR(AD340="",AD340=0),"",AE340/AD340)</f>
        <v>0</v>
      </c>
      <c r="AG340" s="23">
        <f>IF(AD340="","",SUMIFS(Performance!$U$5:$U$404,Performance!$B$5:$B$404,A340))</f>
        <v>0</v>
      </c>
      <c r="AH340" s="23">
        <f>IF(A340="","",COUNTIF(Repurposing!$B$5:$B$154,A340))</f>
        <v>0</v>
      </c>
      <c r="AI340" s="32">
        <f>IF(OR(H340="",B340=""),"",B340+ROW()/100000)</f>
        <v>0</v>
      </c>
      <c r="AJ340" s="32">
        <f>IF(OR(H340="",B340=""),"",IF(OR(X340="Published",X340="Cancelled",X340="Archived"),"",IF(B340&lt;TODAY(),"",B340+ROW()/100000)))</f>
        <v>0</v>
      </c>
      <c r="AK340" s="32">
        <f>IF(OR(H340="",B340=""),"",IF(OR(X340="Published",X340="Cancelled",X340="Archived"),"",IF(B340&gt;=TODAY(),"",B340+ROW()/100000)))</f>
        <v>0</v>
      </c>
      <c r="AL340" s="29">
        <f>IF(H340="","",IF(COUNTIFS('Content Calendar'!$H$5:$H$604,H340,'Content Calendar'!$G$5:$G$604,G340,'Content Calendar'!$B$5:$B$604,B340)&gt;1,"Duplicate","OK"))</f>
        <v>0</v>
      </c>
      <c r="AM340" s="29">
        <f>IF(H340="","",IF(AND(B340&lt;&gt;"",B340&lt;TODAY(),X340&lt;&gt;"Published",X340&lt;&gt;"Cancelled",X340&lt;&gt;"Archived"),"Overdue - date has passed",IF(AND(X340="Published",AB340=""),"Add - publish link missing",IF(AND(B340=TODAY(),X340&lt;&gt;"Published"),"Today - due to go live",IF(AND(Y340&lt;&gt;"",Y340&lt;TODAY(),OR(X340="Idea",X340="Brief",X340="In production")),"Late - draft not ready",IF(AND(AA340&gt;=0,AA340&lt;=3,OR(X340="Draft",X340="Awaiting review")),"Due - needs approval",IF(AND(H340&lt;&gt;"",P340=""),"Add - caption missing","OK")))))))</f>
        <v>0</v>
      </c>
    </row>
    <row r="341" spans="1:39">
      <c r="A341" s="41">
        <f>IF(H341="","",ContentPrefix&amp;TEXT(ROW()-4,"0000"))</f>
        <v>0</v>
      </c>
      <c r="D341" s="17">
        <f>IF(B341="","",TEXT(B341,"yyyy-mm"))</f>
        <v>0</v>
      </c>
      <c r="E341" s="23">
        <f>IF(B341="","",WEEKNUM(B341,IF(WeekStart="Sunday",1,2)))</f>
        <v>0</v>
      </c>
      <c r="F341" s="17">
        <f>IF(B341="","",TEXT(B341,"ddd"))</f>
        <v>0</v>
      </c>
      <c r="Q341" s="29">
        <f>IF(H341="","",IF(P341="","Add - no caption",IFERROR(INDEX('Caption Bank'!$R$5:$R$204,MATCH(P341,'Caption Bank'!$B$5:$B$204,0)),"Check - not in bank")))</f>
        <v>0</v>
      </c>
      <c r="S341" s="23">
        <f>IF(R341="","",COUNTIF('Hashtag Bank'!$D$5:$D$304,R341))</f>
        <v>0</v>
      </c>
      <c r="U341" s="29">
        <f>IF(H341="","",IF(T341="","Add - no asset",IFERROR(INDEX(Assets!$N$5:$N$254,MATCH(T341,Assets!$A$5:$A$254,0)),"Check - not in library")))</f>
        <v>0</v>
      </c>
      <c r="Y341" s="16">
        <f>IF(B341="","",B341-ProductionDays)</f>
        <v>0</v>
      </c>
      <c r="Z341" s="16">
        <f>IF(B341="","",B341-ApprovalDays)</f>
        <v>0</v>
      </c>
      <c r="AA341" s="23">
        <f>IF(B341="","",B341-TODAY())</f>
        <v>0</v>
      </c>
      <c r="AC341" s="29">
        <f>IF(H341="","",IF(X341="Published",IF(AB341="","Add - link missing","Yes"),"No"))</f>
        <v>0</v>
      </c>
      <c r="AD341" s="23">
        <f>IF(A341="","",IF(COUNTIF(Performance!$B$5:$B$404,A341)=0,"",SUMIFS(Performance!$O$5:$O$404,Performance!$B$5:$B$404,A341)))</f>
        <v>0</v>
      </c>
      <c r="AE341" s="23">
        <f>IF(AD341="","",SUMIFS(Performance!$Z$5:$Z$404,Performance!$B$5:$B$404,A341))</f>
        <v>0</v>
      </c>
      <c r="AF341" s="24">
        <f>IF(OR(AD341="",AD341=0),"",AE341/AD341)</f>
        <v>0</v>
      </c>
      <c r="AG341" s="23">
        <f>IF(AD341="","",SUMIFS(Performance!$U$5:$U$404,Performance!$B$5:$B$404,A341))</f>
        <v>0</v>
      </c>
      <c r="AH341" s="23">
        <f>IF(A341="","",COUNTIF(Repurposing!$B$5:$B$154,A341))</f>
        <v>0</v>
      </c>
      <c r="AI341" s="32">
        <f>IF(OR(H341="",B341=""),"",B341+ROW()/100000)</f>
        <v>0</v>
      </c>
      <c r="AJ341" s="32">
        <f>IF(OR(H341="",B341=""),"",IF(OR(X341="Published",X341="Cancelled",X341="Archived"),"",IF(B341&lt;TODAY(),"",B341+ROW()/100000)))</f>
        <v>0</v>
      </c>
      <c r="AK341" s="32">
        <f>IF(OR(H341="",B341=""),"",IF(OR(X341="Published",X341="Cancelled",X341="Archived"),"",IF(B341&gt;=TODAY(),"",B341+ROW()/100000)))</f>
        <v>0</v>
      </c>
      <c r="AL341" s="29">
        <f>IF(H341="","",IF(COUNTIFS('Content Calendar'!$H$5:$H$604,H341,'Content Calendar'!$G$5:$G$604,G341,'Content Calendar'!$B$5:$B$604,B341)&gt;1,"Duplicate","OK"))</f>
        <v>0</v>
      </c>
      <c r="AM341" s="29">
        <f>IF(H341="","",IF(AND(B341&lt;&gt;"",B341&lt;TODAY(),X341&lt;&gt;"Published",X341&lt;&gt;"Cancelled",X341&lt;&gt;"Archived"),"Overdue - date has passed",IF(AND(X341="Published",AB341=""),"Add - publish link missing",IF(AND(B341=TODAY(),X341&lt;&gt;"Published"),"Today - due to go live",IF(AND(Y341&lt;&gt;"",Y341&lt;TODAY(),OR(X341="Idea",X341="Brief",X341="In production")),"Late - draft not ready",IF(AND(AA341&gt;=0,AA341&lt;=3,OR(X341="Draft",X341="Awaiting review")),"Due - needs approval",IF(AND(H341&lt;&gt;"",P341=""),"Add - caption missing","OK")))))))</f>
        <v>0</v>
      </c>
    </row>
    <row r="342" spans="1:39">
      <c r="A342" s="41">
        <f>IF(H342="","",ContentPrefix&amp;TEXT(ROW()-4,"0000"))</f>
        <v>0</v>
      </c>
      <c r="D342" s="17">
        <f>IF(B342="","",TEXT(B342,"yyyy-mm"))</f>
        <v>0</v>
      </c>
      <c r="E342" s="23">
        <f>IF(B342="","",WEEKNUM(B342,IF(WeekStart="Sunday",1,2)))</f>
        <v>0</v>
      </c>
      <c r="F342" s="17">
        <f>IF(B342="","",TEXT(B342,"ddd"))</f>
        <v>0</v>
      </c>
      <c r="Q342" s="29">
        <f>IF(H342="","",IF(P342="","Add - no caption",IFERROR(INDEX('Caption Bank'!$R$5:$R$204,MATCH(P342,'Caption Bank'!$B$5:$B$204,0)),"Check - not in bank")))</f>
        <v>0</v>
      </c>
      <c r="S342" s="23">
        <f>IF(R342="","",COUNTIF('Hashtag Bank'!$D$5:$D$304,R342))</f>
        <v>0</v>
      </c>
      <c r="U342" s="29">
        <f>IF(H342="","",IF(T342="","Add - no asset",IFERROR(INDEX(Assets!$N$5:$N$254,MATCH(T342,Assets!$A$5:$A$254,0)),"Check - not in library")))</f>
        <v>0</v>
      </c>
      <c r="Y342" s="16">
        <f>IF(B342="","",B342-ProductionDays)</f>
        <v>0</v>
      </c>
      <c r="Z342" s="16">
        <f>IF(B342="","",B342-ApprovalDays)</f>
        <v>0</v>
      </c>
      <c r="AA342" s="23">
        <f>IF(B342="","",B342-TODAY())</f>
        <v>0</v>
      </c>
      <c r="AC342" s="29">
        <f>IF(H342="","",IF(X342="Published",IF(AB342="","Add - link missing","Yes"),"No"))</f>
        <v>0</v>
      </c>
      <c r="AD342" s="23">
        <f>IF(A342="","",IF(COUNTIF(Performance!$B$5:$B$404,A342)=0,"",SUMIFS(Performance!$O$5:$O$404,Performance!$B$5:$B$404,A342)))</f>
        <v>0</v>
      </c>
      <c r="AE342" s="23">
        <f>IF(AD342="","",SUMIFS(Performance!$Z$5:$Z$404,Performance!$B$5:$B$404,A342))</f>
        <v>0</v>
      </c>
      <c r="AF342" s="24">
        <f>IF(OR(AD342="",AD342=0),"",AE342/AD342)</f>
        <v>0</v>
      </c>
      <c r="AG342" s="23">
        <f>IF(AD342="","",SUMIFS(Performance!$U$5:$U$404,Performance!$B$5:$B$404,A342))</f>
        <v>0</v>
      </c>
      <c r="AH342" s="23">
        <f>IF(A342="","",COUNTIF(Repurposing!$B$5:$B$154,A342))</f>
        <v>0</v>
      </c>
      <c r="AI342" s="32">
        <f>IF(OR(H342="",B342=""),"",B342+ROW()/100000)</f>
        <v>0</v>
      </c>
      <c r="AJ342" s="32">
        <f>IF(OR(H342="",B342=""),"",IF(OR(X342="Published",X342="Cancelled",X342="Archived"),"",IF(B342&lt;TODAY(),"",B342+ROW()/100000)))</f>
        <v>0</v>
      </c>
      <c r="AK342" s="32">
        <f>IF(OR(H342="",B342=""),"",IF(OR(X342="Published",X342="Cancelled",X342="Archived"),"",IF(B342&gt;=TODAY(),"",B342+ROW()/100000)))</f>
        <v>0</v>
      </c>
      <c r="AL342" s="29">
        <f>IF(H342="","",IF(COUNTIFS('Content Calendar'!$H$5:$H$604,H342,'Content Calendar'!$G$5:$G$604,G342,'Content Calendar'!$B$5:$B$604,B342)&gt;1,"Duplicate","OK"))</f>
        <v>0</v>
      </c>
      <c r="AM342" s="29">
        <f>IF(H342="","",IF(AND(B342&lt;&gt;"",B342&lt;TODAY(),X342&lt;&gt;"Published",X342&lt;&gt;"Cancelled",X342&lt;&gt;"Archived"),"Overdue - date has passed",IF(AND(X342="Published",AB342=""),"Add - publish link missing",IF(AND(B342=TODAY(),X342&lt;&gt;"Published"),"Today - due to go live",IF(AND(Y342&lt;&gt;"",Y342&lt;TODAY(),OR(X342="Idea",X342="Brief",X342="In production")),"Late - draft not ready",IF(AND(AA342&gt;=0,AA342&lt;=3,OR(X342="Draft",X342="Awaiting review")),"Due - needs approval",IF(AND(H342&lt;&gt;"",P342=""),"Add - caption missing","OK")))))))</f>
        <v>0</v>
      </c>
    </row>
    <row r="343" spans="1:39">
      <c r="A343" s="41">
        <f>IF(H343="","",ContentPrefix&amp;TEXT(ROW()-4,"0000"))</f>
        <v>0</v>
      </c>
      <c r="D343" s="17">
        <f>IF(B343="","",TEXT(B343,"yyyy-mm"))</f>
        <v>0</v>
      </c>
      <c r="E343" s="23">
        <f>IF(B343="","",WEEKNUM(B343,IF(WeekStart="Sunday",1,2)))</f>
        <v>0</v>
      </c>
      <c r="F343" s="17">
        <f>IF(B343="","",TEXT(B343,"ddd"))</f>
        <v>0</v>
      </c>
      <c r="Q343" s="29">
        <f>IF(H343="","",IF(P343="","Add - no caption",IFERROR(INDEX('Caption Bank'!$R$5:$R$204,MATCH(P343,'Caption Bank'!$B$5:$B$204,0)),"Check - not in bank")))</f>
        <v>0</v>
      </c>
      <c r="S343" s="23">
        <f>IF(R343="","",COUNTIF('Hashtag Bank'!$D$5:$D$304,R343))</f>
        <v>0</v>
      </c>
      <c r="U343" s="29">
        <f>IF(H343="","",IF(T343="","Add - no asset",IFERROR(INDEX(Assets!$N$5:$N$254,MATCH(T343,Assets!$A$5:$A$254,0)),"Check - not in library")))</f>
        <v>0</v>
      </c>
      <c r="Y343" s="16">
        <f>IF(B343="","",B343-ProductionDays)</f>
        <v>0</v>
      </c>
      <c r="Z343" s="16">
        <f>IF(B343="","",B343-ApprovalDays)</f>
        <v>0</v>
      </c>
      <c r="AA343" s="23">
        <f>IF(B343="","",B343-TODAY())</f>
        <v>0</v>
      </c>
      <c r="AC343" s="29">
        <f>IF(H343="","",IF(X343="Published",IF(AB343="","Add - link missing","Yes"),"No"))</f>
        <v>0</v>
      </c>
      <c r="AD343" s="23">
        <f>IF(A343="","",IF(COUNTIF(Performance!$B$5:$B$404,A343)=0,"",SUMIFS(Performance!$O$5:$O$404,Performance!$B$5:$B$404,A343)))</f>
        <v>0</v>
      </c>
      <c r="AE343" s="23">
        <f>IF(AD343="","",SUMIFS(Performance!$Z$5:$Z$404,Performance!$B$5:$B$404,A343))</f>
        <v>0</v>
      </c>
      <c r="AF343" s="24">
        <f>IF(OR(AD343="",AD343=0),"",AE343/AD343)</f>
        <v>0</v>
      </c>
      <c r="AG343" s="23">
        <f>IF(AD343="","",SUMIFS(Performance!$U$5:$U$404,Performance!$B$5:$B$404,A343))</f>
        <v>0</v>
      </c>
      <c r="AH343" s="23">
        <f>IF(A343="","",COUNTIF(Repurposing!$B$5:$B$154,A343))</f>
        <v>0</v>
      </c>
      <c r="AI343" s="32">
        <f>IF(OR(H343="",B343=""),"",B343+ROW()/100000)</f>
        <v>0</v>
      </c>
      <c r="AJ343" s="32">
        <f>IF(OR(H343="",B343=""),"",IF(OR(X343="Published",X343="Cancelled",X343="Archived"),"",IF(B343&lt;TODAY(),"",B343+ROW()/100000)))</f>
        <v>0</v>
      </c>
      <c r="AK343" s="32">
        <f>IF(OR(H343="",B343=""),"",IF(OR(X343="Published",X343="Cancelled",X343="Archived"),"",IF(B343&gt;=TODAY(),"",B343+ROW()/100000)))</f>
        <v>0</v>
      </c>
      <c r="AL343" s="29">
        <f>IF(H343="","",IF(COUNTIFS('Content Calendar'!$H$5:$H$604,H343,'Content Calendar'!$G$5:$G$604,G343,'Content Calendar'!$B$5:$B$604,B343)&gt;1,"Duplicate","OK"))</f>
        <v>0</v>
      </c>
      <c r="AM343" s="29">
        <f>IF(H343="","",IF(AND(B343&lt;&gt;"",B343&lt;TODAY(),X343&lt;&gt;"Published",X343&lt;&gt;"Cancelled",X343&lt;&gt;"Archived"),"Overdue - date has passed",IF(AND(X343="Published",AB343=""),"Add - publish link missing",IF(AND(B343=TODAY(),X343&lt;&gt;"Published"),"Today - due to go live",IF(AND(Y343&lt;&gt;"",Y343&lt;TODAY(),OR(X343="Idea",X343="Brief",X343="In production")),"Late - draft not ready",IF(AND(AA343&gt;=0,AA343&lt;=3,OR(X343="Draft",X343="Awaiting review")),"Due - needs approval",IF(AND(H343&lt;&gt;"",P343=""),"Add - caption missing","OK")))))))</f>
        <v>0</v>
      </c>
    </row>
    <row r="344" spans="1:39">
      <c r="A344" s="41">
        <f>IF(H344="","",ContentPrefix&amp;TEXT(ROW()-4,"0000"))</f>
        <v>0</v>
      </c>
      <c r="D344" s="17">
        <f>IF(B344="","",TEXT(B344,"yyyy-mm"))</f>
        <v>0</v>
      </c>
      <c r="E344" s="23">
        <f>IF(B344="","",WEEKNUM(B344,IF(WeekStart="Sunday",1,2)))</f>
        <v>0</v>
      </c>
      <c r="F344" s="17">
        <f>IF(B344="","",TEXT(B344,"ddd"))</f>
        <v>0</v>
      </c>
      <c r="Q344" s="29">
        <f>IF(H344="","",IF(P344="","Add - no caption",IFERROR(INDEX('Caption Bank'!$R$5:$R$204,MATCH(P344,'Caption Bank'!$B$5:$B$204,0)),"Check - not in bank")))</f>
        <v>0</v>
      </c>
      <c r="S344" s="23">
        <f>IF(R344="","",COUNTIF('Hashtag Bank'!$D$5:$D$304,R344))</f>
        <v>0</v>
      </c>
      <c r="U344" s="29">
        <f>IF(H344="","",IF(T344="","Add - no asset",IFERROR(INDEX(Assets!$N$5:$N$254,MATCH(T344,Assets!$A$5:$A$254,0)),"Check - not in library")))</f>
        <v>0</v>
      </c>
      <c r="Y344" s="16">
        <f>IF(B344="","",B344-ProductionDays)</f>
        <v>0</v>
      </c>
      <c r="Z344" s="16">
        <f>IF(B344="","",B344-ApprovalDays)</f>
        <v>0</v>
      </c>
      <c r="AA344" s="23">
        <f>IF(B344="","",B344-TODAY())</f>
        <v>0</v>
      </c>
      <c r="AC344" s="29">
        <f>IF(H344="","",IF(X344="Published",IF(AB344="","Add - link missing","Yes"),"No"))</f>
        <v>0</v>
      </c>
      <c r="AD344" s="23">
        <f>IF(A344="","",IF(COUNTIF(Performance!$B$5:$B$404,A344)=0,"",SUMIFS(Performance!$O$5:$O$404,Performance!$B$5:$B$404,A344)))</f>
        <v>0</v>
      </c>
      <c r="AE344" s="23">
        <f>IF(AD344="","",SUMIFS(Performance!$Z$5:$Z$404,Performance!$B$5:$B$404,A344))</f>
        <v>0</v>
      </c>
      <c r="AF344" s="24">
        <f>IF(OR(AD344="",AD344=0),"",AE344/AD344)</f>
        <v>0</v>
      </c>
      <c r="AG344" s="23">
        <f>IF(AD344="","",SUMIFS(Performance!$U$5:$U$404,Performance!$B$5:$B$404,A344))</f>
        <v>0</v>
      </c>
      <c r="AH344" s="23">
        <f>IF(A344="","",COUNTIF(Repurposing!$B$5:$B$154,A344))</f>
        <v>0</v>
      </c>
      <c r="AI344" s="32">
        <f>IF(OR(H344="",B344=""),"",B344+ROW()/100000)</f>
        <v>0</v>
      </c>
      <c r="AJ344" s="32">
        <f>IF(OR(H344="",B344=""),"",IF(OR(X344="Published",X344="Cancelled",X344="Archived"),"",IF(B344&lt;TODAY(),"",B344+ROW()/100000)))</f>
        <v>0</v>
      </c>
      <c r="AK344" s="32">
        <f>IF(OR(H344="",B344=""),"",IF(OR(X344="Published",X344="Cancelled",X344="Archived"),"",IF(B344&gt;=TODAY(),"",B344+ROW()/100000)))</f>
        <v>0</v>
      </c>
      <c r="AL344" s="29">
        <f>IF(H344="","",IF(COUNTIFS('Content Calendar'!$H$5:$H$604,H344,'Content Calendar'!$G$5:$G$604,G344,'Content Calendar'!$B$5:$B$604,B344)&gt;1,"Duplicate","OK"))</f>
        <v>0</v>
      </c>
      <c r="AM344" s="29">
        <f>IF(H344="","",IF(AND(B344&lt;&gt;"",B344&lt;TODAY(),X344&lt;&gt;"Published",X344&lt;&gt;"Cancelled",X344&lt;&gt;"Archived"),"Overdue - date has passed",IF(AND(X344="Published",AB344=""),"Add - publish link missing",IF(AND(B344=TODAY(),X344&lt;&gt;"Published"),"Today - due to go live",IF(AND(Y344&lt;&gt;"",Y344&lt;TODAY(),OR(X344="Idea",X344="Brief",X344="In production")),"Late - draft not ready",IF(AND(AA344&gt;=0,AA344&lt;=3,OR(X344="Draft",X344="Awaiting review")),"Due - needs approval",IF(AND(H344&lt;&gt;"",P344=""),"Add - caption missing","OK")))))))</f>
        <v>0</v>
      </c>
    </row>
    <row r="345" spans="1:39">
      <c r="A345" s="41">
        <f>IF(H345="","",ContentPrefix&amp;TEXT(ROW()-4,"0000"))</f>
        <v>0</v>
      </c>
      <c r="D345" s="17">
        <f>IF(B345="","",TEXT(B345,"yyyy-mm"))</f>
        <v>0</v>
      </c>
      <c r="E345" s="23">
        <f>IF(B345="","",WEEKNUM(B345,IF(WeekStart="Sunday",1,2)))</f>
        <v>0</v>
      </c>
      <c r="F345" s="17">
        <f>IF(B345="","",TEXT(B345,"ddd"))</f>
        <v>0</v>
      </c>
      <c r="Q345" s="29">
        <f>IF(H345="","",IF(P345="","Add - no caption",IFERROR(INDEX('Caption Bank'!$R$5:$R$204,MATCH(P345,'Caption Bank'!$B$5:$B$204,0)),"Check - not in bank")))</f>
        <v>0</v>
      </c>
      <c r="S345" s="23">
        <f>IF(R345="","",COUNTIF('Hashtag Bank'!$D$5:$D$304,R345))</f>
        <v>0</v>
      </c>
      <c r="U345" s="29">
        <f>IF(H345="","",IF(T345="","Add - no asset",IFERROR(INDEX(Assets!$N$5:$N$254,MATCH(T345,Assets!$A$5:$A$254,0)),"Check - not in library")))</f>
        <v>0</v>
      </c>
      <c r="Y345" s="16">
        <f>IF(B345="","",B345-ProductionDays)</f>
        <v>0</v>
      </c>
      <c r="Z345" s="16">
        <f>IF(B345="","",B345-ApprovalDays)</f>
        <v>0</v>
      </c>
      <c r="AA345" s="23">
        <f>IF(B345="","",B345-TODAY())</f>
        <v>0</v>
      </c>
      <c r="AC345" s="29">
        <f>IF(H345="","",IF(X345="Published",IF(AB345="","Add - link missing","Yes"),"No"))</f>
        <v>0</v>
      </c>
      <c r="AD345" s="23">
        <f>IF(A345="","",IF(COUNTIF(Performance!$B$5:$B$404,A345)=0,"",SUMIFS(Performance!$O$5:$O$404,Performance!$B$5:$B$404,A345)))</f>
        <v>0</v>
      </c>
      <c r="AE345" s="23">
        <f>IF(AD345="","",SUMIFS(Performance!$Z$5:$Z$404,Performance!$B$5:$B$404,A345))</f>
        <v>0</v>
      </c>
      <c r="AF345" s="24">
        <f>IF(OR(AD345="",AD345=0),"",AE345/AD345)</f>
        <v>0</v>
      </c>
      <c r="AG345" s="23">
        <f>IF(AD345="","",SUMIFS(Performance!$U$5:$U$404,Performance!$B$5:$B$404,A345))</f>
        <v>0</v>
      </c>
      <c r="AH345" s="23">
        <f>IF(A345="","",COUNTIF(Repurposing!$B$5:$B$154,A345))</f>
        <v>0</v>
      </c>
      <c r="AI345" s="32">
        <f>IF(OR(H345="",B345=""),"",B345+ROW()/100000)</f>
        <v>0</v>
      </c>
      <c r="AJ345" s="32">
        <f>IF(OR(H345="",B345=""),"",IF(OR(X345="Published",X345="Cancelled",X345="Archived"),"",IF(B345&lt;TODAY(),"",B345+ROW()/100000)))</f>
        <v>0</v>
      </c>
      <c r="AK345" s="32">
        <f>IF(OR(H345="",B345=""),"",IF(OR(X345="Published",X345="Cancelled",X345="Archived"),"",IF(B345&gt;=TODAY(),"",B345+ROW()/100000)))</f>
        <v>0</v>
      </c>
      <c r="AL345" s="29">
        <f>IF(H345="","",IF(COUNTIFS('Content Calendar'!$H$5:$H$604,H345,'Content Calendar'!$G$5:$G$604,G345,'Content Calendar'!$B$5:$B$604,B345)&gt;1,"Duplicate","OK"))</f>
        <v>0</v>
      </c>
      <c r="AM345" s="29">
        <f>IF(H345="","",IF(AND(B345&lt;&gt;"",B345&lt;TODAY(),X345&lt;&gt;"Published",X345&lt;&gt;"Cancelled",X345&lt;&gt;"Archived"),"Overdue - date has passed",IF(AND(X345="Published",AB345=""),"Add - publish link missing",IF(AND(B345=TODAY(),X345&lt;&gt;"Published"),"Today - due to go live",IF(AND(Y345&lt;&gt;"",Y345&lt;TODAY(),OR(X345="Idea",X345="Brief",X345="In production")),"Late - draft not ready",IF(AND(AA345&gt;=0,AA345&lt;=3,OR(X345="Draft",X345="Awaiting review")),"Due - needs approval",IF(AND(H345&lt;&gt;"",P345=""),"Add - caption missing","OK")))))))</f>
        <v>0</v>
      </c>
    </row>
    <row r="346" spans="1:39">
      <c r="A346" s="41">
        <f>IF(H346="","",ContentPrefix&amp;TEXT(ROW()-4,"0000"))</f>
        <v>0</v>
      </c>
      <c r="D346" s="17">
        <f>IF(B346="","",TEXT(B346,"yyyy-mm"))</f>
        <v>0</v>
      </c>
      <c r="E346" s="23">
        <f>IF(B346="","",WEEKNUM(B346,IF(WeekStart="Sunday",1,2)))</f>
        <v>0</v>
      </c>
      <c r="F346" s="17">
        <f>IF(B346="","",TEXT(B346,"ddd"))</f>
        <v>0</v>
      </c>
      <c r="Q346" s="29">
        <f>IF(H346="","",IF(P346="","Add - no caption",IFERROR(INDEX('Caption Bank'!$R$5:$R$204,MATCH(P346,'Caption Bank'!$B$5:$B$204,0)),"Check - not in bank")))</f>
        <v>0</v>
      </c>
      <c r="S346" s="23">
        <f>IF(R346="","",COUNTIF('Hashtag Bank'!$D$5:$D$304,R346))</f>
        <v>0</v>
      </c>
      <c r="U346" s="29">
        <f>IF(H346="","",IF(T346="","Add - no asset",IFERROR(INDEX(Assets!$N$5:$N$254,MATCH(T346,Assets!$A$5:$A$254,0)),"Check - not in library")))</f>
        <v>0</v>
      </c>
      <c r="Y346" s="16">
        <f>IF(B346="","",B346-ProductionDays)</f>
        <v>0</v>
      </c>
      <c r="Z346" s="16">
        <f>IF(B346="","",B346-ApprovalDays)</f>
        <v>0</v>
      </c>
      <c r="AA346" s="23">
        <f>IF(B346="","",B346-TODAY())</f>
        <v>0</v>
      </c>
      <c r="AC346" s="29">
        <f>IF(H346="","",IF(X346="Published",IF(AB346="","Add - link missing","Yes"),"No"))</f>
        <v>0</v>
      </c>
      <c r="AD346" s="23">
        <f>IF(A346="","",IF(COUNTIF(Performance!$B$5:$B$404,A346)=0,"",SUMIFS(Performance!$O$5:$O$404,Performance!$B$5:$B$404,A346)))</f>
        <v>0</v>
      </c>
      <c r="AE346" s="23">
        <f>IF(AD346="","",SUMIFS(Performance!$Z$5:$Z$404,Performance!$B$5:$B$404,A346))</f>
        <v>0</v>
      </c>
      <c r="AF346" s="24">
        <f>IF(OR(AD346="",AD346=0),"",AE346/AD346)</f>
        <v>0</v>
      </c>
      <c r="AG346" s="23">
        <f>IF(AD346="","",SUMIFS(Performance!$U$5:$U$404,Performance!$B$5:$B$404,A346))</f>
        <v>0</v>
      </c>
      <c r="AH346" s="23">
        <f>IF(A346="","",COUNTIF(Repurposing!$B$5:$B$154,A346))</f>
        <v>0</v>
      </c>
      <c r="AI346" s="32">
        <f>IF(OR(H346="",B346=""),"",B346+ROW()/100000)</f>
        <v>0</v>
      </c>
      <c r="AJ346" s="32">
        <f>IF(OR(H346="",B346=""),"",IF(OR(X346="Published",X346="Cancelled",X346="Archived"),"",IF(B346&lt;TODAY(),"",B346+ROW()/100000)))</f>
        <v>0</v>
      </c>
      <c r="AK346" s="32">
        <f>IF(OR(H346="",B346=""),"",IF(OR(X346="Published",X346="Cancelled",X346="Archived"),"",IF(B346&gt;=TODAY(),"",B346+ROW()/100000)))</f>
        <v>0</v>
      </c>
      <c r="AL346" s="29">
        <f>IF(H346="","",IF(COUNTIFS('Content Calendar'!$H$5:$H$604,H346,'Content Calendar'!$G$5:$G$604,G346,'Content Calendar'!$B$5:$B$604,B346)&gt;1,"Duplicate","OK"))</f>
        <v>0</v>
      </c>
      <c r="AM346" s="29">
        <f>IF(H346="","",IF(AND(B346&lt;&gt;"",B346&lt;TODAY(),X346&lt;&gt;"Published",X346&lt;&gt;"Cancelled",X346&lt;&gt;"Archived"),"Overdue - date has passed",IF(AND(X346="Published",AB346=""),"Add - publish link missing",IF(AND(B346=TODAY(),X346&lt;&gt;"Published"),"Today - due to go live",IF(AND(Y346&lt;&gt;"",Y346&lt;TODAY(),OR(X346="Idea",X346="Brief",X346="In production")),"Late - draft not ready",IF(AND(AA346&gt;=0,AA346&lt;=3,OR(X346="Draft",X346="Awaiting review")),"Due - needs approval",IF(AND(H346&lt;&gt;"",P346=""),"Add - caption missing","OK")))))))</f>
        <v>0</v>
      </c>
    </row>
    <row r="347" spans="1:39">
      <c r="A347" s="41">
        <f>IF(H347="","",ContentPrefix&amp;TEXT(ROW()-4,"0000"))</f>
        <v>0</v>
      </c>
      <c r="D347" s="17">
        <f>IF(B347="","",TEXT(B347,"yyyy-mm"))</f>
        <v>0</v>
      </c>
      <c r="E347" s="23">
        <f>IF(B347="","",WEEKNUM(B347,IF(WeekStart="Sunday",1,2)))</f>
        <v>0</v>
      </c>
      <c r="F347" s="17">
        <f>IF(B347="","",TEXT(B347,"ddd"))</f>
        <v>0</v>
      </c>
      <c r="Q347" s="29">
        <f>IF(H347="","",IF(P347="","Add - no caption",IFERROR(INDEX('Caption Bank'!$R$5:$R$204,MATCH(P347,'Caption Bank'!$B$5:$B$204,0)),"Check - not in bank")))</f>
        <v>0</v>
      </c>
      <c r="S347" s="23">
        <f>IF(R347="","",COUNTIF('Hashtag Bank'!$D$5:$D$304,R347))</f>
        <v>0</v>
      </c>
      <c r="U347" s="29">
        <f>IF(H347="","",IF(T347="","Add - no asset",IFERROR(INDEX(Assets!$N$5:$N$254,MATCH(T347,Assets!$A$5:$A$254,0)),"Check - not in library")))</f>
        <v>0</v>
      </c>
      <c r="Y347" s="16">
        <f>IF(B347="","",B347-ProductionDays)</f>
        <v>0</v>
      </c>
      <c r="Z347" s="16">
        <f>IF(B347="","",B347-ApprovalDays)</f>
        <v>0</v>
      </c>
      <c r="AA347" s="23">
        <f>IF(B347="","",B347-TODAY())</f>
        <v>0</v>
      </c>
      <c r="AC347" s="29">
        <f>IF(H347="","",IF(X347="Published",IF(AB347="","Add - link missing","Yes"),"No"))</f>
        <v>0</v>
      </c>
      <c r="AD347" s="23">
        <f>IF(A347="","",IF(COUNTIF(Performance!$B$5:$B$404,A347)=0,"",SUMIFS(Performance!$O$5:$O$404,Performance!$B$5:$B$404,A347)))</f>
        <v>0</v>
      </c>
      <c r="AE347" s="23">
        <f>IF(AD347="","",SUMIFS(Performance!$Z$5:$Z$404,Performance!$B$5:$B$404,A347))</f>
        <v>0</v>
      </c>
      <c r="AF347" s="24">
        <f>IF(OR(AD347="",AD347=0),"",AE347/AD347)</f>
        <v>0</v>
      </c>
      <c r="AG347" s="23">
        <f>IF(AD347="","",SUMIFS(Performance!$U$5:$U$404,Performance!$B$5:$B$404,A347))</f>
        <v>0</v>
      </c>
      <c r="AH347" s="23">
        <f>IF(A347="","",COUNTIF(Repurposing!$B$5:$B$154,A347))</f>
        <v>0</v>
      </c>
      <c r="AI347" s="32">
        <f>IF(OR(H347="",B347=""),"",B347+ROW()/100000)</f>
        <v>0</v>
      </c>
      <c r="AJ347" s="32">
        <f>IF(OR(H347="",B347=""),"",IF(OR(X347="Published",X347="Cancelled",X347="Archived"),"",IF(B347&lt;TODAY(),"",B347+ROW()/100000)))</f>
        <v>0</v>
      </c>
      <c r="AK347" s="32">
        <f>IF(OR(H347="",B347=""),"",IF(OR(X347="Published",X347="Cancelled",X347="Archived"),"",IF(B347&gt;=TODAY(),"",B347+ROW()/100000)))</f>
        <v>0</v>
      </c>
      <c r="AL347" s="29">
        <f>IF(H347="","",IF(COUNTIFS('Content Calendar'!$H$5:$H$604,H347,'Content Calendar'!$G$5:$G$604,G347,'Content Calendar'!$B$5:$B$604,B347)&gt;1,"Duplicate","OK"))</f>
        <v>0</v>
      </c>
      <c r="AM347" s="29">
        <f>IF(H347="","",IF(AND(B347&lt;&gt;"",B347&lt;TODAY(),X347&lt;&gt;"Published",X347&lt;&gt;"Cancelled",X347&lt;&gt;"Archived"),"Overdue - date has passed",IF(AND(X347="Published",AB347=""),"Add - publish link missing",IF(AND(B347=TODAY(),X347&lt;&gt;"Published"),"Today - due to go live",IF(AND(Y347&lt;&gt;"",Y347&lt;TODAY(),OR(X347="Idea",X347="Brief",X347="In production")),"Late - draft not ready",IF(AND(AA347&gt;=0,AA347&lt;=3,OR(X347="Draft",X347="Awaiting review")),"Due - needs approval",IF(AND(H347&lt;&gt;"",P347=""),"Add - caption missing","OK")))))))</f>
        <v>0</v>
      </c>
    </row>
    <row r="348" spans="1:39">
      <c r="A348" s="41">
        <f>IF(H348="","",ContentPrefix&amp;TEXT(ROW()-4,"0000"))</f>
        <v>0</v>
      </c>
      <c r="D348" s="17">
        <f>IF(B348="","",TEXT(B348,"yyyy-mm"))</f>
        <v>0</v>
      </c>
      <c r="E348" s="23">
        <f>IF(B348="","",WEEKNUM(B348,IF(WeekStart="Sunday",1,2)))</f>
        <v>0</v>
      </c>
      <c r="F348" s="17">
        <f>IF(B348="","",TEXT(B348,"ddd"))</f>
        <v>0</v>
      </c>
      <c r="Q348" s="29">
        <f>IF(H348="","",IF(P348="","Add - no caption",IFERROR(INDEX('Caption Bank'!$R$5:$R$204,MATCH(P348,'Caption Bank'!$B$5:$B$204,0)),"Check - not in bank")))</f>
        <v>0</v>
      </c>
      <c r="S348" s="23">
        <f>IF(R348="","",COUNTIF('Hashtag Bank'!$D$5:$D$304,R348))</f>
        <v>0</v>
      </c>
      <c r="U348" s="29">
        <f>IF(H348="","",IF(T348="","Add - no asset",IFERROR(INDEX(Assets!$N$5:$N$254,MATCH(T348,Assets!$A$5:$A$254,0)),"Check - not in library")))</f>
        <v>0</v>
      </c>
      <c r="Y348" s="16">
        <f>IF(B348="","",B348-ProductionDays)</f>
        <v>0</v>
      </c>
      <c r="Z348" s="16">
        <f>IF(B348="","",B348-ApprovalDays)</f>
        <v>0</v>
      </c>
      <c r="AA348" s="23">
        <f>IF(B348="","",B348-TODAY())</f>
        <v>0</v>
      </c>
      <c r="AC348" s="29">
        <f>IF(H348="","",IF(X348="Published",IF(AB348="","Add - link missing","Yes"),"No"))</f>
        <v>0</v>
      </c>
      <c r="AD348" s="23">
        <f>IF(A348="","",IF(COUNTIF(Performance!$B$5:$B$404,A348)=0,"",SUMIFS(Performance!$O$5:$O$404,Performance!$B$5:$B$404,A348)))</f>
        <v>0</v>
      </c>
      <c r="AE348" s="23">
        <f>IF(AD348="","",SUMIFS(Performance!$Z$5:$Z$404,Performance!$B$5:$B$404,A348))</f>
        <v>0</v>
      </c>
      <c r="AF348" s="24">
        <f>IF(OR(AD348="",AD348=0),"",AE348/AD348)</f>
        <v>0</v>
      </c>
      <c r="AG348" s="23">
        <f>IF(AD348="","",SUMIFS(Performance!$U$5:$U$404,Performance!$B$5:$B$404,A348))</f>
        <v>0</v>
      </c>
      <c r="AH348" s="23">
        <f>IF(A348="","",COUNTIF(Repurposing!$B$5:$B$154,A348))</f>
        <v>0</v>
      </c>
      <c r="AI348" s="32">
        <f>IF(OR(H348="",B348=""),"",B348+ROW()/100000)</f>
        <v>0</v>
      </c>
      <c r="AJ348" s="32">
        <f>IF(OR(H348="",B348=""),"",IF(OR(X348="Published",X348="Cancelled",X348="Archived"),"",IF(B348&lt;TODAY(),"",B348+ROW()/100000)))</f>
        <v>0</v>
      </c>
      <c r="AK348" s="32">
        <f>IF(OR(H348="",B348=""),"",IF(OR(X348="Published",X348="Cancelled",X348="Archived"),"",IF(B348&gt;=TODAY(),"",B348+ROW()/100000)))</f>
        <v>0</v>
      </c>
      <c r="AL348" s="29">
        <f>IF(H348="","",IF(COUNTIFS('Content Calendar'!$H$5:$H$604,H348,'Content Calendar'!$G$5:$G$604,G348,'Content Calendar'!$B$5:$B$604,B348)&gt;1,"Duplicate","OK"))</f>
        <v>0</v>
      </c>
      <c r="AM348" s="29">
        <f>IF(H348="","",IF(AND(B348&lt;&gt;"",B348&lt;TODAY(),X348&lt;&gt;"Published",X348&lt;&gt;"Cancelled",X348&lt;&gt;"Archived"),"Overdue - date has passed",IF(AND(X348="Published",AB348=""),"Add - publish link missing",IF(AND(B348=TODAY(),X348&lt;&gt;"Published"),"Today - due to go live",IF(AND(Y348&lt;&gt;"",Y348&lt;TODAY(),OR(X348="Idea",X348="Brief",X348="In production")),"Late - draft not ready",IF(AND(AA348&gt;=0,AA348&lt;=3,OR(X348="Draft",X348="Awaiting review")),"Due - needs approval",IF(AND(H348&lt;&gt;"",P348=""),"Add - caption missing","OK")))))))</f>
        <v>0</v>
      </c>
    </row>
    <row r="349" spans="1:39">
      <c r="A349" s="41">
        <f>IF(H349="","",ContentPrefix&amp;TEXT(ROW()-4,"0000"))</f>
        <v>0</v>
      </c>
      <c r="D349" s="17">
        <f>IF(B349="","",TEXT(B349,"yyyy-mm"))</f>
        <v>0</v>
      </c>
      <c r="E349" s="23">
        <f>IF(B349="","",WEEKNUM(B349,IF(WeekStart="Sunday",1,2)))</f>
        <v>0</v>
      </c>
      <c r="F349" s="17">
        <f>IF(B349="","",TEXT(B349,"ddd"))</f>
        <v>0</v>
      </c>
      <c r="Q349" s="29">
        <f>IF(H349="","",IF(P349="","Add - no caption",IFERROR(INDEX('Caption Bank'!$R$5:$R$204,MATCH(P349,'Caption Bank'!$B$5:$B$204,0)),"Check - not in bank")))</f>
        <v>0</v>
      </c>
      <c r="S349" s="23">
        <f>IF(R349="","",COUNTIF('Hashtag Bank'!$D$5:$D$304,R349))</f>
        <v>0</v>
      </c>
      <c r="U349" s="29">
        <f>IF(H349="","",IF(T349="","Add - no asset",IFERROR(INDEX(Assets!$N$5:$N$254,MATCH(T349,Assets!$A$5:$A$254,0)),"Check - not in library")))</f>
        <v>0</v>
      </c>
      <c r="Y349" s="16">
        <f>IF(B349="","",B349-ProductionDays)</f>
        <v>0</v>
      </c>
      <c r="Z349" s="16">
        <f>IF(B349="","",B349-ApprovalDays)</f>
        <v>0</v>
      </c>
      <c r="AA349" s="23">
        <f>IF(B349="","",B349-TODAY())</f>
        <v>0</v>
      </c>
      <c r="AC349" s="29">
        <f>IF(H349="","",IF(X349="Published",IF(AB349="","Add - link missing","Yes"),"No"))</f>
        <v>0</v>
      </c>
      <c r="AD349" s="23">
        <f>IF(A349="","",IF(COUNTIF(Performance!$B$5:$B$404,A349)=0,"",SUMIFS(Performance!$O$5:$O$404,Performance!$B$5:$B$404,A349)))</f>
        <v>0</v>
      </c>
      <c r="AE349" s="23">
        <f>IF(AD349="","",SUMIFS(Performance!$Z$5:$Z$404,Performance!$B$5:$B$404,A349))</f>
        <v>0</v>
      </c>
      <c r="AF349" s="24">
        <f>IF(OR(AD349="",AD349=0),"",AE349/AD349)</f>
        <v>0</v>
      </c>
      <c r="AG349" s="23">
        <f>IF(AD349="","",SUMIFS(Performance!$U$5:$U$404,Performance!$B$5:$B$404,A349))</f>
        <v>0</v>
      </c>
      <c r="AH349" s="23">
        <f>IF(A349="","",COUNTIF(Repurposing!$B$5:$B$154,A349))</f>
        <v>0</v>
      </c>
      <c r="AI349" s="32">
        <f>IF(OR(H349="",B349=""),"",B349+ROW()/100000)</f>
        <v>0</v>
      </c>
      <c r="AJ349" s="32">
        <f>IF(OR(H349="",B349=""),"",IF(OR(X349="Published",X349="Cancelled",X349="Archived"),"",IF(B349&lt;TODAY(),"",B349+ROW()/100000)))</f>
        <v>0</v>
      </c>
      <c r="AK349" s="32">
        <f>IF(OR(H349="",B349=""),"",IF(OR(X349="Published",X349="Cancelled",X349="Archived"),"",IF(B349&gt;=TODAY(),"",B349+ROW()/100000)))</f>
        <v>0</v>
      </c>
      <c r="AL349" s="29">
        <f>IF(H349="","",IF(COUNTIFS('Content Calendar'!$H$5:$H$604,H349,'Content Calendar'!$G$5:$G$604,G349,'Content Calendar'!$B$5:$B$604,B349)&gt;1,"Duplicate","OK"))</f>
        <v>0</v>
      </c>
      <c r="AM349" s="29">
        <f>IF(H349="","",IF(AND(B349&lt;&gt;"",B349&lt;TODAY(),X349&lt;&gt;"Published",X349&lt;&gt;"Cancelled",X349&lt;&gt;"Archived"),"Overdue - date has passed",IF(AND(X349="Published",AB349=""),"Add - publish link missing",IF(AND(B349=TODAY(),X349&lt;&gt;"Published"),"Today - due to go live",IF(AND(Y349&lt;&gt;"",Y349&lt;TODAY(),OR(X349="Idea",X349="Brief",X349="In production")),"Late - draft not ready",IF(AND(AA349&gt;=0,AA349&lt;=3,OR(X349="Draft",X349="Awaiting review")),"Due - needs approval",IF(AND(H349&lt;&gt;"",P349=""),"Add - caption missing","OK")))))))</f>
        <v>0</v>
      </c>
    </row>
    <row r="350" spans="1:39">
      <c r="A350" s="41">
        <f>IF(H350="","",ContentPrefix&amp;TEXT(ROW()-4,"0000"))</f>
        <v>0</v>
      </c>
      <c r="D350" s="17">
        <f>IF(B350="","",TEXT(B350,"yyyy-mm"))</f>
        <v>0</v>
      </c>
      <c r="E350" s="23">
        <f>IF(B350="","",WEEKNUM(B350,IF(WeekStart="Sunday",1,2)))</f>
        <v>0</v>
      </c>
      <c r="F350" s="17">
        <f>IF(B350="","",TEXT(B350,"ddd"))</f>
        <v>0</v>
      </c>
      <c r="Q350" s="29">
        <f>IF(H350="","",IF(P350="","Add - no caption",IFERROR(INDEX('Caption Bank'!$R$5:$R$204,MATCH(P350,'Caption Bank'!$B$5:$B$204,0)),"Check - not in bank")))</f>
        <v>0</v>
      </c>
      <c r="S350" s="23">
        <f>IF(R350="","",COUNTIF('Hashtag Bank'!$D$5:$D$304,R350))</f>
        <v>0</v>
      </c>
      <c r="U350" s="29">
        <f>IF(H350="","",IF(T350="","Add - no asset",IFERROR(INDEX(Assets!$N$5:$N$254,MATCH(T350,Assets!$A$5:$A$254,0)),"Check - not in library")))</f>
        <v>0</v>
      </c>
      <c r="Y350" s="16">
        <f>IF(B350="","",B350-ProductionDays)</f>
        <v>0</v>
      </c>
      <c r="Z350" s="16">
        <f>IF(B350="","",B350-ApprovalDays)</f>
        <v>0</v>
      </c>
      <c r="AA350" s="23">
        <f>IF(B350="","",B350-TODAY())</f>
        <v>0</v>
      </c>
      <c r="AC350" s="29">
        <f>IF(H350="","",IF(X350="Published",IF(AB350="","Add - link missing","Yes"),"No"))</f>
        <v>0</v>
      </c>
      <c r="AD350" s="23">
        <f>IF(A350="","",IF(COUNTIF(Performance!$B$5:$B$404,A350)=0,"",SUMIFS(Performance!$O$5:$O$404,Performance!$B$5:$B$404,A350)))</f>
        <v>0</v>
      </c>
      <c r="AE350" s="23">
        <f>IF(AD350="","",SUMIFS(Performance!$Z$5:$Z$404,Performance!$B$5:$B$404,A350))</f>
        <v>0</v>
      </c>
      <c r="AF350" s="24">
        <f>IF(OR(AD350="",AD350=0),"",AE350/AD350)</f>
        <v>0</v>
      </c>
      <c r="AG350" s="23">
        <f>IF(AD350="","",SUMIFS(Performance!$U$5:$U$404,Performance!$B$5:$B$404,A350))</f>
        <v>0</v>
      </c>
      <c r="AH350" s="23">
        <f>IF(A350="","",COUNTIF(Repurposing!$B$5:$B$154,A350))</f>
        <v>0</v>
      </c>
      <c r="AI350" s="32">
        <f>IF(OR(H350="",B350=""),"",B350+ROW()/100000)</f>
        <v>0</v>
      </c>
      <c r="AJ350" s="32">
        <f>IF(OR(H350="",B350=""),"",IF(OR(X350="Published",X350="Cancelled",X350="Archived"),"",IF(B350&lt;TODAY(),"",B350+ROW()/100000)))</f>
        <v>0</v>
      </c>
      <c r="AK350" s="32">
        <f>IF(OR(H350="",B350=""),"",IF(OR(X350="Published",X350="Cancelled",X350="Archived"),"",IF(B350&gt;=TODAY(),"",B350+ROW()/100000)))</f>
        <v>0</v>
      </c>
      <c r="AL350" s="29">
        <f>IF(H350="","",IF(COUNTIFS('Content Calendar'!$H$5:$H$604,H350,'Content Calendar'!$G$5:$G$604,G350,'Content Calendar'!$B$5:$B$604,B350)&gt;1,"Duplicate","OK"))</f>
        <v>0</v>
      </c>
      <c r="AM350" s="29">
        <f>IF(H350="","",IF(AND(B350&lt;&gt;"",B350&lt;TODAY(),X350&lt;&gt;"Published",X350&lt;&gt;"Cancelled",X350&lt;&gt;"Archived"),"Overdue - date has passed",IF(AND(X350="Published",AB350=""),"Add - publish link missing",IF(AND(B350=TODAY(),X350&lt;&gt;"Published"),"Today - due to go live",IF(AND(Y350&lt;&gt;"",Y350&lt;TODAY(),OR(X350="Idea",X350="Brief",X350="In production")),"Late - draft not ready",IF(AND(AA350&gt;=0,AA350&lt;=3,OR(X350="Draft",X350="Awaiting review")),"Due - needs approval",IF(AND(H350&lt;&gt;"",P350=""),"Add - caption missing","OK")))))))</f>
        <v>0</v>
      </c>
    </row>
    <row r="351" spans="1:39">
      <c r="A351" s="41">
        <f>IF(H351="","",ContentPrefix&amp;TEXT(ROW()-4,"0000"))</f>
        <v>0</v>
      </c>
      <c r="D351" s="17">
        <f>IF(B351="","",TEXT(B351,"yyyy-mm"))</f>
        <v>0</v>
      </c>
      <c r="E351" s="23">
        <f>IF(B351="","",WEEKNUM(B351,IF(WeekStart="Sunday",1,2)))</f>
        <v>0</v>
      </c>
      <c r="F351" s="17">
        <f>IF(B351="","",TEXT(B351,"ddd"))</f>
        <v>0</v>
      </c>
      <c r="Q351" s="29">
        <f>IF(H351="","",IF(P351="","Add - no caption",IFERROR(INDEX('Caption Bank'!$R$5:$R$204,MATCH(P351,'Caption Bank'!$B$5:$B$204,0)),"Check - not in bank")))</f>
        <v>0</v>
      </c>
      <c r="S351" s="23">
        <f>IF(R351="","",COUNTIF('Hashtag Bank'!$D$5:$D$304,R351))</f>
        <v>0</v>
      </c>
      <c r="U351" s="29">
        <f>IF(H351="","",IF(T351="","Add - no asset",IFERROR(INDEX(Assets!$N$5:$N$254,MATCH(T351,Assets!$A$5:$A$254,0)),"Check - not in library")))</f>
        <v>0</v>
      </c>
      <c r="Y351" s="16">
        <f>IF(B351="","",B351-ProductionDays)</f>
        <v>0</v>
      </c>
      <c r="Z351" s="16">
        <f>IF(B351="","",B351-ApprovalDays)</f>
        <v>0</v>
      </c>
      <c r="AA351" s="23">
        <f>IF(B351="","",B351-TODAY())</f>
        <v>0</v>
      </c>
      <c r="AC351" s="29">
        <f>IF(H351="","",IF(X351="Published",IF(AB351="","Add - link missing","Yes"),"No"))</f>
        <v>0</v>
      </c>
      <c r="AD351" s="23">
        <f>IF(A351="","",IF(COUNTIF(Performance!$B$5:$B$404,A351)=0,"",SUMIFS(Performance!$O$5:$O$404,Performance!$B$5:$B$404,A351)))</f>
        <v>0</v>
      </c>
      <c r="AE351" s="23">
        <f>IF(AD351="","",SUMIFS(Performance!$Z$5:$Z$404,Performance!$B$5:$B$404,A351))</f>
        <v>0</v>
      </c>
      <c r="AF351" s="24">
        <f>IF(OR(AD351="",AD351=0),"",AE351/AD351)</f>
        <v>0</v>
      </c>
      <c r="AG351" s="23">
        <f>IF(AD351="","",SUMIFS(Performance!$U$5:$U$404,Performance!$B$5:$B$404,A351))</f>
        <v>0</v>
      </c>
      <c r="AH351" s="23">
        <f>IF(A351="","",COUNTIF(Repurposing!$B$5:$B$154,A351))</f>
        <v>0</v>
      </c>
      <c r="AI351" s="32">
        <f>IF(OR(H351="",B351=""),"",B351+ROW()/100000)</f>
        <v>0</v>
      </c>
      <c r="AJ351" s="32">
        <f>IF(OR(H351="",B351=""),"",IF(OR(X351="Published",X351="Cancelled",X351="Archived"),"",IF(B351&lt;TODAY(),"",B351+ROW()/100000)))</f>
        <v>0</v>
      </c>
      <c r="AK351" s="32">
        <f>IF(OR(H351="",B351=""),"",IF(OR(X351="Published",X351="Cancelled",X351="Archived"),"",IF(B351&gt;=TODAY(),"",B351+ROW()/100000)))</f>
        <v>0</v>
      </c>
      <c r="AL351" s="29">
        <f>IF(H351="","",IF(COUNTIFS('Content Calendar'!$H$5:$H$604,H351,'Content Calendar'!$G$5:$G$604,G351,'Content Calendar'!$B$5:$B$604,B351)&gt;1,"Duplicate","OK"))</f>
        <v>0</v>
      </c>
      <c r="AM351" s="29">
        <f>IF(H351="","",IF(AND(B351&lt;&gt;"",B351&lt;TODAY(),X351&lt;&gt;"Published",X351&lt;&gt;"Cancelled",X351&lt;&gt;"Archived"),"Overdue - date has passed",IF(AND(X351="Published",AB351=""),"Add - publish link missing",IF(AND(B351=TODAY(),X351&lt;&gt;"Published"),"Today - due to go live",IF(AND(Y351&lt;&gt;"",Y351&lt;TODAY(),OR(X351="Idea",X351="Brief",X351="In production")),"Late - draft not ready",IF(AND(AA351&gt;=0,AA351&lt;=3,OR(X351="Draft",X351="Awaiting review")),"Due - needs approval",IF(AND(H351&lt;&gt;"",P351=""),"Add - caption missing","OK")))))))</f>
        <v>0</v>
      </c>
    </row>
    <row r="352" spans="1:39">
      <c r="A352" s="41">
        <f>IF(H352="","",ContentPrefix&amp;TEXT(ROW()-4,"0000"))</f>
        <v>0</v>
      </c>
      <c r="D352" s="17">
        <f>IF(B352="","",TEXT(B352,"yyyy-mm"))</f>
        <v>0</v>
      </c>
      <c r="E352" s="23">
        <f>IF(B352="","",WEEKNUM(B352,IF(WeekStart="Sunday",1,2)))</f>
        <v>0</v>
      </c>
      <c r="F352" s="17">
        <f>IF(B352="","",TEXT(B352,"ddd"))</f>
        <v>0</v>
      </c>
      <c r="Q352" s="29">
        <f>IF(H352="","",IF(P352="","Add - no caption",IFERROR(INDEX('Caption Bank'!$R$5:$R$204,MATCH(P352,'Caption Bank'!$B$5:$B$204,0)),"Check - not in bank")))</f>
        <v>0</v>
      </c>
      <c r="S352" s="23">
        <f>IF(R352="","",COUNTIF('Hashtag Bank'!$D$5:$D$304,R352))</f>
        <v>0</v>
      </c>
      <c r="U352" s="29">
        <f>IF(H352="","",IF(T352="","Add - no asset",IFERROR(INDEX(Assets!$N$5:$N$254,MATCH(T352,Assets!$A$5:$A$254,0)),"Check - not in library")))</f>
        <v>0</v>
      </c>
      <c r="Y352" s="16">
        <f>IF(B352="","",B352-ProductionDays)</f>
        <v>0</v>
      </c>
      <c r="Z352" s="16">
        <f>IF(B352="","",B352-ApprovalDays)</f>
        <v>0</v>
      </c>
      <c r="AA352" s="23">
        <f>IF(B352="","",B352-TODAY())</f>
        <v>0</v>
      </c>
      <c r="AC352" s="29">
        <f>IF(H352="","",IF(X352="Published",IF(AB352="","Add - link missing","Yes"),"No"))</f>
        <v>0</v>
      </c>
      <c r="AD352" s="23">
        <f>IF(A352="","",IF(COUNTIF(Performance!$B$5:$B$404,A352)=0,"",SUMIFS(Performance!$O$5:$O$404,Performance!$B$5:$B$404,A352)))</f>
        <v>0</v>
      </c>
      <c r="AE352" s="23">
        <f>IF(AD352="","",SUMIFS(Performance!$Z$5:$Z$404,Performance!$B$5:$B$404,A352))</f>
        <v>0</v>
      </c>
      <c r="AF352" s="24">
        <f>IF(OR(AD352="",AD352=0),"",AE352/AD352)</f>
        <v>0</v>
      </c>
      <c r="AG352" s="23">
        <f>IF(AD352="","",SUMIFS(Performance!$U$5:$U$404,Performance!$B$5:$B$404,A352))</f>
        <v>0</v>
      </c>
      <c r="AH352" s="23">
        <f>IF(A352="","",COUNTIF(Repurposing!$B$5:$B$154,A352))</f>
        <v>0</v>
      </c>
      <c r="AI352" s="32">
        <f>IF(OR(H352="",B352=""),"",B352+ROW()/100000)</f>
        <v>0</v>
      </c>
      <c r="AJ352" s="32">
        <f>IF(OR(H352="",B352=""),"",IF(OR(X352="Published",X352="Cancelled",X352="Archived"),"",IF(B352&lt;TODAY(),"",B352+ROW()/100000)))</f>
        <v>0</v>
      </c>
      <c r="AK352" s="32">
        <f>IF(OR(H352="",B352=""),"",IF(OR(X352="Published",X352="Cancelled",X352="Archived"),"",IF(B352&gt;=TODAY(),"",B352+ROW()/100000)))</f>
        <v>0</v>
      </c>
      <c r="AL352" s="29">
        <f>IF(H352="","",IF(COUNTIFS('Content Calendar'!$H$5:$H$604,H352,'Content Calendar'!$G$5:$G$604,G352,'Content Calendar'!$B$5:$B$604,B352)&gt;1,"Duplicate","OK"))</f>
        <v>0</v>
      </c>
      <c r="AM352" s="29">
        <f>IF(H352="","",IF(AND(B352&lt;&gt;"",B352&lt;TODAY(),X352&lt;&gt;"Published",X352&lt;&gt;"Cancelled",X352&lt;&gt;"Archived"),"Overdue - date has passed",IF(AND(X352="Published",AB352=""),"Add - publish link missing",IF(AND(B352=TODAY(),X352&lt;&gt;"Published"),"Today - due to go live",IF(AND(Y352&lt;&gt;"",Y352&lt;TODAY(),OR(X352="Idea",X352="Brief",X352="In production")),"Late - draft not ready",IF(AND(AA352&gt;=0,AA352&lt;=3,OR(X352="Draft",X352="Awaiting review")),"Due - needs approval",IF(AND(H352&lt;&gt;"",P352=""),"Add - caption missing","OK")))))))</f>
        <v>0</v>
      </c>
    </row>
    <row r="353" spans="1:39">
      <c r="A353" s="41">
        <f>IF(H353="","",ContentPrefix&amp;TEXT(ROW()-4,"0000"))</f>
        <v>0</v>
      </c>
      <c r="D353" s="17">
        <f>IF(B353="","",TEXT(B353,"yyyy-mm"))</f>
        <v>0</v>
      </c>
      <c r="E353" s="23">
        <f>IF(B353="","",WEEKNUM(B353,IF(WeekStart="Sunday",1,2)))</f>
        <v>0</v>
      </c>
      <c r="F353" s="17">
        <f>IF(B353="","",TEXT(B353,"ddd"))</f>
        <v>0</v>
      </c>
      <c r="Q353" s="29">
        <f>IF(H353="","",IF(P353="","Add - no caption",IFERROR(INDEX('Caption Bank'!$R$5:$R$204,MATCH(P353,'Caption Bank'!$B$5:$B$204,0)),"Check - not in bank")))</f>
        <v>0</v>
      </c>
      <c r="S353" s="23">
        <f>IF(R353="","",COUNTIF('Hashtag Bank'!$D$5:$D$304,R353))</f>
        <v>0</v>
      </c>
      <c r="U353" s="29">
        <f>IF(H353="","",IF(T353="","Add - no asset",IFERROR(INDEX(Assets!$N$5:$N$254,MATCH(T353,Assets!$A$5:$A$254,0)),"Check - not in library")))</f>
        <v>0</v>
      </c>
      <c r="Y353" s="16">
        <f>IF(B353="","",B353-ProductionDays)</f>
        <v>0</v>
      </c>
      <c r="Z353" s="16">
        <f>IF(B353="","",B353-ApprovalDays)</f>
        <v>0</v>
      </c>
      <c r="AA353" s="23">
        <f>IF(B353="","",B353-TODAY())</f>
        <v>0</v>
      </c>
      <c r="AC353" s="29">
        <f>IF(H353="","",IF(X353="Published",IF(AB353="","Add - link missing","Yes"),"No"))</f>
        <v>0</v>
      </c>
      <c r="AD353" s="23">
        <f>IF(A353="","",IF(COUNTIF(Performance!$B$5:$B$404,A353)=0,"",SUMIFS(Performance!$O$5:$O$404,Performance!$B$5:$B$404,A353)))</f>
        <v>0</v>
      </c>
      <c r="AE353" s="23">
        <f>IF(AD353="","",SUMIFS(Performance!$Z$5:$Z$404,Performance!$B$5:$B$404,A353))</f>
        <v>0</v>
      </c>
      <c r="AF353" s="24">
        <f>IF(OR(AD353="",AD353=0),"",AE353/AD353)</f>
        <v>0</v>
      </c>
      <c r="AG353" s="23">
        <f>IF(AD353="","",SUMIFS(Performance!$U$5:$U$404,Performance!$B$5:$B$404,A353))</f>
        <v>0</v>
      </c>
      <c r="AH353" s="23">
        <f>IF(A353="","",COUNTIF(Repurposing!$B$5:$B$154,A353))</f>
        <v>0</v>
      </c>
      <c r="AI353" s="32">
        <f>IF(OR(H353="",B353=""),"",B353+ROW()/100000)</f>
        <v>0</v>
      </c>
      <c r="AJ353" s="32">
        <f>IF(OR(H353="",B353=""),"",IF(OR(X353="Published",X353="Cancelled",X353="Archived"),"",IF(B353&lt;TODAY(),"",B353+ROW()/100000)))</f>
        <v>0</v>
      </c>
      <c r="AK353" s="32">
        <f>IF(OR(H353="",B353=""),"",IF(OR(X353="Published",X353="Cancelled",X353="Archived"),"",IF(B353&gt;=TODAY(),"",B353+ROW()/100000)))</f>
        <v>0</v>
      </c>
      <c r="AL353" s="29">
        <f>IF(H353="","",IF(COUNTIFS('Content Calendar'!$H$5:$H$604,H353,'Content Calendar'!$G$5:$G$604,G353,'Content Calendar'!$B$5:$B$604,B353)&gt;1,"Duplicate","OK"))</f>
        <v>0</v>
      </c>
      <c r="AM353" s="29">
        <f>IF(H353="","",IF(AND(B353&lt;&gt;"",B353&lt;TODAY(),X353&lt;&gt;"Published",X353&lt;&gt;"Cancelled",X353&lt;&gt;"Archived"),"Overdue - date has passed",IF(AND(X353="Published",AB353=""),"Add - publish link missing",IF(AND(B353=TODAY(),X353&lt;&gt;"Published"),"Today - due to go live",IF(AND(Y353&lt;&gt;"",Y353&lt;TODAY(),OR(X353="Idea",X353="Brief",X353="In production")),"Late - draft not ready",IF(AND(AA353&gt;=0,AA353&lt;=3,OR(X353="Draft",X353="Awaiting review")),"Due - needs approval",IF(AND(H353&lt;&gt;"",P353=""),"Add - caption missing","OK")))))))</f>
        <v>0</v>
      </c>
    </row>
    <row r="354" spans="1:39">
      <c r="A354" s="41">
        <f>IF(H354="","",ContentPrefix&amp;TEXT(ROW()-4,"0000"))</f>
        <v>0</v>
      </c>
      <c r="D354" s="17">
        <f>IF(B354="","",TEXT(B354,"yyyy-mm"))</f>
        <v>0</v>
      </c>
      <c r="E354" s="23">
        <f>IF(B354="","",WEEKNUM(B354,IF(WeekStart="Sunday",1,2)))</f>
        <v>0</v>
      </c>
      <c r="F354" s="17">
        <f>IF(B354="","",TEXT(B354,"ddd"))</f>
        <v>0</v>
      </c>
      <c r="Q354" s="29">
        <f>IF(H354="","",IF(P354="","Add - no caption",IFERROR(INDEX('Caption Bank'!$R$5:$R$204,MATCH(P354,'Caption Bank'!$B$5:$B$204,0)),"Check - not in bank")))</f>
        <v>0</v>
      </c>
      <c r="S354" s="23">
        <f>IF(R354="","",COUNTIF('Hashtag Bank'!$D$5:$D$304,R354))</f>
        <v>0</v>
      </c>
      <c r="U354" s="29">
        <f>IF(H354="","",IF(T354="","Add - no asset",IFERROR(INDEX(Assets!$N$5:$N$254,MATCH(T354,Assets!$A$5:$A$254,0)),"Check - not in library")))</f>
        <v>0</v>
      </c>
      <c r="Y354" s="16">
        <f>IF(B354="","",B354-ProductionDays)</f>
        <v>0</v>
      </c>
      <c r="Z354" s="16">
        <f>IF(B354="","",B354-ApprovalDays)</f>
        <v>0</v>
      </c>
      <c r="AA354" s="23">
        <f>IF(B354="","",B354-TODAY())</f>
        <v>0</v>
      </c>
      <c r="AC354" s="29">
        <f>IF(H354="","",IF(X354="Published",IF(AB354="","Add - link missing","Yes"),"No"))</f>
        <v>0</v>
      </c>
      <c r="AD354" s="23">
        <f>IF(A354="","",IF(COUNTIF(Performance!$B$5:$B$404,A354)=0,"",SUMIFS(Performance!$O$5:$O$404,Performance!$B$5:$B$404,A354)))</f>
        <v>0</v>
      </c>
      <c r="AE354" s="23">
        <f>IF(AD354="","",SUMIFS(Performance!$Z$5:$Z$404,Performance!$B$5:$B$404,A354))</f>
        <v>0</v>
      </c>
      <c r="AF354" s="24">
        <f>IF(OR(AD354="",AD354=0),"",AE354/AD354)</f>
        <v>0</v>
      </c>
      <c r="AG354" s="23">
        <f>IF(AD354="","",SUMIFS(Performance!$U$5:$U$404,Performance!$B$5:$B$404,A354))</f>
        <v>0</v>
      </c>
      <c r="AH354" s="23">
        <f>IF(A354="","",COUNTIF(Repurposing!$B$5:$B$154,A354))</f>
        <v>0</v>
      </c>
      <c r="AI354" s="32">
        <f>IF(OR(H354="",B354=""),"",B354+ROW()/100000)</f>
        <v>0</v>
      </c>
      <c r="AJ354" s="32">
        <f>IF(OR(H354="",B354=""),"",IF(OR(X354="Published",X354="Cancelled",X354="Archived"),"",IF(B354&lt;TODAY(),"",B354+ROW()/100000)))</f>
        <v>0</v>
      </c>
      <c r="AK354" s="32">
        <f>IF(OR(H354="",B354=""),"",IF(OR(X354="Published",X354="Cancelled",X354="Archived"),"",IF(B354&gt;=TODAY(),"",B354+ROW()/100000)))</f>
        <v>0</v>
      </c>
      <c r="AL354" s="29">
        <f>IF(H354="","",IF(COUNTIFS('Content Calendar'!$H$5:$H$604,H354,'Content Calendar'!$G$5:$G$604,G354,'Content Calendar'!$B$5:$B$604,B354)&gt;1,"Duplicate","OK"))</f>
        <v>0</v>
      </c>
      <c r="AM354" s="29">
        <f>IF(H354="","",IF(AND(B354&lt;&gt;"",B354&lt;TODAY(),X354&lt;&gt;"Published",X354&lt;&gt;"Cancelled",X354&lt;&gt;"Archived"),"Overdue - date has passed",IF(AND(X354="Published",AB354=""),"Add - publish link missing",IF(AND(B354=TODAY(),X354&lt;&gt;"Published"),"Today - due to go live",IF(AND(Y354&lt;&gt;"",Y354&lt;TODAY(),OR(X354="Idea",X354="Brief",X354="In production")),"Late - draft not ready",IF(AND(AA354&gt;=0,AA354&lt;=3,OR(X354="Draft",X354="Awaiting review")),"Due - needs approval",IF(AND(H354&lt;&gt;"",P354=""),"Add - caption missing","OK")))))))</f>
        <v>0</v>
      </c>
    </row>
    <row r="355" spans="1:39">
      <c r="A355" s="41">
        <f>IF(H355="","",ContentPrefix&amp;TEXT(ROW()-4,"0000"))</f>
        <v>0</v>
      </c>
      <c r="D355" s="17">
        <f>IF(B355="","",TEXT(B355,"yyyy-mm"))</f>
        <v>0</v>
      </c>
      <c r="E355" s="23">
        <f>IF(B355="","",WEEKNUM(B355,IF(WeekStart="Sunday",1,2)))</f>
        <v>0</v>
      </c>
      <c r="F355" s="17">
        <f>IF(B355="","",TEXT(B355,"ddd"))</f>
        <v>0</v>
      </c>
      <c r="Q355" s="29">
        <f>IF(H355="","",IF(P355="","Add - no caption",IFERROR(INDEX('Caption Bank'!$R$5:$R$204,MATCH(P355,'Caption Bank'!$B$5:$B$204,0)),"Check - not in bank")))</f>
        <v>0</v>
      </c>
      <c r="S355" s="23">
        <f>IF(R355="","",COUNTIF('Hashtag Bank'!$D$5:$D$304,R355))</f>
        <v>0</v>
      </c>
      <c r="U355" s="29">
        <f>IF(H355="","",IF(T355="","Add - no asset",IFERROR(INDEX(Assets!$N$5:$N$254,MATCH(T355,Assets!$A$5:$A$254,0)),"Check - not in library")))</f>
        <v>0</v>
      </c>
      <c r="Y355" s="16">
        <f>IF(B355="","",B355-ProductionDays)</f>
        <v>0</v>
      </c>
      <c r="Z355" s="16">
        <f>IF(B355="","",B355-ApprovalDays)</f>
        <v>0</v>
      </c>
      <c r="AA355" s="23">
        <f>IF(B355="","",B355-TODAY())</f>
        <v>0</v>
      </c>
      <c r="AC355" s="29">
        <f>IF(H355="","",IF(X355="Published",IF(AB355="","Add - link missing","Yes"),"No"))</f>
        <v>0</v>
      </c>
      <c r="AD355" s="23">
        <f>IF(A355="","",IF(COUNTIF(Performance!$B$5:$B$404,A355)=0,"",SUMIFS(Performance!$O$5:$O$404,Performance!$B$5:$B$404,A355)))</f>
        <v>0</v>
      </c>
      <c r="AE355" s="23">
        <f>IF(AD355="","",SUMIFS(Performance!$Z$5:$Z$404,Performance!$B$5:$B$404,A355))</f>
        <v>0</v>
      </c>
      <c r="AF355" s="24">
        <f>IF(OR(AD355="",AD355=0),"",AE355/AD355)</f>
        <v>0</v>
      </c>
      <c r="AG355" s="23">
        <f>IF(AD355="","",SUMIFS(Performance!$U$5:$U$404,Performance!$B$5:$B$404,A355))</f>
        <v>0</v>
      </c>
      <c r="AH355" s="23">
        <f>IF(A355="","",COUNTIF(Repurposing!$B$5:$B$154,A355))</f>
        <v>0</v>
      </c>
      <c r="AI355" s="32">
        <f>IF(OR(H355="",B355=""),"",B355+ROW()/100000)</f>
        <v>0</v>
      </c>
      <c r="AJ355" s="32">
        <f>IF(OR(H355="",B355=""),"",IF(OR(X355="Published",X355="Cancelled",X355="Archived"),"",IF(B355&lt;TODAY(),"",B355+ROW()/100000)))</f>
        <v>0</v>
      </c>
      <c r="AK355" s="32">
        <f>IF(OR(H355="",B355=""),"",IF(OR(X355="Published",X355="Cancelled",X355="Archived"),"",IF(B355&gt;=TODAY(),"",B355+ROW()/100000)))</f>
        <v>0</v>
      </c>
      <c r="AL355" s="29">
        <f>IF(H355="","",IF(COUNTIFS('Content Calendar'!$H$5:$H$604,H355,'Content Calendar'!$G$5:$G$604,G355,'Content Calendar'!$B$5:$B$604,B355)&gt;1,"Duplicate","OK"))</f>
        <v>0</v>
      </c>
      <c r="AM355" s="29">
        <f>IF(H355="","",IF(AND(B355&lt;&gt;"",B355&lt;TODAY(),X355&lt;&gt;"Published",X355&lt;&gt;"Cancelled",X355&lt;&gt;"Archived"),"Overdue - date has passed",IF(AND(X355="Published",AB355=""),"Add - publish link missing",IF(AND(B355=TODAY(),X355&lt;&gt;"Published"),"Today - due to go live",IF(AND(Y355&lt;&gt;"",Y355&lt;TODAY(),OR(X355="Idea",X355="Brief",X355="In production")),"Late - draft not ready",IF(AND(AA355&gt;=0,AA355&lt;=3,OR(X355="Draft",X355="Awaiting review")),"Due - needs approval",IF(AND(H355&lt;&gt;"",P355=""),"Add - caption missing","OK")))))))</f>
        <v>0</v>
      </c>
    </row>
    <row r="356" spans="1:39">
      <c r="A356" s="41">
        <f>IF(H356="","",ContentPrefix&amp;TEXT(ROW()-4,"0000"))</f>
        <v>0</v>
      </c>
      <c r="D356" s="17">
        <f>IF(B356="","",TEXT(B356,"yyyy-mm"))</f>
        <v>0</v>
      </c>
      <c r="E356" s="23">
        <f>IF(B356="","",WEEKNUM(B356,IF(WeekStart="Sunday",1,2)))</f>
        <v>0</v>
      </c>
      <c r="F356" s="17">
        <f>IF(B356="","",TEXT(B356,"ddd"))</f>
        <v>0</v>
      </c>
      <c r="Q356" s="29">
        <f>IF(H356="","",IF(P356="","Add - no caption",IFERROR(INDEX('Caption Bank'!$R$5:$R$204,MATCH(P356,'Caption Bank'!$B$5:$B$204,0)),"Check - not in bank")))</f>
        <v>0</v>
      </c>
      <c r="S356" s="23">
        <f>IF(R356="","",COUNTIF('Hashtag Bank'!$D$5:$D$304,R356))</f>
        <v>0</v>
      </c>
      <c r="U356" s="29">
        <f>IF(H356="","",IF(T356="","Add - no asset",IFERROR(INDEX(Assets!$N$5:$N$254,MATCH(T356,Assets!$A$5:$A$254,0)),"Check - not in library")))</f>
        <v>0</v>
      </c>
      <c r="Y356" s="16">
        <f>IF(B356="","",B356-ProductionDays)</f>
        <v>0</v>
      </c>
      <c r="Z356" s="16">
        <f>IF(B356="","",B356-ApprovalDays)</f>
        <v>0</v>
      </c>
      <c r="AA356" s="23">
        <f>IF(B356="","",B356-TODAY())</f>
        <v>0</v>
      </c>
      <c r="AC356" s="29">
        <f>IF(H356="","",IF(X356="Published",IF(AB356="","Add - link missing","Yes"),"No"))</f>
        <v>0</v>
      </c>
      <c r="AD356" s="23">
        <f>IF(A356="","",IF(COUNTIF(Performance!$B$5:$B$404,A356)=0,"",SUMIFS(Performance!$O$5:$O$404,Performance!$B$5:$B$404,A356)))</f>
        <v>0</v>
      </c>
      <c r="AE356" s="23">
        <f>IF(AD356="","",SUMIFS(Performance!$Z$5:$Z$404,Performance!$B$5:$B$404,A356))</f>
        <v>0</v>
      </c>
      <c r="AF356" s="24">
        <f>IF(OR(AD356="",AD356=0),"",AE356/AD356)</f>
        <v>0</v>
      </c>
      <c r="AG356" s="23">
        <f>IF(AD356="","",SUMIFS(Performance!$U$5:$U$404,Performance!$B$5:$B$404,A356))</f>
        <v>0</v>
      </c>
      <c r="AH356" s="23">
        <f>IF(A356="","",COUNTIF(Repurposing!$B$5:$B$154,A356))</f>
        <v>0</v>
      </c>
      <c r="AI356" s="32">
        <f>IF(OR(H356="",B356=""),"",B356+ROW()/100000)</f>
        <v>0</v>
      </c>
      <c r="AJ356" s="32">
        <f>IF(OR(H356="",B356=""),"",IF(OR(X356="Published",X356="Cancelled",X356="Archived"),"",IF(B356&lt;TODAY(),"",B356+ROW()/100000)))</f>
        <v>0</v>
      </c>
      <c r="AK356" s="32">
        <f>IF(OR(H356="",B356=""),"",IF(OR(X356="Published",X356="Cancelled",X356="Archived"),"",IF(B356&gt;=TODAY(),"",B356+ROW()/100000)))</f>
        <v>0</v>
      </c>
      <c r="AL356" s="29">
        <f>IF(H356="","",IF(COUNTIFS('Content Calendar'!$H$5:$H$604,H356,'Content Calendar'!$G$5:$G$604,G356,'Content Calendar'!$B$5:$B$604,B356)&gt;1,"Duplicate","OK"))</f>
        <v>0</v>
      </c>
      <c r="AM356" s="29">
        <f>IF(H356="","",IF(AND(B356&lt;&gt;"",B356&lt;TODAY(),X356&lt;&gt;"Published",X356&lt;&gt;"Cancelled",X356&lt;&gt;"Archived"),"Overdue - date has passed",IF(AND(X356="Published",AB356=""),"Add - publish link missing",IF(AND(B356=TODAY(),X356&lt;&gt;"Published"),"Today - due to go live",IF(AND(Y356&lt;&gt;"",Y356&lt;TODAY(),OR(X356="Idea",X356="Brief",X356="In production")),"Late - draft not ready",IF(AND(AA356&gt;=0,AA356&lt;=3,OR(X356="Draft",X356="Awaiting review")),"Due - needs approval",IF(AND(H356&lt;&gt;"",P356=""),"Add - caption missing","OK")))))))</f>
        <v>0</v>
      </c>
    </row>
    <row r="357" spans="1:39">
      <c r="A357" s="41">
        <f>IF(H357="","",ContentPrefix&amp;TEXT(ROW()-4,"0000"))</f>
        <v>0</v>
      </c>
      <c r="D357" s="17">
        <f>IF(B357="","",TEXT(B357,"yyyy-mm"))</f>
        <v>0</v>
      </c>
      <c r="E357" s="23">
        <f>IF(B357="","",WEEKNUM(B357,IF(WeekStart="Sunday",1,2)))</f>
        <v>0</v>
      </c>
      <c r="F357" s="17">
        <f>IF(B357="","",TEXT(B357,"ddd"))</f>
        <v>0</v>
      </c>
      <c r="Q357" s="29">
        <f>IF(H357="","",IF(P357="","Add - no caption",IFERROR(INDEX('Caption Bank'!$R$5:$R$204,MATCH(P357,'Caption Bank'!$B$5:$B$204,0)),"Check - not in bank")))</f>
        <v>0</v>
      </c>
      <c r="S357" s="23">
        <f>IF(R357="","",COUNTIF('Hashtag Bank'!$D$5:$D$304,R357))</f>
        <v>0</v>
      </c>
      <c r="U357" s="29">
        <f>IF(H357="","",IF(T357="","Add - no asset",IFERROR(INDEX(Assets!$N$5:$N$254,MATCH(T357,Assets!$A$5:$A$254,0)),"Check - not in library")))</f>
        <v>0</v>
      </c>
      <c r="Y357" s="16">
        <f>IF(B357="","",B357-ProductionDays)</f>
        <v>0</v>
      </c>
      <c r="Z357" s="16">
        <f>IF(B357="","",B357-ApprovalDays)</f>
        <v>0</v>
      </c>
      <c r="AA357" s="23">
        <f>IF(B357="","",B357-TODAY())</f>
        <v>0</v>
      </c>
      <c r="AC357" s="29">
        <f>IF(H357="","",IF(X357="Published",IF(AB357="","Add - link missing","Yes"),"No"))</f>
        <v>0</v>
      </c>
      <c r="AD357" s="23">
        <f>IF(A357="","",IF(COUNTIF(Performance!$B$5:$B$404,A357)=0,"",SUMIFS(Performance!$O$5:$O$404,Performance!$B$5:$B$404,A357)))</f>
        <v>0</v>
      </c>
      <c r="AE357" s="23">
        <f>IF(AD357="","",SUMIFS(Performance!$Z$5:$Z$404,Performance!$B$5:$B$404,A357))</f>
        <v>0</v>
      </c>
      <c r="AF357" s="24">
        <f>IF(OR(AD357="",AD357=0),"",AE357/AD357)</f>
        <v>0</v>
      </c>
      <c r="AG357" s="23">
        <f>IF(AD357="","",SUMIFS(Performance!$U$5:$U$404,Performance!$B$5:$B$404,A357))</f>
        <v>0</v>
      </c>
      <c r="AH357" s="23">
        <f>IF(A357="","",COUNTIF(Repurposing!$B$5:$B$154,A357))</f>
        <v>0</v>
      </c>
      <c r="AI357" s="32">
        <f>IF(OR(H357="",B357=""),"",B357+ROW()/100000)</f>
        <v>0</v>
      </c>
      <c r="AJ357" s="32">
        <f>IF(OR(H357="",B357=""),"",IF(OR(X357="Published",X357="Cancelled",X357="Archived"),"",IF(B357&lt;TODAY(),"",B357+ROW()/100000)))</f>
        <v>0</v>
      </c>
      <c r="AK357" s="32">
        <f>IF(OR(H357="",B357=""),"",IF(OR(X357="Published",X357="Cancelled",X357="Archived"),"",IF(B357&gt;=TODAY(),"",B357+ROW()/100000)))</f>
        <v>0</v>
      </c>
      <c r="AL357" s="29">
        <f>IF(H357="","",IF(COUNTIFS('Content Calendar'!$H$5:$H$604,H357,'Content Calendar'!$G$5:$G$604,G357,'Content Calendar'!$B$5:$B$604,B357)&gt;1,"Duplicate","OK"))</f>
        <v>0</v>
      </c>
      <c r="AM357" s="29">
        <f>IF(H357="","",IF(AND(B357&lt;&gt;"",B357&lt;TODAY(),X357&lt;&gt;"Published",X357&lt;&gt;"Cancelled",X357&lt;&gt;"Archived"),"Overdue - date has passed",IF(AND(X357="Published",AB357=""),"Add - publish link missing",IF(AND(B357=TODAY(),X357&lt;&gt;"Published"),"Today - due to go live",IF(AND(Y357&lt;&gt;"",Y357&lt;TODAY(),OR(X357="Idea",X357="Brief",X357="In production")),"Late - draft not ready",IF(AND(AA357&gt;=0,AA357&lt;=3,OR(X357="Draft",X357="Awaiting review")),"Due - needs approval",IF(AND(H357&lt;&gt;"",P357=""),"Add - caption missing","OK")))))))</f>
        <v>0</v>
      </c>
    </row>
    <row r="358" spans="1:39">
      <c r="A358" s="41">
        <f>IF(H358="","",ContentPrefix&amp;TEXT(ROW()-4,"0000"))</f>
        <v>0</v>
      </c>
      <c r="D358" s="17">
        <f>IF(B358="","",TEXT(B358,"yyyy-mm"))</f>
        <v>0</v>
      </c>
      <c r="E358" s="23">
        <f>IF(B358="","",WEEKNUM(B358,IF(WeekStart="Sunday",1,2)))</f>
        <v>0</v>
      </c>
      <c r="F358" s="17">
        <f>IF(B358="","",TEXT(B358,"ddd"))</f>
        <v>0</v>
      </c>
      <c r="Q358" s="29">
        <f>IF(H358="","",IF(P358="","Add - no caption",IFERROR(INDEX('Caption Bank'!$R$5:$R$204,MATCH(P358,'Caption Bank'!$B$5:$B$204,0)),"Check - not in bank")))</f>
        <v>0</v>
      </c>
      <c r="S358" s="23">
        <f>IF(R358="","",COUNTIF('Hashtag Bank'!$D$5:$D$304,R358))</f>
        <v>0</v>
      </c>
      <c r="U358" s="29">
        <f>IF(H358="","",IF(T358="","Add - no asset",IFERROR(INDEX(Assets!$N$5:$N$254,MATCH(T358,Assets!$A$5:$A$254,0)),"Check - not in library")))</f>
        <v>0</v>
      </c>
      <c r="Y358" s="16">
        <f>IF(B358="","",B358-ProductionDays)</f>
        <v>0</v>
      </c>
      <c r="Z358" s="16">
        <f>IF(B358="","",B358-ApprovalDays)</f>
        <v>0</v>
      </c>
      <c r="AA358" s="23">
        <f>IF(B358="","",B358-TODAY())</f>
        <v>0</v>
      </c>
      <c r="AC358" s="29">
        <f>IF(H358="","",IF(X358="Published",IF(AB358="","Add - link missing","Yes"),"No"))</f>
        <v>0</v>
      </c>
      <c r="AD358" s="23">
        <f>IF(A358="","",IF(COUNTIF(Performance!$B$5:$B$404,A358)=0,"",SUMIFS(Performance!$O$5:$O$404,Performance!$B$5:$B$404,A358)))</f>
        <v>0</v>
      </c>
      <c r="AE358" s="23">
        <f>IF(AD358="","",SUMIFS(Performance!$Z$5:$Z$404,Performance!$B$5:$B$404,A358))</f>
        <v>0</v>
      </c>
      <c r="AF358" s="24">
        <f>IF(OR(AD358="",AD358=0),"",AE358/AD358)</f>
        <v>0</v>
      </c>
      <c r="AG358" s="23">
        <f>IF(AD358="","",SUMIFS(Performance!$U$5:$U$404,Performance!$B$5:$B$404,A358))</f>
        <v>0</v>
      </c>
      <c r="AH358" s="23">
        <f>IF(A358="","",COUNTIF(Repurposing!$B$5:$B$154,A358))</f>
        <v>0</v>
      </c>
      <c r="AI358" s="32">
        <f>IF(OR(H358="",B358=""),"",B358+ROW()/100000)</f>
        <v>0</v>
      </c>
      <c r="AJ358" s="32">
        <f>IF(OR(H358="",B358=""),"",IF(OR(X358="Published",X358="Cancelled",X358="Archived"),"",IF(B358&lt;TODAY(),"",B358+ROW()/100000)))</f>
        <v>0</v>
      </c>
      <c r="AK358" s="32">
        <f>IF(OR(H358="",B358=""),"",IF(OR(X358="Published",X358="Cancelled",X358="Archived"),"",IF(B358&gt;=TODAY(),"",B358+ROW()/100000)))</f>
        <v>0</v>
      </c>
      <c r="AL358" s="29">
        <f>IF(H358="","",IF(COUNTIFS('Content Calendar'!$H$5:$H$604,H358,'Content Calendar'!$G$5:$G$604,G358,'Content Calendar'!$B$5:$B$604,B358)&gt;1,"Duplicate","OK"))</f>
        <v>0</v>
      </c>
      <c r="AM358" s="29">
        <f>IF(H358="","",IF(AND(B358&lt;&gt;"",B358&lt;TODAY(),X358&lt;&gt;"Published",X358&lt;&gt;"Cancelled",X358&lt;&gt;"Archived"),"Overdue - date has passed",IF(AND(X358="Published",AB358=""),"Add - publish link missing",IF(AND(B358=TODAY(),X358&lt;&gt;"Published"),"Today - due to go live",IF(AND(Y358&lt;&gt;"",Y358&lt;TODAY(),OR(X358="Idea",X358="Brief",X358="In production")),"Late - draft not ready",IF(AND(AA358&gt;=0,AA358&lt;=3,OR(X358="Draft",X358="Awaiting review")),"Due - needs approval",IF(AND(H358&lt;&gt;"",P358=""),"Add - caption missing","OK")))))))</f>
        <v>0</v>
      </c>
    </row>
    <row r="359" spans="1:39">
      <c r="A359" s="41">
        <f>IF(H359="","",ContentPrefix&amp;TEXT(ROW()-4,"0000"))</f>
        <v>0</v>
      </c>
      <c r="D359" s="17">
        <f>IF(B359="","",TEXT(B359,"yyyy-mm"))</f>
        <v>0</v>
      </c>
      <c r="E359" s="23">
        <f>IF(B359="","",WEEKNUM(B359,IF(WeekStart="Sunday",1,2)))</f>
        <v>0</v>
      </c>
      <c r="F359" s="17">
        <f>IF(B359="","",TEXT(B359,"ddd"))</f>
        <v>0</v>
      </c>
      <c r="Q359" s="29">
        <f>IF(H359="","",IF(P359="","Add - no caption",IFERROR(INDEX('Caption Bank'!$R$5:$R$204,MATCH(P359,'Caption Bank'!$B$5:$B$204,0)),"Check - not in bank")))</f>
        <v>0</v>
      </c>
      <c r="S359" s="23">
        <f>IF(R359="","",COUNTIF('Hashtag Bank'!$D$5:$D$304,R359))</f>
        <v>0</v>
      </c>
      <c r="U359" s="29">
        <f>IF(H359="","",IF(T359="","Add - no asset",IFERROR(INDEX(Assets!$N$5:$N$254,MATCH(T359,Assets!$A$5:$A$254,0)),"Check - not in library")))</f>
        <v>0</v>
      </c>
      <c r="Y359" s="16">
        <f>IF(B359="","",B359-ProductionDays)</f>
        <v>0</v>
      </c>
      <c r="Z359" s="16">
        <f>IF(B359="","",B359-ApprovalDays)</f>
        <v>0</v>
      </c>
      <c r="AA359" s="23">
        <f>IF(B359="","",B359-TODAY())</f>
        <v>0</v>
      </c>
      <c r="AC359" s="29">
        <f>IF(H359="","",IF(X359="Published",IF(AB359="","Add - link missing","Yes"),"No"))</f>
        <v>0</v>
      </c>
      <c r="AD359" s="23">
        <f>IF(A359="","",IF(COUNTIF(Performance!$B$5:$B$404,A359)=0,"",SUMIFS(Performance!$O$5:$O$404,Performance!$B$5:$B$404,A359)))</f>
        <v>0</v>
      </c>
      <c r="AE359" s="23">
        <f>IF(AD359="","",SUMIFS(Performance!$Z$5:$Z$404,Performance!$B$5:$B$404,A359))</f>
        <v>0</v>
      </c>
      <c r="AF359" s="24">
        <f>IF(OR(AD359="",AD359=0),"",AE359/AD359)</f>
        <v>0</v>
      </c>
      <c r="AG359" s="23">
        <f>IF(AD359="","",SUMIFS(Performance!$U$5:$U$404,Performance!$B$5:$B$404,A359))</f>
        <v>0</v>
      </c>
      <c r="AH359" s="23">
        <f>IF(A359="","",COUNTIF(Repurposing!$B$5:$B$154,A359))</f>
        <v>0</v>
      </c>
      <c r="AI359" s="32">
        <f>IF(OR(H359="",B359=""),"",B359+ROW()/100000)</f>
        <v>0</v>
      </c>
      <c r="AJ359" s="32">
        <f>IF(OR(H359="",B359=""),"",IF(OR(X359="Published",X359="Cancelled",X359="Archived"),"",IF(B359&lt;TODAY(),"",B359+ROW()/100000)))</f>
        <v>0</v>
      </c>
      <c r="AK359" s="32">
        <f>IF(OR(H359="",B359=""),"",IF(OR(X359="Published",X359="Cancelled",X359="Archived"),"",IF(B359&gt;=TODAY(),"",B359+ROW()/100000)))</f>
        <v>0</v>
      </c>
      <c r="AL359" s="29">
        <f>IF(H359="","",IF(COUNTIFS('Content Calendar'!$H$5:$H$604,H359,'Content Calendar'!$G$5:$G$604,G359,'Content Calendar'!$B$5:$B$604,B359)&gt;1,"Duplicate","OK"))</f>
        <v>0</v>
      </c>
      <c r="AM359" s="29">
        <f>IF(H359="","",IF(AND(B359&lt;&gt;"",B359&lt;TODAY(),X359&lt;&gt;"Published",X359&lt;&gt;"Cancelled",X359&lt;&gt;"Archived"),"Overdue - date has passed",IF(AND(X359="Published",AB359=""),"Add - publish link missing",IF(AND(B359=TODAY(),X359&lt;&gt;"Published"),"Today - due to go live",IF(AND(Y359&lt;&gt;"",Y359&lt;TODAY(),OR(X359="Idea",X359="Brief",X359="In production")),"Late - draft not ready",IF(AND(AA359&gt;=0,AA359&lt;=3,OR(X359="Draft",X359="Awaiting review")),"Due - needs approval",IF(AND(H359&lt;&gt;"",P359=""),"Add - caption missing","OK")))))))</f>
        <v>0</v>
      </c>
    </row>
    <row r="360" spans="1:39">
      <c r="A360" s="41">
        <f>IF(H360="","",ContentPrefix&amp;TEXT(ROW()-4,"0000"))</f>
        <v>0</v>
      </c>
      <c r="D360" s="17">
        <f>IF(B360="","",TEXT(B360,"yyyy-mm"))</f>
        <v>0</v>
      </c>
      <c r="E360" s="23">
        <f>IF(B360="","",WEEKNUM(B360,IF(WeekStart="Sunday",1,2)))</f>
        <v>0</v>
      </c>
      <c r="F360" s="17">
        <f>IF(B360="","",TEXT(B360,"ddd"))</f>
        <v>0</v>
      </c>
      <c r="Q360" s="29">
        <f>IF(H360="","",IF(P360="","Add - no caption",IFERROR(INDEX('Caption Bank'!$R$5:$R$204,MATCH(P360,'Caption Bank'!$B$5:$B$204,0)),"Check - not in bank")))</f>
        <v>0</v>
      </c>
      <c r="S360" s="23">
        <f>IF(R360="","",COUNTIF('Hashtag Bank'!$D$5:$D$304,R360))</f>
        <v>0</v>
      </c>
      <c r="U360" s="29">
        <f>IF(H360="","",IF(T360="","Add - no asset",IFERROR(INDEX(Assets!$N$5:$N$254,MATCH(T360,Assets!$A$5:$A$254,0)),"Check - not in library")))</f>
        <v>0</v>
      </c>
      <c r="Y360" s="16">
        <f>IF(B360="","",B360-ProductionDays)</f>
        <v>0</v>
      </c>
      <c r="Z360" s="16">
        <f>IF(B360="","",B360-ApprovalDays)</f>
        <v>0</v>
      </c>
      <c r="AA360" s="23">
        <f>IF(B360="","",B360-TODAY())</f>
        <v>0</v>
      </c>
      <c r="AC360" s="29">
        <f>IF(H360="","",IF(X360="Published",IF(AB360="","Add - link missing","Yes"),"No"))</f>
        <v>0</v>
      </c>
      <c r="AD360" s="23">
        <f>IF(A360="","",IF(COUNTIF(Performance!$B$5:$B$404,A360)=0,"",SUMIFS(Performance!$O$5:$O$404,Performance!$B$5:$B$404,A360)))</f>
        <v>0</v>
      </c>
      <c r="AE360" s="23">
        <f>IF(AD360="","",SUMIFS(Performance!$Z$5:$Z$404,Performance!$B$5:$B$404,A360))</f>
        <v>0</v>
      </c>
      <c r="AF360" s="24">
        <f>IF(OR(AD360="",AD360=0),"",AE360/AD360)</f>
        <v>0</v>
      </c>
      <c r="AG360" s="23">
        <f>IF(AD360="","",SUMIFS(Performance!$U$5:$U$404,Performance!$B$5:$B$404,A360))</f>
        <v>0</v>
      </c>
      <c r="AH360" s="23">
        <f>IF(A360="","",COUNTIF(Repurposing!$B$5:$B$154,A360))</f>
        <v>0</v>
      </c>
      <c r="AI360" s="32">
        <f>IF(OR(H360="",B360=""),"",B360+ROW()/100000)</f>
        <v>0</v>
      </c>
      <c r="AJ360" s="32">
        <f>IF(OR(H360="",B360=""),"",IF(OR(X360="Published",X360="Cancelled",X360="Archived"),"",IF(B360&lt;TODAY(),"",B360+ROW()/100000)))</f>
        <v>0</v>
      </c>
      <c r="AK360" s="32">
        <f>IF(OR(H360="",B360=""),"",IF(OR(X360="Published",X360="Cancelled",X360="Archived"),"",IF(B360&gt;=TODAY(),"",B360+ROW()/100000)))</f>
        <v>0</v>
      </c>
      <c r="AL360" s="29">
        <f>IF(H360="","",IF(COUNTIFS('Content Calendar'!$H$5:$H$604,H360,'Content Calendar'!$G$5:$G$604,G360,'Content Calendar'!$B$5:$B$604,B360)&gt;1,"Duplicate","OK"))</f>
        <v>0</v>
      </c>
      <c r="AM360" s="29">
        <f>IF(H360="","",IF(AND(B360&lt;&gt;"",B360&lt;TODAY(),X360&lt;&gt;"Published",X360&lt;&gt;"Cancelled",X360&lt;&gt;"Archived"),"Overdue - date has passed",IF(AND(X360="Published",AB360=""),"Add - publish link missing",IF(AND(B360=TODAY(),X360&lt;&gt;"Published"),"Today - due to go live",IF(AND(Y360&lt;&gt;"",Y360&lt;TODAY(),OR(X360="Idea",X360="Brief",X360="In production")),"Late - draft not ready",IF(AND(AA360&gt;=0,AA360&lt;=3,OR(X360="Draft",X360="Awaiting review")),"Due - needs approval",IF(AND(H360&lt;&gt;"",P360=""),"Add - caption missing","OK")))))))</f>
        <v>0</v>
      </c>
    </row>
    <row r="361" spans="1:39">
      <c r="A361" s="41">
        <f>IF(H361="","",ContentPrefix&amp;TEXT(ROW()-4,"0000"))</f>
        <v>0</v>
      </c>
      <c r="D361" s="17">
        <f>IF(B361="","",TEXT(B361,"yyyy-mm"))</f>
        <v>0</v>
      </c>
      <c r="E361" s="23">
        <f>IF(B361="","",WEEKNUM(B361,IF(WeekStart="Sunday",1,2)))</f>
        <v>0</v>
      </c>
      <c r="F361" s="17">
        <f>IF(B361="","",TEXT(B361,"ddd"))</f>
        <v>0</v>
      </c>
      <c r="Q361" s="29">
        <f>IF(H361="","",IF(P361="","Add - no caption",IFERROR(INDEX('Caption Bank'!$R$5:$R$204,MATCH(P361,'Caption Bank'!$B$5:$B$204,0)),"Check - not in bank")))</f>
        <v>0</v>
      </c>
      <c r="S361" s="23">
        <f>IF(R361="","",COUNTIF('Hashtag Bank'!$D$5:$D$304,R361))</f>
        <v>0</v>
      </c>
      <c r="U361" s="29">
        <f>IF(H361="","",IF(T361="","Add - no asset",IFERROR(INDEX(Assets!$N$5:$N$254,MATCH(T361,Assets!$A$5:$A$254,0)),"Check - not in library")))</f>
        <v>0</v>
      </c>
      <c r="Y361" s="16">
        <f>IF(B361="","",B361-ProductionDays)</f>
        <v>0</v>
      </c>
      <c r="Z361" s="16">
        <f>IF(B361="","",B361-ApprovalDays)</f>
        <v>0</v>
      </c>
      <c r="AA361" s="23">
        <f>IF(B361="","",B361-TODAY())</f>
        <v>0</v>
      </c>
      <c r="AC361" s="29">
        <f>IF(H361="","",IF(X361="Published",IF(AB361="","Add - link missing","Yes"),"No"))</f>
        <v>0</v>
      </c>
      <c r="AD361" s="23">
        <f>IF(A361="","",IF(COUNTIF(Performance!$B$5:$B$404,A361)=0,"",SUMIFS(Performance!$O$5:$O$404,Performance!$B$5:$B$404,A361)))</f>
        <v>0</v>
      </c>
      <c r="AE361" s="23">
        <f>IF(AD361="","",SUMIFS(Performance!$Z$5:$Z$404,Performance!$B$5:$B$404,A361))</f>
        <v>0</v>
      </c>
      <c r="AF361" s="24">
        <f>IF(OR(AD361="",AD361=0),"",AE361/AD361)</f>
        <v>0</v>
      </c>
      <c r="AG361" s="23">
        <f>IF(AD361="","",SUMIFS(Performance!$U$5:$U$404,Performance!$B$5:$B$404,A361))</f>
        <v>0</v>
      </c>
      <c r="AH361" s="23">
        <f>IF(A361="","",COUNTIF(Repurposing!$B$5:$B$154,A361))</f>
        <v>0</v>
      </c>
      <c r="AI361" s="32">
        <f>IF(OR(H361="",B361=""),"",B361+ROW()/100000)</f>
        <v>0</v>
      </c>
      <c r="AJ361" s="32">
        <f>IF(OR(H361="",B361=""),"",IF(OR(X361="Published",X361="Cancelled",X361="Archived"),"",IF(B361&lt;TODAY(),"",B361+ROW()/100000)))</f>
        <v>0</v>
      </c>
      <c r="AK361" s="32">
        <f>IF(OR(H361="",B361=""),"",IF(OR(X361="Published",X361="Cancelled",X361="Archived"),"",IF(B361&gt;=TODAY(),"",B361+ROW()/100000)))</f>
        <v>0</v>
      </c>
      <c r="AL361" s="29">
        <f>IF(H361="","",IF(COUNTIFS('Content Calendar'!$H$5:$H$604,H361,'Content Calendar'!$G$5:$G$604,G361,'Content Calendar'!$B$5:$B$604,B361)&gt;1,"Duplicate","OK"))</f>
        <v>0</v>
      </c>
      <c r="AM361" s="29">
        <f>IF(H361="","",IF(AND(B361&lt;&gt;"",B361&lt;TODAY(),X361&lt;&gt;"Published",X361&lt;&gt;"Cancelled",X361&lt;&gt;"Archived"),"Overdue - date has passed",IF(AND(X361="Published",AB361=""),"Add - publish link missing",IF(AND(B361=TODAY(),X361&lt;&gt;"Published"),"Today - due to go live",IF(AND(Y361&lt;&gt;"",Y361&lt;TODAY(),OR(X361="Idea",X361="Brief",X361="In production")),"Late - draft not ready",IF(AND(AA361&gt;=0,AA361&lt;=3,OR(X361="Draft",X361="Awaiting review")),"Due - needs approval",IF(AND(H361&lt;&gt;"",P361=""),"Add - caption missing","OK")))))))</f>
        <v>0</v>
      </c>
    </row>
    <row r="362" spans="1:39">
      <c r="A362" s="41">
        <f>IF(H362="","",ContentPrefix&amp;TEXT(ROW()-4,"0000"))</f>
        <v>0</v>
      </c>
      <c r="D362" s="17">
        <f>IF(B362="","",TEXT(B362,"yyyy-mm"))</f>
        <v>0</v>
      </c>
      <c r="E362" s="23">
        <f>IF(B362="","",WEEKNUM(B362,IF(WeekStart="Sunday",1,2)))</f>
        <v>0</v>
      </c>
      <c r="F362" s="17">
        <f>IF(B362="","",TEXT(B362,"ddd"))</f>
        <v>0</v>
      </c>
      <c r="Q362" s="29">
        <f>IF(H362="","",IF(P362="","Add - no caption",IFERROR(INDEX('Caption Bank'!$R$5:$R$204,MATCH(P362,'Caption Bank'!$B$5:$B$204,0)),"Check - not in bank")))</f>
        <v>0</v>
      </c>
      <c r="S362" s="23">
        <f>IF(R362="","",COUNTIF('Hashtag Bank'!$D$5:$D$304,R362))</f>
        <v>0</v>
      </c>
      <c r="U362" s="29">
        <f>IF(H362="","",IF(T362="","Add - no asset",IFERROR(INDEX(Assets!$N$5:$N$254,MATCH(T362,Assets!$A$5:$A$254,0)),"Check - not in library")))</f>
        <v>0</v>
      </c>
      <c r="Y362" s="16">
        <f>IF(B362="","",B362-ProductionDays)</f>
        <v>0</v>
      </c>
      <c r="Z362" s="16">
        <f>IF(B362="","",B362-ApprovalDays)</f>
        <v>0</v>
      </c>
      <c r="AA362" s="23">
        <f>IF(B362="","",B362-TODAY())</f>
        <v>0</v>
      </c>
      <c r="AC362" s="29">
        <f>IF(H362="","",IF(X362="Published",IF(AB362="","Add - link missing","Yes"),"No"))</f>
        <v>0</v>
      </c>
      <c r="AD362" s="23">
        <f>IF(A362="","",IF(COUNTIF(Performance!$B$5:$B$404,A362)=0,"",SUMIFS(Performance!$O$5:$O$404,Performance!$B$5:$B$404,A362)))</f>
        <v>0</v>
      </c>
      <c r="AE362" s="23">
        <f>IF(AD362="","",SUMIFS(Performance!$Z$5:$Z$404,Performance!$B$5:$B$404,A362))</f>
        <v>0</v>
      </c>
      <c r="AF362" s="24">
        <f>IF(OR(AD362="",AD362=0),"",AE362/AD362)</f>
        <v>0</v>
      </c>
      <c r="AG362" s="23">
        <f>IF(AD362="","",SUMIFS(Performance!$U$5:$U$404,Performance!$B$5:$B$404,A362))</f>
        <v>0</v>
      </c>
      <c r="AH362" s="23">
        <f>IF(A362="","",COUNTIF(Repurposing!$B$5:$B$154,A362))</f>
        <v>0</v>
      </c>
      <c r="AI362" s="32">
        <f>IF(OR(H362="",B362=""),"",B362+ROW()/100000)</f>
        <v>0</v>
      </c>
      <c r="AJ362" s="32">
        <f>IF(OR(H362="",B362=""),"",IF(OR(X362="Published",X362="Cancelled",X362="Archived"),"",IF(B362&lt;TODAY(),"",B362+ROW()/100000)))</f>
        <v>0</v>
      </c>
      <c r="AK362" s="32">
        <f>IF(OR(H362="",B362=""),"",IF(OR(X362="Published",X362="Cancelled",X362="Archived"),"",IF(B362&gt;=TODAY(),"",B362+ROW()/100000)))</f>
        <v>0</v>
      </c>
      <c r="AL362" s="29">
        <f>IF(H362="","",IF(COUNTIFS('Content Calendar'!$H$5:$H$604,H362,'Content Calendar'!$G$5:$G$604,G362,'Content Calendar'!$B$5:$B$604,B362)&gt;1,"Duplicate","OK"))</f>
        <v>0</v>
      </c>
      <c r="AM362" s="29">
        <f>IF(H362="","",IF(AND(B362&lt;&gt;"",B362&lt;TODAY(),X362&lt;&gt;"Published",X362&lt;&gt;"Cancelled",X362&lt;&gt;"Archived"),"Overdue - date has passed",IF(AND(X362="Published",AB362=""),"Add - publish link missing",IF(AND(B362=TODAY(),X362&lt;&gt;"Published"),"Today - due to go live",IF(AND(Y362&lt;&gt;"",Y362&lt;TODAY(),OR(X362="Idea",X362="Brief",X362="In production")),"Late - draft not ready",IF(AND(AA362&gt;=0,AA362&lt;=3,OR(X362="Draft",X362="Awaiting review")),"Due - needs approval",IF(AND(H362&lt;&gt;"",P362=""),"Add - caption missing","OK")))))))</f>
        <v>0</v>
      </c>
    </row>
    <row r="363" spans="1:39">
      <c r="A363" s="41">
        <f>IF(H363="","",ContentPrefix&amp;TEXT(ROW()-4,"0000"))</f>
        <v>0</v>
      </c>
      <c r="D363" s="17">
        <f>IF(B363="","",TEXT(B363,"yyyy-mm"))</f>
        <v>0</v>
      </c>
      <c r="E363" s="23">
        <f>IF(B363="","",WEEKNUM(B363,IF(WeekStart="Sunday",1,2)))</f>
        <v>0</v>
      </c>
      <c r="F363" s="17">
        <f>IF(B363="","",TEXT(B363,"ddd"))</f>
        <v>0</v>
      </c>
      <c r="Q363" s="29">
        <f>IF(H363="","",IF(P363="","Add - no caption",IFERROR(INDEX('Caption Bank'!$R$5:$R$204,MATCH(P363,'Caption Bank'!$B$5:$B$204,0)),"Check - not in bank")))</f>
        <v>0</v>
      </c>
      <c r="S363" s="23">
        <f>IF(R363="","",COUNTIF('Hashtag Bank'!$D$5:$D$304,R363))</f>
        <v>0</v>
      </c>
      <c r="U363" s="29">
        <f>IF(H363="","",IF(T363="","Add - no asset",IFERROR(INDEX(Assets!$N$5:$N$254,MATCH(T363,Assets!$A$5:$A$254,0)),"Check - not in library")))</f>
        <v>0</v>
      </c>
      <c r="Y363" s="16">
        <f>IF(B363="","",B363-ProductionDays)</f>
        <v>0</v>
      </c>
      <c r="Z363" s="16">
        <f>IF(B363="","",B363-ApprovalDays)</f>
        <v>0</v>
      </c>
      <c r="AA363" s="23">
        <f>IF(B363="","",B363-TODAY())</f>
        <v>0</v>
      </c>
      <c r="AC363" s="29">
        <f>IF(H363="","",IF(X363="Published",IF(AB363="","Add - link missing","Yes"),"No"))</f>
        <v>0</v>
      </c>
      <c r="AD363" s="23">
        <f>IF(A363="","",IF(COUNTIF(Performance!$B$5:$B$404,A363)=0,"",SUMIFS(Performance!$O$5:$O$404,Performance!$B$5:$B$404,A363)))</f>
        <v>0</v>
      </c>
      <c r="AE363" s="23">
        <f>IF(AD363="","",SUMIFS(Performance!$Z$5:$Z$404,Performance!$B$5:$B$404,A363))</f>
        <v>0</v>
      </c>
      <c r="AF363" s="24">
        <f>IF(OR(AD363="",AD363=0),"",AE363/AD363)</f>
        <v>0</v>
      </c>
      <c r="AG363" s="23">
        <f>IF(AD363="","",SUMIFS(Performance!$U$5:$U$404,Performance!$B$5:$B$404,A363))</f>
        <v>0</v>
      </c>
      <c r="AH363" s="23">
        <f>IF(A363="","",COUNTIF(Repurposing!$B$5:$B$154,A363))</f>
        <v>0</v>
      </c>
      <c r="AI363" s="32">
        <f>IF(OR(H363="",B363=""),"",B363+ROW()/100000)</f>
        <v>0</v>
      </c>
      <c r="AJ363" s="32">
        <f>IF(OR(H363="",B363=""),"",IF(OR(X363="Published",X363="Cancelled",X363="Archived"),"",IF(B363&lt;TODAY(),"",B363+ROW()/100000)))</f>
        <v>0</v>
      </c>
      <c r="AK363" s="32">
        <f>IF(OR(H363="",B363=""),"",IF(OR(X363="Published",X363="Cancelled",X363="Archived"),"",IF(B363&gt;=TODAY(),"",B363+ROW()/100000)))</f>
        <v>0</v>
      </c>
      <c r="AL363" s="29">
        <f>IF(H363="","",IF(COUNTIFS('Content Calendar'!$H$5:$H$604,H363,'Content Calendar'!$G$5:$G$604,G363,'Content Calendar'!$B$5:$B$604,B363)&gt;1,"Duplicate","OK"))</f>
        <v>0</v>
      </c>
      <c r="AM363" s="29">
        <f>IF(H363="","",IF(AND(B363&lt;&gt;"",B363&lt;TODAY(),X363&lt;&gt;"Published",X363&lt;&gt;"Cancelled",X363&lt;&gt;"Archived"),"Overdue - date has passed",IF(AND(X363="Published",AB363=""),"Add - publish link missing",IF(AND(B363=TODAY(),X363&lt;&gt;"Published"),"Today - due to go live",IF(AND(Y363&lt;&gt;"",Y363&lt;TODAY(),OR(X363="Idea",X363="Brief",X363="In production")),"Late - draft not ready",IF(AND(AA363&gt;=0,AA363&lt;=3,OR(X363="Draft",X363="Awaiting review")),"Due - needs approval",IF(AND(H363&lt;&gt;"",P363=""),"Add - caption missing","OK")))))))</f>
        <v>0</v>
      </c>
    </row>
    <row r="364" spans="1:39">
      <c r="A364" s="41">
        <f>IF(H364="","",ContentPrefix&amp;TEXT(ROW()-4,"0000"))</f>
        <v>0</v>
      </c>
      <c r="D364" s="17">
        <f>IF(B364="","",TEXT(B364,"yyyy-mm"))</f>
        <v>0</v>
      </c>
      <c r="E364" s="23">
        <f>IF(B364="","",WEEKNUM(B364,IF(WeekStart="Sunday",1,2)))</f>
        <v>0</v>
      </c>
      <c r="F364" s="17">
        <f>IF(B364="","",TEXT(B364,"ddd"))</f>
        <v>0</v>
      </c>
      <c r="Q364" s="29">
        <f>IF(H364="","",IF(P364="","Add - no caption",IFERROR(INDEX('Caption Bank'!$R$5:$R$204,MATCH(P364,'Caption Bank'!$B$5:$B$204,0)),"Check - not in bank")))</f>
        <v>0</v>
      </c>
      <c r="S364" s="23">
        <f>IF(R364="","",COUNTIF('Hashtag Bank'!$D$5:$D$304,R364))</f>
        <v>0</v>
      </c>
      <c r="U364" s="29">
        <f>IF(H364="","",IF(T364="","Add - no asset",IFERROR(INDEX(Assets!$N$5:$N$254,MATCH(T364,Assets!$A$5:$A$254,0)),"Check - not in library")))</f>
        <v>0</v>
      </c>
      <c r="Y364" s="16">
        <f>IF(B364="","",B364-ProductionDays)</f>
        <v>0</v>
      </c>
      <c r="Z364" s="16">
        <f>IF(B364="","",B364-ApprovalDays)</f>
        <v>0</v>
      </c>
      <c r="AA364" s="23">
        <f>IF(B364="","",B364-TODAY())</f>
        <v>0</v>
      </c>
      <c r="AC364" s="29">
        <f>IF(H364="","",IF(X364="Published",IF(AB364="","Add - link missing","Yes"),"No"))</f>
        <v>0</v>
      </c>
      <c r="AD364" s="23">
        <f>IF(A364="","",IF(COUNTIF(Performance!$B$5:$B$404,A364)=0,"",SUMIFS(Performance!$O$5:$O$404,Performance!$B$5:$B$404,A364)))</f>
        <v>0</v>
      </c>
      <c r="AE364" s="23">
        <f>IF(AD364="","",SUMIFS(Performance!$Z$5:$Z$404,Performance!$B$5:$B$404,A364))</f>
        <v>0</v>
      </c>
      <c r="AF364" s="24">
        <f>IF(OR(AD364="",AD364=0),"",AE364/AD364)</f>
        <v>0</v>
      </c>
      <c r="AG364" s="23">
        <f>IF(AD364="","",SUMIFS(Performance!$U$5:$U$404,Performance!$B$5:$B$404,A364))</f>
        <v>0</v>
      </c>
      <c r="AH364" s="23">
        <f>IF(A364="","",COUNTIF(Repurposing!$B$5:$B$154,A364))</f>
        <v>0</v>
      </c>
      <c r="AI364" s="32">
        <f>IF(OR(H364="",B364=""),"",B364+ROW()/100000)</f>
        <v>0</v>
      </c>
      <c r="AJ364" s="32">
        <f>IF(OR(H364="",B364=""),"",IF(OR(X364="Published",X364="Cancelled",X364="Archived"),"",IF(B364&lt;TODAY(),"",B364+ROW()/100000)))</f>
        <v>0</v>
      </c>
      <c r="AK364" s="32">
        <f>IF(OR(H364="",B364=""),"",IF(OR(X364="Published",X364="Cancelled",X364="Archived"),"",IF(B364&gt;=TODAY(),"",B364+ROW()/100000)))</f>
        <v>0</v>
      </c>
      <c r="AL364" s="29">
        <f>IF(H364="","",IF(COUNTIFS('Content Calendar'!$H$5:$H$604,H364,'Content Calendar'!$G$5:$G$604,G364,'Content Calendar'!$B$5:$B$604,B364)&gt;1,"Duplicate","OK"))</f>
        <v>0</v>
      </c>
      <c r="AM364" s="29">
        <f>IF(H364="","",IF(AND(B364&lt;&gt;"",B364&lt;TODAY(),X364&lt;&gt;"Published",X364&lt;&gt;"Cancelled",X364&lt;&gt;"Archived"),"Overdue - date has passed",IF(AND(X364="Published",AB364=""),"Add - publish link missing",IF(AND(B364=TODAY(),X364&lt;&gt;"Published"),"Today - due to go live",IF(AND(Y364&lt;&gt;"",Y364&lt;TODAY(),OR(X364="Idea",X364="Brief",X364="In production")),"Late - draft not ready",IF(AND(AA364&gt;=0,AA364&lt;=3,OR(X364="Draft",X364="Awaiting review")),"Due - needs approval",IF(AND(H364&lt;&gt;"",P364=""),"Add - caption missing","OK")))))))</f>
        <v>0</v>
      </c>
    </row>
    <row r="365" spans="1:39">
      <c r="A365" s="41">
        <f>IF(H365="","",ContentPrefix&amp;TEXT(ROW()-4,"0000"))</f>
        <v>0</v>
      </c>
      <c r="D365" s="17">
        <f>IF(B365="","",TEXT(B365,"yyyy-mm"))</f>
        <v>0</v>
      </c>
      <c r="E365" s="23">
        <f>IF(B365="","",WEEKNUM(B365,IF(WeekStart="Sunday",1,2)))</f>
        <v>0</v>
      </c>
      <c r="F365" s="17">
        <f>IF(B365="","",TEXT(B365,"ddd"))</f>
        <v>0</v>
      </c>
      <c r="Q365" s="29">
        <f>IF(H365="","",IF(P365="","Add - no caption",IFERROR(INDEX('Caption Bank'!$R$5:$R$204,MATCH(P365,'Caption Bank'!$B$5:$B$204,0)),"Check - not in bank")))</f>
        <v>0</v>
      </c>
      <c r="S365" s="23">
        <f>IF(R365="","",COUNTIF('Hashtag Bank'!$D$5:$D$304,R365))</f>
        <v>0</v>
      </c>
      <c r="U365" s="29">
        <f>IF(H365="","",IF(T365="","Add - no asset",IFERROR(INDEX(Assets!$N$5:$N$254,MATCH(T365,Assets!$A$5:$A$254,0)),"Check - not in library")))</f>
        <v>0</v>
      </c>
      <c r="Y365" s="16">
        <f>IF(B365="","",B365-ProductionDays)</f>
        <v>0</v>
      </c>
      <c r="Z365" s="16">
        <f>IF(B365="","",B365-ApprovalDays)</f>
        <v>0</v>
      </c>
      <c r="AA365" s="23">
        <f>IF(B365="","",B365-TODAY())</f>
        <v>0</v>
      </c>
      <c r="AC365" s="29">
        <f>IF(H365="","",IF(X365="Published",IF(AB365="","Add - link missing","Yes"),"No"))</f>
        <v>0</v>
      </c>
      <c r="AD365" s="23">
        <f>IF(A365="","",IF(COUNTIF(Performance!$B$5:$B$404,A365)=0,"",SUMIFS(Performance!$O$5:$O$404,Performance!$B$5:$B$404,A365)))</f>
        <v>0</v>
      </c>
      <c r="AE365" s="23">
        <f>IF(AD365="","",SUMIFS(Performance!$Z$5:$Z$404,Performance!$B$5:$B$404,A365))</f>
        <v>0</v>
      </c>
      <c r="AF365" s="24">
        <f>IF(OR(AD365="",AD365=0),"",AE365/AD365)</f>
        <v>0</v>
      </c>
      <c r="AG365" s="23">
        <f>IF(AD365="","",SUMIFS(Performance!$U$5:$U$404,Performance!$B$5:$B$404,A365))</f>
        <v>0</v>
      </c>
      <c r="AH365" s="23">
        <f>IF(A365="","",COUNTIF(Repurposing!$B$5:$B$154,A365))</f>
        <v>0</v>
      </c>
      <c r="AI365" s="32">
        <f>IF(OR(H365="",B365=""),"",B365+ROW()/100000)</f>
        <v>0</v>
      </c>
      <c r="AJ365" s="32">
        <f>IF(OR(H365="",B365=""),"",IF(OR(X365="Published",X365="Cancelled",X365="Archived"),"",IF(B365&lt;TODAY(),"",B365+ROW()/100000)))</f>
        <v>0</v>
      </c>
      <c r="AK365" s="32">
        <f>IF(OR(H365="",B365=""),"",IF(OR(X365="Published",X365="Cancelled",X365="Archived"),"",IF(B365&gt;=TODAY(),"",B365+ROW()/100000)))</f>
        <v>0</v>
      </c>
      <c r="AL365" s="29">
        <f>IF(H365="","",IF(COUNTIFS('Content Calendar'!$H$5:$H$604,H365,'Content Calendar'!$G$5:$G$604,G365,'Content Calendar'!$B$5:$B$604,B365)&gt;1,"Duplicate","OK"))</f>
        <v>0</v>
      </c>
      <c r="AM365" s="29">
        <f>IF(H365="","",IF(AND(B365&lt;&gt;"",B365&lt;TODAY(),X365&lt;&gt;"Published",X365&lt;&gt;"Cancelled",X365&lt;&gt;"Archived"),"Overdue - date has passed",IF(AND(X365="Published",AB365=""),"Add - publish link missing",IF(AND(B365=TODAY(),X365&lt;&gt;"Published"),"Today - due to go live",IF(AND(Y365&lt;&gt;"",Y365&lt;TODAY(),OR(X365="Idea",X365="Brief",X365="In production")),"Late - draft not ready",IF(AND(AA365&gt;=0,AA365&lt;=3,OR(X365="Draft",X365="Awaiting review")),"Due - needs approval",IF(AND(H365&lt;&gt;"",P365=""),"Add - caption missing","OK")))))))</f>
        <v>0</v>
      </c>
    </row>
    <row r="366" spans="1:39">
      <c r="A366" s="41">
        <f>IF(H366="","",ContentPrefix&amp;TEXT(ROW()-4,"0000"))</f>
        <v>0</v>
      </c>
      <c r="D366" s="17">
        <f>IF(B366="","",TEXT(B366,"yyyy-mm"))</f>
        <v>0</v>
      </c>
      <c r="E366" s="23">
        <f>IF(B366="","",WEEKNUM(B366,IF(WeekStart="Sunday",1,2)))</f>
        <v>0</v>
      </c>
      <c r="F366" s="17">
        <f>IF(B366="","",TEXT(B366,"ddd"))</f>
        <v>0</v>
      </c>
      <c r="Q366" s="29">
        <f>IF(H366="","",IF(P366="","Add - no caption",IFERROR(INDEX('Caption Bank'!$R$5:$R$204,MATCH(P366,'Caption Bank'!$B$5:$B$204,0)),"Check - not in bank")))</f>
        <v>0</v>
      </c>
      <c r="S366" s="23">
        <f>IF(R366="","",COUNTIF('Hashtag Bank'!$D$5:$D$304,R366))</f>
        <v>0</v>
      </c>
      <c r="U366" s="29">
        <f>IF(H366="","",IF(T366="","Add - no asset",IFERROR(INDEX(Assets!$N$5:$N$254,MATCH(T366,Assets!$A$5:$A$254,0)),"Check - not in library")))</f>
        <v>0</v>
      </c>
      <c r="Y366" s="16">
        <f>IF(B366="","",B366-ProductionDays)</f>
        <v>0</v>
      </c>
      <c r="Z366" s="16">
        <f>IF(B366="","",B366-ApprovalDays)</f>
        <v>0</v>
      </c>
      <c r="AA366" s="23">
        <f>IF(B366="","",B366-TODAY())</f>
        <v>0</v>
      </c>
      <c r="AC366" s="29">
        <f>IF(H366="","",IF(X366="Published",IF(AB366="","Add - link missing","Yes"),"No"))</f>
        <v>0</v>
      </c>
      <c r="AD366" s="23">
        <f>IF(A366="","",IF(COUNTIF(Performance!$B$5:$B$404,A366)=0,"",SUMIFS(Performance!$O$5:$O$404,Performance!$B$5:$B$404,A366)))</f>
        <v>0</v>
      </c>
      <c r="AE366" s="23">
        <f>IF(AD366="","",SUMIFS(Performance!$Z$5:$Z$404,Performance!$B$5:$B$404,A366))</f>
        <v>0</v>
      </c>
      <c r="AF366" s="24">
        <f>IF(OR(AD366="",AD366=0),"",AE366/AD366)</f>
        <v>0</v>
      </c>
      <c r="AG366" s="23">
        <f>IF(AD366="","",SUMIFS(Performance!$U$5:$U$404,Performance!$B$5:$B$404,A366))</f>
        <v>0</v>
      </c>
      <c r="AH366" s="23">
        <f>IF(A366="","",COUNTIF(Repurposing!$B$5:$B$154,A366))</f>
        <v>0</v>
      </c>
      <c r="AI366" s="32">
        <f>IF(OR(H366="",B366=""),"",B366+ROW()/100000)</f>
        <v>0</v>
      </c>
      <c r="AJ366" s="32">
        <f>IF(OR(H366="",B366=""),"",IF(OR(X366="Published",X366="Cancelled",X366="Archived"),"",IF(B366&lt;TODAY(),"",B366+ROW()/100000)))</f>
        <v>0</v>
      </c>
      <c r="AK366" s="32">
        <f>IF(OR(H366="",B366=""),"",IF(OR(X366="Published",X366="Cancelled",X366="Archived"),"",IF(B366&gt;=TODAY(),"",B366+ROW()/100000)))</f>
        <v>0</v>
      </c>
      <c r="AL366" s="29">
        <f>IF(H366="","",IF(COUNTIFS('Content Calendar'!$H$5:$H$604,H366,'Content Calendar'!$G$5:$G$604,G366,'Content Calendar'!$B$5:$B$604,B366)&gt;1,"Duplicate","OK"))</f>
        <v>0</v>
      </c>
      <c r="AM366" s="29">
        <f>IF(H366="","",IF(AND(B366&lt;&gt;"",B366&lt;TODAY(),X366&lt;&gt;"Published",X366&lt;&gt;"Cancelled",X366&lt;&gt;"Archived"),"Overdue - date has passed",IF(AND(X366="Published",AB366=""),"Add - publish link missing",IF(AND(B366=TODAY(),X366&lt;&gt;"Published"),"Today - due to go live",IF(AND(Y366&lt;&gt;"",Y366&lt;TODAY(),OR(X366="Idea",X366="Brief",X366="In production")),"Late - draft not ready",IF(AND(AA366&gt;=0,AA366&lt;=3,OR(X366="Draft",X366="Awaiting review")),"Due - needs approval",IF(AND(H366&lt;&gt;"",P366=""),"Add - caption missing","OK")))))))</f>
        <v>0</v>
      </c>
    </row>
    <row r="367" spans="1:39">
      <c r="A367" s="41">
        <f>IF(H367="","",ContentPrefix&amp;TEXT(ROW()-4,"0000"))</f>
        <v>0</v>
      </c>
      <c r="D367" s="17">
        <f>IF(B367="","",TEXT(B367,"yyyy-mm"))</f>
        <v>0</v>
      </c>
      <c r="E367" s="23">
        <f>IF(B367="","",WEEKNUM(B367,IF(WeekStart="Sunday",1,2)))</f>
        <v>0</v>
      </c>
      <c r="F367" s="17">
        <f>IF(B367="","",TEXT(B367,"ddd"))</f>
        <v>0</v>
      </c>
      <c r="Q367" s="29">
        <f>IF(H367="","",IF(P367="","Add - no caption",IFERROR(INDEX('Caption Bank'!$R$5:$R$204,MATCH(P367,'Caption Bank'!$B$5:$B$204,0)),"Check - not in bank")))</f>
        <v>0</v>
      </c>
      <c r="S367" s="23">
        <f>IF(R367="","",COUNTIF('Hashtag Bank'!$D$5:$D$304,R367))</f>
        <v>0</v>
      </c>
      <c r="U367" s="29">
        <f>IF(H367="","",IF(T367="","Add - no asset",IFERROR(INDEX(Assets!$N$5:$N$254,MATCH(T367,Assets!$A$5:$A$254,0)),"Check - not in library")))</f>
        <v>0</v>
      </c>
      <c r="Y367" s="16">
        <f>IF(B367="","",B367-ProductionDays)</f>
        <v>0</v>
      </c>
      <c r="Z367" s="16">
        <f>IF(B367="","",B367-ApprovalDays)</f>
        <v>0</v>
      </c>
      <c r="AA367" s="23">
        <f>IF(B367="","",B367-TODAY())</f>
        <v>0</v>
      </c>
      <c r="AC367" s="29">
        <f>IF(H367="","",IF(X367="Published",IF(AB367="","Add - link missing","Yes"),"No"))</f>
        <v>0</v>
      </c>
      <c r="AD367" s="23">
        <f>IF(A367="","",IF(COUNTIF(Performance!$B$5:$B$404,A367)=0,"",SUMIFS(Performance!$O$5:$O$404,Performance!$B$5:$B$404,A367)))</f>
        <v>0</v>
      </c>
      <c r="AE367" s="23">
        <f>IF(AD367="","",SUMIFS(Performance!$Z$5:$Z$404,Performance!$B$5:$B$404,A367))</f>
        <v>0</v>
      </c>
      <c r="AF367" s="24">
        <f>IF(OR(AD367="",AD367=0),"",AE367/AD367)</f>
        <v>0</v>
      </c>
      <c r="AG367" s="23">
        <f>IF(AD367="","",SUMIFS(Performance!$U$5:$U$404,Performance!$B$5:$B$404,A367))</f>
        <v>0</v>
      </c>
      <c r="AH367" s="23">
        <f>IF(A367="","",COUNTIF(Repurposing!$B$5:$B$154,A367))</f>
        <v>0</v>
      </c>
      <c r="AI367" s="32">
        <f>IF(OR(H367="",B367=""),"",B367+ROW()/100000)</f>
        <v>0</v>
      </c>
      <c r="AJ367" s="32">
        <f>IF(OR(H367="",B367=""),"",IF(OR(X367="Published",X367="Cancelled",X367="Archived"),"",IF(B367&lt;TODAY(),"",B367+ROW()/100000)))</f>
        <v>0</v>
      </c>
      <c r="AK367" s="32">
        <f>IF(OR(H367="",B367=""),"",IF(OR(X367="Published",X367="Cancelled",X367="Archived"),"",IF(B367&gt;=TODAY(),"",B367+ROW()/100000)))</f>
        <v>0</v>
      </c>
      <c r="AL367" s="29">
        <f>IF(H367="","",IF(COUNTIFS('Content Calendar'!$H$5:$H$604,H367,'Content Calendar'!$G$5:$G$604,G367,'Content Calendar'!$B$5:$B$604,B367)&gt;1,"Duplicate","OK"))</f>
        <v>0</v>
      </c>
      <c r="AM367" s="29">
        <f>IF(H367="","",IF(AND(B367&lt;&gt;"",B367&lt;TODAY(),X367&lt;&gt;"Published",X367&lt;&gt;"Cancelled",X367&lt;&gt;"Archived"),"Overdue - date has passed",IF(AND(X367="Published",AB367=""),"Add - publish link missing",IF(AND(B367=TODAY(),X367&lt;&gt;"Published"),"Today - due to go live",IF(AND(Y367&lt;&gt;"",Y367&lt;TODAY(),OR(X367="Idea",X367="Brief",X367="In production")),"Late - draft not ready",IF(AND(AA367&gt;=0,AA367&lt;=3,OR(X367="Draft",X367="Awaiting review")),"Due - needs approval",IF(AND(H367&lt;&gt;"",P367=""),"Add - caption missing","OK")))))))</f>
        <v>0</v>
      </c>
    </row>
    <row r="368" spans="1:39">
      <c r="A368" s="41">
        <f>IF(H368="","",ContentPrefix&amp;TEXT(ROW()-4,"0000"))</f>
        <v>0</v>
      </c>
      <c r="D368" s="17">
        <f>IF(B368="","",TEXT(B368,"yyyy-mm"))</f>
        <v>0</v>
      </c>
      <c r="E368" s="23">
        <f>IF(B368="","",WEEKNUM(B368,IF(WeekStart="Sunday",1,2)))</f>
        <v>0</v>
      </c>
      <c r="F368" s="17">
        <f>IF(B368="","",TEXT(B368,"ddd"))</f>
        <v>0</v>
      </c>
      <c r="Q368" s="29">
        <f>IF(H368="","",IF(P368="","Add - no caption",IFERROR(INDEX('Caption Bank'!$R$5:$R$204,MATCH(P368,'Caption Bank'!$B$5:$B$204,0)),"Check - not in bank")))</f>
        <v>0</v>
      </c>
      <c r="S368" s="23">
        <f>IF(R368="","",COUNTIF('Hashtag Bank'!$D$5:$D$304,R368))</f>
        <v>0</v>
      </c>
      <c r="U368" s="29">
        <f>IF(H368="","",IF(T368="","Add - no asset",IFERROR(INDEX(Assets!$N$5:$N$254,MATCH(T368,Assets!$A$5:$A$254,0)),"Check - not in library")))</f>
        <v>0</v>
      </c>
      <c r="Y368" s="16">
        <f>IF(B368="","",B368-ProductionDays)</f>
        <v>0</v>
      </c>
      <c r="Z368" s="16">
        <f>IF(B368="","",B368-ApprovalDays)</f>
        <v>0</v>
      </c>
      <c r="AA368" s="23">
        <f>IF(B368="","",B368-TODAY())</f>
        <v>0</v>
      </c>
      <c r="AC368" s="29">
        <f>IF(H368="","",IF(X368="Published",IF(AB368="","Add - link missing","Yes"),"No"))</f>
        <v>0</v>
      </c>
      <c r="AD368" s="23">
        <f>IF(A368="","",IF(COUNTIF(Performance!$B$5:$B$404,A368)=0,"",SUMIFS(Performance!$O$5:$O$404,Performance!$B$5:$B$404,A368)))</f>
        <v>0</v>
      </c>
      <c r="AE368" s="23">
        <f>IF(AD368="","",SUMIFS(Performance!$Z$5:$Z$404,Performance!$B$5:$B$404,A368))</f>
        <v>0</v>
      </c>
      <c r="AF368" s="24">
        <f>IF(OR(AD368="",AD368=0),"",AE368/AD368)</f>
        <v>0</v>
      </c>
      <c r="AG368" s="23">
        <f>IF(AD368="","",SUMIFS(Performance!$U$5:$U$404,Performance!$B$5:$B$404,A368))</f>
        <v>0</v>
      </c>
      <c r="AH368" s="23">
        <f>IF(A368="","",COUNTIF(Repurposing!$B$5:$B$154,A368))</f>
        <v>0</v>
      </c>
      <c r="AI368" s="32">
        <f>IF(OR(H368="",B368=""),"",B368+ROW()/100000)</f>
        <v>0</v>
      </c>
      <c r="AJ368" s="32">
        <f>IF(OR(H368="",B368=""),"",IF(OR(X368="Published",X368="Cancelled",X368="Archived"),"",IF(B368&lt;TODAY(),"",B368+ROW()/100000)))</f>
        <v>0</v>
      </c>
      <c r="AK368" s="32">
        <f>IF(OR(H368="",B368=""),"",IF(OR(X368="Published",X368="Cancelled",X368="Archived"),"",IF(B368&gt;=TODAY(),"",B368+ROW()/100000)))</f>
        <v>0</v>
      </c>
      <c r="AL368" s="29">
        <f>IF(H368="","",IF(COUNTIFS('Content Calendar'!$H$5:$H$604,H368,'Content Calendar'!$G$5:$G$604,G368,'Content Calendar'!$B$5:$B$604,B368)&gt;1,"Duplicate","OK"))</f>
        <v>0</v>
      </c>
      <c r="AM368" s="29">
        <f>IF(H368="","",IF(AND(B368&lt;&gt;"",B368&lt;TODAY(),X368&lt;&gt;"Published",X368&lt;&gt;"Cancelled",X368&lt;&gt;"Archived"),"Overdue - date has passed",IF(AND(X368="Published",AB368=""),"Add - publish link missing",IF(AND(B368=TODAY(),X368&lt;&gt;"Published"),"Today - due to go live",IF(AND(Y368&lt;&gt;"",Y368&lt;TODAY(),OR(X368="Idea",X368="Brief",X368="In production")),"Late - draft not ready",IF(AND(AA368&gt;=0,AA368&lt;=3,OR(X368="Draft",X368="Awaiting review")),"Due - needs approval",IF(AND(H368&lt;&gt;"",P368=""),"Add - caption missing","OK")))))))</f>
        <v>0</v>
      </c>
    </row>
    <row r="369" spans="1:39">
      <c r="A369" s="41">
        <f>IF(H369="","",ContentPrefix&amp;TEXT(ROW()-4,"0000"))</f>
        <v>0</v>
      </c>
      <c r="D369" s="17">
        <f>IF(B369="","",TEXT(B369,"yyyy-mm"))</f>
        <v>0</v>
      </c>
      <c r="E369" s="23">
        <f>IF(B369="","",WEEKNUM(B369,IF(WeekStart="Sunday",1,2)))</f>
        <v>0</v>
      </c>
      <c r="F369" s="17">
        <f>IF(B369="","",TEXT(B369,"ddd"))</f>
        <v>0</v>
      </c>
      <c r="Q369" s="29">
        <f>IF(H369="","",IF(P369="","Add - no caption",IFERROR(INDEX('Caption Bank'!$R$5:$R$204,MATCH(P369,'Caption Bank'!$B$5:$B$204,0)),"Check - not in bank")))</f>
        <v>0</v>
      </c>
      <c r="S369" s="23">
        <f>IF(R369="","",COUNTIF('Hashtag Bank'!$D$5:$D$304,R369))</f>
        <v>0</v>
      </c>
      <c r="U369" s="29">
        <f>IF(H369="","",IF(T369="","Add - no asset",IFERROR(INDEX(Assets!$N$5:$N$254,MATCH(T369,Assets!$A$5:$A$254,0)),"Check - not in library")))</f>
        <v>0</v>
      </c>
      <c r="Y369" s="16">
        <f>IF(B369="","",B369-ProductionDays)</f>
        <v>0</v>
      </c>
      <c r="Z369" s="16">
        <f>IF(B369="","",B369-ApprovalDays)</f>
        <v>0</v>
      </c>
      <c r="AA369" s="23">
        <f>IF(B369="","",B369-TODAY())</f>
        <v>0</v>
      </c>
      <c r="AC369" s="29">
        <f>IF(H369="","",IF(X369="Published",IF(AB369="","Add - link missing","Yes"),"No"))</f>
        <v>0</v>
      </c>
      <c r="AD369" s="23">
        <f>IF(A369="","",IF(COUNTIF(Performance!$B$5:$B$404,A369)=0,"",SUMIFS(Performance!$O$5:$O$404,Performance!$B$5:$B$404,A369)))</f>
        <v>0</v>
      </c>
      <c r="AE369" s="23">
        <f>IF(AD369="","",SUMIFS(Performance!$Z$5:$Z$404,Performance!$B$5:$B$404,A369))</f>
        <v>0</v>
      </c>
      <c r="AF369" s="24">
        <f>IF(OR(AD369="",AD369=0),"",AE369/AD369)</f>
        <v>0</v>
      </c>
      <c r="AG369" s="23">
        <f>IF(AD369="","",SUMIFS(Performance!$U$5:$U$404,Performance!$B$5:$B$404,A369))</f>
        <v>0</v>
      </c>
      <c r="AH369" s="23">
        <f>IF(A369="","",COUNTIF(Repurposing!$B$5:$B$154,A369))</f>
        <v>0</v>
      </c>
      <c r="AI369" s="32">
        <f>IF(OR(H369="",B369=""),"",B369+ROW()/100000)</f>
        <v>0</v>
      </c>
      <c r="AJ369" s="32">
        <f>IF(OR(H369="",B369=""),"",IF(OR(X369="Published",X369="Cancelled",X369="Archived"),"",IF(B369&lt;TODAY(),"",B369+ROW()/100000)))</f>
        <v>0</v>
      </c>
      <c r="AK369" s="32">
        <f>IF(OR(H369="",B369=""),"",IF(OR(X369="Published",X369="Cancelled",X369="Archived"),"",IF(B369&gt;=TODAY(),"",B369+ROW()/100000)))</f>
        <v>0</v>
      </c>
      <c r="AL369" s="29">
        <f>IF(H369="","",IF(COUNTIFS('Content Calendar'!$H$5:$H$604,H369,'Content Calendar'!$G$5:$G$604,G369,'Content Calendar'!$B$5:$B$604,B369)&gt;1,"Duplicate","OK"))</f>
        <v>0</v>
      </c>
      <c r="AM369" s="29">
        <f>IF(H369="","",IF(AND(B369&lt;&gt;"",B369&lt;TODAY(),X369&lt;&gt;"Published",X369&lt;&gt;"Cancelled",X369&lt;&gt;"Archived"),"Overdue - date has passed",IF(AND(X369="Published",AB369=""),"Add - publish link missing",IF(AND(B369=TODAY(),X369&lt;&gt;"Published"),"Today - due to go live",IF(AND(Y369&lt;&gt;"",Y369&lt;TODAY(),OR(X369="Idea",X369="Brief",X369="In production")),"Late - draft not ready",IF(AND(AA369&gt;=0,AA369&lt;=3,OR(X369="Draft",X369="Awaiting review")),"Due - needs approval",IF(AND(H369&lt;&gt;"",P369=""),"Add - caption missing","OK")))))))</f>
        <v>0</v>
      </c>
    </row>
    <row r="370" spans="1:39">
      <c r="A370" s="41">
        <f>IF(H370="","",ContentPrefix&amp;TEXT(ROW()-4,"0000"))</f>
        <v>0</v>
      </c>
      <c r="D370" s="17">
        <f>IF(B370="","",TEXT(B370,"yyyy-mm"))</f>
        <v>0</v>
      </c>
      <c r="E370" s="23">
        <f>IF(B370="","",WEEKNUM(B370,IF(WeekStart="Sunday",1,2)))</f>
        <v>0</v>
      </c>
      <c r="F370" s="17">
        <f>IF(B370="","",TEXT(B370,"ddd"))</f>
        <v>0</v>
      </c>
      <c r="Q370" s="29">
        <f>IF(H370="","",IF(P370="","Add - no caption",IFERROR(INDEX('Caption Bank'!$R$5:$R$204,MATCH(P370,'Caption Bank'!$B$5:$B$204,0)),"Check - not in bank")))</f>
        <v>0</v>
      </c>
      <c r="S370" s="23">
        <f>IF(R370="","",COUNTIF('Hashtag Bank'!$D$5:$D$304,R370))</f>
        <v>0</v>
      </c>
      <c r="U370" s="29">
        <f>IF(H370="","",IF(T370="","Add - no asset",IFERROR(INDEX(Assets!$N$5:$N$254,MATCH(T370,Assets!$A$5:$A$254,0)),"Check - not in library")))</f>
        <v>0</v>
      </c>
      <c r="Y370" s="16">
        <f>IF(B370="","",B370-ProductionDays)</f>
        <v>0</v>
      </c>
      <c r="Z370" s="16">
        <f>IF(B370="","",B370-ApprovalDays)</f>
        <v>0</v>
      </c>
      <c r="AA370" s="23">
        <f>IF(B370="","",B370-TODAY())</f>
        <v>0</v>
      </c>
      <c r="AC370" s="29">
        <f>IF(H370="","",IF(X370="Published",IF(AB370="","Add - link missing","Yes"),"No"))</f>
        <v>0</v>
      </c>
      <c r="AD370" s="23">
        <f>IF(A370="","",IF(COUNTIF(Performance!$B$5:$B$404,A370)=0,"",SUMIFS(Performance!$O$5:$O$404,Performance!$B$5:$B$404,A370)))</f>
        <v>0</v>
      </c>
      <c r="AE370" s="23">
        <f>IF(AD370="","",SUMIFS(Performance!$Z$5:$Z$404,Performance!$B$5:$B$404,A370))</f>
        <v>0</v>
      </c>
      <c r="AF370" s="24">
        <f>IF(OR(AD370="",AD370=0),"",AE370/AD370)</f>
        <v>0</v>
      </c>
      <c r="AG370" s="23">
        <f>IF(AD370="","",SUMIFS(Performance!$U$5:$U$404,Performance!$B$5:$B$404,A370))</f>
        <v>0</v>
      </c>
      <c r="AH370" s="23">
        <f>IF(A370="","",COUNTIF(Repurposing!$B$5:$B$154,A370))</f>
        <v>0</v>
      </c>
      <c r="AI370" s="32">
        <f>IF(OR(H370="",B370=""),"",B370+ROW()/100000)</f>
        <v>0</v>
      </c>
      <c r="AJ370" s="32">
        <f>IF(OR(H370="",B370=""),"",IF(OR(X370="Published",X370="Cancelled",X370="Archived"),"",IF(B370&lt;TODAY(),"",B370+ROW()/100000)))</f>
        <v>0</v>
      </c>
      <c r="AK370" s="32">
        <f>IF(OR(H370="",B370=""),"",IF(OR(X370="Published",X370="Cancelled",X370="Archived"),"",IF(B370&gt;=TODAY(),"",B370+ROW()/100000)))</f>
        <v>0</v>
      </c>
      <c r="AL370" s="29">
        <f>IF(H370="","",IF(COUNTIFS('Content Calendar'!$H$5:$H$604,H370,'Content Calendar'!$G$5:$G$604,G370,'Content Calendar'!$B$5:$B$604,B370)&gt;1,"Duplicate","OK"))</f>
        <v>0</v>
      </c>
      <c r="AM370" s="29">
        <f>IF(H370="","",IF(AND(B370&lt;&gt;"",B370&lt;TODAY(),X370&lt;&gt;"Published",X370&lt;&gt;"Cancelled",X370&lt;&gt;"Archived"),"Overdue - date has passed",IF(AND(X370="Published",AB370=""),"Add - publish link missing",IF(AND(B370=TODAY(),X370&lt;&gt;"Published"),"Today - due to go live",IF(AND(Y370&lt;&gt;"",Y370&lt;TODAY(),OR(X370="Idea",X370="Brief",X370="In production")),"Late - draft not ready",IF(AND(AA370&gt;=0,AA370&lt;=3,OR(X370="Draft",X370="Awaiting review")),"Due - needs approval",IF(AND(H370&lt;&gt;"",P370=""),"Add - caption missing","OK")))))))</f>
        <v>0</v>
      </c>
    </row>
    <row r="371" spans="1:39">
      <c r="A371" s="41">
        <f>IF(H371="","",ContentPrefix&amp;TEXT(ROW()-4,"0000"))</f>
        <v>0</v>
      </c>
      <c r="D371" s="17">
        <f>IF(B371="","",TEXT(B371,"yyyy-mm"))</f>
        <v>0</v>
      </c>
      <c r="E371" s="23">
        <f>IF(B371="","",WEEKNUM(B371,IF(WeekStart="Sunday",1,2)))</f>
        <v>0</v>
      </c>
      <c r="F371" s="17">
        <f>IF(B371="","",TEXT(B371,"ddd"))</f>
        <v>0</v>
      </c>
      <c r="Q371" s="29">
        <f>IF(H371="","",IF(P371="","Add - no caption",IFERROR(INDEX('Caption Bank'!$R$5:$R$204,MATCH(P371,'Caption Bank'!$B$5:$B$204,0)),"Check - not in bank")))</f>
        <v>0</v>
      </c>
      <c r="S371" s="23">
        <f>IF(R371="","",COUNTIF('Hashtag Bank'!$D$5:$D$304,R371))</f>
        <v>0</v>
      </c>
      <c r="U371" s="29">
        <f>IF(H371="","",IF(T371="","Add - no asset",IFERROR(INDEX(Assets!$N$5:$N$254,MATCH(T371,Assets!$A$5:$A$254,0)),"Check - not in library")))</f>
        <v>0</v>
      </c>
      <c r="Y371" s="16">
        <f>IF(B371="","",B371-ProductionDays)</f>
        <v>0</v>
      </c>
      <c r="Z371" s="16">
        <f>IF(B371="","",B371-ApprovalDays)</f>
        <v>0</v>
      </c>
      <c r="AA371" s="23">
        <f>IF(B371="","",B371-TODAY())</f>
        <v>0</v>
      </c>
      <c r="AC371" s="29">
        <f>IF(H371="","",IF(X371="Published",IF(AB371="","Add - link missing","Yes"),"No"))</f>
        <v>0</v>
      </c>
      <c r="AD371" s="23">
        <f>IF(A371="","",IF(COUNTIF(Performance!$B$5:$B$404,A371)=0,"",SUMIFS(Performance!$O$5:$O$404,Performance!$B$5:$B$404,A371)))</f>
        <v>0</v>
      </c>
      <c r="AE371" s="23">
        <f>IF(AD371="","",SUMIFS(Performance!$Z$5:$Z$404,Performance!$B$5:$B$404,A371))</f>
        <v>0</v>
      </c>
      <c r="AF371" s="24">
        <f>IF(OR(AD371="",AD371=0),"",AE371/AD371)</f>
        <v>0</v>
      </c>
      <c r="AG371" s="23">
        <f>IF(AD371="","",SUMIFS(Performance!$U$5:$U$404,Performance!$B$5:$B$404,A371))</f>
        <v>0</v>
      </c>
      <c r="AH371" s="23">
        <f>IF(A371="","",COUNTIF(Repurposing!$B$5:$B$154,A371))</f>
        <v>0</v>
      </c>
      <c r="AI371" s="32">
        <f>IF(OR(H371="",B371=""),"",B371+ROW()/100000)</f>
        <v>0</v>
      </c>
      <c r="AJ371" s="32">
        <f>IF(OR(H371="",B371=""),"",IF(OR(X371="Published",X371="Cancelled",X371="Archived"),"",IF(B371&lt;TODAY(),"",B371+ROW()/100000)))</f>
        <v>0</v>
      </c>
      <c r="AK371" s="32">
        <f>IF(OR(H371="",B371=""),"",IF(OR(X371="Published",X371="Cancelled",X371="Archived"),"",IF(B371&gt;=TODAY(),"",B371+ROW()/100000)))</f>
        <v>0</v>
      </c>
      <c r="AL371" s="29">
        <f>IF(H371="","",IF(COUNTIFS('Content Calendar'!$H$5:$H$604,H371,'Content Calendar'!$G$5:$G$604,G371,'Content Calendar'!$B$5:$B$604,B371)&gt;1,"Duplicate","OK"))</f>
        <v>0</v>
      </c>
      <c r="AM371" s="29">
        <f>IF(H371="","",IF(AND(B371&lt;&gt;"",B371&lt;TODAY(),X371&lt;&gt;"Published",X371&lt;&gt;"Cancelled",X371&lt;&gt;"Archived"),"Overdue - date has passed",IF(AND(X371="Published",AB371=""),"Add - publish link missing",IF(AND(B371=TODAY(),X371&lt;&gt;"Published"),"Today - due to go live",IF(AND(Y371&lt;&gt;"",Y371&lt;TODAY(),OR(X371="Idea",X371="Brief",X371="In production")),"Late - draft not ready",IF(AND(AA371&gt;=0,AA371&lt;=3,OR(X371="Draft",X371="Awaiting review")),"Due - needs approval",IF(AND(H371&lt;&gt;"",P371=""),"Add - caption missing","OK")))))))</f>
        <v>0</v>
      </c>
    </row>
    <row r="372" spans="1:39">
      <c r="A372" s="41">
        <f>IF(H372="","",ContentPrefix&amp;TEXT(ROW()-4,"0000"))</f>
        <v>0</v>
      </c>
      <c r="D372" s="17">
        <f>IF(B372="","",TEXT(B372,"yyyy-mm"))</f>
        <v>0</v>
      </c>
      <c r="E372" s="23">
        <f>IF(B372="","",WEEKNUM(B372,IF(WeekStart="Sunday",1,2)))</f>
        <v>0</v>
      </c>
      <c r="F372" s="17">
        <f>IF(B372="","",TEXT(B372,"ddd"))</f>
        <v>0</v>
      </c>
      <c r="Q372" s="29">
        <f>IF(H372="","",IF(P372="","Add - no caption",IFERROR(INDEX('Caption Bank'!$R$5:$R$204,MATCH(P372,'Caption Bank'!$B$5:$B$204,0)),"Check - not in bank")))</f>
        <v>0</v>
      </c>
      <c r="S372" s="23">
        <f>IF(R372="","",COUNTIF('Hashtag Bank'!$D$5:$D$304,R372))</f>
        <v>0</v>
      </c>
      <c r="U372" s="29">
        <f>IF(H372="","",IF(T372="","Add - no asset",IFERROR(INDEX(Assets!$N$5:$N$254,MATCH(T372,Assets!$A$5:$A$254,0)),"Check - not in library")))</f>
        <v>0</v>
      </c>
      <c r="Y372" s="16">
        <f>IF(B372="","",B372-ProductionDays)</f>
        <v>0</v>
      </c>
      <c r="Z372" s="16">
        <f>IF(B372="","",B372-ApprovalDays)</f>
        <v>0</v>
      </c>
      <c r="AA372" s="23">
        <f>IF(B372="","",B372-TODAY())</f>
        <v>0</v>
      </c>
      <c r="AC372" s="29">
        <f>IF(H372="","",IF(X372="Published",IF(AB372="","Add - link missing","Yes"),"No"))</f>
        <v>0</v>
      </c>
      <c r="AD372" s="23">
        <f>IF(A372="","",IF(COUNTIF(Performance!$B$5:$B$404,A372)=0,"",SUMIFS(Performance!$O$5:$O$404,Performance!$B$5:$B$404,A372)))</f>
        <v>0</v>
      </c>
      <c r="AE372" s="23">
        <f>IF(AD372="","",SUMIFS(Performance!$Z$5:$Z$404,Performance!$B$5:$B$404,A372))</f>
        <v>0</v>
      </c>
      <c r="AF372" s="24">
        <f>IF(OR(AD372="",AD372=0),"",AE372/AD372)</f>
        <v>0</v>
      </c>
      <c r="AG372" s="23">
        <f>IF(AD372="","",SUMIFS(Performance!$U$5:$U$404,Performance!$B$5:$B$404,A372))</f>
        <v>0</v>
      </c>
      <c r="AH372" s="23">
        <f>IF(A372="","",COUNTIF(Repurposing!$B$5:$B$154,A372))</f>
        <v>0</v>
      </c>
      <c r="AI372" s="32">
        <f>IF(OR(H372="",B372=""),"",B372+ROW()/100000)</f>
        <v>0</v>
      </c>
      <c r="AJ372" s="32">
        <f>IF(OR(H372="",B372=""),"",IF(OR(X372="Published",X372="Cancelled",X372="Archived"),"",IF(B372&lt;TODAY(),"",B372+ROW()/100000)))</f>
        <v>0</v>
      </c>
      <c r="AK372" s="32">
        <f>IF(OR(H372="",B372=""),"",IF(OR(X372="Published",X372="Cancelled",X372="Archived"),"",IF(B372&gt;=TODAY(),"",B372+ROW()/100000)))</f>
        <v>0</v>
      </c>
      <c r="AL372" s="29">
        <f>IF(H372="","",IF(COUNTIFS('Content Calendar'!$H$5:$H$604,H372,'Content Calendar'!$G$5:$G$604,G372,'Content Calendar'!$B$5:$B$604,B372)&gt;1,"Duplicate","OK"))</f>
        <v>0</v>
      </c>
      <c r="AM372" s="29">
        <f>IF(H372="","",IF(AND(B372&lt;&gt;"",B372&lt;TODAY(),X372&lt;&gt;"Published",X372&lt;&gt;"Cancelled",X372&lt;&gt;"Archived"),"Overdue - date has passed",IF(AND(X372="Published",AB372=""),"Add - publish link missing",IF(AND(B372=TODAY(),X372&lt;&gt;"Published"),"Today - due to go live",IF(AND(Y372&lt;&gt;"",Y372&lt;TODAY(),OR(X372="Idea",X372="Brief",X372="In production")),"Late - draft not ready",IF(AND(AA372&gt;=0,AA372&lt;=3,OR(X372="Draft",X372="Awaiting review")),"Due - needs approval",IF(AND(H372&lt;&gt;"",P372=""),"Add - caption missing","OK")))))))</f>
        <v>0</v>
      </c>
    </row>
    <row r="373" spans="1:39">
      <c r="A373" s="41">
        <f>IF(H373="","",ContentPrefix&amp;TEXT(ROW()-4,"0000"))</f>
        <v>0</v>
      </c>
      <c r="D373" s="17">
        <f>IF(B373="","",TEXT(B373,"yyyy-mm"))</f>
        <v>0</v>
      </c>
      <c r="E373" s="23">
        <f>IF(B373="","",WEEKNUM(B373,IF(WeekStart="Sunday",1,2)))</f>
        <v>0</v>
      </c>
      <c r="F373" s="17">
        <f>IF(B373="","",TEXT(B373,"ddd"))</f>
        <v>0</v>
      </c>
      <c r="Q373" s="29">
        <f>IF(H373="","",IF(P373="","Add - no caption",IFERROR(INDEX('Caption Bank'!$R$5:$R$204,MATCH(P373,'Caption Bank'!$B$5:$B$204,0)),"Check - not in bank")))</f>
        <v>0</v>
      </c>
      <c r="S373" s="23">
        <f>IF(R373="","",COUNTIF('Hashtag Bank'!$D$5:$D$304,R373))</f>
        <v>0</v>
      </c>
      <c r="U373" s="29">
        <f>IF(H373="","",IF(T373="","Add - no asset",IFERROR(INDEX(Assets!$N$5:$N$254,MATCH(T373,Assets!$A$5:$A$254,0)),"Check - not in library")))</f>
        <v>0</v>
      </c>
      <c r="Y373" s="16">
        <f>IF(B373="","",B373-ProductionDays)</f>
        <v>0</v>
      </c>
      <c r="Z373" s="16">
        <f>IF(B373="","",B373-ApprovalDays)</f>
        <v>0</v>
      </c>
      <c r="AA373" s="23">
        <f>IF(B373="","",B373-TODAY())</f>
        <v>0</v>
      </c>
      <c r="AC373" s="29">
        <f>IF(H373="","",IF(X373="Published",IF(AB373="","Add - link missing","Yes"),"No"))</f>
        <v>0</v>
      </c>
      <c r="AD373" s="23">
        <f>IF(A373="","",IF(COUNTIF(Performance!$B$5:$B$404,A373)=0,"",SUMIFS(Performance!$O$5:$O$404,Performance!$B$5:$B$404,A373)))</f>
        <v>0</v>
      </c>
      <c r="AE373" s="23">
        <f>IF(AD373="","",SUMIFS(Performance!$Z$5:$Z$404,Performance!$B$5:$B$404,A373))</f>
        <v>0</v>
      </c>
      <c r="AF373" s="24">
        <f>IF(OR(AD373="",AD373=0),"",AE373/AD373)</f>
        <v>0</v>
      </c>
      <c r="AG373" s="23">
        <f>IF(AD373="","",SUMIFS(Performance!$U$5:$U$404,Performance!$B$5:$B$404,A373))</f>
        <v>0</v>
      </c>
      <c r="AH373" s="23">
        <f>IF(A373="","",COUNTIF(Repurposing!$B$5:$B$154,A373))</f>
        <v>0</v>
      </c>
      <c r="AI373" s="32">
        <f>IF(OR(H373="",B373=""),"",B373+ROW()/100000)</f>
        <v>0</v>
      </c>
      <c r="AJ373" s="32">
        <f>IF(OR(H373="",B373=""),"",IF(OR(X373="Published",X373="Cancelled",X373="Archived"),"",IF(B373&lt;TODAY(),"",B373+ROW()/100000)))</f>
        <v>0</v>
      </c>
      <c r="AK373" s="32">
        <f>IF(OR(H373="",B373=""),"",IF(OR(X373="Published",X373="Cancelled",X373="Archived"),"",IF(B373&gt;=TODAY(),"",B373+ROW()/100000)))</f>
        <v>0</v>
      </c>
      <c r="AL373" s="29">
        <f>IF(H373="","",IF(COUNTIFS('Content Calendar'!$H$5:$H$604,H373,'Content Calendar'!$G$5:$G$604,G373,'Content Calendar'!$B$5:$B$604,B373)&gt;1,"Duplicate","OK"))</f>
        <v>0</v>
      </c>
      <c r="AM373" s="29">
        <f>IF(H373="","",IF(AND(B373&lt;&gt;"",B373&lt;TODAY(),X373&lt;&gt;"Published",X373&lt;&gt;"Cancelled",X373&lt;&gt;"Archived"),"Overdue - date has passed",IF(AND(X373="Published",AB373=""),"Add - publish link missing",IF(AND(B373=TODAY(),X373&lt;&gt;"Published"),"Today - due to go live",IF(AND(Y373&lt;&gt;"",Y373&lt;TODAY(),OR(X373="Idea",X373="Brief",X373="In production")),"Late - draft not ready",IF(AND(AA373&gt;=0,AA373&lt;=3,OR(X373="Draft",X373="Awaiting review")),"Due - needs approval",IF(AND(H373&lt;&gt;"",P373=""),"Add - caption missing","OK")))))))</f>
        <v>0</v>
      </c>
    </row>
    <row r="374" spans="1:39">
      <c r="A374" s="41">
        <f>IF(H374="","",ContentPrefix&amp;TEXT(ROW()-4,"0000"))</f>
        <v>0</v>
      </c>
      <c r="D374" s="17">
        <f>IF(B374="","",TEXT(B374,"yyyy-mm"))</f>
        <v>0</v>
      </c>
      <c r="E374" s="23">
        <f>IF(B374="","",WEEKNUM(B374,IF(WeekStart="Sunday",1,2)))</f>
        <v>0</v>
      </c>
      <c r="F374" s="17">
        <f>IF(B374="","",TEXT(B374,"ddd"))</f>
        <v>0</v>
      </c>
      <c r="Q374" s="29">
        <f>IF(H374="","",IF(P374="","Add - no caption",IFERROR(INDEX('Caption Bank'!$R$5:$R$204,MATCH(P374,'Caption Bank'!$B$5:$B$204,0)),"Check - not in bank")))</f>
        <v>0</v>
      </c>
      <c r="S374" s="23">
        <f>IF(R374="","",COUNTIF('Hashtag Bank'!$D$5:$D$304,R374))</f>
        <v>0</v>
      </c>
      <c r="U374" s="29">
        <f>IF(H374="","",IF(T374="","Add - no asset",IFERROR(INDEX(Assets!$N$5:$N$254,MATCH(T374,Assets!$A$5:$A$254,0)),"Check - not in library")))</f>
        <v>0</v>
      </c>
      <c r="Y374" s="16">
        <f>IF(B374="","",B374-ProductionDays)</f>
        <v>0</v>
      </c>
      <c r="Z374" s="16">
        <f>IF(B374="","",B374-ApprovalDays)</f>
        <v>0</v>
      </c>
      <c r="AA374" s="23">
        <f>IF(B374="","",B374-TODAY())</f>
        <v>0</v>
      </c>
      <c r="AC374" s="29">
        <f>IF(H374="","",IF(X374="Published",IF(AB374="","Add - link missing","Yes"),"No"))</f>
        <v>0</v>
      </c>
      <c r="AD374" s="23">
        <f>IF(A374="","",IF(COUNTIF(Performance!$B$5:$B$404,A374)=0,"",SUMIFS(Performance!$O$5:$O$404,Performance!$B$5:$B$404,A374)))</f>
        <v>0</v>
      </c>
      <c r="AE374" s="23">
        <f>IF(AD374="","",SUMIFS(Performance!$Z$5:$Z$404,Performance!$B$5:$B$404,A374))</f>
        <v>0</v>
      </c>
      <c r="AF374" s="24">
        <f>IF(OR(AD374="",AD374=0),"",AE374/AD374)</f>
        <v>0</v>
      </c>
      <c r="AG374" s="23">
        <f>IF(AD374="","",SUMIFS(Performance!$U$5:$U$404,Performance!$B$5:$B$404,A374))</f>
        <v>0</v>
      </c>
      <c r="AH374" s="23">
        <f>IF(A374="","",COUNTIF(Repurposing!$B$5:$B$154,A374))</f>
        <v>0</v>
      </c>
      <c r="AI374" s="32">
        <f>IF(OR(H374="",B374=""),"",B374+ROW()/100000)</f>
        <v>0</v>
      </c>
      <c r="AJ374" s="32">
        <f>IF(OR(H374="",B374=""),"",IF(OR(X374="Published",X374="Cancelled",X374="Archived"),"",IF(B374&lt;TODAY(),"",B374+ROW()/100000)))</f>
        <v>0</v>
      </c>
      <c r="AK374" s="32">
        <f>IF(OR(H374="",B374=""),"",IF(OR(X374="Published",X374="Cancelled",X374="Archived"),"",IF(B374&gt;=TODAY(),"",B374+ROW()/100000)))</f>
        <v>0</v>
      </c>
      <c r="AL374" s="29">
        <f>IF(H374="","",IF(COUNTIFS('Content Calendar'!$H$5:$H$604,H374,'Content Calendar'!$G$5:$G$604,G374,'Content Calendar'!$B$5:$B$604,B374)&gt;1,"Duplicate","OK"))</f>
        <v>0</v>
      </c>
      <c r="AM374" s="29">
        <f>IF(H374="","",IF(AND(B374&lt;&gt;"",B374&lt;TODAY(),X374&lt;&gt;"Published",X374&lt;&gt;"Cancelled",X374&lt;&gt;"Archived"),"Overdue - date has passed",IF(AND(X374="Published",AB374=""),"Add - publish link missing",IF(AND(B374=TODAY(),X374&lt;&gt;"Published"),"Today - due to go live",IF(AND(Y374&lt;&gt;"",Y374&lt;TODAY(),OR(X374="Idea",X374="Brief",X374="In production")),"Late - draft not ready",IF(AND(AA374&gt;=0,AA374&lt;=3,OR(X374="Draft",X374="Awaiting review")),"Due - needs approval",IF(AND(H374&lt;&gt;"",P374=""),"Add - caption missing","OK")))))))</f>
        <v>0</v>
      </c>
    </row>
    <row r="375" spans="1:39">
      <c r="A375" s="41">
        <f>IF(H375="","",ContentPrefix&amp;TEXT(ROW()-4,"0000"))</f>
        <v>0</v>
      </c>
      <c r="D375" s="17">
        <f>IF(B375="","",TEXT(B375,"yyyy-mm"))</f>
        <v>0</v>
      </c>
      <c r="E375" s="23">
        <f>IF(B375="","",WEEKNUM(B375,IF(WeekStart="Sunday",1,2)))</f>
        <v>0</v>
      </c>
      <c r="F375" s="17">
        <f>IF(B375="","",TEXT(B375,"ddd"))</f>
        <v>0</v>
      </c>
      <c r="Q375" s="29">
        <f>IF(H375="","",IF(P375="","Add - no caption",IFERROR(INDEX('Caption Bank'!$R$5:$R$204,MATCH(P375,'Caption Bank'!$B$5:$B$204,0)),"Check - not in bank")))</f>
        <v>0</v>
      </c>
      <c r="S375" s="23">
        <f>IF(R375="","",COUNTIF('Hashtag Bank'!$D$5:$D$304,R375))</f>
        <v>0</v>
      </c>
      <c r="U375" s="29">
        <f>IF(H375="","",IF(T375="","Add - no asset",IFERROR(INDEX(Assets!$N$5:$N$254,MATCH(T375,Assets!$A$5:$A$254,0)),"Check - not in library")))</f>
        <v>0</v>
      </c>
      <c r="Y375" s="16">
        <f>IF(B375="","",B375-ProductionDays)</f>
        <v>0</v>
      </c>
      <c r="Z375" s="16">
        <f>IF(B375="","",B375-ApprovalDays)</f>
        <v>0</v>
      </c>
      <c r="AA375" s="23">
        <f>IF(B375="","",B375-TODAY())</f>
        <v>0</v>
      </c>
      <c r="AC375" s="29">
        <f>IF(H375="","",IF(X375="Published",IF(AB375="","Add - link missing","Yes"),"No"))</f>
        <v>0</v>
      </c>
      <c r="AD375" s="23">
        <f>IF(A375="","",IF(COUNTIF(Performance!$B$5:$B$404,A375)=0,"",SUMIFS(Performance!$O$5:$O$404,Performance!$B$5:$B$404,A375)))</f>
        <v>0</v>
      </c>
      <c r="AE375" s="23">
        <f>IF(AD375="","",SUMIFS(Performance!$Z$5:$Z$404,Performance!$B$5:$B$404,A375))</f>
        <v>0</v>
      </c>
      <c r="AF375" s="24">
        <f>IF(OR(AD375="",AD375=0),"",AE375/AD375)</f>
        <v>0</v>
      </c>
      <c r="AG375" s="23">
        <f>IF(AD375="","",SUMIFS(Performance!$U$5:$U$404,Performance!$B$5:$B$404,A375))</f>
        <v>0</v>
      </c>
      <c r="AH375" s="23">
        <f>IF(A375="","",COUNTIF(Repurposing!$B$5:$B$154,A375))</f>
        <v>0</v>
      </c>
      <c r="AI375" s="32">
        <f>IF(OR(H375="",B375=""),"",B375+ROW()/100000)</f>
        <v>0</v>
      </c>
      <c r="AJ375" s="32">
        <f>IF(OR(H375="",B375=""),"",IF(OR(X375="Published",X375="Cancelled",X375="Archived"),"",IF(B375&lt;TODAY(),"",B375+ROW()/100000)))</f>
        <v>0</v>
      </c>
      <c r="AK375" s="32">
        <f>IF(OR(H375="",B375=""),"",IF(OR(X375="Published",X375="Cancelled",X375="Archived"),"",IF(B375&gt;=TODAY(),"",B375+ROW()/100000)))</f>
        <v>0</v>
      </c>
      <c r="AL375" s="29">
        <f>IF(H375="","",IF(COUNTIFS('Content Calendar'!$H$5:$H$604,H375,'Content Calendar'!$G$5:$G$604,G375,'Content Calendar'!$B$5:$B$604,B375)&gt;1,"Duplicate","OK"))</f>
        <v>0</v>
      </c>
      <c r="AM375" s="29">
        <f>IF(H375="","",IF(AND(B375&lt;&gt;"",B375&lt;TODAY(),X375&lt;&gt;"Published",X375&lt;&gt;"Cancelled",X375&lt;&gt;"Archived"),"Overdue - date has passed",IF(AND(X375="Published",AB375=""),"Add - publish link missing",IF(AND(B375=TODAY(),X375&lt;&gt;"Published"),"Today - due to go live",IF(AND(Y375&lt;&gt;"",Y375&lt;TODAY(),OR(X375="Idea",X375="Brief",X375="In production")),"Late - draft not ready",IF(AND(AA375&gt;=0,AA375&lt;=3,OR(X375="Draft",X375="Awaiting review")),"Due - needs approval",IF(AND(H375&lt;&gt;"",P375=""),"Add - caption missing","OK")))))))</f>
        <v>0</v>
      </c>
    </row>
    <row r="376" spans="1:39">
      <c r="A376" s="41">
        <f>IF(H376="","",ContentPrefix&amp;TEXT(ROW()-4,"0000"))</f>
        <v>0</v>
      </c>
      <c r="D376" s="17">
        <f>IF(B376="","",TEXT(B376,"yyyy-mm"))</f>
        <v>0</v>
      </c>
      <c r="E376" s="23">
        <f>IF(B376="","",WEEKNUM(B376,IF(WeekStart="Sunday",1,2)))</f>
        <v>0</v>
      </c>
      <c r="F376" s="17">
        <f>IF(B376="","",TEXT(B376,"ddd"))</f>
        <v>0</v>
      </c>
      <c r="Q376" s="29">
        <f>IF(H376="","",IF(P376="","Add - no caption",IFERROR(INDEX('Caption Bank'!$R$5:$R$204,MATCH(P376,'Caption Bank'!$B$5:$B$204,0)),"Check - not in bank")))</f>
        <v>0</v>
      </c>
      <c r="S376" s="23">
        <f>IF(R376="","",COUNTIF('Hashtag Bank'!$D$5:$D$304,R376))</f>
        <v>0</v>
      </c>
      <c r="U376" s="29">
        <f>IF(H376="","",IF(T376="","Add - no asset",IFERROR(INDEX(Assets!$N$5:$N$254,MATCH(T376,Assets!$A$5:$A$254,0)),"Check - not in library")))</f>
        <v>0</v>
      </c>
      <c r="Y376" s="16">
        <f>IF(B376="","",B376-ProductionDays)</f>
        <v>0</v>
      </c>
      <c r="Z376" s="16">
        <f>IF(B376="","",B376-ApprovalDays)</f>
        <v>0</v>
      </c>
      <c r="AA376" s="23">
        <f>IF(B376="","",B376-TODAY())</f>
        <v>0</v>
      </c>
      <c r="AC376" s="29">
        <f>IF(H376="","",IF(X376="Published",IF(AB376="","Add - link missing","Yes"),"No"))</f>
        <v>0</v>
      </c>
      <c r="AD376" s="23">
        <f>IF(A376="","",IF(COUNTIF(Performance!$B$5:$B$404,A376)=0,"",SUMIFS(Performance!$O$5:$O$404,Performance!$B$5:$B$404,A376)))</f>
        <v>0</v>
      </c>
      <c r="AE376" s="23">
        <f>IF(AD376="","",SUMIFS(Performance!$Z$5:$Z$404,Performance!$B$5:$B$404,A376))</f>
        <v>0</v>
      </c>
      <c r="AF376" s="24">
        <f>IF(OR(AD376="",AD376=0),"",AE376/AD376)</f>
        <v>0</v>
      </c>
      <c r="AG376" s="23">
        <f>IF(AD376="","",SUMIFS(Performance!$U$5:$U$404,Performance!$B$5:$B$404,A376))</f>
        <v>0</v>
      </c>
      <c r="AH376" s="23">
        <f>IF(A376="","",COUNTIF(Repurposing!$B$5:$B$154,A376))</f>
        <v>0</v>
      </c>
      <c r="AI376" s="32">
        <f>IF(OR(H376="",B376=""),"",B376+ROW()/100000)</f>
        <v>0</v>
      </c>
      <c r="AJ376" s="32">
        <f>IF(OR(H376="",B376=""),"",IF(OR(X376="Published",X376="Cancelled",X376="Archived"),"",IF(B376&lt;TODAY(),"",B376+ROW()/100000)))</f>
        <v>0</v>
      </c>
      <c r="AK376" s="32">
        <f>IF(OR(H376="",B376=""),"",IF(OR(X376="Published",X376="Cancelled",X376="Archived"),"",IF(B376&gt;=TODAY(),"",B376+ROW()/100000)))</f>
        <v>0</v>
      </c>
      <c r="AL376" s="29">
        <f>IF(H376="","",IF(COUNTIFS('Content Calendar'!$H$5:$H$604,H376,'Content Calendar'!$G$5:$G$604,G376,'Content Calendar'!$B$5:$B$604,B376)&gt;1,"Duplicate","OK"))</f>
        <v>0</v>
      </c>
      <c r="AM376" s="29">
        <f>IF(H376="","",IF(AND(B376&lt;&gt;"",B376&lt;TODAY(),X376&lt;&gt;"Published",X376&lt;&gt;"Cancelled",X376&lt;&gt;"Archived"),"Overdue - date has passed",IF(AND(X376="Published",AB376=""),"Add - publish link missing",IF(AND(B376=TODAY(),X376&lt;&gt;"Published"),"Today - due to go live",IF(AND(Y376&lt;&gt;"",Y376&lt;TODAY(),OR(X376="Idea",X376="Brief",X376="In production")),"Late - draft not ready",IF(AND(AA376&gt;=0,AA376&lt;=3,OR(X376="Draft",X376="Awaiting review")),"Due - needs approval",IF(AND(H376&lt;&gt;"",P376=""),"Add - caption missing","OK")))))))</f>
        <v>0</v>
      </c>
    </row>
    <row r="377" spans="1:39">
      <c r="A377" s="41">
        <f>IF(H377="","",ContentPrefix&amp;TEXT(ROW()-4,"0000"))</f>
        <v>0</v>
      </c>
      <c r="D377" s="17">
        <f>IF(B377="","",TEXT(B377,"yyyy-mm"))</f>
        <v>0</v>
      </c>
      <c r="E377" s="23">
        <f>IF(B377="","",WEEKNUM(B377,IF(WeekStart="Sunday",1,2)))</f>
        <v>0</v>
      </c>
      <c r="F377" s="17">
        <f>IF(B377="","",TEXT(B377,"ddd"))</f>
        <v>0</v>
      </c>
      <c r="Q377" s="29">
        <f>IF(H377="","",IF(P377="","Add - no caption",IFERROR(INDEX('Caption Bank'!$R$5:$R$204,MATCH(P377,'Caption Bank'!$B$5:$B$204,0)),"Check - not in bank")))</f>
        <v>0</v>
      </c>
      <c r="S377" s="23">
        <f>IF(R377="","",COUNTIF('Hashtag Bank'!$D$5:$D$304,R377))</f>
        <v>0</v>
      </c>
      <c r="U377" s="29">
        <f>IF(H377="","",IF(T377="","Add - no asset",IFERROR(INDEX(Assets!$N$5:$N$254,MATCH(T377,Assets!$A$5:$A$254,0)),"Check - not in library")))</f>
        <v>0</v>
      </c>
      <c r="Y377" s="16">
        <f>IF(B377="","",B377-ProductionDays)</f>
        <v>0</v>
      </c>
      <c r="Z377" s="16">
        <f>IF(B377="","",B377-ApprovalDays)</f>
        <v>0</v>
      </c>
      <c r="AA377" s="23">
        <f>IF(B377="","",B377-TODAY())</f>
        <v>0</v>
      </c>
      <c r="AC377" s="29">
        <f>IF(H377="","",IF(X377="Published",IF(AB377="","Add - link missing","Yes"),"No"))</f>
        <v>0</v>
      </c>
      <c r="AD377" s="23">
        <f>IF(A377="","",IF(COUNTIF(Performance!$B$5:$B$404,A377)=0,"",SUMIFS(Performance!$O$5:$O$404,Performance!$B$5:$B$404,A377)))</f>
        <v>0</v>
      </c>
      <c r="AE377" s="23">
        <f>IF(AD377="","",SUMIFS(Performance!$Z$5:$Z$404,Performance!$B$5:$B$404,A377))</f>
        <v>0</v>
      </c>
      <c r="AF377" s="24">
        <f>IF(OR(AD377="",AD377=0),"",AE377/AD377)</f>
        <v>0</v>
      </c>
      <c r="AG377" s="23">
        <f>IF(AD377="","",SUMIFS(Performance!$U$5:$U$404,Performance!$B$5:$B$404,A377))</f>
        <v>0</v>
      </c>
      <c r="AH377" s="23">
        <f>IF(A377="","",COUNTIF(Repurposing!$B$5:$B$154,A377))</f>
        <v>0</v>
      </c>
      <c r="AI377" s="32">
        <f>IF(OR(H377="",B377=""),"",B377+ROW()/100000)</f>
        <v>0</v>
      </c>
      <c r="AJ377" s="32">
        <f>IF(OR(H377="",B377=""),"",IF(OR(X377="Published",X377="Cancelled",X377="Archived"),"",IF(B377&lt;TODAY(),"",B377+ROW()/100000)))</f>
        <v>0</v>
      </c>
      <c r="AK377" s="32">
        <f>IF(OR(H377="",B377=""),"",IF(OR(X377="Published",X377="Cancelled",X377="Archived"),"",IF(B377&gt;=TODAY(),"",B377+ROW()/100000)))</f>
        <v>0</v>
      </c>
      <c r="AL377" s="29">
        <f>IF(H377="","",IF(COUNTIFS('Content Calendar'!$H$5:$H$604,H377,'Content Calendar'!$G$5:$G$604,G377,'Content Calendar'!$B$5:$B$604,B377)&gt;1,"Duplicate","OK"))</f>
        <v>0</v>
      </c>
      <c r="AM377" s="29">
        <f>IF(H377="","",IF(AND(B377&lt;&gt;"",B377&lt;TODAY(),X377&lt;&gt;"Published",X377&lt;&gt;"Cancelled",X377&lt;&gt;"Archived"),"Overdue - date has passed",IF(AND(X377="Published",AB377=""),"Add - publish link missing",IF(AND(B377=TODAY(),X377&lt;&gt;"Published"),"Today - due to go live",IF(AND(Y377&lt;&gt;"",Y377&lt;TODAY(),OR(X377="Idea",X377="Brief",X377="In production")),"Late - draft not ready",IF(AND(AA377&gt;=0,AA377&lt;=3,OR(X377="Draft",X377="Awaiting review")),"Due - needs approval",IF(AND(H377&lt;&gt;"",P377=""),"Add - caption missing","OK")))))))</f>
        <v>0</v>
      </c>
    </row>
    <row r="378" spans="1:39">
      <c r="A378" s="41">
        <f>IF(H378="","",ContentPrefix&amp;TEXT(ROW()-4,"0000"))</f>
        <v>0</v>
      </c>
      <c r="D378" s="17">
        <f>IF(B378="","",TEXT(B378,"yyyy-mm"))</f>
        <v>0</v>
      </c>
      <c r="E378" s="23">
        <f>IF(B378="","",WEEKNUM(B378,IF(WeekStart="Sunday",1,2)))</f>
        <v>0</v>
      </c>
      <c r="F378" s="17">
        <f>IF(B378="","",TEXT(B378,"ddd"))</f>
        <v>0</v>
      </c>
      <c r="Q378" s="29">
        <f>IF(H378="","",IF(P378="","Add - no caption",IFERROR(INDEX('Caption Bank'!$R$5:$R$204,MATCH(P378,'Caption Bank'!$B$5:$B$204,0)),"Check - not in bank")))</f>
        <v>0</v>
      </c>
      <c r="S378" s="23">
        <f>IF(R378="","",COUNTIF('Hashtag Bank'!$D$5:$D$304,R378))</f>
        <v>0</v>
      </c>
      <c r="U378" s="29">
        <f>IF(H378="","",IF(T378="","Add - no asset",IFERROR(INDEX(Assets!$N$5:$N$254,MATCH(T378,Assets!$A$5:$A$254,0)),"Check - not in library")))</f>
        <v>0</v>
      </c>
      <c r="Y378" s="16">
        <f>IF(B378="","",B378-ProductionDays)</f>
        <v>0</v>
      </c>
      <c r="Z378" s="16">
        <f>IF(B378="","",B378-ApprovalDays)</f>
        <v>0</v>
      </c>
      <c r="AA378" s="23">
        <f>IF(B378="","",B378-TODAY())</f>
        <v>0</v>
      </c>
      <c r="AC378" s="29">
        <f>IF(H378="","",IF(X378="Published",IF(AB378="","Add - link missing","Yes"),"No"))</f>
        <v>0</v>
      </c>
      <c r="AD378" s="23">
        <f>IF(A378="","",IF(COUNTIF(Performance!$B$5:$B$404,A378)=0,"",SUMIFS(Performance!$O$5:$O$404,Performance!$B$5:$B$404,A378)))</f>
        <v>0</v>
      </c>
      <c r="AE378" s="23">
        <f>IF(AD378="","",SUMIFS(Performance!$Z$5:$Z$404,Performance!$B$5:$B$404,A378))</f>
        <v>0</v>
      </c>
      <c r="AF378" s="24">
        <f>IF(OR(AD378="",AD378=0),"",AE378/AD378)</f>
        <v>0</v>
      </c>
      <c r="AG378" s="23">
        <f>IF(AD378="","",SUMIFS(Performance!$U$5:$U$404,Performance!$B$5:$B$404,A378))</f>
        <v>0</v>
      </c>
      <c r="AH378" s="23">
        <f>IF(A378="","",COUNTIF(Repurposing!$B$5:$B$154,A378))</f>
        <v>0</v>
      </c>
      <c r="AI378" s="32">
        <f>IF(OR(H378="",B378=""),"",B378+ROW()/100000)</f>
        <v>0</v>
      </c>
      <c r="AJ378" s="32">
        <f>IF(OR(H378="",B378=""),"",IF(OR(X378="Published",X378="Cancelled",X378="Archived"),"",IF(B378&lt;TODAY(),"",B378+ROW()/100000)))</f>
        <v>0</v>
      </c>
      <c r="AK378" s="32">
        <f>IF(OR(H378="",B378=""),"",IF(OR(X378="Published",X378="Cancelled",X378="Archived"),"",IF(B378&gt;=TODAY(),"",B378+ROW()/100000)))</f>
        <v>0</v>
      </c>
      <c r="AL378" s="29">
        <f>IF(H378="","",IF(COUNTIFS('Content Calendar'!$H$5:$H$604,H378,'Content Calendar'!$G$5:$G$604,G378,'Content Calendar'!$B$5:$B$604,B378)&gt;1,"Duplicate","OK"))</f>
        <v>0</v>
      </c>
      <c r="AM378" s="29">
        <f>IF(H378="","",IF(AND(B378&lt;&gt;"",B378&lt;TODAY(),X378&lt;&gt;"Published",X378&lt;&gt;"Cancelled",X378&lt;&gt;"Archived"),"Overdue - date has passed",IF(AND(X378="Published",AB378=""),"Add - publish link missing",IF(AND(B378=TODAY(),X378&lt;&gt;"Published"),"Today - due to go live",IF(AND(Y378&lt;&gt;"",Y378&lt;TODAY(),OR(X378="Idea",X378="Brief",X378="In production")),"Late - draft not ready",IF(AND(AA378&gt;=0,AA378&lt;=3,OR(X378="Draft",X378="Awaiting review")),"Due - needs approval",IF(AND(H378&lt;&gt;"",P378=""),"Add - caption missing","OK")))))))</f>
        <v>0</v>
      </c>
    </row>
    <row r="379" spans="1:39">
      <c r="A379" s="41">
        <f>IF(H379="","",ContentPrefix&amp;TEXT(ROW()-4,"0000"))</f>
        <v>0</v>
      </c>
      <c r="D379" s="17">
        <f>IF(B379="","",TEXT(B379,"yyyy-mm"))</f>
        <v>0</v>
      </c>
      <c r="E379" s="23">
        <f>IF(B379="","",WEEKNUM(B379,IF(WeekStart="Sunday",1,2)))</f>
        <v>0</v>
      </c>
      <c r="F379" s="17">
        <f>IF(B379="","",TEXT(B379,"ddd"))</f>
        <v>0</v>
      </c>
      <c r="Q379" s="29">
        <f>IF(H379="","",IF(P379="","Add - no caption",IFERROR(INDEX('Caption Bank'!$R$5:$R$204,MATCH(P379,'Caption Bank'!$B$5:$B$204,0)),"Check - not in bank")))</f>
        <v>0</v>
      </c>
      <c r="S379" s="23">
        <f>IF(R379="","",COUNTIF('Hashtag Bank'!$D$5:$D$304,R379))</f>
        <v>0</v>
      </c>
      <c r="U379" s="29">
        <f>IF(H379="","",IF(T379="","Add - no asset",IFERROR(INDEX(Assets!$N$5:$N$254,MATCH(T379,Assets!$A$5:$A$254,0)),"Check - not in library")))</f>
        <v>0</v>
      </c>
      <c r="Y379" s="16">
        <f>IF(B379="","",B379-ProductionDays)</f>
        <v>0</v>
      </c>
      <c r="Z379" s="16">
        <f>IF(B379="","",B379-ApprovalDays)</f>
        <v>0</v>
      </c>
      <c r="AA379" s="23">
        <f>IF(B379="","",B379-TODAY())</f>
        <v>0</v>
      </c>
      <c r="AC379" s="29">
        <f>IF(H379="","",IF(X379="Published",IF(AB379="","Add - link missing","Yes"),"No"))</f>
        <v>0</v>
      </c>
      <c r="AD379" s="23">
        <f>IF(A379="","",IF(COUNTIF(Performance!$B$5:$B$404,A379)=0,"",SUMIFS(Performance!$O$5:$O$404,Performance!$B$5:$B$404,A379)))</f>
        <v>0</v>
      </c>
      <c r="AE379" s="23">
        <f>IF(AD379="","",SUMIFS(Performance!$Z$5:$Z$404,Performance!$B$5:$B$404,A379))</f>
        <v>0</v>
      </c>
      <c r="AF379" s="24">
        <f>IF(OR(AD379="",AD379=0),"",AE379/AD379)</f>
        <v>0</v>
      </c>
      <c r="AG379" s="23">
        <f>IF(AD379="","",SUMIFS(Performance!$U$5:$U$404,Performance!$B$5:$B$404,A379))</f>
        <v>0</v>
      </c>
      <c r="AH379" s="23">
        <f>IF(A379="","",COUNTIF(Repurposing!$B$5:$B$154,A379))</f>
        <v>0</v>
      </c>
      <c r="AI379" s="32">
        <f>IF(OR(H379="",B379=""),"",B379+ROW()/100000)</f>
        <v>0</v>
      </c>
      <c r="AJ379" s="32">
        <f>IF(OR(H379="",B379=""),"",IF(OR(X379="Published",X379="Cancelled",X379="Archived"),"",IF(B379&lt;TODAY(),"",B379+ROW()/100000)))</f>
        <v>0</v>
      </c>
      <c r="AK379" s="32">
        <f>IF(OR(H379="",B379=""),"",IF(OR(X379="Published",X379="Cancelled",X379="Archived"),"",IF(B379&gt;=TODAY(),"",B379+ROW()/100000)))</f>
        <v>0</v>
      </c>
      <c r="AL379" s="29">
        <f>IF(H379="","",IF(COUNTIFS('Content Calendar'!$H$5:$H$604,H379,'Content Calendar'!$G$5:$G$604,G379,'Content Calendar'!$B$5:$B$604,B379)&gt;1,"Duplicate","OK"))</f>
        <v>0</v>
      </c>
      <c r="AM379" s="29">
        <f>IF(H379="","",IF(AND(B379&lt;&gt;"",B379&lt;TODAY(),X379&lt;&gt;"Published",X379&lt;&gt;"Cancelled",X379&lt;&gt;"Archived"),"Overdue - date has passed",IF(AND(X379="Published",AB379=""),"Add - publish link missing",IF(AND(B379=TODAY(),X379&lt;&gt;"Published"),"Today - due to go live",IF(AND(Y379&lt;&gt;"",Y379&lt;TODAY(),OR(X379="Idea",X379="Brief",X379="In production")),"Late - draft not ready",IF(AND(AA379&gt;=0,AA379&lt;=3,OR(X379="Draft",X379="Awaiting review")),"Due - needs approval",IF(AND(H379&lt;&gt;"",P379=""),"Add - caption missing","OK")))))))</f>
        <v>0</v>
      </c>
    </row>
    <row r="380" spans="1:39">
      <c r="A380" s="41">
        <f>IF(H380="","",ContentPrefix&amp;TEXT(ROW()-4,"0000"))</f>
        <v>0</v>
      </c>
      <c r="D380" s="17">
        <f>IF(B380="","",TEXT(B380,"yyyy-mm"))</f>
        <v>0</v>
      </c>
      <c r="E380" s="23">
        <f>IF(B380="","",WEEKNUM(B380,IF(WeekStart="Sunday",1,2)))</f>
        <v>0</v>
      </c>
      <c r="F380" s="17">
        <f>IF(B380="","",TEXT(B380,"ddd"))</f>
        <v>0</v>
      </c>
      <c r="Q380" s="29">
        <f>IF(H380="","",IF(P380="","Add - no caption",IFERROR(INDEX('Caption Bank'!$R$5:$R$204,MATCH(P380,'Caption Bank'!$B$5:$B$204,0)),"Check - not in bank")))</f>
        <v>0</v>
      </c>
      <c r="S380" s="23">
        <f>IF(R380="","",COUNTIF('Hashtag Bank'!$D$5:$D$304,R380))</f>
        <v>0</v>
      </c>
      <c r="U380" s="29">
        <f>IF(H380="","",IF(T380="","Add - no asset",IFERROR(INDEX(Assets!$N$5:$N$254,MATCH(T380,Assets!$A$5:$A$254,0)),"Check - not in library")))</f>
        <v>0</v>
      </c>
      <c r="Y380" s="16">
        <f>IF(B380="","",B380-ProductionDays)</f>
        <v>0</v>
      </c>
      <c r="Z380" s="16">
        <f>IF(B380="","",B380-ApprovalDays)</f>
        <v>0</v>
      </c>
      <c r="AA380" s="23">
        <f>IF(B380="","",B380-TODAY())</f>
        <v>0</v>
      </c>
      <c r="AC380" s="29">
        <f>IF(H380="","",IF(X380="Published",IF(AB380="","Add - link missing","Yes"),"No"))</f>
        <v>0</v>
      </c>
      <c r="AD380" s="23">
        <f>IF(A380="","",IF(COUNTIF(Performance!$B$5:$B$404,A380)=0,"",SUMIFS(Performance!$O$5:$O$404,Performance!$B$5:$B$404,A380)))</f>
        <v>0</v>
      </c>
      <c r="AE380" s="23">
        <f>IF(AD380="","",SUMIFS(Performance!$Z$5:$Z$404,Performance!$B$5:$B$404,A380))</f>
        <v>0</v>
      </c>
      <c r="AF380" s="24">
        <f>IF(OR(AD380="",AD380=0),"",AE380/AD380)</f>
        <v>0</v>
      </c>
      <c r="AG380" s="23">
        <f>IF(AD380="","",SUMIFS(Performance!$U$5:$U$404,Performance!$B$5:$B$404,A380))</f>
        <v>0</v>
      </c>
      <c r="AH380" s="23">
        <f>IF(A380="","",COUNTIF(Repurposing!$B$5:$B$154,A380))</f>
        <v>0</v>
      </c>
      <c r="AI380" s="32">
        <f>IF(OR(H380="",B380=""),"",B380+ROW()/100000)</f>
        <v>0</v>
      </c>
      <c r="AJ380" s="32">
        <f>IF(OR(H380="",B380=""),"",IF(OR(X380="Published",X380="Cancelled",X380="Archived"),"",IF(B380&lt;TODAY(),"",B380+ROW()/100000)))</f>
        <v>0</v>
      </c>
      <c r="AK380" s="32">
        <f>IF(OR(H380="",B380=""),"",IF(OR(X380="Published",X380="Cancelled",X380="Archived"),"",IF(B380&gt;=TODAY(),"",B380+ROW()/100000)))</f>
        <v>0</v>
      </c>
      <c r="AL380" s="29">
        <f>IF(H380="","",IF(COUNTIFS('Content Calendar'!$H$5:$H$604,H380,'Content Calendar'!$G$5:$G$604,G380,'Content Calendar'!$B$5:$B$604,B380)&gt;1,"Duplicate","OK"))</f>
        <v>0</v>
      </c>
      <c r="AM380" s="29">
        <f>IF(H380="","",IF(AND(B380&lt;&gt;"",B380&lt;TODAY(),X380&lt;&gt;"Published",X380&lt;&gt;"Cancelled",X380&lt;&gt;"Archived"),"Overdue - date has passed",IF(AND(X380="Published",AB380=""),"Add - publish link missing",IF(AND(B380=TODAY(),X380&lt;&gt;"Published"),"Today - due to go live",IF(AND(Y380&lt;&gt;"",Y380&lt;TODAY(),OR(X380="Idea",X380="Brief",X380="In production")),"Late - draft not ready",IF(AND(AA380&gt;=0,AA380&lt;=3,OR(X380="Draft",X380="Awaiting review")),"Due - needs approval",IF(AND(H380&lt;&gt;"",P380=""),"Add - caption missing","OK")))))))</f>
        <v>0</v>
      </c>
    </row>
    <row r="381" spans="1:39">
      <c r="A381" s="41">
        <f>IF(H381="","",ContentPrefix&amp;TEXT(ROW()-4,"0000"))</f>
        <v>0</v>
      </c>
      <c r="D381" s="17">
        <f>IF(B381="","",TEXT(B381,"yyyy-mm"))</f>
        <v>0</v>
      </c>
      <c r="E381" s="23">
        <f>IF(B381="","",WEEKNUM(B381,IF(WeekStart="Sunday",1,2)))</f>
        <v>0</v>
      </c>
      <c r="F381" s="17">
        <f>IF(B381="","",TEXT(B381,"ddd"))</f>
        <v>0</v>
      </c>
      <c r="Q381" s="29">
        <f>IF(H381="","",IF(P381="","Add - no caption",IFERROR(INDEX('Caption Bank'!$R$5:$R$204,MATCH(P381,'Caption Bank'!$B$5:$B$204,0)),"Check - not in bank")))</f>
        <v>0</v>
      </c>
      <c r="S381" s="23">
        <f>IF(R381="","",COUNTIF('Hashtag Bank'!$D$5:$D$304,R381))</f>
        <v>0</v>
      </c>
      <c r="U381" s="29">
        <f>IF(H381="","",IF(T381="","Add - no asset",IFERROR(INDEX(Assets!$N$5:$N$254,MATCH(T381,Assets!$A$5:$A$254,0)),"Check - not in library")))</f>
        <v>0</v>
      </c>
      <c r="Y381" s="16">
        <f>IF(B381="","",B381-ProductionDays)</f>
        <v>0</v>
      </c>
      <c r="Z381" s="16">
        <f>IF(B381="","",B381-ApprovalDays)</f>
        <v>0</v>
      </c>
      <c r="AA381" s="23">
        <f>IF(B381="","",B381-TODAY())</f>
        <v>0</v>
      </c>
      <c r="AC381" s="29">
        <f>IF(H381="","",IF(X381="Published",IF(AB381="","Add - link missing","Yes"),"No"))</f>
        <v>0</v>
      </c>
      <c r="AD381" s="23">
        <f>IF(A381="","",IF(COUNTIF(Performance!$B$5:$B$404,A381)=0,"",SUMIFS(Performance!$O$5:$O$404,Performance!$B$5:$B$404,A381)))</f>
        <v>0</v>
      </c>
      <c r="AE381" s="23">
        <f>IF(AD381="","",SUMIFS(Performance!$Z$5:$Z$404,Performance!$B$5:$B$404,A381))</f>
        <v>0</v>
      </c>
      <c r="AF381" s="24">
        <f>IF(OR(AD381="",AD381=0),"",AE381/AD381)</f>
        <v>0</v>
      </c>
      <c r="AG381" s="23">
        <f>IF(AD381="","",SUMIFS(Performance!$U$5:$U$404,Performance!$B$5:$B$404,A381))</f>
        <v>0</v>
      </c>
      <c r="AH381" s="23">
        <f>IF(A381="","",COUNTIF(Repurposing!$B$5:$B$154,A381))</f>
        <v>0</v>
      </c>
      <c r="AI381" s="32">
        <f>IF(OR(H381="",B381=""),"",B381+ROW()/100000)</f>
        <v>0</v>
      </c>
      <c r="AJ381" s="32">
        <f>IF(OR(H381="",B381=""),"",IF(OR(X381="Published",X381="Cancelled",X381="Archived"),"",IF(B381&lt;TODAY(),"",B381+ROW()/100000)))</f>
        <v>0</v>
      </c>
      <c r="AK381" s="32">
        <f>IF(OR(H381="",B381=""),"",IF(OR(X381="Published",X381="Cancelled",X381="Archived"),"",IF(B381&gt;=TODAY(),"",B381+ROW()/100000)))</f>
        <v>0</v>
      </c>
      <c r="AL381" s="29">
        <f>IF(H381="","",IF(COUNTIFS('Content Calendar'!$H$5:$H$604,H381,'Content Calendar'!$G$5:$G$604,G381,'Content Calendar'!$B$5:$B$604,B381)&gt;1,"Duplicate","OK"))</f>
        <v>0</v>
      </c>
      <c r="AM381" s="29">
        <f>IF(H381="","",IF(AND(B381&lt;&gt;"",B381&lt;TODAY(),X381&lt;&gt;"Published",X381&lt;&gt;"Cancelled",X381&lt;&gt;"Archived"),"Overdue - date has passed",IF(AND(X381="Published",AB381=""),"Add - publish link missing",IF(AND(B381=TODAY(),X381&lt;&gt;"Published"),"Today - due to go live",IF(AND(Y381&lt;&gt;"",Y381&lt;TODAY(),OR(X381="Idea",X381="Brief",X381="In production")),"Late - draft not ready",IF(AND(AA381&gt;=0,AA381&lt;=3,OR(X381="Draft",X381="Awaiting review")),"Due - needs approval",IF(AND(H381&lt;&gt;"",P381=""),"Add - caption missing","OK")))))))</f>
        <v>0</v>
      </c>
    </row>
    <row r="382" spans="1:39">
      <c r="A382" s="41">
        <f>IF(H382="","",ContentPrefix&amp;TEXT(ROW()-4,"0000"))</f>
        <v>0</v>
      </c>
      <c r="D382" s="17">
        <f>IF(B382="","",TEXT(B382,"yyyy-mm"))</f>
        <v>0</v>
      </c>
      <c r="E382" s="23">
        <f>IF(B382="","",WEEKNUM(B382,IF(WeekStart="Sunday",1,2)))</f>
        <v>0</v>
      </c>
      <c r="F382" s="17">
        <f>IF(B382="","",TEXT(B382,"ddd"))</f>
        <v>0</v>
      </c>
      <c r="Q382" s="29">
        <f>IF(H382="","",IF(P382="","Add - no caption",IFERROR(INDEX('Caption Bank'!$R$5:$R$204,MATCH(P382,'Caption Bank'!$B$5:$B$204,0)),"Check - not in bank")))</f>
        <v>0</v>
      </c>
      <c r="S382" s="23">
        <f>IF(R382="","",COUNTIF('Hashtag Bank'!$D$5:$D$304,R382))</f>
        <v>0</v>
      </c>
      <c r="U382" s="29">
        <f>IF(H382="","",IF(T382="","Add - no asset",IFERROR(INDEX(Assets!$N$5:$N$254,MATCH(T382,Assets!$A$5:$A$254,0)),"Check - not in library")))</f>
        <v>0</v>
      </c>
      <c r="Y382" s="16">
        <f>IF(B382="","",B382-ProductionDays)</f>
        <v>0</v>
      </c>
      <c r="Z382" s="16">
        <f>IF(B382="","",B382-ApprovalDays)</f>
        <v>0</v>
      </c>
      <c r="AA382" s="23">
        <f>IF(B382="","",B382-TODAY())</f>
        <v>0</v>
      </c>
      <c r="AC382" s="29">
        <f>IF(H382="","",IF(X382="Published",IF(AB382="","Add - link missing","Yes"),"No"))</f>
        <v>0</v>
      </c>
      <c r="AD382" s="23">
        <f>IF(A382="","",IF(COUNTIF(Performance!$B$5:$B$404,A382)=0,"",SUMIFS(Performance!$O$5:$O$404,Performance!$B$5:$B$404,A382)))</f>
        <v>0</v>
      </c>
      <c r="AE382" s="23">
        <f>IF(AD382="","",SUMIFS(Performance!$Z$5:$Z$404,Performance!$B$5:$B$404,A382))</f>
        <v>0</v>
      </c>
      <c r="AF382" s="24">
        <f>IF(OR(AD382="",AD382=0),"",AE382/AD382)</f>
        <v>0</v>
      </c>
      <c r="AG382" s="23">
        <f>IF(AD382="","",SUMIFS(Performance!$U$5:$U$404,Performance!$B$5:$B$404,A382))</f>
        <v>0</v>
      </c>
      <c r="AH382" s="23">
        <f>IF(A382="","",COUNTIF(Repurposing!$B$5:$B$154,A382))</f>
        <v>0</v>
      </c>
      <c r="AI382" s="32">
        <f>IF(OR(H382="",B382=""),"",B382+ROW()/100000)</f>
        <v>0</v>
      </c>
      <c r="AJ382" s="32">
        <f>IF(OR(H382="",B382=""),"",IF(OR(X382="Published",X382="Cancelled",X382="Archived"),"",IF(B382&lt;TODAY(),"",B382+ROW()/100000)))</f>
        <v>0</v>
      </c>
      <c r="AK382" s="32">
        <f>IF(OR(H382="",B382=""),"",IF(OR(X382="Published",X382="Cancelled",X382="Archived"),"",IF(B382&gt;=TODAY(),"",B382+ROW()/100000)))</f>
        <v>0</v>
      </c>
      <c r="AL382" s="29">
        <f>IF(H382="","",IF(COUNTIFS('Content Calendar'!$H$5:$H$604,H382,'Content Calendar'!$G$5:$G$604,G382,'Content Calendar'!$B$5:$B$604,B382)&gt;1,"Duplicate","OK"))</f>
        <v>0</v>
      </c>
      <c r="AM382" s="29">
        <f>IF(H382="","",IF(AND(B382&lt;&gt;"",B382&lt;TODAY(),X382&lt;&gt;"Published",X382&lt;&gt;"Cancelled",X382&lt;&gt;"Archived"),"Overdue - date has passed",IF(AND(X382="Published",AB382=""),"Add - publish link missing",IF(AND(B382=TODAY(),X382&lt;&gt;"Published"),"Today - due to go live",IF(AND(Y382&lt;&gt;"",Y382&lt;TODAY(),OR(X382="Idea",X382="Brief",X382="In production")),"Late - draft not ready",IF(AND(AA382&gt;=0,AA382&lt;=3,OR(X382="Draft",X382="Awaiting review")),"Due - needs approval",IF(AND(H382&lt;&gt;"",P382=""),"Add - caption missing","OK")))))))</f>
        <v>0</v>
      </c>
    </row>
    <row r="383" spans="1:39">
      <c r="A383" s="41">
        <f>IF(H383="","",ContentPrefix&amp;TEXT(ROW()-4,"0000"))</f>
        <v>0</v>
      </c>
      <c r="D383" s="17">
        <f>IF(B383="","",TEXT(B383,"yyyy-mm"))</f>
        <v>0</v>
      </c>
      <c r="E383" s="23">
        <f>IF(B383="","",WEEKNUM(B383,IF(WeekStart="Sunday",1,2)))</f>
        <v>0</v>
      </c>
      <c r="F383" s="17">
        <f>IF(B383="","",TEXT(B383,"ddd"))</f>
        <v>0</v>
      </c>
      <c r="Q383" s="29">
        <f>IF(H383="","",IF(P383="","Add - no caption",IFERROR(INDEX('Caption Bank'!$R$5:$R$204,MATCH(P383,'Caption Bank'!$B$5:$B$204,0)),"Check - not in bank")))</f>
        <v>0</v>
      </c>
      <c r="S383" s="23">
        <f>IF(R383="","",COUNTIF('Hashtag Bank'!$D$5:$D$304,R383))</f>
        <v>0</v>
      </c>
      <c r="U383" s="29">
        <f>IF(H383="","",IF(T383="","Add - no asset",IFERROR(INDEX(Assets!$N$5:$N$254,MATCH(T383,Assets!$A$5:$A$254,0)),"Check - not in library")))</f>
        <v>0</v>
      </c>
      <c r="Y383" s="16">
        <f>IF(B383="","",B383-ProductionDays)</f>
        <v>0</v>
      </c>
      <c r="Z383" s="16">
        <f>IF(B383="","",B383-ApprovalDays)</f>
        <v>0</v>
      </c>
      <c r="AA383" s="23">
        <f>IF(B383="","",B383-TODAY())</f>
        <v>0</v>
      </c>
      <c r="AC383" s="29">
        <f>IF(H383="","",IF(X383="Published",IF(AB383="","Add - link missing","Yes"),"No"))</f>
        <v>0</v>
      </c>
      <c r="AD383" s="23">
        <f>IF(A383="","",IF(COUNTIF(Performance!$B$5:$B$404,A383)=0,"",SUMIFS(Performance!$O$5:$O$404,Performance!$B$5:$B$404,A383)))</f>
        <v>0</v>
      </c>
      <c r="AE383" s="23">
        <f>IF(AD383="","",SUMIFS(Performance!$Z$5:$Z$404,Performance!$B$5:$B$404,A383))</f>
        <v>0</v>
      </c>
      <c r="AF383" s="24">
        <f>IF(OR(AD383="",AD383=0),"",AE383/AD383)</f>
        <v>0</v>
      </c>
      <c r="AG383" s="23">
        <f>IF(AD383="","",SUMIFS(Performance!$U$5:$U$404,Performance!$B$5:$B$404,A383))</f>
        <v>0</v>
      </c>
      <c r="AH383" s="23">
        <f>IF(A383="","",COUNTIF(Repurposing!$B$5:$B$154,A383))</f>
        <v>0</v>
      </c>
      <c r="AI383" s="32">
        <f>IF(OR(H383="",B383=""),"",B383+ROW()/100000)</f>
        <v>0</v>
      </c>
      <c r="AJ383" s="32">
        <f>IF(OR(H383="",B383=""),"",IF(OR(X383="Published",X383="Cancelled",X383="Archived"),"",IF(B383&lt;TODAY(),"",B383+ROW()/100000)))</f>
        <v>0</v>
      </c>
      <c r="AK383" s="32">
        <f>IF(OR(H383="",B383=""),"",IF(OR(X383="Published",X383="Cancelled",X383="Archived"),"",IF(B383&gt;=TODAY(),"",B383+ROW()/100000)))</f>
        <v>0</v>
      </c>
      <c r="AL383" s="29">
        <f>IF(H383="","",IF(COUNTIFS('Content Calendar'!$H$5:$H$604,H383,'Content Calendar'!$G$5:$G$604,G383,'Content Calendar'!$B$5:$B$604,B383)&gt;1,"Duplicate","OK"))</f>
        <v>0</v>
      </c>
      <c r="AM383" s="29">
        <f>IF(H383="","",IF(AND(B383&lt;&gt;"",B383&lt;TODAY(),X383&lt;&gt;"Published",X383&lt;&gt;"Cancelled",X383&lt;&gt;"Archived"),"Overdue - date has passed",IF(AND(X383="Published",AB383=""),"Add - publish link missing",IF(AND(B383=TODAY(),X383&lt;&gt;"Published"),"Today - due to go live",IF(AND(Y383&lt;&gt;"",Y383&lt;TODAY(),OR(X383="Idea",X383="Brief",X383="In production")),"Late - draft not ready",IF(AND(AA383&gt;=0,AA383&lt;=3,OR(X383="Draft",X383="Awaiting review")),"Due - needs approval",IF(AND(H383&lt;&gt;"",P383=""),"Add - caption missing","OK")))))))</f>
        <v>0</v>
      </c>
    </row>
    <row r="384" spans="1:39">
      <c r="A384" s="41">
        <f>IF(H384="","",ContentPrefix&amp;TEXT(ROW()-4,"0000"))</f>
        <v>0</v>
      </c>
      <c r="D384" s="17">
        <f>IF(B384="","",TEXT(B384,"yyyy-mm"))</f>
        <v>0</v>
      </c>
      <c r="E384" s="23">
        <f>IF(B384="","",WEEKNUM(B384,IF(WeekStart="Sunday",1,2)))</f>
        <v>0</v>
      </c>
      <c r="F384" s="17">
        <f>IF(B384="","",TEXT(B384,"ddd"))</f>
        <v>0</v>
      </c>
      <c r="Q384" s="29">
        <f>IF(H384="","",IF(P384="","Add - no caption",IFERROR(INDEX('Caption Bank'!$R$5:$R$204,MATCH(P384,'Caption Bank'!$B$5:$B$204,0)),"Check - not in bank")))</f>
        <v>0</v>
      </c>
      <c r="S384" s="23">
        <f>IF(R384="","",COUNTIF('Hashtag Bank'!$D$5:$D$304,R384))</f>
        <v>0</v>
      </c>
      <c r="U384" s="29">
        <f>IF(H384="","",IF(T384="","Add - no asset",IFERROR(INDEX(Assets!$N$5:$N$254,MATCH(T384,Assets!$A$5:$A$254,0)),"Check - not in library")))</f>
        <v>0</v>
      </c>
      <c r="Y384" s="16">
        <f>IF(B384="","",B384-ProductionDays)</f>
        <v>0</v>
      </c>
      <c r="Z384" s="16">
        <f>IF(B384="","",B384-ApprovalDays)</f>
        <v>0</v>
      </c>
      <c r="AA384" s="23">
        <f>IF(B384="","",B384-TODAY())</f>
        <v>0</v>
      </c>
      <c r="AC384" s="29">
        <f>IF(H384="","",IF(X384="Published",IF(AB384="","Add - link missing","Yes"),"No"))</f>
        <v>0</v>
      </c>
      <c r="AD384" s="23">
        <f>IF(A384="","",IF(COUNTIF(Performance!$B$5:$B$404,A384)=0,"",SUMIFS(Performance!$O$5:$O$404,Performance!$B$5:$B$404,A384)))</f>
        <v>0</v>
      </c>
      <c r="AE384" s="23">
        <f>IF(AD384="","",SUMIFS(Performance!$Z$5:$Z$404,Performance!$B$5:$B$404,A384))</f>
        <v>0</v>
      </c>
      <c r="AF384" s="24">
        <f>IF(OR(AD384="",AD384=0),"",AE384/AD384)</f>
        <v>0</v>
      </c>
      <c r="AG384" s="23">
        <f>IF(AD384="","",SUMIFS(Performance!$U$5:$U$404,Performance!$B$5:$B$404,A384))</f>
        <v>0</v>
      </c>
      <c r="AH384" s="23">
        <f>IF(A384="","",COUNTIF(Repurposing!$B$5:$B$154,A384))</f>
        <v>0</v>
      </c>
      <c r="AI384" s="32">
        <f>IF(OR(H384="",B384=""),"",B384+ROW()/100000)</f>
        <v>0</v>
      </c>
      <c r="AJ384" s="32">
        <f>IF(OR(H384="",B384=""),"",IF(OR(X384="Published",X384="Cancelled",X384="Archived"),"",IF(B384&lt;TODAY(),"",B384+ROW()/100000)))</f>
        <v>0</v>
      </c>
      <c r="AK384" s="32">
        <f>IF(OR(H384="",B384=""),"",IF(OR(X384="Published",X384="Cancelled",X384="Archived"),"",IF(B384&gt;=TODAY(),"",B384+ROW()/100000)))</f>
        <v>0</v>
      </c>
      <c r="AL384" s="29">
        <f>IF(H384="","",IF(COUNTIFS('Content Calendar'!$H$5:$H$604,H384,'Content Calendar'!$G$5:$G$604,G384,'Content Calendar'!$B$5:$B$604,B384)&gt;1,"Duplicate","OK"))</f>
        <v>0</v>
      </c>
      <c r="AM384" s="29">
        <f>IF(H384="","",IF(AND(B384&lt;&gt;"",B384&lt;TODAY(),X384&lt;&gt;"Published",X384&lt;&gt;"Cancelled",X384&lt;&gt;"Archived"),"Overdue - date has passed",IF(AND(X384="Published",AB384=""),"Add - publish link missing",IF(AND(B384=TODAY(),X384&lt;&gt;"Published"),"Today - due to go live",IF(AND(Y384&lt;&gt;"",Y384&lt;TODAY(),OR(X384="Idea",X384="Brief",X384="In production")),"Late - draft not ready",IF(AND(AA384&gt;=0,AA384&lt;=3,OR(X384="Draft",X384="Awaiting review")),"Due - needs approval",IF(AND(H384&lt;&gt;"",P384=""),"Add - caption missing","OK")))))))</f>
        <v>0</v>
      </c>
    </row>
    <row r="385" spans="1:39">
      <c r="A385" s="41">
        <f>IF(H385="","",ContentPrefix&amp;TEXT(ROW()-4,"0000"))</f>
        <v>0</v>
      </c>
      <c r="D385" s="17">
        <f>IF(B385="","",TEXT(B385,"yyyy-mm"))</f>
        <v>0</v>
      </c>
      <c r="E385" s="23">
        <f>IF(B385="","",WEEKNUM(B385,IF(WeekStart="Sunday",1,2)))</f>
        <v>0</v>
      </c>
      <c r="F385" s="17">
        <f>IF(B385="","",TEXT(B385,"ddd"))</f>
        <v>0</v>
      </c>
      <c r="Q385" s="29">
        <f>IF(H385="","",IF(P385="","Add - no caption",IFERROR(INDEX('Caption Bank'!$R$5:$R$204,MATCH(P385,'Caption Bank'!$B$5:$B$204,0)),"Check - not in bank")))</f>
        <v>0</v>
      </c>
      <c r="S385" s="23">
        <f>IF(R385="","",COUNTIF('Hashtag Bank'!$D$5:$D$304,R385))</f>
        <v>0</v>
      </c>
      <c r="U385" s="29">
        <f>IF(H385="","",IF(T385="","Add - no asset",IFERROR(INDEX(Assets!$N$5:$N$254,MATCH(T385,Assets!$A$5:$A$254,0)),"Check - not in library")))</f>
        <v>0</v>
      </c>
      <c r="Y385" s="16">
        <f>IF(B385="","",B385-ProductionDays)</f>
        <v>0</v>
      </c>
      <c r="Z385" s="16">
        <f>IF(B385="","",B385-ApprovalDays)</f>
        <v>0</v>
      </c>
      <c r="AA385" s="23">
        <f>IF(B385="","",B385-TODAY())</f>
        <v>0</v>
      </c>
      <c r="AC385" s="29">
        <f>IF(H385="","",IF(X385="Published",IF(AB385="","Add - link missing","Yes"),"No"))</f>
        <v>0</v>
      </c>
      <c r="AD385" s="23">
        <f>IF(A385="","",IF(COUNTIF(Performance!$B$5:$B$404,A385)=0,"",SUMIFS(Performance!$O$5:$O$404,Performance!$B$5:$B$404,A385)))</f>
        <v>0</v>
      </c>
      <c r="AE385" s="23">
        <f>IF(AD385="","",SUMIFS(Performance!$Z$5:$Z$404,Performance!$B$5:$B$404,A385))</f>
        <v>0</v>
      </c>
      <c r="AF385" s="24">
        <f>IF(OR(AD385="",AD385=0),"",AE385/AD385)</f>
        <v>0</v>
      </c>
      <c r="AG385" s="23">
        <f>IF(AD385="","",SUMIFS(Performance!$U$5:$U$404,Performance!$B$5:$B$404,A385))</f>
        <v>0</v>
      </c>
      <c r="AH385" s="23">
        <f>IF(A385="","",COUNTIF(Repurposing!$B$5:$B$154,A385))</f>
        <v>0</v>
      </c>
      <c r="AI385" s="32">
        <f>IF(OR(H385="",B385=""),"",B385+ROW()/100000)</f>
        <v>0</v>
      </c>
      <c r="AJ385" s="32">
        <f>IF(OR(H385="",B385=""),"",IF(OR(X385="Published",X385="Cancelled",X385="Archived"),"",IF(B385&lt;TODAY(),"",B385+ROW()/100000)))</f>
        <v>0</v>
      </c>
      <c r="AK385" s="32">
        <f>IF(OR(H385="",B385=""),"",IF(OR(X385="Published",X385="Cancelled",X385="Archived"),"",IF(B385&gt;=TODAY(),"",B385+ROW()/100000)))</f>
        <v>0</v>
      </c>
      <c r="AL385" s="29">
        <f>IF(H385="","",IF(COUNTIFS('Content Calendar'!$H$5:$H$604,H385,'Content Calendar'!$G$5:$G$604,G385,'Content Calendar'!$B$5:$B$604,B385)&gt;1,"Duplicate","OK"))</f>
        <v>0</v>
      </c>
      <c r="AM385" s="29">
        <f>IF(H385="","",IF(AND(B385&lt;&gt;"",B385&lt;TODAY(),X385&lt;&gt;"Published",X385&lt;&gt;"Cancelled",X385&lt;&gt;"Archived"),"Overdue - date has passed",IF(AND(X385="Published",AB385=""),"Add - publish link missing",IF(AND(B385=TODAY(),X385&lt;&gt;"Published"),"Today - due to go live",IF(AND(Y385&lt;&gt;"",Y385&lt;TODAY(),OR(X385="Idea",X385="Brief",X385="In production")),"Late - draft not ready",IF(AND(AA385&gt;=0,AA385&lt;=3,OR(X385="Draft",X385="Awaiting review")),"Due - needs approval",IF(AND(H385&lt;&gt;"",P385=""),"Add - caption missing","OK")))))))</f>
        <v>0</v>
      </c>
    </row>
    <row r="386" spans="1:39">
      <c r="A386" s="41">
        <f>IF(H386="","",ContentPrefix&amp;TEXT(ROW()-4,"0000"))</f>
        <v>0</v>
      </c>
      <c r="D386" s="17">
        <f>IF(B386="","",TEXT(B386,"yyyy-mm"))</f>
        <v>0</v>
      </c>
      <c r="E386" s="23">
        <f>IF(B386="","",WEEKNUM(B386,IF(WeekStart="Sunday",1,2)))</f>
        <v>0</v>
      </c>
      <c r="F386" s="17">
        <f>IF(B386="","",TEXT(B386,"ddd"))</f>
        <v>0</v>
      </c>
      <c r="Q386" s="29">
        <f>IF(H386="","",IF(P386="","Add - no caption",IFERROR(INDEX('Caption Bank'!$R$5:$R$204,MATCH(P386,'Caption Bank'!$B$5:$B$204,0)),"Check - not in bank")))</f>
        <v>0</v>
      </c>
      <c r="S386" s="23">
        <f>IF(R386="","",COUNTIF('Hashtag Bank'!$D$5:$D$304,R386))</f>
        <v>0</v>
      </c>
      <c r="U386" s="29">
        <f>IF(H386="","",IF(T386="","Add - no asset",IFERROR(INDEX(Assets!$N$5:$N$254,MATCH(T386,Assets!$A$5:$A$254,0)),"Check - not in library")))</f>
        <v>0</v>
      </c>
      <c r="Y386" s="16">
        <f>IF(B386="","",B386-ProductionDays)</f>
        <v>0</v>
      </c>
      <c r="Z386" s="16">
        <f>IF(B386="","",B386-ApprovalDays)</f>
        <v>0</v>
      </c>
      <c r="AA386" s="23">
        <f>IF(B386="","",B386-TODAY())</f>
        <v>0</v>
      </c>
      <c r="AC386" s="29">
        <f>IF(H386="","",IF(X386="Published",IF(AB386="","Add - link missing","Yes"),"No"))</f>
        <v>0</v>
      </c>
      <c r="AD386" s="23">
        <f>IF(A386="","",IF(COUNTIF(Performance!$B$5:$B$404,A386)=0,"",SUMIFS(Performance!$O$5:$O$404,Performance!$B$5:$B$404,A386)))</f>
        <v>0</v>
      </c>
      <c r="AE386" s="23">
        <f>IF(AD386="","",SUMIFS(Performance!$Z$5:$Z$404,Performance!$B$5:$B$404,A386))</f>
        <v>0</v>
      </c>
      <c r="AF386" s="24">
        <f>IF(OR(AD386="",AD386=0),"",AE386/AD386)</f>
        <v>0</v>
      </c>
      <c r="AG386" s="23">
        <f>IF(AD386="","",SUMIFS(Performance!$U$5:$U$404,Performance!$B$5:$B$404,A386))</f>
        <v>0</v>
      </c>
      <c r="AH386" s="23">
        <f>IF(A386="","",COUNTIF(Repurposing!$B$5:$B$154,A386))</f>
        <v>0</v>
      </c>
      <c r="AI386" s="32">
        <f>IF(OR(H386="",B386=""),"",B386+ROW()/100000)</f>
        <v>0</v>
      </c>
      <c r="AJ386" s="32">
        <f>IF(OR(H386="",B386=""),"",IF(OR(X386="Published",X386="Cancelled",X386="Archived"),"",IF(B386&lt;TODAY(),"",B386+ROW()/100000)))</f>
        <v>0</v>
      </c>
      <c r="AK386" s="32">
        <f>IF(OR(H386="",B386=""),"",IF(OR(X386="Published",X386="Cancelled",X386="Archived"),"",IF(B386&gt;=TODAY(),"",B386+ROW()/100000)))</f>
        <v>0</v>
      </c>
      <c r="AL386" s="29">
        <f>IF(H386="","",IF(COUNTIFS('Content Calendar'!$H$5:$H$604,H386,'Content Calendar'!$G$5:$G$604,G386,'Content Calendar'!$B$5:$B$604,B386)&gt;1,"Duplicate","OK"))</f>
        <v>0</v>
      </c>
      <c r="AM386" s="29">
        <f>IF(H386="","",IF(AND(B386&lt;&gt;"",B386&lt;TODAY(),X386&lt;&gt;"Published",X386&lt;&gt;"Cancelled",X386&lt;&gt;"Archived"),"Overdue - date has passed",IF(AND(X386="Published",AB386=""),"Add - publish link missing",IF(AND(B386=TODAY(),X386&lt;&gt;"Published"),"Today - due to go live",IF(AND(Y386&lt;&gt;"",Y386&lt;TODAY(),OR(X386="Idea",X386="Brief",X386="In production")),"Late - draft not ready",IF(AND(AA386&gt;=0,AA386&lt;=3,OR(X386="Draft",X386="Awaiting review")),"Due - needs approval",IF(AND(H386&lt;&gt;"",P386=""),"Add - caption missing","OK")))))))</f>
        <v>0</v>
      </c>
    </row>
    <row r="387" spans="1:39">
      <c r="A387" s="41">
        <f>IF(H387="","",ContentPrefix&amp;TEXT(ROW()-4,"0000"))</f>
        <v>0</v>
      </c>
      <c r="D387" s="17">
        <f>IF(B387="","",TEXT(B387,"yyyy-mm"))</f>
        <v>0</v>
      </c>
      <c r="E387" s="23">
        <f>IF(B387="","",WEEKNUM(B387,IF(WeekStart="Sunday",1,2)))</f>
        <v>0</v>
      </c>
      <c r="F387" s="17">
        <f>IF(B387="","",TEXT(B387,"ddd"))</f>
        <v>0</v>
      </c>
      <c r="Q387" s="29">
        <f>IF(H387="","",IF(P387="","Add - no caption",IFERROR(INDEX('Caption Bank'!$R$5:$R$204,MATCH(P387,'Caption Bank'!$B$5:$B$204,0)),"Check - not in bank")))</f>
        <v>0</v>
      </c>
      <c r="S387" s="23">
        <f>IF(R387="","",COUNTIF('Hashtag Bank'!$D$5:$D$304,R387))</f>
        <v>0</v>
      </c>
      <c r="U387" s="29">
        <f>IF(H387="","",IF(T387="","Add - no asset",IFERROR(INDEX(Assets!$N$5:$N$254,MATCH(T387,Assets!$A$5:$A$254,0)),"Check - not in library")))</f>
        <v>0</v>
      </c>
      <c r="Y387" s="16">
        <f>IF(B387="","",B387-ProductionDays)</f>
        <v>0</v>
      </c>
      <c r="Z387" s="16">
        <f>IF(B387="","",B387-ApprovalDays)</f>
        <v>0</v>
      </c>
      <c r="AA387" s="23">
        <f>IF(B387="","",B387-TODAY())</f>
        <v>0</v>
      </c>
      <c r="AC387" s="29">
        <f>IF(H387="","",IF(X387="Published",IF(AB387="","Add - link missing","Yes"),"No"))</f>
        <v>0</v>
      </c>
      <c r="AD387" s="23">
        <f>IF(A387="","",IF(COUNTIF(Performance!$B$5:$B$404,A387)=0,"",SUMIFS(Performance!$O$5:$O$404,Performance!$B$5:$B$404,A387)))</f>
        <v>0</v>
      </c>
      <c r="AE387" s="23">
        <f>IF(AD387="","",SUMIFS(Performance!$Z$5:$Z$404,Performance!$B$5:$B$404,A387))</f>
        <v>0</v>
      </c>
      <c r="AF387" s="24">
        <f>IF(OR(AD387="",AD387=0),"",AE387/AD387)</f>
        <v>0</v>
      </c>
      <c r="AG387" s="23">
        <f>IF(AD387="","",SUMIFS(Performance!$U$5:$U$404,Performance!$B$5:$B$404,A387))</f>
        <v>0</v>
      </c>
      <c r="AH387" s="23">
        <f>IF(A387="","",COUNTIF(Repurposing!$B$5:$B$154,A387))</f>
        <v>0</v>
      </c>
      <c r="AI387" s="32">
        <f>IF(OR(H387="",B387=""),"",B387+ROW()/100000)</f>
        <v>0</v>
      </c>
      <c r="AJ387" s="32">
        <f>IF(OR(H387="",B387=""),"",IF(OR(X387="Published",X387="Cancelled",X387="Archived"),"",IF(B387&lt;TODAY(),"",B387+ROW()/100000)))</f>
        <v>0</v>
      </c>
      <c r="AK387" s="32">
        <f>IF(OR(H387="",B387=""),"",IF(OR(X387="Published",X387="Cancelled",X387="Archived"),"",IF(B387&gt;=TODAY(),"",B387+ROW()/100000)))</f>
        <v>0</v>
      </c>
      <c r="AL387" s="29">
        <f>IF(H387="","",IF(COUNTIFS('Content Calendar'!$H$5:$H$604,H387,'Content Calendar'!$G$5:$G$604,G387,'Content Calendar'!$B$5:$B$604,B387)&gt;1,"Duplicate","OK"))</f>
        <v>0</v>
      </c>
      <c r="AM387" s="29">
        <f>IF(H387="","",IF(AND(B387&lt;&gt;"",B387&lt;TODAY(),X387&lt;&gt;"Published",X387&lt;&gt;"Cancelled",X387&lt;&gt;"Archived"),"Overdue - date has passed",IF(AND(X387="Published",AB387=""),"Add - publish link missing",IF(AND(B387=TODAY(),X387&lt;&gt;"Published"),"Today - due to go live",IF(AND(Y387&lt;&gt;"",Y387&lt;TODAY(),OR(X387="Idea",X387="Brief",X387="In production")),"Late - draft not ready",IF(AND(AA387&gt;=0,AA387&lt;=3,OR(X387="Draft",X387="Awaiting review")),"Due - needs approval",IF(AND(H387&lt;&gt;"",P387=""),"Add - caption missing","OK")))))))</f>
        <v>0</v>
      </c>
    </row>
    <row r="388" spans="1:39">
      <c r="A388" s="41">
        <f>IF(H388="","",ContentPrefix&amp;TEXT(ROW()-4,"0000"))</f>
        <v>0</v>
      </c>
      <c r="D388" s="17">
        <f>IF(B388="","",TEXT(B388,"yyyy-mm"))</f>
        <v>0</v>
      </c>
      <c r="E388" s="23">
        <f>IF(B388="","",WEEKNUM(B388,IF(WeekStart="Sunday",1,2)))</f>
        <v>0</v>
      </c>
      <c r="F388" s="17">
        <f>IF(B388="","",TEXT(B388,"ddd"))</f>
        <v>0</v>
      </c>
      <c r="Q388" s="29">
        <f>IF(H388="","",IF(P388="","Add - no caption",IFERROR(INDEX('Caption Bank'!$R$5:$R$204,MATCH(P388,'Caption Bank'!$B$5:$B$204,0)),"Check - not in bank")))</f>
        <v>0</v>
      </c>
      <c r="S388" s="23">
        <f>IF(R388="","",COUNTIF('Hashtag Bank'!$D$5:$D$304,R388))</f>
        <v>0</v>
      </c>
      <c r="U388" s="29">
        <f>IF(H388="","",IF(T388="","Add - no asset",IFERROR(INDEX(Assets!$N$5:$N$254,MATCH(T388,Assets!$A$5:$A$254,0)),"Check - not in library")))</f>
        <v>0</v>
      </c>
      <c r="Y388" s="16">
        <f>IF(B388="","",B388-ProductionDays)</f>
        <v>0</v>
      </c>
      <c r="Z388" s="16">
        <f>IF(B388="","",B388-ApprovalDays)</f>
        <v>0</v>
      </c>
      <c r="AA388" s="23">
        <f>IF(B388="","",B388-TODAY())</f>
        <v>0</v>
      </c>
      <c r="AC388" s="29">
        <f>IF(H388="","",IF(X388="Published",IF(AB388="","Add - link missing","Yes"),"No"))</f>
        <v>0</v>
      </c>
      <c r="AD388" s="23">
        <f>IF(A388="","",IF(COUNTIF(Performance!$B$5:$B$404,A388)=0,"",SUMIFS(Performance!$O$5:$O$404,Performance!$B$5:$B$404,A388)))</f>
        <v>0</v>
      </c>
      <c r="AE388" s="23">
        <f>IF(AD388="","",SUMIFS(Performance!$Z$5:$Z$404,Performance!$B$5:$B$404,A388))</f>
        <v>0</v>
      </c>
      <c r="AF388" s="24">
        <f>IF(OR(AD388="",AD388=0),"",AE388/AD388)</f>
        <v>0</v>
      </c>
      <c r="AG388" s="23">
        <f>IF(AD388="","",SUMIFS(Performance!$U$5:$U$404,Performance!$B$5:$B$404,A388))</f>
        <v>0</v>
      </c>
      <c r="AH388" s="23">
        <f>IF(A388="","",COUNTIF(Repurposing!$B$5:$B$154,A388))</f>
        <v>0</v>
      </c>
      <c r="AI388" s="32">
        <f>IF(OR(H388="",B388=""),"",B388+ROW()/100000)</f>
        <v>0</v>
      </c>
      <c r="AJ388" s="32">
        <f>IF(OR(H388="",B388=""),"",IF(OR(X388="Published",X388="Cancelled",X388="Archived"),"",IF(B388&lt;TODAY(),"",B388+ROW()/100000)))</f>
        <v>0</v>
      </c>
      <c r="AK388" s="32">
        <f>IF(OR(H388="",B388=""),"",IF(OR(X388="Published",X388="Cancelled",X388="Archived"),"",IF(B388&gt;=TODAY(),"",B388+ROW()/100000)))</f>
        <v>0</v>
      </c>
      <c r="AL388" s="29">
        <f>IF(H388="","",IF(COUNTIFS('Content Calendar'!$H$5:$H$604,H388,'Content Calendar'!$G$5:$G$604,G388,'Content Calendar'!$B$5:$B$604,B388)&gt;1,"Duplicate","OK"))</f>
        <v>0</v>
      </c>
      <c r="AM388" s="29">
        <f>IF(H388="","",IF(AND(B388&lt;&gt;"",B388&lt;TODAY(),X388&lt;&gt;"Published",X388&lt;&gt;"Cancelled",X388&lt;&gt;"Archived"),"Overdue - date has passed",IF(AND(X388="Published",AB388=""),"Add - publish link missing",IF(AND(B388=TODAY(),X388&lt;&gt;"Published"),"Today - due to go live",IF(AND(Y388&lt;&gt;"",Y388&lt;TODAY(),OR(X388="Idea",X388="Brief",X388="In production")),"Late - draft not ready",IF(AND(AA388&gt;=0,AA388&lt;=3,OR(X388="Draft",X388="Awaiting review")),"Due - needs approval",IF(AND(H388&lt;&gt;"",P388=""),"Add - caption missing","OK")))))))</f>
        <v>0</v>
      </c>
    </row>
    <row r="389" spans="1:39">
      <c r="A389" s="41">
        <f>IF(H389="","",ContentPrefix&amp;TEXT(ROW()-4,"0000"))</f>
        <v>0</v>
      </c>
      <c r="D389" s="17">
        <f>IF(B389="","",TEXT(B389,"yyyy-mm"))</f>
        <v>0</v>
      </c>
      <c r="E389" s="23">
        <f>IF(B389="","",WEEKNUM(B389,IF(WeekStart="Sunday",1,2)))</f>
        <v>0</v>
      </c>
      <c r="F389" s="17">
        <f>IF(B389="","",TEXT(B389,"ddd"))</f>
        <v>0</v>
      </c>
      <c r="Q389" s="29">
        <f>IF(H389="","",IF(P389="","Add - no caption",IFERROR(INDEX('Caption Bank'!$R$5:$R$204,MATCH(P389,'Caption Bank'!$B$5:$B$204,0)),"Check - not in bank")))</f>
        <v>0</v>
      </c>
      <c r="S389" s="23">
        <f>IF(R389="","",COUNTIF('Hashtag Bank'!$D$5:$D$304,R389))</f>
        <v>0</v>
      </c>
      <c r="U389" s="29">
        <f>IF(H389="","",IF(T389="","Add - no asset",IFERROR(INDEX(Assets!$N$5:$N$254,MATCH(T389,Assets!$A$5:$A$254,0)),"Check - not in library")))</f>
        <v>0</v>
      </c>
      <c r="Y389" s="16">
        <f>IF(B389="","",B389-ProductionDays)</f>
        <v>0</v>
      </c>
      <c r="Z389" s="16">
        <f>IF(B389="","",B389-ApprovalDays)</f>
        <v>0</v>
      </c>
      <c r="AA389" s="23">
        <f>IF(B389="","",B389-TODAY())</f>
        <v>0</v>
      </c>
      <c r="AC389" s="29">
        <f>IF(H389="","",IF(X389="Published",IF(AB389="","Add - link missing","Yes"),"No"))</f>
        <v>0</v>
      </c>
      <c r="AD389" s="23">
        <f>IF(A389="","",IF(COUNTIF(Performance!$B$5:$B$404,A389)=0,"",SUMIFS(Performance!$O$5:$O$404,Performance!$B$5:$B$404,A389)))</f>
        <v>0</v>
      </c>
      <c r="AE389" s="23">
        <f>IF(AD389="","",SUMIFS(Performance!$Z$5:$Z$404,Performance!$B$5:$B$404,A389))</f>
        <v>0</v>
      </c>
      <c r="AF389" s="24">
        <f>IF(OR(AD389="",AD389=0),"",AE389/AD389)</f>
        <v>0</v>
      </c>
      <c r="AG389" s="23">
        <f>IF(AD389="","",SUMIFS(Performance!$U$5:$U$404,Performance!$B$5:$B$404,A389))</f>
        <v>0</v>
      </c>
      <c r="AH389" s="23">
        <f>IF(A389="","",COUNTIF(Repurposing!$B$5:$B$154,A389))</f>
        <v>0</v>
      </c>
      <c r="AI389" s="32">
        <f>IF(OR(H389="",B389=""),"",B389+ROW()/100000)</f>
        <v>0</v>
      </c>
      <c r="AJ389" s="32">
        <f>IF(OR(H389="",B389=""),"",IF(OR(X389="Published",X389="Cancelled",X389="Archived"),"",IF(B389&lt;TODAY(),"",B389+ROW()/100000)))</f>
        <v>0</v>
      </c>
      <c r="AK389" s="32">
        <f>IF(OR(H389="",B389=""),"",IF(OR(X389="Published",X389="Cancelled",X389="Archived"),"",IF(B389&gt;=TODAY(),"",B389+ROW()/100000)))</f>
        <v>0</v>
      </c>
      <c r="AL389" s="29">
        <f>IF(H389="","",IF(COUNTIFS('Content Calendar'!$H$5:$H$604,H389,'Content Calendar'!$G$5:$G$604,G389,'Content Calendar'!$B$5:$B$604,B389)&gt;1,"Duplicate","OK"))</f>
        <v>0</v>
      </c>
      <c r="AM389" s="29">
        <f>IF(H389="","",IF(AND(B389&lt;&gt;"",B389&lt;TODAY(),X389&lt;&gt;"Published",X389&lt;&gt;"Cancelled",X389&lt;&gt;"Archived"),"Overdue - date has passed",IF(AND(X389="Published",AB389=""),"Add - publish link missing",IF(AND(B389=TODAY(),X389&lt;&gt;"Published"),"Today - due to go live",IF(AND(Y389&lt;&gt;"",Y389&lt;TODAY(),OR(X389="Idea",X389="Brief",X389="In production")),"Late - draft not ready",IF(AND(AA389&gt;=0,AA389&lt;=3,OR(X389="Draft",X389="Awaiting review")),"Due - needs approval",IF(AND(H389&lt;&gt;"",P389=""),"Add - caption missing","OK")))))))</f>
        <v>0</v>
      </c>
    </row>
    <row r="390" spans="1:39">
      <c r="A390" s="41">
        <f>IF(H390="","",ContentPrefix&amp;TEXT(ROW()-4,"0000"))</f>
        <v>0</v>
      </c>
      <c r="D390" s="17">
        <f>IF(B390="","",TEXT(B390,"yyyy-mm"))</f>
        <v>0</v>
      </c>
      <c r="E390" s="23">
        <f>IF(B390="","",WEEKNUM(B390,IF(WeekStart="Sunday",1,2)))</f>
        <v>0</v>
      </c>
      <c r="F390" s="17">
        <f>IF(B390="","",TEXT(B390,"ddd"))</f>
        <v>0</v>
      </c>
      <c r="Q390" s="29">
        <f>IF(H390="","",IF(P390="","Add - no caption",IFERROR(INDEX('Caption Bank'!$R$5:$R$204,MATCH(P390,'Caption Bank'!$B$5:$B$204,0)),"Check - not in bank")))</f>
        <v>0</v>
      </c>
      <c r="S390" s="23">
        <f>IF(R390="","",COUNTIF('Hashtag Bank'!$D$5:$D$304,R390))</f>
        <v>0</v>
      </c>
      <c r="U390" s="29">
        <f>IF(H390="","",IF(T390="","Add - no asset",IFERROR(INDEX(Assets!$N$5:$N$254,MATCH(T390,Assets!$A$5:$A$254,0)),"Check - not in library")))</f>
        <v>0</v>
      </c>
      <c r="Y390" s="16">
        <f>IF(B390="","",B390-ProductionDays)</f>
        <v>0</v>
      </c>
      <c r="Z390" s="16">
        <f>IF(B390="","",B390-ApprovalDays)</f>
        <v>0</v>
      </c>
      <c r="AA390" s="23">
        <f>IF(B390="","",B390-TODAY())</f>
        <v>0</v>
      </c>
      <c r="AC390" s="29">
        <f>IF(H390="","",IF(X390="Published",IF(AB390="","Add - link missing","Yes"),"No"))</f>
        <v>0</v>
      </c>
      <c r="AD390" s="23">
        <f>IF(A390="","",IF(COUNTIF(Performance!$B$5:$B$404,A390)=0,"",SUMIFS(Performance!$O$5:$O$404,Performance!$B$5:$B$404,A390)))</f>
        <v>0</v>
      </c>
      <c r="AE390" s="23">
        <f>IF(AD390="","",SUMIFS(Performance!$Z$5:$Z$404,Performance!$B$5:$B$404,A390))</f>
        <v>0</v>
      </c>
      <c r="AF390" s="24">
        <f>IF(OR(AD390="",AD390=0),"",AE390/AD390)</f>
        <v>0</v>
      </c>
      <c r="AG390" s="23">
        <f>IF(AD390="","",SUMIFS(Performance!$U$5:$U$404,Performance!$B$5:$B$404,A390))</f>
        <v>0</v>
      </c>
      <c r="AH390" s="23">
        <f>IF(A390="","",COUNTIF(Repurposing!$B$5:$B$154,A390))</f>
        <v>0</v>
      </c>
      <c r="AI390" s="32">
        <f>IF(OR(H390="",B390=""),"",B390+ROW()/100000)</f>
        <v>0</v>
      </c>
      <c r="AJ390" s="32">
        <f>IF(OR(H390="",B390=""),"",IF(OR(X390="Published",X390="Cancelled",X390="Archived"),"",IF(B390&lt;TODAY(),"",B390+ROW()/100000)))</f>
        <v>0</v>
      </c>
      <c r="AK390" s="32">
        <f>IF(OR(H390="",B390=""),"",IF(OR(X390="Published",X390="Cancelled",X390="Archived"),"",IF(B390&gt;=TODAY(),"",B390+ROW()/100000)))</f>
        <v>0</v>
      </c>
      <c r="AL390" s="29">
        <f>IF(H390="","",IF(COUNTIFS('Content Calendar'!$H$5:$H$604,H390,'Content Calendar'!$G$5:$G$604,G390,'Content Calendar'!$B$5:$B$604,B390)&gt;1,"Duplicate","OK"))</f>
        <v>0</v>
      </c>
      <c r="AM390" s="29">
        <f>IF(H390="","",IF(AND(B390&lt;&gt;"",B390&lt;TODAY(),X390&lt;&gt;"Published",X390&lt;&gt;"Cancelled",X390&lt;&gt;"Archived"),"Overdue - date has passed",IF(AND(X390="Published",AB390=""),"Add - publish link missing",IF(AND(B390=TODAY(),X390&lt;&gt;"Published"),"Today - due to go live",IF(AND(Y390&lt;&gt;"",Y390&lt;TODAY(),OR(X390="Idea",X390="Brief",X390="In production")),"Late - draft not ready",IF(AND(AA390&gt;=0,AA390&lt;=3,OR(X390="Draft",X390="Awaiting review")),"Due - needs approval",IF(AND(H390&lt;&gt;"",P390=""),"Add - caption missing","OK")))))))</f>
        <v>0</v>
      </c>
    </row>
    <row r="391" spans="1:39">
      <c r="A391" s="41">
        <f>IF(H391="","",ContentPrefix&amp;TEXT(ROW()-4,"0000"))</f>
        <v>0</v>
      </c>
      <c r="D391" s="17">
        <f>IF(B391="","",TEXT(B391,"yyyy-mm"))</f>
        <v>0</v>
      </c>
      <c r="E391" s="23">
        <f>IF(B391="","",WEEKNUM(B391,IF(WeekStart="Sunday",1,2)))</f>
        <v>0</v>
      </c>
      <c r="F391" s="17">
        <f>IF(B391="","",TEXT(B391,"ddd"))</f>
        <v>0</v>
      </c>
      <c r="Q391" s="29">
        <f>IF(H391="","",IF(P391="","Add - no caption",IFERROR(INDEX('Caption Bank'!$R$5:$R$204,MATCH(P391,'Caption Bank'!$B$5:$B$204,0)),"Check - not in bank")))</f>
        <v>0</v>
      </c>
      <c r="S391" s="23">
        <f>IF(R391="","",COUNTIF('Hashtag Bank'!$D$5:$D$304,R391))</f>
        <v>0</v>
      </c>
      <c r="U391" s="29">
        <f>IF(H391="","",IF(T391="","Add - no asset",IFERROR(INDEX(Assets!$N$5:$N$254,MATCH(T391,Assets!$A$5:$A$254,0)),"Check - not in library")))</f>
        <v>0</v>
      </c>
      <c r="Y391" s="16">
        <f>IF(B391="","",B391-ProductionDays)</f>
        <v>0</v>
      </c>
      <c r="Z391" s="16">
        <f>IF(B391="","",B391-ApprovalDays)</f>
        <v>0</v>
      </c>
      <c r="AA391" s="23">
        <f>IF(B391="","",B391-TODAY())</f>
        <v>0</v>
      </c>
      <c r="AC391" s="29">
        <f>IF(H391="","",IF(X391="Published",IF(AB391="","Add - link missing","Yes"),"No"))</f>
        <v>0</v>
      </c>
      <c r="AD391" s="23">
        <f>IF(A391="","",IF(COUNTIF(Performance!$B$5:$B$404,A391)=0,"",SUMIFS(Performance!$O$5:$O$404,Performance!$B$5:$B$404,A391)))</f>
        <v>0</v>
      </c>
      <c r="AE391" s="23">
        <f>IF(AD391="","",SUMIFS(Performance!$Z$5:$Z$404,Performance!$B$5:$B$404,A391))</f>
        <v>0</v>
      </c>
      <c r="AF391" s="24">
        <f>IF(OR(AD391="",AD391=0),"",AE391/AD391)</f>
        <v>0</v>
      </c>
      <c r="AG391" s="23">
        <f>IF(AD391="","",SUMIFS(Performance!$U$5:$U$404,Performance!$B$5:$B$404,A391))</f>
        <v>0</v>
      </c>
      <c r="AH391" s="23">
        <f>IF(A391="","",COUNTIF(Repurposing!$B$5:$B$154,A391))</f>
        <v>0</v>
      </c>
      <c r="AI391" s="32">
        <f>IF(OR(H391="",B391=""),"",B391+ROW()/100000)</f>
        <v>0</v>
      </c>
      <c r="AJ391" s="32">
        <f>IF(OR(H391="",B391=""),"",IF(OR(X391="Published",X391="Cancelled",X391="Archived"),"",IF(B391&lt;TODAY(),"",B391+ROW()/100000)))</f>
        <v>0</v>
      </c>
      <c r="AK391" s="32">
        <f>IF(OR(H391="",B391=""),"",IF(OR(X391="Published",X391="Cancelled",X391="Archived"),"",IF(B391&gt;=TODAY(),"",B391+ROW()/100000)))</f>
        <v>0</v>
      </c>
      <c r="AL391" s="29">
        <f>IF(H391="","",IF(COUNTIFS('Content Calendar'!$H$5:$H$604,H391,'Content Calendar'!$G$5:$G$604,G391,'Content Calendar'!$B$5:$B$604,B391)&gt;1,"Duplicate","OK"))</f>
        <v>0</v>
      </c>
      <c r="AM391" s="29">
        <f>IF(H391="","",IF(AND(B391&lt;&gt;"",B391&lt;TODAY(),X391&lt;&gt;"Published",X391&lt;&gt;"Cancelled",X391&lt;&gt;"Archived"),"Overdue - date has passed",IF(AND(X391="Published",AB391=""),"Add - publish link missing",IF(AND(B391=TODAY(),X391&lt;&gt;"Published"),"Today - due to go live",IF(AND(Y391&lt;&gt;"",Y391&lt;TODAY(),OR(X391="Idea",X391="Brief",X391="In production")),"Late - draft not ready",IF(AND(AA391&gt;=0,AA391&lt;=3,OR(X391="Draft",X391="Awaiting review")),"Due - needs approval",IF(AND(H391&lt;&gt;"",P391=""),"Add - caption missing","OK")))))))</f>
        <v>0</v>
      </c>
    </row>
    <row r="392" spans="1:39">
      <c r="A392" s="41">
        <f>IF(H392="","",ContentPrefix&amp;TEXT(ROW()-4,"0000"))</f>
        <v>0</v>
      </c>
      <c r="D392" s="17">
        <f>IF(B392="","",TEXT(B392,"yyyy-mm"))</f>
        <v>0</v>
      </c>
      <c r="E392" s="23">
        <f>IF(B392="","",WEEKNUM(B392,IF(WeekStart="Sunday",1,2)))</f>
        <v>0</v>
      </c>
      <c r="F392" s="17">
        <f>IF(B392="","",TEXT(B392,"ddd"))</f>
        <v>0</v>
      </c>
      <c r="Q392" s="29">
        <f>IF(H392="","",IF(P392="","Add - no caption",IFERROR(INDEX('Caption Bank'!$R$5:$R$204,MATCH(P392,'Caption Bank'!$B$5:$B$204,0)),"Check - not in bank")))</f>
        <v>0</v>
      </c>
      <c r="S392" s="23">
        <f>IF(R392="","",COUNTIF('Hashtag Bank'!$D$5:$D$304,R392))</f>
        <v>0</v>
      </c>
      <c r="U392" s="29">
        <f>IF(H392="","",IF(T392="","Add - no asset",IFERROR(INDEX(Assets!$N$5:$N$254,MATCH(T392,Assets!$A$5:$A$254,0)),"Check - not in library")))</f>
        <v>0</v>
      </c>
      <c r="Y392" s="16">
        <f>IF(B392="","",B392-ProductionDays)</f>
        <v>0</v>
      </c>
      <c r="Z392" s="16">
        <f>IF(B392="","",B392-ApprovalDays)</f>
        <v>0</v>
      </c>
      <c r="AA392" s="23">
        <f>IF(B392="","",B392-TODAY())</f>
        <v>0</v>
      </c>
      <c r="AC392" s="29">
        <f>IF(H392="","",IF(X392="Published",IF(AB392="","Add - link missing","Yes"),"No"))</f>
        <v>0</v>
      </c>
      <c r="AD392" s="23">
        <f>IF(A392="","",IF(COUNTIF(Performance!$B$5:$B$404,A392)=0,"",SUMIFS(Performance!$O$5:$O$404,Performance!$B$5:$B$404,A392)))</f>
        <v>0</v>
      </c>
      <c r="AE392" s="23">
        <f>IF(AD392="","",SUMIFS(Performance!$Z$5:$Z$404,Performance!$B$5:$B$404,A392))</f>
        <v>0</v>
      </c>
      <c r="AF392" s="24">
        <f>IF(OR(AD392="",AD392=0),"",AE392/AD392)</f>
        <v>0</v>
      </c>
      <c r="AG392" s="23">
        <f>IF(AD392="","",SUMIFS(Performance!$U$5:$U$404,Performance!$B$5:$B$404,A392))</f>
        <v>0</v>
      </c>
      <c r="AH392" s="23">
        <f>IF(A392="","",COUNTIF(Repurposing!$B$5:$B$154,A392))</f>
        <v>0</v>
      </c>
      <c r="AI392" s="32">
        <f>IF(OR(H392="",B392=""),"",B392+ROW()/100000)</f>
        <v>0</v>
      </c>
      <c r="AJ392" s="32">
        <f>IF(OR(H392="",B392=""),"",IF(OR(X392="Published",X392="Cancelled",X392="Archived"),"",IF(B392&lt;TODAY(),"",B392+ROW()/100000)))</f>
        <v>0</v>
      </c>
      <c r="AK392" s="32">
        <f>IF(OR(H392="",B392=""),"",IF(OR(X392="Published",X392="Cancelled",X392="Archived"),"",IF(B392&gt;=TODAY(),"",B392+ROW()/100000)))</f>
        <v>0</v>
      </c>
      <c r="AL392" s="29">
        <f>IF(H392="","",IF(COUNTIFS('Content Calendar'!$H$5:$H$604,H392,'Content Calendar'!$G$5:$G$604,G392,'Content Calendar'!$B$5:$B$604,B392)&gt;1,"Duplicate","OK"))</f>
        <v>0</v>
      </c>
      <c r="AM392" s="29">
        <f>IF(H392="","",IF(AND(B392&lt;&gt;"",B392&lt;TODAY(),X392&lt;&gt;"Published",X392&lt;&gt;"Cancelled",X392&lt;&gt;"Archived"),"Overdue - date has passed",IF(AND(X392="Published",AB392=""),"Add - publish link missing",IF(AND(B392=TODAY(),X392&lt;&gt;"Published"),"Today - due to go live",IF(AND(Y392&lt;&gt;"",Y392&lt;TODAY(),OR(X392="Idea",X392="Brief",X392="In production")),"Late - draft not ready",IF(AND(AA392&gt;=0,AA392&lt;=3,OR(X392="Draft",X392="Awaiting review")),"Due - needs approval",IF(AND(H392&lt;&gt;"",P392=""),"Add - caption missing","OK")))))))</f>
        <v>0</v>
      </c>
    </row>
    <row r="393" spans="1:39">
      <c r="A393" s="41">
        <f>IF(H393="","",ContentPrefix&amp;TEXT(ROW()-4,"0000"))</f>
        <v>0</v>
      </c>
      <c r="D393" s="17">
        <f>IF(B393="","",TEXT(B393,"yyyy-mm"))</f>
        <v>0</v>
      </c>
      <c r="E393" s="23">
        <f>IF(B393="","",WEEKNUM(B393,IF(WeekStart="Sunday",1,2)))</f>
        <v>0</v>
      </c>
      <c r="F393" s="17">
        <f>IF(B393="","",TEXT(B393,"ddd"))</f>
        <v>0</v>
      </c>
      <c r="Q393" s="29">
        <f>IF(H393="","",IF(P393="","Add - no caption",IFERROR(INDEX('Caption Bank'!$R$5:$R$204,MATCH(P393,'Caption Bank'!$B$5:$B$204,0)),"Check - not in bank")))</f>
        <v>0</v>
      </c>
      <c r="S393" s="23">
        <f>IF(R393="","",COUNTIF('Hashtag Bank'!$D$5:$D$304,R393))</f>
        <v>0</v>
      </c>
      <c r="U393" s="29">
        <f>IF(H393="","",IF(T393="","Add - no asset",IFERROR(INDEX(Assets!$N$5:$N$254,MATCH(T393,Assets!$A$5:$A$254,0)),"Check - not in library")))</f>
        <v>0</v>
      </c>
      <c r="Y393" s="16">
        <f>IF(B393="","",B393-ProductionDays)</f>
        <v>0</v>
      </c>
      <c r="Z393" s="16">
        <f>IF(B393="","",B393-ApprovalDays)</f>
        <v>0</v>
      </c>
      <c r="AA393" s="23">
        <f>IF(B393="","",B393-TODAY())</f>
        <v>0</v>
      </c>
      <c r="AC393" s="29">
        <f>IF(H393="","",IF(X393="Published",IF(AB393="","Add - link missing","Yes"),"No"))</f>
        <v>0</v>
      </c>
      <c r="AD393" s="23">
        <f>IF(A393="","",IF(COUNTIF(Performance!$B$5:$B$404,A393)=0,"",SUMIFS(Performance!$O$5:$O$404,Performance!$B$5:$B$404,A393)))</f>
        <v>0</v>
      </c>
      <c r="AE393" s="23">
        <f>IF(AD393="","",SUMIFS(Performance!$Z$5:$Z$404,Performance!$B$5:$B$404,A393))</f>
        <v>0</v>
      </c>
      <c r="AF393" s="24">
        <f>IF(OR(AD393="",AD393=0),"",AE393/AD393)</f>
        <v>0</v>
      </c>
      <c r="AG393" s="23">
        <f>IF(AD393="","",SUMIFS(Performance!$U$5:$U$404,Performance!$B$5:$B$404,A393))</f>
        <v>0</v>
      </c>
      <c r="AH393" s="23">
        <f>IF(A393="","",COUNTIF(Repurposing!$B$5:$B$154,A393))</f>
        <v>0</v>
      </c>
      <c r="AI393" s="32">
        <f>IF(OR(H393="",B393=""),"",B393+ROW()/100000)</f>
        <v>0</v>
      </c>
      <c r="AJ393" s="32">
        <f>IF(OR(H393="",B393=""),"",IF(OR(X393="Published",X393="Cancelled",X393="Archived"),"",IF(B393&lt;TODAY(),"",B393+ROW()/100000)))</f>
        <v>0</v>
      </c>
      <c r="AK393" s="32">
        <f>IF(OR(H393="",B393=""),"",IF(OR(X393="Published",X393="Cancelled",X393="Archived"),"",IF(B393&gt;=TODAY(),"",B393+ROW()/100000)))</f>
        <v>0</v>
      </c>
      <c r="AL393" s="29">
        <f>IF(H393="","",IF(COUNTIFS('Content Calendar'!$H$5:$H$604,H393,'Content Calendar'!$G$5:$G$604,G393,'Content Calendar'!$B$5:$B$604,B393)&gt;1,"Duplicate","OK"))</f>
        <v>0</v>
      </c>
      <c r="AM393" s="29">
        <f>IF(H393="","",IF(AND(B393&lt;&gt;"",B393&lt;TODAY(),X393&lt;&gt;"Published",X393&lt;&gt;"Cancelled",X393&lt;&gt;"Archived"),"Overdue - date has passed",IF(AND(X393="Published",AB393=""),"Add - publish link missing",IF(AND(B393=TODAY(),X393&lt;&gt;"Published"),"Today - due to go live",IF(AND(Y393&lt;&gt;"",Y393&lt;TODAY(),OR(X393="Idea",X393="Brief",X393="In production")),"Late - draft not ready",IF(AND(AA393&gt;=0,AA393&lt;=3,OR(X393="Draft",X393="Awaiting review")),"Due - needs approval",IF(AND(H393&lt;&gt;"",P393=""),"Add - caption missing","OK")))))))</f>
        <v>0</v>
      </c>
    </row>
    <row r="394" spans="1:39">
      <c r="A394" s="41">
        <f>IF(H394="","",ContentPrefix&amp;TEXT(ROW()-4,"0000"))</f>
        <v>0</v>
      </c>
      <c r="D394" s="17">
        <f>IF(B394="","",TEXT(B394,"yyyy-mm"))</f>
        <v>0</v>
      </c>
      <c r="E394" s="23">
        <f>IF(B394="","",WEEKNUM(B394,IF(WeekStart="Sunday",1,2)))</f>
        <v>0</v>
      </c>
      <c r="F394" s="17">
        <f>IF(B394="","",TEXT(B394,"ddd"))</f>
        <v>0</v>
      </c>
      <c r="Q394" s="29">
        <f>IF(H394="","",IF(P394="","Add - no caption",IFERROR(INDEX('Caption Bank'!$R$5:$R$204,MATCH(P394,'Caption Bank'!$B$5:$B$204,0)),"Check - not in bank")))</f>
        <v>0</v>
      </c>
      <c r="S394" s="23">
        <f>IF(R394="","",COUNTIF('Hashtag Bank'!$D$5:$D$304,R394))</f>
        <v>0</v>
      </c>
      <c r="U394" s="29">
        <f>IF(H394="","",IF(T394="","Add - no asset",IFERROR(INDEX(Assets!$N$5:$N$254,MATCH(T394,Assets!$A$5:$A$254,0)),"Check - not in library")))</f>
        <v>0</v>
      </c>
      <c r="Y394" s="16">
        <f>IF(B394="","",B394-ProductionDays)</f>
        <v>0</v>
      </c>
      <c r="Z394" s="16">
        <f>IF(B394="","",B394-ApprovalDays)</f>
        <v>0</v>
      </c>
      <c r="AA394" s="23">
        <f>IF(B394="","",B394-TODAY())</f>
        <v>0</v>
      </c>
      <c r="AC394" s="29">
        <f>IF(H394="","",IF(X394="Published",IF(AB394="","Add - link missing","Yes"),"No"))</f>
        <v>0</v>
      </c>
      <c r="AD394" s="23">
        <f>IF(A394="","",IF(COUNTIF(Performance!$B$5:$B$404,A394)=0,"",SUMIFS(Performance!$O$5:$O$404,Performance!$B$5:$B$404,A394)))</f>
        <v>0</v>
      </c>
      <c r="AE394" s="23">
        <f>IF(AD394="","",SUMIFS(Performance!$Z$5:$Z$404,Performance!$B$5:$B$404,A394))</f>
        <v>0</v>
      </c>
      <c r="AF394" s="24">
        <f>IF(OR(AD394="",AD394=0),"",AE394/AD394)</f>
        <v>0</v>
      </c>
      <c r="AG394" s="23">
        <f>IF(AD394="","",SUMIFS(Performance!$U$5:$U$404,Performance!$B$5:$B$404,A394))</f>
        <v>0</v>
      </c>
      <c r="AH394" s="23">
        <f>IF(A394="","",COUNTIF(Repurposing!$B$5:$B$154,A394))</f>
        <v>0</v>
      </c>
      <c r="AI394" s="32">
        <f>IF(OR(H394="",B394=""),"",B394+ROW()/100000)</f>
        <v>0</v>
      </c>
      <c r="AJ394" s="32">
        <f>IF(OR(H394="",B394=""),"",IF(OR(X394="Published",X394="Cancelled",X394="Archived"),"",IF(B394&lt;TODAY(),"",B394+ROW()/100000)))</f>
        <v>0</v>
      </c>
      <c r="AK394" s="32">
        <f>IF(OR(H394="",B394=""),"",IF(OR(X394="Published",X394="Cancelled",X394="Archived"),"",IF(B394&gt;=TODAY(),"",B394+ROW()/100000)))</f>
        <v>0</v>
      </c>
      <c r="AL394" s="29">
        <f>IF(H394="","",IF(COUNTIFS('Content Calendar'!$H$5:$H$604,H394,'Content Calendar'!$G$5:$G$604,G394,'Content Calendar'!$B$5:$B$604,B394)&gt;1,"Duplicate","OK"))</f>
        <v>0</v>
      </c>
      <c r="AM394" s="29">
        <f>IF(H394="","",IF(AND(B394&lt;&gt;"",B394&lt;TODAY(),X394&lt;&gt;"Published",X394&lt;&gt;"Cancelled",X394&lt;&gt;"Archived"),"Overdue - date has passed",IF(AND(X394="Published",AB394=""),"Add - publish link missing",IF(AND(B394=TODAY(),X394&lt;&gt;"Published"),"Today - due to go live",IF(AND(Y394&lt;&gt;"",Y394&lt;TODAY(),OR(X394="Idea",X394="Brief",X394="In production")),"Late - draft not ready",IF(AND(AA394&gt;=0,AA394&lt;=3,OR(X394="Draft",X394="Awaiting review")),"Due - needs approval",IF(AND(H394&lt;&gt;"",P394=""),"Add - caption missing","OK")))))))</f>
        <v>0</v>
      </c>
    </row>
    <row r="395" spans="1:39">
      <c r="A395" s="41">
        <f>IF(H395="","",ContentPrefix&amp;TEXT(ROW()-4,"0000"))</f>
        <v>0</v>
      </c>
      <c r="D395" s="17">
        <f>IF(B395="","",TEXT(B395,"yyyy-mm"))</f>
        <v>0</v>
      </c>
      <c r="E395" s="23">
        <f>IF(B395="","",WEEKNUM(B395,IF(WeekStart="Sunday",1,2)))</f>
        <v>0</v>
      </c>
      <c r="F395" s="17">
        <f>IF(B395="","",TEXT(B395,"ddd"))</f>
        <v>0</v>
      </c>
      <c r="Q395" s="29">
        <f>IF(H395="","",IF(P395="","Add - no caption",IFERROR(INDEX('Caption Bank'!$R$5:$R$204,MATCH(P395,'Caption Bank'!$B$5:$B$204,0)),"Check - not in bank")))</f>
        <v>0</v>
      </c>
      <c r="S395" s="23">
        <f>IF(R395="","",COUNTIF('Hashtag Bank'!$D$5:$D$304,R395))</f>
        <v>0</v>
      </c>
      <c r="U395" s="29">
        <f>IF(H395="","",IF(T395="","Add - no asset",IFERROR(INDEX(Assets!$N$5:$N$254,MATCH(T395,Assets!$A$5:$A$254,0)),"Check - not in library")))</f>
        <v>0</v>
      </c>
      <c r="Y395" s="16">
        <f>IF(B395="","",B395-ProductionDays)</f>
        <v>0</v>
      </c>
      <c r="Z395" s="16">
        <f>IF(B395="","",B395-ApprovalDays)</f>
        <v>0</v>
      </c>
      <c r="AA395" s="23">
        <f>IF(B395="","",B395-TODAY())</f>
        <v>0</v>
      </c>
      <c r="AC395" s="29">
        <f>IF(H395="","",IF(X395="Published",IF(AB395="","Add - link missing","Yes"),"No"))</f>
        <v>0</v>
      </c>
      <c r="AD395" s="23">
        <f>IF(A395="","",IF(COUNTIF(Performance!$B$5:$B$404,A395)=0,"",SUMIFS(Performance!$O$5:$O$404,Performance!$B$5:$B$404,A395)))</f>
        <v>0</v>
      </c>
      <c r="AE395" s="23">
        <f>IF(AD395="","",SUMIFS(Performance!$Z$5:$Z$404,Performance!$B$5:$B$404,A395))</f>
        <v>0</v>
      </c>
      <c r="AF395" s="24">
        <f>IF(OR(AD395="",AD395=0),"",AE395/AD395)</f>
        <v>0</v>
      </c>
      <c r="AG395" s="23">
        <f>IF(AD395="","",SUMIFS(Performance!$U$5:$U$404,Performance!$B$5:$B$404,A395))</f>
        <v>0</v>
      </c>
      <c r="AH395" s="23">
        <f>IF(A395="","",COUNTIF(Repurposing!$B$5:$B$154,A395))</f>
        <v>0</v>
      </c>
      <c r="AI395" s="32">
        <f>IF(OR(H395="",B395=""),"",B395+ROW()/100000)</f>
        <v>0</v>
      </c>
      <c r="AJ395" s="32">
        <f>IF(OR(H395="",B395=""),"",IF(OR(X395="Published",X395="Cancelled",X395="Archived"),"",IF(B395&lt;TODAY(),"",B395+ROW()/100000)))</f>
        <v>0</v>
      </c>
      <c r="AK395" s="32">
        <f>IF(OR(H395="",B395=""),"",IF(OR(X395="Published",X395="Cancelled",X395="Archived"),"",IF(B395&gt;=TODAY(),"",B395+ROW()/100000)))</f>
        <v>0</v>
      </c>
      <c r="AL395" s="29">
        <f>IF(H395="","",IF(COUNTIFS('Content Calendar'!$H$5:$H$604,H395,'Content Calendar'!$G$5:$G$604,G395,'Content Calendar'!$B$5:$B$604,B395)&gt;1,"Duplicate","OK"))</f>
        <v>0</v>
      </c>
      <c r="AM395" s="29">
        <f>IF(H395="","",IF(AND(B395&lt;&gt;"",B395&lt;TODAY(),X395&lt;&gt;"Published",X395&lt;&gt;"Cancelled",X395&lt;&gt;"Archived"),"Overdue - date has passed",IF(AND(X395="Published",AB395=""),"Add - publish link missing",IF(AND(B395=TODAY(),X395&lt;&gt;"Published"),"Today - due to go live",IF(AND(Y395&lt;&gt;"",Y395&lt;TODAY(),OR(X395="Idea",X395="Brief",X395="In production")),"Late - draft not ready",IF(AND(AA395&gt;=0,AA395&lt;=3,OR(X395="Draft",X395="Awaiting review")),"Due - needs approval",IF(AND(H395&lt;&gt;"",P395=""),"Add - caption missing","OK")))))))</f>
        <v>0</v>
      </c>
    </row>
    <row r="396" spans="1:39">
      <c r="A396" s="41">
        <f>IF(H396="","",ContentPrefix&amp;TEXT(ROW()-4,"0000"))</f>
        <v>0</v>
      </c>
      <c r="D396" s="17">
        <f>IF(B396="","",TEXT(B396,"yyyy-mm"))</f>
        <v>0</v>
      </c>
      <c r="E396" s="23">
        <f>IF(B396="","",WEEKNUM(B396,IF(WeekStart="Sunday",1,2)))</f>
        <v>0</v>
      </c>
      <c r="F396" s="17">
        <f>IF(B396="","",TEXT(B396,"ddd"))</f>
        <v>0</v>
      </c>
      <c r="Q396" s="29">
        <f>IF(H396="","",IF(P396="","Add - no caption",IFERROR(INDEX('Caption Bank'!$R$5:$R$204,MATCH(P396,'Caption Bank'!$B$5:$B$204,0)),"Check - not in bank")))</f>
        <v>0</v>
      </c>
      <c r="S396" s="23">
        <f>IF(R396="","",COUNTIF('Hashtag Bank'!$D$5:$D$304,R396))</f>
        <v>0</v>
      </c>
      <c r="U396" s="29">
        <f>IF(H396="","",IF(T396="","Add - no asset",IFERROR(INDEX(Assets!$N$5:$N$254,MATCH(T396,Assets!$A$5:$A$254,0)),"Check - not in library")))</f>
        <v>0</v>
      </c>
      <c r="Y396" s="16">
        <f>IF(B396="","",B396-ProductionDays)</f>
        <v>0</v>
      </c>
      <c r="Z396" s="16">
        <f>IF(B396="","",B396-ApprovalDays)</f>
        <v>0</v>
      </c>
      <c r="AA396" s="23">
        <f>IF(B396="","",B396-TODAY())</f>
        <v>0</v>
      </c>
      <c r="AC396" s="29">
        <f>IF(H396="","",IF(X396="Published",IF(AB396="","Add - link missing","Yes"),"No"))</f>
        <v>0</v>
      </c>
      <c r="AD396" s="23">
        <f>IF(A396="","",IF(COUNTIF(Performance!$B$5:$B$404,A396)=0,"",SUMIFS(Performance!$O$5:$O$404,Performance!$B$5:$B$404,A396)))</f>
        <v>0</v>
      </c>
      <c r="AE396" s="23">
        <f>IF(AD396="","",SUMIFS(Performance!$Z$5:$Z$404,Performance!$B$5:$B$404,A396))</f>
        <v>0</v>
      </c>
      <c r="AF396" s="24">
        <f>IF(OR(AD396="",AD396=0),"",AE396/AD396)</f>
        <v>0</v>
      </c>
      <c r="AG396" s="23">
        <f>IF(AD396="","",SUMIFS(Performance!$U$5:$U$404,Performance!$B$5:$B$404,A396))</f>
        <v>0</v>
      </c>
      <c r="AH396" s="23">
        <f>IF(A396="","",COUNTIF(Repurposing!$B$5:$B$154,A396))</f>
        <v>0</v>
      </c>
      <c r="AI396" s="32">
        <f>IF(OR(H396="",B396=""),"",B396+ROW()/100000)</f>
        <v>0</v>
      </c>
      <c r="AJ396" s="32">
        <f>IF(OR(H396="",B396=""),"",IF(OR(X396="Published",X396="Cancelled",X396="Archived"),"",IF(B396&lt;TODAY(),"",B396+ROW()/100000)))</f>
        <v>0</v>
      </c>
      <c r="AK396" s="32">
        <f>IF(OR(H396="",B396=""),"",IF(OR(X396="Published",X396="Cancelled",X396="Archived"),"",IF(B396&gt;=TODAY(),"",B396+ROW()/100000)))</f>
        <v>0</v>
      </c>
      <c r="AL396" s="29">
        <f>IF(H396="","",IF(COUNTIFS('Content Calendar'!$H$5:$H$604,H396,'Content Calendar'!$G$5:$G$604,G396,'Content Calendar'!$B$5:$B$604,B396)&gt;1,"Duplicate","OK"))</f>
        <v>0</v>
      </c>
      <c r="AM396" s="29">
        <f>IF(H396="","",IF(AND(B396&lt;&gt;"",B396&lt;TODAY(),X396&lt;&gt;"Published",X396&lt;&gt;"Cancelled",X396&lt;&gt;"Archived"),"Overdue - date has passed",IF(AND(X396="Published",AB396=""),"Add - publish link missing",IF(AND(B396=TODAY(),X396&lt;&gt;"Published"),"Today - due to go live",IF(AND(Y396&lt;&gt;"",Y396&lt;TODAY(),OR(X396="Idea",X396="Brief",X396="In production")),"Late - draft not ready",IF(AND(AA396&gt;=0,AA396&lt;=3,OR(X396="Draft",X396="Awaiting review")),"Due - needs approval",IF(AND(H396&lt;&gt;"",P396=""),"Add - caption missing","OK")))))))</f>
        <v>0</v>
      </c>
    </row>
    <row r="397" spans="1:39">
      <c r="A397" s="41">
        <f>IF(H397="","",ContentPrefix&amp;TEXT(ROW()-4,"0000"))</f>
        <v>0</v>
      </c>
      <c r="D397" s="17">
        <f>IF(B397="","",TEXT(B397,"yyyy-mm"))</f>
        <v>0</v>
      </c>
      <c r="E397" s="23">
        <f>IF(B397="","",WEEKNUM(B397,IF(WeekStart="Sunday",1,2)))</f>
        <v>0</v>
      </c>
      <c r="F397" s="17">
        <f>IF(B397="","",TEXT(B397,"ddd"))</f>
        <v>0</v>
      </c>
      <c r="Q397" s="29">
        <f>IF(H397="","",IF(P397="","Add - no caption",IFERROR(INDEX('Caption Bank'!$R$5:$R$204,MATCH(P397,'Caption Bank'!$B$5:$B$204,0)),"Check - not in bank")))</f>
        <v>0</v>
      </c>
      <c r="S397" s="23">
        <f>IF(R397="","",COUNTIF('Hashtag Bank'!$D$5:$D$304,R397))</f>
        <v>0</v>
      </c>
      <c r="U397" s="29">
        <f>IF(H397="","",IF(T397="","Add - no asset",IFERROR(INDEX(Assets!$N$5:$N$254,MATCH(T397,Assets!$A$5:$A$254,0)),"Check - not in library")))</f>
        <v>0</v>
      </c>
      <c r="Y397" s="16">
        <f>IF(B397="","",B397-ProductionDays)</f>
        <v>0</v>
      </c>
      <c r="Z397" s="16">
        <f>IF(B397="","",B397-ApprovalDays)</f>
        <v>0</v>
      </c>
      <c r="AA397" s="23">
        <f>IF(B397="","",B397-TODAY())</f>
        <v>0</v>
      </c>
      <c r="AC397" s="29">
        <f>IF(H397="","",IF(X397="Published",IF(AB397="","Add - link missing","Yes"),"No"))</f>
        <v>0</v>
      </c>
      <c r="AD397" s="23">
        <f>IF(A397="","",IF(COUNTIF(Performance!$B$5:$B$404,A397)=0,"",SUMIFS(Performance!$O$5:$O$404,Performance!$B$5:$B$404,A397)))</f>
        <v>0</v>
      </c>
      <c r="AE397" s="23">
        <f>IF(AD397="","",SUMIFS(Performance!$Z$5:$Z$404,Performance!$B$5:$B$404,A397))</f>
        <v>0</v>
      </c>
      <c r="AF397" s="24">
        <f>IF(OR(AD397="",AD397=0),"",AE397/AD397)</f>
        <v>0</v>
      </c>
      <c r="AG397" s="23">
        <f>IF(AD397="","",SUMIFS(Performance!$U$5:$U$404,Performance!$B$5:$B$404,A397))</f>
        <v>0</v>
      </c>
      <c r="AH397" s="23">
        <f>IF(A397="","",COUNTIF(Repurposing!$B$5:$B$154,A397))</f>
        <v>0</v>
      </c>
      <c r="AI397" s="32">
        <f>IF(OR(H397="",B397=""),"",B397+ROW()/100000)</f>
        <v>0</v>
      </c>
      <c r="AJ397" s="32">
        <f>IF(OR(H397="",B397=""),"",IF(OR(X397="Published",X397="Cancelled",X397="Archived"),"",IF(B397&lt;TODAY(),"",B397+ROW()/100000)))</f>
        <v>0</v>
      </c>
      <c r="AK397" s="32">
        <f>IF(OR(H397="",B397=""),"",IF(OR(X397="Published",X397="Cancelled",X397="Archived"),"",IF(B397&gt;=TODAY(),"",B397+ROW()/100000)))</f>
        <v>0</v>
      </c>
      <c r="AL397" s="29">
        <f>IF(H397="","",IF(COUNTIFS('Content Calendar'!$H$5:$H$604,H397,'Content Calendar'!$G$5:$G$604,G397,'Content Calendar'!$B$5:$B$604,B397)&gt;1,"Duplicate","OK"))</f>
        <v>0</v>
      </c>
      <c r="AM397" s="29">
        <f>IF(H397="","",IF(AND(B397&lt;&gt;"",B397&lt;TODAY(),X397&lt;&gt;"Published",X397&lt;&gt;"Cancelled",X397&lt;&gt;"Archived"),"Overdue - date has passed",IF(AND(X397="Published",AB397=""),"Add - publish link missing",IF(AND(B397=TODAY(),X397&lt;&gt;"Published"),"Today - due to go live",IF(AND(Y397&lt;&gt;"",Y397&lt;TODAY(),OR(X397="Idea",X397="Brief",X397="In production")),"Late - draft not ready",IF(AND(AA397&gt;=0,AA397&lt;=3,OR(X397="Draft",X397="Awaiting review")),"Due - needs approval",IF(AND(H397&lt;&gt;"",P397=""),"Add - caption missing","OK")))))))</f>
        <v>0</v>
      </c>
    </row>
    <row r="398" spans="1:39">
      <c r="A398" s="41">
        <f>IF(H398="","",ContentPrefix&amp;TEXT(ROW()-4,"0000"))</f>
        <v>0</v>
      </c>
      <c r="D398" s="17">
        <f>IF(B398="","",TEXT(B398,"yyyy-mm"))</f>
        <v>0</v>
      </c>
      <c r="E398" s="23">
        <f>IF(B398="","",WEEKNUM(B398,IF(WeekStart="Sunday",1,2)))</f>
        <v>0</v>
      </c>
      <c r="F398" s="17">
        <f>IF(B398="","",TEXT(B398,"ddd"))</f>
        <v>0</v>
      </c>
      <c r="Q398" s="29">
        <f>IF(H398="","",IF(P398="","Add - no caption",IFERROR(INDEX('Caption Bank'!$R$5:$R$204,MATCH(P398,'Caption Bank'!$B$5:$B$204,0)),"Check - not in bank")))</f>
        <v>0</v>
      </c>
      <c r="S398" s="23">
        <f>IF(R398="","",COUNTIF('Hashtag Bank'!$D$5:$D$304,R398))</f>
        <v>0</v>
      </c>
      <c r="U398" s="29">
        <f>IF(H398="","",IF(T398="","Add - no asset",IFERROR(INDEX(Assets!$N$5:$N$254,MATCH(T398,Assets!$A$5:$A$254,0)),"Check - not in library")))</f>
        <v>0</v>
      </c>
      <c r="Y398" s="16">
        <f>IF(B398="","",B398-ProductionDays)</f>
        <v>0</v>
      </c>
      <c r="Z398" s="16">
        <f>IF(B398="","",B398-ApprovalDays)</f>
        <v>0</v>
      </c>
      <c r="AA398" s="23">
        <f>IF(B398="","",B398-TODAY())</f>
        <v>0</v>
      </c>
      <c r="AC398" s="29">
        <f>IF(H398="","",IF(X398="Published",IF(AB398="","Add - link missing","Yes"),"No"))</f>
        <v>0</v>
      </c>
      <c r="AD398" s="23">
        <f>IF(A398="","",IF(COUNTIF(Performance!$B$5:$B$404,A398)=0,"",SUMIFS(Performance!$O$5:$O$404,Performance!$B$5:$B$404,A398)))</f>
        <v>0</v>
      </c>
      <c r="AE398" s="23">
        <f>IF(AD398="","",SUMIFS(Performance!$Z$5:$Z$404,Performance!$B$5:$B$404,A398))</f>
        <v>0</v>
      </c>
      <c r="AF398" s="24">
        <f>IF(OR(AD398="",AD398=0),"",AE398/AD398)</f>
        <v>0</v>
      </c>
      <c r="AG398" s="23">
        <f>IF(AD398="","",SUMIFS(Performance!$U$5:$U$404,Performance!$B$5:$B$404,A398))</f>
        <v>0</v>
      </c>
      <c r="AH398" s="23">
        <f>IF(A398="","",COUNTIF(Repurposing!$B$5:$B$154,A398))</f>
        <v>0</v>
      </c>
      <c r="AI398" s="32">
        <f>IF(OR(H398="",B398=""),"",B398+ROW()/100000)</f>
        <v>0</v>
      </c>
      <c r="AJ398" s="32">
        <f>IF(OR(H398="",B398=""),"",IF(OR(X398="Published",X398="Cancelled",X398="Archived"),"",IF(B398&lt;TODAY(),"",B398+ROW()/100000)))</f>
        <v>0</v>
      </c>
      <c r="AK398" s="32">
        <f>IF(OR(H398="",B398=""),"",IF(OR(X398="Published",X398="Cancelled",X398="Archived"),"",IF(B398&gt;=TODAY(),"",B398+ROW()/100000)))</f>
        <v>0</v>
      </c>
      <c r="AL398" s="29">
        <f>IF(H398="","",IF(COUNTIFS('Content Calendar'!$H$5:$H$604,H398,'Content Calendar'!$G$5:$G$604,G398,'Content Calendar'!$B$5:$B$604,B398)&gt;1,"Duplicate","OK"))</f>
        <v>0</v>
      </c>
      <c r="AM398" s="29">
        <f>IF(H398="","",IF(AND(B398&lt;&gt;"",B398&lt;TODAY(),X398&lt;&gt;"Published",X398&lt;&gt;"Cancelled",X398&lt;&gt;"Archived"),"Overdue - date has passed",IF(AND(X398="Published",AB398=""),"Add - publish link missing",IF(AND(B398=TODAY(),X398&lt;&gt;"Published"),"Today - due to go live",IF(AND(Y398&lt;&gt;"",Y398&lt;TODAY(),OR(X398="Idea",X398="Brief",X398="In production")),"Late - draft not ready",IF(AND(AA398&gt;=0,AA398&lt;=3,OR(X398="Draft",X398="Awaiting review")),"Due - needs approval",IF(AND(H398&lt;&gt;"",P398=""),"Add - caption missing","OK")))))))</f>
        <v>0</v>
      </c>
    </row>
    <row r="399" spans="1:39">
      <c r="A399" s="41">
        <f>IF(H399="","",ContentPrefix&amp;TEXT(ROW()-4,"0000"))</f>
        <v>0</v>
      </c>
      <c r="D399" s="17">
        <f>IF(B399="","",TEXT(B399,"yyyy-mm"))</f>
        <v>0</v>
      </c>
      <c r="E399" s="23">
        <f>IF(B399="","",WEEKNUM(B399,IF(WeekStart="Sunday",1,2)))</f>
        <v>0</v>
      </c>
      <c r="F399" s="17">
        <f>IF(B399="","",TEXT(B399,"ddd"))</f>
        <v>0</v>
      </c>
      <c r="Q399" s="29">
        <f>IF(H399="","",IF(P399="","Add - no caption",IFERROR(INDEX('Caption Bank'!$R$5:$R$204,MATCH(P399,'Caption Bank'!$B$5:$B$204,0)),"Check - not in bank")))</f>
        <v>0</v>
      </c>
      <c r="S399" s="23">
        <f>IF(R399="","",COUNTIF('Hashtag Bank'!$D$5:$D$304,R399))</f>
        <v>0</v>
      </c>
      <c r="U399" s="29">
        <f>IF(H399="","",IF(T399="","Add - no asset",IFERROR(INDEX(Assets!$N$5:$N$254,MATCH(T399,Assets!$A$5:$A$254,0)),"Check - not in library")))</f>
        <v>0</v>
      </c>
      <c r="Y399" s="16">
        <f>IF(B399="","",B399-ProductionDays)</f>
        <v>0</v>
      </c>
      <c r="Z399" s="16">
        <f>IF(B399="","",B399-ApprovalDays)</f>
        <v>0</v>
      </c>
      <c r="AA399" s="23">
        <f>IF(B399="","",B399-TODAY())</f>
        <v>0</v>
      </c>
      <c r="AC399" s="29">
        <f>IF(H399="","",IF(X399="Published",IF(AB399="","Add - link missing","Yes"),"No"))</f>
        <v>0</v>
      </c>
      <c r="AD399" s="23">
        <f>IF(A399="","",IF(COUNTIF(Performance!$B$5:$B$404,A399)=0,"",SUMIFS(Performance!$O$5:$O$404,Performance!$B$5:$B$404,A399)))</f>
        <v>0</v>
      </c>
      <c r="AE399" s="23">
        <f>IF(AD399="","",SUMIFS(Performance!$Z$5:$Z$404,Performance!$B$5:$B$404,A399))</f>
        <v>0</v>
      </c>
      <c r="AF399" s="24">
        <f>IF(OR(AD399="",AD399=0),"",AE399/AD399)</f>
        <v>0</v>
      </c>
      <c r="AG399" s="23">
        <f>IF(AD399="","",SUMIFS(Performance!$U$5:$U$404,Performance!$B$5:$B$404,A399))</f>
        <v>0</v>
      </c>
      <c r="AH399" s="23">
        <f>IF(A399="","",COUNTIF(Repurposing!$B$5:$B$154,A399))</f>
        <v>0</v>
      </c>
      <c r="AI399" s="32">
        <f>IF(OR(H399="",B399=""),"",B399+ROW()/100000)</f>
        <v>0</v>
      </c>
      <c r="AJ399" s="32">
        <f>IF(OR(H399="",B399=""),"",IF(OR(X399="Published",X399="Cancelled",X399="Archived"),"",IF(B399&lt;TODAY(),"",B399+ROW()/100000)))</f>
        <v>0</v>
      </c>
      <c r="AK399" s="32">
        <f>IF(OR(H399="",B399=""),"",IF(OR(X399="Published",X399="Cancelled",X399="Archived"),"",IF(B399&gt;=TODAY(),"",B399+ROW()/100000)))</f>
        <v>0</v>
      </c>
      <c r="AL399" s="29">
        <f>IF(H399="","",IF(COUNTIFS('Content Calendar'!$H$5:$H$604,H399,'Content Calendar'!$G$5:$G$604,G399,'Content Calendar'!$B$5:$B$604,B399)&gt;1,"Duplicate","OK"))</f>
        <v>0</v>
      </c>
      <c r="AM399" s="29">
        <f>IF(H399="","",IF(AND(B399&lt;&gt;"",B399&lt;TODAY(),X399&lt;&gt;"Published",X399&lt;&gt;"Cancelled",X399&lt;&gt;"Archived"),"Overdue - date has passed",IF(AND(X399="Published",AB399=""),"Add - publish link missing",IF(AND(B399=TODAY(),X399&lt;&gt;"Published"),"Today - due to go live",IF(AND(Y399&lt;&gt;"",Y399&lt;TODAY(),OR(X399="Idea",X399="Brief",X399="In production")),"Late - draft not ready",IF(AND(AA399&gt;=0,AA399&lt;=3,OR(X399="Draft",X399="Awaiting review")),"Due - needs approval",IF(AND(H399&lt;&gt;"",P399=""),"Add - caption missing","OK")))))))</f>
        <v>0</v>
      </c>
    </row>
    <row r="400" spans="1:39">
      <c r="A400" s="41">
        <f>IF(H400="","",ContentPrefix&amp;TEXT(ROW()-4,"0000"))</f>
        <v>0</v>
      </c>
      <c r="D400" s="17">
        <f>IF(B400="","",TEXT(B400,"yyyy-mm"))</f>
        <v>0</v>
      </c>
      <c r="E400" s="23">
        <f>IF(B400="","",WEEKNUM(B400,IF(WeekStart="Sunday",1,2)))</f>
        <v>0</v>
      </c>
      <c r="F400" s="17">
        <f>IF(B400="","",TEXT(B400,"ddd"))</f>
        <v>0</v>
      </c>
      <c r="Q400" s="29">
        <f>IF(H400="","",IF(P400="","Add - no caption",IFERROR(INDEX('Caption Bank'!$R$5:$R$204,MATCH(P400,'Caption Bank'!$B$5:$B$204,0)),"Check - not in bank")))</f>
        <v>0</v>
      </c>
      <c r="S400" s="23">
        <f>IF(R400="","",COUNTIF('Hashtag Bank'!$D$5:$D$304,R400))</f>
        <v>0</v>
      </c>
      <c r="U400" s="29">
        <f>IF(H400="","",IF(T400="","Add - no asset",IFERROR(INDEX(Assets!$N$5:$N$254,MATCH(T400,Assets!$A$5:$A$254,0)),"Check - not in library")))</f>
        <v>0</v>
      </c>
      <c r="Y400" s="16">
        <f>IF(B400="","",B400-ProductionDays)</f>
        <v>0</v>
      </c>
      <c r="Z400" s="16">
        <f>IF(B400="","",B400-ApprovalDays)</f>
        <v>0</v>
      </c>
      <c r="AA400" s="23">
        <f>IF(B400="","",B400-TODAY())</f>
        <v>0</v>
      </c>
      <c r="AC400" s="29">
        <f>IF(H400="","",IF(X400="Published",IF(AB400="","Add - link missing","Yes"),"No"))</f>
        <v>0</v>
      </c>
      <c r="AD400" s="23">
        <f>IF(A400="","",IF(COUNTIF(Performance!$B$5:$B$404,A400)=0,"",SUMIFS(Performance!$O$5:$O$404,Performance!$B$5:$B$404,A400)))</f>
        <v>0</v>
      </c>
      <c r="AE400" s="23">
        <f>IF(AD400="","",SUMIFS(Performance!$Z$5:$Z$404,Performance!$B$5:$B$404,A400))</f>
        <v>0</v>
      </c>
      <c r="AF400" s="24">
        <f>IF(OR(AD400="",AD400=0),"",AE400/AD400)</f>
        <v>0</v>
      </c>
      <c r="AG400" s="23">
        <f>IF(AD400="","",SUMIFS(Performance!$U$5:$U$404,Performance!$B$5:$B$404,A400))</f>
        <v>0</v>
      </c>
      <c r="AH400" s="23">
        <f>IF(A400="","",COUNTIF(Repurposing!$B$5:$B$154,A400))</f>
        <v>0</v>
      </c>
      <c r="AI400" s="32">
        <f>IF(OR(H400="",B400=""),"",B400+ROW()/100000)</f>
        <v>0</v>
      </c>
      <c r="AJ400" s="32">
        <f>IF(OR(H400="",B400=""),"",IF(OR(X400="Published",X400="Cancelled",X400="Archived"),"",IF(B400&lt;TODAY(),"",B400+ROW()/100000)))</f>
        <v>0</v>
      </c>
      <c r="AK400" s="32">
        <f>IF(OR(H400="",B400=""),"",IF(OR(X400="Published",X400="Cancelled",X400="Archived"),"",IF(B400&gt;=TODAY(),"",B400+ROW()/100000)))</f>
        <v>0</v>
      </c>
      <c r="AL400" s="29">
        <f>IF(H400="","",IF(COUNTIFS('Content Calendar'!$H$5:$H$604,H400,'Content Calendar'!$G$5:$G$604,G400,'Content Calendar'!$B$5:$B$604,B400)&gt;1,"Duplicate","OK"))</f>
        <v>0</v>
      </c>
      <c r="AM400" s="29">
        <f>IF(H400="","",IF(AND(B400&lt;&gt;"",B400&lt;TODAY(),X400&lt;&gt;"Published",X400&lt;&gt;"Cancelled",X400&lt;&gt;"Archived"),"Overdue - date has passed",IF(AND(X400="Published",AB400=""),"Add - publish link missing",IF(AND(B400=TODAY(),X400&lt;&gt;"Published"),"Today - due to go live",IF(AND(Y400&lt;&gt;"",Y400&lt;TODAY(),OR(X400="Idea",X400="Brief",X400="In production")),"Late - draft not ready",IF(AND(AA400&gt;=0,AA400&lt;=3,OR(X400="Draft",X400="Awaiting review")),"Due - needs approval",IF(AND(H400&lt;&gt;"",P400=""),"Add - caption missing","OK")))))))</f>
        <v>0</v>
      </c>
    </row>
    <row r="401" spans="1:39">
      <c r="A401" s="41">
        <f>IF(H401="","",ContentPrefix&amp;TEXT(ROW()-4,"0000"))</f>
        <v>0</v>
      </c>
      <c r="D401" s="17">
        <f>IF(B401="","",TEXT(B401,"yyyy-mm"))</f>
        <v>0</v>
      </c>
      <c r="E401" s="23">
        <f>IF(B401="","",WEEKNUM(B401,IF(WeekStart="Sunday",1,2)))</f>
        <v>0</v>
      </c>
      <c r="F401" s="17">
        <f>IF(B401="","",TEXT(B401,"ddd"))</f>
        <v>0</v>
      </c>
      <c r="Q401" s="29">
        <f>IF(H401="","",IF(P401="","Add - no caption",IFERROR(INDEX('Caption Bank'!$R$5:$R$204,MATCH(P401,'Caption Bank'!$B$5:$B$204,0)),"Check - not in bank")))</f>
        <v>0</v>
      </c>
      <c r="S401" s="23">
        <f>IF(R401="","",COUNTIF('Hashtag Bank'!$D$5:$D$304,R401))</f>
        <v>0</v>
      </c>
      <c r="U401" s="29">
        <f>IF(H401="","",IF(T401="","Add - no asset",IFERROR(INDEX(Assets!$N$5:$N$254,MATCH(T401,Assets!$A$5:$A$254,0)),"Check - not in library")))</f>
        <v>0</v>
      </c>
      <c r="Y401" s="16">
        <f>IF(B401="","",B401-ProductionDays)</f>
        <v>0</v>
      </c>
      <c r="Z401" s="16">
        <f>IF(B401="","",B401-ApprovalDays)</f>
        <v>0</v>
      </c>
      <c r="AA401" s="23">
        <f>IF(B401="","",B401-TODAY())</f>
        <v>0</v>
      </c>
      <c r="AC401" s="29">
        <f>IF(H401="","",IF(X401="Published",IF(AB401="","Add - link missing","Yes"),"No"))</f>
        <v>0</v>
      </c>
      <c r="AD401" s="23">
        <f>IF(A401="","",IF(COUNTIF(Performance!$B$5:$B$404,A401)=0,"",SUMIFS(Performance!$O$5:$O$404,Performance!$B$5:$B$404,A401)))</f>
        <v>0</v>
      </c>
      <c r="AE401" s="23">
        <f>IF(AD401="","",SUMIFS(Performance!$Z$5:$Z$404,Performance!$B$5:$B$404,A401))</f>
        <v>0</v>
      </c>
      <c r="AF401" s="24">
        <f>IF(OR(AD401="",AD401=0),"",AE401/AD401)</f>
        <v>0</v>
      </c>
      <c r="AG401" s="23">
        <f>IF(AD401="","",SUMIFS(Performance!$U$5:$U$404,Performance!$B$5:$B$404,A401))</f>
        <v>0</v>
      </c>
      <c r="AH401" s="23">
        <f>IF(A401="","",COUNTIF(Repurposing!$B$5:$B$154,A401))</f>
        <v>0</v>
      </c>
      <c r="AI401" s="32">
        <f>IF(OR(H401="",B401=""),"",B401+ROW()/100000)</f>
        <v>0</v>
      </c>
      <c r="AJ401" s="32">
        <f>IF(OR(H401="",B401=""),"",IF(OR(X401="Published",X401="Cancelled",X401="Archived"),"",IF(B401&lt;TODAY(),"",B401+ROW()/100000)))</f>
        <v>0</v>
      </c>
      <c r="AK401" s="32">
        <f>IF(OR(H401="",B401=""),"",IF(OR(X401="Published",X401="Cancelled",X401="Archived"),"",IF(B401&gt;=TODAY(),"",B401+ROW()/100000)))</f>
        <v>0</v>
      </c>
      <c r="AL401" s="29">
        <f>IF(H401="","",IF(COUNTIFS('Content Calendar'!$H$5:$H$604,H401,'Content Calendar'!$G$5:$G$604,G401,'Content Calendar'!$B$5:$B$604,B401)&gt;1,"Duplicate","OK"))</f>
        <v>0</v>
      </c>
      <c r="AM401" s="29">
        <f>IF(H401="","",IF(AND(B401&lt;&gt;"",B401&lt;TODAY(),X401&lt;&gt;"Published",X401&lt;&gt;"Cancelled",X401&lt;&gt;"Archived"),"Overdue - date has passed",IF(AND(X401="Published",AB401=""),"Add - publish link missing",IF(AND(B401=TODAY(),X401&lt;&gt;"Published"),"Today - due to go live",IF(AND(Y401&lt;&gt;"",Y401&lt;TODAY(),OR(X401="Idea",X401="Brief",X401="In production")),"Late - draft not ready",IF(AND(AA401&gt;=0,AA401&lt;=3,OR(X401="Draft",X401="Awaiting review")),"Due - needs approval",IF(AND(H401&lt;&gt;"",P401=""),"Add - caption missing","OK")))))))</f>
        <v>0</v>
      </c>
    </row>
    <row r="402" spans="1:39">
      <c r="A402" s="41">
        <f>IF(H402="","",ContentPrefix&amp;TEXT(ROW()-4,"0000"))</f>
        <v>0</v>
      </c>
      <c r="D402" s="17">
        <f>IF(B402="","",TEXT(B402,"yyyy-mm"))</f>
        <v>0</v>
      </c>
      <c r="E402" s="23">
        <f>IF(B402="","",WEEKNUM(B402,IF(WeekStart="Sunday",1,2)))</f>
        <v>0</v>
      </c>
      <c r="F402" s="17">
        <f>IF(B402="","",TEXT(B402,"ddd"))</f>
        <v>0</v>
      </c>
      <c r="Q402" s="29">
        <f>IF(H402="","",IF(P402="","Add - no caption",IFERROR(INDEX('Caption Bank'!$R$5:$R$204,MATCH(P402,'Caption Bank'!$B$5:$B$204,0)),"Check - not in bank")))</f>
        <v>0</v>
      </c>
      <c r="S402" s="23">
        <f>IF(R402="","",COUNTIF('Hashtag Bank'!$D$5:$D$304,R402))</f>
        <v>0</v>
      </c>
      <c r="U402" s="29">
        <f>IF(H402="","",IF(T402="","Add - no asset",IFERROR(INDEX(Assets!$N$5:$N$254,MATCH(T402,Assets!$A$5:$A$254,0)),"Check - not in library")))</f>
        <v>0</v>
      </c>
      <c r="Y402" s="16">
        <f>IF(B402="","",B402-ProductionDays)</f>
        <v>0</v>
      </c>
      <c r="Z402" s="16">
        <f>IF(B402="","",B402-ApprovalDays)</f>
        <v>0</v>
      </c>
      <c r="AA402" s="23">
        <f>IF(B402="","",B402-TODAY())</f>
        <v>0</v>
      </c>
      <c r="AC402" s="29">
        <f>IF(H402="","",IF(X402="Published",IF(AB402="","Add - link missing","Yes"),"No"))</f>
        <v>0</v>
      </c>
      <c r="AD402" s="23">
        <f>IF(A402="","",IF(COUNTIF(Performance!$B$5:$B$404,A402)=0,"",SUMIFS(Performance!$O$5:$O$404,Performance!$B$5:$B$404,A402)))</f>
        <v>0</v>
      </c>
      <c r="AE402" s="23">
        <f>IF(AD402="","",SUMIFS(Performance!$Z$5:$Z$404,Performance!$B$5:$B$404,A402))</f>
        <v>0</v>
      </c>
      <c r="AF402" s="24">
        <f>IF(OR(AD402="",AD402=0),"",AE402/AD402)</f>
        <v>0</v>
      </c>
      <c r="AG402" s="23">
        <f>IF(AD402="","",SUMIFS(Performance!$U$5:$U$404,Performance!$B$5:$B$404,A402))</f>
        <v>0</v>
      </c>
      <c r="AH402" s="23">
        <f>IF(A402="","",COUNTIF(Repurposing!$B$5:$B$154,A402))</f>
        <v>0</v>
      </c>
      <c r="AI402" s="32">
        <f>IF(OR(H402="",B402=""),"",B402+ROW()/100000)</f>
        <v>0</v>
      </c>
      <c r="AJ402" s="32">
        <f>IF(OR(H402="",B402=""),"",IF(OR(X402="Published",X402="Cancelled",X402="Archived"),"",IF(B402&lt;TODAY(),"",B402+ROW()/100000)))</f>
        <v>0</v>
      </c>
      <c r="AK402" s="32">
        <f>IF(OR(H402="",B402=""),"",IF(OR(X402="Published",X402="Cancelled",X402="Archived"),"",IF(B402&gt;=TODAY(),"",B402+ROW()/100000)))</f>
        <v>0</v>
      </c>
      <c r="AL402" s="29">
        <f>IF(H402="","",IF(COUNTIFS('Content Calendar'!$H$5:$H$604,H402,'Content Calendar'!$G$5:$G$604,G402,'Content Calendar'!$B$5:$B$604,B402)&gt;1,"Duplicate","OK"))</f>
        <v>0</v>
      </c>
      <c r="AM402" s="29">
        <f>IF(H402="","",IF(AND(B402&lt;&gt;"",B402&lt;TODAY(),X402&lt;&gt;"Published",X402&lt;&gt;"Cancelled",X402&lt;&gt;"Archived"),"Overdue - date has passed",IF(AND(X402="Published",AB402=""),"Add - publish link missing",IF(AND(B402=TODAY(),X402&lt;&gt;"Published"),"Today - due to go live",IF(AND(Y402&lt;&gt;"",Y402&lt;TODAY(),OR(X402="Idea",X402="Brief",X402="In production")),"Late - draft not ready",IF(AND(AA402&gt;=0,AA402&lt;=3,OR(X402="Draft",X402="Awaiting review")),"Due - needs approval",IF(AND(H402&lt;&gt;"",P402=""),"Add - caption missing","OK")))))))</f>
        <v>0</v>
      </c>
    </row>
    <row r="403" spans="1:39">
      <c r="A403" s="41">
        <f>IF(H403="","",ContentPrefix&amp;TEXT(ROW()-4,"0000"))</f>
        <v>0</v>
      </c>
      <c r="D403" s="17">
        <f>IF(B403="","",TEXT(B403,"yyyy-mm"))</f>
        <v>0</v>
      </c>
      <c r="E403" s="23">
        <f>IF(B403="","",WEEKNUM(B403,IF(WeekStart="Sunday",1,2)))</f>
        <v>0</v>
      </c>
      <c r="F403" s="17">
        <f>IF(B403="","",TEXT(B403,"ddd"))</f>
        <v>0</v>
      </c>
      <c r="Q403" s="29">
        <f>IF(H403="","",IF(P403="","Add - no caption",IFERROR(INDEX('Caption Bank'!$R$5:$R$204,MATCH(P403,'Caption Bank'!$B$5:$B$204,0)),"Check - not in bank")))</f>
        <v>0</v>
      </c>
      <c r="S403" s="23">
        <f>IF(R403="","",COUNTIF('Hashtag Bank'!$D$5:$D$304,R403))</f>
        <v>0</v>
      </c>
      <c r="U403" s="29">
        <f>IF(H403="","",IF(T403="","Add - no asset",IFERROR(INDEX(Assets!$N$5:$N$254,MATCH(T403,Assets!$A$5:$A$254,0)),"Check - not in library")))</f>
        <v>0</v>
      </c>
      <c r="Y403" s="16">
        <f>IF(B403="","",B403-ProductionDays)</f>
        <v>0</v>
      </c>
      <c r="Z403" s="16">
        <f>IF(B403="","",B403-ApprovalDays)</f>
        <v>0</v>
      </c>
      <c r="AA403" s="23">
        <f>IF(B403="","",B403-TODAY())</f>
        <v>0</v>
      </c>
      <c r="AC403" s="29">
        <f>IF(H403="","",IF(X403="Published",IF(AB403="","Add - link missing","Yes"),"No"))</f>
        <v>0</v>
      </c>
      <c r="AD403" s="23">
        <f>IF(A403="","",IF(COUNTIF(Performance!$B$5:$B$404,A403)=0,"",SUMIFS(Performance!$O$5:$O$404,Performance!$B$5:$B$404,A403)))</f>
        <v>0</v>
      </c>
      <c r="AE403" s="23">
        <f>IF(AD403="","",SUMIFS(Performance!$Z$5:$Z$404,Performance!$B$5:$B$404,A403))</f>
        <v>0</v>
      </c>
      <c r="AF403" s="24">
        <f>IF(OR(AD403="",AD403=0),"",AE403/AD403)</f>
        <v>0</v>
      </c>
      <c r="AG403" s="23">
        <f>IF(AD403="","",SUMIFS(Performance!$U$5:$U$404,Performance!$B$5:$B$404,A403))</f>
        <v>0</v>
      </c>
      <c r="AH403" s="23">
        <f>IF(A403="","",COUNTIF(Repurposing!$B$5:$B$154,A403))</f>
        <v>0</v>
      </c>
      <c r="AI403" s="32">
        <f>IF(OR(H403="",B403=""),"",B403+ROW()/100000)</f>
        <v>0</v>
      </c>
      <c r="AJ403" s="32">
        <f>IF(OR(H403="",B403=""),"",IF(OR(X403="Published",X403="Cancelled",X403="Archived"),"",IF(B403&lt;TODAY(),"",B403+ROW()/100000)))</f>
        <v>0</v>
      </c>
      <c r="AK403" s="32">
        <f>IF(OR(H403="",B403=""),"",IF(OR(X403="Published",X403="Cancelled",X403="Archived"),"",IF(B403&gt;=TODAY(),"",B403+ROW()/100000)))</f>
        <v>0</v>
      </c>
      <c r="AL403" s="29">
        <f>IF(H403="","",IF(COUNTIFS('Content Calendar'!$H$5:$H$604,H403,'Content Calendar'!$G$5:$G$604,G403,'Content Calendar'!$B$5:$B$604,B403)&gt;1,"Duplicate","OK"))</f>
        <v>0</v>
      </c>
      <c r="AM403" s="29">
        <f>IF(H403="","",IF(AND(B403&lt;&gt;"",B403&lt;TODAY(),X403&lt;&gt;"Published",X403&lt;&gt;"Cancelled",X403&lt;&gt;"Archived"),"Overdue - date has passed",IF(AND(X403="Published",AB403=""),"Add - publish link missing",IF(AND(B403=TODAY(),X403&lt;&gt;"Published"),"Today - due to go live",IF(AND(Y403&lt;&gt;"",Y403&lt;TODAY(),OR(X403="Idea",X403="Brief",X403="In production")),"Late - draft not ready",IF(AND(AA403&gt;=0,AA403&lt;=3,OR(X403="Draft",X403="Awaiting review")),"Due - needs approval",IF(AND(H403&lt;&gt;"",P403=""),"Add - caption missing","OK")))))))</f>
        <v>0</v>
      </c>
    </row>
    <row r="404" spans="1:39">
      <c r="A404" s="41">
        <f>IF(H404="","",ContentPrefix&amp;TEXT(ROW()-4,"0000"))</f>
        <v>0</v>
      </c>
      <c r="D404" s="17">
        <f>IF(B404="","",TEXT(B404,"yyyy-mm"))</f>
        <v>0</v>
      </c>
      <c r="E404" s="23">
        <f>IF(B404="","",WEEKNUM(B404,IF(WeekStart="Sunday",1,2)))</f>
        <v>0</v>
      </c>
      <c r="F404" s="17">
        <f>IF(B404="","",TEXT(B404,"ddd"))</f>
        <v>0</v>
      </c>
      <c r="Q404" s="29">
        <f>IF(H404="","",IF(P404="","Add - no caption",IFERROR(INDEX('Caption Bank'!$R$5:$R$204,MATCH(P404,'Caption Bank'!$B$5:$B$204,0)),"Check - not in bank")))</f>
        <v>0</v>
      </c>
      <c r="S404" s="23">
        <f>IF(R404="","",COUNTIF('Hashtag Bank'!$D$5:$D$304,R404))</f>
        <v>0</v>
      </c>
      <c r="U404" s="29">
        <f>IF(H404="","",IF(T404="","Add - no asset",IFERROR(INDEX(Assets!$N$5:$N$254,MATCH(T404,Assets!$A$5:$A$254,0)),"Check - not in library")))</f>
        <v>0</v>
      </c>
      <c r="Y404" s="16">
        <f>IF(B404="","",B404-ProductionDays)</f>
        <v>0</v>
      </c>
      <c r="Z404" s="16">
        <f>IF(B404="","",B404-ApprovalDays)</f>
        <v>0</v>
      </c>
      <c r="AA404" s="23">
        <f>IF(B404="","",B404-TODAY())</f>
        <v>0</v>
      </c>
      <c r="AC404" s="29">
        <f>IF(H404="","",IF(X404="Published",IF(AB404="","Add - link missing","Yes"),"No"))</f>
        <v>0</v>
      </c>
      <c r="AD404" s="23">
        <f>IF(A404="","",IF(COUNTIF(Performance!$B$5:$B$404,A404)=0,"",SUMIFS(Performance!$O$5:$O$404,Performance!$B$5:$B$404,A404)))</f>
        <v>0</v>
      </c>
      <c r="AE404" s="23">
        <f>IF(AD404="","",SUMIFS(Performance!$Z$5:$Z$404,Performance!$B$5:$B$404,A404))</f>
        <v>0</v>
      </c>
      <c r="AF404" s="24">
        <f>IF(OR(AD404="",AD404=0),"",AE404/AD404)</f>
        <v>0</v>
      </c>
      <c r="AG404" s="23">
        <f>IF(AD404="","",SUMIFS(Performance!$U$5:$U$404,Performance!$B$5:$B$404,A404))</f>
        <v>0</v>
      </c>
      <c r="AH404" s="23">
        <f>IF(A404="","",COUNTIF(Repurposing!$B$5:$B$154,A404))</f>
        <v>0</v>
      </c>
      <c r="AI404" s="32">
        <f>IF(OR(H404="",B404=""),"",B404+ROW()/100000)</f>
        <v>0</v>
      </c>
      <c r="AJ404" s="32">
        <f>IF(OR(H404="",B404=""),"",IF(OR(X404="Published",X404="Cancelled",X404="Archived"),"",IF(B404&lt;TODAY(),"",B404+ROW()/100000)))</f>
        <v>0</v>
      </c>
      <c r="AK404" s="32">
        <f>IF(OR(H404="",B404=""),"",IF(OR(X404="Published",X404="Cancelled",X404="Archived"),"",IF(B404&gt;=TODAY(),"",B404+ROW()/100000)))</f>
        <v>0</v>
      </c>
      <c r="AL404" s="29">
        <f>IF(H404="","",IF(COUNTIFS('Content Calendar'!$H$5:$H$604,H404,'Content Calendar'!$G$5:$G$604,G404,'Content Calendar'!$B$5:$B$604,B404)&gt;1,"Duplicate","OK"))</f>
        <v>0</v>
      </c>
      <c r="AM404" s="29">
        <f>IF(H404="","",IF(AND(B404&lt;&gt;"",B404&lt;TODAY(),X404&lt;&gt;"Published",X404&lt;&gt;"Cancelled",X404&lt;&gt;"Archived"),"Overdue - date has passed",IF(AND(X404="Published",AB404=""),"Add - publish link missing",IF(AND(B404=TODAY(),X404&lt;&gt;"Published"),"Today - due to go live",IF(AND(Y404&lt;&gt;"",Y404&lt;TODAY(),OR(X404="Idea",X404="Brief",X404="In production")),"Late - draft not ready",IF(AND(AA404&gt;=0,AA404&lt;=3,OR(X404="Draft",X404="Awaiting review")),"Due - needs approval",IF(AND(H404&lt;&gt;"",P404=""),"Add - caption missing","OK")))))))</f>
        <v>0</v>
      </c>
    </row>
    <row r="405" spans="1:39">
      <c r="A405" s="41">
        <f>IF(H405="","",ContentPrefix&amp;TEXT(ROW()-4,"0000"))</f>
        <v>0</v>
      </c>
      <c r="D405" s="17">
        <f>IF(B405="","",TEXT(B405,"yyyy-mm"))</f>
        <v>0</v>
      </c>
      <c r="E405" s="23">
        <f>IF(B405="","",WEEKNUM(B405,IF(WeekStart="Sunday",1,2)))</f>
        <v>0</v>
      </c>
      <c r="F405" s="17">
        <f>IF(B405="","",TEXT(B405,"ddd"))</f>
        <v>0</v>
      </c>
      <c r="Q405" s="29">
        <f>IF(H405="","",IF(P405="","Add - no caption",IFERROR(INDEX('Caption Bank'!$R$5:$R$204,MATCH(P405,'Caption Bank'!$B$5:$B$204,0)),"Check - not in bank")))</f>
        <v>0</v>
      </c>
      <c r="S405" s="23">
        <f>IF(R405="","",COUNTIF('Hashtag Bank'!$D$5:$D$304,R405))</f>
        <v>0</v>
      </c>
      <c r="U405" s="29">
        <f>IF(H405="","",IF(T405="","Add - no asset",IFERROR(INDEX(Assets!$N$5:$N$254,MATCH(T405,Assets!$A$5:$A$254,0)),"Check - not in library")))</f>
        <v>0</v>
      </c>
      <c r="Y405" s="16">
        <f>IF(B405="","",B405-ProductionDays)</f>
        <v>0</v>
      </c>
      <c r="Z405" s="16">
        <f>IF(B405="","",B405-ApprovalDays)</f>
        <v>0</v>
      </c>
      <c r="AA405" s="23">
        <f>IF(B405="","",B405-TODAY())</f>
        <v>0</v>
      </c>
      <c r="AC405" s="29">
        <f>IF(H405="","",IF(X405="Published",IF(AB405="","Add - link missing","Yes"),"No"))</f>
        <v>0</v>
      </c>
      <c r="AD405" s="23">
        <f>IF(A405="","",IF(COUNTIF(Performance!$B$5:$B$404,A405)=0,"",SUMIFS(Performance!$O$5:$O$404,Performance!$B$5:$B$404,A405)))</f>
        <v>0</v>
      </c>
      <c r="AE405" s="23">
        <f>IF(AD405="","",SUMIFS(Performance!$Z$5:$Z$404,Performance!$B$5:$B$404,A405))</f>
        <v>0</v>
      </c>
      <c r="AF405" s="24">
        <f>IF(OR(AD405="",AD405=0),"",AE405/AD405)</f>
        <v>0</v>
      </c>
      <c r="AG405" s="23">
        <f>IF(AD405="","",SUMIFS(Performance!$U$5:$U$404,Performance!$B$5:$B$404,A405))</f>
        <v>0</v>
      </c>
      <c r="AH405" s="23">
        <f>IF(A405="","",COUNTIF(Repurposing!$B$5:$B$154,A405))</f>
        <v>0</v>
      </c>
      <c r="AI405" s="32">
        <f>IF(OR(H405="",B405=""),"",B405+ROW()/100000)</f>
        <v>0</v>
      </c>
      <c r="AJ405" s="32">
        <f>IF(OR(H405="",B405=""),"",IF(OR(X405="Published",X405="Cancelled",X405="Archived"),"",IF(B405&lt;TODAY(),"",B405+ROW()/100000)))</f>
        <v>0</v>
      </c>
      <c r="AK405" s="32">
        <f>IF(OR(H405="",B405=""),"",IF(OR(X405="Published",X405="Cancelled",X405="Archived"),"",IF(B405&gt;=TODAY(),"",B405+ROW()/100000)))</f>
        <v>0</v>
      </c>
      <c r="AL405" s="29">
        <f>IF(H405="","",IF(COUNTIFS('Content Calendar'!$H$5:$H$604,H405,'Content Calendar'!$G$5:$G$604,G405,'Content Calendar'!$B$5:$B$604,B405)&gt;1,"Duplicate","OK"))</f>
        <v>0</v>
      </c>
      <c r="AM405" s="29">
        <f>IF(H405="","",IF(AND(B405&lt;&gt;"",B405&lt;TODAY(),X405&lt;&gt;"Published",X405&lt;&gt;"Cancelled",X405&lt;&gt;"Archived"),"Overdue - date has passed",IF(AND(X405="Published",AB405=""),"Add - publish link missing",IF(AND(B405=TODAY(),X405&lt;&gt;"Published"),"Today - due to go live",IF(AND(Y405&lt;&gt;"",Y405&lt;TODAY(),OR(X405="Idea",X405="Brief",X405="In production")),"Late - draft not ready",IF(AND(AA405&gt;=0,AA405&lt;=3,OR(X405="Draft",X405="Awaiting review")),"Due - needs approval",IF(AND(H405&lt;&gt;"",P405=""),"Add - caption missing","OK")))))))</f>
        <v>0</v>
      </c>
    </row>
    <row r="406" spans="1:39">
      <c r="A406" s="41">
        <f>IF(H406="","",ContentPrefix&amp;TEXT(ROW()-4,"0000"))</f>
        <v>0</v>
      </c>
      <c r="D406" s="17">
        <f>IF(B406="","",TEXT(B406,"yyyy-mm"))</f>
        <v>0</v>
      </c>
      <c r="E406" s="23">
        <f>IF(B406="","",WEEKNUM(B406,IF(WeekStart="Sunday",1,2)))</f>
        <v>0</v>
      </c>
      <c r="F406" s="17">
        <f>IF(B406="","",TEXT(B406,"ddd"))</f>
        <v>0</v>
      </c>
      <c r="Q406" s="29">
        <f>IF(H406="","",IF(P406="","Add - no caption",IFERROR(INDEX('Caption Bank'!$R$5:$R$204,MATCH(P406,'Caption Bank'!$B$5:$B$204,0)),"Check - not in bank")))</f>
        <v>0</v>
      </c>
      <c r="S406" s="23">
        <f>IF(R406="","",COUNTIF('Hashtag Bank'!$D$5:$D$304,R406))</f>
        <v>0</v>
      </c>
      <c r="U406" s="29">
        <f>IF(H406="","",IF(T406="","Add - no asset",IFERROR(INDEX(Assets!$N$5:$N$254,MATCH(T406,Assets!$A$5:$A$254,0)),"Check - not in library")))</f>
        <v>0</v>
      </c>
      <c r="Y406" s="16">
        <f>IF(B406="","",B406-ProductionDays)</f>
        <v>0</v>
      </c>
      <c r="Z406" s="16">
        <f>IF(B406="","",B406-ApprovalDays)</f>
        <v>0</v>
      </c>
      <c r="AA406" s="23">
        <f>IF(B406="","",B406-TODAY())</f>
        <v>0</v>
      </c>
      <c r="AC406" s="29">
        <f>IF(H406="","",IF(X406="Published",IF(AB406="","Add - link missing","Yes"),"No"))</f>
        <v>0</v>
      </c>
      <c r="AD406" s="23">
        <f>IF(A406="","",IF(COUNTIF(Performance!$B$5:$B$404,A406)=0,"",SUMIFS(Performance!$O$5:$O$404,Performance!$B$5:$B$404,A406)))</f>
        <v>0</v>
      </c>
      <c r="AE406" s="23">
        <f>IF(AD406="","",SUMIFS(Performance!$Z$5:$Z$404,Performance!$B$5:$B$404,A406))</f>
        <v>0</v>
      </c>
      <c r="AF406" s="24">
        <f>IF(OR(AD406="",AD406=0),"",AE406/AD406)</f>
        <v>0</v>
      </c>
      <c r="AG406" s="23">
        <f>IF(AD406="","",SUMIFS(Performance!$U$5:$U$404,Performance!$B$5:$B$404,A406))</f>
        <v>0</v>
      </c>
      <c r="AH406" s="23">
        <f>IF(A406="","",COUNTIF(Repurposing!$B$5:$B$154,A406))</f>
        <v>0</v>
      </c>
      <c r="AI406" s="32">
        <f>IF(OR(H406="",B406=""),"",B406+ROW()/100000)</f>
        <v>0</v>
      </c>
      <c r="AJ406" s="32">
        <f>IF(OR(H406="",B406=""),"",IF(OR(X406="Published",X406="Cancelled",X406="Archived"),"",IF(B406&lt;TODAY(),"",B406+ROW()/100000)))</f>
        <v>0</v>
      </c>
      <c r="AK406" s="32">
        <f>IF(OR(H406="",B406=""),"",IF(OR(X406="Published",X406="Cancelled",X406="Archived"),"",IF(B406&gt;=TODAY(),"",B406+ROW()/100000)))</f>
        <v>0</v>
      </c>
      <c r="AL406" s="29">
        <f>IF(H406="","",IF(COUNTIFS('Content Calendar'!$H$5:$H$604,H406,'Content Calendar'!$G$5:$G$604,G406,'Content Calendar'!$B$5:$B$604,B406)&gt;1,"Duplicate","OK"))</f>
        <v>0</v>
      </c>
      <c r="AM406" s="29">
        <f>IF(H406="","",IF(AND(B406&lt;&gt;"",B406&lt;TODAY(),X406&lt;&gt;"Published",X406&lt;&gt;"Cancelled",X406&lt;&gt;"Archived"),"Overdue - date has passed",IF(AND(X406="Published",AB406=""),"Add - publish link missing",IF(AND(B406=TODAY(),X406&lt;&gt;"Published"),"Today - due to go live",IF(AND(Y406&lt;&gt;"",Y406&lt;TODAY(),OR(X406="Idea",X406="Brief",X406="In production")),"Late - draft not ready",IF(AND(AA406&gt;=0,AA406&lt;=3,OR(X406="Draft",X406="Awaiting review")),"Due - needs approval",IF(AND(H406&lt;&gt;"",P406=""),"Add - caption missing","OK")))))))</f>
        <v>0</v>
      </c>
    </row>
    <row r="407" spans="1:39">
      <c r="A407" s="41">
        <f>IF(H407="","",ContentPrefix&amp;TEXT(ROW()-4,"0000"))</f>
        <v>0</v>
      </c>
      <c r="D407" s="17">
        <f>IF(B407="","",TEXT(B407,"yyyy-mm"))</f>
        <v>0</v>
      </c>
      <c r="E407" s="23">
        <f>IF(B407="","",WEEKNUM(B407,IF(WeekStart="Sunday",1,2)))</f>
        <v>0</v>
      </c>
      <c r="F407" s="17">
        <f>IF(B407="","",TEXT(B407,"ddd"))</f>
        <v>0</v>
      </c>
      <c r="Q407" s="29">
        <f>IF(H407="","",IF(P407="","Add - no caption",IFERROR(INDEX('Caption Bank'!$R$5:$R$204,MATCH(P407,'Caption Bank'!$B$5:$B$204,0)),"Check - not in bank")))</f>
        <v>0</v>
      </c>
      <c r="S407" s="23">
        <f>IF(R407="","",COUNTIF('Hashtag Bank'!$D$5:$D$304,R407))</f>
        <v>0</v>
      </c>
      <c r="U407" s="29">
        <f>IF(H407="","",IF(T407="","Add - no asset",IFERROR(INDEX(Assets!$N$5:$N$254,MATCH(T407,Assets!$A$5:$A$254,0)),"Check - not in library")))</f>
        <v>0</v>
      </c>
      <c r="Y407" s="16">
        <f>IF(B407="","",B407-ProductionDays)</f>
        <v>0</v>
      </c>
      <c r="Z407" s="16">
        <f>IF(B407="","",B407-ApprovalDays)</f>
        <v>0</v>
      </c>
      <c r="AA407" s="23">
        <f>IF(B407="","",B407-TODAY())</f>
        <v>0</v>
      </c>
      <c r="AC407" s="29">
        <f>IF(H407="","",IF(X407="Published",IF(AB407="","Add - link missing","Yes"),"No"))</f>
        <v>0</v>
      </c>
      <c r="AD407" s="23">
        <f>IF(A407="","",IF(COUNTIF(Performance!$B$5:$B$404,A407)=0,"",SUMIFS(Performance!$O$5:$O$404,Performance!$B$5:$B$404,A407)))</f>
        <v>0</v>
      </c>
      <c r="AE407" s="23">
        <f>IF(AD407="","",SUMIFS(Performance!$Z$5:$Z$404,Performance!$B$5:$B$404,A407))</f>
        <v>0</v>
      </c>
      <c r="AF407" s="24">
        <f>IF(OR(AD407="",AD407=0),"",AE407/AD407)</f>
        <v>0</v>
      </c>
      <c r="AG407" s="23">
        <f>IF(AD407="","",SUMIFS(Performance!$U$5:$U$404,Performance!$B$5:$B$404,A407))</f>
        <v>0</v>
      </c>
      <c r="AH407" s="23">
        <f>IF(A407="","",COUNTIF(Repurposing!$B$5:$B$154,A407))</f>
        <v>0</v>
      </c>
      <c r="AI407" s="32">
        <f>IF(OR(H407="",B407=""),"",B407+ROW()/100000)</f>
        <v>0</v>
      </c>
      <c r="AJ407" s="32">
        <f>IF(OR(H407="",B407=""),"",IF(OR(X407="Published",X407="Cancelled",X407="Archived"),"",IF(B407&lt;TODAY(),"",B407+ROW()/100000)))</f>
        <v>0</v>
      </c>
      <c r="AK407" s="32">
        <f>IF(OR(H407="",B407=""),"",IF(OR(X407="Published",X407="Cancelled",X407="Archived"),"",IF(B407&gt;=TODAY(),"",B407+ROW()/100000)))</f>
        <v>0</v>
      </c>
      <c r="AL407" s="29">
        <f>IF(H407="","",IF(COUNTIFS('Content Calendar'!$H$5:$H$604,H407,'Content Calendar'!$G$5:$G$604,G407,'Content Calendar'!$B$5:$B$604,B407)&gt;1,"Duplicate","OK"))</f>
        <v>0</v>
      </c>
      <c r="AM407" s="29">
        <f>IF(H407="","",IF(AND(B407&lt;&gt;"",B407&lt;TODAY(),X407&lt;&gt;"Published",X407&lt;&gt;"Cancelled",X407&lt;&gt;"Archived"),"Overdue - date has passed",IF(AND(X407="Published",AB407=""),"Add - publish link missing",IF(AND(B407=TODAY(),X407&lt;&gt;"Published"),"Today - due to go live",IF(AND(Y407&lt;&gt;"",Y407&lt;TODAY(),OR(X407="Idea",X407="Brief",X407="In production")),"Late - draft not ready",IF(AND(AA407&gt;=0,AA407&lt;=3,OR(X407="Draft",X407="Awaiting review")),"Due - needs approval",IF(AND(H407&lt;&gt;"",P407=""),"Add - caption missing","OK")))))))</f>
        <v>0</v>
      </c>
    </row>
    <row r="408" spans="1:39">
      <c r="A408" s="41">
        <f>IF(H408="","",ContentPrefix&amp;TEXT(ROW()-4,"0000"))</f>
        <v>0</v>
      </c>
      <c r="D408" s="17">
        <f>IF(B408="","",TEXT(B408,"yyyy-mm"))</f>
        <v>0</v>
      </c>
      <c r="E408" s="23">
        <f>IF(B408="","",WEEKNUM(B408,IF(WeekStart="Sunday",1,2)))</f>
        <v>0</v>
      </c>
      <c r="F408" s="17">
        <f>IF(B408="","",TEXT(B408,"ddd"))</f>
        <v>0</v>
      </c>
      <c r="Q408" s="29">
        <f>IF(H408="","",IF(P408="","Add - no caption",IFERROR(INDEX('Caption Bank'!$R$5:$R$204,MATCH(P408,'Caption Bank'!$B$5:$B$204,0)),"Check - not in bank")))</f>
        <v>0</v>
      </c>
      <c r="S408" s="23">
        <f>IF(R408="","",COUNTIF('Hashtag Bank'!$D$5:$D$304,R408))</f>
        <v>0</v>
      </c>
      <c r="U408" s="29">
        <f>IF(H408="","",IF(T408="","Add - no asset",IFERROR(INDEX(Assets!$N$5:$N$254,MATCH(T408,Assets!$A$5:$A$254,0)),"Check - not in library")))</f>
        <v>0</v>
      </c>
      <c r="Y408" s="16">
        <f>IF(B408="","",B408-ProductionDays)</f>
        <v>0</v>
      </c>
      <c r="Z408" s="16">
        <f>IF(B408="","",B408-ApprovalDays)</f>
        <v>0</v>
      </c>
      <c r="AA408" s="23">
        <f>IF(B408="","",B408-TODAY())</f>
        <v>0</v>
      </c>
      <c r="AC408" s="29">
        <f>IF(H408="","",IF(X408="Published",IF(AB408="","Add - link missing","Yes"),"No"))</f>
        <v>0</v>
      </c>
      <c r="AD408" s="23">
        <f>IF(A408="","",IF(COUNTIF(Performance!$B$5:$B$404,A408)=0,"",SUMIFS(Performance!$O$5:$O$404,Performance!$B$5:$B$404,A408)))</f>
        <v>0</v>
      </c>
      <c r="AE408" s="23">
        <f>IF(AD408="","",SUMIFS(Performance!$Z$5:$Z$404,Performance!$B$5:$B$404,A408))</f>
        <v>0</v>
      </c>
      <c r="AF408" s="24">
        <f>IF(OR(AD408="",AD408=0),"",AE408/AD408)</f>
        <v>0</v>
      </c>
      <c r="AG408" s="23">
        <f>IF(AD408="","",SUMIFS(Performance!$U$5:$U$404,Performance!$B$5:$B$404,A408))</f>
        <v>0</v>
      </c>
      <c r="AH408" s="23">
        <f>IF(A408="","",COUNTIF(Repurposing!$B$5:$B$154,A408))</f>
        <v>0</v>
      </c>
      <c r="AI408" s="32">
        <f>IF(OR(H408="",B408=""),"",B408+ROW()/100000)</f>
        <v>0</v>
      </c>
      <c r="AJ408" s="32">
        <f>IF(OR(H408="",B408=""),"",IF(OR(X408="Published",X408="Cancelled",X408="Archived"),"",IF(B408&lt;TODAY(),"",B408+ROW()/100000)))</f>
        <v>0</v>
      </c>
      <c r="AK408" s="32">
        <f>IF(OR(H408="",B408=""),"",IF(OR(X408="Published",X408="Cancelled",X408="Archived"),"",IF(B408&gt;=TODAY(),"",B408+ROW()/100000)))</f>
        <v>0</v>
      </c>
      <c r="AL408" s="29">
        <f>IF(H408="","",IF(COUNTIFS('Content Calendar'!$H$5:$H$604,H408,'Content Calendar'!$G$5:$G$604,G408,'Content Calendar'!$B$5:$B$604,B408)&gt;1,"Duplicate","OK"))</f>
        <v>0</v>
      </c>
      <c r="AM408" s="29">
        <f>IF(H408="","",IF(AND(B408&lt;&gt;"",B408&lt;TODAY(),X408&lt;&gt;"Published",X408&lt;&gt;"Cancelled",X408&lt;&gt;"Archived"),"Overdue - date has passed",IF(AND(X408="Published",AB408=""),"Add - publish link missing",IF(AND(B408=TODAY(),X408&lt;&gt;"Published"),"Today - due to go live",IF(AND(Y408&lt;&gt;"",Y408&lt;TODAY(),OR(X408="Idea",X408="Brief",X408="In production")),"Late - draft not ready",IF(AND(AA408&gt;=0,AA408&lt;=3,OR(X408="Draft",X408="Awaiting review")),"Due - needs approval",IF(AND(H408&lt;&gt;"",P408=""),"Add - caption missing","OK")))))))</f>
        <v>0</v>
      </c>
    </row>
    <row r="409" spans="1:39">
      <c r="A409" s="41">
        <f>IF(H409="","",ContentPrefix&amp;TEXT(ROW()-4,"0000"))</f>
        <v>0</v>
      </c>
      <c r="D409" s="17">
        <f>IF(B409="","",TEXT(B409,"yyyy-mm"))</f>
        <v>0</v>
      </c>
      <c r="E409" s="23">
        <f>IF(B409="","",WEEKNUM(B409,IF(WeekStart="Sunday",1,2)))</f>
        <v>0</v>
      </c>
      <c r="F409" s="17">
        <f>IF(B409="","",TEXT(B409,"ddd"))</f>
        <v>0</v>
      </c>
      <c r="Q409" s="29">
        <f>IF(H409="","",IF(P409="","Add - no caption",IFERROR(INDEX('Caption Bank'!$R$5:$R$204,MATCH(P409,'Caption Bank'!$B$5:$B$204,0)),"Check - not in bank")))</f>
        <v>0</v>
      </c>
      <c r="S409" s="23">
        <f>IF(R409="","",COUNTIF('Hashtag Bank'!$D$5:$D$304,R409))</f>
        <v>0</v>
      </c>
      <c r="U409" s="29">
        <f>IF(H409="","",IF(T409="","Add - no asset",IFERROR(INDEX(Assets!$N$5:$N$254,MATCH(T409,Assets!$A$5:$A$254,0)),"Check - not in library")))</f>
        <v>0</v>
      </c>
      <c r="Y409" s="16">
        <f>IF(B409="","",B409-ProductionDays)</f>
        <v>0</v>
      </c>
      <c r="Z409" s="16">
        <f>IF(B409="","",B409-ApprovalDays)</f>
        <v>0</v>
      </c>
      <c r="AA409" s="23">
        <f>IF(B409="","",B409-TODAY())</f>
        <v>0</v>
      </c>
      <c r="AC409" s="29">
        <f>IF(H409="","",IF(X409="Published",IF(AB409="","Add - link missing","Yes"),"No"))</f>
        <v>0</v>
      </c>
      <c r="AD409" s="23">
        <f>IF(A409="","",IF(COUNTIF(Performance!$B$5:$B$404,A409)=0,"",SUMIFS(Performance!$O$5:$O$404,Performance!$B$5:$B$404,A409)))</f>
        <v>0</v>
      </c>
      <c r="AE409" s="23">
        <f>IF(AD409="","",SUMIFS(Performance!$Z$5:$Z$404,Performance!$B$5:$B$404,A409))</f>
        <v>0</v>
      </c>
      <c r="AF409" s="24">
        <f>IF(OR(AD409="",AD409=0),"",AE409/AD409)</f>
        <v>0</v>
      </c>
      <c r="AG409" s="23">
        <f>IF(AD409="","",SUMIFS(Performance!$U$5:$U$404,Performance!$B$5:$B$404,A409))</f>
        <v>0</v>
      </c>
      <c r="AH409" s="23">
        <f>IF(A409="","",COUNTIF(Repurposing!$B$5:$B$154,A409))</f>
        <v>0</v>
      </c>
      <c r="AI409" s="32">
        <f>IF(OR(H409="",B409=""),"",B409+ROW()/100000)</f>
        <v>0</v>
      </c>
      <c r="AJ409" s="32">
        <f>IF(OR(H409="",B409=""),"",IF(OR(X409="Published",X409="Cancelled",X409="Archived"),"",IF(B409&lt;TODAY(),"",B409+ROW()/100000)))</f>
        <v>0</v>
      </c>
      <c r="AK409" s="32">
        <f>IF(OR(H409="",B409=""),"",IF(OR(X409="Published",X409="Cancelled",X409="Archived"),"",IF(B409&gt;=TODAY(),"",B409+ROW()/100000)))</f>
        <v>0</v>
      </c>
      <c r="AL409" s="29">
        <f>IF(H409="","",IF(COUNTIFS('Content Calendar'!$H$5:$H$604,H409,'Content Calendar'!$G$5:$G$604,G409,'Content Calendar'!$B$5:$B$604,B409)&gt;1,"Duplicate","OK"))</f>
        <v>0</v>
      </c>
      <c r="AM409" s="29">
        <f>IF(H409="","",IF(AND(B409&lt;&gt;"",B409&lt;TODAY(),X409&lt;&gt;"Published",X409&lt;&gt;"Cancelled",X409&lt;&gt;"Archived"),"Overdue - date has passed",IF(AND(X409="Published",AB409=""),"Add - publish link missing",IF(AND(B409=TODAY(),X409&lt;&gt;"Published"),"Today - due to go live",IF(AND(Y409&lt;&gt;"",Y409&lt;TODAY(),OR(X409="Idea",X409="Brief",X409="In production")),"Late - draft not ready",IF(AND(AA409&gt;=0,AA409&lt;=3,OR(X409="Draft",X409="Awaiting review")),"Due - needs approval",IF(AND(H409&lt;&gt;"",P409=""),"Add - caption missing","OK")))))))</f>
        <v>0</v>
      </c>
    </row>
    <row r="410" spans="1:39">
      <c r="A410" s="41">
        <f>IF(H410="","",ContentPrefix&amp;TEXT(ROW()-4,"0000"))</f>
        <v>0</v>
      </c>
      <c r="D410" s="17">
        <f>IF(B410="","",TEXT(B410,"yyyy-mm"))</f>
        <v>0</v>
      </c>
      <c r="E410" s="23">
        <f>IF(B410="","",WEEKNUM(B410,IF(WeekStart="Sunday",1,2)))</f>
        <v>0</v>
      </c>
      <c r="F410" s="17">
        <f>IF(B410="","",TEXT(B410,"ddd"))</f>
        <v>0</v>
      </c>
      <c r="Q410" s="29">
        <f>IF(H410="","",IF(P410="","Add - no caption",IFERROR(INDEX('Caption Bank'!$R$5:$R$204,MATCH(P410,'Caption Bank'!$B$5:$B$204,0)),"Check - not in bank")))</f>
        <v>0</v>
      </c>
      <c r="S410" s="23">
        <f>IF(R410="","",COUNTIF('Hashtag Bank'!$D$5:$D$304,R410))</f>
        <v>0</v>
      </c>
      <c r="U410" s="29">
        <f>IF(H410="","",IF(T410="","Add - no asset",IFERROR(INDEX(Assets!$N$5:$N$254,MATCH(T410,Assets!$A$5:$A$254,0)),"Check - not in library")))</f>
        <v>0</v>
      </c>
      <c r="Y410" s="16">
        <f>IF(B410="","",B410-ProductionDays)</f>
        <v>0</v>
      </c>
      <c r="Z410" s="16">
        <f>IF(B410="","",B410-ApprovalDays)</f>
        <v>0</v>
      </c>
      <c r="AA410" s="23">
        <f>IF(B410="","",B410-TODAY())</f>
        <v>0</v>
      </c>
      <c r="AC410" s="29">
        <f>IF(H410="","",IF(X410="Published",IF(AB410="","Add - link missing","Yes"),"No"))</f>
        <v>0</v>
      </c>
      <c r="AD410" s="23">
        <f>IF(A410="","",IF(COUNTIF(Performance!$B$5:$B$404,A410)=0,"",SUMIFS(Performance!$O$5:$O$404,Performance!$B$5:$B$404,A410)))</f>
        <v>0</v>
      </c>
      <c r="AE410" s="23">
        <f>IF(AD410="","",SUMIFS(Performance!$Z$5:$Z$404,Performance!$B$5:$B$404,A410))</f>
        <v>0</v>
      </c>
      <c r="AF410" s="24">
        <f>IF(OR(AD410="",AD410=0),"",AE410/AD410)</f>
        <v>0</v>
      </c>
      <c r="AG410" s="23">
        <f>IF(AD410="","",SUMIFS(Performance!$U$5:$U$404,Performance!$B$5:$B$404,A410))</f>
        <v>0</v>
      </c>
      <c r="AH410" s="23">
        <f>IF(A410="","",COUNTIF(Repurposing!$B$5:$B$154,A410))</f>
        <v>0</v>
      </c>
      <c r="AI410" s="32">
        <f>IF(OR(H410="",B410=""),"",B410+ROW()/100000)</f>
        <v>0</v>
      </c>
      <c r="AJ410" s="32">
        <f>IF(OR(H410="",B410=""),"",IF(OR(X410="Published",X410="Cancelled",X410="Archived"),"",IF(B410&lt;TODAY(),"",B410+ROW()/100000)))</f>
        <v>0</v>
      </c>
      <c r="AK410" s="32">
        <f>IF(OR(H410="",B410=""),"",IF(OR(X410="Published",X410="Cancelled",X410="Archived"),"",IF(B410&gt;=TODAY(),"",B410+ROW()/100000)))</f>
        <v>0</v>
      </c>
      <c r="AL410" s="29">
        <f>IF(H410="","",IF(COUNTIFS('Content Calendar'!$H$5:$H$604,H410,'Content Calendar'!$G$5:$G$604,G410,'Content Calendar'!$B$5:$B$604,B410)&gt;1,"Duplicate","OK"))</f>
        <v>0</v>
      </c>
      <c r="AM410" s="29">
        <f>IF(H410="","",IF(AND(B410&lt;&gt;"",B410&lt;TODAY(),X410&lt;&gt;"Published",X410&lt;&gt;"Cancelled",X410&lt;&gt;"Archived"),"Overdue - date has passed",IF(AND(X410="Published",AB410=""),"Add - publish link missing",IF(AND(B410=TODAY(),X410&lt;&gt;"Published"),"Today - due to go live",IF(AND(Y410&lt;&gt;"",Y410&lt;TODAY(),OR(X410="Idea",X410="Brief",X410="In production")),"Late - draft not ready",IF(AND(AA410&gt;=0,AA410&lt;=3,OR(X410="Draft",X410="Awaiting review")),"Due - needs approval",IF(AND(H410&lt;&gt;"",P410=""),"Add - caption missing","OK")))))))</f>
        <v>0</v>
      </c>
    </row>
    <row r="411" spans="1:39">
      <c r="A411" s="41">
        <f>IF(H411="","",ContentPrefix&amp;TEXT(ROW()-4,"0000"))</f>
        <v>0</v>
      </c>
      <c r="D411" s="17">
        <f>IF(B411="","",TEXT(B411,"yyyy-mm"))</f>
        <v>0</v>
      </c>
      <c r="E411" s="23">
        <f>IF(B411="","",WEEKNUM(B411,IF(WeekStart="Sunday",1,2)))</f>
        <v>0</v>
      </c>
      <c r="F411" s="17">
        <f>IF(B411="","",TEXT(B411,"ddd"))</f>
        <v>0</v>
      </c>
      <c r="Q411" s="29">
        <f>IF(H411="","",IF(P411="","Add - no caption",IFERROR(INDEX('Caption Bank'!$R$5:$R$204,MATCH(P411,'Caption Bank'!$B$5:$B$204,0)),"Check - not in bank")))</f>
        <v>0</v>
      </c>
      <c r="S411" s="23">
        <f>IF(R411="","",COUNTIF('Hashtag Bank'!$D$5:$D$304,R411))</f>
        <v>0</v>
      </c>
      <c r="U411" s="29">
        <f>IF(H411="","",IF(T411="","Add - no asset",IFERROR(INDEX(Assets!$N$5:$N$254,MATCH(T411,Assets!$A$5:$A$254,0)),"Check - not in library")))</f>
        <v>0</v>
      </c>
      <c r="Y411" s="16">
        <f>IF(B411="","",B411-ProductionDays)</f>
        <v>0</v>
      </c>
      <c r="Z411" s="16">
        <f>IF(B411="","",B411-ApprovalDays)</f>
        <v>0</v>
      </c>
      <c r="AA411" s="23">
        <f>IF(B411="","",B411-TODAY())</f>
        <v>0</v>
      </c>
      <c r="AC411" s="29">
        <f>IF(H411="","",IF(X411="Published",IF(AB411="","Add - link missing","Yes"),"No"))</f>
        <v>0</v>
      </c>
      <c r="AD411" s="23">
        <f>IF(A411="","",IF(COUNTIF(Performance!$B$5:$B$404,A411)=0,"",SUMIFS(Performance!$O$5:$O$404,Performance!$B$5:$B$404,A411)))</f>
        <v>0</v>
      </c>
      <c r="AE411" s="23">
        <f>IF(AD411="","",SUMIFS(Performance!$Z$5:$Z$404,Performance!$B$5:$B$404,A411))</f>
        <v>0</v>
      </c>
      <c r="AF411" s="24">
        <f>IF(OR(AD411="",AD411=0),"",AE411/AD411)</f>
        <v>0</v>
      </c>
      <c r="AG411" s="23">
        <f>IF(AD411="","",SUMIFS(Performance!$U$5:$U$404,Performance!$B$5:$B$404,A411))</f>
        <v>0</v>
      </c>
      <c r="AH411" s="23">
        <f>IF(A411="","",COUNTIF(Repurposing!$B$5:$B$154,A411))</f>
        <v>0</v>
      </c>
      <c r="AI411" s="32">
        <f>IF(OR(H411="",B411=""),"",B411+ROW()/100000)</f>
        <v>0</v>
      </c>
      <c r="AJ411" s="32">
        <f>IF(OR(H411="",B411=""),"",IF(OR(X411="Published",X411="Cancelled",X411="Archived"),"",IF(B411&lt;TODAY(),"",B411+ROW()/100000)))</f>
        <v>0</v>
      </c>
      <c r="AK411" s="32">
        <f>IF(OR(H411="",B411=""),"",IF(OR(X411="Published",X411="Cancelled",X411="Archived"),"",IF(B411&gt;=TODAY(),"",B411+ROW()/100000)))</f>
        <v>0</v>
      </c>
      <c r="AL411" s="29">
        <f>IF(H411="","",IF(COUNTIFS('Content Calendar'!$H$5:$H$604,H411,'Content Calendar'!$G$5:$G$604,G411,'Content Calendar'!$B$5:$B$604,B411)&gt;1,"Duplicate","OK"))</f>
        <v>0</v>
      </c>
      <c r="AM411" s="29">
        <f>IF(H411="","",IF(AND(B411&lt;&gt;"",B411&lt;TODAY(),X411&lt;&gt;"Published",X411&lt;&gt;"Cancelled",X411&lt;&gt;"Archived"),"Overdue - date has passed",IF(AND(X411="Published",AB411=""),"Add - publish link missing",IF(AND(B411=TODAY(),X411&lt;&gt;"Published"),"Today - due to go live",IF(AND(Y411&lt;&gt;"",Y411&lt;TODAY(),OR(X411="Idea",X411="Brief",X411="In production")),"Late - draft not ready",IF(AND(AA411&gt;=0,AA411&lt;=3,OR(X411="Draft",X411="Awaiting review")),"Due - needs approval",IF(AND(H411&lt;&gt;"",P411=""),"Add - caption missing","OK")))))))</f>
        <v>0</v>
      </c>
    </row>
    <row r="412" spans="1:39">
      <c r="A412" s="41">
        <f>IF(H412="","",ContentPrefix&amp;TEXT(ROW()-4,"0000"))</f>
        <v>0</v>
      </c>
      <c r="D412" s="17">
        <f>IF(B412="","",TEXT(B412,"yyyy-mm"))</f>
        <v>0</v>
      </c>
      <c r="E412" s="23">
        <f>IF(B412="","",WEEKNUM(B412,IF(WeekStart="Sunday",1,2)))</f>
        <v>0</v>
      </c>
      <c r="F412" s="17">
        <f>IF(B412="","",TEXT(B412,"ddd"))</f>
        <v>0</v>
      </c>
      <c r="Q412" s="29">
        <f>IF(H412="","",IF(P412="","Add - no caption",IFERROR(INDEX('Caption Bank'!$R$5:$R$204,MATCH(P412,'Caption Bank'!$B$5:$B$204,0)),"Check - not in bank")))</f>
        <v>0</v>
      </c>
      <c r="S412" s="23">
        <f>IF(R412="","",COUNTIF('Hashtag Bank'!$D$5:$D$304,R412))</f>
        <v>0</v>
      </c>
      <c r="U412" s="29">
        <f>IF(H412="","",IF(T412="","Add - no asset",IFERROR(INDEX(Assets!$N$5:$N$254,MATCH(T412,Assets!$A$5:$A$254,0)),"Check - not in library")))</f>
        <v>0</v>
      </c>
      <c r="Y412" s="16">
        <f>IF(B412="","",B412-ProductionDays)</f>
        <v>0</v>
      </c>
      <c r="Z412" s="16">
        <f>IF(B412="","",B412-ApprovalDays)</f>
        <v>0</v>
      </c>
      <c r="AA412" s="23">
        <f>IF(B412="","",B412-TODAY())</f>
        <v>0</v>
      </c>
      <c r="AC412" s="29">
        <f>IF(H412="","",IF(X412="Published",IF(AB412="","Add - link missing","Yes"),"No"))</f>
        <v>0</v>
      </c>
      <c r="AD412" s="23">
        <f>IF(A412="","",IF(COUNTIF(Performance!$B$5:$B$404,A412)=0,"",SUMIFS(Performance!$O$5:$O$404,Performance!$B$5:$B$404,A412)))</f>
        <v>0</v>
      </c>
      <c r="AE412" s="23">
        <f>IF(AD412="","",SUMIFS(Performance!$Z$5:$Z$404,Performance!$B$5:$B$404,A412))</f>
        <v>0</v>
      </c>
      <c r="AF412" s="24">
        <f>IF(OR(AD412="",AD412=0),"",AE412/AD412)</f>
        <v>0</v>
      </c>
      <c r="AG412" s="23">
        <f>IF(AD412="","",SUMIFS(Performance!$U$5:$U$404,Performance!$B$5:$B$404,A412))</f>
        <v>0</v>
      </c>
      <c r="AH412" s="23">
        <f>IF(A412="","",COUNTIF(Repurposing!$B$5:$B$154,A412))</f>
        <v>0</v>
      </c>
      <c r="AI412" s="32">
        <f>IF(OR(H412="",B412=""),"",B412+ROW()/100000)</f>
        <v>0</v>
      </c>
      <c r="AJ412" s="32">
        <f>IF(OR(H412="",B412=""),"",IF(OR(X412="Published",X412="Cancelled",X412="Archived"),"",IF(B412&lt;TODAY(),"",B412+ROW()/100000)))</f>
        <v>0</v>
      </c>
      <c r="AK412" s="32">
        <f>IF(OR(H412="",B412=""),"",IF(OR(X412="Published",X412="Cancelled",X412="Archived"),"",IF(B412&gt;=TODAY(),"",B412+ROW()/100000)))</f>
        <v>0</v>
      </c>
      <c r="AL412" s="29">
        <f>IF(H412="","",IF(COUNTIFS('Content Calendar'!$H$5:$H$604,H412,'Content Calendar'!$G$5:$G$604,G412,'Content Calendar'!$B$5:$B$604,B412)&gt;1,"Duplicate","OK"))</f>
        <v>0</v>
      </c>
      <c r="AM412" s="29">
        <f>IF(H412="","",IF(AND(B412&lt;&gt;"",B412&lt;TODAY(),X412&lt;&gt;"Published",X412&lt;&gt;"Cancelled",X412&lt;&gt;"Archived"),"Overdue - date has passed",IF(AND(X412="Published",AB412=""),"Add - publish link missing",IF(AND(B412=TODAY(),X412&lt;&gt;"Published"),"Today - due to go live",IF(AND(Y412&lt;&gt;"",Y412&lt;TODAY(),OR(X412="Idea",X412="Brief",X412="In production")),"Late - draft not ready",IF(AND(AA412&gt;=0,AA412&lt;=3,OR(X412="Draft",X412="Awaiting review")),"Due - needs approval",IF(AND(H412&lt;&gt;"",P412=""),"Add - caption missing","OK")))))))</f>
        <v>0</v>
      </c>
    </row>
    <row r="413" spans="1:39">
      <c r="A413" s="41">
        <f>IF(H413="","",ContentPrefix&amp;TEXT(ROW()-4,"0000"))</f>
        <v>0</v>
      </c>
      <c r="D413" s="17">
        <f>IF(B413="","",TEXT(B413,"yyyy-mm"))</f>
        <v>0</v>
      </c>
      <c r="E413" s="23">
        <f>IF(B413="","",WEEKNUM(B413,IF(WeekStart="Sunday",1,2)))</f>
        <v>0</v>
      </c>
      <c r="F413" s="17">
        <f>IF(B413="","",TEXT(B413,"ddd"))</f>
        <v>0</v>
      </c>
      <c r="Q413" s="29">
        <f>IF(H413="","",IF(P413="","Add - no caption",IFERROR(INDEX('Caption Bank'!$R$5:$R$204,MATCH(P413,'Caption Bank'!$B$5:$B$204,0)),"Check - not in bank")))</f>
        <v>0</v>
      </c>
      <c r="S413" s="23">
        <f>IF(R413="","",COUNTIF('Hashtag Bank'!$D$5:$D$304,R413))</f>
        <v>0</v>
      </c>
      <c r="U413" s="29">
        <f>IF(H413="","",IF(T413="","Add - no asset",IFERROR(INDEX(Assets!$N$5:$N$254,MATCH(T413,Assets!$A$5:$A$254,0)),"Check - not in library")))</f>
        <v>0</v>
      </c>
      <c r="Y413" s="16">
        <f>IF(B413="","",B413-ProductionDays)</f>
        <v>0</v>
      </c>
      <c r="Z413" s="16">
        <f>IF(B413="","",B413-ApprovalDays)</f>
        <v>0</v>
      </c>
      <c r="AA413" s="23">
        <f>IF(B413="","",B413-TODAY())</f>
        <v>0</v>
      </c>
      <c r="AC413" s="29">
        <f>IF(H413="","",IF(X413="Published",IF(AB413="","Add - link missing","Yes"),"No"))</f>
        <v>0</v>
      </c>
      <c r="AD413" s="23">
        <f>IF(A413="","",IF(COUNTIF(Performance!$B$5:$B$404,A413)=0,"",SUMIFS(Performance!$O$5:$O$404,Performance!$B$5:$B$404,A413)))</f>
        <v>0</v>
      </c>
      <c r="AE413" s="23">
        <f>IF(AD413="","",SUMIFS(Performance!$Z$5:$Z$404,Performance!$B$5:$B$404,A413))</f>
        <v>0</v>
      </c>
      <c r="AF413" s="24">
        <f>IF(OR(AD413="",AD413=0),"",AE413/AD413)</f>
        <v>0</v>
      </c>
      <c r="AG413" s="23">
        <f>IF(AD413="","",SUMIFS(Performance!$U$5:$U$404,Performance!$B$5:$B$404,A413))</f>
        <v>0</v>
      </c>
      <c r="AH413" s="23">
        <f>IF(A413="","",COUNTIF(Repurposing!$B$5:$B$154,A413))</f>
        <v>0</v>
      </c>
      <c r="AI413" s="32">
        <f>IF(OR(H413="",B413=""),"",B413+ROW()/100000)</f>
        <v>0</v>
      </c>
      <c r="AJ413" s="32">
        <f>IF(OR(H413="",B413=""),"",IF(OR(X413="Published",X413="Cancelled",X413="Archived"),"",IF(B413&lt;TODAY(),"",B413+ROW()/100000)))</f>
        <v>0</v>
      </c>
      <c r="AK413" s="32">
        <f>IF(OR(H413="",B413=""),"",IF(OR(X413="Published",X413="Cancelled",X413="Archived"),"",IF(B413&gt;=TODAY(),"",B413+ROW()/100000)))</f>
        <v>0</v>
      </c>
      <c r="AL413" s="29">
        <f>IF(H413="","",IF(COUNTIFS('Content Calendar'!$H$5:$H$604,H413,'Content Calendar'!$G$5:$G$604,G413,'Content Calendar'!$B$5:$B$604,B413)&gt;1,"Duplicate","OK"))</f>
        <v>0</v>
      </c>
      <c r="AM413" s="29">
        <f>IF(H413="","",IF(AND(B413&lt;&gt;"",B413&lt;TODAY(),X413&lt;&gt;"Published",X413&lt;&gt;"Cancelled",X413&lt;&gt;"Archived"),"Overdue - date has passed",IF(AND(X413="Published",AB413=""),"Add - publish link missing",IF(AND(B413=TODAY(),X413&lt;&gt;"Published"),"Today - due to go live",IF(AND(Y413&lt;&gt;"",Y413&lt;TODAY(),OR(X413="Idea",X413="Brief",X413="In production")),"Late - draft not ready",IF(AND(AA413&gt;=0,AA413&lt;=3,OR(X413="Draft",X413="Awaiting review")),"Due - needs approval",IF(AND(H413&lt;&gt;"",P413=""),"Add - caption missing","OK")))))))</f>
        <v>0</v>
      </c>
    </row>
    <row r="414" spans="1:39">
      <c r="A414" s="41">
        <f>IF(H414="","",ContentPrefix&amp;TEXT(ROW()-4,"0000"))</f>
        <v>0</v>
      </c>
      <c r="D414" s="17">
        <f>IF(B414="","",TEXT(B414,"yyyy-mm"))</f>
        <v>0</v>
      </c>
      <c r="E414" s="23">
        <f>IF(B414="","",WEEKNUM(B414,IF(WeekStart="Sunday",1,2)))</f>
        <v>0</v>
      </c>
      <c r="F414" s="17">
        <f>IF(B414="","",TEXT(B414,"ddd"))</f>
        <v>0</v>
      </c>
      <c r="Q414" s="29">
        <f>IF(H414="","",IF(P414="","Add - no caption",IFERROR(INDEX('Caption Bank'!$R$5:$R$204,MATCH(P414,'Caption Bank'!$B$5:$B$204,0)),"Check - not in bank")))</f>
        <v>0</v>
      </c>
      <c r="S414" s="23">
        <f>IF(R414="","",COUNTIF('Hashtag Bank'!$D$5:$D$304,R414))</f>
        <v>0</v>
      </c>
      <c r="U414" s="29">
        <f>IF(H414="","",IF(T414="","Add - no asset",IFERROR(INDEX(Assets!$N$5:$N$254,MATCH(T414,Assets!$A$5:$A$254,0)),"Check - not in library")))</f>
        <v>0</v>
      </c>
      <c r="Y414" s="16">
        <f>IF(B414="","",B414-ProductionDays)</f>
        <v>0</v>
      </c>
      <c r="Z414" s="16">
        <f>IF(B414="","",B414-ApprovalDays)</f>
        <v>0</v>
      </c>
      <c r="AA414" s="23">
        <f>IF(B414="","",B414-TODAY())</f>
        <v>0</v>
      </c>
      <c r="AC414" s="29">
        <f>IF(H414="","",IF(X414="Published",IF(AB414="","Add - link missing","Yes"),"No"))</f>
        <v>0</v>
      </c>
      <c r="AD414" s="23">
        <f>IF(A414="","",IF(COUNTIF(Performance!$B$5:$B$404,A414)=0,"",SUMIFS(Performance!$O$5:$O$404,Performance!$B$5:$B$404,A414)))</f>
        <v>0</v>
      </c>
      <c r="AE414" s="23">
        <f>IF(AD414="","",SUMIFS(Performance!$Z$5:$Z$404,Performance!$B$5:$B$404,A414))</f>
        <v>0</v>
      </c>
      <c r="AF414" s="24">
        <f>IF(OR(AD414="",AD414=0),"",AE414/AD414)</f>
        <v>0</v>
      </c>
      <c r="AG414" s="23">
        <f>IF(AD414="","",SUMIFS(Performance!$U$5:$U$404,Performance!$B$5:$B$404,A414))</f>
        <v>0</v>
      </c>
      <c r="AH414" s="23">
        <f>IF(A414="","",COUNTIF(Repurposing!$B$5:$B$154,A414))</f>
        <v>0</v>
      </c>
      <c r="AI414" s="32">
        <f>IF(OR(H414="",B414=""),"",B414+ROW()/100000)</f>
        <v>0</v>
      </c>
      <c r="AJ414" s="32">
        <f>IF(OR(H414="",B414=""),"",IF(OR(X414="Published",X414="Cancelled",X414="Archived"),"",IF(B414&lt;TODAY(),"",B414+ROW()/100000)))</f>
        <v>0</v>
      </c>
      <c r="AK414" s="32">
        <f>IF(OR(H414="",B414=""),"",IF(OR(X414="Published",X414="Cancelled",X414="Archived"),"",IF(B414&gt;=TODAY(),"",B414+ROW()/100000)))</f>
        <v>0</v>
      </c>
      <c r="AL414" s="29">
        <f>IF(H414="","",IF(COUNTIFS('Content Calendar'!$H$5:$H$604,H414,'Content Calendar'!$G$5:$G$604,G414,'Content Calendar'!$B$5:$B$604,B414)&gt;1,"Duplicate","OK"))</f>
        <v>0</v>
      </c>
      <c r="AM414" s="29">
        <f>IF(H414="","",IF(AND(B414&lt;&gt;"",B414&lt;TODAY(),X414&lt;&gt;"Published",X414&lt;&gt;"Cancelled",X414&lt;&gt;"Archived"),"Overdue - date has passed",IF(AND(X414="Published",AB414=""),"Add - publish link missing",IF(AND(B414=TODAY(),X414&lt;&gt;"Published"),"Today - due to go live",IF(AND(Y414&lt;&gt;"",Y414&lt;TODAY(),OR(X414="Idea",X414="Brief",X414="In production")),"Late - draft not ready",IF(AND(AA414&gt;=0,AA414&lt;=3,OR(X414="Draft",X414="Awaiting review")),"Due - needs approval",IF(AND(H414&lt;&gt;"",P414=""),"Add - caption missing","OK")))))))</f>
        <v>0</v>
      </c>
    </row>
    <row r="415" spans="1:39">
      <c r="A415" s="41">
        <f>IF(H415="","",ContentPrefix&amp;TEXT(ROW()-4,"0000"))</f>
        <v>0</v>
      </c>
      <c r="D415" s="17">
        <f>IF(B415="","",TEXT(B415,"yyyy-mm"))</f>
        <v>0</v>
      </c>
      <c r="E415" s="23">
        <f>IF(B415="","",WEEKNUM(B415,IF(WeekStart="Sunday",1,2)))</f>
        <v>0</v>
      </c>
      <c r="F415" s="17">
        <f>IF(B415="","",TEXT(B415,"ddd"))</f>
        <v>0</v>
      </c>
      <c r="Q415" s="29">
        <f>IF(H415="","",IF(P415="","Add - no caption",IFERROR(INDEX('Caption Bank'!$R$5:$R$204,MATCH(P415,'Caption Bank'!$B$5:$B$204,0)),"Check - not in bank")))</f>
        <v>0</v>
      </c>
      <c r="S415" s="23">
        <f>IF(R415="","",COUNTIF('Hashtag Bank'!$D$5:$D$304,R415))</f>
        <v>0</v>
      </c>
      <c r="U415" s="29">
        <f>IF(H415="","",IF(T415="","Add - no asset",IFERROR(INDEX(Assets!$N$5:$N$254,MATCH(T415,Assets!$A$5:$A$254,0)),"Check - not in library")))</f>
        <v>0</v>
      </c>
      <c r="Y415" s="16">
        <f>IF(B415="","",B415-ProductionDays)</f>
        <v>0</v>
      </c>
      <c r="Z415" s="16">
        <f>IF(B415="","",B415-ApprovalDays)</f>
        <v>0</v>
      </c>
      <c r="AA415" s="23">
        <f>IF(B415="","",B415-TODAY())</f>
        <v>0</v>
      </c>
      <c r="AC415" s="29">
        <f>IF(H415="","",IF(X415="Published",IF(AB415="","Add - link missing","Yes"),"No"))</f>
        <v>0</v>
      </c>
      <c r="AD415" s="23">
        <f>IF(A415="","",IF(COUNTIF(Performance!$B$5:$B$404,A415)=0,"",SUMIFS(Performance!$O$5:$O$404,Performance!$B$5:$B$404,A415)))</f>
        <v>0</v>
      </c>
      <c r="AE415" s="23">
        <f>IF(AD415="","",SUMIFS(Performance!$Z$5:$Z$404,Performance!$B$5:$B$404,A415))</f>
        <v>0</v>
      </c>
      <c r="AF415" s="24">
        <f>IF(OR(AD415="",AD415=0),"",AE415/AD415)</f>
        <v>0</v>
      </c>
      <c r="AG415" s="23">
        <f>IF(AD415="","",SUMIFS(Performance!$U$5:$U$404,Performance!$B$5:$B$404,A415))</f>
        <v>0</v>
      </c>
      <c r="AH415" s="23">
        <f>IF(A415="","",COUNTIF(Repurposing!$B$5:$B$154,A415))</f>
        <v>0</v>
      </c>
      <c r="AI415" s="32">
        <f>IF(OR(H415="",B415=""),"",B415+ROW()/100000)</f>
        <v>0</v>
      </c>
      <c r="AJ415" s="32">
        <f>IF(OR(H415="",B415=""),"",IF(OR(X415="Published",X415="Cancelled",X415="Archived"),"",IF(B415&lt;TODAY(),"",B415+ROW()/100000)))</f>
        <v>0</v>
      </c>
      <c r="AK415" s="32">
        <f>IF(OR(H415="",B415=""),"",IF(OR(X415="Published",X415="Cancelled",X415="Archived"),"",IF(B415&gt;=TODAY(),"",B415+ROW()/100000)))</f>
        <v>0</v>
      </c>
      <c r="AL415" s="29">
        <f>IF(H415="","",IF(COUNTIFS('Content Calendar'!$H$5:$H$604,H415,'Content Calendar'!$G$5:$G$604,G415,'Content Calendar'!$B$5:$B$604,B415)&gt;1,"Duplicate","OK"))</f>
        <v>0</v>
      </c>
      <c r="AM415" s="29">
        <f>IF(H415="","",IF(AND(B415&lt;&gt;"",B415&lt;TODAY(),X415&lt;&gt;"Published",X415&lt;&gt;"Cancelled",X415&lt;&gt;"Archived"),"Overdue - date has passed",IF(AND(X415="Published",AB415=""),"Add - publish link missing",IF(AND(B415=TODAY(),X415&lt;&gt;"Published"),"Today - due to go live",IF(AND(Y415&lt;&gt;"",Y415&lt;TODAY(),OR(X415="Idea",X415="Brief",X415="In production")),"Late - draft not ready",IF(AND(AA415&gt;=0,AA415&lt;=3,OR(X415="Draft",X415="Awaiting review")),"Due - needs approval",IF(AND(H415&lt;&gt;"",P415=""),"Add - caption missing","OK")))))))</f>
        <v>0</v>
      </c>
    </row>
    <row r="416" spans="1:39">
      <c r="A416" s="41">
        <f>IF(H416="","",ContentPrefix&amp;TEXT(ROW()-4,"0000"))</f>
        <v>0</v>
      </c>
      <c r="D416" s="17">
        <f>IF(B416="","",TEXT(B416,"yyyy-mm"))</f>
        <v>0</v>
      </c>
      <c r="E416" s="23">
        <f>IF(B416="","",WEEKNUM(B416,IF(WeekStart="Sunday",1,2)))</f>
        <v>0</v>
      </c>
      <c r="F416" s="17">
        <f>IF(B416="","",TEXT(B416,"ddd"))</f>
        <v>0</v>
      </c>
      <c r="Q416" s="29">
        <f>IF(H416="","",IF(P416="","Add - no caption",IFERROR(INDEX('Caption Bank'!$R$5:$R$204,MATCH(P416,'Caption Bank'!$B$5:$B$204,0)),"Check - not in bank")))</f>
        <v>0</v>
      </c>
      <c r="S416" s="23">
        <f>IF(R416="","",COUNTIF('Hashtag Bank'!$D$5:$D$304,R416))</f>
        <v>0</v>
      </c>
      <c r="U416" s="29">
        <f>IF(H416="","",IF(T416="","Add - no asset",IFERROR(INDEX(Assets!$N$5:$N$254,MATCH(T416,Assets!$A$5:$A$254,0)),"Check - not in library")))</f>
        <v>0</v>
      </c>
      <c r="Y416" s="16">
        <f>IF(B416="","",B416-ProductionDays)</f>
        <v>0</v>
      </c>
      <c r="Z416" s="16">
        <f>IF(B416="","",B416-ApprovalDays)</f>
        <v>0</v>
      </c>
      <c r="AA416" s="23">
        <f>IF(B416="","",B416-TODAY())</f>
        <v>0</v>
      </c>
      <c r="AC416" s="29">
        <f>IF(H416="","",IF(X416="Published",IF(AB416="","Add - link missing","Yes"),"No"))</f>
        <v>0</v>
      </c>
      <c r="AD416" s="23">
        <f>IF(A416="","",IF(COUNTIF(Performance!$B$5:$B$404,A416)=0,"",SUMIFS(Performance!$O$5:$O$404,Performance!$B$5:$B$404,A416)))</f>
        <v>0</v>
      </c>
      <c r="AE416" s="23">
        <f>IF(AD416="","",SUMIFS(Performance!$Z$5:$Z$404,Performance!$B$5:$B$404,A416))</f>
        <v>0</v>
      </c>
      <c r="AF416" s="24">
        <f>IF(OR(AD416="",AD416=0),"",AE416/AD416)</f>
        <v>0</v>
      </c>
      <c r="AG416" s="23">
        <f>IF(AD416="","",SUMIFS(Performance!$U$5:$U$404,Performance!$B$5:$B$404,A416))</f>
        <v>0</v>
      </c>
      <c r="AH416" s="23">
        <f>IF(A416="","",COUNTIF(Repurposing!$B$5:$B$154,A416))</f>
        <v>0</v>
      </c>
      <c r="AI416" s="32">
        <f>IF(OR(H416="",B416=""),"",B416+ROW()/100000)</f>
        <v>0</v>
      </c>
      <c r="AJ416" s="32">
        <f>IF(OR(H416="",B416=""),"",IF(OR(X416="Published",X416="Cancelled",X416="Archived"),"",IF(B416&lt;TODAY(),"",B416+ROW()/100000)))</f>
        <v>0</v>
      </c>
      <c r="AK416" s="32">
        <f>IF(OR(H416="",B416=""),"",IF(OR(X416="Published",X416="Cancelled",X416="Archived"),"",IF(B416&gt;=TODAY(),"",B416+ROW()/100000)))</f>
        <v>0</v>
      </c>
      <c r="AL416" s="29">
        <f>IF(H416="","",IF(COUNTIFS('Content Calendar'!$H$5:$H$604,H416,'Content Calendar'!$G$5:$G$604,G416,'Content Calendar'!$B$5:$B$604,B416)&gt;1,"Duplicate","OK"))</f>
        <v>0</v>
      </c>
      <c r="AM416" s="29">
        <f>IF(H416="","",IF(AND(B416&lt;&gt;"",B416&lt;TODAY(),X416&lt;&gt;"Published",X416&lt;&gt;"Cancelled",X416&lt;&gt;"Archived"),"Overdue - date has passed",IF(AND(X416="Published",AB416=""),"Add - publish link missing",IF(AND(B416=TODAY(),X416&lt;&gt;"Published"),"Today - due to go live",IF(AND(Y416&lt;&gt;"",Y416&lt;TODAY(),OR(X416="Idea",X416="Brief",X416="In production")),"Late - draft not ready",IF(AND(AA416&gt;=0,AA416&lt;=3,OR(X416="Draft",X416="Awaiting review")),"Due - needs approval",IF(AND(H416&lt;&gt;"",P416=""),"Add - caption missing","OK")))))))</f>
        <v>0</v>
      </c>
    </row>
    <row r="417" spans="1:39">
      <c r="A417" s="41">
        <f>IF(H417="","",ContentPrefix&amp;TEXT(ROW()-4,"0000"))</f>
        <v>0</v>
      </c>
      <c r="D417" s="17">
        <f>IF(B417="","",TEXT(B417,"yyyy-mm"))</f>
        <v>0</v>
      </c>
      <c r="E417" s="23">
        <f>IF(B417="","",WEEKNUM(B417,IF(WeekStart="Sunday",1,2)))</f>
        <v>0</v>
      </c>
      <c r="F417" s="17">
        <f>IF(B417="","",TEXT(B417,"ddd"))</f>
        <v>0</v>
      </c>
      <c r="Q417" s="29">
        <f>IF(H417="","",IF(P417="","Add - no caption",IFERROR(INDEX('Caption Bank'!$R$5:$R$204,MATCH(P417,'Caption Bank'!$B$5:$B$204,0)),"Check - not in bank")))</f>
        <v>0</v>
      </c>
      <c r="S417" s="23">
        <f>IF(R417="","",COUNTIF('Hashtag Bank'!$D$5:$D$304,R417))</f>
        <v>0</v>
      </c>
      <c r="U417" s="29">
        <f>IF(H417="","",IF(T417="","Add - no asset",IFERROR(INDEX(Assets!$N$5:$N$254,MATCH(T417,Assets!$A$5:$A$254,0)),"Check - not in library")))</f>
        <v>0</v>
      </c>
      <c r="Y417" s="16">
        <f>IF(B417="","",B417-ProductionDays)</f>
        <v>0</v>
      </c>
      <c r="Z417" s="16">
        <f>IF(B417="","",B417-ApprovalDays)</f>
        <v>0</v>
      </c>
      <c r="AA417" s="23">
        <f>IF(B417="","",B417-TODAY())</f>
        <v>0</v>
      </c>
      <c r="AC417" s="29">
        <f>IF(H417="","",IF(X417="Published",IF(AB417="","Add - link missing","Yes"),"No"))</f>
        <v>0</v>
      </c>
      <c r="AD417" s="23">
        <f>IF(A417="","",IF(COUNTIF(Performance!$B$5:$B$404,A417)=0,"",SUMIFS(Performance!$O$5:$O$404,Performance!$B$5:$B$404,A417)))</f>
        <v>0</v>
      </c>
      <c r="AE417" s="23">
        <f>IF(AD417="","",SUMIFS(Performance!$Z$5:$Z$404,Performance!$B$5:$B$404,A417))</f>
        <v>0</v>
      </c>
      <c r="AF417" s="24">
        <f>IF(OR(AD417="",AD417=0),"",AE417/AD417)</f>
        <v>0</v>
      </c>
      <c r="AG417" s="23">
        <f>IF(AD417="","",SUMIFS(Performance!$U$5:$U$404,Performance!$B$5:$B$404,A417))</f>
        <v>0</v>
      </c>
      <c r="AH417" s="23">
        <f>IF(A417="","",COUNTIF(Repurposing!$B$5:$B$154,A417))</f>
        <v>0</v>
      </c>
      <c r="AI417" s="32">
        <f>IF(OR(H417="",B417=""),"",B417+ROW()/100000)</f>
        <v>0</v>
      </c>
      <c r="AJ417" s="32">
        <f>IF(OR(H417="",B417=""),"",IF(OR(X417="Published",X417="Cancelled",X417="Archived"),"",IF(B417&lt;TODAY(),"",B417+ROW()/100000)))</f>
        <v>0</v>
      </c>
      <c r="AK417" s="32">
        <f>IF(OR(H417="",B417=""),"",IF(OR(X417="Published",X417="Cancelled",X417="Archived"),"",IF(B417&gt;=TODAY(),"",B417+ROW()/100000)))</f>
        <v>0</v>
      </c>
      <c r="AL417" s="29">
        <f>IF(H417="","",IF(COUNTIFS('Content Calendar'!$H$5:$H$604,H417,'Content Calendar'!$G$5:$G$604,G417,'Content Calendar'!$B$5:$B$604,B417)&gt;1,"Duplicate","OK"))</f>
        <v>0</v>
      </c>
      <c r="AM417" s="29">
        <f>IF(H417="","",IF(AND(B417&lt;&gt;"",B417&lt;TODAY(),X417&lt;&gt;"Published",X417&lt;&gt;"Cancelled",X417&lt;&gt;"Archived"),"Overdue - date has passed",IF(AND(X417="Published",AB417=""),"Add - publish link missing",IF(AND(B417=TODAY(),X417&lt;&gt;"Published"),"Today - due to go live",IF(AND(Y417&lt;&gt;"",Y417&lt;TODAY(),OR(X417="Idea",X417="Brief",X417="In production")),"Late - draft not ready",IF(AND(AA417&gt;=0,AA417&lt;=3,OR(X417="Draft",X417="Awaiting review")),"Due - needs approval",IF(AND(H417&lt;&gt;"",P417=""),"Add - caption missing","OK")))))))</f>
        <v>0</v>
      </c>
    </row>
    <row r="418" spans="1:39">
      <c r="A418" s="41">
        <f>IF(H418="","",ContentPrefix&amp;TEXT(ROW()-4,"0000"))</f>
        <v>0</v>
      </c>
      <c r="D418" s="17">
        <f>IF(B418="","",TEXT(B418,"yyyy-mm"))</f>
        <v>0</v>
      </c>
      <c r="E418" s="23">
        <f>IF(B418="","",WEEKNUM(B418,IF(WeekStart="Sunday",1,2)))</f>
        <v>0</v>
      </c>
      <c r="F418" s="17">
        <f>IF(B418="","",TEXT(B418,"ddd"))</f>
        <v>0</v>
      </c>
      <c r="Q418" s="29">
        <f>IF(H418="","",IF(P418="","Add - no caption",IFERROR(INDEX('Caption Bank'!$R$5:$R$204,MATCH(P418,'Caption Bank'!$B$5:$B$204,0)),"Check - not in bank")))</f>
        <v>0</v>
      </c>
      <c r="S418" s="23">
        <f>IF(R418="","",COUNTIF('Hashtag Bank'!$D$5:$D$304,R418))</f>
        <v>0</v>
      </c>
      <c r="U418" s="29">
        <f>IF(H418="","",IF(T418="","Add - no asset",IFERROR(INDEX(Assets!$N$5:$N$254,MATCH(T418,Assets!$A$5:$A$254,0)),"Check - not in library")))</f>
        <v>0</v>
      </c>
      <c r="Y418" s="16">
        <f>IF(B418="","",B418-ProductionDays)</f>
        <v>0</v>
      </c>
      <c r="Z418" s="16">
        <f>IF(B418="","",B418-ApprovalDays)</f>
        <v>0</v>
      </c>
      <c r="AA418" s="23">
        <f>IF(B418="","",B418-TODAY())</f>
        <v>0</v>
      </c>
      <c r="AC418" s="29">
        <f>IF(H418="","",IF(X418="Published",IF(AB418="","Add - link missing","Yes"),"No"))</f>
        <v>0</v>
      </c>
      <c r="AD418" s="23">
        <f>IF(A418="","",IF(COUNTIF(Performance!$B$5:$B$404,A418)=0,"",SUMIFS(Performance!$O$5:$O$404,Performance!$B$5:$B$404,A418)))</f>
        <v>0</v>
      </c>
      <c r="AE418" s="23">
        <f>IF(AD418="","",SUMIFS(Performance!$Z$5:$Z$404,Performance!$B$5:$B$404,A418))</f>
        <v>0</v>
      </c>
      <c r="AF418" s="24">
        <f>IF(OR(AD418="",AD418=0),"",AE418/AD418)</f>
        <v>0</v>
      </c>
      <c r="AG418" s="23">
        <f>IF(AD418="","",SUMIFS(Performance!$U$5:$U$404,Performance!$B$5:$B$404,A418))</f>
        <v>0</v>
      </c>
      <c r="AH418" s="23">
        <f>IF(A418="","",COUNTIF(Repurposing!$B$5:$B$154,A418))</f>
        <v>0</v>
      </c>
      <c r="AI418" s="32">
        <f>IF(OR(H418="",B418=""),"",B418+ROW()/100000)</f>
        <v>0</v>
      </c>
      <c r="AJ418" s="32">
        <f>IF(OR(H418="",B418=""),"",IF(OR(X418="Published",X418="Cancelled",X418="Archived"),"",IF(B418&lt;TODAY(),"",B418+ROW()/100000)))</f>
        <v>0</v>
      </c>
      <c r="AK418" s="32">
        <f>IF(OR(H418="",B418=""),"",IF(OR(X418="Published",X418="Cancelled",X418="Archived"),"",IF(B418&gt;=TODAY(),"",B418+ROW()/100000)))</f>
        <v>0</v>
      </c>
      <c r="AL418" s="29">
        <f>IF(H418="","",IF(COUNTIFS('Content Calendar'!$H$5:$H$604,H418,'Content Calendar'!$G$5:$G$604,G418,'Content Calendar'!$B$5:$B$604,B418)&gt;1,"Duplicate","OK"))</f>
        <v>0</v>
      </c>
      <c r="AM418" s="29">
        <f>IF(H418="","",IF(AND(B418&lt;&gt;"",B418&lt;TODAY(),X418&lt;&gt;"Published",X418&lt;&gt;"Cancelled",X418&lt;&gt;"Archived"),"Overdue - date has passed",IF(AND(X418="Published",AB418=""),"Add - publish link missing",IF(AND(B418=TODAY(),X418&lt;&gt;"Published"),"Today - due to go live",IF(AND(Y418&lt;&gt;"",Y418&lt;TODAY(),OR(X418="Idea",X418="Brief",X418="In production")),"Late - draft not ready",IF(AND(AA418&gt;=0,AA418&lt;=3,OR(X418="Draft",X418="Awaiting review")),"Due - needs approval",IF(AND(H418&lt;&gt;"",P418=""),"Add - caption missing","OK")))))))</f>
        <v>0</v>
      </c>
    </row>
    <row r="419" spans="1:39">
      <c r="A419" s="41">
        <f>IF(H419="","",ContentPrefix&amp;TEXT(ROW()-4,"0000"))</f>
        <v>0</v>
      </c>
      <c r="D419" s="17">
        <f>IF(B419="","",TEXT(B419,"yyyy-mm"))</f>
        <v>0</v>
      </c>
      <c r="E419" s="23">
        <f>IF(B419="","",WEEKNUM(B419,IF(WeekStart="Sunday",1,2)))</f>
        <v>0</v>
      </c>
      <c r="F419" s="17">
        <f>IF(B419="","",TEXT(B419,"ddd"))</f>
        <v>0</v>
      </c>
      <c r="Q419" s="29">
        <f>IF(H419="","",IF(P419="","Add - no caption",IFERROR(INDEX('Caption Bank'!$R$5:$R$204,MATCH(P419,'Caption Bank'!$B$5:$B$204,0)),"Check - not in bank")))</f>
        <v>0</v>
      </c>
      <c r="S419" s="23">
        <f>IF(R419="","",COUNTIF('Hashtag Bank'!$D$5:$D$304,R419))</f>
        <v>0</v>
      </c>
      <c r="U419" s="29">
        <f>IF(H419="","",IF(T419="","Add - no asset",IFERROR(INDEX(Assets!$N$5:$N$254,MATCH(T419,Assets!$A$5:$A$254,0)),"Check - not in library")))</f>
        <v>0</v>
      </c>
      <c r="Y419" s="16">
        <f>IF(B419="","",B419-ProductionDays)</f>
        <v>0</v>
      </c>
      <c r="Z419" s="16">
        <f>IF(B419="","",B419-ApprovalDays)</f>
        <v>0</v>
      </c>
      <c r="AA419" s="23">
        <f>IF(B419="","",B419-TODAY())</f>
        <v>0</v>
      </c>
      <c r="AC419" s="29">
        <f>IF(H419="","",IF(X419="Published",IF(AB419="","Add - link missing","Yes"),"No"))</f>
        <v>0</v>
      </c>
      <c r="AD419" s="23">
        <f>IF(A419="","",IF(COUNTIF(Performance!$B$5:$B$404,A419)=0,"",SUMIFS(Performance!$O$5:$O$404,Performance!$B$5:$B$404,A419)))</f>
        <v>0</v>
      </c>
      <c r="AE419" s="23">
        <f>IF(AD419="","",SUMIFS(Performance!$Z$5:$Z$404,Performance!$B$5:$B$404,A419))</f>
        <v>0</v>
      </c>
      <c r="AF419" s="24">
        <f>IF(OR(AD419="",AD419=0),"",AE419/AD419)</f>
        <v>0</v>
      </c>
      <c r="AG419" s="23">
        <f>IF(AD419="","",SUMIFS(Performance!$U$5:$U$404,Performance!$B$5:$B$404,A419))</f>
        <v>0</v>
      </c>
      <c r="AH419" s="23">
        <f>IF(A419="","",COUNTIF(Repurposing!$B$5:$B$154,A419))</f>
        <v>0</v>
      </c>
      <c r="AI419" s="32">
        <f>IF(OR(H419="",B419=""),"",B419+ROW()/100000)</f>
        <v>0</v>
      </c>
      <c r="AJ419" s="32">
        <f>IF(OR(H419="",B419=""),"",IF(OR(X419="Published",X419="Cancelled",X419="Archived"),"",IF(B419&lt;TODAY(),"",B419+ROW()/100000)))</f>
        <v>0</v>
      </c>
      <c r="AK419" s="32">
        <f>IF(OR(H419="",B419=""),"",IF(OR(X419="Published",X419="Cancelled",X419="Archived"),"",IF(B419&gt;=TODAY(),"",B419+ROW()/100000)))</f>
        <v>0</v>
      </c>
      <c r="AL419" s="29">
        <f>IF(H419="","",IF(COUNTIFS('Content Calendar'!$H$5:$H$604,H419,'Content Calendar'!$G$5:$G$604,G419,'Content Calendar'!$B$5:$B$604,B419)&gt;1,"Duplicate","OK"))</f>
        <v>0</v>
      </c>
      <c r="AM419" s="29">
        <f>IF(H419="","",IF(AND(B419&lt;&gt;"",B419&lt;TODAY(),X419&lt;&gt;"Published",X419&lt;&gt;"Cancelled",X419&lt;&gt;"Archived"),"Overdue - date has passed",IF(AND(X419="Published",AB419=""),"Add - publish link missing",IF(AND(B419=TODAY(),X419&lt;&gt;"Published"),"Today - due to go live",IF(AND(Y419&lt;&gt;"",Y419&lt;TODAY(),OR(X419="Idea",X419="Brief",X419="In production")),"Late - draft not ready",IF(AND(AA419&gt;=0,AA419&lt;=3,OR(X419="Draft",X419="Awaiting review")),"Due - needs approval",IF(AND(H419&lt;&gt;"",P419=""),"Add - caption missing","OK")))))))</f>
        <v>0</v>
      </c>
    </row>
    <row r="420" spans="1:39">
      <c r="A420" s="41">
        <f>IF(H420="","",ContentPrefix&amp;TEXT(ROW()-4,"0000"))</f>
        <v>0</v>
      </c>
      <c r="D420" s="17">
        <f>IF(B420="","",TEXT(B420,"yyyy-mm"))</f>
        <v>0</v>
      </c>
      <c r="E420" s="23">
        <f>IF(B420="","",WEEKNUM(B420,IF(WeekStart="Sunday",1,2)))</f>
        <v>0</v>
      </c>
      <c r="F420" s="17">
        <f>IF(B420="","",TEXT(B420,"ddd"))</f>
        <v>0</v>
      </c>
      <c r="Q420" s="29">
        <f>IF(H420="","",IF(P420="","Add - no caption",IFERROR(INDEX('Caption Bank'!$R$5:$R$204,MATCH(P420,'Caption Bank'!$B$5:$B$204,0)),"Check - not in bank")))</f>
        <v>0</v>
      </c>
      <c r="S420" s="23">
        <f>IF(R420="","",COUNTIF('Hashtag Bank'!$D$5:$D$304,R420))</f>
        <v>0</v>
      </c>
      <c r="U420" s="29">
        <f>IF(H420="","",IF(T420="","Add - no asset",IFERROR(INDEX(Assets!$N$5:$N$254,MATCH(T420,Assets!$A$5:$A$254,0)),"Check - not in library")))</f>
        <v>0</v>
      </c>
      <c r="Y420" s="16">
        <f>IF(B420="","",B420-ProductionDays)</f>
        <v>0</v>
      </c>
      <c r="Z420" s="16">
        <f>IF(B420="","",B420-ApprovalDays)</f>
        <v>0</v>
      </c>
      <c r="AA420" s="23">
        <f>IF(B420="","",B420-TODAY())</f>
        <v>0</v>
      </c>
      <c r="AC420" s="29">
        <f>IF(H420="","",IF(X420="Published",IF(AB420="","Add - link missing","Yes"),"No"))</f>
        <v>0</v>
      </c>
      <c r="AD420" s="23">
        <f>IF(A420="","",IF(COUNTIF(Performance!$B$5:$B$404,A420)=0,"",SUMIFS(Performance!$O$5:$O$404,Performance!$B$5:$B$404,A420)))</f>
        <v>0</v>
      </c>
      <c r="AE420" s="23">
        <f>IF(AD420="","",SUMIFS(Performance!$Z$5:$Z$404,Performance!$B$5:$B$404,A420))</f>
        <v>0</v>
      </c>
      <c r="AF420" s="24">
        <f>IF(OR(AD420="",AD420=0),"",AE420/AD420)</f>
        <v>0</v>
      </c>
      <c r="AG420" s="23">
        <f>IF(AD420="","",SUMIFS(Performance!$U$5:$U$404,Performance!$B$5:$B$404,A420))</f>
        <v>0</v>
      </c>
      <c r="AH420" s="23">
        <f>IF(A420="","",COUNTIF(Repurposing!$B$5:$B$154,A420))</f>
        <v>0</v>
      </c>
      <c r="AI420" s="32">
        <f>IF(OR(H420="",B420=""),"",B420+ROW()/100000)</f>
        <v>0</v>
      </c>
      <c r="AJ420" s="32">
        <f>IF(OR(H420="",B420=""),"",IF(OR(X420="Published",X420="Cancelled",X420="Archived"),"",IF(B420&lt;TODAY(),"",B420+ROW()/100000)))</f>
        <v>0</v>
      </c>
      <c r="AK420" s="32">
        <f>IF(OR(H420="",B420=""),"",IF(OR(X420="Published",X420="Cancelled",X420="Archived"),"",IF(B420&gt;=TODAY(),"",B420+ROW()/100000)))</f>
        <v>0</v>
      </c>
      <c r="AL420" s="29">
        <f>IF(H420="","",IF(COUNTIFS('Content Calendar'!$H$5:$H$604,H420,'Content Calendar'!$G$5:$G$604,G420,'Content Calendar'!$B$5:$B$604,B420)&gt;1,"Duplicate","OK"))</f>
        <v>0</v>
      </c>
      <c r="AM420" s="29">
        <f>IF(H420="","",IF(AND(B420&lt;&gt;"",B420&lt;TODAY(),X420&lt;&gt;"Published",X420&lt;&gt;"Cancelled",X420&lt;&gt;"Archived"),"Overdue - date has passed",IF(AND(X420="Published",AB420=""),"Add - publish link missing",IF(AND(B420=TODAY(),X420&lt;&gt;"Published"),"Today - due to go live",IF(AND(Y420&lt;&gt;"",Y420&lt;TODAY(),OR(X420="Idea",X420="Brief",X420="In production")),"Late - draft not ready",IF(AND(AA420&gt;=0,AA420&lt;=3,OR(X420="Draft",X420="Awaiting review")),"Due - needs approval",IF(AND(H420&lt;&gt;"",P420=""),"Add - caption missing","OK")))))))</f>
        <v>0</v>
      </c>
    </row>
    <row r="421" spans="1:39">
      <c r="A421" s="41">
        <f>IF(H421="","",ContentPrefix&amp;TEXT(ROW()-4,"0000"))</f>
        <v>0</v>
      </c>
      <c r="D421" s="17">
        <f>IF(B421="","",TEXT(B421,"yyyy-mm"))</f>
        <v>0</v>
      </c>
      <c r="E421" s="23">
        <f>IF(B421="","",WEEKNUM(B421,IF(WeekStart="Sunday",1,2)))</f>
        <v>0</v>
      </c>
      <c r="F421" s="17">
        <f>IF(B421="","",TEXT(B421,"ddd"))</f>
        <v>0</v>
      </c>
      <c r="Q421" s="29">
        <f>IF(H421="","",IF(P421="","Add - no caption",IFERROR(INDEX('Caption Bank'!$R$5:$R$204,MATCH(P421,'Caption Bank'!$B$5:$B$204,0)),"Check - not in bank")))</f>
        <v>0</v>
      </c>
      <c r="S421" s="23">
        <f>IF(R421="","",COUNTIF('Hashtag Bank'!$D$5:$D$304,R421))</f>
        <v>0</v>
      </c>
      <c r="U421" s="29">
        <f>IF(H421="","",IF(T421="","Add - no asset",IFERROR(INDEX(Assets!$N$5:$N$254,MATCH(T421,Assets!$A$5:$A$254,0)),"Check - not in library")))</f>
        <v>0</v>
      </c>
      <c r="Y421" s="16">
        <f>IF(B421="","",B421-ProductionDays)</f>
        <v>0</v>
      </c>
      <c r="Z421" s="16">
        <f>IF(B421="","",B421-ApprovalDays)</f>
        <v>0</v>
      </c>
      <c r="AA421" s="23">
        <f>IF(B421="","",B421-TODAY())</f>
        <v>0</v>
      </c>
      <c r="AC421" s="29">
        <f>IF(H421="","",IF(X421="Published",IF(AB421="","Add - link missing","Yes"),"No"))</f>
        <v>0</v>
      </c>
      <c r="AD421" s="23">
        <f>IF(A421="","",IF(COUNTIF(Performance!$B$5:$B$404,A421)=0,"",SUMIFS(Performance!$O$5:$O$404,Performance!$B$5:$B$404,A421)))</f>
        <v>0</v>
      </c>
      <c r="AE421" s="23">
        <f>IF(AD421="","",SUMIFS(Performance!$Z$5:$Z$404,Performance!$B$5:$B$404,A421))</f>
        <v>0</v>
      </c>
      <c r="AF421" s="24">
        <f>IF(OR(AD421="",AD421=0),"",AE421/AD421)</f>
        <v>0</v>
      </c>
      <c r="AG421" s="23">
        <f>IF(AD421="","",SUMIFS(Performance!$U$5:$U$404,Performance!$B$5:$B$404,A421))</f>
        <v>0</v>
      </c>
      <c r="AH421" s="23">
        <f>IF(A421="","",COUNTIF(Repurposing!$B$5:$B$154,A421))</f>
        <v>0</v>
      </c>
      <c r="AI421" s="32">
        <f>IF(OR(H421="",B421=""),"",B421+ROW()/100000)</f>
        <v>0</v>
      </c>
      <c r="AJ421" s="32">
        <f>IF(OR(H421="",B421=""),"",IF(OR(X421="Published",X421="Cancelled",X421="Archived"),"",IF(B421&lt;TODAY(),"",B421+ROW()/100000)))</f>
        <v>0</v>
      </c>
      <c r="AK421" s="32">
        <f>IF(OR(H421="",B421=""),"",IF(OR(X421="Published",X421="Cancelled",X421="Archived"),"",IF(B421&gt;=TODAY(),"",B421+ROW()/100000)))</f>
        <v>0</v>
      </c>
      <c r="AL421" s="29">
        <f>IF(H421="","",IF(COUNTIFS('Content Calendar'!$H$5:$H$604,H421,'Content Calendar'!$G$5:$G$604,G421,'Content Calendar'!$B$5:$B$604,B421)&gt;1,"Duplicate","OK"))</f>
        <v>0</v>
      </c>
      <c r="AM421" s="29">
        <f>IF(H421="","",IF(AND(B421&lt;&gt;"",B421&lt;TODAY(),X421&lt;&gt;"Published",X421&lt;&gt;"Cancelled",X421&lt;&gt;"Archived"),"Overdue - date has passed",IF(AND(X421="Published",AB421=""),"Add - publish link missing",IF(AND(B421=TODAY(),X421&lt;&gt;"Published"),"Today - due to go live",IF(AND(Y421&lt;&gt;"",Y421&lt;TODAY(),OR(X421="Idea",X421="Brief",X421="In production")),"Late - draft not ready",IF(AND(AA421&gt;=0,AA421&lt;=3,OR(X421="Draft",X421="Awaiting review")),"Due - needs approval",IF(AND(H421&lt;&gt;"",P421=""),"Add - caption missing","OK")))))))</f>
        <v>0</v>
      </c>
    </row>
    <row r="422" spans="1:39">
      <c r="A422" s="41">
        <f>IF(H422="","",ContentPrefix&amp;TEXT(ROW()-4,"0000"))</f>
        <v>0</v>
      </c>
      <c r="D422" s="17">
        <f>IF(B422="","",TEXT(B422,"yyyy-mm"))</f>
        <v>0</v>
      </c>
      <c r="E422" s="23">
        <f>IF(B422="","",WEEKNUM(B422,IF(WeekStart="Sunday",1,2)))</f>
        <v>0</v>
      </c>
      <c r="F422" s="17">
        <f>IF(B422="","",TEXT(B422,"ddd"))</f>
        <v>0</v>
      </c>
      <c r="Q422" s="29">
        <f>IF(H422="","",IF(P422="","Add - no caption",IFERROR(INDEX('Caption Bank'!$R$5:$R$204,MATCH(P422,'Caption Bank'!$B$5:$B$204,0)),"Check - not in bank")))</f>
        <v>0</v>
      </c>
      <c r="S422" s="23">
        <f>IF(R422="","",COUNTIF('Hashtag Bank'!$D$5:$D$304,R422))</f>
        <v>0</v>
      </c>
      <c r="U422" s="29">
        <f>IF(H422="","",IF(T422="","Add - no asset",IFERROR(INDEX(Assets!$N$5:$N$254,MATCH(T422,Assets!$A$5:$A$254,0)),"Check - not in library")))</f>
        <v>0</v>
      </c>
      <c r="Y422" s="16">
        <f>IF(B422="","",B422-ProductionDays)</f>
        <v>0</v>
      </c>
      <c r="Z422" s="16">
        <f>IF(B422="","",B422-ApprovalDays)</f>
        <v>0</v>
      </c>
      <c r="AA422" s="23">
        <f>IF(B422="","",B422-TODAY())</f>
        <v>0</v>
      </c>
      <c r="AC422" s="29">
        <f>IF(H422="","",IF(X422="Published",IF(AB422="","Add - link missing","Yes"),"No"))</f>
        <v>0</v>
      </c>
      <c r="AD422" s="23">
        <f>IF(A422="","",IF(COUNTIF(Performance!$B$5:$B$404,A422)=0,"",SUMIFS(Performance!$O$5:$O$404,Performance!$B$5:$B$404,A422)))</f>
        <v>0</v>
      </c>
      <c r="AE422" s="23">
        <f>IF(AD422="","",SUMIFS(Performance!$Z$5:$Z$404,Performance!$B$5:$B$404,A422))</f>
        <v>0</v>
      </c>
      <c r="AF422" s="24">
        <f>IF(OR(AD422="",AD422=0),"",AE422/AD422)</f>
        <v>0</v>
      </c>
      <c r="AG422" s="23">
        <f>IF(AD422="","",SUMIFS(Performance!$U$5:$U$404,Performance!$B$5:$B$404,A422))</f>
        <v>0</v>
      </c>
      <c r="AH422" s="23">
        <f>IF(A422="","",COUNTIF(Repurposing!$B$5:$B$154,A422))</f>
        <v>0</v>
      </c>
      <c r="AI422" s="32">
        <f>IF(OR(H422="",B422=""),"",B422+ROW()/100000)</f>
        <v>0</v>
      </c>
      <c r="AJ422" s="32">
        <f>IF(OR(H422="",B422=""),"",IF(OR(X422="Published",X422="Cancelled",X422="Archived"),"",IF(B422&lt;TODAY(),"",B422+ROW()/100000)))</f>
        <v>0</v>
      </c>
      <c r="AK422" s="32">
        <f>IF(OR(H422="",B422=""),"",IF(OR(X422="Published",X422="Cancelled",X422="Archived"),"",IF(B422&gt;=TODAY(),"",B422+ROW()/100000)))</f>
        <v>0</v>
      </c>
      <c r="AL422" s="29">
        <f>IF(H422="","",IF(COUNTIFS('Content Calendar'!$H$5:$H$604,H422,'Content Calendar'!$G$5:$G$604,G422,'Content Calendar'!$B$5:$B$604,B422)&gt;1,"Duplicate","OK"))</f>
        <v>0</v>
      </c>
      <c r="AM422" s="29">
        <f>IF(H422="","",IF(AND(B422&lt;&gt;"",B422&lt;TODAY(),X422&lt;&gt;"Published",X422&lt;&gt;"Cancelled",X422&lt;&gt;"Archived"),"Overdue - date has passed",IF(AND(X422="Published",AB422=""),"Add - publish link missing",IF(AND(B422=TODAY(),X422&lt;&gt;"Published"),"Today - due to go live",IF(AND(Y422&lt;&gt;"",Y422&lt;TODAY(),OR(X422="Idea",X422="Brief",X422="In production")),"Late - draft not ready",IF(AND(AA422&gt;=0,AA422&lt;=3,OR(X422="Draft",X422="Awaiting review")),"Due - needs approval",IF(AND(H422&lt;&gt;"",P422=""),"Add - caption missing","OK")))))))</f>
        <v>0</v>
      </c>
    </row>
    <row r="423" spans="1:39">
      <c r="A423" s="41">
        <f>IF(H423="","",ContentPrefix&amp;TEXT(ROW()-4,"0000"))</f>
        <v>0</v>
      </c>
      <c r="D423" s="17">
        <f>IF(B423="","",TEXT(B423,"yyyy-mm"))</f>
        <v>0</v>
      </c>
      <c r="E423" s="23">
        <f>IF(B423="","",WEEKNUM(B423,IF(WeekStart="Sunday",1,2)))</f>
        <v>0</v>
      </c>
      <c r="F423" s="17">
        <f>IF(B423="","",TEXT(B423,"ddd"))</f>
        <v>0</v>
      </c>
      <c r="Q423" s="29">
        <f>IF(H423="","",IF(P423="","Add - no caption",IFERROR(INDEX('Caption Bank'!$R$5:$R$204,MATCH(P423,'Caption Bank'!$B$5:$B$204,0)),"Check - not in bank")))</f>
        <v>0</v>
      </c>
      <c r="S423" s="23">
        <f>IF(R423="","",COUNTIF('Hashtag Bank'!$D$5:$D$304,R423))</f>
        <v>0</v>
      </c>
      <c r="U423" s="29">
        <f>IF(H423="","",IF(T423="","Add - no asset",IFERROR(INDEX(Assets!$N$5:$N$254,MATCH(T423,Assets!$A$5:$A$254,0)),"Check - not in library")))</f>
        <v>0</v>
      </c>
      <c r="Y423" s="16">
        <f>IF(B423="","",B423-ProductionDays)</f>
        <v>0</v>
      </c>
      <c r="Z423" s="16">
        <f>IF(B423="","",B423-ApprovalDays)</f>
        <v>0</v>
      </c>
      <c r="AA423" s="23">
        <f>IF(B423="","",B423-TODAY())</f>
        <v>0</v>
      </c>
      <c r="AC423" s="29">
        <f>IF(H423="","",IF(X423="Published",IF(AB423="","Add - link missing","Yes"),"No"))</f>
        <v>0</v>
      </c>
      <c r="AD423" s="23">
        <f>IF(A423="","",IF(COUNTIF(Performance!$B$5:$B$404,A423)=0,"",SUMIFS(Performance!$O$5:$O$404,Performance!$B$5:$B$404,A423)))</f>
        <v>0</v>
      </c>
      <c r="AE423" s="23">
        <f>IF(AD423="","",SUMIFS(Performance!$Z$5:$Z$404,Performance!$B$5:$B$404,A423))</f>
        <v>0</v>
      </c>
      <c r="AF423" s="24">
        <f>IF(OR(AD423="",AD423=0),"",AE423/AD423)</f>
        <v>0</v>
      </c>
      <c r="AG423" s="23">
        <f>IF(AD423="","",SUMIFS(Performance!$U$5:$U$404,Performance!$B$5:$B$404,A423))</f>
        <v>0</v>
      </c>
      <c r="AH423" s="23">
        <f>IF(A423="","",COUNTIF(Repurposing!$B$5:$B$154,A423))</f>
        <v>0</v>
      </c>
      <c r="AI423" s="32">
        <f>IF(OR(H423="",B423=""),"",B423+ROW()/100000)</f>
        <v>0</v>
      </c>
      <c r="AJ423" s="32">
        <f>IF(OR(H423="",B423=""),"",IF(OR(X423="Published",X423="Cancelled",X423="Archived"),"",IF(B423&lt;TODAY(),"",B423+ROW()/100000)))</f>
        <v>0</v>
      </c>
      <c r="AK423" s="32">
        <f>IF(OR(H423="",B423=""),"",IF(OR(X423="Published",X423="Cancelled",X423="Archived"),"",IF(B423&gt;=TODAY(),"",B423+ROW()/100000)))</f>
        <v>0</v>
      </c>
      <c r="AL423" s="29">
        <f>IF(H423="","",IF(COUNTIFS('Content Calendar'!$H$5:$H$604,H423,'Content Calendar'!$G$5:$G$604,G423,'Content Calendar'!$B$5:$B$604,B423)&gt;1,"Duplicate","OK"))</f>
        <v>0</v>
      </c>
      <c r="AM423" s="29">
        <f>IF(H423="","",IF(AND(B423&lt;&gt;"",B423&lt;TODAY(),X423&lt;&gt;"Published",X423&lt;&gt;"Cancelled",X423&lt;&gt;"Archived"),"Overdue - date has passed",IF(AND(X423="Published",AB423=""),"Add - publish link missing",IF(AND(B423=TODAY(),X423&lt;&gt;"Published"),"Today - due to go live",IF(AND(Y423&lt;&gt;"",Y423&lt;TODAY(),OR(X423="Idea",X423="Brief",X423="In production")),"Late - draft not ready",IF(AND(AA423&gt;=0,AA423&lt;=3,OR(X423="Draft",X423="Awaiting review")),"Due - needs approval",IF(AND(H423&lt;&gt;"",P423=""),"Add - caption missing","OK")))))))</f>
        <v>0</v>
      </c>
    </row>
    <row r="424" spans="1:39">
      <c r="A424" s="41">
        <f>IF(H424="","",ContentPrefix&amp;TEXT(ROW()-4,"0000"))</f>
        <v>0</v>
      </c>
      <c r="D424" s="17">
        <f>IF(B424="","",TEXT(B424,"yyyy-mm"))</f>
        <v>0</v>
      </c>
      <c r="E424" s="23">
        <f>IF(B424="","",WEEKNUM(B424,IF(WeekStart="Sunday",1,2)))</f>
        <v>0</v>
      </c>
      <c r="F424" s="17">
        <f>IF(B424="","",TEXT(B424,"ddd"))</f>
        <v>0</v>
      </c>
      <c r="Q424" s="29">
        <f>IF(H424="","",IF(P424="","Add - no caption",IFERROR(INDEX('Caption Bank'!$R$5:$R$204,MATCH(P424,'Caption Bank'!$B$5:$B$204,0)),"Check - not in bank")))</f>
        <v>0</v>
      </c>
      <c r="S424" s="23">
        <f>IF(R424="","",COUNTIF('Hashtag Bank'!$D$5:$D$304,R424))</f>
        <v>0</v>
      </c>
      <c r="U424" s="29">
        <f>IF(H424="","",IF(T424="","Add - no asset",IFERROR(INDEX(Assets!$N$5:$N$254,MATCH(T424,Assets!$A$5:$A$254,0)),"Check - not in library")))</f>
        <v>0</v>
      </c>
      <c r="Y424" s="16">
        <f>IF(B424="","",B424-ProductionDays)</f>
        <v>0</v>
      </c>
      <c r="Z424" s="16">
        <f>IF(B424="","",B424-ApprovalDays)</f>
        <v>0</v>
      </c>
      <c r="AA424" s="23">
        <f>IF(B424="","",B424-TODAY())</f>
        <v>0</v>
      </c>
      <c r="AC424" s="29">
        <f>IF(H424="","",IF(X424="Published",IF(AB424="","Add - link missing","Yes"),"No"))</f>
        <v>0</v>
      </c>
      <c r="AD424" s="23">
        <f>IF(A424="","",IF(COUNTIF(Performance!$B$5:$B$404,A424)=0,"",SUMIFS(Performance!$O$5:$O$404,Performance!$B$5:$B$404,A424)))</f>
        <v>0</v>
      </c>
      <c r="AE424" s="23">
        <f>IF(AD424="","",SUMIFS(Performance!$Z$5:$Z$404,Performance!$B$5:$B$404,A424))</f>
        <v>0</v>
      </c>
      <c r="AF424" s="24">
        <f>IF(OR(AD424="",AD424=0),"",AE424/AD424)</f>
        <v>0</v>
      </c>
      <c r="AG424" s="23">
        <f>IF(AD424="","",SUMIFS(Performance!$U$5:$U$404,Performance!$B$5:$B$404,A424))</f>
        <v>0</v>
      </c>
      <c r="AH424" s="23">
        <f>IF(A424="","",COUNTIF(Repurposing!$B$5:$B$154,A424))</f>
        <v>0</v>
      </c>
      <c r="AI424" s="32">
        <f>IF(OR(H424="",B424=""),"",B424+ROW()/100000)</f>
        <v>0</v>
      </c>
      <c r="AJ424" s="32">
        <f>IF(OR(H424="",B424=""),"",IF(OR(X424="Published",X424="Cancelled",X424="Archived"),"",IF(B424&lt;TODAY(),"",B424+ROW()/100000)))</f>
        <v>0</v>
      </c>
      <c r="AK424" s="32">
        <f>IF(OR(H424="",B424=""),"",IF(OR(X424="Published",X424="Cancelled",X424="Archived"),"",IF(B424&gt;=TODAY(),"",B424+ROW()/100000)))</f>
        <v>0</v>
      </c>
      <c r="AL424" s="29">
        <f>IF(H424="","",IF(COUNTIFS('Content Calendar'!$H$5:$H$604,H424,'Content Calendar'!$G$5:$G$604,G424,'Content Calendar'!$B$5:$B$604,B424)&gt;1,"Duplicate","OK"))</f>
        <v>0</v>
      </c>
      <c r="AM424" s="29">
        <f>IF(H424="","",IF(AND(B424&lt;&gt;"",B424&lt;TODAY(),X424&lt;&gt;"Published",X424&lt;&gt;"Cancelled",X424&lt;&gt;"Archived"),"Overdue - date has passed",IF(AND(X424="Published",AB424=""),"Add - publish link missing",IF(AND(B424=TODAY(),X424&lt;&gt;"Published"),"Today - due to go live",IF(AND(Y424&lt;&gt;"",Y424&lt;TODAY(),OR(X424="Idea",X424="Brief",X424="In production")),"Late - draft not ready",IF(AND(AA424&gt;=0,AA424&lt;=3,OR(X424="Draft",X424="Awaiting review")),"Due - needs approval",IF(AND(H424&lt;&gt;"",P424=""),"Add - caption missing","OK")))))))</f>
        <v>0</v>
      </c>
    </row>
    <row r="425" spans="1:39">
      <c r="A425" s="41">
        <f>IF(H425="","",ContentPrefix&amp;TEXT(ROW()-4,"0000"))</f>
        <v>0</v>
      </c>
      <c r="D425" s="17">
        <f>IF(B425="","",TEXT(B425,"yyyy-mm"))</f>
        <v>0</v>
      </c>
      <c r="E425" s="23">
        <f>IF(B425="","",WEEKNUM(B425,IF(WeekStart="Sunday",1,2)))</f>
        <v>0</v>
      </c>
      <c r="F425" s="17">
        <f>IF(B425="","",TEXT(B425,"ddd"))</f>
        <v>0</v>
      </c>
      <c r="Q425" s="29">
        <f>IF(H425="","",IF(P425="","Add - no caption",IFERROR(INDEX('Caption Bank'!$R$5:$R$204,MATCH(P425,'Caption Bank'!$B$5:$B$204,0)),"Check - not in bank")))</f>
        <v>0</v>
      </c>
      <c r="S425" s="23">
        <f>IF(R425="","",COUNTIF('Hashtag Bank'!$D$5:$D$304,R425))</f>
        <v>0</v>
      </c>
      <c r="U425" s="29">
        <f>IF(H425="","",IF(T425="","Add - no asset",IFERROR(INDEX(Assets!$N$5:$N$254,MATCH(T425,Assets!$A$5:$A$254,0)),"Check - not in library")))</f>
        <v>0</v>
      </c>
      <c r="Y425" s="16">
        <f>IF(B425="","",B425-ProductionDays)</f>
        <v>0</v>
      </c>
      <c r="Z425" s="16">
        <f>IF(B425="","",B425-ApprovalDays)</f>
        <v>0</v>
      </c>
      <c r="AA425" s="23">
        <f>IF(B425="","",B425-TODAY())</f>
        <v>0</v>
      </c>
      <c r="AC425" s="29">
        <f>IF(H425="","",IF(X425="Published",IF(AB425="","Add - link missing","Yes"),"No"))</f>
        <v>0</v>
      </c>
      <c r="AD425" s="23">
        <f>IF(A425="","",IF(COUNTIF(Performance!$B$5:$B$404,A425)=0,"",SUMIFS(Performance!$O$5:$O$404,Performance!$B$5:$B$404,A425)))</f>
        <v>0</v>
      </c>
      <c r="AE425" s="23">
        <f>IF(AD425="","",SUMIFS(Performance!$Z$5:$Z$404,Performance!$B$5:$B$404,A425))</f>
        <v>0</v>
      </c>
      <c r="AF425" s="24">
        <f>IF(OR(AD425="",AD425=0),"",AE425/AD425)</f>
        <v>0</v>
      </c>
      <c r="AG425" s="23">
        <f>IF(AD425="","",SUMIFS(Performance!$U$5:$U$404,Performance!$B$5:$B$404,A425))</f>
        <v>0</v>
      </c>
      <c r="AH425" s="23">
        <f>IF(A425="","",COUNTIF(Repurposing!$B$5:$B$154,A425))</f>
        <v>0</v>
      </c>
      <c r="AI425" s="32">
        <f>IF(OR(H425="",B425=""),"",B425+ROW()/100000)</f>
        <v>0</v>
      </c>
      <c r="AJ425" s="32">
        <f>IF(OR(H425="",B425=""),"",IF(OR(X425="Published",X425="Cancelled",X425="Archived"),"",IF(B425&lt;TODAY(),"",B425+ROW()/100000)))</f>
        <v>0</v>
      </c>
      <c r="AK425" s="32">
        <f>IF(OR(H425="",B425=""),"",IF(OR(X425="Published",X425="Cancelled",X425="Archived"),"",IF(B425&gt;=TODAY(),"",B425+ROW()/100000)))</f>
        <v>0</v>
      </c>
      <c r="AL425" s="29">
        <f>IF(H425="","",IF(COUNTIFS('Content Calendar'!$H$5:$H$604,H425,'Content Calendar'!$G$5:$G$604,G425,'Content Calendar'!$B$5:$B$604,B425)&gt;1,"Duplicate","OK"))</f>
        <v>0</v>
      </c>
      <c r="AM425" s="29">
        <f>IF(H425="","",IF(AND(B425&lt;&gt;"",B425&lt;TODAY(),X425&lt;&gt;"Published",X425&lt;&gt;"Cancelled",X425&lt;&gt;"Archived"),"Overdue - date has passed",IF(AND(X425="Published",AB425=""),"Add - publish link missing",IF(AND(B425=TODAY(),X425&lt;&gt;"Published"),"Today - due to go live",IF(AND(Y425&lt;&gt;"",Y425&lt;TODAY(),OR(X425="Idea",X425="Brief",X425="In production")),"Late - draft not ready",IF(AND(AA425&gt;=0,AA425&lt;=3,OR(X425="Draft",X425="Awaiting review")),"Due - needs approval",IF(AND(H425&lt;&gt;"",P425=""),"Add - caption missing","OK")))))))</f>
        <v>0</v>
      </c>
    </row>
    <row r="426" spans="1:39">
      <c r="A426" s="41">
        <f>IF(H426="","",ContentPrefix&amp;TEXT(ROW()-4,"0000"))</f>
        <v>0</v>
      </c>
      <c r="D426" s="17">
        <f>IF(B426="","",TEXT(B426,"yyyy-mm"))</f>
        <v>0</v>
      </c>
      <c r="E426" s="23">
        <f>IF(B426="","",WEEKNUM(B426,IF(WeekStart="Sunday",1,2)))</f>
        <v>0</v>
      </c>
      <c r="F426" s="17">
        <f>IF(B426="","",TEXT(B426,"ddd"))</f>
        <v>0</v>
      </c>
      <c r="Q426" s="29">
        <f>IF(H426="","",IF(P426="","Add - no caption",IFERROR(INDEX('Caption Bank'!$R$5:$R$204,MATCH(P426,'Caption Bank'!$B$5:$B$204,0)),"Check - not in bank")))</f>
        <v>0</v>
      </c>
      <c r="S426" s="23">
        <f>IF(R426="","",COUNTIF('Hashtag Bank'!$D$5:$D$304,R426))</f>
        <v>0</v>
      </c>
      <c r="U426" s="29">
        <f>IF(H426="","",IF(T426="","Add - no asset",IFERROR(INDEX(Assets!$N$5:$N$254,MATCH(T426,Assets!$A$5:$A$254,0)),"Check - not in library")))</f>
        <v>0</v>
      </c>
      <c r="Y426" s="16">
        <f>IF(B426="","",B426-ProductionDays)</f>
        <v>0</v>
      </c>
      <c r="Z426" s="16">
        <f>IF(B426="","",B426-ApprovalDays)</f>
        <v>0</v>
      </c>
      <c r="AA426" s="23">
        <f>IF(B426="","",B426-TODAY())</f>
        <v>0</v>
      </c>
      <c r="AC426" s="29">
        <f>IF(H426="","",IF(X426="Published",IF(AB426="","Add - link missing","Yes"),"No"))</f>
        <v>0</v>
      </c>
      <c r="AD426" s="23">
        <f>IF(A426="","",IF(COUNTIF(Performance!$B$5:$B$404,A426)=0,"",SUMIFS(Performance!$O$5:$O$404,Performance!$B$5:$B$404,A426)))</f>
        <v>0</v>
      </c>
      <c r="AE426" s="23">
        <f>IF(AD426="","",SUMIFS(Performance!$Z$5:$Z$404,Performance!$B$5:$B$404,A426))</f>
        <v>0</v>
      </c>
      <c r="AF426" s="24">
        <f>IF(OR(AD426="",AD426=0),"",AE426/AD426)</f>
        <v>0</v>
      </c>
      <c r="AG426" s="23">
        <f>IF(AD426="","",SUMIFS(Performance!$U$5:$U$404,Performance!$B$5:$B$404,A426))</f>
        <v>0</v>
      </c>
      <c r="AH426" s="23">
        <f>IF(A426="","",COUNTIF(Repurposing!$B$5:$B$154,A426))</f>
        <v>0</v>
      </c>
      <c r="AI426" s="32">
        <f>IF(OR(H426="",B426=""),"",B426+ROW()/100000)</f>
        <v>0</v>
      </c>
      <c r="AJ426" s="32">
        <f>IF(OR(H426="",B426=""),"",IF(OR(X426="Published",X426="Cancelled",X426="Archived"),"",IF(B426&lt;TODAY(),"",B426+ROW()/100000)))</f>
        <v>0</v>
      </c>
      <c r="AK426" s="32">
        <f>IF(OR(H426="",B426=""),"",IF(OR(X426="Published",X426="Cancelled",X426="Archived"),"",IF(B426&gt;=TODAY(),"",B426+ROW()/100000)))</f>
        <v>0</v>
      </c>
      <c r="AL426" s="29">
        <f>IF(H426="","",IF(COUNTIFS('Content Calendar'!$H$5:$H$604,H426,'Content Calendar'!$G$5:$G$604,G426,'Content Calendar'!$B$5:$B$604,B426)&gt;1,"Duplicate","OK"))</f>
        <v>0</v>
      </c>
      <c r="AM426" s="29">
        <f>IF(H426="","",IF(AND(B426&lt;&gt;"",B426&lt;TODAY(),X426&lt;&gt;"Published",X426&lt;&gt;"Cancelled",X426&lt;&gt;"Archived"),"Overdue - date has passed",IF(AND(X426="Published",AB426=""),"Add - publish link missing",IF(AND(B426=TODAY(),X426&lt;&gt;"Published"),"Today - due to go live",IF(AND(Y426&lt;&gt;"",Y426&lt;TODAY(),OR(X426="Idea",X426="Brief",X426="In production")),"Late - draft not ready",IF(AND(AA426&gt;=0,AA426&lt;=3,OR(X426="Draft",X426="Awaiting review")),"Due - needs approval",IF(AND(H426&lt;&gt;"",P426=""),"Add - caption missing","OK")))))))</f>
        <v>0</v>
      </c>
    </row>
    <row r="427" spans="1:39">
      <c r="A427" s="41">
        <f>IF(H427="","",ContentPrefix&amp;TEXT(ROW()-4,"0000"))</f>
        <v>0</v>
      </c>
      <c r="D427" s="17">
        <f>IF(B427="","",TEXT(B427,"yyyy-mm"))</f>
        <v>0</v>
      </c>
      <c r="E427" s="23">
        <f>IF(B427="","",WEEKNUM(B427,IF(WeekStart="Sunday",1,2)))</f>
        <v>0</v>
      </c>
      <c r="F427" s="17">
        <f>IF(B427="","",TEXT(B427,"ddd"))</f>
        <v>0</v>
      </c>
      <c r="Q427" s="29">
        <f>IF(H427="","",IF(P427="","Add - no caption",IFERROR(INDEX('Caption Bank'!$R$5:$R$204,MATCH(P427,'Caption Bank'!$B$5:$B$204,0)),"Check - not in bank")))</f>
        <v>0</v>
      </c>
      <c r="S427" s="23">
        <f>IF(R427="","",COUNTIF('Hashtag Bank'!$D$5:$D$304,R427))</f>
        <v>0</v>
      </c>
      <c r="U427" s="29">
        <f>IF(H427="","",IF(T427="","Add - no asset",IFERROR(INDEX(Assets!$N$5:$N$254,MATCH(T427,Assets!$A$5:$A$254,0)),"Check - not in library")))</f>
        <v>0</v>
      </c>
      <c r="Y427" s="16">
        <f>IF(B427="","",B427-ProductionDays)</f>
        <v>0</v>
      </c>
      <c r="Z427" s="16">
        <f>IF(B427="","",B427-ApprovalDays)</f>
        <v>0</v>
      </c>
      <c r="AA427" s="23">
        <f>IF(B427="","",B427-TODAY())</f>
        <v>0</v>
      </c>
      <c r="AC427" s="29">
        <f>IF(H427="","",IF(X427="Published",IF(AB427="","Add - link missing","Yes"),"No"))</f>
        <v>0</v>
      </c>
      <c r="AD427" s="23">
        <f>IF(A427="","",IF(COUNTIF(Performance!$B$5:$B$404,A427)=0,"",SUMIFS(Performance!$O$5:$O$404,Performance!$B$5:$B$404,A427)))</f>
        <v>0</v>
      </c>
      <c r="AE427" s="23">
        <f>IF(AD427="","",SUMIFS(Performance!$Z$5:$Z$404,Performance!$B$5:$B$404,A427))</f>
        <v>0</v>
      </c>
      <c r="AF427" s="24">
        <f>IF(OR(AD427="",AD427=0),"",AE427/AD427)</f>
        <v>0</v>
      </c>
      <c r="AG427" s="23">
        <f>IF(AD427="","",SUMIFS(Performance!$U$5:$U$404,Performance!$B$5:$B$404,A427))</f>
        <v>0</v>
      </c>
      <c r="AH427" s="23">
        <f>IF(A427="","",COUNTIF(Repurposing!$B$5:$B$154,A427))</f>
        <v>0</v>
      </c>
      <c r="AI427" s="32">
        <f>IF(OR(H427="",B427=""),"",B427+ROW()/100000)</f>
        <v>0</v>
      </c>
      <c r="AJ427" s="32">
        <f>IF(OR(H427="",B427=""),"",IF(OR(X427="Published",X427="Cancelled",X427="Archived"),"",IF(B427&lt;TODAY(),"",B427+ROW()/100000)))</f>
        <v>0</v>
      </c>
      <c r="AK427" s="32">
        <f>IF(OR(H427="",B427=""),"",IF(OR(X427="Published",X427="Cancelled",X427="Archived"),"",IF(B427&gt;=TODAY(),"",B427+ROW()/100000)))</f>
        <v>0</v>
      </c>
      <c r="AL427" s="29">
        <f>IF(H427="","",IF(COUNTIFS('Content Calendar'!$H$5:$H$604,H427,'Content Calendar'!$G$5:$G$604,G427,'Content Calendar'!$B$5:$B$604,B427)&gt;1,"Duplicate","OK"))</f>
        <v>0</v>
      </c>
      <c r="AM427" s="29">
        <f>IF(H427="","",IF(AND(B427&lt;&gt;"",B427&lt;TODAY(),X427&lt;&gt;"Published",X427&lt;&gt;"Cancelled",X427&lt;&gt;"Archived"),"Overdue - date has passed",IF(AND(X427="Published",AB427=""),"Add - publish link missing",IF(AND(B427=TODAY(),X427&lt;&gt;"Published"),"Today - due to go live",IF(AND(Y427&lt;&gt;"",Y427&lt;TODAY(),OR(X427="Idea",X427="Brief",X427="In production")),"Late - draft not ready",IF(AND(AA427&gt;=0,AA427&lt;=3,OR(X427="Draft",X427="Awaiting review")),"Due - needs approval",IF(AND(H427&lt;&gt;"",P427=""),"Add - caption missing","OK")))))))</f>
        <v>0</v>
      </c>
    </row>
    <row r="428" spans="1:39">
      <c r="A428" s="41">
        <f>IF(H428="","",ContentPrefix&amp;TEXT(ROW()-4,"0000"))</f>
        <v>0</v>
      </c>
      <c r="D428" s="17">
        <f>IF(B428="","",TEXT(B428,"yyyy-mm"))</f>
        <v>0</v>
      </c>
      <c r="E428" s="23">
        <f>IF(B428="","",WEEKNUM(B428,IF(WeekStart="Sunday",1,2)))</f>
        <v>0</v>
      </c>
      <c r="F428" s="17">
        <f>IF(B428="","",TEXT(B428,"ddd"))</f>
        <v>0</v>
      </c>
      <c r="Q428" s="29">
        <f>IF(H428="","",IF(P428="","Add - no caption",IFERROR(INDEX('Caption Bank'!$R$5:$R$204,MATCH(P428,'Caption Bank'!$B$5:$B$204,0)),"Check - not in bank")))</f>
        <v>0</v>
      </c>
      <c r="S428" s="23">
        <f>IF(R428="","",COUNTIF('Hashtag Bank'!$D$5:$D$304,R428))</f>
        <v>0</v>
      </c>
      <c r="U428" s="29">
        <f>IF(H428="","",IF(T428="","Add - no asset",IFERROR(INDEX(Assets!$N$5:$N$254,MATCH(T428,Assets!$A$5:$A$254,0)),"Check - not in library")))</f>
        <v>0</v>
      </c>
      <c r="Y428" s="16">
        <f>IF(B428="","",B428-ProductionDays)</f>
        <v>0</v>
      </c>
      <c r="Z428" s="16">
        <f>IF(B428="","",B428-ApprovalDays)</f>
        <v>0</v>
      </c>
      <c r="AA428" s="23">
        <f>IF(B428="","",B428-TODAY())</f>
        <v>0</v>
      </c>
      <c r="AC428" s="29">
        <f>IF(H428="","",IF(X428="Published",IF(AB428="","Add - link missing","Yes"),"No"))</f>
        <v>0</v>
      </c>
      <c r="AD428" s="23">
        <f>IF(A428="","",IF(COUNTIF(Performance!$B$5:$B$404,A428)=0,"",SUMIFS(Performance!$O$5:$O$404,Performance!$B$5:$B$404,A428)))</f>
        <v>0</v>
      </c>
      <c r="AE428" s="23">
        <f>IF(AD428="","",SUMIFS(Performance!$Z$5:$Z$404,Performance!$B$5:$B$404,A428))</f>
        <v>0</v>
      </c>
      <c r="AF428" s="24">
        <f>IF(OR(AD428="",AD428=0),"",AE428/AD428)</f>
        <v>0</v>
      </c>
      <c r="AG428" s="23">
        <f>IF(AD428="","",SUMIFS(Performance!$U$5:$U$404,Performance!$B$5:$B$404,A428))</f>
        <v>0</v>
      </c>
      <c r="AH428" s="23">
        <f>IF(A428="","",COUNTIF(Repurposing!$B$5:$B$154,A428))</f>
        <v>0</v>
      </c>
      <c r="AI428" s="32">
        <f>IF(OR(H428="",B428=""),"",B428+ROW()/100000)</f>
        <v>0</v>
      </c>
      <c r="AJ428" s="32">
        <f>IF(OR(H428="",B428=""),"",IF(OR(X428="Published",X428="Cancelled",X428="Archived"),"",IF(B428&lt;TODAY(),"",B428+ROW()/100000)))</f>
        <v>0</v>
      </c>
      <c r="AK428" s="32">
        <f>IF(OR(H428="",B428=""),"",IF(OR(X428="Published",X428="Cancelled",X428="Archived"),"",IF(B428&gt;=TODAY(),"",B428+ROW()/100000)))</f>
        <v>0</v>
      </c>
      <c r="AL428" s="29">
        <f>IF(H428="","",IF(COUNTIFS('Content Calendar'!$H$5:$H$604,H428,'Content Calendar'!$G$5:$G$604,G428,'Content Calendar'!$B$5:$B$604,B428)&gt;1,"Duplicate","OK"))</f>
        <v>0</v>
      </c>
      <c r="AM428" s="29">
        <f>IF(H428="","",IF(AND(B428&lt;&gt;"",B428&lt;TODAY(),X428&lt;&gt;"Published",X428&lt;&gt;"Cancelled",X428&lt;&gt;"Archived"),"Overdue - date has passed",IF(AND(X428="Published",AB428=""),"Add - publish link missing",IF(AND(B428=TODAY(),X428&lt;&gt;"Published"),"Today - due to go live",IF(AND(Y428&lt;&gt;"",Y428&lt;TODAY(),OR(X428="Idea",X428="Brief",X428="In production")),"Late - draft not ready",IF(AND(AA428&gt;=0,AA428&lt;=3,OR(X428="Draft",X428="Awaiting review")),"Due - needs approval",IF(AND(H428&lt;&gt;"",P428=""),"Add - caption missing","OK")))))))</f>
        <v>0</v>
      </c>
    </row>
    <row r="429" spans="1:39">
      <c r="A429" s="41">
        <f>IF(H429="","",ContentPrefix&amp;TEXT(ROW()-4,"0000"))</f>
        <v>0</v>
      </c>
      <c r="D429" s="17">
        <f>IF(B429="","",TEXT(B429,"yyyy-mm"))</f>
        <v>0</v>
      </c>
      <c r="E429" s="23">
        <f>IF(B429="","",WEEKNUM(B429,IF(WeekStart="Sunday",1,2)))</f>
        <v>0</v>
      </c>
      <c r="F429" s="17">
        <f>IF(B429="","",TEXT(B429,"ddd"))</f>
        <v>0</v>
      </c>
      <c r="Q429" s="29">
        <f>IF(H429="","",IF(P429="","Add - no caption",IFERROR(INDEX('Caption Bank'!$R$5:$R$204,MATCH(P429,'Caption Bank'!$B$5:$B$204,0)),"Check - not in bank")))</f>
        <v>0</v>
      </c>
      <c r="S429" s="23">
        <f>IF(R429="","",COUNTIF('Hashtag Bank'!$D$5:$D$304,R429))</f>
        <v>0</v>
      </c>
      <c r="U429" s="29">
        <f>IF(H429="","",IF(T429="","Add - no asset",IFERROR(INDEX(Assets!$N$5:$N$254,MATCH(T429,Assets!$A$5:$A$254,0)),"Check - not in library")))</f>
        <v>0</v>
      </c>
      <c r="Y429" s="16">
        <f>IF(B429="","",B429-ProductionDays)</f>
        <v>0</v>
      </c>
      <c r="Z429" s="16">
        <f>IF(B429="","",B429-ApprovalDays)</f>
        <v>0</v>
      </c>
      <c r="AA429" s="23">
        <f>IF(B429="","",B429-TODAY())</f>
        <v>0</v>
      </c>
      <c r="AC429" s="29">
        <f>IF(H429="","",IF(X429="Published",IF(AB429="","Add - link missing","Yes"),"No"))</f>
        <v>0</v>
      </c>
      <c r="AD429" s="23">
        <f>IF(A429="","",IF(COUNTIF(Performance!$B$5:$B$404,A429)=0,"",SUMIFS(Performance!$O$5:$O$404,Performance!$B$5:$B$404,A429)))</f>
        <v>0</v>
      </c>
      <c r="AE429" s="23">
        <f>IF(AD429="","",SUMIFS(Performance!$Z$5:$Z$404,Performance!$B$5:$B$404,A429))</f>
        <v>0</v>
      </c>
      <c r="AF429" s="24">
        <f>IF(OR(AD429="",AD429=0),"",AE429/AD429)</f>
        <v>0</v>
      </c>
      <c r="AG429" s="23">
        <f>IF(AD429="","",SUMIFS(Performance!$U$5:$U$404,Performance!$B$5:$B$404,A429))</f>
        <v>0</v>
      </c>
      <c r="AH429" s="23">
        <f>IF(A429="","",COUNTIF(Repurposing!$B$5:$B$154,A429))</f>
        <v>0</v>
      </c>
      <c r="AI429" s="32">
        <f>IF(OR(H429="",B429=""),"",B429+ROW()/100000)</f>
        <v>0</v>
      </c>
      <c r="AJ429" s="32">
        <f>IF(OR(H429="",B429=""),"",IF(OR(X429="Published",X429="Cancelled",X429="Archived"),"",IF(B429&lt;TODAY(),"",B429+ROW()/100000)))</f>
        <v>0</v>
      </c>
      <c r="AK429" s="32">
        <f>IF(OR(H429="",B429=""),"",IF(OR(X429="Published",X429="Cancelled",X429="Archived"),"",IF(B429&gt;=TODAY(),"",B429+ROW()/100000)))</f>
        <v>0</v>
      </c>
      <c r="AL429" s="29">
        <f>IF(H429="","",IF(COUNTIFS('Content Calendar'!$H$5:$H$604,H429,'Content Calendar'!$G$5:$G$604,G429,'Content Calendar'!$B$5:$B$604,B429)&gt;1,"Duplicate","OK"))</f>
        <v>0</v>
      </c>
      <c r="AM429" s="29">
        <f>IF(H429="","",IF(AND(B429&lt;&gt;"",B429&lt;TODAY(),X429&lt;&gt;"Published",X429&lt;&gt;"Cancelled",X429&lt;&gt;"Archived"),"Overdue - date has passed",IF(AND(X429="Published",AB429=""),"Add - publish link missing",IF(AND(B429=TODAY(),X429&lt;&gt;"Published"),"Today - due to go live",IF(AND(Y429&lt;&gt;"",Y429&lt;TODAY(),OR(X429="Idea",X429="Brief",X429="In production")),"Late - draft not ready",IF(AND(AA429&gt;=0,AA429&lt;=3,OR(X429="Draft",X429="Awaiting review")),"Due - needs approval",IF(AND(H429&lt;&gt;"",P429=""),"Add - caption missing","OK")))))))</f>
        <v>0</v>
      </c>
    </row>
    <row r="430" spans="1:39">
      <c r="A430" s="41">
        <f>IF(H430="","",ContentPrefix&amp;TEXT(ROW()-4,"0000"))</f>
        <v>0</v>
      </c>
      <c r="D430" s="17">
        <f>IF(B430="","",TEXT(B430,"yyyy-mm"))</f>
        <v>0</v>
      </c>
      <c r="E430" s="23">
        <f>IF(B430="","",WEEKNUM(B430,IF(WeekStart="Sunday",1,2)))</f>
        <v>0</v>
      </c>
      <c r="F430" s="17">
        <f>IF(B430="","",TEXT(B430,"ddd"))</f>
        <v>0</v>
      </c>
      <c r="Q430" s="29">
        <f>IF(H430="","",IF(P430="","Add - no caption",IFERROR(INDEX('Caption Bank'!$R$5:$R$204,MATCH(P430,'Caption Bank'!$B$5:$B$204,0)),"Check - not in bank")))</f>
        <v>0</v>
      </c>
      <c r="S430" s="23">
        <f>IF(R430="","",COUNTIF('Hashtag Bank'!$D$5:$D$304,R430))</f>
        <v>0</v>
      </c>
      <c r="U430" s="29">
        <f>IF(H430="","",IF(T430="","Add - no asset",IFERROR(INDEX(Assets!$N$5:$N$254,MATCH(T430,Assets!$A$5:$A$254,0)),"Check - not in library")))</f>
        <v>0</v>
      </c>
      <c r="Y430" s="16">
        <f>IF(B430="","",B430-ProductionDays)</f>
        <v>0</v>
      </c>
      <c r="Z430" s="16">
        <f>IF(B430="","",B430-ApprovalDays)</f>
        <v>0</v>
      </c>
      <c r="AA430" s="23">
        <f>IF(B430="","",B430-TODAY())</f>
        <v>0</v>
      </c>
      <c r="AC430" s="29">
        <f>IF(H430="","",IF(X430="Published",IF(AB430="","Add - link missing","Yes"),"No"))</f>
        <v>0</v>
      </c>
      <c r="AD430" s="23">
        <f>IF(A430="","",IF(COUNTIF(Performance!$B$5:$B$404,A430)=0,"",SUMIFS(Performance!$O$5:$O$404,Performance!$B$5:$B$404,A430)))</f>
        <v>0</v>
      </c>
      <c r="AE430" s="23">
        <f>IF(AD430="","",SUMIFS(Performance!$Z$5:$Z$404,Performance!$B$5:$B$404,A430))</f>
        <v>0</v>
      </c>
      <c r="AF430" s="24">
        <f>IF(OR(AD430="",AD430=0),"",AE430/AD430)</f>
        <v>0</v>
      </c>
      <c r="AG430" s="23">
        <f>IF(AD430="","",SUMIFS(Performance!$U$5:$U$404,Performance!$B$5:$B$404,A430))</f>
        <v>0</v>
      </c>
      <c r="AH430" s="23">
        <f>IF(A430="","",COUNTIF(Repurposing!$B$5:$B$154,A430))</f>
        <v>0</v>
      </c>
      <c r="AI430" s="32">
        <f>IF(OR(H430="",B430=""),"",B430+ROW()/100000)</f>
        <v>0</v>
      </c>
      <c r="AJ430" s="32">
        <f>IF(OR(H430="",B430=""),"",IF(OR(X430="Published",X430="Cancelled",X430="Archived"),"",IF(B430&lt;TODAY(),"",B430+ROW()/100000)))</f>
        <v>0</v>
      </c>
      <c r="AK430" s="32">
        <f>IF(OR(H430="",B430=""),"",IF(OR(X430="Published",X430="Cancelled",X430="Archived"),"",IF(B430&gt;=TODAY(),"",B430+ROW()/100000)))</f>
        <v>0</v>
      </c>
      <c r="AL430" s="29">
        <f>IF(H430="","",IF(COUNTIFS('Content Calendar'!$H$5:$H$604,H430,'Content Calendar'!$G$5:$G$604,G430,'Content Calendar'!$B$5:$B$604,B430)&gt;1,"Duplicate","OK"))</f>
        <v>0</v>
      </c>
      <c r="AM430" s="29">
        <f>IF(H430="","",IF(AND(B430&lt;&gt;"",B430&lt;TODAY(),X430&lt;&gt;"Published",X430&lt;&gt;"Cancelled",X430&lt;&gt;"Archived"),"Overdue - date has passed",IF(AND(X430="Published",AB430=""),"Add - publish link missing",IF(AND(B430=TODAY(),X430&lt;&gt;"Published"),"Today - due to go live",IF(AND(Y430&lt;&gt;"",Y430&lt;TODAY(),OR(X430="Idea",X430="Brief",X430="In production")),"Late - draft not ready",IF(AND(AA430&gt;=0,AA430&lt;=3,OR(X430="Draft",X430="Awaiting review")),"Due - needs approval",IF(AND(H430&lt;&gt;"",P430=""),"Add - caption missing","OK")))))))</f>
        <v>0</v>
      </c>
    </row>
    <row r="431" spans="1:39">
      <c r="A431" s="41">
        <f>IF(H431="","",ContentPrefix&amp;TEXT(ROW()-4,"0000"))</f>
        <v>0</v>
      </c>
      <c r="D431" s="17">
        <f>IF(B431="","",TEXT(B431,"yyyy-mm"))</f>
        <v>0</v>
      </c>
      <c r="E431" s="23">
        <f>IF(B431="","",WEEKNUM(B431,IF(WeekStart="Sunday",1,2)))</f>
        <v>0</v>
      </c>
      <c r="F431" s="17">
        <f>IF(B431="","",TEXT(B431,"ddd"))</f>
        <v>0</v>
      </c>
      <c r="Q431" s="29">
        <f>IF(H431="","",IF(P431="","Add - no caption",IFERROR(INDEX('Caption Bank'!$R$5:$R$204,MATCH(P431,'Caption Bank'!$B$5:$B$204,0)),"Check - not in bank")))</f>
        <v>0</v>
      </c>
      <c r="S431" s="23">
        <f>IF(R431="","",COUNTIF('Hashtag Bank'!$D$5:$D$304,R431))</f>
        <v>0</v>
      </c>
      <c r="U431" s="29">
        <f>IF(H431="","",IF(T431="","Add - no asset",IFERROR(INDEX(Assets!$N$5:$N$254,MATCH(T431,Assets!$A$5:$A$254,0)),"Check - not in library")))</f>
        <v>0</v>
      </c>
      <c r="Y431" s="16">
        <f>IF(B431="","",B431-ProductionDays)</f>
        <v>0</v>
      </c>
      <c r="Z431" s="16">
        <f>IF(B431="","",B431-ApprovalDays)</f>
        <v>0</v>
      </c>
      <c r="AA431" s="23">
        <f>IF(B431="","",B431-TODAY())</f>
        <v>0</v>
      </c>
      <c r="AC431" s="29">
        <f>IF(H431="","",IF(X431="Published",IF(AB431="","Add - link missing","Yes"),"No"))</f>
        <v>0</v>
      </c>
      <c r="AD431" s="23">
        <f>IF(A431="","",IF(COUNTIF(Performance!$B$5:$B$404,A431)=0,"",SUMIFS(Performance!$O$5:$O$404,Performance!$B$5:$B$404,A431)))</f>
        <v>0</v>
      </c>
      <c r="AE431" s="23">
        <f>IF(AD431="","",SUMIFS(Performance!$Z$5:$Z$404,Performance!$B$5:$B$404,A431))</f>
        <v>0</v>
      </c>
      <c r="AF431" s="24">
        <f>IF(OR(AD431="",AD431=0),"",AE431/AD431)</f>
        <v>0</v>
      </c>
      <c r="AG431" s="23">
        <f>IF(AD431="","",SUMIFS(Performance!$U$5:$U$404,Performance!$B$5:$B$404,A431))</f>
        <v>0</v>
      </c>
      <c r="AH431" s="23">
        <f>IF(A431="","",COUNTIF(Repurposing!$B$5:$B$154,A431))</f>
        <v>0</v>
      </c>
      <c r="AI431" s="32">
        <f>IF(OR(H431="",B431=""),"",B431+ROW()/100000)</f>
        <v>0</v>
      </c>
      <c r="AJ431" s="32">
        <f>IF(OR(H431="",B431=""),"",IF(OR(X431="Published",X431="Cancelled",X431="Archived"),"",IF(B431&lt;TODAY(),"",B431+ROW()/100000)))</f>
        <v>0</v>
      </c>
      <c r="AK431" s="32">
        <f>IF(OR(H431="",B431=""),"",IF(OR(X431="Published",X431="Cancelled",X431="Archived"),"",IF(B431&gt;=TODAY(),"",B431+ROW()/100000)))</f>
        <v>0</v>
      </c>
      <c r="AL431" s="29">
        <f>IF(H431="","",IF(COUNTIFS('Content Calendar'!$H$5:$H$604,H431,'Content Calendar'!$G$5:$G$604,G431,'Content Calendar'!$B$5:$B$604,B431)&gt;1,"Duplicate","OK"))</f>
        <v>0</v>
      </c>
      <c r="AM431" s="29">
        <f>IF(H431="","",IF(AND(B431&lt;&gt;"",B431&lt;TODAY(),X431&lt;&gt;"Published",X431&lt;&gt;"Cancelled",X431&lt;&gt;"Archived"),"Overdue - date has passed",IF(AND(X431="Published",AB431=""),"Add - publish link missing",IF(AND(B431=TODAY(),X431&lt;&gt;"Published"),"Today - due to go live",IF(AND(Y431&lt;&gt;"",Y431&lt;TODAY(),OR(X431="Idea",X431="Brief",X431="In production")),"Late - draft not ready",IF(AND(AA431&gt;=0,AA431&lt;=3,OR(X431="Draft",X431="Awaiting review")),"Due - needs approval",IF(AND(H431&lt;&gt;"",P431=""),"Add - caption missing","OK")))))))</f>
        <v>0</v>
      </c>
    </row>
    <row r="432" spans="1:39">
      <c r="A432" s="41">
        <f>IF(H432="","",ContentPrefix&amp;TEXT(ROW()-4,"0000"))</f>
        <v>0</v>
      </c>
      <c r="D432" s="17">
        <f>IF(B432="","",TEXT(B432,"yyyy-mm"))</f>
        <v>0</v>
      </c>
      <c r="E432" s="23">
        <f>IF(B432="","",WEEKNUM(B432,IF(WeekStart="Sunday",1,2)))</f>
        <v>0</v>
      </c>
      <c r="F432" s="17">
        <f>IF(B432="","",TEXT(B432,"ddd"))</f>
        <v>0</v>
      </c>
      <c r="Q432" s="29">
        <f>IF(H432="","",IF(P432="","Add - no caption",IFERROR(INDEX('Caption Bank'!$R$5:$R$204,MATCH(P432,'Caption Bank'!$B$5:$B$204,0)),"Check - not in bank")))</f>
        <v>0</v>
      </c>
      <c r="S432" s="23">
        <f>IF(R432="","",COUNTIF('Hashtag Bank'!$D$5:$D$304,R432))</f>
        <v>0</v>
      </c>
      <c r="U432" s="29">
        <f>IF(H432="","",IF(T432="","Add - no asset",IFERROR(INDEX(Assets!$N$5:$N$254,MATCH(T432,Assets!$A$5:$A$254,0)),"Check - not in library")))</f>
        <v>0</v>
      </c>
      <c r="Y432" s="16">
        <f>IF(B432="","",B432-ProductionDays)</f>
        <v>0</v>
      </c>
      <c r="Z432" s="16">
        <f>IF(B432="","",B432-ApprovalDays)</f>
        <v>0</v>
      </c>
      <c r="AA432" s="23">
        <f>IF(B432="","",B432-TODAY())</f>
        <v>0</v>
      </c>
      <c r="AC432" s="29">
        <f>IF(H432="","",IF(X432="Published",IF(AB432="","Add - link missing","Yes"),"No"))</f>
        <v>0</v>
      </c>
      <c r="AD432" s="23">
        <f>IF(A432="","",IF(COUNTIF(Performance!$B$5:$B$404,A432)=0,"",SUMIFS(Performance!$O$5:$O$404,Performance!$B$5:$B$404,A432)))</f>
        <v>0</v>
      </c>
      <c r="AE432" s="23">
        <f>IF(AD432="","",SUMIFS(Performance!$Z$5:$Z$404,Performance!$B$5:$B$404,A432))</f>
        <v>0</v>
      </c>
      <c r="AF432" s="24">
        <f>IF(OR(AD432="",AD432=0),"",AE432/AD432)</f>
        <v>0</v>
      </c>
      <c r="AG432" s="23">
        <f>IF(AD432="","",SUMIFS(Performance!$U$5:$U$404,Performance!$B$5:$B$404,A432))</f>
        <v>0</v>
      </c>
      <c r="AH432" s="23">
        <f>IF(A432="","",COUNTIF(Repurposing!$B$5:$B$154,A432))</f>
        <v>0</v>
      </c>
      <c r="AI432" s="32">
        <f>IF(OR(H432="",B432=""),"",B432+ROW()/100000)</f>
        <v>0</v>
      </c>
      <c r="AJ432" s="32">
        <f>IF(OR(H432="",B432=""),"",IF(OR(X432="Published",X432="Cancelled",X432="Archived"),"",IF(B432&lt;TODAY(),"",B432+ROW()/100000)))</f>
        <v>0</v>
      </c>
      <c r="AK432" s="32">
        <f>IF(OR(H432="",B432=""),"",IF(OR(X432="Published",X432="Cancelled",X432="Archived"),"",IF(B432&gt;=TODAY(),"",B432+ROW()/100000)))</f>
        <v>0</v>
      </c>
      <c r="AL432" s="29">
        <f>IF(H432="","",IF(COUNTIFS('Content Calendar'!$H$5:$H$604,H432,'Content Calendar'!$G$5:$G$604,G432,'Content Calendar'!$B$5:$B$604,B432)&gt;1,"Duplicate","OK"))</f>
        <v>0</v>
      </c>
      <c r="AM432" s="29">
        <f>IF(H432="","",IF(AND(B432&lt;&gt;"",B432&lt;TODAY(),X432&lt;&gt;"Published",X432&lt;&gt;"Cancelled",X432&lt;&gt;"Archived"),"Overdue - date has passed",IF(AND(X432="Published",AB432=""),"Add - publish link missing",IF(AND(B432=TODAY(),X432&lt;&gt;"Published"),"Today - due to go live",IF(AND(Y432&lt;&gt;"",Y432&lt;TODAY(),OR(X432="Idea",X432="Brief",X432="In production")),"Late - draft not ready",IF(AND(AA432&gt;=0,AA432&lt;=3,OR(X432="Draft",X432="Awaiting review")),"Due - needs approval",IF(AND(H432&lt;&gt;"",P432=""),"Add - caption missing","OK")))))))</f>
        <v>0</v>
      </c>
    </row>
    <row r="433" spans="1:39">
      <c r="A433" s="41">
        <f>IF(H433="","",ContentPrefix&amp;TEXT(ROW()-4,"0000"))</f>
        <v>0</v>
      </c>
      <c r="D433" s="17">
        <f>IF(B433="","",TEXT(B433,"yyyy-mm"))</f>
        <v>0</v>
      </c>
      <c r="E433" s="23">
        <f>IF(B433="","",WEEKNUM(B433,IF(WeekStart="Sunday",1,2)))</f>
        <v>0</v>
      </c>
      <c r="F433" s="17">
        <f>IF(B433="","",TEXT(B433,"ddd"))</f>
        <v>0</v>
      </c>
      <c r="Q433" s="29">
        <f>IF(H433="","",IF(P433="","Add - no caption",IFERROR(INDEX('Caption Bank'!$R$5:$R$204,MATCH(P433,'Caption Bank'!$B$5:$B$204,0)),"Check - not in bank")))</f>
        <v>0</v>
      </c>
      <c r="S433" s="23">
        <f>IF(R433="","",COUNTIF('Hashtag Bank'!$D$5:$D$304,R433))</f>
        <v>0</v>
      </c>
      <c r="U433" s="29">
        <f>IF(H433="","",IF(T433="","Add - no asset",IFERROR(INDEX(Assets!$N$5:$N$254,MATCH(T433,Assets!$A$5:$A$254,0)),"Check - not in library")))</f>
        <v>0</v>
      </c>
      <c r="Y433" s="16">
        <f>IF(B433="","",B433-ProductionDays)</f>
        <v>0</v>
      </c>
      <c r="Z433" s="16">
        <f>IF(B433="","",B433-ApprovalDays)</f>
        <v>0</v>
      </c>
      <c r="AA433" s="23">
        <f>IF(B433="","",B433-TODAY())</f>
        <v>0</v>
      </c>
      <c r="AC433" s="29">
        <f>IF(H433="","",IF(X433="Published",IF(AB433="","Add - link missing","Yes"),"No"))</f>
        <v>0</v>
      </c>
      <c r="AD433" s="23">
        <f>IF(A433="","",IF(COUNTIF(Performance!$B$5:$B$404,A433)=0,"",SUMIFS(Performance!$O$5:$O$404,Performance!$B$5:$B$404,A433)))</f>
        <v>0</v>
      </c>
      <c r="AE433" s="23">
        <f>IF(AD433="","",SUMIFS(Performance!$Z$5:$Z$404,Performance!$B$5:$B$404,A433))</f>
        <v>0</v>
      </c>
      <c r="AF433" s="24">
        <f>IF(OR(AD433="",AD433=0),"",AE433/AD433)</f>
        <v>0</v>
      </c>
      <c r="AG433" s="23">
        <f>IF(AD433="","",SUMIFS(Performance!$U$5:$U$404,Performance!$B$5:$B$404,A433))</f>
        <v>0</v>
      </c>
      <c r="AH433" s="23">
        <f>IF(A433="","",COUNTIF(Repurposing!$B$5:$B$154,A433))</f>
        <v>0</v>
      </c>
      <c r="AI433" s="32">
        <f>IF(OR(H433="",B433=""),"",B433+ROW()/100000)</f>
        <v>0</v>
      </c>
      <c r="AJ433" s="32">
        <f>IF(OR(H433="",B433=""),"",IF(OR(X433="Published",X433="Cancelled",X433="Archived"),"",IF(B433&lt;TODAY(),"",B433+ROW()/100000)))</f>
        <v>0</v>
      </c>
      <c r="AK433" s="32">
        <f>IF(OR(H433="",B433=""),"",IF(OR(X433="Published",X433="Cancelled",X433="Archived"),"",IF(B433&gt;=TODAY(),"",B433+ROW()/100000)))</f>
        <v>0</v>
      </c>
      <c r="AL433" s="29">
        <f>IF(H433="","",IF(COUNTIFS('Content Calendar'!$H$5:$H$604,H433,'Content Calendar'!$G$5:$G$604,G433,'Content Calendar'!$B$5:$B$604,B433)&gt;1,"Duplicate","OK"))</f>
        <v>0</v>
      </c>
      <c r="AM433" s="29">
        <f>IF(H433="","",IF(AND(B433&lt;&gt;"",B433&lt;TODAY(),X433&lt;&gt;"Published",X433&lt;&gt;"Cancelled",X433&lt;&gt;"Archived"),"Overdue - date has passed",IF(AND(X433="Published",AB433=""),"Add - publish link missing",IF(AND(B433=TODAY(),X433&lt;&gt;"Published"),"Today - due to go live",IF(AND(Y433&lt;&gt;"",Y433&lt;TODAY(),OR(X433="Idea",X433="Brief",X433="In production")),"Late - draft not ready",IF(AND(AA433&gt;=0,AA433&lt;=3,OR(X433="Draft",X433="Awaiting review")),"Due - needs approval",IF(AND(H433&lt;&gt;"",P433=""),"Add - caption missing","OK")))))))</f>
        <v>0</v>
      </c>
    </row>
    <row r="434" spans="1:39">
      <c r="A434" s="41">
        <f>IF(H434="","",ContentPrefix&amp;TEXT(ROW()-4,"0000"))</f>
        <v>0</v>
      </c>
      <c r="D434" s="17">
        <f>IF(B434="","",TEXT(B434,"yyyy-mm"))</f>
        <v>0</v>
      </c>
      <c r="E434" s="23">
        <f>IF(B434="","",WEEKNUM(B434,IF(WeekStart="Sunday",1,2)))</f>
        <v>0</v>
      </c>
      <c r="F434" s="17">
        <f>IF(B434="","",TEXT(B434,"ddd"))</f>
        <v>0</v>
      </c>
      <c r="Q434" s="29">
        <f>IF(H434="","",IF(P434="","Add - no caption",IFERROR(INDEX('Caption Bank'!$R$5:$R$204,MATCH(P434,'Caption Bank'!$B$5:$B$204,0)),"Check - not in bank")))</f>
        <v>0</v>
      </c>
      <c r="S434" s="23">
        <f>IF(R434="","",COUNTIF('Hashtag Bank'!$D$5:$D$304,R434))</f>
        <v>0</v>
      </c>
      <c r="U434" s="29">
        <f>IF(H434="","",IF(T434="","Add - no asset",IFERROR(INDEX(Assets!$N$5:$N$254,MATCH(T434,Assets!$A$5:$A$254,0)),"Check - not in library")))</f>
        <v>0</v>
      </c>
      <c r="Y434" s="16">
        <f>IF(B434="","",B434-ProductionDays)</f>
        <v>0</v>
      </c>
      <c r="Z434" s="16">
        <f>IF(B434="","",B434-ApprovalDays)</f>
        <v>0</v>
      </c>
      <c r="AA434" s="23">
        <f>IF(B434="","",B434-TODAY())</f>
        <v>0</v>
      </c>
      <c r="AC434" s="29">
        <f>IF(H434="","",IF(X434="Published",IF(AB434="","Add - link missing","Yes"),"No"))</f>
        <v>0</v>
      </c>
      <c r="AD434" s="23">
        <f>IF(A434="","",IF(COUNTIF(Performance!$B$5:$B$404,A434)=0,"",SUMIFS(Performance!$O$5:$O$404,Performance!$B$5:$B$404,A434)))</f>
        <v>0</v>
      </c>
      <c r="AE434" s="23">
        <f>IF(AD434="","",SUMIFS(Performance!$Z$5:$Z$404,Performance!$B$5:$B$404,A434))</f>
        <v>0</v>
      </c>
      <c r="AF434" s="24">
        <f>IF(OR(AD434="",AD434=0),"",AE434/AD434)</f>
        <v>0</v>
      </c>
      <c r="AG434" s="23">
        <f>IF(AD434="","",SUMIFS(Performance!$U$5:$U$404,Performance!$B$5:$B$404,A434))</f>
        <v>0</v>
      </c>
      <c r="AH434" s="23">
        <f>IF(A434="","",COUNTIF(Repurposing!$B$5:$B$154,A434))</f>
        <v>0</v>
      </c>
      <c r="AI434" s="32">
        <f>IF(OR(H434="",B434=""),"",B434+ROW()/100000)</f>
        <v>0</v>
      </c>
      <c r="AJ434" s="32">
        <f>IF(OR(H434="",B434=""),"",IF(OR(X434="Published",X434="Cancelled",X434="Archived"),"",IF(B434&lt;TODAY(),"",B434+ROW()/100000)))</f>
        <v>0</v>
      </c>
      <c r="AK434" s="32">
        <f>IF(OR(H434="",B434=""),"",IF(OR(X434="Published",X434="Cancelled",X434="Archived"),"",IF(B434&gt;=TODAY(),"",B434+ROW()/100000)))</f>
        <v>0</v>
      </c>
      <c r="AL434" s="29">
        <f>IF(H434="","",IF(COUNTIFS('Content Calendar'!$H$5:$H$604,H434,'Content Calendar'!$G$5:$G$604,G434,'Content Calendar'!$B$5:$B$604,B434)&gt;1,"Duplicate","OK"))</f>
        <v>0</v>
      </c>
      <c r="AM434" s="29">
        <f>IF(H434="","",IF(AND(B434&lt;&gt;"",B434&lt;TODAY(),X434&lt;&gt;"Published",X434&lt;&gt;"Cancelled",X434&lt;&gt;"Archived"),"Overdue - date has passed",IF(AND(X434="Published",AB434=""),"Add - publish link missing",IF(AND(B434=TODAY(),X434&lt;&gt;"Published"),"Today - due to go live",IF(AND(Y434&lt;&gt;"",Y434&lt;TODAY(),OR(X434="Idea",X434="Brief",X434="In production")),"Late - draft not ready",IF(AND(AA434&gt;=0,AA434&lt;=3,OR(X434="Draft",X434="Awaiting review")),"Due - needs approval",IF(AND(H434&lt;&gt;"",P434=""),"Add - caption missing","OK")))))))</f>
        <v>0</v>
      </c>
    </row>
    <row r="435" spans="1:39">
      <c r="A435" s="41">
        <f>IF(H435="","",ContentPrefix&amp;TEXT(ROW()-4,"0000"))</f>
        <v>0</v>
      </c>
      <c r="D435" s="17">
        <f>IF(B435="","",TEXT(B435,"yyyy-mm"))</f>
        <v>0</v>
      </c>
      <c r="E435" s="23">
        <f>IF(B435="","",WEEKNUM(B435,IF(WeekStart="Sunday",1,2)))</f>
        <v>0</v>
      </c>
      <c r="F435" s="17">
        <f>IF(B435="","",TEXT(B435,"ddd"))</f>
        <v>0</v>
      </c>
      <c r="Q435" s="29">
        <f>IF(H435="","",IF(P435="","Add - no caption",IFERROR(INDEX('Caption Bank'!$R$5:$R$204,MATCH(P435,'Caption Bank'!$B$5:$B$204,0)),"Check - not in bank")))</f>
        <v>0</v>
      </c>
      <c r="S435" s="23">
        <f>IF(R435="","",COUNTIF('Hashtag Bank'!$D$5:$D$304,R435))</f>
        <v>0</v>
      </c>
      <c r="U435" s="29">
        <f>IF(H435="","",IF(T435="","Add - no asset",IFERROR(INDEX(Assets!$N$5:$N$254,MATCH(T435,Assets!$A$5:$A$254,0)),"Check - not in library")))</f>
        <v>0</v>
      </c>
      <c r="Y435" s="16">
        <f>IF(B435="","",B435-ProductionDays)</f>
        <v>0</v>
      </c>
      <c r="Z435" s="16">
        <f>IF(B435="","",B435-ApprovalDays)</f>
        <v>0</v>
      </c>
      <c r="AA435" s="23">
        <f>IF(B435="","",B435-TODAY())</f>
        <v>0</v>
      </c>
      <c r="AC435" s="29">
        <f>IF(H435="","",IF(X435="Published",IF(AB435="","Add - link missing","Yes"),"No"))</f>
        <v>0</v>
      </c>
      <c r="AD435" s="23">
        <f>IF(A435="","",IF(COUNTIF(Performance!$B$5:$B$404,A435)=0,"",SUMIFS(Performance!$O$5:$O$404,Performance!$B$5:$B$404,A435)))</f>
        <v>0</v>
      </c>
      <c r="AE435" s="23">
        <f>IF(AD435="","",SUMIFS(Performance!$Z$5:$Z$404,Performance!$B$5:$B$404,A435))</f>
        <v>0</v>
      </c>
      <c r="AF435" s="24">
        <f>IF(OR(AD435="",AD435=0),"",AE435/AD435)</f>
        <v>0</v>
      </c>
      <c r="AG435" s="23">
        <f>IF(AD435="","",SUMIFS(Performance!$U$5:$U$404,Performance!$B$5:$B$404,A435))</f>
        <v>0</v>
      </c>
      <c r="AH435" s="23">
        <f>IF(A435="","",COUNTIF(Repurposing!$B$5:$B$154,A435))</f>
        <v>0</v>
      </c>
      <c r="AI435" s="32">
        <f>IF(OR(H435="",B435=""),"",B435+ROW()/100000)</f>
        <v>0</v>
      </c>
      <c r="AJ435" s="32">
        <f>IF(OR(H435="",B435=""),"",IF(OR(X435="Published",X435="Cancelled",X435="Archived"),"",IF(B435&lt;TODAY(),"",B435+ROW()/100000)))</f>
        <v>0</v>
      </c>
      <c r="AK435" s="32">
        <f>IF(OR(H435="",B435=""),"",IF(OR(X435="Published",X435="Cancelled",X435="Archived"),"",IF(B435&gt;=TODAY(),"",B435+ROW()/100000)))</f>
        <v>0</v>
      </c>
      <c r="AL435" s="29">
        <f>IF(H435="","",IF(COUNTIFS('Content Calendar'!$H$5:$H$604,H435,'Content Calendar'!$G$5:$G$604,G435,'Content Calendar'!$B$5:$B$604,B435)&gt;1,"Duplicate","OK"))</f>
        <v>0</v>
      </c>
      <c r="AM435" s="29">
        <f>IF(H435="","",IF(AND(B435&lt;&gt;"",B435&lt;TODAY(),X435&lt;&gt;"Published",X435&lt;&gt;"Cancelled",X435&lt;&gt;"Archived"),"Overdue - date has passed",IF(AND(X435="Published",AB435=""),"Add - publish link missing",IF(AND(B435=TODAY(),X435&lt;&gt;"Published"),"Today - due to go live",IF(AND(Y435&lt;&gt;"",Y435&lt;TODAY(),OR(X435="Idea",X435="Brief",X435="In production")),"Late - draft not ready",IF(AND(AA435&gt;=0,AA435&lt;=3,OR(X435="Draft",X435="Awaiting review")),"Due - needs approval",IF(AND(H435&lt;&gt;"",P435=""),"Add - caption missing","OK")))))))</f>
        <v>0</v>
      </c>
    </row>
    <row r="436" spans="1:39">
      <c r="A436" s="41">
        <f>IF(H436="","",ContentPrefix&amp;TEXT(ROW()-4,"0000"))</f>
        <v>0</v>
      </c>
      <c r="D436" s="17">
        <f>IF(B436="","",TEXT(B436,"yyyy-mm"))</f>
        <v>0</v>
      </c>
      <c r="E436" s="23">
        <f>IF(B436="","",WEEKNUM(B436,IF(WeekStart="Sunday",1,2)))</f>
        <v>0</v>
      </c>
      <c r="F436" s="17">
        <f>IF(B436="","",TEXT(B436,"ddd"))</f>
        <v>0</v>
      </c>
      <c r="Q436" s="29">
        <f>IF(H436="","",IF(P436="","Add - no caption",IFERROR(INDEX('Caption Bank'!$R$5:$R$204,MATCH(P436,'Caption Bank'!$B$5:$B$204,0)),"Check - not in bank")))</f>
        <v>0</v>
      </c>
      <c r="S436" s="23">
        <f>IF(R436="","",COUNTIF('Hashtag Bank'!$D$5:$D$304,R436))</f>
        <v>0</v>
      </c>
      <c r="U436" s="29">
        <f>IF(H436="","",IF(T436="","Add - no asset",IFERROR(INDEX(Assets!$N$5:$N$254,MATCH(T436,Assets!$A$5:$A$254,0)),"Check - not in library")))</f>
        <v>0</v>
      </c>
      <c r="Y436" s="16">
        <f>IF(B436="","",B436-ProductionDays)</f>
        <v>0</v>
      </c>
      <c r="Z436" s="16">
        <f>IF(B436="","",B436-ApprovalDays)</f>
        <v>0</v>
      </c>
      <c r="AA436" s="23">
        <f>IF(B436="","",B436-TODAY())</f>
        <v>0</v>
      </c>
      <c r="AC436" s="29">
        <f>IF(H436="","",IF(X436="Published",IF(AB436="","Add - link missing","Yes"),"No"))</f>
        <v>0</v>
      </c>
      <c r="AD436" s="23">
        <f>IF(A436="","",IF(COUNTIF(Performance!$B$5:$B$404,A436)=0,"",SUMIFS(Performance!$O$5:$O$404,Performance!$B$5:$B$404,A436)))</f>
        <v>0</v>
      </c>
      <c r="AE436" s="23">
        <f>IF(AD436="","",SUMIFS(Performance!$Z$5:$Z$404,Performance!$B$5:$B$404,A436))</f>
        <v>0</v>
      </c>
      <c r="AF436" s="24">
        <f>IF(OR(AD436="",AD436=0),"",AE436/AD436)</f>
        <v>0</v>
      </c>
      <c r="AG436" s="23">
        <f>IF(AD436="","",SUMIFS(Performance!$U$5:$U$404,Performance!$B$5:$B$404,A436))</f>
        <v>0</v>
      </c>
      <c r="AH436" s="23">
        <f>IF(A436="","",COUNTIF(Repurposing!$B$5:$B$154,A436))</f>
        <v>0</v>
      </c>
      <c r="AI436" s="32">
        <f>IF(OR(H436="",B436=""),"",B436+ROW()/100000)</f>
        <v>0</v>
      </c>
      <c r="AJ436" s="32">
        <f>IF(OR(H436="",B436=""),"",IF(OR(X436="Published",X436="Cancelled",X436="Archived"),"",IF(B436&lt;TODAY(),"",B436+ROW()/100000)))</f>
        <v>0</v>
      </c>
      <c r="AK436" s="32">
        <f>IF(OR(H436="",B436=""),"",IF(OR(X436="Published",X436="Cancelled",X436="Archived"),"",IF(B436&gt;=TODAY(),"",B436+ROW()/100000)))</f>
        <v>0</v>
      </c>
      <c r="AL436" s="29">
        <f>IF(H436="","",IF(COUNTIFS('Content Calendar'!$H$5:$H$604,H436,'Content Calendar'!$G$5:$G$604,G436,'Content Calendar'!$B$5:$B$604,B436)&gt;1,"Duplicate","OK"))</f>
        <v>0</v>
      </c>
      <c r="AM436" s="29">
        <f>IF(H436="","",IF(AND(B436&lt;&gt;"",B436&lt;TODAY(),X436&lt;&gt;"Published",X436&lt;&gt;"Cancelled",X436&lt;&gt;"Archived"),"Overdue - date has passed",IF(AND(X436="Published",AB436=""),"Add - publish link missing",IF(AND(B436=TODAY(),X436&lt;&gt;"Published"),"Today - due to go live",IF(AND(Y436&lt;&gt;"",Y436&lt;TODAY(),OR(X436="Idea",X436="Brief",X436="In production")),"Late - draft not ready",IF(AND(AA436&gt;=0,AA436&lt;=3,OR(X436="Draft",X436="Awaiting review")),"Due - needs approval",IF(AND(H436&lt;&gt;"",P436=""),"Add - caption missing","OK")))))))</f>
        <v>0</v>
      </c>
    </row>
    <row r="437" spans="1:39">
      <c r="A437" s="41">
        <f>IF(H437="","",ContentPrefix&amp;TEXT(ROW()-4,"0000"))</f>
        <v>0</v>
      </c>
      <c r="D437" s="17">
        <f>IF(B437="","",TEXT(B437,"yyyy-mm"))</f>
        <v>0</v>
      </c>
      <c r="E437" s="23">
        <f>IF(B437="","",WEEKNUM(B437,IF(WeekStart="Sunday",1,2)))</f>
        <v>0</v>
      </c>
      <c r="F437" s="17">
        <f>IF(B437="","",TEXT(B437,"ddd"))</f>
        <v>0</v>
      </c>
      <c r="Q437" s="29">
        <f>IF(H437="","",IF(P437="","Add - no caption",IFERROR(INDEX('Caption Bank'!$R$5:$R$204,MATCH(P437,'Caption Bank'!$B$5:$B$204,0)),"Check - not in bank")))</f>
        <v>0</v>
      </c>
      <c r="S437" s="23">
        <f>IF(R437="","",COUNTIF('Hashtag Bank'!$D$5:$D$304,R437))</f>
        <v>0</v>
      </c>
      <c r="U437" s="29">
        <f>IF(H437="","",IF(T437="","Add - no asset",IFERROR(INDEX(Assets!$N$5:$N$254,MATCH(T437,Assets!$A$5:$A$254,0)),"Check - not in library")))</f>
        <v>0</v>
      </c>
      <c r="Y437" s="16">
        <f>IF(B437="","",B437-ProductionDays)</f>
        <v>0</v>
      </c>
      <c r="Z437" s="16">
        <f>IF(B437="","",B437-ApprovalDays)</f>
        <v>0</v>
      </c>
      <c r="AA437" s="23">
        <f>IF(B437="","",B437-TODAY())</f>
        <v>0</v>
      </c>
      <c r="AC437" s="29">
        <f>IF(H437="","",IF(X437="Published",IF(AB437="","Add - link missing","Yes"),"No"))</f>
        <v>0</v>
      </c>
      <c r="AD437" s="23">
        <f>IF(A437="","",IF(COUNTIF(Performance!$B$5:$B$404,A437)=0,"",SUMIFS(Performance!$O$5:$O$404,Performance!$B$5:$B$404,A437)))</f>
        <v>0</v>
      </c>
      <c r="AE437" s="23">
        <f>IF(AD437="","",SUMIFS(Performance!$Z$5:$Z$404,Performance!$B$5:$B$404,A437))</f>
        <v>0</v>
      </c>
      <c r="AF437" s="24">
        <f>IF(OR(AD437="",AD437=0),"",AE437/AD437)</f>
        <v>0</v>
      </c>
      <c r="AG437" s="23">
        <f>IF(AD437="","",SUMIFS(Performance!$U$5:$U$404,Performance!$B$5:$B$404,A437))</f>
        <v>0</v>
      </c>
      <c r="AH437" s="23">
        <f>IF(A437="","",COUNTIF(Repurposing!$B$5:$B$154,A437))</f>
        <v>0</v>
      </c>
      <c r="AI437" s="32">
        <f>IF(OR(H437="",B437=""),"",B437+ROW()/100000)</f>
        <v>0</v>
      </c>
      <c r="AJ437" s="32">
        <f>IF(OR(H437="",B437=""),"",IF(OR(X437="Published",X437="Cancelled",X437="Archived"),"",IF(B437&lt;TODAY(),"",B437+ROW()/100000)))</f>
        <v>0</v>
      </c>
      <c r="AK437" s="32">
        <f>IF(OR(H437="",B437=""),"",IF(OR(X437="Published",X437="Cancelled",X437="Archived"),"",IF(B437&gt;=TODAY(),"",B437+ROW()/100000)))</f>
        <v>0</v>
      </c>
      <c r="AL437" s="29">
        <f>IF(H437="","",IF(COUNTIFS('Content Calendar'!$H$5:$H$604,H437,'Content Calendar'!$G$5:$G$604,G437,'Content Calendar'!$B$5:$B$604,B437)&gt;1,"Duplicate","OK"))</f>
        <v>0</v>
      </c>
      <c r="AM437" s="29">
        <f>IF(H437="","",IF(AND(B437&lt;&gt;"",B437&lt;TODAY(),X437&lt;&gt;"Published",X437&lt;&gt;"Cancelled",X437&lt;&gt;"Archived"),"Overdue - date has passed",IF(AND(X437="Published",AB437=""),"Add - publish link missing",IF(AND(B437=TODAY(),X437&lt;&gt;"Published"),"Today - due to go live",IF(AND(Y437&lt;&gt;"",Y437&lt;TODAY(),OR(X437="Idea",X437="Brief",X437="In production")),"Late - draft not ready",IF(AND(AA437&gt;=0,AA437&lt;=3,OR(X437="Draft",X437="Awaiting review")),"Due - needs approval",IF(AND(H437&lt;&gt;"",P437=""),"Add - caption missing","OK")))))))</f>
        <v>0</v>
      </c>
    </row>
    <row r="438" spans="1:39">
      <c r="A438" s="41">
        <f>IF(H438="","",ContentPrefix&amp;TEXT(ROW()-4,"0000"))</f>
        <v>0</v>
      </c>
      <c r="D438" s="17">
        <f>IF(B438="","",TEXT(B438,"yyyy-mm"))</f>
        <v>0</v>
      </c>
      <c r="E438" s="23">
        <f>IF(B438="","",WEEKNUM(B438,IF(WeekStart="Sunday",1,2)))</f>
        <v>0</v>
      </c>
      <c r="F438" s="17">
        <f>IF(B438="","",TEXT(B438,"ddd"))</f>
        <v>0</v>
      </c>
      <c r="Q438" s="29">
        <f>IF(H438="","",IF(P438="","Add - no caption",IFERROR(INDEX('Caption Bank'!$R$5:$R$204,MATCH(P438,'Caption Bank'!$B$5:$B$204,0)),"Check - not in bank")))</f>
        <v>0</v>
      </c>
      <c r="S438" s="23">
        <f>IF(R438="","",COUNTIF('Hashtag Bank'!$D$5:$D$304,R438))</f>
        <v>0</v>
      </c>
      <c r="U438" s="29">
        <f>IF(H438="","",IF(T438="","Add - no asset",IFERROR(INDEX(Assets!$N$5:$N$254,MATCH(T438,Assets!$A$5:$A$254,0)),"Check - not in library")))</f>
        <v>0</v>
      </c>
      <c r="Y438" s="16">
        <f>IF(B438="","",B438-ProductionDays)</f>
        <v>0</v>
      </c>
      <c r="Z438" s="16">
        <f>IF(B438="","",B438-ApprovalDays)</f>
        <v>0</v>
      </c>
      <c r="AA438" s="23">
        <f>IF(B438="","",B438-TODAY())</f>
        <v>0</v>
      </c>
      <c r="AC438" s="29">
        <f>IF(H438="","",IF(X438="Published",IF(AB438="","Add - link missing","Yes"),"No"))</f>
        <v>0</v>
      </c>
      <c r="AD438" s="23">
        <f>IF(A438="","",IF(COUNTIF(Performance!$B$5:$B$404,A438)=0,"",SUMIFS(Performance!$O$5:$O$404,Performance!$B$5:$B$404,A438)))</f>
        <v>0</v>
      </c>
      <c r="AE438" s="23">
        <f>IF(AD438="","",SUMIFS(Performance!$Z$5:$Z$404,Performance!$B$5:$B$404,A438))</f>
        <v>0</v>
      </c>
      <c r="AF438" s="24">
        <f>IF(OR(AD438="",AD438=0),"",AE438/AD438)</f>
        <v>0</v>
      </c>
      <c r="AG438" s="23">
        <f>IF(AD438="","",SUMIFS(Performance!$U$5:$U$404,Performance!$B$5:$B$404,A438))</f>
        <v>0</v>
      </c>
      <c r="AH438" s="23">
        <f>IF(A438="","",COUNTIF(Repurposing!$B$5:$B$154,A438))</f>
        <v>0</v>
      </c>
      <c r="AI438" s="32">
        <f>IF(OR(H438="",B438=""),"",B438+ROW()/100000)</f>
        <v>0</v>
      </c>
      <c r="AJ438" s="32">
        <f>IF(OR(H438="",B438=""),"",IF(OR(X438="Published",X438="Cancelled",X438="Archived"),"",IF(B438&lt;TODAY(),"",B438+ROW()/100000)))</f>
        <v>0</v>
      </c>
      <c r="AK438" s="32">
        <f>IF(OR(H438="",B438=""),"",IF(OR(X438="Published",X438="Cancelled",X438="Archived"),"",IF(B438&gt;=TODAY(),"",B438+ROW()/100000)))</f>
        <v>0</v>
      </c>
      <c r="AL438" s="29">
        <f>IF(H438="","",IF(COUNTIFS('Content Calendar'!$H$5:$H$604,H438,'Content Calendar'!$G$5:$G$604,G438,'Content Calendar'!$B$5:$B$604,B438)&gt;1,"Duplicate","OK"))</f>
        <v>0</v>
      </c>
      <c r="AM438" s="29">
        <f>IF(H438="","",IF(AND(B438&lt;&gt;"",B438&lt;TODAY(),X438&lt;&gt;"Published",X438&lt;&gt;"Cancelled",X438&lt;&gt;"Archived"),"Overdue - date has passed",IF(AND(X438="Published",AB438=""),"Add - publish link missing",IF(AND(B438=TODAY(),X438&lt;&gt;"Published"),"Today - due to go live",IF(AND(Y438&lt;&gt;"",Y438&lt;TODAY(),OR(X438="Idea",X438="Brief",X438="In production")),"Late - draft not ready",IF(AND(AA438&gt;=0,AA438&lt;=3,OR(X438="Draft",X438="Awaiting review")),"Due - needs approval",IF(AND(H438&lt;&gt;"",P438=""),"Add - caption missing","OK")))))))</f>
        <v>0</v>
      </c>
    </row>
    <row r="439" spans="1:39">
      <c r="A439" s="41">
        <f>IF(H439="","",ContentPrefix&amp;TEXT(ROW()-4,"0000"))</f>
        <v>0</v>
      </c>
      <c r="D439" s="17">
        <f>IF(B439="","",TEXT(B439,"yyyy-mm"))</f>
        <v>0</v>
      </c>
      <c r="E439" s="23">
        <f>IF(B439="","",WEEKNUM(B439,IF(WeekStart="Sunday",1,2)))</f>
        <v>0</v>
      </c>
      <c r="F439" s="17">
        <f>IF(B439="","",TEXT(B439,"ddd"))</f>
        <v>0</v>
      </c>
      <c r="Q439" s="29">
        <f>IF(H439="","",IF(P439="","Add - no caption",IFERROR(INDEX('Caption Bank'!$R$5:$R$204,MATCH(P439,'Caption Bank'!$B$5:$B$204,0)),"Check - not in bank")))</f>
        <v>0</v>
      </c>
      <c r="S439" s="23">
        <f>IF(R439="","",COUNTIF('Hashtag Bank'!$D$5:$D$304,R439))</f>
        <v>0</v>
      </c>
      <c r="U439" s="29">
        <f>IF(H439="","",IF(T439="","Add - no asset",IFERROR(INDEX(Assets!$N$5:$N$254,MATCH(T439,Assets!$A$5:$A$254,0)),"Check - not in library")))</f>
        <v>0</v>
      </c>
      <c r="Y439" s="16">
        <f>IF(B439="","",B439-ProductionDays)</f>
        <v>0</v>
      </c>
      <c r="Z439" s="16">
        <f>IF(B439="","",B439-ApprovalDays)</f>
        <v>0</v>
      </c>
      <c r="AA439" s="23">
        <f>IF(B439="","",B439-TODAY())</f>
        <v>0</v>
      </c>
      <c r="AC439" s="29">
        <f>IF(H439="","",IF(X439="Published",IF(AB439="","Add - link missing","Yes"),"No"))</f>
        <v>0</v>
      </c>
      <c r="AD439" s="23">
        <f>IF(A439="","",IF(COUNTIF(Performance!$B$5:$B$404,A439)=0,"",SUMIFS(Performance!$O$5:$O$404,Performance!$B$5:$B$404,A439)))</f>
        <v>0</v>
      </c>
      <c r="AE439" s="23">
        <f>IF(AD439="","",SUMIFS(Performance!$Z$5:$Z$404,Performance!$B$5:$B$404,A439))</f>
        <v>0</v>
      </c>
      <c r="AF439" s="24">
        <f>IF(OR(AD439="",AD439=0),"",AE439/AD439)</f>
        <v>0</v>
      </c>
      <c r="AG439" s="23">
        <f>IF(AD439="","",SUMIFS(Performance!$U$5:$U$404,Performance!$B$5:$B$404,A439))</f>
        <v>0</v>
      </c>
      <c r="AH439" s="23">
        <f>IF(A439="","",COUNTIF(Repurposing!$B$5:$B$154,A439))</f>
        <v>0</v>
      </c>
      <c r="AI439" s="32">
        <f>IF(OR(H439="",B439=""),"",B439+ROW()/100000)</f>
        <v>0</v>
      </c>
      <c r="AJ439" s="32">
        <f>IF(OR(H439="",B439=""),"",IF(OR(X439="Published",X439="Cancelled",X439="Archived"),"",IF(B439&lt;TODAY(),"",B439+ROW()/100000)))</f>
        <v>0</v>
      </c>
      <c r="AK439" s="32">
        <f>IF(OR(H439="",B439=""),"",IF(OR(X439="Published",X439="Cancelled",X439="Archived"),"",IF(B439&gt;=TODAY(),"",B439+ROW()/100000)))</f>
        <v>0</v>
      </c>
      <c r="AL439" s="29">
        <f>IF(H439="","",IF(COUNTIFS('Content Calendar'!$H$5:$H$604,H439,'Content Calendar'!$G$5:$G$604,G439,'Content Calendar'!$B$5:$B$604,B439)&gt;1,"Duplicate","OK"))</f>
        <v>0</v>
      </c>
      <c r="AM439" s="29">
        <f>IF(H439="","",IF(AND(B439&lt;&gt;"",B439&lt;TODAY(),X439&lt;&gt;"Published",X439&lt;&gt;"Cancelled",X439&lt;&gt;"Archived"),"Overdue - date has passed",IF(AND(X439="Published",AB439=""),"Add - publish link missing",IF(AND(B439=TODAY(),X439&lt;&gt;"Published"),"Today - due to go live",IF(AND(Y439&lt;&gt;"",Y439&lt;TODAY(),OR(X439="Idea",X439="Brief",X439="In production")),"Late - draft not ready",IF(AND(AA439&gt;=0,AA439&lt;=3,OR(X439="Draft",X439="Awaiting review")),"Due - needs approval",IF(AND(H439&lt;&gt;"",P439=""),"Add - caption missing","OK")))))))</f>
        <v>0</v>
      </c>
    </row>
    <row r="440" spans="1:39">
      <c r="A440" s="41">
        <f>IF(H440="","",ContentPrefix&amp;TEXT(ROW()-4,"0000"))</f>
        <v>0</v>
      </c>
      <c r="D440" s="17">
        <f>IF(B440="","",TEXT(B440,"yyyy-mm"))</f>
        <v>0</v>
      </c>
      <c r="E440" s="23">
        <f>IF(B440="","",WEEKNUM(B440,IF(WeekStart="Sunday",1,2)))</f>
        <v>0</v>
      </c>
      <c r="F440" s="17">
        <f>IF(B440="","",TEXT(B440,"ddd"))</f>
        <v>0</v>
      </c>
      <c r="Q440" s="29">
        <f>IF(H440="","",IF(P440="","Add - no caption",IFERROR(INDEX('Caption Bank'!$R$5:$R$204,MATCH(P440,'Caption Bank'!$B$5:$B$204,0)),"Check - not in bank")))</f>
        <v>0</v>
      </c>
      <c r="S440" s="23">
        <f>IF(R440="","",COUNTIF('Hashtag Bank'!$D$5:$D$304,R440))</f>
        <v>0</v>
      </c>
      <c r="U440" s="29">
        <f>IF(H440="","",IF(T440="","Add - no asset",IFERROR(INDEX(Assets!$N$5:$N$254,MATCH(T440,Assets!$A$5:$A$254,0)),"Check - not in library")))</f>
        <v>0</v>
      </c>
      <c r="Y440" s="16">
        <f>IF(B440="","",B440-ProductionDays)</f>
        <v>0</v>
      </c>
      <c r="Z440" s="16">
        <f>IF(B440="","",B440-ApprovalDays)</f>
        <v>0</v>
      </c>
      <c r="AA440" s="23">
        <f>IF(B440="","",B440-TODAY())</f>
        <v>0</v>
      </c>
      <c r="AC440" s="29">
        <f>IF(H440="","",IF(X440="Published",IF(AB440="","Add - link missing","Yes"),"No"))</f>
        <v>0</v>
      </c>
      <c r="AD440" s="23">
        <f>IF(A440="","",IF(COUNTIF(Performance!$B$5:$B$404,A440)=0,"",SUMIFS(Performance!$O$5:$O$404,Performance!$B$5:$B$404,A440)))</f>
        <v>0</v>
      </c>
      <c r="AE440" s="23">
        <f>IF(AD440="","",SUMIFS(Performance!$Z$5:$Z$404,Performance!$B$5:$B$404,A440))</f>
        <v>0</v>
      </c>
      <c r="AF440" s="24">
        <f>IF(OR(AD440="",AD440=0),"",AE440/AD440)</f>
        <v>0</v>
      </c>
      <c r="AG440" s="23">
        <f>IF(AD440="","",SUMIFS(Performance!$U$5:$U$404,Performance!$B$5:$B$404,A440))</f>
        <v>0</v>
      </c>
      <c r="AH440" s="23">
        <f>IF(A440="","",COUNTIF(Repurposing!$B$5:$B$154,A440))</f>
        <v>0</v>
      </c>
      <c r="AI440" s="32">
        <f>IF(OR(H440="",B440=""),"",B440+ROW()/100000)</f>
        <v>0</v>
      </c>
      <c r="AJ440" s="32">
        <f>IF(OR(H440="",B440=""),"",IF(OR(X440="Published",X440="Cancelled",X440="Archived"),"",IF(B440&lt;TODAY(),"",B440+ROW()/100000)))</f>
        <v>0</v>
      </c>
      <c r="AK440" s="32">
        <f>IF(OR(H440="",B440=""),"",IF(OR(X440="Published",X440="Cancelled",X440="Archived"),"",IF(B440&gt;=TODAY(),"",B440+ROW()/100000)))</f>
        <v>0</v>
      </c>
      <c r="AL440" s="29">
        <f>IF(H440="","",IF(COUNTIFS('Content Calendar'!$H$5:$H$604,H440,'Content Calendar'!$G$5:$G$604,G440,'Content Calendar'!$B$5:$B$604,B440)&gt;1,"Duplicate","OK"))</f>
        <v>0</v>
      </c>
      <c r="AM440" s="29">
        <f>IF(H440="","",IF(AND(B440&lt;&gt;"",B440&lt;TODAY(),X440&lt;&gt;"Published",X440&lt;&gt;"Cancelled",X440&lt;&gt;"Archived"),"Overdue - date has passed",IF(AND(X440="Published",AB440=""),"Add - publish link missing",IF(AND(B440=TODAY(),X440&lt;&gt;"Published"),"Today - due to go live",IF(AND(Y440&lt;&gt;"",Y440&lt;TODAY(),OR(X440="Idea",X440="Brief",X440="In production")),"Late - draft not ready",IF(AND(AA440&gt;=0,AA440&lt;=3,OR(X440="Draft",X440="Awaiting review")),"Due - needs approval",IF(AND(H440&lt;&gt;"",P440=""),"Add - caption missing","OK")))))))</f>
        <v>0</v>
      </c>
    </row>
    <row r="441" spans="1:39">
      <c r="A441" s="41">
        <f>IF(H441="","",ContentPrefix&amp;TEXT(ROW()-4,"0000"))</f>
        <v>0</v>
      </c>
      <c r="D441" s="17">
        <f>IF(B441="","",TEXT(B441,"yyyy-mm"))</f>
        <v>0</v>
      </c>
      <c r="E441" s="23">
        <f>IF(B441="","",WEEKNUM(B441,IF(WeekStart="Sunday",1,2)))</f>
        <v>0</v>
      </c>
      <c r="F441" s="17">
        <f>IF(B441="","",TEXT(B441,"ddd"))</f>
        <v>0</v>
      </c>
      <c r="Q441" s="29">
        <f>IF(H441="","",IF(P441="","Add - no caption",IFERROR(INDEX('Caption Bank'!$R$5:$R$204,MATCH(P441,'Caption Bank'!$B$5:$B$204,0)),"Check - not in bank")))</f>
        <v>0</v>
      </c>
      <c r="S441" s="23">
        <f>IF(R441="","",COUNTIF('Hashtag Bank'!$D$5:$D$304,R441))</f>
        <v>0</v>
      </c>
      <c r="U441" s="29">
        <f>IF(H441="","",IF(T441="","Add - no asset",IFERROR(INDEX(Assets!$N$5:$N$254,MATCH(T441,Assets!$A$5:$A$254,0)),"Check - not in library")))</f>
        <v>0</v>
      </c>
      <c r="Y441" s="16">
        <f>IF(B441="","",B441-ProductionDays)</f>
        <v>0</v>
      </c>
      <c r="Z441" s="16">
        <f>IF(B441="","",B441-ApprovalDays)</f>
        <v>0</v>
      </c>
      <c r="AA441" s="23">
        <f>IF(B441="","",B441-TODAY())</f>
        <v>0</v>
      </c>
      <c r="AC441" s="29">
        <f>IF(H441="","",IF(X441="Published",IF(AB441="","Add - link missing","Yes"),"No"))</f>
        <v>0</v>
      </c>
      <c r="AD441" s="23">
        <f>IF(A441="","",IF(COUNTIF(Performance!$B$5:$B$404,A441)=0,"",SUMIFS(Performance!$O$5:$O$404,Performance!$B$5:$B$404,A441)))</f>
        <v>0</v>
      </c>
      <c r="AE441" s="23">
        <f>IF(AD441="","",SUMIFS(Performance!$Z$5:$Z$404,Performance!$B$5:$B$404,A441))</f>
        <v>0</v>
      </c>
      <c r="AF441" s="24">
        <f>IF(OR(AD441="",AD441=0),"",AE441/AD441)</f>
        <v>0</v>
      </c>
      <c r="AG441" s="23">
        <f>IF(AD441="","",SUMIFS(Performance!$U$5:$U$404,Performance!$B$5:$B$404,A441))</f>
        <v>0</v>
      </c>
      <c r="AH441" s="23">
        <f>IF(A441="","",COUNTIF(Repurposing!$B$5:$B$154,A441))</f>
        <v>0</v>
      </c>
      <c r="AI441" s="32">
        <f>IF(OR(H441="",B441=""),"",B441+ROW()/100000)</f>
        <v>0</v>
      </c>
      <c r="AJ441" s="32">
        <f>IF(OR(H441="",B441=""),"",IF(OR(X441="Published",X441="Cancelled",X441="Archived"),"",IF(B441&lt;TODAY(),"",B441+ROW()/100000)))</f>
        <v>0</v>
      </c>
      <c r="AK441" s="32">
        <f>IF(OR(H441="",B441=""),"",IF(OR(X441="Published",X441="Cancelled",X441="Archived"),"",IF(B441&gt;=TODAY(),"",B441+ROW()/100000)))</f>
        <v>0</v>
      </c>
      <c r="AL441" s="29">
        <f>IF(H441="","",IF(COUNTIFS('Content Calendar'!$H$5:$H$604,H441,'Content Calendar'!$G$5:$G$604,G441,'Content Calendar'!$B$5:$B$604,B441)&gt;1,"Duplicate","OK"))</f>
        <v>0</v>
      </c>
      <c r="AM441" s="29">
        <f>IF(H441="","",IF(AND(B441&lt;&gt;"",B441&lt;TODAY(),X441&lt;&gt;"Published",X441&lt;&gt;"Cancelled",X441&lt;&gt;"Archived"),"Overdue - date has passed",IF(AND(X441="Published",AB441=""),"Add - publish link missing",IF(AND(B441=TODAY(),X441&lt;&gt;"Published"),"Today - due to go live",IF(AND(Y441&lt;&gt;"",Y441&lt;TODAY(),OR(X441="Idea",X441="Brief",X441="In production")),"Late - draft not ready",IF(AND(AA441&gt;=0,AA441&lt;=3,OR(X441="Draft",X441="Awaiting review")),"Due - needs approval",IF(AND(H441&lt;&gt;"",P441=""),"Add - caption missing","OK")))))))</f>
        <v>0</v>
      </c>
    </row>
    <row r="442" spans="1:39">
      <c r="A442" s="41">
        <f>IF(H442="","",ContentPrefix&amp;TEXT(ROW()-4,"0000"))</f>
        <v>0</v>
      </c>
      <c r="D442" s="17">
        <f>IF(B442="","",TEXT(B442,"yyyy-mm"))</f>
        <v>0</v>
      </c>
      <c r="E442" s="23">
        <f>IF(B442="","",WEEKNUM(B442,IF(WeekStart="Sunday",1,2)))</f>
        <v>0</v>
      </c>
      <c r="F442" s="17">
        <f>IF(B442="","",TEXT(B442,"ddd"))</f>
        <v>0</v>
      </c>
      <c r="Q442" s="29">
        <f>IF(H442="","",IF(P442="","Add - no caption",IFERROR(INDEX('Caption Bank'!$R$5:$R$204,MATCH(P442,'Caption Bank'!$B$5:$B$204,0)),"Check - not in bank")))</f>
        <v>0</v>
      </c>
      <c r="S442" s="23">
        <f>IF(R442="","",COUNTIF('Hashtag Bank'!$D$5:$D$304,R442))</f>
        <v>0</v>
      </c>
      <c r="U442" s="29">
        <f>IF(H442="","",IF(T442="","Add - no asset",IFERROR(INDEX(Assets!$N$5:$N$254,MATCH(T442,Assets!$A$5:$A$254,0)),"Check - not in library")))</f>
        <v>0</v>
      </c>
      <c r="Y442" s="16">
        <f>IF(B442="","",B442-ProductionDays)</f>
        <v>0</v>
      </c>
      <c r="Z442" s="16">
        <f>IF(B442="","",B442-ApprovalDays)</f>
        <v>0</v>
      </c>
      <c r="AA442" s="23">
        <f>IF(B442="","",B442-TODAY())</f>
        <v>0</v>
      </c>
      <c r="AC442" s="29">
        <f>IF(H442="","",IF(X442="Published",IF(AB442="","Add - link missing","Yes"),"No"))</f>
        <v>0</v>
      </c>
      <c r="AD442" s="23">
        <f>IF(A442="","",IF(COUNTIF(Performance!$B$5:$B$404,A442)=0,"",SUMIFS(Performance!$O$5:$O$404,Performance!$B$5:$B$404,A442)))</f>
        <v>0</v>
      </c>
      <c r="AE442" s="23">
        <f>IF(AD442="","",SUMIFS(Performance!$Z$5:$Z$404,Performance!$B$5:$B$404,A442))</f>
        <v>0</v>
      </c>
      <c r="AF442" s="24">
        <f>IF(OR(AD442="",AD442=0),"",AE442/AD442)</f>
        <v>0</v>
      </c>
      <c r="AG442" s="23">
        <f>IF(AD442="","",SUMIFS(Performance!$U$5:$U$404,Performance!$B$5:$B$404,A442))</f>
        <v>0</v>
      </c>
      <c r="AH442" s="23">
        <f>IF(A442="","",COUNTIF(Repurposing!$B$5:$B$154,A442))</f>
        <v>0</v>
      </c>
      <c r="AI442" s="32">
        <f>IF(OR(H442="",B442=""),"",B442+ROW()/100000)</f>
        <v>0</v>
      </c>
      <c r="AJ442" s="32">
        <f>IF(OR(H442="",B442=""),"",IF(OR(X442="Published",X442="Cancelled",X442="Archived"),"",IF(B442&lt;TODAY(),"",B442+ROW()/100000)))</f>
        <v>0</v>
      </c>
      <c r="AK442" s="32">
        <f>IF(OR(H442="",B442=""),"",IF(OR(X442="Published",X442="Cancelled",X442="Archived"),"",IF(B442&gt;=TODAY(),"",B442+ROW()/100000)))</f>
        <v>0</v>
      </c>
      <c r="AL442" s="29">
        <f>IF(H442="","",IF(COUNTIFS('Content Calendar'!$H$5:$H$604,H442,'Content Calendar'!$G$5:$G$604,G442,'Content Calendar'!$B$5:$B$604,B442)&gt;1,"Duplicate","OK"))</f>
        <v>0</v>
      </c>
      <c r="AM442" s="29">
        <f>IF(H442="","",IF(AND(B442&lt;&gt;"",B442&lt;TODAY(),X442&lt;&gt;"Published",X442&lt;&gt;"Cancelled",X442&lt;&gt;"Archived"),"Overdue - date has passed",IF(AND(X442="Published",AB442=""),"Add - publish link missing",IF(AND(B442=TODAY(),X442&lt;&gt;"Published"),"Today - due to go live",IF(AND(Y442&lt;&gt;"",Y442&lt;TODAY(),OR(X442="Idea",X442="Brief",X442="In production")),"Late - draft not ready",IF(AND(AA442&gt;=0,AA442&lt;=3,OR(X442="Draft",X442="Awaiting review")),"Due - needs approval",IF(AND(H442&lt;&gt;"",P442=""),"Add - caption missing","OK")))))))</f>
        <v>0</v>
      </c>
    </row>
    <row r="443" spans="1:39">
      <c r="A443" s="41">
        <f>IF(H443="","",ContentPrefix&amp;TEXT(ROW()-4,"0000"))</f>
        <v>0</v>
      </c>
      <c r="D443" s="17">
        <f>IF(B443="","",TEXT(B443,"yyyy-mm"))</f>
        <v>0</v>
      </c>
      <c r="E443" s="23">
        <f>IF(B443="","",WEEKNUM(B443,IF(WeekStart="Sunday",1,2)))</f>
        <v>0</v>
      </c>
      <c r="F443" s="17">
        <f>IF(B443="","",TEXT(B443,"ddd"))</f>
        <v>0</v>
      </c>
      <c r="Q443" s="29">
        <f>IF(H443="","",IF(P443="","Add - no caption",IFERROR(INDEX('Caption Bank'!$R$5:$R$204,MATCH(P443,'Caption Bank'!$B$5:$B$204,0)),"Check - not in bank")))</f>
        <v>0</v>
      </c>
      <c r="S443" s="23">
        <f>IF(R443="","",COUNTIF('Hashtag Bank'!$D$5:$D$304,R443))</f>
        <v>0</v>
      </c>
      <c r="U443" s="29">
        <f>IF(H443="","",IF(T443="","Add - no asset",IFERROR(INDEX(Assets!$N$5:$N$254,MATCH(T443,Assets!$A$5:$A$254,0)),"Check - not in library")))</f>
        <v>0</v>
      </c>
      <c r="Y443" s="16">
        <f>IF(B443="","",B443-ProductionDays)</f>
        <v>0</v>
      </c>
      <c r="Z443" s="16">
        <f>IF(B443="","",B443-ApprovalDays)</f>
        <v>0</v>
      </c>
      <c r="AA443" s="23">
        <f>IF(B443="","",B443-TODAY())</f>
        <v>0</v>
      </c>
      <c r="AC443" s="29">
        <f>IF(H443="","",IF(X443="Published",IF(AB443="","Add - link missing","Yes"),"No"))</f>
        <v>0</v>
      </c>
      <c r="AD443" s="23">
        <f>IF(A443="","",IF(COUNTIF(Performance!$B$5:$B$404,A443)=0,"",SUMIFS(Performance!$O$5:$O$404,Performance!$B$5:$B$404,A443)))</f>
        <v>0</v>
      </c>
      <c r="AE443" s="23">
        <f>IF(AD443="","",SUMIFS(Performance!$Z$5:$Z$404,Performance!$B$5:$B$404,A443))</f>
        <v>0</v>
      </c>
      <c r="AF443" s="24">
        <f>IF(OR(AD443="",AD443=0),"",AE443/AD443)</f>
        <v>0</v>
      </c>
      <c r="AG443" s="23">
        <f>IF(AD443="","",SUMIFS(Performance!$U$5:$U$404,Performance!$B$5:$B$404,A443))</f>
        <v>0</v>
      </c>
      <c r="AH443" s="23">
        <f>IF(A443="","",COUNTIF(Repurposing!$B$5:$B$154,A443))</f>
        <v>0</v>
      </c>
      <c r="AI443" s="32">
        <f>IF(OR(H443="",B443=""),"",B443+ROW()/100000)</f>
        <v>0</v>
      </c>
      <c r="AJ443" s="32">
        <f>IF(OR(H443="",B443=""),"",IF(OR(X443="Published",X443="Cancelled",X443="Archived"),"",IF(B443&lt;TODAY(),"",B443+ROW()/100000)))</f>
        <v>0</v>
      </c>
      <c r="AK443" s="32">
        <f>IF(OR(H443="",B443=""),"",IF(OR(X443="Published",X443="Cancelled",X443="Archived"),"",IF(B443&gt;=TODAY(),"",B443+ROW()/100000)))</f>
        <v>0</v>
      </c>
      <c r="AL443" s="29">
        <f>IF(H443="","",IF(COUNTIFS('Content Calendar'!$H$5:$H$604,H443,'Content Calendar'!$G$5:$G$604,G443,'Content Calendar'!$B$5:$B$604,B443)&gt;1,"Duplicate","OK"))</f>
        <v>0</v>
      </c>
      <c r="AM443" s="29">
        <f>IF(H443="","",IF(AND(B443&lt;&gt;"",B443&lt;TODAY(),X443&lt;&gt;"Published",X443&lt;&gt;"Cancelled",X443&lt;&gt;"Archived"),"Overdue - date has passed",IF(AND(X443="Published",AB443=""),"Add - publish link missing",IF(AND(B443=TODAY(),X443&lt;&gt;"Published"),"Today - due to go live",IF(AND(Y443&lt;&gt;"",Y443&lt;TODAY(),OR(X443="Idea",X443="Brief",X443="In production")),"Late - draft not ready",IF(AND(AA443&gt;=0,AA443&lt;=3,OR(X443="Draft",X443="Awaiting review")),"Due - needs approval",IF(AND(H443&lt;&gt;"",P443=""),"Add - caption missing","OK")))))))</f>
        <v>0</v>
      </c>
    </row>
    <row r="444" spans="1:39">
      <c r="A444" s="41">
        <f>IF(H444="","",ContentPrefix&amp;TEXT(ROW()-4,"0000"))</f>
        <v>0</v>
      </c>
      <c r="D444" s="17">
        <f>IF(B444="","",TEXT(B444,"yyyy-mm"))</f>
        <v>0</v>
      </c>
      <c r="E444" s="23">
        <f>IF(B444="","",WEEKNUM(B444,IF(WeekStart="Sunday",1,2)))</f>
        <v>0</v>
      </c>
      <c r="F444" s="17">
        <f>IF(B444="","",TEXT(B444,"ddd"))</f>
        <v>0</v>
      </c>
      <c r="Q444" s="29">
        <f>IF(H444="","",IF(P444="","Add - no caption",IFERROR(INDEX('Caption Bank'!$R$5:$R$204,MATCH(P444,'Caption Bank'!$B$5:$B$204,0)),"Check - not in bank")))</f>
        <v>0</v>
      </c>
      <c r="S444" s="23">
        <f>IF(R444="","",COUNTIF('Hashtag Bank'!$D$5:$D$304,R444))</f>
        <v>0</v>
      </c>
      <c r="U444" s="29">
        <f>IF(H444="","",IF(T444="","Add - no asset",IFERROR(INDEX(Assets!$N$5:$N$254,MATCH(T444,Assets!$A$5:$A$254,0)),"Check - not in library")))</f>
        <v>0</v>
      </c>
      <c r="Y444" s="16">
        <f>IF(B444="","",B444-ProductionDays)</f>
        <v>0</v>
      </c>
      <c r="Z444" s="16">
        <f>IF(B444="","",B444-ApprovalDays)</f>
        <v>0</v>
      </c>
      <c r="AA444" s="23">
        <f>IF(B444="","",B444-TODAY())</f>
        <v>0</v>
      </c>
      <c r="AC444" s="29">
        <f>IF(H444="","",IF(X444="Published",IF(AB444="","Add - link missing","Yes"),"No"))</f>
        <v>0</v>
      </c>
      <c r="AD444" s="23">
        <f>IF(A444="","",IF(COUNTIF(Performance!$B$5:$B$404,A444)=0,"",SUMIFS(Performance!$O$5:$O$404,Performance!$B$5:$B$404,A444)))</f>
        <v>0</v>
      </c>
      <c r="AE444" s="23">
        <f>IF(AD444="","",SUMIFS(Performance!$Z$5:$Z$404,Performance!$B$5:$B$404,A444))</f>
        <v>0</v>
      </c>
      <c r="AF444" s="24">
        <f>IF(OR(AD444="",AD444=0),"",AE444/AD444)</f>
        <v>0</v>
      </c>
      <c r="AG444" s="23">
        <f>IF(AD444="","",SUMIFS(Performance!$U$5:$U$404,Performance!$B$5:$B$404,A444))</f>
        <v>0</v>
      </c>
      <c r="AH444" s="23">
        <f>IF(A444="","",COUNTIF(Repurposing!$B$5:$B$154,A444))</f>
        <v>0</v>
      </c>
      <c r="AI444" s="32">
        <f>IF(OR(H444="",B444=""),"",B444+ROW()/100000)</f>
        <v>0</v>
      </c>
      <c r="AJ444" s="32">
        <f>IF(OR(H444="",B444=""),"",IF(OR(X444="Published",X444="Cancelled",X444="Archived"),"",IF(B444&lt;TODAY(),"",B444+ROW()/100000)))</f>
        <v>0</v>
      </c>
      <c r="AK444" s="32">
        <f>IF(OR(H444="",B444=""),"",IF(OR(X444="Published",X444="Cancelled",X444="Archived"),"",IF(B444&gt;=TODAY(),"",B444+ROW()/100000)))</f>
        <v>0</v>
      </c>
      <c r="AL444" s="29">
        <f>IF(H444="","",IF(COUNTIFS('Content Calendar'!$H$5:$H$604,H444,'Content Calendar'!$G$5:$G$604,G444,'Content Calendar'!$B$5:$B$604,B444)&gt;1,"Duplicate","OK"))</f>
        <v>0</v>
      </c>
      <c r="AM444" s="29">
        <f>IF(H444="","",IF(AND(B444&lt;&gt;"",B444&lt;TODAY(),X444&lt;&gt;"Published",X444&lt;&gt;"Cancelled",X444&lt;&gt;"Archived"),"Overdue - date has passed",IF(AND(X444="Published",AB444=""),"Add - publish link missing",IF(AND(B444=TODAY(),X444&lt;&gt;"Published"),"Today - due to go live",IF(AND(Y444&lt;&gt;"",Y444&lt;TODAY(),OR(X444="Idea",X444="Brief",X444="In production")),"Late - draft not ready",IF(AND(AA444&gt;=0,AA444&lt;=3,OR(X444="Draft",X444="Awaiting review")),"Due - needs approval",IF(AND(H444&lt;&gt;"",P444=""),"Add - caption missing","OK")))))))</f>
        <v>0</v>
      </c>
    </row>
    <row r="445" spans="1:39">
      <c r="A445" s="41">
        <f>IF(H445="","",ContentPrefix&amp;TEXT(ROW()-4,"0000"))</f>
        <v>0</v>
      </c>
      <c r="D445" s="17">
        <f>IF(B445="","",TEXT(B445,"yyyy-mm"))</f>
        <v>0</v>
      </c>
      <c r="E445" s="23">
        <f>IF(B445="","",WEEKNUM(B445,IF(WeekStart="Sunday",1,2)))</f>
        <v>0</v>
      </c>
      <c r="F445" s="17">
        <f>IF(B445="","",TEXT(B445,"ddd"))</f>
        <v>0</v>
      </c>
      <c r="Q445" s="29">
        <f>IF(H445="","",IF(P445="","Add - no caption",IFERROR(INDEX('Caption Bank'!$R$5:$R$204,MATCH(P445,'Caption Bank'!$B$5:$B$204,0)),"Check - not in bank")))</f>
        <v>0</v>
      </c>
      <c r="S445" s="23">
        <f>IF(R445="","",COUNTIF('Hashtag Bank'!$D$5:$D$304,R445))</f>
        <v>0</v>
      </c>
      <c r="U445" s="29">
        <f>IF(H445="","",IF(T445="","Add - no asset",IFERROR(INDEX(Assets!$N$5:$N$254,MATCH(T445,Assets!$A$5:$A$254,0)),"Check - not in library")))</f>
        <v>0</v>
      </c>
      <c r="Y445" s="16">
        <f>IF(B445="","",B445-ProductionDays)</f>
        <v>0</v>
      </c>
      <c r="Z445" s="16">
        <f>IF(B445="","",B445-ApprovalDays)</f>
        <v>0</v>
      </c>
      <c r="AA445" s="23">
        <f>IF(B445="","",B445-TODAY())</f>
        <v>0</v>
      </c>
      <c r="AC445" s="29">
        <f>IF(H445="","",IF(X445="Published",IF(AB445="","Add - link missing","Yes"),"No"))</f>
        <v>0</v>
      </c>
      <c r="AD445" s="23">
        <f>IF(A445="","",IF(COUNTIF(Performance!$B$5:$B$404,A445)=0,"",SUMIFS(Performance!$O$5:$O$404,Performance!$B$5:$B$404,A445)))</f>
        <v>0</v>
      </c>
      <c r="AE445" s="23">
        <f>IF(AD445="","",SUMIFS(Performance!$Z$5:$Z$404,Performance!$B$5:$B$404,A445))</f>
        <v>0</v>
      </c>
      <c r="AF445" s="24">
        <f>IF(OR(AD445="",AD445=0),"",AE445/AD445)</f>
        <v>0</v>
      </c>
      <c r="AG445" s="23">
        <f>IF(AD445="","",SUMIFS(Performance!$U$5:$U$404,Performance!$B$5:$B$404,A445))</f>
        <v>0</v>
      </c>
      <c r="AH445" s="23">
        <f>IF(A445="","",COUNTIF(Repurposing!$B$5:$B$154,A445))</f>
        <v>0</v>
      </c>
      <c r="AI445" s="32">
        <f>IF(OR(H445="",B445=""),"",B445+ROW()/100000)</f>
        <v>0</v>
      </c>
      <c r="AJ445" s="32">
        <f>IF(OR(H445="",B445=""),"",IF(OR(X445="Published",X445="Cancelled",X445="Archived"),"",IF(B445&lt;TODAY(),"",B445+ROW()/100000)))</f>
        <v>0</v>
      </c>
      <c r="AK445" s="32">
        <f>IF(OR(H445="",B445=""),"",IF(OR(X445="Published",X445="Cancelled",X445="Archived"),"",IF(B445&gt;=TODAY(),"",B445+ROW()/100000)))</f>
        <v>0</v>
      </c>
      <c r="AL445" s="29">
        <f>IF(H445="","",IF(COUNTIFS('Content Calendar'!$H$5:$H$604,H445,'Content Calendar'!$G$5:$G$604,G445,'Content Calendar'!$B$5:$B$604,B445)&gt;1,"Duplicate","OK"))</f>
        <v>0</v>
      </c>
      <c r="AM445" s="29">
        <f>IF(H445="","",IF(AND(B445&lt;&gt;"",B445&lt;TODAY(),X445&lt;&gt;"Published",X445&lt;&gt;"Cancelled",X445&lt;&gt;"Archived"),"Overdue - date has passed",IF(AND(X445="Published",AB445=""),"Add - publish link missing",IF(AND(B445=TODAY(),X445&lt;&gt;"Published"),"Today - due to go live",IF(AND(Y445&lt;&gt;"",Y445&lt;TODAY(),OR(X445="Idea",X445="Brief",X445="In production")),"Late - draft not ready",IF(AND(AA445&gt;=0,AA445&lt;=3,OR(X445="Draft",X445="Awaiting review")),"Due - needs approval",IF(AND(H445&lt;&gt;"",P445=""),"Add - caption missing","OK")))))))</f>
        <v>0</v>
      </c>
    </row>
    <row r="446" spans="1:39">
      <c r="A446" s="41">
        <f>IF(H446="","",ContentPrefix&amp;TEXT(ROW()-4,"0000"))</f>
        <v>0</v>
      </c>
      <c r="D446" s="17">
        <f>IF(B446="","",TEXT(B446,"yyyy-mm"))</f>
        <v>0</v>
      </c>
      <c r="E446" s="23">
        <f>IF(B446="","",WEEKNUM(B446,IF(WeekStart="Sunday",1,2)))</f>
        <v>0</v>
      </c>
      <c r="F446" s="17">
        <f>IF(B446="","",TEXT(B446,"ddd"))</f>
        <v>0</v>
      </c>
      <c r="Q446" s="29">
        <f>IF(H446="","",IF(P446="","Add - no caption",IFERROR(INDEX('Caption Bank'!$R$5:$R$204,MATCH(P446,'Caption Bank'!$B$5:$B$204,0)),"Check - not in bank")))</f>
        <v>0</v>
      </c>
      <c r="S446" s="23">
        <f>IF(R446="","",COUNTIF('Hashtag Bank'!$D$5:$D$304,R446))</f>
        <v>0</v>
      </c>
      <c r="U446" s="29">
        <f>IF(H446="","",IF(T446="","Add - no asset",IFERROR(INDEX(Assets!$N$5:$N$254,MATCH(T446,Assets!$A$5:$A$254,0)),"Check - not in library")))</f>
        <v>0</v>
      </c>
      <c r="Y446" s="16">
        <f>IF(B446="","",B446-ProductionDays)</f>
        <v>0</v>
      </c>
      <c r="Z446" s="16">
        <f>IF(B446="","",B446-ApprovalDays)</f>
        <v>0</v>
      </c>
      <c r="AA446" s="23">
        <f>IF(B446="","",B446-TODAY())</f>
        <v>0</v>
      </c>
      <c r="AC446" s="29">
        <f>IF(H446="","",IF(X446="Published",IF(AB446="","Add - link missing","Yes"),"No"))</f>
        <v>0</v>
      </c>
      <c r="AD446" s="23">
        <f>IF(A446="","",IF(COUNTIF(Performance!$B$5:$B$404,A446)=0,"",SUMIFS(Performance!$O$5:$O$404,Performance!$B$5:$B$404,A446)))</f>
        <v>0</v>
      </c>
      <c r="AE446" s="23">
        <f>IF(AD446="","",SUMIFS(Performance!$Z$5:$Z$404,Performance!$B$5:$B$404,A446))</f>
        <v>0</v>
      </c>
      <c r="AF446" s="24">
        <f>IF(OR(AD446="",AD446=0),"",AE446/AD446)</f>
        <v>0</v>
      </c>
      <c r="AG446" s="23">
        <f>IF(AD446="","",SUMIFS(Performance!$U$5:$U$404,Performance!$B$5:$B$404,A446))</f>
        <v>0</v>
      </c>
      <c r="AH446" s="23">
        <f>IF(A446="","",COUNTIF(Repurposing!$B$5:$B$154,A446))</f>
        <v>0</v>
      </c>
      <c r="AI446" s="32">
        <f>IF(OR(H446="",B446=""),"",B446+ROW()/100000)</f>
        <v>0</v>
      </c>
      <c r="AJ446" s="32">
        <f>IF(OR(H446="",B446=""),"",IF(OR(X446="Published",X446="Cancelled",X446="Archived"),"",IF(B446&lt;TODAY(),"",B446+ROW()/100000)))</f>
        <v>0</v>
      </c>
      <c r="AK446" s="32">
        <f>IF(OR(H446="",B446=""),"",IF(OR(X446="Published",X446="Cancelled",X446="Archived"),"",IF(B446&gt;=TODAY(),"",B446+ROW()/100000)))</f>
        <v>0</v>
      </c>
      <c r="AL446" s="29">
        <f>IF(H446="","",IF(COUNTIFS('Content Calendar'!$H$5:$H$604,H446,'Content Calendar'!$G$5:$G$604,G446,'Content Calendar'!$B$5:$B$604,B446)&gt;1,"Duplicate","OK"))</f>
        <v>0</v>
      </c>
      <c r="AM446" s="29">
        <f>IF(H446="","",IF(AND(B446&lt;&gt;"",B446&lt;TODAY(),X446&lt;&gt;"Published",X446&lt;&gt;"Cancelled",X446&lt;&gt;"Archived"),"Overdue - date has passed",IF(AND(X446="Published",AB446=""),"Add - publish link missing",IF(AND(B446=TODAY(),X446&lt;&gt;"Published"),"Today - due to go live",IF(AND(Y446&lt;&gt;"",Y446&lt;TODAY(),OR(X446="Idea",X446="Brief",X446="In production")),"Late - draft not ready",IF(AND(AA446&gt;=0,AA446&lt;=3,OR(X446="Draft",X446="Awaiting review")),"Due - needs approval",IF(AND(H446&lt;&gt;"",P446=""),"Add - caption missing","OK")))))))</f>
        <v>0</v>
      </c>
    </row>
    <row r="447" spans="1:39">
      <c r="A447" s="41">
        <f>IF(H447="","",ContentPrefix&amp;TEXT(ROW()-4,"0000"))</f>
        <v>0</v>
      </c>
      <c r="D447" s="17">
        <f>IF(B447="","",TEXT(B447,"yyyy-mm"))</f>
        <v>0</v>
      </c>
      <c r="E447" s="23">
        <f>IF(B447="","",WEEKNUM(B447,IF(WeekStart="Sunday",1,2)))</f>
        <v>0</v>
      </c>
      <c r="F447" s="17">
        <f>IF(B447="","",TEXT(B447,"ddd"))</f>
        <v>0</v>
      </c>
      <c r="Q447" s="29">
        <f>IF(H447="","",IF(P447="","Add - no caption",IFERROR(INDEX('Caption Bank'!$R$5:$R$204,MATCH(P447,'Caption Bank'!$B$5:$B$204,0)),"Check - not in bank")))</f>
        <v>0</v>
      </c>
      <c r="S447" s="23">
        <f>IF(R447="","",COUNTIF('Hashtag Bank'!$D$5:$D$304,R447))</f>
        <v>0</v>
      </c>
      <c r="U447" s="29">
        <f>IF(H447="","",IF(T447="","Add - no asset",IFERROR(INDEX(Assets!$N$5:$N$254,MATCH(T447,Assets!$A$5:$A$254,0)),"Check - not in library")))</f>
        <v>0</v>
      </c>
      <c r="Y447" s="16">
        <f>IF(B447="","",B447-ProductionDays)</f>
        <v>0</v>
      </c>
      <c r="Z447" s="16">
        <f>IF(B447="","",B447-ApprovalDays)</f>
        <v>0</v>
      </c>
      <c r="AA447" s="23">
        <f>IF(B447="","",B447-TODAY())</f>
        <v>0</v>
      </c>
      <c r="AC447" s="29">
        <f>IF(H447="","",IF(X447="Published",IF(AB447="","Add - link missing","Yes"),"No"))</f>
        <v>0</v>
      </c>
      <c r="AD447" s="23">
        <f>IF(A447="","",IF(COUNTIF(Performance!$B$5:$B$404,A447)=0,"",SUMIFS(Performance!$O$5:$O$404,Performance!$B$5:$B$404,A447)))</f>
        <v>0</v>
      </c>
      <c r="AE447" s="23">
        <f>IF(AD447="","",SUMIFS(Performance!$Z$5:$Z$404,Performance!$B$5:$B$404,A447))</f>
        <v>0</v>
      </c>
      <c r="AF447" s="24">
        <f>IF(OR(AD447="",AD447=0),"",AE447/AD447)</f>
        <v>0</v>
      </c>
      <c r="AG447" s="23">
        <f>IF(AD447="","",SUMIFS(Performance!$U$5:$U$404,Performance!$B$5:$B$404,A447))</f>
        <v>0</v>
      </c>
      <c r="AH447" s="23">
        <f>IF(A447="","",COUNTIF(Repurposing!$B$5:$B$154,A447))</f>
        <v>0</v>
      </c>
      <c r="AI447" s="32">
        <f>IF(OR(H447="",B447=""),"",B447+ROW()/100000)</f>
        <v>0</v>
      </c>
      <c r="AJ447" s="32">
        <f>IF(OR(H447="",B447=""),"",IF(OR(X447="Published",X447="Cancelled",X447="Archived"),"",IF(B447&lt;TODAY(),"",B447+ROW()/100000)))</f>
        <v>0</v>
      </c>
      <c r="AK447" s="32">
        <f>IF(OR(H447="",B447=""),"",IF(OR(X447="Published",X447="Cancelled",X447="Archived"),"",IF(B447&gt;=TODAY(),"",B447+ROW()/100000)))</f>
        <v>0</v>
      </c>
      <c r="AL447" s="29">
        <f>IF(H447="","",IF(COUNTIFS('Content Calendar'!$H$5:$H$604,H447,'Content Calendar'!$G$5:$G$604,G447,'Content Calendar'!$B$5:$B$604,B447)&gt;1,"Duplicate","OK"))</f>
        <v>0</v>
      </c>
      <c r="AM447" s="29">
        <f>IF(H447="","",IF(AND(B447&lt;&gt;"",B447&lt;TODAY(),X447&lt;&gt;"Published",X447&lt;&gt;"Cancelled",X447&lt;&gt;"Archived"),"Overdue - date has passed",IF(AND(X447="Published",AB447=""),"Add - publish link missing",IF(AND(B447=TODAY(),X447&lt;&gt;"Published"),"Today - due to go live",IF(AND(Y447&lt;&gt;"",Y447&lt;TODAY(),OR(X447="Idea",X447="Brief",X447="In production")),"Late - draft not ready",IF(AND(AA447&gt;=0,AA447&lt;=3,OR(X447="Draft",X447="Awaiting review")),"Due - needs approval",IF(AND(H447&lt;&gt;"",P447=""),"Add - caption missing","OK")))))))</f>
        <v>0</v>
      </c>
    </row>
    <row r="448" spans="1:39">
      <c r="A448" s="41">
        <f>IF(H448="","",ContentPrefix&amp;TEXT(ROW()-4,"0000"))</f>
        <v>0</v>
      </c>
      <c r="D448" s="17">
        <f>IF(B448="","",TEXT(B448,"yyyy-mm"))</f>
        <v>0</v>
      </c>
      <c r="E448" s="23">
        <f>IF(B448="","",WEEKNUM(B448,IF(WeekStart="Sunday",1,2)))</f>
        <v>0</v>
      </c>
      <c r="F448" s="17">
        <f>IF(B448="","",TEXT(B448,"ddd"))</f>
        <v>0</v>
      </c>
      <c r="Q448" s="29">
        <f>IF(H448="","",IF(P448="","Add - no caption",IFERROR(INDEX('Caption Bank'!$R$5:$R$204,MATCH(P448,'Caption Bank'!$B$5:$B$204,0)),"Check - not in bank")))</f>
        <v>0</v>
      </c>
      <c r="S448" s="23">
        <f>IF(R448="","",COUNTIF('Hashtag Bank'!$D$5:$D$304,R448))</f>
        <v>0</v>
      </c>
      <c r="U448" s="29">
        <f>IF(H448="","",IF(T448="","Add - no asset",IFERROR(INDEX(Assets!$N$5:$N$254,MATCH(T448,Assets!$A$5:$A$254,0)),"Check - not in library")))</f>
        <v>0</v>
      </c>
      <c r="Y448" s="16">
        <f>IF(B448="","",B448-ProductionDays)</f>
        <v>0</v>
      </c>
      <c r="Z448" s="16">
        <f>IF(B448="","",B448-ApprovalDays)</f>
        <v>0</v>
      </c>
      <c r="AA448" s="23">
        <f>IF(B448="","",B448-TODAY())</f>
        <v>0</v>
      </c>
      <c r="AC448" s="29">
        <f>IF(H448="","",IF(X448="Published",IF(AB448="","Add - link missing","Yes"),"No"))</f>
        <v>0</v>
      </c>
      <c r="AD448" s="23">
        <f>IF(A448="","",IF(COUNTIF(Performance!$B$5:$B$404,A448)=0,"",SUMIFS(Performance!$O$5:$O$404,Performance!$B$5:$B$404,A448)))</f>
        <v>0</v>
      </c>
      <c r="AE448" s="23">
        <f>IF(AD448="","",SUMIFS(Performance!$Z$5:$Z$404,Performance!$B$5:$B$404,A448))</f>
        <v>0</v>
      </c>
      <c r="AF448" s="24">
        <f>IF(OR(AD448="",AD448=0),"",AE448/AD448)</f>
        <v>0</v>
      </c>
      <c r="AG448" s="23">
        <f>IF(AD448="","",SUMIFS(Performance!$U$5:$U$404,Performance!$B$5:$B$404,A448))</f>
        <v>0</v>
      </c>
      <c r="AH448" s="23">
        <f>IF(A448="","",COUNTIF(Repurposing!$B$5:$B$154,A448))</f>
        <v>0</v>
      </c>
      <c r="AI448" s="32">
        <f>IF(OR(H448="",B448=""),"",B448+ROW()/100000)</f>
        <v>0</v>
      </c>
      <c r="AJ448" s="32">
        <f>IF(OR(H448="",B448=""),"",IF(OR(X448="Published",X448="Cancelled",X448="Archived"),"",IF(B448&lt;TODAY(),"",B448+ROW()/100000)))</f>
        <v>0</v>
      </c>
      <c r="AK448" s="32">
        <f>IF(OR(H448="",B448=""),"",IF(OR(X448="Published",X448="Cancelled",X448="Archived"),"",IF(B448&gt;=TODAY(),"",B448+ROW()/100000)))</f>
        <v>0</v>
      </c>
      <c r="AL448" s="29">
        <f>IF(H448="","",IF(COUNTIFS('Content Calendar'!$H$5:$H$604,H448,'Content Calendar'!$G$5:$G$604,G448,'Content Calendar'!$B$5:$B$604,B448)&gt;1,"Duplicate","OK"))</f>
        <v>0</v>
      </c>
      <c r="AM448" s="29">
        <f>IF(H448="","",IF(AND(B448&lt;&gt;"",B448&lt;TODAY(),X448&lt;&gt;"Published",X448&lt;&gt;"Cancelled",X448&lt;&gt;"Archived"),"Overdue - date has passed",IF(AND(X448="Published",AB448=""),"Add - publish link missing",IF(AND(B448=TODAY(),X448&lt;&gt;"Published"),"Today - due to go live",IF(AND(Y448&lt;&gt;"",Y448&lt;TODAY(),OR(X448="Idea",X448="Brief",X448="In production")),"Late - draft not ready",IF(AND(AA448&gt;=0,AA448&lt;=3,OR(X448="Draft",X448="Awaiting review")),"Due - needs approval",IF(AND(H448&lt;&gt;"",P448=""),"Add - caption missing","OK")))))))</f>
        <v>0</v>
      </c>
    </row>
    <row r="449" spans="1:39">
      <c r="A449" s="41">
        <f>IF(H449="","",ContentPrefix&amp;TEXT(ROW()-4,"0000"))</f>
        <v>0</v>
      </c>
      <c r="D449" s="17">
        <f>IF(B449="","",TEXT(B449,"yyyy-mm"))</f>
        <v>0</v>
      </c>
      <c r="E449" s="23">
        <f>IF(B449="","",WEEKNUM(B449,IF(WeekStart="Sunday",1,2)))</f>
        <v>0</v>
      </c>
      <c r="F449" s="17">
        <f>IF(B449="","",TEXT(B449,"ddd"))</f>
        <v>0</v>
      </c>
      <c r="Q449" s="29">
        <f>IF(H449="","",IF(P449="","Add - no caption",IFERROR(INDEX('Caption Bank'!$R$5:$R$204,MATCH(P449,'Caption Bank'!$B$5:$B$204,0)),"Check - not in bank")))</f>
        <v>0</v>
      </c>
      <c r="S449" s="23">
        <f>IF(R449="","",COUNTIF('Hashtag Bank'!$D$5:$D$304,R449))</f>
        <v>0</v>
      </c>
      <c r="U449" s="29">
        <f>IF(H449="","",IF(T449="","Add - no asset",IFERROR(INDEX(Assets!$N$5:$N$254,MATCH(T449,Assets!$A$5:$A$254,0)),"Check - not in library")))</f>
        <v>0</v>
      </c>
      <c r="Y449" s="16">
        <f>IF(B449="","",B449-ProductionDays)</f>
        <v>0</v>
      </c>
      <c r="Z449" s="16">
        <f>IF(B449="","",B449-ApprovalDays)</f>
        <v>0</v>
      </c>
      <c r="AA449" s="23">
        <f>IF(B449="","",B449-TODAY())</f>
        <v>0</v>
      </c>
      <c r="AC449" s="29">
        <f>IF(H449="","",IF(X449="Published",IF(AB449="","Add - link missing","Yes"),"No"))</f>
        <v>0</v>
      </c>
      <c r="AD449" s="23">
        <f>IF(A449="","",IF(COUNTIF(Performance!$B$5:$B$404,A449)=0,"",SUMIFS(Performance!$O$5:$O$404,Performance!$B$5:$B$404,A449)))</f>
        <v>0</v>
      </c>
      <c r="AE449" s="23">
        <f>IF(AD449="","",SUMIFS(Performance!$Z$5:$Z$404,Performance!$B$5:$B$404,A449))</f>
        <v>0</v>
      </c>
      <c r="AF449" s="24">
        <f>IF(OR(AD449="",AD449=0),"",AE449/AD449)</f>
        <v>0</v>
      </c>
      <c r="AG449" s="23">
        <f>IF(AD449="","",SUMIFS(Performance!$U$5:$U$404,Performance!$B$5:$B$404,A449))</f>
        <v>0</v>
      </c>
      <c r="AH449" s="23">
        <f>IF(A449="","",COUNTIF(Repurposing!$B$5:$B$154,A449))</f>
        <v>0</v>
      </c>
      <c r="AI449" s="32">
        <f>IF(OR(H449="",B449=""),"",B449+ROW()/100000)</f>
        <v>0</v>
      </c>
      <c r="AJ449" s="32">
        <f>IF(OR(H449="",B449=""),"",IF(OR(X449="Published",X449="Cancelled",X449="Archived"),"",IF(B449&lt;TODAY(),"",B449+ROW()/100000)))</f>
        <v>0</v>
      </c>
      <c r="AK449" s="32">
        <f>IF(OR(H449="",B449=""),"",IF(OR(X449="Published",X449="Cancelled",X449="Archived"),"",IF(B449&gt;=TODAY(),"",B449+ROW()/100000)))</f>
        <v>0</v>
      </c>
      <c r="AL449" s="29">
        <f>IF(H449="","",IF(COUNTIFS('Content Calendar'!$H$5:$H$604,H449,'Content Calendar'!$G$5:$G$604,G449,'Content Calendar'!$B$5:$B$604,B449)&gt;1,"Duplicate","OK"))</f>
        <v>0</v>
      </c>
      <c r="AM449" s="29">
        <f>IF(H449="","",IF(AND(B449&lt;&gt;"",B449&lt;TODAY(),X449&lt;&gt;"Published",X449&lt;&gt;"Cancelled",X449&lt;&gt;"Archived"),"Overdue - date has passed",IF(AND(X449="Published",AB449=""),"Add - publish link missing",IF(AND(B449=TODAY(),X449&lt;&gt;"Published"),"Today - due to go live",IF(AND(Y449&lt;&gt;"",Y449&lt;TODAY(),OR(X449="Idea",X449="Brief",X449="In production")),"Late - draft not ready",IF(AND(AA449&gt;=0,AA449&lt;=3,OR(X449="Draft",X449="Awaiting review")),"Due - needs approval",IF(AND(H449&lt;&gt;"",P449=""),"Add - caption missing","OK")))))))</f>
        <v>0</v>
      </c>
    </row>
    <row r="450" spans="1:39">
      <c r="A450" s="41">
        <f>IF(H450="","",ContentPrefix&amp;TEXT(ROW()-4,"0000"))</f>
        <v>0</v>
      </c>
      <c r="D450" s="17">
        <f>IF(B450="","",TEXT(B450,"yyyy-mm"))</f>
        <v>0</v>
      </c>
      <c r="E450" s="23">
        <f>IF(B450="","",WEEKNUM(B450,IF(WeekStart="Sunday",1,2)))</f>
        <v>0</v>
      </c>
      <c r="F450" s="17">
        <f>IF(B450="","",TEXT(B450,"ddd"))</f>
        <v>0</v>
      </c>
      <c r="Q450" s="29">
        <f>IF(H450="","",IF(P450="","Add - no caption",IFERROR(INDEX('Caption Bank'!$R$5:$R$204,MATCH(P450,'Caption Bank'!$B$5:$B$204,0)),"Check - not in bank")))</f>
        <v>0</v>
      </c>
      <c r="S450" s="23">
        <f>IF(R450="","",COUNTIF('Hashtag Bank'!$D$5:$D$304,R450))</f>
        <v>0</v>
      </c>
      <c r="U450" s="29">
        <f>IF(H450="","",IF(T450="","Add - no asset",IFERROR(INDEX(Assets!$N$5:$N$254,MATCH(T450,Assets!$A$5:$A$254,0)),"Check - not in library")))</f>
        <v>0</v>
      </c>
      <c r="Y450" s="16">
        <f>IF(B450="","",B450-ProductionDays)</f>
        <v>0</v>
      </c>
      <c r="Z450" s="16">
        <f>IF(B450="","",B450-ApprovalDays)</f>
        <v>0</v>
      </c>
      <c r="AA450" s="23">
        <f>IF(B450="","",B450-TODAY())</f>
        <v>0</v>
      </c>
      <c r="AC450" s="29">
        <f>IF(H450="","",IF(X450="Published",IF(AB450="","Add - link missing","Yes"),"No"))</f>
        <v>0</v>
      </c>
      <c r="AD450" s="23">
        <f>IF(A450="","",IF(COUNTIF(Performance!$B$5:$B$404,A450)=0,"",SUMIFS(Performance!$O$5:$O$404,Performance!$B$5:$B$404,A450)))</f>
        <v>0</v>
      </c>
      <c r="AE450" s="23">
        <f>IF(AD450="","",SUMIFS(Performance!$Z$5:$Z$404,Performance!$B$5:$B$404,A450))</f>
        <v>0</v>
      </c>
      <c r="AF450" s="24">
        <f>IF(OR(AD450="",AD450=0),"",AE450/AD450)</f>
        <v>0</v>
      </c>
      <c r="AG450" s="23">
        <f>IF(AD450="","",SUMIFS(Performance!$U$5:$U$404,Performance!$B$5:$B$404,A450))</f>
        <v>0</v>
      </c>
      <c r="AH450" s="23">
        <f>IF(A450="","",COUNTIF(Repurposing!$B$5:$B$154,A450))</f>
        <v>0</v>
      </c>
      <c r="AI450" s="32">
        <f>IF(OR(H450="",B450=""),"",B450+ROW()/100000)</f>
        <v>0</v>
      </c>
      <c r="AJ450" s="32">
        <f>IF(OR(H450="",B450=""),"",IF(OR(X450="Published",X450="Cancelled",X450="Archived"),"",IF(B450&lt;TODAY(),"",B450+ROW()/100000)))</f>
        <v>0</v>
      </c>
      <c r="AK450" s="32">
        <f>IF(OR(H450="",B450=""),"",IF(OR(X450="Published",X450="Cancelled",X450="Archived"),"",IF(B450&gt;=TODAY(),"",B450+ROW()/100000)))</f>
        <v>0</v>
      </c>
      <c r="AL450" s="29">
        <f>IF(H450="","",IF(COUNTIFS('Content Calendar'!$H$5:$H$604,H450,'Content Calendar'!$G$5:$G$604,G450,'Content Calendar'!$B$5:$B$604,B450)&gt;1,"Duplicate","OK"))</f>
        <v>0</v>
      </c>
      <c r="AM450" s="29">
        <f>IF(H450="","",IF(AND(B450&lt;&gt;"",B450&lt;TODAY(),X450&lt;&gt;"Published",X450&lt;&gt;"Cancelled",X450&lt;&gt;"Archived"),"Overdue - date has passed",IF(AND(X450="Published",AB450=""),"Add - publish link missing",IF(AND(B450=TODAY(),X450&lt;&gt;"Published"),"Today - due to go live",IF(AND(Y450&lt;&gt;"",Y450&lt;TODAY(),OR(X450="Idea",X450="Brief",X450="In production")),"Late - draft not ready",IF(AND(AA450&gt;=0,AA450&lt;=3,OR(X450="Draft",X450="Awaiting review")),"Due - needs approval",IF(AND(H450&lt;&gt;"",P450=""),"Add - caption missing","OK")))))))</f>
        <v>0</v>
      </c>
    </row>
    <row r="451" spans="1:39">
      <c r="A451" s="41">
        <f>IF(H451="","",ContentPrefix&amp;TEXT(ROW()-4,"0000"))</f>
        <v>0</v>
      </c>
      <c r="D451" s="17">
        <f>IF(B451="","",TEXT(B451,"yyyy-mm"))</f>
        <v>0</v>
      </c>
      <c r="E451" s="23">
        <f>IF(B451="","",WEEKNUM(B451,IF(WeekStart="Sunday",1,2)))</f>
        <v>0</v>
      </c>
      <c r="F451" s="17">
        <f>IF(B451="","",TEXT(B451,"ddd"))</f>
        <v>0</v>
      </c>
      <c r="Q451" s="29">
        <f>IF(H451="","",IF(P451="","Add - no caption",IFERROR(INDEX('Caption Bank'!$R$5:$R$204,MATCH(P451,'Caption Bank'!$B$5:$B$204,0)),"Check - not in bank")))</f>
        <v>0</v>
      </c>
      <c r="S451" s="23">
        <f>IF(R451="","",COUNTIF('Hashtag Bank'!$D$5:$D$304,R451))</f>
        <v>0</v>
      </c>
      <c r="U451" s="29">
        <f>IF(H451="","",IF(T451="","Add - no asset",IFERROR(INDEX(Assets!$N$5:$N$254,MATCH(T451,Assets!$A$5:$A$254,0)),"Check - not in library")))</f>
        <v>0</v>
      </c>
      <c r="Y451" s="16">
        <f>IF(B451="","",B451-ProductionDays)</f>
        <v>0</v>
      </c>
      <c r="Z451" s="16">
        <f>IF(B451="","",B451-ApprovalDays)</f>
        <v>0</v>
      </c>
      <c r="AA451" s="23">
        <f>IF(B451="","",B451-TODAY())</f>
        <v>0</v>
      </c>
      <c r="AC451" s="29">
        <f>IF(H451="","",IF(X451="Published",IF(AB451="","Add - link missing","Yes"),"No"))</f>
        <v>0</v>
      </c>
      <c r="AD451" s="23">
        <f>IF(A451="","",IF(COUNTIF(Performance!$B$5:$B$404,A451)=0,"",SUMIFS(Performance!$O$5:$O$404,Performance!$B$5:$B$404,A451)))</f>
        <v>0</v>
      </c>
      <c r="AE451" s="23">
        <f>IF(AD451="","",SUMIFS(Performance!$Z$5:$Z$404,Performance!$B$5:$B$404,A451))</f>
        <v>0</v>
      </c>
      <c r="AF451" s="24">
        <f>IF(OR(AD451="",AD451=0),"",AE451/AD451)</f>
        <v>0</v>
      </c>
      <c r="AG451" s="23">
        <f>IF(AD451="","",SUMIFS(Performance!$U$5:$U$404,Performance!$B$5:$B$404,A451))</f>
        <v>0</v>
      </c>
      <c r="AH451" s="23">
        <f>IF(A451="","",COUNTIF(Repurposing!$B$5:$B$154,A451))</f>
        <v>0</v>
      </c>
      <c r="AI451" s="32">
        <f>IF(OR(H451="",B451=""),"",B451+ROW()/100000)</f>
        <v>0</v>
      </c>
      <c r="AJ451" s="32">
        <f>IF(OR(H451="",B451=""),"",IF(OR(X451="Published",X451="Cancelled",X451="Archived"),"",IF(B451&lt;TODAY(),"",B451+ROW()/100000)))</f>
        <v>0</v>
      </c>
      <c r="AK451" s="32">
        <f>IF(OR(H451="",B451=""),"",IF(OR(X451="Published",X451="Cancelled",X451="Archived"),"",IF(B451&gt;=TODAY(),"",B451+ROW()/100000)))</f>
        <v>0</v>
      </c>
      <c r="AL451" s="29">
        <f>IF(H451="","",IF(COUNTIFS('Content Calendar'!$H$5:$H$604,H451,'Content Calendar'!$G$5:$G$604,G451,'Content Calendar'!$B$5:$B$604,B451)&gt;1,"Duplicate","OK"))</f>
        <v>0</v>
      </c>
      <c r="AM451" s="29">
        <f>IF(H451="","",IF(AND(B451&lt;&gt;"",B451&lt;TODAY(),X451&lt;&gt;"Published",X451&lt;&gt;"Cancelled",X451&lt;&gt;"Archived"),"Overdue - date has passed",IF(AND(X451="Published",AB451=""),"Add - publish link missing",IF(AND(B451=TODAY(),X451&lt;&gt;"Published"),"Today - due to go live",IF(AND(Y451&lt;&gt;"",Y451&lt;TODAY(),OR(X451="Idea",X451="Brief",X451="In production")),"Late - draft not ready",IF(AND(AA451&gt;=0,AA451&lt;=3,OR(X451="Draft",X451="Awaiting review")),"Due - needs approval",IF(AND(H451&lt;&gt;"",P451=""),"Add - caption missing","OK")))))))</f>
        <v>0</v>
      </c>
    </row>
    <row r="452" spans="1:39">
      <c r="A452" s="41">
        <f>IF(H452="","",ContentPrefix&amp;TEXT(ROW()-4,"0000"))</f>
        <v>0</v>
      </c>
      <c r="D452" s="17">
        <f>IF(B452="","",TEXT(B452,"yyyy-mm"))</f>
        <v>0</v>
      </c>
      <c r="E452" s="23">
        <f>IF(B452="","",WEEKNUM(B452,IF(WeekStart="Sunday",1,2)))</f>
        <v>0</v>
      </c>
      <c r="F452" s="17">
        <f>IF(B452="","",TEXT(B452,"ddd"))</f>
        <v>0</v>
      </c>
      <c r="Q452" s="29">
        <f>IF(H452="","",IF(P452="","Add - no caption",IFERROR(INDEX('Caption Bank'!$R$5:$R$204,MATCH(P452,'Caption Bank'!$B$5:$B$204,0)),"Check - not in bank")))</f>
        <v>0</v>
      </c>
      <c r="S452" s="23">
        <f>IF(R452="","",COUNTIF('Hashtag Bank'!$D$5:$D$304,R452))</f>
        <v>0</v>
      </c>
      <c r="U452" s="29">
        <f>IF(H452="","",IF(T452="","Add - no asset",IFERROR(INDEX(Assets!$N$5:$N$254,MATCH(T452,Assets!$A$5:$A$254,0)),"Check - not in library")))</f>
        <v>0</v>
      </c>
      <c r="Y452" s="16">
        <f>IF(B452="","",B452-ProductionDays)</f>
        <v>0</v>
      </c>
      <c r="Z452" s="16">
        <f>IF(B452="","",B452-ApprovalDays)</f>
        <v>0</v>
      </c>
      <c r="AA452" s="23">
        <f>IF(B452="","",B452-TODAY())</f>
        <v>0</v>
      </c>
      <c r="AC452" s="29">
        <f>IF(H452="","",IF(X452="Published",IF(AB452="","Add - link missing","Yes"),"No"))</f>
        <v>0</v>
      </c>
      <c r="AD452" s="23">
        <f>IF(A452="","",IF(COUNTIF(Performance!$B$5:$B$404,A452)=0,"",SUMIFS(Performance!$O$5:$O$404,Performance!$B$5:$B$404,A452)))</f>
        <v>0</v>
      </c>
      <c r="AE452" s="23">
        <f>IF(AD452="","",SUMIFS(Performance!$Z$5:$Z$404,Performance!$B$5:$B$404,A452))</f>
        <v>0</v>
      </c>
      <c r="AF452" s="24">
        <f>IF(OR(AD452="",AD452=0),"",AE452/AD452)</f>
        <v>0</v>
      </c>
      <c r="AG452" s="23">
        <f>IF(AD452="","",SUMIFS(Performance!$U$5:$U$404,Performance!$B$5:$B$404,A452))</f>
        <v>0</v>
      </c>
      <c r="AH452" s="23">
        <f>IF(A452="","",COUNTIF(Repurposing!$B$5:$B$154,A452))</f>
        <v>0</v>
      </c>
      <c r="AI452" s="32">
        <f>IF(OR(H452="",B452=""),"",B452+ROW()/100000)</f>
        <v>0</v>
      </c>
      <c r="AJ452" s="32">
        <f>IF(OR(H452="",B452=""),"",IF(OR(X452="Published",X452="Cancelled",X452="Archived"),"",IF(B452&lt;TODAY(),"",B452+ROW()/100000)))</f>
        <v>0</v>
      </c>
      <c r="AK452" s="32">
        <f>IF(OR(H452="",B452=""),"",IF(OR(X452="Published",X452="Cancelled",X452="Archived"),"",IF(B452&gt;=TODAY(),"",B452+ROW()/100000)))</f>
        <v>0</v>
      </c>
      <c r="AL452" s="29">
        <f>IF(H452="","",IF(COUNTIFS('Content Calendar'!$H$5:$H$604,H452,'Content Calendar'!$G$5:$G$604,G452,'Content Calendar'!$B$5:$B$604,B452)&gt;1,"Duplicate","OK"))</f>
        <v>0</v>
      </c>
      <c r="AM452" s="29">
        <f>IF(H452="","",IF(AND(B452&lt;&gt;"",B452&lt;TODAY(),X452&lt;&gt;"Published",X452&lt;&gt;"Cancelled",X452&lt;&gt;"Archived"),"Overdue - date has passed",IF(AND(X452="Published",AB452=""),"Add - publish link missing",IF(AND(B452=TODAY(),X452&lt;&gt;"Published"),"Today - due to go live",IF(AND(Y452&lt;&gt;"",Y452&lt;TODAY(),OR(X452="Idea",X452="Brief",X452="In production")),"Late - draft not ready",IF(AND(AA452&gt;=0,AA452&lt;=3,OR(X452="Draft",X452="Awaiting review")),"Due - needs approval",IF(AND(H452&lt;&gt;"",P452=""),"Add - caption missing","OK")))))))</f>
        <v>0</v>
      </c>
    </row>
    <row r="453" spans="1:39">
      <c r="A453" s="41">
        <f>IF(H453="","",ContentPrefix&amp;TEXT(ROW()-4,"0000"))</f>
        <v>0</v>
      </c>
      <c r="D453" s="17">
        <f>IF(B453="","",TEXT(B453,"yyyy-mm"))</f>
        <v>0</v>
      </c>
      <c r="E453" s="23">
        <f>IF(B453="","",WEEKNUM(B453,IF(WeekStart="Sunday",1,2)))</f>
        <v>0</v>
      </c>
      <c r="F453" s="17">
        <f>IF(B453="","",TEXT(B453,"ddd"))</f>
        <v>0</v>
      </c>
      <c r="Q453" s="29">
        <f>IF(H453="","",IF(P453="","Add - no caption",IFERROR(INDEX('Caption Bank'!$R$5:$R$204,MATCH(P453,'Caption Bank'!$B$5:$B$204,0)),"Check - not in bank")))</f>
        <v>0</v>
      </c>
      <c r="S453" s="23">
        <f>IF(R453="","",COUNTIF('Hashtag Bank'!$D$5:$D$304,R453))</f>
        <v>0</v>
      </c>
      <c r="U453" s="29">
        <f>IF(H453="","",IF(T453="","Add - no asset",IFERROR(INDEX(Assets!$N$5:$N$254,MATCH(T453,Assets!$A$5:$A$254,0)),"Check - not in library")))</f>
        <v>0</v>
      </c>
      <c r="Y453" s="16">
        <f>IF(B453="","",B453-ProductionDays)</f>
        <v>0</v>
      </c>
      <c r="Z453" s="16">
        <f>IF(B453="","",B453-ApprovalDays)</f>
        <v>0</v>
      </c>
      <c r="AA453" s="23">
        <f>IF(B453="","",B453-TODAY())</f>
        <v>0</v>
      </c>
      <c r="AC453" s="29">
        <f>IF(H453="","",IF(X453="Published",IF(AB453="","Add - link missing","Yes"),"No"))</f>
        <v>0</v>
      </c>
      <c r="AD453" s="23">
        <f>IF(A453="","",IF(COUNTIF(Performance!$B$5:$B$404,A453)=0,"",SUMIFS(Performance!$O$5:$O$404,Performance!$B$5:$B$404,A453)))</f>
        <v>0</v>
      </c>
      <c r="AE453" s="23">
        <f>IF(AD453="","",SUMIFS(Performance!$Z$5:$Z$404,Performance!$B$5:$B$404,A453))</f>
        <v>0</v>
      </c>
      <c r="AF453" s="24">
        <f>IF(OR(AD453="",AD453=0),"",AE453/AD453)</f>
        <v>0</v>
      </c>
      <c r="AG453" s="23">
        <f>IF(AD453="","",SUMIFS(Performance!$U$5:$U$404,Performance!$B$5:$B$404,A453))</f>
        <v>0</v>
      </c>
      <c r="AH453" s="23">
        <f>IF(A453="","",COUNTIF(Repurposing!$B$5:$B$154,A453))</f>
        <v>0</v>
      </c>
      <c r="AI453" s="32">
        <f>IF(OR(H453="",B453=""),"",B453+ROW()/100000)</f>
        <v>0</v>
      </c>
      <c r="AJ453" s="32">
        <f>IF(OR(H453="",B453=""),"",IF(OR(X453="Published",X453="Cancelled",X453="Archived"),"",IF(B453&lt;TODAY(),"",B453+ROW()/100000)))</f>
        <v>0</v>
      </c>
      <c r="AK453" s="32">
        <f>IF(OR(H453="",B453=""),"",IF(OR(X453="Published",X453="Cancelled",X453="Archived"),"",IF(B453&gt;=TODAY(),"",B453+ROW()/100000)))</f>
        <v>0</v>
      </c>
      <c r="AL453" s="29">
        <f>IF(H453="","",IF(COUNTIFS('Content Calendar'!$H$5:$H$604,H453,'Content Calendar'!$G$5:$G$604,G453,'Content Calendar'!$B$5:$B$604,B453)&gt;1,"Duplicate","OK"))</f>
        <v>0</v>
      </c>
      <c r="AM453" s="29">
        <f>IF(H453="","",IF(AND(B453&lt;&gt;"",B453&lt;TODAY(),X453&lt;&gt;"Published",X453&lt;&gt;"Cancelled",X453&lt;&gt;"Archived"),"Overdue - date has passed",IF(AND(X453="Published",AB453=""),"Add - publish link missing",IF(AND(B453=TODAY(),X453&lt;&gt;"Published"),"Today - due to go live",IF(AND(Y453&lt;&gt;"",Y453&lt;TODAY(),OR(X453="Idea",X453="Brief",X453="In production")),"Late - draft not ready",IF(AND(AA453&gt;=0,AA453&lt;=3,OR(X453="Draft",X453="Awaiting review")),"Due - needs approval",IF(AND(H453&lt;&gt;"",P453=""),"Add - caption missing","OK")))))))</f>
        <v>0</v>
      </c>
    </row>
    <row r="454" spans="1:39">
      <c r="A454" s="41">
        <f>IF(H454="","",ContentPrefix&amp;TEXT(ROW()-4,"0000"))</f>
        <v>0</v>
      </c>
      <c r="D454" s="17">
        <f>IF(B454="","",TEXT(B454,"yyyy-mm"))</f>
        <v>0</v>
      </c>
      <c r="E454" s="23">
        <f>IF(B454="","",WEEKNUM(B454,IF(WeekStart="Sunday",1,2)))</f>
        <v>0</v>
      </c>
      <c r="F454" s="17">
        <f>IF(B454="","",TEXT(B454,"ddd"))</f>
        <v>0</v>
      </c>
      <c r="Q454" s="29">
        <f>IF(H454="","",IF(P454="","Add - no caption",IFERROR(INDEX('Caption Bank'!$R$5:$R$204,MATCH(P454,'Caption Bank'!$B$5:$B$204,0)),"Check - not in bank")))</f>
        <v>0</v>
      </c>
      <c r="S454" s="23">
        <f>IF(R454="","",COUNTIF('Hashtag Bank'!$D$5:$D$304,R454))</f>
        <v>0</v>
      </c>
      <c r="U454" s="29">
        <f>IF(H454="","",IF(T454="","Add - no asset",IFERROR(INDEX(Assets!$N$5:$N$254,MATCH(T454,Assets!$A$5:$A$254,0)),"Check - not in library")))</f>
        <v>0</v>
      </c>
      <c r="Y454" s="16">
        <f>IF(B454="","",B454-ProductionDays)</f>
        <v>0</v>
      </c>
      <c r="Z454" s="16">
        <f>IF(B454="","",B454-ApprovalDays)</f>
        <v>0</v>
      </c>
      <c r="AA454" s="23">
        <f>IF(B454="","",B454-TODAY())</f>
        <v>0</v>
      </c>
      <c r="AC454" s="29">
        <f>IF(H454="","",IF(X454="Published",IF(AB454="","Add - link missing","Yes"),"No"))</f>
        <v>0</v>
      </c>
      <c r="AD454" s="23">
        <f>IF(A454="","",IF(COUNTIF(Performance!$B$5:$B$404,A454)=0,"",SUMIFS(Performance!$O$5:$O$404,Performance!$B$5:$B$404,A454)))</f>
        <v>0</v>
      </c>
      <c r="AE454" s="23">
        <f>IF(AD454="","",SUMIFS(Performance!$Z$5:$Z$404,Performance!$B$5:$B$404,A454))</f>
        <v>0</v>
      </c>
      <c r="AF454" s="24">
        <f>IF(OR(AD454="",AD454=0),"",AE454/AD454)</f>
        <v>0</v>
      </c>
      <c r="AG454" s="23">
        <f>IF(AD454="","",SUMIFS(Performance!$U$5:$U$404,Performance!$B$5:$B$404,A454))</f>
        <v>0</v>
      </c>
      <c r="AH454" s="23">
        <f>IF(A454="","",COUNTIF(Repurposing!$B$5:$B$154,A454))</f>
        <v>0</v>
      </c>
      <c r="AI454" s="32">
        <f>IF(OR(H454="",B454=""),"",B454+ROW()/100000)</f>
        <v>0</v>
      </c>
      <c r="AJ454" s="32">
        <f>IF(OR(H454="",B454=""),"",IF(OR(X454="Published",X454="Cancelled",X454="Archived"),"",IF(B454&lt;TODAY(),"",B454+ROW()/100000)))</f>
        <v>0</v>
      </c>
      <c r="AK454" s="32">
        <f>IF(OR(H454="",B454=""),"",IF(OR(X454="Published",X454="Cancelled",X454="Archived"),"",IF(B454&gt;=TODAY(),"",B454+ROW()/100000)))</f>
        <v>0</v>
      </c>
      <c r="AL454" s="29">
        <f>IF(H454="","",IF(COUNTIFS('Content Calendar'!$H$5:$H$604,H454,'Content Calendar'!$G$5:$G$604,G454,'Content Calendar'!$B$5:$B$604,B454)&gt;1,"Duplicate","OK"))</f>
        <v>0</v>
      </c>
      <c r="AM454" s="29">
        <f>IF(H454="","",IF(AND(B454&lt;&gt;"",B454&lt;TODAY(),X454&lt;&gt;"Published",X454&lt;&gt;"Cancelled",X454&lt;&gt;"Archived"),"Overdue - date has passed",IF(AND(X454="Published",AB454=""),"Add - publish link missing",IF(AND(B454=TODAY(),X454&lt;&gt;"Published"),"Today - due to go live",IF(AND(Y454&lt;&gt;"",Y454&lt;TODAY(),OR(X454="Idea",X454="Brief",X454="In production")),"Late - draft not ready",IF(AND(AA454&gt;=0,AA454&lt;=3,OR(X454="Draft",X454="Awaiting review")),"Due - needs approval",IF(AND(H454&lt;&gt;"",P454=""),"Add - caption missing","OK")))))))</f>
        <v>0</v>
      </c>
    </row>
    <row r="455" spans="1:39">
      <c r="A455" s="41">
        <f>IF(H455="","",ContentPrefix&amp;TEXT(ROW()-4,"0000"))</f>
        <v>0</v>
      </c>
      <c r="D455" s="17">
        <f>IF(B455="","",TEXT(B455,"yyyy-mm"))</f>
        <v>0</v>
      </c>
      <c r="E455" s="23">
        <f>IF(B455="","",WEEKNUM(B455,IF(WeekStart="Sunday",1,2)))</f>
        <v>0</v>
      </c>
      <c r="F455" s="17">
        <f>IF(B455="","",TEXT(B455,"ddd"))</f>
        <v>0</v>
      </c>
      <c r="Q455" s="29">
        <f>IF(H455="","",IF(P455="","Add - no caption",IFERROR(INDEX('Caption Bank'!$R$5:$R$204,MATCH(P455,'Caption Bank'!$B$5:$B$204,0)),"Check - not in bank")))</f>
        <v>0</v>
      </c>
      <c r="S455" s="23">
        <f>IF(R455="","",COUNTIF('Hashtag Bank'!$D$5:$D$304,R455))</f>
        <v>0</v>
      </c>
      <c r="U455" s="29">
        <f>IF(H455="","",IF(T455="","Add - no asset",IFERROR(INDEX(Assets!$N$5:$N$254,MATCH(T455,Assets!$A$5:$A$254,0)),"Check - not in library")))</f>
        <v>0</v>
      </c>
      <c r="Y455" s="16">
        <f>IF(B455="","",B455-ProductionDays)</f>
        <v>0</v>
      </c>
      <c r="Z455" s="16">
        <f>IF(B455="","",B455-ApprovalDays)</f>
        <v>0</v>
      </c>
      <c r="AA455" s="23">
        <f>IF(B455="","",B455-TODAY())</f>
        <v>0</v>
      </c>
      <c r="AC455" s="29">
        <f>IF(H455="","",IF(X455="Published",IF(AB455="","Add - link missing","Yes"),"No"))</f>
        <v>0</v>
      </c>
      <c r="AD455" s="23">
        <f>IF(A455="","",IF(COUNTIF(Performance!$B$5:$B$404,A455)=0,"",SUMIFS(Performance!$O$5:$O$404,Performance!$B$5:$B$404,A455)))</f>
        <v>0</v>
      </c>
      <c r="AE455" s="23">
        <f>IF(AD455="","",SUMIFS(Performance!$Z$5:$Z$404,Performance!$B$5:$B$404,A455))</f>
        <v>0</v>
      </c>
      <c r="AF455" s="24">
        <f>IF(OR(AD455="",AD455=0),"",AE455/AD455)</f>
        <v>0</v>
      </c>
      <c r="AG455" s="23">
        <f>IF(AD455="","",SUMIFS(Performance!$U$5:$U$404,Performance!$B$5:$B$404,A455))</f>
        <v>0</v>
      </c>
      <c r="AH455" s="23">
        <f>IF(A455="","",COUNTIF(Repurposing!$B$5:$B$154,A455))</f>
        <v>0</v>
      </c>
      <c r="AI455" s="32">
        <f>IF(OR(H455="",B455=""),"",B455+ROW()/100000)</f>
        <v>0</v>
      </c>
      <c r="AJ455" s="32">
        <f>IF(OR(H455="",B455=""),"",IF(OR(X455="Published",X455="Cancelled",X455="Archived"),"",IF(B455&lt;TODAY(),"",B455+ROW()/100000)))</f>
        <v>0</v>
      </c>
      <c r="AK455" s="32">
        <f>IF(OR(H455="",B455=""),"",IF(OR(X455="Published",X455="Cancelled",X455="Archived"),"",IF(B455&gt;=TODAY(),"",B455+ROW()/100000)))</f>
        <v>0</v>
      </c>
      <c r="AL455" s="29">
        <f>IF(H455="","",IF(COUNTIFS('Content Calendar'!$H$5:$H$604,H455,'Content Calendar'!$G$5:$G$604,G455,'Content Calendar'!$B$5:$B$604,B455)&gt;1,"Duplicate","OK"))</f>
        <v>0</v>
      </c>
      <c r="AM455" s="29">
        <f>IF(H455="","",IF(AND(B455&lt;&gt;"",B455&lt;TODAY(),X455&lt;&gt;"Published",X455&lt;&gt;"Cancelled",X455&lt;&gt;"Archived"),"Overdue - date has passed",IF(AND(X455="Published",AB455=""),"Add - publish link missing",IF(AND(B455=TODAY(),X455&lt;&gt;"Published"),"Today - due to go live",IF(AND(Y455&lt;&gt;"",Y455&lt;TODAY(),OR(X455="Idea",X455="Brief",X455="In production")),"Late - draft not ready",IF(AND(AA455&gt;=0,AA455&lt;=3,OR(X455="Draft",X455="Awaiting review")),"Due - needs approval",IF(AND(H455&lt;&gt;"",P455=""),"Add - caption missing","OK")))))))</f>
        <v>0</v>
      </c>
    </row>
    <row r="456" spans="1:39">
      <c r="A456" s="41">
        <f>IF(H456="","",ContentPrefix&amp;TEXT(ROW()-4,"0000"))</f>
        <v>0</v>
      </c>
      <c r="D456" s="17">
        <f>IF(B456="","",TEXT(B456,"yyyy-mm"))</f>
        <v>0</v>
      </c>
      <c r="E456" s="23">
        <f>IF(B456="","",WEEKNUM(B456,IF(WeekStart="Sunday",1,2)))</f>
        <v>0</v>
      </c>
      <c r="F456" s="17">
        <f>IF(B456="","",TEXT(B456,"ddd"))</f>
        <v>0</v>
      </c>
      <c r="Q456" s="29">
        <f>IF(H456="","",IF(P456="","Add - no caption",IFERROR(INDEX('Caption Bank'!$R$5:$R$204,MATCH(P456,'Caption Bank'!$B$5:$B$204,0)),"Check - not in bank")))</f>
        <v>0</v>
      </c>
      <c r="S456" s="23">
        <f>IF(R456="","",COUNTIF('Hashtag Bank'!$D$5:$D$304,R456))</f>
        <v>0</v>
      </c>
      <c r="U456" s="29">
        <f>IF(H456="","",IF(T456="","Add - no asset",IFERROR(INDEX(Assets!$N$5:$N$254,MATCH(T456,Assets!$A$5:$A$254,0)),"Check - not in library")))</f>
        <v>0</v>
      </c>
      <c r="Y456" s="16">
        <f>IF(B456="","",B456-ProductionDays)</f>
        <v>0</v>
      </c>
      <c r="Z456" s="16">
        <f>IF(B456="","",B456-ApprovalDays)</f>
        <v>0</v>
      </c>
      <c r="AA456" s="23">
        <f>IF(B456="","",B456-TODAY())</f>
        <v>0</v>
      </c>
      <c r="AC456" s="29">
        <f>IF(H456="","",IF(X456="Published",IF(AB456="","Add - link missing","Yes"),"No"))</f>
        <v>0</v>
      </c>
      <c r="AD456" s="23">
        <f>IF(A456="","",IF(COUNTIF(Performance!$B$5:$B$404,A456)=0,"",SUMIFS(Performance!$O$5:$O$404,Performance!$B$5:$B$404,A456)))</f>
        <v>0</v>
      </c>
      <c r="AE456" s="23">
        <f>IF(AD456="","",SUMIFS(Performance!$Z$5:$Z$404,Performance!$B$5:$B$404,A456))</f>
        <v>0</v>
      </c>
      <c r="AF456" s="24">
        <f>IF(OR(AD456="",AD456=0),"",AE456/AD456)</f>
        <v>0</v>
      </c>
      <c r="AG456" s="23">
        <f>IF(AD456="","",SUMIFS(Performance!$U$5:$U$404,Performance!$B$5:$B$404,A456))</f>
        <v>0</v>
      </c>
      <c r="AH456" s="23">
        <f>IF(A456="","",COUNTIF(Repurposing!$B$5:$B$154,A456))</f>
        <v>0</v>
      </c>
      <c r="AI456" s="32">
        <f>IF(OR(H456="",B456=""),"",B456+ROW()/100000)</f>
        <v>0</v>
      </c>
      <c r="AJ456" s="32">
        <f>IF(OR(H456="",B456=""),"",IF(OR(X456="Published",X456="Cancelled",X456="Archived"),"",IF(B456&lt;TODAY(),"",B456+ROW()/100000)))</f>
        <v>0</v>
      </c>
      <c r="AK456" s="32">
        <f>IF(OR(H456="",B456=""),"",IF(OR(X456="Published",X456="Cancelled",X456="Archived"),"",IF(B456&gt;=TODAY(),"",B456+ROW()/100000)))</f>
        <v>0</v>
      </c>
      <c r="AL456" s="29">
        <f>IF(H456="","",IF(COUNTIFS('Content Calendar'!$H$5:$H$604,H456,'Content Calendar'!$G$5:$G$604,G456,'Content Calendar'!$B$5:$B$604,B456)&gt;1,"Duplicate","OK"))</f>
        <v>0</v>
      </c>
      <c r="AM456" s="29">
        <f>IF(H456="","",IF(AND(B456&lt;&gt;"",B456&lt;TODAY(),X456&lt;&gt;"Published",X456&lt;&gt;"Cancelled",X456&lt;&gt;"Archived"),"Overdue - date has passed",IF(AND(X456="Published",AB456=""),"Add - publish link missing",IF(AND(B456=TODAY(),X456&lt;&gt;"Published"),"Today - due to go live",IF(AND(Y456&lt;&gt;"",Y456&lt;TODAY(),OR(X456="Idea",X456="Brief",X456="In production")),"Late - draft not ready",IF(AND(AA456&gt;=0,AA456&lt;=3,OR(X456="Draft",X456="Awaiting review")),"Due - needs approval",IF(AND(H456&lt;&gt;"",P456=""),"Add - caption missing","OK")))))))</f>
        <v>0</v>
      </c>
    </row>
    <row r="457" spans="1:39">
      <c r="A457" s="41">
        <f>IF(H457="","",ContentPrefix&amp;TEXT(ROW()-4,"0000"))</f>
        <v>0</v>
      </c>
      <c r="D457" s="17">
        <f>IF(B457="","",TEXT(B457,"yyyy-mm"))</f>
        <v>0</v>
      </c>
      <c r="E457" s="23">
        <f>IF(B457="","",WEEKNUM(B457,IF(WeekStart="Sunday",1,2)))</f>
        <v>0</v>
      </c>
      <c r="F457" s="17">
        <f>IF(B457="","",TEXT(B457,"ddd"))</f>
        <v>0</v>
      </c>
      <c r="Q457" s="29">
        <f>IF(H457="","",IF(P457="","Add - no caption",IFERROR(INDEX('Caption Bank'!$R$5:$R$204,MATCH(P457,'Caption Bank'!$B$5:$B$204,0)),"Check - not in bank")))</f>
        <v>0</v>
      </c>
      <c r="S457" s="23">
        <f>IF(R457="","",COUNTIF('Hashtag Bank'!$D$5:$D$304,R457))</f>
        <v>0</v>
      </c>
      <c r="U457" s="29">
        <f>IF(H457="","",IF(T457="","Add - no asset",IFERROR(INDEX(Assets!$N$5:$N$254,MATCH(T457,Assets!$A$5:$A$254,0)),"Check - not in library")))</f>
        <v>0</v>
      </c>
      <c r="Y457" s="16">
        <f>IF(B457="","",B457-ProductionDays)</f>
        <v>0</v>
      </c>
      <c r="Z457" s="16">
        <f>IF(B457="","",B457-ApprovalDays)</f>
        <v>0</v>
      </c>
      <c r="AA457" s="23">
        <f>IF(B457="","",B457-TODAY())</f>
        <v>0</v>
      </c>
      <c r="AC457" s="29">
        <f>IF(H457="","",IF(X457="Published",IF(AB457="","Add - link missing","Yes"),"No"))</f>
        <v>0</v>
      </c>
      <c r="AD457" s="23">
        <f>IF(A457="","",IF(COUNTIF(Performance!$B$5:$B$404,A457)=0,"",SUMIFS(Performance!$O$5:$O$404,Performance!$B$5:$B$404,A457)))</f>
        <v>0</v>
      </c>
      <c r="AE457" s="23">
        <f>IF(AD457="","",SUMIFS(Performance!$Z$5:$Z$404,Performance!$B$5:$B$404,A457))</f>
        <v>0</v>
      </c>
      <c r="AF457" s="24">
        <f>IF(OR(AD457="",AD457=0),"",AE457/AD457)</f>
        <v>0</v>
      </c>
      <c r="AG457" s="23">
        <f>IF(AD457="","",SUMIFS(Performance!$U$5:$U$404,Performance!$B$5:$B$404,A457))</f>
        <v>0</v>
      </c>
      <c r="AH457" s="23">
        <f>IF(A457="","",COUNTIF(Repurposing!$B$5:$B$154,A457))</f>
        <v>0</v>
      </c>
      <c r="AI457" s="32">
        <f>IF(OR(H457="",B457=""),"",B457+ROW()/100000)</f>
        <v>0</v>
      </c>
      <c r="AJ457" s="32">
        <f>IF(OR(H457="",B457=""),"",IF(OR(X457="Published",X457="Cancelled",X457="Archived"),"",IF(B457&lt;TODAY(),"",B457+ROW()/100000)))</f>
        <v>0</v>
      </c>
      <c r="AK457" s="32">
        <f>IF(OR(H457="",B457=""),"",IF(OR(X457="Published",X457="Cancelled",X457="Archived"),"",IF(B457&gt;=TODAY(),"",B457+ROW()/100000)))</f>
        <v>0</v>
      </c>
      <c r="AL457" s="29">
        <f>IF(H457="","",IF(COUNTIFS('Content Calendar'!$H$5:$H$604,H457,'Content Calendar'!$G$5:$G$604,G457,'Content Calendar'!$B$5:$B$604,B457)&gt;1,"Duplicate","OK"))</f>
        <v>0</v>
      </c>
      <c r="AM457" s="29">
        <f>IF(H457="","",IF(AND(B457&lt;&gt;"",B457&lt;TODAY(),X457&lt;&gt;"Published",X457&lt;&gt;"Cancelled",X457&lt;&gt;"Archived"),"Overdue - date has passed",IF(AND(X457="Published",AB457=""),"Add - publish link missing",IF(AND(B457=TODAY(),X457&lt;&gt;"Published"),"Today - due to go live",IF(AND(Y457&lt;&gt;"",Y457&lt;TODAY(),OR(X457="Idea",X457="Brief",X457="In production")),"Late - draft not ready",IF(AND(AA457&gt;=0,AA457&lt;=3,OR(X457="Draft",X457="Awaiting review")),"Due - needs approval",IF(AND(H457&lt;&gt;"",P457=""),"Add - caption missing","OK")))))))</f>
        <v>0</v>
      </c>
    </row>
    <row r="458" spans="1:39">
      <c r="A458" s="41">
        <f>IF(H458="","",ContentPrefix&amp;TEXT(ROW()-4,"0000"))</f>
        <v>0</v>
      </c>
      <c r="D458" s="17">
        <f>IF(B458="","",TEXT(B458,"yyyy-mm"))</f>
        <v>0</v>
      </c>
      <c r="E458" s="23">
        <f>IF(B458="","",WEEKNUM(B458,IF(WeekStart="Sunday",1,2)))</f>
        <v>0</v>
      </c>
      <c r="F458" s="17">
        <f>IF(B458="","",TEXT(B458,"ddd"))</f>
        <v>0</v>
      </c>
      <c r="Q458" s="29">
        <f>IF(H458="","",IF(P458="","Add - no caption",IFERROR(INDEX('Caption Bank'!$R$5:$R$204,MATCH(P458,'Caption Bank'!$B$5:$B$204,0)),"Check - not in bank")))</f>
        <v>0</v>
      </c>
      <c r="S458" s="23">
        <f>IF(R458="","",COUNTIF('Hashtag Bank'!$D$5:$D$304,R458))</f>
        <v>0</v>
      </c>
      <c r="U458" s="29">
        <f>IF(H458="","",IF(T458="","Add - no asset",IFERROR(INDEX(Assets!$N$5:$N$254,MATCH(T458,Assets!$A$5:$A$254,0)),"Check - not in library")))</f>
        <v>0</v>
      </c>
      <c r="Y458" s="16">
        <f>IF(B458="","",B458-ProductionDays)</f>
        <v>0</v>
      </c>
      <c r="Z458" s="16">
        <f>IF(B458="","",B458-ApprovalDays)</f>
        <v>0</v>
      </c>
      <c r="AA458" s="23">
        <f>IF(B458="","",B458-TODAY())</f>
        <v>0</v>
      </c>
      <c r="AC458" s="29">
        <f>IF(H458="","",IF(X458="Published",IF(AB458="","Add - link missing","Yes"),"No"))</f>
        <v>0</v>
      </c>
      <c r="AD458" s="23">
        <f>IF(A458="","",IF(COUNTIF(Performance!$B$5:$B$404,A458)=0,"",SUMIFS(Performance!$O$5:$O$404,Performance!$B$5:$B$404,A458)))</f>
        <v>0</v>
      </c>
      <c r="AE458" s="23">
        <f>IF(AD458="","",SUMIFS(Performance!$Z$5:$Z$404,Performance!$B$5:$B$404,A458))</f>
        <v>0</v>
      </c>
      <c r="AF458" s="24">
        <f>IF(OR(AD458="",AD458=0),"",AE458/AD458)</f>
        <v>0</v>
      </c>
      <c r="AG458" s="23">
        <f>IF(AD458="","",SUMIFS(Performance!$U$5:$U$404,Performance!$B$5:$B$404,A458))</f>
        <v>0</v>
      </c>
      <c r="AH458" s="23">
        <f>IF(A458="","",COUNTIF(Repurposing!$B$5:$B$154,A458))</f>
        <v>0</v>
      </c>
      <c r="AI458" s="32">
        <f>IF(OR(H458="",B458=""),"",B458+ROW()/100000)</f>
        <v>0</v>
      </c>
      <c r="AJ458" s="32">
        <f>IF(OR(H458="",B458=""),"",IF(OR(X458="Published",X458="Cancelled",X458="Archived"),"",IF(B458&lt;TODAY(),"",B458+ROW()/100000)))</f>
        <v>0</v>
      </c>
      <c r="AK458" s="32">
        <f>IF(OR(H458="",B458=""),"",IF(OR(X458="Published",X458="Cancelled",X458="Archived"),"",IF(B458&gt;=TODAY(),"",B458+ROW()/100000)))</f>
        <v>0</v>
      </c>
      <c r="AL458" s="29">
        <f>IF(H458="","",IF(COUNTIFS('Content Calendar'!$H$5:$H$604,H458,'Content Calendar'!$G$5:$G$604,G458,'Content Calendar'!$B$5:$B$604,B458)&gt;1,"Duplicate","OK"))</f>
        <v>0</v>
      </c>
      <c r="AM458" s="29">
        <f>IF(H458="","",IF(AND(B458&lt;&gt;"",B458&lt;TODAY(),X458&lt;&gt;"Published",X458&lt;&gt;"Cancelled",X458&lt;&gt;"Archived"),"Overdue - date has passed",IF(AND(X458="Published",AB458=""),"Add - publish link missing",IF(AND(B458=TODAY(),X458&lt;&gt;"Published"),"Today - due to go live",IF(AND(Y458&lt;&gt;"",Y458&lt;TODAY(),OR(X458="Idea",X458="Brief",X458="In production")),"Late - draft not ready",IF(AND(AA458&gt;=0,AA458&lt;=3,OR(X458="Draft",X458="Awaiting review")),"Due - needs approval",IF(AND(H458&lt;&gt;"",P458=""),"Add - caption missing","OK")))))))</f>
        <v>0</v>
      </c>
    </row>
    <row r="459" spans="1:39">
      <c r="A459" s="41">
        <f>IF(H459="","",ContentPrefix&amp;TEXT(ROW()-4,"0000"))</f>
        <v>0</v>
      </c>
      <c r="D459" s="17">
        <f>IF(B459="","",TEXT(B459,"yyyy-mm"))</f>
        <v>0</v>
      </c>
      <c r="E459" s="23">
        <f>IF(B459="","",WEEKNUM(B459,IF(WeekStart="Sunday",1,2)))</f>
        <v>0</v>
      </c>
      <c r="F459" s="17">
        <f>IF(B459="","",TEXT(B459,"ddd"))</f>
        <v>0</v>
      </c>
      <c r="Q459" s="29">
        <f>IF(H459="","",IF(P459="","Add - no caption",IFERROR(INDEX('Caption Bank'!$R$5:$R$204,MATCH(P459,'Caption Bank'!$B$5:$B$204,0)),"Check - not in bank")))</f>
        <v>0</v>
      </c>
      <c r="S459" s="23">
        <f>IF(R459="","",COUNTIF('Hashtag Bank'!$D$5:$D$304,R459))</f>
        <v>0</v>
      </c>
      <c r="U459" s="29">
        <f>IF(H459="","",IF(T459="","Add - no asset",IFERROR(INDEX(Assets!$N$5:$N$254,MATCH(T459,Assets!$A$5:$A$254,0)),"Check - not in library")))</f>
        <v>0</v>
      </c>
      <c r="Y459" s="16">
        <f>IF(B459="","",B459-ProductionDays)</f>
        <v>0</v>
      </c>
      <c r="Z459" s="16">
        <f>IF(B459="","",B459-ApprovalDays)</f>
        <v>0</v>
      </c>
      <c r="AA459" s="23">
        <f>IF(B459="","",B459-TODAY())</f>
        <v>0</v>
      </c>
      <c r="AC459" s="29">
        <f>IF(H459="","",IF(X459="Published",IF(AB459="","Add - link missing","Yes"),"No"))</f>
        <v>0</v>
      </c>
      <c r="AD459" s="23">
        <f>IF(A459="","",IF(COUNTIF(Performance!$B$5:$B$404,A459)=0,"",SUMIFS(Performance!$O$5:$O$404,Performance!$B$5:$B$404,A459)))</f>
        <v>0</v>
      </c>
      <c r="AE459" s="23">
        <f>IF(AD459="","",SUMIFS(Performance!$Z$5:$Z$404,Performance!$B$5:$B$404,A459))</f>
        <v>0</v>
      </c>
      <c r="AF459" s="24">
        <f>IF(OR(AD459="",AD459=0),"",AE459/AD459)</f>
        <v>0</v>
      </c>
      <c r="AG459" s="23">
        <f>IF(AD459="","",SUMIFS(Performance!$U$5:$U$404,Performance!$B$5:$B$404,A459))</f>
        <v>0</v>
      </c>
      <c r="AH459" s="23">
        <f>IF(A459="","",COUNTIF(Repurposing!$B$5:$B$154,A459))</f>
        <v>0</v>
      </c>
      <c r="AI459" s="32">
        <f>IF(OR(H459="",B459=""),"",B459+ROW()/100000)</f>
        <v>0</v>
      </c>
      <c r="AJ459" s="32">
        <f>IF(OR(H459="",B459=""),"",IF(OR(X459="Published",X459="Cancelled",X459="Archived"),"",IF(B459&lt;TODAY(),"",B459+ROW()/100000)))</f>
        <v>0</v>
      </c>
      <c r="AK459" s="32">
        <f>IF(OR(H459="",B459=""),"",IF(OR(X459="Published",X459="Cancelled",X459="Archived"),"",IF(B459&gt;=TODAY(),"",B459+ROW()/100000)))</f>
        <v>0</v>
      </c>
      <c r="AL459" s="29">
        <f>IF(H459="","",IF(COUNTIFS('Content Calendar'!$H$5:$H$604,H459,'Content Calendar'!$G$5:$G$604,G459,'Content Calendar'!$B$5:$B$604,B459)&gt;1,"Duplicate","OK"))</f>
        <v>0</v>
      </c>
      <c r="AM459" s="29">
        <f>IF(H459="","",IF(AND(B459&lt;&gt;"",B459&lt;TODAY(),X459&lt;&gt;"Published",X459&lt;&gt;"Cancelled",X459&lt;&gt;"Archived"),"Overdue - date has passed",IF(AND(X459="Published",AB459=""),"Add - publish link missing",IF(AND(B459=TODAY(),X459&lt;&gt;"Published"),"Today - due to go live",IF(AND(Y459&lt;&gt;"",Y459&lt;TODAY(),OR(X459="Idea",X459="Brief",X459="In production")),"Late - draft not ready",IF(AND(AA459&gt;=0,AA459&lt;=3,OR(X459="Draft",X459="Awaiting review")),"Due - needs approval",IF(AND(H459&lt;&gt;"",P459=""),"Add - caption missing","OK")))))))</f>
        <v>0</v>
      </c>
    </row>
    <row r="460" spans="1:39">
      <c r="A460" s="41">
        <f>IF(H460="","",ContentPrefix&amp;TEXT(ROW()-4,"0000"))</f>
        <v>0</v>
      </c>
      <c r="D460" s="17">
        <f>IF(B460="","",TEXT(B460,"yyyy-mm"))</f>
        <v>0</v>
      </c>
      <c r="E460" s="23">
        <f>IF(B460="","",WEEKNUM(B460,IF(WeekStart="Sunday",1,2)))</f>
        <v>0</v>
      </c>
      <c r="F460" s="17">
        <f>IF(B460="","",TEXT(B460,"ddd"))</f>
        <v>0</v>
      </c>
      <c r="Q460" s="29">
        <f>IF(H460="","",IF(P460="","Add - no caption",IFERROR(INDEX('Caption Bank'!$R$5:$R$204,MATCH(P460,'Caption Bank'!$B$5:$B$204,0)),"Check - not in bank")))</f>
        <v>0</v>
      </c>
      <c r="S460" s="23">
        <f>IF(R460="","",COUNTIF('Hashtag Bank'!$D$5:$D$304,R460))</f>
        <v>0</v>
      </c>
      <c r="U460" s="29">
        <f>IF(H460="","",IF(T460="","Add - no asset",IFERROR(INDEX(Assets!$N$5:$N$254,MATCH(T460,Assets!$A$5:$A$254,0)),"Check - not in library")))</f>
        <v>0</v>
      </c>
      <c r="Y460" s="16">
        <f>IF(B460="","",B460-ProductionDays)</f>
        <v>0</v>
      </c>
      <c r="Z460" s="16">
        <f>IF(B460="","",B460-ApprovalDays)</f>
        <v>0</v>
      </c>
      <c r="AA460" s="23">
        <f>IF(B460="","",B460-TODAY())</f>
        <v>0</v>
      </c>
      <c r="AC460" s="29">
        <f>IF(H460="","",IF(X460="Published",IF(AB460="","Add - link missing","Yes"),"No"))</f>
        <v>0</v>
      </c>
      <c r="AD460" s="23">
        <f>IF(A460="","",IF(COUNTIF(Performance!$B$5:$B$404,A460)=0,"",SUMIFS(Performance!$O$5:$O$404,Performance!$B$5:$B$404,A460)))</f>
        <v>0</v>
      </c>
      <c r="AE460" s="23">
        <f>IF(AD460="","",SUMIFS(Performance!$Z$5:$Z$404,Performance!$B$5:$B$404,A460))</f>
        <v>0</v>
      </c>
      <c r="AF460" s="24">
        <f>IF(OR(AD460="",AD460=0),"",AE460/AD460)</f>
        <v>0</v>
      </c>
      <c r="AG460" s="23">
        <f>IF(AD460="","",SUMIFS(Performance!$U$5:$U$404,Performance!$B$5:$B$404,A460))</f>
        <v>0</v>
      </c>
      <c r="AH460" s="23">
        <f>IF(A460="","",COUNTIF(Repurposing!$B$5:$B$154,A460))</f>
        <v>0</v>
      </c>
      <c r="AI460" s="32">
        <f>IF(OR(H460="",B460=""),"",B460+ROW()/100000)</f>
        <v>0</v>
      </c>
      <c r="AJ460" s="32">
        <f>IF(OR(H460="",B460=""),"",IF(OR(X460="Published",X460="Cancelled",X460="Archived"),"",IF(B460&lt;TODAY(),"",B460+ROW()/100000)))</f>
        <v>0</v>
      </c>
      <c r="AK460" s="32">
        <f>IF(OR(H460="",B460=""),"",IF(OR(X460="Published",X460="Cancelled",X460="Archived"),"",IF(B460&gt;=TODAY(),"",B460+ROW()/100000)))</f>
        <v>0</v>
      </c>
      <c r="AL460" s="29">
        <f>IF(H460="","",IF(COUNTIFS('Content Calendar'!$H$5:$H$604,H460,'Content Calendar'!$G$5:$G$604,G460,'Content Calendar'!$B$5:$B$604,B460)&gt;1,"Duplicate","OK"))</f>
        <v>0</v>
      </c>
      <c r="AM460" s="29">
        <f>IF(H460="","",IF(AND(B460&lt;&gt;"",B460&lt;TODAY(),X460&lt;&gt;"Published",X460&lt;&gt;"Cancelled",X460&lt;&gt;"Archived"),"Overdue - date has passed",IF(AND(X460="Published",AB460=""),"Add - publish link missing",IF(AND(B460=TODAY(),X460&lt;&gt;"Published"),"Today - due to go live",IF(AND(Y460&lt;&gt;"",Y460&lt;TODAY(),OR(X460="Idea",X460="Brief",X460="In production")),"Late - draft not ready",IF(AND(AA460&gt;=0,AA460&lt;=3,OR(X460="Draft",X460="Awaiting review")),"Due - needs approval",IF(AND(H460&lt;&gt;"",P460=""),"Add - caption missing","OK")))))))</f>
        <v>0</v>
      </c>
    </row>
    <row r="461" spans="1:39">
      <c r="A461" s="41">
        <f>IF(H461="","",ContentPrefix&amp;TEXT(ROW()-4,"0000"))</f>
        <v>0</v>
      </c>
      <c r="D461" s="17">
        <f>IF(B461="","",TEXT(B461,"yyyy-mm"))</f>
        <v>0</v>
      </c>
      <c r="E461" s="23">
        <f>IF(B461="","",WEEKNUM(B461,IF(WeekStart="Sunday",1,2)))</f>
        <v>0</v>
      </c>
      <c r="F461" s="17">
        <f>IF(B461="","",TEXT(B461,"ddd"))</f>
        <v>0</v>
      </c>
      <c r="Q461" s="29">
        <f>IF(H461="","",IF(P461="","Add - no caption",IFERROR(INDEX('Caption Bank'!$R$5:$R$204,MATCH(P461,'Caption Bank'!$B$5:$B$204,0)),"Check - not in bank")))</f>
        <v>0</v>
      </c>
      <c r="S461" s="23">
        <f>IF(R461="","",COUNTIF('Hashtag Bank'!$D$5:$D$304,R461))</f>
        <v>0</v>
      </c>
      <c r="U461" s="29">
        <f>IF(H461="","",IF(T461="","Add - no asset",IFERROR(INDEX(Assets!$N$5:$N$254,MATCH(T461,Assets!$A$5:$A$254,0)),"Check - not in library")))</f>
        <v>0</v>
      </c>
      <c r="Y461" s="16">
        <f>IF(B461="","",B461-ProductionDays)</f>
        <v>0</v>
      </c>
      <c r="Z461" s="16">
        <f>IF(B461="","",B461-ApprovalDays)</f>
        <v>0</v>
      </c>
      <c r="AA461" s="23">
        <f>IF(B461="","",B461-TODAY())</f>
        <v>0</v>
      </c>
      <c r="AC461" s="29">
        <f>IF(H461="","",IF(X461="Published",IF(AB461="","Add - link missing","Yes"),"No"))</f>
        <v>0</v>
      </c>
      <c r="AD461" s="23">
        <f>IF(A461="","",IF(COUNTIF(Performance!$B$5:$B$404,A461)=0,"",SUMIFS(Performance!$O$5:$O$404,Performance!$B$5:$B$404,A461)))</f>
        <v>0</v>
      </c>
      <c r="AE461" s="23">
        <f>IF(AD461="","",SUMIFS(Performance!$Z$5:$Z$404,Performance!$B$5:$B$404,A461))</f>
        <v>0</v>
      </c>
      <c r="AF461" s="24">
        <f>IF(OR(AD461="",AD461=0),"",AE461/AD461)</f>
        <v>0</v>
      </c>
      <c r="AG461" s="23">
        <f>IF(AD461="","",SUMIFS(Performance!$U$5:$U$404,Performance!$B$5:$B$404,A461))</f>
        <v>0</v>
      </c>
      <c r="AH461" s="23">
        <f>IF(A461="","",COUNTIF(Repurposing!$B$5:$B$154,A461))</f>
        <v>0</v>
      </c>
      <c r="AI461" s="32">
        <f>IF(OR(H461="",B461=""),"",B461+ROW()/100000)</f>
        <v>0</v>
      </c>
      <c r="AJ461" s="32">
        <f>IF(OR(H461="",B461=""),"",IF(OR(X461="Published",X461="Cancelled",X461="Archived"),"",IF(B461&lt;TODAY(),"",B461+ROW()/100000)))</f>
        <v>0</v>
      </c>
      <c r="AK461" s="32">
        <f>IF(OR(H461="",B461=""),"",IF(OR(X461="Published",X461="Cancelled",X461="Archived"),"",IF(B461&gt;=TODAY(),"",B461+ROW()/100000)))</f>
        <v>0</v>
      </c>
      <c r="AL461" s="29">
        <f>IF(H461="","",IF(COUNTIFS('Content Calendar'!$H$5:$H$604,H461,'Content Calendar'!$G$5:$G$604,G461,'Content Calendar'!$B$5:$B$604,B461)&gt;1,"Duplicate","OK"))</f>
        <v>0</v>
      </c>
      <c r="AM461" s="29">
        <f>IF(H461="","",IF(AND(B461&lt;&gt;"",B461&lt;TODAY(),X461&lt;&gt;"Published",X461&lt;&gt;"Cancelled",X461&lt;&gt;"Archived"),"Overdue - date has passed",IF(AND(X461="Published",AB461=""),"Add - publish link missing",IF(AND(B461=TODAY(),X461&lt;&gt;"Published"),"Today - due to go live",IF(AND(Y461&lt;&gt;"",Y461&lt;TODAY(),OR(X461="Idea",X461="Brief",X461="In production")),"Late - draft not ready",IF(AND(AA461&gt;=0,AA461&lt;=3,OR(X461="Draft",X461="Awaiting review")),"Due - needs approval",IF(AND(H461&lt;&gt;"",P461=""),"Add - caption missing","OK")))))))</f>
        <v>0</v>
      </c>
    </row>
    <row r="462" spans="1:39">
      <c r="A462" s="41">
        <f>IF(H462="","",ContentPrefix&amp;TEXT(ROW()-4,"0000"))</f>
        <v>0</v>
      </c>
      <c r="D462" s="17">
        <f>IF(B462="","",TEXT(B462,"yyyy-mm"))</f>
        <v>0</v>
      </c>
      <c r="E462" s="23">
        <f>IF(B462="","",WEEKNUM(B462,IF(WeekStart="Sunday",1,2)))</f>
        <v>0</v>
      </c>
      <c r="F462" s="17">
        <f>IF(B462="","",TEXT(B462,"ddd"))</f>
        <v>0</v>
      </c>
      <c r="Q462" s="29">
        <f>IF(H462="","",IF(P462="","Add - no caption",IFERROR(INDEX('Caption Bank'!$R$5:$R$204,MATCH(P462,'Caption Bank'!$B$5:$B$204,0)),"Check - not in bank")))</f>
        <v>0</v>
      </c>
      <c r="S462" s="23">
        <f>IF(R462="","",COUNTIF('Hashtag Bank'!$D$5:$D$304,R462))</f>
        <v>0</v>
      </c>
      <c r="U462" s="29">
        <f>IF(H462="","",IF(T462="","Add - no asset",IFERROR(INDEX(Assets!$N$5:$N$254,MATCH(T462,Assets!$A$5:$A$254,0)),"Check - not in library")))</f>
        <v>0</v>
      </c>
      <c r="Y462" s="16">
        <f>IF(B462="","",B462-ProductionDays)</f>
        <v>0</v>
      </c>
      <c r="Z462" s="16">
        <f>IF(B462="","",B462-ApprovalDays)</f>
        <v>0</v>
      </c>
      <c r="AA462" s="23">
        <f>IF(B462="","",B462-TODAY())</f>
        <v>0</v>
      </c>
      <c r="AC462" s="29">
        <f>IF(H462="","",IF(X462="Published",IF(AB462="","Add - link missing","Yes"),"No"))</f>
        <v>0</v>
      </c>
      <c r="AD462" s="23">
        <f>IF(A462="","",IF(COUNTIF(Performance!$B$5:$B$404,A462)=0,"",SUMIFS(Performance!$O$5:$O$404,Performance!$B$5:$B$404,A462)))</f>
        <v>0</v>
      </c>
      <c r="AE462" s="23">
        <f>IF(AD462="","",SUMIFS(Performance!$Z$5:$Z$404,Performance!$B$5:$B$404,A462))</f>
        <v>0</v>
      </c>
      <c r="AF462" s="24">
        <f>IF(OR(AD462="",AD462=0),"",AE462/AD462)</f>
        <v>0</v>
      </c>
      <c r="AG462" s="23">
        <f>IF(AD462="","",SUMIFS(Performance!$U$5:$U$404,Performance!$B$5:$B$404,A462))</f>
        <v>0</v>
      </c>
      <c r="AH462" s="23">
        <f>IF(A462="","",COUNTIF(Repurposing!$B$5:$B$154,A462))</f>
        <v>0</v>
      </c>
      <c r="AI462" s="32">
        <f>IF(OR(H462="",B462=""),"",B462+ROW()/100000)</f>
        <v>0</v>
      </c>
      <c r="AJ462" s="32">
        <f>IF(OR(H462="",B462=""),"",IF(OR(X462="Published",X462="Cancelled",X462="Archived"),"",IF(B462&lt;TODAY(),"",B462+ROW()/100000)))</f>
        <v>0</v>
      </c>
      <c r="AK462" s="32">
        <f>IF(OR(H462="",B462=""),"",IF(OR(X462="Published",X462="Cancelled",X462="Archived"),"",IF(B462&gt;=TODAY(),"",B462+ROW()/100000)))</f>
        <v>0</v>
      </c>
      <c r="AL462" s="29">
        <f>IF(H462="","",IF(COUNTIFS('Content Calendar'!$H$5:$H$604,H462,'Content Calendar'!$G$5:$G$604,G462,'Content Calendar'!$B$5:$B$604,B462)&gt;1,"Duplicate","OK"))</f>
        <v>0</v>
      </c>
      <c r="AM462" s="29">
        <f>IF(H462="","",IF(AND(B462&lt;&gt;"",B462&lt;TODAY(),X462&lt;&gt;"Published",X462&lt;&gt;"Cancelled",X462&lt;&gt;"Archived"),"Overdue - date has passed",IF(AND(X462="Published",AB462=""),"Add - publish link missing",IF(AND(B462=TODAY(),X462&lt;&gt;"Published"),"Today - due to go live",IF(AND(Y462&lt;&gt;"",Y462&lt;TODAY(),OR(X462="Idea",X462="Brief",X462="In production")),"Late - draft not ready",IF(AND(AA462&gt;=0,AA462&lt;=3,OR(X462="Draft",X462="Awaiting review")),"Due - needs approval",IF(AND(H462&lt;&gt;"",P462=""),"Add - caption missing","OK")))))))</f>
        <v>0</v>
      </c>
    </row>
    <row r="463" spans="1:39">
      <c r="A463" s="41">
        <f>IF(H463="","",ContentPrefix&amp;TEXT(ROW()-4,"0000"))</f>
        <v>0</v>
      </c>
      <c r="D463" s="17">
        <f>IF(B463="","",TEXT(B463,"yyyy-mm"))</f>
        <v>0</v>
      </c>
      <c r="E463" s="23">
        <f>IF(B463="","",WEEKNUM(B463,IF(WeekStart="Sunday",1,2)))</f>
        <v>0</v>
      </c>
      <c r="F463" s="17">
        <f>IF(B463="","",TEXT(B463,"ddd"))</f>
        <v>0</v>
      </c>
      <c r="Q463" s="29">
        <f>IF(H463="","",IF(P463="","Add - no caption",IFERROR(INDEX('Caption Bank'!$R$5:$R$204,MATCH(P463,'Caption Bank'!$B$5:$B$204,0)),"Check - not in bank")))</f>
        <v>0</v>
      </c>
      <c r="S463" s="23">
        <f>IF(R463="","",COUNTIF('Hashtag Bank'!$D$5:$D$304,R463))</f>
        <v>0</v>
      </c>
      <c r="U463" s="29">
        <f>IF(H463="","",IF(T463="","Add - no asset",IFERROR(INDEX(Assets!$N$5:$N$254,MATCH(T463,Assets!$A$5:$A$254,0)),"Check - not in library")))</f>
        <v>0</v>
      </c>
      <c r="Y463" s="16">
        <f>IF(B463="","",B463-ProductionDays)</f>
        <v>0</v>
      </c>
      <c r="Z463" s="16">
        <f>IF(B463="","",B463-ApprovalDays)</f>
        <v>0</v>
      </c>
      <c r="AA463" s="23">
        <f>IF(B463="","",B463-TODAY())</f>
        <v>0</v>
      </c>
      <c r="AC463" s="29">
        <f>IF(H463="","",IF(X463="Published",IF(AB463="","Add - link missing","Yes"),"No"))</f>
        <v>0</v>
      </c>
      <c r="AD463" s="23">
        <f>IF(A463="","",IF(COUNTIF(Performance!$B$5:$B$404,A463)=0,"",SUMIFS(Performance!$O$5:$O$404,Performance!$B$5:$B$404,A463)))</f>
        <v>0</v>
      </c>
      <c r="AE463" s="23">
        <f>IF(AD463="","",SUMIFS(Performance!$Z$5:$Z$404,Performance!$B$5:$B$404,A463))</f>
        <v>0</v>
      </c>
      <c r="AF463" s="24">
        <f>IF(OR(AD463="",AD463=0),"",AE463/AD463)</f>
        <v>0</v>
      </c>
      <c r="AG463" s="23">
        <f>IF(AD463="","",SUMIFS(Performance!$U$5:$U$404,Performance!$B$5:$B$404,A463))</f>
        <v>0</v>
      </c>
      <c r="AH463" s="23">
        <f>IF(A463="","",COUNTIF(Repurposing!$B$5:$B$154,A463))</f>
        <v>0</v>
      </c>
      <c r="AI463" s="32">
        <f>IF(OR(H463="",B463=""),"",B463+ROW()/100000)</f>
        <v>0</v>
      </c>
      <c r="AJ463" s="32">
        <f>IF(OR(H463="",B463=""),"",IF(OR(X463="Published",X463="Cancelled",X463="Archived"),"",IF(B463&lt;TODAY(),"",B463+ROW()/100000)))</f>
        <v>0</v>
      </c>
      <c r="AK463" s="32">
        <f>IF(OR(H463="",B463=""),"",IF(OR(X463="Published",X463="Cancelled",X463="Archived"),"",IF(B463&gt;=TODAY(),"",B463+ROW()/100000)))</f>
        <v>0</v>
      </c>
      <c r="AL463" s="29">
        <f>IF(H463="","",IF(COUNTIFS('Content Calendar'!$H$5:$H$604,H463,'Content Calendar'!$G$5:$G$604,G463,'Content Calendar'!$B$5:$B$604,B463)&gt;1,"Duplicate","OK"))</f>
        <v>0</v>
      </c>
      <c r="AM463" s="29">
        <f>IF(H463="","",IF(AND(B463&lt;&gt;"",B463&lt;TODAY(),X463&lt;&gt;"Published",X463&lt;&gt;"Cancelled",X463&lt;&gt;"Archived"),"Overdue - date has passed",IF(AND(X463="Published",AB463=""),"Add - publish link missing",IF(AND(B463=TODAY(),X463&lt;&gt;"Published"),"Today - due to go live",IF(AND(Y463&lt;&gt;"",Y463&lt;TODAY(),OR(X463="Idea",X463="Brief",X463="In production")),"Late - draft not ready",IF(AND(AA463&gt;=0,AA463&lt;=3,OR(X463="Draft",X463="Awaiting review")),"Due - needs approval",IF(AND(H463&lt;&gt;"",P463=""),"Add - caption missing","OK")))))))</f>
        <v>0</v>
      </c>
    </row>
    <row r="464" spans="1:39">
      <c r="A464" s="41">
        <f>IF(H464="","",ContentPrefix&amp;TEXT(ROW()-4,"0000"))</f>
        <v>0</v>
      </c>
      <c r="D464" s="17">
        <f>IF(B464="","",TEXT(B464,"yyyy-mm"))</f>
        <v>0</v>
      </c>
      <c r="E464" s="23">
        <f>IF(B464="","",WEEKNUM(B464,IF(WeekStart="Sunday",1,2)))</f>
        <v>0</v>
      </c>
      <c r="F464" s="17">
        <f>IF(B464="","",TEXT(B464,"ddd"))</f>
        <v>0</v>
      </c>
      <c r="Q464" s="29">
        <f>IF(H464="","",IF(P464="","Add - no caption",IFERROR(INDEX('Caption Bank'!$R$5:$R$204,MATCH(P464,'Caption Bank'!$B$5:$B$204,0)),"Check - not in bank")))</f>
        <v>0</v>
      </c>
      <c r="S464" s="23">
        <f>IF(R464="","",COUNTIF('Hashtag Bank'!$D$5:$D$304,R464))</f>
        <v>0</v>
      </c>
      <c r="U464" s="29">
        <f>IF(H464="","",IF(T464="","Add - no asset",IFERROR(INDEX(Assets!$N$5:$N$254,MATCH(T464,Assets!$A$5:$A$254,0)),"Check - not in library")))</f>
        <v>0</v>
      </c>
      <c r="Y464" s="16">
        <f>IF(B464="","",B464-ProductionDays)</f>
        <v>0</v>
      </c>
      <c r="Z464" s="16">
        <f>IF(B464="","",B464-ApprovalDays)</f>
        <v>0</v>
      </c>
      <c r="AA464" s="23">
        <f>IF(B464="","",B464-TODAY())</f>
        <v>0</v>
      </c>
      <c r="AC464" s="29">
        <f>IF(H464="","",IF(X464="Published",IF(AB464="","Add - link missing","Yes"),"No"))</f>
        <v>0</v>
      </c>
      <c r="AD464" s="23">
        <f>IF(A464="","",IF(COUNTIF(Performance!$B$5:$B$404,A464)=0,"",SUMIFS(Performance!$O$5:$O$404,Performance!$B$5:$B$404,A464)))</f>
        <v>0</v>
      </c>
      <c r="AE464" s="23">
        <f>IF(AD464="","",SUMIFS(Performance!$Z$5:$Z$404,Performance!$B$5:$B$404,A464))</f>
        <v>0</v>
      </c>
      <c r="AF464" s="24">
        <f>IF(OR(AD464="",AD464=0),"",AE464/AD464)</f>
        <v>0</v>
      </c>
      <c r="AG464" s="23">
        <f>IF(AD464="","",SUMIFS(Performance!$U$5:$U$404,Performance!$B$5:$B$404,A464))</f>
        <v>0</v>
      </c>
      <c r="AH464" s="23">
        <f>IF(A464="","",COUNTIF(Repurposing!$B$5:$B$154,A464))</f>
        <v>0</v>
      </c>
      <c r="AI464" s="32">
        <f>IF(OR(H464="",B464=""),"",B464+ROW()/100000)</f>
        <v>0</v>
      </c>
      <c r="AJ464" s="32">
        <f>IF(OR(H464="",B464=""),"",IF(OR(X464="Published",X464="Cancelled",X464="Archived"),"",IF(B464&lt;TODAY(),"",B464+ROW()/100000)))</f>
        <v>0</v>
      </c>
      <c r="AK464" s="32">
        <f>IF(OR(H464="",B464=""),"",IF(OR(X464="Published",X464="Cancelled",X464="Archived"),"",IF(B464&gt;=TODAY(),"",B464+ROW()/100000)))</f>
        <v>0</v>
      </c>
      <c r="AL464" s="29">
        <f>IF(H464="","",IF(COUNTIFS('Content Calendar'!$H$5:$H$604,H464,'Content Calendar'!$G$5:$G$604,G464,'Content Calendar'!$B$5:$B$604,B464)&gt;1,"Duplicate","OK"))</f>
        <v>0</v>
      </c>
      <c r="AM464" s="29">
        <f>IF(H464="","",IF(AND(B464&lt;&gt;"",B464&lt;TODAY(),X464&lt;&gt;"Published",X464&lt;&gt;"Cancelled",X464&lt;&gt;"Archived"),"Overdue - date has passed",IF(AND(X464="Published",AB464=""),"Add - publish link missing",IF(AND(B464=TODAY(),X464&lt;&gt;"Published"),"Today - due to go live",IF(AND(Y464&lt;&gt;"",Y464&lt;TODAY(),OR(X464="Idea",X464="Brief",X464="In production")),"Late - draft not ready",IF(AND(AA464&gt;=0,AA464&lt;=3,OR(X464="Draft",X464="Awaiting review")),"Due - needs approval",IF(AND(H464&lt;&gt;"",P464=""),"Add - caption missing","OK")))))))</f>
        <v>0</v>
      </c>
    </row>
    <row r="465" spans="1:39">
      <c r="A465" s="41">
        <f>IF(H465="","",ContentPrefix&amp;TEXT(ROW()-4,"0000"))</f>
        <v>0</v>
      </c>
      <c r="D465" s="17">
        <f>IF(B465="","",TEXT(B465,"yyyy-mm"))</f>
        <v>0</v>
      </c>
      <c r="E465" s="23">
        <f>IF(B465="","",WEEKNUM(B465,IF(WeekStart="Sunday",1,2)))</f>
        <v>0</v>
      </c>
      <c r="F465" s="17">
        <f>IF(B465="","",TEXT(B465,"ddd"))</f>
        <v>0</v>
      </c>
      <c r="Q465" s="29">
        <f>IF(H465="","",IF(P465="","Add - no caption",IFERROR(INDEX('Caption Bank'!$R$5:$R$204,MATCH(P465,'Caption Bank'!$B$5:$B$204,0)),"Check - not in bank")))</f>
        <v>0</v>
      </c>
      <c r="S465" s="23">
        <f>IF(R465="","",COUNTIF('Hashtag Bank'!$D$5:$D$304,R465))</f>
        <v>0</v>
      </c>
      <c r="U465" s="29">
        <f>IF(H465="","",IF(T465="","Add - no asset",IFERROR(INDEX(Assets!$N$5:$N$254,MATCH(T465,Assets!$A$5:$A$254,0)),"Check - not in library")))</f>
        <v>0</v>
      </c>
      <c r="Y465" s="16">
        <f>IF(B465="","",B465-ProductionDays)</f>
        <v>0</v>
      </c>
      <c r="Z465" s="16">
        <f>IF(B465="","",B465-ApprovalDays)</f>
        <v>0</v>
      </c>
      <c r="AA465" s="23">
        <f>IF(B465="","",B465-TODAY())</f>
        <v>0</v>
      </c>
      <c r="AC465" s="29">
        <f>IF(H465="","",IF(X465="Published",IF(AB465="","Add - link missing","Yes"),"No"))</f>
        <v>0</v>
      </c>
      <c r="AD465" s="23">
        <f>IF(A465="","",IF(COUNTIF(Performance!$B$5:$B$404,A465)=0,"",SUMIFS(Performance!$O$5:$O$404,Performance!$B$5:$B$404,A465)))</f>
        <v>0</v>
      </c>
      <c r="AE465" s="23">
        <f>IF(AD465="","",SUMIFS(Performance!$Z$5:$Z$404,Performance!$B$5:$B$404,A465))</f>
        <v>0</v>
      </c>
      <c r="AF465" s="24">
        <f>IF(OR(AD465="",AD465=0),"",AE465/AD465)</f>
        <v>0</v>
      </c>
      <c r="AG465" s="23">
        <f>IF(AD465="","",SUMIFS(Performance!$U$5:$U$404,Performance!$B$5:$B$404,A465))</f>
        <v>0</v>
      </c>
      <c r="AH465" s="23">
        <f>IF(A465="","",COUNTIF(Repurposing!$B$5:$B$154,A465))</f>
        <v>0</v>
      </c>
      <c r="AI465" s="32">
        <f>IF(OR(H465="",B465=""),"",B465+ROW()/100000)</f>
        <v>0</v>
      </c>
      <c r="AJ465" s="32">
        <f>IF(OR(H465="",B465=""),"",IF(OR(X465="Published",X465="Cancelled",X465="Archived"),"",IF(B465&lt;TODAY(),"",B465+ROW()/100000)))</f>
        <v>0</v>
      </c>
      <c r="AK465" s="32">
        <f>IF(OR(H465="",B465=""),"",IF(OR(X465="Published",X465="Cancelled",X465="Archived"),"",IF(B465&gt;=TODAY(),"",B465+ROW()/100000)))</f>
        <v>0</v>
      </c>
      <c r="AL465" s="29">
        <f>IF(H465="","",IF(COUNTIFS('Content Calendar'!$H$5:$H$604,H465,'Content Calendar'!$G$5:$G$604,G465,'Content Calendar'!$B$5:$B$604,B465)&gt;1,"Duplicate","OK"))</f>
        <v>0</v>
      </c>
      <c r="AM465" s="29">
        <f>IF(H465="","",IF(AND(B465&lt;&gt;"",B465&lt;TODAY(),X465&lt;&gt;"Published",X465&lt;&gt;"Cancelled",X465&lt;&gt;"Archived"),"Overdue - date has passed",IF(AND(X465="Published",AB465=""),"Add - publish link missing",IF(AND(B465=TODAY(),X465&lt;&gt;"Published"),"Today - due to go live",IF(AND(Y465&lt;&gt;"",Y465&lt;TODAY(),OR(X465="Idea",X465="Brief",X465="In production")),"Late - draft not ready",IF(AND(AA465&gt;=0,AA465&lt;=3,OR(X465="Draft",X465="Awaiting review")),"Due - needs approval",IF(AND(H465&lt;&gt;"",P465=""),"Add - caption missing","OK")))))))</f>
        <v>0</v>
      </c>
    </row>
    <row r="466" spans="1:39">
      <c r="A466" s="41">
        <f>IF(H466="","",ContentPrefix&amp;TEXT(ROW()-4,"0000"))</f>
        <v>0</v>
      </c>
      <c r="D466" s="17">
        <f>IF(B466="","",TEXT(B466,"yyyy-mm"))</f>
        <v>0</v>
      </c>
      <c r="E466" s="23">
        <f>IF(B466="","",WEEKNUM(B466,IF(WeekStart="Sunday",1,2)))</f>
        <v>0</v>
      </c>
      <c r="F466" s="17">
        <f>IF(B466="","",TEXT(B466,"ddd"))</f>
        <v>0</v>
      </c>
      <c r="Q466" s="29">
        <f>IF(H466="","",IF(P466="","Add - no caption",IFERROR(INDEX('Caption Bank'!$R$5:$R$204,MATCH(P466,'Caption Bank'!$B$5:$B$204,0)),"Check - not in bank")))</f>
        <v>0</v>
      </c>
      <c r="S466" s="23">
        <f>IF(R466="","",COUNTIF('Hashtag Bank'!$D$5:$D$304,R466))</f>
        <v>0</v>
      </c>
      <c r="U466" s="29">
        <f>IF(H466="","",IF(T466="","Add - no asset",IFERROR(INDEX(Assets!$N$5:$N$254,MATCH(T466,Assets!$A$5:$A$254,0)),"Check - not in library")))</f>
        <v>0</v>
      </c>
      <c r="Y466" s="16">
        <f>IF(B466="","",B466-ProductionDays)</f>
        <v>0</v>
      </c>
      <c r="Z466" s="16">
        <f>IF(B466="","",B466-ApprovalDays)</f>
        <v>0</v>
      </c>
      <c r="AA466" s="23">
        <f>IF(B466="","",B466-TODAY())</f>
        <v>0</v>
      </c>
      <c r="AC466" s="29">
        <f>IF(H466="","",IF(X466="Published",IF(AB466="","Add - link missing","Yes"),"No"))</f>
        <v>0</v>
      </c>
      <c r="AD466" s="23">
        <f>IF(A466="","",IF(COUNTIF(Performance!$B$5:$B$404,A466)=0,"",SUMIFS(Performance!$O$5:$O$404,Performance!$B$5:$B$404,A466)))</f>
        <v>0</v>
      </c>
      <c r="AE466" s="23">
        <f>IF(AD466="","",SUMIFS(Performance!$Z$5:$Z$404,Performance!$B$5:$B$404,A466))</f>
        <v>0</v>
      </c>
      <c r="AF466" s="24">
        <f>IF(OR(AD466="",AD466=0),"",AE466/AD466)</f>
        <v>0</v>
      </c>
      <c r="AG466" s="23">
        <f>IF(AD466="","",SUMIFS(Performance!$U$5:$U$404,Performance!$B$5:$B$404,A466))</f>
        <v>0</v>
      </c>
      <c r="AH466" s="23">
        <f>IF(A466="","",COUNTIF(Repurposing!$B$5:$B$154,A466))</f>
        <v>0</v>
      </c>
      <c r="AI466" s="32">
        <f>IF(OR(H466="",B466=""),"",B466+ROW()/100000)</f>
        <v>0</v>
      </c>
      <c r="AJ466" s="32">
        <f>IF(OR(H466="",B466=""),"",IF(OR(X466="Published",X466="Cancelled",X466="Archived"),"",IF(B466&lt;TODAY(),"",B466+ROW()/100000)))</f>
        <v>0</v>
      </c>
      <c r="AK466" s="32">
        <f>IF(OR(H466="",B466=""),"",IF(OR(X466="Published",X466="Cancelled",X466="Archived"),"",IF(B466&gt;=TODAY(),"",B466+ROW()/100000)))</f>
        <v>0</v>
      </c>
      <c r="AL466" s="29">
        <f>IF(H466="","",IF(COUNTIFS('Content Calendar'!$H$5:$H$604,H466,'Content Calendar'!$G$5:$G$604,G466,'Content Calendar'!$B$5:$B$604,B466)&gt;1,"Duplicate","OK"))</f>
        <v>0</v>
      </c>
      <c r="AM466" s="29">
        <f>IF(H466="","",IF(AND(B466&lt;&gt;"",B466&lt;TODAY(),X466&lt;&gt;"Published",X466&lt;&gt;"Cancelled",X466&lt;&gt;"Archived"),"Overdue - date has passed",IF(AND(X466="Published",AB466=""),"Add - publish link missing",IF(AND(B466=TODAY(),X466&lt;&gt;"Published"),"Today - due to go live",IF(AND(Y466&lt;&gt;"",Y466&lt;TODAY(),OR(X466="Idea",X466="Brief",X466="In production")),"Late - draft not ready",IF(AND(AA466&gt;=0,AA466&lt;=3,OR(X466="Draft",X466="Awaiting review")),"Due - needs approval",IF(AND(H466&lt;&gt;"",P466=""),"Add - caption missing","OK")))))))</f>
        <v>0</v>
      </c>
    </row>
    <row r="467" spans="1:39">
      <c r="A467" s="41">
        <f>IF(H467="","",ContentPrefix&amp;TEXT(ROW()-4,"0000"))</f>
        <v>0</v>
      </c>
      <c r="D467" s="17">
        <f>IF(B467="","",TEXT(B467,"yyyy-mm"))</f>
        <v>0</v>
      </c>
      <c r="E467" s="23">
        <f>IF(B467="","",WEEKNUM(B467,IF(WeekStart="Sunday",1,2)))</f>
        <v>0</v>
      </c>
      <c r="F467" s="17">
        <f>IF(B467="","",TEXT(B467,"ddd"))</f>
        <v>0</v>
      </c>
      <c r="Q467" s="29">
        <f>IF(H467="","",IF(P467="","Add - no caption",IFERROR(INDEX('Caption Bank'!$R$5:$R$204,MATCH(P467,'Caption Bank'!$B$5:$B$204,0)),"Check - not in bank")))</f>
        <v>0</v>
      </c>
      <c r="S467" s="23">
        <f>IF(R467="","",COUNTIF('Hashtag Bank'!$D$5:$D$304,R467))</f>
        <v>0</v>
      </c>
      <c r="U467" s="29">
        <f>IF(H467="","",IF(T467="","Add - no asset",IFERROR(INDEX(Assets!$N$5:$N$254,MATCH(T467,Assets!$A$5:$A$254,0)),"Check - not in library")))</f>
        <v>0</v>
      </c>
      <c r="Y467" s="16">
        <f>IF(B467="","",B467-ProductionDays)</f>
        <v>0</v>
      </c>
      <c r="Z467" s="16">
        <f>IF(B467="","",B467-ApprovalDays)</f>
        <v>0</v>
      </c>
      <c r="AA467" s="23">
        <f>IF(B467="","",B467-TODAY())</f>
        <v>0</v>
      </c>
      <c r="AC467" s="29">
        <f>IF(H467="","",IF(X467="Published",IF(AB467="","Add - link missing","Yes"),"No"))</f>
        <v>0</v>
      </c>
      <c r="AD467" s="23">
        <f>IF(A467="","",IF(COUNTIF(Performance!$B$5:$B$404,A467)=0,"",SUMIFS(Performance!$O$5:$O$404,Performance!$B$5:$B$404,A467)))</f>
        <v>0</v>
      </c>
      <c r="AE467" s="23">
        <f>IF(AD467="","",SUMIFS(Performance!$Z$5:$Z$404,Performance!$B$5:$B$404,A467))</f>
        <v>0</v>
      </c>
      <c r="AF467" s="24">
        <f>IF(OR(AD467="",AD467=0),"",AE467/AD467)</f>
        <v>0</v>
      </c>
      <c r="AG467" s="23">
        <f>IF(AD467="","",SUMIFS(Performance!$U$5:$U$404,Performance!$B$5:$B$404,A467))</f>
        <v>0</v>
      </c>
      <c r="AH467" s="23">
        <f>IF(A467="","",COUNTIF(Repurposing!$B$5:$B$154,A467))</f>
        <v>0</v>
      </c>
      <c r="AI467" s="32">
        <f>IF(OR(H467="",B467=""),"",B467+ROW()/100000)</f>
        <v>0</v>
      </c>
      <c r="AJ467" s="32">
        <f>IF(OR(H467="",B467=""),"",IF(OR(X467="Published",X467="Cancelled",X467="Archived"),"",IF(B467&lt;TODAY(),"",B467+ROW()/100000)))</f>
        <v>0</v>
      </c>
      <c r="AK467" s="32">
        <f>IF(OR(H467="",B467=""),"",IF(OR(X467="Published",X467="Cancelled",X467="Archived"),"",IF(B467&gt;=TODAY(),"",B467+ROW()/100000)))</f>
        <v>0</v>
      </c>
      <c r="AL467" s="29">
        <f>IF(H467="","",IF(COUNTIFS('Content Calendar'!$H$5:$H$604,H467,'Content Calendar'!$G$5:$G$604,G467,'Content Calendar'!$B$5:$B$604,B467)&gt;1,"Duplicate","OK"))</f>
        <v>0</v>
      </c>
      <c r="AM467" s="29">
        <f>IF(H467="","",IF(AND(B467&lt;&gt;"",B467&lt;TODAY(),X467&lt;&gt;"Published",X467&lt;&gt;"Cancelled",X467&lt;&gt;"Archived"),"Overdue - date has passed",IF(AND(X467="Published",AB467=""),"Add - publish link missing",IF(AND(B467=TODAY(),X467&lt;&gt;"Published"),"Today - due to go live",IF(AND(Y467&lt;&gt;"",Y467&lt;TODAY(),OR(X467="Idea",X467="Brief",X467="In production")),"Late - draft not ready",IF(AND(AA467&gt;=0,AA467&lt;=3,OR(X467="Draft",X467="Awaiting review")),"Due - needs approval",IF(AND(H467&lt;&gt;"",P467=""),"Add - caption missing","OK")))))))</f>
        <v>0</v>
      </c>
    </row>
    <row r="468" spans="1:39">
      <c r="A468" s="41">
        <f>IF(H468="","",ContentPrefix&amp;TEXT(ROW()-4,"0000"))</f>
        <v>0</v>
      </c>
      <c r="D468" s="17">
        <f>IF(B468="","",TEXT(B468,"yyyy-mm"))</f>
        <v>0</v>
      </c>
      <c r="E468" s="23">
        <f>IF(B468="","",WEEKNUM(B468,IF(WeekStart="Sunday",1,2)))</f>
        <v>0</v>
      </c>
      <c r="F468" s="17">
        <f>IF(B468="","",TEXT(B468,"ddd"))</f>
        <v>0</v>
      </c>
      <c r="Q468" s="29">
        <f>IF(H468="","",IF(P468="","Add - no caption",IFERROR(INDEX('Caption Bank'!$R$5:$R$204,MATCH(P468,'Caption Bank'!$B$5:$B$204,0)),"Check - not in bank")))</f>
        <v>0</v>
      </c>
      <c r="S468" s="23">
        <f>IF(R468="","",COUNTIF('Hashtag Bank'!$D$5:$D$304,R468))</f>
        <v>0</v>
      </c>
      <c r="U468" s="29">
        <f>IF(H468="","",IF(T468="","Add - no asset",IFERROR(INDEX(Assets!$N$5:$N$254,MATCH(T468,Assets!$A$5:$A$254,0)),"Check - not in library")))</f>
        <v>0</v>
      </c>
      <c r="Y468" s="16">
        <f>IF(B468="","",B468-ProductionDays)</f>
        <v>0</v>
      </c>
      <c r="Z468" s="16">
        <f>IF(B468="","",B468-ApprovalDays)</f>
        <v>0</v>
      </c>
      <c r="AA468" s="23">
        <f>IF(B468="","",B468-TODAY())</f>
        <v>0</v>
      </c>
      <c r="AC468" s="29">
        <f>IF(H468="","",IF(X468="Published",IF(AB468="","Add - link missing","Yes"),"No"))</f>
        <v>0</v>
      </c>
      <c r="AD468" s="23">
        <f>IF(A468="","",IF(COUNTIF(Performance!$B$5:$B$404,A468)=0,"",SUMIFS(Performance!$O$5:$O$404,Performance!$B$5:$B$404,A468)))</f>
        <v>0</v>
      </c>
      <c r="AE468" s="23">
        <f>IF(AD468="","",SUMIFS(Performance!$Z$5:$Z$404,Performance!$B$5:$B$404,A468))</f>
        <v>0</v>
      </c>
      <c r="AF468" s="24">
        <f>IF(OR(AD468="",AD468=0),"",AE468/AD468)</f>
        <v>0</v>
      </c>
      <c r="AG468" s="23">
        <f>IF(AD468="","",SUMIFS(Performance!$U$5:$U$404,Performance!$B$5:$B$404,A468))</f>
        <v>0</v>
      </c>
      <c r="AH468" s="23">
        <f>IF(A468="","",COUNTIF(Repurposing!$B$5:$B$154,A468))</f>
        <v>0</v>
      </c>
      <c r="AI468" s="32">
        <f>IF(OR(H468="",B468=""),"",B468+ROW()/100000)</f>
        <v>0</v>
      </c>
      <c r="AJ468" s="32">
        <f>IF(OR(H468="",B468=""),"",IF(OR(X468="Published",X468="Cancelled",X468="Archived"),"",IF(B468&lt;TODAY(),"",B468+ROW()/100000)))</f>
        <v>0</v>
      </c>
      <c r="AK468" s="32">
        <f>IF(OR(H468="",B468=""),"",IF(OR(X468="Published",X468="Cancelled",X468="Archived"),"",IF(B468&gt;=TODAY(),"",B468+ROW()/100000)))</f>
        <v>0</v>
      </c>
      <c r="AL468" s="29">
        <f>IF(H468="","",IF(COUNTIFS('Content Calendar'!$H$5:$H$604,H468,'Content Calendar'!$G$5:$G$604,G468,'Content Calendar'!$B$5:$B$604,B468)&gt;1,"Duplicate","OK"))</f>
        <v>0</v>
      </c>
      <c r="AM468" s="29">
        <f>IF(H468="","",IF(AND(B468&lt;&gt;"",B468&lt;TODAY(),X468&lt;&gt;"Published",X468&lt;&gt;"Cancelled",X468&lt;&gt;"Archived"),"Overdue - date has passed",IF(AND(X468="Published",AB468=""),"Add - publish link missing",IF(AND(B468=TODAY(),X468&lt;&gt;"Published"),"Today - due to go live",IF(AND(Y468&lt;&gt;"",Y468&lt;TODAY(),OR(X468="Idea",X468="Brief",X468="In production")),"Late - draft not ready",IF(AND(AA468&gt;=0,AA468&lt;=3,OR(X468="Draft",X468="Awaiting review")),"Due - needs approval",IF(AND(H468&lt;&gt;"",P468=""),"Add - caption missing","OK")))))))</f>
        <v>0</v>
      </c>
    </row>
    <row r="469" spans="1:39">
      <c r="A469" s="41">
        <f>IF(H469="","",ContentPrefix&amp;TEXT(ROW()-4,"0000"))</f>
        <v>0</v>
      </c>
      <c r="D469" s="17">
        <f>IF(B469="","",TEXT(B469,"yyyy-mm"))</f>
        <v>0</v>
      </c>
      <c r="E469" s="23">
        <f>IF(B469="","",WEEKNUM(B469,IF(WeekStart="Sunday",1,2)))</f>
        <v>0</v>
      </c>
      <c r="F469" s="17">
        <f>IF(B469="","",TEXT(B469,"ddd"))</f>
        <v>0</v>
      </c>
      <c r="Q469" s="29">
        <f>IF(H469="","",IF(P469="","Add - no caption",IFERROR(INDEX('Caption Bank'!$R$5:$R$204,MATCH(P469,'Caption Bank'!$B$5:$B$204,0)),"Check - not in bank")))</f>
        <v>0</v>
      </c>
      <c r="S469" s="23">
        <f>IF(R469="","",COUNTIF('Hashtag Bank'!$D$5:$D$304,R469))</f>
        <v>0</v>
      </c>
      <c r="U469" s="29">
        <f>IF(H469="","",IF(T469="","Add - no asset",IFERROR(INDEX(Assets!$N$5:$N$254,MATCH(T469,Assets!$A$5:$A$254,0)),"Check - not in library")))</f>
        <v>0</v>
      </c>
      <c r="Y469" s="16">
        <f>IF(B469="","",B469-ProductionDays)</f>
        <v>0</v>
      </c>
      <c r="Z469" s="16">
        <f>IF(B469="","",B469-ApprovalDays)</f>
        <v>0</v>
      </c>
      <c r="AA469" s="23">
        <f>IF(B469="","",B469-TODAY())</f>
        <v>0</v>
      </c>
      <c r="AC469" s="29">
        <f>IF(H469="","",IF(X469="Published",IF(AB469="","Add - link missing","Yes"),"No"))</f>
        <v>0</v>
      </c>
      <c r="AD469" s="23">
        <f>IF(A469="","",IF(COUNTIF(Performance!$B$5:$B$404,A469)=0,"",SUMIFS(Performance!$O$5:$O$404,Performance!$B$5:$B$404,A469)))</f>
        <v>0</v>
      </c>
      <c r="AE469" s="23">
        <f>IF(AD469="","",SUMIFS(Performance!$Z$5:$Z$404,Performance!$B$5:$B$404,A469))</f>
        <v>0</v>
      </c>
      <c r="AF469" s="24">
        <f>IF(OR(AD469="",AD469=0),"",AE469/AD469)</f>
        <v>0</v>
      </c>
      <c r="AG469" s="23">
        <f>IF(AD469="","",SUMIFS(Performance!$U$5:$U$404,Performance!$B$5:$B$404,A469))</f>
        <v>0</v>
      </c>
      <c r="AH469" s="23">
        <f>IF(A469="","",COUNTIF(Repurposing!$B$5:$B$154,A469))</f>
        <v>0</v>
      </c>
      <c r="AI469" s="32">
        <f>IF(OR(H469="",B469=""),"",B469+ROW()/100000)</f>
        <v>0</v>
      </c>
      <c r="AJ469" s="32">
        <f>IF(OR(H469="",B469=""),"",IF(OR(X469="Published",X469="Cancelled",X469="Archived"),"",IF(B469&lt;TODAY(),"",B469+ROW()/100000)))</f>
        <v>0</v>
      </c>
      <c r="AK469" s="32">
        <f>IF(OR(H469="",B469=""),"",IF(OR(X469="Published",X469="Cancelled",X469="Archived"),"",IF(B469&gt;=TODAY(),"",B469+ROW()/100000)))</f>
        <v>0</v>
      </c>
      <c r="AL469" s="29">
        <f>IF(H469="","",IF(COUNTIFS('Content Calendar'!$H$5:$H$604,H469,'Content Calendar'!$G$5:$G$604,G469,'Content Calendar'!$B$5:$B$604,B469)&gt;1,"Duplicate","OK"))</f>
        <v>0</v>
      </c>
      <c r="AM469" s="29">
        <f>IF(H469="","",IF(AND(B469&lt;&gt;"",B469&lt;TODAY(),X469&lt;&gt;"Published",X469&lt;&gt;"Cancelled",X469&lt;&gt;"Archived"),"Overdue - date has passed",IF(AND(X469="Published",AB469=""),"Add - publish link missing",IF(AND(B469=TODAY(),X469&lt;&gt;"Published"),"Today - due to go live",IF(AND(Y469&lt;&gt;"",Y469&lt;TODAY(),OR(X469="Idea",X469="Brief",X469="In production")),"Late - draft not ready",IF(AND(AA469&gt;=0,AA469&lt;=3,OR(X469="Draft",X469="Awaiting review")),"Due - needs approval",IF(AND(H469&lt;&gt;"",P469=""),"Add - caption missing","OK")))))))</f>
        <v>0</v>
      </c>
    </row>
    <row r="470" spans="1:39">
      <c r="A470" s="41">
        <f>IF(H470="","",ContentPrefix&amp;TEXT(ROW()-4,"0000"))</f>
        <v>0</v>
      </c>
      <c r="D470" s="17">
        <f>IF(B470="","",TEXT(B470,"yyyy-mm"))</f>
        <v>0</v>
      </c>
      <c r="E470" s="23">
        <f>IF(B470="","",WEEKNUM(B470,IF(WeekStart="Sunday",1,2)))</f>
        <v>0</v>
      </c>
      <c r="F470" s="17">
        <f>IF(B470="","",TEXT(B470,"ddd"))</f>
        <v>0</v>
      </c>
      <c r="Q470" s="29">
        <f>IF(H470="","",IF(P470="","Add - no caption",IFERROR(INDEX('Caption Bank'!$R$5:$R$204,MATCH(P470,'Caption Bank'!$B$5:$B$204,0)),"Check - not in bank")))</f>
        <v>0</v>
      </c>
      <c r="S470" s="23">
        <f>IF(R470="","",COUNTIF('Hashtag Bank'!$D$5:$D$304,R470))</f>
        <v>0</v>
      </c>
      <c r="U470" s="29">
        <f>IF(H470="","",IF(T470="","Add - no asset",IFERROR(INDEX(Assets!$N$5:$N$254,MATCH(T470,Assets!$A$5:$A$254,0)),"Check - not in library")))</f>
        <v>0</v>
      </c>
      <c r="Y470" s="16">
        <f>IF(B470="","",B470-ProductionDays)</f>
        <v>0</v>
      </c>
      <c r="Z470" s="16">
        <f>IF(B470="","",B470-ApprovalDays)</f>
        <v>0</v>
      </c>
      <c r="AA470" s="23">
        <f>IF(B470="","",B470-TODAY())</f>
        <v>0</v>
      </c>
      <c r="AC470" s="29">
        <f>IF(H470="","",IF(X470="Published",IF(AB470="","Add - link missing","Yes"),"No"))</f>
        <v>0</v>
      </c>
      <c r="AD470" s="23">
        <f>IF(A470="","",IF(COUNTIF(Performance!$B$5:$B$404,A470)=0,"",SUMIFS(Performance!$O$5:$O$404,Performance!$B$5:$B$404,A470)))</f>
        <v>0</v>
      </c>
      <c r="AE470" s="23">
        <f>IF(AD470="","",SUMIFS(Performance!$Z$5:$Z$404,Performance!$B$5:$B$404,A470))</f>
        <v>0</v>
      </c>
      <c r="AF470" s="24">
        <f>IF(OR(AD470="",AD470=0),"",AE470/AD470)</f>
        <v>0</v>
      </c>
      <c r="AG470" s="23">
        <f>IF(AD470="","",SUMIFS(Performance!$U$5:$U$404,Performance!$B$5:$B$404,A470))</f>
        <v>0</v>
      </c>
      <c r="AH470" s="23">
        <f>IF(A470="","",COUNTIF(Repurposing!$B$5:$B$154,A470))</f>
        <v>0</v>
      </c>
      <c r="AI470" s="32">
        <f>IF(OR(H470="",B470=""),"",B470+ROW()/100000)</f>
        <v>0</v>
      </c>
      <c r="AJ470" s="32">
        <f>IF(OR(H470="",B470=""),"",IF(OR(X470="Published",X470="Cancelled",X470="Archived"),"",IF(B470&lt;TODAY(),"",B470+ROW()/100000)))</f>
        <v>0</v>
      </c>
      <c r="AK470" s="32">
        <f>IF(OR(H470="",B470=""),"",IF(OR(X470="Published",X470="Cancelled",X470="Archived"),"",IF(B470&gt;=TODAY(),"",B470+ROW()/100000)))</f>
        <v>0</v>
      </c>
      <c r="AL470" s="29">
        <f>IF(H470="","",IF(COUNTIFS('Content Calendar'!$H$5:$H$604,H470,'Content Calendar'!$G$5:$G$604,G470,'Content Calendar'!$B$5:$B$604,B470)&gt;1,"Duplicate","OK"))</f>
        <v>0</v>
      </c>
      <c r="AM470" s="29">
        <f>IF(H470="","",IF(AND(B470&lt;&gt;"",B470&lt;TODAY(),X470&lt;&gt;"Published",X470&lt;&gt;"Cancelled",X470&lt;&gt;"Archived"),"Overdue - date has passed",IF(AND(X470="Published",AB470=""),"Add - publish link missing",IF(AND(B470=TODAY(),X470&lt;&gt;"Published"),"Today - due to go live",IF(AND(Y470&lt;&gt;"",Y470&lt;TODAY(),OR(X470="Idea",X470="Brief",X470="In production")),"Late - draft not ready",IF(AND(AA470&gt;=0,AA470&lt;=3,OR(X470="Draft",X470="Awaiting review")),"Due - needs approval",IF(AND(H470&lt;&gt;"",P470=""),"Add - caption missing","OK")))))))</f>
        <v>0</v>
      </c>
    </row>
    <row r="471" spans="1:39">
      <c r="A471" s="41">
        <f>IF(H471="","",ContentPrefix&amp;TEXT(ROW()-4,"0000"))</f>
        <v>0</v>
      </c>
      <c r="D471" s="17">
        <f>IF(B471="","",TEXT(B471,"yyyy-mm"))</f>
        <v>0</v>
      </c>
      <c r="E471" s="23">
        <f>IF(B471="","",WEEKNUM(B471,IF(WeekStart="Sunday",1,2)))</f>
        <v>0</v>
      </c>
      <c r="F471" s="17">
        <f>IF(B471="","",TEXT(B471,"ddd"))</f>
        <v>0</v>
      </c>
      <c r="Q471" s="29">
        <f>IF(H471="","",IF(P471="","Add - no caption",IFERROR(INDEX('Caption Bank'!$R$5:$R$204,MATCH(P471,'Caption Bank'!$B$5:$B$204,0)),"Check - not in bank")))</f>
        <v>0</v>
      </c>
      <c r="S471" s="23">
        <f>IF(R471="","",COUNTIF('Hashtag Bank'!$D$5:$D$304,R471))</f>
        <v>0</v>
      </c>
      <c r="U471" s="29">
        <f>IF(H471="","",IF(T471="","Add - no asset",IFERROR(INDEX(Assets!$N$5:$N$254,MATCH(T471,Assets!$A$5:$A$254,0)),"Check - not in library")))</f>
        <v>0</v>
      </c>
      <c r="Y471" s="16">
        <f>IF(B471="","",B471-ProductionDays)</f>
        <v>0</v>
      </c>
      <c r="Z471" s="16">
        <f>IF(B471="","",B471-ApprovalDays)</f>
        <v>0</v>
      </c>
      <c r="AA471" s="23">
        <f>IF(B471="","",B471-TODAY())</f>
        <v>0</v>
      </c>
      <c r="AC471" s="29">
        <f>IF(H471="","",IF(X471="Published",IF(AB471="","Add - link missing","Yes"),"No"))</f>
        <v>0</v>
      </c>
      <c r="AD471" s="23">
        <f>IF(A471="","",IF(COUNTIF(Performance!$B$5:$B$404,A471)=0,"",SUMIFS(Performance!$O$5:$O$404,Performance!$B$5:$B$404,A471)))</f>
        <v>0</v>
      </c>
      <c r="AE471" s="23">
        <f>IF(AD471="","",SUMIFS(Performance!$Z$5:$Z$404,Performance!$B$5:$B$404,A471))</f>
        <v>0</v>
      </c>
      <c r="AF471" s="24">
        <f>IF(OR(AD471="",AD471=0),"",AE471/AD471)</f>
        <v>0</v>
      </c>
      <c r="AG471" s="23">
        <f>IF(AD471="","",SUMIFS(Performance!$U$5:$U$404,Performance!$B$5:$B$404,A471))</f>
        <v>0</v>
      </c>
      <c r="AH471" s="23">
        <f>IF(A471="","",COUNTIF(Repurposing!$B$5:$B$154,A471))</f>
        <v>0</v>
      </c>
      <c r="AI471" s="32">
        <f>IF(OR(H471="",B471=""),"",B471+ROW()/100000)</f>
        <v>0</v>
      </c>
      <c r="AJ471" s="32">
        <f>IF(OR(H471="",B471=""),"",IF(OR(X471="Published",X471="Cancelled",X471="Archived"),"",IF(B471&lt;TODAY(),"",B471+ROW()/100000)))</f>
        <v>0</v>
      </c>
      <c r="AK471" s="32">
        <f>IF(OR(H471="",B471=""),"",IF(OR(X471="Published",X471="Cancelled",X471="Archived"),"",IF(B471&gt;=TODAY(),"",B471+ROW()/100000)))</f>
        <v>0</v>
      </c>
      <c r="AL471" s="29">
        <f>IF(H471="","",IF(COUNTIFS('Content Calendar'!$H$5:$H$604,H471,'Content Calendar'!$G$5:$G$604,G471,'Content Calendar'!$B$5:$B$604,B471)&gt;1,"Duplicate","OK"))</f>
        <v>0</v>
      </c>
      <c r="AM471" s="29">
        <f>IF(H471="","",IF(AND(B471&lt;&gt;"",B471&lt;TODAY(),X471&lt;&gt;"Published",X471&lt;&gt;"Cancelled",X471&lt;&gt;"Archived"),"Overdue - date has passed",IF(AND(X471="Published",AB471=""),"Add - publish link missing",IF(AND(B471=TODAY(),X471&lt;&gt;"Published"),"Today - due to go live",IF(AND(Y471&lt;&gt;"",Y471&lt;TODAY(),OR(X471="Idea",X471="Brief",X471="In production")),"Late - draft not ready",IF(AND(AA471&gt;=0,AA471&lt;=3,OR(X471="Draft",X471="Awaiting review")),"Due - needs approval",IF(AND(H471&lt;&gt;"",P471=""),"Add - caption missing","OK")))))))</f>
        <v>0</v>
      </c>
    </row>
    <row r="472" spans="1:39">
      <c r="A472" s="41">
        <f>IF(H472="","",ContentPrefix&amp;TEXT(ROW()-4,"0000"))</f>
        <v>0</v>
      </c>
      <c r="D472" s="17">
        <f>IF(B472="","",TEXT(B472,"yyyy-mm"))</f>
        <v>0</v>
      </c>
      <c r="E472" s="23">
        <f>IF(B472="","",WEEKNUM(B472,IF(WeekStart="Sunday",1,2)))</f>
        <v>0</v>
      </c>
      <c r="F472" s="17">
        <f>IF(B472="","",TEXT(B472,"ddd"))</f>
        <v>0</v>
      </c>
      <c r="Q472" s="29">
        <f>IF(H472="","",IF(P472="","Add - no caption",IFERROR(INDEX('Caption Bank'!$R$5:$R$204,MATCH(P472,'Caption Bank'!$B$5:$B$204,0)),"Check - not in bank")))</f>
        <v>0</v>
      </c>
      <c r="S472" s="23">
        <f>IF(R472="","",COUNTIF('Hashtag Bank'!$D$5:$D$304,R472))</f>
        <v>0</v>
      </c>
      <c r="U472" s="29">
        <f>IF(H472="","",IF(T472="","Add - no asset",IFERROR(INDEX(Assets!$N$5:$N$254,MATCH(T472,Assets!$A$5:$A$254,0)),"Check - not in library")))</f>
        <v>0</v>
      </c>
      <c r="Y472" s="16">
        <f>IF(B472="","",B472-ProductionDays)</f>
        <v>0</v>
      </c>
      <c r="Z472" s="16">
        <f>IF(B472="","",B472-ApprovalDays)</f>
        <v>0</v>
      </c>
      <c r="AA472" s="23">
        <f>IF(B472="","",B472-TODAY())</f>
        <v>0</v>
      </c>
      <c r="AC472" s="29">
        <f>IF(H472="","",IF(X472="Published",IF(AB472="","Add - link missing","Yes"),"No"))</f>
        <v>0</v>
      </c>
      <c r="AD472" s="23">
        <f>IF(A472="","",IF(COUNTIF(Performance!$B$5:$B$404,A472)=0,"",SUMIFS(Performance!$O$5:$O$404,Performance!$B$5:$B$404,A472)))</f>
        <v>0</v>
      </c>
      <c r="AE472" s="23">
        <f>IF(AD472="","",SUMIFS(Performance!$Z$5:$Z$404,Performance!$B$5:$B$404,A472))</f>
        <v>0</v>
      </c>
      <c r="AF472" s="24">
        <f>IF(OR(AD472="",AD472=0),"",AE472/AD472)</f>
        <v>0</v>
      </c>
      <c r="AG472" s="23">
        <f>IF(AD472="","",SUMIFS(Performance!$U$5:$U$404,Performance!$B$5:$B$404,A472))</f>
        <v>0</v>
      </c>
      <c r="AH472" s="23">
        <f>IF(A472="","",COUNTIF(Repurposing!$B$5:$B$154,A472))</f>
        <v>0</v>
      </c>
      <c r="AI472" s="32">
        <f>IF(OR(H472="",B472=""),"",B472+ROW()/100000)</f>
        <v>0</v>
      </c>
      <c r="AJ472" s="32">
        <f>IF(OR(H472="",B472=""),"",IF(OR(X472="Published",X472="Cancelled",X472="Archived"),"",IF(B472&lt;TODAY(),"",B472+ROW()/100000)))</f>
        <v>0</v>
      </c>
      <c r="AK472" s="32">
        <f>IF(OR(H472="",B472=""),"",IF(OR(X472="Published",X472="Cancelled",X472="Archived"),"",IF(B472&gt;=TODAY(),"",B472+ROW()/100000)))</f>
        <v>0</v>
      </c>
      <c r="AL472" s="29">
        <f>IF(H472="","",IF(COUNTIFS('Content Calendar'!$H$5:$H$604,H472,'Content Calendar'!$G$5:$G$604,G472,'Content Calendar'!$B$5:$B$604,B472)&gt;1,"Duplicate","OK"))</f>
        <v>0</v>
      </c>
      <c r="AM472" s="29">
        <f>IF(H472="","",IF(AND(B472&lt;&gt;"",B472&lt;TODAY(),X472&lt;&gt;"Published",X472&lt;&gt;"Cancelled",X472&lt;&gt;"Archived"),"Overdue - date has passed",IF(AND(X472="Published",AB472=""),"Add - publish link missing",IF(AND(B472=TODAY(),X472&lt;&gt;"Published"),"Today - due to go live",IF(AND(Y472&lt;&gt;"",Y472&lt;TODAY(),OR(X472="Idea",X472="Brief",X472="In production")),"Late - draft not ready",IF(AND(AA472&gt;=0,AA472&lt;=3,OR(X472="Draft",X472="Awaiting review")),"Due - needs approval",IF(AND(H472&lt;&gt;"",P472=""),"Add - caption missing","OK")))))))</f>
        <v>0</v>
      </c>
    </row>
    <row r="473" spans="1:39">
      <c r="A473" s="41">
        <f>IF(H473="","",ContentPrefix&amp;TEXT(ROW()-4,"0000"))</f>
        <v>0</v>
      </c>
      <c r="D473" s="17">
        <f>IF(B473="","",TEXT(B473,"yyyy-mm"))</f>
        <v>0</v>
      </c>
      <c r="E473" s="23">
        <f>IF(B473="","",WEEKNUM(B473,IF(WeekStart="Sunday",1,2)))</f>
        <v>0</v>
      </c>
      <c r="F473" s="17">
        <f>IF(B473="","",TEXT(B473,"ddd"))</f>
        <v>0</v>
      </c>
      <c r="Q473" s="29">
        <f>IF(H473="","",IF(P473="","Add - no caption",IFERROR(INDEX('Caption Bank'!$R$5:$R$204,MATCH(P473,'Caption Bank'!$B$5:$B$204,0)),"Check - not in bank")))</f>
        <v>0</v>
      </c>
      <c r="S473" s="23">
        <f>IF(R473="","",COUNTIF('Hashtag Bank'!$D$5:$D$304,R473))</f>
        <v>0</v>
      </c>
      <c r="U473" s="29">
        <f>IF(H473="","",IF(T473="","Add - no asset",IFERROR(INDEX(Assets!$N$5:$N$254,MATCH(T473,Assets!$A$5:$A$254,0)),"Check - not in library")))</f>
        <v>0</v>
      </c>
      <c r="Y473" s="16">
        <f>IF(B473="","",B473-ProductionDays)</f>
        <v>0</v>
      </c>
      <c r="Z473" s="16">
        <f>IF(B473="","",B473-ApprovalDays)</f>
        <v>0</v>
      </c>
      <c r="AA473" s="23">
        <f>IF(B473="","",B473-TODAY())</f>
        <v>0</v>
      </c>
      <c r="AC473" s="29">
        <f>IF(H473="","",IF(X473="Published",IF(AB473="","Add - link missing","Yes"),"No"))</f>
        <v>0</v>
      </c>
      <c r="AD473" s="23">
        <f>IF(A473="","",IF(COUNTIF(Performance!$B$5:$B$404,A473)=0,"",SUMIFS(Performance!$O$5:$O$404,Performance!$B$5:$B$404,A473)))</f>
        <v>0</v>
      </c>
      <c r="AE473" s="23">
        <f>IF(AD473="","",SUMIFS(Performance!$Z$5:$Z$404,Performance!$B$5:$B$404,A473))</f>
        <v>0</v>
      </c>
      <c r="AF473" s="24">
        <f>IF(OR(AD473="",AD473=0),"",AE473/AD473)</f>
        <v>0</v>
      </c>
      <c r="AG473" s="23">
        <f>IF(AD473="","",SUMIFS(Performance!$U$5:$U$404,Performance!$B$5:$B$404,A473))</f>
        <v>0</v>
      </c>
      <c r="AH473" s="23">
        <f>IF(A473="","",COUNTIF(Repurposing!$B$5:$B$154,A473))</f>
        <v>0</v>
      </c>
      <c r="AI473" s="32">
        <f>IF(OR(H473="",B473=""),"",B473+ROW()/100000)</f>
        <v>0</v>
      </c>
      <c r="AJ473" s="32">
        <f>IF(OR(H473="",B473=""),"",IF(OR(X473="Published",X473="Cancelled",X473="Archived"),"",IF(B473&lt;TODAY(),"",B473+ROW()/100000)))</f>
        <v>0</v>
      </c>
      <c r="AK473" s="32">
        <f>IF(OR(H473="",B473=""),"",IF(OR(X473="Published",X473="Cancelled",X473="Archived"),"",IF(B473&gt;=TODAY(),"",B473+ROW()/100000)))</f>
        <v>0</v>
      </c>
      <c r="AL473" s="29">
        <f>IF(H473="","",IF(COUNTIFS('Content Calendar'!$H$5:$H$604,H473,'Content Calendar'!$G$5:$G$604,G473,'Content Calendar'!$B$5:$B$604,B473)&gt;1,"Duplicate","OK"))</f>
        <v>0</v>
      </c>
      <c r="AM473" s="29">
        <f>IF(H473="","",IF(AND(B473&lt;&gt;"",B473&lt;TODAY(),X473&lt;&gt;"Published",X473&lt;&gt;"Cancelled",X473&lt;&gt;"Archived"),"Overdue - date has passed",IF(AND(X473="Published",AB473=""),"Add - publish link missing",IF(AND(B473=TODAY(),X473&lt;&gt;"Published"),"Today - due to go live",IF(AND(Y473&lt;&gt;"",Y473&lt;TODAY(),OR(X473="Idea",X473="Brief",X473="In production")),"Late - draft not ready",IF(AND(AA473&gt;=0,AA473&lt;=3,OR(X473="Draft",X473="Awaiting review")),"Due - needs approval",IF(AND(H473&lt;&gt;"",P473=""),"Add - caption missing","OK")))))))</f>
        <v>0</v>
      </c>
    </row>
    <row r="474" spans="1:39">
      <c r="A474" s="41">
        <f>IF(H474="","",ContentPrefix&amp;TEXT(ROW()-4,"0000"))</f>
        <v>0</v>
      </c>
      <c r="D474" s="17">
        <f>IF(B474="","",TEXT(B474,"yyyy-mm"))</f>
        <v>0</v>
      </c>
      <c r="E474" s="23">
        <f>IF(B474="","",WEEKNUM(B474,IF(WeekStart="Sunday",1,2)))</f>
        <v>0</v>
      </c>
      <c r="F474" s="17">
        <f>IF(B474="","",TEXT(B474,"ddd"))</f>
        <v>0</v>
      </c>
      <c r="Q474" s="29">
        <f>IF(H474="","",IF(P474="","Add - no caption",IFERROR(INDEX('Caption Bank'!$R$5:$R$204,MATCH(P474,'Caption Bank'!$B$5:$B$204,0)),"Check - not in bank")))</f>
        <v>0</v>
      </c>
      <c r="S474" s="23">
        <f>IF(R474="","",COUNTIF('Hashtag Bank'!$D$5:$D$304,R474))</f>
        <v>0</v>
      </c>
      <c r="U474" s="29">
        <f>IF(H474="","",IF(T474="","Add - no asset",IFERROR(INDEX(Assets!$N$5:$N$254,MATCH(T474,Assets!$A$5:$A$254,0)),"Check - not in library")))</f>
        <v>0</v>
      </c>
      <c r="Y474" s="16">
        <f>IF(B474="","",B474-ProductionDays)</f>
        <v>0</v>
      </c>
      <c r="Z474" s="16">
        <f>IF(B474="","",B474-ApprovalDays)</f>
        <v>0</v>
      </c>
      <c r="AA474" s="23">
        <f>IF(B474="","",B474-TODAY())</f>
        <v>0</v>
      </c>
      <c r="AC474" s="29">
        <f>IF(H474="","",IF(X474="Published",IF(AB474="","Add - link missing","Yes"),"No"))</f>
        <v>0</v>
      </c>
      <c r="AD474" s="23">
        <f>IF(A474="","",IF(COUNTIF(Performance!$B$5:$B$404,A474)=0,"",SUMIFS(Performance!$O$5:$O$404,Performance!$B$5:$B$404,A474)))</f>
        <v>0</v>
      </c>
      <c r="AE474" s="23">
        <f>IF(AD474="","",SUMIFS(Performance!$Z$5:$Z$404,Performance!$B$5:$B$404,A474))</f>
        <v>0</v>
      </c>
      <c r="AF474" s="24">
        <f>IF(OR(AD474="",AD474=0),"",AE474/AD474)</f>
        <v>0</v>
      </c>
      <c r="AG474" s="23">
        <f>IF(AD474="","",SUMIFS(Performance!$U$5:$U$404,Performance!$B$5:$B$404,A474))</f>
        <v>0</v>
      </c>
      <c r="AH474" s="23">
        <f>IF(A474="","",COUNTIF(Repurposing!$B$5:$B$154,A474))</f>
        <v>0</v>
      </c>
      <c r="AI474" s="32">
        <f>IF(OR(H474="",B474=""),"",B474+ROW()/100000)</f>
        <v>0</v>
      </c>
      <c r="AJ474" s="32">
        <f>IF(OR(H474="",B474=""),"",IF(OR(X474="Published",X474="Cancelled",X474="Archived"),"",IF(B474&lt;TODAY(),"",B474+ROW()/100000)))</f>
        <v>0</v>
      </c>
      <c r="AK474" s="32">
        <f>IF(OR(H474="",B474=""),"",IF(OR(X474="Published",X474="Cancelled",X474="Archived"),"",IF(B474&gt;=TODAY(),"",B474+ROW()/100000)))</f>
        <v>0</v>
      </c>
      <c r="AL474" s="29">
        <f>IF(H474="","",IF(COUNTIFS('Content Calendar'!$H$5:$H$604,H474,'Content Calendar'!$G$5:$G$604,G474,'Content Calendar'!$B$5:$B$604,B474)&gt;1,"Duplicate","OK"))</f>
        <v>0</v>
      </c>
      <c r="AM474" s="29">
        <f>IF(H474="","",IF(AND(B474&lt;&gt;"",B474&lt;TODAY(),X474&lt;&gt;"Published",X474&lt;&gt;"Cancelled",X474&lt;&gt;"Archived"),"Overdue - date has passed",IF(AND(X474="Published",AB474=""),"Add - publish link missing",IF(AND(B474=TODAY(),X474&lt;&gt;"Published"),"Today - due to go live",IF(AND(Y474&lt;&gt;"",Y474&lt;TODAY(),OR(X474="Idea",X474="Brief",X474="In production")),"Late - draft not ready",IF(AND(AA474&gt;=0,AA474&lt;=3,OR(X474="Draft",X474="Awaiting review")),"Due - needs approval",IF(AND(H474&lt;&gt;"",P474=""),"Add - caption missing","OK")))))))</f>
        <v>0</v>
      </c>
    </row>
    <row r="475" spans="1:39">
      <c r="A475" s="41">
        <f>IF(H475="","",ContentPrefix&amp;TEXT(ROW()-4,"0000"))</f>
        <v>0</v>
      </c>
      <c r="D475" s="17">
        <f>IF(B475="","",TEXT(B475,"yyyy-mm"))</f>
        <v>0</v>
      </c>
      <c r="E475" s="23">
        <f>IF(B475="","",WEEKNUM(B475,IF(WeekStart="Sunday",1,2)))</f>
        <v>0</v>
      </c>
      <c r="F475" s="17">
        <f>IF(B475="","",TEXT(B475,"ddd"))</f>
        <v>0</v>
      </c>
      <c r="Q475" s="29">
        <f>IF(H475="","",IF(P475="","Add - no caption",IFERROR(INDEX('Caption Bank'!$R$5:$R$204,MATCH(P475,'Caption Bank'!$B$5:$B$204,0)),"Check - not in bank")))</f>
        <v>0</v>
      </c>
      <c r="S475" s="23">
        <f>IF(R475="","",COUNTIF('Hashtag Bank'!$D$5:$D$304,R475))</f>
        <v>0</v>
      </c>
      <c r="U475" s="29">
        <f>IF(H475="","",IF(T475="","Add - no asset",IFERROR(INDEX(Assets!$N$5:$N$254,MATCH(T475,Assets!$A$5:$A$254,0)),"Check - not in library")))</f>
        <v>0</v>
      </c>
      <c r="Y475" s="16">
        <f>IF(B475="","",B475-ProductionDays)</f>
        <v>0</v>
      </c>
      <c r="Z475" s="16">
        <f>IF(B475="","",B475-ApprovalDays)</f>
        <v>0</v>
      </c>
      <c r="AA475" s="23">
        <f>IF(B475="","",B475-TODAY())</f>
        <v>0</v>
      </c>
      <c r="AC475" s="29">
        <f>IF(H475="","",IF(X475="Published",IF(AB475="","Add - link missing","Yes"),"No"))</f>
        <v>0</v>
      </c>
      <c r="AD475" s="23">
        <f>IF(A475="","",IF(COUNTIF(Performance!$B$5:$B$404,A475)=0,"",SUMIFS(Performance!$O$5:$O$404,Performance!$B$5:$B$404,A475)))</f>
        <v>0</v>
      </c>
      <c r="AE475" s="23">
        <f>IF(AD475="","",SUMIFS(Performance!$Z$5:$Z$404,Performance!$B$5:$B$404,A475))</f>
        <v>0</v>
      </c>
      <c r="AF475" s="24">
        <f>IF(OR(AD475="",AD475=0),"",AE475/AD475)</f>
        <v>0</v>
      </c>
      <c r="AG475" s="23">
        <f>IF(AD475="","",SUMIFS(Performance!$U$5:$U$404,Performance!$B$5:$B$404,A475))</f>
        <v>0</v>
      </c>
      <c r="AH475" s="23">
        <f>IF(A475="","",COUNTIF(Repurposing!$B$5:$B$154,A475))</f>
        <v>0</v>
      </c>
      <c r="AI475" s="32">
        <f>IF(OR(H475="",B475=""),"",B475+ROW()/100000)</f>
        <v>0</v>
      </c>
      <c r="AJ475" s="32">
        <f>IF(OR(H475="",B475=""),"",IF(OR(X475="Published",X475="Cancelled",X475="Archived"),"",IF(B475&lt;TODAY(),"",B475+ROW()/100000)))</f>
        <v>0</v>
      </c>
      <c r="AK475" s="32">
        <f>IF(OR(H475="",B475=""),"",IF(OR(X475="Published",X475="Cancelled",X475="Archived"),"",IF(B475&gt;=TODAY(),"",B475+ROW()/100000)))</f>
        <v>0</v>
      </c>
      <c r="AL475" s="29">
        <f>IF(H475="","",IF(COUNTIFS('Content Calendar'!$H$5:$H$604,H475,'Content Calendar'!$G$5:$G$604,G475,'Content Calendar'!$B$5:$B$604,B475)&gt;1,"Duplicate","OK"))</f>
        <v>0</v>
      </c>
      <c r="AM475" s="29">
        <f>IF(H475="","",IF(AND(B475&lt;&gt;"",B475&lt;TODAY(),X475&lt;&gt;"Published",X475&lt;&gt;"Cancelled",X475&lt;&gt;"Archived"),"Overdue - date has passed",IF(AND(X475="Published",AB475=""),"Add - publish link missing",IF(AND(B475=TODAY(),X475&lt;&gt;"Published"),"Today - due to go live",IF(AND(Y475&lt;&gt;"",Y475&lt;TODAY(),OR(X475="Idea",X475="Brief",X475="In production")),"Late - draft not ready",IF(AND(AA475&gt;=0,AA475&lt;=3,OR(X475="Draft",X475="Awaiting review")),"Due - needs approval",IF(AND(H475&lt;&gt;"",P475=""),"Add - caption missing","OK")))))))</f>
        <v>0</v>
      </c>
    </row>
    <row r="476" spans="1:39">
      <c r="A476" s="41">
        <f>IF(H476="","",ContentPrefix&amp;TEXT(ROW()-4,"0000"))</f>
        <v>0</v>
      </c>
      <c r="D476" s="17">
        <f>IF(B476="","",TEXT(B476,"yyyy-mm"))</f>
        <v>0</v>
      </c>
      <c r="E476" s="23">
        <f>IF(B476="","",WEEKNUM(B476,IF(WeekStart="Sunday",1,2)))</f>
        <v>0</v>
      </c>
      <c r="F476" s="17">
        <f>IF(B476="","",TEXT(B476,"ddd"))</f>
        <v>0</v>
      </c>
      <c r="Q476" s="29">
        <f>IF(H476="","",IF(P476="","Add - no caption",IFERROR(INDEX('Caption Bank'!$R$5:$R$204,MATCH(P476,'Caption Bank'!$B$5:$B$204,0)),"Check - not in bank")))</f>
        <v>0</v>
      </c>
      <c r="S476" s="23">
        <f>IF(R476="","",COUNTIF('Hashtag Bank'!$D$5:$D$304,R476))</f>
        <v>0</v>
      </c>
      <c r="U476" s="29">
        <f>IF(H476="","",IF(T476="","Add - no asset",IFERROR(INDEX(Assets!$N$5:$N$254,MATCH(T476,Assets!$A$5:$A$254,0)),"Check - not in library")))</f>
        <v>0</v>
      </c>
      <c r="Y476" s="16">
        <f>IF(B476="","",B476-ProductionDays)</f>
        <v>0</v>
      </c>
      <c r="Z476" s="16">
        <f>IF(B476="","",B476-ApprovalDays)</f>
        <v>0</v>
      </c>
      <c r="AA476" s="23">
        <f>IF(B476="","",B476-TODAY())</f>
        <v>0</v>
      </c>
      <c r="AC476" s="29">
        <f>IF(H476="","",IF(X476="Published",IF(AB476="","Add - link missing","Yes"),"No"))</f>
        <v>0</v>
      </c>
      <c r="AD476" s="23">
        <f>IF(A476="","",IF(COUNTIF(Performance!$B$5:$B$404,A476)=0,"",SUMIFS(Performance!$O$5:$O$404,Performance!$B$5:$B$404,A476)))</f>
        <v>0</v>
      </c>
      <c r="AE476" s="23">
        <f>IF(AD476="","",SUMIFS(Performance!$Z$5:$Z$404,Performance!$B$5:$B$404,A476))</f>
        <v>0</v>
      </c>
      <c r="AF476" s="24">
        <f>IF(OR(AD476="",AD476=0),"",AE476/AD476)</f>
        <v>0</v>
      </c>
      <c r="AG476" s="23">
        <f>IF(AD476="","",SUMIFS(Performance!$U$5:$U$404,Performance!$B$5:$B$404,A476))</f>
        <v>0</v>
      </c>
      <c r="AH476" s="23">
        <f>IF(A476="","",COUNTIF(Repurposing!$B$5:$B$154,A476))</f>
        <v>0</v>
      </c>
      <c r="AI476" s="32">
        <f>IF(OR(H476="",B476=""),"",B476+ROW()/100000)</f>
        <v>0</v>
      </c>
      <c r="AJ476" s="32">
        <f>IF(OR(H476="",B476=""),"",IF(OR(X476="Published",X476="Cancelled",X476="Archived"),"",IF(B476&lt;TODAY(),"",B476+ROW()/100000)))</f>
        <v>0</v>
      </c>
      <c r="AK476" s="32">
        <f>IF(OR(H476="",B476=""),"",IF(OR(X476="Published",X476="Cancelled",X476="Archived"),"",IF(B476&gt;=TODAY(),"",B476+ROW()/100000)))</f>
        <v>0</v>
      </c>
      <c r="AL476" s="29">
        <f>IF(H476="","",IF(COUNTIFS('Content Calendar'!$H$5:$H$604,H476,'Content Calendar'!$G$5:$G$604,G476,'Content Calendar'!$B$5:$B$604,B476)&gt;1,"Duplicate","OK"))</f>
        <v>0</v>
      </c>
      <c r="AM476" s="29">
        <f>IF(H476="","",IF(AND(B476&lt;&gt;"",B476&lt;TODAY(),X476&lt;&gt;"Published",X476&lt;&gt;"Cancelled",X476&lt;&gt;"Archived"),"Overdue - date has passed",IF(AND(X476="Published",AB476=""),"Add - publish link missing",IF(AND(B476=TODAY(),X476&lt;&gt;"Published"),"Today - due to go live",IF(AND(Y476&lt;&gt;"",Y476&lt;TODAY(),OR(X476="Idea",X476="Brief",X476="In production")),"Late - draft not ready",IF(AND(AA476&gt;=0,AA476&lt;=3,OR(X476="Draft",X476="Awaiting review")),"Due - needs approval",IF(AND(H476&lt;&gt;"",P476=""),"Add - caption missing","OK")))))))</f>
        <v>0</v>
      </c>
    </row>
    <row r="477" spans="1:39">
      <c r="A477" s="41">
        <f>IF(H477="","",ContentPrefix&amp;TEXT(ROW()-4,"0000"))</f>
        <v>0</v>
      </c>
      <c r="D477" s="17">
        <f>IF(B477="","",TEXT(B477,"yyyy-mm"))</f>
        <v>0</v>
      </c>
      <c r="E477" s="23">
        <f>IF(B477="","",WEEKNUM(B477,IF(WeekStart="Sunday",1,2)))</f>
        <v>0</v>
      </c>
      <c r="F477" s="17">
        <f>IF(B477="","",TEXT(B477,"ddd"))</f>
        <v>0</v>
      </c>
      <c r="Q477" s="29">
        <f>IF(H477="","",IF(P477="","Add - no caption",IFERROR(INDEX('Caption Bank'!$R$5:$R$204,MATCH(P477,'Caption Bank'!$B$5:$B$204,0)),"Check - not in bank")))</f>
        <v>0</v>
      </c>
      <c r="S477" s="23">
        <f>IF(R477="","",COUNTIF('Hashtag Bank'!$D$5:$D$304,R477))</f>
        <v>0</v>
      </c>
      <c r="U477" s="29">
        <f>IF(H477="","",IF(T477="","Add - no asset",IFERROR(INDEX(Assets!$N$5:$N$254,MATCH(T477,Assets!$A$5:$A$254,0)),"Check - not in library")))</f>
        <v>0</v>
      </c>
      <c r="Y477" s="16">
        <f>IF(B477="","",B477-ProductionDays)</f>
        <v>0</v>
      </c>
      <c r="Z477" s="16">
        <f>IF(B477="","",B477-ApprovalDays)</f>
        <v>0</v>
      </c>
      <c r="AA477" s="23">
        <f>IF(B477="","",B477-TODAY())</f>
        <v>0</v>
      </c>
      <c r="AC477" s="29">
        <f>IF(H477="","",IF(X477="Published",IF(AB477="","Add - link missing","Yes"),"No"))</f>
        <v>0</v>
      </c>
      <c r="AD477" s="23">
        <f>IF(A477="","",IF(COUNTIF(Performance!$B$5:$B$404,A477)=0,"",SUMIFS(Performance!$O$5:$O$404,Performance!$B$5:$B$404,A477)))</f>
        <v>0</v>
      </c>
      <c r="AE477" s="23">
        <f>IF(AD477="","",SUMIFS(Performance!$Z$5:$Z$404,Performance!$B$5:$B$404,A477))</f>
        <v>0</v>
      </c>
      <c r="AF477" s="24">
        <f>IF(OR(AD477="",AD477=0),"",AE477/AD477)</f>
        <v>0</v>
      </c>
      <c r="AG477" s="23">
        <f>IF(AD477="","",SUMIFS(Performance!$U$5:$U$404,Performance!$B$5:$B$404,A477))</f>
        <v>0</v>
      </c>
      <c r="AH477" s="23">
        <f>IF(A477="","",COUNTIF(Repurposing!$B$5:$B$154,A477))</f>
        <v>0</v>
      </c>
      <c r="AI477" s="32">
        <f>IF(OR(H477="",B477=""),"",B477+ROW()/100000)</f>
        <v>0</v>
      </c>
      <c r="AJ477" s="32">
        <f>IF(OR(H477="",B477=""),"",IF(OR(X477="Published",X477="Cancelled",X477="Archived"),"",IF(B477&lt;TODAY(),"",B477+ROW()/100000)))</f>
        <v>0</v>
      </c>
      <c r="AK477" s="32">
        <f>IF(OR(H477="",B477=""),"",IF(OR(X477="Published",X477="Cancelled",X477="Archived"),"",IF(B477&gt;=TODAY(),"",B477+ROW()/100000)))</f>
        <v>0</v>
      </c>
      <c r="AL477" s="29">
        <f>IF(H477="","",IF(COUNTIFS('Content Calendar'!$H$5:$H$604,H477,'Content Calendar'!$G$5:$G$604,G477,'Content Calendar'!$B$5:$B$604,B477)&gt;1,"Duplicate","OK"))</f>
        <v>0</v>
      </c>
      <c r="AM477" s="29">
        <f>IF(H477="","",IF(AND(B477&lt;&gt;"",B477&lt;TODAY(),X477&lt;&gt;"Published",X477&lt;&gt;"Cancelled",X477&lt;&gt;"Archived"),"Overdue - date has passed",IF(AND(X477="Published",AB477=""),"Add - publish link missing",IF(AND(B477=TODAY(),X477&lt;&gt;"Published"),"Today - due to go live",IF(AND(Y477&lt;&gt;"",Y477&lt;TODAY(),OR(X477="Idea",X477="Brief",X477="In production")),"Late - draft not ready",IF(AND(AA477&gt;=0,AA477&lt;=3,OR(X477="Draft",X477="Awaiting review")),"Due - needs approval",IF(AND(H477&lt;&gt;"",P477=""),"Add - caption missing","OK")))))))</f>
        <v>0</v>
      </c>
    </row>
    <row r="478" spans="1:39">
      <c r="A478" s="41">
        <f>IF(H478="","",ContentPrefix&amp;TEXT(ROW()-4,"0000"))</f>
        <v>0</v>
      </c>
      <c r="D478" s="17">
        <f>IF(B478="","",TEXT(B478,"yyyy-mm"))</f>
        <v>0</v>
      </c>
      <c r="E478" s="23">
        <f>IF(B478="","",WEEKNUM(B478,IF(WeekStart="Sunday",1,2)))</f>
        <v>0</v>
      </c>
      <c r="F478" s="17">
        <f>IF(B478="","",TEXT(B478,"ddd"))</f>
        <v>0</v>
      </c>
      <c r="Q478" s="29">
        <f>IF(H478="","",IF(P478="","Add - no caption",IFERROR(INDEX('Caption Bank'!$R$5:$R$204,MATCH(P478,'Caption Bank'!$B$5:$B$204,0)),"Check - not in bank")))</f>
        <v>0</v>
      </c>
      <c r="S478" s="23">
        <f>IF(R478="","",COUNTIF('Hashtag Bank'!$D$5:$D$304,R478))</f>
        <v>0</v>
      </c>
      <c r="U478" s="29">
        <f>IF(H478="","",IF(T478="","Add - no asset",IFERROR(INDEX(Assets!$N$5:$N$254,MATCH(T478,Assets!$A$5:$A$254,0)),"Check - not in library")))</f>
        <v>0</v>
      </c>
      <c r="Y478" s="16">
        <f>IF(B478="","",B478-ProductionDays)</f>
        <v>0</v>
      </c>
      <c r="Z478" s="16">
        <f>IF(B478="","",B478-ApprovalDays)</f>
        <v>0</v>
      </c>
      <c r="AA478" s="23">
        <f>IF(B478="","",B478-TODAY())</f>
        <v>0</v>
      </c>
      <c r="AC478" s="29">
        <f>IF(H478="","",IF(X478="Published",IF(AB478="","Add - link missing","Yes"),"No"))</f>
        <v>0</v>
      </c>
      <c r="AD478" s="23">
        <f>IF(A478="","",IF(COUNTIF(Performance!$B$5:$B$404,A478)=0,"",SUMIFS(Performance!$O$5:$O$404,Performance!$B$5:$B$404,A478)))</f>
        <v>0</v>
      </c>
      <c r="AE478" s="23">
        <f>IF(AD478="","",SUMIFS(Performance!$Z$5:$Z$404,Performance!$B$5:$B$404,A478))</f>
        <v>0</v>
      </c>
      <c r="AF478" s="24">
        <f>IF(OR(AD478="",AD478=0),"",AE478/AD478)</f>
        <v>0</v>
      </c>
      <c r="AG478" s="23">
        <f>IF(AD478="","",SUMIFS(Performance!$U$5:$U$404,Performance!$B$5:$B$404,A478))</f>
        <v>0</v>
      </c>
      <c r="AH478" s="23">
        <f>IF(A478="","",COUNTIF(Repurposing!$B$5:$B$154,A478))</f>
        <v>0</v>
      </c>
      <c r="AI478" s="32">
        <f>IF(OR(H478="",B478=""),"",B478+ROW()/100000)</f>
        <v>0</v>
      </c>
      <c r="AJ478" s="32">
        <f>IF(OR(H478="",B478=""),"",IF(OR(X478="Published",X478="Cancelled",X478="Archived"),"",IF(B478&lt;TODAY(),"",B478+ROW()/100000)))</f>
        <v>0</v>
      </c>
      <c r="AK478" s="32">
        <f>IF(OR(H478="",B478=""),"",IF(OR(X478="Published",X478="Cancelled",X478="Archived"),"",IF(B478&gt;=TODAY(),"",B478+ROW()/100000)))</f>
        <v>0</v>
      </c>
      <c r="AL478" s="29">
        <f>IF(H478="","",IF(COUNTIFS('Content Calendar'!$H$5:$H$604,H478,'Content Calendar'!$G$5:$G$604,G478,'Content Calendar'!$B$5:$B$604,B478)&gt;1,"Duplicate","OK"))</f>
        <v>0</v>
      </c>
      <c r="AM478" s="29">
        <f>IF(H478="","",IF(AND(B478&lt;&gt;"",B478&lt;TODAY(),X478&lt;&gt;"Published",X478&lt;&gt;"Cancelled",X478&lt;&gt;"Archived"),"Overdue - date has passed",IF(AND(X478="Published",AB478=""),"Add - publish link missing",IF(AND(B478=TODAY(),X478&lt;&gt;"Published"),"Today - due to go live",IF(AND(Y478&lt;&gt;"",Y478&lt;TODAY(),OR(X478="Idea",X478="Brief",X478="In production")),"Late - draft not ready",IF(AND(AA478&gt;=0,AA478&lt;=3,OR(X478="Draft",X478="Awaiting review")),"Due - needs approval",IF(AND(H478&lt;&gt;"",P478=""),"Add - caption missing","OK")))))))</f>
        <v>0</v>
      </c>
    </row>
    <row r="479" spans="1:39">
      <c r="A479" s="41">
        <f>IF(H479="","",ContentPrefix&amp;TEXT(ROW()-4,"0000"))</f>
        <v>0</v>
      </c>
      <c r="D479" s="17">
        <f>IF(B479="","",TEXT(B479,"yyyy-mm"))</f>
        <v>0</v>
      </c>
      <c r="E479" s="23">
        <f>IF(B479="","",WEEKNUM(B479,IF(WeekStart="Sunday",1,2)))</f>
        <v>0</v>
      </c>
      <c r="F479" s="17">
        <f>IF(B479="","",TEXT(B479,"ddd"))</f>
        <v>0</v>
      </c>
      <c r="Q479" s="29">
        <f>IF(H479="","",IF(P479="","Add - no caption",IFERROR(INDEX('Caption Bank'!$R$5:$R$204,MATCH(P479,'Caption Bank'!$B$5:$B$204,0)),"Check - not in bank")))</f>
        <v>0</v>
      </c>
      <c r="S479" s="23">
        <f>IF(R479="","",COUNTIF('Hashtag Bank'!$D$5:$D$304,R479))</f>
        <v>0</v>
      </c>
      <c r="U479" s="29">
        <f>IF(H479="","",IF(T479="","Add - no asset",IFERROR(INDEX(Assets!$N$5:$N$254,MATCH(T479,Assets!$A$5:$A$254,0)),"Check - not in library")))</f>
        <v>0</v>
      </c>
      <c r="Y479" s="16">
        <f>IF(B479="","",B479-ProductionDays)</f>
        <v>0</v>
      </c>
      <c r="Z479" s="16">
        <f>IF(B479="","",B479-ApprovalDays)</f>
        <v>0</v>
      </c>
      <c r="AA479" s="23">
        <f>IF(B479="","",B479-TODAY())</f>
        <v>0</v>
      </c>
      <c r="AC479" s="29">
        <f>IF(H479="","",IF(X479="Published",IF(AB479="","Add - link missing","Yes"),"No"))</f>
        <v>0</v>
      </c>
      <c r="AD479" s="23">
        <f>IF(A479="","",IF(COUNTIF(Performance!$B$5:$B$404,A479)=0,"",SUMIFS(Performance!$O$5:$O$404,Performance!$B$5:$B$404,A479)))</f>
        <v>0</v>
      </c>
      <c r="AE479" s="23">
        <f>IF(AD479="","",SUMIFS(Performance!$Z$5:$Z$404,Performance!$B$5:$B$404,A479))</f>
        <v>0</v>
      </c>
      <c r="AF479" s="24">
        <f>IF(OR(AD479="",AD479=0),"",AE479/AD479)</f>
        <v>0</v>
      </c>
      <c r="AG479" s="23">
        <f>IF(AD479="","",SUMIFS(Performance!$U$5:$U$404,Performance!$B$5:$B$404,A479))</f>
        <v>0</v>
      </c>
      <c r="AH479" s="23">
        <f>IF(A479="","",COUNTIF(Repurposing!$B$5:$B$154,A479))</f>
        <v>0</v>
      </c>
      <c r="AI479" s="32">
        <f>IF(OR(H479="",B479=""),"",B479+ROW()/100000)</f>
        <v>0</v>
      </c>
      <c r="AJ479" s="32">
        <f>IF(OR(H479="",B479=""),"",IF(OR(X479="Published",X479="Cancelled",X479="Archived"),"",IF(B479&lt;TODAY(),"",B479+ROW()/100000)))</f>
        <v>0</v>
      </c>
      <c r="AK479" s="32">
        <f>IF(OR(H479="",B479=""),"",IF(OR(X479="Published",X479="Cancelled",X479="Archived"),"",IF(B479&gt;=TODAY(),"",B479+ROW()/100000)))</f>
        <v>0</v>
      </c>
      <c r="AL479" s="29">
        <f>IF(H479="","",IF(COUNTIFS('Content Calendar'!$H$5:$H$604,H479,'Content Calendar'!$G$5:$G$604,G479,'Content Calendar'!$B$5:$B$604,B479)&gt;1,"Duplicate","OK"))</f>
        <v>0</v>
      </c>
      <c r="AM479" s="29">
        <f>IF(H479="","",IF(AND(B479&lt;&gt;"",B479&lt;TODAY(),X479&lt;&gt;"Published",X479&lt;&gt;"Cancelled",X479&lt;&gt;"Archived"),"Overdue - date has passed",IF(AND(X479="Published",AB479=""),"Add - publish link missing",IF(AND(B479=TODAY(),X479&lt;&gt;"Published"),"Today - due to go live",IF(AND(Y479&lt;&gt;"",Y479&lt;TODAY(),OR(X479="Idea",X479="Brief",X479="In production")),"Late - draft not ready",IF(AND(AA479&gt;=0,AA479&lt;=3,OR(X479="Draft",X479="Awaiting review")),"Due - needs approval",IF(AND(H479&lt;&gt;"",P479=""),"Add - caption missing","OK")))))))</f>
        <v>0</v>
      </c>
    </row>
    <row r="480" spans="1:39">
      <c r="A480" s="41">
        <f>IF(H480="","",ContentPrefix&amp;TEXT(ROW()-4,"0000"))</f>
        <v>0</v>
      </c>
      <c r="D480" s="17">
        <f>IF(B480="","",TEXT(B480,"yyyy-mm"))</f>
        <v>0</v>
      </c>
      <c r="E480" s="23">
        <f>IF(B480="","",WEEKNUM(B480,IF(WeekStart="Sunday",1,2)))</f>
        <v>0</v>
      </c>
      <c r="F480" s="17">
        <f>IF(B480="","",TEXT(B480,"ddd"))</f>
        <v>0</v>
      </c>
      <c r="Q480" s="29">
        <f>IF(H480="","",IF(P480="","Add - no caption",IFERROR(INDEX('Caption Bank'!$R$5:$R$204,MATCH(P480,'Caption Bank'!$B$5:$B$204,0)),"Check - not in bank")))</f>
        <v>0</v>
      </c>
      <c r="S480" s="23">
        <f>IF(R480="","",COUNTIF('Hashtag Bank'!$D$5:$D$304,R480))</f>
        <v>0</v>
      </c>
      <c r="U480" s="29">
        <f>IF(H480="","",IF(T480="","Add - no asset",IFERROR(INDEX(Assets!$N$5:$N$254,MATCH(T480,Assets!$A$5:$A$254,0)),"Check - not in library")))</f>
        <v>0</v>
      </c>
      <c r="Y480" s="16">
        <f>IF(B480="","",B480-ProductionDays)</f>
        <v>0</v>
      </c>
      <c r="Z480" s="16">
        <f>IF(B480="","",B480-ApprovalDays)</f>
        <v>0</v>
      </c>
      <c r="AA480" s="23">
        <f>IF(B480="","",B480-TODAY())</f>
        <v>0</v>
      </c>
      <c r="AC480" s="29">
        <f>IF(H480="","",IF(X480="Published",IF(AB480="","Add - link missing","Yes"),"No"))</f>
        <v>0</v>
      </c>
      <c r="AD480" s="23">
        <f>IF(A480="","",IF(COUNTIF(Performance!$B$5:$B$404,A480)=0,"",SUMIFS(Performance!$O$5:$O$404,Performance!$B$5:$B$404,A480)))</f>
        <v>0</v>
      </c>
      <c r="AE480" s="23">
        <f>IF(AD480="","",SUMIFS(Performance!$Z$5:$Z$404,Performance!$B$5:$B$404,A480))</f>
        <v>0</v>
      </c>
      <c r="AF480" s="24">
        <f>IF(OR(AD480="",AD480=0),"",AE480/AD480)</f>
        <v>0</v>
      </c>
      <c r="AG480" s="23">
        <f>IF(AD480="","",SUMIFS(Performance!$U$5:$U$404,Performance!$B$5:$B$404,A480))</f>
        <v>0</v>
      </c>
      <c r="AH480" s="23">
        <f>IF(A480="","",COUNTIF(Repurposing!$B$5:$B$154,A480))</f>
        <v>0</v>
      </c>
      <c r="AI480" s="32">
        <f>IF(OR(H480="",B480=""),"",B480+ROW()/100000)</f>
        <v>0</v>
      </c>
      <c r="AJ480" s="32">
        <f>IF(OR(H480="",B480=""),"",IF(OR(X480="Published",X480="Cancelled",X480="Archived"),"",IF(B480&lt;TODAY(),"",B480+ROW()/100000)))</f>
        <v>0</v>
      </c>
      <c r="AK480" s="32">
        <f>IF(OR(H480="",B480=""),"",IF(OR(X480="Published",X480="Cancelled",X480="Archived"),"",IF(B480&gt;=TODAY(),"",B480+ROW()/100000)))</f>
        <v>0</v>
      </c>
      <c r="AL480" s="29">
        <f>IF(H480="","",IF(COUNTIFS('Content Calendar'!$H$5:$H$604,H480,'Content Calendar'!$G$5:$G$604,G480,'Content Calendar'!$B$5:$B$604,B480)&gt;1,"Duplicate","OK"))</f>
        <v>0</v>
      </c>
      <c r="AM480" s="29">
        <f>IF(H480="","",IF(AND(B480&lt;&gt;"",B480&lt;TODAY(),X480&lt;&gt;"Published",X480&lt;&gt;"Cancelled",X480&lt;&gt;"Archived"),"Overdue - date has passed",IF(AND(X480="Published",AB480=""),"Add - publish link missing",IF(AND(B480=TODAY(),X480&lt;&gt;"Published"),"Today - due to go live",IF(AND(Y480&lt;&gt;"",Y480&lt;TODAY(),OR(X480="Idea",X480="Brief",X480="In production")),"Late - draft not ready",IF(AND(AA480&gt;=0,AA480&lt;=3,OR(X480="Draft",X480="Awaiting review")),"Due - needs approval",IF(AND(H480&lt;&gt;"",P480=""),"Add - caption missing","OK")))))))</f>
        <v>0</v>
      </c>
    </row>
    <row r="481" spans="1:39">
      <c r="A481" s="41">
        <f>IF(H481="","",ContentPrefix&amp;TEXT(ROW()-4,"0000"))</f>
        <v>0</v>
      </c>
      <c r="D481" s="17">
        <f>IF(B481="","",TEXT(B481,"yyyy-mm"))</f>
        <v>0</v>
      </c>
      <c r="E481" s="23">
        <f>IF(B481="","",WEEKNUM(B481,IF(WeekStart="Sunday",1,2)))</f>
        <v>0</v>
      </c>
      <c r="F481" s="17">
        <f>IF(B481="","",TEXT(B481,"ddd"))</f>
        <v>0</v>
      </c>
      <c r="Q481" s="29">
        <f>IF(H481="","",IF(P481="","Add - no caption",IFERROR(INDEX('Caption Bank'!$R$5:$R$204,MATCH(P481,'Caption Bank'!$B$5:$B$204,0)),"Check - not in bank")))</f>
        <v>0</v>
      </c>
      <c r="S481" s="23">
        <f>IF(R481="","",COUNTIF('Hashtag Bank'!$D$5:$D$304,R481))</f>
        <v>0</v>
      </c>
      <c r="U481" s="29">
        <f>IF(H481="","",IF(T481="","Add - no asset",IFERROR(INDEX(Assets!$N$5:$N$254,MATCH(T481,Assets!$A$5:$A$254,0)),"Check - not in library")))</f>
        <v>0</v>
      </c>
      <c r="Y481" s="16">
        <f>IF(B481="","",B481-ProductionDays)</f>
        <v>0</v>
      </c>
      <c r="Z481" s="16">
        <f>IF(B481="","",B481-ApprovalDays)</f>
        <v>0</v>
      </c>
      <c r="AA481" s="23">
        <f>IF(B481="","",B481-TODAY())</f>
        <v>0</v>
      </c>
      <c r="AC481" s="29">
        <f>IF(H481="","",IF(X481="Published",IF(AB481="","Add - link missing","Yes"),"No"))</f>
        <v>0</v>
      </c>
      <c r="AD481" s="23">
        <f>IF(A481="","",IF(COUNTIF(Performance!$B$5:$B$404,A481)=0,"",SUMIFS(Performance!$O$5:$O$404,Performance!$B$5:$B$404,A481)))</f>
        <v>0</v>
      </c>
      <c r="AE481" s="23">
        <f>IF(AD481="","",SUMIFS(Performance!$Z$5:$Z$404,Performance!$B$5:$B$404,A481))</f>
        <v>0</v>
      </c>
      <c r="AF481" s="24">
        <f>IF(OR(AD481="",AD481=0),"",AE481/AD481)</f>
        <v>0</v>
      </c>
      <c r="AG481" s="23">
        <f>IF(AD481="","",SUMIFS(Performance!$U$5:$U$404,Performance!$B$5:$B$404,A481))</f>
        <v>0</v>
      </c>
      <c r="AH481" s="23">
        <f>IF(A481="","",COUNTIF(Repurposing!$B$5:$B$154,A481))</f>
        <v>0</v>
      </c>
      <c r="AI481" s="32">
        <f>IF(OR(H481="",B481=""),"",B481+ROW()/100000)</f>
        <v>0</v>
      </c>
      <c r="AJ481" s="32">
        <f>IF(OR(H481="",B481=""),"",IF(OR(X481="Published",X481="Cancelled",X481="Archived"),"",IF(B481&lt;TODAY(),"",B481+ROW()/100000)))</f>
        <v>0</v>
      </c>
      <c r="AK481" s="32">
        <f>IF(OR(H481="",B481=""),"",IF(OR(X481="Published",X481="Cancelled",X481="Archived"),"",IF(B481&gt;=TODAY(),"",B481+ROW()/100000)))</f>
        <v>0</v>
      </c>
      <c r="AL481" s="29">
        <f>IF(H481="","",IF(COUNTIFS('Content Calendar'!$H$5:$H$604,H481,'Content Calendar'!$G$5:$G$604,G481,'Content Calendar'!$B$5:$B$604,B481)&gt;1,"Duplicate","OK"))</f>
        <v>0</v>
      </c>
      <c r="AM481" s="29">
        <f>IF(H481="","",IF(AND(B481&lt;&gt;"",B481&lt;TODAY(),X481&lt;&gt;"Published",X481&lt;&gt;"Cancelled",X481&lt;&gt;"Archived"),"Overdue - date has passed",IF(AND(X481="Published",AB481=""),"Add - publish link missing",IF(AND(B481=TODAY(),X481&lt;&gt;"Published"),"Today - due to go live",IF(AND(Y481&lt;&gt;"",Y481&lt;TODAY(),OR(X481="Idea",X481="Brief",X481="In production")),"Late - draft not ready",IF(AND(AA481&gt;=0,AA481&lt;=3,OR(X481="Draft",X481="Awaiting review")),"Due - needs approval",IF(AND(H481&lt;&gt;"",P481=""),"Add - caption missing","OK")))))))</f>
        <v>0</v>
      </c>
    </row>
    <row r="482" spans="1:39">
      <c r="A482" s="41">
        <f>IF(H482="","",ContentPrefix&amp;TEXT(ROW()-4,"0000"))</f>
        <v>0</v>
      </c>
      <c r="D482" s="17">
        <f>IF(B482="","",TEXT(B482,"yyyy-mm"))</f>
        <v>0</v>
      </c>
      <c r="E482" s="23">
        <f>IF(B482="","",WEEKNUM(B482,IF(WeekStart="Sunday",1,2)))</f>
        <v>0</v>
      </c>
      <c r="F482" s="17">
        <f>IF(B482="","",TEXT(B482,"ddd"))</f>
        <v>0</v>
      </c>
      <c r="Q482" s="29">
        <f>IF(H482="","",IF(P482="","Add - no caption",IFERROR(INDEX('Caption Bank'!$R$5:$R$204,MATCH(P482,'Caption Bank'!$B$5:$B$204,0)),"Check - not in bank")))</f>
        <v>0</v>
      </c>
      <c r="S482" s="23">
        <f>IF(R482="","",COUNTIF('Hashtag Bank'!$D$5:$D$304,R482))</f>
        <v>0</v>
      </c>
      <c r="U482" s="29">
        <f>IF(H482="","",IF(T482="","Add - no asset",IFERROR(INDEX(Assets!$N$5:$N$254,MATCH(T482,Assets!$A$5:$A$254,0)),"Check - not in library")))</f>
        <v>0</v>
      </c>
      <c r="Y482" s="16">
        <f>IF(B482="","",B482-ProductionDays)</f>
        <v>0</v>
      </c>
      <c r="Z482" s="16">
        <f>IF(B482="","",B482-ApprovalDays)</f>
        <v>0</v>
      </c>
      <c r="AA482" s="23">
        <f>IF(B482="","",B482-TODAY())</f>
        <v>0</v>
      </c>
      <c r="AC482" s="29">
        <f>IF(H482="","",IF(X482="Published",IF(AB482="","Add - link missing","Yes"),"No"))</f>
        <v>0</v>
      </c>
      <c r="AD482" s="23">
        <f>IF(A482="","",IF(COUNTIF(Performance!$B$5:$B$404,A482)=0,"",SUMIFS(Performance!$O$5:$O$404,Performance!$B$5:$B$404,A482)))</f>
        <v>0</v>
      </c>
      <c r="AE482" s="23">
        <f>IF(AD482="","",SUMIFS(Performance!$Z$5:$Z$404,Performance!$B$5:$B$404,A482))</f>
        <v>0</v>
      </c>
      <c r="AF482" s="24">
        <f>IF(OR(AD482="",AD482=0),"",AE482/AD482)</f>
        <v>0</v>
      </c>
      <c r="AG482" s="23">
        <f>IF(AD482="","",SUMIFS(Performance!$U$5:$U$404,Performance!$B$5:$B$404,A482))</f>
        <v>0</v>
      </c>
      <c r="AH482" s="23">
        <f>IF(A482="","",COUNTIF(Repurposing!$B$5:$B$154,A482))</f>
        <v>0</v>
      </c>
      <c r="AI482" s="32">
        <f>IF(OR(H482="",B482=""),"",B482+ROW()/100000)</f>
        <v>0</v>
      </c>
      <c r="AJ482" s="32">
        <f>IF(OR(H482="",B482=""),"",IF(OR(X482="Published",X482="Cancelled",X482="Archived"),"",IF(B482&lt;TODAY(),"",B482+ROW()/100000)))</f>
        <v>0</v>
      </c>
      <c r="AK482" s="32">
        <f>IF(OR(H482="",B482=""),"",IF(OR(X482="Published",X482="Cancelled",X482="Archived"),"",IF(B482&gt;=TODAY(),"",B482+ROW()/100000)))</f>
        <v>0</v>
      </c>
      <c r="AL482" s="29">
        <f>IF(H482="","",IF(COUNTIFS('Content Calendar'!$H$5:$H$604,H482,'Content Calendar'!$G$5:$G$604,G482,'Content Calendar'!$B$5:$B$604,B482)&gt;1,"Duplicate","OK"))</f>
        <v>0</v>
      </c>
      <c r="AM482" s="29">
        <f>IF(H482="","",IF(AND(B482&lt;&gt;"",B482&lt;TODAY(),X482&lt;&gt;"Published",X482&lt;&gt;"Cancelled",X482&lt;&gt;"Archived"),"Overdue - date has passed",IF(AND(X482="Published",AB482=""),"Add - publish link missing",IF(AND(B482=TODAY(),X482&lt;&gt;"Published"),"Today - due to go live",IF(AND(Y482&lt;&gt;"",Y482&lt;TODAY(),OR(X482="Idea",X482="Brief",X482="In production")),"Late - draft not ready",IF(AND(AA482&gt;=0,AA482&lt;=3,OR(X482="Draft",X482="Awaiting review")),"Due - needs approval",IF(AND(H482&lt;&gt;"",P482=""),"Add - caption missing","OK")))))))</f>
        <v>0</v>
      </c>
    </row>
    <row r="483" spans="1:39">
      <c r="A483" s="41">
        <f>IF(H483="","",ContentPrefix&amp;TEXT(ROW()-4,"0000"))</f>
        <v>0</v>
      </c>
      <c r="D483" s="17">
        <f>IF(B483="","",TEXT(B483,"yyyy-mm"))</f>
        <v>0</v>
      </c>
      <c r="E483" s="23">
        <f>IF(B483="","",WEEKNUM(B483,IF(WeekStart="Sunday",1,2)))</f>
        <v>0</v>
      </c>
      <c r="F483" s="17">
        <f>IF(B483="","",TEXT(B483,"ddd"))</f>
        <v>0</v>
      </c>
      <c r="Q483" s="29">
        <f>IF(H483="","",IF(P483="","Add - no caption",IFERROR(INDEX('Caption Bank'!$R$5:$R$204,MATCH(P483,'Caption Bank'!$B$5:$B$204,0)),"Check - not in bank")))</f>
        <v>0</v>
      </c>
      <c r="S483" s="23">
        <f>IF(R483="","",COUNTIF('Hashtag Bank'!$D$5:$D$304,R483))</f>
        <v>0</v>
      </c>
      <c r="U483" s="29">
        <f>IF(H483="","",IF(T483="","Add - no asset",IFERROR(INDEX(Assets!$N$5:$N$254,MATCH(T483,Assets!$A$5:$A$254,0)),"Check - not in library")))</f>
        <v>0</v>
      </c>
      <c r="Y483" s="16">
        <f>IF(B483="","",B483-ProductionDays)</f>
        <v>0</v>
      </c>
      <c r="Z483" s="16">
        <f>IF(B483="","",B483-ApprovalDays)</f>
        <v>0</v>
      </c>
      <c r="AA483" s="23">
        <f>IF(B483="","",B483-TODAY())</f>
        <v>0</v>
      </c>
      <c r="AC483" s="29">
        <f>IF(H483="","",IF(X483="Published",IF(AB483="","Add - link missing","Yes"),"No"))</f>
        <v>0</v>
      </c>
      <c r="AD483" s="23">
        <f>IF(A483="","",IF(COUNTIF(Performance!$B$5:$B$404,A483)=0,"",SUMIFS(Performance!$O$5:$O$404,Performance!$B$5:$B$404,A483)))</f>
        <v>0</v>
      </c>
      <c r="AE483" s="23">
        <f>IF(AD483="","",SUMIFS(Performance!$Z$5:$Z$404,Performance!$B$5:$B$404,A483))</f>
        <v>0</v>
      </c>
      <c r="AF483" s="24">
        <f>IF(OR(AD483="",AD483=0),"",AE483/AD483)</f>
        <v>0</v>
      </c>
      <c r="AG483" s="23">
        <f>IF(AD483="","",SUMIFS(Performance!$U$5:$U$404,Performance!$B$5:$B$404,A483))</f>
        <v>0</v>
      </c>
      <c r="AH483" s="23">
        <f>IF(A483="","",COUNTIF(Repurposing!$B$5:$B$154,A483))</f>
        <v>0</v>
      </c>
      <c r="AI483" s="32">
        <f>IF(OR(H483="",B483=""),"",B483+ROW()/100000)</f>
        <v>0</v>
      </c>
      <c r="AJ483" s="32">
        <f>IF(OR(H483="",B483=""),"",IF(OR(X483="Published",X483="Cancelled",X483="Archived"),"",IF(B483&lt;TODAY(),"",B483+ROW()/100000)))</f>
        <v>0</v>
      </c>
      <c r="AK483" s="32">
        <f>IF(OR(H483="",B483=""),"",IF(OR(X483="Published",X483="Cancelled",X483="Archived"),"",IF(B483&gt;=TODAY(),"",B483+ROW()/100000)))</f>
        <v>0</v>
      </c>
      <c r="AL483" s="29">
        <f>IF(H483="","",IF(COUNTIFS('Content Calendar'!$H$5:$H$604,H483,'Content Calendar'!$G$5:$G$604,G483,'Content Calendar'!$B$5:$B$604,B483)&gt;1,"Duplicate","OK"))</f>
        <v>0</v>
      </c>
      <c r="AM483" s="29">
        <f>IF(H483="","",IF(AND(B483&lt;&gt;"",B483&lt;TODAY(),X483&lt;&gt;"Published",X483&lt;&gt;"Cancelled",X483&lt;&gt;"Archived"),"Overdue - date has passed",IF(AND(X483="Published",AB483=""),"Add - publish link missing",IF(AND(B483=TODAY(),X483&lt;&gt;"Published"),"Today - due to go live",IF(AND(Y483&lt;&gt;"",Y483&lt;TODAY(),OR(X483="Idea",X483="Brief",X483="In production")),"Late - draft not ready",IF(AND(AA483&gt;=0,AA483&lt;=3,OR(X483="Draft",X483="Awaiting review")),"Due - needs approval",IF(AND(H483&lt;&gt;"",P483=""),"Add - caption missing","OK")))))))</f>
        <v>0</v>
      </c>
    </row>
    <row r="484" spans="1:39">
      <c r="A484" s="41">
        <f>IF(H484="","",ContentPrefix&amp;TEXT(ROW()-4,"0000"))</f>
        <v>0</v>
      </c>
      <c r="D484" s="17">
        <f>IF(B484="","",TEXT(B484,"yyyy-mm"))</f>
        <v>0</v>
      </c>
      <c r="E484" s="23">
        <f>IF(B484="","",WEEKNUM(B484,IF(WeekStart="Sunday",1,2)))</f>
        <v>0</v>
      </c>
      <c r="F484" s="17">
        <f>IF(B484="","",TEXT(B484,"ddd"))</f>
        <v>0</v>
      </c>
      <c r="Q484" s="29">
        <f>IF(H484="","",IF(P484="","Add - no caption",IFERROR(INDEX('Caption Bank'!$R$5:$R$204,MATCH(P484,'Caption Bank'!$B$5:$B$204,0)),"Check - not in bank")))</f>
        <v>0</v>
      </c>
      <c r="S484" s="23">
        <f>IF(R484="","",COUNTIF('Hashtag Bank'!$D$5:$D$304,R484))</f>
        <v>0</v>
      </c>
      <c r="U484" s="29">
        <f>IF(H484="","",IF(T484="","Add - no asset",IFERROR(INDEX(Assets!$N$5:$N$254,MATCH(T484,Assets!$A$5:$A$254,0)),"Check - not in library")))</f>
        <v>0</v>
      </c>
      <c r="Y484" s="16">
        <f>IF(B484="","",B484-ProductionDays)</f>
        <v>0</v>
      </c>
      <c r="Z484" s="16">
        <f>IF(B484="","",B484-ApprovalDays)</f>
        <v>0</v>
      </c>
      <c r="AA484" s="23">
        <f>IF(B484="","",B484-TODAY())</f>
        <v>0</v>
      </c>
      <c r="AC484" s="29">
        <f>IF(H484="","",IF(X484="Published",IF(AB484="","Add - link missing","Yes"),"No"))</f>
        <v>0</v>
      </c>
      <c r="AD484" s="23">
        <f>IF(A484="","",IF(COUNTIF(Performance!$B$5:$B$404,A484)=0,"",SUMIFS(Performance!$O$5:$O$404,Performance!$B$5:$B$404,A484)))</f>
        <v>0</v>
      </c>
      <c r="AE484" s="23">
        <f>IF(AD484="","",SUMIFS(Performance!$Z$5:$Z$404,Performance!$B$5:$B$404,A484))</f>
        <v>0</v>
      </c>
      <c r="AF484" s="24">
        <f>IF(OR(AD484="",AD484=0),"",AE484/AD484)</f>
        <v>0</v>
      </c>
      <c r="AG484" s="23">
        <f>IF(AD484="","",SUMIFS(Performance!$U$5:$U$404,Performance!$B$5:$B$404,A484))</f>
        <v>0</v>
      </c>
      <c r="AH484" s="23">
        <f>IF(A484="","",COUNTIF(Repurposing!$B$5:$B$154,A484))</f>
        <v>0</v>
      </c>
      <c r="AI484" s="32">
        <f>IF(OR(H484="",B484=""),"",B484+ROW()/100000)</f>
        <v>0</v>
      </c>
      <c r="AJ484" s="32">
        <f>IF(OR(H484="",B484=""),"",IF(OR(X484="Published",X484="Cancelled",X484="Archived"),"",IF(B484&lt;TODAY(),"",B484+ROW()/100000)))</f>
        <v>0</v>
      </c>
      <c r="AK484" s="32">
        <f>IF(OR(H484="",B484=""),"",IF(OR(X484="Published",X484="Cancelled",X484="Archived"),"",IF(B484&gt;=TODAY(),"",B484+ROW()/100000)))</f>
        <v>0</v>
      </c>
      <c r="AL484" s="29">
        <f>IF(H484="","",IF(COUNTIFS('Content Calendar'!$H$5:$H$604,H484,'Content Calendar'!$G$5:$G$604,G484,'Content Calendar'!$B$5:$B$604,B484)&gt;1,"Duplicate","OK"))</f>
        <v>0</v>
      </c>
      <c r="AM484" s="29">
        <f>IF(H484="","",IF(AND(B484&lt;&gt;"",B484&lt;TODAY(),X484&lt;&gt;"Published",X484&lt;&gt;"Cancelled",X484&lt;&gt;"Archived"),"Overdue - date has passed",IF(AND(X484="Published",AB484=""),"Add - publish link missing",IF(AND(B484=TODAY(),X484&lt;&gt;"Published"),"Today - due to go live",IF(AND(Y484&lt;&gt;"",Y484&lt;TODAY(),OR(X484="Idea",X484="Brief",X484="In production")),"Late - draft not ready",IF(AND(AA484&gt;=0,AA484&lt;=3,OR(X484="Draft",X484="Awaiting review")),"Due - needs approval",IF(AND(H484&lt;&gt;"",P484=""),"Add - caption missing","OK")))))))</f>
        <v>0</v>
      </c>
    </row>
    <row r="485" spans="1:39">
      <c r="A485" s="41">
        <f>IF(H485="","",ContentPrefix&amp;TEXT(ROW()-4,"0000"))</f>
        <v>0</v>
      </c>
      <c r="D485" s="17">
        <f>IF(B485="","",TEXT(B485,"yyyy-mm"))</f>
        <v>0</v>
      </c>
      <c r="E485" s="23">
        <f>IF(B485="","",WEEKNUM(B485,IF(WeekStart="Sunday",1,2)))</f>
        <v>0</v>
      </c>
      <c r="F485" s="17">
        <f>IF(B485="","",TEXT(B485,"ddd"))</f>
        <v>0</v>
      </c>
      <c r="Q485" s="29">
        <f>IF(H485="","",IF(P485="","Add - no caption",IFERROR(INDEX('Caption Bank'!$R$5:$R$204,MATCH(P485,'Caption Bank'!$B$5:$B$204,0)),"Check - not in bank")))</f>
        <v>0</v>
      </c>
      <c r="S485" s="23">
        <f>IF(R485="","",COUNTIF('Hashtag Bank'!$D$5:$D$304,R485))</f>
        <v>0</v>
      </c>
      <c r="U485" s="29">
        <f>IF(H485="","",IF(T485="","Add - no asset",IFERROR(INDEX(Assets!$N$5:$N$254,MATCH(T485,Assets!$A$5:$A$254,0)),"Check - not in library")))</f>
        <v>0</v>
      </c>
      <c r="Y485" s="16">
        <f>IF(B485="","",B485-ProductionDays)</f>
        <v>0</v>
      </c>
      <c r="Z485" s="16">
        <f>IF(B485="","",B485-ApprovalDays)</f>
        <v>0</v>
      </c>
      <c r="AA485" s="23">
        <f>IF(B485="","",B485-TODAY())</f>
        <v>0</v>
      </c>
      <c r="AC485" s="29">
        <f>IF(H485="","",IF(X485="Published",IF(AB485="","Add - link missing","Yes"),"No"))</f>
        <v>0</v>
      </c>
      <c r="AD485" s="23">
        <f>IF(A485="","",IF(COUNTIF(Performance!$B$5:$B$404,A485)=0,"",SUMIFS(Performance!$O$5:$O$404,Performance!$B$5:$B$404,A485)))</f>
        <v>0</v>
      </c>
      <c r="AE485" s="23">
        <f>IF(AD485="","",SUMIFS(Performance!$Z$5:$Z$404,Performance!$B$5:$B$404,A485))</f>
        <v>0</v>
      </c>
      <c r="AF485" s="24">
        <f>IF(OR(AD485="",AD485=0),"",AE485/AD485)</f>
        <v>0</v>
      </c>
      <c r="AG485" s="23">
        <f>IF(AD485="","",SUMIFS(Performance!$U$5:$U$404,Performance!$B$5:$B$404,A485))</f>
        <v>0</v>
      </c>
      <c r="AH485" s="23">
        <f>IF(A485="","",COUNTIF(Repurposing!$B$5:$B$154,A485))</f>
        <v>0</v>
      </c>
      <c r="AI485" s="32">
        <f>IF(OR(H485="",B485=""),"",B485+ROW()/100000)</f>
        <v>0</v>
      </c>
      <c r="AJ485" s="32">
        <f>IF(OR(H485="",B485=""),"",IF(OR(X485="Published",X485="Cancelled",X485="Archived"),"",IF(B485&lt;TODAY(),"",B485+ROW()/100000)))</f>
        <v>0</v>
      </c>
      <c r="AK485" s="32">
        <f>IF(OR(H485="",B485=""),"",IF(OR(X485="Published",X485="Cancelled",X485="Archived"),"",IF(B485&gt;=TODAY(),"",B485+ROW()/100000)))</f>
        <v>0</v>
      </c>
      <c r="AL485" s="29">
        <f>IF(H485="","",IF(COUNTIFS('Content Calendar'!$H$5:$H$604,H485,'Content Calendar'!$G$5:$G$604,G485,'Content Calendar'!$B$5:$B$604,B485)&gt;1,"Duplicate","OK"))</f>
        <v>0</v>
      </c>
      <c r="AM485" s="29">
        <f>IF(H485="","",IF(AND(B485&lt;&gt;"",B485&lt;TODAY(),X485&lt;&gt;"Published",X485&lt;&gt;"Cancelled",X485&lt;&gt;"Archived"),"Overdue - date has passed",IF(AND(X485="Published",AB485=""),"Add - publish link missing",IF(AND(B485=TODAY(),X485&lt;&gt;"Published"),"Today - due to go live",IF(AND(Y485&lt;&gt;"",Y485&lt;TODAY(),OR(X485="Idea",X485="Brief",X485="In production")),"Late - draft not ready",IF(AND(AA485&gt;=0,AA485&lt;=3,OR(X485="Draft",X485="Awaiting review")),"Due - needs approval",IF(AND(H485&lt;&gt;"",P485=""),"Add - caption missing","OK")))))))</f>
        <v>0</v>
      </c>
    </row>
    <row r="486" spans="1:39">
      <c r="A486" s="41">
        <f>IF(H486="","",ContentPrefix&amp;TEXT(ROW()-4,"0000"))</f>
        <v>0</v>
      </c>
      <c r="D486" s="17">
        <f>IF(B486="","",TEXT(B486,"yyyy-mm"))</f>
        <v>0</v>
      </c>
      <c r="E486" s="23">
        <f>IF(B486="","",WEEKNUM(B486,IF(WeekStart="Sunday",1,2)))</f>
        <v>0</v>
      </c>
      <c r="F486" s="17">
        <f>IF(B486="","",TEXT(B486,"ddd"))</f>
        <v>0</v>
      </c>
      <c r="Q486" s="29">
        <f>IF(H486="","",IF(P486="","Add - no caption",IFERROR(INDEX('Caption Bank'!$R$5:$R$204,MATCH(P486,'Caption Bank'!$B$5:$B$204,0)),"Check - not in bank")))</f>
        <v>0</v>
      </c>
      <c r="S486" s="23">
        <f>IF(R486="","",COUNTIF('Hashtag Bank'!$D$5:$D$304,R486))</f>
        <v>0</v>
      </c>
      <c r="U486" s="29">
        <f>IF(H486="","",IF(T486="","Add - no asset",IFERROR(INDEX(Assets!$N$5:$N$254,MATCH(T486,Assets!$A$5:$A$254,0)),"Check - not in library")))</f>
        <v>0</v>
      </c>
      <c r="Y486" s="16">
        <f>IF(B486="","",B486-ProductionDays)</f>
        <v>0</v>
      </c>
      <c r="Z486" s="16">
        <f>IF(B486="","",B486-ApprovalDays)</f>
        <v>0</v>
      </c>
      <c r="AA486" s="23">
        <f>IF(B486="","",B486-TODAY())</f>
        <v>0</v>
      </c>
      <c r="AC486" s="29">
        <f>IF(H486="","",IF(X486="Published",IF(AB486="","Add - link missing","Yes"),"No"))</f>
        <v>0</v>
      </c>
      <c r="AD486" s="23">
        <f>IF(A486="","",IF(COUNTIF(Performance!$B$5:$B$404,A486)=0,"",SUMIFS(Performance!$O$5:$O$404,Performance!$B$5:$B$404,A486)))</f>
        <v>0</v>
      </c>
      <c r="AE486" s="23">
        <f>IF(AD486="","",SUMIFS(Performance!$Z$5:$Z$404,Performance!$B$5:$B$404,A486))</f>
        <v>0</v>
      </c>
      <c r="AF486" s="24">
        <f>IF(OR(AD486="",AD486=0),"",AE486/AD486)</f>
        <v>0</v>
      </c>
      <c r="AG486" s="23">
        <f>IF(AD486="","",SUMIFS(Performance!$U$5:$U$404,Performance!$B$5:$B$404,A486))</f>
        <v>0</v>
      </c>
      <c r="AH486" s="23">
        <f>IF(A486="","",COUNTIF(Repurposing!$B$5:$B$154,A486))</f>
        <v>0</v>
      </c>
      <c r="AI486" s="32">
        <f>IF(OR(H486="",B486=""),"",B486+ROW()/100000)</f>
        <v>0</v>
      </c>
      <c r="AJ486" s="32">
        <f>IF(OR(H486="",B486=""),"",IF(OR(X486="Published",X486="Cancelled",X486="Archived"),"",IF(B486&lt;TODAY(),"",B486+ROW()/100000)))</f>
        <v>0</v>
      </c>
      <c r="AK486" s="32">
        <f>IF(OR(H486="",B486=""),"",IF(OR(X486="Published",X486="Cancelled",X486="Archived"),"",IF(B486&gt;=TODAY(),"",B486+ROW()/100000)))</f>
        <v>0</v>
      </c>
      <c r="AL486" s="29">
        <f>IF(H486="","",IF(COUNTIFS('Content Calendar'!$H$5:$H$604,H486,'Content Calendar'!$G$5:$G$604,G486,'Content Calendar'!$B$5:$B$604,B486)&gt;1,"Duplicate","OK"))</f>
        <v>0</v>
      </c>
      <c r="AM486" s="29">
        <f>IF(H486="","",IF(AND(B486&lt;&gt;"",B486&lt;TODAY(),X486&lt;&gt;"Published",X486&lt;&gt;"Cancelled",X486&lt;&gt;"Archived"),"Overdue - date has passed",IF(AND(X486="Published",AB486=""),"Add - publish link missing",IF(AND(B486=TODAY(),X486&lt;&gt;"Published"),"Today - due to go live",IF(AND(Y486&lt;&gt;"",Y486&lt;TODAY(),OR(X486="Idea",X486="Brief",X486="In production")),"Late - draft not ready",IF(AND(AA486&gt;=0,AA486&lt;=3,OR(X486="Draft",X486="Awaiting review")),"Due - needs approval",IF(AND(H486&lt;&gt;"",P486=""),"Add - caption missing","OK")))))))</f>
        <v>0</v>
      </c>
    </row>
    <row r="487" spans="1:39">
      <c r="A487" s="41">
        <f>IF(H487="","",ContentPrefix&amp;TEXT(ROW()-4,"0000"))</f>
        <v>0</v>
      </c>
      <c r="D487" s="17">
        <f>IF(B487="","",TEXT(B487,"yyyy-mm"))</f>
        <v>0</v>
      </c>
      <c r="E487" s="23">
        <f>IF(B487="","",WEEKNUM(B487,IF(WeekStart="Sunday",1,2)))</f>
        <v>0</v>
      </c>
      <c r="F487" s="17">
        <f>IF(B487="","",TEXT(B487,"ddd"))</f>
        <v>0</v>
      </c>
      <c r="Q487" s="29">
        <f>IF(H487="","",IF(P487="","Add - no caption",IFERROR(INDEX('Caption Bank'!$R$5:$R$204,MATCH(P487,'Caption Bank'!$B$5:$B$204,0)),"Check - not in bank")))</f>
        <v>0</v>
      </c>
      <c r="S487" s="23">
        <f>IF(R487="","",COUNTIF('Hashtag Bank'!$D$5:$D$304,R487))</f>
        <v>0</v>
      </c>
      <c r="U487" s="29">
        <f>IF(H487="","",IF(T487="","Add - no asset",IFERROR(INDEX(Assets!$N$5:$N$254,MATCH(T487,Assets!$A$5:$A$254,0)),"Check - not in library")))</f>
        <v>0</v>
      </c>
      <c r="Y487" s="16">
        <f>IF(B487="","",B487-ProductionDays)</f>
        <v>0</v>
      </c>
      <c r="Z487" s="16">
        <f>IF(B487="","",B487-ApprovalDays)</f>
        <v>0</v>
      </c>
      <c r="AA487" s="23">
        <f>IF(B487="","",B487-TODAY())</f>
        <v>0</v>
      </c>
      <c r="AC487" s="29">
        <f>IF(H487="","",IF(X487="Published",IF(AB487="","Add - link missing","Yes"),"No"))</f>
        <v>0</v>
      </c>
      <c r="AD487" s="23">
        <f>IF(A487="","",IF(COUNTIF(Performance!$B$5:$B$404,A487)=0,"",SUMIFS(Performance!$O$5:$O$404,Performance!$B$5:$B$404,A487)))</f>
        <v>0</v>
      </c>
      <c r="AE487" s="23">
        <f>IF(AD487="","",SUMIFS(Performance!$Z$5:$Z$404,Performance!$B$5:$B$404,A487))</f>
        <v>0</v>
      </c>
      <c r="AF487" s="24">
        <f>IF(OR(AD487="",AD487=0),"",AE487/AD487)</f>
        <v>0</v>
      </c>
      <c r="AG487" s="23">
        <f>IF(AD487="","",SUMIFS(Performance!$U$5:$U$404,Performance!$B$5:$B$404,A487))</f>
        <v>0</v>
      </c>
      <c r="AH487" s="23">
        <f>IF(A487="","",COUNTIF(Repurposing!$B$5:$B$154,A487))</f>
        <v>0</v>
      </c>
      <c r="AI487" s="32">
        <f>IF(OR(H487="",B487=""),"",B487+ROW()/100000)</f>
        <v>0</v>
      </c>
      <c r="AJ487" s="32">
        <f>IF(OR(H487="",B487=""),"",IF(OR(X487="Published",X487="Cancelled",X487="Archived"),"",IF(B487&lt;TODAY(),"",B487+ROW()/100000)))</f>
        <v>0</v>
      </c>
      <c r="AK487" s="32">
        <f>IF(OR(H487="",B487=""),"",IF(OR(X487="Published",X487="Cancelled",X487="Archived"),"",IF(B487&gt;=TODAY(),"",B487+ROW()/100000)))</f>
        <v>0</v>
      </c>
      <c r="AL487" s="29">
        <f>IF(H487="","",IF(COUNTIFS('Content Calendar'!$H$5:$H$604,H487,'Content Calendar'!$G$5:$G$604,G487,'Content Calendar'!$B$5:$B$604,B487)&gt;1,"Duplicate","OK"))</f>
        <v>0</v>
      </c>
      <c r="AM487" s="29">
        <f>IF(H487="","",IF(AND(B487&lt;&gt;"",B487&lt;TODAY(),X487&lt;&gt;"Published",X487&lt;&gt;"Cancelled",X487&lt;&gt;"Archived"),"Overdue - date has passed",IF(AND(X487="Published",AB487=""),"Add - publish link missing",IF(AND(B487=TODAY(),X487&lt;&gt;"Published"),"Today - due to go live",IF(AND(Y487&lt;&gt;"",Y487&lt;TODAY(),OR(X487="Idea",X487="Brief",X487="In production")),"Late - draft not ready",IF(AND(AA487&gt;=0,AA487&lt;=3,OR(X487="Draft",X487="Awaiting review")),"Due - needs approval",IF(AND(H487&lt;&gt;"",P487=""),"Add - caption missing","OK")))))))</f>
        <v>0</v>
      </c>
    </row>
    <row r="488" spans="1:39">
      <c r="A488" s="41">
        <f>IF(H488="","",ContentPrefix&amp;TEXT(ROW()-4,"0000"))</f>
        <v>0</v>
      </c>
      <c r="D488" s="17">
        <f>IF(B488="","",TEXT(B488,"yyyy-mm"))</f>
        <v>0</v>
      </c>
      <c r="E488" s="23">
        <f>IF(B488="","",WEEKNUM(B488,IF(WeekStart="Sunday",1,2)))</f>
        <v>0</v>
      </c>
      <c r="F488" s="17">
        <f>IF(B488="","",TEXT(B488,"ddd"))</f>
        <v>0</v>
      </c>
      <c r="Q488" s="29">
        <f>IF(H488="","",IF(P488="","Add - no caption",IFERROR(INDEX('Caption Bank'!$R$5:$R$204,MATCH(P488,'Caption Bank'!$B$5:$B$204,0)),"Check - not in bank")))</f>
        <v>0</v>
      </c>
      <c r="S488" s="23">
        <f>IF(R488="","",COUNTIF('Hashtag Bank'!$D$5:$D$304,R488))</f>
        <v>0</v>
      </c>
      <c r="U488" s="29">
        <f>IF(H488="","",IF(T488="","Add - no asset",IFERROR(INDEX(Assets!$N$5:$N$254,MATCH(T488,Assets!$A$5:$A$254,0)),"Check - not in library")))</f>
        <v>0</v>
      </c>
      <c r="Y488" s="16">
        <f>IF(B488="","",B488-ProductionDays)</f>
        <v>0</v>
      </c>
      <c r="Z488" s="16">
        <f>IF(B488="","",B488-ApprovalDays)</f>
        <v>0</v>
      </c>
      <c r="AA488" s="23">
        <f>IF(B488="","",B488-TODAY())</f>
        <v>0</v>
      </c>
      <c r="AC488" s="29">
        <f>IF(H488="","",IF(X488="Published",IF(AB488="","Add - link missing","Yes"),"No"))</f>
        <v>0</v>
      </c>
      <c r="AD488" s="23">
        <f>IF(A488="","",IF(COUNTIF(Performance!$B$5:$B$404,A488)=0,"",SUMIFS(Performance!$O$5:$O$404,Performance!$B$5:$B$404,A488)))</f>
        <v>0</v>
      </c>
      <c r="AE488" s="23">
        <f>IF(AD488="","",SUMIFS(Performance!$Z$5:$Z$404,Performance!$B$5:$B$404,A488))</f>
        <v>0</v>
      </c>
      <c r="AF488" s="24">
        <f>IF(OR(AD488="",AD488=0),"",AE488/AD488)</f>
        <v>0</v>
      </c>
      <c r="AG488" s="23">
        <f>IF(AD488="","",SUMIFS(Performance!$U$5:$U$404,Performance!$B$5:$B$404,A488))</f>
        <v>0</v>
      </c>
      <c r="AH488" s="23">
        <f>IF(A488="","",COUNTIF(Repurposing!$B$5:$B$154,A488))</f>
        <v>0</v>
      </c>
      <c r="AI488" s="32">
        <f>IF(OR(H488="",B488=""),"",B488+ROW()/100000)</f>
        <v>0</v>
      </c>
      <c r="AJ488" s="32">
        <f>IF(OR(H488="",B488=""),"",IF(OR(X488="Published",X488="Cancelled",X488="Archived"),"",IF(B488&lt;TODAY(),"",B488+ROW()/100000)))</f>
        <v>0</v>
      </c>
      <c r="AK488" s="32">
        <f>IF(OR(H488="",B488=""),"",IF(OR(X488="Published",X488="Cancelled",X488="Archived"),"",IF(B488&gt;=TODAY(),"",B488+ROW()/100000)))</f>
        <v>0</v>
      </c>
      <c r="AL488" s="29">
        <f>IF(H488="","",IF(COUNTIFS('Content Calendar'!$H$5:$H$604,H488,'Content Calendar'!$G$5:$G$604,G488,'Content Calendar'!$B$5:$B$604,B488)&gt;1,"Duplicate","OK"))</f>
        <v>0</v>
      </c>
      <c r="AM488" s="29">
        <f>IF(H488="","",IF(AND(B488&lt;&gt;"",B488&lt;TODAY(),X488&lt;&gt;"Published",X488&lt;&gt;"Cancelled",X488&lt;&gt;"Archived"),"Overdue - date has passed",IF(AND(X488="Published",AB488=""),"Add - publish link missing",IF(AND(B488=TODAY(),X488&lt;&gt;"Published"),"Today - due to go live",IF(AND(Y488&lt;&gt;"",Y488&lt;TODAY(),OR(X488="Idea",X488="Brief",X488="In production")),"Late - draft not ready",IF(AND(AA488&gt;=0,AA488&lt;=3,OR(X488="Draft",X488="Awaiting review")),"Due - needs approval",IF(AND(H488&lt;&gt;"",P488=""),"Add - caption missing","OK")))))))</f>
        <v>0</v>
      </c>
    </row>
    <row r="489" spans="1:39">
      <c r="A489" s="41">
        <f>IF(H489="","",ContentPrefix&amp;TEXT(ROW()-4,"0000"))</f>
        <v>0</v>
      </c>
      <c r="D489" s="17">
        <f>IF(B489="","",TEXT(B489,"yyyy-mm"))</f>
        <v>0</v>
      </c>
      <c r="E489" s="23">
        <f>IF(B489="","",WEEKNUM(B489,IF(WeekStart="Sunday",1,2)))</f>
        <v>0</v>
      </c>
      <c r="F489" s="17">
        <f>IF(B489="","",TEXT(B489,"ddd"))</f>
        <v>0</v>
      </c>
      <c r="Q489" s="29">
        <f>IF(H489="","",IF(P489="","Add - no caption",IFERROR(INDEX('Caption Bank'!$R$5:$R$204,MATCH(P489,'Caption Bank'!$B$5:$B$204,0)),"Check - not in bank")))</f>
        <v>0</v>
      </c>
      <c r="S489" s="23">
        <f>IF(R489="","",COUNTIF('Hashtag Bank'!$D$5:$D$304,R489))</f>
        <v>0</v>
      </c>
      <c r="U489" s="29">
        <f>IF(H489="","",IF(T489="","Add - no asset",IFERROR(INDEX(Assets!$N$5:$N$254,MATCH(T489,Assets!$A$5:$A$254,0)),"Check - not in library")))</f>
        <v>0</v>
      </c>
      <c r="Y489" s="16">
        <f>IF(B489="","",B489-ProductionDays)</f>
        <v>0</v>
      </c>
      <c r="Z489" s="16">
        <f>IF(B489="","",B489-ApprovalDays)</f>
        <v>0</v>
      </c>
      <c r="AA489" s="23">
        <f>IF(B489="","",B489-TODAY())</f>
        <v>0</v>
      </c>
      <c r="AC489" s="29">
        <f>IF(H489="","",IF(X489="Published",IF(AB489="","Add - link missing","Yes"),"No"))</f>
        <v>0</v>
      </c>
      <c r="AD489" s="23">
        <f>IF(A489="","",IF(COUNTIF(Performance!$B$5:$B$404,A489)=0,"",SUMIFS(Performance!$O$5:$O$404,Performance!$B$5:$B$404,A489)))</f>
        <v>0</v>
      </c>
      <c r="AE489" s="23">
        <f>IF(AD489="","",SUMIFS(Performance!$Z$5:$Z$404,Performance!$B$5:$B$404,A489))</f>
        <v>0</v>
      </c>
      <c r="AF489" s="24">
        <f>IF(OR(AD489="",AD489=0),"",AE489/AD489)</f>
        <v>0</v>
      </c>
      <c r="AG489" s="23">
        <f>IF(AD489="","",SUMIFS(Performance!$U$5:$U$404,Performance!$B$5:$B$404,A489))</f>
        <v>0</v>
      </c>
      <c r="AH489" s="23">
        <f>IF(A489="","",COUNTIF(Repurposing!$B$5:$B$154,A489))</f>
        <v>0</v>
      </c>
      <c r="AI489" s="32">
        <f>IF(OR(H489="",B489=""),"",B489+ROW()/100000)</f>
        <v>0</v>
      </c>
      <c r="AJ489" s="32">
        <f>IF(OR(H489="",B489=""),"",IF(OR(X489="Published",X489="Cancelled",X489="Archived"),"",IF(B489&lt;TODAY(),"",B489+ROW()/100000)))</f>
        <v>0</v>
      </c>
      <c r="AK489" s="32">
        <f>IF(OR(H489="",B489=""),"",IF(OR(X489="Published",X489="Cancelled",X489="Archived"),"",IF(B489&gt;=TODAY(),"",B489+ROW()/100000)))</f>
        <v>0</v>
      </c>
      <c r="AL489" s="29">
        <f>IF(H489="","",IF(COUNTIFS('Content Calendar'!$H$5:$H$604,H489,'Content Calendar'!$G$5:$G$604,G489,'Content Calendar'!$B$5:$B$604,B489)&gt;1,"Duplicate","OK"))</f>
        <v>0</v>
      </c>
      <c r="AM489" s="29">
        <f>IF(H489="","",IF(AND(B489&lt;&gt;"",B489&lt;TODAY(),X489&lt;&gt;"Published",X489&lt;&gt;"Cancelled",X489&lt;&gt;"Archived"),"Overdue - date has passed",IF(AND(X489="Published",AB489=""),"Add - publish link missing",IF(AND(B489=TODAY(),X489&lt;&gt;"Published"),"Today - due to go live",IF(AND(Y489&lt;&gt;"",Y489&lt;TODAY(),OR(X489="Idea",X489="Brief",X489="In production")),"Late - draft not ready",IF(AND(AA489&gt;=0,AA489&lt;=3,OR(X489="Draft",X489="Awaiting review")),"Due - needs approval",IF(AND(H489&lt;&gt;"",P489=""),"Add - caption missing","OK")))))))</f>
        <v>0</v>
      </c>
    </row>
    <row r="490" spans="1:39">
      <c r="A490" s="41">
        <f>IF(H490="","",ContentPrefix&amp;TEXT(ROW()-4,"0000"))</f>
        <v>0</v>
      </c>
      <c r="D490" s="17">
        <f>IF(B490="","",TEXT(B490,"yyyy-mm"))</f>
        <v>0</v>
      </c>
      <c r="E490" s="23">
        <f>IF(B490="","",WEEKNUM(B490,IF(WeekStart="Sunday",1,2)))</f>
        <v>0</v>
      </c>
      <c r="F490" s="17">
        <f>IF(B490="","",TEXT(B490,"ddd"))</f>
        <v>0</v>
      </c>
      <c r="Q490" s="29">
        <f>IF(H490="","",IF(P490="","Add - no caption",IFERROR(INDEX('Caption Bank'!$R$5:$R$204,MATCH(P490,'Caption Bank'!$B$5:$B$204,0)),"Check - not in bank")))</f>
        <v>0</v>
      </c>
      <c r="S490" s="23">
        <f>IF(R490="","",COUNTIF('Hashtag Bank'!$D$5:$D$304,R490))</f>
        <v>0</v>
      </c>
      <c r="U490" s="29">
        <f>IF(H490="","",IF(T490="","Add - no asset",IFERROR(INDEX(Assets!$N$5:$N$254,MATCH(T490,Assets!$A$5:$A$254,0)),"Check - not in library")))</f>
        <v>0</v>
      </c>
      <c r="Y490" s="16">
        <f>IF(B490="","",B490-ProductionDays)</f>
        <v>0</v>
      </c>
      <c r="Z490" s="16">
        <f>IF(B490="","",B490-ApprovalDays)</f>
        <v>0</v>
      </c>
      <c r="AA490" s="23">
        <f>IF(B490="","",B490-TODAY())</f>
        <v>0</v>
      </c>
      <c r="AC490" s="29">
        <f>IF(H490="","",IF(X490="Published",IF(AB490="","Add - link missing","Yes"),"No"))</f>
        <v>0</v>
      </c>
      <c r="AD490" s="23">
        <f>IF(A490="","",IF(COUNTIF(Performance!$B$5:$B$404,A490)=0,"",SUMIFS(Performance!$O$5:$O$404,Performance!$B$5:$B$404,A490)))</f>
        <v>0</v>
      </c>
      <c r="AE490" s="23">
        <f>IF(AD490="","",SUMIFS(Performance!$Z$5:$Z$404,Performance!$B$5:$B$404,A490))</f>
        <v>0</v>
      </c>
      <c r="AF490" s="24">
        <f>IF(OR(AD490="",AD490=0),"",AE490/AD490)</f>
        <v>0</v>
      </c>
      <c r="AG490" s="23">
        <f>IF(AD490="","",SUMIFS(Performance!$U$5:$U$404,Performance!$B$5:$B$404,A490))</f>
        <v>0</v>
      </c>
      <c r="AH490" s="23">
        <f>IF(A490="","",COUNTIF(Repurposing!$B$5:$B$154,A490))</f>
        <v>0</v>
      </c>
      <c r="AI490" s="32">
        <f>IF(OR(H490="",B490=""),"",B490+ROW()/100000)</f>
        <v>0</v>
      </c>
      <c r="AJ490" s="32">
        <f>IF(OR(H490="",B490=""),"",IF(OR(X490="Published",X490="Cancelled",X490="Archived"),"",IF(B490&lt;TODAY(),"",B490+ROW()/100000)))</f>
        <v>0</v>
      </c>
      <c r="AK490" s="32">
        <f>IF(OR(H490="",B490=""),"",IF(OR(X490="Published",X490="Cancelled",X490="Archived"),"",IF(B490&gt;=TODAY(),"",B490+ROW()/100000)))</f>
        <v>0</v>
      </c>
      <c r="AL490" s="29">
        <f>IF(H490="","",IF(COUNTIFS('Content Calendar'!$H$5:$H$604,H490,'Content Calendar'!$G$5:$G$604,G490,'Content Calendar'!$B$5:$B$604,B490)&gt;1,"Duplicate","OK"))</f>
        <v>0</v>
      </c>
      <c r="AM490" s="29">
        <f>IF(H490="","",IF(AND(B490&lt;&gt;"",B490&lt;TODAY(),X490&lt;&gt;"Published",X490&lt;&gt;"Cancelled",X490&lt;&gt;"Archived"),"Overdue - date has passed",IF(AND(X490="Published",AB490=""),"Add - publish link missing",IF(AND(B490=TODAY(),X490&lt;&gt;"Published"),"Today - due to go live",IF(AND(Y490&lt;&gt;"",Y490&lt;TODAY(),OR(X490="Idea",X490="Brief",X490="In production")),"Late - draft not ready",IF(AND(AA490&gt;=0,AA490&lt;=3,OR(X490="Draft",X490="Awaiting review")),"Due - needs approval",IF(AND(H490&lt;&gt;"",P490=""),"Add - caption missing","OK")))))))</f>
        <v>0</v>
      </c>
    </row>
    <row r="491" spans="1:39">
      <c r="A491" s="41">
        <f>IF(H491="","",ContentPrefix&amp;TEXT(ROW()-4,"0000"))</f>
        <v>0</v>
      </c>
      <c r="D491" s="17">
        <f>IF(B491="","",TEXT(B491,"yyyy-mm"))</f>
        <v>0</v>
      </c>
      <c r="E491" s="23">
        <f>IF(B491="","",WEEKNUM(B491,IF(WeekStart="Sunday",1,2)))</f>
        <v>0</v>
      </c>
      <c r="F491" s="17">
        <f>IF(B491="","",TEXT(B491,"ddd"))</f>
        <v>0</v>
      </c>
      <c r="Q491" s="29">
        <f>IF(H491="","",IF(P491="","Add - no caption",IFERROR(INDEX('Caption Bank'!$R$5:$R$204,MATCH(P491,'Caption Bank'!$B$5:$B$204,0)),"Check - not in bank")))</f>
        <v>0</v>
      </c>
      <c r="S491" s="23">
        <f>IF(R491="","",COUNTIF('Hashtag Bank'!$D$5:$D$304,R491))</f>
        <v>0</v>
      </c>
      <c r="U491" s="29">
        <f>IF(H491="","",IF(T491="","Add - no asset",IFERROR(INDEX(Assets!$N$5:$N$254,MATCH(T491,Assets!$A$5:$A$254,0)),"Check - not in library")))</f>
        <v>0</v>
      </c>
      <c r="Y491" s="16">
        <f>IF(B491="","",B491-ProductionDays)</f>
        <v>0</v>
      </c>
      <c r="Z491" s="16">
        <f>IF(B491="","",B491-ApprovalDays)</f>
        <v>0</v>
      </c>
      <c r="AA491" s="23">
        <f>IF(B491="","",B491-TODAY())</f>
        <v>0</v>
      </c>
      <c r="AC491" s="29">
        <f>IF(H491="","",IF(X491="Published",IF(AB491="","Add - link missing","Yes"),"No"))</f>
        <v>0</v>
      </c>
      <c r="AD491" s="23">
        <f>IF(A491="","",IF(COUNTIF(Performance!$B$5:$B$404,A491)=0,"",SUMIFS(Performance!$O$5:$O$404,Performance!$B$5:$B$404,A491)))</f>
        <v>0</v>
      </c>
      <c r="AE491" s="23">
        <f>IF(AD491="","",SUMIFS(Performance!$Z$5:$Z$404,Performance!$B$5:$B$404,A491))</f>
        <v>0</v>
      </c>
      <c r="AF491" s="24">
        <f>IF(OR(AD491="",AD491=0),"",AE491/AD491)</f>
        <v>0</v>
      </c>
      <c r="AG491" s="23">
        <f>IF(AD491="","",SUMIFS(Performance!$U$5:$U$404,Performance!$B$5:$B$404,A491))</f>
        <v>0</v>
      </c>
      <c r="AH491" s="23">
        <f>IF(A491="","",COUNTIF(Repurposing!$B$5:$B$154,A491))</f>
        <v>0</v>
      </c>
      <c r="AI491" s="32">
        <f>IF(OR(H491="",B491=""),"",B491+ROW()/100000)</f>
        <v>0</v>
      </c>
      <c r="AJ491" s="32">
        <f>IF(OR(H491="",B491=""),"",IF(OR(X491="Published",X491="Cancelled",X491="Archived"),"",IF(B491&lt;TODAY(),"",B491+ROW()/100000)))</f>
        <v>0</v>
      </c>
      <c r="AK491" s="32">
        <f>IF(OR(H491="",B491=""),"",IF(OR(X491="Published",X491="Cancelled",X491="Archived"),"",IF(B491&gt;=TODAY(),"",B491+ROW()/100000)))</f>
        <v>0</v>
      </c>
      <c r="AL491" s="29">
        <f>IF(H491="","",IF(COUNTIFS('Content Calendar'!$H$5:$H$604,H491,'Content Calendar'!$G$5:$G$604,G491,'Content Calendar'!$B$5:$B$604,B491)&gt;1,"Duplicate","OK"))</f>
        <v>0</v>
      </c>
      <c r="AM491" s="29">
        <f>IF(H491="","",IF(AND(B491&lt;&gt;"",B491&lt;TODAY(),X491&lt;&gt;"Published",X491&lt;&gt;"Cancelled",X491&lt;&gt;"Archived"),"Overdue - date has passed",IF(AND(X491="Published",AB491=""),"Add - publish link missing",IF(AND(B491=TODAY(),X491&lt;&gt;"Published"),"Today - due to go live",IF(AND(Y491&lt;&gt;"",Y491&lt;TODAY(),OR(X491="Idea",X491="Brief",X491="In production")),"Late - draft not ready",IF(AND(AA491&gt;=0,AA491&lt;=3,OR(X491="Draft",X491="Awaiting review")),"Due - needs approval",IF(AND(H491&lt;&gt;"",P491=""),"Add - caption missing","OK")))))))</f>
        <v>0</v>
      </c>
    </row>
    <row r="492" spans="1:39">
      <c r="A492" s="41">
        <f>IF(H492="","",ContentPrefix&amp;TEXT(ROW()-4,"0000"))</f>
        <v>0</v>
      </c>
      <c r="D492" s="17">
        <f>IF(B492="","",TEXT(B492,"yyyy-mm"))</f>
        <v>0</v>
      </c>
      <c r="E492" s="23">
        <f>IF(B492="","",WEEKNUM(B492,IF(WeekStart="Sunday",1,2)))</f>
        <v>0</v>
      </c>
      <c r="F492" s="17">
        <f>IF(B492="","",TEXT(B492,"ddd"))</f>
        <v>0</v>
      </c>
      <c r="Q492" s="29">
        <f>IF(H492="","",IF(P492="","Add - no caption",IFERROR(INDEX('Caption Bank'!$R$5:$R$204,MATCH(P492,'Caption Bank'!$B$5:$B$204,0)),"Check - not in bank")))</f>
        <v>0</v>
      </c>
      <c r="S492" s="23">
        <f>IF(R492="","",COUNTIF('Hashtag Bank'!$D$5:$D$304,R492))</f>
        <v>0</v>
      </c>
      <c r="U492" s="29">
        <f>IF(H492="","",IF(T492="","Add - no asset",IFERROR(INDEX(Assets!$N$5:$N$254,MATCH(T492,Assets!$A$5:$A$254,0)),"Check - not in library")))</f>
        <v>0</v>
      </c>
      <c r="Y492" s="16">
        <f>IF(B492="","",B492-ProductionDays)</f>
        <v>0</v>
      </c>
      <c r="Z492" s="16">
        <f>IF(B492="","",B492-ApprovalDays)</f>
        <v>0</v>
      </c>
      <c r="AA492" s="23">
        <f>IF(B492="","",B492-TODAY())</f>
        <v>0</v>
      </c>
      <c r="AC492" s="29">
        <f>IF(H492="","",IF(X492="Published",IF(AB492="","Add - link missing","Yes"),"No"))</f>
        <v>0</v>
      </c>
      <c r="AD492" s="23">
        <f>IF(A492="","",IF(COUNTIF(Performance!$B$5:$B$404,A492)=0,"",SUMIFS(Performance!$O$5:$O$404,Performance!$B$5:$B$404,A492)))</f>
        <v>0</v>
      </c>
      <c r="AE492" s="23">
        <f>IF(AD492="","",SUMIFS(Performance!$Z$5:$Z$404,Performance!$B$5:$B$404,A492))</f>
        <v>0</v>
      </c>
      <c r="AF492" s="24">
        <f>IF(OR(AD492="",AD492=0),"",AE492/AD492)</f>
        <v>0</v>
      </c>
      <c r="AG492" s="23">
        <f>IF(AD492="","",SUMIFS(Performance!$U$5:$U$404,Performance!$B$5:$B$404,A492))</f>
        <v>0</v>
      </c>
      <c r="AH492" s="23">
        <f>IF(A492="","",COUNTIF(Repurposing!$B$5:$B$154,A492))</f>
        <v>0</v>
      </c>
      <c r="AI492" s="32">
        <f>IF(OR(H492="",B492=""),"",B492+ROW()/100000)</f>
        <v>0</v>
      </c>
      <c r="AJ492" s="32">
        <f>IF(OR(H492="",B492=""),"",IF(OR(X492="Published",X492="Cancelled",X492="Archived"),"",IF(B492&lt;TODAY(),"",B492+ROW()/100000)))</f>
        <v>0</v>
      </c>
      <c r="AK492" s="32">
        <f>IF(OR(H492="",B492=""),"",IF(OR(X492="Published",X492="Cancelled",X492="Archived"),"",IF(B492&gt;=TODAY(),"",B492+ROW()/100000)))</f>
        <v>0</v>
      </c>
      <c r="AL492" s="29">
        <f>IF(H492="","",IF(COUNTIFS('Content Calendar'!$H$5:$H$604,H492,'Content Calendar'!$G$5:$G$604,G492,'Content Calendar'!$B$5:$B$604,B492)&gt;1,"Duplicate","OK"))</f>
        <v>0</v>
      </c>
      <c r="AM492" s="29">
        <f>IF(H492="","",IF(AND(B492&lt;&gt;"",B492&lt;TODAY(),X492&lt;&gt;"Published",X492&lt;&gt;"Cancelled",X492&lt;&gt;"Archived"),"Overdue - date has passed",IF(AND(X492="Published",AB492=""),"Add - publish link missing",IF(AND(B492=TODAY(),X492&lt;&gt;"Published"),"Today - due to go live",IF(AND(Y492&lt;&gt;"",Y492&lt;TODAY(),OR(X492="Idea",X492="Brief",X492="In production")),"Late - draft not ready",IF(AND(AA492&gt;=0,AA492&lt;=3,OR(X492="Draft",X492="Awaiting review")),"Due - needs approval",IF(AND(H492&lt;&gt;"",P492=""),"Add - caption missing","OK")))))))</f>
        <v>0</v>
      </c>
    </row>
    <row r="493" spans="1:39">
      <c r="A493" s="41">
        <f>IF(H493="","",ContentPrefix&amp;TEXT(ROW()-4,"0000"))</f>
        <v>0</v>
      </c>
      <c r="D493" s="17">
        <f>IF(B493="","",TEXT(B493,"yyyy-mm"))</f>
        <v>0</v>
      </c>
      <c r="E493" s="23">
        <f>IF(B493="","",WEEKNUM(B493,IF(WeekStart="Sunday",1,2)))</f>
        <v>0</v>
      </c>
      <c r="F493" s="17">
        <f>IF(B493="","",TEXT(B493,"ddd"))</f>
        <v>0</v>
      </c>
      <c r="Q493" s="29">
        <f>IF(H493="","",IF(P493="","Add - no caption",IFERROR(INDEX('Caption Bank'!$R$5:$R$204,MATCH(P493,'Caption Bank'!$B$5:$B$204,0)),"Check - not in bank")))</f>
        <v>0</v>
      </c>
      <c r="S493" s="23">
        <f>IF(R493="","",COUNTIF('Hashtag Bank'!$D$5:$D$304,R493))</f>
        <v>0</v>
      </c>
      <c r="U493" s="29">
        <f>IF(H493="","",IF(T493="","Add - no asset",IFERROR(INDEX(Assets!$N$5:$N$254,MATCH(T493,Assets!$A$5:$A$254,0)),"Check - not in library")))</f>
        <v>0</v>
      </c>
      <c r="Y493" s="16">
        <f>IF(B493="","",B493-ProductionDays)</f>
        <v>0</v>
      </c>
      <c r="Z493" s="16">
        <f>IF(B493="","",B493-ApprovalDays)</f>
        <v>0</v>
      </c>
      <c r="AA493" s="23">
        <f>IF(B493="","",B493-TODAY())</f>
        <v>0</v>
      </c>
      <c r="AC493" s="29">
        <f>IF(H493="","",IF(X493="Published",IF(AB493="","Add - link missing","Yes"),"No"))</f>
        <v>0</v>
      </c>
      <c r="AD493" s="23">
        <f>IF(A493="","",IF(COUNTIF(Performance!$B$5:$B$404,A493)=0,"",SUMIFS(Performance!$O$5:$O$404,Performance!$B$5:$B$404,A493)))</f>
        <v>0</v>
      </c>
      <c r="AE493" s="23">
        <f>IF(AD493="","",SUMIFS(Performance!$Z$5:$Z$404,Performance!$B$5:$B$404,A493))</f>
        <v>0</v>
      </c>
      <c r="AF493" s="24">
        <f>IF(OR(AD493="",AD493=0),"",AE493/AD493)</f>
        <v>0</v>
      </c>
      <c r="AG493" s="23">
        <f>IF(AD493="","",SUMIFS(Performance!$U$5:$U$404,Performance!$B$5:$B$404,A493))</f>
        <v>0</v>
      </c>
      <c r="AH493" s="23">
        <f>IF(A493="","",COUNTIF(Repurposing!$B$5:$B$154,A493))</f>
        <v>0</v>
      </c>
      <c r="AI493" s="32">
        <f>IF(OR(H493="",B493=""),"",B493+ROW()/100000)</f>
        <v>0</v>
      </c>
      <c r="AJ493" s="32">
        <f>IF(OR(H493="",B493=""),"",IF(OR(X493="Published",X493="Cancelled",X493="Archived"),"",IF(B493&lt;TODAY(),"",B493+ROW()/100000)))</f>
        <v>0</v>
      </c>
      <c r="AK493" s="32">
        <f>IF(OR(H493="",B493=""),"",IF(OR(X493="Published",X493="Cancelled",X493="Archived"),"",IF(B493&gt;=TODAY(),"",B493+ROW()/100000)))</f>
        <v>0</v>
      </c>
      <c r="AL493" s="29">
        <f>IF(H493="","",IF(COUNTIFS('Content Calendar'!$H$5:$H$604,H493,'Content Calendar'!$G$5:$G$604,G493,'Content Calendar'!$B$5:$B$604,B493)&gt;1,"Duplicate","OK"))</f>
        <v>0</v>
      </c>
      <c r="AM493" s="29">
        <f>IF(H493="","",IF(AND(B493&lt;&gt;"",B493&lt;TODAY(),X493&lt;&gt;"Published",X493&lt;&gt;"Cancelled",X493&lt;&gt;"Archived"),"Overdue - date has passed",IF(AND(X493="Published",AB493=""),"Add - publish link missing",IF(AND(B493=TODAY(),X493&lt;&gt;"Published"),"Today - due to go live",IF(AND(Y493&lt;&gt;"",Y493&lt;TODAY(),OR(X493="Idea",X493="Brief",X493="In production")),"Late - draft not ready",IF(AND(AA493&gt;=0,AA493&lt;=3,OR(X493="Draft",X493="Awaiting review")),"Due - needs approval",IF(AND(H493&lt;&gt;"",P493=""),"Add - caption missing","OK")))))))</f>
        <v>0</v>
      </c>
    </row>
    <row r="494" spans="1:39">
      <c r="A494" s="41">
        <f>IF(H494="","",ContentPrefix&amp;TEXT(ROW()-4,"0000"))</f>
        <v>0</v>
      </c>
      <c r="D494" s="17">
        <f>IF(B494="","",TEXT(B494,"yyyy-mm"))</f>
        <v>0</v>
      </c>
      <c r="E494" s="23">
        <f>IF(B494="","",WEEKNUM(B494,IF(WeekStart="Sunday",1,2)))</f>
        <v>0</v>
      </c>
      <c r="F494" s="17">
        <f>IF(B494="","",TEXT(B494,"ddd"))</f>
        <v>0</v>
      </c>
      <c r="Q494" s="29">
        <f>IF(H494="","",IF(P494="","Add - no caption",IFERROR(INDEX('Caption Bank'!$R$5:$R$204,MATCH(P494,'Caption Bank'!$B$5:$B$204,0)),"Check - not in bank")))</f>
        <v>0</v>
      </c>
      <c r="S494" s="23">
        <f>IF(R494="","",COUNTIF('Hashtag Bank'!$D$5:$D$304,R494))</f>
        <v>0</v>
      </c>
      <c r="U494" s="29">
        <f>IF(H494="","",IF(T494="","Add - no asset",IFERROR(INDEX(Assets!$N$5:$N$254,MATCH(T494,Assets!$A$5:$A$254,0)),"Check - not in library")))</f>
        <v>0</v>
      </c>
      <c r="Y494" s="16">
        <f>IF(B494="","",B494-ProductionDays)</f>
        <v>0</v>
      </c>
      <c r="Z494" s="16">
        <f>IF(B494="","",B494-ApprovalDays)</f>
        <v>0</v>
      </c>
      <c r="AA494" s="23">
        <f>IF(B494="","",B494-TODAY())</f>
        <v>0</v>
      </c>
      <c r="AC494" s="29">
        <f>IF(H494="","",IF(X494="Published",IF(AB494="","Add - link missing","Yes"),"No"))</f>
        <v>0</v>
      </c>
      <c r="AD494" s="23">
        <f>IF(A494="","",IF(COUNTIF(Performance!$B$5:$B$404,A494)=0,"",SUMIFS(Performance!$O$5:$O$404,Performance!$B$5:$B$404,A494)))</f>
        <v>0</v>
      </c>
      <c r="AE494" s="23">
        <f>IF(AD494="","",SUMIFS(Performance!$Z$5:$Z$404,Performance!$B$5:$B$404,A494))</f>
        <v>0</v>
      </c>
      <c r="AF494" s="24">
        <f>IF(OR(AD494="",AD494=0),"",AE494/AD494)</f>
        <v>0</v>
      </c>
      <c r="AG494" s="23">
        <f>IF(AD494="","",SUMIFS(Performance!$U$5:$U$404,Performance!$B$5:$B$404,A494))</f>
        <v>0</v>
      </c>
      <c r="AH494" s="23">
        <f>IF(A494="","",COUNTIF(Repurposing!$B$5:$B$154,A494))</f>
        <v>0</v>
      </c>
      <c r="AI494" s="32">
        <f>IF(OR(H494="",B494=""),"",B494+ROW()/100000)</f>
        <v>0</v>
      </c>
      <c r="AJ494" s="32">
        <f>IF(OR(H494="",B494=""),"",IF(OR(X494="Published",X494="Cancelled",X494="Archived"),"",IF(B494&lt;TODAY(),"",B494+ROW()/100000)))</f>
        <v>0</v>
      </c>
      <c r="AK494" s="32">
        <f>IF(OR(H494="",B494=""),"",IF(OR(X494="Published",X494="Cancelled",X494="Archived"),"",IF(B494&gt;=TODAY(),"",B494+ROW()/100000)))</f>
        <v>0</v>
      </c>
      <c r="AL494" s="29">
        <f>IF(H494="","",IF(COUNTIFS('Content Calendar'!$H$5:$H$604,H494,'Content Calendar'!$G$5:$G$604,G494,'Content Calendar'!$B$5:$B$604,B494)&gt;1,"Duplicate","OK"))</f>
        <v>0</v>
      </c>
      <c r="AM494" s="29">
        <f>IF(H494="","",IF(AND(B494&lt;&gt;"",B494&lt;TODAY(),X494&lt;&gt;"Published",X494&lt;&gt;"Cancelled",X494&lt;&gt;"Archived"),"Overdue - date has passed",IF(AND(X494="Published",AB494=""),"Add - publish link missing",IF(AND(B494=TODAY(),X494&lt;&gt;"Published"),"Today - due to go live",IF(AND(Y494&lt;&gt;"",Y494&lt;TODAY(),OR(X494="Idea",X494="Brief",X494="In production")),"Late - draft not ready",IF(AND(AA494&gt;=0,AA494&lt;=3,OR(X494="Draft",X494="Awaiting review")),"Due - needs approval",IF(AND(H494&lt;&gt;"",P494=""),"Add - caption missing","OK")))))))</f>
        <v>0</v>
      </c>
    </row>
    <row r="495" spans="1:39">
      <c r="A495" s="41">
        <f>IF(H495="","",ContentPrefix&amp;TEXT(ROW()-4,"0000"))</f>
        <v>0</v>
      </c>
      <c r="D495" s="17">
        <f>IF(B495="","",TEXT(B495,"yyyy-mm"))</f>
        <v>0</v>
      </c>
      <c r="E495" s="23">
        <f>IF(B495="","",WEEKNUM(B495,IF(WeekStart="Sunday",1,2)))</f>
        <v>0</v>
      </c>
      <c r="F495" s="17">
        <f>IF(B495="","",TEXT(B495,"ddd"))</f>
        <v>0</v>
      </c>
      <c r="Q495" s="29">
        <f>IF(H495="","",IF(P495="","Add - no caption",IFERROR(INDEX('Caption Bank'!$R$5:$R$204,MATCH(P495,'Caption Bank'!$B$5:$B$204,0)),"Check - not in bank")))</f>
        <v>0</v>
      </c>
      <c r="S495" s="23">
        <f>IF(R495="","",COUNTIF('Hashtag Bank'!$D$5:$D$304,R495))</f>
        <v>0</v>
      </c>
      <c r="U495" s="29">
        <f>IF(H495="","",IF(T495="","Add - no asset",IFERROR(INDEX(Assets!$N$5:$N$254,MATCH(T495,Assets!$A$5:$A$254,0)),"Check - not in library")))</f>
        <v>0</v>
      </c>
      <c r="Y495" s="16">
        <f>IF(B495="","",B495-ProductionDays)</f>
        <v>0</v>
      </c>
      <c r="Z495" s="16">
        <f>IF(B495="","",B495-ApprovalDays)</f>
        <v>0</v>
      </c>
      <c r="AA495" s="23">
        <f>IF(B495="","",B495-TODAY())</f>
        <v>0</v>
      </c>
      <c r="AC495" s="29">
        <f>IF(H495="","",IF(X495="Published",IF(AB495="","Add - link missing","Yes"),"No"))</f>
        <v>0</v>
      </c>
      <c r="AD495" s="23">
        <f>IF(A495="","",IF(COUNTIF(Performance!$B$5:$B$404,A495)=0,"",SUMIFS(Performance!$O$5:$O$404,Performance!$B$5:$B$404,A495)))</f>
        <v>0</v>
      </c>
      <c r="AE495" s="23">
        <f>IF(AD495="","",SUMIFS(Performance!$Z$5:$Z$404,Performance!$B$5:$B$404,A495))</f>
        <v>0</v>
      </c>
      <c r="AF495" s="24">
        <f>IF(OR(AD495="",AD495=0),"",AE495/AD495)</f>
        <v>0</v>
      </c>
      <c r="AG495" s="23">
        <f>IF(AD495="","",SUMIFS(Performance!$U$5:$U$404,Performance!$B$5:$B$404,A495))</f>
        <v>0</v>
      </c>
      <c r="AH495" s="23">
        <f>IF(A495="","",COUNTIF(Repurposing!$B$5:$B$154,A495))</f>
        <v>0</v>
      </c>
      <c r="AI495" s="32">
        <f>IF(OR(H495="",B495=""),"",B495+ROW()/100000)</f>
        <v>0</v>
      </c>
      <c r="AJ495" s="32">
        <f>IF(OR(H495="",B495=""),"",IF(OR(X495="Published",X495="Cancelled",X495="Archived"),"",IF(B495&lt;TODAY(),"",B495+ROW()/100000)))</f>
        <v>0</v>
      </c>
      <c r="AK495" s="32">
        <f>IF(OR(H495="",B495=""),"",IF(OR(X495="Published",X495="Cancelled",X495="Archived"),"",IF(B495&gt;=TODAY(),"",B495+ROW()/100000)))</f>
        <v>0</v>
      </c>
      <c r="AL495" s="29">
        <f>IF(H495="","",IF(COUNTIFS('Content Calendar'!$H$5:$H$604,H495,'Content Calendar'!$G$5:$G$604,G495,'Content Calendar'!$B$5:$B$604,B495)&gt;1,"Duplicate","OK"))</f>
        <v>0</v>
      </c>
      <c r="AM495" s="29">
        <f>IF(H495="","",IF(AND(B495&lt;&gt;"",B495&lt;TODAY(),X495&lt;&gt;"Published",X495&lt;&gt;"Cancelled",X495&lt;&gt;"Archived"),"Overdue - date has passed",IF(AND(X495="Published",AB495=""),"Add - publish link missing",IF(AND(B495=TODAY(),X495&lt;&gt;"Published"),"Today - due to go live",IF(AND(Y495&lt;&gt;"",Y495&lt;TODAY(),OR(X495="Idea",X495="Brief",X495="In production")),"Late - draft not ready",IF(AND(AA495&gt;=0,AA495&lt;=3,OR(X495="Draft",X495="Awaiting review")),"Due - needs approval",IF(AND(H495&lt;&gt;"",P495=""),"Add - caption missing","OK")))))))</f>
        <v>0</v>
      </c>
    </row>
    <row r="496" spans="1:39">
      <c r="A496" s="41">
        <f>IF(H496="","",ContentPrefix&amp;TEXT(ROW()-4,"0000"))</f>
        <v>0</v>
      </c>
      <c r="D496" s="17">
        <f>IF(B496="","",TEXT(B496,"yyyy-mm"))</f>
        <v>0</v>
      </c>
      <c r="E496" s="23">
        <f>IF(B496="","",WEEKNUM(B496,IF(WeekStart="Sunday",1,2)))</f>
        <v>0</v>
      </c>
      <c r="F496" s="17">
        <f>IF(B496="","",TEXT(B496,"ddd"))</f>
        <v>0</v>
      </c>
      <c r="Q496" s="29">
        <f>IF(H496="","",IF(P496="","Add - no caption",IFERROR(INDEX('Caption Bank'!$R$5:$R$204,MATCH(P496,'Caption Bank'!$B$5:$B$204,0)),"Check - not in bank")))</f>
        <v>0</v>
      </c>
      <c r="S496" s="23">
        <f>IF(R496="","",COUNTIF('Hashtag Bank'!$D$5:$D$304,R496))</f>
        <v>0</v>
      </c>
      <c r="U496" s="29">
        <f>IF(H496="","",IF(T496="","Add - no asset",IFERROR(INDEX(Assets!$N$5:$N$254,MATCH(T496,Assets!$A$5:$A$254,0)),"Check - not in library")))</f>
        <v>0</v>
      </c>
      <c r="Y496" s="16">
        <f>IF(B496="","",B496-ProductionDays)</f>
        <v>0</v>
      </c>
      <c r="Z496" s="16">
        <f>IF(B496="","",B496-ApprovalDays)</f>
        <v>0</v>
      </c>
      <c r="AA496" s="23">
        <f>IF(B496="","",B496-TODAY())</f>
        <v>0</v>
      </c>
      <c r="AC496" s="29">
        <f>IF(H496="","",IF(X496="Published",IF(AB496="","Add - link missing","Yes"),"No"))</f>
        <v>0</v>
      </c>
      <c r="AD496" s="23">
        <f>IF(A496="","",IF(COUNTIF(Performance!$B$5:$B$404,A496)=0,"",SUMIFS(Performance!$O$5:$O$404,Performance!$B$5:$B$404,A496)))</f>
        <v>0</v>
      </c>
      <c r="AE496" s="23">
        <f>IF(AD496="","",SUMIFS(Performance!$Z$5:$Z$404,Performance!$B$5:$B$404,A496))</f>
        <v>0</v>
      </c>
      <c r="AF496" s="24">
        <f>IF(OR(AD496="",AD496=0),"",AE496/AD496)</f>
        <v>0</v>
      </c>
      <c r="AG496" s="23">
        <f>IF(AD496="","",SUMIFS(Performance!$U$5:$U$404,Performance!$B$5:$B$404,A496))</f>
        <v>0</v>
      </c>
      <c r="AH496" s="23">
        <f>IF(A496="","",COUNTIF(Repurposing!$B$5:$B$154,A496))</f>
        <v>0</v>
      </c>
      <c r="AI496" s="32">
        <f>IF(OR(H496="",B496=""),"",B496+ROW()/100000)</f>
        <v>0</v>
      </c>
      <c r="AJ496" s="32">
        <f>IF(OR(H496="",B496=""),"",IF(OR(X496="Published",X496="Cancelled",X496="Archived"),"",IF(B496&lt;TODAY(),"",B496+ROW()/100000)))</f>
        <v>0</v>
      </c>
      <c r="AK496" s="32">
        <f>IF(OR(H496="",B496=""),"",IF(OR(X496="Published",X496="Cancelled",X496="Archived"),"",IF(B496&gt;=TODAY(),"",B496+ROW()/100000)))</f>
        <v>0</v>
      </c>
      <c r="AL496" s="29">
        <f>IF(H496="","",IF(COUNTIFS('Content Calendar'!$H$5:$H$604,H496,'Content Calendar'!$G$5:$G$604,G496,'Content Calendar'!$B$5:$B$604,B496)&gt;1,"Duplicate","OK"))</f>
        <v>0</v>
      </c>
      <c r="AM496" s="29">
        <f>IF(H496="","",IF(AND(B496&lt;&gt;"",B496&lt;TODAY(),X496&lt;&gt;"Published",X496&lt;&gt;"Cancelled",X496&lt;&gt;"Archived"),"Overdue - date has passed",IF(AND(X496="Published",AB496=""),"Add - publish link missing",IF(AND(B496=TODAY(),X496&lt;&gt;"Published"),"Today - due to go live",IF(AND(Y496&lt;&gt;"",Y496&lt;TODAY(),OR(X496="Idea",X496="Brief",X496="In production")),"Late - draft not ready",IF(AND(AA496&gt;=0,AA496&lt;=3,OR(X496="Draft",X496="Awaiting review")),"Due - needs approval",IF(AND(H496&lt;&gt;"",P496=""),"Add - caption missing","OK")))))))</f>
        <v>0</v>
      </c>
    </row>
    <row r="497" spans="1:39">
      <c r="A497" s="41">
        <f>IF(H497="","",ContentPrefix&amp;TEXT(ROW()-4,"0000"))</f>
        <v>0</v>
      </c>
      <c r="D497" s="17">
        <f>IF(B497="","",TEXT(B497,"yyyy-mm"))</f>
        <v>0</v>
      </c>
      <c r="E497" s="23">
        <f>IF(B497="","",WEEKNUM(B497,IF(WeekStart="Sunday",1,2)))</f>
        <v>0</v>
      </c>
      <c r="F497" s="17">
        <f>IF(B497="","",TEXT(B497,"ddd"))</f>
        <v>0</v>
      </c>
      <c r="Q497" s="29">
        <f>IF(H497="","",IF(P497="","Add - no caption",IFERROR(INDEX('Caption Bank'!$R$5:$R$204,MATCH(P497,'Caption Bank'!$B$5:$B$204,0)),"Check - not in bank")))</f>
        <v>0</v>
      </c>
      <c r="S497" s="23">
        <f>IF(R497="","",COUNTIF('Hashtag Bank'!$D$5:$D$304,R497))</f>
        <v>0</v>
      </c>
      <c r="U497" s="29">
        <f>IF(H497="","",IF(T497="","Add - no asset",IFERROR(INDEX(Assets!$N$5:$N$254,MATCH(T497,Assets!$A$5:$A$254,0)),"Check - not in library")))</f>
        <v>0</v>
      </c>
      <c r="Y497" s="16">
        <f>IF(B497="","",B497-ProductionDays)</f>
        <v>0</v>
      </c>
      <c r="Z497" s="16">
        <f>IF(B497="","",B497-ApprovalDays)</f>
        <v>0</v>
      </c>
      <c r="AA497" s="23">
        <f>IF(B497="","",B497-TODAY())</f>
        <v>0</v>
      </c>
      <c r="AC497" s="29">
        <f>IF(H497="","",IF(X497="Published",IF(AB497="","Add - link missing","Yes"),"No"))</f>
        <v>0</v>
      </c>
      <c r="AD497" s="23">
        <f>IF(A497="","",IF(COUNTIF(Performance!$B$5:$B$404,A497)=0,"",SUMIFS(Performance!$O$5:$O$404,Performance!$B$5:$B$404,A497)))</f>
        <v>0</v>
      </c>
      <c r="AE497" s="23">
        <f>IF(AD497="","",SUMIFS(Performance!$Z$5:$Z$404,Performance!$B$5:$B$404,A497))</f>
        <v>0</v>
      </c>
      <c r="AF497" s="24">
        <f>IF(OR(AD497="",AD497=0),"",AE497/AD497)</f>
        <v>0</v>
      </c>
      <c r="AG497" s="23">
        <f>IF(AD497="","",SUMIFS(Performance!$U$5:$U$404,Performance!$B$5:$B$404,A497))</f>
        <v>0</v>
      </c>
      <c r="AH497" s="23">
        <f>IF(A497="","",COUNTIF(Repurposing!$B$5:$B$154,A497))</f>
        <v>0</v>
      </c>
      <c r="AI497" s="32">
        <f>IF(OR(H497="",B497=""),"",B497+ROW()/100000)</f>
        <v>0</v>
      </c>
      <c r="AJ497" s="32">
        <f>IF(OR(H497="",B497=""),"",IF(OR(X497="Published",X497="Cancelled",X497="Archived"),"",IF(B497&lt;TODAY(),"",B497+ROW()/100000)))</f>
        <v>0</v>
      </c>
      <c r="AK497" s="32">
        <f>IF(OR(H497="",B497=""),"",IF(OR(X497="Published",X497="Cancelled",X497="Archived"),"",IF(B497&gt;=TODAY(),"",B497+ROW()/100000)))</f>
        <v>0</v>
      </c>
      <c r="AL497" s="29">
        <f>IF(H497="","",IF(COUNTIFS('Content Calendar'!$H$5:$H$604,H497,'Content Calendar'!$G$5:$G$604,G497,'Content Calendar'!$B$5:$B$604,B497)&gt;1,"Duplicate","OK"))</f>
        <v>0</v>
      </c>
      <c r="AM497" s="29">
        <f>IF(H497="","",IF(AND(B497&lt;&gt;"",B497&lt;TODAY(),X497&lt;&gt;"Published",X497&lt;&gt;"Cancelled",X497&lt;&gt;"Archived"),"Overdue - date has passed",IF(AND(X497="Published",AB497=""),"Add - publish link missing",IF(AND(B497=TODAY(),X497&lt;&gt;"Published"),"Today - due to go live",IF(AND(Y497&lt;&gt;"",Y497&lt;TODAY(),OR(X497="Idea",X497="Brief",X497="In production")),"Late - draft not ready",IF(AND(AA497&gt;=0,AA497&lt;=3,OR(X497="Draft",X497="Awaiting review")),"Due - needs approval",IF(AND(H497&lt;&gt;"",P497=""),"Add - caption missing","OK")))))))</f>
        <v>0</v>
      </c>
    </row>
    <row r="498" spans="1:39">
      <c r="A498" s="41">
        <f>IF(H498="","",ContentPrefix&amp;TEXT(ROW()-4,"0000"))</f>
        <v>0</v>
      </c>
      <c r="D498" s="17">
        <f>IF(B498="","",TEXT(B498,"yyyy-mm"))</f>
        <v>0</v>
      </c>
      <c r="E498" s="23">
        <f>IF(B498="","",WEEKNUM(B498,IF(WeekStart="Sunday",1,2)))</f>
        <v>0</v>
      </c>
      <c r="F498" s="17">
        <f>IF(B498="","",TEXT(B498,"ddd"))</f>
        <v>0</v>
      </c>
      <c r="Q498" s="29">
        <f>IF(H498="","",IF(P498="","Add - no caption",IFERROR(INDEX('Caption Bank'!$R$5:$R$204,MATCH(P498,'Caption Bank'!$B$5:$B$204,0)),"Check - not in bank")))</f>
        <v>0</v>
      </c>
      <c r="S498" s="23">
        <f>IF(R498="","",COUNTIF('Hashtag Bank'!$D$5:$D$304,R498))</f>
        <v>0</v>
      </c>
      <c r="U498" s="29">
        <f>IF(H498="","",IF(T498="","Add - no asset",IFERROR(INDEX(Assets!$N$5:$N$254,MATCH(T498,Assets!$A$5:$A$254,0)),"Check - not in library")))</f>
        <v>0</v>
      </c>
      <c r="Y498" s="16">
        <f>IF(B498="","",B498-ProductionDays)</f>
        <v>0</v>
      </c>
      <c r="Z498" s="16">
        <f>IF(B498="","",B498-ApprovalDays)</f>
        <v>0</v>
      </c>
      <c r="AA498" s="23">
        <f>IF(B498="","",B498-TODAY())</f>
        <v>0</v>
      </c>
      <c r="AC498" s="29">
        <f>IF(H498="","",IF(X498="Published",IF(AB498="","Add - link missing","Yes"),"No"))</f>
        <v>0</v>
      </c>
      <c r="AD498" s="23">
        <f>IF(A498="","",IF(COUNTIF(Performance!$B$5:$B$404,A498)=0,"",SUMIFS(Performance!$O$5:$O$404,Performance!$B$5:$B$404,A498)))</f>
        <v>0</v>
      </c>
      <c r="AE498" s="23">
        <f>IF(AD498="","",SUMIFS(Performance!$Z$5:$Z$404,Performance!$B$5:$B$404,A498))</f>
        <v>0</v>
      </c>
      <c r="AF498" s="24">
        <f>IF(OR(AD498="",AD498=0),"",AE498/AD498)</f>
        <v>0</v>
      </c>
      <c r="AG498" s="23">
        <f>IF(AD498="","",SUMIFS(Performance!$U$5:$U$404,Performance!$B$5:$B$404,A498))</f>
        <v>0</v>
      </c>
      <c r="AH498" s="23">
        <f>IF(A498="","",COUNTIF(Repurposing!$B$5:$B$154,A498))</f>
        <v>0</v>
      </c>
      <c r="AI498" s="32">
        <f>IF(OR(H498="",B498=""),"",B498+ROW()/100000)</f>
        <v>0</v>
      </c>
      <c r="AJ498" s="32">
        <f>IF(OR(H498="",B498=""),"",IF(OR(X498="Published",X498="Cancelled",X498="Archived"),"",IF(B498&lt;TODAY(),"",B498+ROW()/100000)))</f>
        <v>0</v>
      </c>
      <c r="AK498" s="32">
        <f>IF(OR(H498="",B498=""),"",IF(OR(X498="Published",X498="Cancelled",X498="Archived"),"",IF(B498&gt;=TODAY(),"",B498+ROW()/100000)))</f>
        <v>0</v>
      </c>
      <c r="AL498" s="29">
        <f>IF(H498="","",IF(COUNTIFS('Content Calendar'!$H$5:$H$604,H498,'Content Calendar'!$G$5:$G$604,G498,'Content Calendar'!$B$5:$B$604,B498)&gt;1,"Duplicate","OK"))</f>
        <v>0</v>
      </c>
      <c r="AM498" s="29">
        <f>IF(H498="","",IF(AND(B498&lt;&gt;"",B498&lt;TODAY(),X498&lt;&gt;"Published",X498&lt;&gt;"Cancelled",X498&lt;&gt;"Archived"),"Overdue - date has passed",IF(AND(X498="Published",AB498=""),"Add - publish link missing",IF(AND(B498=TODAY(),X498&lt;&gt;"Published"),"Today - due to go live",IF(AND(Y498&lt;&gt;"",Y498&lt;TODAY(),OR(X498="Idea",X498="Brief",X498="In production")),"Late - draft not ready",IF(AND(AA498&gt;=0,AA498&lt;=3,OR(X498="Draft",X498="Awaiting review")),"Due - needs approval",IF(AND(H498&lt;&gt;"",P498=""),"Add - caption missing","OK")))))))</f>
        <v>0</v>
      </c>
    </row>
    <row r="499" spans="1:39">
      <c r="A499" s="41">
        <f>IF(H499="","",ContentPrefix&amp;TEXT(ROW()-4,"0000"))</f>
        <v>0</v>
      </c>
      <c r="D499" s="17">
        <f>IF(B499="","",TEXT(B499,"yyyy-mm"))</f>
        <v>0</v>
      </c>
      <c r="E499" s="23">
        <f>IF(B499="","",WEEKNUM(B499,IF(WeekStart="Sunday",1,2)))</f>
        <v>0</v>
      </c>
      <c r="F499" s="17">
        <f>IF(B499="","",TEXT(B499,"ddd"))</f>
        <v>0</v>
      </c>
      <c r="Q499" s="29">
        <f>IF(H499="","",IF(P499="","Add - no caption",IFERROR(INDEX('Caption Bank'!$R$5:$R$204,MATCH(P499,'Caption Bank'!$B$5:$B$204,0)),"Check - not in bank")))</f>
        <v>0</v>
      </c>
      <c r="S499" s="23">
        <f>IF(R499="","",COUNTIF('Hashtag Bank'!$D$5:$D$304,R499))</f>
        <v>0</v>
      </c>
      <c r="U499" s="29">
        <f>IF(H499="","",IF(T499="","Add - no asset",IFERROR(INDEX(Assets!$N$5:$N$254,MATCH(T499,Assets!$A$5:$A$254,0)),"Check - not in library")))</f>
        <v>0</v>
      </c>
      <c r="Y499" s="16">
        <f>IF(B499="","",B499-ProductionDays)</f>
        <v>0</v>
      </c>
      <c r="Z499" s="16">
        <f>IF(B499="","",B499-ApprovalDays)</f>
        <v>0</v>
      </c>
      <c r="AA499" s="23">
        <f>IF(B499="","",B499-TODAY())</f>
        <v>0</v>
      </c>
      <c r="AC499" s="29">
        <f>IF(H499="","",IF(X499="Published",IF(AB499="","Add - link missing","Yes"),"No"))</f>
        <v>0</v>
      </c>
      <c r="AD499" s="23">
        <f>IF(A499="","",IF(COUNTIF(Performance!$B$5:$B$404,A499)=0,"",SUMIFS(Performance!$O$5:$O$404,Performance!$B$5:$B$404,A499)))</f>
        <v>0</v>
      </c>
      <c r="AE499" s="23">
        <f>IF(AD499="","",SUMIFS(Performance!$Z$5:$Z$404,Performance!$B$5:$B$404,A499))</f>
        <v>0</v>
      </c>
      <c r="AF499" s="24">
        <f>IF(OR(AD499="",AD499=0),"",AE499/AD499)</f>
        <v>0</v>
      </c>
      <c r="AG499" s="23">
        <f>IF(AD499="","",SUMIFS(Performance!$U$5:$U$404,Performance!$B$5:$B$404,A499))</f>
        <v>0</v>
      </c>
      <c r="AH499" s="23">
        <f>IF(A499="","",COUNTIF(Repurposing!$B$5:$B$154,A499))</f>
        <v>0</v>
      </c>
      <c r="AI499" s="32">
        <f>IF(OR(H499="",B499=""),"",B499+ROW()/100000)</f>
        <v>0</v>
      </c>
      <c r="AJ499" s="32">
        <f>IF(OR(H499="",B499=""),"",IF(OR(X499="Published",X499="Cancelled",X499="Archived"),"",IF(B499&lt;TODAY(),"",B499+ROW()/100000)))</f>
        <v>0</v>
      </c>
      <c r="AK499" s="32">
        <f>IF(OR(H499="",B499=""),"",IF(OR(X499="Published",X499="Cancelled",X499="Archived"),"",IF(B499&gt;=TODAY(),"",B499+ROW()/100000)))</f>
        <v>0</v>
      </c>
      <c r="AL499" s="29">
        <f>IF(H499="","",IF(COUNTIFS('Content Calendar'!$H$5:$H$604,H499,'Content Calendar'!$G$5:$G$604,G499,'Content Calendar'!$B$5:$B$604,B499)&gt;1,"Duplicate","OK"))</f>
        <v>0</v>
      </c>
      <c r="AM499" s="29">
        <f>IF(H499="","",IF(AND(B499&lt;&gt;"",B499&lt;TODAY(),X499&lt;&gt;"Published",X499&lt;&gt;"Cancelled",X499&lt;&gt;"Archived"),"Overdue - date has passed",IF(AND(X499="Published",AB499=""),"Add - publish link missing",IF(AND(B499=TODAY(),X499&lt;&gt;"Published"),"Today - due to go live",IF(AND(Y499&lt;&gt;"",Y499&lt;TODAY(),OR(X499="Idea",X499="Brief",X499="In production")),"Late - draft not ready",IF(AND(AA499&gt;=0,AA499&lt;=3,OR(X499="Draft",X499="Awaiting review")),"Due - needs approval",IF(AND(H499&lt;&gt;"",P499=""),"Add - caption missing","OK")))))))</f>
        <v>0</v>
      </c>
    </row>
    <row r="500" spans="1:39">
      <c r="A500" s="41">
        <f>IF(H500="","",ContentPrefix&amp;TEXT(ROW()-4,"0000"))</f>
        <v>0</v>
      </c>
      <c r="D500" s="17">
        <f>IF(B500="","",TEXT(B500,"yyyy-mm"))</f>
        <v>0</v>
      </c>
      <c r="E500" s="23">
        <f>IF(B500="","",WEEKNUM(B500,IF(WeekStart="Sunday",1,2)))</f>
        <v>0</v>
      </c>
      <c r="F500" s="17">
        <f>IF(B500="","",TEXT(B500,"ddd"))</f>
        <v>0</v>
      </c>
      <c r="Q500" s="29">
        <f>IF(H500="","",IF(P500="","Add - no caption",IFERROR(INDEX('Caption Bank'!$R$5:$R$204,MATCH(P500,'Caption Bank'!$B$5:$B$204,0)),"Check - not in bank")))</f>
        <v>0</v>
      </c>
      <c r="S500" s="23">
        <f>IF(R500="","",COUNTIF('Hashtag Bank'!$D$5:$D$304,R500))</f>
        <v>0</v>
      </c>
      <c r="U500" s="29">
        <f>IF(H500="","",IF(T500="","Add - no asset",IFERROR(INDEX(Assets!$N$5:$N$254,MATCH(T500,Assets!$A$5:$A$254,0)),"Check - not in library")))</f>
        <v>0</v>
      </c>
      <c r="Y500" s="16">
        <f>IF(B500="","",B500-ProductionDays)</f>
        <v>0</v>
      </c>
      <c r="Z500" s="16">
        <f>IF(B500="","",B500-ApprovalDays)</f>
        <v>0</v>
      </c>
      <c r="AA500" s="23">
        <f>IF(B500="","",B500-TODAY())</f>
        <v>0</v>
      </c>
      <c r="AC500" s="29">
        <f>IF(H500="","",IF(X500="Published",IF(AB500="","Add - link missing","Yes"),"No"))</f>
        <v>0</v>
      </c>
      <c r="AD500" s="23">
        <f>IF(A500="","",IF(COUNTIF(Performance!$B$5:$B$404,A500)=0,"",SUMIFS(Performance!$O$5:$O$404,Performance!$B$5:$B$404,A500)))</f>
        <v>0</v>
      </c>
      <c r="AE500" s="23">
        <f>IF(AD500="","",SUMIFS(Performance!$Z$5:$Z$404,Performance!$B$5:$B$404,A500))</f>
        <v>0</v>
      </c>
      <c r="AF500" s="24">
        <f>IF(OR(AD500="",AD500=0),"",AE500/AD500)</f>
        <v>0</v>
      </c>
      <c r="AG500" s="23">
        <f>IF(AD500="","",SUMIFS(Performance!$U$5:$U$404,Performance!$B$5:$B$404,A500))</f>
        <v>0</v>
      </c>
      <c r="AH500" s="23">
        <f>IF(A500="","",COUNTIF(Repurposing!$B$5:$B$154,A500))</f>
        <v>0</v>
      </c>
      <c r="AI500" s="32">
        <f>IF(OR(H500="",B500=""),"",B500+ROW()/100000)</f>
        <v>0</v>
      </c>
      <c r="AJ500" s="32">
        <f>IF(OR(H500="",B500=""),"",IF(OR(X500="Published",X500="Cancelled",X500="Archived"),"",IF(B500&lt;TODAY(),"",B500+ROW()/100000)))</f>
        <v>0</v>
      </c>
      <c r="AK500" s="32">
        <f>IF(OR(H500="",B500=""),"",IF(OR(X500="Published",X500="Cancelled",X500="Archived"),"",IF(B500&gt;=TODAY(),"",B500+ROW()/100000)))</f>
        <v>0</v>
      </c>
      <c r="AL500" s="29">
        <f>IF(H500="","",IF(COUNTIFS('Content Calendar'!$H$5:$H$604,H500,'Content Calendar'!$G$5:$G$604,G500,'Content Calendar'!$B$5:$B$604,B500)&gt;1,"Duplicate","OK"))</f>
        <v>0</v>
      </c>
      <c r="AM500" s="29">
        <f>IF(H500="","",IF(AND(B500&lt;&gt;"",B500&lt;TODAY(),X500&lt;&gt;"Published",X500&lt;&gt;"Cancelled",X500&lt;&gt;"Archived"),"Overdue - date has passed",IF(AND(X500="Published",AB500=""),"Add - publish link missing",IF(AND(B500=TODAY(),X500&lt;&gt;"Published"),"Today - due to go live",IF(AND(Y500&lt;&gt;"",Y500&lt;TODAY(),OR(X500="Idea",X500="Brief",X500="In production")),"Late - draft not ready",IF(AND(AA500&gt;=0,AA500&lt;=3,OR(X500="Draft",X500="Awaiting review")),"Due - needs approval",IF(AND(H500&lt;&gt;"",P500=""),"Add - caption missing","OK")))))))</f>
        <v>0</v>
      </c>
    </row>
    <row r="501" spans="1:39">
      <c r="A501" s="41">
        <f>IF(H501="","",ContentPrefix&amp;TEXT(ROW()-4,"0000"))</f>
        <v>0</v>
      </c>
      <c r="D501" s="17">
        <f>IF(B501="","",TEXT(B501,"yyyy-mm"))</f>
        <v>0</v>
      </c>
      <c r="E501" s="23">
        <f>IF(B501="","",WEEKNUM(B501,IF(WeekStart="Sunday",1,2)))</f>
        <v>0</v>
      </c>
      <c r="F501" s="17">
        <f>IF(B501="","",TEXT(B501,"ddd"))</f>
        <v>0</v>
      </c>
      <c r="Q501" s="29">
        <f>IF(H501="","",IF(P501="","Add - no caption",IFERROR(INDEX('Caption Bank'!$R$5:$R$204,MATCH(P501,'Caption Bank'!$B$5:$B$204,0)),"Check - not in bank")))</f>
        <v>0</v>
      </c>
      <c r="S501" s="23">
        <f>IF(R501="","",COUNTIF('Hashtag Bank'!$D$5:$D$304,R501))</f>
        <v>0</v>
      </c>
      <c r="U501" s="29">
        <f>IF(H501="","",IF(T501="","Add - no asset",IFERROR(INDEX(Assets!$N$5:$N$254,MATCH(T501,Assets!$A$5:$A$254,0)),"Check - not in library")))</f>
        <v>0</v>
      </c>
      <c r="Y501" s="16">
        <f>IF(B501="","",B501-ProductionDays)</f>
        <v>0</v>
      </c>
      <c r="Z501" s="16">
        <f>IF(B501="","",B501-ApprovalDays)</f>
        <v>0</v>
      </c>
      <c r="AA501" s="23">
        <f>IF(B501="","",B501-TODAY())</f>
        <v>0</v>
      </c>
      <c r="AC501" s="29">
        <f>IF(H501="","",IF(X501="Published",IF(AB501="","Add - link missing","Yes"),"No"))</f>
        <v>0</v>
      </c>
      <c r="AD501" s="23">
        <f>IF(A501="","",IF(COUNTIF(Performance!$B$5:$B$404,A501)=0,"",SUMIFS(Performance!$O$5:$O$404,Performance!$B$5:$B$404,A501)))</f>
        <v>0</v>
      </c>
      <c r="AE501" s="23">
        <f>IF(AD501="","",SUMIFS(Performance!$Z$5:$Z$404,Performance!$B$5:$B$404,A501))</f>
        <v>0</v>
      </c>
      <c r="AF501" s="24">
        <f>IF(OR(AD501="",AD501=0),"",AE501/AD501)</f>
        <v>0</v>
      </c>
      <c r="AG501" s="23">
        <f>IF(AD501="","",SUMIFS(Performance!$U$5:$U$404,Performance!$B$5:$B$404,A501))</f>
        <v>0</v>
      </c>
      <c r="AH501" s="23">
        <f>IF(A501="","",COUNTIF(Repurposing!$B$5:$B$154,A501))</f>
        <v>0</v>
      </c>
      <c r="AI501" s="32">
        <f>IF(OR(H501="",B501=""),"",B501+ROW()/100000)</f>
        <v>0</v>
      </c>
      <c r="AJ501" s="32">
        <f>IF(OR(H501="",B501=""),"",IF(OR(X501="Published",X501="Cancelled",X501="Archived"),"",IF(B501&lt;TODAY(),"",B501+ROW()/100000)))</f>
        <v>0</v>
      </c>
      <c r="AK501" s="32">
        <f>IF(OR(H501="",B501=""),"",IF(OR(X501="Published",X501="Cancelled",X501="Archived"),"",IF(B501&gt;=TODAY(),"",B501+ROW()/100000)))</f>
        <v>0</v>
      </c>
      <c r="AL501" s="29">
        <f>IF(H501="","",IF(COUNTIFS('Content Calendar'!$H$5:$H$604,H501,'Content Calendar'!$G$5:$G$604,G501,'Content Calendar'!$B$5:$B$604,B501)&gt;1,"Duplicate","OK"))</f>
        <v>0</v>
      </c>
      <c r="AM501" s="29">
        <f>IF(H501="","",IF(AND(B501&lt;&gt;"",B501&lt;TODAY(),X501&lt;&gt;"Published",X501&lt;&gt;"Cancelled",X501&lt;&gt;"Archived"),"Overdue - date has passed",IF(AND(X501="Published",AB501=""),"Add - publish link missing",IF(AND(B501=TODAY(),X501&lt;&gt;"Published"),"Today - due to go live",IF(AND(Y501&lt;&gt;"",Y501&lt;TODAY(),OR(X501="Idea",X501="Brief",X501="In production")),"Late - draft not ready",IF(AND(AA501&gt;=0,AA501&lt;=3,OR(X501="Draft",X501="Awaiting review")),"Due - needs approval",IF(AND(H501&lt;&gt;"",P501=""),"Add - caption missing","OK")))))))</f>
        <v>0</v>
      </c>
    </row>
    <row r="502" spans="1:39">
      <c r="A502" s="41">
        <f>IF(H502="","",ContentPrefix&amp;TEXT(ROW()-4,"0000"))</f>
        <v>0</v>
      </c>
      <c r="D502" s="17">
        <f>IF(B502="","",TEXT(B502,"yyyy-mm"))</f>
        <v>0</v>
      </c>
      <c r="E502" s="23">
        <f>IF(B502="","",WEEKNUM(B502,IF(WeekStart="Sunday",1,2)))</f>
        <v>0</v>
      </c>
      <c r="F502" s="17">
        <f>IF(B502="","",TEXT(B502,"ddd"))</f>
        <v>0</v>
      </c>
      <c r="Q502" s="29">
        <f>IF(H502="","",IF(P502="","Add - no caption",IFERROR(INDEX('Caption Bank'!$R$5:$R$204,MATCH(P502,'Caption Bank'!$B$5:$B$204,0)),"Check - not in bank")))</f>
        <v>0</v>
      </c>
      <c r="S502" s="23">
        <f>IF(R502="","",COUNTIF('Hashtag Bank'!$D$5:$D$304,R502))</f>
        <v>0</v>
      </c>
      <c r="U502" s="29">
        <f>IF(H502="","",IF(T502="","Add - no asset",IFERROR(INDEX(Assets!$N$5:$N$254,MATCH(T502,Assets!$A$5:$A$254,0)),"Check - not in library")))</f>
        <v>0</v>
      </c>
      <c r="Y502" s="16">
        <f>IF(B502="","",B502-ProductionDays)</f>
        <v>0</v>
      </c>
      <c r="Z502" s="16">
        <f>IF(B502="","",B502-ApprovalDays)</f>
        <v>0</v>
      </c>
      <c r="AA502" s="23">
        <f>IF(B502="","",B502-TODAY())</f>
        <v>0</v>
      </c>
      <c r="AC502" s="29">
        <f>IF(H502="","",IF(X502="Published",IF(AB502="","Add - link missing","Yes"),"No"))</f>
        <v>0</v>
      </c>
      <c r="AD502" s="23">
        <f>IF(A502="","",IF(COUNTIF(Performance!$B$5:$B$404,A502)=0,"",SUMIFS(Performance!$O$5:$O$404,Performance!$B$5:$B$404,A502)))</f>
        <v>0</v>
      </c>
      <c r="AE502" s="23">
        <f>IF(AD502="","",SUMIFS(Performance!$Z$5:$Z$404,Performance!$B$5:$B$404,A502))</f>
        <v>0</v>
      </c>
      <c r="AF502" s="24">
        <f>IF(OR(AD502="",AD502=0),"",AE502/AD502)</f>
        <v>0</v>
      </c>
      <c r="AG502" s="23">
        <f>IF(AD502="","",SUMIFS(Performance!$U$5:$U$404,Performance!$B$5:$B$404,A502))</f>
        <v>0</v>
      </c>
      <c r="AH502" s="23">
        <f>IF(A502="","",COUNTIF(Repurposing!$B$5:$B$154,A502))</f>
        <v>0</v>
      </c>
      <c r="AI502" s="32">
        <f>IF(OR(H502="",B502=""),"",B502+ROW()/100000)</f>
        <v>0</v>
      </c>
      <c r="AJ502" s="32">
        <f>IF(OR(H502="",B502=""),"",IF(OR(X502="Published",X502="Cancelled",X502="Archived"),"",IF(B502&lt;TODAY(),"",B502+ROW()/100000)))</f>
        <v>0</v>
      </c>
      <c r="AK502" s="32">
        <f>IF(OR(H502="",B502=""),"",IF(OR(X502="Published",X502="Cancelled",X502="Archived"),"",IF(B502&gt;=TODAY(),"",B502+ROW()/100000)))</f>
        <v>0</v>
      </c>
      <c r="AL502" s="29">
        <f>IF(H502="","",IF(COUNTIFS('Content Calendar'!$H$5:$H$604,H502,'Content Calendar'!$G$5:$G$604,G502,'Content Calendar'!$B$5:$B$604,B502)&gt;1,"Duplicate","OK"))</f>
        <v>0</v>
      </c>
      <c r="AM502" s="29">
        <f>IF(H502="","",IF(AND(B502&lt;&gt;"",B502&lt;TODAY(),X502&lt;&gt;"Published",X502&lt;&gt;"Cancelled",X502&lt;&gt;"Archived"),"Overdue - date has passed",IF(AND(X502="Published",AB502=""),"Add - publish link missing",IF(AND(B502=TODAY(),X502&lt;&gt;"Published"),"Today - due to go live",IF(AND(Y502&lt;&gt;"",Y502&lt;TODAY(),OR(X502="Idea",X502="Brief",X502="In production")),"Late - draft not ready",IF(AND(AA502&gt;=0,AA502&lt;=3,OR(X502="Draft",X502="Awaiting review")),"Due - needs approval",IF(AND(H502&lt;&gt;"",P502=""),"Add - caption missing","OK")))))))</f>
        <v>0</v>
      </c>
    </row>
    <row r="503" spans="1:39">
      <c r="A503" s="41">
        <f>IF(H503="","",ContentPrefix&amp;TEXT(ROW()-4,"0000"))</f>
        <v>0</v>
      </c>
      <c r="D503" s="17">
        <f>IF(B503="","",TEXT(B503,"yyyy-mm"))</f>
        <v>0</v>
      </c>
      <c r="E503" s="23">
        <f>IF(B503="","",WEEKNUM(B503,IF(WeekStart="Sunday",1,2)))</f>
        <v>0</v>
      </c>
      <c r="F503" s="17">
        <f>IF(B503="","",TEXT(B503,"ddd"))</f>
        <v>0</v>
      </c>
      <c r="Q503" s="29">
        <f>IF(H503="","",IF(P503="","Add - no caption",IFERROR(INDEX('Caption Bank'!$R$5:$R$204,MATCH(P503,'Caption Bank'!$B$5:$B$204,0)),"Check - not in bank")))</f>
        <v>0</v>
      </c>
      <c r="S503" s="23">
        <f>IF(R503="","",COUNTIF('Hashtag Bank'!$D$5:$D$304,R503))</f>
        <v>0</v>
      </c>
      <c r="U503" s="29">
        <f>IF(H503="","",IF(T503="","Add - no asset",IFERROR(INDEX(Assets!$N$5:$N$254,MATCH(T503,Assets!$A$5:$A$254,0)),"Check - not in library")))</f>
        <v>0</v>
      </c>
      <c r="Y503" s="16">
        <f>IF(B503="","",B503-ProductionDays)</f>
        <v>0</v>
      </c>
      <c r="Z503" s="16">
        <f>IF(B503="","",B503-ApprovalDays)</f>
        <v>0</v>
      </c>
      <c r="AA503" s="23">
        <f>IF(B503="","",B503-TODAY())</f>
        <v>0</v>
      </c>
      <c r="AC503" s="29">
        <f>IF(H503="","",IF(X503="Published",IF(AB503="","Add - link missing","Yes"),"No"))</f>
        <v>0</v>
      </c>
      <c r="AD503" s="23">
        <f>IF(A503="","",IF(COUNTIF(Performance!$B$5:$B$404,A503)=0,"",SUMIFS(Performance!$O$5:$O$404,Performance!$B$5:$B$404,A503)))</f>
        <v>0</v>
      </c>
      <c r="AE503" s="23">
        <f>IF(AD503="","",SUMIFS(Performance!$Z$5:$Z$404,Performance!$B$5:$B$404,A503))</f>
        <v>0</v>
      </c>
      <c r="AF503" s="24">
        <f>IF(OR(AD503="",AD503=0),"",AE503/AD503)</f>
        <v>0</v>
      </c>
      <c r="AG503" s="23">
        <f>IF(AD503="","",SUMIFS(Performance!$U$5:$U$404,Performance!$B$5:$B$404,A503))</f>
        <v>0</v>
      </c>
      <c r="AH503" s="23">
        <f>IF(A503="","",COUNTIF(Repurposing!$B$5:$B$154,A503))</f>
        <v>0</v>
      </c>
      <c r="AI503" s="32">
        <f>IF(OR(H503="",B503=""),"",B503+ROW()/100000)</f>
        <v>0</v>
      </c>
      <c r="AJ503" s="32">
        <f>IF(OR(H503="",B503=""),"",IF(OR(X503="Published",X503="Cancelled",X503="Archived"),"",IF(B503&lt;TODAY(),"",B503+ROW()/100000)))</f>
        <v>0</v>
      </c>
      <c r="AK503" s="32">
        <f>IF(OR(H503="",B503=""),"",IF(OR(X503="Published",X503="Cancelled",X503="Archived"),"",IF(B503&gt;=TODAY(),"",B503+ROW()/100000)))</f>
        <v>0</v>
      </c>
      <c r="AL503" s="29">
        <f>IF(H503="","",IF(COUNTIFS('Content Calendar'!$H$5:$H$604,H503,'Content Calendar'!$G$5:$G$604,G503,'Content Calendar'!$B$5:$B$604,B503)&gt;1,"Duplicate","OK"))</f>
        <v>0</v>
      </c>
      <c r="AM503" s="29">
        <f>IF(H503="","",IF(AND(B503&lt;&gt;"",B503&lt;TODAY(),X503&lt;&gt;"Published",X503&lt;&gt;"Cancelled",X503&lt;&gt;"Archived"),"Overdue - date has passed",IF(AND(X503="Published",AB503=""),"Add - publish link missing",IF(AND(B503=TODAY(),X503&lt;&gt;"Published"),"Today - due to go live",IF(AND(Y503&lt;&gt;"",Y503&lt;TODAY(),OR(X503="Idea",X503="Brief",X503="In production")),"Late - draft not ready",IF(AND(AA503&gt;=0,AA503&lt;=3,OR(X503="Draft",X503="Awaiting review")),"Due - needs approval",IF(AND(H503&lt;&gt;"",P503=""),"Add - caption missing","OK")))))))</f>
        <v>0</v>
      </c>
    </row>
    <row r="504" spans="1:39">
      <c r="A504" s="41">
        <f>IF(H504="","",ContentPrefix&amp;TEXT(ROW()-4,"0000"))</f>
        <v>0</v>
      </c>
      <c r="D504" s="17">
        <f>IF(B504="","",TEXT(B504,"yyyy-mm"))</f>
        <v>0</v>
      </c>
      <c r="E504" s="23">
        <f>IF(B504="","",WEEKNUM(B504,IF(WeekStart="Sunday",1,2)))</f>
        <v>0</v>
      </c>
      <c r="F504" s="17">
        <f>IF(B504="","",TEXT(B504,"ddd"))</f>
        <v>0</v>
      </c>
      <c r="Q504" s="29">
        <f>IF(H504="","",IF(P504="","Add - no caption",IFERROR(INDEX('Caption Bank'!$R$5:$R$204,MATCH(P504,'Caption Bank'!$B$5:$B$204,0)),"Check - not in bank")))</f>
        <v>0</v>
      </c>
      <c r="S504" s="23">
        <f>IF(R504="","",COUNTIF('Hashtag Bank'!$D$5:$D$304,R504))</f>
        <v>0</v>
      </c>
      <c r="U504" s="29">
        <f>IF(H504="","",IF(T504="","Add - no asset",IFERROR(INDEX(Assets!$N$5:$N$254,MATCH(T504,Assets!$A$5:$A$254,0)),"Check - not in library")))</f>
        <v>0</v>
      </c>
      <c r="Y504" s="16">
        <f>IF(B504="","",B504-ProductionDays)</f>
        <v>0</v>
      </c>
      <c r="Z504" s="16">
        <f>IF(B504="","",B504-ApprovalDays)</f>
        <v>0</v>
      </c>
      <c r="AA504" s="23">
        <f>IF(B504="","",B504-TODAY())</f>
        <v>0</v>
      </c>
      <c r="AC504" s="29">
        <f>IF(H504="","",IF(X504="Published",IF(AB504="","Add - link missing","Yes"),"No"))</f>
        <v>0</v>
      </c>
      <c r="AD504" s="23">
        <f>IF(A504="","",IF(COUNTIF(Performance!$B$5:$B$404,A504)=0,"",SUMIFS(Performance!$O$5:$O$404,Performance!$B$5:$B$404,A504)))</f>
        <v>0</v>
      </c>
      <c r="AE504" s="23">
        <f>IF(AD504="","",SUMIFS(Performance!$Z$5:$Z$404,Performance!$B$5:$B$404,A504))</f>
        <v>0</v>
      </c>
      <c r="AF504" s="24">
        <f>IF(OR(AD504="",AD504=0),"",AE504/AD504)</f>
        <v>0</v>
      </c>
      <c r="AG504" s="23">
        <f>IF(AD504="","",SUMIFS(Performance!$U$5:$U$404,Performance!$B$5:$B$404,A504))</f>
        <v>0</v>
      </c>
      <c r="AH504" s="23">
        <f>IF(A504="","",COUNTIF(Repurposing!$B$5:$B$154,A504))</f>
        <v>0</v>
      </c>
      <c r="AI504" s="32">
        <f>IF(OR(H504="",B504=""),"",B504+ROW()/100000)</f>
        <v>0</v>
      </c>
      <c r="AJ504" s="32">
        <f>IF(OR(H504="",B504=""),"",IF(OR(X504="Published",X504="Cancelled",X504="Archived"),"",IF(B504&lt;TODAY(),"",B504+ROW()/100000)))</f>
        <v>0</v>
      </c>
      <c r="AK504" s="32">
        <f>IF(OR(H504="",B504=""),"",IF(OR(X504="Published",X504="Cancelled",X504="Archived"),"",IF(B504&gt;=TODAY(),"",B504+ROW()/100000)))</f>
        <v>0</v>
      </c>
      <c r="AL504" s="29">
        <f>IF(H504="","",IF(COUNTIFS('Content Calendar'!$H$5:$H$604,H504,'Content Calendar'!$G$5:$G$604,G504,'Content Calendar'!$B$5:$B$604,B504)&gt;1,"Duplicate","OK"))</f>
        <v>0</v>
      </c>
      <c r="AM504" s="29">
        <f>IF(H504="","",IF(AND(B504&lt;&gt;"",B504&lt;TODAY(),X504&lt;&gt;"Published",X504&lt;&gt;"Cancelled",X504&lt;&gt;"Archived"),"Overdue - date has passed",IF(AND(X504="Published",AB504=""),"Add - publish link missing",IF(AND(B504=TODAY(),X504&lt;&gt;"Published"),"Today - due to go live",IF(AND(Y504&lt;&gt;"",Y504&lt;TODAY(),OR(X504="Idea",X504="Brief",X504="In production")),"Late - draft not ready",IF(AND(AA504&gt;=0,AA504&lt;=3,OR(X504="Draft",X504="Awaiting review")),"Due - needs approval",IF(AND(H504&lt;&gt;"",P504=""),"Add - caption missing","OK")))))))</f>
        <v>0</v>
      </c>
    </row>
    <row r="505" spans="1:39">
      <c r="A505" s="41">
        <f>IF(H505="","",ContentPrefix&amp;TEXT(ROW()-4,"0000"))</f>
        <v>0</v>
      </c>
      <c r="D505" s="17">
        <f>IF(B505="","",TEXT(B505,"yyyy-mm"))</f>
        <v>0</v>
      </c>
      <c r="E505" s="23">
        <f>IF(B505="","",WEEKNUM(B505,IF(WeekStart="Sunday",1,2)))</f>
        <v>0</v>
      </c>
      <c r="F505" s="17">
        <f>IF(B505="","",TEXT(B505,"ddd"))</f>
        <v>0</v>
      </c>
      <c r="Q505" s="29">
        <f>IF(H505="","",IF(P505="","Add - no caption",IFERROR(INDEX('Caption Bank'!$R$5:$R$204,MATCH(P505,'Caption Bank'!$B$5:$B$204,0)),"Check - not in bank")))</f>
        <v>0</v>
      </c>
      <c r="S505" s="23">
        <f>IF(R505="","",COUNTIF('Hashtag Bank'!$D$5:$D$304,R505))</f>
        <v>0</v>
      </c>
      <c r="U505" s="29">
        <f>IF(H505="","",IF(T505="","Add - no asset",IFERROR(INDEX(Assets!$N$5:$N$254,MATCH(T505,Assets!$A$5:$A$254,0)),"Check - not in library")))</f>
        <v>0</v>
      </c>
      <c r="Y505" s="16">
        <f>IF(B505="","",B505-ProductionDays)</f>
        <v>0</v>
      </c>
      <c r="Z505" s="16">
        <f>IF(B505="","",B505-ApprovalDays)</f>
        <v>0</v>
      </c>
      <c r="AA505" s="23">
        <f>IF(B505="","",B505-TODAY())</f>
        <v>0</v>
      </c>
      <c r="AC505" s="29">
        <f>IF(H505="","",IF(X505="Published",IF(AB505="","Add - link missing","Yes"),"No"))</f>
        <v>0</v>
      </c>
      <c r="AD505" s="23">
        <f>IF(A505="","",IF(COUNTIF(Performance!$B$5:$B$404,A505)=0,"",SUMIFS(Performance!$O$5:$O$404,Performance!$B$5:$B$404,A505)))</f>
        <v>0</v>
      </c>
      <c r="AE505" s="23">
        <f>IF(AD505="","",SUMIFS(Performance!$Z$5:$Z$404,Performance!$B$5:$B$404,A505))</f>
        <v>0</v>
      </c>
      <c r="AF505" s="24">
        <f>IF(OR(AD505="",AD505=0),"",AE505/AD505)</f>
        <v>0</v>
      </c>
      <c r="AG505" s="23">
        <f>IF(AD505="","",SUMIFS(Performance!$U$5:$U$404,Performance!$B$5:$B$404,A505))</f>
        <v>0</v>
      </c>
      <c r="AH505" s="23">
        <f>IF(A505="","",COUNTIF(Repurposing!$B$5:$B$154,A505))</f>
        <v>0</v>
      </c>
      <c r="AI505" s="32">
        <f>IF(OR(H505="",B505=""),"",B505+ROW()/100000)</f>
        <v>0</v>
      </c>
      <c r="AJ505" s="32">
        <f>IF(OR(H505="",B505=""),"",IF(OR(X505="Published",X505="Cancelled",X505="Archived"),"",IF(B505&lt;TODAY(),"",B505+ROW()/100000)))</f>
        <v>0</v>
      </c>
      <c r="AK505" s="32">
        <f>IF(OR(H505="",B505=""),"",IF(OR(X505="Published",X505="Cancelled",X505="Archived"),"",IF(B505&gt;=TODAY(),"",B505+ROW()/100000)))</f>
        <v>0</v>
      </c>
      <c r="AL505" s="29">
        <f>IF(H505="","",IF(COUNTIFS('Content Calendar'!$H$5:$H$604,H505,'Content Calendar'!$G$5:$G$604,G505,'Content Calendar'!$B$5:$B$604,B505)&gt;1,"Duplicate","OK"))</f>
        <v>0</v>
      </c>
      <c r="AM505" s="29">
        <f>IF(H505="","",IF(AND(B505&lt;&gt;"",B505&lt;TODAY(),X505&lt;&gt;"Published",X505&lt;&gt;"Cancelled",X505&lt;&gt;"Archived"),"Overdue - date has passed",IF(AND(X505="Published",AB505=""),"Add - publish link missing",IF(AND(B505=TODAY(),X505&lt;&gt;"Published"),"Today - due to go live",IF(AND(Y505&lt;&gt;"",Y505&lt;TODAY(),OR(X505="Idea",X505="Brief",X505="In production")),"Late - draft not ready",IF(AND(AA505&gt;=0,AA505&lt;=3,OR(X505="Draft",X505="Awaiting review")),"Due - needs approval",IF(AND(H505&lt;&gt;"",P505=""),"Add - caption missing","OK")))))))</f>
        <v>0</v>
      </c>
    </row>
    <row r="506" spans="1:39">
      <c r="A506" s="41">
        <f>IF(H506="","",ContentPrefix&amp;TEXT(ROW()-4,"0000"))</f>
        <v>0</v>
      </c>
      <c r="D506" s="17">
        <f>IF(B506="","",TEXT(B506,"yyyy-mm"))</f>
        <v>0</v>
      </c>
      <c r="E506" s="23">
        <f>IF(B506="","",WEEKNUM(B506,IF(WeekStart="Sunday",1,2)))</f>
        <v>0</v>
      </c>
      <c r="F506" s="17">
        <f>IF(B506="","",TEXT(B506,"ddd"))</f>
        <v>0</v>
      </c>
      <c r="Q506" s="29">
        <f>IF(H506="","",IF(P506="","Add - no caption",IFERROR(INDEX('Caption Bank'!$R$5:$R$204,MATCH(P506,'Caption Bank'!$B$5:$B$204,0)),"Check - not in bank")))</f>
        <v>0</v>
      </c>
      <c r="S506" s="23">
        <f>IF(R506="","",COUNTIF('Hashtag Bank'!$D$5:$D$304,R506))</f>
        <v>0</v>
      </c>
      <c r="U506" s="29">
        <f>IF(H506="","",IF(T506="","Add - no asset",IFERROR(INDEX(Assets!$N$5:$N$254,MATCH(T506,Assets!$A$5:$A$254,0)),"Check - not in library")))</f>
        <v>0</v>
      </c>
      <c r="Y506" s="16">
        <f>IF(B506="","",B506-ProductionDays)</f>
        <v>0</v>
      </c>
      <c r="Z506" s="16">
        <f>IF(B506="","",B506-ApprovalDays)</f>
        <v>0</v>
      </c>
      <c r="AA506" s="23">
        <f>IF(B506="","",B506-TODAY())</f>
        <v>0</v>
      </c>
      <c r="AC506" s="29">
        <f>IF(H506="","",IF(X506="Published",IF(AB506="","Add - link missing","Yes"),"No"))</f>
        <v>0</v>
      </c>
      <c r="AD506" s="23">
        <f>IF(A506="","",IF(COUNTIF(Performance!$B$5:$B$404,A506)=0,"",SUMIFS(Performance!$O$5:$O$404,Performance!$B$5:$B$404,A506)))</f>
        <v>0</v>
      </c>
      <c r="AE506" s="23">
        <f>IF(AD506="","",SUMIFS(Performance!$Z$5:$Z$404,Performance!$B$5:$B$404,A506))</f>
        <v>0</v>
      </c>
      <c r="AF506" s="24">
        <f>IF(OR(AD506="",AD506=0),"",AE506/AD506)</f>
        <v>0</v>
      </c>
      <c r="AG506" s="23">
        <f>IF(AD506="","",SUMIFS(Performance!$U$5:$U$404,Performance!$B$5:$B$404,A506))</f>
        <v>0</v>
      </c>
      <c r="AH506" s="23">
        <f>IF(A506="","",COUNTIF(Repurposing!$B$5:$B$154,A506))</f>
        <v>0</v>
      </c>
      <c r="AI506" s="32">
        <f>IF(OR(H506="",B506=""),"",B506+ROW()/100000)</f>
        <v>0</v>
      </c>
      <c r="AJ506" s="32">
        <f>IF(OR(H506="",B506=""),"",IF(OR(X506="Published",X506="Cancelled",X506="Archived"),"",IF(B506&lt;TODAY(),"",B506+ROW()/100000)))</f>
        <v>0</v>
      </c>
      <c r="AK506" s="32">
        <f>IF(OR(H506="",B506=""),"",IF(OR(X506="Published",X506="Cancelled",X506="Archived"),"",IF(B506&gt;=TODAY(),"",B506+ROW()/100000)))</f>
        <v>0</v>
      </c>
      <c r="AL506" s="29">
        <f>IF(H506="","",IF(COUNTIFS('Content Calendar'!$H$5:$H$604,H506,'Content Calendar'!$G$5:$G$604,G506,'Content Calendar'!$B$5:$B$604,B506)&gt;1,"Duplicate","OK"))</f>
        <v>0</v>
      </c>
      <c r="AM506" s="29">
        <f>IF(H506="","",IF(AND(B506&lt;&gt;"",B506&lt;TODAY(),X506&lt;&gt;"Published",X506&lt;&gt;"Cancelled",X506&lt;&gt;"Archived"),"Overdue - date has passed",IF(AND(X506="Published",AB506=""),"Add - publish link missing",IF(AND(B506=TODAY(),X506&lt;&gt;"Published"),"Today - due to go live",IF(AND(Y506&lt;&gt;"",Y506&lt;TODAY(),OR(X506="Idea",X506="Brief",X506="In production")),"Late - draft not ready",IF(AND(AA506&gt;=0,AA506&lt;=3,OR(X506="Draft",X506="Awaiting review")),"Due - needs approval",IF(AND(H506&lt;&gt;"",P506=""),"Add - caption missing","OK")))))))</f>
        <v>0</v>
      </c>
    </row>
    <row r="507" spans="1:39">
      <c r="A507" s="41">
        <f>IF(H507="","",ContentPrefix&amp;TEXT(ROW()-4,"0000"))</f>
        <v>0</v>
      </c>
      <c r="D507" s="17">
        <f>IF(B507="","",TEXT(B507,"yyyy-mm"))</f>
        <v>0</v>
      </c>
      <c r="E507" s="23">
        <f>IF(B507="","",WEEKNUM(B507,IF(WeekStart="Sunday",1,2)))</f>
        <v>0</v>
      </c>
      <c r="F507" s="17">
        <f>IF(B507="","",TEXT(B507,"ddd"))</f>
        <v>0</v>
      </c>
      <c r="Q507" s="29">
        <f>IF(H507="","",IF(P507="","Add - no caption",IFERROR(INDEX('Caption Bank'!$R$5:$R$204,MATCH(P507,'Caption Bank'!$B$5:$B$204,0)),"Check - not in bank")))</f>
        <v>0</v>
      </c>
      <c r="S507" s="23">
        <f>IF(R507="","",COUNTIF('Hashtag Bank'!$D$5:$D$304,R507))</f>
        <v>0</v>
      </c>
      <c r="U507" s="29">
        <f>IF(H507="","",IF(T507="","Add - no asset",IFERROR(INDEX(Assets!$N$5:$N$254,MATCH(T507,Assets!$A$5:$A$254,0)),"Check - not in library")))</f>
        <v>0</v>
      </c>
      <c r="Y507" s="16">
        <f>IF(B507="","",B507-ProductionDays)</f>
        <v>0</v>
      </c>
      <c r="Z507" s="16">
        <f>IF(B507="","",B507-ApprovalDays)</f>
        <v>0</v>
      </c>
      <c r="AA507" s="23">
        <f>IF(B507="","",B507-TODAY())</f>
        <v>0</v>
      </c>
      <c r="AC507" s="29">
        <f>IF(H507="","",IF(X507="Published",IF(AB507="","Add - link missing","Yes"),"No"))</f>
        <v>0</v>
      </c>
      <c r="AD507" s="23">
        <f>IF(A507="","",IF(COUNTIF(Performance!$B$5:$B$404,A507)=0,"",SUMIFS(Performance!$O$5:$O$404,Performance!$B$5:$B$404,A507)))</f>
        <v>0</v>
      </c>
      <c r="AE507" s="23">
        <f>IF(AD507="","",SUMIFS(Performance!$Z$5:$Z$404,Performance!$B$5:$B$404,A507))</f>
        <v>0</v>
      </c>
      <c r="AF507" s="24">
        <f>IF(OR(AD507="",AD507=0),"",AE507/AD507)</f>
        <v>0</v>
      </c>
      <c r="AG507" s="23">
        <f>IF(AD507="","",SUMIFS(Performance!$U$5:$U$404,Performance!$B$5:$B$404,A507))</f>
        <v>0</v>
      </c>
      <c r="AH507" s="23">
        <f>IF(A507="","",COUNTIF(Repurposing!$B$5:$B$154,A507))</f>
        <v>0</v>
      </c>
      <c r="AI507" s="32">
        <f>IF(OR(H507="",B507=""),"",B507+ROW()/100000)</f>
        <v>0</v>
      </c>
      <c r="AJ507" s="32">
        <f>IF(OR(H507="",B507=""),"",IF(OR(X507="Published",X507="Cancelled",X507="Archived"),"",IF(B507&lt;TODAY(),"",B507+ROW()/100000)))</f>
        <v>0</v>
      </c>
      <c r="AK507" s="32">
        <f>IF(OR(H507="",B507=""),"",IF(OR(X507="Published",X507="Cancelled",X507="Archived"),"",IF(B507&gt;=TODAY(),"",B507+ROW()/100000)))</f>
        <v>0</v>
      </c>
      <c r="AL507" s="29">
        <f>IF(H507="","",IF(COUNTIFS('Content Calendar'!$H$5:$H$604,H507,'Content Calendar'!$G$5:$G$604,G507,'Content Calendar'!$B$5:$B$604,B507)&gt;1,"Duplicate","OK"))</f>
        <v>0</v>
      </c>
      <c r="AM507" s="29">
        <f>IF(H507="","",IF(AND(B507&lt;&gt;"",B507&lt;TODAY(),X507&lt;&gt;"Published",X507&lt;&gt;"Cancelled",X507&lt;&gt;"Archived"),"Overdue - date has passed",IF(AND(X507="Published",AB507=""),"Add - publish link missing",IF(AND(B507=TODAY(),X507&lt;&gt;"Published"),"Today - due to go live",IF(AND(Y507&lt;&gt;"",Y507&lt;TODAY(),OR(X507="Idea",X507="Brief",X507="In production")),"Late - draft not ready",IF(AND(AA507&gt;=0,AA507&lt;=3,OR(X507="Draft",X507="Awaiting review")),"Due - needs approval",IF(AND(H507&lt;&gt;"",P507=""),"Add - caption missing","OK")))))))</f>
        <v>0</v>
      </c>
    </row>
    <row r="508" spans="1:39">
      <c r="A508" s="41">
        <f>IF(H508="","",ContentPrefix&amp;TEXT(ROW()-4,"0000"))</f>
        <v>0</v>
      </c>
      <c r="D508" s="17">
        <f>IF(B508="","",TEXT(B508,"yyyy-mm"))</f>
        <v>0</v>
      </c>
      <c r="E508" s="23">
        <f>IF(B508="","",WEEKNUM(B508,IF(WeekStart="Sunday",1,2)))</f>
        <v>0</v>
      </c>
      <c r="F508" s="17">
        <f>IF(B508="","",TEXT(B508,"ddd"))</f>
        <v>0</v>
      </c>
      <c r="Q508" s="29">
        <f>IF(H508="","",IF(P508="","Add - no caption",IFERROR(INDEX('Caption Bank'!$R$5:$R$204,MATCH(P508,'Caption Bank'!$B$5:$B$204,0)),"Check - not in bank")))</f>
        <v>0</v>
      </c>
      <c r="S508" s="23">
        <f>IF(R508="","",COUNTIF('Hashtag Bank'!$D$5:$D$304,R508))</f>
        <v>0</v>
      </c>
      <c r="U508" s="29">
        <f>IF(H508="","",IF(T508="","Add - no asset",IFERROR(INDEX(Assets!$N$5:$N$254,MATCH(T508,Assets!$A$5:$A$254,0)),"Check - not in library")))</f>
        <v>0</v>
      </c>
      <c r="Y508" s="16">
        <f>IF(B508="","",B508-ProductionDays)</f>
        <v>0</v>
      </c>
      <c r="Z508" s="16">
        <f>IF(B508="","",B508-ApprovalDays)</f>
        <v>0</v>
      </c>
      <c r="AA508" s="23">
        <f>IF(B508="","",B508-TODAY())</f>
        <v>0</v>
      </c>
      <c r="AC508" s="29">
        <f>IF(H508="","",IF(X508="Published",IF(AB508="","Add - link missing","Yes"),"No"))</f>
        <v>0</v>
      </c>
      <c r="AD508" s="23">
        <f>IF(A508="","",IF(COUNTIF(Performance!$B$5:$B$404,A508)=0,"",SUMIFS(Performance!$O$5:$O$404,Performance!$B$5:$B$404,A508)))</f>
        <v>0</v>
      </c>
      <c r="AE508" s="23">
        <f>IF(AD508="","",SUMIFS(Performance!$Z$5:$Z$404,Performance!$B$5:$B$404,A508))</f>
        <v>0</v>
      </c>
      <c r="AF508" s="24">
        <f>IF(OR(AD508="",AD508=0),"",AE508/AD508)</f>
        <v>0</v>
      </c>
      <c r="AG508" s="23">
        <f>IF(AD508="","",SUMIFS(Performance!$U$5:$U$404,Performance!$B$5:$B$404,A508))</f>
        <v>0</v>
      </c>
      <c r="AH508" s="23">
        <f>IF(A508="","",COUNTIF(Repurposing!$B$5:$B$154,A508))</f>
        <v>0</v>
      </c>
      <c r="AI508" s="32">
        <f>IF(OR(H508="",B508=""),"",B508+ROW()/100000)</f>
        <v>0</v>
      </c>
      <c r="AJ508" s="32">
        <f>IF(OR(H508="",B508=""),"",IF(OR(X508="Published",X508="Cancelled",X508="Archived"),"",IF(B508&lt;TODAY(),"",B508+ROW()/100000)))</f>
        <v>0</v>
      </c>
      <c r="AK508" s="32">
        <f>IF(OR(H508="",B508=""),"",IF(OR(X508="Published",X508="Cancelled",X508="Archived"),"",IF(B508&gt;=TODAY(),"",B508+ROW()/100000)))</f>
        <v>0</v>
      </c>
      <c r="AL508" s="29">
        <f>IF(H508="","",IF(COUNTIFS('Content Calendar'!$H$5:$H$604,H508,'Content Calendar'!$G$5:$G$604,G508,'Content Calendar'!$B$5:$B$604,B508)&gt;1,"Duplicate","OK"))</f>
        <v>0</v>
      </c>
      <c r="AM508" s="29">
        <f>IF(H508="","",IF(AND(B508&lt;&gt;"",B508&lt;TODAY(),X508&lt;&gt;"Published",X508&lt;&gt;"Cancelled",X508&lt;&gt;"Archived"),"Overdue - date has passed",IF(AND(X508="Published",AB508=""),"Add - publish link missing",IF(AND(B508=TODAY(),X508&lt;&gt;"Published"),"Today - due to go live",IF(AND(Y508&lt;&gt;"",Y508&lt;TODAY(),OR(X508="Idea",X508="Brief",X508="In production")),"Late - draft not ready",IF(AND(AA508&gt;=0,AA508&lt;=3,OR(X508="Draft",X508="Awaiting review")),"Due - needs approval",IF(AND(H508&lt;&gt;"",P508=""),"Add - caption missing","OK")))))))</f>
        <v>0</v>
      </c>
    </row>
    <row r="509" spans="1:39">
      <c r="A509" s="41">
        <f>IF(H509="","",ContentPrefix&amp;TEXT(ROW()-4,"0000"))</f>
        <v>0</v>
      </c>
      <c r="D509" s="17">
        <f>IF(B509="","",TEXT(B509,"yyyy-mm"))</f>
        <v>0</v>
      </c>
      <c r="E509" s="23">
        <f>IF(B509="","",WEEKNUM(B509,IF(WeekStart="Sunday",1,2)))</f>
        <v>0</v>
      </c>
      <c r="F509" s="17">
        <f>IF(B509="","",TEXT(B509,"ddd"))</f>
        <v>0</v>
      </c>
      <c r="Q509" s="29">
        <f>IF(H509="","",IF(P509="","Add - no caption",IFERROR(INDEX('Caption Bank'!$R$5:$R$204,MATCH(P509,'Caption Bank'!$B$5:$B$204,0)),"Check - not in bank")))</f>
        <v>0</v>
      </c>
      <c r="S509" s="23">
        <f>IF(R509="","",COUNTIF('Hashtag Bank'!$D$5:$D$304,R509))</f>
        <v>0</v>
      </c>
      <c r="U509" s="29">
        <f>IF(H509="","",IF(T509="","Add - no asset",IFERROR(INDEX(Assets!$N$5:$N$254,MATCH(T509,Assets!$A$5:$A$254,0)),"Check - not in library")))</f>
        <v>0</v>
      </c>
      <c r="Y509" s="16">
        <f>IF(B509="","",B509-ProductionDays)</f>
        <v>0</v>
      </c>
      <c r="Z509" s="16">
        <f>IF(B509="","",B509-ApprovalDays)</f>
        <v>0</v>
      </c>
      <c r="AA509" s="23">
        <f>IF(B509="","",B509-TODAY())</f>
        <v>0</v>
      </c>
      <c r="AC509" s="29">
        <f>IF(H509="","",IF(X509="Published",IF(AB509="","Add - link missing","Yes"),"No"))</f>
        <v>0</v>
      </c>
      <c r="AD509" s="23">
        <f>IF(A509="","",IF(COUNTIF(Performance!$B$5:$B$404,A509)=0,"",SUMIFS(Performance!$O$5:$O$404,Performance!$B$5:$B$404,A509)))</f>
        <v>0</v>
      </c>
      <c r="AE509" s="23">
        <f>IF(AD509="","",SUMIFS(Performance!$Z$5:$Z$404,Performance!$B$5:$B$404,A509))</f>
        <v>0</v>
      </c>
      <c r="AF509" s="24">
        <f>IF(OR(AD509="",AD509=0),"",AE509/AD509)</f>
        <v>0</v>
      </c>
      <c r="AG509" s="23">
        <f>IF(AD509="","",SUMIFS(Performance!$U$5:$U$404,Performance!$B$5:$B$404,A509))</f>
        <v>0</v>
      </c>
      <c r="AH509" s="23">
        <f>IF(A509="","",COUNTIF(Repurposing!$B$5:$B$154,A509))</f>
        <v>0</v>
      </c>
      <c r="AI509" s="32">
        <f>IF(OR(H509="",B509=""),"",B509+ROW()/100000)</f>
        <v>0</v>
      </c>
      <c r="AJ509" s="32">
        <f>IF(OR(H509="",B509=""),"",IF(OR(X509="Published",X509="Cancelled",X509="Archived"),"",IF(B509&lt;TODAY(),"",B509+ROW()/100000)))</f>
        <v>0</v>
      </c>
      <c r="AK509" s="32">
        <f>IF(OR(H509="",B509=""),"",IF(OR(X509="Published",X509="Cancelled",X509="Archived"),"",IF(B509&gt;=TODAY(),"",B509+ROW()/100000)))</f>
        <v>0</v>
      </c>
      <c r="AL509" s="29">
        <f>IF(H509="","",IF(COUNTIFS('Content Calendar'!$H$5:$H$604,H509,'Content Calendar'!$G$5:$G$604,G509,'Content Calendar'!$B$5:$B$604,B509)&gt;1,"Duplicate","OK"))</f>
        <v>0</v>
      </c>
      <c r="AM509" s="29">
        <f>IF(H509="","",IF(AND(B509&lt;&gt;"",B509&lt;TODAY(),X509&lt;&gt;"Published",X509&lt;&gt;"Cancelled",X509&lt;&gt;"Archived"),"Overdue - date has passed",IF(AND(X509="Published",AB509=""),"Add - publish link missing",IF(AND(B509=TODAY(),X509&lt;&gt;"Published"),"Today - due to go live",IF(AND(Y509&lt;&gt;"",Y509&lt;TODAY(),OR(X509="Idea",X509="Brief",X509="In production")),"Late - draft not ready",IF(AND(AA509&gt;=0,AA509&lt;=3,OR(X509="Draft",X509="Awaiting review")),"Due - needs approval",IF(AND(H509&lt;&gt;"",P509=""),"Add - caption missing","OK")))))))</f>
        <v>0</v>
      </c>
    </row>
    <row r="510" spans="1:39">
      <c r="A510" s="41">
        <f>IF(H510="","",ContentPrefix&amp;TEXT(ROW()-4,"0000"))</f>
        <v>0</v>
      </c>
      <c r="D510" s="17">
        <f>IF(B510="","",TEXT(B510,"yyyy-mm"))</f>
        <v>0</v>
      </c>
      <c r="E510" s="23">
        <f>IF(B510="","",WEEKNUM(B510,IF(WeekStart="Sunday",1,2)))</f>
        <v>0</v>
      </c>
      <c r="F510" s="17">
        <f>IF(B510="","",TEXT(B510,"ddd"))</f>
        <v>0</v>
      </c>
      <c r="Q510" s="29">
        <f>IF(H510="","",IF(P510="","Add - no caption",IFERROR(INDEX('Caption Bank'!$R$5:$R$204,MATCH(P510,'Caption Bank'!$B$5:$B$204,0)),"Check - not in bank")))</f>
        <v>0</v>
      </c>
      <c r="S510" s="23">
        <f>IF(R510="","",COUNTIF('Hashtag Bank'!$D$5:$D$304,R510))</f>
        <v>0</v>
      </c>
      <c r="U510" s="29">
        <f>IF(H510="","",IF(T510="","Add - no asset",IFERROR(INDEX(Assets!$N$5:$N$254,MATCH(T510,Assets!$A$5:$A$254,0)),"Check - not in library")))</f>
        <v>0</v>
      </c>
      <c r="Y510" s="16">
        <f>IF(B510="","",B510-ProductionDays)</f>
        <v>0</v>
      </c>
      <c r="Z510" s="16">
        <f>IF(B510="","",B510-ApprovalDays)</f>
        <v>0</v>
      </c>
      <c r="AA510" s="23">
        <f>IF(B510="","",B510-TODAY())</f>
        <v>0</v>
      </c>
      <c r="AC510" s="29">
        <f>IF(H510="","",IF(X510="Published",IF(AB510="","Add - link missing","Yes"),"No"))</f>
        <v>0</v>
      </c>
      <c r="AD510" s="23">
        <f>IF(A510="","",IF(COUNTIF(Performance!$B$5:$B$404,A510)=0,"",SUMIFS(Performance!$O$5:$O$404,Performance!$B$5:$B$404,A510)))</f>
        <v>0</v>
      </c>
      <c r="AE510" s="23">
        <f>IF(AD510="","",SUMIFS(Performance!$Z$5:$Z$404,Performance!$B$5:$B$404,A510))</f>
        <v>0</v>
      </c>
      <c r="AF510" s="24">
        <f>IF(OR(AD510="",AD510=0),"",AE510/AD510)</f>
        <v>0</v>
      </c>
      <c r="AG510" s="23">
        <f>IF(AD510="","",SUMIFS(Performance!$U$5:$U$404,Performance!$B$5:$B$404,A510))</f>
        <v>0</v>
      </c>
      <c r="AH510" s="23">
        <f>IF(A510="","",COUNTIF(Repurposing!$B$5:$B$154,A510))</f>
        <v>0</v>
      </c>
      <c r="AI510" s="32">
        <f>IF(OR(H510="",B510=""),"",B510+ROW()/100000)</f>
        <v>0</v>
      </c>
      <c r="AJ510" s="32">
        <f>IF(OR(H510="",B510=""),"",IF(OR(X510="Published",X510="Cancelled",X510="Archived"),"",IF(B510&lt;TODAY(),"",B510+ROW()/100000)))</f>
        <v>0</v>
      </c>
      <c r="AK510" s="32">
        <f>IF(OR(H510="",B510=""),"",IF(OR(X510="Published",X510="Cancelled",X510="Archived"),"",IF(B510&gt;=TODAY(),"",B510+ROW()/100000)))</f>
        <v>0</v>
      </c>
      <c r="AL510" s="29">
        <f>IF(H510="","",IF(COUNTIFS('Content Calendar'!$H$5:$H$604,H510,'Content Calendar'!$G$5:$G$604,G510,'Content Calendar'!$B$5:$B$604,B510)&gt;1,"Duplicate","OK"))</f>
        <v>0</v>
      </c>
      <c r="AM510" s="29">
        <f>IF(H510="","",IF(AND(B510&lt;&gt;"",B510&lt;TODAY(),X510&lt;&gt;"Published",X510&lt;&gt;"Cancelled",X510&lt;&gt;"Archived"),"Overdue - date has passed",IF(AND(X510="Published",AB510=""),"Add - publish link missing",IF(AND(B510=TODAY(),X510&lt;&gt;"Published"),"Today - due to go live",IF(AND(Y510&lt;&gt;"",Y510&lt;TODAY(),OR(X510="Idea",X510="Brief",X510="In production")),"Late - draft not ready",IF(AND(AA510&gt;=0,AA510&lt;=3,OR(X510="Draft",X510="Awaiting review")),"Due - needs approval",IF(AND(H510&lt;&gt;"",P510=""),"Add - caption missing","OK")))))))</f>
        <v>0</v>
      </c>
    </row>
    <row r="511" spans="1:39">
      <c r="A511" s="41">
        <f>IF(H511="","",ContentPrefix&amp;TEXT(ROW()-4,"0000"))</f>
        <v>0</v>
      </c>
      <c r="D511" s="17">
        <f>IF(B511="","",TEXT(B511,"yyyy-mm"))</f>
        <v>0</v>
      </c>
      <c r="E511" s="23">
        <f>IF(B511="","",WEEKNUM(B511,IF(WeekStart="Sunday",1,2)))</f>
        <v>0</v>
      </c>
      <c r="F511" s="17">
        <f>IF(B511="","",TEXT(B511,"ddd"))</f>
        <v>0</v>
      </c>
      <c r="Q511" s="29">
        <f>IF(H511="","",IF(P511="","Add - no caption",IFERROR(INDEX('Caption Bank'!$R$5:$R$204,MATCH(P511,'Caption Bank'!$B$5:$B$204,0)),"Check - not in bank")))</f>
        <v>0</v>
      </c>
      <c r="S511" s="23">
        <f>IF(R511="","",COUNTIF('Hashtag Bank'!$D$5:$D$304,R511))</f>
        <v>0</v>
      </c>
      <c r="U511" s="29">
        <f>IF(H511="","",IF(T511="","Add - no asset",IFERROR(INDEX(Assets!$N$5:$N$254,MATCH(T511,Assets!$A$5:$A$254,0)),"Check - not in library")))</f>
        <v>0</v>
      </c>
      <c r="Y511" s="16">
        <f>IF(B511="","",B511-ProductionDays)</f>
        <v>0</v>
      </c>
      <c r="Z511" s="16">
        <f>IF(B511="","",B511-ApprovalDays)</f>
        <v>0</v>
      </c>
      <c r="AA511" s="23">
        <f>IF(B511="","",B511-TODAY())</f>
        <v>0</v>
      </c>
      <c r="AC511" s="29">
        <f>IF(H511="","",IF(X511="Published",IF(AB511="","Add - link missing","Yes"),"No"))</f>
        <v>0</v>
      </c>
      <c r="AD511" s="23">
        <f>IF(A511="","",IF(COUNTIF(Performance!$B$5:$B$404,A511)=0,"",SUMIFS(Performance!$O$5:$O$404,Performance!$B$5:$B$404,A511)))</f>
        <v>0</v>
      </c>
      <c r="AE511" s="23">
        <f>IF(AD511="","",SUMIFS(Performance!$Z$5:$Z$404,Performance!$B$5:$B$404,A511))</f>
        <v>0</v>
      </c>
      <c r="AF511" s="24">
        <f>IF(OR(AD511="",AD511=0),"",AE511/AD511)</f>
        <v>0</v>
      </c>
      <c r="AG511" s="23">
        <f>IF(AD511="","",SUMIFS(Performance!$U$5:$U$404,Performance!$B$5:$B$404,A511))</f>
        <v>0</v>
      </c>
      <c r="AH511" s="23">
        <f>IF(A511="","",COUNTIF(Repurposing!$B$5:$B$154,A511))</f>
        <v>0</v>
      </c>
      <c r="AI511" s="32">
        <f>IF(OR(H511="",B511=""),"",B511+ROW()/100000)</f>
        <v>0</v>
      </c>
      <c r="AJ511" s="32">
        <f>IF(OR(H511="",B511=""),"",IF(OR(X511="Published",X511="Cancelled",X511="Archived"),"",IF(B511&lt;TODAY(),"",B511+ROW()/100000)))</f>
        <v>0</v>
      </c>
      <c r="AK511" s="32">
        <f>IF(OR(H511="",B511=""),"",IF(OR(X511="Published",X511="Cancelled",X511="Archived"),"",IF(B511&gt;=TODAY(),"",B511+ROW()/100000)))</f>
        <v>0</v>
      </c>
      <c r="AL511" s="29">
        <f>IF(H511="","",IF(COUNTIFS('Content Calendar'!$H$5:$H$604,H511,'Content Calendar'!$G$5:$G$604,G511,'Content Calendar'!$B$5:$B$604,B511)&gt;1,"Duplicate","OK"))</f>
        <v>0</v>
      </c>
      <c r="AM511" s="29">
        <f>IF(H511="","",IF(AND(B511&lt;&gt;"",B511&lt;TODAY(),X511&lt;&gt;"Published",X511&lt;&gt;"Cancelled",X511&lt;&gt;"Archived"),"Overdue - date has passed",IF(AND(X511="Published",AB511=""),"Add - publish link missing",IF(AND(B511=TODAY(),X511&lt;&gt;"Published"),"Today - due to go live",IF(AND(Y511&lt;&gt;"",Y511&lt;TODAY(),OR(X511="Idea",X511="Brief",X511="In production")),"Late - draft not ready",IF(AND(AA511&gt;=0,AA511&lt;=3,OR(X511="Draft",X511="Awaiting review")),"Due - needs approval",IF(AND(H511&lt;&gt;"",P511=""),"Add - caption missing","OK")))))))</f>
        <v>0</v>
      </c>
    </row>
    <row r="512" spans="1:39">
      <c r="A512" s="41">
        <f>IF(H512="","",ContentPrefix&amp;TEXT(ROW()-4,"0000"))</f>
        <v>0</v>
      </c>
      <c r="D512" s="17">
        <f>IF(B512="","",TEXT(B512,"yyyy-mm"))</f>
        <v>0</v>
      </c>
      <c r="E512" s="23">
        <f>IF(B512="","",WEEKNUM(B512,IF(WeekStart="Sunday",1,2)))</f>
        <v>0</v>
      </c>
      <c r="F512" s="17">
        <f>IF(B512="","",TEXT(B512,"ddd"))</f>
        <v>0</v>
      </c>
      <c r="Q512" s="29">
        <f>IF(H512="","",IF(P512="","Add - no caption",IFERROR(INDEX('Caption Bank'!$R$5:$R$204,MATCH(P512,'Caption Bank'!$B$5:$B$204,0)),"Check - not in bank")))</f>
        <v>0</v>
      </c>
      <c r="S512" s="23">
        <f>IF(R512="","",COUNTIF('Hashtag Bank'!$D$5:$D$304,R512))</f>
        <v>0</v>
      </c>
      <c r="U512" s="29">
        <f>IF(H512="","",IF(T512="","Add - no asset",IFERROR(INDEX(Assets!$N$5:$N$254,MATCH(T512,Assets!$A$5:$A$254,0)),"Check - not in library")))</f>
        <v>0</v>
      </c>
      <c r="Y512" s="16">
        <f>IF(B512="","",B512-ProductionDays)</f>
        <v>0</v>
      </c>
      <c r="Z512" s="16">
        <f>IF(B512="","",B512-ApprovalDays)</f>
        <v>0</v>
      </c>
      <c r="AA512" s="23">
        <f>IF(B512="","",B512-TODAY())</f>
        <v>0</v>
      </c>
      <c r="AC512" s="29">
        <f>IF(H512="","",IF(X512="Published",IF(AB512="","Add - link missing","Yes"),"No"))</f>
        <v>0</v>
      </c>
      <c r="AD512" s="23">
        <f>IF(A512="","",IF(COUNTIF(Performance!$B$5:$B$404,A512)=0,"",SUMIFS(Performance!$O$5:$O$404,Performance!$B$5:$B$404,A512)))</f>
        <v>0</v>
      </c>
      <c r="AE512" s="23">
        <f>IF(AD512="","",SUMIFS(Performance!$Z$5:$Z$404,Performance!$B$5:$B$404,A512))</f>
        <v>0</v>
      </c>
      <c r="AF512" s="24">
        <f>IF(OR(AD512="",AD512=0),"",AE512/AD512)</f>
        <v>0</v>
      </c>
      <c r="AG512" s="23">
        <f>IF(AD512="","",SUMIFS(Performance!$U$5:$U$404,Performance!$B$5:$B$404,A512))</f>
        <v>0</v>
      </c>
      <c r="AH512" s="23">
        <f>IF(A512="","",COUNTIF(Repurposing!$B$5:$B$154,A512))</f>
        <v>0</v>
      </c>
      <c r="AI512" s="32">
        <f>IF(OR(H512="",B512=""),"",B512+ROW()/100000)</f>
        <v>0</v>
      </c>
      <c r="AJ512" s="32">
        <f>IF(OR(H512="",B512=""),"",IF(OR(X512="Published",X512="Cancelled",X512="Archived"),"",IF(B512&lt;TODAY(),"",B512+ROW()/100000)))</f>
        <v>0</v>
      </c>
      <c r="AK512" s="32">
        <f>IF(OR(H512="",B512=""),"",IF(OR(X512="Published",X512="Cancelled",X512="Archived"),"",IF(B512&gt;=TODAY(),"",B512+ROW()/100000)))</f>
        <v>0</v>
      </c>
      <c r="AL512" s="29">
        <f>IF(H512="","",IF(COUNTIFS('Content Calendar'!$H$5:$H$604,H512,'Content Calendar'!$G$5:$G$604,G512,'Content Calendar'!$B$5:$B$604,B512)&gt;1,"Duplicate","OK"))</f>
        <v>0</v>
      </c>
      <c r="AM512" s="29">
        <f>IF(H512="","",IF(AND(B512&lt;&gt;"",B512&lt;TODAY(),X512&lt;&gt;"Published",X512&lt;&gt;"Cancelled",X512&lt;&gt;"Archived"),"Overdue - date has passed",IF(AND(X512="Published",AB512=""),"Add - publish link missing",IF(AND(B512=TODAY(),X512&lt;&gt;"Published"),"Today - due to go live",IF(AND(Y512&lt;&gt;"",Y512&lt;TODAY(),OR(X512="Idea",X512="Brief",X512="In production")),"Late - draft not ready",IF(AND(AA512&gt;=0,AA512&lt;=3,OR(X512="Draft",X512="Awaiting review")),"Due - needs approval",IF(AND(H512&lt;&gt;"",P512=""),"Add - caption missing","OK")))))))</f>
        <v>0</v>
      </c>
    </row>
    <row r="513" spans="1:39">
      <c r="A513" s="41">
        <f>IF(H513="","",ContentPrefix&amp;TEXT(ROW()-4,"0000"))</f>
        <v>0</v>
      </c>
      <c r="D513" s="17">
        <f>IF(B513="","",TEXT(B513,"yyyy-mm"))</f>
        <v>0</v>
      </c>
      <c r="E513" s="23">
        <f>IF(B513="","",WEEKNUM(B513,IF(WeekStart="Sunday",1,2)))</f>
        <v>0</v>
      </c>
      <c r="F513" s="17">
        <f>IF(B513="","",TEXT(B513,"ddd"))</f>
        <v>0</v>
      </c>
      <c r="Q513" s="29">
        <f>IF(H513="","",IF(P513="","Add - no caption",IFERROR(INDEX('Caption Bank'!$R$5:$R$204,MATCH(P513,'Caption Bank'!$B$5:$B$204,0)),"Check - not in bank")))</f>
        <v>0</v>
      </c>
      <c r="S513" s="23">
        <f>IF(R513="","",COUNTIF('Hashtag Bank'!$D$5:$D$304,R513))</f>
        <v>0</v>
      </c>
      <c r="U513" s="29">
        <f>IF(H513="","",IF(T513="","Add - no asset",IFERROR(INDEX(Assets!$N$5:$N$254,MATCH(T513,Assets!$A$5:$A$254,0)),"Check - not in library")))</f>
        <v>0</v>
      </c>
      <c r="Y513" s="16">
        <f>IF(B513="","",B513-ProductionDays)</f>
        <v>0</v>
      </c>
      <c r="Z513" s="16">
        <f>IF(B513="","",B513-ApprovalDays)</f>
        <v>0</v>
      </c>
      <c r="AA513" s="23">
        <f>IF(B513="","",B513-TODAY())</f>
        <v>0</v>
      </c>
      <c r="AC513" s="29">
        <f>IF(H513="","",IF(X513="Published",IF(AB513="","Add - link missing","Yes"),"No"))</f>
        <v>0</v>
      </c>
      <c r="AD513" s="23">
        <f>IF(A513="","",IF(COUNTIF(Performance!$B$5:$B$404,A513)=0,"",SUMIFS(Performance!$O$5:$O$404,Performance!$B$5:$B$404,A513)))</f>
        <v>0</v>
      </c>
      <c r="AE513" s="23">
        <f>IF(AD513="","",SUMIFS(Performance!$Z$5:$Z$404,Performance!$B$5:$B$404,A513))</f>
        <v>0</v>
      </c>
      <c r="AF513" s="24">
        <f>IF(OR(AD513="",AD513=0),"",AE513/AD513)</f>
        <v>0</v>
      </c>
      <c r="AG513" s="23">
        <f>IF(AD513="","",SUMIFS(Performance!$U$5:$U$404,Performance!$B$5:$B$404,A513))</f>
        <v>0</v>
      </c>
      <c r="AH513" s="23">
        <f>IF(A513="","",COUNTIF(Repurposing!$B$5:$B$154,A513))</f>
        <v>0</v>
      </c>
      <c r="AI513" s="32">
        <f>IF(OR(H513="",B513=""),"",B513+ROW()/100000)</f>
        <v>0</v>
      </c>
      <c r="AJ513" s="32">
        <f>IF(OR(H513="",B513=""),"",IF(OR(X513="Published",X513="Cancelled",X513="Archived"),"",IF(B513&lt;TODAY(),"",B513+ROW()/100000)))</f>
        <v>0</v>
      </c>
      <c r="AK513" s="32">
        <f>IF(OR(H513="",B513=""),"",IF(OR(X513="Published",X513="Cancelled",X513="Archived"),"",IF(B513&gt;=TODAY(),"",B513+ROW()/100000)))</f>
        <v>0</v>
      </c>
      <c r="AL513" s="29">
        <f>IF(H513="","",IF(COUNTIFS('Content Calendar'!$H$5:$H$604,H513,'Content Calendar'!$G$5:$G$604,G513,'Content Calendar'!$B$5:$B$604,B513)&gt;1,"Duplicate","OK"))</f>
        <v>0</v>
      </c>
      <c r="AM513" s="29">
        <f>IF(H513="","",IF(AND(B513&lt;&gt;"",B513&lt;TODAY(),X513&lt;&gt;"Published",X513&lt;&gt;"Cancelled",X513&lt;&gt;"Archived"),"Overdue - date has passed",IF(AND(X513="Published",AB513=""),"Add - publish link missing",IF(AND(B513=TODAY(),X513&lt;&gt;"Published"),"Today - due to go live",IF(AND(Y513&lt;&gt;"",Y513&lt;TODAY(),OR(X513="Idea",X513="Brief",X513="In production")),"Late - draft not ready",IF(AND(AA513&gt;=0,AA513&lt;=3,OR(X513="Draft",X513="Awaiting review")),"Due - needs approval",IF(AND(H513&lt;&gt;"",P513=""),"Add - caption missing","OK")))))))</f>
        <v>0</v>
      </c>
    </row>
    <row r="514" spans="1:39">
      <c r="A514" s="41">
        <f>IF(H514="","",ContentPrefix&amp;TEXT(ROW()-4,"0000"))</f>
        <v>0</v>
      </c>
      <c r="D514" s="17">
        <f>IF(B514="","",TEXT(B514,"yyyy-mm"))</f>
        <v>0</v>
      </c>
      <c r="E514" s="23">
        <f>IF(B514="","",WEEKNUM(B514,IF(WeekStart="Sunday",1,2)))</f>
        <v>0</v>
      </c>
      <c r="F514" s="17">
        <f>IF(B514="","",TEXT(B514,"ddd"))</f>
        <v>0</v>
      </c>
      <c r="Q514" s="29">
        <f>IF(H514="","",IF(P514="","Add - no caption",IFERROR(INDEX('Caption Bank'!$R$5:$R$204,MATCH(P514,'Caption Bank'!$B$5:$B$204,0)),"Check - not in bank")))</f>
        <v>0</v>
      </c>
      <c r="S514" s="23">
        <f>IF(R514="","",COUNTIF('Hashtag Bank'!$D$5:$D$304,R514))</f>
        <v>0</v>
      </c>
      <c r="U514" s="29">
        <f>IF(H514="","",IF(T514="","Add - no asset",IFERROR(INDEX(Assets!$N$5:$N$254,MATCH(T514,Assets!$A$5:$A$254,0)),"Check - not in library")))</f>
        <v>0</v>
      </c>
      <c r="Y514" s="16">
        <f>IF(B514="","",B514-ProductionDays)</f>
        <v>0</v>
      </c>
      <c r="Z514" s="16">
        <f>IF(B514="","",B514-ApprovalDays)</f>
        <v>0</v>
      </c>
      <c r="AA514" s="23">
        <f>IF(B514="","",B514-TODAY())</f>
        <v>0</v>
      </c>
      <c r="AC514" s="29">
        <f>IF(H514="","",IF(X514="Published",IF(AB514="","Add - link missing","Yes"),"No"))</f>
        <v>0</v>
      </c>
      <c r="AD514" s="23">
        <f>IF(A514="","",IF(COUNTIF(Performance!$B$5:$B$404,A514)=0,"",SUMIFS(Performance!$O$5:$O$404,Performance!$B$5:$B$404,A514)))</f>
        <v>0</v>
      </c>
      <c r="AE514" s="23">
        <f>IF(AD514="","",SUMIFS(Performance!$Z$5:$Z$404,Performance!$B$5:$B$404,A514))</f>
        <v>0</v>
      </c>
      <c r="AF514" s="24">
        <f>IF(OR(AD514="",AD514=0),"",AE514/AD514)</f>
        <v>0</v>
      </c>
      <c r="AG514" s="23">
        <f>IF(AD514="","",SUMIFS(Performance!$U$5:$U$404,Performance!$B$5:$B$404,A514))</f>
        <v>0</v>
      </c>
      <c r="AH514" s="23">
        <f>IF(A514="","",COUNTIF(Repurposing!$B$5:$B$154,A514))</f>
        <v>0</v>
      </c>
      <c r="AI514" s="32">
        <f>IF(OR(H514="",B514=""),"",B514+ROW()/100000)</f>
        <v>0</v>
      </c>
      <c r="AJ514" s="32">
        <f>IF(OR(H514="",B514=""),"",IF(OR(X514="Published",X514="Cancelled",X514="Archived"),"",IF(B514&lt;TODAY(),"",B514+ROW()/100000)))</f>
        <v>0</v>
      </c>
      <c r="AK514" s="32">
        <f>IF(OR(H514="",B514=""),"",IF(OR(X514="Published",X514="Cancelled",X514="Archived"),"",IF(B514&gt;=TODAY(),"",B514+ROW()/100000)))</f>
        <v>0</v>
      </c>
      <c r="AL514" s="29">
        <f>IF(H514="","",IF(COUNTIFS('Content Calendar'!$H$5:$H$604,H514,'Content Calendar'!$G$5:$G$604,G514,'Content Calendar'!$B$5:$B$604,B514)&gt;1,"Duplicate","OK"))</f>
        <v>0</v>
      </c>
      <c r="AM514" s="29">
        <f>IF(H514="","",IF(AND(B514&lt;&gt;"",B514&lt;TODAY(),X514&lt;&gt;"Published",X514&lt;&gt;"Cancelled",X514&lt;&gt;"Archived"),"Overdue - date has passed",IF(AND(X514="Published",AB514=""),"Add - publish link missing",IF(AND(B514=TODAY(),X514&lt;&gt;"Published"),"Today - due to go live",IF(AND(Y514&lt;&gt;"",Y514&lt;TODAY(),OR(X514="Idea",X514="Brief",X514="In production")),"Late - draft not ready",IF(AND(AA514&gt;=0,AA514&lt;=3,OR(X514="Draft",X514="Awaiting review")),"Due - needs approval",IF(AND(H514&lt;&gt;"",P514=""),"Add - caption missing","OK")))))))</f>
        <v>0</v>
      </c>
    </row>
    <row r="515" spans="1:39">
      <c r="A515" s="41">
        <f>IF(H515="","",ContentPrefix&amp;TEXT(ROW()-4,"0000"))</f>
        <v>0</v>
      </c>
      <c r="D515" s="17">
        <f>IF(B515="","",TEXT(B515,"yyyy-mm"))</f>
        <v>0</v>
      </c>
      <c r="E515" s="23">
        <f>IF(B515="","",WEEKNUM(B515,IF(WeekStart="Sunday",1,2)))</f>
        <v>0</v>
      </c>
      <c r="F515" s="17">
        <f>IF(B515="","",TEXT(B515,"ddd"))</f>
        <v>0</v>
      </c>
      <c r="Q515" s="29">
        <f>IF(H515="","",IF(P515="","Add - no caption",IFERROR(INDEX('Caption Bank'!$R$5:$R$204,MATCH(P515,'Caption Bank'!$B$5:$B$204,0)),"Check - not in bank")))</f>
        <v>0</v>
      </c>
      <c r="S515" s="23">
        <f>IF(R515="","",COUNTIF('Hashtag Bank'!$D$5:$D$304,R515))</f>
        <v>0</v>
      </c>
      <c r="U515" s="29">
        <f>IF(H515="","",IF(T515="","Add - no asset",IFERROR(INDEX(Assets!$N$5:$N$254,MATCH(T515,Assets!$A$5:$A$254,0)),"Check - not in library")))</f>
        <v>0</v>
      </c>
      <c r="Y515" s="16">
        <f>IF(B515="","",B515-ProductionDays)</f>
        <v>0</v>
      </c>
      <c r="Z515" s="16">
        <f>IF(B515="","",B515-ApprovalDays)</f>
        <v>0</v>
      </c>
      <c r="AA515" s="23">
        <f>IF(B515="","",B515-TODAY())</f>
        <v>0</v>
      </c>
      <c r="AC515" s="29">
        <f>IF(H515="","",IF(X515="Published",IF(AB515="","Add - link missing","Yes"),"No"))</f>
        <v>0</v>
      </c>
      <c r="AD515" s="23">
        <f>IF(A515="","",IF(COUNTIF(Performance!$B$5:$B$404,A515)=0,"",SUMIFS(Performance!$O$5:$O$404,Performance!$B$5:$B$404,A515)))</f>
        <v>0</v>
      </c>
      <c r="AE515" s="23">
        <f>IF(AD515="","",SUMIFS(Performance!$Z$5:$Z$404,Performance!$B$5:$B$404,A515))</f>
        <v>0</v>
      </c>
      <c r="AF515" s="24">
        <f>IF(OR(AD515="",AD515=0),"",AE515/AD515)</f>
        <v>0</v>
      </c>
      <c r="AG515" s="23">
        <f>IF(AD515="","",SUMIFS(Performance!$U$5:$U$404,Performance!$B$5:$B$404,A515))</f>
        <v>0</v>
      </c>
      <c r="AH515" s="23">
        <f>IF(A515="","",COUNTIF(Repurposing!$B$5:$B$154,A515))</f>
        <v>0</v>
      </c>
      <c r="AI515" s="32">
        <f>IF(OR(H515="",B515=""),"",B515+ROW()/100000)</f>
        <v>0</v>
      </c>
      <c r="AJ515" s="32">
        <f>IF(OR(H515="",B515=""),"",IF(OR(X515="Published",X515="Cancelled",X515="Archived"),"",IF(B515&lt;TODAY(),"",B515+ROW()/100000)))</f>
        <v>0</v>
      </c>
      <c r="AK515" s="32">
        <f>IF(OR(H515="",B515=""),"",IF(OR(X515="Published",X515="Cancelled",X515="Archived"),"",IF(B515&gt;=TODAY(),"",B515+ROW()/100000)))</f>
        <v>0</v>
      </c>
      <c r="AL515" s="29">
        <f>IF(H515="","",IF(COUNTIFS('Content Calendar'!$H$5:$H$604,H515,'Content Calendar'!$G$5:$G$604,G515,'Content Calendar'!$B$5:$B$604,B515)&gt;1,"Duplicate","OK"))</f>
        <v>0</v>
      </c>
      <c r="AM515" s="29">
        <f>IF(H515="","",IF(AND(B515&lt;&gt;"",B515&lt;TODAY(),X515&lt;&gt;"Published",X515&lt;&gt;"Cancelled",X515&lt;&gt;"Archived"),"Overdue - date has passed",IF(AND(X515="Published",AB515=""),"Add - publish link missing",IF(AND(B515=TODAY(),X515&lt;&gt;"Published"),"Today - due to go live",IF(AND(Y515&lt;&gt;"",Y515&lt;TODAY(),OR(X515="Idea",X515="Brief",X515="In production")),"Late - draft not ready",IF(AND(AA515&gt;=0,AA515&lt;=3,OR(X515="Draft",X515="Awaiting review")),"Due - needs approval",IF(AND(H515&lt;&gt;"",P515=""),"Add - caption missing","OK")))))))</f>
        <v>0</v>
      </c>
    </row>
    <row r="516" spans="1:39">
      <c r="A516" s="41">
        <f>IF(H516="","",ContentPrefix&amp;TEXT(ROW()-4,"0000"))</f>
        <v>0</v>
      </c>
      <c r="D516" s="17">
        <f>IF(B516="","",TEXT(B516,"yyyy-mm"))</f>
        <v>0</v>
      </c>
      <c r="E516" s="23">
        <f>IF(B516="","",WEEKNUM(B516,IF(WeekStart="Sunday",1,2)))</f>
        <v>0</v>
      </c>
      <c r="F516" s="17">
        <f>IF(B516="","",TEXT(B516,"ddd"))</f>
        <v>0</v>
      </c>
      <c r="Q516" s="29">
        <f>IF(H516="","",IF(P516="","Add - no caption",IFERROR(INDEX('Caption Bank'!$R$5:$R$204,MATCH(P516,'Caption Bank'!$B$5:$B$204,0)),"Check - not in bank")))</f>
        <v>0</v>
      </c>
      <c r="S516" s="23">
        <f>IF(R516="","",COUNTIF('Hashtag Bank'!$D$5:$D$304,R516))</f>
        <v>0</v>
      </c>
      <c r="U516" s="29">
        <f>IF(H516="","",IF(T516="","Add - no asset",IFERROR(INDEX(Assets!$N$5:$N$254,MATCH(T516,Assets!$A$5:$A$254,0)),"Check - not in library")))</f>
        <v>0</v>
      </c>
      <c r="Y516" s="16">
        <f>IF(B516="","",B516-ProductionDays)</f>
        <v>0</v>
      </c>
      <c r="Z516" s="16">
        <f>IF(B516="","",B516-ApprovalDays)</f>
        <v>0</v>
      </c>
      <c r="AA516" s="23">
        <f>IF(B516="","",B516-TODAY())</f>
        <v>0</v>
      </c>
      <c r="AC516" s="29">
        <f>IF(H516="","",IF(X516="Published",IF(AB516="","Add - link missing","Yes"),"No"))</f>
        <v>0</v>
      </c>
      <c r="AD516" s="23">
        <f>IF(A516="","",IF(COUNTIF(Performance!$B$5:$B$404,A516)=0,"",SUMIFS(Performance!$O$5:$O$404,Performance!$B$5:$B$404,A516)))</f>
        <v>0</v>
      </c>
      <c r="AE516" s="23">
        <f>IF(AD516="","",SUMIFS(Performance!$Z$5:$Z$404,Performance!$B$5:$B$404,A516))</f>
        <v>0</v>
      </c>
      <c r="AF516" s="24">
        <f>IF(OR(AD516="",AD516=0),"",AE516/AD516)</f>
        <v>0</v>
      </c>
      <c r="AG516" s="23">
        <f>IF(AD516="","",SUMIFS(Performance!$U$5:$U$404,Performance!$B$5:$B$404,A516))</f>
        <v>0</v>
      </c>
      <c r="AH516" s="23">
        <f>IF(A516="","",COUNTIF(Repurposing!$B$5:$B$154,A516))</f>
        <v>0</v>
      </c>
      <c r="AI516" s="32">
        <f>IF(OR(H516="",B516=""),"",B516+ROW()/100000)</f>
        <v>0</v>
      </c>
      <c r="AJ516" s="32">
        <f>IF(OR(H516="",B516=""),"",IF(OR(X516="Published",X516="Cancelled",X516="Archived"),"",IF(B516&lt;TODAY(),"",B516+ROW()/100000)))</f>
        <v>0</v>
      </c>
      <c r="AK516" s="32">
        <f>IF(OR(H516="",B516=""),"",IF(OR(X516="Published",X516="Cancelled",X516="Archived"),"",IF(B516&gt;=TODAY(),"",B516+ROW()/100000)))</f>
        <v>0</v>
      </c>
      <c r="AL516" s="29">
        <f>IF(H516="","",IF(COUNTIFS('Content Calendar'!$H$5:$H$604,H516,'Content Calendar'!$G$5:$G$604,G516,'Content Calendar'!$B$5:$B$604,B516)&gt;1,"Duplicate","OK"))</f>
        <v>0</v>
      </c>
      <c r="AM516" s="29">
        <f>IF(H516="","",IF(AND(B516&lt;&gt;"",B516&lt;TODAY(),X516&lt;&gt;"Published",X516&lt;&gt;"Cancelled",X516&lt;&gt;"Archived"),"Overdue - date has passed",IF(AND(X516="Published",AB516=""),"Add - publish link missing",IF(AND(B516=TODAY(),X516&lt;&gt;"Published"),"Today - due to go live",IF(AND(Y516&lt;&gt;"",Y516&lt;TODAY(),OR(X516="Idea",X516="Brief",X516="In production")),"Late - draft not ready",IF(AND(AA516&gt;=0,AA516&lt;=3,OR(X516="Draft",X516="Awaiting review")),"Due - needs approval",IF(AND(H516&lt;&gt;"",P516=""),"Add - caption missing","OK")))))))</f>
        <v>0</v>
      </c>
    </row>
    <row r="517" spans="1:39">
      <c r="A517" s="41">
        <f>IF(H517="","",ContentPrefix&amp;TEXT(ROW()-4,"0000"))</f>
        <v>0</v>
      </c>
      <c r="D517" s="17">
        <f>IF(B517="","",TEXT(B517,"yyyy-mm"))</f>
        <v>0</v>
      </c>
      <c r="E517" s="23">
        <f>IF(B517="","",WEEKNUM(B517,IF(WeekStart="Sunday",1,2)))</f>
        <v>0</v>
      </c>
      <c r="F517" s="17">
        <f>IF(B517="","",TEXT(B517,"ddd"))</f>
        <v>0</v>
      </c>
      <c r="Q517" s="29">
        <f>IF(H517="","",IF(P517="","Add - no caption",IFERROR(INDEX('Caption Bank'!$R$5:$R$204,MATCH(P517,'Caption Bank'!$B$5:$B$204,0)),"Check - not in bank")))</f>
        <v>0</v>
      </c>
      <c r="S517" s="23">
        <f>IF(R517="","",COUNTIF('Hashtag Bank'!$D$5:$D$304,R517))</f>
        <v>0</v>
      </c>
      <c r="U517" s="29">
        <f>IF(H517="","",IF(T517="","Add - no asset",IFERROR(INDEX(Assets!$N$5:$N$254,MATCH(T517,Assets!$A$5:$A$254,0)),"Check - not in library")))</f>
        <v>0</v>
      </c>
      <c r="Y517" s="16">
        <f>IF(B517="","",B517-ProductionDays)</f>
        <v>0</v>
      </c>
      <c r="Z517" s="16">
        <f>IF(B517="","",B517-ApprovalDays)</f>
        <v>0</v>
      </c>
      <c r="AA517" s="23">
        <f>IF(B517="","",B517-TODAY())</f>
        <v>0</v>
      </c>
      <c r="AC517" s="29">
        <f>IF(H517="","",IF(X517="Published",IF(AB517="","Add - link missing","Yes"),"No"))</f>
        <v>0</v>
      </c>
      <c r="AD517" s="23">
        <f>IF(A517="","",IF(COUNTIF(Performance!$B$5:$B$404,A517)=0,"",SUMIFS(Performance!$O$5:$O$404,Performance!$B$5:$B$404,A517)))</f>
        <v>0</v>
      </c>
      <c r="AE517" s="23">
        <f>IF(AD517="","",SUMIFS(Performance!$Z$5:$Z$404,Performance!$B$5:$B$404,A517))</f>
        <v>0</v>
      </c>
      <c r="AF517" s="24">
        <f>IF(OR(AD517="",AD517=0),"",AE517/AD517)</f>
        <v>0</v>
      </c>
      <c r="AG517" s="23">
        <f>IF(AD517="","",SUMIFS(Performance!$U$5:$U$404,Performance!$B$5:$B$404,A517))</f>
        <v>0</v>
      </c>
      <c r="AH517" s="23">
        <f>IF(A517="","",COUNTIF(Repurposing!$B$5:$B$154,A517))</f>
        <v>0</v>
      </c>
      <c r="AI517" s="32">
        <f>IF(OR(H517="",B517=""),"",B517+ROW()/100000)</f>
        <v>0</v>
      </c>
      <c r="AJ517" s="32">
        <f>IF(OR(H517="",B517=""),"",IF(OR(X517="Published",X517="Cancelled",X517="Archived"),"",IF(B517&lt;TODAY(),"",B517+ROW()/100000)))</f>
        <v>0</v>
      </c>
      <c r="AK517" s="32">
        <f>IF(OR(H517="",B517=""),"",IF(OR(X517="Published",X517="Cancelled",X517="Archived"),"",IF(B517&gt;=TODAY(),"",B517+ROW()/100000)))</f>
        <v>0</v>
      </c>
      <c r="AL517" s="29">
        <f>IF(H517="","",IF(COUNTIFS('Content Calendar'!$H$5:$H$604,H517,'Content Calendar'!$G$5:$G$604,G517,'Content Calendar'!$B$5:$B$604,B517)&gt;1,"Duplicate","OK"))</f>
        <v>0</v>
      </c>
      <c r="AM517" s="29">
        <f>IF(H517="","",IF(AND(B517&lt;&gt;"",B517&lt;TODAY(),X517&lt;&gt;"Published",X517&lt;&gt;"Cancelled",X517&lt;&gt;"Archived"),"Overdue - date has passed",IF(AND(X517="Published",AB517=""),"Add - publish link missing",IF(AND(B517=TODAY(),X517&lt;&gt;"Published"),"Today - due to go live",IF(AND(Y517&lt;&gt;"",Y517&lt;TODAY(),OR(X517="Idea",X517="Brief",X517="In production")),"Late - draft not ready",IF(AND(AA517&gt;=0,AA517&lt;=3,OR(X517="Draft",X517="Awaiting review")),"Due - needs approval",IF(AND(H517&lt;&gt;"",P517=""),"Add - caption missing","OK")))))))</f>
        <v>0</v>
      </c>
    </row>
    <row r="518" spans="1:39">
      <c r="A518" s="41">
        <f>IF(H518="","",ContentPrefix&amp;TEXT(ROW()-4,"0000"))</f>
        <v>0</v>
      </c>
      <c r="D518" s="17">
        <f>IF(B518="","",TEXT(B518,"yyyy-mm"))</f>
        <v>0</v>
      </c>
      <c r="E518" s="23">
        <f>IF(B518="","",WEEKNUM(B518,IF(WeekStart="Sunday",1,2)))</f>
        <v>0</v>
      </c>
      <c r="F518" s="17">
        <f>IF(B518="","",TEXT(B518,"ddd"))</f>
        <v>0</v>
      </c>
      <c r="Q518" s="29">
        <f>IF(H518="","",IF(P518="","Add - no caption",IFERROR(INDEX('Caption Bank'!$R$5:$R$204,MATCH(P518,'Caption Bank'!$B$5:$B$204,0)),"Check - not in bank")))</f>
        <v>0</v>
      </c>
      <c r="S518" s="23">
        <f>IF(R518="","",COUNTIF('Hashtag Bank'!$D$5:$D$304,R518))</f>
        <v>0</v>
      </c>
      <c r="U518" s="29">
        <f>IF(H518="","",IF(T518="","Add - no asset",IFERROR(INDEX(Assets!$N$5:$N$254,MATCH(T518,Assets!$A$5:$A$254,0)),"Check - not in library")))</f>
        <v>0</v>
      </c>
      <c r="Y518" s="16">
        <f>IF(B518="","",B518-ProductionDays)</f>
        <v>0</v>
      </c>
      <c r="Z518" s="16">
        <f>IF(B518="","",B518-ApprovalDays)</f>
        <v>0</v>
      </c>
      <c r="AA518" s="23">
        <f>IF(B518="","",B518-TODAY())</f>
        <v>0</v>
      </c>
      <c r="AC518" s="29">
        <f>IF(H518="","",IF(X518="Published",IF(AB518="","Add - link missing","Yes"),"No"))</f>
        <v>0</v>
      </c>
      <c r="AD518" s="23">
        <f>IF(A518="","",IF(COUNTIF(Performance!$B$5:$B$404,A518)=0,"",SUMIFS(Performance!$O$5:$O$404,Performance!$B$5:$B$404,A518)))</f>
        <v>0</v>
      </c>
      <c r="AE518" s="23">
        <f>IF(AD518="","",SUMIFS(Performance!$Z$5:$Z$404,Performance!$B$5:$B$404,A518))</f>
        <v>0</v>
      </c>
      <c r="AF518" s="24">
        <f>IF(OR(AD518="",AD518=0),"",AE518/AD518)</f>
        <v>0</v>
      </c>
      <c r="AG518" s="23">
        <f>IF(AD518="","",SUMIFS(Performance!$U$5:$U$404,Performance!$B$5:$B$404,A518))</f>
        <v>0</v>
      </c>
      <c r="AH518" s="23">
        <f>IF(A518="","",COUNTIF(Repurposing!$B$5:$B$154,A518))</f>
        <v>0</v>
      </c>
      <c r="AI518" s="32">
        <f>IF(OR(H518="",B518=""),"",B518+ROW()/100000)</f>
        <v>0</v>
      </c>
      <c r="AJ518" s="32">
        <f>IF(OR(H518="",B518=""),"",IF(OR(X518="Published",X518="Cancelled",X518="Archived"),"",IF(B518&lt;TODAY(),"",B518+ROW()/100000)))</f>
        <v>0</v>
      </c>
      <c r="AK518" s="32">
        <f>IF(OR(H518="",B518=""),"",IF(OR(X518="Published",X518="Cancelled",X518="Archived"),"",IF(B518&gt;=TODAY(),"",B518+ROW()/100000)))</f>
        <v>0</v>
      </c>
      <c r="AL518" s="29">
        <f>IF(H518="","",IF(COUNTIFS('Content Calendar'!$H$5:$H$604,H518,'Content Calendar'!$G$5:$G$604,G518,'Content Calendar'!$B$5:$B$604,B518)&gt;1,"Duplicate","OK"))</f>
        <v>0</v>
      </c>
      <c r="AM518" s="29">
        <f>IF(H518="","",IF(AND(B518&lt;&gt;"",B518&lt;TODAY(),X518&lt;&gt;"Published",X518&lt;&gt;"Cancelled",X518&lt;&gt;"Archived"),"Overdue - date has passed",IF(AND(X518="Published",AB518=""),"Add - publish link missing",IF(AND(B518=TODAY(),X518&lt;&gt;"Published"),"Today - due to go live",IF(AND(Y518&lt;&gt;"",Y518&lt;TODAY(),OR(X518="Idea",X518="Brief",X518="In production")),"Late - draft not ready",IF(AND(AA518&gt;=0,AA518&lt;=3,OR(X518="Draft",X518="Awaiting review")),"Due - needs approval",IF(AND(H518&lt;&gt;"",P518=""),"Add - caption missing","OK")))))))</f>
        <v>0</v>
      </c>
    </row>
    <row r="519" spans="1:39">
      <c r="A519" s="41">
        <f>IF(H519="","",ContentPrefix&amp;TEXT(ROW()-4,"0000"))</f>
        <v>0</v>
      </c>
      <c r="D519" s="17">
        <f>IF(B519="","",TEXT(B519,"yyyy-mm"))</f>
        <v>0</v>
      </c>
      <c r="E519" s="23">
        <f>IF(B519="","",WEEKNUM(B519,IF(WeekStart="Sunday",1,2)))</f>
        <v>0</v>
      </c>
      <c r="F519" s="17">
        <f>IF(B519="","",TEXT(B519,"ddd"))</f>
        <v>0</v>
      </c>
      <c r="Q519" s="29">
        <f>IF(H519="","",IF(P519="","Add - no caption",IFERROR(INDEX('Caption Bank'!$R$5:$R$204,MATCH(P519,'Caption Bank'!$B$5:$B$204,0)),"Check - not in bank")))</f>
        <v>0</v>
      </c>
      <c r="S519" s="23">
        <f>IF(R519="","",COUNTIF('Hashtag Bank'!$D$5:$D$304,R519))</f>
        <v>0</v>
      </c>
      <c r="U519" s="29">
        <f>IF(H519="","",IF(T519="","Add - no asset",IFERROR(INDEX(Assets!$N$5:$N$254,MATCH(T519,Assets!$A$5:$A$254,0)),"Check - not in library")))</f>
        <v>0</v>
      </c>
      <c r="Y519" s="16">
        <f>IF(B519="","",B519-ProductionDays)</f>
        <v>0</v>
      </c>
      <c r="Z519" s="16">
        <f>IF(B519="","",B519-ApprovalDays)</f>
        <v>0</v>
      </c>
      <c r="AA519" s="23">
        <f>IF(B519="","",B519-TODAY())</f>
        <v>0</v>
      </c>
      <c r="AC519" s="29">
        <f>IF(H519="","",IF(X519="Published",IF(AB519="","Add - link missing","Yes"),"No"))</f>
        <v>0</v>
      </c>
      <c r="AD519" s="23">
        <f>IF(A519="","",IF(COUNTIF(Performance!$B$5:$B$404,A519)=0,"",SUMIFS(Performance!$O$5:$O$404,Performance!$B$5:$B$404,A519)))</f>
        <v>0</v>
      </c>
      <c r="AE519" s="23">
        <f>IF(AD519="","",SUMIFS(Performance!$Z$5:$Z$404,Performance!$B$5:$B$404,A519))</f>
        <v>0</v>
      </c>
      <c r="AF519" s="24">
        <f>IF(OR(AD519="",AD519=0),"",AE519/AD519)</f>
        <v>0</v>
      </c>
      <c r="AG519" s="23">
        <f>IF(AD519="","",SUMIFS(Performance!$U$5:$U$404,Performance!$B$5:$B$404,A519))</f>
        <v>0</v>
      </c>
      <c r="AH519" s="23">
        <f>IF(A519="","",COUNTIF(Repurposing!$B$5:$B$154,A519))</f>
        <v>0</v>
      </c>
      <c r="AI519" s="32">
        <f>IF(OR(H519="",B519=""),"",B519+ROW()/100000)</f>
        <v>0</v>
      </c>
      <c r="AJ519" s="32">
        <f>IF(OR(H519="",B519=""),"",IF(OR(X519="Published",X519="Cancelled",X519="Archived"),"",IF(B519&lt;TODAY(),"",B519+ROW()/100000)))</f>
        <v>0</v>
      </c>
      <c r="AK519" s="32">
        <f>IF(OR(H519="",B519=""),"",IF(OR(X519="Published",X519="Cancelled",X519="Archived"),"",IF(B519&gt;=TODAY(),"",B519+ROW()/100000)))</f>
        <v>0</v>
      </c>
      <c r="AL519" s="29">
        <f>IF(H519="","",IF(COUNTIFS('Content Calendar'!$H$5:$H$604,H519,'Content Calendar'!$G$5:$G$604,G519,'Content Calendar'!$B$5:$B$604,B519)&gt;1,"Duplicate","OK"))</f>
        <v>0</v>
      </c>
      <c r="AM519" s="29">
        <f>IF(H519="","",IF(AND(B519&lt;&gt;"",B519&lt;TODAY(),X519&lt;&gt;"Published",X519&lt;&gt;"Cancelled",X519&lt;&gt;"Archived"),"Overdue - date has passed",IF(AND(X519="Published",AB519=""),"Add - publish link missing",IF(AND(B519=TODAY(),X519&lt;&gt;"Published"),"Today - due to go live",IF(AND(Y519&lt;&gt;"",Y519&lt;TODAY(),OR(X519="Idea",X519="Brief",X519="In production")),"Late - draft not ready",IF(AND(AA519&gt;=0,AA519&lt;=3,OR(X519="Draft",X519="Awaiting review")),"Due - needs approval",IF(AND(H519&lt;&gt;"",P519=""),"Add - caption missing","OK")))))))</f>
        <v>0</v>
      </c>
    </row>
    <row r="520" spans="1:39">
      <c r="A520" s="41">
        <f>IF(H520="","",ContentPrefix&amp;TEXT(ROW()-4,"0000"))</f>
        <v>0</v>
      </c>
      <c r="D520" s="17">
        <f>IF(B520="","",TEXT(B520,"yyyy-mm"))</f>
        <v>0</v>
      </c>
      <c r="E520" s="23">
        <f>IF(B520="","",WEEKNUM(B520,IF(WeekStart="Sunday",1,2)))</f>
        <v>0</v>
      </c>
      <c r="F520" s="17">
        <f>IF(B520="","",TEXT(B520,"ddd"))</f>
        <v>0</v>
      </c>
      <c r="Q520" s="29">
        <f>IF(H520="","",IF(P520="","Add - no caption",IFERROR(INDEX('Caption Bank'!$R$5:$R$204,MATCH(P520,'Caption Bank'!$B$5:$B$204,0)),"Check - not in bank")))</f>
        <v>0</v>
      </c>
      <c r="S520" s="23">
        <f>IF(R520="","",COUNTIF('Hashtag Bank'!$D$5:$D$304,R520))</f>
        <v>0</v>
      </c>
      <c r="U520" s="29">
        <f>IF(H520="","",IF(T520="","Add - no asset",IFERROR(INDEX(Assets!$N$5:$N$254,MATCH(T520,Assets!$A$5:$A$254,0)),"Check - not in library")))</f>
        <v>0</v>
      </c>
      <c r="Y520" s="16">
        <f>IF(B520="","",B520-ProductionDays)</f>
        <v>0</v>
      </c>
      <c r="Z520" s="16">
        <f>IF(B520="","",B520-ApprovalDays)</f>
        <v>0</v>
      </c>
      <c r="AA520" s="23">
        <f>IF(B520="","",B520-TODAY())</f>
        <v>0</v>
      </c>
      <c r="AC520" s="29">
        <f>IF(H520="","",IF(X520="Published",IF(AB520="","Add - link missing","Yes"),"No"))</f>
        <v>0</v>
      </c>
      <c r="AD520" s="23">
        <f>IF(A520="","",IF(COUNTIF(Performance!$B$5:$B$404,A520)=0,"",SUMIFS(Performance!$O$5:$O$404,Performance!$B$5:$B$404,A520)))</f>
        <v>0</v>
      </c>
      <c r="AE520" s="23">
        <f>IF(AD520="","",SUMIFS(Performance!$Z$5:$Z$404,Performance!$B$5:$B$404,A520))</f>
        <v>0</v>
      </c>
      <c r="AF520" s="24">
        <f>IF(OR(AD520="",AD520=0),"",AE520/AD520)</f>
        <v>0</v>
      </c>
      <c r="AG520" s="23">
        <f>IF(AD520="","",SUMIFS(Performance!$U$5:$U$404,Performance!$B$5:$B$404,A520))</f>
        <v>0</v>
      </c>
      <c r="AH520" s="23">
        <f>IF(A520="","",COUNTIF(Repurposing!$B$5:$B$154,A520))</f>
        <v>0</v>
      </c>
      <c r="AI520" s="32">
        <f>IF(OR(H520="",B520=""),"",B520+ROW()/100000)</f>
        <v>0</v>
      </c>
      <c r="AJ520" s="32">
        <f>IF(OR(H520="",B520=""),"",IF(OR(X520="Published",X520="Cancelled",X520="Archived"),"",IF(B520&lt;TODAY(),"",B520+ROW()/100000)))</f>
        <v>0</v>
      </c>
      <c r="AK520" s="32">
        <f>IF(OR(H520="",B520=""),"",IF(OR(X520="Published",X520="Cancelled",X520="Archived"),"",IF(B520&gt;=TODAY(),"",B520+ROW()/100000)))</f>
        <v>0</v>
      </c>
      <c r="AL520" s="29">
        <f>IF(H520="","",IF(COUNTIFS('Content Calendar'!$H$5:$H$604,H520,'Content Calendar'!$G$5:$G$604,G520,'Content Calendar'!$B$5:$B$604,B520)&gt;1,"Duplicate","OK"))</f>
        <v>0</v>
      </c>
      <c r="AM520" s="29">
        <f>IF(H520="","",IF(AND(B520&lt;&gt;"",B520&lt;TODAY(),X520&lt;&gt;"Published",X520&lt;&gt;"Cancelled",X520&lt;&gt;"Archived"),"Overdue - date has passed",IF(AND(X520="Published",AB520=""),"Add - publish link missing",IF(AND(B520=TODAY(),X520&lt;&gt;"Published"),"Today - due to go live",IF(AND(Y520&lt;&gt;"",Y520&lt;TODAY(),OR(X520="Idea",X520="Brief",X520="In production")),"Late - draft not ready",IF(AND(AA520&gt;=0,AA520&lt;=3,OR(X520="Draft",X520="Awaiting review")),"Due - needs approval",IF(AND(H520&lt;&gt;"",P520=""),"Add - caption missing","OK")))))))</f>
        <v>0</v>
      </c>
    </row>
    <row r="521" spans="1:39">
      <c r="A521" s="41">
        <f>IF(H521="","",ContentPrefix&amp;TEXT(ROW()-4,"0000"))</f>
        <v>0</v>
      </c>
      <c r="D521" s="17">
        <f>IF(B521="","",TEXT(B521,"yyyy-mm"))</f>
        <v>0</v>
      </c>
      <c r="E521" s="23">
        <f>IF(B521="","",WEEKNUM(B521,IF(WeekStart="Sunday",1,2)))</f>
        <v>0</v>
      </c>
      <c r="F521" s="17">
        <f>IF(B521="","",TEXT(B521,"ddd"))</f>
        <v>0</v>
      </c>
      <c r="Q521" s="29">
        <f>IF(H521="","",IF(P521="","Add - no caption",IFERROR(INDEX('Caption Bank'!$R$5:$R$204,MATCH(P521,'Caption Bank'!$B$5:$B$204,0)),"Check - not in bank")))</f>
        <v>0</v>
      </c>
      <c r="S521" s="23">
        <f>IF(R521="","",COUNTIF('Hashtag Bank'!$D$5:$D$304,R521))</f>
        <v>0</v>
      </c>
      <c r="U521" s="29">
        <f>IF(H521="","",IF(T521="","Add - no asset",IFERROR(INDEX(Assets!$N$5:$N$254,MATCH(T521,Assets!$A$5:$A$254,0)),"Check - not in library")))</f>
        <v>0</v>
      </c>
      <c r="Y521" s="16">
        <f>IF(B521="","",B521-ProductionDays)</f>
        <v>0</v>
      </c>
      <c r="Z521" s="16">
        <f>IF(B521="","",B521-ApprovalDays)</f>
        <v>0</v>
      </c>
      <c r="AA521" s="23">
        <f>IF(B521="","",B521-TODAY())</f>
        <v>0</v>
      </c>
      <c r="AC521" s="29">
        <f>IF(H521="","",IF(X521="Published",IF(AB521="","Add - link missing","Yes"),"No"))</f>
        <v>0</v>
      </c>
      <c r="AD521" s="23">
        <f>IF(A521="","",IF(COUNTIF(Performance!$B$5:$B$404,A521)=0,"",SUMIFS(Performance!$O$5:$O$404,Performance!$B$5:$B$404,A521)))</f>
        <v>0</v>
      </c>
      <c r="AE521" s="23">
        <f>IF(AD521="","",SUMIFS(Performance!$Z$5:$Z$404,Performance!$B$5:$B$404,A521))</f>
        <v>0</v>
      </c>
      <c r="AF521" s="24">
        <f>IF(OR(AD521="",AD521=0),"",AE521/AD521)</f>
        <v>0</v>
      </c>
      <c r="AG521" s="23">
        <f>IF(AD521="","",SUMIFS(Performance!$U$5:$U$404,Performance!$B$5:$B$404,A521))</f>
        <v>0</v>
      </c>
      <c r="AH521" s="23">
        <f>IF(A521="","",COUNTIF(Repurposing!$B$5:$B$154,A521))</f>
        <v>0</v>
      </c>
      <c r="AI521" s="32">
        <f>IF(OR(H521="",B521=""),"",B521+ROW()/100000)</f>
        <v>0</v>
      </c>
      <c r="AJ521" s="32">
        <f>IF(OR(H521="",B521=""),"",IF(OR(X521="Published",X521="Cancelled",X521="Archived"),"",IF(B521&lt;TODAY(),"",B521+ROW()/100000)))</f>
        <v>0</v>
      </c>
      <c r="AK521" s="32">
        <f>IF(OR(H521="",B521=""),"",IF(OR(X521="Published",X521="Cancelled",X521="Archived"),"",IF(B521&gt;=TODAY(),"",B521+ROW()/100000)))</f>
        <v>0</v>
      </c>
      <c r="AL521" s="29">
        <f>IF(H521="","",IF(COUNTIFS('Content Calendar'!$H$5:$H$604,H521,'Content Calendar'!$G$5:$G$604,G521,'Content Calendar'!$B$5:$B$604,B521)&gt;1,"Duplicate","OK"))</f>
        <v>0</v>
      </c>
      <c r="AM521" s="29">
        <f>IF(H521="","",IF(AND(B521&lt;&gt;"",B521&lt;TODAY(),X521&lt;&gt;"Published",X521&lt;&gt;"Cancelled",X521&lt;&gt;"Archived"),"Overdue - date has passed",IF(AND(X521="Published",AB521=""),"Add - publish link missing",IF(AND(B521=TODAY(),X521&lt;&gt;"Published"),"Today - due to go live",IF(AND(Y521&lt;&gt;"",Y521&lt;TODAY(),OR(X521="Idea",X521="Brief",X521="In production")),"Late - draft not ready",IF(AND(AA521&gt;=0,AA521&lt;=3,OR(X521="Draft",X521="Awaiting review")),"Due - needs approval",IF(AND(H521&lt;&gt;"",P521=""),"Add - caption missing","OK")))))))</f>
        <v>0</v>
      </c>
    </row>
    <row r="522" spans="1:39">
      <c r="A522" s="41">
        <f>IF(H522="","",ContentPrefix&amp;TEXT(ROW()-4,"0000"))</f>
        <v>0</v>
      </c>
      <c r="D522" s="17">
        <f>IF(B522="","",TEXT(B522,"yyyy-mm"))</f>
        <v>0</v>
      </c>
      <c r="E522" s="23">
        <f>IF(B522="","",WEEKNUM(B522,IF(WeekStart="Sunday",1,2)))</f>
        <v>0</v>
      </c>
      <c r="F522" s="17">
        <f>IF(B522="","",TEXT(B522,"ddd"))</f>
        <v>0</v>
      </c>
      <c r="Q522" s="29">
        <f>IF(H522="","",IF(P522="","Add - no caption",IFERROR(INDEX('Caption Bank'!$R$5:$R$204,MATCH(P522,'Caption Bank'!$B$5:$B$204,0)),"Check - not in bank")))</f>
        <v>0</v>
      </c>
      <c r="S522" s="23">
        <f>IF(R522="","",COUNTIF('Hashtag Bank'!$D$5:$D$304,R522))</f>
        <v>0</v>
      </c>
      <c r="U522" s="29">
        <f>IF(H522="","",IF(T522="","Add - no asset",IFERROR(INDEX(Assets!$N$5:$N$254,MATCH(T522,Assets!$A$5:$A$254,0)),"Check - not in library")))</f>
        <v>0</v>
      </c>
      <c r="Y522" s="16">
        <f>IF(B522="","",B522-ProductionDays)</f>
        <v>0</v>
      </c>
      <c r="Z522" s="16">
        <f>IF(B522="","",B522-ApprovalDays)</f>
        <v>0</v>
      </c>
      <c r="AA522" s="23">
        <f>IF(B522="","",B522-TODAY())</f>
        <v>0</v>
      </c>
      <c r="AC522" s="29">
        <f>IF(H522="","",IF(X522="Published",IF(AB522="","Add - link missing","Yes"),"No"))</f>
        <v>0</v>
      </c>
      <c r="AD522" s="23">
        <f>IF(A522="","",IF(COUNTIF(Performance!$B$5:$B$404,A522)=0,"",SUMIFS(Performance!$O$5:$O$404,Performance!$B$5:$B$404,A522)))</f>
        <v>0</v>
      </c>
      <c r="AE522" s="23">
        <f>IF(AD522="","",SUMIFS(Performance!$Z$5:$Z$404,Performance!$B$5:$B$404,A522))</f>
        <v>0</v>
      </c>
      <c r="AF522" s="24">
        <f>IF(OR(AD522="",AD522=0),"",AE522/AD522)</f>
        <v>0</v>
      </c>
      <c r="AG522" s="23">
        <f>IF(AD522="","",SUMIFS(Performance!$U$5:$U$404,Performance!$B$5:$B$404,A522))</f>
        <v>0</v>
      </c>
      <c r="AH522" s="23">
        <f>IF(A522="","",COUNTIF(Repurposing!$B$5:$B$154,A522))</f>
        <v>0</v>
      </c>
      <c r="AI522" s="32">
        <f>IF(OR(H522="",B522=""),"",B522+ROW()/100000)</f>
        <v>0</v>
      </c>
      <c r="AJ522" s="32">
        <f>IF(OR(H522="",B522=""),"",IF(OR(X522="Published",X522="Cancelled",X522="Archived"),"",IF(B522&lt;TODAY(),"",B522+ROW()/100000)))</f>
        <v>0</v>
      </c>
      <c r="AK522" s="32">
        <f>IF(OR(H522="",B522=""),"",IF(OR(X522="Published",X522="Cancelled",X522="Archived"),"",IF(B522&gt;=TODAY(),"",B522+ROW()/100000)))</f>
        <v>0</v>
      </c>
      <c r="AL522" s="29">
        <f>IF(H522="","",IF(COUNTIFS('Content Calendar'!$H$5:$H$604,H522,'Content Calendar'!$G$5:$G$604,G522,'Content Calendar'!$B$5:$B$604,B522)&gt;1,"Duplicate","OK"))</f>
        <v>0</v>
      </c>
      <c r="AM522" s="29">
        <f>IF(H522="","",IF(AND(B522&lt;&gt;"",B522&lt;TODAY(),X522&lt;&gt;"Published",X522&lt;&gt;"Cancelled",X522&lt;&gt;"Archived"),"Overdue - date has passed",IF(AND(X522="Published",AB522=""),"Add - publish link missing",IF(AND(B522=TODAY(),X522&lt;&gt;"Published"),"Today - due to go live",IF(AND(Y522&lt;&gt;"",Y522&lt;TODAY(),OR(X522="Idea",X522="Brief",X522="In production")),"Late - draft not ready",IF(AND(AA522&gt;=0,AA522&lt;=3,OR(X522="Draft",X522="Awaiting review")),"Due - needs approval",IF(AND(H522&lt;&gt;"",P522=""),"Add - caption missing","OK")))))))</f>
        <v>0</v>
      </c>
    </row>
    <row r="523" spans="1:39">
      <c r="A523" s="41">
        <f>IF(H523="","",ContentPrefix&amp;TEXT(ROW()-4,"0000"))</f>
        <v>0</v>
      </c>
      <c r="D523" s="17">
        <f>IF(B523="","",TEXT(B523,"yyyy-mm"))</f>
        <v>0</v>
      </c>
      <c r="E523" s="23">
        <f>IF(B523="","",WEEKNUM(B523,IF(WeekStart="Sunday",1,2)))</f>
        <v>0</v>
      </c>
      <c r="F523" s="17">
        <f>IF(B523="","",TEXT(B523,"ddd"))</f>
        <v>0</v>
      </c>
      <c r="Q523" s="29">
        <f>IF(H523="","",IF(P523="","Add - no caption",IFERROR(INDEX('Caption Bank'!$R$5:$R$204,MATCH(P523,'Caption Bank'!$B$5:$B$204,0)),"Check - not in bank")))</f>
        <v>0</v>
      </c>
      <c r="S523" s="23">
        <f>IF(R523="","",COUNTIF('Hashtag Bank'!$D$5:$D$304,R523))</f>
        <v>0</v>
      </c>
      <c r="U523" s="29">
        <f>IF(H523="","",IF(T523="","Add - no asset",IFERROR(INDEX(Assets!$N$5:$N$254,MATCH(T523,Assets!$A$5:$A$254,0)),"Check - not in library")))</f>
        <v>0</v>
      </c>
      <c r="Y523" s="16">
        <f>IF(B523="","",B523-ProductionDays)</f>
        <v>0</v>
      </c>
      <c r="Z523" s="16">
        <f>IF(B523="","",B523-ApprovalDays)</f>
        <v>0</v>
      </c>
      <c r="AA523" s="23">
        <f>IF(B523="","",B523-TODAY())</f>
        <v>0</v>
      </c>
      <c r="AC523" s="29">
        <f>IF(H523="","",IF(X523="Published",IF(AB523="","Add - link missing","Yes"),"No"))</f>
        <v>0</v>
      </c>
      <c r="AD523" s="23">
        <f>IF(A523="","",IF(COUNTIF(Performance!$B$5:$B$404,A523)=0,"",SUMIFS(Performance!$O$5:$O$404,Performance!$B$5:$B$404,A523)))</f>
        <v>0</v>
      </c>
      <c r="AE523" s="23">
        <f>IF(AD523="","",SUMIFS(Performance!$Z$5:$Z$404,Performance!$B$5:$B$404,A523))</f>
        <v>0</v>
      </c>
      <c r="AF523" s="24">
        <f>IF(OR(AD523="",AD523=0),"",AE523/AD523)</f>
        <v>0</v>
      </c>
      <c r="AG523" s="23">
        <f>IF(AD523="","",SUMIFS(Performance!$U$5:$U$404,Performance!$B$5:$B$404,A523))</f>
        <v>0</v>
      </c>
      <c r="AH523" s="23">
        <f>IF(A523="","",COUNTIF(Repurposing!$B$5:$B$154,A523))</f>
        <v>0</v>
      </c>
      <c r="AI523" s="32">
        <f>IF(OR(H523="",B523=""),"",B523+ROW()/100000)</f>
        <v>0</v>
      </c>
      <c r="AJ523" s="32">
        <f>IF(OR(H523="",B523=""),"",IF(OR(X523="Published",X523="Cancelled",X523="Archived"),"",IF(B523&lt;TODAY(),"",B523+ROW()/100000)))</f>
        <v>0</v>
      </c>
      <c r="AK523" s="32">
        <f>IF(OR(H523="",B523=""),"",IF(OR(X523="Published",X523="Cancelled",X523="Archived"),"",IF(B523&gt;=TODAY(),"",B523+ROW()/100000)))</f>
        <v>0</v>
      </c>
      <c r="AL523" s="29">
        <f>IF(H523="","",IF(COUNTIFS('Content Calendar'!$H$5:$H$604,H523,'Content Calendar'!$G$5:$G$604,G523,'Content Calendar'!$B$5:$B$604,B523)&gt;1,"Duplicate","OK"))</f>
        <v>0</v>
      </c>
      <c r="AM523" s="29">
        <f>IF(H523="","",IF(AND(B523&lt;&gt;"",B523&lt;TODAY(),X523&lt;&gt;"Published",X523&lt;&gt;"Cancelled",X523&lt;&gt;"Archived"),"Overdue - date has passed",IF(AND(X523="Published",AB523=""),"Add - publish link missing",IF(AND(B523=TODAY(),X523&lt;&gt;"Published"),"Today - due to go live",IF(AND(Y523&lt;&gt;"",Y523&lt;TODAY(),OR(X523="Idea",X523="Brief",X523="In production")),"Late - draft not ready",IF(AND(AA523&gt;=0,AA523&lt;=3,OR(X523="Draft",X523="Awaiting review")),"Due - needs approval",IF(AND(H523&lt;&gt;"",P523=""),"Add - caption missing","OK")))))))</f>
        <v>0</v>
      </c>
    </row>
    <row r="524" spans="1:39">
      <c r="A524" s="41">
        <f>IF(H524="","",ContentPrefix&amp;TEXT(ROW()-4,"0000"))</f>
        <v>0</v>
      </c>
      <c r="D524" s="17">
        <f>IF(B524="","",TEXT(B524,"yyyy-mm"))</f>
        <v>0</v>
      </c>
      <c r="E524" s="23">
        <f>IF(B524="","",WEEKNUM(B524,IF(WeekStart="Sunday",1,2)))</f>
        <v>0</v>
      </c>
      <c r="F524" s="17">
        <f>IF(B524="","",TEXT(B524,"ddd"))</f>
        <v>0</v>
      </c>
      <c r="Q524" s="29">
        <f>IF(H524="","",IF(P524="","Add - no caption",IFERROR(INDEX('Caption Bank'!$R$5:$R$204,MATCH(P524,'Caption Bank'!$B$5:$B$204,0)),"Check - not in bank")))</f>
        <v>0</v>
      </c>
      <c r="S524" s="23">
        <f>IF(R524="","",COUNTIF('Hashtag Bank'!$D$5:$D$304,R524))</f>
        <v>0</v>
      </c>
      <c r="U524" s="29">
        <f>IF(H524="","",IF(T524="","Add - no asset",IFERROR(INDEX(Assets!$N$5:$N$254,MATCH(T524,Assets!$A$5:$A$254,0)),"Check - not in library")))</f>
        <v>0</v>
      </c>
      <c r="Y524" s="16">
        <f>IF(B524="","",B524-ProductionDays)</f>
        <v>0</v>
      </c>
      <c r="Z524" s="16">
        <f>IF(B524="","",B524-ApprovalDays)</f>
        <v>0</v>
      </c>
      <c r="AA524" s="23">
        <f>IF(B524="","",B524-TODAY())</f>
        <v>0</v>
      </c>
      <c r="AC524" s="29">
        <f>IF(H524="","",IF(X524="Published",IF(AB524="","Add - link missing","Yes"),"No"))</f>
        <v>0</v>
      </c>
      <c r="AD524" s="23">
        <f>IF(A524="","",IF(COUNTIF(Performance!$B$5:$B$404,A524)=0,"",SUMIFS(Performance!$O$5:$O$404,Performance!$B$5:$B$404,A524)))</f>
        <v>0</v>
      </c>
      <c r="AE524" s="23">
        <f>IF(AD524="","",SUMIFS(Performance!$Z$5:$Z$404,Performance!$B$5:$B$404,A524))</f>
        <v>0</v>
      </c>
      <c r="AF524" s="24">
        <f>IF(OR(AD524="",AD524=0),"",AE524/AD524)</f>
        <v>0</v>
      </c>
      <c r="AG524" s="23">
        <f>IF(AD524="","",SUMIFS(Performance!$U$5:$U$404,Performance!$B$5:$B$404,A524))</f>
        <v>0</v>
      </c>
      <c r="AH524" s="23">
        <f>IF(A524="","",COUNTIF(Repurposing!$B$5:$B$154,A524))</f>
        <v>0</v>
      </c>
      <c r="AI524" s="32">
        <f>IF(OR(H524="",B524=""),"",B524+ROW()/100000)</f>
        <v>0</v>
      </c>
      <c r="AJ524" s="32">
        <f>IF(OR(H524="",B524=""),"",IF(OR(X524="Published",X524="Cancelled",X524="Archived"),"",IF(B524&lt;TODAY(),"",B524+ROW()/100000)))</f>
        <v>0</v>
      </c>
      <c r="AK524" s="32">
        <f>IF(OR(H524="",B524=""),"",IF(OR(X524="Published",X524="Cancelled",X524="Archived"),"",IF(B524&gt;=TODAY(),"",B524+ROW()/100000)))</f>
        <v>0</v>
      </c>
      <c r="AL524" s="29">
        <f>IF(H524="","",IF(COUNTIFS('Content Calendar'!$H$5:$H$604,H524,'Content Calendar'!$G$5:$G$604,G524,'Content Calendar'!$B$5:$B$604,B524)&gt;1,"Duplicate","OK"))</f>
        <v>0</v>
      </c>
      <c r="AM524" s="29">
        <f>IF(H524="","",IF(AND(B524&lt;&gt;"",B524&lt;TODAY(),X524&lt;&gt;"Published",X524&lt;&gt;"Cancelled",X524&lt;&gt;"Archived"),"Overdue - date has passed",IF(AND(X524="Published",AB524=""),"Add - publish link missing",IF(AND(B524=TODAY(),X524&lt;&gt;"Published"),"Today - due to go live",IF(AND(Y524&lt;&gt;"",Y524&lt;TODAY(),OR(X524="Idea",X524="Brief",X524="In production")),"Late - draft not ready",IF(AND(AA524&gt;=0,AA524&lt;=3,OR(X524="Draft",X524="Awaiting review")),"Due - needs approval",IF(AND(H524&lt;&gt;"",P524=""),"Add - caption missing","OK")))))))</f>
        <v>0</v>
      </c>
    </row>
    <row r="525" spans="1:39">
      <c r="A525" s="41">
        <f>IF(H525="","",ContentPrefix&amp;TEXT(ROW()-4,"0000"))</f>
        <v>0</v>
      </c>
      <c r="D525" s="17">
        <f>IF(B525="","",TEXT(B525,"yyyy-mm"))</f>
        <v>0</v>
      </c>
      <c r="E525" s="23">
        <f>IF(B525="","",WEEKNUM(B525,IF(WeekStart="Sunday",1,2)))</f>
        <v>0</v>
      </c>
      <c r="F525" s="17">
        <f>IF(B525="","",TEXT(B525,"ddd"))</f>
        <v>0</v>
      </c>
      <c r="Q525" s="29">
        <f>IF(H525="","",IF(P525="","Add - no caption",IFERROR(INDEX('Caption Bank'!$R$5:$R$204,MATCH(P525,'Caption Bank'!$B$5:$B$204,0)),"Check - not in bank")))</f>
        <v>0</v>
      </c>
      <c r="S525" s="23">
        <f>IF(R525="","",COUNTIF('Hashtag Bank'!$D$5:$D$304,R525))</f>
        <v>0</v>
      </c>
      <c r="U525" s="29">
        <f>IF(H525="","",IF(T525="","Add - no asset",IFERROR(INDEX(Assets!$N$5:$N$254,MATCH(T525,Assets!$A$5:$A$254,0)),"Check - not in library")))</f>
        <v>0</v>
      </c>
      <c r="Y525" s="16">
        <f>IF(B525="","",B525-ProductionDays)</f>
        <v>0</v>
      </c>
      <c r="Z525" s="16">
        <f>IF(B525="","",B525-ApprovalDays)</f>
        <v>0</v>
      </c>
      <c r="AA525" s="23">
        <f>IF(B525="","",B525-TODAY())</f>
        <v>0</v>
      </c>
      <c r="AC525" s="29">
        <f>IF(H525="","",IF(X525="Published",IF(AB525="","Add - link missing","Yes"),"No"))</f>
        <v>0</v>
      </c>
      <c r="AD525" s="23">
        <f>IF(A525="","",IF(COUNTIF(Performance!$B$5:$B$404,A525)=0,"",SUMIFS(Performance!$O$5:$O$404,Performance!$B$5:$B$404,A525)))</f>
        <v>0</v>
      </c>
      <c r="AE525" s="23">
        <f>IF(AD525="","",SUMIFS(Performance!$Z$5:$Z$404,Performance!$B$5:$B$404,A525))</f>
        <v>0</v>
      </c>
      <c r="AF525" s="24">
        <f>IF(OR(AD525="",AD525=0),"",AE525/AD525)</f>
        <v>0</v>
      </c>
      <c r="AG525" s="23">
        <f>IF(AD525="","",SUMIFS(Performance!$U$5:$U$404,Performance!$B$5:$B$404,A525))</f>
        <v>0</v>
      </c>
      <c r="AH525" s="23">
        <f>IF(A525="","",COUNTIF(Repurposing!$B$5:$B$154,A525))</f>
        <v>0</v>
      </c>
      <c r="AI525" s="32">
        <f>IF(OR(H525="",B525=""),"",B525+ROW()/100000)</f>
        <v>0</v>
      </c>
      <c r="AJ525" s="32">
        <f>IF(OR(H525="",B525=""),"",IF(OR(X525="Published",X525="Cancelled",X525="Archived"),"",IF(B525&lt;TODAY(),"",B525+ROW()/100000)))</f>
        <v>0</v>
      </c>
      <c r="AK525" s="32">
        <f>IF(OR(H525="",B525=""),"",IF(OR(X525="Published",X525="Cancelled",X525="Archived"),"",IF(B525&gt;=TODAY(),"",B525+ROW()/100000)))</f>
        <v>0</v>
      </c>
      <c r="AL525" s="29">
        <f>IF(H525="","",IF(COUNTIFS('Content Calendar'!$H$5:$H$604,H525,'Content Calendar'!$G$5:$G$604,G525,'Content Calendar'!$B$5:$B$604,B525)&gt;1,"Duplicate","OK"))</f>
        <v>0</v>
      </c>
      <c r="AM525" s="29">
        <f>IF(H525="","",IF(AND(B525&lt;&gt;"",B525&lt;TODAY(),X525&lt;&gt;"Published",X525&lt;&gt;"Cancelled",X525&lt;&gt;"Archived"),"Overdue - date has passed",IF(AND(X525="Published",AB525=""),"Add - publish link missing",IF(AND(B525=TODAY(),X525&lt;&gt;"Published"),"Today - due to go live",IF(AND(Y525&lt;&gt;"",Y525&lt;TODAY(),OR(X525="Idea",X525="Brief",X525="In production")),"Late - draft not ready",IF(AND(AA525&gt;=0,AA525&lt;=3,OR(X525="Draft",X525="Awaiting review")),"Due - needs approval",IF(AND(H525&lt;&gt;"",P525=""),"Add - caption missing","OK")))))))</f>
        <v>0</v>
      </c>
    </row>
    <row r="526" spans="1:39">
      <c r="A526" s="41">
        <f>IF(H526="","",ContentPrefix&amp;TEXT(ROW()-4,"0000"))</f>
        <v>0</v>
      </c>
      <c r="D526" s="17">
        <f>IF(B526="","",TEXT(B526,"yyyy-mm"))</f>
        <v>0</v>
      </c>
      <c r="E526" s="23">
        <f>IF(B526="","",WEEKNUM(B526,IF(WeekStart="Sunday",1,2)))</f>
        <v>0</v>
      </c>
      <c r="F526" s="17">
        <f>IF(B526="","",TEXT(B526,"ddd"))</f>
        <v>0</v>
      </c>
      <c r="Q526" s="29">
        <f>IF(H526="","",IF(P526="","Add - no caption",IFERROR(INDEX('Caption Bank'!$R$5:$R$204,MATCH(P526,'Caption Bank'!$B$5:$B$204,0)),"Check - not in bank")))</f>
        <v>0</v>
      </c>
      <c r="S526" s="23">
        <f>IF(R526="","",COUNTIF('Hashtag Bank'!$D$5:$D$304,R526))</f>
        <v>0</v>
      </c>
      <c r="U526" s="29">
        <f>IF(H526="","",IF(T526="","Add - no asset",IFERROR(INDEX(Assets!$N$5:$N$254,MATCH(T526,Assets!$A$5:$A$254,0)),"Check - not in library")))</f>
        <v>0</v>
      </c>
      <c r="Y526" s="16">
        <f>IF(B526="","",B526-ProductionDays)</f>
        <v>0</v>
      </c>
      <c r="Z526" s="16">
        <f>IF(B526="","",B526-ApprovalDays)</f>
        <v>0</v>
      </c>
      <c r="AA526" s="23">
        <f>IF(B526="","",B526-TODAY())</f>
        <v>0</v>
      </c>
      <c r="AC526" s="29">
        <f>IF(H526="","",IF(X526="Published",IF(AB526="","Add - link missing","Yes"),"No"))</f>
        <v>0</v>
      </c>
      <c r="AD526" s="23">
        <f>IF(A526="","",IF(COUNTIF(Performance!$B$5:$B$404,A526)=0,"",SUMIFS(Performance!$O$5:$O$404,Performance!$B$5:$B$404,A526)))</f>
        <v>0</v>
      </c>
      <c r="AE526" s="23">
        <f>IF(AD526="","",SUMIFS(Performance!$Z$5:$Z$404,Performance!$B$5:$B$404,A526))</f>
        <v>0</v>
      </c>
      <c r="AF526" s="24">
        <f>IF(OR(AD526="",AD526=0),"",AE526/AD526)</f>
        <v>0</v>
      </c>
      <c r="AG526" s="23">
        <f>IF(AD526="","",SUMIFS(Performance!$U$5:$U$404,Performance!$B$5:$B$404,A526))</f>
        <v>0</v>
      </c>
      <c r="AH526" s="23">
        <f>IF(A526="","",COUNTIF(Repurposing!$B$5:$B$154,A526))</f>
        <v>0</v>
      </c>
      <c r="AI526" s="32">
        <f>IF(OR(H526="",B526=""),"",B526+ROW()/100000)</f>
        <v>0</v>
      </c>
      <c r="AJ526" s="32">
        <f>IF(OR(H526="",B526=""),"",IF(OR(X526="Published",X526="Cancelled",X526="Archived"),"",IF(B526&lt;TODAY(),"",B526+ROW()/100000)))</f>
        <v>0</v>
      </c>
      <c r="AK526" s="32">
        <f>IF(OR(H526="",B526=""),"",IF(OR(X526="Published",X526="Cancelled",X526="Archived"),"",IF(B526&gt;=TODAY(),"",B526+ROW()/100000)))</f>
        <v>0</v>
      </c>
      <c r="AL526" s="29">
        <f>IF(H526="","",IF(COUNTIFS('Content Calendar'!$H$5:$H$604,H526,'Content Calendar'!$G$5:$G$604,G526,'Content Calendar'!$B$5:$B$604,B526)&gt;1,"Duplicate","OK"))</f>
        <v>0</v>
      </c>
      <c r="AM526" s="29">
        <f>IF(H526="","",IF(AND(B526&lt;&gt;"",B526&lt;TODAY(),X526&lt;&gt;"Published",X526&lt;&gt;"Cancelled",X526&lt;&gt;"Archived"),"Overdue - date has passed",IF(AND(X526="Published",AB526=""),"Add - publish link missing",IF(AND(B526=TODAY(),X526&lt;&gt;"Published"),"Today - due to go live",IF(AND(Y526&lt;&gt;"",Y526&lt;TODAY(),OR(X526="Idea",X526="Brief",X526="In production")),"Late - draft not ready",IF(AND(AA526&gt;=0,AA526&lt;=3,OR(X526="Draft",X526="Awaiting review")),"Due - needs approval",IF(AND(H526&lt;&gt;"",P526=""),"Add - caption missing","OK")))))))</f>
        <v>0</v>
      </c>
    </row>
    <row r="527" spans="1:39">
      <c r="A527" s="41">
        <f>IF(H527="","",ContentPrefix&amp;TEXT(ROW()-4,"0000"))</f>
        <v>0</v>
      </c>
      <c r="D527" s="17">
        <f>IF(B527="","",TEXT(B527,"yyyy-mm"))</f>
        <v>0</v>
      </c>
      <c r="E527" s="23">
        <f>IF(B527="","",WEEKNUM(B527,IF(WeekStart="Sunday",1,2)))</f>
        <v>0</v>
      </c>
      <c r="F527" s="17">
        <f>IF(B527="","",TEXT(B527,"ddd"))</f>
        <v>0</v>
      </c>
      <c r="Q527" s="29">
        <f>IF(H527="","",IF(P527="","Add - no caption",IFERROR(INDEX('Caption Bank'!$R$5:$R$204,MATCH(P527,'Caption Bank'!$B$5:$B$204,0)),"Check - not in bank")))</f>
        <v>0</v>
      </c>
      <c r="S527" s="23">
        <f>IF(R527="","",COUNTIF('Hashtag Bank'!$D$5:$D$304,R527))</f>
        <v>0</v>
      </c>
      <c r="U527" s="29">
        <f>IF(H527="","",IF(T527="","Add - no asset",IFERROR(INDEX(Assets!$N$5:$N$254,MATCH(T527,Assets!$A$5:$A$254,0)),"Check - not in library")))</f>
        <v>0</v>
      </c>
      <c r="Y527" s="16">
        <f>IF(B527="","",B527-ProductionDays)</f>
        <v>0</v>
      </c>
      <c r="Z527" s="16">
        <f>IF(B527="","",B527-ApprovalDays)</f>
        <v>0</v>
      </c>
      <c r="AA527" s="23">
        <f>IF(B527="","",B527-TODAY())</f>
        <v>0</v>
      </c>
      <c r="AC527" s="29">
        <f>IF(H527="","",IF(X527="Published",IF(AB527="","Add - link missing","Yes"),"No"))</f>
        <v>0</v>
      </c>
      <c r="AD527" s="23">
        <f>IF(A527="","",IF(COUNTIF(Performance!$B$5:$B$404,A527)=0,"",SUMIFS(Performance!$O$5:$O$404,Performance!$B$5:$B$404,A527)))</f>
        <v>0</v>
      </c>
      <c r="AE527" s="23">
        <f>IF(AD527="","",SUMIFS(Performance!$Z$5:$Z$404,Performance!$B$5:$B$404,A527))</f>
        <v>0</v>
      </c>
      <c r="AF527" s="24">
        <f>IF(OR(AD527="",AD527=0),"",AE527/AD527)</f>
        <v>0</v>
      </c>
      <c r="AG527" s="23">
        <f>IF(AD527="","",SUMIFS(Performance!$U$5:$U$404,Performance!$B$5:$B$404,A527))</f>
        <v>0</v>
      </c>
      <c r="AH527" s="23">
        <f>IF(A527="","",COUNTIF(Repurposing!$B$5:$B$154,A527))</f>
        <v>0</v>
      </c>
      <c r="AI527" s="32">
        <f>IF(OR(H527="",B527=""),"",B527+ROW()/100000)</f>
        <v>0</v>
      </c>
      <c r="AJ527" s="32">
        <f>IF(OR(H527="",B527=""),"",IF(OR(X527="Published",X527="Cancelled",X527="Archived"),"",IF(B527&lt;TODAY(),"",B527+ROW()/100000)))</f>
        <v>0</v>
      </c>
      <c r="AK527" s="32">
        <f>IF(OR(H527="",B527=""),"",IF(OR(X527="Published",X527="Cancelled",X527="Archived"),"",IF(B527&gt;=TODAY(),"",B527+ROW()/100000)))</f>
        <v>0</v>
      </c>
      <c r="AL527" s="29">
        <f>IF(H527="","",IF(COUNTIFS('Content Calendar'!$H$5:$H$604,H527,'Content Calendar'!$G$5:$G$604,G527,'Content Calendar'!$B$5:$B$604,B527)&gt;1,"Duplicate","OK"))</f>
        <v>0</v>
      </c>
      <c r="AM527" s="29">
        <f>IF(H527="","",IF(AND(B527&lt;&gt;"",B527&lt;TODAY(),X527&lt;&gt;"Published",X527&lt;&gt;"Cancelled",X527&lt;&gt;"Archived"),"Overdue - date has passed",IF(AND(X527="Published",AB527=""),"Add - publish link missing",IF(AND(B527=TODAY(),X527&lt;&gt;"Published"),"Today - due to go live",IF(AND(Y527&lt;&gt;"",Y527&lt;TODAY(),OR(X527="Idea",X527="Brief",X527="In production")),"Late - draft not ready",IF(AND(AA527&gt;=0,AA527&lt;=3,OR(X527="Draft",X527="Awaiting review")),"Due - needs approval",IF(AND(H527&lt;&gt;"",P527=""),"Add - caption missing","OK")))))))</f>
        <v>0</v>
      </c>
    </row>
    <row r="528" spans="1:39">
      <c r="A528" s="41">
        <f>IF(H528="","",ContentPrefix&amp;TEXT(ROW()-4,"0000"))</f>
        <v>0</v>
      </c>
      <c r="D528" s="17">
        <f>IF(B528="","",TEXT(B528,"yyyy-mm"))</f>
        <v>0</v>
      </c>
      <c r="E528" s="23">
        <f>IF(B528="","",WEEKNUM(B528,IF(WeekStart="Sunday",1,2)))</f>
        <v>0</v>
      </c>
      <c r="F528" s="17">
        <f>IF(B528="","",TEXT(B528,"ddd"))</f>
        <v>0</v>
      </c>
      <c r="Q528" s="29">
        <f>IF(H528="","",IF(P528="","Add - no caption",IFERROR(INDEX('Caption Bank'!$R$5:$R$204,MATCH(P528,'Caption Bank'!$B$5:$B$204,0)),"Check - not in bank")))</f>
        <v>0</v>
      </c>
      <c r="S528" s="23">
        <f>IF(R528="","",COUNTIF('Hashtag Bank'!$D$5:$D$304,R528))</f>
        <v>0</v>
      </c>
      <c r="U528" s="29">
        <f>IF(H528="","",IF(T528="","Add - no asset",IFERROR(INDEX(Assets!$N$5:$N$254,MATCH(T528,Assets!$A$5:$A$254,0)),"Check - not in library")))</f>
        <v>0</v>
      </c>
      <c r="Y528" s="16">
        <f>IF(B528="","",B528-ProductionDays)</f>
        <v>0</v>
      </c>
      <c r="Z528" s="16">
        <f>IF(B528="","",B528-ApprovalDays)</f>
        <v>0</v>
      </c>
      <c r="AA528" s="23">
        <f>IF(B528="","",B528-TODAY())</f>
        <v>0</v>
      </c>
      <c r="AC528" s="29">
        <f>IF(H528="","",IF(X528="Published",IF(AB528="","Add - link missing","Yes"),"No"))</f>
        <v>0</v>
      </c>
      <c r="AD528" s="23">
        <f>IF(A528="","",IF(COUNTIF(Performance!$B$5:$B$404,A528)=0,"",SUMIFS(Performance!$O$5:$O$404,Performance!$B$5:$B$404,A528)))</f>
        <v>0</v>
      </c>
      <c r="AE528" s="23">
        <f>IF(AD528="","",SUMIFS(Performance!$Z$5:$Z$404,Performance!$B$5:$B$404,A528))</f>
        <v>0</v>
      </c>
      <c r="AF528" s="24">
        <f>IF(OR(AD528="",AD528=0),"",AE528/AD528)</f>
        <v>0</v>
      </c>
      <c r="AG528" s="23">
        <f>IF(AD528="","",SUMIFS(Performance!$U$5:$U$404,Performance!$B$5:$B$404,A528))</f>
        <v>0</v>
      </c>
      <c r="AH528" s="23">
        <f>IF(A528="","",COUNTIF(Repurposing!$B$5:$B$154,A528))</f>
        <v>0</v>
      </c>
      <c r="AI528" s="32">
        <f>IF(OR(H528="",B528=""),"",B528+ROW()/100000)</f>
        <v>0</v>
      </c>
      <c r="AJ528" s="32">
        <f>IF(OR(H528="",B528=""),"",IF(OR(X528="Published",X528="Cancelled",X528="Archived"),"",IF(B528&lt;TODAY(),"",B528+ROW()/100000)))</f>
        <v>0</v>
      </c>
      <c r="AK528" s="32">
        <f>IF(OR(H528="",B528=""),"",IF(OR(X528="Published",X528="Cancelled",X528="Archived"),"",IF(B528&gt;=TODAY(),"",B528+ROW()/100000)))</f>
        <v>0</v>
      </c>
      <c r="AL528" s="29">
        <f>IF(H528="","",IF(COUNTIFS('Content Calendar'!$H$5:$H$604,H528,'Content Calendar'!$G$5:$G$604,G528,'Content Calendar'!$B$5:$B$604,B528)&gt;1,"Duplicate","OK"))</f>
        <v>0</v>
      </c>
      <c r="AM528" s="29">
        <f>IF(H528="","",IF(AND(B528&lt;&gt;"",B528&lt;TODAY(),X528&lt;&gt;"Published",X528&lt;&gt;"Cancelled",X528&lt;&gt;"Archived"),"Overdue - date has passed",IF(AND(X528="Published",AB528=""),"Add - publish link missing",IF(AND(B528=TODAY(),X528&lt;&gt;"Published"),"Today - due to go live",IF(AND(Y528&lt;&gt;"",Y528&lt;TODAY(),OR(X528="Idea",X528="Brief",X528="In production")),"Late - draft not ready",IF(AND(AA528&gt;=0,AA528&lt;=3,OR(X528="Draft",X528="Awaiting review")),"Due - needs approval",IF(AND(H528&lt;&gt;"",P528=""),"Add - caption missing","OK")))))))</f>
        <v>0</v>
      </c>
    </row>
    <row r="529" spans="1:39">
      <c r="A529" s="41">
        <f>IF(H529="","",ContentPrefix&amp;TEXT(ROW()-4,"0000"))</f>
        <v>0</v>
      </c>
      <c r="D529" s="17">
        <f>IF(B529="","",TEXT(B529,"yyyy-mm"))</f>
        <v>0</v>
      </c>
      <c r="E529" s="23">
        <f>IF(B529="","",WEEKNUM(B529,IF(WeekStart="Sunday",1,2)))</f>
        <v>0</v>
      </c>
      <c r="F529" s="17">
        <f>IF(B529="","",TEXT(B529,"ddd"))</f>
        <v>0</v>
      </c>
      <c r="Q529" s="29">
        <f>IF(H529="","",IF(P529="","Add - no caption",IFERROR(INDEX('Caption Bank'!$R$5:$R$204,MATCH(P529,'Caption Bank'!$B$5:$B$204,0)),"Check - not in bank")))</f>
        <v>0</v>
      </c>
      <c r="S529" s="23">
        <f>IF(R529="","",COUNTIF('Hashtag Bank'!$D$5:$D$304,R529))</f>
        <v>0</v>
      </c>
      <c r="U529" s="29">
        <f>IF(H529="","",IF(T529="","Add - no asset",IFERROR(INDEX(Assets!$N$5:$N$254,MATCH(T529,Assets!$A$5:$A$254,0)),"Check - not in library")))</f>
        <v>0</v>
      </c>
      <c r="Y529" s="16">
        <f>IF(B529="","",B529-ProductionDays)</f>
        <v>0</v>
      </c>
      <c r="Z529" s="16">
        <f>IF(B529="","",B529-ApprovalDays)</f>
        <v>0</v>
      </c>
      <c r="AA529" s="23">
        <f>IF(B529="","",B529-TODAY())</f>
        <v>0</v>
      </c>
      <c r="AC529" s="29">
        <f>IF(H529="","",IF(X529="Published",IF(AB529="","Add - link missing","Yes"),"No"))</f>
        <v>0</v>
      </c>
      <c r="AD529" s="23">
        <f>IF(A529="","",IF(COUNTIF(Performance!$B$5:$B$404,A529)=0,"",SUMIFS(Performance!$O$5:$O$404,Performance!$B$5:$B$404,A529)))</f>
        <v>0</v>
      </c>
      <c r="AE529" s="23">
        <f>IF(AD529="","",SUMIFS(Performance!$Z$5:$Z$404,Performance!$B$5:$B$404,A529))</f>
        <v>0</v>
      </c>
      <c r="AF529" s="24">
        <f>IF(OR(AD529="",AD529=0),"",AE529/AD529)</f>
        <v>0</v>
      </c>
      <c r="AG529" s="23">
        <f>IF(AD529="","",SUMIFS(Performance!$U$5:$U$404,Performance!$B$5:$B$404,A529))</f>
        <v>0</v>
      </c>
      <c r="AH529" s="23">
        <f>IF(A529="","",COUNTIF(Repurposing!$B$5:$B$154,A529))</f>
        <v>0</v>
      </c>
      <c r="AI529" s="32">
        <f>IF(OR(H529="",B529=""),"",B529+ROW()/100000)</f>
        <v>0</v>
      </c>
      <c r="AJ529" s="32">
        <f>IF(OR(H529="",B529=""),"",IF(OR(X529="Published",X529="Cancelled",X529="Archived"),"",IF(B529&lt;TODAY(),"",B529+ROW()/100000)))</f>
        <v>0</v>
      </c>
      <c r="AK529" s="32">
        <f>IF(OR(H529="",B529=""),"",IF(OR(X529="Published",X529="Cancelled",X529="Archived"),"",IF(B529&gt;=TODAY(),"",B529+ROW()/100000)))</f>
        <v>0</v>
      </c>
      <c r="AL529" s="29">
        <f>IF(H529="","",IF(COUNTIFS('Content Calendar'!$H$5:$H$604,H529,'Content Calendar'!$G$5:$G$604,G529,'Content Calendar'!$B$5:$B$604,B529)&gt;1,"Duplicate","OK"))</f>
        <v>0</v>
      </c>
      <c r="AM529" s="29">
        <f>IF(H529="","",IF(AND(B529&lt;&gt;"",B529&lt;TODAY(),X529&lt;&gt;"Published",X529&lt;&gt;"Cancelled",X529&lt;&gt;"Archived"),"Overdue - date has passed",IF(AND(X529="Published",AB529=""),"Add - publish link missing",IF(AND(B529=TODAY(),X529&lt;&gt;"Published"),"Today - due to go live",IF(AND(Y529&lt;&gt;"",Y529&lt;TODAY(),OR(X529="Idea",X529="Brief",X529="In production")),"Late - draft not ready",IF(AND(AA529&gt;=0,AA529&lt;=3,OR(X529="Draft",X529="Awaiting review")),"Due - needs approval",IF(AND(H529&lt;&gt;"",P529=""),"Add - caption missing","OK")))))))</f>
        <v>0</v>
      </c>
    </row>
    <row r="530" spans="1:39">
      <c r="A530" s="41">
        <f>IF(H530="","",ContentPrefix&amp;TEXT(ROW()-4,"0000"))</f>
        <v>0</v>
      </c>
      <c r="D530" s="17">
        <f>IF(B530="","",TEXT(B530,"yyyy-mm"))</f>
        <v>0</v>
      </c>
      <c r="E530" s="23">
        <f>IF(B530="","",WEEKNUM(B530,IF(WeekStart="Sunday",1,2)))</f>
        <v>0</v>
      </c>
      <c r="F530" s="17">
        <f>IF(B530="","",TEXT(B530,"ddd"))</f>
        <v>0</v>
      </c>
      <c r="Q530" s="29">
        <f>IF(H530="","",IF(P530="","Add - no caption",IFERROR(INDEX('Caption Bank'!$R$5:$R$204,MATCH(P530,'Caption Bank'!$B$5:$B$204,0)),"Check - not in bank")))</f>
        <v>0</v>
      </c>
      <c r="S530" s="23">
        <f>IF(R530="","",COUNTIF('Hashtag Bank'!$D$5:$D$304,R530))</f>
        <v>0</v>
      </c>
      <c r="U530" s="29">
        <f>IF(H530="","",IF(T530="","Add - no asset",IFERROR(INDEX(Assets!$N$5:$N$254,MATCH(T530,Assets!$A$5:$A$254,0)),"Check - not in library")))</f>
        <v>0</v>
      </c>
      <c r="Y530" s="16">
        <f>IF(B530="","",B530-ProductionDays)</f>
        <v>0</v>
      </c>
      <c r="Z530" s="16">
        <f>IF(B530="","",B530-ApprovalDays)</f>
        <v>0</v>
      </c>
      <c r="AA530" s="23">
        <f>IF(B530="","",B530-TODAY())</f>
        <v>0</v>
      </c>
      <c r="AC530" s="29">
        <f>IF(H530="","",IF(X530="Published",IF(AB530="","Add - link missing","Yes"),"No"))</f>
        <v>0</v>
      </c>
      <c r="AD530" s="23">
        <f>IF(A530="","",IF(COUNTIF(Performance!$B$5:$B$404,A530)=0,"",SUMIFS(Performance!$O$5:$O$404,Performance!$B$5:$B$404,A530)))</f>
        <v>0</v>
      </c>
      <c r="AE530" s="23">
        <f>IF(AD530="","",SUMIFS(Performance!$Z$5:$Z$404,Performance!$B$5:$B$404,A530))</f>
        <v>0</v>
      </c>
      <c r="AF530" s="24">
        <f>IF(OR(AD530="",AD530=0),"",AE530/AD530)</f>
        <v>0</v>
      </c>
      <c r="AG530" s="23">
        <f>IF(AD530="","",SUMIFS(Performance!$U$5:$U$404,Performance!$B$5:$B$404,A530))</f>
        <v>0</v>
      </c>
      <c r="AH530" s="23">
        <f>IF(A530="","",COUNTIF(Repurposing!$B$5:$B$154,A530))</f>
        <v>0</v>
      </c>
      <c r="AI530" s="32">
        <f>IF(OR(H530="",B530=""),"",B530+ROW()/100000)</f>
        <v>0</v>
      </c>
      <c r="AJ530" s="32">
        <f>IF(OR(H530="",B530=""),"",IF(OR(X530="Published",X530="Cancelled",X530="Archived"),"",IF(B530&lt;TODAY(),"",B530+ROW()/100000)))</f>
        <v>0</v>
      </c>
      <c r="AK530" s="32">
        <f>IF(OR(H530="",B530=""),"",IF(OR(X530="Published",X530="Cancelled",X530="Archived"),"",IF(B530&gt;=TODAY(),"",B530+ROW()/100000)))</f>
        <v>0</v>
      </c>
      <c r="AL530" s="29">
        <f>IF(H530="","",IF(COUNTIFS('Content Calendar'!$H$5:$H$604,H530,'Content Calendar'!$G$5:$G$604,G530,'Content Calendar'!$B$5:$B$604,B530)&gt;1,"Duplicate","OK"))</f>
        <v>0</v>
      </c>
      <c r="AM530" s="29">
        <f>IF(H530="","",IF(AND(B530&lt;&gt;"",B530&lt;TODAY(),X530&lt;&gt;"Published",X530&lt;&gt;"Cancelled",X530&lt;&gt;"Archived"),"Overdue - date has passed",IF(AND(X530="Published",AB530=""),"Add - publish link missing",IF(AND(B530=TODAY(),X530&lt;&gt;"Published"),"Today - due to go live",IF(AND(Y530&lt;&gt;"",Y530&lt;TODAY(),OR(X530="Idea",X530="Brief",X530="In production")),"Late - draft not ready",IF(AND(AA530&gt;=0,AA530&lt;=3,OR(X530="Draft",X530="Awaiting review")),"Due - needs approval",IF(AND(H530&lt;&gt;"",P530=""),"Add - caption missing","OK")))))))</f>
        <v>0</v>
      </c>
    </row>
    <row r="531" spans="1:39">
      <c r="A531" s="41">
        <f>IF(H531="","",ContentPrefix&amp;TEXT(ROW()-4,"0000"))</f>
        <v>0</v>
      </c>
      <c r="D531" s="17">
        <f>IF(B531="","",TEXT(B531,"yyyy-mm"))</f>
        <v>0</v>
      </c>
      <c r="E531" s="23">
        <f>IF(B531="","",WEEKNUM(B531,IF(WeekStart="Sunday",1,2)))</f>
        <v>0</v>
      </c>
      <c r="F531" s="17">
        <f>IF(B531="","",TEXT(B531,"ddd"))</f>
        <v>0</v>
      </c>
      <c r="Q531" s="29">
        <f>IF(H531="","",IF(P531="","Add - no caption",IFERROR(INDEX('Caption Bank'!$R$5:$R$204,MATCH(P531,'Caption Bank'!$B$5:$B$204,0)),"Check - not in bank")))</f>
        <v>0</v>
      </c>
      <c r="S531" s="23">
        <f>IF(R531="","",COUNTIF('Hashtag Bank'!$D$5:$D$304,R531))</f>
        <v>0</v>
      </c>
      <c r="U531" s="29">
        <f>IF(H531="","",IF(T531="","Add - no asset",IFERROR(INDEX(Assets!$N$5:$N$254,MATCH(T531,Assets!$A$5:$A$254,0)),"Check - not in library")))</f>
        <v>0</v>
      </c>
      <c r="Y531" s="16">
        <f>IF(B531="","",B531-ProductionDays)</f>
        <v>0</v>
      </c>
      <c r="Z531" s="16">
        <f>IF(B531="","",B531-ApprovalDays)</f>
        <v>0</v>
      </c>
      <c r="AA531" s="23">
        <f>IF(B531="","",B531-TODAY())</f>
        <v>0</v>
      </c>
      <c r="AC531" s="29">
        <f>IF(H531="","",IF(X531="Published",IF(AB531="","Add - link missing","Yes"),"No"))</f>
        <v>0</v>
      </c>
      <c r="AD531" s="23">
        <f>IF(A531="","",IF(COUNTIF(Performance!$B$5:$B$404,A531)=0,"",SUMIFS(Performance!$O$5:$O$404,Performance!$B$5:$B$404,A531)))</f>
        <v>0</v>
      </c>
      <c r="AE531" s="23">
        <f>IF(AD531="","",SUMIFS(Performance!$Z$5:$Z$404,Performance!$B$5:$B$404,A531))</f>
        <v>0</v>
      </c>
      <c r="AF531" s="24">
        <f>IF(OR(AD531="",AD531=0),"",AE531/AD531)</f>
        <v>0</v>
      </c>
      <c r="AG531" s="23">
        <f>IF(AD531="","",SUMIFS(Performance!$U$5:$U$404,Performance!$B$5:$B$404,A531))</f>
        <v>0</v>
      </c>
      <c r="AH531" s="23">
        <f>IF(A531="","",COUNTIF(Repurposing!$B$5:$B$154,A531))</f>
        <v>0</v>
      </c>
      <c r="AI531" s="32">
        <f>IF(OR(H531="",B531=""),"",B531+ROW()/100000)</f>
        <v>0</v>
      </c>
      <c r="AJ531" s="32">
        <f>IF(OR(H531="",B531=""),"",IF(OR(X531="Published",X531="Cancelled",X531="Archived"),"",IF(B531&lt;TODAY(),"",B531+ROW()/100000)))</f>
        <v>0</v>
      </c>
      <c r="AK531" s="32">
        <f>IF(OR(H531="",B531=""),"",IF(OR(X531="Published",X531="Cancelled",X531="Archived"),"",IF(B531&gt;=TODAY(),"",B531+ROW()/100000)))</f>
        <v>0</v>
      </c>
      <c r="AL531" s="29">
        <f>IF(H531="","",IF(COUNTIFS('Content Calendar'!$H$5:$H$604,H531,'Content Calendar'!$G$5:$G$604,G531,'Content Calendar'!$B$5:$B$604,B531)&gt;1,"Duplicate","OK"))</f>
        <v>0</v>
      </c>
      <c r="AM531" s="29">
        <f>IF(H531="","",IF(AND(B531&lt;&gt;"",B531&lt;TODAY(),X531&lt;&gt;"Published",X531&lt;&gt;"Cancelled",X531&lt;&gt;"Archived"),"Overdue - date has passed",IF(AND(X531="Published",AB531=""),"Add - publish link missing",IF(AND(B531=TODAY(),X531&lt;&gt;"Published"),"Today - due to go live",IF(AND(Y531&lt;&gt;"",Y531&lt;TODAY(),OR(X531="Idea",X531="Brief",X531="In production")),"Late - draft not ready",IF(AND(AA531&gt;=0,AA531&lt;=3,OR(X531="Draft",X531="Awaiting review")),"Due - needs approval",IF(AND(H531&lt;&gt;"",P531=""),"Add - caption missing","OK")))))))</f>
        <v>0</v>
      </c>
    </row>
    <row r="532" spans="1:39">
      <c r="A532" s="41">
        <f>IF(H532="","",ContentPrefix&amp;TEXT(ROW()-4,"0000"))</f>
        <v>0</v>
      </c>
      <c r="D532" s="17">
        <f>IF(B532="","",TEXT(B532,"yyyy-mm"))</f>
        <v>0</v>
      </c>
      <c r="E532" s="23">
        <f>IF(B532="","",WEEKNUM(B532,IF(WeekStart="Sunday",1,2)))</f>
        <v>0</v>
      </c>
      <c r="F532" s="17">
        <f>IF(B532="","",TEXT(B532,"ddd"))</f>
        <v>0</v>
      </c>
      <c r="Q532" s="29">
        <f>IF(H532="","",IF(P532="","Add - no caption",IFERROR(INDEX('Caption Bank'!$R$5:$R$204,MATCH(P532,'Caption Bank'!$B$5:$B$204,0)),"Check - not in bank")))</f>
        <v>0</v>
      </c>
      <c r="S532" s="23">
        <f>IF(R532="","",COUNTIF('Hashtag Bank'!$D$5:$D$304,R532))</f>
        <v>0</v>
      </c>
      <c r="U532" s="29">
        <f>IF(H532="","",IF(T532="","Add - no asset",IFERROR(INDEX(Assets!$N$5:$N$254,MATCH(T532,Assets!$A$5:$A$254,0)),"Check - not in library")))</f>
        <v>0</v>
      </c>
      <c r="Y532" s="16">
        <f>IF(B532="","",B532-ProductionDays)</f>
        <v>0</v>
      </c>
      <c r="Z532" s="16">
        <f>IF(B532="","",B532-ApprovalDays)</f>
        <v>0</v>
      </c>
      <c r="AA532" s="23">
        <f>IF(B532="","",B532-TODAY())</f>
        <v>0</v>
      </c>
      <c r="AC532" s="29">
        <f>IF(H532="","",IF(X532="Published",IF(AB532="","Add - link missing","Yes"),"No"))</f>
        <v>0</v>
      </c>
      <c r="AD532" s="23">
        <f>IF(A532="","",IF(COUNTIF(Performance!$B$5:$B$404,A532)=0,"",SUMIFS(Performance!$O$5:$O$404,Performance!$B$5:$B$404,A532)))</f>
        <v>0</v>
      </c>
      <c r="AE532" s="23">
        <f>IF(AD532="","",SUMIFS(Performance!$Z$5:$Z$404,Performance!$B$5:$B$404,A532))</f>
        <v>0</v>
      </c>
      <c r="AF532" s="24">
        <f>IF(OR(AD532="",AD532=0),"",AE532/AD532)</f>
        <v>0</v>
      </c>
      <c r="AG532" s="23">
        <f>IF(AD532="","",SUMIFS(Performance!$U$5:$U$404,Performance!$B$5:$B$404,A532))</f>
        <v>0</v>
      </c>
      <c r="AH532" s="23">
        <f>IF(A532="","",COUNTIF(Repurposing!$B$5:$B$154,A532))</f>
        <v>0</v>
      </c>
      <c r="AI532" s="32">
        <f>IF(OR(H532="",B532=""),"",B532+ROW()/100000)</f>
        <v>0</v>
      </c>
      <c r="AJ532" s="32">
        <f>IF(OR(H532="",B532=""),"",IF(OR(X532="Published",X532="Cancelled",X532="Archived"),"",IF(B532&lt;TODAY(),"",B532+ROW()/100000)))</f>
        <v>0</v>
      </c>
      <c r="AK532" s="32">
        <f>IF(OR(H532="",B532=""),"",IF(OR(X532="Published",X532="Cancelled",X532="Archived"),"",IF(B532&gt;=TODAY(),"",B532+ROW()/100000)))</f>
        <v>0</v>
      </c>
      <c r="AL532" s="29">
        <f>IF(H532="","",IF(COUNTIFS('Content Calendar'!$H$5:$H$604,H532,'Content Calendar'!$G$5:$G$604,G532,'Content Calendar'!$B$5:$B$604,B532)&gt;1,"Duplicate","OK"))</f>
        <v>0</v>
      </c>
      <c r="AM532" s="29">
        <f>IF(H532="","",IF(AND(B532&lt;&gt;"",B532&lt;TODAY(),X532&lt;&gt;"Published",X532&lt;&gt;"Cancelled",X532&lt;&gt;"Archived"),"Overdue - date has passed",IF(AND(X532="Published",AB532=""),"Add - publish link missing",IF(AND(B532=TODAY(),X532&lt;&gt;"Published"),"Today - due to go live",IF(AND(Y532&lt;&gt;"",Y532&lt;TODAY(),OR(X532="Idea",X532="Brief",X532="In production")),"Late - draft not ready",IF(AND(AA532&gt;=0,AA532&lt;=3,OR(X532="Draft",X532="Awaiting review")),"Due - needs approval",IF(AND(H532&lt;&gt;"",P532=""),"Add - caption missing","OK")))))))</f>
        <v>0</v>
      </c>
    </row>
    <row r="533" spans="1:39">
      <c r="A533" s="41">
        <f>IF(H533="","",ContentPrefix&amp;TEXT(ROW()-4,"0000"))</f>
        <v>0</v>
      </c>
      <c r="D533" s="17">
        <f>IF(B533="","",TEXT(B533,"yyyy-mm"))</f>
        <v>0</v>
      </c>
      <c r="E533" s="23">
        <f>IF(B533="","",WEEKNUM(B533,IF(WeekStart="Sunday",1,2)))</f>
        <v>0</v>
      </c>
      <c r="F533" s="17">
        <f>IF(B533="","",TEXT(B533,"ddd"))</f>
        <v>0</v>
      </c>
      <c r="Q533" s="29">
        <f>IF(H533="","",IF(P533="","Add - no caption",IFERROR(INDEX('Caption Bank'!$R$5:$R$204,MATCH(P533,'Caption Bank'!$B$5:$B$204,0)),"Check - not in bank")))</f>
        <v>0</v>
      </c>
      <c r="S533" s="23">
        <f>IF(R533="","",COUNTIF('Hashtag Bank'!$D$5:$D$304,R533))</f>
        <v>0</v>
      </c>
      <c r="U533" s="29">
        <f>IF(H533="","",IF(T533="","Add - no asset",IFERROR(INDEX(Assets!$N$5:$N$254,MATCH(T533,Assets!$A$5:$A$254,0)),"Check - not in library")))</f>
        <v>0</v>
      </c>
      <c r="Y533" s="16">
        <f>IF(B533="","",B533-ProductionDays)</f>
        <v>0</v>
      </c>
      <c r="Z533" s="16">
        <f>IF(B533="","",B533-ApprovalDays)</f>
        <v>0</v>
      </c>
      <c r="AA533" s="23">
        <f>IF(B533="","",B533-TODAY())</f>
        <v>0</v>
      </c>
      <c r="AC533" s="29">
        <f>IF(H533="","",IF(X533="Published",IF(AB533="","Add - link missing","Yes"),"No"))</f>
        <v>0</v>
      </c>
      <c r="AD533" s="23">
        <f>IF(A533="","",IF(COUNTIF(Performance!$B$5:$B$404,A533)=0,"",SUMIFS(Performance!$O$5:$O$404,Performance!$B$5:$B$404,A533)))</f>
        <v>0</v>
      </c>
      <c r="AE533" s="23">
        <f>IF(AD533="","",SUMIFS(Performance!$Z$5:$Z$404,Performance!$B$5:$B$404,A533))</f>
        <v>0</v>
      </c>
      <c r="AF533" s="24">
        <f>IF(OR(AD533="",AD533=0),"",AE533/AD533)</f>
        <v>0</v>
      </c>
      <c r="AG533" s="23">
        <f>IF(AD533="","",SUMIFS(Performance!$U$5:$U$404,Performance!$B$5:$B$404,A533))</f>
        <v>0</v>
      </c>
      <c r="AH533" s="23">
        <f>IF(A533="","",COUNTIF(Repurposing!$B$5:$B$154,A533))</f>
        <v>0</v>
      </c>
      <c r="AI533" s="32">
        <f>IF(OR(H533="",B533=""),"",B533+ROW()/100000)</f>
        <v>0</v>
      </c>
      <c r="AJ533" s="32">
        <f>IF(OR(H533="",B533=""),"",IF(OR(X533="Published",X533="Cancelled",X533="Archived"),"",IF(B533&lt;TODAY(),"",B533+ROW()/100000)))</f>
        <v>0</v>
      </c>
      <c r="AK533" s="32">
        <f>IF(OR(H533="",B533=""),"",IF(OR(X533="Published",X533="Cancelled",X533="Archived"),"",IF(B533&gt;=TODAY(),"",B533+ROW()/100000)))</f>
        <v>0</v>
      </c>
      <c r="AL533" s="29">
        <f>IF(H533="","",IF(COUNTIFS('Content Calendar'!$H$5:$H$604,H533,'Content Calendar'!$G$5:$G$604,G533,'Content Calendar'!$B$5:$B$604,B533)&gt;1,"Duplicate","OK"))</f>
        <v>0</v>
      </c>
      <c r="AM533" s="29">
        <f>IF(H533="","",IF(AND(B533&lt;&gt;"",B533&lt;TODAY(),X533&lt;&gt;"Published",X533&lt;&gt;"Cancelled",X533&lt;&gt;"Archived"),"Overdue - date has passed",IF(AND(X533="Published",AB533=""),"Add - publish link missing",IF(AND(B533=TODAY(),X533&lt;&gt;"Published"),"Today - due to go live",IF(AND(Y533&lt;&gt;"",Y533&lt;TODAY(),OR(X533="Idea",X533="Brief",X533="In production")),"Late - draft not ready",IF(AND(AA533&gt;=0,AA533&lt;=3,OR(X533="Draft",X533="Awaiting review")),"Due - needs approval",IF(AND(H533&lt;&gt;"",P533=""),"Add - caption missing","OK")))))))</f>
        <v>0</v>
      </c>
    </row>
    <row r="534" spans="1:39">
      <c r="A534" s="41">
        <f>IF(H534="","",ContentPrefix&amp;TEXT(ROW()-4,"0000"))</f>
        <v>0</v>
      </c>
      <c r="D534" s="17">
        <f>IF(B534="","",TEXT(B534,"yyyy-mm"))</f>
        <v>0</v>
      </c>
      <c r="E534" s="23">
        <f>IF(B534="","",WEEKNUM(B534,IF(WeekStart="Sunday",1,2)))</f>
        <v>0</v>
      </c>
      <c r="F534" s="17">
        <f>IF(B534="","",TEXT(B534,"ddd"))</f>
        <v>0</v>
      </c>
      <c r="Q534" s="29">
        <f>IF(H534="","",IF(P534="","Add - no caption",IFERROR(INDEX('Caption Bank'!$R$5:$R$204,MATCH(P534,'Caption Bank'!$B$5:$B$204,0)),"Check - not in bank")))</f>
        <v>0</v>
      </c>
      <c r="S534" s="23">
        <f>IF(R534="","",COUNTIF('Hashtag Bank'!$D$5:$D$304,R534))</f>
        <v>0</v>
      </c>
      <c r="U534" s="29">
        <f>IF(H534="","",IF(T534="","Add - no asset",IFERROR(INDEX(Assets!$N$5:$N$254,MATCH(T534,Assets!$A$5:$A$254,0)),"Check - not in library")))</f>
        <v>0</v>
      </c>
      <c r="Y534" s="16">
        <f>IF(B534="","",B534-ProductionDays)</f>
        <v>0</v>
      </c>
      <c r="Z534" s="16">
        <f>IF(B534="","",B534-ApprovalDays)</f>
        <v>0</v>
      </c>
      <c r="AA534" s="23">
        <f>IF(B534="","",B534-TODAY())</f>
        <v>0</v>
      </c>
      <c r="AC534" s="29">
        <f>IF(H534="","",IF(X534="Published",IF(AB534="","Add - link missing","Yes"),"No"))</f>
        <v>0</v>
      </c>
      <c r="AD534" s="23">
        <f>IF(A534="","",IF(COUNTIF(Performance!$B$5:$B$404,A534)=0,"",SUMIFS(Performance!$O$5:$O$404,Performance!$B$5:$B$404,A534)))</f>
        <v>0</v>
      </c>
      <c r="AE534" s="23">
        <f>IF(AD534="","",SUMIFS(Performance!$Z$5:$Z$404,Performance!$B$5:$B$404,A534))</f>
        <v>0</v>
      </c>
      <c r="AF534" s="24">
        <f>IF(OR(AD534="",AD534=0),"",AE534/AD534)</f>
        <v>0</v>
      </c>
      <c r="AG534" s="23">
        <f>IF(AD534="","",SUMIFS(Performance!$U$5:$U$404,Performance!$B$5:$B$404,A534))</f>
        <v>0</v>
      </c>
      <c r="AH534" s="23">
        <f>IF(A534="","",COUNTIF(Repurposing!$B$5:$B$154,A534))</f>
        <v>0</v>
      </c>
      <c r="AI534" s="32">
        <f>IF(OR(H534="",B534=""),"",B534+ROW()/100000)</f>
        <v>0</v>
      </c>
      <c r="AJ534" s="32">
        <f>IF(OR(H534="",B534=""),"",IF(OR(X534="Published",X534="Cancelled",X534="Archived"),"",IF(B534&lt;TODAY(),"",B534+ROW()/100000)))</f>
        <v>0</v>
      </c>
      <c r="AK534" s="32">
        <f>IF(OR(H534="",B534=""),"",IF(OR(X534="Published",X534="Cancelled",X534="Archived"),"",IF(B534&gt;=TODAY(),"",B534+ROW()/100000)))</f>
        <v>0</v>
      </c>
      <c r="AL534" s="29">
        <f>IF(H534="","",IF(COUNTIFS('Content Calendar'!$H$5:$H$604,H534,'Content Calendar'!$G$5:$G$604,G534,'Content Calendar'!$B$5:$B$604,B534)&gt;1,"Duplicate","OK"))</f>
        <v>0</v>
      </c>
      <c r="AM534" s="29">
        <f>IF(H534="","",IF(AND(B534&lt;&gt;"",B534&lt;TODAY(),X534&lt;&gt;"Published",X534&lt;&gt;"Cancelled",X534&lt;&gt;"Archived"),"Overdue - date has passed",IF(AND(X534="Published",AB534=""),"Add - publish link missing",IF(AND(B534=TODAY(),X534&lt;&gt;"Published"),"Today - due to go live",IF(AND(Y534&lt;&gt;"",Y534&lt;TODAY(),OR(X534="Idea",X534="Brief",X534="In production")),"Late - draft not ready",IF(AND(AA534&gt;=0,AA534&lt;=3,OR(X534="Draft",X534="Awaiting review")),"Due - needs approval",IF(AND(H534&lt;&gt;"",P534=""),"Add - caption missing","OK")))))))</f>
        <v>0</v>
      </c>
    </row>
    <row r="535" spans="1:39">
      <c r="A535" s="41">
        <f>IF(H535="","",ContentPrefix&amp;TEXT(ROW()-4,"0000"))</f>
        <v>0</v>
      </c>
      <c r="D535" s="17">
        <f>IF(B535="","",TEXT(B535,"yyyy-mm"))</f>
        <v>0</v>
      </c>
      <c r="E535" s="23">
        <f>IF(B535="","",WEEKNUM(B535,IF(WeekStart="Sunday",1,2)))</f>
        <v>0</v>
      </c>
      <c r="F535" s="17">
        <f>IF(B535="","",TEXT(B535,"ddd"))</f>
        <v>0</v>
      </c>
      <c r="Q535" s="29">
        <f>IF(H535="","",IF(P535="","Add - no caption",IFERROR(INDEX('Caption Bank'!$R$5:$R$204,MATCH(P535,'Caption Bank'!$B$5:$B$204,0)),"Check - not in bank")))</f>
        <v>0</v>
      </c>
      <c r="S535" s="23">
        <f>IF(R535="","",COUNTIF('Hashtag Bank'!$D$5:$D$304,R535))</f>
        <v>0</v>
      </c>
      <c r="U535" s="29">
        <f>IF(H535="","",IF(T535="","Add - no asset",IFERROR(INDEX(Assets!$N$5:$N$254,MATCH(T535,Assets!$A$5:$A$254,0)),"Check - not in library")))</f>
        <v>0</v>
      </c>
      <c r="Y535" s="16">
        <f>IF(B535="","",B535-ProductionDays)</f>
        <v>0</v>
      </c>
      <c r="Z535" s="16">
        <f>IF(B535="","",B535-ApprovalDays)</f>
        <v>0</v>
      </c>
      <c r="AA535" s="23">
        <f>IF(B535="","",B535-TODAY())</f>
        <v>0</v>
      </c>
      <c r="AC535" s="29">
        <f>IF(H535="","",IF(X535="Published",IF(AB535="","Add - link missing","Yes"),"No"))</f>
        <v>0</v>
      </c>
      <c r="AD535" s="23">
        <f>IF(A535="","",IF(COUNTIF(Performance!$B$5:$B$404,A535)=0,"",SUMIFS(Performance!$O$5:$O$404,Performance!$B$5:$B$404,A535)))</f>
        <v>0</v>
      </c>
      <c r="AE535" s="23">
        <f>IF(AD535="","",SUMIFS(Performance!$Z$5:$Z$404,Performance!$B$5:$B$404,A535))</f>
        <v>0</v>
      </c>
      <c r="AF535" s="24">
        <f>IF(OR(AD535="",AD535=0),"",AE535/AD535)</f>
        <v>0</v>
      </c>
      <c r="AG535" s="23">
        <f>IF(AD535="","",SUMIFS(Performance!$U$5:$U$404,Performance!$B$5:$B$404,A535))</f>
        <v>0</v>
      </c>
      <c r="AH535" s="23">
        <f>IF(A535="","",COUNTIF(Repurposing!$B$5:$B$154,A535))</f>
        <v>0</v>
      </c>
      <c r="AI535" s="32">
        <f>IF(OR(H535="",B535=""),"",B535+ROW()/100000)</f>
        <v>0</v>
      </c>
      <c r="AJ535" s="32">
        <f>IF(OR(H535="",B535=""),"",IF(OR(X535="Published",X535="Cancelled",X535="Archived"),"",IF(B535&lt;TODAY(),"",B535+ROW()/100000)))</f>
        <v>0</v>
      </c>
      <c r="AK535" s="32">
        <f>IF(OR(H535="",B535=""),"",IF(OR(X535="Published",X535="Cancelled",X535="Archived"),"",IF(B535&gt;=TODAY(),"",B535+ROW()/100000)))</f>
        <v>0</v>
      </c>
      <c r="AL535" s="29">
        <f>IF(H535="","",IF(COUNTIFS('Content Calendar'!$H$5:$H$604,H535,'Content Calendar'!$G$5:$G$604,G535,'Content Calendar'!$B$5:$B$604,B535)&gt;1,"Duplicate","OK"))</f>
        <v>0</v>
      </c>
      <c r="AM535" s="29">
        <f>IF(H535="","",IF(AND(B535&lt;&gt;"",B535&lt;TODAY(),X535&lt;&gt;"Published",X535&lt;&gt;"Cancelled",X535&lt;&gt;"Archived"),"Overdue - date has passed",IF(AND(X535="Published",AB535=""),"Add - publish link missing",IF(AND(B535=TODAY(),X535&lt;&gt;"Published"),"Today - due to go live",IF(AND(Y535&lt;&gt;"",Y535&lt;TODAY(),OR(X535="Idea",X535="Brief",X535="In production")),"Late - draft not ready",IF(AND(AA535&gt;=0,AA535&lt;=3,OR(X535="Draft",X535="Awaiting review")),"Due - needs approval",IF(AND(H535&lt;&gt;"",P535=""),"Add - caption missing","OK")))))))</f>
        <v>0</v>
      </c>
    </row>
    <row r="536" spans="1:39">
      <c r="A536" s="41">
        <f>IF(H536="","",ContentPrefix&amp;TEXT(ROW()-4,"0000"))</f>
        <v>0</v>
      </c>
      <c r="D536" s="17">
        <f>IF(B536="","",TEXT(B536,"yyyy-mm"))</f>
        <v>0</v>
      </c>
      <c r="E536" s="23">
        <f>IF(B536="","",WEEKNUM(B536,IF(WeekStart="Sunday",1,2)))</f>
        <v>0</v>
      </c>
      <c r="F536" s="17">
        <f>IF(B536="","",TEXT(B536,"ddd"))</f>
        <v>0</v>
      </c>
      <c r="Q536" s="29">
        <f>IF(H536="","",IF(P536="","Add - no caption",IFERROR(INDEX('Caption Bank'!$R$5:$R$204,MATCH(P536,'Caption Bank'!$B$5:$B$204,0)),"Check - not in bank")))</f>
        <v>0</v>
      </c>
      <c r="S536" s="23">
        <f>IF(R536="","",COUNTIF('Hashtag Bank'!$D$5:$D$304,R536))</f>
        <v>0</v>
      </c>
      <c r="U536" s="29">
        <f>IF(H536="","",IF(T536="","Add - no asset",IFERROR(INDEX(Assets!$N$5:$N$254,MATCH(T536,Assets!$A$5:$A$254,0)),"Check - not in library")))</f>
        <v>0</v>
      </c>
      <c r="Y536" s="16">
        <f>IF(B536="","",B536-ProductionDays)</f>
        <v>0</v>
      </c>
      <c r="Z536" s="16">
        <f>IF(B536="","",B536-ApprovalDays)</f>
        <v>0</v>
      </c>
      <c r="AA536" s="23">
        <f>IF(B536="","",B536-TODAY())</f>
        <v>0</v>
      </c>
      <c r="AC536" s="29">
        <f>IF(H536="","",IF(X536="Published",IF(AB536="","Add - link missing","Yes"),"No"))</f>
        <v>0</v>
      </c>
      <c r="AD536" s="23">
        <f>IF(A536="","",IF(COUNTIF(Performance!$B$5:$B$404,A536)=0,"",SUMIFS(Performance!$O$5:$O$404,Performance!$B$5:$B$404,A536)))</f>
        <v>0</v>
      </c>
      <c r="AE536" s="23">
        <f>IF(AD536="","",SUMIFS(Performance!$Z$5:$Z$404,Performance!$B$5:$B$404,A536))</f>
        <v>0</v>
      </c>
      <c r="AF536" s="24">
        <f>IF(OR(AD536="",AD536=0),"",AE536/AD536)</f>
        <v>0</v>
      </c>
      <c r="AG536" s="23">
        <f>IF(AD536="","",SUMIFS(Performance!$U$5:$U$404,Performance!$B$5:$B$404,A536))</f>
        <v>0</v>
      </c>
      <c r="AH536" s="23">
        <f>IF(A536="","",COUNTIF(Repurposing!$B$5:$B$154,A536))</f>
        <v>0</v>
      </c>
      <c r="AI536" s="32">
        <f>IF(OR(H536="",B536=""),"",B536+ROW()/100000)</f>
        <v>0</v>
      </c>
      <c r="AJ536" s="32">
        <f>IF(OR(H536="",B536=""),"",IF(OR(X536="Published",X536="Cancelled",X536="Archived"),"",IF(B536&lt;TODAY(),"",B536+ROW()/100000)))</f>
        <v>0</v>
      </c>
      <c r="AK536" s="32">
        <f>IF(OR(H536="",B536=""),"",IF(OR(X536="Published",X536="Cancelled",X536="Archived"),"",IF(B536&gt;=TODAY(),"",B536+ROW()/100000)))</f>
        <v>0</v>
      </c>
      <c r="AL536" s="29">
        <f>IF(H536="","",IF(COUNTIFS('Content Calendar'!$H$5:$H$604,H536,'Content Calendar'!$G$5:$G$604,G536,'Content Calendar'!$B$5:$B$604,B536)&gt;1,"Duplicate","OK"))</f>
        <v>0</v>
      </c>
      <c r="AM536" s="29">
        <f>IF(H536="","",IF(AND(B536&lt;&gt;"",B536&lt;TODAY(),X536&lt;&gt;"Published",X536&lt;&gt;"Cancelled",X536&lt;&gt;"Archived"),"Overdue - date has passed",IF(AND(X536="Published",AB536=""),"Add - publish link missing",IF(AND(B536=TODAY(),X536&lt;&gt;"Published"),"Today - due to go live",IF(AND(Y536&lt;&gt;"",Y536&lt;TODAY(),OR(X536="Idea",X536="Brief",X536="In production")),"Late - draft not ready",IF(AND(AA536&gt;=0,AA536&lt;=3,OR(X536="Draft",X536="Awaiting review")),"Due - needs approval",IF(AND(H536&lt;&gt;"",P536=""),"Add - caption missing","OK")))))))</f>
        <v>0</v>
      </c>
    </row>
    <row r="537" spans="1:39">
      <c r="A537" s="41">
        <f>IF(H537="","",ContentPrefix&amp;TEXT(ROW()-4,"0000"))</f>
        <v>0</v>
      </c>
      <c r="D537" s="17">
        <f>IF(B537="","",TEXT(B537,"yyyy-mm"))</f>
        <v>0</v>
      </c>
      <c r="E537" s="23">
        <f>IF(B537="","",WEEKNUM(B537,IF(WeekStart="Sunday",1,2)))</f>
        <v>0</v>
      </c>
      <c r="F537" s="17">
        <f>IF(B537="","",TEXT(B537,"ddd"))</f>
        <v>0</v>
      </c>
      <c r="Q537" s="29">
        <f>IF(H537="","",IF(P537="","Add - no caption",IFERROR(INDEX('Caption Bank'!$R$5:$R$204,MATCH(P537,'Caption Bank'!$B$5:$B$204,0)),"Check - not in bank")))</f>
        <v>0</v>
      </c>
      <c r="S537" s="23">
        <f>IF(R537="","",COUNTIF('Hashtag Bank'!$D$5:$D$304,R537))</f>
        <v>0</v>
      </c>
      <c r="U537" s="29">
        <f>IF(H537="","",IF(T537="","Add - no asset",IFERROR(INDEX(Assets!$N$5:$N$254,MATCH(T537,Assets!$A$5:$A$254,0)),"Check - not in library")))</f>
        <v>0</v>
      </c>
      <c r="Y537" s="16">
        <f>IF(B537="","",B537-ProductionDays)</f>
        <v>0</v>
      </c>
      <c r="Z537" s="16">
        <f>IF(B537="","",B537-ApprovalDays)</f>
        <v>0</v>
      </c>
      <c r="AA537" s="23">
        <f>IF(B537="","",B537-TODAY())</f>
        <v>0</v>
      </c>
      <c r="AC537" s="29">
        <f>IF(H537="","",IF(X537="Published",IF(AB537="","Add - link missing","Yes"),"No"))</f>
        <v>0</v>
      </c>
      <c r="AD537" s="23">
        <f>IF(A537="","",IF(COUNTIF(Performance!$B$5:$B$404,A537)=0,"",SUMIFS(Performance!$O$5:$O$404,Performance!$B$5:$B$404,A537)))</f>
        <v>0</v>
      </c>
      <c r="AE537" s="23">
        <f>IF(AD537="","",SUMIFS(Performance!$Z$5:$Z$404,Performance!$B$5:$B$404,A537))</f>
        <v>0</v>
      </c>
      <c r="AF537" s="24">
        <f>IF(OR(AD537="",AD537=0),"",AE537/AD537)</f>
        <v>0</v>
      </c>
      <c r="AG537" s="23">
        <f>IF(AD537="","",SUMIFS(Performance!$U$5:$U$404,Performance!$B$5:$B$404,A537))</f>
        <v>0</v>
      </c>
      <c r="AH537" s="23">
        <f>IF(A537="","",COUNTIF(Repurposing!$B$5:$B$154,A537))</f>
        <v>0</v>
      </c>
      <c r="AI537" s="32">
        <f>IF(OR(H537="",B537=""),"",B537+ROW()/100000)</f>
        <v>0</v>
      </c>
      <c r="AJ537" s="32">
        <f>IF(OR(H537="",B537=""),"",IF(OR(X537="Published",X537="Cancelled",X537="Archived"),"",IF(B537&lt;TODAY(),"",B537+ROW()/100000)))</f>
        <v>0</v>
      </c>
      <c r="AK537" s="32">
        <f>IF(OR(H537="",B537=""),"",IF(OR(X537="Published",X537="Cancelled",X537="Archived"),"",IF(B537&gt;=TODAY(),"",B537+ROW()/100000)))</f>
        <v>0</v>
      </c>
      <c r="AL537" s="29">
        <f>IF(H537="","",IF(COUNTIFS('Content Calendar'!$H$5:$H$604,H537,'Content Calendar'!$G$5:$G$604,G537,'Content Calendar'!$B$5:$B$604,B537)&gt;1,"Duplicate","OK"))</f>
        <v>0</v>
      </c>
      <c r="AM537" s="29">
        <f>IF(H537="","",IF(AND(B537&lt;&gt;"",B537&lt;TODAY(),X537&lt;&gt;"Published",X537&lt;&gt;"Cancelled",X537&lt;&gt;"Archived"),"Overdue - date has passed",IF(AND(X537="Published",AB537=""),"Add - publish link missing",IF(AND(B537=TODAY(),X537&lt;&gt;"Published"),"Today - due to go live",IF(AND(Y537&lt;&gt;"",Y537&lt;TODAY(),OR(X537="Idea",X537="Brief",X537="In production")),"Late - draft not ready",IF(AND(AA537&gt;=0,AA537&lt;=3,OR(X537="Draft",X537="Awaiting review")),"Due - needs approval",IF(AND(H537&lt;&gt;"",P537=""),"Add - caption missing","OK")))))))</f>
        <v>0</v>
      </c>
    </row>
    <row r="538" spans="1:39">
      <c r="A538" s="41">
        <f>IF(H538="","",ContentPrefix&amp;TEXT(ROW()-4,"0000"))</f>
        <v>0</v>
      </c>
      <c r="D538" s="17">
        <f>IF(B538="","",TEXT(B538,"yyyy-mm"))</f>
        <v>0</v>
      </c>
      <c r="E538" s="23">
        <f>IF(B538="","",WEEKNUM(B538,IF(WeekStart="Sunday",1,2)))</f>
        <v>0</v>
      </c>
      <c r="F538" s="17">
        <f>IF(B538="","",TEXT(B538,"ddd"))</f>
        <v>0</v>
      </c>
      <c r="Q538" s="29">
        <f>IF(H538="","",IF(P538="","Add - no caption",IFERROR(INDEX('Caption Bank'!$R$5:$R$204,MATCH(P538,'Caption Bank'!$B$5:$B$204,0)),"Check - not in bank")))</f>
        <v>0</v>
      </c>
      <c r="S538" s="23">
        <f>IF(R538="","",COUNTIF('Hashtag Bank'!$D$5:$D$304,R538))</f>
        <v>0</v>
      </c>
      <c r="U538" s="29">
        <f>IF(H538="","",IF(T538="","Add - no asset",IFERROR(INDEX(Assets!$N$5:$N$254,MATCH(T538,Assets!$A$5:$A$254,0)),"Check - not in library")))</f>
        <v>0</v>
      </c>
      <c r="Y538" s="16">
        <f>IF(B538="","",B538-ProductionDays)</f>
        <v>0</v>
      </c>
      <c r="Z538" s="16">
        <f>IF(B538="","",B538-ApprovalDays)</f>
        <v>0</v>
      </c>
      <c r="AA538" s="23">
        <f>IF(B538="","",B538-TODAY())</f>
        <v>0</v>
      </c>
      <c r="AC538" s="29">
        <f>IF(H538="","",IF(X538="Published",IF(AB538="","Add - link missing","Yes"),"No"))</f>
        <v>0</v>
      </c>
      <c r="AD538" s="23">
        <f>IF(A538="","",IF(COUNTIF(Performance!$B$5:$B$404,A538)=0,"",SUMIFS(Performance!$O$5:$O$404,Performance!$B$5:$B$404,A538)))</f>
        <v>0</v>
      </c>
      <c r="AE538" s="23">
        <f>IF(AD538="","",SUMIFS(Performance!$Z$5:$Z$404,Performance!$B$5:$B$404,A538))</f>
        <v>0</v>
      </c>
      <c r="AF538" s="24">
        <f>IF(OR(AD538="",AD538=0),"",AE538/AD538)</f>
        <v>0</v>
      </c>
      <c r="AG538" s="23">
        <f>IF(AD538="","",SUMIFS(Performance!$U$5:$U$404,Performance!$B$5:$B$404,A538))</f>
        <v>0</v>
      </c>
      <c r="AH538" s="23">
        <f>IF(A538="","",COUNTIF(Repurposing!$B$5:$B$154,A538))</f>
        <v>0</v>
      </c>
      <c r="AI538" s="32">
        <f>IF(OR(H538="",B538=""),"",B538+ROW()/100000)</f>
        <v>0</v>
      </c>
      <c r="AJ538" s="32">
        <f>IF(OR(H538="",B538=""),"",IF(OR(X538="Published",X538="Cancelled",X538="Archived"),"",IF(B538&lt;TODAY(),"",B538+ROW()/100000)))</f>
        <v>0</v>
      </c>
      <c r="AK538" s="32">
        <f>IF(OR(H538="",B538=""),"",IF(OR(X538="Published",X538="Cancelled",X538="Archived"),"",IF(B538&gt;=TODAY(),"",B538+ROW()/100000)))</f>
        <v>0</v>
      </c>
      <c r="AL538" s="29">
        <f>IF(H538="","",IF(COUNTIFS('Content Calendar'!$H$5:$H$604,H538,'Content Calendar'!$G$5:$G$604,G538,'Content Calendar'!$B$5:$B$604,B538)&gt;1,"Duplicate","OK"))</f>
        <v>0</v>
      </c>
      <c r="AM538" s="29">
        <f>IF(H538="","",IF(AND(B538&lt;&gt;"",B538&lt;TODAY(),X538&lt;&gt;"Published",X538&lt;&gt;"Cancelled",X538&lt;&gt;"Archived"),"Overdue - date has passed",IF(AND(X538="Published",AB538=""),"Add - publish link missing",IF(AND(B538=TODAY(),X538&lt;&gt;"Published"),"Today - due to go live",IF(AND(Y538&lt;&gt;"",Y538&lt;TODAY(),OR(X538="Idea",X538="Brief",X538="In production")),"Late - draft not ready",IF(AND(AA538&gt;=0,AA538&lt;=3,OR(X538="Draft",X538="Awaiting review")),"Due - needs approval",IF(AND(H538&lt;&gt;"",P538=""),"Add - caption missing","OK")))))))</f>
        <v>0</v>
      </c>
    </row>
    <row r="539" spans="1:39">
      <c r="A539" s="41">
        <f>IF(H539="","",ContentPrefix&amp;TEXT(ROW()-4,"0000"))</f>
        <v>0</v>
      </c>
      <c r="D539" s="17">
        <f>IF(B539="","",TEXT(B539,"yyyy-mm"))</f>
        <v>0</v>
      </c>
      <c r="E539" s="23">
        <f>IF(B539="","",WEEKNUM(B539,IF(WeekStart="Sunday",1,2)))</f>
        <v>0</v>
      </c>
      <c r="F539" s="17">
        <f>IF(B539="","",TEXT(B539,"ddd"))</f>
        <v>0</v>
      </c>
      <c r="Q539" s="29">
        <f>IF(H539="","",IF(P539="","Add - no caption",IFERROR(INDEX('Caption Bank'!$R$5:$R$204,MATCH(P539,'Caption Bank'!$B$5:$B$204,0)),"Check - not in bank")))</f>
        <v>0</v>
      </c>
      <c r="S539" s="23">
        <f>IF(R539="","",COUNTIF('Hashtag Bank'!$D$5:$D$304,R539))</f>
        <v>0</v>
      </c>
      <c r="U539" s="29">
        <f>IF(H539="","",IF(T539="","Add - no asset",IFERROR(INDEX(Assets!$N$5:$N$254,MATCH(T539,Assets!$A$5:$A$254,0)),"Check - not in library")))</f>
        <v>0</v>
      </c>
      <c r="Y539" s="16">
        <f>IF(B539="","",B539-ProductionDays)</f>
        <v>0</v>
      </c>
      <c r="Z539" s="16">
        <f>IF(B539="","",B539-ApprovalDays)</f>
        <v>0</v>
      </c>
      <c r="AA539" s="23">
        <f>IF(B539="","",B539-TODAY())</f>
        <v>0</v>
      </c>
      <c r="AC539" s="29">
        <f>IF(H539="","",IF(X539="Published",IF(AB539="","Add - link missing","Yes"),"No"))</f>
        <v>0</v>
      </c>
      <c r="AD539" s="23">
        <f>IF(A539="","",IF(COUNTIF(Performance!$B$5:$B$404,A539)=0,"",SUMIFS(Performance!$O$5:$O$404,Performance!$B$5:$B$404,A539)))</f>
        <v>0</v>
      </c>
      <c r="AE539" s="23">
        <f>IF(AD539="","",SUMIFS(Performance!$Z$5:$Z$404,Performance!$B$5:$B$404,A539))</f>
        <v>0</v>
      </c>
      <c r="AF539" s="24">
        <f>IF(OR(AD539="",AD539=0),"",AE539/AD539)</f>
        <v>0</v>
      </c>
      <c r="AG539" s="23">
        <f>IF(AD539="","",SUMIFS(Performance!$U$5:$U$404,Performance!$B$5:$B$404,A539))</f>
        <v>0</v>
      </c>
      <c r="AH539" s="23">
        <f>IF(A539="","",COUNTIF(Repurposing!$B$5:$B$154,A539))</f>
        <v>0</v>
      </c>
      <c r="AI539" s="32">
        <f>IF(OR(H539="",B539=""),"",B539+ROW()/100000)</f>
        <v>0</v>
      </c>
      <c r="AJ539" s="32">
        <f>IF(OR(H539="",B539=""),"",IF(OR(X539="Published",X539="Cancelled",X539="Archived"),"",IF(B539&lt;TODAY(),"",B539+ROW()/100000)))</f>
        <v>0</v>
      </c>
      <c r="AK539" s="32">
        <f>IF(OR(H539="",B539=""),"",IF(OR(X539="Published",X539="Cancelled",X539="Archived"),"",IF(B539&gt;=TODAY(),"",B539+ROW()/100000)))</f>
        <v>0</v>
      </c>
      <c r="AL539" s="29">
        <f>IF(H539="","",IF(COUNTIFS('Content Calendar'!$H$5:$H$604,H539,'Content Calendar'!$G$5:$G$604,G539,'Content Calendar'!$B$5:$B$604,B539)&gt;1,"Duplicate","OK"))</f>
        <v>0</v>
      </c>
      <c r="AM539" s="29">
        <f>IF(H539="","",IF(AND(B539&lt;&gt;"",B539&lt;TODAY(),X539&lt;&gt;"Published",X539&lt;&gt;"Cancelled",X539&lt;&gt;"Archived"),"Overdue - date has passed",IF(AND(X539="Published",AB539=""),"Add - publish link missing",IF(AND(B539=TODAY(),X539&lt;&gt;"Published"),"Today - due to go live",IF(AND(Y539&lt;&gt;"",Y539&lt;TODAY(),OR(X539="Idea",X539="Brief",X539="In production")),"Late - draft not ready",IF(AND(AA539&gt;=0,AA539&lt;=3,OR(X539="Draft",X539="Awaiting review")),"Due - needs approval",IF(AND(H539&lt;&gt;"",P539=""),"Add - caption missing","OK")))))))</f>
        <v>0</v>
      </c>
    </row>
    <row r="540" spans="1:39">
      <c r="A540" s="41">
        <f>IF(H540="","",ContentPrefix&amp;TEXT(ROW()-4,"0000"))</f>
        <v>0</v>
      </c>
      <c r="D540" s="17">
        <f>IF(B540="","",TEXT(B540,"yyyy-mm"))</f>
        <v>0</v>
      </c>
      <c r="E540" s="23">
        <f>IF(B540="","",WEEKNUM(B540,IF(WeekStart="Sunday",1,2)))</f>
        <v>0</v>
      </c>
      <c r="F540" s="17">
        <f>IF(B540="","",TEXT(B540,"ddd"))</f>
        <v>0</v>
      </c>
      <c r="Q540" s="29">
        <f>IF(H540="","",IF(P540="","Add - no caption",IFERROR(INDEX('Caption Bank'!$R$5:$R$204,MATCH(P540,'Caption Bank'!$B$5:$B$204,0)),"Check - not in bank")))</f>
        <v>0</v>
      </c>
      <c r="S540" s="23">
        <f>IF(R540="","",COUNTIF('Hashtag Bank'!$D$5:$D$304,R540))</f>
        <v>0</v>
      </c>
      <c r="U540" s="29">
        <f>IF(H540="","",IF(T540="","Add - no asset",IFERROR(INDEX(Assets!$N$5:$N$254,MATCH(T540,Assets!$A$5:$A$254,0)),"Check - not in library")))</f>
        <v>0</v>
      </c>
      <c r="Y540" s="16">
        <f>IF(B540="","",B540-ProductionDays)</f>
        <v>0</v>
      </c>
      <c r="Z540" s="16">
        <f>IF(B540="","",B540-ApprovalDays)</f>
        <v>0</v>
      </c>
      <c r="AA540" s="23">
        <f>IF(B540="","",B540-TODAY())</f>
        <v>0</v>
      </c>
      <c r="AC540" s="29">
        <f>IF(H540="","",IF(X540="Published",IF(AB540="","Add - link missing","Yes"),"No"))</f>
        <v>0</v>
      </c>
      <c r="AD540" s="23">
        <f>IF(A540="","",IF(COUNTIF(Performance!$B$5:$B$404,A540)=0,"",SUMIFS(Performance!$O$5:$O$404,Performance!$B$5:$B$404,A540)))</f>
        <v>0</v>
      </c>
      <c r="AE540" s="23">
        <f>IF(AD540="","",SUMIFS(Performance!$Z$5:$Z$404,Performance!$B$5:$B$404,A540))</f>
        <v>0</v>
      </c>
      <c r="AF540" s="24">
        <f>IF(OR(AD540="",AD540=0),"",AE540/AD540)</f>
        <v>0</v>
      </c>
      <c r="AG540" s="23">
        <f>IF(AD540="","",SUMIFS(Performance!$U$5:$U$404,Performance!$B$5:$B$404,A540))</f>
        <v>0</v>
      </c>
      <c r="AH540" s="23">
        <f>IF(A540="","",COUNTIF(Repurposing!$B$5:$B$154,A540))</f>
        <v>0</v>
      </c>
      <c r="AI540" s="32">
        <f>IF(OR(H540="",B540=""),"",B540+ROW()/100000)</f>
        <v>0</v>
      </c>
      <c r="AJ540" s="32">
        <f>IF(OR(H540="",B540=""),"",IF(OR(X540="Published",X540="Cancelled",X540="Archived"),"",IF(B540&lt;TODAY(),"",B540+ROW()/100000)))</f>
        <v>0</v>
      </c>
      <c r="AK540" s="32">
        <f>IF(OR(H540="",B540=""),"",IF(OR(X540="Published",X540="Cancelled",X540="Archived"),"",IF(B540&gt;=TODAY(),"",B540+ROW()/100000)))</f>
        <v>0</v>
      </c>
      <c r="AL540" s="29">
        <f>IF(H540="","",IF(COUNTIFS('Content Calendar'!$H$5:$H$604,H540,'Content Calendar'!$G$5:$G$604,G540,'Content Calendar'!$B$5:$B$604,B540)&gt;1,"Duplicate","OK"))</f>
        <v>0</v>
      </c>
      <c r="AM540" s="29">
        <f>IF(H540="","",IF(AND(B540&lt;&gt;"",B540&lt;TODAY(),X540&lt;&gt;"Published",X540&lt;&gt;"Cancelled",X540&lt;&gt;"Archived"),"Overdue - date has passed",IF(AND(X540="Published",AB540=""),"Add - publish link missing",IF(AND(B540=TODAY(),X540&lt;&gt;"Published"),"Today - due to go live",IF(AND(Y540&lt;&gt;"",Y540&lt;TODAY(),OR(X540="Idea",X540="Brief",X540="In production")),"Late - draft not ready",IF(AND(AA540&gt;=0,AA540&lt;=3,OR(X540="Draft",X540="Awaiting review")),"Due - needs approval",IF(AND(H540&lt;&gt;"",P540=""),"Add - caption missing","OK")))))))</f>
        <v>0</v>
      </c>
    </row>
    <row r="541" spans="1:39">
      <c r="A541" s="41">
        <f>IF(H541="","",ContentPrefix&amp;TEXT(ROW()-4,"0000"))</f>
        <v>0</v>
      </c>
      <c r="D541" s="17">
        <f>IF(B541="","",TEXT(B541,"yyyy-mm"))</f>
        <v>0</v>
      </c>
      <c r="E541" s="23">
        <f>IF(B541="","",WEEKNUM(B541,IF(WeekStart="Sunday",1,2)))</f>
        <v>0</v>
      </c>
      <c r="F541" s="17">
        <f>IF(B541="","",TEXT(B541,"ddd"))</f>
        <v>0</v>
      </c>
      <c r="Q541" s="29">
        <f>IF(H541="","",IF(P541="","Add - no caption",IFERROR(INDEX('Caption Bank'!$R$5:$R$204,MATCH(P541,'Caption Bank'!$B$5:$B$204,0)),"Check - not in bank")))</f>
        <v>0</v>
      </c>
      <c r="S541" s="23">
        <f>IF(R541="","",COUNTIF('Hashtag Bank'!$D$5:$D$304,R541))</f>
        <v>0</v>
      </c>
      <c r="U541" s="29">
        <f>IF(H541="","",IF(T541="","Add - no asset",IFERROR(INDEX(Assets!$N$5:$N$254,MATCH(T541,Assets!$A$5:$A$254,0)),"Check - not in library")))</f>
        <v>0</v>
      </c>
      <c r="Y541" s="16">
        <f>IF(B541="","",B541-ProductionDays)</f>
        <v>0</v>
      </c>
      <c r="Z541" s="16">
        <f>IF(B541="","",B541-ApprovalDays)</f>
        <v>0</v>
      </c>
      <c r="AA541" s="23">
        <f>IF(B541="","",B541-TODAY())</f>
        <v>0</v>
      </c>
      <c r="AC541" s="29">
        <f>IF(H541="","",IF(X541="Published",IF(AB541="","Add - link missing","Yes"),"No"))</f>
        <v>0</v>
      </c>
      <c r="AD541" s="23">
        <f>IF(A541="","",IF(COUNTIF(Performance!$B$5:$B$404,A541)=0,"",SUMIFS(Performance!$O$5:$O$404,Performance!$B$5:$B$404,A541)))</f>
        <v>0</v>
      </c>
      <c r="AE541" s="23">
        <f>IF(AD541="","",SUMIFS(Performance!$Z$5:$Z$404,Performance!$B$5:$B$404,A541))</f>
        <v>0</v>
      </c>
      <c r="AF541" s="24">
        <f>IF(OR(AD541="",AD541=0),"",AE541/AD541)</f>
        <v>0</v>
      </c>
      <c r="AG541" s="23">
        <f>IF(AD541="","",SUMIFS(Performance!$U$5:$U$404,Performance!$B$5:$B$404,A541))</f>
        <v>0</v>
      </c>
      <c r="AH541" s="23">
        <f>IF(A541="","",COUNTIF(Repurposing!$B$5:$B$154,A541))</f>
        <v>0</v>
      </c>
      <c r="AI541" s="32">
        <f>IF(OR(H541="",B541=""),"",B541+ROW()/100000)</f>
        <v>0</v>
      </c>
      <c r="AJ541" s="32">
        <f>IF(OR(H541="",B541=""),"",IF(OR(X541="Published",X541="Cancelled",X541="Archived"),"",IF(B541&lt;TODAY(),"",B541+ROW()/100000)))</f>
        <v>0</v>
      </c>
      <c r="AK541" s="32">
        <f>IF(OR(H541="",B541=""),"",IF(OR(X541="Published",X541="Cancelled",X541="Archived"),"",IF(B541&gt;=TODAY(),"",B541+ROW()/100000)))</f>
        <v>0</v>
      </c>
      <c r="AL541" s="29">
        <f>IF(H541="","",IF(COUNTIFS('Content Calendar'!$H$5:$H$604,H541,'Content Calendar'!$G$5:$G$604,G541,'Content Calendar'!$B$5:$B$604,B541)&gt;1,"Duplicate","OK"))</f>
        <v>0</v>
      </c>
      <c r="AM541" s="29">
        <f>IF(H541="","",IF(AND(B541&lt;&gt;"",B541&lt;TODAY(),X541&lt;&gt;"Published",X541&lt;&gt;"Cancelled",X541&lt;&gt;"Archived"),"Overdue - date has passed",IF(AND(X541="Published",AB541=""),"Add - publish link missing",IF(AND(B541=TODAY(),X541&lt;&gt;"Published"),"Today - due to go live",IF(AND(Y541&lt;&gt;"",Y541&lt;TODAY(),OR(X541="Idea",X541="Brief",X541="In production")),"Late - draft not ready",IF(AND(AA541&gt;=0,AA541&lt;=3,OR(X541="Draft",X541="Awaiting review")),"Due - needs approval",IF(AND(H541&lt;&gt;"",P541=""),"Add - caption missing","OK")))))))</f>
        <v>0</v>
      </c>
    </row>
    <row r="542" spans="1:39">
      <c r="A542" s="41">
        <f>IF(H542="","",ContentPrefix&amp;TEXT(ROW()-4,"0000"))</f>
        <v>0</v>
      </c>
      <c r="D542" s="17">
        <f>IF(B542="","",TEXT(B542,"yyyy-mm"))</f>
        <v>0</v>
      </c>
      <c r="E542" s="23">
        <f>IF(B542="","",WEEKNUM(B542,IF(WeekStart="Sunday",1,2)))</f>
        <v>0</v>
      </c>
      <c r="F542" s="17">
        <f>IF(B542="","",TEXT(B542,"ddd"))</f>
        <v>0</v>
      </c>
      <c r="Q542" s="29">
        <f>IF(H542="","",IF(P542="","Add - no caption",IFERROR(INDEX('Caption Bank'!$R$5:$R$204,MATCH(P542,'Caption Bank'!$B$5:$B$204,0)),"Check - not in bank")))</f>
        <v>0</v>
      </c>
      <c r="S542" s="23">
        <f>IF(R542="","",COUNTIF('Hashtag Bank'!$D$5:$D$304,R542))</f>
        <v>0</v>
      </c>
      <c r="U542" s="29">
        <f>IF(H542="","",IF(T542="","Add - no asset",IFERROR(INDEX(Assets!$N$5:$N$254,MATCH(T542,Assets!$A$5:$A$254,0)),"Check - not in library")))</f>
        <v>0</v>
      </c>
      <c r="Y542" s="16">
        <f>IF(B542="","",B542-ProductionDays)</f>
        <v>0</v>
      </c>
      <c r="Z542" s="16">
        <f>IF(B542="","",B542-ApprovalDays)</f>
        <v>0</v>
      </c>
      <c r="AA542" s="23">
        <f>IF(B542="","",B542-TODAY())</f>
        <v>0</v>
      </c>
      <c r="AC542" s="29">
        <f>IF(H542="","",IF(X542="Published",IF(AB542="","Add - link missing","Yes"),"No"))</f>
        <v>0</v>
      </c>
      <c r="AD542" s="23">
        <f>IF(A542="","",IF(COUNTIF(Performance!$B$5:$B$404,A542)=0,"",SUMIFS(Performance!$O$5:$O$404,Performance!$B$5:$B$404,A542)))</f>
        <v>0</v>
      </c>
      <c r="AE542" s="23">
        <f>IF(AD542="","",SUMIFS(Performance!$Z$5:$Z$404,Performance!$B$5:$B$404,A542))</f>
        <v>0</v>
      </c>
      <c r="AF542" s="24">
        <f>IF(OR(AD542="",AD542=0),"",AE542/AD542)</f>
        <v>0</v>
      </c>
      <c r="AG542" s="23">
        <f>IF(AD542="","",SUMIFS(Performance!$U$5:$U$404,Performance!$B$5:$B$404,A542))</f>
        <v>0</v>
      </c>
      <c r="AH542" s="23">
        <f>IF(A542="","",COUNTIF(Repurposing!$B$5:$B$154,A542))</f>
        <v>0</v>
      </c>
      <c r="AI542" s="32">
        <f>IF(OR(H542="",B542=""),"",B542+ROW()/100000)</f>
        <v>0</v>
      </c>
      <c r="AJ542" s="32">
        <f>IF(OR(H542="",B542=""),"",IF(OR(X542="Published",X542="Cancelled",X542="Archived"),"",IF(B542&lt;TODAY(),"",B542+ROW()/100000)))</f>
        <v>0</v>
      </c>
      <c r="AK542" s="32">
        <f>IF(OR(H542="",B542=""),"",IF(OR(X542="Published",X542="Cancelled",X542="Archived"),"",IF(B542&gt;=TODAY(),"",B542+ROW()/100000)))</f>
        <v>0</v>
      </c>
      <c r="AL542" s="29">
        <f>IF(H542="","",IF(COUNTIFS('Content Calendar'!$H$5:$H$604,H542,'Content Calendar'!$G$5:$G$604,G542,'Content Calendar'!$B$5:$B$604,B542)&gt;1,"Duplicate","OK"))</f>
        <v>0</v>
      </c>
      <c r="AM542" s="29">
        <f>IF(H542="","",IF(AND(B542&lt;&gt;"",B542&lt;TODAY(),X542&lt;&gt;"Published",X542&lt;&gt;"Cancelled",X542&lt;&gt;"Archived"),"Overdue - date has passed",IF(AND(X542="Published",AB542=""),"Add - publish link missing",IF(AND(B542=TODAY(),X542&lt;&gt;"Published"),"Today - due to go live",IF(AND(Y542&lt;&gt;"",Y542&lt;TODAY(),OR(X542="Idea",X542="Brief",X542="In production")),"Late - draft not ready",IF(AND(AA542&gt;=0,AA542&lt;=3,OR(X542="Draft",X542="Awaiting review")),"Due - needs approval",IF(AND(H542&lt;&gt;"",P542=""),"Add - caption missing","OK")))))))</f>
        <v>0</v>
      </c>
    </row>
    <row r="543" spans="1:39">
      <c r="A543" s="41">
        <f>IF(H543="","",ContentPrefix&amp;TEXT(ROW()-4,"0000"))</f>
        <v>0</v>
      </c>
      <c r="D543" s="17">
        <f>IF(B543="","",TEXT(B543,"yyyy-mm"))</f>
        <v>0</v>
      </c>
      <c r="E543" s="23">
        <f>IF(B543="","",WEEKNUM(B543,IF(WeekStart="Sunday",1,2)))</f>
        <v>0</v>
      </c>
      <c r="F543" s="17">
        <f>IF(B543="","",TEXT(B543,"ddd"))</f>
        <v>0</v>
      </c>
      <c r="Q543" s="29">
        <f>IF(H543="","",IF(P543="","Add - no caption",IFERROR(INDEX('Caption Bank'!$R$5:$R$204,MATCH(P543,'Caption Bank'!$B$5:$B$204,0)),"Check - not in bank")))</f>
        <v>0</v>
      </c>
      <c r="S543" s="23">
        <f>IF(R543="","",COUNTIF('Hashtag Bank'!$D$5:$D$304,R543))</f>
        <v>0</v>
      </c>
      <c r="U543" s="29">
        <f>IF(H543="","",IF(T543="","Add - no asset",IFERROR(INDEX(Assets!$N$5:$N$254,MATCH(T543,Assets!$A$5:$A$254,0)),"Check - not in library")))</f>
        <v>0</v>
      </c>
      <c r="Y543" s="16">
        <f>IF(B543="","",B543-ProductionDays)</f>
        <v>0</v>
      </c>
      <c r="Z543" s="16">
        <f>IF(B543="","",B543-ApprovalDays)</f>
        <v>0</v>
      </c>
      <c r="AA543" s="23">
        <f>IF(B543="","",B543-TODAY())</f>
        <v>0</v>
      </c>
      <c r="AC543" s="29">
        <f>IF(H543="","",IF(X543="Published",IF(AB543="","Add - link missing","Yes"),"No"))</f>
        <v>0</v>
      </c>
      <c r="AD543" s="23">
        <f>IF(A543="","",IF(COUNTIF(Performance!$B$5:$B$404,A543)=0,"",SUMIFS(Performance!$O$5:$O$404,Performance!$B$5:$B$404,A543)))</f>
        <v>0</v>
      </c>
      <c r="AE543" s="23">
        <f>IF(AD543="","",SUMIFS(Performance!$Z$5:$Z$404,Performance!$B$5:$B$404,A543))</f>
        <v>0</v>
      </c>
      <c r="AF543" s="24">
        <f>IF(OR(AD543="",AD543=0),"",AE543/AD543)</f>
        <v>0</v>
      </c>
      <c r="AG543" s="23">
        <f>IF(AD543="","",SUMIFS(Performance!$U$5:$U$404,Performance!$B$5:$B$404,A543))</f>
        <v>0</v>
      </c>
      <c r="AH543" s="23">
        <f>IF(A543="","",COUNTIF(Repurposing!$B$5:$B$154,A543))</f>
        <v>0</v>
      </c>
      <c r="AI543" s="32">
        <f>IF(OR(H543="",B543=""),"",B543+ROW()/100000)</f>
        <v>0</v>
      </c>
      <c r="AJ543" s="32">
        <f>IF(OR(H543="",B543=""),"",IF(OR(X543="Published",X543="Cancelled",X543="Archived"),"",IF(B543&lt;TODAY(),"",B543+ROW()/100000)))</f>
        <v>0</v>
      </c>
      <c r="AK543" s="32">
        <f>IF(OR(H543="",B543=""),"",IF(OR(X543="Published",X543="Cancelled",X543="Archived"),"",IF(B543&gt;=TODAY(),"",B543+ROW()/100000)))</f>
        <v>0</v>
      </c>
      <c r="AL543" s="29">
        <f>IF(H543="","",IF(COUNTIFS('Content Calendar'!$H$5:$H$604,H543,'Content Calendar'!$G$5:$G$604,G543,'Content Calendar'!$B$5:$B$604,B543)&gt;1,"Duplicate","OK"))</f>
        <v>0</v>
      </c>
      <c r="AM543" s="29">
        <f>IF(H543="","",IF(AND(B543&lt;&gt;"",B543&lt;TODAY(),X543&lt;&gt;"Published",X543&lt;&gt;"Cancelled",X543&lt;&gt;"Archived"),"Overdue - date has passed",IF(AND(X543="Published",AB543=""),"Add - publish link missing",IF(AND(B543=TODAY(),X543&lt;&gt;"Published"),"Today - due to go live",IF(AND(Y543&lt;&gt;"",Y543&lt;TODAY(),OR(X543="Idea",X543="Brief",X543="In production")),"Late - draft not ready",IF(AND(AA543&gt;=0,AA543&lt;=3,OR(X543="Draft",X543="Awaiting review")),"Due - needs approval",IF(AND(H543&lt;&gt;"",P543=""),"Add - caption missing","OK")))))))</f>
        <v>0</v>
      </c>
    </row>
    <row r="544" spans="1:39">
      <c r="A544" s="41">
        <f>IF(H544="","",ContentPrefix&amp;TEXT(ROW()-4,"0000"))</f>
        <v>0</v>
      </c>
      <c r="D544" s="17">
        <f>IF(B544="","",TEXT(B544,"yyyy-mm"))</f>
        <v>0</v>
      </c>
      <c r="E544" s="23">
        <f>IF(B544="","",WEEKNUM(B544,IF(WeekStart="Sunday",1,2)))</f>
        <v>0</v>
      </c>
      <c r="F544" s="17">
        <f>IF(B544="","",TEXT(B544,"ddd"))</f>
        <v>0</v>
      </c>
      <c r="Q544" s="29">
        <f>IF(H544="","",IF(P544="","Add - no caption",IFERROR(INDEX('Caption Bank'!$R$5:$R$204,MATCH(P544,'Caption Bank'!$B$5:$B$204,0)),"Check - not in bank")))</f>
        <v>0</v>
      </c>
      <c r="S544" s="23">
        <f>IF(R544="","",COUNTIF('Hashtag Bank'!$D$5:$D$304,R544))</f>
        <v>0</v>
      </c>
      <c r="U544" s="29">
        <f>IF(H544="","",IF(T544="","Add - no asset",IFERROR(INDEX(Assets!$N$5:$N$254,MATCH(T544,Assets!$A$5:$A$254,0)),"Check - not in library")))</f>
        <v>0</v>
      </c>
      <c r="Y544" s="16">
        <f>IF(B544="","",B544-ProductionDays)</f>
        <v>0</v>
      </c>
      <c r="Z544" s="16">
        <f>IF(B544="","",B544-ApprovalDays)</f>
        <v>0</v>
      </c>
      <c r="AA544" s="23">
        <f>IF(B544="","",B544-TODAY())</f>
        <v>0</v>
      </c>
      <c r="AC544" s="29">
        <f>IF(H544="","",IF(X544="Published",IF(AB544="","Add - link missing","Yes"),"No"))</f>
        <v>0</v>
      </c>
      <c r="AD544" s="23">
        <f>IF(A544="","",IF(COUNTIF(Performance!$B$5:$B$404,A544)=0,"",SUMIFS(Performance!$O$5:$O$404,Performance!$B$5:$B$404,A544)))</f>
        <v>0</v>
      </c>
      <c r="AE544" s="23">
        <f>IF(AD544="","",SUMIFS(Performance!$Z$5:$Z$404,Performance!$B$5:$B$404,A544))</f>
        <v>0</v>
      </c>
      <c r="AF544" s="24">
        <f>IF(OR(AD544="",AD544=0),"",AE544/AD544)</f>
        <v>0</v>
      </c>
      <c r="AG544" s="23">
        <f>IF(AD544="","",SUMIFS(Performance!$U$5:$U$404,Performance!$B$5:$B$404,A544))</f>
        <v>0</v>
      </c>
      <c r="AH544" s="23">
        <f>IF(A544="","",COUNTIF(Repurposing!$B$5:$B$154,A544))</f>
        <v>0</v>
      </c>
      <c r="AI544" s="32">
        <f>IF(OR(H544="",B544=""),"",B544+ROW()/100000)</f>
        <v>0</v>
      </c>
      <c r="AJ544" s="32">
        <f>IF(OR(H544="",B544=""),"",IF(OR(X544="Published",X544="Cancelled",X544="Archived"),"",IF(B544&lt;TODAY(),"",B544+ROW()/100000)))</f>
        <v>0</v>
      </c>
      <c r="AK544" s="32">
        <f>IF(OR(H544="",B544=""),"",IF(OR(X544="Published",X544="Cancelled",X544="Archived"),"",IF(B544&gt;=TODAY(),"",B544+ROW()/100000)))</f>
        <v>0</v>
      </c>
      <c r="AL544" s="29">
        <f>IF(H544="","",IF(COUNTIFS('Content Calendar'!$H$5:$H$604,H544,'Content Calendar'!$G$5:$G$604,G544,'Content Calendar'!$B$5:$B$604,B544)&gt;1,"Duplicate","OK"))</f>
        <v>0</v>
      </c>
      <c r="AM544" s="29">
        <f>IF(H544="","",IF(AND(B544&lt;&gt;"",B544&lt;TODAY(),X544&lt;&gt;"Published",X544&lt;&gt;"Cancelled",X544&lt;&gt;"Archived"),"Overdue - date has passed",IF(AND(X544="Published",AB544=""),"Add - publish link missing",IF(AND(B544=TODAY(),X544&lt;&gt;"Published"),"Today - due to go live",IF(AND(Y544&lt;&gt;"",Y544&lt;TODAY(),OR(X544="Idea",X544="Brief",X544="In production")),"Late - draft not ready",IF(AND(AA544&gt;=0,AA544&lt;=3,OR(X544="Draft",X544="Awaiting review")),"Due - needs approval",IF(AND(H544&lt;&gt;"",P544=""),"Add - caption missing","OK")))))))</f>
        <v>0</v>
      </c>
    </row>
    <row r="545" spans="1:39">
      <c r="A545" s="41">
        <f>IF(H545="","",ContentPrefix&amp;TEXT(ROW()-4,"0000"))</f>
        <v>0</v>
      </c>
      <c r="D545" s="17">
        <f>IF(B545="","",TEXT(B545,"yyyy-mm"))</f>
        <v>0</v>
      </c>
      <c r="E545" s="23">
        <f>IF(B545="","",WEEKNUM(B545,IF(WeekStart="Sunday",1,2)))</f>
        <v>0</v>
      </c>
      <c r="F545" s="17">
        <f>IF(B545="","",TEXT(B545,"ddd"))</f>
        <v>0</v>
      </c>
      <c r="Q545" s="29">
        <f>IF(H545="","",IF(P545="","Add - no caption",IFERROR(INDEX('Caption Bank'!$R$5:$R$204,MATCH(P545,'Caption Bank'!$B$5:$B$204,0)),"Check - not in bank")))</f>
        <v>0</v>
      </c>
      <c r="S545" s="23">
        <f>IF(R545="","",COUNTIF('Hashtag Bank'!$D$5:$D$304,R545))</f>
        <v>0</v>
      </c>
      <c r="U545" s="29">
        <f>IF(H545="","",IF(T545="","Add - no asset",IFERROR(INDEX(Assets!$N$5:$N$254,MATCH(T545,Assets!$A$5:$A$254,0)),"Check - not in library")))</f>
        <v>0</v>
      </c>
      <c r="Y545" s="16">
        <f>IF(B545="","",B545-ProductionDays)</f>
        <v>0</v>
      </c>
      <c r="Z545" s="16">
        <f>IF(B545="","",B545-ApprovalDays)</f>
        <v>0</v>
      </c>
      <c r="AA545" s="23">
        <f>IF(B545="","",B545-TODAY())</f>
        <v>0</v>
      </c>
      <c r="AC545" s="29">
        <f>IF(H545="","",IF(X545="Published",IF(AB545="","Add - link missing","Yes"),"No"))</f>
        <v>0</v>
      </c>
      <c r="AD545" s="23">
        <f>IF(A545="","",IF(COUNTIF(Performance!$B$5:$B$404,A545)=0,"",SUMIFS(Performance!$O$5:$O$404,Performance!$B$5:$B$404,A545)))</f>
        <v>0</v>
      </c>
      <c r="AE545" s="23">
        <f>IF(AD545="","",SUMIFS(Performance!$Z$5:$Z$404,Performance!$B$5:$B$404,A545))</f>
        <v>0</v>
      </c>
      <c r="AF545" s="24">
        <f>IF(OR(AD545="",AD545=0),"",AE545/AD545)</f>
        <v>0</v>
      </c>
      <c r="AG545" s="23">
        <f>IF(AD545="","",SUMIFS(Performance!$U$5:$U$404,Performance!$B$5:$B$404,A545))</f>
        <v>0</v>
      </c>
      <c r="AH545" s="23">
        <f>IF(A545="","",COUNTIF(Repurposing!$B$5:$B$154,A545))</f>
        <v>0</v>
      </c>
      <c r="AI545" s="32">
        <f>IF(OR(H545="",B545=""),"",B545+ROW()/100000)</f>
        <v>0</v>
      </c>
      <c r="AJ545" s="32">
        <f>IF(OR(H545="",B545=""),"",IF(OR(X545="Published",X545="Cancelled",X545="Archived"),"",IF(B545&lt;TODAY(),"",B545+ROW()/100000)))</f>
        <v>0</v>
      </c>
      <c r="AK545" s="32">
        <f>IF(OR(H545="",B545=""),"",IF(OR(X545="Published",X545="Cancelled",X545="Archived"),"",IF(B545&gt;=TODAY(),"",B545+ROW()/100000)))</f>
        <v>0</v>
      </c>
      <c r="AL545" s="29">
        <f>IF(H545="","",IF(COUNTIFS('Content Calendar'!$H$5:$H$604,H545,'Content Calendar'!$G$5:$G$604,G545,'Content Calendar'!$B$5:$B$604,B545)&gt;1,"Duplicate","OK"))</f>
        <v>0</v>
      </c>
      <c r="AM545" s="29">
        <f>IF(H545="","",IF(AND(B545&lt;&gt;"",B545&lt;TODAY(),X545&lt;&gt;"Published",X545&lt;&gt;"Cancelled",X545&lt;&gt;"Archived"),"Overdue - date has passed",IF(AND(X545="Published",AB545=""),"Add - publish link missing",IF(AND(B545=TODAY(),X545&lt;&gt;"Published"),"Today - due to go live",IF(AND(Y545&lt;&gt;"",Y545&lt;TODAY(),OR(X545="Idea",X545="Brief",X545="In production")),"Late - draft not ready",IF(AND(AA545&gt;=0,AA545&lt;=3,OR(X545="Draft",X545="Awaiting review")),"Due - needs approval",IF(AND(H545&lt;&gt;"",P545=""),"Add - caption missing","OK")))))))</f>
        <v>0</v>
      </c>
    </row>
    <row r="546" spans="1:39">
      <c r="A546" s="41">
        <f>IF(H546="","",ContentPrefix&amp;TEXT(ROW()-4,"0000"))</f>
        <v>0</v>
      </c>
      <c r="D546" s="17">
        <f>IF(B546="","",TEXT(B546,"yyyy-mm"))</f>
        <v>0</v>
      </c>
      <c r="E546" s="23">
        <f>IF(B546="","",WEEKNUM(B546,IF(WeekStart="Sunday",1,2)))</f>
        <v>0</v>
      </c>
      <c r="F546" s="17">
        <f>IF(B546="","",TEXT(B546,"ddd"))</f>
        <v>0</v>
      </c>
      <c r="Q546" s="29">
        <f>IF(H546="","",IF(P546="","Add - no caption",IFERROR(INDEX('Caption Bank'!$R$5:$R$204,MATCH(P546,'Caption Bank'!$B$5:$B$204,0)),"Check - not in bank")))</f>
        <v>0</v>
      </c>
      <c r="S546" s="23">
        <f>IF(R546="","",COUNTIF('Hashtag Bank'!$D$5:$D$304,R546))</f>
        <v>0</v>
      </c>
      <c r="U546" s="29">
        <f>IF(H546="","",IF(T546="","Add - no asset",IFERROR(INDEX(Assets!$N$5:$N$254,MATCH(T546,Assets!$A$5:$A$254,0)),"Check - not in library")))</f>
        <v>0</v>
      </c>
      <c r="Y546" s="16">
        <f>IF(B546="","",B546-ProductionDays)</f>
        <v>0</v>
      </c>
      <c r="Z546" s="16">
        <f>IF(B546="","",B546-ApprovalDays)</f>
        <v>0</v>
      </c>
      <c r="AA546" s="23">
        <f>IF(B546="","",B546-TODAY())</f>
        <v>0</v>
      </c>
      <c r="AC546" s="29">
        <f>IF(H546="","",IF(X546="Published",IF(AB546="","Add - link missing","Yes"),"No"))</f>
        <v>0</v>
      </c>
      <c r="AD546" s="23">
        <f>IF(A546="","",IF(COUNTIF(Performance!$B$5:$B$404,A546)=0,"",SUMIFS(Performance!$O$5:$O$404,Performance!$B$5:$B$404,A546)))</f>
        <v>0</v>
      </c>
      <c r="AE546" s="23">
        <f>IF(AD546="","",SUMIFS(Performance!$Z$5:$Z$404,Performance!$B$5:$B$404,A546))</f>
        <v>0</v>
      </c>
      <c r="AF546" s="24">
        <f>IF(OR(AD546="",AD546=0),"",AE546/AD546)</f>
        <v>0</v>
      </c>
      <c r="AG546" s="23">
        <f>IF(AD546="","",SUMIFS(Performance!$U$5:$U$404,Performance!$B$5:$B$404,A546))</f>
        <v>0</v>
      </c>
      <c r="AH546" s="23">
        <f>IF(A546="","",COUNTIF(Repurposing!$B$5:$B$154,A546))</f>
        <v>0</v>
      </c>
      <c r="AI546" s="32">
        <f>IF(OR(H546="",B546=""),"",B546+ROW()/100000)</f>
        <v>0</v>
      </c>
      <c r="AJ546" s="32">
        <f>IF(OR(H546="",B546=""),"",IF(OR(X546="Published",X546="Cancelled",X546="Archived"),"",IF(B546&lt;TODAY(),"",B546+ROW()/100000)))</f>
        <v>0</v>
      </c>
      <c r="AK546" s="32">
        <f>IF(OR(H546="",B546=""),"",IF(OR(X546="Published",X546="Cancelled",X546="Archived"),"",IF(B546&gt;=TODAY(),"",B546+ROW()/100000)))</f>
        <v>0</v>
      </c>
      <c r="AL546" s="29">
        <f>IF(H546="","",IF(COUNTIFS('Content Calendar'!$H$5:$H$604,H546,'Content Calendar'!$G$5:$G$604,G546,'Content Calendar'!$B$5:$B$604,B546)&gt;1,"Duplicate","OK"))</f>
        <v>0</v>
      </c>
      <c r="AM546" s="29">
        <f>IF(H546="","",IF(AND(B546&lt;&gt;"",B546&lt;TODAY(),X546&lt;&gt;"Published",X546&lt;&gt;"Cancelled",X546&lt;&gt;"Archived"),"Overdue - date has passed",IF(AND(X546="Published",AB546=""),"Add - publish link missing",IF(AND(B546=TODAY(),X546&lt;&gt;"Published"),"Today - due to go live",IF(AND(Y546&lt;&gt;"",Y546&lt;TODAY(),OR(X546="Idea",X546="Brief",X546="In production")),"Late - draft not ready",IF(AND(AA546&gt;=0,AA546&lt;=3,OR(X546="Draft",X546="Awaiting review")),"Due - needs approval",IF(AND(H546&lt;&gt;"",P546=""),"Add - caption missing","OK")))))))</f>
        <v>0</v>
      </c>
    </row>
    <row r="547" spans="1:39">
      <c r="A547" s="41">
        <f>IF(H547="","",ContentPrefix&amp;TEXT(ROW()-4,"0000"))</f>
        <v>0</v>
      </c>
      <c r="D547" s="17">
        <f>IF(B547="","",TEXT(B547,"yyyy-mm"))</f>
        <v>0</v>
      </c>
      <c r="E547" s="23">
        <f>IF(B547="","",WEEKNUM(B547,IF(WeekStart="Sunday",1,2)))</f>
        <v>0</v>
      </c>
      <c r="F547" s="17">
        <f>IF(B547="","",TEXT(B547,"ddd"))</f>
        <v>0</v>
      </c>
      <c r="Q547" s="29">
        <f>IF(H547="","",IF(P547="","Add - no caption",IFERROR(INDEX('Caption Bank'!$R$5:$R$204,MATCH(P547,'Caption Bank'!$B$5:$B$204,0)),"Check - not in bank")))</f>
        <v>0</v>
      </c>
      <c r="S547" s="23">
        <f>IF(R547="","",COUNTIF('Hashtag Bank'!$D$5:$D$304,R547))</f>
        <v>0</v>
      </c>
      <c r="U547" s="29">
        <f>IF(H547="","",IF(T547="","Add - no asset",IFERROR(INDEX(Assets!$N$5:$N$254,MATCH(T547,Assets!$A$5:$A$254,0)),"Check - not in library")))</f>
        <v>0</v>
      </c>
      <c r="Y547" s="16">
        <f>IF(B547="","",B547-ProductionDays)</f>
        <v>0</v>
      </c>
      <c r="Z547" s="16">
        <f>IF(B547="","",B547-ApprovalDays)</f>
        <v>0</v>
      </c>
      <c r="AA547" s="23">
        <f>IF(B547="","",B547-TODAY())</f>
        <v>0</v>
      </c>
      <c r="AC547" s="29">
        <f>IF(H547="","",IF(X547="Published",IF(AB547="","Add - link missing","Yes"),"No"))</f>
        <v>0</v>
      </c>
      <c r="AD547" s="23">
        <f>IF(A547="","",IF(COUNTIF(Performance!$B$5:$B$404,A547)=0,"",SUMIFS(Performance!$O$5:$O$404,Performance!$B$5:$B$404,A547)))</f>
        <v>0</v>
      </c>
      <c r="AE547" s="23">
        <f>IF(AD547="","",SUMIFS(Performance!$Z$5:$Z$404,Performance!$B$5:$B$404,A547))</f>
        <v>0</v>
      </c>
      <c r="AF547" s="24">
        <f>IF(OR(AD547="",AD547=0),"",AE547/AD547)</f>
        <v>0</v>
      </c>
      <c r="AG547" s="23">
        <f>IF(AD547="","",SUMIFS(Performance!$U$5:$U$404,Performance!$B$5:$B$404,A547))</f>
        <v>0</v>
      </c>
      <c r="AH547" s="23">
        <f>IF(A547="","",COUNTIF(Repurposing!$B$5:$B$154,A547))</f>
        <v>0</v>
      </c>
      <c r="AI547" s="32">
        <f>IF(OR(H547="",B547=""),"",B547+ROW()/100000)</f>
        <v>0</v>
      </c>
      <c r="AJ547" s="32">
        <f>IF(OR(H547="",B547=""),"",IF(OR(X547="Published",X547="Cancelled",X547="Archived"),"",IF(B547&lt;TODAY(),"",B547+ROW()/100000)))</f>
        <v>0</v>
      </c>
      <c r="AK547" s="32">
        <f>IF(OR(H547="",B547=""),"",IF(OR(X547="Published",X547="Cancelled",X547="Archived"),"",IF(B547&gt;=TODAY(),"",B547+ROW()/100000)))</f>
        <v>0</v>
      </c>
      <c r="AL547" s="29">
        <f>IF(H547="","",IF(COUNTIFS('Content Calendar'!$H$5:$H$604,H547,'Content Calendar'!$G$5:$G$604,G547,'Content Calendar'!$B$5:$B$604,B547)&gt;1,"Duplicate","OK"))</f>
        <v>0</v>
      </c>
      <c r="AM547" s="29">
        <f>IF(H547="","",IF(AND(B547&lt;&gt;"",B547&lt;TODAY(),X547&lt;&gt;"Published",X547&lt;&gt;"Cancelled",X547&lt;&gt;"Archived"),"Overdue - date has passed",IF(AND(X547="Published",AB547=""),"Add - publish link missing",IF(AND(B547=TODAY(),X547&lt;&gt;"Published"),"Today - due to go live",IF(AND(Y547&lt;&gt;"",Y547&lt;TODAY(),OR(X547="Idea",X547="Brief",X547="In production")),"Late - draft not ready",IF(AND(AA547&gt;=0,AA547&lt;=3,OR(X547="Draft",X547="Awaiting review")),"Due - needs approval",IF(AND(H547&lt;&gt;"",P547=""),"Add - caption missing","OK")))))))</f>
        <v>0</v>
      </c>
    </row>
    <row r="548" spans="1:39">
      <c r="A548" s="41">
        <f>IF(H548="","",ContentPrefix&amp;TEXT(ROW()-4,"0000"))</f>
        <v>0</v>
      </c>
      <c r="D548" s="17">
        <f>IF(B548="","",TEXT(B548,"yyyy-mm"))</f>
        <v>0</v>
      </c>
      <c r="E548" s="23">
        <f>IF(B548="","",WEEKNUM(B548,IF(WeekStart="Sunday",1,2)))</f>
        <v>0</v>
      </c>
      <c r="F548" s="17">
        <f>IF(B548="","",TEXT(B548,"ddd"))</f>
        <v>0</v>
      </c>
      <c r="Q548" s="29">
        <f>IF(H548="","",IF(P548="","Add - no caption",IFERROR(INDEX('Caption Bank'!$R$5:$R$204,MATCH(P548,'Caption Bank'!$B$5:$B$204,0)),"Check - not in bank")))</f>
        <v>0</v>
      </c>
      <c r="S548" s="23">
        <f>IF(R548="","",COUNTIF('Hashtag Bank'!$D$5:$D$304,R548))</f>
        <v>0</v>
      </c>
      <c r="U548" s="29">
        <f>IF(H548="","",IF(T548="","Add - no asset",IFERROR(INDEX(Assets!$N$5:$N$254,MATCH(T548,Assets!$A$5:$A$254,0)),"Check - not in library")))</f>
        <v>0</v>
      </c>
      <c r="Y548" s="16">
        <f>IF(B548="","",B548-ProductionDays)</f>
        <v>0</v>
      </c>
      <c r="Z548" s="16">
        <f>IF(B548="","",B548-ApprovalDays)</f>
        <v>0</v>
      </c>
      <c r="AA548" s="23">
        <f>IF(B548="","",B548-TODAY())</f>
        <v>0</v>
      </c>
      <c r="AC548" s="29">
        <f>IF(H548="","",IF(X548="Published",IF(AB548="","Add - link missing","Yes"),"No"))</f>
        <v>0</v>
      </c>
      <c r="AD548" s="23">
        <f>IF(A548="","",IF(COUNTIF(Performance!$B$5:$B$404,A548)=0,"",SUMIFS(Performance!$O$5:$O$404,Performance!$B$5:$B$404,A548)))</f>
        <v>0</v>
      </c>
      <c r="AE548" s="23">
        <f>IF(AD548="","",SUMIFS(Performance!$Z$5:$Z$404,Performance!$B$5:$B$404,A548))</f>
        <v>0</v>
      </c>
      <c r="AF548" s="24">
        <f>IF(OR(AD548="",AD548=0),"",AE548/AD548)</f>
        <v>0</v>
      </c>
      <c r="AG548" s="23">
        <f>IF(AD548="","",SUMIFS(Performance!$U$5:$U$404,Performance!$B$5:$B$404,A548))</f>
        <v>0</v>
      </c>
      <c r="AH548" s="23">
        <f>IF(A548="","",COUNTIF(Repurposing!$B$5:$B$154,A548))</f>
        <v>0</v>
      </c>
      <c r="AI548" s="32">
        <f>IF(OR(H548="",B548=""),"",B548+ROW()/100000)</f>
        <v>0</v>
      </c>
      <c r="AJ548" s="32">
        <f>IF(OR(H548="",B548=""),"",IF(OR(X548="Published",X548="Cancelled",X548="Archived"),"",IF(B548&lt;TODAY(),"",B548+ROW()/100000)))</f>
        <v>0</v>
      </c>
      <c r="AK548" s="32">
        <f>IF(OR(H548="",B548=""),"",IF(OR(X548="Published",X548="Cancelled",X548="Archived"),"",IF(B548&gt;=TODAY(),"",B548+ROW()/100000)))</f>
        <v>0</v>
      </c>
      <c r="AL548" s="29">
        <f>IF(H548="","",IF(COUNTIFS('Content Calendar'!$H$5:$H$604,H548,'Content Calendar'!$G$5:$G$604,G548,'Content Calendar'!$B$5:$B$604,B548)&gt;1,"Duplicate","OK"))</f>
        <v>0</v>
      </c>
      <c r="AM548" s="29">
        <f>IF(H548="","",IF(AND(B548&lt;&gt;"",B548&lt;TODAY(),X548&lt;&gt;"Published",X548&lt;&gt;"Cancelled",X548&lt;&gt;"Archived"),"Overdue - date has passed",IF(AND(X548="Published",AB548=""),"Add - publish link missing",IF(AND(B548=TODAY(),X548&lt;&gt;"Published"),"Today - due to go live",IF(AND(Y548&lt;&gt;"",Y548&lt;TODAY(),OR(X548="Idea",X548="Brief",X548="In production")),"Late - draft not ready",IF(AND(AA548&gt;=0,AA548&lt;=3,OR(X548="Draft",X548="Awaiting review")),"Due - needs approval",IF(AND(H548&lt;&gt;"",P548=""),"Add - caption missing","OK")))))))</f>
        <v>0</v>
      </c>
    </row>
    <row r="549" spans="1:39">
      <c r="A549" s="41">
        <f>IF(H549="","",ContentPrefix&amp;TEXT(ROW()-4,"0000"))</f>
        <v>0</v>
      </c>
      <c r="D549" s="17">
        <f>IF(B549="","",TEXT(B549,"yyyy-mm"))</f>
        <v>0</v>
      </c>
      <c r="E549" s="23">
        <f>IF(B549="","",WEEKNUM(B549,IF(WeekStart="Sunday",1,2)))</f>
        <v>0</v>
      </c>
      <c r="F549" s="17">
        <f>IF(B549="","",TEXT(B549,"ddd"))</f>
        <v>0</v>
      </c>
      <c r="Q549" s="29">
        <f>IF(H549="","",IF(P549="","Add - no caption",IFERROR(INDEX('Caption Bank'!$R$5:$R$204,MATCH(P549,'Caption Bank'!$B$5:$B$204,0)),"Check - not in bank")))</f>
        <v>0</v>
      </c>
      <c r="S549" s="23">
        <f>IF(R549="","",COUNTIF('Hashtag Bank'!$D$5:$D$304,R549))</f>
        <v>0</v>
      </c>
      <c r="U549" s="29">
        <f>IF(H549="","",IF(T549="","Add - no asset",IFERROR(INDEX(Assets!$N$5:$N$254,MATCH(T549,Assets!$A$5:$A$254,0)),"Check - not in library")))</f>
        <v>0</v>
      </c>
      <c r="Y549" s="16">
        <f>IF(B549="","",B549-ProductionDays)</f>
        <v>0</v>
      </c>
      <c r="Z549" s="16">
        <f>IF(B549="","",B549-ApprovalDays)</f>
        <v>0</v>
      </c>
      <c r="AA549" s="23">
        <f>IF(B549="","",B549-TODAY())</f>
        <v>0</v>
      </c>
      <c r="AC549" s="29">
        <f>IF(H549="","",IF(X549="Published",IF(AB549="","Add - link missing","Yes"),"No"))</f>
        <v>0</v>
      </c>
      <c r="AD549" s="23">
        <f>IF(A549="","",IF(COUNTIF(Performance!$B$5:$B$404,A549)=0,"",SUMIFS(Performance!$O$5:$O$404,Performance!$B$5:$B$404,A549)))</f>
        <v>0</v>
      </c>
      <c r="AE549" s="23">
        <f>IF(AD549="","",SUMIFS(Performance!$Z$5:$Z$404,Performance!$B$5:$B$404,A549))</f>
        <v>0</v>
      </c>
      <c r="AF549" s="24">
        <f>IF(OR(AD549="",AD549=0),"",AE549/AD549)</f>
        <v>0</v>
      </c>
      <c r="AG549" s="23">
        <f>IF(AD549="","",SUMIFS(Performance!$U$5:$U$404,Performance!$B$5:$B$404,A549))</f>
        <v>0</v>
      </c>
      <c r="AH549" s="23">
        <f>IF(A549="","",COUNTIF(Repurposing!$B$5:$B$154,A549))</f>
        <v>0</v>
      </c>
      <c r="AI549" s="32">
        <f>IF(OR(H549="",B549=""),"",B549+ROW()/100000)</f>
        <v>0</v>
      </c>
      <c r="AJ549" s="32">
        <f>IF(OR(H549="",B549=""),"",IF(OR(X549="Published",X549="Cancelled",X549="Archived"),"",IF(B549&lt;TODAY(),"",B549+ROW()/100000)))</f>
        <v>0</v>
      </c>
      <c r="AK549" s="32">
        <f>IF(OR(H549="",B549=""),"",IF(OR(X549="Published",X549="Cancelled",X549="Archived"),"",IF(B549&gt;=TODAY(),"",B549+ROW()/100000)))</f>
        <v>0</v>
      </c>
      <c r="AL549" s="29">
        <f>IF(H549="","",IF(COUNTIFS('Content Calendar'!$H$5:$H$604,H549,'Content Calendar'!$G$5:$G$604,G549,'Content Calendar'!$B$5:$B$604,B549)&gt;1,"Duplicate","OK"))</f>
        <v>0</v>
      </c>
      <c r="AM549" s="29">
        <f>IF(H549="","",IF(AND(B549&lt;&gt;"",B549&lt;TODAY(),X549&lt;&gt;"Published",X549&lt;&gt;"Cancelled",X549&lt;&gt;"Archived"),"Overdue - date has passed",IF(AND(X549="Published",AB549=""),"Add - publish link missing",IF(AND(B549=TODAY(),X549&lt;&gt;"Published"),"Today - due to go live",IF(AND(Y549&lt;&gt;"",Y549&lt;TODAY(),OR(X549="Idea",X549="Brief",X549="In production")),"Late - draft not ready",IF(AND(AA549&gt;=0,AA549&lt;=3,OR(X549="Draft",X549="Awaiting review")),"Due - needs approval",IF(AND(H549&lt;&gt;"",P549=""),"Add - caption missing","OK")))))))</f>
        <v>0</v>
      </c>
    </row>
    <row r="550" spans="1:39">
      <c r="A550" s="41">
        <f>IF(H550="","",ContentPrefix&amp;TEXT(ROW()-4,"0000"))</f>
        <v>0</v>
      </c>
      <c r="D550" s="17">
        <f>IF(B550="","",TEXT(B550,"yyyy-mm"))</f>
        <v>0</v>
      </c>
      <c r="E550" s="23">
        <f>IF(B550="","",WEEKNUM(B550,IF(WeekStart="Sunday",1,2)))</f>
        <v>0</v>
      </c>
      <c r="F550" s="17">
        <f>IF(B550="","",TEXT(B550,"ddd"))</f>
        <v>0</v>
      </c>
      <c r="Q550" s="29">
        <f>IF(H550="","",IF(P550="","Add - no caption",IFERROR(INDEX('Caption Bank'!$R$5:$R$204,MATCH(P550,'Caption Bank'!$B$5:$B$204,0)),"Check - not in bank")))</f>
        <v>0</v>
      </c>
      <c r="S550" s="23">
        <f>IF(R550="","",COUNTIF('Hashtag Bank'!$D$5:$D$304,R550))</f>
        <v>0</v>
      </c>
      <c r="U550" s="29">
        <f>IF(H550="","",IF(T550="","Add - no asset",IFERROR(INDEX(Assets!$N$5:$N$254,MATCH(T550,Assets!$A$5:$A$254,0)),"Check - not in library")))</f>
        <v>0</v>
      </c>
      <c r="Y550" s="16">
        <f>IF(B550="","",B550-ProductionDays)</f>
        <v>0</v>
      </c>
      <c r="Z550" s="16">
        <f>IF(B550="","",B550-ApprovalDays)</f>
        <v>0</v>
      </c>
      <c r="AA550" s="23">
        <f>IF(B550="","",B550-TODAY())</f>
        <v>0</v>
      </c>
      <c r="AC550" s="29">
        <f>IF(H550="","",IF(X550="Published",IF(AB550="","Add - link missing","Yes"),"No"))</f>
        <v>0</v>
      </c>
      <c r="AD550" s="23">
        <f>IF(A550="","",IF(COUNTIF(Performance!$B$5:$B$404,A550)=0,"",SUMIFS(Performance!$O$5:$O$404,Performance!$B$5:$B$404,A550)))</f>
        <v>0</v>
      </c>
      <c r="AE550" s="23">
        <f>IF(AD550="","",SUMIFS(Performance!$Z$5:$Z$404,Performance!$B$5:$B$404,A550))</f>
        <v>0</v>
      </c>
      <c r="AF550" s="24">
        <f>IF(OR(AD550="",AD550=0),"",AE550/AD550)</f>
        <v>0</v>
      </c>
      <c r="AG550" s="23">
        <f>IF(AD550="","",SUMIFS(Performance!$U$5:$U$404,Performance!$B$5:$B$404,A550))</f>
        <v>0</v>
      </c>
      <c r="AH550" s="23">
        <f>IF(A550="","",COUNTIF(Repurposing!$B$5:$B$154,A550))</f>
        <v>0</v>
      </c>
      <c r="AI550" s="32">
        <f>IF(OR(H550="",B550=""),"",B550+ROW()/100000)</f>
        <v>0</v>
      </c>
      <c r="AJ550" s="32">
        <f>IF(OR(H550="",B550=""),"",IF(OR(X550="Published",X550="Cancelled",X550="Archived"),"",IF(B550&lt;TODAY(),"",B550+ROW()/100000)))</f>
        <v>0</v>
      </c>
      <c r="AK550" s="32">
        <f>IF(OR(H550="",B550=""),"",IF(OR(X550="Published",X550="Cancelled",X550="Archived"),"",IF(B550&gt;=TODAY(),"",B550+ROW()/100000)))</f>
        <v>0</v>
      </c>
      <c r="AL550" s="29">
        <f>IF(H550="","",IF(COUNTIFS('Content Calendar'!$H$5:$H$604,H550,'Content Calendar'!$G$5:$G$604,G550,'Content Calendar'!$B$5:$B$604,B550)&gt;1,"Duplicate","OK"))</f>
        <v>0</v>
      </c>
      <c r="AM550" s="29">
        <f>IF(H550="","",IF(AND(B550&lt;&gt;"",B550&lt;TODAY(),X550&lt;&gt;"Published",X550&lt;&gt;"Cancelled",X550&lt;&gt;"Archived"),"Overdue - date has passed",IF(AND(X550="Published",AB550=""),"Add - publish link missing",IF(AND(B550=TODAY(),X550&lt;&gt;"Published"),"Today - due to go live",IF(AND(Y550&lt;&gt;"",Y550&lt;TODAY(),OR(X550="Idea",X550="Brief",X550="In production")),"Late - draft not ready",IF(AND(AA550&gt;=0,AA550&lt;=3,OR(X550="Draft",X550="Awaiting review")),"Due - needs approval",IF(AND(H550&lt;&gt;"",P550=""),"Add - caption missing","OK")))))))</f>
        <v>0</v>
      </c>
    </row>
    <row r="551" spans="1:39">
      <c r="A551" s="41">
        <f>IF(H551="","",ContentPrefix&amp;TEXT(ROW()-4,"0000"))</f>
        <v>0</v>
      </c>
      <c r="D551" s="17">
        <f>IF(B551="","",TEXT(B551,"yyyy-mm"))</f>
        <v>0</v>
      </c>
      <c r="E551" s="23">
        <f>IF(B551="","",WEEKNUM(B551,IF(WeekStart="Sunday",1,2)))</f>
        <v>0</v>
      </c>
      <c r="F551" s="17">
        <f>IF(B551="","",TEXT(B551,"ddd"))</f>
        <v>0</v>
      </c>
      <c r="Q551" s="29">
        <f>IF(H551="","",IF(P551="","Add - no caption",IFERROR(INDEX('Caption Bank'!$R$5:$R$204,MATCH(P551,'Caption Bank'!$B$5:$B$204,0)),"Check - not in bank")))</f>
        <v>0</v>
      </c>
      <c r="S551" s="23">
        <f>IF(R551="","",COUNTIF('Hashtag Bank'!$D$5:$D$304,R551))</f>
        <v>0</v>
      </c>
      <c r="U551" s="29">
        <f>IF(H551="","",IF(T551="","Add - no asset",IFERROR(INDEX(Assets!$N$5:$N$254,MATCH(T551,Assets!$A$5:$A$254,0)),"Check - not in library")))</f>
        <v>0</v>
      </c>
      <c r="Y551" s="16">
        <f>IF(B551="","",B551-ProductionDays)</f>
        <v>0</v>
      </c>
      <c r="Z551" s="16">
        <f>IF(B551="","",B551-ApprovalDays)</f>
        <v>0</v>
      </c>
      <c r="AA551" s="23">
        <f>IF(B551="","",B551-TODAY())</f>
        <v>0</v>
      </c>
      <c r="AC551" s="29">
        <f>IF(H551="","",IF(X551="Published",IF(AB551="","Add - link missing","Yes"),"No"))</f>
        <v>0</v>
      </c>
      <c r="AD551" s="23">
        <f>IF(A551="","",IF(COUNTIF(Performance!$B$5:$B$404,A551)=0,"",SUMIFS(Performance!$O$5:$O$404,Performance!$B$5:$B$404,A551)))</f>
        <v>0</v>
      </c>
      <c r="AE551" s="23">
        <f>IF(AD551="","",SUMIFS(Performance!$Z$5:$Z$404,Performance!$B$5:$B$404,A551))</f>
        <v>0</v>
      </c>
      <c r="AF551" s="24">
        <f>IF(OR(AD551="",AD551=0),"",AE551/AD551)</f>
        <v>0</v>
      </c>
      <c r="AG551" s="23">
        <f>IF(AD551="","",SUMIFS(Performance!$U$5:$U$404,Performance!$B$5:$B$404,A551))</f>
        <v>0</v>
      </c>
      <c r="AH551" s="23">
        <f>IF(A551="","",COUNTIF(Repurposing!$B$5:$B$154,A551))</f>
        <v>0</v>
      </c>
      <c r="AI551" s="32">
        <f>IF(OR(H551="",B551=""),"",B551+ROW()/100000)</f>
        <v>0</v>
      </c>
      <c r="AJ551" s="32">
        <f>IF(OR(H551="",B551=""),"",IF(OR(X551="Published",X551="Cancelled",X551="Archived"),"",IF(B551&lt;TODAY(),"",B551+ROW()/100000)))</f>
        <v>0</v>
      </c>
      <c r="AK551" s="32">
        <f>IF(OR(H551="",B551=""),"",IF(OR(X551="Published",X551="Cancelled",X551="Archived"),"",IF(B551&gt;=TODAY(),"",B551+ROW()/100000)))</f>
        <v>0</v>
      </c>
      <c r="AL551" s="29">
        <f>IF(H551="","",IF(COUNTIFS('Content Calendar'!$H$5:$H$604,H551,'Content Calendar'!$G$5:$G$604,G551,'Content Calendar'!$B$5:$B$604,B551)&gt;1,"Duplicate","OK"))</f>
        <v>0</v>
      </c>
      <c r="AM551" s="29">
        <f>IF(H551="","",IF(AND(B551&lt;&gt;"",B551&lt;TODAY(),X551&lt;&gt;"Published",X551&lt;&gt;"Cancelled",X551&lt;&gt;"Archived"),"Overdue - date has passed",IF(AND(X551="Published",AB551=""),"Add - publish link missing",IF(AND(B551=TODAY(),X551&lt;&gt;"Published"),"Today - due to go live",IF(AND(Y551&lt;&gt;"",Y551&lt;TODAY(),OR(X551="Idea",X551="Brief",X551="In production")),"Late - draft not ready",IF(AND(AA551&gt;=0,AA551&lt;=3,OR(X551="Draft",X551="Awaiting review")),"Due - needs approval",IF(AND(H551&lt;&gt;"",P551=""),"Add - caption missing","OK")))))))</f>
        <v>0</v>
      </c>
    </row>
    <row r="552" spans="1:39">
      <c r="A552" s="41">
        <f>IF(H552="","",ContentPrefix&amp;TEXT(ROW()-4,"0000"))</f>
        <v>0</v>
      </c>
      <c r="D552" s="17">
        <f>IF(B552="","",TEXT(B552,"yyyy-mm"))</f>
        <v>0</v>
      </c>
      <c r="E552" s="23">
        <f>IF(B552="","",WEEKNUM(B552,IF(WeekStart="Sunday",1,2)))</f>
        <v>0</v>
      </c>
      <c r="F552" s="17">
        <f>IF(B552="","",TEXT(B552,"ddd"))</f>
        <v>0</v>
      </c>
      <c r="Q552" s="29">
        <f>IF(H552="","",IF(P552="","Add - no caption",IFERROR(INDEX('Caption Bank'!$R$5:$R$204,MATCH(P552,'Caption Bank'!$B$5:$B$204,0)),"Check - not in bank")))</f>
        <v>0</v>
      </c>
      <c r="S552" s="23">
        <f>IF(R552="","",COUNTIF('Hashtag Bank'!$D$5:$D$304,R552))</f>
        <v>0</v>
      </c>
      <c r="U552" s="29">
        <f>IF(H552="","",IF(T552="","Add - no asset",IFERROR(INDEX(Assets!$N$5:$N$254,MATCH(T552,Assets!$A$5:$A$254,0)),"Check - not in library")))</f>
        <v>0</v>
      </c>
      <c r="Y552" s="16">
        <f>IF(B552="","",B552-ProductionDays)</f>
        <v>0</v>
      </c>
      <c r="Z552" s="16">
        <f>IF(B552="","",B552-ApprovalDays)</f>
        <v>0</v>
      </c>
      <c r="AA552" s="23">
        <f>IF(B552="","",B552-TODAY())</f>
        <v>0</v>
      </c>
      <c r="AC552" s="29">
        <f>IF(H552="","",IF(X552="Published",IF(AB552="","Add - link missing","Yes"),"No"))</f>
        <v>0</v>
      </c>
      <c r="AD552" s="23">
        <f>IF(A552="","",IF(COUNTIF(Performance!$B$5:$B$404,A552)=0,"",SUMIFS(Performance!$O$5:$O$404,Performance!$B$5:$B$404,A552)))</f>
        <v>0</v>
      </c>
      <c r="AE552" s="23">
        <f>IF(AD552="","",SUMIFS(Performance!$Z$5:$Z$404,Performance!$B$5:$B$404,A552))</f>
        <v>0</v>
      </c>
      <c r="AF552" s="24">
        <f>IF(OR(AD552="",AD552=0),"",AE552/AD552)</f>
        <v>0</v>
      </c>
      <c r="AG552" s="23">
        <f>IF(AD552="","",SUMIFS(Performance!$U$5:$U$404,Performance!$B$5:$B$404,A552))</f>
        <v>0</v>
      </c>
      <c r="AH552" s="23">
        <f>IF(A552="","",COUNTIF(Repurposing!$B$5:$B$154,A552))</f>
        <v>0</v>
      </c>
      <c r="AI552" s="32">
        <f>IF(OR(H552="",B552=""),"",B552+ROW()/100000)</f>
        <v>0</v>
      </c>
      <c r="AJ552" s="32">
        <f>IF(OR(H552="",B552=""),"",IF(OR(X552="Published",X552="Cancelled",X552="Archived"),"",IF(B552&lt;TODAY(),"",B552+ROW()/100000)))</f>
        <v>0</v>
      </c>
      <c r="AK552" s="32">
        <f>IF(OR(H552="",B552=""),"",IF(OR(X552="Published",X552="Cancelled",X552="Archived"),"",IF(B552&gt;=TODAY(),"",B552+ROW()/100000)))</f>
        <v>0</v>
      </c>
      <c r="AL552" s="29">
        <f>IF(H552="","",IF(COUNTIFS('Content Calendar'!$H$5:$H$604,H552,'Content Calendar'!$G$5:$G$604,G552,'Content Calendar'!$B$5:$B$604,B552)&gt;1,"Duplicate","OK"))</f>
        <v>0</v>
      </c>
      <c r="AM552" s="29">
        <f>IF(H552="","",IF(AND(B552&lt;&gt;"",B552&lt;TODAY(),X552&lt;&gt;"Published",X552&lt;&gt;"Cancelled",X552&lt;&gt;"Archived"),"Overdue - date has passed",IF(AND(X552="Published",AB552=""),"Add - publish link missing",IF(AND(B552=TODAY(),X552&lt;&gt;"Published"),"Today - due to go live",IF(AND(Y552&lt;&gt;"",Y552&lt;TODAY(),OR(X552="Idea",X552="Brief",X552="In production")),"Late - draft not ready",IF(AND(AA552&gt;=0,AA552&lt;=3,OR(X552="Draft",X552="Awaiting review")),"Due - needs approval",IF(AND(H552&lt;&gt;"",P552=""),"Add - caption missing","OK")))))))</f>
        <v>0</v>
      </c>
    </row>
    <row r="553" spans="1:39">
      <c r="A553" s="41">
        <f>IF(H553="","",ContentPrefix&amp;TEXT(ROW()-4,"0000"))</f>
        <v>0</v>
      </c>
      <c r="D553" s="17">
        <f>IF(B553="","",TEXT(B553,"yyyy-mm"))</f>
        <v>0</v>
      </c>
      <c r="E553" s="23">
        <f>IF(B553="","",WEEKNUM(B553,IF(WeekStart="Sunday",1,2)))</f>
        <v>0</v>
      </c>
      <c r="F553" s="17">
        <f>IF(B553="","",TEXT(B553,"ddd"))</f>
        <v>0</v>
      </c>
      <c r="Q553" s="29">
        <f>IF(H553="","",IF(P553="","Add - no caption",IFERROR(INDEX('Caption Bank'!$R$5:$R$204,MATCH(P553,'Caption Bank'!$B$5:$B$204,0)),"Check - not in bank")))</f>
        <v>0</v>
      </c>
      <c r="S553" s="23">
        <f>IF(R553="","",COUNTIF('Hashtag Bank'!$D$5:$D$304,R553))</f>
        <v>0</v>
      </c>
      <c r="U553" s="29">
        <f>IF(H553="","",IF(T553="","Add - no asset",IFERROR(INDEX(Assets!$N$5:$N$254,MATCH(T553,Assets!$A$5:$A$254,0)),"Check - not in library")))</f>
        <v>0</v>
      </c>
      <c r="Y553" s="16">
        <f>IF(B553="","",B553-ProductionDays)</f>
        <v>0</v>
      </c>
      <c r="Z553" s="16">
        <f>IF(B553="","",B553-ApprovalDays)</f>
        <v>0</v>
      </c>
      <c r="AA553" s="23">
        <f>IF(B553="","",B553-TODAY())</f>
        <v>0</v>
      </c>
      <c r="AC553" s="29">
        <f>IF(H553="","",IF(X553="Published",IF(AB553="","Add - link missing","Yes"),"No"))</f>
        <v>0</v>
      </c>
      <c r="AD553" s="23">
        <f>IF(A553="","",IF(COUNTIF(Performance!$B$5:$B$404,A553)=0,"",SUMIFS(Performance!$O$5:$O$404,Performance!$B$5:$B$404,A553)))</f>
        <v>0</v>
      </c>
      <c r="AE553" s="23">
        <f>IF(AD553="","",SUMIFS(Performance!$Z$5:$Z$404,Performance!$B$5:$B$404,A553))</f>
        <v>0</v>
      </c>
      <c r="AF553" s="24">
        <f>IF(OR(AD553="",AD553=0),"",AE553/AD553)</f>
        <v>0</v>
      </c>
      <c r="AG553" s="23">
        <f>IF(AD553="","",SUMIFS(Performance!$U$5:$U$404,Performance!$B$5:$B$404,A553))</f>
        <v>0</v>
      </c>
      <c r="AH553" s="23">
        <f>IF(A553="","",COUNTIF(Repurposing!$B$5:$B$154,A553))</f>
        <v>0</v>
      </c>
      <c r="AI553" s="32">
        <f>IF(OR(H553="",B553=""),"",B553+ROW()/100000)</f>
        <v>0</v>
      </c>
      <c r="AJ553" s="32">
        <f>IF(OR(H553="",B553=""),"",IF(OR(X553="Published",X553="Cancelled",X553="Archived"),"",IF(B553&lt;TODAY(),"",B553+ROW()/100000)))</f>
        <v>0</v>
      </c>
      <c r="AK553" s="32">
        <f>IF(OR(H553="",B553=""),"",IF(OR(X553="Published",X553="Cancelled",X553="Archived"),"",IF(B553&gt;=TODAY(),"",B553+ROW()/100000)))</f>
        <v>0</v>
      </c>
      <c r="AL553" s="29">
        <f>IF(H553="","",IF(COUNTIFS('Content Calendar'!$H$5:$H$604,H553,'Content Calendar'!$G$5:$G$604,G553,'Content Calendar'!$B$5:$B$604,B553)&gt;1,"Duplicate","OK"))</f>
        <v>0</v>
      </c>
      <c r="AM553" s="29">
        <f>IF(H553="","",IF(AND(B553&lt;&gt;"",B553&lt;TODAY(),X553&lt;&gt;"Published",X553&lt;&gt;"Cancelled",X553&lt;&gt;"Archived"),"Overdue - date has passed",IF(AND(X553="Published",AB553=""),"Add - publish link missing",IF(AND(B553=TODAY(),X553&lt;&gt;"Published"),"Today - due to go live",IF(AND(Y553&lt;&gt;"",Y553&lt;TODAY(),OR(X553="Idea",X553="Brief",X553="In production")),"Late - draft not ready",IF(AND(AA553&gt;=0,AA553&lt;=3,OR(X553="Draft",X553="Awaiting review")),"Due - needs approval",IF(AND(H553&lt;&gt;"",P553=""),"Add - caption missing","OK")))))))</f>
        <v>0</v>
      </c>
    </row>
    <row r="554" spans="1:39">
      <c r="A554" s="41">
        <f>IF(H554="","",ContentPrefix&amp;TEXT(ROW()-4,"0000"))</f>
        <v>0</v>
      </c>
      <c r="D554" s="17">
        <f>IF(B554="","",TEXT(B554,"yyyy-mm"))</f>
        <v>0</v>
      </c>
      <c r="E554" s="23">
        <f>IF(B554="","",WEEKNUM(B554,IF(WeekStart="Sunday",1,2)))</f>
        <v>0</v>
      </c>
      <c r="F554" s="17">
        <f>IF(B554="","",TEXT(B554,"ddd"))</f>
        <v>0</v>
      </c>
      <c r="Q554" s="29">
        <f>IF(H554="","",IF(P554="","Add - no caption",IFERROR(INDEX('Caption Bank'!$R$5:$R$204,MATCH(P554,'Caption Bank'!$B$5:$B$204,0)),"Check - not in bank")))</f>
        <v>0</v>
      </c>
      <c r="S554" s="23">
        <f>IF(R554="","",COUNTIF('Hashtag Bank'!$D$5:$D$304,R554))</f>
        <v>0</v>
      </c>
      <c r="U554" s="29">
        <f>IF(H554="","",IF(T554="","Add - no asset",IFERROR(INDEX(Assets!$N$5:$N$254,MATCH(T554,Assets!$A$5:$A$254,0)),"Check - not in library")))</f>
        <v>0</v>
      </c>
      <c r="Y554" s="16">
        <f>IF(B554="","",B554-ProductionDays)</f>
        <v>0</v>
      </c>
      <c r="Z554" s="16">
        <f>IF(B554="","",B554-ApprovalDays)</f>
        <v>0</v>
      </c>
      <c r="AA554" s="23">
        <f>IF(B554="","",B554-TODAY())</f>
        <v>0</v>
      </c>
      <c r="AC554" s="29">
        <f>IF(H554="","",IF(X554="Published",IF(AB554="","Add - link missing","Yes"),"No"))</f>
        <v>0</v>
      </c>
      <c r="AD554" s="23">
        <f>IF(A554="","",IF(COUNTIF(Performance!$B$5:$B$404,A554)=0,"",SUMIFS(Performance!$O$5:$O$404,Performance!$B$5:$B$404,A554)))</f>
        <v>0</v>
      </c>
      <c r="AE554" s="23">
        <f>IF(AD554="","",SUMIFS(Performance!$Z$5:$Z$404,Performance!$B$5:$B$404,A554))</f>
        <v>0</v>
      </c>
      <c r="AF554" s="24">
        <f>IF(OR(AD554="",AD554=0),"",AE554/AD554)</f>
        <v>0</v>
      </c>
      <c r="AG554" s="23">
        <f>IF(AD554="","",SUMIFS(Performance!$U$5:$U$404,Performance!$B$5:$B$404,A554))</f>
        <v>0</v>
      </c>
      <c r="AH554" s="23">
        <f>IF(A554="","",COUNTIF(Repurposing!$B$5:$B$154,A554))</f>
        <v>0</v>
      </c>
      <c r="AI554" s="32">
        <f>IF(OR(H554="",B554=""),"",B554+ROW()/100000)</f>
        <v>0</v>
      </c>
      <c r="AJ554" s="32">
        <f>IF(OR(H554="",B554=""),"",IF(OR(X554="Published",X554="Cancelled",X554="Archived"),"",IF(B554&lt;TODAY(),"",B554+ROW()/100000)))</f>
        <v>0</v>
      </c>
      <c r="AK554" s="32">
        <f>IF(OR(H554="",B554=""),"",IF(OR(X554="Published",X554="Cancelled",X554="Archived"),"",IF(B554&gt;=TODAY(),"",B554+ROW()/100000)))</f>
        <v>0</v>
      </c>
      <c r="AL554" s="29">
        <f>IF(H554="","",IF(COUNTIFS('Content Calendar'!$H$5:$H$604,H554,'Content Calendar'!$G$5:$G$604,G554,'Content Calendar'!$B$5:$B$604,B554)&gt;1,"Duplicate","OK"))</f>
        <v>0</v>
      </c>
      <c r="AM554" s="29">
        <f>IF(H554="","",IF(AND(B554&lt;&gt;"",B554&lt;TODAY(),X554&lt;&gt;"Published",X554&lt;&gt;"Cancelled",X554&lt;&gt;"Archived"),"Overdue - date has passed",IF(AND(X554="Published",AB554=""),"Add - publish link missing",IF(AND(B554=TODAY(),X554&lt;&gt;"Published"),"Today - due to go live",IF(AND(Y554&lt;&gt;"",Y554&lt;TODAY(),OR(X554="Idea",X554="Brief",X554="In production")),"Late - draft not ready",IF(AND(AA554&gt;=0,AA554&lt;=3,OR(X554="Draft",X554="Awaiting review")),"Due - needs approval",IF(AND(H554&lt;&gt;"",P554=""),"Add - caption missing","OK")))))))</f>
        <v>0</v>
      </c>
    </row>
    <row r="555" spans="1:39">
      <c r="A555" s="41">
        <f>IF(H555="","",ContentPrefix&amp;TEXT(ROW()-4,"0000"))</f>
        <v>0</v>
      </c>
      <c r="D555" s="17">
        <f>IF(B555="","",TEXT(B555,"yyyy-mm"))</f>
        <v>0</v>
      </c>
      <c r="E555" s="23">
        <f>IF(B555="","",WEEKNUM(B555,IF(WeekStart="Sunday",1,2)))</f>
        <v>0</v>
      </c>
      <c r="F555" s="17">
        <f>IF(B555="","",TEXT(B555,"ddd"))</f>
        <v>0</v>
      </c>
      <c r="Q555" s="29">
        <f>IF(H555="","",IF(P555="","Add - no caption",IFERROR(INDEX('Caption Bank'!$R$5:$R$204,MATCH(P555,'Caption Bank'!$B$5:$B$204,0)),"Check - not in bank")))</f>
        <v>0</v>
      </c>
      <c r="S555" s="23">
        <f>IF(R555="","",COUNTIF('Hashtag Bank'!$D$5:$D$304,R555))</f>
        <v>0</v>
      </c>
      <c r="U555" s="29">
        <f>IF(H555="","",IF(T555="","Add - no asset",IFERROR(INDEX(Assets!$N$5:$N$254,MATCH(T555,Assets!$A$5:$A$254,0)),"Check - not in library")))</f>
        <v>0</v>
      </c>
      <c r="Y555" s="16">
        <f>IF(B555="","",B555-ProductionDays)</f>
        <v>0</v>
      </c>
      <c r="Z555" s="16">
        <f>IF(B555="","",B555-ApprovalDays)</f>
        <v>0</v>
      </c>
      <c r="AA555" s="23">
        <f>IF(B555="","",B555-TODAY())</f>
        <v>0</v>
      </c>
      <c r="AC555" s="29">
        <f>IF(H555="","",IF(X555="Published",IF(AB555="","Add - link missing","Yes"),"No"))</f>
        <v>0</v>
      </c>
      <c r="AD555" s="23">
        <f>IF(A555="","",IF(COUNTIF(Performance!$B$5:$B$404,A555)=0,"",SUMIFS(Performance!$O$5:$O$404,Performance!$B$5:$B$404,A555)))</f>
        <v>0</v>
      </c>
      <c r="AE555" s="23">
        <f>IF(AD555="","",SUMIFS(Performance!$Z$5:$Z$404,Performance!$B$5:$B$404,A555))</f>
        <v>0</v>
      </c>
      <c r="AF555" s="24">
        <f>IF(OR(AD555="",AD555=0),"",AE555/AD555)</f>
        <v>0</v>
      </c>
      <c r="AG555" s="23">
        <f>IF(AD555="","",SUMIFS(Performance!$U$5:$U$404,Performance!$B$5:$B$404,A555))</f>
        <v>0</v>
      </c>
      <c r="AH555" s="23">
        <f>IF(A555="","",COUNTIF(Repurposing!$B$5:$B$154,A555))</f>
        <v>0</v>
      </c>
      <c r="AI555" s="32">
        <f>IF(OR(H555="",B555=""),"",B555+ROW()/100000)</f>
        <v>0</v>
      </c>
      <c r="AJ555" s="32">
        <f>IF(OR(H555="",B555=""),"",IF(OR(X555="Published",X555="Cancelled",X555="Archived"),"",IF(B555&lt;TODAY(),"",B555+ROW()/100000)))</f>
        <v>0</v>
      </c>
      <c r="AK555" s="32">
        <f>IF(OR(H555="",B555=""),"",IF(OR(X555="Published",X555="Cancelled",X555="Archived"),"",IF(B555&gt;=TODAY(),"",B555+ROW()/100000)))</f>
        <v>0</v>
      </c>
      <c r="AL555" s="29">
        <f>IF(H555="","",IF(COUNTIFS('Content Calendar'!$H$5:$H$604,H555,'Content Calendar'!$G$5:$G$604,G555,'Content Calendar'!$B$5:$B$604,B555)&gt;1,"Duplicate","OK"))</f>
        <v>0</v>
      </c>
      <c r="AM555" s="29">
        <f>IF(H555="","",IF(AND(B555&lt;&gt;"",B555&lt;TODAY(),X555&lt;&gt;"Published",X555&lt;&gt;"Cancelled",X555&lt;&gt;"Archived"),"Overdue - date has passed",IF(AND(X555="Published",AB555=""),"Add - publish link missing",IF(AND(B555=TODAY(),X555&lt;&gt;"Published"),"Today - due to go live",IF(AND(Y555&lt;&gt;"",Y555&lt;TODAY(),OR(X555="Idea",X555="Brief",X555="In production")),"Late - draft not ready",IF(AND(AA555&gt;=0,AA555&lt;=3,OR(X555="Draft",X555="Awaiting review")),"Due - needs approval",IF(AND(H555&lt;&gt;"",P555=""),"Add - caption missing","OK")))))))</f>
        <v>0</v>
      </c>
    </row>
    <row r="556" spans="1:39">
      <c r="A556" s="41">
        <f>IF(H556="","",ContentPrefix&amp;TEXT(ROW()-4,"0000"))</f>
        <v>0</v>
      </c>
      <c r="D556" s="17">
        <f>IF(B556="","",TEXT(B556,"yyyy-mm"))</f>
        <v>0</v>
      </c>
      <c r="E556" s="23">
        <f>IF(B556="","",WEEKNUM(B556,IF(WeekStart="Sunday",1,2)))</f>
        <v>0</v>
      </c>
      <c r="F556" s="17">
        <f>IF(B556="","",TEXT(B556,"ddd"))</f>
        <v>0</v>
      </c>
      <c r="Q556" s="29">
        <f>IF(H556="","",IF(P556="","Add - no caption",IFERROR(INDEX('Caption Bank'!$R$5:$R$204,MATCH(P556,'Caption Bank'!$B$5:$B$204,0)),"Check - not in bank")))</f>
        <v>0</v>
      </c>
      <c r="S556" s="23">
        <f>IF(R556="","",COUNTIF('Hashtag Bank'!$D$5:$D$304,R556))</f>
        <v>0</v>
      </c>
      <c r="U556" s="29">
        <f>IF(H556="","",IF(T556="","Add - no asset",IFERROR(INDEX(Assets!$N$5:$N$254,MATCH(T556,Assets!$A$5:$A$254,0)),"Check - not in library")))</f>
        <v>0</v>
      </c>
      <c r="Y556" s="16">
        <f>IF(B556="","",B556-ProductionDays)</f>
        <v>0</v>
      </c>
      <c r="Z556" s="16">
        <f>IF(B556="","",B556-ApprovalDays)</f>
        <v>0</v>
      </c>
      <c r="AA556" s="23">
        <f>IF(B556="","",B556-TODAY())</f>
        <v>0</v>
      </c>
      <c r="AC556" s="29">
        <f>IF(H556="","",IF(X556="Published",IF(AB556="","Add - link missing","Yes"),"No"))</f>
        <v>0</v>
      </c>
      <c r="AD556" s="23">
        <f>IF(A556="","",IF(COUNTIF(Performance!$B$5:$B$404,A556)=0,"",SUMIFS(Performance!$O$5:$O$404,Performance!$B$5:$B$404,A556)))</f>
        <v>0</v>
      </c>
      <c r="AE556" s="23">
        <f>IF(AD556="","",SUMIFS(Performance!$Z$5:$Z$404,Performance!$B$5:$B$404,A556))</f>
        <v>0</v>
      </c>
      <c r="AF556" s="24">
        <f>IF(OR(AD556="",AD556=0),"",AE556/AD556)</f>
        <v>0</v>
      </c>
      <c r="AG556" s="23">
        <f>IF(AD556="","",SUMIFS(Performance!$U$5:$U$404,Performance!$B$5:$B$404,A556))</f>
        <v>0</v>
      </c>
      <c r="AH556" s="23">
        <f>IF(A556="","",COUNTIF(Repurposing!$B$5:$B$154,A556))</f>
        <v>0</v>
      </c>
      <c r="AI556" s="32">
        <f>IF(OR(H556="",B556=""),"",B556+ROW()/100000)</f>
        <v>0</v>
      </c>
      <c r="AJ556" s="32">
        <f>IF(OR(H556="",B556=""),"",IF(OR(X556="Published",X556="Cancelled",X556="Archived"),"",IF(B556&lt;TODAY(),"",B556+ROW()/100000)))</f>
        <v>0</v>
      </c>
      <c r="AK556" s="32">
        <f>IF(OR(H556="",B556=""),"",IF(OR(X556="Published",X556="Cancelled",X556="Archived"),"",IF(B556&gt;=TODAY(),"",B556+ROW()/100000)))</f>
        <v>0</v>
      </c>
      <c r="AL556" s="29">
        <f>IF(H556="","",IF(COUNTIFS('Content Calendar'!$H$5:$H$604,H556,'Content Calendar'!$G$5:$G$604,G556,'Content Calendar'!$B$5:$B$604,B556)&gt;1,"Duplicate","OK"))</f>
        <v>0</v>
      </c>
      <c r="AM556" s="29">
        <f>IF(H556="","",IF(AND(B556&lt;&gt;"",B556&lt;TODAY(),X556&lt;&gt;"Published",X556&lt;&gt;"Cancelled",X556&lt;&gt;"Archived"),"Overdue - date has passed",IF(AND(X556="Published",AB556=""),"Add - publish link missing",IF(AND(B556=TODAY(),X556&lt;&gt;"Published"),"Today - due to go live",IF(AND(Y556&lt;&gt;"",Y556&lt;TODAY(),OR(X556="Idea",X556="Brief",X556="In production")),"Late - draft not ready",IF(AND(AA556&gt;=0,AA556&lt;=3,OR(X556="Draft",X556="Awaiting review")),"Due - needs approval",IF(AND(H556&lt;&gt;"",P556=""),"Add - caption missing","OK")))))))</f>
        <v>0</v>
      </c>
    </row>
    <row r="557" spans="1:39">
      <c r="A557" s="41">
        <f>IF(H557="","",ContentPrefix&amp;TEXT(ROW()-4,"0000"))</f>
        <v>0</v>
      </c>
      <c r="D557" s="17">
        <f>IF(B557="","",TEXT(B557,"yyyy-mm"))</f>
        <v>0</v>
      </c>
      <c r="E557" s="23">
        <f>IF(B557="","",WEEKNUM(B557,IF(WeekStart="Sunday",1,2)))</f>
        <v>0</v>
      </c>
      <c r="F557" s="17">
        <f>IF(B557="","",TEXT(B557,"ddd"))</f>
        <v>0</v>
      </c>
      <c r="Q557" s="29">
        <f>IF(H557="","",IF(P557="","Add - no caption",IFERROR(INDEX('Caption Bank'!$R$5:$R$204,MATCH(P557,'Caption Bank'!$B$5:$B$204,0)),"Check - not in bank")))</f>
        <v>0</v>
      </c>
      <c r="S557" s="23">
        <f>IF(R557="","",COUNTIF('Hashtag Bank'!$D$5:$D$304,R557))</f>
        <v>0</v>
      </c>
      <c r="U557" s="29">
        <f>IF(H557="","",IF(T557="","Add - no asset",IFERROR(INDEX(Assets!$N$5:$N$254,MATCH(T557,Assets!$A$5:$A$254,0)),"Check - not in library")))</f>
        <v>0</v>
      </c>
      <c r="Y557" s="16">
        <f>IF(B557="","",B557-ProductionDays)</f>
        <v>0</v>
      </c>
      <c r="Z557" s="16">
        <f>IF(B557="","",B557-ApprovalDays)</f>
        <v>0</v>
      </c>
      <c r="AA557" s="23">
        <f>IF(B557="","",B557-TODAY())</f>
        <v>0</v>
      </c>
      <c r="AC557" s="29">
        <f>IF(H557="","",IF(X557="Published",IF(AB557="","Add - link missing","Yes"),"No"))</f>
        <v>0</v>
      </c>
      <c r="AD557" s="23">
        <f>IF(A557="","",IF(COUNTIF(Performance!$B$5:$B$404,A557)=0,"",SUMIFS(Performance!$O$5:$O$404,Performance!$B$5:$B$404,A557)))</f>
        <v>0</v>
      </c>
      <c r="AE557" s="23">
        <f>IF(AD557="","",SUMIFS(Performance!$Z$5:$Z$404,Performance!$B$5:$B$404,A557))</f>
        <v>0</v>
      </c>
      <c r="AF557" s="24">
        <f>IF(OR(AD557="",AD557=0),"",AE557/AD557)</f>
        <v>0</v>
      </c>
      <c r="AG557" s="23">
        <f>IF(AD557="","",SUMIFS(Performance!$U$5:$U$404,Performance!$B$5:$B$404,A557))</f>
        <v>0</v>
      </c>
      <c r="AH557" s="23">
        <f>IF(A557="","",COUNTIF(Repurposing!$B$5:$B$154,A557))</f>
        <v>0</v>
      </c>
      <c r="AI557" s="32">
        <f>IF(OR(H557="",B557=""),"",B557+ROW()/100000)</f>
        <v>0</v>
      </c>
      <c r="AJ557" s="32">
        <f>IF(OR(H557="",B557=""),"",IF(OR(X557="Published",X557="Cancelled",X557="Archived"),"",IF(B557&lt;TODAY(),"",B557+ROW()/100000)))</f>
        <v>0</v>
      </c>
      <c r="AK557" s="32">
        <f>IF(OR(H557="",B557=""),"",IF(OR(X557="Published",X557="Cancelled",X557="Archived"),"",IF(B557&gt;=TODAY(),"",B557+ROW()/100000)))</f>
        <v>0</v>
      </c>
      <c r="AL557" s="29">
        <f>IF(H557="","",IF(COUNTIFS('Content Calendar'!$H$5:$H$604,H557,'Content Calendar'!$G$5:$G$604,G557,'Content Calendar'!$B$5:$B$604,B557)&gt;1,"Duplicate","OK"))</f>
        <v>0</v>
      </c>
      <c r="AM557" s="29">
        <f>IF(H557="","",IF(AND(B557&lt;&gt;"",B557&lt;TODAY(),X557&lt;&gt;"Published",X557&lt;&gt;"Cancelled",X557&lt;&gt;"Archived"),"Overdue - date has passed",IF(AND(X557="Published",AB557=""),"Add - publish link missing",IF(AND(B557=TODAY(),X557&lt;&gt;"Published"),"Today - due to go live",IF(AND(Y557&lt;&gt;"",Y557&lt;TODAY(),OR(X557="Idea",X557="Brief",X557="In production")),"Late - draft not ready",IF(AND(AA557&gt;=0,AA557&lt;=3,OR(X557="Draft",X557="Awaiting review")),"Due - needs approval",IF(AND(H557&lt;&gt;"",P557=""),"Add - caption missing","OK")))))))</f>
        <v>0</v>
      </c>
    </row>
    <row r="558" spans="1:39">
      <c r="A558" s="41">
        <f>IF(H558="","",ContentPrefix&amp;TEXT(ROW()-4,"0000"))</f>
        <v>0</v>
      </c>
      <c r="D558" s="17">
        <f>IF(B558="","",TEXT(B558,"yyyy-mm"))</f>
        <v>0</v>
      </c>
      <c r="E558" s="23">
        <f>IF(B558="","",WEEKNUM(B558,IF(WeekStart="Sunday",1,2)))</f>
        <v>0</v>
      </c>
      <c r="F558" s="17">
        <f>IF(B558="","",TEXT(B558,"ddd"))</f>
        <v>0</v>
      </c>
      <c r="Q558" s="29">
        <f>IF(H558="","",IF(P558="","Add - no caption",IFERROR(INDEX('Caption Bank'!$R$5:$R$204,MATCH(P558,'Caption Bank'!$B$5:$B$204,0)),"Check - not in bank")))</f>
        <v>0</v>
      </c>
      <c r="S558" s="23">
        <f>IF(R558="","",COUNTIF('Hashtag Bank'!$D$5:$D$304,R558))</f>
        <v>0</v>
      </c>
      <c r="U558" s="29">
        <f>IF(H558="","",IF(T558="","Add - no asset",IFERROR(INDEX(Assets!$N$5:$N$254,MATCH(T558,Assets!$A$5:$A$254,0)),"Check - not in library")))</f>
        <v>0</v>
      </c>
      <c r="Y558" s="16">
        <f>IF(B558="","",B558-ProductionDays)</f>
        <v>0</v>
      </c>
      <c r="Z558" s="16">
        <f>IF(B558="","",B558-ApprovalDays)</f>
        <v>0</v>
      </c>
      <c r="AA558" s="23">
        <f>IF(B558="","",B558-TODAY())</f>
        <v>0</v>
      </c>
      <c r="AC558" s="29">
        <f>IF(H558="","",IF(X558="Published",IF(AB558="","Add - link missing","Yes"),"No"))</f>
        <v>0</v>
      </c>
      <c r="AD558" s="23">
        <f>IF(A558="","",IF(COUNTIF(Performance!$B$5:$B$404,A558)=0,"",SUMIFS(Performance!$O$5:$O$404,Performance!$B$5:$B$404,A558)))</f>
        <v>0</v>
      </c>
      <c r="AE558" s="23">
        <f>IF(AD558="","",SUMIFS(Performance!$Z$5:$Z$404,Performance!$B$5:$B$404,A558))</f>
        <v>0</v>
      </c>
      <c r="AF558" s="24">
        <f>IF(OR(AD558="",AD558=0),"",AE558/AD558)</f>
        <v>0</v>
      </c>
      <c r="AG558" s="23">
        <f>IF(AD558="","",SUMIFS(Performance!$U$5:$U$404,Performance!$B$5:$B$404,A558))</f>
        <v>0</v>
      </c>
      <c r="AH558" s="23">
        <f>IF(A558="","",COUNTIF(Repurposing!$B$5:$B$154,A558))</f>
        <v>0</v>
      </c>
      <c r="AI558" s="32">
        <f>IF(OR(H558="",B558=""),"",B558+ROW()/100000)</f>
        <v>0</v>
      </c>
      <c r="AJ558" s="32">
        <f>IF(OR(H558="",B558=""),"",IF(OR(X558="Published",X558="Cancelled",X558="Archived"),"",IF(B558&lt;TODAY(),"",B558+ROW()/100000)))</f>
        <v>0</v>
      </c>
      <c r="AK558" s="32">
        <f>IF(OR(H558="",B558=""),"",IF(OR(X558="Published",X558="Cancelled",X558="Archived"),"",IF(B558&gt;=TODAY(),"",B558+ROW()/100000)))</f>
        <v>0</v>
      </c>
      <c r="AL558" s="29">
        <f>IF(H558="","",IF(COUNTIFS('Content Calendar'!$H$5:$H$604,H558,'Content Calendar'!$G$5:$G$604,G558,'Content Calendar'!$B$5:$B$604,B558)&gt;1,"Duplicate","OK"))</f>
        <v>0</v>
      </c>
      <c r="AM558" s="29">
        <f>IF(H558="","",IF(AND(B558&lt;&gt;"",B558&lt;TODAY(),X558&lt;&gt;"Published",X558&lt;&gt;"Cancelled",X558&lt;&gt;"Archived"),"Overdue - date has passed",IF(AND(X558="Published",AB558=""),"Add - publish link missing",IF(AND(B558=TODAY(),X558&lt;&gt;"Published"),"Today - due to go live",IF(AND(Y558&lt;&gt;"",Y558&lt;TODAY(),OR(X558="Idea",X558="Brief",X558="In production")),"Late - draft not ready",IF(AND(AA558&gt;=0,AA558&lt;=3,OR(X558="Draft",X558="Awaiting review")),"Due - needs approval",IF(AND(H558&lt;&gt;"",P558=""),"Add - caption missing","OK")))))))</f>
        <v>0</v>
      </c>
    </row>
    <row r="559" spans="1:39">
      <c r="A559" s="41">
        <f>IF(H559="","",ContentPrefix&amp;TEXT(ROW()-4,"0000"))</f>
        <v>0</v>
      </c>
      <c r="D559" s="17">
        <f>IF(B559="","",TEXT(B559,"yyyy-mm"))</f>
        <v>0</v>
      </c>
      <c r="E559" s="23">
        <f>IF(B559="","",WEEKNUM(B559,IF(WeekStart="Sunday",1,2)))</f>
        <v>0</v>
      </c>
      <c r="F559" s="17">
        <f>IF(B559="","",TEXT(B559,"ddd"))</f>
        <v>0</v>
      </c>
      <c r="Q559" s="29">
        <f>IF(H559="","",IF(P559="","Add - no caption",IFERROR(INDEX('Caption Bank'!$R$5:$R$204,MATCH(P559,'Caption Bank'!$B$5:$B$204,0)),"Check - not in bank")))</f>
        <v>0</v>
      </c>
      <c r="S559" s="23">
        <f>IF(R559="","",COUNTIF('Hashtag Bank'!$D$5:$D$304,R559))</f>
        <v>0</v>
      </c>
      <c r="U559" s="29">
        <f>IF(H559="","",IF(T559="","Add - no asset",IFERROR(INDEX(Assets!$N$5:$N$254,MATCH(T559,Assets!$A$5:$A$254,0)),"Check - not in library")))</f>
        <v>0</v>
      </c>
      <c r="Y559" s="16">
        <f>IF(B559="","",B559-ProductionDays)</f>
        <v>0</v>
      </c>
      <c r="Z559" s="16">
        <f>IF(B559="","",B559-ApprovalDays)</f>
        <v>0</v>
      </c>
      <c r="AA559" s="23">
        <f>IF(B559="","",B559-TODAY())</f>
        <v>0</v>
      </c>
      <c r="AC559" s="29">
        <f>IF(H559="","",IF(X559="Published",IF(AB559="","Add - link missing","Yes"),"No"))</f>
        <v>0</v>
      </c>
      <c r="AD559" s="23">
        <f>IF(A559="","",IF(COUNTIF(Performance!$B$5:$B$404,A559)=0,"",SUMIFS(Performance!$O$5:$O$404,Performance!$B$5:$B$404,A559)))</f>
        <v>0</v>
      </c>
      <c r="AE559" s="23">
        <f>IF(AD559="","",SUMIFS(Performance!$Z$5:$Z$404,Performance!$B$5:$B$404,A559))</f>
        <v>0</v>
      </c>
      <c r="AF559" s="24">
        <f>IF(OR(AD559="",AD559=0),"",AE559/AD559)</f>
        <v>0</v>
      </c>
      <c r="AG559" s="23">
        <f>IF(AD559="","",SUMIFS(Performance!$U$5:$U$404,Performance!$B$5:$B$404,A559))</f>
        <v>0</v>
      </c>
      <c r="AH559" s="23">
        <f>IF(A559="","",COUNTIF(Repurposing!$B$5:$B$154,A559))</f>
        <v>0</v>
      </c>
      <c r="AI559" s="32">
        <f>IF(OR(H559="",B559=""),"",B559+ROW()/100000)</f>
        <v>0</v>
      </c>
      <c r="AJ559" s="32">
        <f>IF(OR(H559="",B559=""),"",IF(OR(X559="Published",X559="Cancelled",X559="Archived"),"",IF(B559&lt;TODAY(),"",B559+ROW()/100000)))</f>
        <v>0</v>
      </c>
      <c r="AK559" s="32">
        <f>IF(OR(H559="",B559=""),"",IF(OR(X559="Published",X559="Cancelled",X559="Archived"),"",IF(B559&gt;=TODAY(),"",B559+ROW()/100000)))</f>
        <v>0</v>
      </c>
      <c r="AL559" s="29">
        <f>IF(H559="","",IF(COUNTIFS('Content Calendar'!$H$5:$H$604,H559,'Content Calendar'!$G$5:$G$604,G559,'Content Calendar'!$B$5:$B$604,B559)&gt;1,"Duplicate","OK"))</f>
        <v>0</v>
      </c>
      <c r="AM559" s="29">
        <f>IF(H559="","",IF(AND(B559&lt;&gt;"",B559&lt;TODAY(),X559&lt;&gt;"Published",X559&lt;&gt;"Cancelled",X559&lt;&gt;"Archived"),"Overdue - date has passed",IF(AND(X559="Published",AB559=""),"Add - publish link missing",IF(AND(B559=TODAY(),X559&lt;&gt;"Published"),"Today - due to go live",IF(AND(Y559&lt;&gt;"",Y559&lt;TODAY(),OR(X559="Idea",X559="Brief",X559="In production")),"Late - draft not ready",IF(AND(AA559&gt;=0,AA559&lt;=3,OR(X559="Draft",X559="Awaiting review")),"Due - needs approval",IF(AND(H559&lt;&gt;"",P559=""),"Add - caption missing","OK")))))))</f>
        <v>0</v>
      </c>
    </row>
    <row r="560" spans="1:39">
      <c r="A560" s="41">
        <f>IF(H560="","",ContentPrefix&amp;TEXT(ROW()-4,"0000"))</f>
        <v>0</v>
      </c>
      <c r="D560" s="17">
        <f>IF(B560="","",TEXT(B560,"yyyy-mm"))</f>
        <v>0</v>
      </c>
      <c r="E560" s="23">
        <f>IF(B560="","",WEEKNUM(B560,IF(WeekStart="Sunday",1,2)))</f>
        <v>0</v>
      </c>
      <c r="F560" s="17">
        <f>IF(B560="","",TEXT(B560,"ddd"))</f>
        <v>0</v>
      </c>
      <c r="Q560" s="29">
        <f>IF(H560="","",IF(P560="","Add - no caption",IFERROR(INDEX('Caption Bank'!$R$5:$R$204,MATCH(P560,'Caption Bank'!$B$5:$B$204,0)),"Check - not in bank")))</f>
        <v>0</v>
      </c>
      <c r="S560" s="23">
        <f>IF(R560="","",COUNTIF('Hashtag Bank'!$D$5:$D$304,R560))</f>
        <v>0</v>
      </c>
      <c r="U560" s="29">
        <f>IF(H560="","",IF(T560="","Add - no asset",IFERROR(INDEX(Assets!$N$5:$N$254,MATCH(T560,Assets!$A$5:$A$254,0)),"Check - not in library")))</f>
        <v>0</v>
      </c>
      <c r="Y560" s="16">
        <f>IF(B560="","",B560-ProductionDays)</f>
        <v>0</v>
      </c>
      <c r="Z560" s="16">
        <f>IF(B560="","",B560-ApprovalDays)</f>
        <v>0</v>
      </c>
      <c r="AA560" s="23">
        <f>IF(B560="","",B560-TODAY())</f>
        <v>0</v>
      </c>
      <c r="AC560" s="29">
        <f>IF(H560="","",IF(X560="Published",IF(AB560="","Add - link missing","Yes"),"No"))</f>
        <v>0</v>
      </c>
      <c r="AD560" s="23">
        <f>IF(A560="","",IF(COUNTIF(Performance!$B$5:$B$404,A560)=0,"",SUMIFS(Performance!$O$5:$O$404,Performance!$B$5:$B$404,A560)))</f>
        <v>0</v>
      </c>
      <c r="AE560" s="23">
        <f>IF(AD560="","",SUMIFS(Performance!$Z$5:$Z$404,Performance!$B$5:$B$404,A560))</f>
        <v>0</v>
      </c>
      <c r="AF560" s="24">
        <f>IF(OR(AD560="",AD560=0),"",AE560/AD560)</f>
        <v>0</v>
      </c>
      <c r="AG560" s="23">
        <f>IF(AD560="","",SUMIFS(Performance!$U$5:$U$404,Performance!$B$5:$B$404,A560))</f>
        <v>0</v>
      </c>
      <c r="AH560" s="23">
        <f>IF(A560="","",COUNTIF(Repurposing!$B$5:$B$154,A560))</f>
        <v>0</v>
      </c>
      <c r="AI560" s="32">
        <f>IF(OR(H560="",B560=""),"",B560+ROW()/100000)</f>
        <v>0</v>
      </c>
      <c r="AJ560" s="32">
        <f>IF(OR(H560="",B560=""),"",IF(OR(X560="Published",X560="Cancelled",X560="Archived"),"",IF(B560&lt;TODAY(),"",B560+ROW()/100000)))</f>
        <v>0</v>
      </c>
      <c r="AK560" s="32">
        <f>IF(OR(H560="",B560=""),"",IF(OR(X560="Published",X560="Cancelled",X560="Archived"),"",IF(B560&gt;=TODAY(),"",B560+ROW()/100000)))</f>
        <v>0</v>
      </c>
      <c r="AL560" s="29">
        <f>IF(H560="","",IF(COUNTIFS('Content Calendar'!$H$5:$H$604,H560,'Content Calendar'!$G$5:$G$604,G560,'Content Calendar'!$B$5:$B$604,B560)&gt;1,"Duplicate","OK"))</f>
        <v>0</v>
      </c>
      <c r="AM560" s="29">
        <f>IF(H560="","",IF(AND(B560&lt;&gt;"",B560&lt;TODAY(),X560&lt;&gt;"Published",X560&lt;&gt;"Cancelled",X560&lt;&gt;"Archived"),"Overdue - date has passed",IF(AND(X560="Published",AB560=""),"Add - publish link missing",IF(AND(B560=TODAY(),X560&lt;&gt;"Published"),"Today - due to go live",IF(AND(Y560&lt;&gt;"",Y560&lt;TODAY(),OR(X560="Idea",X560="Brief",X560="In production")),"Late - draft not ready",IF(AND(AA560&gt;=0,AA560&lt;=3,OR(X560="Draft",X560="Awaiting review")),"Due - needs approval",IF(AND(H560&lt;&gt;"",P560=""),"Add - caption missing","OK")))))))</f>
        <v>0</v>
      </c>
    </row>
    <row r="561" spans="1:39">
      <c r="A561" s="41">
        <f>IF(H561="","",ContentPrefix&amp;TEXT(ROW()-4,"0000"))</f>
        <v>0</v>
      </c>
      <c r="D561" s="17">
        <f>IF(B561="","",TEXT(B561,"yyyy-mm"))</f>
        <v>0</v>
      </c>
      <c r="E561" s="23">
        <f>IF(B561="","",WEEKNUM(B561,IF(WeekStart="Sunday",1,2)))</f>
        <v>0</v>
      </c>
      <c r="F561" s="17">
        <f>IF(B561="","",TEXT(B561,"ddd"))</f>
        <v>0</v>
      </c>
      <c r="Q561" s="29">
        <f>IF(H561="","",IF(P561="","Add - no caption",IFERROR(INDEX('Caption Bank'!$R$5:$R$204,MATCH(P561,'Caption Bank'!$B$5:$B$204,0)),"Check - not in bank")))</f>
        <v>0</v>
      </c>
      <c r="S561" s="23">
        <f>IF(R561="","",COUNTIF('Hashtag Bank'!$D$5:$D$304,R561))</f>
        <v>0</v>
      </c>
      <c r="U561" s="29">
        <f>IF(H561="","",IF(T561="","Add - no asset",IFERROR(INDEX(Assets!$N$5:$N$254,MATCH(T561,Assets!$A$5:$A$254,0)),"Check - not in library")))</f>
        <v>0</v>
      </c>
      <c r="Y561" s="16">
        <f>IF(B561="","",B561-ProductionDays)</f>
        <v>0</v>
      </c>
      <c r="Z561" s="16">
        <f>IF(B561="","",B561-ApprovalDays)</f>
        <v>0</v>
      </c>
      <c r="AA561" s="23">
        <f>IF(B561="","",B561-TODAY())</f>
        <v>0</v>
      </c>
      <c r="AC561" s="29">
        <f>IF(H561="","",IF(X561="Published",IF(AB561="","Add - link missing","Yes"),"No"))</f>
        <v>0</v>
      </c>
      <c r="AD561" s="23">
        <f>IF(A561="","",IF(COUNTIF(Performance!$B$5:$B$404,A561)=0,"",SUMIFS(Performance!$O$5:$O$404,Performance!$B$5:$B$404,A561)))</f>
        <v>0</v>
      </c>
      <c r="AE561" s="23">
        <f>IF(AD561="","",SUMIFS(Performance!$Z$5:$Z$404,Performance!$B$5:$B$404,A561))</f>
        <v>0</v>
      </c>
      <c r="AF561" s="24">
        <f>IF(OR(AD561="",AD561=0),"",AE561/AD561)</f>
        <v>0</v>
      </c>
      <c r="AG561" s="23">
        <f>IF(AD561="","",SUMIFS(Performance!$U$5:$U$404,Performance!$B$5:$B$404,A561))</f>
        <v>0</v>
      </c>
      <c r="AH561" s="23">
        <f>IF(A561="","",COUNTIF(Repurposing!$B$5:$B$154,A561))</f>
        <v>0</v>
      </c>
      <c r="AI561" s="32">
        <f>IF(OR(H561="",B561=""),"",B561+ROW()/100000)</f>
        <v>0</v>
      </c>
      <c r="AJ561" s="32">
        <f>IF(OR(H561="",B561=""),"",IF(OR(X561="Published",X561="Cancelled",X561="Archived"),"",IF(B561&lt;TODAY(),"",B561+ROW()/100000)))</f>
        <v>0</v>
      </c>
      <c r="AK561" s="32">
        <f>IF(OR(H561="",B561=""),"",IF(OR(X561="Published",X561="Cancelled",X561="Archived"),"",IF(B561&gt;=TODAY(),"",B561+ROW()/100000)))</f>
        <v>0</v>
      </c>
      <c r="AL561" s="29">
        <f>IF(H561="","",IF(COUNTIFS('Content Calendar'!$H$5:$H$604,H561,'Content Calendar'!$G$5:$G$604,G561,'Content Calendar'!$B$5:$B$604,B561)&gt;1,"Duplicate","OK"))</f>
        <v>0</v>
      </c>
      <c r="AM561" s="29">
        <f>IF(H561="","",IF(AND(B561&lt;&gt;"",B561&lt;TODAY(),X561&lt;&gt;"Published",X561&lt;&gt;"Cancelled",X561&lt;&gt;"Archived"),"Overdue - date has passed",IF(AND(X561="Published",AB561=""),"Add - publish link missing",IF(AND(B561=TODAY(),X561&lt;&gt;"Published"),"Today - due to go live",IF(AND(Y561&lt;&gt;"",Y561&lt;TODAY(),OR(X561="Idea",X561="Brief",X561="In production")),"Late - draft not ready",IF(AND(AA561&gt;=0,AA561&lt;=3,OR(X561="Draft",X561="Awaiting review")),"Due - needs approval",IF(AND(H561&lt;&gt;"",P561=""),"Add - caption missing","OK")))))))</f>
        <v>0</v>
      </c>
    </row>
    <row r="562" spans="1:39">
      <c r="A562" s="41">
        <f>IF(H562="","",ContentPrefix&amp;TEXT(ROW()-4,"0000"))</f>
        <v>0</v>
      </c>
      <c r="D562" s="17">
        <f>IF(B562="","",TEXT(B562,"yyyy-mm"))</f>
        <v>0</v>
      </c>
      <c r="E562" s="23">
        <f>IF(B562="","",WEEKNUM(B562,IF(WeekStart="Sunday",1,2)))</f>
        <v>0</v>
      </c>
      <c r="F562" s="17">
        <f>IF(B562="","",TEXT(B562,"ddd"))</f>
        <v>0</v>
      </c>
      <c r="Q562" s="29">
        <f>IF(H562="","",IF(P562="","Add - no caption",IFERROR(INDEX('Caption Bank'!$R$5:$R$204,MATCH(P562,'Caption Bank'!$B$5:$B$204,0)),"Check - not in bank")))</f>
        <v>0</v>
      </c>
      <c r="S562" s="23">
        <f>IF(R562="","",COUNTIF('Hashtag Bank'!$D$5:$D$304,R562))</f>
        <v>0</v>
      </c>
      <c r="U562" s="29">
        <f>IF(H562="","",IF(T562="","Add - no asset",IFERROR(INDEX(Assets!$N$5:$N$254,MATCH(T562,Assets!$A$5:$A$254,0)),"Check - not in library")))</f>
        <v>0</v>
      </c>
      <c r="Y562" s="16">
        <f>IF(B562="","",B562-ProductionDays)</f>
        <v>0</v>
      </c>
      <c r="Z562" s="16">
        <f>IF(B562="","",B562-ApprovalDays)</f>
        <v>0</v>
      </c>
      <c r="AA562" s="23">
        <f>IF(B562="","",B562-TODAY())</f>
        <v>0</v>
      </c>
      <c r="AC562" s="29">
        <f>IF(H562="","",IF(X562="Published",IF(AB562="","Add - link missing","Yes"),"No"))</f>
        <v>0</v>
      </c>
      <c r="AD562" s="23">
        <f>IF(A562="","",IF(COUNTIF(Performance!$B$5:$B$404,A562)=0,"",SUMIFS(Performance!$O$5:$O$404,Performance!$B$5:$B$404,A562)))</f>
        <v>0</v>
      </c>
      <c r="AE562" s="23">
        <f>IF(AD562="","",SUMIFS(Performance!$Z$5:$Z$404,Performance!$B$5:$B$404,A562))</f>
        <v>0</v>
      </c>
      <c r="AF562" s="24">
        <f>IF(OR(AD562="",AD562=0),"",AE562/AD562)</f>
        <v>0</v>
      </c>
      <c r="AG562" s="23">
        <f>IF(AD562="","",SUMIFS(Performance!$U$5:$U$404,Performance!$B$5:$B$404,A562))</f>
        <v>0</v>
      </c>
      <c r="AH562" s="23">
        <f>IF(A562="","",COUNTIF(Repurposing!$B$5:$B$154,A562))</f>
        <v>0</v>
      </c>
      <c r="AI562" s="32">
        <f>IF(OR(H562="",B562=""),"",B562+ROW()/100000)</f>
        <v>0</v>
      </c>
      <c r="AJ562" s="32">
        <f>IF(OR(H562="",B562=""),"",IF(OR(X562="Published",X562="Cancelled",X562="Archived"),"",IF(B562&lt;TODAY(),"",B562+ROW()/100000)))</f>
        <v>0</v>
      </c>
      <c r="AK562" s="32">
        <f>IF(OR(H562="",B562=""),"",IF(OR(X562="Published",X562="Cancelled",X562="Archived"),"",IF(B562&gt;=TODAY(),"",B562+ROW()/100000)))</f>
        <v>0</v>
      </c>
      <c r="AL562" s="29">
        <f>IF(H562="","",IF(COUNTIFS('Content Calendar'!$H$5:$H$604,H562,'Content Calendar'!$G$5:$G$604,G562,'Content Calendar'!$B$5:$B$604,B562)&gt;1,"Duplicate","OK"))</f>
        <v>0</v>
      </c>
      <c r="AM562" s="29">
        <f>IF(H562="","",IF(AND(B562&lt;&gt;"",B562&lt;TODAY(),X562&lt;&gt;"Published",X562&lt;&gt;"Cancelled",X562&lt;&gt;"Archived"),"Overdue - date has passed",IF(AND(X562="Published",AB562=""),"Add - publish link missing",IF(AND(B562=TODAY(),X562&lt;&gt;"Published"),"Today - due to go live",IF(AND(Y562&lt;&gt;"",Y562&lt;TODAY(),OR(X562="Idea",X562="Brief",X562="In production")),"Late - draft not ready",IF(AND(AA562&gt;=0,AA562&lt;=3,OR(X562="Draft",X562="Awaiting review")),"Due - needs approval",IF(AND(H562&lt;&gt;"",P562=""),"Add - caption missing","OK")))))))</f>
        <v>0</v>
      </c>
    </row>
    <row r="563" spans="1:39">
      <c r="A563" s="41">
        <f>IF(H563="","",ContentPrefix&amp;TEXT(ROW()-4,"0000"))</f>
        <v>0</v>
      </c>
      <c r="D563" s="17">
        <f>IF(B563="","",TEXT(B563,"yyyy-mm"))</f>
        <v>0</v>
      </c>
      <c r="E563" s="23">
        <f>IF(B563="","",WEEKNUM(B563,IF(WeekStart="Sunday",1,2)))</f>
        <v>0</v>
      </c>
      <c r="F563" s="17">
        <f>IF(B563="","",TEXT(B563,"ddd"))</f>
        <v>0</v>
      </c>
      <c r="Q563" s="29">
        <f>IF(H563="","",IF(P563="","Add - no caption",IFERROR(INDEX('Caption Bank'!$R$5:$R$204,MATCH(P563,'Caption Bank'!$B$5:$B$204,0)),"Check - not in bank")))</f>
        <v>0</v>
      </c>
      <c r="S563" s="23">
        <f>IF(R563="","",COUNTIF('Hashtag Bank'!$D$5:$D$304,R563))</f>
        <v>0</v>
      </c>
      <c r="U563" s="29">
        <f>IF(H563="","",IF(T563="","Add - no asset",IFERROR(INDEX(Assets!$N$5:$N$254,MATCH(T563,Assets!$A$5:$A$254,0)),"Check - not in library")))</f>
        <v>0</v>
      </c>
      <c r="Y563" s="16">
        <f>IF(B563="","",B563-ProductionDays)</f>
        <v>0</v>
      </c>
      <c r="Z563" s="16">
        <f>IF(B563="","",B563-ApprovalDays)</f>
        <v>0</v>
      </c>
      <c r="AA563" s="23">
        <f>IF(B563="","",B563-TODAY())</f>
        <v>0</v>
      </c>
      <c r="AC563" s="29">
        <f>IF(H563="","",IF(X563="Published",IF(AB563="","Add - link missing","Yes"),"No"))</f>
        <v>0</v>
      </c>
      <c r="AD563" s="23">
        <f>IF(A563="","",IF(COUNTIF(Performance!$B$5:$B$404,A563)=0,"",SUMIFS(Performance!$O$5:$O$404,Performance!$B$5:$B$404,A563)))</f>
        <v>0</v>
      </c>
      <c r="AE563" s="23">
        <f>IF(AD563="","",SUMIFS(Performance!$Z$5:$Z$404,Performance!$B$5:$B$404,A563))</f>
        <v>0</v>
      </c>
      <c r="AF563" s="24">
        <f>IF(OR(AD563="",AD563=0),"",AE563/AD563)</f>
        <v>0</v>
      </c>
      <c r="AG563" s="23">
        <f>IF(AD563="","",SUMIFS(Performance!$U$5:$U$404,Performance!$B$5:$B$404,A563))</f>
        <v>0</v>
      </c>
      <c r="AH563" s="23">
        <f>IF(A563="","",COUNTIF(Repurposing!$B$5:$B$154,A563))</f>
        <v>0</v>
      </c>
      <c r="AI563" s="32">
        <f>IF(OR(H563="",B563=""),"",B563+ROW()/100000)</f>
        <v>0</v>
      </c>
      <c r="AJ563" s="32">
        <f>IF(OR(H563="",B563=""),"",IF(OR(X563="Published",X563="Cancelled",X563="Archived"),"",IF(B563&lt;TODAY(),"",B563+ROW()/100000)))</f>
        <v>0</v>
      </c>
      <c r="AK563" s="32">
        <f>IF(OR(H563="",B563=""),"",IF(OR(X563="Published",X563="Cancelled",X563="Archived"),"",IF(B563&gt;=TODAY(),"",B563+ROW()/100000)))</f>
        <v>0</v>
      </c>
      <c r="AL563" s="29">
        <f>IF(H563="","",IF(COUNTIFS('Content Calendar'!$H$5:$H$604,H563,'Content Calendar'!$G$5:$G$604,G563,'Content Calendar'!$B$5:$B$604,B563)&gt;1,"Duplicate","OK"))</f>
        <v>0</v>
      </c>
      <c r="AM563" s="29">
        <f>IF(H563="","",IF(AND(B563&lt;&gt;"",B563&lt;TODAY(),X563&lt;&gt;"Published",X563&lt;&gt;"Cancelled",X563&lt;&gt;"Archived"),"Overdue - date has passed",IF(AND(X563="Published",AB563=""),"Add - publish link missing",IF(AND(B563=TODAY(),X563&lt;&gt;"Published"),"Today - due to go live",IF(AND(Y563&lt;&gt;"",Y563&lt;TODAY(),OR(X563="Idea",X563="Brief",X563="In production")),"Late - draft not ready",IF(AND(AA563&gt;=0,AA563&lt;=3,OR(X563="Draft",X563="Awaiting review")),"Due - needs approval",IF(AND(H563&lt;&gt;"",P563=""),"Add - caption missing","OK")))))))</f>
        <v>0</v>
      </c>
    </row>
    <row r="564" spans="1:39">
      <c r="A564" s="41">
        <f>IF(H564="","",ContentPrefix&amp;TEXT(ROW()-4,"0000"))</f>
        <v>0</v>
      </c>
      <c r="D564" s="17">
        <f>IF(B564="","",TEXT(B564,"yyyy-mm"))</f>
        <v>0</v>
      </c>
      <c r="E564" s="23">
        <f>IF(B564="","",WEEKNUM(B564,IF(WeekStart="Sunday",1,2)))</f>
        <v>0</v>
      </c>
      <c r="F564" s="17">
        <f>IF(B564="","",TEXT(B564,"ddd"))</f>
        <v>0</v>
      </c>
      <c r="Q564" s="29">
        <f>IF(H564="","",IF(P564="","Add - no caption",IFERROR(INDEX('Caption Bank'!$R$5:$R$204,MATCH(P564,'Caption Bank'!$B$5:$B$204,0)),"Check - not in bank")))</f>
        <v>0</v>
      </c>
      <c r="S564" s="23">
        <f>IF(R564="","",COUNTIF('Hashtag Bank'!$D$5:$D$304,R564))</f>
        <v>0</v>
      </c>
      <c r="U564" s="29">
        <f>IF(H564="","",IF(T564="","Add - no asset",IFERROR(INDEX(Assets!$N$5:$N$254,MATCH(T564,Assets!$A$5:$A$254,0)),"Check - not in library")))</f>
        <v>0</v>
      </c>
      <c r="Y564" s="16">
        <f>IF(B564="","",B564-ProductionDays)</f>
        <v>0</v>
      </c>
      <c r="Z564" s="16">
        <f>IF(B564="","",B564-ApprovalDays)</f>
        <v>0</v>
      </c>
      <c r="AA564" s="23">
        <f>IF(B564="","",B564-TODAY())</f>
        <v>0</v>
      </c>
      <c r="AC564" s="29">
        <f>IF(H564="","",IF(X564="Published",IF(AB564="","Add - link missing","Yes"),"No"))</f>
        <v>0</v>
      </c>
      <c r="AD564" s="23">
        <f>IF(A564="","",IF(COUNTIF(Performance!$B$5:$B$404,A564)=0,"",SUMIFS(Performance!$O$5:$O$404,Performance!$B$5:$B$404,A564)))</f>
        <v>0</v>
      </c>
      <c r="AE564" s="23">
        <f>IF(AD564="","",SUMIFS(Performance!$Z$5:$Z$404,Performance!$B$5:$B$404,A564))</f>
        <v>0</v>
      </c>
      <c r="AF564" s="24">
        <f>IF(OR(AD564="",AD564=0),"",AE564/AD564)</f>
        <v>0</v>
      </c>
      <c r="AG564" s="23">
        <f>IF(AD564="","",SUMIFS(Performance!$U$5:$U$404,Performance!$B$5:$B$404,A564))</f>
        <v>0</v>
      </c>
      <c r="AH564" s="23">
        <f>IF(A564="","",COUNTIF(Repurposing!$B$5:$B$154,A564))</f>
        <v>0</v>
      </c>
      <c r="AI564" s="32">
        <f>IF(OR(H564="",B564=""),"",B564+ROW()/100000)</f>
        <v>0</v>
      </c>
      <c r="AJ564" s="32">
        <f>IF(OR(H564="",B564=""),"",IF(OR(X564="Published",X564="Cancelled",X564="Archived"),"",IF(B564&lt;TODAY(),"",B564+ROW()/100000)))</f>
        <v>0</v>
      </c>
      <c r="AK564" s="32">
        <f>IF(OR(H564="",B564=""),"",IF(OR(X564="Published",X564="Cancelled",X564="Archived"),"",IF(B564&gt;=TODAY(),"",B564+ROW()/100000)))</f>
        <v>0</v>
      </c>
      <c r="AL564" s="29">
        <f>IF(H564="","",IF(COUNTIFS('Content Calendar'!$H$5:$H$604,H564,'Content Calendar'!$G$5:$G$604,G564,'Content Calendar'!$B$5:$B$604,B564)&gt;1,"Duplicate","OK"))</f>
        <v>0</v>
      </c>
      <c r="AM564" s="29">
        <f>IF(H564="","",IF(AND(B564&lt;&gt;"",B564&lt;TODAY(),X564&lt;&gt;"Published",X564&lt;&gt;"Cancelled",X564&lt;&gt;"Archived"),"Overdue - date has passed",IF(AND(X564="Published",AB564=""),"Add - publish link missing",IF(AND(B564=TODAY(),X564&lt;&gt;"Published"),"Today - due to go live",IF(AND(Y564&lt;&gt;"",Y564&lt;TODAY(),OR(X564="Idea",X564="Brief",X564="In production")),"Late - draft not ready",IF(AND(AA564&gt;=0,AA564&lt;=3,OR(X564="Draft",X564="Awaiting review")),"Due - needs approval",IF(AND(H564&lt;&gt;"",P564=""),"Add - caption missing","OK")))))))</f>
        <v>0</v>
      </c>
    </row>
    <row r="565" spans="1:39">
      <c r="A565" s="41">
        <f>IF(H565="","",ContentPrefix&amp;TEXT(ROW()-4,"0000"))</f>
        <v>0</v>
      </c>
      <c r="D565" s="17">
        <f>IF(B565="","",TEXT(B565,"yyyy-mm"))</f>
        <v>0</v>
      </c>
      <c r="E565" s="23">
        <f>IF(B565="","",WEEKNUM(B565,IF(WeekStart="Sunday",1,2)))</f>
        <v>0</v>
      </c>
      <c r="F565" s="17">
        <f>IF(B565="","",TEXT(B565,"ddd"))</f>
        <v>0</v>
      </c>
      <c r="Q565" s="29">
        <f>IF(H565="","",IF(P565="","Add - no caption",IFERROR(INDEX('Caption Bank'!$R$5:$R$204,MATCH(P565,'Caption Bank'!$B$5:$B$204,0)),"Check - not in bank")))</f>
        <v>0</v>
      </c>
      <c r="S565" s="23">
        <f>IF(R565="","",COUNTIF('Hashtag Bank'!$D$5:$D$304,R565))</f>
        <v>0</v>
      </c>
      <c r="U565" s="29">
        <f>IF(H565="","",IF(T565="","Add - no asset",IFERROR(INDEX(Assets!$N$5:$N$254,MATCH(T565,Assets!$A$5:$A$254,0)),"Check - not in library")))</f>
        <v>0</v>
      </c>
      <c r="Y565" s="16">
        <f>IF(B565="","",B565-ProductionDays)</f>
        <v>0</v>
      </c>
      <c r="Z565" s="16">
        <f>IF(B565="","",B565-ApprovalDays)</f>
        <v>0</v>
      </c>
      <c r="AA565" s="23">
        <f>IF(B565="","",B565-TODAY())</f>
        <v>0</v>
      </c>
      <c r="AC565" s="29">
        <f>IF(H565="","",IF(X565="Published",IF(AB565="","Add - link missing","Yes"),"No"))</f>
        <v>0</v>
      </c>
      <c r="AD565" s="23">
        <f>IF(A565="","",IF(COUNTIF(Performance!$B$5:$B$404,A565)=0,"",SUMIFS(Performance!$O$5:$O$404,Performance!$B$5:$B$404,A565)))</f>
        <v>0</v>
      </c>
      <c r="AE565" s="23">
        <f>IF(AD565="","",SUMIFS(Performance!$Z$5:$Z$404,Performance!$B$5:$B$404,A565))</f>
        <v>0</v>
      </c>
      <c r="AF565" s="24">
        <f>IF(OR(AD565="",AD565=0),"",AE565/AD565)</f>
        <v>0</v>
      </c>
      <c r="AG565" s="23">
        <f>IF(AD565="","",SUMIFS(Performance!$U$5:$U$404,Performance!$B$5:$B$404,A565))</f>
        <v>0</v>
      </c>
      <c r="AH565" s="23">
        <f>IF(A565="","",COUNTIF(Repurposing!$B$5:$B$154,A565))</f>
        <v>0</v>
      </c>
      <c r="AI565" s="32">
        <f>IF(OR(H565="",B565=""),"",B565+ROW()/100000)</f>
        <v>0</v>
      </c>
      <c r="AJ565" s="32">
        <f>IF(OR(H565="",B565=""),"",IF(OR(X565="Published",X565="Cancelled",X565="Archived"),"",IF(B565&lt;TODAY(),"",B565+ROW()/100000)))</f>
        <v>0</v>
      </c>
      <c r="AK565" s="32">
        <f>IF(OR(H565="",B565=""),"",IF(OR(X565="Published",X565="Cancelled",X565="Archived"),"",IF(B565&gt;=TODAY(),"",B565+ROW()/100000)))</f>
        <v>0</v>
      </c>
      <c r="AL565" s="29">
        <f>IF(H565="","",IF(COUNTIFS('Content Calendar'!$H$5:$H$604,H565,'Content Calendar'!$G$5:$G$604,G565,'Content Calendar'!$B$5:$B$604,B565)&gt;1,"Duplicate","OK"))</f>
        <v>0</v>
      </c>
      <c r="AM565" s="29">
        <f>IF(H565="","",IF(AND(B565&lt;&gt;"",B565&lt;TODAY(),X565&lt;&gt;"Published",X565&lt;&gt;"Cancelled",X565&lt;&gt;"Archived"),"Overdue - date has passed",IF(AND(X565="Published",AB565=""),"Add - publish link missing",IF(AND(B565=TODAY(),X565&lt;&gt;"Published"),"Today - due to go live",IF(AND(Y565&lt;&gt;"",Y565&lt;TODAY(),OR(X565="Idea",X565="Brief",X565="In production")),"Late - draft not ready",IF(AND(AA565&gt;=0,AA565&lt;=3,OR(X565="Draft",X565="Awaiting review")),"Due - needs approval",IF(AND(H565&lt;&gt;"",P565=""),"Add - caption missing","OK")))))))</f>
        <v>0</v>
      </c>
    </row>
    <row r="566" spans="1:39">
      <c r="A566" s="41">
        <f>IF(H566="","",ContentPrefix&amp;TEXT(ROW()-4,"0000"))</f>
        <v>0</v>
      </c>
      <c r="D566" s="17">
        <f>IF(B566="","",TEXT(B566,"yyyy-mm"))</f>
        <v>0</v>
      </c>
      <c r="E566" s="23">
        <f>IF(B566="","",WEEKNUM(B566,IF(WeekStart="Sunday",1,2)))</f>
        <v>0</v>
      </c>
      <c r="F566" s="17">
        <f>IF(B566="","",TEXT(B566,"ddd"))</f>
        <v>0</v>
      </c>
      <c r="Q566" s="29">
        <f>IF(H566="","",IF(P566="","Add - no caption",IFERROR(INDEX('Caption Bank'!$R$5:$R$204,MATCH(P566,'Caption Bank'!$B$5:$B$204,0)),"Check - not in bank")))</f>
        <v>0</v>
      </c>
      <c r="S566" s="23">
        <f>IF(R566="","",COUNTIF('Hashtag Bank'!$D$5:$D$304,R566))</f>
        <v>0</v>
      </c>
      <c r="U566" s="29">
        <f>IF(H566="","",IF(T566="","Add - no asset",IFERROR(INDEX(Assets!$N$5:$N$254,MATCH(T566,Assets!$A$5:$A$254,0)),"Check - not in library")))</f>
        <v>0</v>
      </c>
      <c r="Y566" s="16">
        <f>IF(B566="","",B566-ProductionDays)</f>
        <v>0</v>
      </c>
      <c r="Z566" s="16">
        <f>IF(B566="","",B566-ApprovalDays)</f>
        <v>0</v>
      </c>
      <c r="AA566" s="23">
        <f>IF(B566="","",B566-TODAY())</f>
        <v>0</v>
      </c>
      <c r="AC566" s="29">
        <f>IF(H566="","",IF(X566="Published",IF(AB566="","Add - link missing","Yes"),"No"))</f>
        <v>0</v>
      </c>
      <c r="AD566" s="23">
        <f>IF(A566="","",IF(COUNTIF(Performance!$B$5:$B$404,A566)=0,"",SUMIFS(Performance!$O$5:$O$404,Performance!$B$5:$B$404,A566)))</f>
        <v>0</v>
      </c>
      <c r="AE566" s="23">
        <f>IF(AD566="","",SUMIFS(Performance!$Z$5:$Z$404,Performance!$B$5:$B$404,A566))</f>
        <v>0</v>
      </c>
      <c r="AF566" s="24">
        <f>IF(OR(AD566="",AD566=0),"",AE566/AD566)</f>
        <v>0</v>
      </c>
      <c r="AG566" s="23">
        <f>IF(AD566="","",SUMIFS(Performance!$U$5:$U$404,Performance!$B$5:$B$404,A566))</f>
        <v>0</v>
      </c>
      <c r="AH566" s="23">
        <f>IF(A566="","",COUNTIF(Repurposing!$B$5:$B$154,A566))</f>
        <v>0</v>
      </c>
      <c r="AI566" s="32">
        <f>IF(OR(H566="",B566=""),"",B566+ROW()/100000)</f>
        <v>0</v>
      </c>
      <c r="AJ566" s="32">
        <f>IF(OR(H566="",B566=""),"",IF(OR(X566="Published",X566="Cancelled",X566="Archived"),"",IF(B566&lt;TODAY(),"",B566+ROW()/100000)))</f>
        <v>0</v>
      </c>
      <c r="AK566" s="32">
        <f>IF(OR(H566="",B566=""),"",IF(OR(X566="Published",X566="Cancelled",X566="Archived"),"",IF(B566&gt;=TODAY(),"",B566+ROW()/100000)))</f>
        <v>0</v>
      </c>
      <c r="AL566" s="29">
        <f>IF(H566="","",IF(COUNTIFS('Content Calendar'!$H$5:$H$604,H566,'Content Calendar'!$G$5:$G$604,G566,'Content Calendar'!$B$5:$B$604,B566)&gt;1,"Duplicate","OK"))</f>
        <v>0</v>
      </c>
      <c r="AM566" s="29">
        <f>IF(H566="","",IF(AND(B566&lt;&gt;"",B566&lt;TODAY(),X566&lt;&gt;"Published",X566&lt;&gt;"Cancelled",X566&lt;&gt;"Archived"),"Overdue - date has passed",IF(AND(X566="Published",AB566=""),"Add - publish link missing",IF(AND(B566=TODAY(),X566&lt;&gt;"Published"),"Today - due to go live",IF(AND(Y566&lt;&gt;"",Y566&lt;TODAY(),OR(X566="Idea",X566="Brief",X566="In production")),"Late - draft not ready",IF(AND(AA566&gt;=0,AA566&lt;=3,OR(X566="Draft",X566="Awaiting review")),"Due - needs approval",IF(AND(H566&lt;&gt;"",P566=""),"Add - caption missing","OK")))))))</f>
        <v>0</v>
      </c>
    </row>
    <row r="567" spans="1:39">
      <c r="A567" s="41">
        <f>IF(H567="","",ContentPrefix&amp;TEXT(ROW()-4,"0000"))</f>
        <v>0</v>
      </c>
      <c r="D567" s="17">
        <f>IF(B567="","",TEXT(B567,"yyyy-mm"))</f>
        <v>0</v>
      </c>
      <c r="E567" s="23">
        <f>IF(B567="","",WEEKNUM(B567,IF(WeekStart="Sunday",1,2)))</f>
        <v>0</v>
      </c>
      <c r="F567" s="17">
        <f>IF(B567="","",TEXT(B567,"ddd"))</f>
        <v>0</v>
      </c>
      <c r="Q567" s="29">
        <f>IF(H567="","",IF(P567="","Add - no caption",IFERROR(INDEX('Caption Bank'!$R$5:$R$204,MATCH(P567,'Caption Bank'!$B$5:$B$204,0)),"Check - not in bank")))</f>
        <v>0</v>
      </c>
      <c r="S567" s="23">
        <f>IF(R567="","",COUNTIF('Hashtag Bank'!$D$5:$D$304,R567))</f>
        <v>0</v>
      </c>
      <c r="U567" s="29">
        <f>IF(H567="","",IF(T567="","Add - no asset",IFERROR(INDEX(Assets!$N$5:$N$254,MATCH(T567,Assets!$A$5:$A$254,0)),"Check - not in library")))</f>
        <v>0</v>
      </c>
      <c r="Y567" s="16">
        <f>IF(B567="","",B567-ProductionDays)</f>
        <v>0</v>
      </c>
      <c r="Z567" s="16">
        <f>IF(B567="","",B567-ApprovalDays)</f>
        <v>0</v>
      </c>
      <c r="AA567" s="23">
        <f>IF(B567="","",B567-TODAY())</f>
        <v>0</v>
      </c>
      <c r="AC567" s="29">
        <f>IF(H567="","",IF(X567="Published",IF(AB567="","Add - link missing","Yes"),"No"))</f>
        <v>0</v>
      </c>
      <c r="AD567" s="23">
        <f>IF(A567="","",IF(COUNTIF(Performance!$B$5:$B$404,A567)=0,"",SUMIFS(Performance!$O$5:$O$404,Performance!$B$5:$B$404,A567)))</f>
        <v>0</v>
      </c>
      <c r="AE567" s="23">
        <f>IF(AD567="","",SUMIFS(Performance!$Z$5:$Z$404,Performance!$B$5:$B$404,A567))</f>
        <v>0</v>
      </c>
      <c r="AF567" s="24">
        <f>IF(OR(AD567="",AD567=0),"",AE567/AD567)</f>
        <v>0</v>
      </c>
      <c r="AG567" s="23">
        <f>IF(AD567="","",SUMIFS(Performance!$U$5:$U$404,Performance!$B$5:$B$404,A567))</f>
        <v>0</v>
      </c>
      <c r="AH567" s="23">
        <f>IF(A567="","",COUNTIF(Repurposing!$B$5:$B$154,A567))</f>
        <v>0</v>
      </c>
      <c r="AI567" s="32">
        <f>IF(OR(H567="",B567=""),"",B567+ROW()/100000)</f>
        <v>0</v>
      </c>
      <c r="AJ567" s="32">
        <f>IF(OR(H567="",B567=""),"",IF(OR(X567="Published",X567="Cancelled",X567="Archived"),"",IF(B567&lt;TODAY(),"",B567+ROW()/100000)))</f>
        <v>0</v>
      </c>
      <c r="AK567" s="32">
        <f>IF(OR(H567="",B567=""),"",IF(OR(X567="Published",X567="Cancelled",X567="Archived"),"",IF(B567&gt;=TODAY(),"",B567+ROW()/100000)))</f>
        <v>0</v>
      </c>
      <c r="AL567" s="29">
        <f>IF(H567="","",IF(COUNTIFS('Content Calendar'!$H$5:$H$604,H567,'Content Calendar'!$G$5:$G$604,G567,'Content Calendar'!$B$5:$B$604,B567)&gt;1,"Duplicate","OK"))</f>
        <v>0</v>
      </c>
      <c r="AM567" s="29">
        <f>IF(H567="","",IF(AND(B567&lt;&gt;"",B567&lt;TODAY(),X567&lt;&gt;"Published",X567&lt;&gt;"Cancelled",X567&lt;&gt;"Archived"),"Overdue - date has passed",IF(AND(X567="Published",AB567=""),"Add - publish link missing",IF(AND(B567=TODAY(),X567&lt;&gt;"Published"),"Today - due to go live",IF(AND(Y567&lt;&gt;"",Y567&lt;TODAY(),OR(X567="Idea",X567="Brief",X567="In production")),"Late - draft not ready",IF(AND(AA567&gt;=0,AA567&lt;=3,OR(X567="Draft",X567="Awaiting review")),"Due - needs approval",IF(AND(H567&lt;&gt;"",P567=""),"Add - caption missing","OK")))))))</f>
        <v>0</v>
      </c>
    </row>
    <row r="568" spans="1:39">
      <c r="A568" s="41">
        <f>IF(H568="","",ContentPrefix&amp;TEXT(ROW()-4,"0000"))</f>
        <v>0</v>
      </c>
      <c r="D568" s="17">
        <f>IF(B568="","",TEXT(B568,"yyyy-mm"))</f>
        <v>0</v>
      </c>
      <c r="E568" s="23">
        <f>IF(B568="","",WEEKNUM(B568,IF(WeekStart="Sunday",1,2)))</f>
        <v>0</v>
      </c>
      <c r="F568" s="17">
        <f>IF(B568="","",TEXT(B568,"ddd"))</f>
        <v>0</v>
      </c>
      <c r="Q568" s="29">
        <f>IF(H568="","",IF(P568="","Add - no caption",IFERROR(INDEX('Caption Bank'!$R$5:$R$204,MATCH(P568,'Caption Bank'!$B$5:$B$204,0)),"Check - not in bank")))</f>
        <v>0</v>
      </c>
      <c r="S568" s="23">
        <f>IF(R568="","",COUNTIF('Hashtag Bank'!$D$5:$D$304,R568))</f>
        <v>0</v>
      </c>
      <c r="U568" s="29">
        <f>IF(H568="","",IF(T568="","Add - no asset",IFERROR(INDEX(Assets!$N$5:$N$254,MATCH(T568,Assets!$A$5:$A$254,0)),"Check - not in library")))</f>
        <v>0</v>
      </c>
      <c r="Y568" s="16">
        <f>IF(B568="","",B568-ProductionDays)</f>
        <v>0</v>
      </c>
      <c r="Z568" s="16">
        <f>IF(B568="","",B568-ApprovalDays)</f>
        <v>0</v>
      </c>
      <c r="AA568" s="23">
        <f>IF(B568="","",B568-TODAY())</f>
        <v>0</v>
      </c>
      <c r="AC568" s="29">
        <f>IF(H568="","",IF(X568="Published",IF(AB568="","Add - link missing","Yes"),"No"))</f>
        <v>0</v>
      </c>
      <c r="AD568" s="23">
        <f>IF(A568="","",IF(COUNTIF(Performance!$B$5:$B$404,A568)=0,"",SUMIFS(Performance!$O$5:$O$404,Performance!$B$5:$B$404,A568)))</f>
        <v>0</v>
      </c>
      <c r="AE568" s="23">
        <f>IF(AD568="","",SUMIFS(Performance!$Z$5:$Z$404,Performance!$B$5:$B$404,A568))</f>
        <v>0</v>
      </c>
      <c r="AF568" s="24">
        <f>IF(OR(AD568="",AD568=0),"",AE568/AD568)</f>
        <v>0</v>
      </c>
      <c r="AG568" s="23">
        <f>IF(AD568="","",SUMIFS(Performance!$U$5:$U$404,Performance!$B$5:$B$404,A568))</f>
        <v>0</v>
      </c>
      <c r="AH568" s="23">
        <f>IF(A568="","",COUNTIF(Repurposing!$B$5:$B$154,A568))</f>
        <v>0</v>
      </c>
      <c r="AI568" s="32">
        <f>IF(OR(H568="",B568=""),"",B568+ROW()/100000)</f>
        <v>0</v>
      </c>
      <c r="AJ568" s="32">
        <f>IF(OR(H568="",B568=""),"",IF(OR(X568="Published",X568="Cancelled",X568="Archived"),"",IF(B568&lt;TODAY(),"",B568+ROW()/100000)))</f>
        <v>0</v>
      </c>
      <c r="AK568" s="32">
        <f>IF(OR(H568="",B568=""),"",IF(OR(X568="Published",X568="Cancelled",X568="Archived"),"",IF(B568&gt;=TODAY(),"",B568+ROW()/100000)))</f>
        <v>0</v>
      </c>
      <c r="AL568" s="29">
        <f>IF(H568="","",IF(COUNTIFS('Content Calendar'!$H$5:$H$604,H568,'Content Calendar'!$G$5:$G$604,G568,'Content Calendar'!$B$5:$B$604,B568)&gt;1,"Duplicate","OK"))</f>
        <v>0</v>
      </c>
      <c r="AM568" s="29">
        <f>IF(H568="","",IF(AND(B568&lt;&gt;"",B568&lt;TODAY(),X568&lt;&gt;"Published",X568&lt;&gt;"Cancelled",X568&lt;&gt;"Archived"),"Overdue - date has passed",IF(AND(X568="Published",AB568=""),"Add - publish link missing",IF(AND(B568=TODAY(),X568&lt;&gt;"Published"),"Today - due to go live",IF(AND(Y568&lt;&gt;"",Y568&lt;TODAY(),OR(X568="Idea",X568="Brief",X568="In production")),"Late - draft not ready",IF(AND(AA568&gt;=0,AA568&lt;=3,OR(X568="Draft",X568="Awaiting review")),"Due - needs approval",IF(AND(H568&lt;&gt;"",P568=""),"Add - caption missing","OK")))))))</f>
        <v>0</v>
      </c>
    </row>
    <row r="569" spans="1:39">
      <c r="A569" s="41">
        <f>IF(H569="","",ContentPrefix&amp;TEXT(ROW()-4,"0000"))</f>
        <v>0</v>
      </c>
      <c r="D569" s="17">
        <f>IF(B569="","",TEXT(B569,"yyyy-mm"))</f>
        <v>0</v>
      </c>
      <c r="E569" s="23">
        <f>IF(B569="","",WEEKNUM(B569,IF(WeekStart="Sunday",1,2)))</f>
        <v>0</v>
      </c>
      <c r="F569" s="17">
        <f>IF(B569="","",TEXT(B569,"ddd"))</f>
        <v>0</v>
      </c>
      <c r="Q569" s="29">
        <f>IF(H569="","",IF(P569="","Add - no caption",IFERROR(INDEX('Caption Bank'!$R$5:$R$204,MATCH(P569,'Caption Bank'!$B$5:$B$204,0)),"Check - not in bank")))</f>
        <v>0</v>
      </c>
      <c r="S569" s="23">
        <f>IF(R569="","",COUNTIF('Hashtag Bank'!$D$5:$D$304,R569))</f>
        <v>0</v>
      </c>
      <c r="U569" s="29">
        <f>IF(H569="","",IF(T569="","Add - no asset",IFERROR(INDEX(Assets!$N$5:$N$254,MATCH(T569,Assets!$A$5:$A$254,0)),"Check - not in library")))</f>
        <v>0</v>
      </c>
      <c r="Y569" s="16">
        <f>IF(B569="","",B569-ProductionDays)</f>
        <v>0</v>
      </c>
      <c r="Z569" s="16">
        <f>IF(B569="","",B569-ApprovalDays)</f>
        <v>0</v>
      </c>
      <c r="AA569" s="23">
        <f>IF(B569="","",B569-TODAY())</f>
        <v>0</v>
      </c>
      <c r="AC569" s="29">
        <f>IF(H569="","",IF(X569="Published",IF(AB569="","Add - link missing","Yes"),"No"))</f>
        <v>0</v>
      </c>
      <c r="AD569" s="23">
        <f>IF(A569="","",IF(COUNTIF(Performance!$B$5:$B$404,A569)=0,"",SUMIFS(Performance!$O$5:$O$404,Performance!$B$5:$B$404,A569)))</f>
        <v>0</v>
      </c>
      <c r="AE569" s="23">
        <f>IF(AD569="","",SUMIFS(Performance!$Z$5:$Z$404,Performance!$B$5:$B$404,A569))</f>
        <v>0</v>
      </c>
      <c r="AF569" s="24">
        <f>IF(OR(AD569="",AD569=0),"",AE569/AD569)</f>
        <v>0</v>
      </c>
      <c r="AG569" s="23">
        <f>IF(AD569="","",SUMIFS(Performance!$U$5:$U$404,Performance!$B$5:$B$404,A569))</f>
        <v>0</v>
      </c>
      <c r="AH569" s="23">
        <f>IF(A569="","",COUNTIF(Repurposing!$B$5:$B$154,A569))</f>
        <v>0</v>
      </c>
      <c r="AI569" s="32">
        <f>IF(OR(H569="",B569=""),"",B569+ROW()/100000)</f>
        <v>0</v>
      </c>
      <c r="AJ569" s="32">
        <f>IF(OR(H569="",B569=""),"",IF(OR(X569="Published",X569="Cancelled",X569="Archived"),"",IF(B569&lt;TODAY(),"",B569+ROW()/100000)))</f>
        <v>0</v>
      </c>
      <c r="AK569" s="32">
        <f>IF(OR(H569="",B569=""),"",IF(OR(X569="Published",X569="Cancelled",X569="Archived"),"",IF(B569&gt;=TODAY(),"",B569+ROW()/100000)))</f>
        <v>0</v>
      </c>
      <c r="AL569" s="29">
        <f>IF(H569="","",IF(COUNTIFS('Content Calendar'!$H$5:$H$604,H569,'Content Calendar'!$G$5:$G$604,G569,'Content Calendar'!$B$5:$B$604,B569)&gt;1,"Duplicate","OK"))</f>
        <v>0</v>
      </c>
      <c r="AM569" s="29">
        <f>IF(H569="","",IF(AND(B569&lt;&gt;"",B569&lt;TODAY(),X569&lt;&gt;"Published",X569&lt;&gt;"Cancelled",X569&lt;&gt;"Archived"),"Overdue - date has passed",IF(AND(X569="Published",AB569=""),"Add - publish link missing",IF(AND(B569=TODAY(),X569&lt;&gt;"Published"),"Today - due to go live",IF(AND(Y569&lt;&gt;"",Y569&lt;TODAY(),OR(X569="Idea",X569="Brief",X569="In production")),"Late - draft not ready",IF(AND(AA569&gt;=0,AA569&lt;=3,OR(X569="Draft",X569="Awaiting review")),"Due - needs approval",IF(AND(H569&lt;&gt;"",P569=""),"Add - caption missing","OK")))))))</f>
        <v>0</v>
      </c>
    </row>
    <row r="570" spans="1:39">
      <c r="A570" s="41">
        <f>IF(H570="","",ContentPrefix&amp;TEXT(ROW()-4,"0000"))</f>
        <v>0</v>
      </c>
      <c r="D570" s="17">
        <f>IF(B570="","",TEXT(B570,"yyyy-mm"))</f>
        <v>0</v>
      </c>
      <c r="E570" s="23">
        <f>IF(B570="","",WEEKNUM(B570,IF(WeekStart="Sunday",1,2)))</f>
        <v>0</v>
      </c>
      <c r="F570" s="17">
        <f>IF(B570="","",TEXT(B570,"ddd"))</f>
        <v>0</v>
      </c>
      <c r="Q570" s="29">
        <f>IF(H570="","",IF(P570="","Add - no caption",IFERROR(INDEX('Caption Bank'!$R$5:$R$204,MATCH(P570,'Caption Bank'!$B$5:$B$204,0)),"Check - not in bank")))</f>
        <v>0</v>
      </c>
      <c r="S570" s="23">
        <f>IF(R570="","",COUNTIF('Hashtag Bank'!$D$5:$D$304,R570))</f>
        <v>0</v>
      </c>
      <c r="U570" s="29">
        <f>IF(H570="","",IF(T570="","Add - no asset",IFERROR(INDEX(Assets!$N$5:$N$254,MATCH(T570,Assets!$A$5:$A$254,0)),"Check - not in library")))</f>
        <v>0</v>
      </c>
      <c r="Y570" s="16">
        <f>IF(B570="","",B570-ProductionDays)</f>
        <v>0</v>
      </c>
      <c r="Z570" s="16">
        <f>IF(B570="","",B570-ApprovalDays)</f>
        <v>0</v>
      </c>
      <c r="AA570" s="23">
        <f>IF(B570="","",B570-TODAY())</f>
        <v>0</v>
      </c>
      <c r="AC570" s="29">
        <f>IF(H570="","",IF(X570="Published",IF(AB570="","Add - link missing","Yes"),"No"))</f>
        <v>0</v>
      </c>
      <c r="AD570" s="23">
        <f>IF(A570="","",IF(COUNTIF(Performance!$B$5:$B$404,A570)=0,"",SUMIFS(Performance!$O$5:$O$404,Performance!$B$5:$B$404,A570)))</f>
        <v>0</v>
      </c>
      <c r="AE570" s="23">
        <f>IF(AD570="","",SUMIFS(Performance!$Z$5:$Z$404,Performance!$B$5:$B$404,A570))</f>
        <v>0</v>
      </c>
      <c r="AF570" s="24">
        <f>IF(OR(AD570="",AD570=0),"",AE570/AD570)</f>
        <v>0</v>
      </c>
      <c r="AG570" s="23">
        <f>IF(AD570="","",SUMIFS(Performance!$U$5:$U$404,Performance!$B$5:$B$404,A570))</f>
        <v>0</v>
      </c>
      <c r="AH570" s="23">
        <f>IF(A570="","",COUNTIF(Repurposing!$B$5:$B$154,A570))</f>
        <v>0</v>
      </c>
      <c r="AI570" s="32">
        <f>IF(OR(H570="",B570=""),"",B570+ROW()/100000)</f>
        <v>0</v>
      </c>
      <c r="AJ570" s="32">
        <f>IF(OR(H570="",B570=""),"",IF(OR(X570="Published",X570="Cancelled",X570="Archived"),"",IF(B570&lt;TODAY(),"",B570+ROW()/100000)))</f>
        <v>0</v>
      </c>
      <c r="AK570" s="32">
        <f>IF(OR(H570="",B570=""),"",IF(OR(X570="Published",X570="Cancelled",X570="Archived"),"",IF(B570&gt;=TODAY(),"",B570+ROW()/100000)))</f>
        <v>0</v>
      </c>
      <c r="AL570" s="29">
        <f>IF(H570="","",IF(COUNTIFS('Content Calendar'!$H$5:$H$604,H570,'Content Calendar'!$G$5:$G$604,G570,'Content Calendar'!$B$5:$B$604,B570)&gt;1,"Duplicate","OK"))</f>
        <v>0</v>
      </c>
      <c r="AM570" s="29">
        <f>IF(H570="","",IF(AND(B570&lt;&gt;"",B570&lt;TODAY(),X570&lt;&gt;"Published",X570&lt;&gt;"Cancelled",X570&lt;&gt;"Archived"),"Overdue - date has passed",IF(AND(X570="Published",AB570=""),"Add - publish link missing",IF(AND(B570=TODAY(),X570&lt;&gt;"Published"),"Today - due to go live",IF(AND(Y570&lt;&gt;"",Y570&lt;TODAY(),OR(X570="Idea",X570="Brief",X570="In production")),"Late - draft not ready",IF(AND(AA570&gt;=0,AA570&lt;=3,OR(X570="Draft",X570="Awaiting review")),"Due - needs approval",IF(AND(H570&lt;&gt;"",P570=""),"Add - caption missing","OK")))))))</f>
        <v>0</v>
      </c>
    </row>
    <row r="571" spans="1:39">
      <c r="A571" s="41">
        <f>IF(H571="","",ContentPrefix&amp;TEXT(ROW()-4,"0000"))</f>
        <v>0</v>
      </c>
      <c r="D571" s="17">
        <f>IF(B571="","",TEXT(B571,"yyyy-mm"))</f>
        <v>0</v>
      </c>
      <c r="E571" s="23">
        <f>IF(B571="","",WEEKNUM(B571,IF(WeekStart="Sunday",1,2)))</f>
        <v>0</v>
      </c>
      <c r="F571" s="17">
        <f>IF(B571="","",TEXT(B571,"ddd"))</f>
        <v>0</v>
      </c>
      <c r="Q571" s="29">
        <f>IF(H571="","",IF(P571="","Add - no caption",IFERROR(INDEX('Caption Bank'!$R$5:$R$204,MATCH(P571,'Caption Bank'!$B$5:$B$204,0)),"Check - not in bank")))</f>
        <v>0</v>
      </c>
      <c r="S571" s="23">
        <f>IF(R571="","",COUNTIF('Hashtag Bank'!$D$5:$D$304,R571))</f>
        <v>0</v>
      </c>
      <c r="U571" s="29">
        <f>IF(H571="","",IF(T571="","Add - no asset",IFERROR(INDEX(Assets!$N$5:$N$254,MATCH(T571,Assets!$A$5:$A$254,0)),"Check - not in library")))</f>
        <v>0</v>
      </c>
      <c r="Y571" s="16">
        <f>IF(B571="","",B571-ProductionDays)</f>
        <v>0</v>
      </c>
      <c r="Z571" s="16">
        <f>IF(B571="","",B571-ApprovalDays)</f>
        <v>0</v>
      </c>
      <c r="AA571" s="23">
        <f>IF(B571="","",B571-TODAY())</f>
        <v>0</v>
      </c>
      <c r="AC571" s="29">
        <f>IF(H571="","",IF(X571="Published",IF(AB571="","Add - link missing","Yes"),"No"))</f>
        <v>0</v>
      </c>
      <c r="AD571" s="23">
        <f>IF(A571="","",IF(COUNTIF(Performance!$B$5:$B$404,A571)=0,"",SUMIFS(Performance!$O$5:$O$404,Performance!$B$5:$B$404,A571)))</f>
        <v>0</v>
      </c>
      <c r="AE571" s="23">
        <f>IF(AD571="","",SUMIFS(Performance!$Z$5:$Z$404,Performance!$B$5:$B$404,A571))</f>
        <v>0</v>
      </c>
      <c r="AF571" s="24">
        <f>IF(OR(AD571="",AD571=0),"",AE571/AD571)</f>
        <v>0</v>
      </c>
      <c r="AG571" s="23">
        <f>IF(AD571="","",SUMIFS(Performance!$U$5:$U$404,Performance!$B$5:$B$404,A571))</f>
        <v>0</v>
      </c>
      <c r="AH571" s="23">
        <f>IF(A571="","",COUNTIF(Repurposing!$B$5:$B$154,A571))</f>
        <v>0</v>
      </c>
      <c r="AI571" s="32">
        <f>IF(OR(H571="",B571=""),"",B571+ROW()/100000)</f>
        <v>0</v>
      </c>
      <c r="AJ571" s="32">
        <f>IF(OR(H571="",B571=""),"",IF(OR(X571="Published",X571="Cancelled",X571="Archived"),"",IF(B571&lt;TODAY(),"",B571+ROW()/100000)))</f>
        <v>0</v>
      </c>
      <c r="AK571" s="32">
        <f>IF(OR(H571="",B571=""),"",IF(OR(X571="Published",X571="Cancelled",X571="Archived"),"",IF(B571&gt;=TODAY(),"",B571+ROW()/100000)))</f>
        <v>0</v>
      </c>
      <c r="AL571" s="29">
        <f>IF(H571="","",IF(COUNTIFS('Content Calendar'!$H$5:$H$604,H571,'Content Calendar'!$G$5:$G$604,G571,'Content Calendar'!$B$5:$B$604,B571)&gt;1,"Duplicate","OK"))</f>
        <v>0</v>
      </c>
      <c r="AM571" s="29">
        <f>IF(H571="","",IF(AND(B571&lt;&gt;"",B571&lt;TODAY(),X571&lt;&gt;"Published",X571&lt;&gt;"Cancelled",X571&lt;&gt;"Archived"),"Overdue - date has passed",IF(AND(X571="Published",AB571=""),"Add - publish link missing",IF(AND(B571=TODAY(),X571&lt;&gt;"Published"),"Today - due to go live",IF(AND(Y571&lt;&gt;"",Y571&lt;TODAY(),OR(X571="Idea",X571="Brief",X571="In production")),"Late - draft not ready",IF(AND(AA571&gt;=0,AA571&lt;=3,OR(X571="Draft",X571="Awaiting review")),"Due - needs approval",IF(AND(H571&lt;&gt;"",P571=""),"Add - caption missing","OK")))))))</f>
        <v>0</v>
      </c>
    </row>
    <row r="572" spans="1:39">
      <c r="A572" s="41">
        <f>IF(H572="","",ContentPrefix&amp;TEXT(ROW()-4,"0000"))</f>
        <v>0</v>
      </c>
      <c r="D572" s="17">
        <f>IF(B572="","",TEXT(B572,"yyyy-mm"))</f>
        <v>0</v>
      </c>
      <c r="E572" s="23">
        <f>IF(B572="","",WEEKNUM(B572,IF(WeekStart="Sunday",1,2)))</f>
        <v>0</v>
      </c>
      <c r="F572" s="17">
        <f>IF(B572="","",TEXT(B572,"ddd"))</f>
        <v>0</v>
      </c>
      <c r="Q572" s="29">
        <f>IF(H572="","",IF(P572="","Add - no caption",IFERROR(INDEX('Caption Bank'!$R$5:$R$204,MATCH(P572,'Caption Bank'!$B$5:$B$204,0)),"Check - not in bank")))</f>
        <v>0</v>
      </c>
      <c r="S572" s="23">
        <f>IF(R572="","",COUNTIF('Hashtag Bank'!$D$5:$D$304,R572))</f>
        <v>0</v>
      </c>
      <c r="U572" s="29">
        <f>IF(H572="","",IF(T572="","Add - no asset",IFERROR(INDEX(Assets!$N$5:$N$254,MATCH(T572,Assets!$A$5:$A$254,0)),"Check - not in library")))</f>
        <v>0</v>
      </c>
      <c r="Y572" s="16">
        <f>IF(B572="","",B572-ProductionDays)</f>
        <v>0</v>
      </c>
      <c r="Z572" s="16">
        <f>IF(B572="","",B572-ApprovalDays)</f>
        <v>0</v>
      </c>
      <c r="AA572" s="23">
        <f>IF(B572="","",B572-TODAY())</f>
        <v>0</v>
      </c>
      <c r="AC572" s="29">
        <f>IF(H572="","",IF(X572="Published",IF(AB572="","Add - link missing","Yes"),"No"))</f>
        <v>0</v>
      </c>
      <c r="AD572" s="23">
        <f>IF(A572="","",IF(COUNTIF(Performance!$B$5:$B$404,A572)=0,"",SUMIFS(Performance!$O$5:$O$404,Performance!$B$5:$B$404,A572)))</f>
        <v>0</v>
      </c>
      <c r="AE572" s="23">
        <f>IF(AD572="","",SUMIFS(Performance!$Z$5:$Z$404,Performance!$B$5:$B$404,A572))</f>
        <v>0</v>
      </c>
      <c r="AF572" s="24">
        <f>IF(OR(AD572="",AD572=0),"",AE572/AD572)</f>
        <v>0</v>
      </c>
      <c r="AG572" s="23">
        <f>IF(AD572="","",SUMIFS(Performance!$U$5:$U$404,Performance!$B$5:$B$404,A572))</f>
        <v>0</v>
      </c>
      <c r="AH572" s="23">
        <f>IF(A572="","",COUNTIF(Repurposing!$B$5:$B$154,A572))</f>
        <v>0</v>
      </c>
      <c r="AI572" s="32">
        <f>IF(OR(H572="",B572=""),"",B572+ROW()/100000)</f>
        <v>0</v>
      </c>
      <c r="AJ572" s="32">
        <f>IF(OR(H572="",B572=""),"",IF(OR(X572="Published",X572="Cancelled",X572="Archived"),"",IF(B572&lt;TODAY(),"",B572+ROW()/100000)))</f>
        <v>0</v>
      </c>
      <c r="AK572" s="32">
        <f>IF(OR(H572="",B572=""),"",IF(OR(X572="Published",X572="Cancelled",X572="Archived"),"",IF(B572&gt;=TODAY(),"",B572+ROW()/100000)))</f>
        <v>0</v>
      </c>
      <c r="AL572" s="29">
        <f>IF(H572="","",IF(COUNTIFS('Content Calendar'!$H$5:$H$604,H572,'Content Calendar'!$G$5:$G$604,G572,'Content Calendar'!$B$5:$B$604,B572)&gt;1,"Duplicate","OK"))</f>
        <v>0</v>
      </c>
      <c r="AM572" s="29">
        <f>IF(H572="","",IF(AND(B572&lt;&gt;"",B572&lt;TODAY(),X572&lt;&gt;"Published",X572&lt;&gt;"Cancelled",X572&lt;&gt;"Archived"),"Overdue - date has passed",IF(AND(X572="Published",AB572=""),"Add - publish link missing",IF(AND(B572=TODAY(),X572&lt;&gt;"Published"),"Today - due to go live",IF(AND(Y572&lt;&gt;"",Y572&lt;TODAY(),OR(X572="Idea",X572="Brief",X572="In production")),"Late - draft not ready",IF(AND(AA572&gt;=0,AA572&lt;=3,OR(X572="Draft",X572="Awaiting review")),"Due - needs approval",IF(AND(H572&lt;&gt;"",P572=""),"Add - caption missing","OK")))))))</f>
        <v>0</v>
      </c>
    </row>
    <row r="573" spans="1:39">
      <c r="A573" s="41">
        <f>IF(H573="","",ContentPrefix&amp;TEXT(ROW()-4,"0000"))</f>
        <v>0</v>
      </c>
      <c r="D573" s="17">
        <f>IF(B573="","",TEXT(B573,"yyyy-mm"))</f>
        <v>0</v>
      </c>
      <c r="E573" s="23">
        <f>IF(B573="","",WEEKNUM(B573,IF(WeekStart="Sunday",1,2)))</f>
        <v>0</v>
      </c>
      <c r="F573" s="17">
        <f>IF(B573="","",TEXT(B573,"ddd"))</f>
        <v>0</v>
      </c>
      <c r="Q573" s="29">
        <f>IF(H573="","",IF(P573="","Add - no caption",IFERROR(INDEX('Caption Bank'!$R$5:$R$204,MATCH(P573,'Caption Bank'!$B$5:$B$204,0)),"Check - not in bank")))</f>
        <v>0</v>
      </c>
      <c r="S573" s="23">
        <f>IF(R573="","",COUNTIF('Hashtag Bank'!$D$5:$D$304,R573))</f>
        <v>0</v>
      </c>
      <c r="U573" s="29">
        <f>IF(H573="","",IF(T573="","Add - no asset",IFERROR(INDEX(Assets!$N$5:$N$254,MATCH(T573,Assets!$A$5:$A$254,0)),"Check - not in library")))</f>
        <v>0</v>
      </c>
      <c r="Y573" s="16">
        <f>IF(B573="","",B573-ProductionDays)</f>
        <v>0</v>
      </c>
      <c r="Z573" s="16">
        <f>IF(B573="","",B573-ApprovalDays)</f>
        <v>0</v>
      </c>
      <c r="AA573" s="23">
        <f>IF(B573="","",B573-TODAY())</f>
        <v>0</v>
      </c>
      <c r="AC573" s="29">
        <f>IF(H573="","",IF(X573="Published",IF(AB573="","Add - link missing","Yes"),"No"))</f>
        <v>0</v>
      </c>
      <c r="AD573" s="23">
        <f>IF(A573="","",IF(COUNTIF(Performance!$B$5:$B$404,A573)=0,"",SUMIFS(Performance!$O$5:$O$404,Performance!$B$5:$B$404,A573)))</f>
        <v>0</v>
      </c>
      <c r="AE573" s="23">
        <f>IF(AD573="","",SUMIFS(Performance!$Z$5:$Z$404,Performance!$B$5:$B$404,A573))</f>
        <v>0</v>
      </c>
      <c r="AF573" s="24">
        <f>IF(OR(AD573="",AD573=0),"",AE573/AD573)</f>
        <v>0</v>
      </c>
      <c r="AG573" s="23">
        <f>IF(AD573="","",SUMIFS(Performance!$U$5:$U$404,Performance!$B$5:$B$404,A573))</f>
        <v>0</v>
      </c>
      <c r="AH573" s="23">
        <f>IF(A573="","",COUNTIF(Repurposing!$B$5:$B$154,A573))</f>
        <v>0</v>
      </c>
      <c r="AI573" s="32">
        <f>IF(OR(H573="",B573=""),"",B573+ROW()/100000)</f>
        <v>0</v>
      </c>
      <c r="AJ573" s="32">
        <f>IF(OR(H573="",B573=""),"",IF(OR(X573="Published",X573="Cancelled",X573="Archived"),"",IF(B573&lt;TODAY(),"",B573+ROW()/100000)))</f>
        <v>0</v>
      </c>
      <c r="AK573" s="32">
        <f>IF(OR(H573="",B573=""),"",IF(OR(X573="Published",X573="Cancelled",X573="Archived"),"",IF(B573&gt;=TODAY(),"",B573+ROW()/100000)))</f>
        <v>0</v>
      </c>
      <c r="AL573" s="29">
        <f>IF(H573="","",IF(COUNTIFS('Content Calendar'!$H$5:$H$604,H573,'Content Calendar'!$G$5:$G$604,G573,'Content Calendar'!$B$5:$B$604,B573)&gt;1,"Duplicate","OK"))</f>
        <v>0</v>
      </c>
      <c r="AM573" s="29">
        <f>IF(H573="","",IF(AND(B573&lt;&gt;"",B573&lt;TODAY(),X573&lt;&gt;"Published",X573&lt;&gt;"Cancelled",X573&lt;&gt;"Archived"),"Overdue - date has passed",IF(AND(X573="Published",AB573=""),"Add - publish link missing",IF(AND(B573=TODAY(),X573&lt;&gt;"Published"),"Today - due to go live",IF(AND(Y573&lt;&gt;"",Y573&lt;TODAY(),OR(X573="Idea",X573="Brief",X573="In production")),"Late - draft not ready",IF(AND(AA573&gt;=0,AA573&lt;=3,OR(X573="Draft",X573="Awaiting review")),"Due - needs approval",IF(AND(H573&lt;&gt;"",P573=""),"Add - caption missing","OK")))))))</f>
        <v>0</v>
      </c>
    </row>
    <row r="574" spans="1:39">
      <c r="A574" s="41">
        <f>IF(H574="","",ContentPrefix&amp;TEXT(ROW()-4,"0000"))</f>
        <v>0</v>
      </c>
      <c r="D574" s="17">
        <f>IF(B574="","",TEXT(B574,"yyyy-mm"))</f>
        <v>0</v>
      </c>
      <c r="E574" s="23">
        <f>IF(B574="","",WEEKNUM(B574,IF(WeekStart="Sunday",1,2)))</f>
        <v>0</v>
      </c>
      <c r="F574" s="17">
        <f>IF(B574="","",TEXT(B574,"ddd"))</f>
        <v>0</v>
      </c>
      <c r="Q574" s="29">
        <f>IF(H574="","",IF(P574="","Add - no caption",IFERROR(INDEX('Caption Bank'!$R$5:$R$204,MATCH(P574,'Caption Bank'!$B$5:$B$204,0)),"Check - not in bank")))</f>
        <v>0</v>
      </c>
      <c r="S574" s="23">
        <f>IF(R574="","",COUNTIF('Hashtag Bank'!$D$5:$D$304,R574))</f>
        <v>0</v>
      </c>
      <c r="U574" s="29">
        <f>IF(H574="","",IF(T574="","Add - no asset",IFERROR(INDEX(Assets!$N$5:$N$254,MATCH(T574,Assets!$A$5:$A$254,0)),"Check - not in library")))</f>
        <v>0</v>
      </c>
      <c r="Y574" s="16">
        <f>IF(B574="","",B574-ProductionDays)</f>
        <v>0</v>
      </c>
      <c r="Z574" s="16">
        <f>IF(B574="","",B574-ApprovalDays)</f>
        <v>0</v>
      </c>
      <c r="AA574" s="23">
        <f>IF(B574="","",B574-TODAY())</f>
        <v>0</v>
      </c>
      <c r="AC574" s="29">
        <f>IF(H574="","",IF(X574="Published",IF(AB574="","Add - link missing","Yes"),"No"))</f>
        <v>0</v>
      </c>
      <c r="AD574" s="23">
        <f>IF(A574="","",IF(COUNTIF(Performance!$B$5:$B$404,A574)=0,"",SUMIFS(Performance!$O$5:$O$404,Performance!$B$5:$B$404,A574)))</f>
        <v>0</v>
      </c>
      <c r="AE574" s="23">
        <f>IF(AD574="","",SUMIFS(Performance!$Z$5:$Z$404,Performance!$B$5:$B$404,A574))</f>
        <v>0</v>
      </c>
      <c r="AF574" s="24">
        <f>IF(OR(AD574="",AD574=0),"",AE574/AD574)</f>
        <v>0</v>
      </c>
      <c r="AG574" s="23">
        <f>IF(AD574="","",SUMIFS(Performance!$U$5:$U$404,Performance!$B$5:$B$404,A574))</f>
        <v>0</v>
      </c>
      <c r="AH574" s="23">
        <f>IF(A574="","",COUNTIF(Repurposing!$B$5:$B$154,A574))</f>
        <v>0</v>
      </c>
      <c r="AI574" s="32">
        <f>IF(OR(H574="",B574=""),"",B574+ROW()/100000)</f>
        <v>0</v>
      </c>
      <c r="AJ574" s="32">
        <f>IF(OR(H574="",B574=""),"",IF(OR(X574="Published",X574="Cancelled",X574="Archived"),"",IF(B574&lt;TODAY(),"",B574+ROW()/100000)))</f>
        <v>0</v>
      </c>
      <c r="AK574" s="32">
        <f>IF(OR(H574="",B574=""),"",IF(OR(X574="Published",X574="Cancelled",X574="Archived"),"",IF(B574&gt;=TODAY(),"",B574+ROW()/100000)))</f>
        <v>0</v>
      </c>
      <c r="AL574" s="29">
        <f>IF(H574="","",IF(COUNTIFS('Content Calendar'!$H$5:$H$604,H574,'Content Calendar'!$G$5:$G$604,G574,'Content Calendar'!$B$5:$B$604,B574)&gt;1,"Duplicate","OK"))</f>
        <v>0</v>
      </c>
      <c r="AM574" s="29">
        <f>IF(H574="","",IF(AND(B574&lt;&gt;"",B574&lt;TODAY(),X574&lt;&gt;"Published",X574&lt;&gt;"Cancelled",X574&lt;&gt;"Archived"),"Overdue - date has passed",IF(AND(X574="Published",AB574=""),"Add - publish link missing",IF(AND(B574=TODAY(),X574&lt;&gt;"Published"),"Today - due to go live",IF(AND(Y574&lt;&gt;"",Y574&lt;TODAY(),OR(X574="Idea",X574="Brief",X574="In production")),"Late - draft not ready",IF(AND(AA574&gt;=0,AA574&lt;=3,OR(X574="Draft",X574="Awaiting review")),"Due - needs approval",IF(AND(H574&lt;&gt;"",P574=""),"Add - caption missing","OK")))))))</f>
        <v>0</v>
      </c>
    </row>
    <row r="575" spans="1:39">
      <c r="A575" s="41">
        <f>IF(H575="","",ContentPrefix&amp;TEXT(ROW()-4,"0000"))</f>
        <v>0</v>
      </c>
      <c r="D575" s="17">
        <f>IF(B575="","",TEXT(B575,"yyyy-mm"))</f>
        <v>0</v>
      </c>
      <c r="E575" s="23">
        <f>IF(B575="","",WEEKNUM(B575,IF(WeekStart="Sunday",1,2)))</f>
        <v>0</v>
      </c>
      <c r="F575" s="17">
        <f>IF(B575="","",TEXT(B575,"ddd"))</f>
        <v>0</v>
      </c>
      <c r="Q575" s="29">
        <f>IF(H575="","",IF(P575="","Add - no caption",IFERROR(INDEX('Caption Bank'!$R$5:$R$204,MATCH(P575,'Caption Bank'!$B$5:$B$204,0)),"Check - not in bank")))</f>
        <v>0</v>
      </c>
      <c r="S575" s="23">
        <f>IF(R575="","",COUNTIF('Hashtag Bank'!$D$5:$D$304,R575))</f>
        <v>0</v>
      </c>
      <c r="U575" s="29">
        <f>IF(H575="","",IF(T575="","Add - no asset",IFERROR(INDEX(Assets!$N$5:$N$254,MATCH(T575,Assets!$A$5:$A$254,0)),"Check - not in library")))</f>
        <v>0</v>
      </c>
      <c r="Y575" s="16">
        <f>IF(B575="","",B575-ProductionDays)</f>
        <v>0</v>
      </c>
      <c r="Z575" s="16">
        <f>IF(B575="","",B575-ApprovalDays)</f>
        <v>0</v>
      </c>
      <c r="AA575" s="23">
        <f>IF(B575="","",B575-TODAY())</f>
        <v>0</v>
      </c>
      <c r="AC575" s="29">
        <f>IF(H575="","",IF(X575="Published",IF(AB575="","Add - link missing","Yes"),"No"))</f>
        <v>0</v>
      </c>
      <c r="AD575" s="23">
        <f>IF(A575="","",IF(COUNTIF(Performance!$B$5:$B$404,A575)=0,"",SUMIFS(Performance!$O$5:$O$404,Performance!$B$5:$B$404,A575)))</f>
        <v>0</v>
      </c>
      <c r="AE575" s="23">
        <f>IF(AD575="","",SUMIFS(Performance!$Z$5:$Z$404,Performance!$B$5:$B$404,A575))</f>
        <v>0</v>
      </c>
      <c r="AF575" s="24">
        <f>IF(OR(AD575="",AD575=0),"",AE575/AD575)</f>
        <v>0</v>
      </c>
      <c r="AG575" s="23">
        <f>IF(AD575="","",SUMIFS(Performance!$U$5:$U$404,Performance!$B$5:$B$404,A575))</f>
        <v>0</v>
      </c>
      <c r="AH575" s="23">
        <f>IF(A575="","",COUNTIF(Repurposing!$B$5:$B$154,A575))</f>
        <v>0</v>
      </c>
      <c r="AI575" s="32">
        <f>IF(OR(H575="",B575=""),"",B575+ROW()/100000)</f>
        <v>0</v>
      </c>
      <c r="AJ575" s="32">
        <f>IF(OR(H575="",B575=""),"",IF(OR(X575="Published",X575="Cancelled",X575="Archived"),"",IF(B575&lt;TODAY(),"",B575+ROW()/100000)))</f>
        <v>0</v>
      </c>
      <c r="AK575" s="32">
        <f>IF(OR(H575="",B575=""),"",IF(OR(X575="Published",X575="Cancelled",X575="Archived"),"",IF(B575&gt;=TODAY(),"",B575+ROW()/100000)))</f>
        <v>0</v>
      </c>
      <c r="AL575" s="29">
        <f>IF(H575="","",IF(COUNTIFS('Content Calendar'!$H$5:$H$604,H575,'Content Calendar'!$G$5:$G$604,G575,'Content Calendar'!$B$5:$B$604,B575)&gt;1,"Duplicate","OK"))</f>
        <v>0</v>
      </c>
      <c r="AM575" s="29">
        <f>IF(H575="","",IF(AND(B575&lt;&gt;"",B575&lt;TODAY(),X575&lt;&gt;"Published",X575&lt;&gt;"Cancelled",X575&lt;&gt;"Archived"),"Overdue - date has passed",IF(AND(X575="Published",AB575=""),"Add - publish link missing",IF(AND(B575=TODAY(),X575&lt;&gt;"Published"),"Today - due to go live",IF(AND(Y575&lt;&gt;"",Y575&lt;TODAY(),OR(X575="Idea",X575="Brief",X575="In production")),"Late - draft not ready",IF(AND(AA575&gt;=0,AA575&lt;=3,OR(X575="Draft",X575="Awaiting review")),"Due - needs approval",IF(AND(H575&lt;&gt;"",P575=""),"Add - caption missing","OK")))))))</f>
        <v>0</v>
      </c>
    </row>
    <row r="576" spans="1:39">
      <c r="A576" s="41">
        <f>IF(H576="","",ContentPrefix&amp;TEXT(ROW()-4,"0000"))</f>
        <v>0</v>
      </c>
      <c r="D576" s="17">
        <f>IF(B576="","",TEXT(B576,"yyyy-mm"))</f>
        <v>0</v>
      </c>
      <c r="E576" s="23">
        <f>IF(B576="","",WEEKNUM(B576,IF(WeekStart="Sunday",1,2)))</f>
        <v>0</v>
      </c>
      <c r="F576" s="17">
        <f>IF(B576="","",TEXT(B576,"ddd"))</f>
        <v>0</v>
      </c>
      <c r="Q576" s="29">
        <f>IF(H576="","",IF(P576="","Add - no caption",IFERROR(INDEX('Caption Bank'!$R$5:$R$204,MATCH(P576,'Caption Bank'!$B$5:$B$204,0)),"Check - not in bank")))</f>
        <v>0</v>
      </c>
      <c r="S576" s="23">
        <f>IF(R576="","",COUNTIF('Hashtag Bank'!$D$5:$D$304,R576))</f>
        <v>0</v>
      </c>
      <c r="U576" s="29">
        <f>IF(H576="","",IF(T576="","Add - no asset",IFERROR(INDEX(Assets!$N$5:$N$254,MATCH(T576,Assets!$A$5:$A$254,0)),"Check - not in library")))</f>
        <v>0</v>
      </c>
      <c r="Y576" s="16">
        <f>IF(B576="","",B576-ProductionDays)</f>
        <v>0</v>
      </c>
      <c r="Z576" s="16">
        <f>IF(B576="","",B576-ApprovalDays)</f>
        <v>0</v>
      </c>
      <c r="AA576" s="23">
        <f>IF(B576="","",B576-TODAY())</f>
        <v>0</v>
      </c>
      <c r="AC576" s="29">
        <f>IF(H576="","",IF(X576="Published",IF(AB576="","Add - link missing","Yes"),"No"))</f>
        <v>0</v>
      </c>
      <c r="AD576" s="23">
        <f>IF(A576="","",IF(COUNTIF(Performance!$B$5:$B$404,A576)=0,"",SUMIFS(Performance!$O$5:$O$404,Performance!$B$5:$B$404,A576)))</f>
        <v>0</v>
      </c>
      <c r="AE576" s="23">
        <f>IF(AD576="","",SUMIFS(Performance!$Z$5:$Z$404,Performance!$B$5:$B$404,A576))</f>
        <v>0</v>
      </c>
      <c r="AF576" s="24">
        <f>IF(OR(AD576="",AD576=0),"",AE576/AD576)</f>
        <v>0</v>
      </c>
      <c r="AG576" s="23">
        <f>IF(AD576="","",SUMIFS(Performance!$U$5:$U$404,Performance!$B$5:$B$404,A576))</f>
        <v>0</v>
      </c>
      <c r="AH576" s="23">
        <f>IF(A576="","",COUNTIF(Repurposing!$B$5:$B$154,A576))</f>
        <v>0</v>
      </c>
      <c r="AI576" s="32">
        <f>IF(OR(H576="",B576=""),"",B576+ROW()/100000)</f>
        <v>0</v>
      </c>
      <c r="AJ576" s="32">
        <f>IF(OR(H576="",B576=""),"",IF(OR(X576="Published",X576="Cancelled",X576="Archived"),"",IF(B576&lt;TODAY(),"",B576+ROW()/100000)))</f>
        <v>0</v>
      </c>
      <c r="AK576" s="32">
        <f>IF(OR(H576="",B576=""),"",IF(OR(X576="Published",X576="Cancelled",X576="Archived"),"",IF(B576&gt;=TODAY(),"",B576+ROW()/100000)))</f>
        <v>0</v>
      </c>
      <c r="AL576" s="29">
        <f>IF(H576="","",IF(COUNTIFS('Content Calendar'!$H$5:$H$604,H576,'Content Calendar'!$G$5:$G$604,G576,'Content Calendar'!$B$5:$B$604,B576)&gt;1,"Duplicate","OK"))</f>
        <v>0</v>
      </c>
      <c r="AM576" s="29">
        <f>IF(H576="","",IF(AND(B576&lt;&gt;"",B576&lt;TODAY(),X576&lt;&gt;"Published",X576&lt;&gt;"Cancelled",X576&lt;&gt;"Archived"),"Overdue - date has passed",IF(AND(X576="Published",AB576=""),"Add - publish link missing",IF(AND(B576=TODAY(),X576&lt;&gt;"Published"),"Today - due to go live",IF(AND(Y576&lt;&gt;"",Y576&lt;TODAY(),OR(X576="Idea",X576="Brief",X576="In production")),"Late - draft not ready",IF(AND(AA576&gt;=0,AA576&lt;=3,OR(X576="Draft",X576="Awaiting review")),"Due - needs approval",IF(AND(H576&lt;&gt;"",P576=""),"Add - caption missing","OK")))))))</f>
        <v>0</v>
      </c>
    </row>
    <row r="577" spans="1:39">
      <c r="A577" s="41">
        <f>IF(H577="","",ContentPrefix&amp;TEXT(ROW()-4,"0000"))</f>
        <v>0</v>
      </c>
      <c r="D577" s="17">
        <f>IF(B577="","",TEXT(B577,"yyyy-mm"))</f>
        <v>0</v>
      </c>
      <c r="E577" s="23">
        <f>IF(B577="","",WEEKNUM(B577,IF(WeekStart="Sunday",1,2)))</f>
        <v>0</v>
      </c>
      <c r="F577" s="17">
        <f>IF(B577="","",TEXT(B577,"ddd"))</f>
        <v>0</v>
      </c>
      <c r="Q577" s="29">
        <f>IF(H577="","",IF(P577="","Add - no caption",IFERROR(INDEX('Caption Bank'!$R$5:$R$204,MATCH(P577,'Caption Bank'!$B$5:$B$204,0)),"Check - not in bank")))</f>
        <v>0</v>
      </c>
      <c r="S577" s="23">
        <f>IF(R577="","",COUNTIF('Hashtag Bank'!$D$5:$D$304,R577))</f>
        <v>0</v>
      </c>
      <c r="U577" s="29">
        <f>IF(H577="","",IF(T577="","Add - no asset",IFERROR(INDEX(Assets!$N$5:$N$254,MATCH(T577,Assets!$A$5:$A$254,0)),"Check - not in library")))</f>
        <v>0</v>
      </c>
      <c r="Y577" s="16">
        <f>IF(B577="","",B577-ProductionDays)</f>
        <v>0</v>
      </c>
      <c r="Z577" s="16">
        <f>IF(B577="","",B577-ApprovalDays)</f>
        <v>0</v>
      </c>
      <c r="AA577" s="23">
        <f>IF(B577="","",B577-TODAY())</f>
        <v>0</v>
      </c>
      <c r="AC577" s="29">
        <f>IF(H577="","",IF(X577="Published",IF(AB577="","Add - link missing","Yes"),"No"))</f>
        <v>0</v>
      </c>
      <c r="AD577" s="23">
        <f>IF(A577="","",IF(COUNTIF(Performance!$B$5:$B$404,A577)=0,"",SUMIFS(Performance!$O$5:$O$404,Performance!$B$5:$B$404,A577)))</f>
        <v>0</v>
      </c>
      <c r="AE577" s="23">
        <f>IF(AD577="","",SUMIFS(Performance!$Z$5:$Z$404,Performance!$B$5:$B$404,A577))</f>
        <v>0</v>
      </c>
      <c r="AF577" s="24">
        <f>IF(OR(AD577="",AD577=0),"",AE577/AD577)</f>
        <v>0</v>
      </c>
      <c r="AG577" s="23">
        <f>IF(AD577="","",SUMIFS(Performance!$U$5:$U$404,Performance!$B$5:$B$404,A577))</f>
        <v>0</v>
      </c>
      <c r="AH577" s="23">
        <f>IF(A577="","",COUNTIF(Repurposing!$B$5:$B$154,A577))</f>
        <v>0</v>
      </c>
      <c r="AI577" s="32">
        <f>IF(OR(H577="",B577=""),"",B577+ROW()/100000)</f>
        <v>0</v>
      </c>
      <c r="AJ577" s="32">
        <f>IF(OR(H577="",B577=""),"",IF(OR(X577="Published",X577="Cancelled",X577="Archived"),"",IF(B577&lt;TODAY(),"",B577+ROW()/100000)))</f>
        <v>0</v>
      </c>
      <c r="AK577" s="32">
        <f>IF(OR(H577="",B577=""),"",IF(OR(X577="Published",X577="Cancelled",X577="Archived"),"",IF(B577&gt;=TODAY(),"",B577+ROW()/100000)))</f>
        <v>0</v>
      </c>
      <c r="AL577" s="29">
        <f>IF(H577="","",IF(COUNTIFS('Content Calendar'!$H$5:$H$604,H577,'Content Calendar'!$G$5:$G$604,G577,'Content Calendar'!$B$5:$B$604,B577)&gt;1,"Duplicate","OK"))</f>
        <v>0</v>
      </c>
      <c r="AM577" s="29">
        <f>IF(H577="","",IF(AND(B577&lt;&gt;"",B577&lt;TODAY(),X577&lt;&gt;"Published",X577&lt;&gt;"Cancelled",X577&lt;&gt;"Archived"),"Overdue - date has passed",IF(AND(X577="Published",AB577=""),"Add - publish link missing",IF(AND(B577=TODAY(),X577&lt;&gt;"Published"),"Today - due to go live",IF(AND(Y577&lt;&gt;"",Y577&lt;TODAY(),OR(X577="Idea",X577="Brief",X577="In production")),"Late - draft not ready",IF(AND(AA577&gt;=0,AA577&lt;=3,OR(X577="Draft",X577="Awaiting review")),"Due - needs approval",IF(AND(H577&lt;&gt;"",P577=""),"Add - caption missing","OK")))))))</f>
        <v>0</v>
      </c>
    </row>
    <row r="578" spans="1:39">
      <c r="A578" s="41">
        <f>IF(H578="","",ContentPrefix&amp;TEXT(ROW()-4,"0000"))</f>
        <v>0</v>
      </c>
      <c r="D578" s="17">
        <f>IF(B578="","",TEXT(B578,"yyyy-mm"))</f>
        <v>0</v>
      </c>
      <c r="E578" s="23">
        <f>IF(B578="","",WEEKNUM(B578,IF(WeekStart="Sunday",1,2)))</f>
        <v>0</v>
      </c>
      <c r="F578" s="17">
        <f>IF(B578="","",TEXT(B578,"ddd"))</f>
        <v>0</v>
      </c>
      <c r="Q578" s="29">
        <f>IF(H578="","",IF(P578="","Add - no caption",IFERROR(INDEX('Caption Bank'!$R$5:$R$204,MATCH(P578,'Caption Bank'!$B$5:$B$204,0)),"Check - not in bank")))</f>
        <v>0</v>
      </c>
      <c r="S578" s="23">
        <f>IF(R578="","",COUNTIF('Hashtag Bank'!$D$5:$D$304,R578))</f>
        <v>0</v>
      </c>
      <c r="U578" s="29">
        <f>IF(H578="","",IF(T578="","Add - no asset",IFERROR(INDEX(Assets!$N$5:$N$254,MATCH(T578,Assets!$A$5:$A$254,0)),"Check - not in library")))</f>
        <v>0</v>
      </c>
      <c r="Y578" s="16">
        <f>IF(B578="","",B578-ProductionDays)</f>
        <v>0</v>
      </c>
      <c r="Z578" s="16">
        <f>IF(B578="","",B578-ApprovalDays)</f>
        <v>0</v>
      </c>
      <c r="AA578" s="23">
        <f>IF(B578="","",B578-TODAY())</f>
        <v>0</v>
      </c>
      <c r="AC578" s="29">
        <f>IF(H578="","",IF(X578="Published",IF(AB578="","Add - link missing","Yes"),"No"))</f>
        <v>0</v>
      </c>
      <c r="AD578" s="23">
        <f>IF(A578="","",IF(COUNTIF(Performance!$B$5:$B$404,A578)=0,"",SUMIFS(Performance!$O$5:$O$404,Performance!$B$5:$B$404,A578)))</f>
        <v>0</v>
      </c>
      <c r="AE578" s="23">
        <f>IF(AD578="","",SUMIFS(Performance!$Z$5:$Z$404,Performance!$B$5:$B$404,A578))</f>
        <v>0</v>
      </c>
      <c r="AF578" s="24">
        <f>IF(OR(AD578="",AD578=0),"",AE578/AD578)</f>
        <v>0</v>
      </c>
      <c r="AG578" s="23">
        <f>IF(AD578="","",SUMIFS(Performance!$U$5:$U$404,Performance!$B$5:$B$404,A578))</f>
        <v>0</v>
      </c>
      <c r="AH578" s="23">
        <f>IF(A578="","",COUNTIF(Repurposing!$B$5:$B$154,A578))</f>
        <v>0</v>
      </c>
      <c r="AI578" s="32">
        <f>IF(OR(H578="",B578=""),"",B578+ROW()/100000)</f>
        <v>0</v>
      </c>
      <c r="AJ578" s="32">
        <f>IF(OR(H578="",B578=""),"",IF(OR(X578="Published",X578="Cancelled",X578="Archived"),"",IF(B578&lt;TODAY(),"",B578+ROW()/100000)))</f>
        <v>0</v>
      </c>
      <c r="AK578" s="32">
        <f>IF(OR(H578="",B578=""),"",IF(OR(X578="Published",X578="Cancelled",X578="Archived"),"",IF(B578&gt;=TODAY(),"",B578+ROW()/100000)))</f>
        <v>0</v>
      </c>
      <c r="AL578" s="29">
        <f>IF(H578="","",IF(COUNTIFS('Content Calendar'!$H$5:$H$604,H578,'Content Calendar'!$G$5:$G$604,G578,'Content Calendar'!$B$5:$B$604,B578)&gt;1,"Duplicate","OK"))</f>
        <v>0</v>
      </c>
      <c r="AM578" s="29">
        <f>IF(H578="","",IF(AND(B578&lt;&gt;"",B578&lt;TODAY(),X578&lt;&gt;"Published",X578&lt;&gt;"Cancelled",X578&lt;&gt;"Archived"),"Overdue - date has passed",IF(AND(X578="Published",AB578=""),"Add - publish link missing",IF(AND(B578=TODAY(),X578&lt;&gt;"Published"),"Today - due to go live",IF(AND(Y578&lt;&gt;"",Y578&lt;TODAY(),OR(X578="Idea",X578="Brief",X578="In production")),"Late - draft not ready",IF(AND(AA578&gt;=0,AA578&lt;=3,OR(X578="Draft",X578="Awaiting review")),"Due - needs approval",IF(AND(H578&lt;&gt;"",P578=""),"Add - caption missing","OK")))))))</f>
        <v>0</v>
      </c>
    </row>
    <row r="579" spans="1:39">
      <c r="A579" s="41">
        <f>IF(H579="","",ContentPrefix&amp;TEXT(ROW()-4,"0000"))</f>
        <v>0</v>
      </c>
      <c r="D579" s="17">
        <f>IF(B579="","",TEXT(B579,"yyyy-mm"))</f>
        <v>0</v>
      </c>
      <c r="E579" s="23">
        <f>IF(B579="","",WEEKNUM(B579,IF(WeekStart="Sunday",1,2)))</f>
        <v>0</v>
      </c>
      <c r="F579" s="17">
        <f>IF(B579="","",TEXT(B579,"ddd"))</f>
        <v>0</v>
      </c>
      <c r="Q579" s="29">
        <f>IF(H579="","",IF(P579="","Add - no caption",IFERROR(INDEX('Caption Bank'!$R$5:$R$204,MATCH(P579,'Caption Bank'!$B$5:$B$204,0)),"Check - not in bank")))</f>
        <v>0</v>
      </c>
      <c r="S579" s="23">
        <f>IF(R579="","",COUNTIF('Hashtag Bank'!$D$5:$D$304,R579))</f>
        <v>0</v>
      </c>
      <c r="U579" s="29">
        <f>IF(H579="","",IF(T579="","Add - no asset",IFERROR(INDEX(Assets!$N$5:$N$254,MATCH(T579,Assets!$A$5:$A$254,0)),"Check - not in library")))</f>
        <v>0</v>
      </c>
      <c r="Y579" s="16">
        <f>IF(B579="","",B579-ProductionDays)</f>
        <v>0</v>
      </c>
      <c r="Z579" s="16">
        <f>IF(B579="","",B579-ApprovalDays)</f>
        <v>0</v>
      </c>
      <c r="AA579" s="23">
        <f>IF(B579="","",B579-TODAY())</f>
        <v>0</v>
      </c>
      <c r="AC579" s="29">
        <f>IF(H579="","",IF(X579="Published",IF(AB579="","Add - link missing","Yes"),"No"))</f>
        <v>0</v>
      </c>
      <c r="AD579" s="23">
        <f>IF(A579="","",IF(COUNTIF(Performance!$B$5:$B$404,A579)=0,"",SUMIFS(Performance!$O$5:$O$404,Performance!$B$5:$B$404,A579)))</f>
        <v>0</v>
      </c>
      <c r="AE579" s="23">
        <f>IF(AD579="","",SUMIFS(Performance!$Z$5:$Z$404,Performance!$B$5:$B$404,A579))</f>
        <v>0</v>
      </c>
      <c r="AF579" s="24">
        <f>IF(OR(AD579="",AD579=0),"",AE579/AD579)</f>
        <v>0</v>
      </c>
      <c r="AG579" s="23">
        <f>IF(AD579="","",SUMIFS(Performance!$U$5:$U$404,Performance!$B$5:$B$404,A579))</f>
        <v>0</v>
      </c>
      <c r="AH579" s="23">
        <f>IF(A579="","",COUNTIF(Repurposing!$B$5:$B$154,A579))</f>
        <v>0</v>
      </c>
      <c r="AI579" s="32">
        <f>IF(OR(H579="",B579=""),"",B579+ROW()/100000)</f>
        <v>0</v>
      </c>
      <c r="AJ579" s="32">
        <f>IF(OR(H579="",B579=""),"",IF(OR(X579="Published",X579="Cancelled",X579="Archived"),"",IF(B579&lt;TODAY(),"",B579+ROW()/100000)))</f>
        <v>0</v>
      </c>
      <c r="AK579" s="32">
        <f>IF(OR(H579="",B579=""),"",IF(OR(X579="Published",X579="Cancelled",X579="Archived"),"",IF(B579&gt;=TODAY(),"",B579+ROW()/100000)))</f>
        <v>0</v>
      </c>
      <c r="AL579" s="29">
        <f>IF(H579="","",IF(COUNTIFS('Content Calendar'!$H$5:$H$604,H579,'Content Calendar'!$G$5:$G$604,G579,'Content Calendar'!$B$5:$B$604,B579)&gt;1,"Duplicate","OK"))</f>
        <v>0</v>
      </c>
      <c r="AM579" s="29">
        <f>IF(H579="","",IF(AND(B579&lt;&gt;"",B579&lt;TODAY(),X579&lt;&gt;"Published",X579&lt;&gt;"Cancelled",X579&lt;&gt;"Archived"),"Overdue - date has passed",IF(AND(X579="Published",AB579=""),"Add - publish link missing",IF(AND(B579=TODAY(),X579&lt;&gt;"Published"),"Today - due to go live",IF(AND(Y579&lt;&gt;"",Y579&lt;TODAY(),OR(X579="Idea",X579="Brief",X579="In production")),"Late - draft not ready",IF(AND(AA579&gt;=0,AA579&lt;=3,OR(X579="Draft",X579="Awaiting review")),"Due - needs approval",IF(AND(H579&lt;&gt;"",P579=""),"Add - caption missing","OK")))))))</f>
        <v>0</v>
      </c>
    </row>
    <row r="580" spans="1:39">
      <c r="A580" s="41">
        <f>IF(H580="","",ContentPrefix&amp;TEXT(ROW()-4,"0000"))</f>
        <v>0</v>
      </c>
      <c r="D580" s="17">
        <f>IF(B580="","",TEXT(B580,"yyyy-mm"))</f>
        <v>0</v>
      </c>
      <c r="E580" s="23">
        <f>IF(B580="","",WEEKNUM(B580,IF(WeekStart="Sunday",1,2)))</f>
        <v>0</v>
      </c>
      <c r="F580" s="17">
        <f>IF(B580="","",TEXT(B580,"ddd"))</f>
        <v>0</v>
      </c>
      <c r="Q580" s="29">
        <f>IF(H580="","",IF(P580="","Add - no caption",IFERROR(INDEX('Caption Bank'!$R$5:$R$204,MATCH(P580,'Caption Bank'!$B$5:$B$204,0)),"Check - not in bank")))</f>
        <v>0</v>
      </c>
      <c r="S580" s="23">
        <f>IF(R580="","",COUNTIF('Hashtag Bank'!$D$5:$D$304,R580))</f>
        <v>0</v>
      </c>
      <c r="U580" s="29">
        <f>IF(H580="","",IF(T580="","Add - no asset",IFERROR(INDEX(Assets!$N$5:$N$254,MATCH(T580,Assets!$A$5:$A$254,0)),"Check - not in library")))</f>
        <v>0</v>
      </c>
      <c r="Y580" s="16">
        <f>IF(B580="","",B580-ProductionDays)</f>
        <v>0</v>
      </c>
      <c r="Z580" s="16">
        <f>IF(B580="","",B580-ApprovalDays)</f>
        <v>0</v>
      </c>
      <c r="AA580" s="23">
        <f>IF(B580="","",B580-TODAY())</f>
        <v>0</v>
      </c>
      <c r="AC580" s="29">
        <f>IF(H580="","",IF(X580="Published",IF(AB580="","Add - link missing","Yes"),"No"))</f>
        <v>0</v>
      </c>
      <c r="AD580" s="23">
        <f>IF(A580="","",IF(COUNTIF(Performance!$B$5:$B$404,A580)=0,"",SUMIFS(Performance!$O$5:$O$404,Performance!$B$5:$B$404,A580)))</f>
        <v>0</v>
      </c>
      <c r="AE580" s="23">
        <f>IF(AD580="","",SUMIFS(Performance!$Z$5:$Z$404,Performance!$B$5:$B$404,A580))</f>
        <v>0</v>
      </c>
      <c r="AF580" s="24">
        <f>IF(OR(AD580="",AD580=0),"",AE580/AD580)</f>
        <v>0</v>
      </c>
      <c r="AG580" s="23">
        <f>IF(AD580="","",SUMIFS(Performance!$U$5:$U$404,Performance!$B$5:$B$404,A580))</f>
        <v>0</v>
      </c>
      <c r="AH580" s="23">
        <f>IF(A580="","",COUNTIF(Repurposing!$B$5:$B$154,A580))</f>
        <v>0</v>
      </c>
      <c r="AI580" s="32">
        <f>IF(OR(H580="",B580=""),"",B580+ROW()/100000)</f>
        <v>0</v>
      </c>
      <c r="AJ580" s="32">
        <f>IF(OR(H580="",B580=""),"",IF(OR(X580="Published",X580="Cancelled",X580="Archived"),"",IF(B580&lt;TODAY(),"",B580+ROW()/100000)))</f>
        <v>0</v>
      </c>
      <c r="AK580" s="32">
        <f>IF(OR(H580="",B580=""),"",IF(OR(X580="Published",X580="Cancelled",X580="Archived"),"",IF(B580&gt;=TODAY(),"",B580+ROW()/100000)))</f>
        <v>0</v>
      </c>
      <c r="AL580" s="29">
        <f>IF(H580="","",IF(COUNTIFS('Content Calendar'!$H$5:$H$604,H580,'Content Calendar'!$G$5:$G$604,G580,'Content Calendar'!$B$5:$B$604,B580)&gt;1,"Duplicate","OK"))</f>
        <v>0</v>
      </c>
      <c r="AM580" s="29">
        <f>IF(H580="","",IF(AND(B580&lt;&gt;"",B580&lt;TODAY(),X580&lt;&gt;"Published",X580&lt;&gt;"Cancelled",X580&lt;&gt;"Archived"),"Overdue - date has passed",IF(AND(X580="Published",AB580=""),"Add - publish link missing",IF(AND(B580=TODAY(),X580&lt;&gt;"Published"),"Today - due to go live",IF(AND(Y580&lt;&gt;"",Y580&lt;TODAY(),OR(X580="Idea",X580="Brief",X580="In production")),"Late - draft not ready",IF(AND(AA580&gt;=0,AA580&lt;=3,OR(X580="Draft",X580="Awaiting review")),"Due - needs approval",IF(AND(H580&lt;&gt;"",P580=""),"Add - caption missing","OK")))))))</f>
        <v>0</v>
      </c>
    </row>
    <row r="581" spans="1:39">
      <c r="A581" s="41">
        <f>IF(H581="","",ContentPrefix&amp;TEXT(ROW()-4,"0000"))</f>
        <v>0</v>
      </c>
      <c r="D581" s="17">
        <f>IF(B581="","",TEXT(B581,"yyyy-mm"))</f>
        <v>0</v>
      </c>
      <c r="E581" s="23">
        <f>IF(B581="","",WEEKNUM(B581,IF(WeekStart="Sunday",1,2)))</f>
        <v>0</v>
      </c>
      <c r="F581" s="17">
        <f>IF(B581="","",TEXT(B581,"ddd"))</f>
        <v>0</v>
      </c>
      <c r="Q581" s="29">
        <f>IF(H581="","",IF(P581="","Add - no caption",IFERROR(INDEX('Caption Bank'!$R$5:$R$204,MATCH(P581,'Caption Bank'!$B$5:$B$204,0)),"Check - not in bank")))</f>
        <v>0</v>
      </c>
      <c r="S581" s="23">
        <f>IF(R581="","",COUNTIF('Hashtag Bank'!$D$5:$D$304,R581))</f>
        <v>0</v>
      </c>
      <c r="U581" s="29">
        <f>IF(H581="","",IF(T581="","Add - no asset",IFERROR(INDEX(Assets!$N$5:$N$254,MATCH(T581,Assets!$A$5:$A$254,0)),"Check - not in library")))</f>
        <v>0</v>
      </c>
      <c r="Y581" s="16">
        <f>IF(B581="","",B581-ProductionDays)</f>
        <v>0</v>
      </c>
      <c r="Z581" s="16">
        <f>IF(B581="","",B581-ApprovalDays)</f>
        <v>0</v>
      </c>
      <c r="AA581" s="23">
        <f>IF(B581="","",B581-TODAY())</f>
        <v>0</v>
      </c>
      <c r="AC581" s="29">
        <f>IF(H581="","",IF(X581="Published",IF(AB581="","Add - link missing","Yes"),"No"))</f>
        <v>0</v>
      </c>
      <c r="AD581" s="23">
        <f>IF(A581="","",IF(COUNTIF(Performance!$B$5:$B$404,A581)=0,"",SUMIFS(Performance!$O$5:$O$404,Performance!$B$5:$B$404,A581)))</f>
        <v>0</v>
      </c>
      <c r="AE581" s="23">
        <f>IF(AD581="","",SUMIFS(Performance!$Z$5:$Z$404,Performance!$B$5:$B$404,A581))</f>
        <v>0</v>
      </c>
      <c r="AF581" s="24">
        <f>IF(OR(AD581="",AD581=0),"",AE581/AD581)</f>
        <v>0</v>
      </c>
      <c r="AG581" s="23">
        <f>IF(AD581="","",SUMIFS(Performance!$U$5:$U$404,Performance!$B$5:$B$404,A581))</f>
        <v>0</v>
      </c>
      <c r="AH581" s="23">
        <f>IF(A581="","",COUNTIF(Repurposing!$B$5:$B$154,A581))</f>
        <v>0</v>
      </c>
      <c r="AI581" s="32">
        <f>IF(OR(H581="",B581=""),"",B581+ROW()/100000)</f>
        <v>0</v>
      </c>
      <c r="AJ581" s="32">
        <f>IF(OR(H581="",B581=""),"",IF(OR(X581="Published",X581="Cancelled",X581="Archived"),"",IF(B581&lt;TODAY(),"",B581+ROW()/100000)))</f>
        <v>0</v>
      </c>
      <c r="AK581" s="32">
        <f>IF(OR(H581="",B581=""),"",IF(OR(X581="Published",X581="Cancelled",X581="Archived"),"",IF(B581&gt;=TODAY(),"",B581+ROW()/100000)))</f>
        <v>0</v>
      </c>
      <c r="AL581" s="29">
        <f>IF(H581="","",IF(COUNTIFS('Content Calendar'!$H$5:$H$604,H581,'Content Calendar'!$G$5:$G$604,G581,'Content Calendar'!$B$5:$B$604,B581)&gt;1,"Duplicate","OK"))</f>
        <v>0</v>
      </c>
      <c r="AM581" s="29">
        <f>IF(H581="","",IF(AND(B581&lt;&gt;"",B581&lt;TODAY(),X581&lt;&gt;"Published",X581&lt;&gt;"Cancelled",X581&lt;&gt;"Archived"),"Overdue - date has passed",IF(AND(X581="Published",AB581=""),"Add - publish link missing",IF(AND(B581=TODAY(),X581&lt;&gt;"Published"),"Today - due to go live",IF(AND(Y581&lt;&gt;"",Y581&lt;TODAY(),OR(X581="Idea",X581="Brief",X581="In production")),"Late - draft not ready",IF(AND(AA581&gt;=0,AA581&lt;=3,OR(X581="Draft",X581="Awaiting review")),"Due - needs approval",IF(AND(H581&lt;&gt;"",P581=""),"Add - caption missing","OK")))))))</f>
        <v>0</v>
      </c>
    </row>
    <row r="582" spans="1:39">
      <c r="A582" s="41">
        <f>IF(H582="","",ContentPrefix&amp;TEXT(ROW()-4,"0000"))</f>
        <v>0</v>
      </c>
      <c r="D582" s="17">
        <f>IF(B582="","",TEXT(B582,"yyyy-mm"))</f>
        <v>0</v>
      </c>
      <c r="E582" s="23">
        <f>IF(B582="","",WEEKNUM(B582,IF(WeekStart="Sunday",1,2)))</f>
        <v>0</v>
      </c>
      <c r="F582" s="17">
        <f>IF(B582="","",TEXT(B582,"ddd"))</f>
        <v>0</v>
      </c>
      <c r="Q582" s="29">
        <f>IF(H582="","",IF(P582="","Add - no caption",IFERROR(INDEX('Caption Bank'!$R$5:$R$204,MATCH(P582,'Caption Bank'!$B$5:$B$204,0)),"Check - not in bank")))</f>
        <v>0</v>
      </c>
      <c r="S582" s="23">
        <f>IF(R582="","",COUNTIF('Hashtag Bank'!$D$5:$D$304,R582))</f>
        <v>0</v>
      </c>
      <c r="U582" s="29">
        <f>IF(H582="","",IF(T582="","Add - no asset",IFERROR(INDEX(Assets!$N$5:$N$254,MATCH(T582,Assets!$A$5:$A$254,0)),"Check - not in library")))</f>
        <v>0</v>
      </c>
      <c r="Y582" s="16">
        <f>IF(B582="","",B582-ProductionDays)</f>
        <v>0</v>
      </c>
      <c r="Z582" s="16">
        <f>IF(B582="","",B582-ApprovalDays)</f>
        <v>0</v>
      </c>
      <c r="AA582" s="23">
        <f>IF(B582="","",B582-TODAY())</f>
        <v>0</v>
      </c>
      <c r="AC582" s="29">
        <f>IF(H582="","",IF(X582="Published",IF(AB582="","Add - link missing","Yes"),"No"))</f>
        <v>0</v>
      </c>
      <c r="AD582" s="23">
        <f>IF(A582="","",IF(COUNTIF(Performance!$B$5:$B$404,A582)=0,"",SUMIFS(Performance!$O$5:$O$404,Performance!$B$5:$B$404,A582)))</f>
        <v>0</v>
      </c>
      <c r="AE582" s="23">
        <f>IF(AD582="","",SUMIFS(Performance!$Z$5:$Z$404,Performance!$B$5:$B$404,A582))</f>
        <v>0</v>
      </c>
      <c r="AF582" s="24">
        <f>IF(OR(AD582="",AD582=0),"",AE582/AD582)</f>
        <v>0</v>
      </c>
      <c r="AG582" s="23">
        <f>IF(AD582="","",SUMIFS(Performance!$U$5:$U$404,Performance!$B$5:$B$404,A582))</f>
        <v>0</v>
      </c>
      <c r="AH582" s="23">
        <f>IF(A582="","",COUNTIF(Repurposing!$B$5:$B$154,A582))</f>
        <v>0</v>
      </c>
      <c r="AI582" s="32">
        <f>IF(OR(H582="",B582=""),"",B582+ROW()/100000)</f>
        <v>0</v>
      </c>
      <c r="AJ582" s="32">
        <f>IF(OR(H582="",B582=""),"",IF(OR(X582="Published",X582="Cancelled",X582="Archived"),"",IF(B582&lt;TODAY(),"",B582+ROW()/100000)))</f>
        <v>0</v>
      </c>
      <c r="AK582" s="32">
        <f>IF(OR(H582="",B582=""),"",IF(OR(X582="Published",X582="Cancelled",X582="Archived"),"",IF(B582&gt;=TODAY(),"",B582+ROW()/100000)))</f>
        <v>0</v>
      </c>
      <c r="AL582" s="29">
        <f>IF(H582="","",IF(COUNTIFS('Content Calendar'!$H$5:$H$604,H582,'Content Calendar'!$G$5:$G$604,G582,'Content Calendar'!$B$5:$B$604,B582)&gt;1,"Duplicate","OK"))</f>
        <v>0</v>
      </c>
      <c r="AM582" s="29">
        <f>IF(H582="","",IF(AND(B582&lt;&gt;"",B582&lt;TODAY(),X582&lt;&gt;"Published",X582&lt;&gt;"Cancelled",X582&lt;&gt;"Archived"),"Overdue - date has passed",IF(AND(X582="Published",AB582=""),"Add - publish link missing",IF(AND(B582=TODAY(),X582&lt;&gt;"Published"),"Today - due to go live",IF(AND(Y582&lt;&gt;"",Y582&lt;TODAY(),OR(X582="Idea",X582="Brief",X582="In production")),"Late - draft not ready",IF(AND(AA582&gt;=0,AA582&lt;=3,OR(X582="Draft",X582="Awaiting review")),"Due - needs approval",IF(AND(H582&lt;&gt;"",P582=""),"Add - caption missing","OK")))))))</f>
        <v>0</v>
      </c>
    </row>
    <row r="583" spans="1:39">
      <c r="A583" s="41">
        <f>IF(H583="","",ContentPrefix&amp;TEXT(ROW()-4,"0000"))</f>
        <v>0</v>
      </c>
      <c r="D583" s="17">
        <f>IF(B583="","",TEXT(B583,"yyyy-mm"))</f>
        <v>0</v>
      </c>
      <c r="E583" s="23">
        <f>IF(B583="","",WEEKNUM(B583,IF(WeekStart="Sunday",1,2)))</f>
        <v>0</v>
      </c>
      <c r="F583" s="17">
        <f>IF(B583="","",TEXT(B583,"ddd"))</f>
        <v>0</v>
      </c>
      <c r="Q583" s="29">
        <f>IF(H583="","",IF(P583="","Add - no caption",IFERROR(INDEX('Caption Bank'!$R$5:$R$204,MATCH(P583,'Caption Bank'!$B$5:$B$204,0)),"Check - not in bank")))</f>
        <v>0</v>
      </c>
      <c r="S583" s="23">
        <f>IF(R583="","",COUNTIF('Hashtag Bank'!$D$5:$D$304,R583))</f>
        <v>0</v>
      </c>
      <c r="U583" s="29">
        <f>IF(H583="","",IF(T583="","Add - no asset",IFERROR(INDEX(Assets!$N$5:$N$254,MATCH(T583,Assets!$A$5:$A$254,0)),"Check - not in library")))</f>
        <v>0</v>
      </c>
      <c r="Y583" s="16">
        <f>IF(B583="","",B583-ProductionDays)</f>
        <v>0</v>
      </c>
      <c r="Z583" s="16">
        <f>IF(B583="","",B583-ApprovalDays)</f>
        <v>0</v>
      </c>
      <c r="AA583" s="23">
        <f>IF(B583="","",B583-TODAY())</f>
        <v>0</v>
      </c>
      <c r="AC583" s="29">
        <f>IF(H583="","",IF(X583="Published",IF(AB583="","Add - link missing","Yes"),"No"))</f>
        <v>0</v>
      </c>
      <c r="AD583" s="23">
        <f>IF(A583="","",IF(COUNTIF(Performance!$B$5:$B$404,A583)=0,"",SUMIFS(Performance!$O$5:$O$404,Performance!$B$5:$B$404,A583)))</f>
        <v>0</v>
      </c>
      <c r="AE583" s="23">
        <f>IF(AD583="","",SUMIFS(Performance!$Z$5:$Z$404,Performance!$B$5:$B$404,A583))</f>
        <v>0</v>
      </c>
      <c r="AF583" s="24">
        <f>IF(OR(AD583="",AD583=0),"",AE583/AD583)</f>
        <v>0</v>
      </c>
      <c r="AG583" s="23">
        <f>IF(AD583="","",SUMIFS(Performance!$U$5:$U$404,Performance!$B$5:$B$404,A583))</f>
        <v>0</v>
      </c>
      <c r="AH583" s="23">
        <f>IF(A583="","",COUNTIF(Repurposing!$B$5:$B$154,A583))</f>
        <v>0</v>
      </c>
      <c r="AI583" s="32">
        <f>IF(OR(H583="",B583=""),"",B583+ROW()/100000)</f>
        <v>0</v>
      </c>
      <c r="AJ583" s="32">
        <f>IF(OR(H583="",B583=""),"",IF(OR(X583="Published",X583="Cancelled",X583="Archived"),"",IF(B583&lt;TODAY(),"",B583+ROW()/100000)))</f>
        <v>0</v>
      </c>
      <c r="AK583" s="32">
        <f>IF(OR(H583="",B583=""),"",IF(OR(X583="Published",X583="Cancelled",X583="Archived"),"",IF(B583&gt;=TODAY(),"",B583+ROW()/100000)))</f>
        <v>0</v>
      </c>
      <c r="AL583" s="29">
        <f>IF(H583="","",IF(COUNTIFS('Content Calendar'!$H$5:$H$604,H583,'Content Calendar'!$G$5:$G$604,G583,'Content Calendar'!$B$5:$B$604,B583)&gt;1,"Duplicate","OK"))</f>
        <v>0</v>
      </c>
      <c r="AM583" s="29">
        <f>IF(H583="","",IF(AND(B583&lt;&gt;"",B583&lt;TODAY(),X583&lt;&gt;"Published",X583&lt;&gt;"Cancelled",X583&lt;&gt;"Archived"),"Overdue - date has passed",IF(AND(X583="Published",AB583=""),"Add - publish link missing",IF(AND(B583=TODAY(),X583&lt;&gt;"Published"),"Today - due to go live",IF(AND(Y583&lt;&gt;"",Y583&lt;TODAY(),OR(X583="Idea",X583="Brief",X583="In production")),"Late - draft not ready",IF(AND(AA583&gt;=0,AA583&lt;=3,OR(X583="Draft",X583="Awaiting review")),"Due - needs approval",IF(AND(H583&lt;&gt;"",P583=""),"Add - caption missing","OK")))))))</f>
        <v>0</v>
      </c>
    </row>
    <row r="584" spans="1:39">
      <c r="A584" s="41">
        <f>IF(H584="","",ContentPrefix&amp;TEXT(ROW()-4,"0000"))</f>
        <v>0</v>
      </c>
      <c r="D584" s="17">
        <f>IF(B584="","",TEXT(B584,"yyyy-mm"))</f>
        <v>0</v>
      </c>
      <c r="E584" s="23">
        <f>IF(B584="","",WEEKNUM(B584,IF(WeekStart="Sunday",1,2)))</f>
        <v>0</v>
      </c>
      <c r="F584" s="17">
        <f>IF(B584="","",TEXT(B584,"ddd"))</f>
        <v>0</v>
      </c>
      <c r="Q584" s="29">
        <f>IF(H584="","",IF(P584="","Add - no caption",IFERROR(INDEX('Caption Bank'!$R$5:$R$204,MATCH(P584,'Caption Bank'!$B$5:$B$204,0)),"Check - not in bank")))</f>
        <v>0</v>
      </c>
      <c r="S584" s="23">
        <f>IF(R584="","",COUNTIF('Hashtag Bank'!$D$5:$D$304,R584))</f>
        <v>0</v>
      </c>
      <c r="U584" s="29">
        <f>IF(H584="","",IF(T584="","Add - no asset",IFERROR(INDEX(Assets!$N$5:$N$254,MATCH(T584,Assets!$A$5:$A$254,0)),"Check - not in library")))</f>
        <v>0</v>
      </c>
      <c r="Y584" s="16">
        <f>IF(B584="","",B584-ProductionDays)</f>
        <v>0</v>
      </c>
      <c r="Z584" s="16">
        <f>IF(B584="","",B584-ApprovalDays)</f>
        <v>0</v>
      </c>
      <c r="AA584" s="23">
        <f>IF(B584="","",B584-TODAY())</f>
        <v>0</v>
      </c>
      <c r="AC584" s="29">
        <f>IF(H584="","",IF(X584="Published",IF(AB584="","Add - link missing","Yes"),"No"))</f>
        <v>0</v>
      </c>
      <c r="AD584" s="23">
        <f>IF(A584="","",IF(COUNTIF(Performance!$B$5:$B$404,A584)=0,"",SUMIFS(Performance!$O$5:$O$404,Performance!$B$5:$B$404,A584)))</f>
        <v>0</v>
      </c>
      <c r="AE584" s="23">
        <f>IF(AD584="","",SUMIFS(Performance!$Z$5:$Z$404,Performance!$B$5:$B$404,A584))</f>
        <v>0</v>
      </c>
      <c r="AF584" s="24">
        <f>IF(OR(AD584="",AD584=0),"",AE584/AD584)</f>
        <v>0</v>
      </c>
      <c r="AG584" s="23">
        <f>IF(AD584="","",SUMIFS(Performance!$U$5:$U$404,Performance!$B$5:$B$404,A584))</f>
        <v>0</v>
      </c>
      <c r="AH584" s="23">
        <f>IF(A584="","",COUNTIF(Repurposing!$B$5:$B$154,A584))</f>
        <v>0</v>
      </c>
      <c r="AI584" s="32">
        <f>IF(OR(H584="",B584=""),"",B584+ROW()/100000)</f>
        <v>0</v>
      </c>
      <c r="AJ584" s="32">
        <f>IF(OR(H584="",B584=""),"",IF(OR(X584="Published",X584="Cancelled",X584="Archived"),"",IF(B584&lt;TODAY(),"",B584+ROW()/100000)))</f>
        <v>0</v>
      </c>
      <c r="AK584" s="32">
        <f>IF(OR(H584="",B584=""),"",IF(OR(X584="Published",X584="Cancelled",X584="Archived"),"",IF(B584&gt;=TODAY(),"",B584+ROW()/100000)))</f>
        <v>0</v>
      </c>
      <c r="AL584" s="29">
        <f>IF(H584="","",IF(COUNTIFS('Content Calendar'!$H$5:$H$604,H584,'Content Calendar'!$G$5:$G$604,G584,'Content Calendar'!$B$5:$B$604,B584)&gt;1,"Duplicate","OK"))</f>
        <v>0</v>
      </c>
      <c r="AM584" s="29">
        <f>IF(H584="","",IF(AND(B584&lt;&gt;"",B584&lt;TODAY(),X584&lt;&gt;"Published",X584&lt;&gt;"Cancelled",X584&lt;&gt;"Archived"),"Overdue - date has passed",IF(AND(X584="Published",AB584=""),"Add - publish link missing",IF(AND(B584=TODAY(),X584&lt;&gt;"Published"),"Today - due to go live",IF(AND(Y584&lt;&gt;"",Y584&lt;TODAY(),OR(X584="Idea",X584="Brief",X584="In production")),"Late - draft not ready",IF(AND(AA584&gt;=0,AA584&lt;=3,OR(X584="Draft",X584="Awaiting review")),"Due - needs approval",IF(AND(H584&lt;&gt;"",P584=""),"Add - caption missing","OK")))))))</f>
        <v>0</v>
      </c>
    </row>
    <row r="585" spans="1:39">
      <c r="A585" s="41">
        <f>IF(H585="","",ContentPrefix&amp;TEXT(ROW()-4,"0000"))</f>
        <v>0</v>
      </c>
      <c r="D585" s="17">
        <f>IF(B585="","",TEXT(B585,"yyyy-mm"))</f>
        <v>0</v>
      </c>
      <c r="E585" s="23">
        <f>IF(B585="","",WEEKNUM(B585,IF(WeekStart="Sunday",1,2)))</f>
        <v>0</v>
      </c>
      <c r="F585" s="17">
        <f>IF(B585="","",TEXT(B585,"ddd"))</f>
        <v>0</v>
      </c>
      <c r="Q585" s="29">
        <f>IF(H585="","",IF(P585="","Add - no caption",IFERROR(INDEX('Caption Bank'!$R$5:$R$204,MATCH(P585,'Caption Bank'!$B$5:$B$204,0)),"Check - not in bank")))</f>
        <v>0</v>
      </c>
      <c r="S585" s="23">
        <f>IF(R585="","",COUNTIF('Hashtag Bank'!$D$5:$D$304,R585))</f>
        <v>0</v>
      </c>
      <c r="U585" s="29">
        <f>IF(H585="","",IF(T585="","Add - no asset",IFERROR(INDEX(Assets!$N$5:$N$254,MATCH(T585,Assets!$A$5:$A$254,0)),"Check - not in library")))</f>
        <v>0</v>
      </c>
      <c r="Y585" s="16">
        <f>IF(B585="","",B585-ProductionDays)</f>
        <v>0</v>
      </c>
      <c r="Z585" s="16">
        <f>IF(B585="","",B585-ApprovalDays)</f>
        <v>0</v>
      </c>
      <c r="AA585" s="23">
        <f>IF(B585="","",B585-TODAY())</f>
        <v>0</v>
      </c>
      <c r="AC585" s="29">
        <f>IF(H585="","",IF(X585="Published",IF(AB585="","Add - link missing","Yes"),"No"))</f>
        <v>0</v>
      </c>
      <c r="AD585" s="23">
        <f>IF(A585="","",IF(COUNTIF(Performance!$B$5:$B$404,A585)=0,"",SUMIFS(Performance!$O$5:$O$404,Performance!$B$5:$B$404,A585)))</f>
        <v>0</v>
      </c>
      <c r="AE585" s="23">
        <f>IF(AD585="","",SUMIFS(Performance!$Z$5:$Z$404,Performance!$B$5:$B$404,A585))</f>
        <v>0</v>
      </c>
      <c r="AF585" s="24">
        <f>IF(OR(AD585="",AD585=0),"",AE585/AD585)</f>
        <v>0</v>
      </c>
      <c r="AG585" s="23">
        <f>IF(AD585="","",SUMIFS(Performance!$U$5:$U$404,Performance!$B$5:$B$404,A585))</f>
        <v>0</v>
      </c>
      <c r="AH585" s="23">
        <f>IF(A585="","",COUNTIF(Repurposing!$B$5:$B$154,A585))</f>
        <v>0</v>
      </c>
      <c r="AI585" s="32">
        <f>IF(OR(H585="",B585=""),"",B585+ROW()/100000)</f>
        <v>0</v>
      </c>
      <c r="AJ585" s="32">
        <f>IF(OR(H585="",B585=""),"",IF(OR(X585="Published",X585="Cancelled",X585="Archived"),"",IF(B585&lt;TODAY(),"",B585+ROW()/100000)))</f>
        <v>0</v>
      </c>
      <c r="AK585" s="32">
        <f>IF(OR(H585="",B585=""),"",IF(OR(X585="Published",X585="Cancelled",X585="Archived"),"",IF(B585&gt;=TODAY(),"",B585+ROW()/100000)))</f>
        <v>0</v>
      </c>
      <c r="AL585" s="29">
        <f>IF(H585="","",IF(COUNTIFS('Content Calendar'!$H$5:$H$604,H585,'Content Calendar'!$G$5:$G$604,G585,'Content Calendar'!$B$5:$B$604,B585)&gt;1,"Duplicate","OK"))</f>
        <v>0</v>
      </c>
      <c r="AM585" s="29">
        <f>IF(H585="","",IF(AND(B585&lt;&gt;"",B585&lt;TODAY(),X585&lt;&gt;"Published",X585&lt;&gt;"Cancelled",X585&lt;&gt;"Archived"),"Overdue - date has passed",IF(AND(X585="Published",AB585=""),"Add - publish link missing",IF(AND(B585=TODAY(),X585&lt;&gt;"Published"),"Today - due to go live",IF(AND(Y585&lt;&gt;"",Y585&lt;TODAY(),OR(X585="Idea",X585="Brief",X585="In production")),"Late - draft not ready",IF(AND(AA585&gt;=0,AA585&lt;=3,OR(X585="Draft",X585="Awaiting review")),"Due - needs approval",IF(AND(H585&lt;&gt;"",P585=""),"Add - caption missing","OK")))))))</f>
        <v>0</v>
      </c>
    </row>
    <row r="586" spans="1:39">
      <c r="A586" s="41">
        <f>IF(H586="","",ContentPrefix&amp;TEXT(ROW()-4,"0000"))</f>
        <v>0</v>
      </c>
      <c r="D586" s="17">
        <f>IF(B586="","",TEXT(B586,"yyyy-mm"))</f>
        <v>0</v>
      </c>
      <c r="E586" s="23">
        <f>IF(B586="","",WEEKNUM(B586,IF(WeekStart="Sunday",1,2)))</f>
        <v>0</v>
      </c>
      <c r="F586" s="17">
        <f>IF(B586="","",TEXT(B586,"ddd"))</f>
        <v>0</v>
      </c>
      <c r="Q586" s="29">
        <f>IF(H586="","",IF(P586="","Add - no caption",IFERROR(INDEX('Caption Bank'!$R$5:$R$204,MATCH(P586,'Caption Bank'!$B$5:$B$204,0)),"Check - not in bank")))</f>
        <v>0</v>
      </c>
      <c r="S586" s="23">
        <f>IF(R586="","",COUNTIF('Hashtag Bank'!$D$5:$D$304,R586))</f>
        <v>0</v>
      </c>
      <c r="U586" s="29">
        <f>IF(H586="","",IF(T586="","Add - no asset",IFERROR(INDEX(Assets!$N$5:$N$254,MATCH(T586,Assets!$A$5:$A$254,0)),"Check - not in library")))</f>
        <v>0</v>
      </c>
      <c r="Y586" s="16">
        <f>IF(B586="","",B586-ProductionDays)</f>
        <v>0</v>
      </c>
      <c r="Z586" s="16">
        <f>IF(B586="","",B586-ApprovalDays)</f>
        <v>0</v>
      </c>
      <c r="AA586" s="23">
        <f>IF(B586="","",B586-TODAY())</f>
        <v>0</v>
      </c>
      <c r="AC586" s="29">
        <f>IF(H586="","",IF(X586="Published",IF(AB586="","Add - link missing","Yes"),"No"))</f>
        <v>0</v>
      </c>
      <c r="AD586" s="23">
        <f>IF(A586="","",IF(COUNTIF(Performance!$B$5:$B$404,A586)=0,"",SUMIFS(Performance!$O$5:$O$404,Performance!$B$5:$B$404,A586)))</f>
        <v>0</v>
      </c>
      <c r="AE586" s="23">
        <f>IF(AD586="","",SUMIFS(Performance!$Z$5:$Z$404,Performance!$B$5:$B$404,A586))</f>
        <v>0</v>
      </c>
      <c r="AF586" s="24">
        <f>IF(OR(AD586="",AD586=0),"",AE586/AD586)</f>
        <v>0</v>
      </c>
      <c r="AG586" s="23">
        <f>IF(AD586="","",SUMIFS(Performance!$U$5:$U$404,Performance!$B$5:$B$404,A586))</f>
        <v>0</v>
      </c>
      <c r="AH586" s="23">
        <f>IF(A586="","",COUNTIF(Repurposing!$B$5:$B$154,A586))</f>
        <v>0</v>
      </c>
      <c r="AI586" s="32">
        <f>IF(OR(H586="",B586=""),"",B586+ROW()/100000)</f>
        <v>0</v>
      </c>
      <c r="AJ586" s="32">
        <f>IF(OR(H586="",B586=""),"",IF(OR(X586="Published",X586="Cancelled",X586="Archived"),"",IF(B586&lt;TODAY(),"",B586+ROW()/100000)))</f>
        <v>0</v>
      </c>
      <c r="AK586" s="32">
        <f>IF(OR(H586="",B586=""),"",IF(OR(X586="Published",X586="Cancelled",X586="Archived"),"",IF(B586&gt;=TODAY(),"",B586+ROW()/100000)))</f>
        <v>0</v>
      </c>
      <c r="AL586" s="29">
        <f>IF(H586="","",IF(COUNTIFS('Content Calendar'!$H$5:$H$604,H586,'Content Calendar'!$G$5:$G$604,G586,'Content Calendar'!$B$5:$B$604,B586)&gt;1,"Duplicate","OK"))</f>
        <v>0</v>
      </c>
      <c r="AM586" s="29">
        <f>IF(H586="","",IF(AND(B586&lt;&gt;"",B586&lt;TODAY(),X586&lt;&gt;"Published",X586&lt;&gt;"Cancelled",X586&lt;&gt;"Archived"),"Overdue - date has passed",IF(AND(X586="Published",AB586=""),"Add - publish link missing",IF(AND(B586=TODAY(),X586&lt;&gt;"Published"),"Today - due to go live",IF(AND(Y586&lt;&gt;"",Y586&lt;TODAY(),OR(X586="Idea",X586="Brief",X586="In production")),"Late - draft not ready",IF(AND(AA586&gt;=0,AA586&lt;=3,OR(X586="Draft",X586="Awaiting review")),"Due - needs approval",IF(AND(H586&lt;&gt;"",P586=""),"Add - caption missing","OK")))))))</f>
        <v>0</v>
      </c>
    </row>
    <row r="587" spans="1:39">
      <c r="A587" s="41">
        <f>IF(H587="","",ContentPrefix&amp;TEXT(ROW()-4,"0000"))</f>
        <v>0</v>
      </c>
      <c r="D587" s="17">
        <f>IF(B587="","",TEXT(B587,"yyyy-mm"))</f>
        <v>0</v>
      </c>
      <c r="E587" s="23">
        <f>IF(B587="","",WEEKNUM(B587,IF(WeekStart="Sunday",1,2)))</f>
        <v>0</v>
      </c>
      <c r="F587" s="17">
        <f>IF(B587="","",TEXT(B587,"ddd"))</f>
        <v>0</v>
      </c>
      <c r="Q587" s="29">
        <f>IF(H587="","",IF(P587="","Add - no caption",IFERROR(INDEX('Caption Bank'!$R$5:$R$204,MATCH(P587,'Caption Bank'!$B$5:$B$204,0)),"Check - not in bank")))</f>
        <v>0</v>
      </c>
      <c r="S587" s="23">
        <f>IF(R587="","",COUNTIF('Hashtag Bank'!$D$5:$D$304,R587))</f>
        <v>0</v>
      </c>
      <c r="U587" s="29">
        <f>IF(H587="","",IF(T587="","Add - no asset",IFERROR(INDEX(Assets!$N$5:$N$254,MATCH(T587,Assets!$A$5:$A$254,0)),"Check - not in library")))</f>
        <v>0</v>
      </c>
      <c r="Y587" s="16">
        <f>IF(B587="","",B587-ProductionDays)</f>
        <v>0</v>
      </c>
      <c r="Z587" s="16">
        <f>IF(B587="","",B587-ApprovalDays)</f>
        <v>0</v>
      </c>
      <c r="AA587" s="23">
        <f>IF(B587="","",B587-TODAY())</f>
        <v>0</v>
      </c>
      <c r="AC587" s="29">
        <f>IF(H587="","",IF(X587="Published",IF(AB587="","Add - link missing","Yes"),"No"))</f>
        <v>0</v>
      </c>
      <c r="AD587" s="23">
        <f>IF(A587="","",IF(COUNTIF(Performance!$B$5:$B$404,A587)=0,"",SUMIFS(Performance!$O$5:$O$404,Performance!$B$5:$B$404,A587)))</f>
        <v>0</v>
      </c>
      <c r="AE587" s="23">
        <f>IF(AD587="","",SUMIFS(Performance!$Z$5:$Z$404,Performance!$B$5:$B$404,A587))</f>
        <v>0</v>
      </c>
      <c r="AF587" s="24">
        <f>IF(OR(AD587="",AD587=0),"",AE587/AD587)</f>
        <v>0</v>
      </c>
      <c r="AG587" s="23">
        <f>IF(AD587="","",SUMIFS(Performance!$U$5:$U$404,Performance!$B$5:$B$404,A587))</f>
        <v>0</v>
      </c>
      <c r="AH587" s="23">
        <f>IF(A587="","",COUNTIF(Repurposing!$B$5:$B$154,A587))</f>
        <v>0</v>
      </c>
      <c r="AI587" s="32">
        <f>IF(OR(H587="",B587=""),"",B587+ROW()/100000)</f>
        <v>0</v>
      </c>
      <c r="AJ587" s="32">
        <f>IF(OR(H587="",B587=""),"",IF(OR(X587="Published",X587="Cancelled",X587="Archived"),"",IF(B587&lt;TODAY(),"",B587+ROW()/100000)))</f>
        <v>0</v>
      </c>
      <c r="AK587" s="32">
        <f>IF(OR(H587="",B587=""),"",IF(OR(X587="Published",X587="Cancelled",X587="Archived"),"",IF(B587&gt;=TODAY(),"",B587+ROW()/100000)))</f>
        <v>0</v>
      </c>
      <c r="AL587" s="29">
        <f>IF(H587="","",IF(COUNTIFS('Content Calendar'!$H$5:$H$604,H587,'Content Calendar'!$G$5:$G$604,G587,'Content Calendar'!$B$5:$B$604,B587)&gt;1,"Duplicate","OK"))</f>
        <v>0</v>
      </c>
      <c r="AM587" s="29">
        <f>IF(H587="","",IF(AND(B587&lt;&gt;"",B587&lt;TODAY(),X587&lt;&gt;"Published",X587&lt;&gt;"Cancelled",X587&lt;&gt;"Archived"),"Overdue - date has passed",IF(AND(X587="Published",AB587=""),"Add - publish link missing",IF(AND(B587=TODAY(),X587&lt;&gt;"Published"),"Today - due to go live",IF(AND(Y587&lt;&gt;"",Y587&lt;TODAY(),OR(X587="Idea",X587="Brief",X587="In production")),"Late - draft not ready",IF(AND(AA587&gt;=0,AA587&lt;=3,OR(X587="Draft",X587="Awaiting review")),"Due - needs approval",IF(AND(H587&lt;&gt;"",P587=""),"Add - caption missing","OK")))))))</f>
        <v>0</v>
      </c>
    </row>
    <row r="588" spans="1:39">
      <c r="A588" s="41">
        <f>IF(H588="","",ContentPrefix&amp;TEXT(ROW()-4,"0000"))</f>
        <v>0</v>
      </c>
      <c r="D588" s="17">
        <f>IF(B588="","",TEXT(B588,"yyyy-mm"))</f>
        <v>0</v>
      </c>
      <c r="E588" s="23">
        <f>IF(B588="","",WEEKNUM(B588,IF(WeekStart="Sunday",1,2)))</f>
        <v>0</v>
      </c>
      <c r="F588" s="17">
        <f>IF(B588="","",TEXT(B588,"ddd"))</f>
        <v>0</v>
      </c>
      <c r="Q588" s="29">
        <f>IF(H588="","",IF(P588="","Add - no caption",IFERROR(INDEX('Caption Bank'!$R$5:$R$204,MATCH(P588,'Caption Bank'!$B$5:$B$204,0)),"Check - not in bank")))</f>
        <v>0</v>
      </c>
      <c r="S588" s="23">
        <f>IF(R588="","",COUNTIF('Hashtag Bank'!$D$5:$D$304,R588))</f>
        <v>0</v>
      </c>
      <c r="U588" s="29">
        <f>IF(H588="","",IF(T588="","Add - no asset",IFERROR(INDEX(Assets!$N$5:$N$254,MATCH(T588,Assets!$A$5:$A$254,0)),"Check - not in library")))</f>
        <v>0</v>
      </c>
      <c r="Y588" s="16">
        <f>IF(B588="","",B588-ProductionDays)</f>
        <v>0</v>
      </c>
      <c r="Z588" s="16">
        <f>IF(B588="","",B588-ApprovalDays)</f>
        <v>0</v>
      </c>
      <c r="AA588" s="23">
        <f>IF(B588="","",B588-TODAY())</f>
        <v>0</v>
      </c>
      <c r="AC588" s="29">
        <f>IF(H588="","",IF(X588="Published",IF(AB588="","Add - link missing","Yes"),"No"))</f>
        <v>0</v>
      </c>
      <c r="AD588" s="23">
        <f>IF(A588="","",IF(COUNTIF(Performance!$B$5:$B$404,A588)=0,"",SUMIFS(Performance!$O$5:$O$404,Performance!$B$5:$B$404,A588)))</f>
        <v>0</v>
      </c>
      <c r="AE588" s="23">
        <f>IF(AD588="","",SUMIFS(Performance!$Z$5:$Z$404,Performance!$B$5:$B$404,A588))</f>
        <v>0</v>
      </c>
      <c r="AF588" s="24">
        <f>IF(OR(AD588="",AD588=0),"",AE588/AD588)</f>
        <v>0</v>
      </c>
      <c r="AG588" s="23">
        <f>IF(AD588="","",SUMIFS(Performance!$U$5:$U$404,Performance!$B$5:$B$404,A588))</f>
        <v>0</v>
      </c>
      <c r="AH588" s="23">
        <f>IF(A588="","",COUNTIF(Repurposing!$B$5:$B$154,A588))</f>
        <v>0</v>
      </c>
      <c r="AI588" s="32">
        <f>IF(OR(H588="",B588=""),"",B588+ROW()/100000)</f>
        <v>0</v>
      </c>
      <c r="AJ588" s="32">
        <f>IF(OR(H588="",B588=""),"",IF(OR(X588="Published",X588="Cancelled",X588="Archived"),"",IF(B588&lt;TODAY(),"",B588+ROW()/100000)))</f>
        <v>0</v>
      </c>
      <c r="AK588" s="32">
        <f>IF(OR(H588="",B588=""),"",IF(OR(X588="Published",X588="Cancelled",X588="Archived"),"",IF(B588&gt;=TODAY(),"",B588+ROW()/100000)))</f>
        <v>0</v>
      </c>
      <c r="AL588" s="29">
        <f>IF(H588="","",IF(COUNTIFS('Content Calendar'!$H$5:$H$604,H588,'Content Calendar'!$G$5:$G$604,G588,'Content Calendar'!$B$5:$B$604,B588)&gt;1,"Duplicate","OK"))</f>
        <v>0</v>
      </c>
      <c r="AM588" s="29">
        <f>IF(H588="","",IF(AND(B588&lt;&gt;"",B588&lt;TODAY(),X588&lt;&gt;"Published",X588&lt;&gt;"Cancelled",X588&lt;&gt;"Archived"),"Overdue - date has passed",IF(AND(X588="Published",AB588=""),"Add - publish link missing",IF(AND(B588=TODAY(),X588&lt;&gt;"Published"),"Today - due to go live",IF(AND(Y588&lt;&gt;"",Y588&lt;TODAY(),OR(X588="Idea",X588="Brief",X588="In production")),"Late - draft not ready",IF(AND(AA588&gt;=0,AA588&lt;=3,OR(X588="Draft",X588="Awaiting review")),"Due - needs approval",IF(AND(H588&lt;&gt;"",P588=""),"Add - caption missing","OK")))))))</f>
        <v>0</v>
      </c>
    </row>
    <row r="589" spans="1:39">
      <c r="A589" s="41">
        <f>IF(H589="","",ContentPrefix&amp;TEXT(ROW()-4,"0000"))</f>
        <v>0</v>
      </c>
      <c r="D589" s="17">
        <f>IF(B589="","",TEXT(B589,"yyyy-mm"))</f>
        <v>0</v>
      </c>
      <c r="E589" s="23">
        <f>IF(B589="","",WEEKNUM(B589,IF(WeekStart="Sunday",1,2)))</f>
        <v>0</v>
      </c>
      <c r="F589" s="17">
        <f>IF(B589="","",TEXT(B589,"ddd"))</f>
        <v>0</v>
      </c>
      <c r="Q589" s="29">
        <f>IF(H589="","",IF(P589="","Add - no caption",IFERROR(INDEX('Caption Bank'!$R$5:$R$204,MATCH(P589,'Caption Bank'!$B$5:$B$204,0)),"Check - not in bank")))</f>
        <v>0</v>
      </c>
      <c r="S589" s="23">
        <f>IF(R589="","",COUNTIF('Hashtag Bank'!$D$5:$D$304,R589))</f>
        <v>0</v>
      </c>
      <c r="U589" s="29">
        <f>IF(H589="","",IF(T589="","Add - no asset",IFERROR(INDEX(Assets!$N$5:$N$254,MATCH(T589,Assets!$A$5:$A$254,0)),"Check - not in library")))</f>
        <v>0</v>
      </c>
      <c r="Y589" s="16">
        <f>IF(B589="","",B589-ProductionDays)</f>
        <v>0</v>
      </c>
      <c r="Z589" s="16">
        <f>IF(B589="","",B589-ApprovalDays)</f>
        <v>0</v>
      </c>
      <c r="AA589" s="23">
        <f>IF(B589="","",B589-TODAY())</f>
        <v>0</v>
      </c>
      <c r="AC589" s="29">
        <f>IF(H589="","",IF(X589="Published",IF(AB589="","Add - link missing","Yes"),"No"))</f>
        <v>0</v>
      </c>
      <c r="AD589" s="23">
        <f>IF(A589="","",IF(COUNTIF(Performance!$B$5:$B$404,A589)=0,"",SUMIFS(Performance!$O$5:$O$404,Performance!$B$5:$B$404,A589)))</f>
        <v>0</v>
      </c>
      <c r="AE589" s="23">
        <f>IF(AD589="","",SUMIFS(Performance!$Z$5:$Z$404,Performance!$B$5:$B$404,A589))</f>
        <v>0</v>
      </c>
      <c r="AF589" s="24">
        <f>IF(OR(AD589="",AD589=0),"",AE589/AD589)</f>
        <v>0</v>
      </c>
      <c r="AG589" s="23">
        <f>IF(AD589="","",SUMIFS(Performance!$U$5:$U$404,Performance!$B$5:$B$404,A589))</f>
        <v>0</v>
      </c>
      <c r="AH589" s="23">
        <f>IF(A589="","",COUNTIF(Repurposing!$B$5:$B$154,A589))</f>
        <v>0</v>
      </c>
      <c r="AI589" s="32">
        <f>IF(OR(H589="",B589=""),"",B589+ROW()/100000)</f>
        <v>0</v>
      </c>
      <c r="AJ589" s="32">
        <f>IF(OR(H589="",B589=""),"",IF(OR(X589="Published",X589="Cancelled",X589="Archived"),"",IF(B589&lt;TODAY(),"",B589+ROW()/100000)))</f>
        <v>0</v>
      </c>
      <c r="AK589" s="32">
        <f>IF(OR(H589="",B589=""),"",IF(OR(X589="Published",X589="Cancelled",X589="Archived"),"",IF(B589&gt;=TODAY(),"",B589+ROW()/100000)))</f>
        <v>0</v>
      </c>
      <c r="AL589" s="29">
        <f>IF(H589="","",IF(COUNTIFS('Content Calendar'!$H$5:$H$604,H589,'Content Calendar'!$G$5:$G$604,G589,'Content Calendar'!$B$5:$B$604,B589)&gt;1,"Duplicate","OK"))</f>
        <v>0</v>
      </c>
      <c r="AM589" s="29">
        <f>IF(H589="","",IF(AND(B589&lt;&gt;"",B589&lt;TODAY(),X589&lt;&gt;"Published",X589&lt;&gt;"Cancelled",X589&lt;&gt;"Archived"),"Overdue - date has passed",IF(AND(X589="Published",AB589=""),"Add - publish link missing",IF(AND(B589=TODAY(),X589&lt;&gt;"Published"),"Today - due to go live",IF(AND(Y589&lt;&gt;"",Y589&lt;TODAY(),OR(X589="Idea",X589="Brief",X589="In production")),"Late - draft not ready",IF(AND(AA589&gt;=0,AA589&lt;=3,OR(X589="Draft",X589="Awaiting review")),"Due - needs approval",IF(AND(H589&lt;&gt;"",P589=""),"Add - caption missing","OK")))))))</f>
        <v>0</v>
      </c>
    </row>
    <row r="590" spans="1:39">
      <c r="A590" s="41">
        <f>IF(H590="","",ContentPrefix&amp;TEXT(ROW()-4,"0000"))</f>
        <v>0</v>
      </c>
      <c r="D590" s="17">
        <f>IF(B590="","",TEXT(B590,"yyyy-mm"))</f>
        <v>0</v>
      </c>
      <c r="E590" s="23">
        <f>IF(B590="","",WEEKNUM(B590,IF(WeekStart="Sunday",1,2)))</f>
        <v>0</v>
      </c>
      <c r="F590" s="17">
        <f>IF(B590="","",TEXT(B590,"ddd"))</f>
        <v>0</v>
      </c>
      <c r="Q590" s="29">
        <f>IF(H590="","",IF(P590="","Add - no caption",IFERROR(INDEX('Caption Bank'!$R$5:$R$204,MATCH(P590,'Caption Bank'!$B$5:$B$204,0)),"Check - not in bank")))</f>
        <v>0</v>
      </c>
      <c r="S590" s="23">
        <f>IF(R590="","",COUNTIF('Hashtag Bank'!$D$5:$D$304,R590))</f>
        <v>0</v>
      </c>
      <c r="U590" s="29">
        <f>IF(H590="","",IF(T590="","Add - no asset",IFERROR(INDEX(Assets!$N$5:$N$254,MATCH(T590,Assets!$A$5:$A$254,0)),"Check - not in library")))</f>
        <v>0</v>
      </c>
      <c r="Y590" s="16">
        <f>IF(B590="","",B590-ProductionDays)</f>
        <v>0</v>
      </c>
      <c r="Z590" s="16">
        <f>IF(B590="","",B590-ApprovalDays)</f>
        <v>0</v>
      </c>
      <c r="AA590" s="23">
        <f>IF(B590="","",B590-TODAY())</f>
        <v>0</v>
      </c>
      <c r="AC590" s="29">
        <f>IF(H590="","",IF(X590="Published",IF(AB590="","Add - link missing","Yes"),"No"))</f>
        <v>0</v>
      </c>
      <c r="AD590" s="23">
        <f>IF(A590="","",IF(COUNTIF(Performance!$B$5:$B$404,A590)=0,"",SUMIFS(Performance!$O$5:$O$404,Performance!$B$5:$B$404,A590)))</f>
        <v>0</v>
      </c>
      <c r="AE590" s="23">
        <f>IF(AD590="","",SUMIFS(Performance!$Z$5:$Z$404,Performance!$B$5:$B$404,A590))</f>
        <v>0</v>
      </c>
      <c r="AF590" s="24">
        <f>IF(OR(AD590="",AD590=0),"",AE590/AD590)</f>
        <v>0</v>
      </c>
      <c r="AG590" s="23">
        <f>IF(AD590="","",SUMIFS(Performance!$U$5:$U$404,Performance!$B$5:$B$404,A590))</f>
        <v>0</v>
      </c>
      <c r="AH590" s="23">
        <f>IF(A590="","",COUNTIF(Repurposing!$B$5:$B$154,A590))</f>
        <v>0</v>
      </c>
      <c r="AI590" s="32">
        <f>IF(OR(H590="",B590=""),"",B590+ROW()/100000)</f>
        <v>0</v>
      </c>
      <c r="AJ590" s="32">
        <f>IF(OR(H590="",B590=""),"",IF(OR(X590="Published",X590="Cancelled",X590="Archived"),"",IF(B590&lt;TODAY(),"",B590+ROW()/100000)))</f>
        <v>0</v>
      </c>
      <c r="AK590" s="32">
        <f>IF(OR(H590="",B590=""),"",IF(OR(X590="Published",X590="Cancelled",X590="Archived"),"",IF(B590&gt;=TODAY(),"",B590+ROW()/100000)))</f>
        <v>0</v>
      </c>
      <c r="AL590" s="29">
        <f>IF(H590="","",IF(COUNTIFS('Content Calendar'!$H$5:$H$604,H590,'Content Calendar'!$G$5:$G$604,G590,'Content Calendar'!$B$5:$B$604,B590)&gt;1,"Duplicate","OK"))</f>
        <v>0</v>
      </c>
      <c r="AM590" s="29">
        <f>IF(H590="","",IF(AND(B590&lt;&gt;"",B590&lt;TODAY(),X590&lt;&gt;"Published",X590&lt;&gt;"Cancelled",X590&lt;&gt;"Archived"),"Overdue - date has passed",IF(AND(X590="Published",AB590=""),"Add - publish link missing",IF(AND(B590=TODAY(),X590&lt;&gt;"Published"),"Today - due to go live",IF(AND(Y590&lt;&gt;"",Y590&lt;TODAY(),OR(X590="Idea",X590="Brief",X590="In production")),"Late - draft not ready",IF(AND(AA590&gt;=0,AA590&lt;=3,OR(X590="Draft",X590="Awaiting review")),"Due - needs approval",IF(AND(H590&lt;&gt;"",P590=""),"Add - caption missing","OK")))))))</f>
        <v>0</v>
      </c>
    </row>
    <row r="591" spans="1:39">
      <c r="A591" s="41">
        <f>IF(H591="","",ContentPrefix&amp;TEXT(ROW()-4,"0000"))</f>
        <v>0</v>
      </c>
      <c r="D591" s="17">
        <f>IF(B591="","",TEXT(B591,"yyyy-mm"))</f>
        <v>0</v>
      </c>
      <c r="E591" s="23">
        <f>IF(B591="","",WEEKNUM(B591,IF(WeekStart="Sunday",1,2)))</f>
        <v>0</v>
      </c>
      <c r="F591" s="17">
        <f>IF(B591="","",TEXT(B591,"ddd"))</f>
        <v>0</v>
      </c>
      <c r="Q591" s="29">
        <f>IF(H591="","",IF(P591="","Add - no caption",IFERROR(INDEX('Caption Bank'!$R$5:$R$204,MATCH(P591,'Caption Bank'!$B$5:$B$204,0)),"Check - not in bank")))</f>
        <v>0</v>
      </c>
      <c r="S591" s="23">
        <f>IF(R591="","",COUNTIF('Hashtag Bank'!$D$5:$D$304,R591))</f>
        <v>0</v>
      </c>
      <c r="U591" s="29">
        <f>IF(H591="","",IF(T591="","Add - no asset",IFERROR(INDEX(Assets!$N$5:$N$254,MATCH(T591,Assets!$A$5:$A$254,0)),"Check - not in library")))</f>
        <v>0</v>
      </c>
      <c r="Y591" s="16">
        <f>IF(B591="","",B591-ProductionDays)</f>
        <v>0</v>
      </c>
      <c r="Z591" s="16">
        <f>IF(B591="","",B591-ApprovalDays)</f>
        <v>0</v>
      </c>
      <c r="AA591" s="23">
        <f>IF(B591="","",B591-TODAY())</f>
        <v>0</v>
      </c>
      <c r="AC591" s="29">
        <f>IF(H591="","",IF(X591="Published",IF(AB591="","Add - link missing","Yes"),"No"))</f>
        <v>0</v>
      </c>
      <c r="AD591" s="23">
        <f>IF(A591="","",IF(COUNTIF(Performance!$B$5:$B$404,A591)=0,"",SUMIFS(Performance!$O$5:$O$404,Performance!$B$5:$B$404,A591)))</f>
        <v>0</v>
      </c>
      <c r="AE591" s="23">
        <f>IF(AD591="","",SUMIFS(Performance!$Z$5:$Z$404,Performance!$B$5:$B$404,A591))</f>
        <v>0</v>
      </c>
      <c r="AF591" s="24">
        <f>IF(OR(AD591="",AD591=0),"",AE591/AD591)</f>
        <v>0</v>
      </c>
      <c r="AG591" s="23">
        <f>IF(AD591="","",SUMIFS(Performance!$U$5:$U$404,Performance!$B$5:$B$404,A591))</f>
        <v>0</v>
      </c>
      <c r="AH591" s="23">
        <f>IF(A591="","",COUNTIF(Repurposing!$B$5:$B$154,A591))</f>
        <v>0</v>
      </c>
      <c r="AI591" s="32">
        <f>IF(OR(H591="",B591=""),"",B591+ROW()/100000)</f>
        <v>0</v>
      </c>
      <c r="AJ591" s="32">
        <f>IF(OR(H591="",B591=""),"",IF(OR(X591="Published",X591="Cancelled",X591="Archived"),"",IF(B591&lt;TODAY(),"",B591+ROW()/100000)))</f>
        <v>0</v>
      </c>
      <c r="AK591" s="32">
        <f>IF(OR(H591="",B591=""),"",IF(OR(X591="Published",X591="Cancelled",X591="Archived"),"",IF(B591&gt;=TODAY(),"",B591+ROW()/100000)))</f>
        <v>0</v>
      </c>
      <c r="AL591" s="29">
        <f>IF(H591="","",IF(COUNTIFS('Content Calendar'!$H$5:$H$604,H591,'Content Calendar'!$G$5:$G$604,G591,'Content Calendar'!$B$5:$B$604,B591)&gt;1,"Duplicate","OK"))</f>
        <v>0</v>
      </c>
      <c r="AM591" s="29">
        <f>IF(H591="","",IF(AND(B591&lt;&gt;"",B591&lt;TODAY(),X591&lt;&gt;"Published",X591&lt;&gt;"Cancelled",X591&lt;&gt;"Archived"),"Overdue - date has passed",IF(AND(X591="Published",AB591=""),"Add - publish link missing",IF(AND(B591=TODAY(),X591&lt;&gt;"Published"),"Today - due to go live",IF(AND(Y591&lt;&gt;"",Y591&lt;TODAY(),OR(X591="Idea",X591="Brief",X591="In production")),"Late - draft not ready",IF(AND(AA591&gt;=0,AA591&lt;=3,OR(X591="Draft",X591="Awaiting review")),"Due - needs approval",IF(AND(H591&lt;&gt;"",P591=""),"Add - caption missing","OK")))))))</f>
        <v>0</v>
      </c>
    </row>
    <row r="592" spans="1:39">
      <c r="A592" s="41">
        <f>IF(H592="","",ContentPrefix&amp;TEXT(ROW()-4,"0000"))</f>
        <v>0</v>
      </c>
      <c r="D592" s="17">
        <f>IF(B592="","",TEXT(B592,"yyyy-mm"))</f>
        <v>0</v>
      </c>
      <c r="E592" s="23">
        <f>IF(B592="","",WEEKNUM(B592,IF(WeekStart="Sunday",1,2)))</f>
        <v>0</v>
      </c>
      <c r="F592" s="17">
        <f>IF(B592="","",TEXT(B592,"ddd"))</f>
        <v>0</v>
      </c>
      <c r="Q592" s="29">
        <f>IF(H592="","",IF(P592="","Add - no caption",IFERROR(INDEX('Caption Bank'!$R$5:$R$204,MATCH(P592,'Caption Bank'!$B$5:$B$204,0)),"Check - not in bank")))</f>
        <v>0</v>
      </c>
      <c r="S592" s="23">
        <f>IF(R592="","",COUNTIF('Hashtag Bank'!$D$5:$D$304,R592))</f>
        <v>0</v>
      </c>
      <c r="U592" s="29">
        <f>IF(H592="","",IF(T592="","Add - no asset",IFERROR(INDEX(Assets!$N$5:$N$254,MATCH(T592,Assets!$A$5:$A$254,0)),"Check - not in library")))</f>
        <v>0</v>
      </c>
      <c r="Y592" s="16">
        <f>IF(B592="","",B592-ProductionDays)</f>
        <v>0</v>
      </c>
      <c r="Z592" s="16">
        <f>IF(B592="","",B592-ApprovalDays)</f>
        <v>0</v>
      </c>
      <c r="AA592" s="23">
        <f>IF(B592="","",B592-TODAY())</f>
        <v>0</v>
      </c>
      <c r="AC592" s="29">
        <f>IF(H592="","",IF(X592="Published",IF(AB592="","Add - link missing","Yes"),"No"))</f>
        <v>0</v>
      </c>
      <c r="AD592" s="23">
        <f>IF(A592="","",IF(COUNTIF(Performance!$B$5:$B$404,A592)=0,"",SUMIFS(Performance!$O$5:$O$404,Performance!$B$5:$B$404,A592)))</f>
        <v>0</v>
      </c>
      <c r="AE592" s="23">
        <f>IF(AD592="","",SUMIFS(Performance!$Z$5:$Z$404,Performance!$B$5:$B$404,A592))</f>
        <v>0</v>
      </c>
      <c r="AF592" s="24">
        <f>IF(OR(AD592="",AD592=0),"",AE592/AD592)</f>
        <v>0</v>
      </c>
      <c r="AG592" s="23">
        <f>IF(AD592="","",SUMIFS(Performance!$U$5:$U$404,Performance!$B$5:$B$404,A592))</f>
        <v>0</v>
      </c>
      <c r="AH592" s="23">
        <f>IF(A592="","",COUNTIF(Repurposing!$B$5:$B$154,A592))</f>
        <v>0</v>
      </c>
      <c r="AI592" s="32">
        <f>IF(OR(H592="",B592=""),"",B592+ROW()/100000)</f>
        <v>0</v>
      </c>
      <c r="AJ592" s="32">
        <f>IF(OR(H592="",B592=""),"",IF(OR(X592="Published",X592="Cancelled",X592="Archived"),"",IF(B592&lt;TODAY(),"",B592+ROW()/100000)))</f>
        <v>0</v>
      </c>
      <c r="AK592" s="32">
        <f>IF(OR(H592="",B592=""),"",IF(OR(X592="Published",X592="Cancelled",X592="Archived"),"",IF(B592&gt;=TODAY(),"",B592+ROW()/100000)))</f>
        <v>0</v>
      </c>
      <c r="AL592" s="29">
        <f>IF(H592="","",IF(COUNTIFS('Content Calendar'!$H$5:$H$604,H592,'Content Calendar'!$G$5:$G$604,G592,'Content Calendar'!$B$5:$B$604,B592)&gt;1,"Duplicate","OK"))</f>
        <v>0</v>
      </c>
      <c r="AM592" s="29">
        <f>IF(H592="","",IF(AND(B592&lt;&gt;"",B592&lt;TODAY(),X592&lt;&gt;"Published",X592&lt;&gt;"Cancelled",X592&lt;&gt;"Archived"),"Overdue - date has passed",IF(AND(X592="Published",AB592=""),"Add - publish link missing",IF(AND(B592=TODAY(),X592&lt;&gt;"Published"),"Today - due to go live",IF(AND(Y592&lt;&gt;"",Y592&lt;TODAY(),OR(X592="Idea",X592="Brief",X592="In production")),"Late - draft not ready",IF(AND(AA592&gt;=0,AA592&lt;=3,OR(X592="Draft",X592="Awaiting review")),"Due - needs approval",IF(AND(H592&lt;&gt;"",P592=""),"Add - caption missing","OK")))))))</f>
        <v>0</v>
      </c>
    </row>
    <row r="593" spans="1:39">
      <c r="A593" s="41">
        <f>IF(H593="","",ContentPrefix&amp;TEXT(ROW()-4,"0000"))</f>
        <v>0</v>
      </c>
      <c r="D593" s="17">
        <f>IF(B593="","",TEXT(B593,"yyyy-mm"))</f>
        <v>0</v>
      </c>
      <c r="E593" s="23">
        <f>IF(B593="","",WEEKNUM(B593,IF(WeekStart="Sunday",1,2)))</f>
        <v>0</v>
      </c>
      <c r="F593" s="17">
        <f>IF(B593="","",TEXT(B593,"ddd"))</f>
        <v>0</v>
      </c>
      <c r="Q593" s="29">
        <f>IF(H593="","",IF(P593="","Add - no caption",IFERROR(INDEX('Caption Bank'!$R$5:$R$204,MATCH(P593,'Caption Bank'!$B$5:$B$204,0)),"Check - not in bank")))</f>
        <v>0</v>
      </c>
      <c r="S593" s="23">
        <f>IF(R593="","",COUNTIF('Hashtag Bank'!$D$5:$D$304,R593))</f>
        <v>0</v>
      </c>
      <c r="U593" s="29">
        <f>IF(H593="","",IF(T593="","Add - no asset",IFERROR(INDEX(Assets!$N$5:$N$254,MATCH(T593,Assets!$A$5:$A$254,0)),"Check - not in library")))</f>
        <v>0</v>
      </c>
      <c r="Y593" s="16">
        <f>IF(B593="","",B593-ProductionDays)</f>
        <v>0</v>
      </c>
      <c r="Z593" s="16">
        <f>IF(B593="","",B593-ApprovalDays)</f>
        <v>0</v>
      </c>
      <c r="AA593" s="23">
        <f>IF(B593="","",B593-TODAY())</f>
        <v>0</v>
      </c>
      <c r="AC593" s="29">
        <f>IF(H593="","",IF(X593="Published",IF(AB593="","Add - link missing","Yes"),"No"))</f>
        <v>0</v>
      </c>
      <c r="AD593" s="23">
        <f>IF(A593="","",IF(COUNTIF(Performance!$B$5:$B$404,A593)=0,"",SUMIFS(Performance!$O$5:$O$404,Performance!$B$5:$B$404,A593)))</f>
        <v>0</v>
      </c>
      <c r="AE593" s="23">
        <f>IF(AD593="","",SUMIFS(Performance!$Z$5:$Z$404,Performance!$B$5:$B$404,A593))</f>
        <v>0</v>
      </c>
      <c r="AF593" s="24">
        <f>IF(OR(AD593="",AD593=0),"",AE593/AD593)</f>
        <v>0</v>
      </c>
      <c r="AG593" s="23">
        <f>IF(AD593="","",SUMIFS(Performance!$U$5:$U$404,Performance!$B$5:$B$404,A593))</f>
        <v>0</v>
      </c>
      <c r="AH593" s="23">
        <f>IF(A593="","",COUNTIF(Repurposing!$B$5:$B$154,A593))</f>
        <v>0</v>
      </c>
      <c r="AI593" s="32">
        <f>IF(OR(H593="",B593=""),"",B593+ROW()/100000)</f>
        <v>0</v>
      </c>
      <c r="AJ593" s="32">
        <f>IF(OR(H593="",B593=""),"",IF(OR(X593="Published",X593="Cancelled",X593="Archived"),"",IF(B593&lt;TODAY(),"",B593+ROW()/100000)))</f>
        <v>0</v>
      </c>
      <c r="AK593" s="32">
        <f>IF(OR(H593="",B593=""),"",IF(OR(X593="Published",X593="Cancelled",X593="Archived"),"",IF(B593&gt;=TODAY(),"",B593+ROW()/100000)))</f>
        <v>0</v>
      </c>
      <c r="AL593" s="29">
        <f>IF(H593="","",IF(COUNTIFS('Content Calendar'!$H$5:$H$604,H593,'Content Calendar'!$G$5:$G$604,G593,'Content Calendar'!$B$5:$B$604,B593)&gt;1,"Duplicate","OK"))</f>
        <v>0</v>
      </c>
      <c r="AM593" s="29">
        <f>IF(H593="","",IF(AND(B593&lt;&gt;"",B593&lt;TODAY(),X593&lt;&gt;"Published",X593&lt;&gt;"Cancelled",X593&lt;&gt;"Archived"),"Overdue - date has passed",IF(AND(X593="Published",AB593=""),"Add - publish link missing",IF(AND(B593=TODAY(),X593&lt;&gt;"Published"),"Today - due to go live",IF(AND(Y593&lt;&gt;"",Y593&lt;TODAY(),OR(X593="Idea",X593="Brief",X593="In production")),"Late - draft not ready",IF(AND(AA593&gt;=0,AA593&lt;=3,OR(X593="Draft",X593="Awaiting review")),"Due - needs approval",IF(AND(H593&lt;&gt;"",P593=""),"Add - caption missing","OK")))))))</f>
        <v>0</v>
      </c>
    </row>
    <row r="594" spans="1:39">
      <c r="A594" s="41">
        <f>IF(H594="","",ContentPrefix&amp;TEXT(ROW()-4,"0000"))</f>
        <v>0</v>
      </c>
      <c r="D594" s="17">
        <f>IF(B594="","",TEXT(B594,"yyyy-mm"))</f>
        <v>0</v>
      </c>
      <c r="E594" s="23">
        <f>IF(B594="","",WEEKNUM(B594,IF(WeekStart="Sunday",1,2)))</f>
        <v>0</v>
      </c>
      <c r="F594" s="17">
        <f>IF(B594="","",TEXT(B594,"ddd"))</f>
        <v>0</v>
      </c>
      <c r="Q594" s="29">
        <f>IF(H594="","",IF(P594="","Add - no caption",IFERROR(INDEX('Caption Bank'!$R$5:$R$204,MATCH(P594,'Caption Bank'!$B$5:$B$204,0)),"Check - not in bank")))</f>
        <v>0</v>
      </c>
      <c r="S594" s="23">
        <f>IF(R594="","",COUNTIF('Hashtag Bank'!$D$5:$D$304,R594))</f>
        <v>0</v>
      </c>
      <c r="U594" s="29">
        <f>IF(H594="","",IF(T594="","Add - no asset",IFERROR(INDEX(Assets!$N$5:$N$254,MATCH(T594,Assets!$A$5:$A$254,0)),"Check - not in library")))</f>
        <v>0</v>
      </c>
      <c r="Y594" s="16">
        <f>IF(B594="","",B594-ProductionDays)</f>
        <v>0</v>
      </c>
      <c r="Z594" s="16">
        <f>IF(B594="","",B594-ApprovalDays)</f>
        <v>0</v>
      </c>
      <c r="AA594" s="23">
        <f>IF(B594="","",B594-TODAY())</f>
        <v>0</v>
      </c>
      <c r="AC594" s="29">
        <f>IF(H594="","",IF(X594="Published",IF(AB594="","Add - link missing","Yes"),"No"))</f>
        <v>0</v>
      </c>
      <c r="AD594" s="23">
        <f>IF(A594="","",IF(COUNTIF(Performance!$B$5:$B$404,A594)=0,"",SUMIFS(Performance!$O$5:$O$404,Performance!$B$5:$B$404,A594)))</f>
        <v>0</v>
      </c>
      <c r="AE594" s="23">
        <f>IF(AD594="","",SUMIFS(Performance!$Z$5:$Z$404,Performance!$B$5:$B$404,A594))</f>
        <v>0</v>
      </c>
      <c r="AF594" s="24">
        <f>IF(OR(AD594="",AD594=0),"",AE594/AD594)</f>
        <v>0</v>
      </c>
      <c r="AG594" s="23">
        <f>IF(AD594="","",SUMIFS(Performance!$U$5:$U$404,Performance!$B$5:$B$404,A594))</f>
        <v>0</v>
      </c>
      <c r="AH594" s="23">
        <f>IF(A594="","",COUNTIF(Repurposing!$B$5:$B$154,A594))</f>
        <v>0</v>
      </c>
      <c r="AI594" s="32">
        <f>IF(OR(H594="",B594=""),"",B594+ROW()/100000)</f>
        <v>0</v>
      </c>
      <c r="AJ594" s="32">
        <f>IF(OR(H594="",B594=""),"",IF(OR(X594="Published",X594="Cancelled",X594="Archived"),"",IF(B594&lt;TODAY(),"",B594+ROW()/100000)))</f>
        <v>0</v>
      </c>
      <c r="AK594" s="32">
        <f>IF(OR(H594="",B594=""),"",IF(OR(X594="Published",X594="Cancelled",X594="Archived"),"",IF(B594&gt;=TODAY(),"",B594+ROW()/100000)))</f>
        <v>0</v>
      </c>
      <c r="AL594" s="29">
        <f>IF(H594="","",IF(COUNTIFS('Content Calendar'!$H$5:$H$604,H594,'Content Calendar'!$G$5:$G$604,G594,'Content Calendar'!$B$5:$B$604,B594)&gt;1,"Duplicate","OK"))</f>
        <v>0</v>
      </c>
      <c r="AM594" s="29">
        <f>IF(H594="","",IF(AND(B594&lt;&gt;"",B594&lt;TODAY(),X594&lt;&gt;"Published",X594&lt;&gt;"Cancelled",X594&lt;&gt;"Archived"),"Overdue - date has passed",IF(AND(X594="Published",AB594=""),"Add - publish link missing",IF(AND(B594=TODAY(),X594&lt;&gt;"Published"),"Today - due to go live",IF(AND(Y594&lt;&gt;"",Y594&lt;TODAY(),OR(X594="Idea",X594="Brief",X594="In production")),"Late - draft not ready",IF(AND(AA594&gt;=0,AA594&lt;=3,OR(X594="Draft",X594="Awaiting review")),"Due - needs approval",IF(AND(H594&lt;&gt;"",P594=""),"Add - caption missing","OK")))))))</f>
        <v>0</v>
      </c>
    </row>
    <row r="595" spans="1:39">
      <c r="A595" s="41">
        <f>IF(H595="","",ContentPrefix&amp;TEXT(ROW()-4,"0000"))</f>
        <v>0</v>
      </c>
      <c r="D595" s="17">
        <f>IF(B595="","",TEXT(B595,"yyyy-mm"))</f>
        <v>0</v>
      </c>
      <c r="E595" s="23">
        <f>IF(B595="","",WEEKNUM(B595,IF(WeekStart="Sunday",1,2)))</f>
        <v>0</v>
      </c>
      <c r="F595" s="17">
        <f>IF(B595="","",TEXT(B595,"ddd"))</f>
        <v>0</v>
      </c>
      <c r="Q595" s="29">
        <f>IF(H595="","",IF(P595="","Add - no caption",IFERROR(INDEX('Caption Bank'!$R$5:$R$204,MATCH(P595,'Caption Bank'!$B$5:$B$204,0)),"Check - not in bank")))</f>
        <v>0</v>
      </c>
      <c r="S595" s="23">
        <f>IF(R595="","",COUNTIF('Hashtag Bank'!$D$5:$D$304,R595))</f>
        <v>0</v>
      </c>
      <c r="U595" s="29">
        <f>IF(H595="","",IF(T595="","Add - no asset",IFERROR(INDEX(Assets!$N$5:$N$254,MATCH(T595,Assets!$A$5:$A$254,0)),"Check - not in library")))</f>
        <v>0</v>
      </c>
      <c r="Y595" s="16">
        <f>IF(B595="","",B595-ProductionDays)</f>
        <v>0</v>
      </c>
      <c r="Z595" s="16">
        <f>IF(B595="","",B595-ApprovalDays)</f>
        <v>0</v>
      </c>
      <c r="AA595" s="23">
        <f>IF(B595="","",B595-TODAY())</f>
        <v>0</v>
      </c>
      <c r="AC595" s="29">
        <f>IF(H595="","",IF(X595="Published",IF(AB595="","Add - link missing","Yes"),"No"))</f>
        <v>0</v>
      </c>
      <c r="AD595" s="23">
        <f>IF(A595="","",IF(COUNTIF(Performance!$B$5:$B$404,A595)=0,"",SUMIFS(Performance!$O$5:$O$404,Performance!$B$5:$B$404,A595)))</f>
        <v>0</v>
      </c>
      <c r="AE595" s="23">
        <f>IF(AD595="","",SUMIFS(Performance!$Z$5:$Z$404,Performance!$B$5:$B$404,A595))</f>
        <v>0</v>
      </c>
      <c r="AF595" s="24">
        <f>IF(OR(AD595="",AD595=0),"",AE595/AD595)</f>
        <v>0</v>
      </c>
      <c r="AG595" s="23">
        <f>IF(AD595="","",SUMIFS(Performance!$U$5:$U$404,Performance!$B$5:$B$404,A595))</f>
        <v>0</v>
      </c>
      <c r="AH595" s="23">
        <f>IF(A595="","",COUNTIF(Repurposing!$B$5:$B$154,A595))</f>
        <v>0</v>
      </c>
      <c r="AI595" s="32">
        <f>IF(OR(H595="",B595=""),"",B595+ROW()/100000)</f>
        <v>0</v>
      </c>
      <c r="AJ595" s="32">
        <f>IF(OR(H595="",B595=""),"",IF(OR(X595="Published",X595="Cancelled",X595="Archived"),"",IF(B595&lt;TODAY(),"",B595+ROW()/100000)))</f>
        <v>0</v>
      </c>
      <c r="AK595" s="32">
        <f>IF(OR(H595="",B595=""),"",IF(OR(X595="Published",X595="Cancelled",X595="Archived"),"",IF(B595&gt;=TODAY(),"",B595+ROW()/100000)))</f>
        <v>0</v>
      </c>
      <c r="AL595" s="29">
        <f>IF(H595="","",IF(COUNTIFS('Content Calendar'!$H$5:$H$604,H595,'Content Calendar'!$G$5:$G$604,G595,'Content Calendar'!$B$5:$B$604,B595)&gt;1,"Duplicate","OK"))</f>
        <v>0</v>
      </c>
      <c r="AM595" s="29">
        <f>IF(H595="","",IF(AND(B595&lt;&gt;"",B595&lt;TODAY(),X595&lt;&gt;"Published",X595&lt;&gt;"Cancelled",X595&lt;&gt;"Archived"),"Overdue - date has passed",IF(AND(X595="Published",AB595=""),"Add - publish link missing",IF(AND(B595=TODAY(),X595&lt;&gt;"Published"),"Today - due to go live",IF(AND(Y595&lt;&gt;"",Y595&lt;TODAY(),OR(X595="Idea",X595="Brief",X595="In production")),"Late - draft not ready",IF(AND(AA595&gt;=0,AA595&lt;=3,OR(X595="Draft",X595="Awaiting review")),"Due - needs approval",IF(AND(H595&lt;&gt;"",P595=""),"Add - caption missing","OK")))))))</f>
        <v>0</v>
      </c>
    </row>
    <row r="596" spans="1:39">
      <c r="A596" s="41">
        <f>IF(H596="","",ContentPrefix&amp;TEXT(ROW()-4,"0000"))</f>
        <v>0</v>
      </c>
      <c r="D596" s="17">
        <f>IF(B596="","",TEXT(B596,"yyyy-mm"))</f>
        <v>0</v>
      </c>
      <c r="E596" s="23">
        <f>IF(B596="","",WEEKNUM(B596,IF(WeekStart="Sunday",1,2)))</f>
        <v>0</v>
      </c>
      <c r="F596" s="17">
        <f>IF(B596="","",TEXT(B596,"ddd"))</f>
        <v>0</v>
      </c>
      <c r="Q596" s="29">
        <f>IF(H596="","",IF(P596="","Add - no caption",IFERROR(INDEX('Caption Bank'!$R$5:$R$204,MATCH(P596,'Caption Bank'!$B$5:$B$204,0)),"Check - not in bank")))</f>
        <v>0</v>
      </c>
      <c r="S596" s="23">
        <f>IF(R596="","",COUNTIF('Hashtag Bank'!$D$5:$D$304,R596))</f>
        <v>0</v>
      </c>
      <c r="U596" s="29">
        <f>IF(H596="","",IF(T596="","Add - no asset",IFERROR(INDEX(Assets!$N$5:$N$254,MATCH(T596,Assets!$A$5:$A$254,0)),"Check - not in library")))</f>
        <v>0</v>
      </c>
      <c r="Y596" s="16">
        <f>IF(B596="","",B596-ProductionDays)</f>
        <v>0</v>
      </c>
      <c r="Z596" s="16">
        <f>IF(B596="","",B596-ApprovalDays)</f>
        <v>0</v>
      </c>
      <c r="AA596" s="23">
        <f>IF(B596="","",B596-TODAY())</f>
        <v>0</v>
      </c>
      <c r="AC596" s="29">
        <f>IF(H596="","",IF(X596="Published",IF(AB596="","Add - link missing","Yes"),"No"))</f>
        <v>0</v>
      </c>
      <c r="AD596" s="23">
        <f>IF(A596="","",IF(COUNTIF(Performance!$B$5:$B$404,A596)=0,"",SUMIFS(Performance!$O$5:$O$404,Performance!$B$5:$B$404,A596)))</f>
        <v>0</v>
      </c>
      <c r="AE596" s="23">
        <f>IF(AD596="","",SUMIFS(Performance!$Z$5:$Z$404,Performance!$B$5:$B$404,A596))</f>
        <v>0</v>
      </c>
      <c r="AF596" s="24">
        <f>IF(OR(AD596="",AD596=0),"",AE596/AD596)</f>
        <v>0</v>
      </c>
      <c r="AG596" s="23">
        <f>IF(AD596="","",SUMIFS(Performance!$U$5:$U$404,Performance!$B$5:$B$404,A596))</f>
        <v>0</v>
      </c>
      <c r="AH596" s="23">
        <f>IF(A596="","",COUNTIF(Repurposing!$B$5:$B$154,A596))</f>
        <v>0</v>
      </c>
      <c r="AI596" s="32">
        <f>IF(OR(H596="",B596=""),"",B596+ROW()/100000)</f>
        <v>0</v>
      </c>
      <c r="AJ596" s="32">
        <f>IF(OR(H596="",B596=""),"",IF(OR(X596="Published",X596="Cancelled",X596="Archived"),"",IF(B596&lt;TODAY(),"",B596+ROW()/100000)))</f>
        <v>0</v>
      </c>
      <c r="AK596" s="32">
        <f>IF(OR(H596="",B596=""),"",IF(OR(X596="Published",X596="Cancelled",X596="Archived"),"",IF(B596&gt;=TODAY(),"",B596+ROW()/100000)))</f>
        <v>0</v>
      </c>
      <c r="AL596" s="29">
        <f>IF(H596="","",IF(COUNTIFS('Content Calendar'!$H$5:$H$604,H596,'Content Calendar'!$G$5:$G$604,G596,'Content Calendar'!$B$5:$B$604,B596)&gt;1,"Duplicate","OK"))</f>
        <v>0</v>
      </c>
      <c r="AM596" s="29">
        <f>IF(H596="","",IF(AND(B596&lt;&gt;"",B596&lt;TODAY(),X596&lt;&gt;"Published",X596&lt;&gt;"Cancelled",X596&lt;&gt;"Archived"),"Overdue - date has passed",IF(AND(X596="Published",AB596=""),"Add - publish link missing",IF(AND(B596=TODAY(),X596&lt;&gt;"Published"),"Today - due to go live",IF(AND(Y596&lt;&gt;"",Y596&lt;TODAY(),OR(X596="Idea",X596="Brief",X596="In production")),"Late - draft not ready",IF(AND(AA596&gt;=0,AA596&lt;=3,OR(X596="Draft",X596="Awaiting review")),"Due - needs approval",IF(AND(H596&lt;&gt;"",P596=""),"Add - caption missing","OK")))))))</f>
        <v>0</v>
      </c>
    </row>
    <row r="597" spans="1:39">
      <c r="A597" s="41">
        <f>IF(H597="","",ContentPrefix&amp;TEXT(ROW()-4,"0000"))</f>
        <v>0</v>
      </c>
      <c r="D597" s="17">
        <f>IF(B597="","",TEXT(B597,"yyyy-mm"))</f>
        <v>0</v>
      </c>
      <c r="E597" s="23">
        <f>IF(B597="","",WEEKNUM(B597,IF(WeekStart="Sunday",1,2)))</f>
        <v>0</v>
      </c>
      <c r="F597" s="17">
        <f>IF(B597="","",TEXT(B597,"ddd"))</f>
        <v>0</v>
      </c>
      <c r="Q597" s="29">
        <f>IF(H597="","",IF(P597="","Add - no caption",IFERROR(INDEX('Caption Bank'!$R$5:$R$204,MATCH(P597,'Caption Bank'!$B$5:$B$204,0)),"Check - not in bank")))</f>
        <v>0</v>
      </c>
      <c r="S597" s="23">
        <f>IF(R597="","",COUNTIF('Hashtag Bank'!$D$5:$D$304,R597))</f>
        <v>0</v>
      </c>
      <c r="U597" s="29">
        <f>IF(H597="","",IF(T597="","Add - no asset",IFERROR(INDEX(Assets!$N$5:$N$254,MATCH(T597,Assets!$A$5:$A$254,0)),"Check - not in library")))</f>
        <v>0</v>
      </c>
      <c r="Y597" s="16">
        <f>IF(B597="","",B597-ProductionDays)</f>
        <v>0</v>
      </c>
      <c r="Z597" s="16">
        <f>IF(B597="","",B597-ApprovalDays)</f>
        <v>0</v>
      </c>
      <c r="AA597" s="23">
        <f>IF(B597="","",B597-TODAY())</f>
        <v>0</v>
      </c>
      <c r="AC597" s="29">
        <f>IF(H597="","",IF(X597="Published",IF(AB597="","Add - link missing","Yes"),"No"))</f>
        <v>0</v>
      </c>
      <c r="AD597" s="23">
        <f>IF(A597="","",IF(COUNTIF(Performance!$B$5:$B$404,A597)=0,"",SUMIFS(Performance!$O$5:$O$404,Performance!$B$5:$B$404,A597)))</f>
        <v>0</v>
      </c>
      <c r="AE597" s="23">
        <f>IF(AD597="","",SUMIFS(Performance!$Z$5:$Z$404,Performance!$B$5:$B$404,A597))</f>
        <v>0</v>
      </c>
      <c r="AF597" s="24">
        <f>IF(OR(AD597="",AD597=0),"",AE597/AD597)</f>
        <v>0</v>
      </c>
      <c r="AG597" s="23">
        <f>IF(AD597="","",SUMIFS(Performance!$U$5:$U$404,Performance!$B$5:$B$404,A597))</f>
        <v>0</v>
      </c>
      <c r="AH597" s="23">
        <f>IF(A597="","",COUNTIF(Repurposing!$B$5:$B$154,A597))</f>
        <v>0</v>
      </c>
      <c r="AI597" s="32">
        <f>IF(OR(H597="",B597=""),"",B597+ROW()/100000)</f>
        <v>0</v>
      </c>
      <c r="AJ597" s="32">
        <f>IF(OR(H597="",B597=""),"",IF(OR(X597="Published",X597="Cancelled",X597="Archived"),"",IF(B597&lt;TODAY(),"",B597+ROW()/100000)))</f>
        <v>0</v>
      </c>
      <c r="AK597" s="32">
        <f>IF(OR(H597="",B597=""),"",IF(OR(X597="Published",X597="Cancelled",X597="Archived"),"",IF(B597&gt;=TODAY(),"",B597+ROW()/100000)))</f>
        <v>0</v>
      </c>
      <c r="AL597" s="29">
        <f>IF(H597="","",IF(COUNTIFS('Content Calendar'!$H$5:$H$604,H597,'Content Calendar'!$G$5:$G$604,G597,'Content Calendar'!$B$5:$B$604,B597)&gt;1,"Duplicate","OK"))</f>
        <v>0</v>
      </c>
      <c r="AM597" s="29">
        <f>IF(H597="","",IF(AND(B597&lt;&gt;"",B597&lt;TODAY(),X597&lt;&gt;"Published",X597&lt;&gt;"Cancelled",X597&lt;&gt;"Archived"),"Overdue - date has passed",IF(AND(X597="Published",AB597=""),"Add - publish link missing",IF(AND(B597=TODAY(),X597&lt;&gt;"Published"),"Today - due to go live",IF(AND(Y597&lt;&gt;"",Y597&lt;TODAY(),OR(X597="Idea",X597="Brief",X597="In production")),"Late - draft not ready",IF(AND(AA597&gt;=0,AA597&lt;=3,OR(X597="Draft",X597="Awaiting review")),"Due - needs approval",IF(AND(H597&lt;&gt;"",P597=""),"Add - caption missing","OK")))))))</f>
        <v>0</v>
      </c>
    </row>
    <row r="598" spans="1:39">
      <c r="A598" s="41">
        <f>IF(H598="","",ContentPrefix&amp;TEXT(ROW()-4,"0000"))</f>
        <v>0</v>
      </c>
      <c r="D598" s="17">
        <f>IF(B598="","",TEXT(B598,"yyyy-mm"))</f>
        <v>0</v>
      </c>
      <c r="E598" s="23">
        <f>IF(B598="","",WEEKNUM(B598,IF(WeekStart="Sunday",1,2)))</f>
        <v>0</v>
      </c>
      <c r="F598" s="17">
        <f>IF(B598="","",TEXT(B598,"ddd"))</f>
        <v>0</v>
      </c>
      <c r="Q598" s="29">
        <f>IF(H598="","",IF(P598="","Add - no caption",IFERROR(INDEX('Caption Bank'!$R$5:$R$204,MATCH(P598,'Caption Bank'!$B$5:$B$204,0)),"Check - not in bank")))</f>
        <v>0</v>
      </c>
      <c r="S598" s="23">
        <f>IF(R598="","",COUNTIF('Hashtag Bank'!$D$5:$D$304,R598))</f>
        <v>0</v>
      </c>
      <c r="U598" s="29">
        <f>IF(H598="","",IF(T598="","Add - no asset",IFERROR(INDEX(Assets!$N$5:$N$254,MATCH(T598,Assets!$A$5:$A$254,0)),"Check - not in library")))</f>
        <v>0</v>
      </c>
      <c r="Y598" s="16">
        <f>IF(B598="","",B598-ProductionDays)</f>
        <v>0</v>
      </c>
      <c r="Z598" s="16">
        <f>IF(B598="","",B598-ApprovalDays)</f>
        <v>0</v>
      </c>
      <c r="AA598" s="23">
        <f>IF(B598="","",B598-TODAY())</f>
        <v>0</v>
      </c>
      <c r="AC598" s="29">
        <f>IF(H598="","",IF(X598="Published",IF(AB598="","Add - link missing","Yes"),"No"))</f>
        <v>0</v>
      </c>
      <c r="AD598" s="23">
        <f>IF(A598="","",IF(COUNTIF(Performance!$B$5:$B$404,A598)=0,"",SUMIFS(Performance!$O$5:$O$404,Performance!$B$5:$B$404,A598)))</f>
        <v>0</v>
      </c>
      <c r="AE598" s="23">
        <f>IF(AD598="","",SUMIFS(Performance!$Z$5:$Z$404,Performance!$B$5:$B$404,A598))</f>
        <v>0</v>
      </c>
      <c r="AF598" s="24">
        <f>IF(OR(AD598="",AD598=0),"",AE598/AD598)</f>
        <v>0</v>
      </c>
      <c r="AG598" s="23">
        <f>IF(AD598="","",SUMIFS(Performance!$U$5:$U$404,Performance!$B$5:$B$404,A598))</f>
        <v>0</v>
      </c>
      <c r="AH598" s="23">
        <f>IF(A598="","",COUNTIF(Repurposing!$B$5:$B$154,A598))</f>
        <v>0</v>
      </c>
      <c r="AI598" s="32">
        <f>IF(OR(H598="",B598=""),"",B598+ROW()/100000)</f>
        <v>0</v>
      </c>
      <c r="AJ598" s="32">
        <f>IF(OR(H598="",B598=""),"",IF(OR(X598="Published",X598="Cancelled",X598="Archived"),"",IF(B598&lt;TODAY(),"",B598+ROW()/100000)))</f>
        <v>0</v>
      </c>
      <c r="AK598" s="32">
        <f>IF(OR(H598="",B598=""),"",IF(OR(X598="Published",X598="Cancelled",X598="Archived"),"",IF(B598&gt;=TODAY(),"",B598+ROW()/100000)))</f>
        <v>0</v>
      </c>
      <c r="AL598" s="29">
        <f>IF(H598="","",IF(COUNTIFS('Content Calendar'!$H$5:$H$604,H598,'Content Calendar'!$G$5:$G$604,G598,'Content Calendar'!$B$5:$B$604,B598)&gt;1,"Duplicate","OK"))</f>
        <v>0</v>
      </c>
      <c r="AM598" s="29">
        <f>IF(H598="","",IF(AND(B598&lt;&gt;"",B598&lt;TODAY(),X598&lt;&gt;"Published",X598&lt;&gt;"Cancelled",X598&lt;&gt;"Archived"),"Overdue - date has passed",IF(AND(X598="Published",AB598=""),"Add - publish link missing",IF(AND(B598=TODAY(),X598&lt;&gt;"Published"),"Today - due to go live",IF(AND(Y598&lt;&gt;"",Y598&lt;TODAY(),OR(X598="Idea",X598="Brief",X598="In production")),"Late - draft not ready",IF(AND(AA598&gt;=0,AA598&lt;=3,OR(X598="Draft",X598="Awaiting review")),"Due - needs approval",IF(AND(H598&lt;&gt;"",P598=""),"Add - caption missing","OK")))))))</f>
        <v>0</v>
      </c>
    </row>
    <row r="599" spans="1:39">
      <c r="A599" s="41">
        <f>IF(H599="","",ContentPrefix&amp;TEXT(ROW()-4,"0000"))</f>
        <v>0</v>
      </c>
      <c r="D599" s="17">
        <f>IF(B599="","",TEXT(B599,"yyyy-mm"))</f>
        <v>0</v>
      </c>
      <c r="E599" s="23">
        <f>IF(B599="","",WEEKNUM(B599,IF(WeekStart="Sunday",1,2)))</f>
        <v>0</v>
      </c>
      <c r="F599" s="17">
        <f>IF(B599="","",TEXT(B599,"ddd"))</f>
        <v>0</v>
      </c>
      <c r="Q599" s="29">
        <f>IF(H599="","",IF(P599="","Add - no caption",IFERROR(INDEX('Caption Bank'!$R$5:$R$204,MATCH(P599,'Caption Bank'!$B$5:$B$204,0)),"Check - not in bank")))</f>
        <v>0</v>
      </c>
      <c r="S599" s="23">
        <f>IF(R599="","",COUNTIF('Hashtag Bank'!$D$5:$D$304,R599))</f>
        <v>0</v>
      </c>
      <c r="U599" s="29">
        <f>IF(H599="","",IF(T599="","Add - no asset",IFERROR(INDEX(Assets!$N$5:$N$254,MATCH(T599,Assets!$A$5:$A$254,0)),"Check - not in library")))</f>
        <v>0</v>
      </c>
      <c r="Y599" s="16">
        <f>IF(B599="","",B599-ProductionDays)</f>
        <v>0</v>
      </c>
      <c r="Z599" s="16">
        <f>IF(B599="","",B599-ApprovalDays)</f>
        <v>0</v>
      </c>
      <c r="AA599" s="23">
        <f>IF(B599="","",B599-TODAY())</f>
        <v>0</v>
      </c>
      <c r="AC599" s="29">
        <f>IF(H599="","",IF(X599="Published",IF(AB599="","Add - link missing","Yes"),"No"))</f>
        <v>0</v>
      </c>
      <c r="AD599" s="23">
        <f>IF(A599="","",IF(COUNTIF(Performance!$B$5:$B$404,A599)=0,"",SUMIFS(Performance!$O$5:$O$404,Performance!$B$5:$B$404,A599)))</f>
        <v>0</v>
      </c>
      <c r="AE599" s="23">
        <f>IF(AD599="","",SUMIFS(Performance!$Z$5:$Z$404,Performance!$B$5:$B$404,A599))</f>
        <v>0</v>
      </c>
      <c r="AF599" s="24">
        <f>IF(OR(AD599="",AD599=0),"",AE599/AD599)</f>
        <v>0</v>
      </c>
      <c r="AG599" s="23">
        <f>IF(AD599="","",SUMIFS(Performance!$U$5:$U$404,Performance!$B$5:$B$404,A599))</f>
        <v>0</v>
      </c>
      <c r="AH599" s="23">
        <f>IF(A599="","",COUNTIF(Repurposing!$B$5:$B$154,A599))</f>
        <v>0</v>
      </c>
      <c r="AI599" s="32">
        <f>IF(OR(H599="",B599=""),"",B599+ROW()/100000)</f>
        <v>0</v>
      </c>
      <c r="AJ599" s="32">
        <f>IF(OR(H599="",B599=""),"",IF(OR(X599="Published",X599="Cancelled",X599="Archived"),"",IF(B599&lt;TODAY(),"",B599+ROW()/100000)))</f>
        <v>0</v>
      </c>
      <c r="AK599" s="32">
        <f>IF(OR(H599="",B599=""),"",IF(OR(X599="Published",X599="Cancelled",X599="Archived"),"",IF(B599&gt;=TODAY(),"",B599+ROW()/100000)))</f>
        <v>0</v>
      </c>
      <c r="AL599" s="29">
        <f>IF(H599="","",IF(COUNTIFS('Content Calendar'!$H$5:$H$604,H599,'Content Calendar'!$G$5:$G$604,G599,'Content Calendar'!$B$5:$B$604,B599)&gt;1,"Duplicate","OK"))</f>
        <v>0</v>
      </c>
      <c r="AM599" s="29">
        <f>IF(H599="","",IF(AND(B599&lt;&gt;"",B599&lt;TODAY(),X599&lt;&gt;"Published",X599&lt;&gt;"Cancelled",X599&lt;&gt;"Archived"),"Overdue - date has passed",IF(AND(X599="Published",AB599=""),"Add - publish link missing",IF(AND(B599=TODAY(),X599&lt;&gt;"Published"),"Today - due to go live",IF(AND(Y599&lt;&gt;"",Y599&lt;TODAY(),OR(X599="Idea",X599="Brief",X599="In production")),"Late - draft not ready",IF(AND(AA599&gt;=0,AA599&lt;=3,OR(X599="Draft",X599="Awaiting review")),"Due - needs approval",IF(AND(H599&lt;&gt;"",P599=""),"Add - caption missing","OK")))))))</f>
        <v>0</v>
      </c>
    </row>
    <row r="600" spans="1:39">
      <c r="A600" s="41">
        <f>IF(H600="","",ContentPrefix&amp;TEXT(ROW()-4,"0000"))</f>
        <v>0</v>
      </c>
      <c r="D600" s="17">
        <f>IF(B600="","",TEXT(B600,"yyyy-mm"))</f>
        <v>0</v>
      </c>
      <c r="E600" s="23">
        <f>IF(B600="","",WEEKNUM(B600,IF(WeekStart="Sunday",1,2)))</f>
        <v>0</v>
      </c>
      <c r="F600" s="17">
        <f>IF(B600="","",TEXT(B600,"ddd"))</f>
        <v>0</v>
      </c>
      <c r="Q600" s="29">
        <f>IF(H600="","",IF(P600="","Add - no caption",IFERROR(INDEX('Caption Bank'!$R$5:$R$204,MATCH(P600,'Caption Bank'!$B$5:$B$204,0)),"Check - not in bank")))</f>
        <v>0</v>
      </c>
      <c r="S600" s="23">
        <f>IF(R600="","",COUNTIF('Hashtag Bank'!$D$5:$D$304,R600))</f>
        <v>0</v>
      </c>
      <c r="U600" s="29">
        <f>IF(H600="","",IF(T600="","Add - no asset",IFERROR(INDEX(Assets!$N$5:$N$254,MATCH(T600,Assets!$A$5:$A$254,0)),"Check - not in library")))</f>
        <v>0</v>
      </c>
      <c r="Y600" s="16">
        <f>IF(B600="","",B600-ProductionDays)</f>
        <v>0</v>
      </c>
      <c r="Z600" s="16">
        <f>IF(B600="","",B600-ApprovalDays)</f>
        <v>0</v>
      </c>
      <c r="AA600" s="23">
        <f>IF(B600="","",B600-TODAY())</f>
        <v>0</v>
      </c>
      <c r="AC600" s="29">
        <f>IF(H600="","",IF(X600="Published",IF(AB600="","Add - link missing","Yes"),"No"))</f>
        <v>0</v>
      </c>
      <c r="AD600" s="23">
        <f>IF(A600="","",IF(COUNTIF(Performance!$B$5:$B$404,A600)=0,"",SUMIFS(Performance!$O$5:$O$404,Performance!$B$5:$B$404,A600)))</f>
        <v>0</v>
      </c>
      <c r="AE600" s="23">
        <f>IF(AD600="","",SUMIFS(Performance!$Z$5:$Z$404,Performance!$B$5:$B$404,A600))</f>
        <v>0</v>
      </c>
      <c r="AF600" s="24">
        <f>IF(OR(AD600="",AD600=0),"",AE600/AD600)</f>
        <v>0</v>
      </c>
      <c r="AG600" s="23">
        <f>IF(AD600="","",SUMIFS(Performance!$U$5:$U$404,Performance!$B$5:$B$404,A600))</f>
        <v>0</v>
      </c>
      <c r="AH600" s="23">
        <f>IF(A600="","",COUNTIF(Repurposing!$B$5:$B$154,A600))</f>
        <v>0</v>
      </c>
      <c r="AI600" s="32">
        <f>IF(OR(H600="",B600=""),"",B600+ROW()/100000)</f>
        <v>0</v>
      </c>
      <c r="AJ600" s="32">
        <f>IF(OR(H600="",B600=""),"",IF(OR(X600="Published",X600="Cancelled",X600="Archived"),"",IF(B600&lt;TODAY(),"",B600+ROW()/100000)))</f>
        <v>0</v>
      </c>
      <c r="AK600" s="32">
        <f>IF(OR(H600="",B600=""),"",IF(OR(X600="Published",X600="Cancelled",X600="Archived"),"",IF(B600&gt;=TODAY(),"",B600+ROW()/100000)))</f>
        <v>0</v>
      </c>
      <c r="AL600" s="29">
        <f>IF(H600="","",IF(COUNTIFS('Content Calendar'!$H$5:$H$604,H600,'Content Calendar'!$G$5:$G$604,G600,'Content Calendar'!$B$5:$B$604,B600)&gt;1,"Duplicate","OK"))</f>
        <v>0</v>
      </c>
      <c r="AM600" s="29">
        <f>IF(H600="","",IF(AND(B600&lt;&gt;"",B600&lt;TODAY(),X600&lt;&gt;"Published",X600&lt;&gt;"Cancelled",X600&lt;&gt;"Archived"),"Overdue - date has passed",IF(AND(X600="Published",AB600=""),"Add - publish link missing",IF(AND(B600=TODAY(),X600&lt;&gt;"Published"),"Today - due to go live",IF(AND(Y600&lt;&gt;"",Y600&lt;TODAY(),OR(X600="Idea",X600="Brief",X600="In production")),"Late - draft not ready",IF(AND(AA600&gt;=0,AA600&lt;=3,OR(X600="Draft",X600="Awaiting review")),"Due - needs approval",IF(AND(H600&lt;&gt;"",P600=""),"Add - caption missing","OK")))))))</f>
        <v>0</v>
      </c>
    </row>
    <row r="601" spans="1:39">
      <c r="A601" s="41">
        <f>IF(H601="","",ContentPrefix&amp;TEXT(ROW()-4,"0000"))</f>
        <v>0</v>
      </c>
      <c r="D601" s="17">
        <f>IF(B601="","",TEXT(B601,"yyyy-mm"))</f>
        <v>0</v>
      </c>
      <c r="E601" s="23">
        <f>IF(B601="","",WEEKNUM(B601,IF(WeekStart="Sunday",1,2)))</f>
        <v>0</v>
      </c>
      <c r="F601" s="17">
        <f>IF(B601="","",TEXT(B601,"ddd"))</f>
        <v>0</v>
      </c>
      <c r="Q601" s="29">
        <f>IF(H601="","",IF(P601="","Add - no caption",IFERROR(INDEX('Caption Bank'!$R$5:$R$204,MATCH(P601,'Caption Bank'!$B$5:$B$204,0)),"Check - not in bank")))</f>
        <v>0</v>
      </c>
      <c r="S601" s="23">
        <f>IF(R601="","",COUNTIF('Hashtag Bank'!$D$5:$D$304,R601))</f>
        <v>0</v>
      </c>
      <c r="U601" s="29">
        <f>IF(H601="","",IF(T601="","Add - no asset",IFERROR(INDEX(Assets!$N$5:$N$254,MATCH(T601,Assets!$A$5:$A$254,0)),"Check - not in library")))</f>
        <v>0</v>
      </c>
      <c r="Y601" s="16">
        <f>IF(B601="","",B601-ProductionDays)</f>
        <v>0</v>
      </c>
      <c r="Z601" s="16">
        <f>IF(B601="","",B601-ApprovalDays)</f>
        <v>0</v>
      </c>
      <c r="AA601" s="23">
        <f>IF(B601="","",B601-TODAY())</f>
        <v>0</v>
      </c>
      <c r="AC601" s="29">
        <f>IF(H601="","",IF(X601="Published",IF(AB601="","Add - link missing","Yes"),"No"))</f>
        <v>0</v>
      </c>
      <c r="AD601" s="23">
        <f>IF(A601="","",IF(COUNTIF(Performance!$B$5:$B$404,A601)=0,"",SUMIFS(Performance!$O$5:$O$404,Performance!$B$5:$B$404,A601)))</f>
        <v>0</v>
      </c>
      <c r="AE601" s="23">
        <f>IF(AD601="","",SUMIFS(Performance!$Z$5:$Z$404,Performance!$B$5:$B$404,A601))</f>
        <v>0</v>
      </c>
      <c r="AF601" s="24">
        <f>IF(OR(AD601="",AD601=0),"",AE601/AD601)</f>
        <v>0</v>
      </c>
      <c r="AG601" s="23">
        <f>IF(AD601="","",SUMIFS(Performance!$U$5:$U$404,Performance!$B$5:$B$404,A601))</f>
        <v>0</v>
      </c>
      <c r="AH601" s="23">
        <f>IF(A601="","",COUNTIF(Repurposing!$B$5:$B$154,A601))</f>
        <v>0</v>
      </c>
      <c r="AI601" s="32">
        <f>IF(OR(H601="",B601=""),"",B601+ROW()/100000)</f>
        <v>0</v>
      </c>
      <c r="AJ601" s="32">
        <f>IF(OR(H601="",B601=""),"",IF(OR(X601="Published",X601="Cancelled",X601="Archived"),"",IF(B601&lt;TODAY(),"",B601+ROW()/100000)))</f>
        <v>0</v>
      </c>
      <c r="AK601" s="32">
        <f>IF(OR(H601="",B601=""),"",IF(OR(X601="Published",X601="Cancelled",X601="Archived"),"",IF(B601&gt;=TODAY(),"",B601+ROW()/100000)))</f>
        <v>0</v>
      </c>
      <c r="AL601" s="29">
        <f>IF(H601="","",IF(COUNTIFS('Content Calendar'!$H$5:$H$604,H601,'Content Calendar'!$G$5:$G$604,G601,'Content Calendar'!$B$5:$B$604,B601)&gt;1,"Duplicate","OK"))</f>
        <v>0</v>
      </c>
      <c r="AM601" s="29">
        <f>IF(H601="","",IF(AND(B601&lt;&gt;"",B601&lt;TODAY(),X601&lt;&gt;"Published",X601&lt;&gt;"Cancelled",X601&lt;&gt;"Archived"),"Overdue - date has passed",IF(AND(X601="Published",AB601=""),"Add - publish link missing",IF(AND(B601=TODAY(),X601&lt;&gt;"Published"),"Today - due to go live",IF(AND(Y601&lt;&gt;"",Y601&lt;TODAY(),OR(X601="Idea",X601="Brief",X601="In production")),"Late - draft not ready",IF(AND(AA601&gt;=0,AA601&lt;=3,OR(X601="Draft",X601="Awaiting review")),"Due - needs approval",IF(AND(H601&lt;&gt;"",P601=""),"Add - caption missing","OK")))))))</f>
        <v>0</v>
      </c>
    </row>
    <row r="602" spans="1:39">
      <c r="A602" s="41">
        <f>IF(H602="","",ContentPrefix&amp;TEXT(ROW()-4,"0000"))</f>
        <v>0</v>
      </c>
      <c r="D602" s="17">
        <f>IF(B602="","",TEXT(B602,"yyyy-mm"))</f>
        <v>0</v>
      </c>
      <c r="E602" s="23">
        <f>IF(B602="","",WEEKNUM(B602,IF(WeekStart="Sunday",1,2)))</f>
        <v>0</v>
      </c>
      <c r="F602" s="17">
        <f>IF(B602="","",TEXT(B602,"ddd"))</f>
        <v>0</v>
      </c>
      <c r="Q602" s="29">
        <f>IF(H602="","",IF(P602="","Add - no caption",IFERROR(INDEX('Caption Bank'!$R$5:$R$204,MATCH(P602,'Caption Bank'!$B$5:$B$204,0)),"Check - not in bank")))</f>
        <v>0</v>
      </c>
      <c r="S602" s="23">
        <f>IF(R602="","",COUNTIF('Hashtag Bank'!$D$5:$D$304,R602))</f>
        <v>0</v>
      </c>
      <c r="U602" s="29">
        <f>IF(H602="","",IF(T602="","Add - no asset",IFERROR(INDEX(Assets!$N$5:$N$254,MATCH(T602,Assets!$A$5:$A$254,0)),"Check - not in library")))</f>
        <v>0</v>
      </c>
      <c r="Y602" s="16">
        <f>IF(B602="","",B602-ProductionDays)</f>
        <v>0</v>
      </c>
      <c r="Z602" s="16">
        <f>IF(B602="","",B602-ApprovalDays)</f>
        <v>0</v>
      </c>
      <c r="AA602" s="23">
        <f>IF(B602="","",B602-TODAY())</f>
        <v>0</v>
      </c>
      <c r="AC602" s="29">
        <f>IF(H602="","",IF(X602="Published",IF(AB602="","Add - link missing","Yes"),"No"))</f>
        <v>0</v>
      </c>
      <c r="AD602" s="23">
        <f>IF(A602="","",IF(COUNTIF(Performance!$B$5:$B$404,A602)=0,"",SUMIFS(Performance!$O$5:$O$404,Performance!$B$5:$B$404,A602)))</f>
        <v>0</v>
      </c>
      <c r="AE602" s="23">
        <f>IF(AD602="","",SUMIFS(Performance!$Z$5:$Z$404,Performance!$B$5:$B$404,A602))</f>
        <v>0</v>
      </c>
      <c r="AF602" s="24">
        <f>IF(OR(AD602="",AD602=0),"",AE602/AD602)</f>
        <v>0</v>
      </c>
      <c r="AG602" s="23">
        <f>IF(AD602="","",SUMIFS(Performance!$U$5:$U$404,Performance!$B$5:$B$404,A602))</f>
        <v>0</v>
      </c>
      <c r="AH602" s="23">
        <f>IF(A602="","",COUNTIF(Repurposing!$B$5:$B$154,A602))</f>
        <v>0</v>
      </c>
      <c r="AI602" s="32">
        <f>IF(OR(H602="",B602=""),"",B602+ROW()/100000)</f>
        <v>0</v>
      </c>
      <c r="AJ602" s="32">
        <f>IF(OR(H602="",B602=""),"",IF(OR(X602="Published",X602="Cancelled",X602="Archived"),"",IF(B602&lt;TODAY(),"",B602+ROW()/100000)))</f>
        <v>0</v>
      </c>
      <c r="AK602" s="32">
        <f>IF(OR(H602="",B602=""),"",IF(OR(X602="Published",X602="Cancelled",X602="Archived"),"",IF(B602&gt;=TODAY(),"",B602+ROW()/100000)))</f>
        <v>0</v>
      </c>
      <c r="AL602" s="29">
        <f>IF(H602="","",IF(COUNTIFS('Content Calendar'!$H$5:$H$604,H602,'Content Calendar'!$G$5:$G$604,G602,'Content Calendar'!$B$5:$B$604,B602)&gt;1,"Duplicate","OK"))</f>
        <v>0</v>
      </c>
      <c r="AM602" s="29">
        <f>IF(H602="","",IF(AND(B602&lt;&gt;"",B602&lt;TODAY(),X602&lt;&gt;"Published",X602&lt;&gt;"Cancelled",X602&lt;&gt;"Archived"),"Overdue - date has passed",IF(AND(X602="Published",AB602=""),"Add - publish link missing",IF(AND(B602=TODAY(),X602&lt;&gt;"Published"),"Today - due to go live",IF(AND(Y602&lt;&gt;"",Y602&lt;TODAY(),OR(X602="Idea",X602="Brief",X602="In production")),"Late - draft not ready",IF(AND(AA602&gt;=0,AA602&lt;=3,OR(X602="Draft",X602="Awaiting review")),"Due - needs approval",IF(AND(H602&lt;&gt;"",P602=""),"Add - caption missing","OK")))))))</f>
        <v>0</v>
      </c>
    </row>
    <row r="603" spans="1:39">
      <c r="A603" s="41">
        <f>IF(H603="","",ContentPrefix&amp;TEXT(ROW()-4,"0000"))</f>
        <v>0</v>
      </c>
      <c r="D603" s="17">
        <f>IF(B603="","",TEXT(B603,"yyyy-mm"))</f>
        <v>0</v>
      </c>
      <c r="E603" s="23">
        <f>IF(B603="","",WEEKNUM(B603,IF(WeekStart="Sunday",1,2)))</f>
        <v>0</v>
      </c>
      <c r="F603" s="17">
        <f>IF(B603="","",TEXT(B603,"ddd"))</f>
        <v>0</v>
      </c>
      <c r="Q603" s="29">
        <f>IF(H603="","",IF(P603="","Add - no caption",IFERROR(INDEX('Caption Bank'!$R$5:$R$204,MATCH(P603,'Caption Bank'!$B$5:$B$204,0)),"Check - not in bank")))</f>
        <v>0</v>
      </c>
      <c r="S603" s="23">
        <f>IF(R603="","",COUNTIF('Hashtag Bank'!$D$5:$D$304,R603))</f>
        <v>0</v>
      </c>
      <c r="U603" s="29">
        <f>IF(H603="","",IF(T603="","Add - no asset",IFERROR(INDEX(Assets!$N$5:$N$254,MATCH(T603,Assets!$A$5:$A$254,0)),"Check - not in library")))</f>
        <v>0</v>
      </c>
      <c r="Y603" s="16">
        <f>IF(B603="","",B603-ProductionDays)</f>
        <v>0</v>
      </c>
      <c r="Z603" s="16">
        <f>IF(B603="","",B603-ApprovalDays)</f>
        <v>0</v>
      </c>
      <c r="AA603" s="23">
        <f>IF(B603="","",B603-TODAY())</f>
        <v>0</v>
      </c>
      <c r="AC603" s="29">
        <f>IF(H603="","",IF(X603="Published",IF(AB603="","Add - link missing","Yes"),"No"))</f>
        <v>0</v>
      </c>
      <c r="AD603" s="23">
        <f>IF(A603="","",IF(COUNTIF(Performance!$B$5:$B$404,A603)=0,"",SUMIFS(Performance!$O$5:$O$404,Performance!$B$5:$B$404,A603)))</f>
        <v>0</v>
      </c>
      <c r="AE603" s="23">
        <f>IF(AD603="","",SUMIFS(Performance!$Z$5:$Z$404,Performance!$B$5:$B$404,A603))</f>
        <v>0</v>
      </c>
      <c r="AF603" s="24">
        <f>IF(OR(AD603="",AD603=0),"",AE603/AD603)</f>
        <v>0</v>
      </c>
      <c r="AG603" s="23">
        <f>IF(AD603="","",SUMIFS(Performance!$U$5:$U$404,Performance!$B$5:$B$404,A603))</f>
        <v>0</v>
      </c>
      <c r="AH603" s="23">
        <f>IF(A603="","",COUNTIF(Repurposing!$B$5:$B$154,A603))</f>
        <v>0</v>
      </c>
      <c r="AI603" s="32">
        <f>IF(OR(H603="",B603=""),"",B603+ROW()/100000)</f>
        <v>0</v>
      </c>
      <c r="AJ603" s="32">
        <f>IF(OR(H603="",B603=""),"",IF(OR(X603="Published",X603="Cancelled",X603="Archived"),"",IF(B603&lt;TODAY(),"",B603+ROW()/100000)))</f>
        <v>0</v>
      </c>
      <c r="AK603" s="32">
        <f>IF(OR(H603="",B603=""),"",IF(OR(X603="Published",X603="Cancelled",X603="Archived"),"",IF(B603&gt;=TODAY(),"",B603+ROW()/100000)))</f>
        <v>0</v>
      </c>
      <c r="AL603" s="29">
        <f>IF(H603="","",IF(COUNTIFS('Content Calendar'!$H$5:$H$604,H603,'Content Calendar'!$G$5:$G$604,G603,'Content Calendar'!$B$5:$B$604,B603)&gt;1,"Duplicate","OK"))</f>
        <v>0</v>
      </c>
      <c r="AM603" s="29">
        <f>IF(H603="","",IF(AND(B603&lt;&gt;"",B603&lt;TODAY(),X603&lt;&gt;"Published",X603&lt;&gt;"Cancelled",X603&lt;&gt;"Archived"),"Overdue - date has passed",IF(AND(X603="Published",AB603=""),"Add - publish link missing",IF(AND(B603=TODAY(),X603&lt;&gt;"Published"),"Today - due to go live",IF(AND(Y603&lt;&gt;"",Y603&lt;TODAY(),OR(X603="Idea",X603="Brief",X603="In production")),"Late - draft not ready",IF(AND(AA603&gt;=0,AA603&lt;=3,OR(X603="Draft",X603="Awaiting review")),"Due - needs approval",IF(AND(H603&lt;&gt;"",P603=""),"Add - caption missing","OK")))))))</f>
        <v>0</v>
      </c>
    </row>
    <row r="604" spans="1:39">
      <c r="A604" s="41">
        <f>IF(H604="","",ContentPrefix&amp;TEXT(ROW()-4,"0000"))</f>
        <v>0</v>
      </c>
      <c r="D604" s="17">
        <f>IF(B604="","",TEXT(B604,"yyyy-mm"))</f>
        <v>0</v>
      </c>
      <c r="E604" s="23">
        <f>IF(B604="","",WEEKNUM(B604,IF(WeekStart="Sunday",1,2)))</f>
        <v>0</v>
      </c>
      <c r="F604" s="17">
        <f>IF(B604="","",TEXT(B604,"ddd"))</f>
        <v>0</v>
      </c>
      <c r="Q604" s="29">
        <f>IF(H604="","",IF(P604="","Add - no caption",IFERROR(INDEX('Caption Bank'!$R$5:$R$204,MATCH(P604,'Caption Bank'!$B$5:$B$204,0)),"Check - not in bank")))</f>
        <v>0</v>
      </c>
      <c r="S604" s="23">
        <f>IF(R604="","",COUNTIF('Hashtag Bank'!$D$5:$D$304,R604))</f>
        <v>0</v>
      </c>
      <c r="U604" s="29">
        <f>IF(H604="","",IF(T604="","Add - no asset",IFERROR(INDEX(Assets!$N$5:$N$254,MATCH(T604,Assets!$A$5:$A$254,0)),"Check - not in library")))</f>
        <v>0</v>
      </c>
      <c r="Y604" s="16">
        <f>IF(B604="","",B604-ProductionDays)</f>
        <v>0</v>
      </c>
      <c r="Z604" s="16">
        <f>IF(B604="","",B604-ApprovalDays)</f>
        <v>0</v>
      </c>
      <c r="AA604" s="23">
        <f>IF(B604="","",B604-TODAY())</f>
        <v>0</v>
      </c>
      <c r="AC604" s="29">
        <f>IF(H604="","",IF(X604="Published",IF(AB604="","Add - link missing","Yes"),"No"))</f>
        <v>0</v>
      </c>
      <c r="AD604" s="23">
        <f>IF(A604="","",IF(COUNTIF(Performance!$B$5:$B$404,A604)=0,"",SUMIFS(Performance!$O$5:$O$404,Performance!$B$5:$B$404,A604)))</f>
        <v>0</v>
      </c>
      <c r="AE604" s="23">
        <f>IF(AD604="","",SUMIFS(Performance!$Z$5:$Z$404,Performance!$B$5:$B$404,A604))</f>
        <v>0</v>
      </c>
      <c r="AF604" s="24">
        <f>IF(OR(AD604="",AD604=0),"",AE604/AD604)</f>
        <v>0</v>
      </c>
      <c r="AG604" s="23">
        <f>IF(AD604="","",SUMIFS(Performance!$U$5:$U$404,Performance!$B$5:$B$404,A604))</f>
        <v>0</v>
      </c>
      <c r="AH604" s="23">
        <f>IF(A604="","",COUNTIF(Repurposing!$B$5:$B$154,A604))</f>
        <v>0</v>
      </c>
      <c r="AI604" s="32">
        <f>IF(OR(H604="",B604=""),"",B604+ROW()/100000)</f>
        <v>0</v>
      </c>
      <c r="AJ604" s="32">
        <f>IF(OR(H604="",B604=""),"",IF(OR(X604="Published",X604="Cancelled",X604="Archived"),"",IF(B604&lt;TODAY(),"",B604+ROW()/100000)))</f>
        <v>0</v>
      </c>
      <c r="AK604" s="32">
        <f>IF(OR(H604="",B604=""),"",IF(OR(X604="Published",X604="Cancelled",X604="Archived"),"",IF(B604&gt;=TODAY(),"",B604+ROW()/100000)))</f>
        <v>0</v>
      </c>
      <c r="AL604" s="29">
        <f>IF(H604="","",IF(COUNTIFS('Content Calendar'!$H$5:$H$604,H604,'Content Calendar'!$G$5:$G$604,G604,'Content Calendar'!$B$5:$B$604,B604)&gt;1,"Duplicate","OK"))</f>
        <v>0</v>
      </c>
      <c r="AM604" s="29">
        <f>IF(H604="","",IF(AND(B604&lt;&gt;"",B604&lt;TODAY(),X604&lt;&gt;"Published",X604&lt;&gt;"Cancelled",X604&lt;&gt;"Archived"),"Overdue - date has passed",IF(AND(X604="Published",AB604=""),"Add - publish link missing",IF(AND(B604=TODAY(),X604&lt;&gt;"Published"),"Today - due to go live",IF(AND(Y604&lt;&gt;"",Y604&lt;TODAY(),OR(X604="Idea",X604="Brief",X604="In production")),"Late - draft not ready",IF(AND(AA604&gt;=0,AA604&lt;=3,OR(X604="Draft",X604="Awaiting review")),"Due - needs approval",IF(AND(H604&lt;&gt;"",P604=""),"Add - caption missing","OK")))))))</f>
        <v>0</v>
      </c>
    </row>
  </sheetData>
  <sheetProtection password="EC7C" sheet="1" objects="1" scenarios="1" formatCells="0" formatColumns="0" formatRows="0" insertRows="0" insertHyperlinks="0" deleteRows="0" autoFilter="0"/>
  <autoFilter ref="A4:AN604"/>
  <mergeCells count="13">
    <mergeCell ref="A1:AK1"/>
    <mergeCell ref="AL1:AN1"/>
    <mergeCell ref="A2:AN2"/>
    <mergeCell ref="A3:B3"/>
    <mergeCell ref="C3:D3"/>
    <mergeCell ref="E3:F3"/>
    <mergeCell ref="G3:H3"/>
    <mergeCell ref="I3:J3"/>
    <mergeCell ref="K3:L3"/>
    <mergeCell ref="M3:N3"/>
    <mergeCell ref="O3:P3"/>
    <mergeCell ref="Q3:R3"/>
    <mergeCell ref="S3:AN3"/>
  </mergeCells>
  <conditionalFormatting sqref="AA5:AA604">
    <cfRule type="cellIs" dxfId="2" priority="109" operator="between">
      <formula>0</formula>
      <formula>2</formula>
    </cfRule>
    <cfRule type="cellIs" dxfId="4" priority="110" operator="lessThan">
      <formula>0</formula>
    </cfRule>
  </conditionalFormatting>
  <conditionalFormatting sqref="AC5:AC604">
    <cfRule type="beginsWith" dxfId="0" priority="111" operator="beginsWith" text="OK">
      <formula>LEFT(AC5,2)="OK"</formula>
    </cfRule>
    <cfRule type="containsText" dxfId="1" priority="112" operator="containsText" text="Overdue">
      <formula>NOT(ISERROR(SEARCH("Overdue",AC5)))</formula>
    </cfRule>
    <cfRule type="containsText" dxfId="1" priority="113" operator="containsText" text="Late">
      <formula>NOT(ISERROR(SEARCH("Late",AC5)))</formula>
    </cfRule>
    <cfRule type="containsText" dxfId="1" priority="114" operator="containsText" text="Missing">
      <formula>NOT(ISERROR(SEARCH("Missing",AC5)))</formula>
    </cfRule>
    <cfRule type="containsText" dxfId="1" priority="115" operator="containsText" text="Conflict">
      <formula>NOT(ISERROR(SEARCH("Conflict",AC5)))</formula>
    </cfRule>
    <cfRule type="containsText" dxfId="1" priority="116" operator="containsText" text="Expired">
      <formula>NOT(ISERROR(SEARCH("Expired",AC5)))</formula>
    </cfRule>
    <cfRule type="containsText" dxfId="1" priority="117" operator="containsText" text="Duplicate">
      <formula>NOT(ISERROR(SEARCH("Duplicate",AC5)))</formula>
    </cfRule>
    <cfRule type="containsText" dxfId="2" priority="118" operator="containsText" text="Action">
      <formula>NOT(ISERROR(SEARCH("Action",AC5)))</formula>
    </cfRule>
    <cfRule type="containsText" dxfId="2" priority="119" operator="containsText" text="Due">
      <formula>NOT(ISERROR(SEARCH("Due",AC5)))</formula>
    </cfRule>
    <cfRule type="containsText" dxfId="2" priority="120" operator="containsText" text="Check">
      <formula>NOT(ISERROR(SEARCH("Check",AC5)))</formula>
    </cfRule>
    <cfRule type="containsText" dxfId="2" priority="121" operator="containsText" text="Add">
      <formula>NOT(ISERROR(SEARCH("Add",AC5)))</formula>
    </cfRule>
    <cfRule type="containsText" dxfId="3" priority="122" operator="containsText" text="Today">
      <formula>NOT(ISERROR(SEARCH("Today",AC5)))</formula>
    </cfRule>
    <cfRule type="containsText" dxfId="3" priority="123" operator="containsText" text="Upcoming">
      <formula>NOT(ISERROR(SEARCH("Upcoming",AC5)))</formula>
    </cfRule>
    <cfRule type="containsText" dxfId="0" priority="124" operator="containsText" text="Yes">
      <formula>NOT(ISERROR(SEARCH("Yes",AC5)))</formula>
    </cfRule>
  </conditionalFormatting>
  <conditionalFormatting sqref="AF5:AF604">
    <cfRule type="cellIs" dxfId="0" priority="125" operator="greaterThanOrEqual">
      <formula>TargetEngagement</formula>
    </cfRule>
    <cfRule type="cellIs" dxfId="2" priority="126" operator="lessThan">
      <formula>TargetEngagement</formula>
    </cfRule>
  </conditionalFormatting>
  <conditionalFormatting sqref="AL5:AL604">
    <cfRule type="containsText" dxfId="1" priority="127" operator="containsText" text="Duplicate">
      <formula>NOT(ISERROR(SEARCH("Duplicate",AL5)))</formula>
    </cfRule>
    <cfRule type="containsText" dxfId="0" priority="128" operator="containsText" text="OK">
      <formula>NOT(ISERROR(SEARCH("OK",AL5)))</formula>
    </cfRule>
  </conditionalFormatting>
  <conditionalFormatting sqref="AM5:AM604">
    <cfRule type="beginsWith" dxfId="0" priority="129" operator="beginsWith" text="OK">
      <formula>LEFT(AM5,2)="OK"</formula>
    </cfRule>
    <cfRule type="containsText" dxfId="1" priority="130" operator="containsText" text="Overdue">
      <formula>NOT(ISERROR(SEARCH("Overdue",AM5)))</formula>
    </cfRule>
    <cfRule type="containsText" dxfId="1" priority="131" operator="containsText" text="Late">
      <formula>NOT(ISERROR(SEARCH("Late",AM5)))</formula>
    </cfRule>
    <cfRule type="containsText" dxfId="1" priority="132" operator="containsText" text="Missing">
      <formula>NOT(ISERROR(SEARCH("Missing",AM5)))</formula>
    </cfRule>
    <cfRule type="containsText" dxfId="1" priority="133" operator="containsText" text="Conflict">
      <formula>NOT(ISERROR(SEARCH("Conflict",AM5)))</formula>
    </cfRule>
    <cfRule type="containsText" dxfId="1" priority="134" operator="containsText" text="Expired">
      <formula>NOT(ISERROR(SEARCH("Expired",AM5)))</formula>
    </cfRule>
    <cfRule type="containsText" dxfId="1" priority="135" operator="containsText" text="Duplicate">
      <formula>NOT(ISERROR(SEARCH("Duplicate",AM5)))</formula>
    </cfRule>
    <cfRule type="containsText" dxfId="2" priority="136" operator="containsText" text="Action">
      <formula>NOT(ISERROR(SEARCH("Action",AM5)))</formula>
    </cfRule>
    <cfRule type="containsText" dxfId="2" priority="137" operator="containsText" text="Due">
      <formula>NOT(ISERROR(SEARCH("Due",AM5)))</formula>
    </cfRule>
    <cfRule type="containsText" dxfId="2" priority="138" operator="containsText" text="Check">
      <formula>NOT(ISERROR(SEARCH("Check",AM5)))</formula>
    </cfRule>
    <cfRule type="containsText" dxfId="2" priority="139" operator="containsText" text="Add">
      <formula>NOT(ISERROR(SEARCH("Add",AM5)))</formula>
    </cfRule>
    <cfRule type="containsText" dxfId="3" priority="140" operator="containsText" text="Today">
      <formula>NOT(ISERROR(SEARCH("Today",AM5)))</formula>
    </cfRule>
    <cfRule type="containsText" dxfId="3" priority="141" operator="containsText" text="Upcoming">
      <formula>NOT(ISERROR(SEARCH("Upcoming",AM5)))</formula>
    </cfRule>
  </conditionalFormatting>
  <conditionalFormatting sqref="Q5:Q604">
    <cfRule type="beginsWith" dxfId="0" priority="1" operator="beginsWith" text="OK">
      <formula>LEFT(Q5,2)="OK"</formula>
    </cfRule>
    <cfRule type="containsText" dxfId="1" priority="2" operator="containsText" text="Overdue">
      <formula>NOT(ISERROR(SEARCH("Overdue",Q5)))</formula>
    </cfRule>
    <cfRule type="containsText" dxfId="1" priority="3" operator="containsText" text="Late">
      <formula>NOT(ISERROR(SEARCH("Late",Q5)))</formula>
    </cfRule>
    <cfRule type="containsText" dxfId="1" priority="4" operator="containsText" text="Missing">
      <formula>NOT(ISERROR(SEARCH("Missing",Q5)))</formula>
    </cfRule>
    <cfRule type="containsText" dxfId="1" priority="5" operator="containsText" text="Conflict">
      <formula>NOT(ISERROR(SEARCH("Conflict",Q5)))</formula>
    </cfRule>
    <cfRule type="containsText" dxfId="1" priority="6" operator="containsText" text="Expired">
      <formula>NOT(ISERROR(SEARCH("Expired",Q5)))</formula>
    </cfRule>
    <cfRule type="containsText" dxfId="1" priority="7" operator="containsText" text="Duplicate">
      <formula>NOT(ISERROR(SEARCH("Duplicate",Q5)))</formula>
    </cfRule>
    <cfRule type="containsText" dxfId="2" priority="8" operator="containsText" text="Action">
      <formula>NOT(ISERROR(SEARCH("Action",Q5)))</formula>
    </cfRule>
    <cfRule type="containsText" dxfId="2" priority="9" operator="containsText" text="Due">
      <formula>NOT(ISERROR(SEARCH("Due",Q5)))</formula>
    </cfRule>
    <cfRule type="containsText" dxfId="2" priority="10" operator="containsText" text="Check">
      <formula>NOT(ISERROR(SEARCH("Check",Q5)))</formula>
    </cfRule>
    <cfRule type="containsText" dxfId="2" priority="11" operator="containsText" text="Add">
      <formula>NOT(ISERROR(SEARCH("Add",Q5)))</formula>
    </cfRule>
    <cfRule type="containsText" dxfId="3" priority="12" operator="containsText" text="Today">
      <formula>NOT(ISERROR(SEARCH("Today",Q5)))</formula>
    </cfRule>
    <cfRule type="containsText" dxfId="3" priority="13" operator="containsText" text="Upcoming">
      <formula>NOT(ISERROR(SEARCH("Upcoming",Q5)))</formula>
    </cfRule>
    <cfRule type="containsText" dxfId="0" priority="14" operator="containsText" text="Published">
      <formula>NOT(ISERROR(SEARCH("Published",Q5)))</formula>
    </cfRule>
    <cfRule type="containsText" dxfId="0" priority="15" operator="containsText" text="Approved">
      <formula>NOT(ISERROR(SEARCH("Approved",Q5)))</formula>
    </cfRule>
    <cfRule type="containsText" dxfId="0" priority="16" operator="containsText" text="Complete">
      <formula>NOT(ISERROR(SEARCH("Complete",Q5)))</formula>
    </cfRule>
    <cfRule type="containsText" dxfId="0" priority="17" operator="containsText" text="Active">
      <formula>NOT(ISERROR(SEARCH("Active",Q5)))</formula>
    </cfRule>
    <cfRule type="containsText" dxfId="0" priority="18" operator="containsText" text="Agreed">
      <formula>NOT(ISERROR(SEARCH("Agreed",Q5)))</formula>
    </cfRule>
    <cfRule type="containsText" dxfId="0" priority="19" operator="containsText" text="Yes">
      <formula>NOT(ISERROR(SEARCH("Yes",Q5)))</formula>
    </cfRule>
    <cfRule type="containsText" dxfId="0" priority="20" operator="containsText" text="Won">
      <formula>NOT(ISERROR(SEARCH("Won",Q5)))</formula>
    </cfRule>
    <cfRule type="containsText" dxfId="3" priority="21" operator="containsText" text="Scheduled">
      <formula>NOT(ISERROR(SEARCH("Scheduled",Q5)))</formula>
    </cfRule>
    <cfRule type="containsText" dxfId="3" priority="22" operator="containsText" text="In production">
      <formula>NOT(ISERROR(SEARCH("In production",Q5)))</formula>
    </cfRule>
    <cfRule type="containsText" dxfId="3" priority="23" operator="containsText" text="Running">
      <formula>NOT(ISERROR(SEARCH("Running",Q5)))</formula>
    </cfRule>
    <cfRule type="containsText" dxfId="3" priority="24" operator="containsText" text="Sent">
      <formula>NOT(ISERROR(SEARCH("Sent",Q5)))</formula>
    </cfRule>
    <cfRule type="containsText" dxfId="3" priority="25" operator="containsText" text="Testing">
      <formula>NOT(ISERROR(SEARCH("Testing",Q5)))</formula>
    </cfRule>
    <cfRule type="containsText" dxfId="2" priority="26" operator="containsText" text="Idea">
      <formula>NOT(ISERROR(SEARCH("Idea",Q5)))</formula>
    </cfRule>
    <cfRule type="containsText" dxfId="2" priority="27" operator="containsText" text="Brief">
      <formula>NOT(ISERROR(SEARCH("Brief",Q5)))</formula>
    </cfRule>
    <cfRule type="containsText" dxfId="2" priority="28" operator="containsText" text="Draft">
      <formula>NOT(ISERROR(SEARCH("Draft",Q5)))</formula>
    </cfRule>
    <cfRule type="containsText" dxfId="2" priority="29" operator="containsText" text="Awaiting review">
      <formula>NOT(ISERROR(SEARCH("Awaiting review",Q5)))</formula>
    </cfRule>
    <cfRule type="containsText" dxfId="2" priority="30" operator="containsText" text="Pending">
      <formula>NOT(ISERROR(SEARCH("Pending",Q5)))</formula>
    </cfRule>
    <cfRule type="containsText" dxfId="2" priority="31" operator="containsText" text="On hold">
      <formula>NOT(ISERROR(SEARCH("On hold",Q5)))</formula>
    </cfRule>
    <cfRule type="containsText" dxfId="1" priority="32" operator="containsText" text="Revision needed">
      <formula>NOT(ISERROR(SEARCH("Revision needed",Q5)))</formula>
    </cfRule>
    <cfRule type="containsText" dxfId="1" priority="33" operator="containsText" text="Rejected">
      <formula>NOT(ISERROR(SEARCH("Rejected",Q5)))</formula>
    </cfRule>
    <cfRule type="containsText" dxfId="1" priority="34" operator="containsText" text="Cancelled">
      <formula>NOT(ISERROR(SEARCH("Cancelled",Q5)))</formula>
    </cfRule>
    <cfRule type="containsText" dxfId="1" priority="35" operator="containsText" text="Missed">
      <formula>NOT(ISERROR(SEARCH("Missed",Q5)))</formula>
    </cfRule>
    <cfRule type="containsText" dxfId="1" priority="36" operator="containsText" text="Overdue">
      <formula>NOT(ISERROR(SEARCH("Overdue",Q5)))</formula>
    </cfRule>
    <cfRule type="containsText" dxfId="1" priority="37" operator="containsText" text="Declined">
      <formula>NOT(ISERROR(SEARCH("Declined",Q5)))</formula>
    </cfRule>
    <cfRule type="containsText" dxfId="4" priority="38" operator="containsText" text="Archived">
      <formula>NOT(ISERROR(SEARCH("Archived",Q5)))</formula>
    </cfRule>
    <cfRule type="containsText" dxfId="4" priority="39" operator="containsText" text="Paused">
      <formula>NOT(ISERROR(SEARCH("Paused",Q5)))</formula>
    </cfRule>
    <cfRule type="containsText" dxfId="4" priority="40" operator="containsText" text="Not started">
      <formula>NOT(ISERROR(SEARCH("Not started",Q5)))</formula>
    </cfRule>
  </conditionalFormatting>
  <conditionalFormatting sqref="S5:S604">
    <cfRule type="cellIs" dxfId="2" priority="41" operator="lessThan">
      <formula>3</formula>
    </cfRule>
  </conditionalFormatting>
  <conditionalFormatting sqref="U5:U604">
    <cfRule type="beginsWith" dxfId="0" priority="42" operator="beginsWith" text="OK">
      <formula>LEFT(U5,2)="OK"</formula>
    </cfRule>
    <cfRule type="containsText" dxfId="1" priority="43" operator="containsText" text="Overdue">
      <formula>NOT(ISERROR(SEARCH("Overdue",U5)))</formula>
    </cfRule>
    <cfRule type="containsText" dxfId="1" priority="44" operator="containsText" text="Late">
      <formula>NOT(ISERROR(SEARCH("Late",U5)))</formula>
    </cfRule>
    <cfRule type="containsText" dxfId="1" priority="45" operator="containsText" text="Missing">
      <formula>NOT(ISERROR(SEARCH("Missing",U5)))</formula>
    </cfRule>
    <cfRule type="containsText" dxfId="1" priority="46" operator="containsText" text="Conflict">
      <formula>NOT(ISERROR(SEARCH("Conflict",U5)))</formula>
    </cfRule>
    <cfRule type="containsText" dxfId="1" priority="47" operator="containsText" text="Expired">
      <formula>NOT(ISERROR(SEARCH("Expired",U5)))</formula>
    </cfRule>
    <cfRule type="containsText" dxfId="1" priority="48" operator="containsText" text="Duplicate">
      <formula>NOT(ISERROR(SEARCH("Duplicate",U5)))</formula>
    </cfRule>
    <cfRule type="containsText" dxfId="2" priority="49" operator="containsText" text="Action">
      <formula>NOT(ISERROR(SEARCH("Action",U5)))</formula>
    </cfRule>
    <cfRule type="containsText" dxfId="2" priority="50" operator="containsText" text="Due">
      <formula>NOT(ISERROR(SEARCH("Due",U5)))</formula>
    </cfRule>
    <cfRule type="containsText" dxfId="2" priority="51" operator="containsText" text="Check">
      <formula>NOT(ISERROR(SEARCH("Check",U5)))</formula>
    </cfRule>
    <cfRule type="containsText" dxfId="2" priority="52" operator="containsText" text="Add">
      <formula>NOT(ISERROR(SEARCH("Add",U5)))</formula>
    </cfRule>
    <cfRule type="containsText" dxfId="3" priority="53" operator="containsText" text="Today">
      <formula>NOT(ISERROR(SEARCH("Today",U5)))</formula>
    </cfRule>
    <cfRule type="containsText" dxfId="3" priority="54" operator="containsText" text="Upcoming">
      <formula>NOT(ISERROR(SEARCH("Upcoming",U5)))</formula>
    </cfRule>
    <cfRule type="containsText" dxfId="0" priority="55" operator="containsText" text="Published">
      <formula>NOT(ISERROR(SEARCH("Published",U5)))</formula>
    </cfRule>
    <cfRule type="containsText" dxfId="0" priority="56" operator="containsText" text="Approved">
      <formula>NOT(ISERROR(SEARCH("Approved",U5)))</formula>
    </cfRule>
    <cfRule type="containsText" dxfId="0" priority="57" operator="containsText" text="Complete">
      <formula>NOT(ISERROR(SEARCH("Complete",U5)))</formula>
    </cfRule>
    <cfRule type="containsText" dxfId="0" priority="58" operator="containsText" text="Active">
      <formula>NOT(ISERROR(SEARCH("Active",U5)))</formula>
    </cfRule>
    <cfRule type="containsText" dxfId="0" priority="59" operator="containsText" text="Agreed">
      <formula>NOT(ISERROR(SEARCH("Agreed",U5)))</formula>
    </cfRule>
    <cfRule type="containsText" dxfId="0" priority="60" operator="containsText" text="Yes">
      <formula>NOT(ISERROR(SEARCH("Yes",U5)))</formula>
    </cfRule>
    <cfRule type="containsText" dxfId="0" priority="61" operator="containsText" text="Won">
      <formula>NOT(ISERROR(SEARCH("Won",U5)))</formula>
    </cfRule>
    <cfRule type="containsText" dxfId="3" priority="62" operator="containsText" text="Scheduled">
      <formula>NOT(ISERROR(SEARCH("Scheduled",U5)))</formula>
    </cfRule>
    <cfRule type="containsText" dxfId="3" priority="63" operator="containsText" text="In production">
      <formula>NOT(ISERROR(SEARCH("In production",U5)))</formula>
    </cfRule>
    <cfRule type="containsText" dxfId="3" priority="64" operator="containsText" text="Running">
      <formula>NOT(ISERROR(SEARCH("Running",U5)))</formula>
    </cfRule>
    <cfRule type="containsText" dxfId="3" priority="65" operator="containsText" text="Sent">
      <formula>NOT(ISERROR(SEARCH("Sent",U5)))</formula>
    </cfRule>
    <cfRule type="containsText" dxfId="3" priority="66" operator="containsText" text="Testing">
      <formula>NOT(ISERROR(SEARCH("Testing",U5)))</formula>
    </cfRule>
    <cfRule type="containsText" dxfId="2" priority="67" operator="containsText" text="Idea">
      <formula>NOT(ISERROR(SEARCH("Idea",U5)))</formula>
    </cfRule>
    <cfRule type="containsText" dxfId="2" priority="68" operator="containsText" text="Brief">
      <formula>NOT(ISERROR(SEARCH("Brief",U5)))</formula>
    </cfRule>
    <cfRule type="containsText" dxfId="2" priority="69" operator="containsText" text="Draft">
      <formula>NOT(ISERROR(SEARCH("Draft",U5)))</formula>
    </cfRule>
    <cfRule type="containsText" dxfId="2" priority="70" operator="containsText" text="Awaiting review">
      <formula>NOT(ISERROR(SEARCH("Awaiting review",U5)))</formula>
    </cfRule>
    <cfRule type="containsText" dxfId="2" priority="71" operator="containsText" text="Pending">
      <formula>NOT(ISERROR(SEARCH("Pending",U5)))</formula>
    </cfRule>
    <cfRule type="containsText" dxfId="2" priority="72" operator="containsText" text="On hold">
      <formula>NOT(ISERROR(SEARCH("On hold",U5)))</formula>
    </cfRule>
    <cfRule type="containsText" dxfId="1" priority="73" operator="containsText" text="Revision needed">
      <formula>NOT(ISERROR(SEARCH("Revision needed",U5)))</formula>
    </cfRule>
    <cfRule type="containsText" dxfId="1" priority="74" operator="containsText" text="Rejected">
      <formula>NOT(ISERROR(SEARCH("Rejected",U5)))</formula>
    </cfRule>
    <cfRule type="containsText" dxfId="1" priority="75" operator="containsText" text="Cancelled">
      <formula>NOT(ISERROR(SEARCH("Cancelled",U5)))</formula>
    </cfRule>
    <cfRule type="containsText" dxfId="1" priority="76" operator="containsText" text="Missed">
      <formula>NOT(ISERROR(SEARCH("Missed",U5)))</formula>
    </cfRule>
    <cfRule type="containsText" dxfId="1" priority="77" operator="containsText" text="Overdue">
      <formula>NOT(ISERROR(SEARCH("Overdue",U5)))</formula>
    </cfRule>
    <cfRule type="containsText" dxfId="1" priority="78" operator="containsText" text="Declined">
      <formula>NOT(ISERROR(SEARCH("Declined",U5)))</formula>
    </cfRule>
    <cfRule type="containsText" dxfId="4" priority="79" operator="containsText" text="Archived">
      <formula>NOT(ISERROR(SEARCH("Archived",U5)))</formula>
    </cfRule>
    <cfRule type="containsText" dxfId="4" priority="80" operator="containsText" text="Paused">
      <formula>NOT(ISERROR(SEARCH("Paused",U5)))</formula>
    </cfRule>
    <cfRule type="containsText" dxfId="4" priority="81" operator="containsText" text="Not started">
      <formula>NOT(ISERROR(SEARCH("Not started",U5)))</formula>
    </cfRule>
  </conditionalFormatting>
  <conditionalFormatting sqref="X5:X604">
    <cfRule type="containsText" dxfId="0" priority="82" operator="containsText" text="Published">
      <formula>NOT(ISERROR(SEARCH("Published",X5)))</formula>
    </cfRule>
    <cfRule type="containsText" dxfId="0" priority="83" operator="containsText" text="Approved">
      <formula>NOT(ISERROR(SEARCH("Approved",X5)))</formula>
    </cfRule>
    <cfRule type="containsText" dxfId="0" priority="84" operator="containsText" text="Complete">
      <formula>NOT(ISERROR(SEARCH("Complete",X5)))</formula>
    </cfRule>
    <cfRule type="containsText" dxfId="0" priority="85" operator="containsText" text="Active">
      <formula>NOT(ISERROR(SEARCH("Active",X5)))</formula>
    </cfRule>
    <cfRule type="containsText" dxfId="0" priority="86" operator="containsText" text="Agreed">
      <formula>NOT(ISERROR(SEARCH("Agreed",X5)))</formula>
    </cfRule>
    <cfRule type="containsText" dxfId="0" priority="87" operator="containsText" text="Yes">
      <formula>NOT(ISERROR(SEARCH("Yes",X5)))</formula>
    </cfRule>
    <cfRule type="containsText" dxfId="0" priority="88" operator="containsText" text="Won">
      <formula>NOT(ISERROR(SEARCH("Won",X5)))</formula>
    </cfRule>
    <cfRule type="containsText" dxfId="3" priority="89" operator="containsText" text="Scheduled">
      <formula>NOT(ISERROR(SEARCH("Scheduled",X5)))</formula>
    </cfRule>
    <cfRule type="containsText" dxfId="3" priority="90" operator="containsText" text="In production">
      <formula>NOT(ISERROR(SEARCH("In production",X5)))</formula>
    </cfRule>
    <cfRule type="containsText" dxfId="3" priority="91" operator="containsText" text="Running">
      <formula>NOT(ISERROR(SEARCH("Running",X5)))</formula>
    </cfRule>
    <cfRule type="containsText" dxfId="3" priority="92" operator="containsText" text="Sent">
      <formula>NOT(ISERROR(SEARCH("Sent",X5)))</formula>
    </cfRule>
    <cfRule type="containsText" dxfId="3" priority="93" operator="containsText" text="Testing">
      <formula>NOT(ISERROR(SEARCH("Testing",X5)))</formula>
    </cfRule>
    <cfRule type="containsText" dxfId="2" priority="94" operator="containsText" text="Idea">
      <formula>NOT(ISERROR(SEARCH("Idea",X5)))</formula>
    </cfRule>
    <cfRule type="containsText" dxfId="2" priority="95" operator="containsText" text="Brief">
      <formula>NOT(ISERROR(SEARCH("Brief",X5)))</formula>
    </cfRule>
    <cfRule type="containsText" dxfId="2" priority="96" operator="containsText" text="Draft">
      <formula>NOT(ISERROR(SEARCH("Draft",X5)))</formula>
    </cfRule>
    <cfRule type="containsText" dxfId="2" priority="97" operator="containsText" text="Awaiting review">
      <formula>NOT(ISERROR(SEARCH("Awaiting review",X5)))</formula>
    </cfRule>
    <cfRule type="containsText" dxfId="2" priority="98" operator="containsText" text="Pending">
      <formula>NOT(ISERROR(SEARCH("Pending",X5)))</formula>
    </cfRule>
    <cfRule type="containsText" dxfId="2" priority="99" operator="containsText" text="On hold">
      <formula>NOT(ISERROR(SEARCH("On hold",X5)))</formula>
    </cfRule>
    <cfRule type="containsText" dxfId="1" priority="100" operator="containsText" text="Revision needed">
      <formula>NOT(ISERROR(SEARCH("Revision needed",X5)))</formula>
    </cfRule>
    <cfRule type="containsText" dxfId="1" priority="101" operator="containsText" text="Rejected">
      <formula>NOT(ISERROR(SEARCH("Rejected",X5)))</formula>
    </cfRule>
    <cfRule type="containsText" dxfId="1" priority="102" operator="containsText" text="Cancelled">
      <formula>NOT(ISERROR(SEARCH("Cancelled",X5)))</formula>
    </cfRule>
    <cfRule type="containsText" dxfId="1" priority="103" operator="containsText" text="Missed">
      <formula>NOT(ISERROR(SEARCH("Missed",X5)))</formula>
    </cfRule>
    <cfRule type="containsText" dxfId="1" priority="104" operator="containsText" text="Overdue">
      <formula>NOT(ISERROR(SEARCH("Overdue",X5)))</formula>
    </cfRule>
    <cfRule type="containsText" dxfId="1" priority="105" operator="containsText" text="Declined">
      <formula>NOT(ISERROR(SEARCH("Declined",X5)))</formula>
    </cfRule>
    <cfRule type="containsText" dxfId="4" priority="106" operator="containsText" text="Archived">
      <formula>NOT(ISERROR(SEARCH("Archived",X5)))</formula>
    </cfRule>
    <cfRule type="containsText" dxfId="4" priority="107" operator="containsText" text="Paused">
      <formula>NOT(ISERROR(SEARCH("Paused",X5)))</formula>
    </cfRule>
    <cfRule type="containsText" dxfId="4" priority="108" operator="containsText" text="Not started">
      <formula>NOT(ISERROR(SEARCH("Not started",X5)))</formula>
    </cfRule>
  </conditionalFormatting>
  <dataValidations count="14">
    <dataValidation type="date" allowBlank="1" showInputMessage="1" showErrorMessage="1" errorTitle="Check the date" error="Enter a real date between 2000 and 2100." promptTitle="Publish date" prompt="The day it goes live. Draft and approval deadlines are worked out from this." sqref="B5:B604">
      <formula1>36526</formula1>
      <formula2>73415</formula2>
    </dataValidation>
    <dataValidation type="list" allowBlank="1" showInputMessage="1" showErrorMessage="1" sqref="C5:C604">
      <formula1>TimeSlotList</formula1>
    </dataValidation>
    <dataValidation type="list" allowBlank="1" showInputMessage="1" showErrorMessage="1" sqref="G5:G604">
      <formula1>PlatformList</formula1>
    </dataValidation>
    <dataValidation type="list" allowBlank="1" showInputMessage="1" showErrorMessage="1" sqref="J5:J604">
      <formula1>PillarNames</formula1>
    </dataValidation>
    <dataValidation type="list" allowBlank="1" showInputMessage="1" showErrorMessage="1" sqref="K5:K604">
      <formula1>FormatList</formula1>
    </dataValidation>
    <dataValidation type="list" allowBlank="1" showInputMessage="1" showErrorMessage="1" sqref="L5:L604">
      <formula1>CampaignNames</formula1>
    </dataValidation>
    <dataValidation type="list" allowBlank="1" showInputMessage="1" showErrorMessage="1" sqref="M5:M604">
      <formula1>ObjectiveList</formula1>
    </dataValidation>
    <dataValidation type="list" allowBlank="1" showInputMessage="1" showErrorMessage="1" sqref="N5:N604">
      <formula1>FunnelStageList</formula1>
    </dataValidation>
    <dataValidation type="list" allowBlank="1" showInputMessage="1" showErrorMessage="1" sqref="O5:O604">
      <formula1>PersonaNames</formula1>
    </dataValidation>
    <dataValidation type="list" allowBlank="1" showInputMessage="1" showErrorMessage="1" sqref="P5:P604">
      <formula1>CaptionTitles</formula1>
    </dataValidation>
    <dataValidation type="list" allowBlank="1" showInputMessage="1" showErrorMessage="1" sqref="T5:T604">
      <formula1>AssetIDs</formula1>
    </dataValidation>
    <dataValidation type="list" allowBlank="1" showInputMessage="1" showErrorMessage="1" sqref="V5:V604">
      <formula1>CTAList</formula1>
    </dataValidation>
    <dataValidation type="list" allowBlank="1" showInputMessage="1" showErrorMessage="1" sqref="W5:W604">
      <formula1>TeamNames</formula1>
    </dataValidation>
    <dataValidation type="list" allowBlank="1" showInputMessage="1" showErrorMessage="1" promptTitle="Status" prompt="Move it along: Idea &gt; Brief &gt; In production &gt; Draft &gt; Awaiting review &gt; Approved &gt; Scheduled &gt; Published." sqref="X5:X604">
      <formula1>ContentStatusList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&amp;L&amp;"Calibri,Bold"&amp;12&amp;C&amp;"Calibri,Bold"&amp;11Content Calendar&amp;R&amp;"Calibri,Italic"&amp;9Social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F2665E"/>
    <pageSetUpPr fitToPage="1"/>
  </sheetPr>
  <dimension ref="A1:G37"/>
  <sheetViews>
    <sheetView showGridLines="0" workbookViewId="0">
      <pane ySplit="7" topLeftCell="A8" activePane="bottomLeft" state="frozen"/>
      <selection pane="bottomLeft"/>
    </sheetView>
  </sheetViews>
  <sheetFormatPr defaultRowHeight="15"/>
  <cols>
    <col min="1" max="1" width="19.7109375" customWidth="1"/>
    <col min="2" max="2" width="19.7109375" customWidth="1"/>
    <col min="3" max="3" width="19.7109375" customWidth="1"/>
    <col min="4" max="4" width="19.7109375" customWidth="1"/>
    <col min="5" max="5" width="19.7109375" customWidth="1"/>
    <col min="6" max="6" width="19.7109375" customWidth="1"/>
    <col min="7" max="7" width="19.7109375" customWidth="1"/>
  </cols>
  <sheetData>
    <row r="1" spans="1:7" ht="34" customHeight="1">
      <c r="A1" s="2" t="s">
        <v>57</v>
      </c>
      <c r="B1" s="2"/>
      <c r="C1" s="2"/>
      <c r="D1" s="2"/>
      <c r="E1" s="3" t="s">
        <v>1</v>
      </c>
      <c r="F1" s="3"/>
      <c r="G1" s="3"/>
    </row>
    <row r="2" spans="1:7" ht="18" customHeight="1">
      <c r="A2" s="4" t="s">
        <v>1108</v>
      </c>
      <c r="B2" s="4"/>
      <c r="C2" s="4"/>
      <c r="D2" s="4"/>
      <c r="E2" s="4"/>
      <c r="F2" s="4"/>
      <c r="G2" s="4"/>
    </row>
    <row r="3" spans="1:7" ht="16" customHeight="1">
      <c r="A3" s="5" t="s">
        <v>3</v>
      </c>
      <c r="B3" s="5"/>
      <c r="C3" s="5" t="s">
        <v>4</v>
      </c>
      <c r="D3" s="5"/>
      <c r="E3" s="5" t="s">
        <v>5</v>
      </c>
      <c r="F3" s="5"/>
      <c r="G3" s="33" t="s">
        <v>205</v>
      </c>
    </row>
    <row r="5" spans="1:7">
      <c r="A5" s="11" t="s">
        <v>129</v>
      </c>
      <c r="B5" s="11"/>
      <c r="C5" s="15" t="s">
        <v>130</v>
      </c>
      <c r="D5" s="15"/>
      <c r="E5" s="11" t="s">
        <v>1109</v>
      </c>
      <c r="F5" s="16">
        <f>DATE(PlanYear,MAX(1,IF(ViewMonthName="All year",MONTH(TODAY()),MATCH(ViewMonthName,MonthList,0)-1)),1)</f>
        <v>0</v>
      </c>
      <c r="G5" s="16"/>
    </row>
    <row r="6" spans="1:7" ht="24" customHeight="1">
      <c r="A6" s="6" t="s">
        <v>1110</v>
      </c>
      <c r="B6" s="6"/>
      <c r="C6" s="6"/>
      <c r="D6" s="6"/>
      <c r="E6" s="6"/>
      <c r="F6" s="6"/>
      <c r="G6" s="6"/>
    </row>
    <row r="7" spans="1:7" ht="22" customHeight="1">
      <c r="A7" s="9">
        <f>TEXT(ViewStart-MOD(WEEKDAY(ViewStart,IF(WeekStart="Sunday",1,2))-1,7)+0,"dddd")</f>
        <v>0</v>
      </c>
      <c r="B7" s="9">
        <f>TEXT(ViewStart-MOD(WEEKDAY(ViewStart,IF(WeekStart="Sunday",1,2))-1,7)+1,"dddd")</f>
        <v>0</v>
      </c>
      <c r="C7" s="9">
        <f>TEXT(ViewStart-MOD(WEEKDAY(ViewStart,IF(WeekStart="Sunday",1,2))-1,7)+2,"dddd")</f>
        <v>0</v>
      </c>
      <c r="D7" s="9">
        <f>TEXT(ViewStart-MOD(WEEKDAY(ViewStart,IF(WeekStart="Sunday",1,2))-1,7)+3,"dddd")</f>
        <v>0</v>
      </c>
      <c r="E7" s="9">
        <f>TEXT(ViewStart-MOD(WEEKDAY(ViewStart,IF(WeekStart="Sunday",1,2))-1,7)+4,"dddd")</f>
        <v>0</v>
      </c>
      <c r="F7" s="9">
        <f>TEXT(ViewStart-MOD(WEEKDAY(ViewStart,IF(WeekStart="Sunday",1,2))-1,7)+5,"dddd")</f>
        <v>0</v>
      </c>
      <c r="G7" s="9">
        <f>TEXT(ViewStart-MOD(WEEKDAY(ViewStart,IF(WeekStart="Sunday",1,2))-1,7)+6,"dddd")</f>
        <v>0</v>
      </c>
    </row>
    <row r="8" spans="1:7" ht="20" customHeight="1">
      <c r="A8" s="49">
        <f>IF(MONTH(ViewStart-MOD(WEEKDAY(ViewStart,IF(WeekStart="Sunday",1,2))-1,7)+0)&lt;&gt;MONTH(ViewStart),"",ViewStart-MOD(WEEKDAY(ViewStart,IF(WeekStart="Sunday",1,2))-1,7)+0)</f>
        <v>0</v>
      </c>
      <c r="B8" s="49">
        <f>IF(MONTH(ViewStart-MOD(WEEKDAY(ViewStart,IF(WeekStart="Sunday",1,2))-1,7)+1)&lt;&gt;MONTH(ViewStart),"",ViewStart-MOD(WEEKDAY(ViewStart,IF(WeekStart="Sunday",1,2))-1,7)+1)</f>
        <v>0</v>
      </c>
      <c r="C8" s="49">
        <f>IF(MONTH(ViewStart-MOD(WEEKDAY(ViewStart,IF(WeekStart="Sunday",1,2))-1,7)+2)&lt;&gt;MONTH(ViewStart),"",ViewStart-MOD(WEEKDAY(ViewStart,IF(WeekStart="Sunday",1,2))-1,7)+2)</f>
        <v>0</v>
      </c>
      <c r="D8" s="49">
        <f>IF(MONTH(ViewStart-MOD(WEEKDAY(ViewStart,IF(WeekStart="Sunday",1,2))-1,7)+3)&lt;&gt;MONTH(ViewStart),"",ViewStart-MOD(WEEKDAY(ViewStart,IF(WeekStart="Sunday",1,2))-1,7)+3)</f>
        <v>0</v>
      </c>
      <c r="E8" s="49">
        <f>IF(MONTH(ViewStart-MOD(WEEKDAY(ViewStart,IF(WeekStart="Sunday",1,2))-1,7)+4)&lt;&gt;MONTH(ViewStart),"",ViewStart-MOD(WEEKDAY(ViewStart,IF(WeekStart="Sunday",1,2))-1,7)+4)</f>
        <v>0</v>
      </c>
      <c r="F8" s="49">
        <f>IF(MONTH(ViewStart-MOD(WEEKDAY(ViewStart,IF(WeekStart="Sunday",1,2))-1,7)+5)&lt;&gt;MONTH(ViewStart),"",ViewStart-MOD(WEEKDAY(ViewStart,IF(WeekStart="Sunday",1,2))-1,7)+5)</f>
        <v>0</v>
      </c>
      <c r="G8" s="49">
        <f>IF(MONTH(ViewStart-MOD(WEEKDAY(ViewStart,IF(WeekStart="Sunday",1,2))-1,7)+6)&lt;&gt;MONTH(ViewStart),"",ViewStart-MOD(WEEKDAY(ViewStart,IF(WeekStart="Sunday",1,2))-1,7)+6)</f>
        <v>0</v>
      </c>
    </row>
    <row r="9" spans="1:7">
      <c r="A9" s="50">
        <f>IF(A8="","",IFERROR(IF(SMALL('Content Calendar'!$AI$5:$AI$604,COUNTIF('Content Calendar'!$AI$5:$AI$604,"&lt;"&amp;A8)+1)&gt;=A8+1,"",INDEX('Content Calendar'!$G$5:$G$604,MATCH(SMALL('Content Calendar'!$AI$5:$AI$604,COUNTIF('Content Calendar'!$AI$5:$AI$604,"&lt;"&amp;A8)+1),'Content Calendar'!$AI$5:$AI$604,0))&amp;" - "&amp;INDEX('Content Calendar'!$H$5:$H$604,MATCH(SMALL('Content Calendar'!$AI$5:$AI$604,COUNTIF('Content Calendar'!$AI$5:$AI$604,"&lt;"&amp;A8)+1),'Content Calendar'!$AI$5:$AI$604,0))),""))</f>
        <v>0</v>
      </c>
      <c r="B9" s="50">
        <f>IF(B8="","",IFERROR(IF(SMALL('Content Calendar'!$AI$5:$AI$604,COUNTIF('Content Calendar'!$AI$5:$AI$604,"&lt;"&amp;B8)+1)&gt;=B8+1,"",INDEX('Content Calendar'!$G$5:$G$604,MATCH(SMALL('Content Calendar'!$AI$5:$AI$604,COUNTIF('Content Calendar'!$AI$5:$AI$604,"&lt;"&amp;B8)+1),'Content Calendar'!$AI$5:$AI$604,0))&amp;" - "&amp;INDEX('Content Calendar'!$H$5:$H$604,MATCH(SMALL('Content Calendar'!$AI$5:$AI$604,COUNTIF('Content Calendar'!$AI$5:$AI$604,"&lt;"&amp;B8)+1),'Content Calendar'!$AI$5:$AI$604,0))),""))</f>
        <v>0</v>
      </c>
      <c r="C9" s="50">
        <f>IF(C8="","",IFERROR(IF(SMALL('Content Calendar'!$AI$5:$AI$604,COUNTIF('Content Calendar'!$AI$5:$AI$604,"&lt;"&amp;C8)+1)&gt;=C8+1,"",INDEX('Content Calendar'!$G$5:$G$604,MATCH(SMALL('Content Calendar'!$AI$5:$AI$604,COUNTIF('Content Calendar'!$AI$5:$AI$604,"&lt;"&amp;C8)+1),'Content Calendar'!$AI$5:$AI$604,0))&amp;" - "&amp;INDEX('Content Calendar'!$H$5:$H$604,MATCH(SMALL('Content Calendar'!$AI$5:$AI$604,COUNTIF('Content Calendar'!$AI$5:$AI$604,"&lt;"&amp;C8)+1),'Content Calendar'!$AI$5:$AI$604,0))),""))</f>
        <v>0</v>
      </c>
      <c r="D9" s="50">
        <f>IF(D8="","",IFERROR(IF(SMALL('Content Calendar'!$AI$5:$AI$604,COUNTIF('Content Calendar'!$AI$5:$AI$604,"&lt;"&amp;D8)+1)&gt;=D8+1,"",INDEX('Content Calendar'!$G$5:$G$604,MATCH(SMALL('Content Calendar'!$AI$5:$AI$604,COUNTIF('Content Calendar'!$AI$5:$AI$604,"&lt;"&amp;D8)+1),'Content Calendar'!$AI$5:$AI$604,0))&amp;" - "&amp;INDEX('Content Calendar'!$H$5:$H$604,MATCH(SMALL('Content Calendar'!$AI$5:$AI$604,COUNTIF('Content Calendar'!$AI$5:$AI$604,"&lt;"&amp;D8)+1),'Content Calendar'!$AI$5:$AI$604,0))),""))</f>
        <v>0</v>
      </c>
      <c r="E9" s="50">
        <f>IF(E8="","",IFERROR(IF(SMALL('Content Calendar'!$AI$5:$AI$604,COUNTIF('Content Calendar'!$AI$5:$AI$604,"&lt;"&amp;E8)+1)&gt;=E8+1,"",INDEX('Content Calendar'!$G$5:$G$604,MATCH(SMALL('Content Calendar'!$AI$5:$AI$604,COUNTIF('Content Calendar'!$AI$5:$AI$604,"&lt;"&amp;E8)+1),'Content Calendar'!$AI$5:$AI$604,0))&amp;" - "&amp;INDEX('Content Calendar'!$H$5:$H$604,MATCH(SMALL('Content Calendar'!$AI$5:$AI$604,COUNTIF('Content Calendar'!$AI$5:$AI$604,"&lt;"&amp;E8)+1),'Content Calendar'!$AI$5:$AI$604,0))),""))</f>
        <v>0</v>
      </c>
      <c r="F9" s="50">
        <f>IF(F8="","",IFERROR(IF(SMALL('Content Calendar'!$AI$5:$AI$604,COUNTIF('Content Calendar'!$AI$5:$AI$604,"&lt;"&amp;F8)+1)&gt;=F8+1,"",INDEX('Content Calendar'!$G$5:$G$604,MATCH(SMALL('Content Calendar'!$AI$5:$AI$604,COUNTIF('Content Calendar'!$AI$5:$AI$604,"&lt;"&amp;F8)+1),'Content Calendar'!$AI$5:$AI$604,0))&amp;" - "&amp;INDEX('Content Calendar'!$H$5:$H$604,MATCH(SMALL('Content Calendar'!$AI$5:$AI$604,COUNTIF('Content Calendar'!$AI$5:$AI$604,"&lt;"&amp;F8)+1),'Content Calendar'!$AI$5:$AI$604,0))),""))</f>
        <v>0</v>
      </c>
      <c r="G9" s="50">
        <f>IF(G8="","",IFERROR(IF(SMALL('Content Calendar'!$AI$5:$AI$604,COUNTIF('Content Calendar'!$AI$5:$AI$604,"&lt;"&amp;G8)+1)&gt;=G8+1,"",INDEX('Content Calendar'!$G$5:$G$604,MATCH(SMALL('Content Calendar'!$AI$5:$AI$604,COUNTIF('Content Calendar'!$AI$5:$AI$604,"&lt;"&amp;G8)+1),'Content Calendar'!$AI$5:$AI$604,0))&amp;" - "&amp;INDEX('Content Calendar'!$H$5:$H$604,MATCH(SMALL('Content Calendar'!$AI$5:$AI$604,COUNTIF('Content Calendar'!$AI$5:$AI$604,"&lt;"&amp;G8)+1),'Content Calendar'!$AI$5:$AI$604,0))),""))</f>
        <v>0</v>
      </c>
    </row>
    <row r="10" spans="1:7">
      <c r="A10" s="50">
        <f>IF(A8="","",IFERROR(IF(SMALL('Content Calendar'!$AI$5:$AI$604,COUNTIF('Content Calendar'!$AI$5:$AI$604,"&lt;"&amp;A8)+2)&gt;=A8+1,"",INDEX('Content Calendar'!$G$5:$G$604,MATCH(SMALL('Content Calendar'!$AI$5:$AI$604,COUNTIF('Content Calendar'!$AI$5:$AI$604,"&lt;"&amp;A8)+2),'Content Calendar'!$AI$5:$AI$604,0))&amp;" - "&amp;INDEX('Content Calendar'!$H$5:$H$604,MATCH(SMALL('Content Calendar'!$AI$5:$AI$604,COUNTIF('Content Calendar'!$AI$5:$AI$604,"&lt;"&amp;A8)+2),'Content Calendar'!$AI$5:$AI$604,0))),""))</f>
        <v>0</v>
      </c>
      <c r="B10" s="50">
        <f>IF(B8="","",IFERROR(IF(SMALL('Content Calendar'!$AI$5:$AI$604,COUNTIF('Content Calendar'!$AI$5:$AI$604,"&lt;"&amp;B8)+2)&gt;=B8+1,"",INDEX('Content Calendar'!$G$5:$G$604,MATCH(SMALL('Content Calendar'!$AI$5:$AI$604,COUNTIF('Content Calendar'!$AI$5:$AI$604,"&lt;"&amp;B8)+2),'Content Calendar'!$AI$5:$AI$604,0))&amp;" - "&amp;INDEX('Content Calendar'!$H$5:$H$604,MATCH(SMALL('Content Calendar'!$AI$5:$AI$604,COUNTIF('Content Calendar'!$AI$5:$AI$604,"&lt;"&amp;B8)+2),'Content Calendar'!$AI$5:$AI$604,0))),""))</f>
        <v>0</v>
      </c>
      <c r="C10" s="50">
        <f>IF(C8="","",IFERROR(IF(SMALL('Content Calendar'!$AI$5:$AI$604,COUNTIF('Content Calendar'!$AI$5:$AI$604,"&lt;"&amp;C8)+2)&gt;=C8+1,"",INDEX('Content Calendar'!$G$5:$G$604,MATCH(SMALL('Content Calendar'!$AI$5:$AI$604,COUNTIF('Content Calendar'!$AI$5:$AI$604,"&lt;"&amp;C8)+2),'Content Calendar'!$AI$5:$AI$604,0))&amp;" - "&amp;INDEX('Content Calendar'!$H$5:$H$604,MATCH(SMALL('Content Calendar'!$AI$5:$AI$604,COUNTIF('Content Calendar'!$AI$5:$AI$604,"&lt;"&amp;C8)+2),'Content Calendar'!$AI$5:$AI$604,0))),""))</f>
        <v>0</v>
      </c>
      <c r="D10" s="50">
        <f>IF(D8="","",IFERROR(IF(SMALL('Content Calendar'!$AI$5:$AI$604,COUNTIF('Content Calendar'!$AI$5:$AI$604,"&lt;"&amp;D8)+2)&gt;=D8+1,"",INDEX('Content Calendar'!$G$5:$G$604,MATCH(SMALL('Content Calendar'!$AI$5:$AI$604,COUNTIF('Content Calendar'!$AI$5:$AI$604,"&lt;"&amp;D8)+2),'Content Calendar'!$AI$5:$AI$604,0))&amp;" - "&amp;INDEX('Content Calendar'!$H$5:$H$604,MATCH(SMALL('Content Calendar'!$AI$5:$AI$604,COUNTIF('Content Calendar'!$AI$5:$AI$604,"&lt;"&amp;D8)+2),'Content Calendar'!$AI$5:$AI$604,0))),""))</f>
        <v>0</v>
      </c>
      <c r="E10" s="50">
        <f>IF(E8="","",IFERROR(IF(SMALL('Content Calendar'!$AI$5:$AI$604,COUNTIF('Content Calendar'!$AI$5:$AI$604,"&lt;"&amp;E8)+2)&gt;=E8+1,"",INDEX('Content Calendar'!$G$5:$G$604,MATCH(SMALL('Content Calendar'!$AI$5:$AI$604,COUNTIF('Content Calendar'!$AI$5:$AI$604,"&lt;"&amp;E8)+2),'Content Calendar'!$AI$5:$AI$604,0))&amp;" - "&amp;INDEX('Content Calendar'!$H$5:$H$604,MATCH(SMALL('Content Calendar'!$AI$5:$AI$604,COUNTIF('Content Calendar'!$AI$5:$AI$604,"&lt;"&amp;E8)+2),'Content Calendar'!$AI$5:$AI$604,0))),""))</f>
        <v>0</v>
      </c>
      <c r="F10" s="50">
        <f>IF(F8="","",IFERROR(IF(SMALL('Content Calendar'!$AI$5:$AI$604,COUNTIF('Content Calendar'!$AI$5:$AI$604,"&lt;"&amp;F8)+2)&gt;=F8+1,"",INDEX('Content Calendar'!$G$5:$G$604,MATCH(SMALL('Content Calendar'!$AI$5:$AI$604,COUNTIF('Content Calendar'!$AI$5:$AI$604,"&lt;"&amp;F8)+2),'Content Calendar'!$AI$5:$AI$604,0))&amp;" - "&amp;INDEX('Content Calendar'!$H$5:$H$604,MATCH(SMALL('Content Calendar'!$AI$5:$AI$604,COUNTIF('Content Calendar'!$AI$5:$AI$604,"&lt;"&amp;F8)+2),'Content Calendar'!$AI$5:$AI$604,0))),""))</f>
        <v>0</v>
      </c>
      <c r="G10" s="50">
        <f>IF(G8="","",IFERROR(IF(SMALL('Content Calendar'!$AI$5:$AI$604,COUNTIF('Content Calendar'!$AI$5:$AI$604,"&lt;"&amp;G8)+2)&gt;=G8+1,"",INDEX('Content Calendar'!$G$5:$G$604,MATCH(SMALL('Content Calendar'!$AI$5:$AI$604,COUNTIF('Content Calendar'!$AI$5:$AI$604,"&lt;"&amp;G8)+2),'Content Calendar'!$AI$5:$AI$604,0))&amp;" - "&amp;INDEX('Content Calendar'!$H$5:$H$604,MATCH(SMALL('Content Calendar'!$AI$5:$AI$604,COUNTIF('Content Calendar'!$AI$5:$AI$604,"&lt;"&amp;G8)+2),'Content Calendar'!$AI$5:$AI$604,0))),""))</f>
        <v>0</v>
      </c>
    </row>
    <row r="11" spans="1:7">
      <c r="A11" s="50">
        <f>IF(A8="","",IF(COUNTIF('Content Calendar'!$AI$5:$AI$604,"&lt;"&amp;A8+1)-COUNTIF('Content Calendar'!$AI$5:$AI$604,"&lt;"&amp;A8)&gt;3,"+ "&amp;COUNTIF('Content Calendar'!$AI$5:$AI$604,"&lt;"&amp;A8+1)-COUNTIF('Content Calendar'!$AI$5:$AI$604,"&lt;"&amp;A8)-2&amp;" more",IFERROR(IF(SMALL('Content Calendar'!$AI$5:$AI$604,COUNTIF('Content Calendar'!$AI$5:$AI$604,"&lt;"&amp;A8)+3)&gt;=A8+1,"",INDEX('Content Calendar'!$G$5:$G$604,MATCH(SMALL('Content Calendar'!$AI$5:$AI$604,COUNTIF('Content Calendar'!$AI$5:$AI$604,"&lt;"&amp;A8)+3),'Content Calendar'!$AI$5:$AI$604,0))&amp;" - "&amp;INDEX('Content Calendar'!$H$5:$H$604,MATCH(SMALL('Content Calendar'!$AI$5:$AI$604,COUNTIF('Content Calendar'!$AI$5:$AI$604,"&lt;"&amp;A8)+3),'Content Calendar'!$AI$5:$AI$604,0))),"")))</f>
        <v>0</v>
      </c>
      <c r="B11" s="50">
        <f>IF(B8="","",IF(COUNTIF('Content Calendar'!$AI$5:$AI$604,"&lt;"&amp;B8+1)-COUNTIF('Content Calendar'!$AI$5:$AI$604,"&lt;"&amp;B8)&gt;3,"+ "&amp;COUNTIF('Content Calendar'!$AI$5:$AI$604,"&lt;"&amp;B8+1)-COUNTIF('Content Calendar'!$AI$5:$AI$604,"&lt;"&amp;B8)-2&amp;" more",IFERROR(IF(SMALL('Content Calendar'!$AI$5:$AI$604,COUNTIF('Content Calendar'!$AI$5:$AI$604,"&lt;"&amp;B8)+3)&gt;=B8+1,"",INDEX('Content Calendar'!$G$5:$G$604,MATCH(SMALL('Content Calendar'!$AI$5:$AI$604,COUNTIF('Content Calendar'!$AI$5:$AI$604,"&lt;"&amp;B8)+3),'Content Calendar'!$AI$5:$AI$604,0))&amp;" - "&amp;INDEX('Content Calendar'!$H$5:$H$604,MATCH(SMALL('Content Calendar'!$AI$5:$AI$604,COUNTIF('Content Calendar'!$AI$5:$AI$604,"&lt;"&amp;B8)+3),'Content Calendar'!$AI$5:$AI$604,0))),"")))</f>
        <v>0</v>
      </c>
      <c r="C11" s="50">
        <f>IF(C8="","",IF(COUNTIF('Content Calendar'!$AI$5:$AI$604,"&lt;"&amp;C8+1)-COUNTIF('Content Calendar'!$AI$5:$AI$604,"&lt;"&amp;C8)&gt;3,"+ "&amp;COUNTIF('Content Calendar'!$AI$5:$AI$604,"&lt;"&amp;C8+1)-COUNTIF('Content Calendar'!$AI$5:$AI$604,"&lt;"&amp;C8)-2&amp;" more",IFERROR(IF(SMALL('Content Calendar'!$AI$5:$AI$604,COUNTIF('Content Calendar'!$AI$5:$AI$604,"&lt;"&amp;C8)+3)&gt;=C8+1,"",INDEX('Content Calendar'!$G$5:$G$604,MATCH(SMALL('Content Calendar'!$AI$5:$AI$604,COUNTIF('Content Calendar'!$AI$5:$AI$604,"&lt;"&amp;C8)+3),'Content Calendar'!$AI$5:$AI$604,0))&amp;" - "&amp;INDEX('Content Calendar'!$H$5:$H$604,MATCH(SMALL('Content Calendar'!$AI$5:$AI$604,COUNTIF('Content Calendar'!$AI$5:$AI$604,"&lt;"&amp;C8)+3),'Content Calendar'!$AI$5:$AI$604,0))),"")))</f>
        <v>0</v>
      </c>
      <c r="D11" s="50">
        <f>IF(D8="","",IF(COUNTIF('Content Calendar'!$AI$5:$AI$604,"&lt;"&amp;D8+1)-COUNTIF('Content Calendar'!$AI$5:$AI$604,"&lt;"&amp;D8)&gt;3,"+ "&amp;COUNTIF('Content Calendar'!$AI$5:$AI$604,"&lt;"&amp;D8+1)-COUNTIF('Content Calendar'!$AI$5:$AI$604,"&lt;"&amp;D8)-2&amp;" more",IFERROR(IF(SMALL('Content Calendar'!$AI$5:$AI$604,COUNTIF('Content Calendar'!$AI$5:$AI$604,"&lt;"&amp;D8)+3)&gt;=D8+1,"",INDEX('Content Calendar'!$G$5:$G$604,MATCH(SMALL('Content Calendar'!$AI$5:$AI$604,COUNTIF('Content Calendar'!$AI$5:$AI$604,"&lt;"&amp;D8)+3),'Content Calendar'!$AI$5:$AI$604,0))&amp;" - "&amp;INDEX('Content Calendar'!$H$5:$H$604,MATCH(SMALL('Content Calendar'!$AI$5:$AI$604,COUNTIF('Content Calendar'!$AI$5:$AI$604,"&lt;"&amp;D8)+3),'Content Calendar'!$AI$5:$AI$604,0))),"")))</f>
        <v>0</v>
      </c>
      <c r="E11" s="50">
        <f>IF(E8="","",IF(COUNTIF('Content Calendar'!$AI$5:$AI$604,"&lt;"&amp;E8+1)-COUNTIF('Content Calendar'!$AI$5:$AI$604,"&lt;"&amp;E8)&gt;3,"+ "&amp;COUNTIF('Content Calendar'!$AI$5:$AI$604,"&lt;"&amp;E8+1)-COUNTIF('Content Calendar'!$AI$5:$AI$604,"&lt;"&amp;E8)-2&amp;" more",IFERROR(IF(SMALL('Content Calendar'!$AI$5:$AI$604,COUNTIF('Content Calendar'!$AI$5:$AI$604,"&lt;"&amp;E8)+3)&gt;=E8+1,"",INDEX('Content Calendar'!$G$5:$G$604,MATCH(SMALL('Content Calendar'!$AI$5:$AI$604,COUNTIF('Content Calendar'!$AI$5:$AI$604,"&lt;"&amp;E8)+3),'Content Calendar'!$AI$5:$AI$604,0))&amp;" - "&amp;INDEX('Content Calendar'!$H$5:$H$604,MATCH(SMALL('Content Calendar'!$AI$5:$AI$604,COUNTIF('Content Calendar'!$AI$5:$AI$604,"&lt;"&amp;E8)+3),'Content Calendar'!$AI$5:$AI$604,0))),"")))</f>
        <v>0</v>
      </c>
      <c r="F11" s="50">
        <f>IF(F8="","",IF(COUNTIF('Content Calendar'!$AI$5:$AI$604,"&lt;"&amp;F8+1)-COUNTIF('Content Calendar'!$AI$5:$AI$604,"&lt;"&amp;F8)&gt;3,"+ "&amp;COUNTIF('Content Calendar'!$AI$5:$AI$604,"&lt;"&amp;F8+1)-COUNTIF('Content Calendar'!$AI$5:$AI$604,"&lt;"&amp;F8)-2&amp;" more",IFERROR(IF(SMALL('Content Calendar'!$AI$5:$AI$604,COUNTIF('Content Calendar'!$AI$5:$AI$604,"&lt;"&amp;F8)+3)&gt;=F8+1,"",INDEX('Content Calendar'!$G$5:$G$604,MATCH(SMALL('Content Calendar'!$AI$5:$AI$604,COUNTIF('Content Calendar'!$AI$5:$AI$604,"&lt;"&amp;F8)+3),'Content Calendar'!$AI$5:$AI$604,0))&amp;" - "&amp;INDEX('Content Calendar'!$H$5:$H$604,MATCH(SMALL('Content Calendar'!$AI$5:$AI$604,COUNTIF('Content Calendar'!$AI$5:$AI$604,"&lt;"&amp;F8)+3),'Content Calendar'!$AI$5:$AI$604,0))),"")))</f>
        <v>0</v>
      </c>
      <c r="G11" s="50">
        <f>IF(G8="","",IF(COUNTIF('Content Calendar'!$AI$5:$AI$604,"&lt;"&amp;G8+1)-COUNTIF('Content Calendar'!$AI$5:$AI$604,"&lt;"&amp;G8)&gt;3,"+ "&amp;COUNTIF('Content Calendar'!$AI$5:$AI$604,"&lt;"&amp;G8+1)-COUNTIF('Content Calendar'!$AI$5:$AI$604,"&lt;"&amp;G8)-2&amp;" more",IFERROR(IF(SMALL('Content Calendar'!$AI$5:$AI$604,COUNTIF('Content Calendar'!$AI$5:$AI$604,"&lt;"&amp;G8)+3)&gt;=G8+1,"",INDEX('Content Calendar'!$G$5:$G$604,MATCH(SMALL('Content Calendar'!$AI$5:$AI$604,COUNTIF('Content Calendar'!$AI$5:$AI$604,"&lt;"&amp;G8)+3),'Content Calendar'!$AI$5:$AI$604,0))&amp;" - "&amp;INDEX('Content Calendar'!$H$5:$H$604,MATCH(SMALL('Content Calendar'!$AI$5:$AI$604,COUNTIF('Content Calendar'!$AI$5:$AI$604,"&lt;"&amp;G8)+3),'Content Calendar'!$AI$5:$AI$604,0))),"")))</f>
        <v>0</v>
      </c>
    </row>
    <row r="12" spans="1:7" ht="20" customHeight="1">
      <c r="A12" s="49">
        <f>IF(MONTH(ViewStart-MOD(WEEKDAY(ViewStart,IF(WeekStart="Sunday",1,2))-1,7)+7)&lt;&gt;MONTH(ViewStart),"",ViewStart-MOD(WEEKDAY(ViewStart,IF(WeekStart="Sunday",1,2))-1,7)+7)</f>
        <v>0</v>
      </c>
      <c r="B12" s="49">
        <f>IF(MONTH(ViewStart-MOD(WEEKDAY(ViewStart,IF(WeekStart="Sunday",1,2))-1,7)+8)&lt;&gt;MONTH(ViewStart),"",ViewStart-MOD(WEEKDAY(ViewStart,IF(WeekStart="Sunday",1,2))-1,7)+8)</f>
        <v>0</v>
      </c>
      <c r="C12" s="49">
        <f>IF(MONTH(ViewStart-MOD(WEEKDAY(ViewStart,IF(WeekStart="Sunday",1,2))-1,7)+9)&lt;&gt;MONTH(ViewStart),"",ViewStart-MOD(WEEKDAY(ViewStart,IF(WeekStart="Sunday",1,2))-1,7)+9)</f>
        <v>0</v>
      </c>
      <c r="D12" s="49">
        <f>IF(MONTH(ViewStart-MOD(WEEKDAY(ViewStart,IF(WeekStart="Sunday",1,2))-1,7)+10)&lt;&gt;MONTH(ViewStart),"",ViewStart-MOD(WEEKDAY(ViewStart,IF(WeekStart="Sunday",1,2))-1,7)+10)</f>
        <v>0</v>
      </c>
      <c r="E12" s="49">
        <f>IF(MONTH(ViewStart-MOD(WEEKDAY(ViewStart,IF(WeekStart="Sunday",1,2))-1,7)+11)&lt;&gt;MONTH(ViewStart),"",ViewStart-MOD(WEEKDAY(ViewStart,IF(WeekStart="Sunday",1,2))-1,7)+11)</f>
        <v>0</v>
      </c>
      <c r="F12" s="49">
        <f>IF(MONTH(ViewStart-MOD(WEEKDAY(ViewStart,IF(WeekStart="Sunday",1,2))-1,7)+12)&lt;&gt;MONTH(ViewStart),"",ViewStart-MOD(WEEKDAY(ViewStart,IF(WeekStart="Sunday",1,2))-1,7)+12)</f>
        <v>0</v>
      </c>
      <c r="G12" s="49">
        <f>IF(MONTH(ViewStart-MOD(WEEKDAY(ViewStart,IF(WeekStart="Sunday",1,2))-1,7)+13)&lt;&gt;MONTH(ViewStart),"",ViewStart-MOD(WEEKDAY(ViewStart,IF(WeekStart="Sunday",1,2))-1,7)+13)</f>
        <v>0</v>
      </c>
    </row>
    <row r="13" spans="1:7">
      <c r="A13" s="50">
        <f>IF(A12="","",IFERROR(IF(SMALL('Content Calendar'!$AI$5:$AI$604,COUNTIF('Content Calendar'!$AI$5:$AI$604,"&lt;"&amp;A12)+1)&gt;=A12+1,"",INDEX('Content Calendar'!$G$5:$G$604,MATCH(SMALL('Content Calendar'!$AI$5:$AI$604,COUNTIF('Content Calendar'!$AI$5:$AI$604,"&lt;"&amp;A12)+1),'Content Calendar'!$AI$5:$AI$604,0))&amp;" - "&amp;INDEX('Content Calendar'!$H$5:$H$604,MATCH(SMALL('Content Calendar'!$AI$5:$AI$604,COUNTIF('Content Calendar'!$AI$5:$AI$604,"&lt;"&amp;A12)+1),'Content Calendar'!$AI$5:$AI$604,0))),""))</f>
        <v>0</v>
      </c>
      <c r="B13" s="50">
        <f>IF(B12="","",IFERROR(IF(SMALL('Content Calendar'!$AI$5:$AI$604,COUNTIF('Content Calendar'!$AI$5:$AI$604,"&lt;"&amp;B12)+1)&gt;=B12+1,"",INDEX('Content Calendar'!$G$5:$G$604,MATCH(SMALL('Content Calendar'!$AI$5:$AI$604,COUNTIF('Content Calendar'!$AI$5:$AI$604,"&lt;"&amp;B12)+1),'Content Calendar'!$AI$5:$AI$604,0))&amp;" - "&amp;INDEX('Content Calendar'!$H$5:$H$604,MATCH(SMALL('Content Calendar'!$AI$5:$AI$604,COUNTIF('Content Calendar'!$AI$5:$AI$604,"&lt;"&amp;B12)+1),'Content Calendar'!$AI$5:$AI$604,0))),""))</f>
        <v>0</v>
      </c>
      <c r="C13" s="50">
        <f>IF(C12="","",IFERROR(IF(SMALL('Content Calendar'!$AI$5:$AI$604,COUNTIF('Content Calendar'!$AI$5:$AI$604,"&lt;"&amp;C12)+1)&gt;=C12+1,"",INDEX('Content Calendar'!$G$5:$G$604,MATCH(SMALL('Content Calendar'!$AI$5:$AI$604,COUNTIF('Content Calendar'!$AI$5:$AI$604,"&lt;"&amp;C12)+1),'Content Calendar'!$AI$5:$AI$604,0))&amp;" - "&amp;INDEX('Content Calendar'!$H$5:$H$604,MATCH(SMALL('Content Calendar'!$AI$5:$AI$604,COUNTIF('Content Calendar'!$AI$5:$AI$604,"&lt;"&amp;C12)+1),'Content Calendar'!$AI$5:$AI$604,0))),""))</f>
        <v>0</v>
      </c>
      <c r="D13" s="50">
        <f>IF(D12="","",IFERROR(IF(SMALL('Content Calendar'!$AI$5:$AI$604,COUNTIF('Content Calendar'!$AI$5:$AI$604,"&lt;"&amp;D12)+1)&gt;=D12+1,"",INDEX('Content Calendar'!$G$5:$G$604,MATCH(SMALL('Content Calendar'!$AI$5:$AI$604,COUNTIF('Content Calendar'!$AI$5:$AI$604,"&lt;"&amp;D12)+1),'Content Calendar'!$AI$5:$AI$604,0))&amp;" - "&amp;INDEX('Content Calendar'!$H$5:$H$604,MATCH(SMALL('Content Calendar'!$AI$5:$AI$604,COUNTIF('Content Calendar'!$AI$5:$AI$604,"&lt;"&amp;D12)+1),'Content Calendar'!$AI$5:$AI$604,0))),""))</f>
        <v>0</v>
      </c>
      <c r="E13" s="50">
        <f>IF(E12="","",IFERROR(IF(SMALL('Content Calendar'!$AI$5:$AI$604,COUNTIF('Content Calendar'!$AI$5:$AI$604,"&lt;"&amp;E12)+1)&gt;=E12+1,"",INDEX('Content Calendar'!$G$5:$G$604,MATCH(SMALL('Content Calendar'!$AI$5:$AI$604,COUNTIF('Content Calendar'!$AI$5:$AI$604,"&lt;"&amp;E12)+1),'Content Calendar'!$AI$5:$AI$604,0))&amp;" - "&amp;INDEX('Content Calendar'!$H$5:$H$604,MATCH(SMALL('Content Calendar'!$AI$5:$AI$604,COUNTIF('Content Calendar'!$AI$5:$AI$604,"&lt;"&amp;E12)+1),'Content Calendar'!$AI$5:$AI$604,0))),""))</f>
        <v>0</v>
      </c>
      <c r="F13" s="50">
        <f>IF(F12="","",IFERROR(IF(SMALL('Content Calendar'!$AI$5:$AI$604,COUNTIF('Content Calendar'!$AI$5:$AI$604,"&lt;"&amp;F12)+1)&gt;=F12+1,"",INDEX('Content Calendar'!$G$5:$G$604,MATCH(SMALL('Content Calendar'!$AI$5:$AI$604,COUNTIF('Content Calendar'!$AI$5:$AI$604,"&lt;"&amp;F12)+1),'Content Calendar'!$AI$5:$AI$604,0))&amp;" - "&amp;INDEX('Content Calendar'!$H$5:$H$604,MATCH(SMALL('Content Calendar'!$AI$5:$AI$604,COUNTIF('Content Calendar'!$AI$5:$AI$604,"&lt;"&amp;F12)+1),'Content Calendar'!$AI$5:$AI$604,0))),""))</f>
        <v>0</v>
      </c>
      <c r="G13" s="50">
        <f>IF(G12="","",IFERROR(IF(SMALL('Content Calendar'!$AI$5:$AI$604,COUNTIF('Content Calendar'!$AI$5:$AI$604,"&lt;"&amp;G12)+1)&gt;=G12+1,"",INDEX('Content Calendar'!$G$5:$G$604,MATCH(SMALL('Content Calendar'!$AI$5:$AI$604,COUNTIF('Content Calendar'!$AI$5:$AI$604,"&lt;"&amp;G12)+1),'Content Calendar'!$AI$5:$AI$604,0))&amp;" - "&amp;INDEX('Content Calendar'!$H$5:$H$604,MATCH(SMALL('Content Calendar'!$AI$5:$AI$604,COUNTIF('Content Calendar'!$AI$5:$AI$604,"&lt;"&amp;G12)+1),'Content Calendar'!$AI$5:$AI$604,0))),""))</f>
        <v>0</v>
      </c>
    </row>
    <row r="14" spans="1:7">
      <c r="A14" s="50">
        <f>IF(A12="","",IFERROR(IF(SMALL('Content Calendar'!$AI$5:$AI$604,COUNTIF('Content Calendar'!$AI$5:$AI$604,"&lt;"&amp;A12)+2)&gt;=A12+1,"",INDEX('Content Calendar'!$G$5:$G$604,MATCH(SMALL('Content Calendar'!$AI$5:$AI$604,COUNTIF('Content Calendar'!$AI$5:$AI$604,"&lt;"&amp;A12)+2),'Content Calendar'!$AI$5:$AI$604,0))&amp;" - "&amp;INDEX('Content Calendar'!$H$5:$H$604,MATCH(SMALL('Content Calendar'!$AI$5:$AI$604,COUNTIF('Content Calendar'!$AI$5:$AI$604,"&lt;"&amp;A12)+2),'Content Calendar'!$AI$5:$AI$604,0))),""))</f>
        <v>0</v>
      </c>
      <c r="B14" s="50">
        <f>IF(B12="","",IFERROR(IF(SMALL('Content Calendar'!$AI$5:$AI$604,COUNTIF('Content Calendar'!$AI$5:$AI$604,"&lt;"&amp;B12)+2)&gt;=B12+1,"",INDEX('Content Calendar'!$G$5:$G$604,MATCH(SMALL('Content Calendar'!$AI$5:$AI$604,COUNTIF('Content Calendar'!$AI$5:$AI$604,"&lt;"&amp;B12)+2),'Content Calendar'!$AI$5:$AI$604,0))&amp;" - "&amp;INDEX('Content Calendar'!$H$5:$H$604,MATCH(SMALL('Content Calendar'!$AI$5:$AI$604,COUNTIF('Content Calendar'!$AI$5:$AI$604,"&lt;"&amp;B12)+2),'Content Calendar'!$AI$5:$AI$604,0))),""))</f>
        <v>0</v>
      </c>
      <c r="C14" s="50">
        <f>IF(C12="","",IFERROR(IF(SMALL('Content Calendar'!$AI$5:$AI$604,COUNTIF('Content Calendar'!$AI$5:$AI$604,"&lt;"&amp;C12)+2)&gt;=C12+1,"",INDEX('Content Calendar'!$G$5:$G$604,MATCH(SMALL('Content Calendar'!$AI$5:$AI$604,COUNTIF('Content Calendar'!$AI$5:$AI$604,"&lt;"&amp;C12)+2),'Content Calendar'!$AI$5:$AI$604,0))&amp;" - "&amp;INDEX('Content Calendar'!$H$5:$H$604,MATCH(SMALL('Content Calendar'!$AI$5:$AI$604,COUNTIF('Content Calendar'!$AI$5:$AI$604,"&lt;"&amp;C12)+2),'Content Calendar'!$AI$5:$AI$604,0))),""))</f>
        <v>0</v>
      </c>
      <c r="D14" s="50">
        <f>IF(D12="","",IFERROR(IF(SMALL('Content Calendar'!$AI$5:$AI$604,COUNTIF('Content Calendar'!$AI$5:$AI$604,"&lt;"&amp;D12)+2)&gt;=D12+1,"",INDEX('Content Calendar'!$G$5:$G$604,MATCH(SMALL('Content Calendar'!$AI$5:$AI$604,COUNTIF('Content Calendar'!$AI$5:$AI$604,"&lt;"&amp;D12)+2),'Content Calendar'!$AI$5:$AI$604,0))&amp;" - "&amp;INDEX('Content Calendar'!$H$5:$H$604,MATCH(SMALL('Content Calendar'!$AI$5:$AI$604,COUNTIF('Content Calendar'!$AI$5:$AI$604,"&lt;"&amp;D12)+2),'Content Calendar'!$AI$5:$AI$604,0))),""))</f>
        <v>0</v>
      </c>
      <c r="E14" s="50">
        <f>IF(E12="","",IFERROR(IF(SMALL('Content Calendar'!$AI$5:$AI$604,COUNTIF('Content Calendar'!$AI$5:$AI$604,"&lt;"&amp;E12)+2)&gt;=E12+1,"",INDEX('Content Calendar'!$G$5:$G$604,MATCH(SMALL('Content Calendar'!$AI$5:$AI$604,COUNTIF('Content Calendar'!$AI$5:$AI$604,"&lt;"&amp;E12)+2),'Content Calendar'!$AI$5:$AI$604,0))&amp;" - "&amp;INDEX('Content Calendar'!$H$5:$H$604,MATCH(SMALL('Content Calendar'!$AI$5:$AI$604,COUNTIF('Content Calendar'!$AI$5:$AI$604,"&lt;"&amp;E12)+2),'Content Calendar'!$AI$5:$AI$604,0))),""))</f>
        <v>0</v>
      </c>
      <c r="F14" s="50">
        <f>IF(F12="","",IFERROR(IF(SMALL('Content Calendar'!$AI$5:$AI$604,COUNTIF('Content Calendar'!$AI$5:$AI$604,"&lt;"&amp;F12)+2)&gt;=F12+1,"",INDEX('Content Calendar'!$G$5:$G$604,MATCH(SMALL('Content Calendar'!$AI$5:$AI$604,COUNTIF('Content Calendar'!$AI$5:$AI$604,"&lt;"&amp;F12)+2),'Content Calendar'!$AI$5:$AI$604,0))&amp;" - "&amp;INDEX('Content Calendar'!$H$5:$H$604,MATCH(SMALL('Content Calendar'!$AI$5:$AI$604,COUNTIF('Content Calendar'!$AI$5:$AI$604,"&lt;"&amp;F12)+2),'Content Calendar'!$AI$5:$AI$604,0))),""))</f>
        <v>0</v>
      </c>
      <c r="G14" s="50">
        <f>IF(G12="","",IFERROR(IF(SMALL('Content Calendar'!$AI$5:$AI$604,COUNTIF('Content Calendar'!$AI$5:$AI$604,"&lt;"&amp;G12)+2)&gt;=G12+1,"",INDEX('Content Calendar'!$G$5:$G$604,MATCH(SMALL('Content Calendar'!$AI$5:$AI$604,COUNTIF('Content Calendar'!$AI$5:$AI$604,"&lt;"&amp;G12)+2),'Content Calendar'!$AI$5:$AI$604,0))&amp;" - "&amp;INDEX('Content Calendar'!$H$5:$H$604,MATCH(SMALL('Content Calendar'!$AI$5:$AI$604,COUNTIF('Content Calendar'!$AI$5:$AI$604,"&lt;"&amp;G12)+2),'Content Calendar'!$AI$5:$AI$604,0))),""))</f>
        <v>0</v>
      </c>
    </row>
    <row r="15" spans="1:7">
      <c r="A15" s="50">
        <f>IF(A12="","",IF(COUNTIF('Content Calendar'!$AI$5:$AI$604,"&lt;"&amp;A12+1)-COUNTIF('Content Calendar'!$AI$5:$AI$604,"&lt;"&amp;A12)&gt;3,"+ "&amp;COUNTIF('Content Calendar'!$AI$5:$AI$604,"&lt;"&amp;A12+1)-COUNTIF('Content Calendar'!$AI$5:$AI$604,"&lt;"&amp;A12)-2&amp;" more",IFERROR(IF(SMALL('Content Calendar'!$AI$5:$AI$604,COUNTIF('Content Calendar'!$AI$5:$AI$604,"&lt;"&amp;A12)+3)&gt;=A12+1,"",INDEX('Content Calendar'!$G$5:$G$604,MATCH(SMALL('Content Calendar'!$AI$5:$AI$604,COUNTIF('Content Calendar'!$AI$5:$AI$604,"&lt;"&amp;A12)+3),'Content Calendar'!$AI$5:$AI$604,0))&amp;" - "&amp;INDEX('Content Calendar'!$H$5:$H$604,MATCH(SMALL('Content Calendar'!$AI$5:$AI$604,COUNTIF('Content Calendar'!$AI$5:$AI$604,"&lt;"&amp;A12)+3),'Content Calendar'!$AI$5:$AI$604,0))),"")))</f>
        <v>0</v>
      </c>
      <c r="B15" s="50">
        <f>IF(B12="","",IF(COUNTIF('Content Calendar'!$AI$5:$AI$604,"&lt;"&amp;B12+1)-COUNTIF('Content Calendar'!$AI$5:$AI$604,"&lt;"&amp;B12)&gt;3,"+ "&amp;COUNTIF('Content Calendar'!$AI$5:$AI$604,"&lt;"&amp;B12+1)-COUNTIF('Content Calendar'!$AI$5:$AI$604,"&lt;"&amp;B12)-2&amp;" more",IFERROR(IF(SMALL('Content Calendar'!$AI$5:$AI$604,COUNTIF('Content Calendar'!$AI$5:$AI$604,"&lt;"&amp;B12)+3)&gt;=B12+1,"",INDEX('Content Calendar'!$G$5:$G$604,MATCH(SMALL('Content Calendar'!$AI$5:$AI$604,COUNTIF('Content Calendar'!$AI$5:$AI$604,"&lt;"&amp;B12)+3),'Content Calendar'!$AI$5:$AI$604,0))&amp;" - "&amp;INDEX('Content Calendar'!$H$5:$H$604,MATCH(SMALL('Content Calendar'!$AI$5:$AI$604,COUNTIF('Content Calendar'!$AI$5:$AI$604,"&lt;"&amp;B12)+3),'Content Calendar'!$AI$5:$AI$604,0))),"")))</f>
        <v>0</v>
      </c>
      <c r="C15" s="50">
        <f>IF(C12="","",IF(COUNTIF('Content Calendar'!$AI$5:$AI$604,"&lt;"&amp;C12+1)-COUNTIF('Content Calendar'!$AI$5:$AI$604,"&lt;"&amp;C12)&gt;3,"+ "&amp;COUNTIF('Content Calendar'!$AI$5:$AI$604,"&lt;"&amp;C12+1)-COUNTIF('Content Calendar'!$AI$5:$AI$604,"&lt;"&amp;C12)-2&amp;" more",IFERROR(IF(SMALL('Content Calendar'!$AI$5:$AI$604,COUNTIF('Content Calendar'!$AI$5:$AI$604,"&lt;"&amp;C12)+3)&gt;=C12+1,"",INDEX('Content Calendar'!$G$5:$G$604,MATCH(SMALL('Content Calendar'!$AI$5:$AI$604,COUNTIF('Content Calendar'!$AI$5:$AI$604,"&lt;"&amp;C12)+3),'Content Calendar'!$AI$5:$AI$604,0))&amp;" - "&amp;INDEX('Content Calendar'!$H$5:$H$604,MATCH(SMALL('Content Calendar'!$AI$5:$AI$604,COUNTIF('Content Calendar'!$AI$5:$AI$604,"&lt;"&amp;C12)+3),'Content Calendar'!$AI$5:$AI$604,0))),"")))</f>
        <v>0</v>
      </c>
      <c r="D15" s="50">
        <f>IF(D12="","",IF(COUNTIF('Content Calendar'!$AI$5:$AI$604,"&lt;"&amp;D12+1)-COUNTIF('Content Calendar'!$AI$5:$AI$604,"&lt;"&amp;D12)&gt;3,"+ "&amp;COUNTIF('Content Calendar'!$AI$5:$AI$604,"&lt;"&amp;D12+1)-COUNTIF('Content Calendar'!$AI$5:$AI$604,"&lt;"&amp;D12)-2&amp;" more",IFERROR(IF(SMALL('Content Calendar'!$AI$5:$AI$604,COUNTIF('Content Calendar'!$AI$5:$AI$604,"&lt;"&amp;D12)+3)&gt;=D12+1,"",INDEX('Content Calendar'!$G$5:$G$604,MATCH(SMALL('Content Calendar'!$AI$5:$AI$604,COUNTIF('Content Calendar'!$AI$5:$AI$604,"&lt;"&amp;D12)+3),'Content Calendar'!$AI$5:$AI$604,0))&amp;" - "&amp;INDEX('Content Calendar'!$H$5:$H$604,MATCH(SMALL('Content Calendar'!$AI$5:$AI$604,COUNTIF('Content Calendar'!$AI$5:$AI$604,"&lt;"&amp;D12)+3),'Content Calendar'!$AI$5:$AI$604,0))),"")))</f>
        <v>0</v>
      </c>
      <c r="E15" s="50">
        <f>IF(E12="","",IF(COUNTIF('Content Calendar'!$AI$5:$AI$604,"&lt;"&amp;E12+1)-COUNTIF('Content Calendar'!$AI$5:$AI$604,"&lt;"&amp;E12)&gt;3,"+ "&amp;COUNTIF('Content Calendar'!$AI$5:$AI$604,"&lt;"&amp;E12+1)-COUNTIF('Content Calendar'!$AI$5:$AI$604,"&lt;"&amp;E12)-2&amp;" more",IFERROR(IF(SMALL('Content Calendar'!$AI$5:$AI$604,COUNTIF('Content Calendar'!$AI$5:$AI$604,"&lt;"&amp;E12)+3)&gt;=E12+1,"",INDEX('Content Calendar'!$G$5:$G$604,MATCH(SMALL('Content Calendar'!$AI$5:$AI$604,COUNTIF('Content Calendar'!$AI$5:$AI$604,"&lt;"&amp;E12)+3),'Content Calendar'!$AI$5:$AI$604,0))&amp;" - "&amp;INDEX('Content Calendar'!$H$5:$H$604,MATCH(SMALL('Content Calendar'!$AI$5:$AI$604,COUNTIF('Content Calendar'!$AI$5:$AI$604,"&lt;"&amp;E12)+3),'Content Calendar'!$AI$5:$AI$604,0))),"")))</f>
        <v>0</v>
      </c>
      <c r="F15" s="50">
        <f>IF(F12="","",IF(COUNTIF('Content Calendar'!$AI$5:$AI$604,"&lt;"&amp;F12+1)-COUNTIF('Content Calendar'!$AI$5:$AI$604,"&lt;"&amp;F12)&gt;3,"+ "&amp;COUNTIF('Content Calendar'!$AI$5:$AI$604,"&lt;"&amp;F12+1)-COUNTIF('Content Calendar'!$AI$5:$AI$604,"&lt;"&amp;F12)-2&amp;" more",IFERROR(IF(SMALL('Content Calendar'!$AI$5:$AI$604,COUNTIF('Content Calendar'!$AI$5:$AI$604,"&lt;"&amp;F12)+3)&gt;=F12+1,"",INDEX('Content Calendar'!$G$5:$G$604,MATCH(SMALL('Content Calendar'!$AI$5:$AI$604,COUNTIF('Content Calendar'!$AI$5:$AI$604,"&lt;"&amp;F12)+3),'Content Calendar'!$AI$5:$AI$604,0))&amp;" - "&amp;INDEX('Content Calendar'!$H$5:$H$604,MATCH(SMALL('Content Calendar'!$AI$5:$AI$604,COUNTIF('Content Calendar'!$AI$5:$AI$604,"&lt;"&amp;F12)+3),'Content Calendar'!$AI$5:$AI$604,0))),"")))</f>
        <v>0</v>
      </c>
      <c r="G15" s="50">
        <f>IF(G12="","",IF(COUNTIF('Content Calendar'!$AI$5:$AI$604,"&lt;"&amp;G12+1)-COUNTIF('Content Calendar'!$AI$5:$AI$604,"&lt;"&amp;G12)&gt;3,"+ "&amp;COUNTIF('Content Calendar'!$AI$5:$AI$604,"&lt;"&amp;G12+1)-COUNTIF('Content Calendar'!$AI$5:$AI$604,"&lt;"&amp;G12)-2&amp;" more",IFERROR(IF(SMALL('Content Calendar'!$AI$5:$AI$604,COUNTIF('Content Calendar'!$AI$5:$AI$604,"&lt;"&amp;G12)+3)&gt;=G12+1,"",INDEX('Content Calendar'!$G$5:$G$604,MATCH(SMALL('Content Calendar'!$AI$5:$AI$604,COUNTIF('Content Calendar'!$AI$5:$AI$604,"&lt;"&amp;G12)+3),'Content Calendar'!$AI$5:$AI$604,0))&amp;" - "&amp;INDEX('Content Calendar'!$H$5:$H$604,MATCH(SMALL('Content Calendar'!$AI$5:$AI$604,COUNTIF('Content Calendar'!$AI$5:$AI$604,"&lt;"&amp;G12)+3),'Content Calendar'!$AI$5:$AI$604,0))),"")))</f>
        <v>0</v>
      </c>
    </row>
    <row r="16" spans="1:7" ht="20" customHeight="1">
      <c r="A16" s="49">
        <f>IF(MONTH(ViewStart-MOD(WEEKDAY(ViewStart,IF(WeekStart="Sunday",1,2))-1,7)+14)&lt;&gt;MONTH(ViewStart),"",ViewStart-MOD(WEEKDAY(ViewStart,IF(WeekStart="Sunday",1,2))-1,7)+14)</f>
        <v>0</v>
      </c>
      <c r="B16" s="49">
        <f>IF(MONTH(ViewStart-MOD(WEEKDAY(ViewStart,IF(WeekStart="Sunday",1,2))-1,7)+15)&lt;&gt;MONTH(ViewStart),"",ViewStart-MOD(WEEKDAY(ViewStart,IF(WeekStart="Sunday",1,2))-1,7)+15)</f>
        <v>0</v>
      </c>
      <c r="C16" s="49">
        <f>IF(MONTH(ViewStart-MOD(WEEKDAY(ViewStart,IF(WeekStart="Sunday",1,2))-1,7)+16)&lt;&gt;MONTH(ViewStart),"",ViewStart-MOD(WEEKDAY(ViewStart,IF(WeekStart="Sunday",1,2))-1,7)+16)</f>
        <v>0</v>
      </c>
      <c r="D16" s="49">
        <f>IF(MONTH(ViewStart-MOD(WEEKDAY(ViewStart,IF(WeekStart="Sunday",1,2))-1,7)+17)&lt;&gt;MONTH(ViewStart),"",ViewStart-MOD(WEEKDAY(ViewStart,IF(WeekStart="Sunday",1,2))-1,7)+17)</f>
        <v>0</v>
      </c>
      <c r="E16" s="49">
        <f>IF(MONTH(ViewStart-MOD(WEEKDAY(ViewStart,IF(WeekStart="Sunday",1,2))-1,7)+18)&lt;&gt;MONTH(ViewStart),"",ViewStart-MOD(WEEKDAY(ViewStart,IF(WeekStart="Sunday",1,2))-1,7)+18)</f>
        <v>0</v>
      </c>
      <c r="F16" s="49">
        <f>IF(MONTH(ViewStart-MOD(WEEKDAY(ViewStart,IF(WeekStart="Sunday",1,2))-1,7)+19)&lt;&gt;MONTH(ViewStart),"",ViewStart-MOD(WEEKDAY(ViewStart,IF(WeekStart="Sunday",1,2))-1,7)+19)</f>
        <v>0</v>
      </c>
      <c r="G16" s="49">
        <f>IF(MONTH(ViewStart-MOD(WEEKDAY(ViewStart,IF(WeekStart="Sunday",1,2))-1,7)+20)&lt;&gt;MONTH(ViewStart),"",ViewStart-MOD(WEEKDAY(ViewStart,IF(WeekStart="Sunday",1,2))-1,7)+20)</f>
        <v>0</v>
      </c>
    </row>
    <row r="17" spans="1:7">
      <c r="A17" s="50">
        <f>IF(A16="","",IFERROR(IF(SMALL('Content Calendar'!$AI$5:$AI$604,COUNTIF('Content Calendar'!$AI$5:$AI$604,"&lt;"&amp;A16)+1)&gt;=A16+1,"",INDEX('Content Calendar'!$G$5:$G$604,MATCH(SMALL('Content Calendar'!$AI$5:$AI$604,COUNTIF('Content Calendar'!$AI$5:$AI$604,"&lt;"&amp;A16)+1),'Content Calendar'!$AI$5:$AI$604,0))&amp;" - "&amp;INDEX('Content Calendar'!$H$5:$H$604,MATCH(SMALL('Content Calendar'!$AI$5:$AI$604,COUNTIF('Content Calendar'!$AI$5:$AI$604,"&lt;"&amp;A16)+1),'Content Calendar'!$AI$5:$AI$604,0))),""))</f>
        <v>0</v>
      </c>
      <c r="B17" s="50">
        <f>IF(B16="","",IFERROR(IF(SMALL('Content Calendar'!$AI$5:$AI$604,COUNTIF('Content Calendar'!$AI$5:$AI$604,"&lt;"&amp;B16)+1)&gt;=B16+1,"",INDEX('Content Calendar'!$G$5:$G$604,MATCH(SMALL('Content Calendar'!$AI$5:$AI$604,COUNTIF('Content Calendar'!$AI$5:$AI$604,"&lt;"&amp;B16)+1),'Content Calendar'!$AI$5:$AI$604,0))&amp;" - "&amp;INDEX('Content Calendar'!$H$5:$H$604,MATCH(SMALL('Content Calendar'!$AI$5:$AI$604,COUNTIF('Content Calendar'!$AI$5:$AI$604,"&lt;"&amp;B16)+1),'Content Calendar'!$AI$5:$AI$604,0))),""))</f>
        <v>0</v>
      </c>
      <c r="C17" s="50">
        <f>IF(C16="","",IFERROR(IF(SMALL('Content Calendar'!$AI$5:$AI$604,COUNTIF('Content Calendar'!$AI$5:$AI$604,"&lt;"&amp;C16)+1)&gt;=C16+1,"",INDEX('Content Calendar'!$G$5:$G$604,MATCH(SMALL('Content Calendar'!$AI$5:$AI$604,COUNTIF('Content Calendar'!$AI$5:$AI$604,"&lt;"&amp;C16)+1),'Content Calendar'!$AI$5:$AI$604,0))&amp;" - "&amp;INDEX('Content Calendar'!$H$5:$H$604,MATCH(SMALL('Content Calendar'!$AI$5:$AI$604,COUNTIF('Content Calendar'!$AI$5:$AI$604,"&lt;"&amp;C16)+1),'Content Calendar'!$AI$5:$AI$604,0))),""))</f>
        <v>0</v>
      </c>
      <c r="D17" s="50">
        <f>IF(D16="","",IFERROR(IF(SMALL('Content Calendar'!$AI$5:$AI$604,COUNTIF('Content Calendar'!$AI$5:$AI$604,"&lt;"&amp;D16)+1)&gt;=D16+1,"",INDEX('Content Calendar'!$G$5:$G$604,MATCH(SMALL('Content Calendar'!$AI$5:$AI$604,COUNTIF('Content Calendar'!$AI$5:$AI$604,"&lt;"&amp;D16)+1),'Content Calendar'!$AI$5:$AI$604,0))&amp;" - "&amp;INDEX('Content Calendar'!$H$5:$H$604,MATCH(SMALL('Content Calendar'!$AI$5:$AI$604,COUNTIF('Content Calendar'!$AI$5:$AI$604,"&lt;"&amp;D16)+1),'Content Calendar'!$AI$5:$AI$604,0))),""))</f>
        <v>0</v>
      </c>
      <c r="E17" s="50">
        <f>IF(E16="","",IFERROR(IF(SMALL('Content Calendar'!$AI$5:$AI$604,COUNTIF('Content Calendar'!$AI$5:$AI$604,"&lt;"&amp;E16)+1)&gt;=E16+1,"",INDEX('Content Calendar'!$G$5:$G$604,MATCH(SMALL('Content Calendar'!$AI$5:$AI$604,COUNTIF('Content Calendar'!$AI$5:$AI$604,"&lt;"&amp;E16)+1),'Content Calendar'!$AI$5:$AI$604,0))&amp;" - "&amp;INDEX('Content Calendar'!$H$5:$H$604,MATCH(SMALL('Content Calendar'!$AI$5:$AI$604,COUNTIF('Content Calendar'!$AI$5:$AI$604,"&lt;"&amp;E16)+1),'Content Calendar'!$AI$5:$AI$604,0))),""))</f>
        <v>0</v>
      </c>
      <c r="F17" s="50">
        <f>IF(F16="","",IFERROR(IF(SMALL('Content Calendar'!$AI$5:$AI$604,COUNTIF('Content Calendar'!$AI$5:$AI$604,"&lt;"&amp;F16)+1)&gt;=F16+1,"",INDEX('Content Calendar'!$G$5:$G$604,MATCH(SMALL('Content Calendar'!$AI$5:$AI$604,COUNTIF('Content Calendar'!$AI$5:$AI$604,"&lt;"&amp;F16)+1),'Content Calendar'!$AI$5:$AI$604,0))&amp;" - "&amp;INDEX('Content Calendar'!$H$5:$H$604,MATCH(SMALL('Content Calendar'!$AI$5:$AI$604,COUNTIF('Content Calendar'!$AI$5:$AI$604,"&lt;"&amp;F16)+1),'Content Calendar'!$AI$5:$AI$604,0))),""))</f>
        <v>0</v>
      </c>
      <c r="G17" s="50">
        <f>IF(G16="","",IFERROR(IF(SMALL('Content Calendar'!$AI$5:$AI$604,COUNTIF('Content Calendar'!$AI$5:$AI$604,"&lt;"&amp;G16)+1)&gt;=G16+1,"",INDEX('Content Calendar'!$G$5:$G$604,MATCH(SMALL('Content Calendar'!$AI$5:$AI$604,COUNTIF('Content Calendar'!$AI$5:$AI$604,"&lt;"&amp;G16)+1),'Content Calendar'!$AI$5:$AI$604,0))&amp;" - "&amp;INDEX('Content Calendar'!$H$5:$H$604,MATCH(SMALL('Content Calendar'!$AI$5:$AI$604,COUNTIF('Content Calendar'!$AI$5:$AI$604,"&lt;"&amp;G16)+1),'Content Calendar'!$AI$5:$AI$604,0))),""))</f>
        <v>0</v>
      </c>
    </row>
    <row r="18" spans="1:7">
      <c r="A18" s="50">
        <f>IF(A16="","",IFERROR(IF(SMALL('Content Calendar'!$AI$5:$AI$604,COUNTIF('Content Calendar'!$AI$5:$AI$604,"&lt;"&amp;A16)+2)&gt;=A16+1,"",INDEX('Content Calendar'!$G$5:$G$604,MATCH(SMALL('Content Calendar'!$AI$5:$AI$604,COUNTIF('Content Calendar'!$AI$5:$AI$604,"&lt;"&amp;A16)+2),'Content Calendar'!$AI$5:$AI$604,0))&amp;" - "&amp;INDEX('Content Calendar'!$H$5:$H$604,MATCH(SMALL('Content Calendar'!$AI$5:$AI$604,COUNTIF('Content Calendar'!$AI$5:$AI$604,"&lt;"&amp;A16)+2),'Content Calendar'!$AI$5:$AI$604,0))),""))</f>
        <v>0</v>
      </c>
      <c r="B18" s="50">
        <f>IF(B16="","",IFERROR(IF(SMALL('Content Calendar'!$AI$5:$AI$604,COUNTIF('Content Calendar'!$AI$5:$AI$604,"&lt;"&amp;B16)+2)&gt;=B16+1,"",INDEX('Content Calendar'!$G$5:$G$604,MATCH(SMALL('Content Calendar'!$AI$5:$AI$604,COUNTIF('Content Calendar'!$AI$5:$AI$604,"&lt;"&amp;B16)+2),'Content Calendar'!$AI$5:$AI$604,0))&amp;" - "&amp;INDEX('Content Calendar'!$H$5:$H$604,MATCH(SMALL('Content Calendar'!$AI$5:$AI$604,COUNTIF('Content Calendar'!$AI$5:$AI$604,"&lt;"&amp;B16)+2),'Content Calendar'!$AI$5:$AI$604,0))),""))</f>
        <v>0</v>
      </c>
      <c r="C18" s="50">
        <f>IF(C16="","",IFERROR(IF(SMALL('Content Calendar'!$AI$5:$AI$604,COUNTIF('Content Calendar'!$AI$5:$AI$604,"&lt;"&amp;C16)+2)&gt;=C16+1,"",INDEX('Content Calendar'!$G$5:$G$604,MATCH(SMALL('Content Calendar'!$AI$5:$AI$604,COUNTIF('Content Calendar'!$AI$5:$AI$604,"&lt;"&amp;C16)+2),'Content Calendar'!$AI$5:$AI$604,0))&amp;" - "&amp;INDEX('Content Calendar'!$H$5:$H$604,MATCH(SMALL('Content Calendar'!$AI$5:$AI$604,COUNTIF('Content Calendar'!$AI$5:$AI$604,"&lt;"&amp;C16)+2),'Content Calendar'!$AI$5:$AI$604,0))),""))</f>
        <v>0</v>
      </c>
      <c r="D18" s="50">
        <f>IF(D16="","",IFERROR(IF(SMALL('Content Calendar'!$AI$5:$AI$604,COUNTIF('Content Calendar'!$AI$5:$AI$604,"&lt;"&amp;D16)+2)&gt;=D16+1,"",INDEX('Content Calendar'!$G$5:$G$604,MATCH(SMALL('Content Calendar'!$AI$5:$AI$604,COUNTIF('Content Calendar'!$AI$5:$AI$604,"&lt;"&amp;D16)+2),'Content Calendar'!$AI$5:$AI$604,0))&amp;" - "&amp;INDEX('Content Calendar'!$H$5:$H$604,MATCH(SMALL('Content Calendar'!$AI$5:$AI$604,COUNTIF('Content Calendar'!$AI$5:$AI$604,"&lt;"&amp;D16)+2),'Content Calendar'!$AI$5:$AI$604,0))),""))</f>
        <v>0</v>
      </c>
      <c r="E18" s="50">
        <f>IF(E16="","",IFERROR(IF(SMALL('Content Calendar'!$AI$5:$AI$604,COUNTIF('Content Calendar'!$AI$5:$AI$604,"&lt;"&amp;E16)+2)&gt;=E16+1,"",INDEX('Content Calendar'!$G$5:$G$604,MATCH(SMALL('Content Calendar'!$AI$5:$AI$604,COUNTIF('Content Calendar'!$AI$5:$AI$604,"&lt;"&amp;E16)+2),'Content Calendar'!$AI$5:$AI$604,0))&amp;" - "&amp;INDEX('Content Calendar'!$H$5:$H$604,MATCH(SMALL('Content Calendar'!$AI$5:$AI$604,COUNTIF('Content Calendar'!$AI$5:$AI$604,"&lt;"&amp;E16)+2),'Content Calendar'!$AI$5:$AI$604,0))),""))</f>
        <v>0</v>
      </c>
      <c r="F18" s="50">
        <f>IF(F16="","",IFERROR(IF(SMALL('Content Calendar'!$AI$5:$AI$604,COUNTIF('Content Calendar'!$AI$5:$AI$604,"&lt;"&amp;F16)+2)&gt;=F16+1,"",INDEX('Content Calendar'!$G$5:$G$604,MATCH(SMALL('Content Calendar'!$AI$5:$AI$604,COUNTIF('Content Calendar'!$AI$5:$AI$604,"&lt;"&amp;F16)+2),'Content Calendar'!$AI$5:$AI$604,0))&amp;" - "&amp;INDEX('Content Calendar'!$H$5:$H$604,MATCH(SMALL('Content Calendar'!$AI$5:$AI$604,COUNTIF('Content Calendar'!$AI$5:$AI$604,"&lt;"&amp;F16)+2),'Content Calendar'!$AI$5:$AI$604,0))),""))</f>
        <v>0</v>
      </c>
      <c r="G18" s="50">
        <f>IF(G16="","",IFERROR(IF(SMALL('Content Calendar'!$AI$5:$AI$604,COUNTIF('Content Calendar'!$AI$5:$AI$604,"&lt;"&amp;G16)+2)&gt;=G16+1,"",INDEX('Content Calendar'!$G$5:$G$604,MATCH(SMALL('Content Calendar'!$AI$5:$AI$604,COUNTIF('Content Calendar'!$AI$5:$AI$604,"&lt;"&amp;G16)+2),'Content Calendar'!$AI$5:$AI$604,0))&amp;" - "&amp;INDEX('Content Calendar'!$H$5:$H$604,MATCH(SMALL('Content Calendar'!$AI$5:$AI$604,COUNTIF('Content Calendar'!$AI$5:$AI$604,"&lt;"&amp;G16)+2),'Content Calendar'!$AI$5:$AI$604,0))),""))</f>
        <v>0</v>
      </c>
    </row>
    <row r="19" spans="1:7">
      <c r="A19" s="50">
        <f>IF(A16="","",IF(COUNTIF('Content Calendar'!$AI$5:$AI$604,"&lt;"&amp;A16+1)-COUNTIF('Content Calendar'!$AI$5:$AI$604,"&lt;"&amp;A16)&gt;3,"+ "&amp;COUNTIF('Content Calendar'!$AI$5:$AI$604,"&lt;"&amp;A16+1)-COUNTIF('Content Calendar'!$AI$5:$AI$604,"&lt;"&amp;A16)-2&amp;" more",IFERROR(IF(SMALL('Content Calendar'!$AI$5:$AI$604,COUNTIF('Content Calendar'!$AI$5:$AI$604,"&lt;"&amp;A16)+3)&gt;=A16+1,"",INDEX('Content Calendar'!$G$5:$G$604,MATCH(SMALL('Content Calendar'!$AI$5:$AI$604,COUNTIF('Content Calendar'!$AI$5:$AI$604,"&lt;"&amp;A16)+3),'Content Calendar'!$AI$5:$AI$604,0))&amp;" - "&amp;INDEX('Content Calendar'!$H$5:$H$604,MATCH(SMALL('Content Calendar'!$AI$5:$AI$604,COUNTIF('Content Calendar'!$AI$5:$AI$604,"&lt;"&amp;A16)+3),'Content Calendar'!$AI$5:$AI$604,0))),"")))</f>
        <v>0</v>
      </c>
      <c r="B19" s="50">
        <f>IF(B16="","",IF(COUNTIF('Content Calendar'!$AI$5:$AI$604,"&lt;"&amp;B16+1)-COUNTIF('Content Calendar'!$AI$5:$AI$604,"&lt;"&amp;B16)&gt;3,"+ "&amp;COUNTIF('Content Calendar'!$AI$5:$AI$604,"&lt;"&amp;B16+1)-COUNTIF('Content Calendar'!$AI$5:$AI$604,"&lt;"&amp;B16)-2&amp;" more",IFERROR(IF(SMALL('Content Calendar'!$AI$5:$AI$604,COUNTIF('Content Calendar'!$AI$5:$AI$604,"&lt;"&amp;B16)+3)&gt;=B16+1,"",INDEX('Content Calendar'!$G$5:$G$604,MATCH(SMALL('Content Calendar'!$AI$5:$AI$604,COUNTIF('Content Calendar'!$AI$5:$AI$604,"&lt;"&amp;B16)+3),'Content Calendar'!$AI$5:$AI$604,0))&amp;" - "&amp;INDEX('Content Calendar'!$H$5:$H$604,MATCH(SMALL('Content Calendar'!$AI$5:$AI$604,COUNTIF('Content Calendar'!$AI$5:$AI$604,"&lt;"&amp;B16)+3),'Content Calendar'!$AI$5:$AI$604,0))),"")))</f>
        <v>0</v>
      </c>
      <c r="C19" s="50">
        <f>IF(C16="","",IF(COUNTIF('Content Calendar'!$AI$5:$AI$604,"&lt;"&amp;C16+1)-COUNTIF('Content Calendar'!$AI$5:$AI$604,"&lt;"&amp;C16)&gt;3,"+ "&amp;COUNTIF('Content Calendar'!$AI$5:$AI$604,"&lt;"&amp;C16+1)-COUNTIF('Content Calendar'!$AI$5:$AI$604,"&lt;"&amp;C16)-2&amp;" more",IFERROR(IF(SMALL('Content Calendar'!$AI$5:$AI$604,COUNTIF('Content Calendar'!$AI$5:$AI$604,"&lt;"&amp;C16)+3)&gt;=C16+1,"",INDEX('Content Calendar'!$G$5:$G$604,MATCH(SMALL('Content Calendar'!$AI$5:$AI$604,COUNTIF('Content Calendar'!$AI$5:$AI$604,"&lt;"&amp;C16)+3),'Content Calendar'!$AI$5:$AI$604,0))&amp;" - "&amp;INDEX('Content Calendar'!$H$5:$H$604,MATCH(SMALL('Content Calendar'!$AI$5:$AI$604,COUNTIF('Content Calendar'!$AI$5:$AI$604,"&lt;"&amp;C16)+3),'Content Calendar'!$AI$5:$AI$604,0))),"")))</f>
        <v>0</v>
      </c>
      <c r="D19" s="50">
        <f>IF(D16="","",IF(COUNTIF('Content Calendar'!$AI$5:$AI$604,"&lt;"&amp;D16+1)-COUNTIF('Content Calendar'!$AI$5:$AI$604,"&lt;"&amp;D16)&gt;3,"+ "&amp;COUNTIF('Content Calendar'!$AI$5:$AI$604,"&lt;"&amp;D16+1)-COUNTIF('Content Calendar'!$AI$5:$AI$604,"&lt;"&amp;D16)-2&amp;" more",IFERROR(IF(SMALL('Content Calendar'!$AI$5:$AI$604,COUNTIF('Content Calendar'!$AI$5:$AI$604,"&lt;"&amp;D16)+3)&gt;=D16+1,"",INDEX('Content Calendar'!$G$5:$G$604,MATCH(SMALL('Content Calendar'!$AI$5:$AI$604,COUNTIF('Content Calendar'!$AI$5:$AI$604,"&lt;"&amp;D16)+3),'Content Calendar'!$AI$5:$AI$604,0))&amp;" - "&amp;INDEX('Content Calendar'!$H$5:$H$604,MATCH(SMALL('Content Calendar'!$AI$5:$AI$604,COUNTIF('Content Calendar'!$AI$5:$AI$604,"&lt;"&amp;D16)+3),'Content Calendar'!$AI$5:$AI$604,0))),"")))</f>
        <v>0</v>
      </c>
      <c r="E19" s="50">
        <f>IF(E16="","",IF(COUNTIF('Content Calendar'!$AI$5:$AI$604,"&lt;"&amp;E16+1)-COUNTIF('Content Calendar'!$AI$5:$AI$604,"&lt;"&amp;E16)&gt;3,"+ "&amp;COUNTIF('Content Calendar'!$AI$5:$AI$604,"&lt;"&amp;E16+1)-COUNTIF('Content Calendar'!$AI$5:$AI$604,"&lt;"&amp;E16)-2&amp;" more",IFERROR(IF(SMALL('Content Calendar'!$AI$5:$AI$604,COUNTIF('Content Calendar'!$AI$5:$AI$604,"&lt;"&amp;E16)+3)&gt;=E16+1,"",INDEX('Content Calendar'!$G$5:$G$604,MATCH(SMALL('Content Calendar'!$AI$5:$AI$604,COUNTIF('Content Calendar'!$AI$5:$AI$604,"&lt;"&amp;E16)+3),'Content Calendar'!$AI$5:$AI$604,0))&amp;" - "&amp;INDEX('Content Calendar'!$H$5:$H$604,MATCH(SMALL('Content Calendar'!$AI$5:$AI$604,COUNTIF('Content Calendar'!$AI$5:$AI$604,"&lt;"&amp;E16)+3),'Content Calendar'!$AI$5:$AI$604,0))),"")))</f>
        <v>0</v>
      </c>
      <c r="F19" s="50">
        <f>IF(F16="","",IF(COUNTIF('Content Calendar'!$AI$5:$AI$604,"&lt;"&amp;F16+1)-COUNTIF('Content Calendar'!$AI$5:$AI$604,"&lt;"&amp;F16)&gt;3,"+ "&amp;COUNTIF('Content Calendar'!$AI$5:$AI$604,"&lt;"&amp;F16+1)-COUNTIF('Content Calendar'!$AI$5:$AI$604,"&lt;"&amp;F16)-2&amp;" more",IFERROR(IF(SMALL('Content Calendar'!$AI$5:$AI$604,COUNTIF('Content Calendar'!$AI$5:$AI$604,"&lt;"&amp;F16)+3)&gt;=F16+1,"",INDEX('Content Calendar'!$G$5:$G$604,MATCH(SMALL('Content Calendar'!$AI$5:$AI$604,COUNTIF('Content Calendar'!$AI$5:$AI$604,"&lt;"&amp;F16)+3),'Content Calendar'!$AI$5:$AI$604,0))&amp;" - "&amp;INDEX('Content Calendar'!$H$5:$H$604,MATCH(SMALL('Content Calendar'!$AI$5:$AI$604,COUNTIF('Content Calendar'!$AI$5:$AI$604,"&lt;"&amp;F16)+3),'Content Calendar'!$AI$5:$AI$604,0))),"")))</f>
        <v>0</v>
      </c>
      <c r="G19" s="50">
        <f>IF(G16="","",IF(COUNTIF('Content Calendar'!$AI$5:$AI$604,"&lt;"&amp;G16+1)-COUNTIF('Content Calendar'!$AI$5:$AI$604,"&lt;"&amp;G16)&gt;3,"+ "&amp;COUNTIF('Content Calendar'!$AI$5:$AI$604,"&lt;"&amp;G16+1)-COUNTIF('Content Calendar'!$AI$5:$AI$604,"&lt;"&amp;G16)-2&amp;" more",IFERROR(IF(SMALL('Content Calendar'!$AI$5:$AI$604,COUNTIF('Content Calendar'!$AI$5:$AI$604,"&lt;"&amp;G16)+3)&gt;=G16+1,"",INDEX('Content Calendar'!$G$5:$G$604,MATCH(SMALL('Content Calendar'!$AI$5:$AI$604,COUNTIF('Content Calendar'!$AI$5:$AI$604,"&lt;"&amp;G16)+3),'Content Calendar'!$AI$5:$AI$604,0))&amp;" - "&amp;INDEX('Content Calendar'!$H$5:$H$604,MATCH(SMALL('Content Calendar'!$AI$5:$AI$604,COUNTIF('Content Calendar'!$AI$5:$AI$604,"&lt;"&amp;G16)+3),'Content Calendar'!$AI$5:$AI$604,0))),"")))</f>
        <v>0</v>
      </c>
    </row>
    <row r="20" spans="1:7" ht="20" customHeight="1">
      <c r="A20" s="49">
        <f>IF(MONTH(ViewStart-MOD(WEEKDAY(ViewStart,IF(WeekStart="Sunday",1,2))-1,7)+21)&lt;&gt;MONTH(ViewStart),"",ViewStart-MOD(WEEKDAY(ViewStart,IF(WeekStart="Sunday",1,2))-1,7)+21)</f>
        <v>0</v>
      </c>
      <c r="B20" s="49">
        <f>IF(MONTH(ViewStart-MOD(WEEKDAY(ViewStart,IF(WeekStart="Sunday",1,2))-1,7)+22)&lt;&gt;MONTH(ViewStart),"",ViewStart-MOD(WEEKDAY(ViewStart,IF(WeekStart="Sunday",1,2))-1,7)+22)</f>
        <v>0</v>
      </c>
      <c r="C20" s="49">
        <f>IF(MONTH(ViewStart-MOD(WEEKDAY(ViewStart,IF(WeekStart="Sunday",1,2))-1,7)+23)&lt;&gt;MONTH(ViewStart),"",ViewStart-MOD(WEEKDAY(ViewStart,IF(WeekStart="Sunday",1,2))-1,7)+23)</f>
        <v>0</v>
      </c>
      <c r="D20" s="49">
        <f>IF(MONTH(ViewStart-MOD(WEEKDAY(ViewStart,IF(WeekStart="Sunday",1,2))-1,7)+24)&lt;&gt;MONTH(ViewStart),"",ViewStart-MOD(WEEKDAY(ViewStart,IF(WeekStart="Sunday",1,2))-1,7)+24)</f>
        <v>0</v>
      </c>
      <c r="E20" s="49">
        <f>IF(MONTH(ViewStart-MOD(WEEKDAY(ViewStart,IF(WeekStart="Sunday",1,2))-1,7)+25)&lt;&gt;MONTH(ViewStart),"",ViewStart-MOD(WEEKDAY(ViewStart,IF(WeekStart="Sunday",1,2))-1,7)+25)</f>
        <v>0</v>
      </c>
      <c r="F20" s="49">
        <f>IF(MONTH(ViewStart-MOD(WEEKDAY(ViewStart,IF(WeekStart="Sunday",1,2))-1,7)+26)&lt;&gt;MONTH(ViewStart),"",ViewStart-MOD(WEEKDAY(ViewStart,IF(WeekStart="Sunday",1,2))-1,7)+26)</f>
        <v>0</v>
      </c>
      <c r="G20" s="49">
        <f>IF(MONTH(ViewStart-MOD(WEEKDAY(ViewStart,IF(WeekStart="Sunday",1,2))-1,7)+27)&lt;&gt;MONTH(ViewStart),"",ViewStart-MOD(WEEKDAY(ViewStart,IF(WeekStart="Sunday",1,2))-1,7)+27)</f>
        <v>0</v>
      </c>
    </row>
    <row r="21" spans="1:7">
      <c r="A21" s="50">
        <f>IF(A20="","",IFERROR(IF(SMALL('Content Calendar'!$AI$5:$AI$604,COUNTIF('Content Calendar'!$AI$5:$AI$604,"&lt;"&amp;A20)+1)&gt;=A20+1,"",INDEX('Content Calendar'!$G$5:$G$604,MATCH(SMALL('Content Calendar'!$AI$5:$AI$604,COUNTIF('Content Calendar'!$AI$5:$AI$604,"&lt;"&amp;A20)+1),'Content Calendar'!$AI$5:$AI$604,0))&amp;" - "&amp;INDEX('Content Calendar'!$H$5:$H$604,MATCH(SMALL('Content Calendar'!$AI$5:$AI$604,COUNTIF('Content Calendar'!$AI$5:$AI$604,"&lt;"&amp;A20)+1),'Content Calendar'!$AI$5:$AI$604,0))),""))</f>
        <v>0</v>
      </c>
      <c r="B21" s="50">
        <f>IF(B20="","",IFERROR(IF(SMALL('Content Calendar'!$AI$5:$AI$604,COUNTIF('Content Calendar'!$AI$5:$AI$604,"&lt;"&amp;B20)+1)&gt;=B20+1,"",INDEX('Content Calendar'!$G$5:$G$604,MATCH(SMALL('Content Calendar'!$AI$5:$AI$604,COUNTIF('Content Calendar'!$AI$5:$AI$604,"&lt;"&amp;B20)+1),'Content Calendar'!$AI$5:$AI$604,0))&amp;" - "&amp;INDEX('Content Calendar'!$H$5:$H$604,MATCH(SMALL('Content Calendar'!$AI$5:$AI$604,COUNTIF('Content Calendar'!$AI$5:$AI$604,"&lt;"&amp;B20)+1),'Content Calendar'!$AI$5:$AI$604,0))),""))</f>
        <v>0</v>
      </c>
      <c r="C21" s="50">
        <f>IF(C20="","",IFERROR(IF(SMALL('Content Calendar'!$AI$5:$AI$604,COUNTIF('Content Calendar'!$AI$5:$AI$604,"&lt;"&amp;C20)+1)&gt;=C20+1,"",INDEX('Content Calendar'!$G$5:$G$604,MATCH(SMALL('Content Calendar'!$AI$5:$AI$604,COUNTIF('Content Calendar'!$AI$5:$AI$604,"&lt;"&amp;C20)+1),'Content Calendar'!$AI$5:$AI$604,0))&amp;" - "&amp;INDEX('Content Calendar'!$H$5:$H$604,MATCH(SMALL('Content Calendar'!$AI$5:$AI$604,COUNTIF('Content Calendar'!$AI$5:$AI$604,"&lt;"&amp;C20)+1),'Content Calendar'!$AI$5:$AI$604,0))),""))</f>
        <v>0</v>
      </c>
      <c r="D21" s="50">
        <f>IF(D20="","",IFERROR(IF(SMALL('Content Calendar'!$AI$5:$AI$604,COUNTIF('Content Calendar'!$AI$5:$AI$604,"&lt;"&amp;D20)+1)&gt;=D20+1,"",INDEX('Content Calendar'!$G$5:$G$604,MATCH(SMALL('Content Calendar'!$AI$5:$AI$604,COUNTIF('Content Calendar'!$AI$5:$AI$604,"&lt;"&amp;D20)+1),'Content Calendar'!$AI$5:$AI$604,0))&amp;" - "&amp;INDEX('Content Calendar'!$H$5:$H$604,MATCH(SMALL('Content Calendar'!$AI$5:$AI$604,COUNTIF('Content Calendar'!$AI$5:$AI$604,"&lt;"&amp;D20)+1),'Content Calendar'!$AI$5:$AI$604,0))),""))</f>
        <v>0</v>
      </c>
      <c r="E21" s="50">
        <f>IF(E20="","",IFERROR(IF(SMALL('Content Calendar'!$AI$5:$AI$604,COUNTIF('Content Calendar'!$AI$5:$AI$604,"&lt;"&amp;E20)+1)&gt;=E20+1,"",INDEX('Content Calendar'!$G$5:$G$604,MATCH(SMALL('Content Calendar'!$AI$5:$AI$604,COUNTIF('Content Calendar'!$AI$5:$AI$604,"&lt;"&amp;E20)+1),'Content Calendar'!$AI$5:$AI$604,0))&amp;" - "&amp;INDEX('Content Calendar'!$H$5:$H$604,MATCH(SMALL('Content Calendar'!$AI$5:$AI$604,COUNTIF('Content Calendar'!$AI$5:$AI$604,"&lt;"&amp;E20)+1),'Content Calendar'!$AI$5:$AI$604,0))),""))</f>
        <v>0</v>
      </c>
      <c r="F21" s="50">
        <f>IF(F20="","",IFERROR(IF(SMALL('Content Calendar'!$AI$5:$AI$604,COUNTIF('Content Calendar'!$AI$5:$AI$604,"&lt;"&amp;F20)+1)&gt;=F20+1,"",INDEX('Content Calendar'!$G$5:$G$604,MATCH(SMALL('Content Calendar'!$AI$5:$AI$604,COUNTIF('Content Calendar'!$AI$5:$AI$604,"&lt;"&amp;F20)+1),'Content Calendar'!$AI$5:$AI$604,0))&amp;" - "&amp;INDEX('Content Calendar'!$H$5:$H$604,MATCH(SMALL('Content Calendar'!$AI$5:$AI$604,COUNTIF('Content Calendar'!$AI$5:$AI$604,"&lt;"&amp;F20)+1),'Content Calendar'!$AI$5:$AI$604,0))),""))</f>
        <v>0</v>
      </c>
      <c r="G21" s="50">
        <f>IF(G20="","",IFERROR(IF(SMALL('Content Calendar'!$AI$5:$AI$604,COUNTIF('Content Calendar'!$AI$5:$AI$604,"&lt;"&amp;G20)+1)&gt;=G20+1,"",INDEX('Content Calendar'!$G$5:$G$604,MATCH(SMALL('Content Calendar'!$AI$5:$AI$604,COUNTIF('Content Calendar'!$AI$5:$AI$604,"&lt;"&amp;G20)+1),'Content Calendar'!$AI$5:$AI$604,0))&amp;" - "&amp;INDEX('Content Calendar'!$H$5:$H$604,MATCH(SMALL('Content Calendar'!$AI$5:$AI$604,COUNTIF('Content Calendar'!$AI$5:$AI$604,"&lt;"&amp;G20)+1),'Content Calendar'!$AI$5:$AI$604,0))),""))</f>
        <v>0</v>
      </c>
    </row>
    <row r="22" spans="1:7">
      <c r="A22" s="50">
        <f>IF(A20="","",IFERROR(IF(SMALL('Content Calendar'!$AI$5:$AI$604,COUNTIF('Content Calendar'!$AI$5:$AI$604,"&lt;"&amp;A20)+2)&gt;=A20+1,"",INDEX('Content Calendar'!$G$5:$G$604,MATCH(SMALL('Content Calendar'!$AI$5:$AI$604,COUNTIF('Content Calendar'!$AI$5:$AI$604,"&lt;"&amp;A20)+2),'Content Calendar'!$AI$5:$AI$604,0))&amp;" - "&amp;INDEX('Content Calendar'!$H$5:$H$604,MATCH(SMALL('Content Calendar'!$AI$5:$AI$604,COUNTIF('Content Calendar'!$AI$5:$AI$604,"&lt;"&amp;A20)+2),'Content Calendar'!$AI$5:$AI$604,0))),""))</f>
        <v>0</v>
      </c>
      <c r="B22" s="50">
        <f>IF(B20="","",IFERROR(IF(SMALL('Content Calendar'!$AI$5:$AI$604,COUNTIF('Content Calendar'!$AI$5:$AI$604,"&lt;"&amp;B20)+2)&gt;=B20+1,"",INDEX('Content Calendar'!$G$5:$G$604,MATCH(SMALL('Content Calendar'!$AI$5:$AI$604,COUNTIF('Content Calendar'!$AI$5:$AI$604,"&lt;"&amp;B20)+2),'Content Calendar'!$AI$5:$AI$604,0))&amp;" - "&amp;INDEX('Content Calendar'!$H$5:$H$604,MATCH(SMALL('Content Calendar'!$AI$5:$AI$604,COUNTIF('Content Calendar'!$AI$5:$AI$604,"&lt;"&amp;B20)+2),'Content Calendar'!$AI$5:$AI$604,0))),""))</f>
        <v>0</v>
      </c>
      <c r="C22" s="50">
        <f>IF(C20="","",IFERROR(IF(SMALL('Content Calendar'!$AI$5:$AI$604,COUNTIF('Content Calendar'!$AI$5:$AI$604,"&lt;"&amp;C20)+2)&gt;=C20+1,"",INDEX('Content Calendar'!$G$5:$G$604,MATCH(SMALL('Content Calendar'!$AI$5:$AI$604,COUNTIF('Content Calendar'!$AI$5:$AI$604,"&lt;"&amp;C20)+2),'Content Calendar'!$AI$5:$AI$604,0))&amp;" - "&amp;INDEX('Content Calendar'!$H$5:$H$604,MATCH(SMALL('Content Calendar'!$AI$5:$AI$604,COUNTIF('Content Calendar'!$AI$5:$AI$604,"&lt;"&amp;C20)+2),'Content Calendar'!$AI$5:$AI$604,0))),""))</f>
        <v>0</v>
      </c>
      <c r="D22" s="50">
        <f>IF(D20="","",IFERROR(IF(SMALL('Content Calendar'!$AI$5:$AI$604,COUNTIF('Content Calendar'!$AI$5:$AI$604,"&lt;"&amp;D20)+2)&gt;=D20+1,"",INDEX('Content Calendar'!$G$5:$G$604,MATCH(SMALL('Content Calendar'!$AI$5:$AI$604,COUNTIF('Content Calendar'!$AI$5:$AI$604,"&lt;"&amp;D20)+2),'Content Calendar'!$AI$5:$AI$604,0))&amp;" - "&amp;INDEX('Content Calendar'!$H$5:$H$604,MATCH(SMALL('Content Calendar'!$AI$5:$AI$604,COUNTIF('Content Calendar'!$AI$5:$AI$604,"&lt;"&amp;D20)+2),'Content Calendar'!$AI$5:$AI$604,0))),""))</f>
        <v>0</v>
      </c>
      <c r="E22" s="50">
        <f>IF(E20="","",IFERROR(IF(SMALL('Content Calendar'!$AI$5:$AI$604,COUNTIF('Content Calendar'!$AI$5:$AI$604,"&lt;"&amp;E20)+2)&gt;=E20+1,"",INDEX('Content Calendar'!$G$5:$G$604,MATCH(SMALL('Content Calendar'!$AI$5:$AI$604,COUNTIF('Content Calendar'!$AI$5:$AI$604,"&lt;"&amp;E20)+2),'Content Calendar'!$AI$5:$AI$604,0))&amp;" - "&amp;INDEX('Content Calendar'!$H$5:$H$604,MATCH(SMALL('Content Calendar'!$AI$5:$AI$604,COUNTIF('Content Calendar'!$AI$5:$AI$604,"&lt;"&amp;E20)+2),'Content Calendar'!$AI$5:$AI$604,0))),""))</f>
        <v>0</v>
      </c>
      <c r="F22" s="50">
        <f>IF(F20="","",IFERROR(IF(SMALL('Content Calendar'!$AI$5:$AI$604,COUNTIF('Content Calendar'!$AI$5:$AI$604,"&lt;"&amp;F20)+2)&gt;=F20+1,"",INDEX('Content Calendar'!$G$5:$G$604,MATCH(SMALL('Content Calendar'!$AI$5:$AI$604,COUNTIF('Content Calendar'!$AI$5:$AI$604,"&lt;"&amp;F20)+2),'Content Calendar'!$AI$5:$AI$604,0))&amp;" - "&amp;INDEX('Content Calendar'!$H$5:$H$604,MATCH(SMALL('Content Calendar'!$AI$5:$AI$604,COUNTIF('Content Calendar'!$AI$5:$AI$604,"&lt;"&amp;F20)+2),'Content Calendar'!$AI$5:$AI$604,0))),""))</f>
        <v>0</v>
      </c>
      <c r="G22" s="50">
        <f>IF(G20="","",IFERROR(IF(SMALL('Content Calendar'!$AI$5:$AI$604,COUNTIF('Content Calendar'!$AI$5:$AI$604,"&lt;"&amp;G20)+2)&gt;=G20+1,"",INDEX('Content Calendar'!$G$5:$G$604,MATCH(SMALL('Content Calendar'!$AI$5:$AI$604,COUNTIF('Content Calendar'!$AI$5:$AI$604,"&lt;"&amp;G20)+2),'Content Calendar'!$AI$5:$AI$604,0))&amp;" - "&amp;INDEX('Content Calendar'!$H$5:$H$604,MATCH(SMALL('Content Calendar'!$AI$5:$AI$604,COUNTIF('Content Calendar'!$AI$5:$AI$604,"&lt;"&amp;G20)+2),'Content Calendar'!$AI$5:$AI$604,0))),""))</f>
        <v>0</v>
      </c>
    </row>
    <row r="23" spans="1:7">
      <c r="A23" s="50">
        <f>IF(A20="","",IF(COUNTIF('Content Calendar'!$AI$5:$AI$604,"&lt;"&amp;A20+1)-COUNTIF('Content Calendar'!$AI$5:$AI$604,"&lt;"&amp;A20)&gt;3,"+ "&amp;COUNTIF('Content Calendar'!$AI$5:$AI$604,"&lt;"&amp;A20+1)-COUNTIF('Content Calendar'!$AI$5:$AI$604,"&lt;"&amp;A20)-2&amp;" more",IFERROR(IF(SMALL('Content Calendar'!$AI$5:$AI$604,COUNTIF('Content Calendar'!$AI$5:$AI$604,"&lt;"&amp;A20)+3)&gt;=A20+1,"",INDEX('Content Calendar'!$G$5:$G$604,MATCH(SMALL('Content Calendar'!$AI$5:$AI$604,COUNTIF('Content Calendar'!$AI$5:$AI$604,"&lt;"&amp;A20)+3),'Content Calendar'!$AI$5:$AI$604,0))&amp;" - "&amp;INDEX('Content Calendar'!$H$5:$H$604,MATCH(SMALL('Content Calendar'!$AI$5:$AI$604,COUNTIF('Content Calendar'!$AI$5:$AI$604,"&lt;"&amp;A20)+3),'Content Calendar'!$AI$5:$AI$604,0))),"")))</f>
        <v>0</v>
      </c>
      <c r="B23" s="50">
        <f>IF(B20="","",IF(COUNTIF('Content Calendar'!$AI$5:$AI$604,"&lt;"&amp;B20+1)-COUNTIF('Content Calendar'!$AI$5:$AI$604,"&lt;"&amp;B20)&gt;3,"+ "&amp;COUNTIF('Content Calendar'!$AI$5:$AI$604,"&lt;"&amp;B20+1)-COUNTIF('Content Calendar'!$AI$5:$AI$604,"&lt;"&amp;B20)-2&amp;" more",IFERROR(IF(SMALL('Content Calendar'!$AI$5:$AI$604,COUNTIF('Content Calendar'!$AI$5:$AI$604,"&lt;"&amp;B20)+3)&gt;=B20+1,"",INDEX('Content Calendar'!$G$5:$G$604,MATCH(SMALL('Content Calendar'!$AI$5:$AI$604,COUNTIF('Content Calendar'!$AI$5:$AI$604,"&lt;"&amp;B20)+3),'Content Calendar'!$AI$5:$AI$604,0))&amp;" - "&amp;INDEX('Content Calendar'!$H$5:$H$604,MATCH(SMALL('Content Calendar'!$AI$5:$AI$604,COUNTIF('Content Calendar'!$AI$5:$AI$604,"&lt;"&amp;B20)+3),'Content Calendar'!$AI$5:$AI$604,0))),"")))</f>
        <v>0</v>
      </c>
      <c r="C23" s="50">
        <f>IF(C20="","",IF(COUNTIF('Content Calendar'!$AI$5:$AI$604,"&lt;"&amp;C20+1)-COUNTIF('Content Calendar'!$AI$5:$AI$604,"&lt;"&amp;C20)&gt;3,"+ "&amp;COUNTIF('Content Calendar'!$AI$5:$AI$604,"&lt;"&amp;C20+1)-COUNTIF('Content Calendar'!$AI$5:$AI$604,"&lt;"&amp;C20)-2&amp;" more",IFERROR(IF(SMALL('Content Calendar'!$AI$5:$AI$604,COUNTIF('Content Calendar'!$AI$5:$AI$604,"&lt;"&amp;C20)+3)&gt;=C20+1,"",INDEX('Content Calendar'!$G$5:$G$604,MATCH(SMALL('Content Calendar'!$AI$5:$AI$604,COUNTIF('Content Calendar'!$AI$5:$AI$604,"&lt;"&amp;C20)+3),'Content Calendar'!$AI$5:$AI$604,0))&amp;" - "&amp;INDEX('Content Calendar'!$H$5:$H$604,MATCH(SMALL('Content Calendar'!$AI$5:$AI$604,COUNTIF('Content Calendar'!$AI$5:$AI$604,"&lt;"&amp;C20)+3),'Content Calendar'!$AI$5:$AI$604,0))),"")))</f>
        <v>0</v>
      </c>
      <c r="D23" s="50">
        <f>IF(D20="","",IF(COUNTIF('Content Calendar'!$AI$5:$AI$604,"&lt;"&amp;D20+1)-COUNTIF('Content Calendar'!$AI$5:$AI$604,"&lt;"&amp;D20)&gt;3,"+ "&amp;COUNTIF('Content Calendar'!$AI$5:$AI$604,"&lt;"&amp;D20+1)-COUNTIF('Content Calendar'!$AI$5:$AI$604,"&lt;"&amp;D20)-2&amp;" more",IFERROR(IF(SMALL('Content Calendar'!$AI$5:$AI$604,COUNTIF('Content Calendar'!$AI$5:$AI$604,"&lt;"&amp;D20)+3)&gt;=D20+1,"",INDEX('Content Calendar'!$G$5:$G$604,MATCH(SMALL('Content Calendar'!$AI$5:$AI$604,COUNTIF('Content Calendar'!$AI$5:$AI$604,"&lt;"&amp;D20)+3),'Content Calendar'!$AI$5:$AI$604,0))&amp;" - "&amp;INDEX('Content Calendar'!$H$5:$H$604,MATCH(SMALL('Content Calendar'!$AI$5:$AI$604,COUNTIF('Content Calendar'!$AI$5:$AI$604,"&lt;"&amp;D20)+3),'Content Calendar'!$AI$5:$AI$604,0))),"")))</f>
        <v>0</v>
      </c>
      <c r="E23" s="50">
        <f>IF(E20="","",IF(COUNTIF('Content Calendar'!$AI$5:$AI$604,"&lt;"&amp;E20+1)-COUNTIF('Content Calendar'!$AI$5:$AI$604,"&lt;"&amp;E20)&gt;3,"+ "&amp;COUNTIF('Content Calendar'!$AI$5:$AI$604,"&lt;"&amp;E20+1)-COUNTIF('Content Calendar'!$AI$5:$AI$604,"&lt;"&amp;E20)-2&amp;" more",IFERROR(IF(SMALL('Content Calendar'!$AI$5:$AI$604,COUNTIF('Content Calendar'!$AI$5:$AI$604,"&lt;"&amp;E20)+3)&gt;=E20+1,"",INDEX('Content Calendar'!$G$5:$G$604,MATCH(SMALL('Content Calendar'!$AI$5:$AI$604,COUNTIF('Content Calendar'!$AI$5:$AI$604,"&lt;"&amp;E20)+3),'Content Calendar'!$AI$5:$AI$604,0))&amp;" - "&amp;INDEX('Content Calendar'!$H$5:$H$604,MATCH(SMALL('Content Calendar'!$AI$5:$AI$604,COUNTIF('Content Calendar'!$AI$5:$AI$604,"&lt;"&amp;E20)+3),'Content Calendar'!$AI$5:$AI$604,0))),"")))</f>
        <v>0</v>
      </c>
      <c r="F23" s="50">
        <f>IF(F20="","",IF(COUNTIF('Content Calendar'!$AI$5:$AI$604,"&lt;"&amp;F20+1)-COUNTIF('Content Calendar'!$AI$5:$AI$604,"&lt;"&amp;F20)&gt;3,"+ "&amp;COUNTIF('Content Calendar'!$AI$5:$AI$604,"&lt;"&amp;F20+1)-COUNTIF('Content Calendar'!$AI$5:$AI$604,"&lt;"&amp;F20)-2&amp;" more",IFERROR(IF(SMALL('Content Calendar'!$AI$5:$AI$604,COUNTIF('Content Calendar'!$AI$5:$AI$604,"&lt;"&amp;F20)+3)&gt;=F20+1,"",INDEX('Content Calendar'!$G$5:$G$604,MATCH(SMALL('Content Calendar'!$AI$5:$AI$604,COUNTIF('Content Calendar'!$AI$5:$AI$604,"&lt;"&amp;F20)+3),'Content Calendar'!$AI$5:$AI$604,0))&amp;" - "&amp;INDEX('Content Calendar'!$H$5:$H$604,MATCH(SMALL('Content Calendar'!$AI$5:$AI$604,COUNTIF('Content Calendar'!$AI$5:$AI$604,"&lt;"&amp;F20)+3),'Content Calendar'!$AI$5:$AI$604,0))),"")))</f>
        <v>0</v>
      </c>
      <c r="G23" s="50">
        <f>IF(G20="","",IF(COUNTIF('Content Calendar'!$AI$5:$AI$604,"&lt;"&amp;G20+1)-COUNTIF('Content Calendar'!$AI$5:$AI$604,"&lt;"&amp;G20)&gt;3,"+ "&amp;COUNTIF('Content Calendar'!$AI$5:$AI$604,"&lt;"&amp;G20+1)-COUNTIF('Content Calendar'!$AI$5:$AI$604,"&lt;"&amp;G20)-2&amp;" more",IFERROR(IF(SMALL('Content Calendar'!$AI$5:$AI$604,COUNTIF('Content Calendar'!$AI$5:$AI$604,"&lt;"&amp;G20)+3)&gt;=G20+1,"",INDEX('Content Calendar'!$G$5:$G$604,MATCH(SMALL('Content Calendar'!$AI$5:$AI$604,COUNTIF('Content Calendar'!$AI$5:$AI$604,"&lt;"&amp;G20)+3),'Content Calendar'!$AI$5:$AI$604,0))&amp;" - "&amp;INDEX('Content Calendar'!$H$5:$H$604,MATCH(SMALL('Content Calendar'!$AI$5:$AI$604,COUNTIF('Content Calendar'!$AI$5:$AI$604,"&lt;"&amp;G20)+3),'Content Calendar'!$AI$5:$AI$604,0))),"")))</f>
        <v>0</v>
      </c>
    </row>
    <row r="24" spans="1:7" ht="20" customHeight="1">
      <c r="A24" s="49">
        <f>IF(MONTH(ViewStart-MOD(WEEKDAY(ViewStart,IF(WeekStart="Sunday",1,2))-1,7)+28)&lt;&gt;MONTH(ViewStart),"",ViewStart-MOD(WEEKDAY(ViewStart,IF(WeekStart="Sunday",1,2))-1,7)+28)</f>
        <v>0</v>
      </c>
      <c r="B24" s="49">
        <f>IF(MONTH(ViewStart-MOD(WEEKDAY(ViewStart,IF(WeekStart="Sunday",1,2))-1,7)+29)&lt;&gt;MONTH(ViewStart),"",ViewStart-MOD(WEEKDAY(ViewStart,IF(WeekStart="Sunday",1,2))-1,7)+29)</f>
        <v>0</v>
      </c>
      <c r="C24" s="49">
        <f>IF(MONTH(ViewStart-MOD(WEEKDAY(ViewStart,IF(WeekStart="Sunday",1,2))-1,7)+30)&lt;&gt;MONTH(ViewStart),"",ViewStart-MOD(WEEKDAY(ViewStart,IF(WeekStart="Sunday",1,2))-1,7)+30)</f>
        <v>0</v>
      </c>
      <c r="D24" s="49">
        <f>IF(MONTH(ViewStart-MOD(WEEKDAY(ViewStart,IF(WeekStart="Sunday",1,2))-1,7)+31)&lt;&gt;MONTH(ViewStart),"",ViewStart-MOD(WEEKDAY(ViewStart,IF(WeekStart="Sunday",1,2))-1,7)+31)</f>
        <v>0</v>
      </c>
      <c r="E24" s="49">
        <f>IF(MONTH(ViewStart-MOD(WEEKDAY(ViewStart,IF(WeekStart="Sunday",1,2))-1,7)+32)&lt;&gt;MONTH(ViewStart),"",ViewStart-MOD(WEEKDAY(ViewStart,IF(WeekStart="Sunday",1,2))-1,7)+32)</f>
        <v>0</v>
      </c>
      <c r="F24" s="49">
        <f>IF(MONTH(ViewStart-MOD(WEEKDAY(ViewStart,IF(WeekStart="Sunday",1,2))-1,7)+33)&lt;&gt;MONTH(ViewStart),"",ViewStart-MOD(WEEKDAY(ViewStart,IF(WeekStart="Sunday",1,2))-1,7)+33)</f>
        <v>0</v>
      </c>
      <c r="G24" s="49">
        <f>IF(MONTH(ViewStart-MOD(WEEKDAY(ViewStart,IF(WeekStart="Sunday",1,2))-1,7)+34)&lt;&gt;MONTH(ViewStart),"",ViewStart-MOD(WEEKDAY(ViewStart,IF(WeekStart="Sunday",1,2))-1,7)+34)</f>
        <v>0</v>
      </c>
    </row>
    <row r="25" spans="1:7">
      <c r="A25" s="50">
        <f>IF(A24="","",IFERROR(IF(SMALL('Content Calendar'!$AI$5:$AI$604,COUNTIF('Content Calendar'!$AI$5:$AI$604,"&lt;"&amp;A24)+1)&gt;=A24+1,"",INDEX('Content Calendar'!$G$5:$G$604,MATCH(SMALL('Content Calendar'!$AI$5:$AI$604,COUNTIF('Content Calendar'!$AI$5:$AI$604,"&lt;"&amp;A24)+1),'Content Calendar'!$AI$5:$AI$604,0))&amp;" - "&amp;INDEX('Content Calendar'!$H$5:$H$604,MATCH(SMALL('Content Calendar'!$AI$5:$AI$604,COUNTIF('Content Calendar'!$AI$5:$AI$604,"&lt;"&amp;A24)+1),'Content Calendar'!$AI$5:$AI$604,0))),""))</f>
        <v>0</v>
      </c>
      <c r="B25" s="50">
        <f>IF(B24="","",IFERROR(IF(SMALL('Content Calendar'!$AI$5:$AI$604,COUNTIF('Content Calendar'!$AI$5:$AI$604,"&lt;"&amp;B24)+1)&gt;=B24+1,"",INDEX('Content Calendar'!$G$5:$G$604,MATCH(SMALL('Content Calendar'!$AI$5:$AI$604,COUNTIF('Content Calendar'!$AI$5:$AI$604,"&lt;"&amp;B24)+1),'Content Calendar'!$AI$5:$AI$604,0))&amp;" - "&amp;INDEX('Content Calendar'!$H$5:$H$604,MATCH(SMALL('Content Calendar'!$AI$5:$AI$604,COUNTIF('Content Calendar'!$AI$5:$AI$604,"&lt;"&amp;B24)+1),'Content Calendar'!$AI$5:$AI$604,0))),""))</f>
        <v>0</v>
      </c>
      <c r="C25" s="50">
        <f>IF(C24="","",IFERROR(IF(SMALL('Content Calendar'!$AI$5:$AI$604,COUNTIF('Content Calendar'!$AI$5:$AI$604,"&lt;"&amp;C24)+1)&gt;=C24+1,"",INDEX('Content Calendar'!$G$5:$G$604,MATCH(SMALL('Content Calendar'!$AI$5:$AI$604,COUNTIF('Content Calendar'!$AI$5:$AI$604,"&lt;"&amp;C24)+1),'Content Calendar'!$AI$5:$AI$604,0))&amp;" - "&amp;INDEX('Content Calendar'!$H$5:$H$604,MATCH(SMALL('Content Calendar'!$AI$5:$AI$604,COUNTIF('Content Calendar'!$AI$5:$AI$604,"&lt;"&amp;C24)+1),'Content Calendar'!$AI$5:$AI$604,0))),""))</f>
        <v>0</v>
      </c>
      <c r="D25" s="50">
        <f>IF(D24="","",IFERROR(IF(SMALL('Content Calendar'!$AI$5:$AI$604,COUNTIF('Content Calendar'!$AI$5:$AI$604,"&lt;"&amp;D24)+1)&gt;=D24+1,"",INDEX('Content Calendar'!$G$5:$G$604,MATCH(SMALL('Content Calendar'!$AI$5:$AI$604,COUNTIF('Content Calendar'!$AI$5:$AI$604,"&lt;"&amp;D24)+1),'Content Calendar'!$AI$5:$AI$604,0))&amp;" - "&amp;INDEX('Content Calendar'!$H$5:$H$604,MATCH(SMALL('Content Calendar'!$AI$5:$AI$604,COUNTIF('Content Calendar'!$AI$5:$AI$604,"&lt;"&amp;D24)+1),'Content Calendar'!$AI$5:$AI$604,0))),""))</f>
        <v>0</v>
      </c>
      <c r="E25" s="50">
        <f>IF(E24="","",IFERROR(IF(SMALL('Content Calendar'!$AI$5:$AI$604,COUNTIF('Content Calendar'!$AI$5:$AI$604,"&lt;"&amp;E24)+1)&gt;=E24+1,"",INDEX('Content Calendar'!$G$5:$G$604,MATCH(SMALL('Content Calendar'!$AI$5:$AI$604,COUNTIF('Content Calendar'!$AI$5:$AI$604,"&lt;"&amp;E24)+1),'Content Calendar'!$AI$5:$AI$604,0))&amp;" - "&amp;INDEX('Content Calendar'!$H$5:$H$604,MATCH(SMALL('Content Calendar'!$AI$5:$AI$604,COUNTIF('Content Calendar'!$AI$5:$AI$604,"&lt;"&amp;E24)+1),'Content Calendar'!$AI$5:$AI$604,0))),""))</f>
        <v>0</v>
      </c>
      <c r="F25" s="50">
        <f>IF(F24="","",IFERROR(IF(SMALL('Content Calendar'!$AI$5:$AI$604,COUNTIF('Content Calendar'!$AI$5:$AI$604,"&lt;"&amp;F24)+1)&gt;=F24+1,"",INDEX('Content Calendar'!$G$5:$G$604,MATCH(SMALL('Content Calendar'!$AI$5:$AI$604,COUNTIF('Content Calendar'!$AI$5:$AI$604,"&lt;"&amp;F24)+1),'Content Calendar'!$AI$5:$AI$604,0))&amp;" - "&amp;INDEX('Content Calendar'!$H$5:$H$604,MATCH(SMALL('Content Calendar'!$AI$5:$AI$604,COUNTIF('Content Calendar'!$AI$5:$AI$604,"&lt;"&amp;F24)+1),'Content Calendar'!$AI$5:$AI$604,0))),""))</f>
        <v>0</v>
      </c>
      <c r="G25" s="50">
        <f>IF(G24="","",IFERROR(IF(SMALL('Content Calendar'!$AI$5:$AI$604,COUNTIF('Content Calendar'!$AI$5:$AI$604,"&lt;"&amp;G24)+1)&gt;=G24+1,"",INDEX('Content Calendar'!$G$5:$G$604,MATCH(SMALL('Content Calendar'!$AI$5:$AI$604,COUNTIF('Content Calendar'!$AI$5:$AI$604,"&lt;"&amp;G24)+1),'Content Calendar'!$AI$5:$AI$604,0))&amp;" - "&amp;INDEX('Content Calendar'!$H$5:$H$604,MATCH(SMALL('Content Calendar'!$AI$5:$AI$604,COUNTIF('Content Calendar'!$AI$5:$AI$604,"&lt;"&amp;G24)+1),'Content Calendar'!$AI$5:$AI$604,0))),""))</f>
        <v>0</v>
      </c>
    </row>
    <row r="26" spans="1:7">
      <c r="A26" s="50">
        <f>IF(A24="","",IFERROR(IF(SMALL('Content Calendar'!$AI$5:$AI$604,COUNTIF('Content Calendar'!$AI$5:$AI$604,"&lt;"&amp;A24)+2)&gt;=A24+1,"",INDEX('Content Calendar'!$G$5:$G$604,MATCH(SMALL('Content Calendar'!$AI$5:$AI$604,COUNTIF('Content Calendar'!$AI$5:$AI$604,"&lt;"&amp;A24)+2),'Content Calendar'!$AI$5:$AI$604,0))&amp;" - "&amp;INDEX('Content Calendar'!$H$5:$H$604,MATCH(SMALL('Content Calendar'!$AI$5:$AI$604,COUNTIF('Content Calendar'!$AI$5:$AI$604,"&lt;"&amp;A24)+2),'Content Calendar'!$AI$5:$AI$604,0))),""))</f>
        <v>0</v>
      </c>
      <c r="B26" s="50">
        <f>IF(B24="","",IFERROR(IF(SMALL('Content Calendar'!$AI$5:$AI$604,COUNTIF('Content Calendar'!$AI$5:$AI$604,"&lt;"&amp;B24)+2)&gt;=B24+1,"",INDEX('Content Calendar'!$G$5:$G$604,MATCH(SMALL('Content Calendar'!$AI$5:$AI$604,COUNTIF('Content Calendar'!$AI$5:$AI$604,"&lt;"&amp;B24)+2),'Content Calendar'!$AI$5:$AI$604,0))&amp;" - "&amp;INDEX('Content Calendar'!$H$5:$H$604,MATCH(SMALL('Content Calendar'!$AI$5:$AI$604,COUNTIF('Content Calendar'!$AI$5:$AI$604,"&lt;"&amp;B24)+2),'Content Calendar'!$AI$5:$AI$604,0))),""))</f>
        <v>0</v>
      </c>
      <c r="C26" s="50">
        <f>IF(C24="","",IFERROR(IF(SMALL('Content Calendar'!$AI$5:$AI$604,COUNTIF('Content Calendar'!$AI$5:$AI$604,"&lt;"&amp;C24)+2)&gt;=C24+1,"",INDEX('Content Calendar'!$G$5:$G$604,MATCH(SMALL('Content Calendar'!$AI$5:$AI$604,COUNTIF('Content Calendar'!$AI$5:$AI$604,"&lt;"&amp;C24)+2),'Content Calendar'!$AI$5:$AI$604,0))&amp;" - "&amp;INDEX('Content Calendar'!$H$5:$H$604,MATCH(SMALL('Content Calendar'!$AI$5:$AI$604,COUNTIF('Content Calendar'!$AI$5:$AI$604,"&lt;"&amp;C24)+2),'Content Calendar'!$AI$5:$AI$604,0))),""))</f>
        <v>0</v>
      </c>
      <c r="D26" s="50">
        <f>IF(D24="","",IFERROR(IF(SMALL('Content Calendar'!$AI$5:$AI$604,COUNTIF('Content Calendar'!$AI$5:$AI$604,"&lt;"&amp;D24)+2)&gt;=D24+1,"",INDEX('Content Calendar'!$G$5:$G$604,MATCH(SMALL('Content Calendar'!$AI$5:$AI$604,COUNTIF('Content Calendar'!$AI$5:$AI$604,"&lt;"&amp;D24)+2),'Content Calendar'!$AI$5:$AI$604,0))&amp;" - "&amp;INDEX('Content Calendar'!$H$5:$H$604,MATCH(SMALL('Content Calendar'!$AI$5:$AI$604,COUNTIF('Content Calendar'!$AI$5:$AI$604,"&lt;"&amp;D24)+2),'Content Calendar'!$AI$5:$AI$604,0))),""))</f>
        <v>0</v>
      </c>
      <c r="E26" s="50">
        <f>IF(E24="","",IFERROR(IF(SMALL('Content Calendar'!$AI$5:$AI$604,COUNTIF('Content Calendar'!$AI$5:$AI$604,"&lt;"&amp;E24)+2)&gt;=E24+1,"",INDEX('Content Calendar'!$G$5:$G$604,MATCH(SMALL('Content Calendar'!$AI$5:$AI$604,COUNTIF('Content Calendar'!$AI$5:$AI$604,"&lt;"&amp;E24)+2),'Content Calendar'!$AI$5:$AI$604,0))&amp;" - "&amp;INDEX('Content Calendar'!$H$5:$H$604,MATCH(SMALL('Content Calendar'!$AI$5:$AI$604,COUNTIF('Content Calendar'!$AI$5:$AI$604,"&lt;"&amp;E24)+2),'Content Calendar'!$AI$5:$AI$604,0))),""))</f>
        <v>0</v>
      </c>
      <c r="F26" s="50">
        <f>IF(F24="","",IFERROR(IF(SMALL('Content Calendar'!$AI$5:$AI$604,COUNTIF('Content Calendar'!$AI$5:$AI$604,"&lt;"&amp;F24)+2)&gt;=F24+1,"",INDEX('Content Calendar'!$G$5:$G$604,MATCH(SMALL('Content Calendar'!$AI$5:$AI$604,COUNTIF('Content Calendar'!$AI$5:$AI$604,"&lt;"&amp;F24)+2),'Content Calendar'!$AI$5:$AI$604,0))&amp;" - "&amp;INDEX('Content Calendar'!$H$5:$H$604,MATCH(SMALL('Content Calendar'!$AI$5:$AI$604,COUNTIF('Content Calendar'!$AI$5:$AI$604,"&lt;"&amp;F24)+2),'Content Calendar'!$AI$5:$AI$604,0))),""))</f>
        <v>0</v>
      </c>
      <c r="G26" s="50">
        <f>IF(G24="","",IFERROR(IF(SMALL('Content Calendar'!$AI$5:$AI$604,COUNTIF('Content Calendar'!$AI$5:$AI$604,"&lt;"&amp;G24)+2)&gt;=G24+1,"",INDEX('Content Calendar'!$G$5:$G$604,MATCH(SMALL('Content Calendar'!$AI$5:$AI$604,COUNTIF('Content Calendar'!$AI$5:$AI$604,"&lt;"&amp;G24)+2),'Content Calendar'!$AI$5:$AI$604,0))&amp;" - "&amp;INDEX('Content Calendar'!$H$5:$H$604,MATCH(SMALL('Content Calendar'!$AI$5:$AI$604,COUNTIF('Content Calendar'!$AI$5:$AI$604,"&lt;"&amp;G24)+2),'Content Calendar'!$AI$5:$AI$604,0))),""))</f>
        <v>0</v>
      </c>
    </row>
    <row r="27" spans="1:7">
      <c r="A27" s="50">
        <f>IF(A24="","",IF(COUNTIF('Content Calendar'!$AI$5:$AI$604,"&lt;"&amp;A24+1)-COUNTIF('Content Calendar'!$AI$5:$AI$604,"&lt;"&amp;A24)&gt;3,"+ "&amp;COUNTIF('Content Calendar'!$AI$5:$AI$604,"&lt;"&amp;A24+1)-COUNTIF('Content Calendar'!$AI$5:$AI$604,"&lt;"&amp;A24)-2&amp;" more",IFERROR(IF(SMALL('Content Calendar'!$AI$5:$AI$604,COUNTIF('Content Calendar'!$AI$5:$AI$604,"&lt;"&amp;A24)+3)&gt;=A24+1,"",INDEX('Content Calendar'!$G$5:$G$604,MATCH(SMALL('Content Calendar'!$AI$5:$AI$604,COUNTIF('Content Calendar'!$AI$5:$AI$604,"&lt;"&amp;A24)+3),'Content Calendar'!$AI$5:$AI$604,0))&amp;" - "&amp;INDEX('Content Calendar'!$H$5:$H$604,MATCH(SMALL('Content Calendar'!$AI$5:$AI$604,COUNTIF('Content Calendar'!$AI$5:$AI$604,"&lt;"&amp;A24)+3),'Content Calendar'!$AI$5:$AI$604,0))),"")))</f>
        <v>0</v>
      </c>
      <c r="B27" s="50">
        <f>IF(B24="","",IF(COUNTIF('Content Calendar'!$AI$5:$AI$604,"&lt;"&amp;B24+1)-COUNTIF('Content Calendar'!$AI$5:$AI$604,"&lt;"&amp;B24)&gt;3,"+ "&amp;COUNTIF('Content Calendar'!$AI$5:$AI$604,"&lt;"&amp;B24+1)-COUNTIF('Content Calendar'!$AI$5:$AI$604,"&lt;"&amp;B24)-2&amp;" more",IFERROR(IF(SMALL('Content Calendar'!$AI$5:$AI$604,COUNTIF('Content Calendar'!$AI$5:$AI$604,"&lt;"&amp;B24)+3)&gt;=B24+1,"",INDEX('Content Calendar'!$G$5:$G$604,MATCH(SMALL('Content Calendar'!$AI$5:$AI$604,COUNTIF('Content Calendar'!$AI$5:$AI$604,"&lt;"&amp;B24)+3),'Content Calendar'!$AI$5:$AI$604,0))&amp;" - "&amp;INDEX('Content Calendar'!$H$5:$H$604,MATCH(SMALL('Content Calendar'!$AI$5:$AI$604,COUNTIF('Content Calendar'!$AI$5:$AI$604,"&lt;"&amp;B24)+3),'Content Calendar'!$AI$5:$AI$604,0))),"")))</f>
        <v>0</v>
      </c>
      <c r="C27" s="50">
        <f>IF(C24="","",IF(COUNTIF('Content Calendar'!$AI$5:$AI$604,"&lt;"&amp;C24+1)-COUNTIF('Content Calendar'!$AI$5:$AI$604,"&lt;"&amp;C24)&gt;3,"+ "&amp;COUNTIF('Content Calendar'!$AI$5:$AI$604,"&lt;"&amp;C24+1)-COUNTIF('Content Calendar'!$AI$5:$AI$604,"&lt;"&amp;C24)-2&amp;" more",IFERROR(IF(SMALL('Content Calendar'!$AI$5:$AI$604,COUNTIF('Content Calendar'!$AI$5:$AI$604,"&lt;"&amp;C24)+3)&gt;=C24+1,"",INDEX('Content Calendar'!$G$5:$G$604,MATCH(SMALL('Content Calendar'!$AI$5:$AI$604,COUNTIF('Content Calendar'!$AI$5:$AI$604,"&lt;"&amp;C24)+3),'Content Calendar'!$AI$5:$AI$604,0))&amp;" - "&amp;INDEX('Content Calendar'!$H$5:$H$604,MATCH(SMALL('Content Calendar'!$AI$5:$AI$604,COUNTIF('Content Calendar'!$AI$5:$AI$604,"&lt;"&amp;C24)+3),'Content Calendar'!$AI$5:$AI$604,0))),"")))</f>
        <v>0</v>
      </c>
      <c r="D27" s="50">
        <f>IF(D24="","",IF(COUNTIF('Content Calendar'!$AI$5:$AI$604,"&lt;"&amp;D24+1)-COUNTIF('Content Calendar'!$AI$5:$AI$604,"&lt;"&amp;D24)&gt;3,"+ "&amp;COUNTIF('Content Calendar'!$AI$5:$AI$604,"&lt;"&amp;D24+1)-COUNTIF('Content Calendar'!$AI$5:$AI$604,"&lt;"&amp;D24)-2&amp;" more",IFERROR(IF(SMALL('Content Calendar'!$AI$5:$AI$604,COUNTIF('Content Calendar'!$AI$5:$AI$604,"&lt;"&amp;D24)+3)&gt;=D24+1,"",INDEX('Content Calendar'!$G$5:$G$604,MATCH(SMALL('Content Calendar'!$AI$5:$AI$604,COUNTIF('Content Calendar'!$AI$5:$AI$604,"&lt;"&amp;D24)+3),'Content Calendar'!$AI$5:$AI$604,0))&amp;" - "&amp;INDEX('Content Calendar'!$H$5:$H$604,MATCH(SMALL('Content Calendar'!$AI$5:$AI$604,COUNTIF('Content Calendar'!$AI$5:$AI$604,"&lt;"&amp;D24)+3),'Content Calendar'!$AI$5:$AI$604,0))),"")))</f>
        <v>0</v>
      </c>
      <c r="E27" s="50">
        <f>IF(E24="","",IF(COUNTIF('Content Calendar'!$AI$5:$AI$604,"&lt;"&amp;E24+1)-COUNTIF('Content Calendar'!$AI$5:$AI$604,"&lt;"&amp;E24)&gt;3,"+ "&amp;COUNTIF('Content Calendar'!$AI$5:$AI$604,"&lt;"&amp;E24+1)-COUNTIF('Content Calendar'!$AI$5:$AI$604,"&lt;"&amp;E24)-2&amp;" more",IFERROR(IF(SMALL('Content Calendar'!$AI$5:$AI$604,COUNTIF('Content Calendar'!$AI$5:$AI$604,"&lt;"&amp;E24)+3)&gt;=E24+1,"",INDEX('Content Calendar'!$G$5:$G$604,MATCH(SMALL('Content Calendar'!$AI$5:$AI$604,COUNTIF('Content Calendar'!$AI$5:$AI$604,"&lt;"&amp;E24)+3),'Content Calendar'!$AI$5:$AI$604,0))&amp;" - "&amp;INDEX('Content Calendar'!$H$5:$H$604,MATCH(SMALL('Content Calendar'!$AI$5:$AI$604,COUNTIF('Content Calendar'!$AI$5:$AI$604,"&lt;"&amp;E24)+3),'Content Calendar'!$AI$5:$AI$604,0))),"")))</f>
        <v>0</v>
      </c>
      <c r="F27" s="50">
        <f>IF(F24="","",IF(COUNTIF('Content Calendar'!$AI$5:$AI$604,"&lt;"&amp;F24+1)-COUNTIF('Content Calendar'!$AI$5:$AI$604,"&lt;"&amp;F24)&gt;3,"+ "&amp;COUNTIF('Content Calendar'!$AI$5:$AI$604,"&lt;"&amp;F24+1)-COUNTIF('Content Calendar'!$AI$5:$AI$604,"&lt;"&amp;F24)-2&amp;" more",IFERROR(IF(SMALL('Content Calendar'!$AI$5:$AI$604,COUNTIF('Content Calendar'!$AI$5:$AI$604,"&lt;"&amp;F24)+3)&gt;=F24+1,"",INDEX('Content Calendar'!$G$5:$G$604,MATCH(SMALL('Content Calendar'!$AI$5:$AI$604,COUNTIF('Content Calendar'!$AI$5:$AI$604,"&lt;"&amp;F24)+3),'Content Calendar'!$AI$5:$AI$604,0))&amp;" - "&amp;INDEX('Content Calendar'!$H$5:$H$604,MATCH(SMALL('Content Calendar'!$AI$5:$AI$604,COUNTIF('Content Calendar'!$AI$5:$AI$604,"&lt;"&amp;F24)+3),'Content Calendar'!$AI$5:$AI$604,0))),"")))</f>
        <v>0</v>
      </c>
      <c r="G27" s="50">
        <f>IF(G24="","",IF(COUNTIF('Content Calendar'!$AI$5:$AI$604,"&lt;"&amp;G24+1)-COUNTIF('Content Calendar'!$AI$5:$AI$604,"&lt;"&amp;G24)&gt;3,"+ "&amp;COUNTIF('Content Calendar'!$AI$5:$AI$604,"&lt;"&amp;G24+1)-COUNTIF('Content Calendar'!$AI$5:$AI$604,"&lt;"&amp;G24)-2&amp;" more",IFERROR(IF(SMALL('Content Calendar'!$AI$5:$AI$604,COUNTIF('Content Calendar'!$AI$5:$AI$604,"&lt;"&amp;G24)+3)&gt;=G24+1,"",INDEX('Content Calendar'!$G$5:$G$604,MATCH(SMALL('Content Calendar'!$AI$5:$AI$604,COUNTIF('Content Calendar'!$AI$5:$AI$604,"&lt;"&amp;G24)+3),'Content Calendar'!$AI$5:$AI$604,0))&amp;" - "&amp;INDEX('Content Calendar'!$H$5:$H$604,MATCH(SMALL('Content Calendar'!$AI$5:$AI$604,COUNTIF('Content Calendar'!$AI$5:$AI$604,"&lt;"&amp;G24)+3),'Content Calendar'!$AI$5:$AI$604,0))),"")))</f>
        <v>0</v>
      </c>
    </row>
    <row r="28" spans="1:7" ht="20" customHeight="1">
      <c r="A28" s="49">
        <f>IF(MONTH(ViewStart-MOD(WEEKDAY(ViewStart,IF(WeekStart="Sunday",1,2))-1,7)+35)&lt;&gt;MONTH(ViewStart),"",ViewStart-MOD(WEEKDAY(ViewStart,IF(WeekStart="Sunday",1,2))-1,7)+35)</f>
        <v>0</v>
      </c>
      <c r="B28" s="49">
        <f>IF(MONTH(ViewStart-MOD(WEEKDAY(ViewStart,IF(WeekStart="Sunday",1,2))-1,7)+36)&lt;&gt;MONTH(ViewStart),"",ViewStart-MOD(WEEKDAY(ViewStart,IF(WeekStart="Sunday",1,2))-1,7)+36)</f>
        <v>0</v>
      </c>
      <c r="C28" s="49">
        <f>IF(MONTH(ViewStart-MOD(WEEKDAY(ViewStart,IF(WeekStart="Sunday",1,2))-1,7)+37)&lt;&gt;MONTH(ViewStart),"",ViewStart-MOD(WEEKDAY(ViewStart,IF(WeekStart="Sunday",1,2))-1,7)+37)</f>
        <v>0</v>
      </c>
      <c r="D28" s="49">
        <f>IF(MONTH(ViewStart-MOD(WEEKDAY(ViewStart,IF(WeekStart="Sunday",1,2))-1,7)+38)&lt;&gt;MONTH(ViewStart),"",ViewStart-MOD(WEEKDAY(ViewStart,IF(WeekStart="Sunday",1,2))-1,7)+38)</f>
        <v>0</v>
      </c>
      <c r="E28" s="49">
        <f>IF(MONTH(ViewStart-MOD(WEEKDAY(ViewStart,IF(WeekStart="Sunday",1,2))-1,7)+39)&lt;&gt;MONTH(ViewStart),"",ViewStart-MOD(WEEKDAY(ViewStart,IF(WeekStart="Sunday",1,2))-1,7)+39)</f>
        <v>0</v>
      </c>
      <c r="F28" s="49">
        <f>IF(MONTH(ViewStart-MOD(WEEKDAY(ViewStart,IF(WeekStart="Sunday",1,2))-1,7)+40)&lt;&gt;MONTH(ViewStart),"",ViewStart-MOD(WEEKDAY(ViewStart,IF(WeekStart="Sunday",1,2))-1,7)+40)</f>
        <v>0</v>
      </c>
      <c r="G28" s="49">
        <f>IF(MONTH(ViewStart-MOD(WEEKDAY(ViewStart,IF(WeekStart="Sunday",1,2))-1,7)+41)&lt;&gt;MONTH(ViewStart),"",ViewStart-MOD(WEEKDAY(ViewStart,IF(WeekStart="Sunday",1,2))-1,7)+41)</f>
        <v>0</v>
      </c>
    </row>
    <row r="29" spans="1:7">
      <c r="A29" s="50">
        <f>IF(A28="","",IFERROR(IF(SMALL('Content Calendar'!$AI$5:$AI$604,COUNTIF('Content Calendar'!$AI$5:$AI$604,"&lt;"&amp;A28)+1)&gt;=A28+1,"",INDEX('Content Calendar'!$G$5:$G$604,MATCH(SMALL('Content Calendar'!$AI$5:$AI$604,COUNTIF('Content Calendar'!$AI$5:$AI$604,"&lt;"&amp;A28)+1),'Content Calendar'!$AI$5:$AI$604,0))&amp;" - "&amp;INDEX('Content Calendar'!$H$5:$H$604,MATCH(SMALL('Content Calendar'!$AI$5:$AI$604,COUNTIF('Content Calendar'!$AI$5:$AI$604,"&lt;"&amp;A28)+1),'Content Calendar'!$AI$5:$AI$604,0))),""))</f>
        <v>0</v>
      </c>
      <c r="B29" s="50">
        <f>IF(B28="","",IFERROR(IF(SMALL('Content Calendar'!$AI$5:$AI$604,COUNTIF('Content Calendar'!$AI$5:$AI$604,"&lt;"&amp;B28)+1)&gt;=B28+1,"",INDEX('Content Calendar'!$G$5:$G$604,MATCH(SMALL('Content Calendar'!$AI$5:$AI$604,COUNTIF('Content Calendar'!$AI$5:$AI$604,"&lt;"&amp;B28)+1),'Content Calendar'!$AI$5:$AI$604,0))&amp;" - "&amp;INDEX('Content Calendar'!$H$5:$H$604,MATCH(SMALL('Content Calendar'!$AI$5:$AI$604,COUNTIF('Content Calendar'!$AI$5:$AI$604,"&lt;"&amp;B28)+1),'Content Calendar'!$AI$5:$AI$604,0))),""))</f>
        <v>0</v>
      </c>
      <c r="C29" s="50">
        <f>IF(C28="","",IFERROR(IF(SMALL('Content Calendar'!$AI$5:$AI$604,COUNTIF('Content Calendar'!$AI$5:$AI$604,"&lt;"&amp;C28)+1)&gt;=C28+1,"",INDEX('Content Calendar'!$G$5:$G$604,MATCH(SMALL('Content Calendar'!$AI$5:$AI$604,COUNTIF('Content Calendar'!$AI$5:$AI$604,"&lt;"&amp;C28)+1),'Content Calendar'!$AI$5:$AI$604,0))&amp;" - "&amp;INDEX('Content Calendar'!$H$5:$H$604,MATCH(SMALL('Content Calendar'!$AI$5:$AI$604,COUNTIF('Content Calendar'!$AI$5:$AI$604,"&lt;"&amp;C28)+1),'Content Calendar'!$AI$5:$AI$604,0))),""))</f>
        <v>0</v>
      </c>
      <c r="D29" s="50">
        <f>IF(D28="","",IFERROR(IF(SMALL('Content Calendar'!$AI$5:$AI$604,COUNTIF('Content Calendar'!$AI$5:$AI$604,"&lt;"&amp;D28)+1)&gt;=D28+1,"",INDEX('Content Calendar'!$G$5:$G$604,MATCH(SMALL('Content Calendar'!$AI$5:$AI$604,COUNTIF('Content Calendar'!$AI$5:$AI$604,"&lt;"&amp;D28)+1),'Content Calendar'!$AI$5:$AI$604,0))&amp;" - "&amp;INDEX('Content Calendar'!$H$5:$H$604,MATCH(SMALL('Content Calendar'!$AI$5:$AI$604,COUNTIF('Content Calendar'!$AI$5:$AI$604,"&lt;"&amp;D28)+1),'Content Calendar'!$AI$5:$AI$604,0))),""))</f>
        <v>0</v>
      </c>
      <c r="E29" s="50">
        <f>IF(E28="","",IFERROR(IF(SMALL('Content Calendar'!$AI$5:$AI$604,COUNTIF('Content Calendar'!$AI$5:$AI$604,"&lt;"&amp;E28)+1)&gt;=E28+1,"",INDEX('Content Calendar'!$G$5:$G$604,MATCH(SMALL('Content Calendar'!$AI$5:$AI$604,COUNTIF('Content Calendar'!$AI$5:$AI$604,"&lt;"&amp;E28)+1),'Content Calendar'!$AI$5:$AI$604,0))&amp;" - "&amp;INDEX('Content Calendar'!$H$5:$H$604,MATCH(SMALL('Content Calendar'!$AI$5:$AI$604,COUNTIF('Content Calendar'!$AI$5:$AI$604,"&lt;"&amp;E28)+1),'Content Calendar'!$AI$5:$AI$604,0))),""))</f>
        <v>0</v>
      </c>
      <c r="F29" s="50">
        <f>IF(F28="","",IFERROR(IF(SMALL('Content Calendar'!$AI$5:$AI$604,COUNTIF('Content Calendar'!$AI$5:$AI$604,"&lt;"&amp;F28)+1)&gt;=F28+1,"",INDEX('Content Calendar'!$G$5:$G$604,MATCH(SMALL('Content Calendar'!$AI$5:$AI$604,COUNTIF('Content Calendar'!$AI$5:$AI$604,"&lt;"&amp;F28)+1),'Content Calendar'!$AI$5:$AI$604,0))&amp;" - "&amp;INDEX('Content Calendar'!$H$5:$H$604,MATCH(SMALL('Content Calendar'!$AI$5:$AI$604,COUNTIF('Content Calendar'!$AI$5:$AI$604,"&lt;"&amp;F28)+1),'Content Calendar'!$AI$5:$AI$604,0))),""))</f>
        <v>0</v>
      </c>
      <c r="G29" s="50">
        <f>IF(G28="","",IFERROR(IF(SMALL('Content Calendar'!$AI$5:$AI$604,COUNTIF('Content Calendar'!$AI$5:$AI$604,"&lt;"&amp;G28)+1)&gt;=G28+1,"",INDEX('Content Calendar'!$G$5:$G$604,MATCH(SMALL('Content Calendar'!$AI$5:$AI$604,COUNTIF('Content Calendar'!$AI$5:$AI$604,"&lt;"&amp;G28)+1),'Content Calendar'!$AI$5:$AI$604,0))&amp;" - "&amp;INDEX('Content Calendar'!$H$5:$H$604,MATCH(SMALL('Content Calendar'!$AI$5:$AI$604,COUNTIF('Content Calendar'!$AI$5:$AI$604,"&lt;"&amp;G28)+1),'Content Calendar'!$AI$5:$AI$604,0))),""))</f>
        <v>0</v>
      </c>
    </row>
    <row r="30" spans="1:7">
      <c r="A30" s="50">
        <f>IF(A28="","",IFERROR(IF(SMALL('Content Calendar'!$AI$5:$AI$604,COUNTIF('Content Calendar'!$AI$5:$AI$604,"&lt;"&amp;A28)+2)&gt;=A28+1,"",INDEX('Content Calendar'!$G$5:$G$604,MATCH(SMALL('Content Calendar'!$AI$5:$AI$604,COUNTIF('Content Calendar'!$AI$5:$AI$604,"&lt;"&amp;A28)+2),'Content Calendar'!$AI$5:$AI$604,0))&amp;" - "&amp;INDEX('Content Calendar'!$H$5:$H$604,MATCH(SMALL('Content Calendar'!$AI$5:$AI$604,COUNTIF('Content Calendar'!$AI$5:$AI$604,"&lt;"&amp;A28)+2),'Content Calendar'!$AI$5:$AI$604,0))),""))</f>
        <v>0</v>
      </c>
      <c r="B30" s="50">
        <f>IF(B28="","",IFERROR(IF(SMALL('Content Calendar'!$AI$5:$AI$604,COUNTIF('Content Calendar'!$AI$5:$AI$604,"&lt;"&amp;B28)+2)&gt;=B28+1,"",INDEX('Content Calendar'!$G$5:$G$604,MATCH(SMALL('Content Calendar'!$AI$5:$AI$604,COUNTIF('Content Calendar'!$AI$5:$AI$604,"&lt;"&amp;B28)+2),'Content Calendar'!$AI$5:$AI$604,0))&amp;" - "&amp;INDEX('Content Calendar'!$H$5:$H$604,MATCH(SMALL('Content Calendar'!$AI$5:$AI$604,COUNTIF('Content Calendar'!$AI$5:$AI$604,"&lt;"&amp;B28)+2),'Content Calendar'!$AI$5:$AI$604,0))),""))</f>
        <v>0</v>
      </c>
      <c r="C30" s="50">
        <f>IF(C28="","",IFERROR(IF(SMALL('Content Calendar'!$AI$5:$AI$604,COUNTIF('Content Calendar'!$AI$5:$AI$604,"&lt;"&amp;C28)+2)&gt;=C28+1,"",INDEX('Content Calendar'!$G$5:$G$604,MATCH(SMALL('Content Calendar'!$AI$5:$AI$604,COUNTIF('Content Calendar'!$AI$5:$AI$604,"&lt;"&amp;C28)+2),'Content Calendar'!$AI$5:$AI$604,0))&amp;" - "&amp;INDEX('Content Calendar'!$H$5:$H$604,MATCH(SMALL('Content Calendar'!$AI$5:$AI$604,COUNTIF('Content Calendar'!$AI$5:$AI$604,"&lt;"&amp;C28)+2),'Content Calendar'!$AI$5:$AI$604,0))),""))</f>
        <v>0</v>
      </c>
      <c r="D30" s="50">
        <f>IF(D28="","",IFERROR(IF(SMALL('Content Calendar'!$AI$5:$AI$604,COUNTIF('Content Calendar'!$AI$5:$AI$604,"&lt;"&amp;D28)+2)&gt;=D28+1,"",INDEX('Content Calendar'!$G$5:$G$604,MATCH(SMALL('Content Calendar'!$AI$5:$AI$604,COUNTIF('Content Calendar'!$AI$5:$AI$604,"&lt;"&amp;D28)+2),'Content Calendar'!$AI$5:$AI$604,0))&amp;" - "&amp;INDEX('Content Calendar'!$H$5:$H$604,MATCH(SMALL('Content Calendar'!$AI$5:$AI$604,COUNTIF('Content Calendar'!$AI$5:$AI$604,"&lt;"&amp;D28)+2),'Content Calendar'!$AI$5:$AI$604,0))),""))</f>
        <v>0</v>
      </c>
      <c r="E30" s="50">
        <f>IF(E28="","",IFERROR(IF(SMALL('Content Calendar'!$AI$5:$AI$604,COUNTIF('Content Calendar'!$AI$5:$AI$604,"&lt;"&amp;E28)+2)&gt;=E28+1,"",INDEX('Content Calendar'!$G$5:$G$604,MATCH(SMALL('Content Calendar'!$AI$5:$AI$604,COUNTIF('Content Calendar'!$AI$5:$AI$604,"&lt;"&amp;E28)+2),'Content Calendar'!$AI$5:$AI$604,0))&amp;" - "&amp;INDEX('Content Calendar'!$H$5:$H$604,MATCH(SMALL('Content Calendar'!$AI$5:$AI$604,COUNTIF('Content Calendar'!$AI$5:$AI$604,"&lt;"&amp;E28)+2),'Content Calendar'!$AI$5:$AI$604,0))),""))</f>
        <v>0</v>
      </c>
      <c r="F30" s="50">
        <f>IF(F28="","",IFERROR(IF(SMALL('Content Calendar'!$AI$5:$AI$604,COUNTIF('Content Calendar'!$AI$5:$AI$604,"&lt;"&amp;F28)+2)&gt;=F28+1,"",INDEX('Content Calendar'!$G$5:$G$604,MATCH(SMALL('Content Calendar'!$AI$5:$AI$604,COUNTIF('Content Calendar'!$AI$5:$AI$604,"&lt;"&amp;F28)+2),'Content Calendar'!$AI$5:$AI$604,0))&amp;" - "&amp;INDEX('Content Calendar'!$H$5:$H$604,MATCH(SMALL('Content Calendar'!$AI$5:$AI$604,COUNTIF('Content Calendar'!$AI$5:$AI$604,"&lt;"&amp;F28)+2),'Content Calendar'!$AI$5:$AI$604,0))),""))</f>
        <v>0</v>
      </c>
      <c r="G30" s="50">
        <f>IF(G28="","",IFERROR(IF(SMALL('Content Calendar'!$AI$5:$AI$604,COUNTIF('Content Calendar'!$AI$5:$AI$604,"&lt;"&amp;G28)+2)&gt;=G28+1,"",INDEX('Content Calendar'!$G$5:$G$604,MATCH(SMALL('Content Calendar'!$AI$5:$AI$604,COUNTIF('Content Calendar'!$AI$5:$AI$604,"&lt;"&amp;G28)+2),'Content Calendar'!$AI$5:$AI$604,0))&amp;" - "&amp;INDEX('Content Calendar'!$H$5:$H$604,MATCH(SMALL('Content Calendar'!$AI$5:$AI$604,COUNTIF('Content Calendar'!$AI$5:$AI$604,"&lt;"&amp;G28)+2),'Content Calendar'!$AI$5:$AI$604,0))),""))</f>
        <v>0</v>
      </c>
    </row>
    <row r="31" spans="1:7">
      <c r="A31" s="50">
        <f>IF(A28="","",IF(COUNTIF('Content Calendar'!$AI$5:$AI$604,"&lt;"&amp;A28+1)-COUNTIF('Content Calendar'!$AI$5:$AI$604,"&lt;"&amp;A28)&gt;3,"+ "&amp;COUNTIF('Content Calendar'!$AI$5:$AI$604,"&lt;"&amp;A28+1)-COUNTIF('Content Calendar'!$AI$5:$AI$604,"&lt;"&amp;A28)-2&amp;" more",IFERROR(IF(SMALL('Content Calendar'!$AI$5:$AI$604,COUNTIF('Content Calendar'!$AI$5:$AI$604,"&lt;"&amp;A28)+3)&gt;=A28+1,"",INDEX('Content Calendar'!$G$5:$G$604,MATCH(SMALL('Content Calendar'!$AI$5:$AI$604,COUNTIF('Content Calendar'!$AI$5:$AI$604,"&lt;"&amp;A28)+3),'Content Calendar'!$AI$5:$AI$604,0))&amp;" - "&amp;INDEX('Content Calendar'!$H$5:$H$604,MATCH(SMALL('Content Calendar'!$AI$5:$AI$604,COUNTIF('Content Calendar'!$AI$5:$AI$604,"&lt;"&amp;A28)+3),'Content Calendar'!$AI$5:$AI$604,0))),"")))</f>
        <v>0</v>
      </c>
      <c r="B31" s="50">
        <f>IF(B28="","",IF(COUNTIF('Content Calendar'!$AI$5:$AI$604,"&lt;"&amp;B28+1)-COUNTIF('Content Calendar'!$AI$5:$AI$604,"&lt;"&amp;B28)&gt;3,"+ "&amp;COUNTIF('Content Calendar'!$AI$5:$AI$604,"&lt;"&amp;B28+1)-COUNTIF('Content Calendar'!$AI$5:$AI$604,"&lt;"&amp;B28)-2&amp;" more",IFERROR(IF(SMALL('Content Calendar'!$AI$5:$AI$604,COUNTIF('Content Calendar'!$AI$5:$AI$604,"&lt;"&amp;B28)+3)&gt;=B28+1,"",INDEX('Content Calendar'!$G$5:$G$604,MATCH(SMALL('Content Calendar'!$AI$5:$AI$604,COUNTIF('Content Calendar'!$AI$5:$AI$604,"&lt;"&amp;B28)+3),'Content Calendar'!$AI$5:$AI$604,0))&amp;" - "&amp;INDEX('Content Calendar'!$H$5:$H$604,MATCH(SMALL('Content Calendar'!$AI$5:$AI$604,COUNTIF('Content Calendar'!$AI$5:$AI$604,"&lt;"&amp;B28)+3),'Content Calendar'!$AI$5:$AI$604,0))),"")))</f>
        <v>0</v>
      </c>
      <c r="C31" s="50">
        <f>IF(C28="","",IF(COUNTIF('Content Calendar'!$AI$5:$AI$604,"&lt;"&amp;C28+1)-COUNTIF('Content Calendar'!$AI$5:$AI$604,"&lt;"&amp;C28)&gt;3,"+ "&amp;COUNTIF('Content Calendar'!$AI$5:$AI$604,"&lt;"&amp;C28+1)-COUNTIF('Content Calendar'!$AI$5:$AI$604,"&lt;"&amp;C28)-2&amp;" more",IFERROR(IF(SMALL('Content Calendar'!$AI$5:$AI$604,COUNTIF('Content Calendar'!$AI$5:$AI$604,"&lt;"&amp;C28)+3)&gt;=C28+1,"",INDEX('Content Calendar'!$G$5:$G$604,MATCH(SMALL('Content Calendar'!$AI$5:$AI$604,COUNTIF('Content Calendar'!$AI$5:$AI$604,"&lt;"&amp;C28)+3),'Content Calendar'!$AI$5:$AI$604,0))&amp;" - "&amp;INDEX('Content Calendar'!$H$5:$H$604,MATCH(SMALL('Content Calendar'!$AI$5:$AI$604,COUNTIF('Content Calendar'!$AI$5:$AI$604,"&lt;"&amp;C28)+3),'Content Calendar'!$AI$5:$AI$604,0))),"")))</f>
        <v>0</v>
      </c>
      <c r="D31" s="50">
        <f>IF(D28="","",IF(COUNTIF('Content Calendar'!$AI$5:$AI$604,"&lt;"&amp;D28+1)-COUNTIF('Content Calendar'!$AI$5:$AI$604,"&lt;"&amp;D28)&gt;3,"+ "&amp;COUNTIF('Content Calendar'!$AI$5:$AI$604,"&lt;"&amp;D28+1)-COUNTIF('Content Calendar'!$AI$5:$AI$604,"&lt;"&amp;D28)-2&amp;" more",IFERROR(IF(SMALL('Content Calendar'!$AI$5:$AI$604,COUNTIF('Content Calendar'!$AI$5:$AI$604,"&lt;"&amp;D28)+3)&gt;=D28+1,"",INDEX('Content Calendar'!$G$5:$G$604,MATCH(SMALL('Content Calendar'!$AI$5:$AI$604,COUNTIF('Content Calendar'!$AI$5:$AI$604,"&lt;"&amp;D28)+3),'Content Calendar'!$AI$5:$AI$604,0))&amp;" - "&amp;INDEX('Content Calendar'!$H$5:$H$604,MATCH(SMALL('Content Calendar'!$AI$5:$AI$604,COUNTIF('Content Calendar'!$AI$5:$AI$604,"&lt;"&amp;D28)+3),'Content Calendar'!$AI$5:$AI$604,0))),"")))</f>
        <v>0</v>
      </c>
      <c r="E31" s="50">
        <f>IF(E28="","",IF(COUNTIF('Content Calendar'!$AI$5:$AI$604,"&lt;"&amp;E28+1)-COUNTIF('Content Calendar'!$AI$5:$AI$604,"&lt;"&amp;E28)&gt;3,"+ "&amp;COUNTIF('Content Calendar'!$AI$5:$AI$604,"&lt;"&amp;E28+1)-COUNTIF('Content Calendar'!$AI$5:$AI$604,"&lt;"&amp;E28)-2&amp;" more",IFERROR(IF(SMALL('Content Calendar'!$AI$5:$AI$604,COUNTIF('Content Calendar'!$AI$5:$AI$604,"&lt;"&amp;E28)+3)&gt;=E28+1,"",INDEX('Content Calendar'!$G$5:$G$604,MATCH(SMALL('Content Calendar'!$AI$5:$AI$604,COUNTIF('Content Calendar'!$AI$5:$AI$604,"&lt;"&amp;E28)+3),'Content Calendar'!$AI$5:$AI$604,0))&amp;" - "&amp;INDEX('Content Calendar'!$H$5:$H$604,MATCH(SMALL('Content Calendar'!$AI$5:$AI$604,COUNTIF('Content Calendar'!$AI$5:$AI$604,"&lt;"&amp;E28)+3),'Content Calendar'!$AI$5:$AI$604,0))),"")))</f>
        <v>0</v>
      </c>
      <c r="F31" s="50">
        <f>IF(F28="","",IF(COUNTIF('Content Calendar'!$AI$5:$AI$604,"&lt;"&amp;F28+1)-COUNTIF('Content Calendar'!$AI$5:$AI$604,"&lt;"&amp;F28)&gt;3,"+ "&amp;COUNTIF('Content Calendar'!$AI$5:$AI$604,"&lt;"&amp;F28+1)-COUNTIF('Content Calendar'!$AI$5:$AI$604,"&lt;"&amp;F28)-2&amp;" more",IFERROR(IF(SMALL('Content Calendar'!$AI$5:$AI$604,COUNTIF('Content Calendar'!$AI$5:$AI$604,"&lt;"&amp;F28)+3)&gt;=F28+1,"",INDEX('Content Calendar'!$G$5:$G$604,MATCH(SMALL('Content Calendar'!$AI$5:$AI$604,COUNTIF('Content Calendar'!$AI$5:$AI$604,"&lt;"&amp;F28)+3),'Content Calendar'!$AI$5:$AI$604,0))&amp;" - "&amp;INDEX('Content Calendar'!$H$5:$H$604,MATCH(SMALL('Content Calendar'!$AI$5:$AI$604,COUNTIF('Content Calendar'!$AI$5:$AI$604,"&lt;"&amp;F28)+3),'Content Calendar'!$AI$5:$AI$604,0))),"")))</f>
        <v>0</v>
      </c>
      <c r="G31" s="50">
        <f>IF(G28="","",IF(COUNTIF('Content Calendar'!$AI$5:$AI$604,"&lt;"&amp;G28+1)-COUNTIF('Content Calendar'!$AI$5:$AI$604,"&lt;"&amp;G28)&gt;3,"+ "&amp;COUNTIF('Content Calendar'!$AI$5:$AI$604,"&lt;"&amp;G28+1)-COUNTIF('Content Calendar'!$AI$5:$AI$604,"&lt;"&amp;G28)-2&amp;" more",IFERROR(IF(SMALL('Content Calendar'!$AI$5:$AI$604,COUNTIF('Content Calendar'!$AI$5:$AI$604,"&lt;"&amp;G28)+3)&gt;=G28+1,"",INDEX('Content Calendar'!$G$5:$G$604,MATCH(SMALL('Content Calendar'!$AI$5:$AI$604,COUNTIF('Content Calendar'!$AI$5:$AI$604,"&lt;"&amp;G28)+3),'Content Calendar'!$AI$5:$AI$604,0))&amp;" - "&amp;INDEX('Content Calendar'!$H$5:$H$604,MATCH(SMALL('Content Calendar'!$AI$5:$AI$604,COUNTIF('Content Calendar'!$AI$5:$AI$604,"&lt;"&amp;G28)+3),'Content Calendar'!$AI$5:$AI$604,0))),"")))</f>
        <v>0</v>
      </c>
    </row>
    <row r="33" spans="1:7" ht="20" customHeight="1">
      <c r="A33" s="7" t="s">
        <v>1111</v>
      </c>
      <c r="B33" s="7"/>
      <c r="C33" s="7"/>
      <c r="D33" s="7"/>
      <c r="E33" s="7"/>
      <c r="F33" s="7"/>
      <c r="G33" s="7"/>
    </row>
    <row r="34" spans="1:7" ht="26" customHeight="1">
      <c r="A34" s="8" t="s">
        <v>136</v>
      </c>
      <c r="B34" s="9" t="s">
        <v>138</v>
      </c>
      <c r="C34" s="9" t="s">
        <v>1112</v>
      </c>
      <c r="D34" s="9" t="s">
        <v>259</v>
      </c>
      <c r="E34" s="9" t="s">
        <v>144</v>
      </c>
      <c r="F34" s="9" t="s">
        <v>149</v>
      </c>
      <c r="G34" s="9" t="s">
        <v>153</v>
      </c>
    </row>
    <row r="35" spans="1:7">
      <c r="A35" s="23">
        <f>COUNTIFS('Content Calendar'!$B$5:$B$604,"&gt;="&amp;ViewStart,'Content Calendar'!$B$5:$B$604,"&lt;="&amp;EOMONTH(ViewStart,0))</f>
        <v>0</v>
      </c>
      <c r="B35" s="23">
        <f>COUNTIFS('Content Calendar'!$B$5:$B$604,"&gt;="&amp;ViewStart,'Content Calendar'!$B$5:$B$604,"&lt;="&amp;EOMONTH(ViewStart,0),'Content Calendar'!$X$5:$X$604,"Published")</f>
        <v>0</v>
      </c>
      <c r="C35" s="23">
        <f>COUNTIFS('Content Calendar'!$B$5:$B$604,"&gt;="&amp;ViewStart,'Content Calendar'!$B$5:$B$604,"&lt;="&amp;EOMONTH(ViewStart,0))-COUNTIFS('Content Calendar'!$B$5:$B$604,"&gt;="&amp;ViewStart,'Content Calendar'!$B$5:$B$604,"&lt;="&amp;EOMONTH(ViewStart,0),'Content Calendar'!$X$5:$X$604,"Published")</f>
        <v>0</v>
      </c>
      <c r="D35" s="23">
        <f>MonthlyPostTarget</f>
        <v>0</v>
      </c>
      <c r="E35" s="24">
        <f>IFERROR(COUNTIFS('Content Calendar'!$B$5:$B$604,"&gt;="&amp;ViewStart,'Content Calendar'!$B$5:$B$604,"&lt;="&amp;EOMONTH(ViewStart,0),'Content Calendar'!$X$5:$X$604,"Published")/MonthlyPostTarget,"")</f>
        <v>0</v>
      </c>
      <c r="F35" s="23">
        <f>SUMIFS(Analytics!$J$5:$J$154,Analytics!$B$5:$B$154,"&gt;="&amp;ViewStart,Analytics!$B$5:$B$154,"&lt;="&amp;EOMONTH(ViewStart,0))</f>
        <v>0</v>
      </c>
      <c r="G35" s="23">
        <f>SUMIFS(Analytics!$L$5:$L$154,Analytics!$B$5:$B$154,"&gt;="&amp;ViewStart,Analytics!$B$5:$B$154,"&lt;="&amp;EOMONTH(ViewStart,0))</f>
        <v>0</v>
      </c>
    </row>
    <row r="37" spans="1:7" ht="26" customHeight="1">
      <c r="A37" s="6" t="s">
        <v>1113</v>
      </c>
      <c r="B37" s="6"/>
      <c r="C37" s="6"/>
      <c r="D37" s="6"/>
      <c r="E37" s="6"/>
      <c r="F37" s="6"/>
      <c r="G37" s="6"/>
    </row>
  </sheetData>
  <sheetProtection password="EC7C" sheet="1" objects="1" scenarios="1" formatCells="0" formatColumns="0" formatRows="0" insertRows="0" insertHyperlinks="0" deleteRows="0" autoFilter="0"/>
  <mergeCells count="12">
    <mergeCell ref="A1:D1"/>
    <mergeCell ref="E1:G1"/>
    <mergeCell ref="A2:G2"/>
    <mergeCell ref="A3:B3"/>
    <mergeCell ref="C3:D3"/>
    <mergeCell ref="E3:F3"/>
    <mergeCell ref="A5:B5"/>
    <mergeCell ref="C5:D5"/>
    <mergeCell ref="F5:G5"/>
    <mergeCell ref="A6:G6"/>
    <mergeCell ref="A33:G33"/>
    <mergeCell ref="A37:G37"/>
  </mergeCells>
  <conditionalFormatting sqref="A12:G15">
    <cfRule type="expression" dxfId="3" priority="2">
      <formula>A$12=TODAY()</formula>
    </cfRule>
  </conditionalFormatting>
  <conditionalFormatting sqref="A16:G19">
    <cfRule type="expression" dxfId="3" priority="3">
      <formula>A$16=TODAY()</formula>
    </cfRule>
  </conditionalFormatting>
  <conditionalFormatting sqref="A20:G23">
    <cfRule type="expression" dxfId="3" priority="4">
      <formula>A$20=TODAY()</formula>
    </cfRule>
  </conditionalFormatting>
  <conditionalFormatting sqref="A24:G27">
    <cfRule type="expression" dxfId="3" priority="5">
      <formula>A$24=TODAY()</formula>
    </cfRule>
  </conditionalFormatting>
  <conditionalFormatting sqref="A28:G31">
    <cfRule type="expression" dxfId="3" priority="6">
      <formula>A$28=TODAY()</formula>
    </cfRule>
  </conditionalFormatting>
  <conditionalFormatting sqref="A8:G11">
    <cfRule type="expression" dxfId="3" priority="1">
      <formula>A$8=TODAY()</formula>
    </cfRule>
  </conditionalFormatting>
  <dataValidations count="1">
    <dataValidation type="list" allowBlank="1" showInputMessage="1" showErrorMessage="1" sqref="C5">
      <formula1>MonthList</formula1>
    </dataValidation>
  </dataValidations>
  <hyperlinks>
    <hyperlink ref="A3" location="'Start Here'!A1" display="&gt; Start Here"/>
    <hyperlink ref="C3" location="Dashboard!A1" display="&gt; Dashboard"/>
    <hyperlink ref="E3" location="'Content Calendar'!A1" display="&gt; Calendar"/>
  </hyperlinks>
  <pageMargins left="0.4" right="0.4" top="0.6" bottom="0.5" header="0.3" footer="0.3"/>
  <pageSetup paperSize="9" fitToHeight="0" orientation="landscape"/>
  <headerFooter>
    <oddHeader>&amp;L&amp;"Calibri,Bold"&amp;12&amp;C&amp;"Calibri,Bold"&amp;11Month View&amp;R&amp;"Calibri,Italic"&amp;9Social Media Content Calendar &amp; Analytics Planner</oddHeader>
    <oddFooter>&amp;L&amp;"Calibri,Italic"&amp;8Novality Store - v1.0.0&amp;C&amp;"Calibri,Italic"&amp;8Page &amp;P of &amp;N&amp;R&amp;"Calibri,Italic"&amp;8&amp;D</oddFooter>
  </headerFooter>
</worksheet>
</file>

<file path=xl/worksheets/sheet12.xml><?xml version="1.0" encoding="utf-8"?>
<worksheet xmlns="http://schemas.openxmlformats.org/spreadsheetml/2006/main" xmlns:r="http://schemas.openxmlformats.org/officeDocument/2006/relationships">
  <sheetPr>
    <tabColor rgb="FFF2665E"/>
    <pageSetUpPr fitToPage="1"/>
  </sheetPr>
  <dimension ref="A1:P64"/>
  <sheetViews>
    <sheetView showGridLines="0" workbookViewId="0">
      <pane ySplit="4" topLeftCell="A5" activePane="bottomLeft" state="frozen"/>
      <selection pane="bottomLeft"/>
    </sheetView>
  </sheetViews>
  <sheetFormatPr defaultRowHeight="15"/>
  <cols>
    <col min="1" max="1" width="20.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3" max="13" width="13.7109375" customWidth="1"/>
    <col min="14" max="14" width="13.7109375" customWidth="1"/>
    <col min="15" max="15" width="13.7109375" customWidth="1"/>
    <col min="16" max="16" width="13.7109375" customWidth="1"/>
  </cols>
  <sheetData>
    <row r="1" spans="1:16" ht="34" customHeight="1">
      <c r="A1" s="2" t="s">
        <v>1114</v>
      </c>
      <c r="B1" s="2"/>
      <c r="C1" s="2"/>
      <c r="D1" s="2"/>
      <c r="E1" s="2"/>
      <c r="F1" s="2"/>
      <c r="G1" s="2"/>
      <c r="H1" s="2"/>
      <c r="I1" s="2"/>
      <c r="J1" s="2"/>
      <c r="K1" s="2"/>
      <c r="L1" s="2"/>
      <c r="M1" s="2"/>
      <c r="N1" s="3" t="s">
        <v>1</v>
      </c>
      <c r="O1" s="3"/>
      <c r="P1" s="3"/>
    </row>
    <row r="2" spans="1:16" ht="18" customHeight="1">
      <c r="A2" s="4" t="s">
        <v>1115</v>
      </c>
      <c r="B2" s="4"/>
      <c r="C2" s="4"/>
      <c r="D2" s="4"/>
      <c r="E2" s="4"/>
      <c r="F2" s="4"/>
      <c r="G2" s="4"/>
      <c r="H2" s="4"/>
      <c r="I2" s="4"/>
      <c r="J2" s="4"/>
      <c r="K2" s="4"/>
      <c r="L2" s="4"/>
      <c r="M2" s="4"/>
      <c r="N2" s="4"/>
      <c r="O2" s="4"/>
      <c r="P2" s="4"/>
    </row>
    <row r="3" spans="1:16" ht="16" customHeight="1">
      <c r="A3" s="5" t="s">
        <v>3</v>
      </c>
      <c r="B3" s="5"/>
      <c r="C3" s="5" t="s">
        <v>4</v>
      </c>
      <c r="D3" s="5"/>
      <c r="E3" s="5" t="s">
        <v>5</v>
      </c>
      <c r="F3" s="5"/>
      <c r="G3" s="5" t="s">
        <v>6</v>
      </c>
      <c r="H3" s="5"/>
      <c r="I3" s="5" t="s">
        <v>7</v>
      </c>
      <c r="J3" s="5"/>
      <c r="K3" s="5" t="s">
        <v>8</v>
      </c>
      <c r="L3" s="5"/>
      <c r="M3" s="5" t="s">
        <v>125</v>
      </c>
      <c r="N3" s="5"/>
      <c r="O3" s="5" t="s">
        <v>126</v>
      </c>
      <c r="P3" s="5"/>
    </row>
    <row r="5" spans="1:16" ht="20" customHeight="1">
      <c r="A5" s="7" t="s">
        <v>1116</v>
      </c>
      <c r="B5" s="7"/>
      <c r="C5" s="7"/>
      <c r="D5" s="7"/>
      <c r="E5" s="7"/>
      <c r="F5" s="7"/>
      <c r="G5" s="7"/>
      <c r="H5" s="7"/>
      <c r="I5" s="7"/>
      <c r="J5" s="7"/>
      <c r="K5" s="7"/>
      <c r="L5" s="7"/>
      <c r="M5" s="7"/>
      <c r="N5" s="7"/>
      <c r="O5" s="7"/>
      <c r="P5" s="7"/>
    </row>
    <row r="6" spans="1:16" ht="26" customHeight="1">
      <c r="A6" s="8" t="s">
        <v>1117</v>
      </c>
      <c r="B6" s="9" t="s">
        <v>1118</v>
      </c>
      <c r="C6" s="9" t="s">
        <v>1119</v>
      </c>
      <c r="D6" s="9" t="s">
        <v>1120</v>
      </c>
    </row>
    <row r="7" spans="1:16">
      <c r="A7" s="17" t="s">
        <v>1121</v>
      </c>
      <c r="B7" s="23">
        <f>COUNTIF('Content Calendar'!$X$5:$X$604,"Idea")</f>
        <v>0</v>
      </c>
      <c r="C7" s="23">
        <f>COUNTIFS('Content Calendar'!$X$5:$X$604,"Idea",'Content Calendar'!$B$5:$B$604,"&gt;="&amp;DashStart,'Content Calendar'!$B$5:$B$604,"&lt;="&amp;DashEnd)</f>
        <v>0</v>
      </c>
      <c r="D7" s="51" t="s">
        <v>1122</v>
      </c>
      <c r="E7" s="51"/>
      <c r="F7" s="51"/>
      <c r="G7" s="51"/>
      <c r="H7" s="51"/>
      <c r="I7" s="51"/>
      <c r="J7" s="51"/>
      <c r="K7" s="51"/>
      <c r="L7" s="51"/>
      <c r="M7" s="51"/>
      <c r="N7" s="51"/>
      <c r="O7" s="51"/>
      <c r="P7" s="51"/>
    </row>
    <row r="8" spans="1:16">
      <c r="A8" s="17" t="s">
        <v>1123</v>
      </c>
      <c r="B8" s="23">
        <f>COUNTIF('Content Calendar'!$X$5:$X$604,"Brief")</f>
        <v>0</v>
      </c>
      <c r="C8" s="23">
        <f>COUNTIFS('Content Calendar'!$X$5:$X$604,"Brief",'Content Calendar'!$B$5:$B$604,"&gt;="&amp;DashStart,'Content Calendar'!$B$5:$B$604,"&lt;="&amp;DashEnd)</f>
        <v>0</v>
      </c>
      <c r="D8" s="51" t="s">
        <v>1124</v>
      </c>
      <c r="E8" s="51"/>
      <c r="F8" s="51"/>
      <c r="G8" s="51"/>
      <c r="H8" s="51"/>
      <c r="I8" s="51"/>
      <c r="J8" s="51"/>
      <c r="K8" s="51"/>
      <c r="L8" s="51"/>
      <c r="M8" s="51"/>
      <c r="N8" s="51"/>
      <c r="O8" s="51"/>
      <c r="P8" s="51"/>
    </row>
    <row r="9" spans="1:16">
      <c r="A9" s="17" t="s">
        <v>1125</v>
      </c>
      <c r="B9" s="23">
        <f>COUNTIF('Content Calendar'!$X$5:$X$604,"In production")</f>
        <v>0</v>
      </c>
      <c r="C9" s="23">
        <f>COUNTIFS('Content Calendar'!$X$5:$X$604,"In production",'Content Calendar'!$B$5:$B$604,"&gt;="&amp;DashStart,'Content Calendar'!$B$5:$B$604,"&lt;="&amp;DashEnd)</f>
        <v>0</v>
      </c>
      <c r="D9" s="51" t="s">
        <v>1126</v>
      </c>
      <c r="E9" s="51"/>
      <c r="F9" s="51"/>
      <c r="G9" s="51"/>
      <c r="H9" s="51"/>
      <c r="I9" s="51"/>
      <c r="J9" s="51"/>
      <c r="K9" s="51"/>
      <c r="L9" s="51"/>
      <c r="M9" s="51"/>
      <c r="N9" s="51"/>
      <c r="O9" s="51"/>
      <c r="P9" s="51"/>
    </row>
    <row r="10" spans="1:16">
      <c r="A10" s="17" t="s">
        <v>1127</v>
      </c>
      <c r="B10" s="23">
        <f>COUNTIF('Content Calendar'!$X$5:$X$604,"Draft")</f>
        <v>0</v>
      </c>
      <c r="C10" s="23">
        <f>COUNTIFS('Content Calendar'!$X$5:$X$604,"Draft",'Content Calendar'!$B$5:$B$604,"&gt;="&amp;DashStart,'Content Calendar'!$B$5:$B$604,"&lt;="&amp;DashEnd)</f>
        <v>0</v>
      </c>
      <c r="D10" s="51" t="s">
        <v>1128</v>
      </c>
      <c r="E10" s="51"/>
      <c r="F10" s="51"/>
      <c r="G10" s="51"/>
      <c r="H10" s="51"/>
      <c r="I10" s="51"/>
      <c r="J10" s="51"/>
      <c r="K10" s="51"/>
      <c r="L10" s="51"/>
      <c r="M10" s="51"/>
      <c r="N10" s="51"/>
      <c r="O10" s="51"/>
      <c r="P10" s="51"/>
    </row>
    <row r="11" spans="1:16">
      <c r="A11" s="17" t="s">
        <v>1129</v>
      </c>
      <c r="B11" s="23">
        <f>COUNTIF('Content Calendar'!$X$5:$X$604,"Awaiting review")</f>
        <v>0</v>
      </c>
      <c r="C11" s="23">
        <f>COUNTIFS('Content Calendar'!$X$5:$X$604,"Awaiting review",'Content Calendar'!$B$5:$B$604,"&gt;="&amp;DashStart,'Content Calendar'!$B$5:$B$604,"&lt;="&amp;DashEnd)</f>
        <v>0</v>
      </c>
      <c r="D11" s="51" t="s">
        <v>1130</v>
      </c>
      <c r="E11" s="51"/>
      <c r="F11" s="51"/>
      <c r="G11" s="51"/>
      <c r="H11" s="51"/>
      <c r="I11" s="51"/>
      <c r="J11" s="51"/>
      <c r="K11" s="51"/>
      <c r="L11" s="51"/>
      <c r="M11" s="51"/>
      <c r="N11" s="51"/>
      <c r="O11" s="51"/>
      <c r="P11" s="51"/>
    </row>
    <row r="12" spans="1:16">
      <c r="A12" s="17" t="s">
        <v>1131</v>
      </c>
      <c r="B12" s="23">
        <f>COUNTIF('Content Calendar'!$X$5:$X$604,"Revision needed")</f>
        <v>0</v>
      </c>
      <c r="C12" s="23">
        <f>COUNTIFS('Content Calendar'!$X$5:$X$604,"Revision needed",'Content Calendar'!$B$5:$B$604,"&gt;="&amp;DashStart,'Content Calendar'!$B$5:$B$604,"&lt;="&amp;DashEnd)</f>
        <v>0</v>
      </c>
      <c r="D12" s="51" t="s">
        <v>1132</v>
      </c>
      <c r="E12" s="51"/>
      <c r="F12" s="51"/>
      <c r="G12" s="51"/>
      <c r="H12" s="51"/>
      <c r="I12" s="51"/>
      <c r="J12" s="51"/>
      <c r="K12" s="51"/>
      <c r="L12" s="51"/>
      <c r="M12" s="51"/>
      <c r="N12" s="51"/>
      <c r="O12" s="51"/>
      <c r="P12" s="51"/>
    </row>
    <row r="13" spans="1:16">
      <c r="A13" s="17" t="s">
        <v>1133</v>
      </c>
      <c r="B13" s="23">
        <f>COUNTIF('Content Calendar'!$X$5:$X$604,"Approved")</f>
        <v>0</v>
      </c>
      <c r="C13" s="23">
        <f>COUNTIFS('Content Calendar'!$X$5:$X$604,"Approved",'Content Calendar'!$B$5:$B$604,"&gt;="&amp;DashStart,'Content Calendar'!$B$5:$B$604,"&lt;="&amp;DashEnd)</f>
        <v>0</v>
      </c>
      <c r="D13" s="51" t="s">
        <v>1134</v>
      </c>
      <c r="E13" s="51"/>
      <c r="F13" s="51"/>
      <c r="G13" s="51"/>
      <c r="H13" s="51"/>
      <c r="I13" s="51"/>
      <c r="J13" s="51"/>
      <c r="K13" s="51"/>
      <c r="L13" s="51"/>
      <c r="M13" s="51"/>
      <c r="N13" s="51"/>
      <c r="O13" s="51"/>
      <c r="P13" s="51"/>
    </row>
    <row r="14" spans="1:16">
      <c r="A14" s="17" t="s">
        <v>1135</v>
      </c>
      <c r="B14" s="23">
        <f>COUNTIF('Content Calendar'!$X$5:$X$604,"Scheduled")</f>
        <v>0</v>
      </c>
      <c r="C14" s="23">
        <f>COUNTIFS('Content Calendar'!$X$5:$X$604,"Scheduled",'Content Calendar'!$B$5:$B$604,"&gt;="&amp;DashStart,'Content Calendar'!$B$5:$B$604,"&lt;="&amp;DashEnd)</f>
        <v>0</v>
      </c>
      <c r="D14" s="51" t="s">
        <v>1136</v>
      </c>
      <c r="E14" s="51"/>
      <c r="F14" s="51"/>
      <c r="G14" s="51"/>
      <c r="H14" s="51"/>
      <c r="I14" s="51"/>
      <c r="J14" s="51"/>
      <c r="K14" s="51"/>
      <c r="L14" s="51"/>
      <c r="M14" s="51"/>
      <c r="N14" s="51"/>
      <c r="O14" s="51"/>
      <c r="P14" s="51"/>
    </row>
    <row r="15" spans="1:16">
      <c r="A15" s="17" t="s">
        <v>1137</v>
      </c>
      <c r="B15" s="23">
        <f>COUNTIF('Content Calendar'!$X$5:$X$604,"Published")</f>
        <v>0</v>
      </c>
      <c r="C15" s="23">
        <f>COUNTIFS('Content Calendar'!$X$5:$X$604,"Published",'Content Calendar'!$B$5:$B$604,"&gt;="&amp;DashStart,'Content Calendar'!$B$5:$B$604,"&lt;="&amp;DashEnd)</f>
        <v>0</v>
      </c>
      <c r="D15" s="51" t="s">
        <v>1138</v>
      </c>
      <c r="E15" s="51"/>
      <c r="F15" s="51"/>
      <c r="G15" s="51"/>
      <c r="H15" s="51"/>
      <c r="I15" s="51"/>
      <c r="J15" s="51"/>
      <c r="K15" s="51"/>
      <c r="L15" s="51"/>
      <c r="M15" s="51"/>
      <c r="N15" s="51"/>
      <c r="O15" s="51"/>
      <c r="P15" s="51"/>
    </row>
    <row r="17" spans="1:16" ht="20" customHeight="1">
      <c r="A17" s="7" t="s">
        <v>1139</v>
      </c>
      <c r="B17" s="7"/>
      <c r="C17" s="7"/>
      <c r="D17" s="7"/>
      <c r="E17" s="7"/>
      <c r="F17" s="7"/>
      <c r="G17" s="7"/>
      <c r="H17" s="7"/>
      <c r="I17" s="7"/>
      <c r="J17" s="7"/>
      <c r="K17" s="7"/>
      <c r="L17" s="7"/>
      <c r="M17" s="7"/>
      <c r="N17" s="7"/>
      <c r="O17" s="7"/>
      <c r="P17" s="7"/>
    </row>
    <row r="18" spans="1:16">
      <c r="A18" s="10" t="s">
        <v>1140</v>
      </c>
      <c r="B18" s="10"/>
      <c r="C18" s="10"/>
      <c r="D18" s="10" t="s">
        <v>1142</v>
      </c>
      <c r="E18" s="10"/>
      <c r="F18" s="10"/>
      <c r="G18" s="10" t="s">
        <v>1144</v>
      </c>
      <c r="H18" s="10"/>
      <c r="I18" s="10"/>
      <c r="J18" s="10" t="s">
        <v>1146</v>
      </c>
      <c r="K18" s="10"/>
      <c r="L18" s="10"/>
      <c r="M18" s="10" t="s">
        <v>1148</v>
      </c>
      <c r="N18" s="10"/>
      <c r="O18" s="10"/>
    </row>
    <row r="19" spans="1:16" ht="26" customHeight="1">
      <c r="A19" s="18">
        <f>COUNTIFS('Content Calendar'!$H$5:$H$604,"&lt;&gt;",'Content Calendar'!$X$5:$X$604,"&lt;&gt;Published",'Content Calendar'!$X$5:$X$604,"&lt;&gt;Cancelled",'Content Calendar'!$X$5:$X$604,"&lt;&gt;Archived")</f>
        <v>0</v>
      </c>
      <c r="B19" s="18"/>
      <c r="C19" s="18"/>
      <c r="D19" s="18">
        <f>COUNTIF('Content Calendar'!$AM$5:$AM$604,"Late*")</f>
        <v>0</v>
      </c>
      <c r="E19" s="18"/>
      <c r="F19" s="18"/>
      <c r="G19" s="18">
        <f>COUNTIF('Content Calendar'!$X$5:$X$604,"Awaiting review")</f>
        <v>0</v>
      </c>
      <c r="H19" s="18"/>
      <c r="I19" s="18"/>
      <c r="J19" s="18">
        <f>COUNTIFS('Content Calendar'!$B$5:$B$604,"&gt;="&amp;TODAY(),'Content Calendar'!$B$5:$B$604,"&lt;="&amp;TODAY()+7,'Content Calendar'!$X$5:$X$604,"&lt;&gt;Published")</f>
        <v>0</v>
      </c>
      <c r="K19" s="18"/>
      <c r="L19" s="18"/>
      <c r="M19" s="18">
        <f>COUNTIF('Content Calendar'!$AM$5:$AM$604,"Overdue*")</f>
        <v>0</v>
      </c>
      <c r="N19" s="18"/>
      <c r="O19" s="18"/>
    </row>
    <row r="20" spans="1:16">
      <c r="A20" s="20" t="s">
        <v>1141</v>
      </c>
      <c r="B20" s="20"/>
      <c r="C20" s="20"/>
      <c r="D20" s="20" t="s">
        <v>1143</v>
      </c>
      <c r="E20" s="20"/>
      <c r="F20" s="20"/>
      <c r="G20" s="20" t="s">
        <v>1145</v>
      </c>
      <c r="H20" s="20"/>
      <c r="I20" s="20"/>
      <c r="J20" s="20" t="s">
        <v>1147</v>
      </c>
      <c r="K20" s="20"/>
      <c r="L20" s="20"/>
      <c r="M20" s="20" t="s">
        <v>1149</v>
      </c>
      <c r="N20" s="20"/>
      <c r="O20" s="20"/>
    </row>
    <row r="22" spans="1:16">
      <c r="A22" s="10" t="s">
        <v>1150</v>
      </c>
      <c r="B22" s="10"/>
      <c r="C22" s="10"/>
      <c r="D22" s="10" t="s">
        <v>1152</v>
      </c>
      <c r="E22" s="10"/>
      <c r="F22" s="10"/>
      <c r="G22" s="10" t="s">
        <v>1154</v>
      </c>
      <c r="H22" s="10"/>
      <c r="I22" s="10"/>
      <c r="J22" s="10" t="s">
        <v>1156</v>
      </c>
      <c r="K22" s="10"/>
      <c r="L22" s="10"/>
      <c r="M22" s="10" t="s">
        <v>1158</v>
      </c>
      <c r="N22" s="10"/>
      <c r="O22" s="10"/>
    </row>
    <row r="23" spans="1:16" ht="26" customHeight="1">
      <c r="A23" s="22">
        <f>IFERROR((COUNTIFS('Content Calendar'!$X$5:$X$604,"Approved")+COUNTIFS('Content Calendar'!$X$5:$X$604,"Scheduled"))/MAX(1,PostsPerWeek),0)</f>
        <v>0</v>
      </c>
      <c r="B23" s="22"/>
      <c r="C23" s="22"/>
      <c r="D23" s="18">
        <f>COUNTIFS('Content Calendar'!$H$5:$H$604,"&lt;&gt;",'Content Calendar'!$P$5:$P$604,"")</f>
        <v>0</v>
      </c>
      <c r="E23" s="18"/>
      <c r="F23" s="18"/>
      <c r="G23" s="18">
        <f>COUNTIFS('Content Calendar'!$H$5:$H$604,"&lt;&gt;",'Content Calendar'!$T$5:$T$604,"")</f>
        <v>0</v>
      </c>
      <c r="H23" s="18"/>
      <c r="I23" s="18"/>
      <c r="J23" s="18">
        <f>COUNTIFS('Content Calendar'!$H$5:$H$604,"&lt;&gt;",'Content Calendar'!$R$5:$R$604,"")</f>
        <v>0</v>
      </c>
      <c r="K23" s="18"/>
      <c r="L23" s="18"/>
      <c r="M23" s="18">
        <f>COUNTIFS(Tasks!$B$5:$B$64,"&lt;&gt;",Tasks!$G$5:$G$64,"&lt;&gt;Complete")</f>
        <v>0</v>
      </c>
      <c r="N23" s="18"/>
      <c r="O23" s="18"/>
    </row>
    <row r="24" spans="1:16">
      <c r="A24" s="20" t="s">
        <v>1151</v>
      </c>
      <c r="B24" s="20"/>
      <c r="C24" s="20"/>
      <c r="D24" s="20" t="s">
        <v>1153</v>
      </c>
      <c r="E24" s="20"/>
      <c r="F24" s="20"/>
      <c r="G24" s="20" t="s">
        <v>1155</v>
      </c>
      <c r="H24" s="20"/>
      <c r="I24" s="20"/>
      <c r="J24" s="20" t="s">
        <v>1157</v>
      </c>
      <c r="K24" s="20"/>
      <c r="L24" s="20"/>
      <c r="M24" s="20" t="s">
        <v>1159</v>
      </c>
      <c r="N24" s="20"/>
      <c r="O24" s="20"/>
    </row>
    <row r="26" spans="1:16" ht="20" customHeight="1">
      <c r="A26" s="7" t="s">
        <v>1160</v>
      </c>
      <c r="B26" s="7"/>
      <c r="C26" s="7"/>
      <c r="D26" s="7"/>
      <c r="E26" s="7"/>
      <c r="F26" s="7"/>
      <c r="G26" s="7"/>
      <c r="H26" s="7"/>
      <c r="I26" s="7"/>
      <c r="J26" s="7"/>
      <c r="K26" s="7"/>
      <c r="L26" s="7"/>
      <c r="M26" s="7"/>
      <c r="N26" s="7"/>
      <c r="O26" s="7"/>
      <c r="P26" s="7"/>
    </row>
    <row r="27" spans="1:16">
      <c r="A27" s="28" t="s">
        <v>1161</v>
      </c>
      <c r="B27" s="28"/>
      <c r="C27" s="28"/>
      <c r="D27" s="28"/>
      <c r="E27" s="28"/>
      <c r="F27" s="28"/>
      <c r="G27" s="28"/>
      <c r="I27" s="28" t="s">
        <v>220</v>
      </c>
      <c r="J27" s="28"/>
      <c r="K27" s="28"/>
      <c r="L27" s="28"/>
      <c r="M27" s="28"/>
      <c r="N27" s="28"/>
      <c r="O27" s="28"/>
      <c r="P27" s="28"/>
    </row>
    <row r="28" spans="1:16" ht="26" customHeight="1">
      <c r="A28" s="8" t="s">
        <v>202</v>
      </c>
      <c r="B28" s="9" t="s">
        <v>192</v>
      </c>
      <c r="C28" s="9" t="s">
        <v>201</v>
      </c>
      <c r="D28" s="9" t="s">
        <v>221</v>
      </c>
      <c r="E28" s="9" t="s">
        <v>222</v>
      </c>
      <c r="F28" s="9" t="s">
        <v>223</v>
      </c>
      <c r="I28" s="8" t="s">
        <v>202</v>
      </c>
      <c r="J28" s="9" t="s">
        <v>192</v>
      </c>
      <c r="K28" s="9" t="s">
        <v>201</v>
      </c>
      <c r="L28" s="9" t="s">
        <v>221</v>
      </c>
      <c r="M28" s="9" t="s">
        <v>222</v>
      </c>
      <c r="N28" s="9" t="s">
        <v>224</v>
      </c>
    </row>
    <row r="29" spans="1:16">
      <c r="A29" s="16">
        <f>IFERROR(INDEX('Content Calendar'!$B$5:$B$604,MATCH(SMALL('Content Calendar'!$AJ$5:$AJ$604,1),'Content Calendar'!$AJ$5:$AJ$604,0)),"")</f>
        <v>0</v>
      </c>
      <c r="B29" s="17">
        <f>IFERROR(INDEX('Content Calendar'!$G$5:$G$604,MATCH(SMALL('Content Calendar'!$AJ$5:$AJ$604,1),'Content Calendar'!$AJ$5:$AJ$604,0)),"")</f>
        <v>0</v>
      </c>
      <c r="C29" s="17">
        <f>IFERROR(INDEX('Content Calendar'!$H$5:$H$604,MATCH(SMALL('Content Calendar'!$AJ$5:$AJ$604,1),'Content Calendar'!$AJ$5:$AJ$604,0)),"")</f>
        <v>0</v>
      </c>
      <c r="D29" s="29">
        <f>IFERROR(INDEX('Content Calendar'!$X$5:$X$604,MATCH(SMALL('Content Calendar'!$AJ$5:$AJ$604,1),'Content Calendar'!$AJ$5:$AJ$604,0)),"")</f>
        <v>0</v>
      </c>
      <c r="E29" s="17">
        <f>IFERROR(INDEX('Content Calendar'!$W$5:$W$604,MATCH(SMALL('Content Calendar'!$AJ$5:$AJ$604,1),'Content Calendar'!$AJ$5:$AJ$604,0)),"")</f>
        <v>0</v>
      </c>
      <c r="F29" s="23">
        <f>IFERROR(INDEX('Content Calendar'!$AA$5:$AA$604,MATCH(SMALL('Content Calendar'!$AJ$5:$AJ$604,1),'Content Calendar'!$AJ$5:$AJ$604,0)),"")</f>
        <v>0</v>
      </c>
      <c r="I29" s="16">
        <f>IFERROR(INDEX('Content Calendar'!$B$5:$B$604,MATCH(SMALL('Content Calendar'!$AK$5:$AK$604,1),'Content Calendar'!$AK$5:$AK$604,0)),"")</f>
        <v>0</v>
      </c>
      <c r="J29" s="17">
        <f>IFERROR(INDEX('Content Calendar'!$G$5:$G$604,MATCH(SMALL('Content Calendar'!$AK$5:$AK$604,1),'Content Calendar'!$AK$5:$AK$604,0)),"")</f>
        <v>0</v>
      </c>
      <c r="K29" s="17">
        <f>IFERROR(INDEX('Content Calendar'!$H$5:$H$604,MATCH(SMALL('Content Calendar'!$AK$5:$AK$604,1),'Content Calendar'!$AK$5:$AK$604,0)),"")</f>
        <v>0</v>
      </c>
      <c r="L29" s="29">
        <f>IFERROR(INDEX('Content Calendar'!$X$5:$X$604,MATCH(SMALL('Content Calendar'!$AK$5:$AK$604,1),'Content Calendar'!$AK$5:$AK$604,0)),"")</f>
        <v>0</v>
      </c>
      <c r="M29" s="17">
        <f>IFERROR(INDEX('Content Calendar'!$W$5:$W$604,MATCH(SMALL('Content Calendar'!$AK$5:$AK$604,1),'Content Calendar'!$AK$5:$AK$604,0)),"")</f>
        <v>0</v>
      </c>
      <c r="N29" s="23">
        <f>IFERROR(-INDEX('Content Calendar'!$AA$5:$AA$604,MATCH(SMALL('Content Calendar'!$AK$5:$AK$604,1),'Content Calendar'!$AK$5:$AK$604,0)),"")</f>
        <v>0</v>
      </c>
    </row>
    <row r="30" spans="1:16">
      <c r="A30" s="16">
        <f>IFERROR(INDEX('Content Calendar'!$B$5:$B$604,MATCH(SMALL('Content Calendar'!$AJ$5:$AJ$604,2),'Content Calendar'!$AJ$5:$AJ$604,0)),"")</f>
        <v>0</v>
      </c>
      <c r="B30" s="17">
        <f>IFERROR(INDEX('Content Calendar'!$G$5:$G$604,MATCH(SMALL('Content Calendar'!$AJ$5:$AJ$604,2),'Content Calendar'!$AJ$5:$AJ$604,0)),"")</f>
        <v>0</v>
      </c>
      <c r="C30" s="17">
        <f>IFERROR(INDEX('Content Calendar'!$H$5:$H$604,MATCH(SMALL('Content Calendar'!$AJ$5:$AJ$604,2),'Content Calendar'!$AJ$5:$AJ$604,0)),"")</f>
        <v>0</v>
      </c>
      <c r="D30" s="29">
        <f>IFERROR(INDEX('Content Calendar'!$X$5:$X$604,MATCH(SMALL('Content Calendar'!$AJ$5:$AJ$604,2),'Content Calendar'!$AJ$5:$AJ$604,0)),"")</f>
        <v>0</v>
      </c>
      <c r="E30" s="17">
        <f>IFERROR(INDEX('Content Calendar'!$W$5:$W$604,MATCH(SMALL('Content Calendar'!$AJ$5:$AJ$604,2),'Content Calendar'!$AJ$5:$AJ$604,0)),"")</f>
        <v>0</v>
      </c>
      <c r="F30" s="23">
        <f>IFERROR(INDEX('Content Calendar'!$AA$5:$AA$604,MATCH(SMALL('Content Calendar'!$AJ$5:$AJ$604,2),'Content Calendar'!$AJ$5:$AJ$604,0)),"")</f>
        <v>0</v>
      </c>
      <c r="I30" s="16">
        <f>IFERROR(INDEX('Content Calendar'!$B$5:$B$604,MATCH(SMALL('Content Calendar'!$AK$5:$AK$604,2),'Content Calendar'!$AK$5:$AK$604,0)),"")</f>
        <v>0</v>
      </c>
      <c r="J30" s="17">
        <f>IFERROR(INDEX('Content Calendar'!$G$5:$G$604,MATCH(SMALL('Content Calendar'!$AK$5:$AK$604,2),'Content Calendar'!$AK$5:$AK$604,0)),"")</f>
        <v>0</v>
      </c>
      <c r="K30" s="17">
        <f>IFERROR(INDEX('Content Calendar'!$H$5:$H$604,MATCH(SMALL('Content Calendar'!$AK$5:$AK$604,2),'Content Calendar'!$AK$5:$AK$604,0)),"")</f>
        <v>0</v>
      </c>
      <c r="L30" s="29">
        <f>IFERROR(INDEX('Content Calendar'!$X$5:$X$604,MATCH(SMALL('Content Calendar'!$AK$5:$AK$604,2),'Content Calendar'!$AK$5:$AK$604,0)),"")</f>
        <v>0</v>
      </c>
      <c r="M30" s="17">
        <f>IFERROR(INDEX('Content Calendar'!$W$5:$W$604,MATCH(SMALL('Content Calendar'!$AK$5:$AK$604,2),'Content Calendar'!$AK$5:$AK$604,0)),"")</f>
        <v>0</v>
      </c>
      <c r="N30" s="23">
        <f>IFERROR(-INDEX('Content Calendar'!$AA$5:$AA$604,MATCH(SMALL('Content Calendar'!$AK$5:$AK$604,2),'Content Calendar'!$AK$5:$AK$604,0)),"")</f>
        <v>0</v>
      </c>
    </row>
    <row r="31" spans="1:16">
      <c r="A31" s="16">
        <f>IFERROR(INDEX('Content Calendar'!$B$5:$B$604,MATCH(SMALL('Content Calendar'!$AJ$5:$AJ$604,3),'Content Calendar'!$AJ$5:$AJ$604,0)),"")</f>
        <v>0</v>
      </c>
      <c r="B31" s="17">
        <f>IFERROR(INDEX('Content Calendar'!$G$5:$G$604,MATCH(SMALL('Content Calendar'!$AJ$5:$AJ$604,3),'Content Calendar'!$AJ$5:$AJ$604,0)),"")</f>
        <v>0</v>
      </c>
      <c r="C31" s="17">
        <f>IFERROR(INDEX('Content Calendar'!$H$5:$H$604,MATCH(SMALL('Content Calendar'!$AJ$5:$AJ$604,3),'Content Calendar'!$AJ$5:$AJ$604,0)),"")</f>
        <v>0</v>
      </c>
      <c r="D31" s="29">
        <f>IFERROR(INDEX('Content Calendar'!$X$5:$X$604,MATCH(SMALL('Content Calendar'!$AJ$5:$AJ$604,3),'Content Calendar'!$AJ$5:$AJ$604,0)),"")</f>
        <v>0</v>
      </c>
      <c r="E31" s="17">
        <f>IFERROR(INDEX('Content Calendar'!$W$5:$W$604,MATCH(SMALL('Content Calendar'!$AJ$5:$AJ$604,3),'Content Calendar'!$AJ$5:$AJ$604,0)),"")</f>
        <v>0</v>
      </c>
      <c r="F31" s="23">
        <f>IFERROR(INDEX('Content Calendar'!$AA$5:$AA$604,MATCH(SMALL('Content Calendar'!$AJ$5:$AJ$604,3),'Content Calendar'!$AJ$5:$AJ$604,0)),"")</f>
        <v>0</v>
      </c>
      <c r="I31" s="16">
        <f>IFERROR(INDEX('Content Calendar'!$B$5:$B$604,MATCH(SMALL('Content Calendar'!$AK$5:$AK$604,3),'Content Calendar'!$AK$5:$AK$604,0)),"")</f>
        <v>0</v>
      </c>
      <c r="J31" s="17">
        <f>IFERROR(INDEX('Content Calendar'!$G$5:$G$604,MATCH(SMALL('Content Calendar'!$AK$5:$AK$604,3),'Content Calendar'!$AK$5:$AK$604,0)),"")</f>
        <v>0</v>
      </c>
      <c r="K31" s="17">
        <f>IFERROR(INDEX('Content Calendar'!$H$5:$H$604,MATCH(SMALL('Content Calendar'!$AK$5:$AK$604,3),'Content Calendar'!$AK$5:$AK$604,0)),"")</f>
        <v>0</v>
      </c>
      <c r="L31" s="29">
        <f>IFERROR(INDEX('Content Calendar'!$X$5:$X$604,MATCH(SMALL('Content Calendar'!$AK$5:$AK$604,3),'Content Calendar'!$AK$5:$AK$604,0)),"")</f>
        <v>0</v>
      </c>
      <c r="M31" s="17">
        <f>IFERROR(INDEX('Content Calendar'!$W$5:$W$604,MATCH(SMALL('Content Calendar'!$AK$5:$AK$604,3),'Content Calendar'!$AK$5:$AK$604,0)),"")</f>
        <v>0</v>
      </c>
      <c r="N31" s="23">
        <f>IFERROR(-INDEX('Content Calendar'!$AA$5:$AA$604,MATCH(SMALL('Content Calendar'!$AK$5:$AK$604,3),'Content Calendar'!$AK$5:$AK$604,0)),"")</f>
        <v>0</v>
      </c>
    </row>
    <row r="32" spans="1:16">
      <c r="A32" s="16">
        <f>IFERROR(INDEX('Content Calendar'!$B$5:$B$604,MATCH(SMALL('Content Calendar'!$AJ$5:$AJ$604,4),'Content Calendar'!$AJ$5:$AJ$604,0)),"")</f>
        <v>0</v>
      </c>
      <c r="B32" s="17">
        <f>IFERROR(INDEX('Content Calendar'!$G$5:$G$604,MATCH(SMALL('Content Calendar'!$AJ$5:$AJ$604,4),'Content Calendar'!$AJ$5:$AJ$604,0)),"")</f>
        <v>0</v>
      </c>
      <c r="C32" s="17">
        <f>IFERROR(INDEX('Content Calendar'!$H$5:$H$604,MATCH(SMALL('Content Calendar'!$AJ$5:$AJ$604,4),'Content Calendar'!$AJ$5:$AJ$604,0)),"")</f>
        <v>0</v>
      </c>
      <c r="D32" s="29">
        <f>IFERROR(INDEX('Content Calendar'!$X$5:$X$604,MATCH(SMALL('Content Calendar'!$AJ$5:$AJ$604,4),'Content Calendar'!$AJ$5:$AJ$604,0)),"")</f>
        <v>0</v>
      </c>
      <c r="E32" s="17">
        <f>IFERROR(INDEX('Content Calendar'!$W$5:$W$604,MATCH(SMALL('Content Calendar'!$AJ$5:$AJ$604,4),'Content Calendar'!$AJ$5:$AJ$604,0)),"")</f>
        <v>0</v>
      </c>
      <c r="F32" s="23">
        <f>IFERROR(INDEX('Content Calendar'!$AA$5:$AA$604,MATCH(SMALL('Content Calendar'!$AJ$5:$AJ$604,4),'Content Calendar'!$AJ$5:$AJ$604,0)),"")</f>
        <v>0</v>
      </c>
      <c r="I32" s="16">
        <f>IFERROR(INDEX('Content Calendar'!$B$5:$B$604,MATCH(SMALL('Content Calendar'!$AK$5:$AK$604,4),'Content Calendar'!$AK$5:$AK$604,0)),"")</f>
        <v>0</v>
      </c>
      <c r="J32" s="17">
        <f>IFERROR(INDEX('Content Calendar'!$G$5:$G$604,MATCH(SMALL('Content Calendar'!$AK$5:$AK$604,4),'Content Calendar'!$AK$5:$AK$604,0)),"")</f>
        <v>0</v>
      </c>
      <c r="K32" s="17">
        <f>IFERROR(INDEX('Content Calendar'!$H$5:$H$604,MATCH(SMALL('Content Calendar'!$AK$5:$AK$604,4),'Content Calendar'!$AK$5:$AK$604,0)),"")</f>
        <v>0</v>
      </c>
      <c r="L32" s="29">
        <f>IFERROR(INDEX('Content Calendar'!$X$5:$X$604,MATCH(SMALL('Content Calendar'!$AK$5:$AK$604,4),'Content Calendar'!$AK$5:$AK$604,0)),"")</f>
        <v>0</v>
      </c>
      <c r="M32" s="17">
        <f>IFERROR(INDEX('Content Calendar'!$W$5:$W$604,MATCH(SMALL('Content Calendar'!$AK$5:$AK$604,4),'Content Calendar'!$AK$5:$AK$604,0)),"")</f>
        <v>0</v>
      </c>
      <c r="N32" s="23">
        <f>IFERROR(-INDEX('Content Calendar'!$AA$5:$AA$604,MATCH(SMALL('Content Calendar'!$AK$5:$AK$604,4),'Content Calendar'!$AK$5:$AK$604,0)),"")</f>
        <v>0</v>
      </c>
    </row>
    <row r="33" spans="1:16">
      <c r="A33" s="16">
        <f>IFERROR(INDEX('Content Calendar'!$B$5:$B$604,MATCH(SMALL('Content Calendar'!$AJ$5:$AJ$604,5),'Content Calendar'!$AJ$5:$AJ$604,0)),"")</f>
        <v>0</v>
      </c>
      <c r="B33" s="17">
        <f>IFERROR(INDEX('Content Calendar'!$G$5:$G$604,MATCH(SMALL('Content Calendar'!$AJ$5:$AJ$604,5),'Content Calendar'!$AJ$5:$AJ$604,0)),"")</f>
        <v>0</v>
      </c>
      <c r="C33" s="17">
        <f>IFERROR(INDEX('Content Calendar'!$H$5:$H$604,MATCH(SMALL('Content Calendar'!$AJ$5:$AJ$604,5),'Content Calendar'!$AJ$5:$AJ$604,0)),"")</f>
        <v>0</v>
      </c>
      <c r="D33" s="29">
        <f>IFERROR(INDEX('Content Calendar'!$X$5:$X$604,MATCH(SMALL('Content Calendar'!$AJ$5:$AJ$604,5),'Content Calendar'!$AJ$5:$AJ$604,0)),"")</f>
        <v>0</v>
      </c>
      <c r="E33" s="17">
        <f>IFERROR(INDEX('Content Calendar'!$W$5:$W$604,MATCH(SMALL('Content Calendar'!$AJ$5:$AJ$604,5),'Content Calendar'!$AJ$5:$AJ$604,0)),"")</f>
        <v>0</v>
      </c>
      <c r="F33" s="23">
        <f>IFERROR(INDEX('Content Calendar'!$AA$5:$AA$604,MATCH(SMALL('Content Calendar'!$AJ$5:$AJ$604,5),'Content Calendar'!$AJ$5:$AJ$604,0)),"")</f>
        <v>0</v>
      </c>
      <c r="I33" s="16">
        <f>IFERROR(INDEX('Content Calendar'!$B$5:$B$604,MATCH(SMALL('Content Calendar'!$AK$5:$AK$604,5),'Content Calendar'!$AK$5:$AK$604,0)),"")</f>
        <v>0</v>
      </c>
      <c r="J33" s="17">
        <f>IFERROR(INDEX('Content Calendar'!$G$5:$G$604,MATCH(SMALL('Content Calendar'!$AK$5:$AK$604,5),'Content Calendar'!$AK$5:$AK$604,0)),"")</f>
        <v>0</v>
      </c>
      <c r="K33" s="17">
        <f>IFERROR(INDEX('Content Calendar'!$H$5:$H$604,MATCH(SMALL('Content Calendar'!$AK$5:$AK$604,5),'Content Calendar'!$AK$5:$AK$604,0)),"")</f>
        <v>0</v>
      </c>
      <c r="L33" s="29">
        <f>IFERROR(INDEX('Content Calendar'!$X$5:$X$604,MATCH(SMALL('Content Calendar'!$AK$5:$AK$604,5),'Content Calendar'!$AK$5:$AK$604,0)),"")</f>
        <v>0</v>
      </c>
      <c r="M33" s="17">
        <f>IFERROR(INDEX('Content Calendar'!$W$5:$W$604,MATCH(SMALL('Content Calendar'!$AK$5:$AK$604,5),'Content Calendar'!$AK$5:$AK$604,0)),"")</f>
        <v>0</v>
      </c>
      <c r="N33" s="23">
        <f>IFERROR(-INDEX('Content Calendar'!$AA$5:$AA$604,MATCH(SMALL('Content Calendar'!$AK$5:$AK$604,5),'Content Calendar'!$AK$5:$AK$604,0)),"")</f>
        <v>0</v>
      </c>
    </row>
    <row r="34" spans="1:16">
      <c r="A34" s="16">
        <f>IFERROR(INDEX('Content Calendar'!$B$5:$B$604,MATCH(SMALL('Content Calendar'!$AJ$5:$AJ$604,6),'Content Calendar'!$AJ$5:$AJ$604,0)),"")</f>
        <v>0</v>
      </c>
      <c r="B34" s="17">
        <f>IFERROR(INDEX('Content Calendar'!$G$5:$G$604,MATCH(SMALL('Content Calendar'!$AJ$5:$AJ$604,6),'Content Calendar'!$AJ$5:$AJ$604,0)),"")</f>
        <v>0</v>
      </c>
      <c r="C34" s="17">
        <f>IFERROR(INDEX('Content Calendar'!$H$5:$H$604,MATCH(SMALL('Content Calendar'!$AJ$5:$AJ$604,6),'Content Calendar'!$AJ$5:$AJ$604,0)),"")</f>
        <v>0</v>
      </c>
      <c r="D34" s="29">
        <f>IFERROR(INDEX('Content Calendar'!$X$5:$X$604,MATCH(SMALL('Content Calendar'!$AJ$5:$AJ$604,6),'Content Calendar'!$AJ$5:$AJ$604,0)),"")</f>
        <v>0</v>
      </c>
      <c r="E34" s="17">
        <f>IFERROR(INDEX('Content Calendar'!$W$5:$W$604,MATCH(SMALL('Content Calendar'!$AJ$5:$AJ$604,6),'Content Calendar'!$AJ$5:$AJ$604,0)),"")</f>
        <v>0</v>
      </c>
      <c r="F34" s="23">
        <f>IFERROR(INDEX('Content Calendar'!$AA$5:$AA$604,MATCH(SMALL('Content Calendar'!$AJ$5:$AJ$604,6),'Content Calendar'!$AJ$5:$AJ$604,0)),"")</f>
        <v>0</v>
      </c>
      <c r="I34" s="16">
        <f>IFERROR(INDEX('Content Calendar'!$B$5:$B$604,MATCH(SMALL('Content Calendar'!$AK$5:$AK$604,6),'Content Calendar'!$AK$5:$AK$604,0)),"")</f>
        <v>0</v>
      </c>
      <c r="J34" s="17">
        <f>IFERROR(INDEX('Content Calendar'!$G$5:$G$604,MATCH(SMALL('Content Calendar'!$AK$5:$AK$604,6),'Content Calendar'!$AK$5:$AK$604,0)),"")</f>
        <v>0</v>
      </c>
      <c r="K34" s="17">
        <f>IFERROR(INDEX('Content Calendar'!$H$5:$H$604,MATCH(SMALL('Content Calendar'!$AK$5:$AK$604,6),'Content Calendar'!$AK$5:$AK$604,0)),"")</f>
        <v>0</v>
      </c>
      <c r="L34" s="29">
        <f>IFERROR(INDEX('Content Calendar'!$X$5:$X$604,MATCH(SMALL('Content Calendar'!$AK$5:$AK$604,6),'Content Calendar'!$AK$5:$AK$604,0)),"")</f>
        <v>0</v>
      </c>
      <c r="M34" s="17">
        <f>IFERROR(INDEX('Content Calendar'!$W$5:$W$604,MATCH(SMALL('Content Calendar'!$AK$5:$AK$604,6),'Content Calendar'!$AK$5:$AK$604,0)),"")</f>
        <v>0</v>
      </c>
      <c r="N34" s="23">
        <f>IFERROR(-INDEX('Content Calendar'!$AA$5:$AA$604,MATCH(SMALL('Content Calendar'!$AK$5:$AK$604,6),'Content Calendar'!$AK$5:$AK$604,0)),"")</f>
        <v>0</v>
      </c>
    </row>
    <row r="35" spans="1:16">
      <c r="A35" s="16">
        <f>IFERROR(INDEX('Content Calendar'!$B$5:$B$604,MATCH(SMALL('Content Calendar'!$AJ$5:$AJ$604,7),'Content Calendar'!$AJ$5:$AJ$604,0)),"")</f>
        <v>0</v>
      </c>
      <c r="B35" s="17">
        <f>IFERROR(INDEX('Content Calendar'!$G$5:$G$604,MATCH(SMALL('Content Calendar'!$AJ$5:$AJ$604,7),'Content Calendar'!$AJ$5:$AJ$604,0)),"")</f>
        <v>0</v>
      </c>
      <c r="C35" s="17">
        <f>IFERROR(INDEX('Content Calendar'!$H$5:$H$604,MATCH(SMALL('Content Calendar'!$AJ$5:$AJ$604,7),'Content Calendar'!$AJ$5:$AJ$604,0)),"")</f>
        <v>0</v>
      </c>
      <c r="D35" s="29">
        <f>IFERROR(INDEX('Content Calendar'!$X$5:$X$604,MATCH(SMALL('Content Calendar'!$AJ$5:$AJ$604,7),'Content Calendar'!$AJ$5:$AJ$604,0)),"")</f>
        <v>0</v>
      </c>
      <c r="E35" s="17">
        <f>IFERROR(INDEX('Content Calendar'!$W$5:$W$604,MATCH(SMALL('Content Calendar'!$AJ$5:$AJ$604,7),'Content Calendar'!$AJ$5:$AJ$604,0)),"")</f>
        <v>0</v>
      </c>
      <c r="F35" s="23">
        <f>IFERROR(INDEX('Content Calendar'!$AA$5:$AA$604,MATCH(SMALL('Content Calendar'!$AJ$5:$AJ$604,7),'Content Calendar'!$AJ$5:$AJ$604,0)),"")</f>
        <v>0</v>
      </c>
      <c r="I35" s="16">
        <f>IFERROR(INDEX('Content Calendar'!$B$5:$B$604,MATCH(SMALL('Content Calendar'!$AK$5:$AK$604,7),'Content Calendar'!$AK$5:$AK$604,0)),"")</f>
        <v>0</v>
      </c>
      <c r="J35" s="17">
        <f>IFERROR(INDEX('Content Calendar'!$G$5:$G$604,MATCH(SMALL('Content Calendar'!$AK$5:$AK$604,7),'Content Calendar'!$AK$5:$AK$604,0)),"")</f>
        <v>0</v>
      </c>
      <c r="K35" s="17">
        <f>IFERROR(INDEX('Content Calendar'!$H$5:$H$604,MATCH(SMALL('Content Calendar'!$AK$5:$AK$604,7),'Content Calendar'!$AK$5:$AK$604,0)),"")</f>
        <v>0</v>
      </c>
      <c r="L35" s="29">
        <f>IFERROR(INDEX('Content Calendar'!$X$5:$X$604,MATCH(SMALL('Content Calendar'!$AK$5:$AK$604,7),'Content Calendar'!$AK$5:$AK$604,0)),"")</f>
        <v>0</v>
      </c>
      <c r="M35" s="17">
        <f>IFERROR(INDEX('Content Calendar'!$W$5:$W$604,MATCH(SMALL('Content Calendar'!$AK$5:$AK$604,7),'Content Calendar'!$AK$5:$AK$604,0)),"")</f>
        <v>0</v>
      </c>
      <c r="N35" s="23">
        <f>IFERROR(-INDEX('Content Calendar'!$AA$5:$AA$604,MATCH(SMALL('Content Calendar'!$AK$5:$AK$604,7),'Content Calendar'!$AK$5:$AK$604,0)),"")</f>
        <v>0</v>
      </c>
    </row>
    <row r="36" spans="1:16">
      <c r="A36" s="16">
        <f>IFERROR(INDEX('Content Calendar'!$B$5:$B$604,MATCH(SMALL('Content Calendar'!$AJ$5:$AJ$604,8),'Content Calendar'!$AJ$5:$AJ$604,0)),"")</f>
        <v>0</v>
      </c>
      <c r="B36" s="17">
        <f>IFERROR(INDEX('Content Calendar'!$G$5:$G$604,MATCH(SMALL('Content Calendar'!$AJ$5:$AJ$604,8),'Content Calendar'!$AJ$5:$AJ$604,0)),"")</f>
        <v>0</v>
      </c>
      <c r="C36" s="17">
        <f>IFERROR(INDEX('Content Calendar'!$H$5:$H$604,MATCH(SMALL('Content Calendar'!$AJ$5:$AJ$604,8),'Content Calendar'!$AJ$5:$AJ$604,0)),"")</f>
        <v>0</v>
      </c>
      <c r="D36" s="29">
        <f>IFERROR(INDEX('Content Calendar'!$X$5:$X$604,MATCH(SMALL('Content Calendar'!$AJ$5:$AJ$604,8),'Content Calendar'!$AJ$5:$AJ$604,0)),"")</f>
        <v>0</v>
      </c>
      <c r="E36" s="17">
        <f>IFERROR(INDEX('Content Calendar'!$W$5:$W$604,MATCH(SMALL('Content Calendar'!$AJ$5:$AJ$604,8),'Content Calendar'!$AJ$5:$AJ$604,0)),"")</f>
        <v>0</v>
      </c>
      <c r="F36" s="23">
        <f>IFERROR(INDEX('Content Calendar'!$AA$5:$AA$604,MATCH(SMALL('Content Calendar'!$AJ$5:$AJ$604,8),'Content Calendar'!$AJ$5:$AJ$604,0)),"")</f>
        <v>0</v>
      </c>
      <c r="I36" s="16">
        <f>IFERROR(INDEX('Content Calendar'!$B$5:$B$604,MATCH(SMALL('Content Calendar'!$AK$5:$AK$604,8),'Content Calendar'!$AK$5:$AK$604,0)),"")</f>
        <v>0</v>
      </c>
      <c r="J36" s="17">
        <f>IFERROR(INDEX('Content Calendar'!$G$5:$G$604,MATCH(SMALL('Content Calendar'!$AK$5:$AK$604,8),'Content Calendar'!$AK$5:$AK$604,0)),"")</f>
        <v>0</v>
      </c>
      <c r="K36" s="17">
        <f>IFERROR(INDEX('Content Calendar'!$H$5:$H$604,MATCH(SMALL('Content Calendar'!$AK$5:$AK$604,8),'Content Calendar'!$AK$5:$AK$604,0)),"")</f>
        <v>0</v>
      </c>
      <c r="L36" s="29">
        <f>IFERROR(INDEX('Content Calendar'!$X$5:$X$604,MATCH(SMALL('Content Calendar'!$AK$5:$AK$604,8),'Content Calendar'!$AK$5:$AK$604,0)),"")</f>
        <v>0</v>
      </c>
      <c r="M36" s="17">
        <f>IFERROR(INDEX('Content Calendar'!$W$5:$W$604,MATCH(SMALL('Content Calendar'!$AK$5:$AK$604,8),'Content Calendar'!$AK$5:$AK$604,0)),"")</f>
        <v>0</v>
      </c>
      <c r="N36" s="23">
        <f>IFERROR(-INDEX('Content Calendar'!$AA$5:$AA$604,MATCH(SMALL('Content Calendar'!$AK$5:$AK$604,8),'Content Calendar'!$AK$5:$AK$604,0)),"")</f>
        <v>0</v>
      </c>
    </row>
    <row r="37" spans="1:16">
      <c r="A37" s="16">
        <f>IFERROR(INDEX('Content Calendar'!$B$5:$B$604,MATCH(SMALL('Content Calendar'!$AJ$5:$AJ$604,9),'Content Calendar'!$AJ$5:$AJ$604,0)),"")</f>
        <v>0</v>
      </c>
      <c r="B37" s="17">
        <f>IFERROR(INDEX('Content Calendar'!$G$5:$G$604,MATCH(SMALL('Content Calendar'!$AJ$5:$AJ$604,9),'Content Calendar'!$AJ$5:$AJ$604,0)),"")</f>
        <v>0</v>
      </c>
      <c r="C37" s="17">
        <f>IFERROR(INDEX('Content Calendar'!$H$5:$H$604,MATCH(SMALL('Content Calendar'!$AJ$5:$AJ$604,9),'Content Calendar'!$AJ$5:$AJ$604,0)),"")</f>
        <v>0</v>
      </c>
      <c r="D37" s="29">
        <f>IFERROR(INDEX('Content Calendar'!$X$5:$X$604,MATCH(SMALL('Content Calendar'!$AJ$5:$AJ$604,9),'Content Calendar'!$AJ$5:$AJ$604,0)),"")</f>
        <v>0</v>
      </c>
      <c r="E37" s="17">
        <f>IFERROR(INDEX('Content Calendar'!$W$5:$W$604,MATCH(SMALL('Content Calendar'!$AJ$5:$AJ$604,9),'Content Calendar'!$AJ$5:$AJ$604,0)),"")</f>
        <v>0</v>
      </c>
      <c r="F37" s="23">
        <f>IFERROR(INDEX('Content Calendar'!$AA$5:$AA$604,MATCH(SMALL('Content Calendar'!$AJ$5:$AJ$604,9),'Content Calendar'!$AJ$5:$AJ$604,0)),"")</f>
        <v>0</v>
      </c>
      <c r="I37" s="16">
        <f>IFERROR(INDEX('Content Calendar'!$B$5:$B$604,MATCH(SMALL('Content Calendar'!$AK$5:$AK$604,9),'Content Calendar'!$AK$5:$AK$604,0)),"")</f>
        <v>0</v>
      </c>
      <c r="J37" s="17">
        <f>IFERROR(INDEX('Content Calendar'!$G$5:$G$604,MATCH(SMALL('Content Calendar'!$AK$5:$AK$604,9),'Content Calendar'!$AK$5:$AK$604,0)),"")</f>
        <v>0</v>
      </c>
      <c r="K37" s="17">
        <f>IFERROR(INDEX('Content Calendar'!$H$5:$H$604,MATCH(SMALL('Content Calendar'!$AK$5:$AK$604,9),'Content Calendar'!$AK$5:$AK$604,0)),"")</f>
        <v>0</v>
      </c>
      <c r="L37" s="29">
        <f>IFERROR(INDEX('Content Calendar'!$X$5:$X$604,MATCH(SMALL('Content Calendar'!$AK$5:$AK$604,9),'Content Calendar'!$AK$5:$AK$604,0)),"")</f>
        <v>0</v>
      </c>
      <c r="M37" s="17">
        <f>IFERROR(INDEX('Content Calendar'!$W$5:$W$604,MATCH(SMALL('Content Calendar'!$AK$5:$AK$604,9),'Content Calendar'!$AK$5:$AK$604,0)),"")</f>
        <v>0</v>
      </c>
      <c r="N37" s="23">
        <f>IFERROR(-INDEX('Content Calendar'!$AA$5:$AA$604,MATCH(SMALL('Content Calendar'!$AK$5:$AK$604,9),'Content Calendar'!$AK$5:$AK$604,0)),"")</f>
        <v>0</v>
      </c>
    </row>
    <row r="38" spans="1:16">
      <c r="A38" s="16">
        <f>IFERROR(INDEX('Content Calendar'!$B$5:$B$604,MATCH(SMALL('Content Calendar'!$AJ$5:$AJ$604,10),'Content Calendar'!$AJ$5:$AJ$604,0)),"")</f>
        <v>0</v>
      </c>
      <c r="B38" s="17">
        <f>IFERROR(INDEX('Content Calendar'!$G$5:$G$604,MATCH(SMALL('Content Calendar'!$AJ$5:$AJ$604,10),'Content Calendar'!$AJ$5:$AJ$604,0)),"")</f>
        <v>0</v>
      </c>
      <c r="C38" s="17">
        <f>IFERROR(INDEX('Content Calendar'!$H$5:$H$604,MATCH(SMALL('Content Calendar'!$AJ$5:$AJ$604,10),'Content Calendar'!$AJ$5:$AJ$604,0)),"")</f>
        <v>0</v>
      </c>
      <c r="D38" s="29">
        <f>IFERROR(INDEX('Content Calendar'!$X$5:$X$604,MATCH(SMALL('Content Calendar'!$AJ$5:$AJ$604,10),'Content Calendar'!$AJ$5:$AJ$604,0)),"")</f>
        <v>0</v>
      </c>
      <c r="E38" s="17">
        <f>IFERROR(INDEX('Content Calendar'!$W$5:$W$604,MATCH(SMALL('Content Calendar'!$AJ$5:$AJ$604,10),'Content Calendar'!$AJ$5:$AJ$604,0)),"")</f>
        <v>0</v>
      </c>
      <c r="F38" s="23">
        <f>IFERROR(INDEX('Content Calendar'!$AA$5:$AA$604,MATCH(SMALL('Content Calendar'!$AJ$5:$AJ$604,10),'Content Calendar'!$AJ$5:$AJ$604,0)),"")</f>
        <v>0</v>
      </c>
      <c r="I38" s="16">
        <f>IFERROR(INDEX('Content Calendar'!$B$5:$B$604,MATCH(SMALL('Content Calendar'!$AK$5:$AK$604,10),'Content Calendar'!$AK$5:$AK$604,0)),"")</f>
        <v>0</v>
      </c>
      <c r="J38" s="17">
        <f>IFERROR(INDEX('Content Calendar'!$G$5:$G$604,MATCH(SMALL('Content Calendar'!$AK$5:$AK$604,10),'Content Calendar'!$AK$5:$AK$604,0)),"")</f>
        <v>0</v>
      </c>
      <c r="K38" s="17">
        <f>IFERROR(INDEX('Content Calendar'!$H$5:$H$604,MATCH(SMALL('Content Calendar'!$AK$5:$AK$604,10),'Content Calendar'!$AK$5:$AK$604,0)),"")</f>
        <v>0</v>
      </c>
      <c r="L38" s="29">
        <f>IFERROR(INDEX('Content Calendar'!$X$5:$X$604,MATCH(SMALL('Content Calendar'!$AK$5:$AK$604,10),'Content Calendar'!$AK$5:$AK$604,0)),"")</f>
        <v>0</v>
      </c>
      <c r="M38" s="17">
        <f>IFERROR(INDEX('Content Calendar'!$W$5:$W$604,MATCH(SMALL('Content Calendar'!$AK$5:$AK$604,10),'Content Calendar'!$AK$5:$AK$604,0)),"")</f>
        <v>0</v>
      </c>
      <c r="N38" s="23">
        <f>IFERROR(-INDEX('Content Calendar'!$AA$5:$AA$604,MATCH(SMALL('Content Calendar'!$AK$5:$AK$604,10),'Content Calendar'!$AK$5:$AK$604,0)),"")</f>
        <v>0</v>
      </c>
    </row>
    <row r="39" spans="1:16">
      <c r="A39" s="16">
        <f>IFERROR(INDEX('Content Calendar'!$B$5:$B$604,MATCH(SMALL('Content Calendar'!$AJ$5:$AJ$604,11),'Content Calendar'!$AJ$5:$AJ$604,0)),"")</f>
        <v>0</v>
      </c>
      <c r="B39" s="17">
        <f>IFERROR(INDEX('Content Calendar'!$G$5:$G$604,MATCH(SMALL('Content Calendar'!$AJ$5:$AJ$604,11),'Content Calendar'!$AJ$5:$AJ$604,0)),"")</f>
        <v>0</v>
      </c>
      <c r="C39" s="17">
        <f>IFERROR(INDEX('Content Calendar'!$H$5:$H$604,MATCH(SMALL('Content Calendar'!$AJ$5:$AJ$604,11),'Content Calendar'!$AJ$5:$AJ$604,0)),"")</f>
        <v>0</v>
      </c>
      <c r="D39" s="29">
        <f>IFERROR(INDEX('Content Calendar'!$X$5:$X$604,MATCH(SMALL('Content Calendar'!$AJ$5:$AJ$604,11),'Content Calendar'!$AJ$5:$AJ$604,0)),"")</f>
        <v>0</v>
      </c>
      <c r="E39" s="17">
        <f>IFERROR(INDEX('Content Calendar'!$W$5:$W$604,MATCH(SMALL('Content Calendar'!$AJ$5:$AJ$604,11),'Content Calendar'!$AJ$5:$AJ$604,0)),"")</f>
        <v>0</v>
      </c>
      <c r="F39" s="23">
        <f>IFERROR(INDEX('Content Calendar'!$AA$5:$AA$604,MATCH(SMALL('Content Calendar'!$AJ$5:$AJ$604,11),'Content Calendar'!$AJ$5:$AJ$604,0)),"")</f>
        <v>0</v>
      </c>
      <c r="I39" s="16">
        <f>IFERROR(INDEX('Content Calendar'!$B$5:$B$604,MATCH(SMALL('Content Calendar'!$AK$5:$AK$604,11),'Content Calendar'!$AK$5:$AK$604,0)),"")</f>
        <v>0</v>
      </c>
      <c r="J39" s="17">
        <f>IFERROR(INDEX('Content Calendar'!$G$5:$G$604,MATCH(SMALL('Content Calendar'!$AK$5:$AK$604,11),'Content Calendar'!$AK$5:$AK$604,0)),"")</f>
        <v>0</v>
      </c>
      <c r="K39" s="17">
        <f>IFERROR(INDEX('Content Calendar'!$H$5:$H$604,MATCH(SMALL('Content Calendar'!$AK$5:$AK$604,11),'Content Calendar'!$AK$5:$AK$604,0)),"")</f>
        <v>0</v>
      </c>
      <c r="L39" s="29">
        <f>IFERROR(INDEX('Content Calendar'!$X$5:$X$604,MATCH(SMALL('Content Calendar'!$AK$5:$AK$604,11),'Content Calendar'!$AK$5:$AK$604,0)),"")</f>
        <v>0</v>
      </c>
      <c r="M39" s="17">
        <f>IFERROR(INDEX('Content Calendar'!$W$5:$W$604,MATCH(SMALL('Content Calendar'!$AK$5:$AK$604,11),'Content Calendar'!$AK$5:$AK$604,0)),"")</f>
        <v>0</v>
      </c>
      <c r="N39" s="23">
        <f>IFERROR(-INDEX('Content Calendar'!$AA$5:$AA$604,MATCH(SMALL('Content Calendar'!$AK$5:$AK$604,11),'Content Calendar'!$AK$5:$AK$604,0)),"")</f>
        <v>0</v>
      </c>
    </row>
    <row r="40" spans="1:16">
      <c r="A40" s="16">
        <f>IFERROR(INDEX('Content Calendar'!$B$5:$B$604,MATCH(SMALL('Content Calendar'!$AJ$5:$AJ$604,12),'Content Calendar'!$AJ$5:$AJ$604,0)),"")</f>
        <v>0</v>
      </c>
      <c r="B40" s="17">
        <f>IFERROR(INDEX('Content Calendar'!$G$5:$G$604,MATCH(SMALL('Content Calendar'!$AJ$5:$AJ$604,12),'Content Calendar'!$AJ$5:$AJ$604,0)),"")</f>
        <v>0</v>
      </c>
      <c r="C40" s="17">
        <f>IFERROR(INDEX('Content Calendar'!$H$5:$H$604,MATCH(SMALL('Content Calendar'!$AJ$5:$AJ$604,12),'Content Calendar'!$AJ$5:$AJ$604,0)),"")</f>
        <v>0</v>
      </c>
      <c r="D40" s="29">
        <f>IFERROR(INDEX('Content Calendar'!$X$5:$X$604,MATCH(SMALL('Content Calendar'!$AJ$5:$AJ$604,12),'Content Calendar'!$AJ$5:$AJ$604,0)),"")</f>
        <v>0</v>
      </c>
      <c r="E40" s="17">
        <f>IFERROR(INDEX('Content Calendar'!$W$5:$W$604,MATCH(SMALL('Content Calendar'!$AJ$5:$AJ$604,12),'Content Calendar'!$AJ$5:$AJ$604,0)),"")</f>
        <v>0</v>
      </c>
      <c r="F40" s="23">
        <f>IFERROR(INDEX('Content Calendar'!$AA$5:$AA$604,MATCH(SMALL('Content Calendar'!$AJ$5:$AJ$604,12),'Content Calendar'!$AJ$5:$AJ$604,0)),"")</f>
        <v>0</v>
      </c>
      <c r="I40" s="16">
        <f>IFERROR(INDEX('Content Calendar'!$B$5:$B$604,MATCH(SMALL('Content Calendar'!$AK$5:$AK$604,12),'Content Calendar'!$AK$5:$AK$604,0)),"")</f>
        <v>0</v>
      </c>
      <c r="J40" s="17">
        <f>IFERROR(INDEX('Content Calendar'!$G$5:$G$604,MATCH(SMALL('Content Calendar'!$AK$5:$AK$604,12),'Content Calendar'!$AK$5:$AK$604,0)),"")</f>
        <v>0</v>
      </c>
      <c r="K40" s="17">
        <f>IFERROR(INDEX('Content Calendar'!$H$5:$H$604,MATCH(SMALL('Content Calendar'!$AK$5:$AK$604,12),'Content Calendar'!$AK$5:$AK$604,0)),"")</f>
        <v>0</v>
      </c>
      <c r="L40" s="29">
        <f>IFERROR(INDEX('Content Calendar'!$X$5:$X$604,MATCH(SMALL('Content Calendar'!$AK$5:$AK$604,12),'Content Calendar'!$AK$5:$AK$604,0)),"")</f>
        <v>0</v>
      </c>
      <c r="M40" s="17">
        <f>IFERROR(INDEX('Content Calendar'!$W$5:$W$604,MATCH(SMALL('Content Calendar'!$AK$5:$AK$604,12),'Content Calendar'!$AK$5:$AK$604,0)),"")</f>
        <v>0</v>
      </c>
      <c r="N40" s="23">
        <f>IFERROR(-INDEX('Content Calendar'!$AA$5:$AA$604,MATCH(SMALL('Content Calendar'!$AK$5:$AK$604,12),'Content Calendar'!$AK$5:$AK$604,0)),"")</f>
        <v>0</v>
      </c>
    </row>
    <row r="42" spans="1:16" ht="20" customHeight="1">
      <c r="A42" s="7" t="s">
        <v>1162</v>
      </c>
      <c r="B42" s="7"/>
      <c r="C42" s="7"/>
      <c r="D42" s="7"/>
      <c r="E42" s="7"/>
      <c r="F42" s="7"/>
      <c r="G42" s="7"/>
      <c r="H42" s="7"/>
      <c r="I42" s="7"/>
      <c r="J42" s="7"/>
      <c r="K42" s="7"/>
      <c r="L42" s="7"/>
      <c r="M42" s="7"/>
      <c r="N42" s="7"/>
      <c r="O42" s="7"/>
      <c r="P42" s="7"/>
    </row>
    <row r="43" spans="1:16" ht="26" customHeight="1">
      <c r="A43" s="8" t="s">
        <v>222</v>
      </c>
      <c r="B43" s="9" t="s">
        <v>1163</v>
      </c>
      <c r="C43" s="9" t="s">
        <v>1164</v>
      </c>
      <c r="D43" s="9" t="s">
        <v>1158</v>
      </c>
      <c r="E43" s="9" t="s">
        <v>1165</v>
      </c>
      <c r="F43" s="9" t="s">
        <v>1166</v>
      </c>
    </row>
    <row r="44" spans="1:16">
      <c r="A44" s="17">
        <f>IF(Calc!$BW$5="","",Calc!$BW$5)</f>
        <v>0</v>
      </c>
      <c r="B44" s="23">
        <f>IF(Calc!$BW$5="","",Calc!$BX$5)</f>
        <v>0</v>
      </c>
      <c r="C44" s="23">
        <f>IF(Calc!$BW$5="","",Calc!$BY$5)</f>
        <v>0</v>
      </c>
      <c r="D44" s="23">
        <f>IF(Calc!$BW$5="","",Calc!$BZ$5)</f>
        <v>0</v>
      </c>
      <c r="E44" s="23">
        <f>IF(Calc!$BW$5="","",Team!$N$5)</f>
        <v>0</v>
      </c>
      <c r="F44" s="24">
        <f>IF(Calc!$BW$5="","",Team!$Q$5)</f>
        <v>0</v>
      </c>
    </row>
    <row r="45" spans="1:16">
      <c r="A45" s="17">
        <f>IF(Calc!$BW$6="","",Calc!$BW$6)</f>
        <v>0</v>
      </c>
      <c r="B45" s="23">
        <f>IF(Calc!$BW$6="","",Calc!$BX$6)</f>
        <v>0</v>
      </c>
      <c r="C45" s="23">
        <f>IF(Calc!$BW$6="","",Calc!$BY$6)</f>
        <v>0</v>
      </c>
      <c r="D45" s="23">
        <f>IF(Calc!$BW$6="","",Calc!$BZ$6)</f>
        <v>0</v>
      </c>
      <c r="E45" s="23">
        <f>IF(Calc!$BW$6="","",Team!$N$6)</f>
        <v>0</v>
      </c>
      <c r="F45" s="24">
        <f>IF(Calc!$BW$6="","",Team!$Q$6)</f>
        <v>0</v>
      </c>
    </row>
    <row r="46" spans="1:16">
      <c r="A46" s="17">
        <f>IF(Calc!$BW$7="","",Calc!$BW$7)</f>
        <v>0</v>
      </c>
      <c r="B46" s="23">
        <f>IF(Calc!$BW$7="","",Calc!$BX$7)</f>
        <v>0</v>
      </c>
      <c r="C46" s="23">
        <f>IF(Calc!$BW$7="","",Calc!$BY$7)</f>
        <v>0</v>
      </c>
      <c r="D46" s="23">
        <f>IF(Calc!$BW$7="","",Calc!$BZ$7)</f>
        <v>0</v>
      </c>
      <c r="E46" s="23">
        <f>IF(Calc!$BW$7="","",Team!$N$7)</f>
        <v>0</v>
      </c>
      <c r="F46" s="24">
        <f>IF(Calc!$BW$7="","",Team!$Q$7)</f>
        <v>0</v>
      </c>
    </row>
    <row r="47" spans="1:16">
      <c r="A47" s="17">
        <f>IF(Calc!$BW$8="","",Calc!$BW$8)</f>
        <v>0</v>
      </c>
      <c r="B47" s="23">
        <f>IF(Calc!$BW$8="","",Calc!$BX$8)</f>
        <v>0</v>
      </c>
      <c r="C47" s="23">
        <f>IF(Calc!$BW$8="","",Calc!$BY$8)</f>
        <v>0</v>
      </c>
      <c r="D47" s="23">
        <f>IF(Calc!$BW$8="","",Calc!$BZ$8)</f>
        <v>0</v>
      </c>
      <c r="E47" s="23">
        <f>IF(Calc!$BW$8="","",Team!$N$8)</f>
        <v>0</v>
      </c>
      <c r="F47" s="24">
        <f>IF(Calc!$BW$8="","",Team!$Q$8)</f>
        <v>0</v>
      </c>
    </row>
    <row r="48" spans="1:16">
      <c r="A48" s="17">
        <f>IF(Calc!$BW$9="","",Calc!$BW$9)</f>
        <v>0</v>
      </c>
      <c r="B48" s="23">
        <f>IF(Calc!$BW$9="","",Calc!$BX$9)</f>
        <v>0</v>
      </c>
      <c r="C48" s="23">
        <f>IF(Calc!$BW$9="","",Calc!$BY$9)</f>
        <v>0</v>
      </c>
      <c r="D48" s="23">
        <f>IF(Calc!$BW$9="","",Calc!$BZ$9)</f>
        <v>0</v>
      </c>
      <c r="E48" s="23">
        <f>IF(Calc!$BW$9="","",Team!$N$9)</f>
        <v>0</v>
      </c>
      <c r="F48" s="24">
        <f>IF(Calc!$BW$9="","",Team!$Q$9)</f>
        <v>0</v>
      </c>
    </row>
    <row r="49" spans="1:16">
      <c r="A49" s="17">
        <f>IF(Calc!$BW$10="","",Calc!$BW$10)</f>
        <v>0</v>
      </c>
      <c r="B49" s="23">
        <f>IF(Calc!$BW$10="","",Calc!$BX$10)</f>
        <v>0</v>
      </c>
      <c r="C49" s="23">
        <f>IF(Calc!$BW$10="","",Calc!$BY$10)</f>
        <v>0</v>
      </c>
      <c r="D49" s="23">
        <f>IF(Calc!$BW$10="","",Calc!$BZ$10)</f>
        <v>0</v>
      </c>
      <c r="E49" s="23">
        <f>IF(Calc!$BW$10="","",Team!$N$10)</f>
        <v>0</v>
      </c>
      <c r="F49" s="24">
        <f>IF(Calc!$BW$10="","",Team!$Q$10)</f>
        <v>0</v>
      </c>
    </row>
    <row r="50" spans="1:16">
      <c r="A50" s="17">
        <f>IF(Calc!$BW$11="","",Calc!$BW$11)</f>
        <v>0</v>
      </c>
      <c r="B50" s="23">
        <f>IF(Calc!$BW$11="","",Calc!$BX$11)</f>
        <v>0</v>
      </c>
      <c r="C50" s="23">
        <f>IF(Calc!$BW$11="","",Calc!$BY$11)</f>
        <v>0</v>
      </c>
      <c r="D50" s="23">
        <f>IF(Calc!$BW$11="","",Calc!$BZ$11)</f>
        <v>0</v>
      </c>
      <c r="E50" s="23">
        <f>IF(Calc!$BW$11="","",Team!$N$11)</f>
        <v>0</v>
      </c>
      <c r="F50" s="24">
        <f>IF(Calc!$BW$11="","",Team!$Q$11)</f>
        <v>0</v>
      </c>
    </row>
    <row r="51" spans="1:16">
      <c r="A51" s="17">
        <f>IF(Calc!$BW$12="","",Calc!$BW$12)</f>
        <v>0</v>
      </c>
      <c r="B51" s="23">
        <f>IF(Calc!$BW$12="","",Calc!$BX$12)</f>
        <v>0</v>
      </c>
      <c r="C51" s="23">
        <f>IF(Calc!$BW$12="","",Calc!$BY$12)</f>
        <v>0</v>
      </c>
      <c r="D51" s="23">
        <f>IF(Calc!$BW$12="","",Calc!$BZ$12)</f>
        <v>0</v>
      </c>
      <c r="E51" s="23">
        <f>IF(Calc!$BW$12="","",Team!$N$12)</f>
        <v>0</v>
      </c>
      <c r="F51" s="24">
        <f>IF(Calc!$BW$12="","",Team!$Q$12)</f>
        <v>0</v>
      </c>
    </row>
    <row r="52" spans="1:16">
      <c r="A52" s="17">
        <f>IF(Calc!$BW$13="","",Calc!$BW$13)</f>
        <v>0</v>
      </c>
      <c r="B52" s="23">
        <f>IF(Calc!$BW$13="","",Calc!$BX$13)</f>
        <v>0</v>
      </c>
      <c r="C52" s="23">
        <f>IF(Calc!$BW$13="","",Calc!$BY$13)</f>
        <v>0</v>
      </c>
      <c r="D52" s="23">
        <f>IF(Calc!$BW$13="","",Calc!$BZ$13)</f>
        <v>0</v>
      </c>
      <c r="E52" s="23">
        <f>IF(Calc!$BW$13="","",Team!$N$13)</f>
        <v>0</v>
      </c>
      <c r="F52" s="24">
        <f>IF(Calc!$BW$13="","",Team!$Q$13)</f>
        <v>0</v>
      </c>
    </row>
    <row r="53" spans="1:16">
      <c r="A53" s="17">
        <f>IF(Calc!$BW$14="","",Calc!$BW$14)</f>
        <v>0</v>
      </c>
      <c r="B53" s="23">
        <f>IF(Calc!$BW$14="","",Calc!$BX$14)</f>
        <v>0</v>
      </c>
      <c r="C53" s="23">
        <f>IF(Calc!$BW$14="","",Calc!$BY$14)</f>
        <v>0</v>
      </c>
      <c r="D53" s="23">
        <f>IF(Calc!$BW$14="","",Calc!$BZ$14)</f>
        <v>0</v>
      </c>
      <c r="E53" s="23">
        <f>IF(Calc!$BW$14="","",Team!$N$14)</f>
        <v>0</v>
      </c>
      <c r="F53" s="24">
        <f>IF(Calc!$BW$14="","",Team!$Q$14)</f>
        <v>0</v>
      </c>
    </row>
    <row r="55" spans="1:16" ht="20" customHeight="1">
      <c r="A55" s="7" t="s">
        <v>1167</v>
      </c>
      <c r="B55" s="7"/>
      <c r="C55" s="7"/>
      <c r="D55" s="7"/>
      <c r="E55" s="7"/>
      <c r="F55" s="7"/>
      <c r="G55" s="7"/>
      <c r="H55" s="7"/>
      <c r="I55" s="7"/>
      <c r="J55" s="7"/>
      <c r="K55" s="7"/>
      <c r="L55" s="7"/>
      <c r="M55" s="7"/>
      <c r="N55" s="7"/>
      <c r="O55" s="7"/>
      <c r="P55" s="7"/>
    </row>
    <row r="56" spans="1:16">
      <c r="A56" s="13" t="s">
        <v>1168</v>
      </c>
      <c r="B56" s="13"/>
      <c r="C56" s="13"/>
      <c r="D56" s="13"/>
      <c r="E56" s="13"/>
      <c r="F56" s="13"/>
      <c r="G56" s="13"/>
      <c r="H56" s="13"/>
      <c r="I56" s="13"/>
      <c r="J56" s="13"/>
      <c r="K56" s="13"/>
      <c r="L56" s="13"/>
      <c r="M56" s="13"/>
      <c r="N56" s="13"/>
      <c r="O56" s="13"/>
      <c r="P56" s="13"/>
    </row>
    <row r="57" spans="1:16">
      <c r="A57" s="13" t="s">
        <v>1169</v>
      </c>
      <c r="B57" s="13"/>
      <c r="C57" s="13"/>
      <c r="D57" s="13"/>
      <c r="E57" s="13"/>
      <c r="F57" s="13"/>
      <c r="G57" s="13"/>
      <c r="H57" s="13"/>
      <c r="I57" s="13"/>
      <c r="J57" s="13"/>
      <c r="K57" s="13"/>
      <c r="L57" s="13"/>
      <c r="M57" s="13"/>
      <c r="N57" s="13"/>
      <c r="O57" s="13"/>
      <c r="P57" s="13"/>
    </row>
    <row r="58" spans="1:16">
      <c r="A58" s="13" t="s">
        <v>1170</v>
      </c>
      <c r="B58" s="13"/>
      <c r="C58" s="13"/>
      <c r="D58" s="13"/>
      <c r="E58" s="13"/>
      <c r="F58" s="13"/>
      <c r="G58" s="13"/>
      <c r="H58" s="13"/>
      <c r="I58" s="13"/>
      <c r="J58" s="13"/>
      <c r="K58" s="13"/>
      <c r="L58" s="13"/>
      <c r="M58" s="13"/>
      <c r="N58" s="13"/>
      <c r="O58" s="13"/>
      <c r="P58" s="13"/>
    </row>
    <row r="59" spans="1:16">
      <c r="A59" s="13" t="s">
        <v>1171</v>
      </c>
      <c r="B59" s="13"/>
      <c r="C59" s="13"/>
      <c r="D59" s="13"/>
      <c r="E59" s="13"/>
      <c r="F59" s="13"/>
      <c r="G59" s="13"/>
      <c r="H59" s="13"/>
      <c r="I59" s="13"/>
      <c r="J59" s="13"/>
      <c r="K59" s="13"/>
      <c r="L59" s="13"/>
      <c r="M59" s="13"/>
      <c r="N59" s="13"/>
      <c r="O59" s="13"/>
      <c r="P59" s="13"/>
    </row>
    <row r="60" spans="1:16">
      <c r="A60" s="13" t="s">
        <v>1172</v>
      </c>
      <c r="B60" s="13"/>
      <c r="C60" s="13"/>
      <c r="D60" s="13"/>
      <c r="E60" s="13"/>
      <c r="F60" s="13"/>
      <c r="G60" s="13"/>
      <c r="H60" s="13"/>
      <c r="I60" s="13"/>
      <c r="J60" s="13"/>
      <c r="K60" s="13"/>
      <c r="L60" s="13"/>
      <c r="M60" s="13"/>
      <c r="N60" s="13"/>
      <c r="O60" s="13"/>
      <c r="P60" s="13"/>
    </row>
    <row r="61" spans="1:16">
      <c r="A61" s="13" t="s">
        <v>1173</v>
      </c>
      <c r="B61" s="13"/>
      <c r="C61" s="13"/>
      <c r="D61" s="13"/>
      <c r="E61" s="13"/>
      <c r="F61" s="13"/>
      <c r="G61" s="13"/>
      <c r="H61" s="13"/>
      <c r="I61" s="13"/>
      <c r="J61" s="13"/>
      <c r="K61" s="13"/>
      <c r="L61" s="13"/>
      <c r="M61" s="13"/>
      <c r="N61" s="13"/>
      <c r="O61" s="13"/>
      <c r="P61" s="13"/>
    </row>
    <row r="62" spans="1:16">
      <c r="A62" s="13" t="s">
        <v>1174</v>
      </c>
      <c r="B62" s="13"/>
      <c r="C62" s="13"/>
      <c r="D62" s="13"/>
      <c r="E62" s="13"/>
      <c r="F62" s="13"/>
      <c r="G62" s="13"/>
      <c r="H62" s="13"/>
      <c r="I62" s="13"/>
      <c r="J62" s="13"/>
      <c r="K62" s="13"/>
      <c r="L62" s="13"/>
      <c r="M62" s="13"/>
      <c r="N62" s="13"/>
      <c r="O62" s="13"/>
      <c r="P62" s="13"/>
    </row>
    <row r="64" spans="1:16" ht="30" customHeight="1">
      <c r="A64" s="6" t="s">
        <v>1175</v>
      </c>
      <c r="B64" s="6"/>
      <c r="C64" s="6"/>
      <c r="D64" s="6"/>
      <c r="E64" s="6"/>
      <c r="F64" s="6"/>
      <c r="G64" s="6"/>
      <c r="H64" s="6"/>
      <c r="I64" s="6"/>
      <c r="J64" s="6"/>
      <c r="K64" s="6"/>
      <c r="L64" s="6"/>
      <c r="M64" s="6"/>
      <c r="N64" s="6"/>
      <c r="O64" s="6"/>
      <c r="P64" s="6"/>
    </row>
  </sheetData>
  <sheetProtection password="EC7C" sheet="1" objects="1" scenarios="1" formatCells="0" formatColumns="0" formatRows="0" insertRows="0" insertHyperlinks="0" deleteRows="0" autoFilter="0"/>
  <mergeCells count="65">
    <mergeCell ref="A1:M1"/>
    <mergeCell ref="N1:P1"/>
    <mergeCell ref="A2:P2"/>
    <mergeCell ref="A3:B3"/>
    <mergeCell ref="C3:D3"/>
    <mergeCell ref="E3:F3"/>
    <mergeCell ref="G3:H3"/>
    <mergeCell ref="I3:J3"/>
    <mergeCell ref="K3:L3"/>
    <mergeCell ref="M3:N3"/>
    <mergeCell ref="O3:P3"/>
    <mergeCell ref="A5:P5"/>
    <mergeCell ref="D7:P7"/>
    <mergeCell ref="D8:P8"/>
    <mergeCell ref="D9:P9"/>
    <mergeCell ref="D10:P10"/>
    <mergeCell ref="D11:P11"/>
    <mergeCell ref="D12:P12"/>
    <mergeCell ref="D13:P13"/>
    <mergeCell ref="D14:P14"/>
    <mergeCell ref="D15:P15"/>
    <mergeCell ref="A17:P17"/>
    <mergeCell ref="A18:C18"/>
    <mergeCell ref="A19:C19"/>
    <mergeCell ref="A20:C20"/>
    <mergeCell ref="D18:F18"/>
    <mergeCell ref="D19:F19"/>
    <mergeCell ref="D20:F20"/>
    <mergeCell ref="G18:I18"/>
    <mergeCell ref="G19:I19"/>
    <mergeCell ref="G20:I20"/>
    <mergeCell ref="J18:L18"/>
    <mergeCell ref="J19:L19"/>
    <mergeCell ref="J20:L20"/>
    <mergeCell ref="M18:O18"/>
    <mergeCell ref="M19:O19"/>
    <mergeCell ref="M20:O20"/>
    <mergeCell ref="A22:C22"/>
    <mergeCell ref="A23:C23"/>
    <mergeCell ref="A24:C24"/>
    <mergeCell ref="D22:F22"/>
    <mergeCell ref="D23:F23"/>
    <mergeCell ref="D24:F24"/>
    <mergeCell ref="G22:I22"/>
    <mergeCell ref="G23:I23"/>
    <mergeCell ref="G24:I24"/>
    <mergeCell ref="J22:L22"/>
    <mergeCell ref="J23:L23"/>
    <mergeCell ref="J24:L24"/>
    <mergeCell ref="M22:O22"/>
    <mergeCell ref="M23:O23"/>
    <mergeCell ref="M24:O24"/>
    <mergeCell ref="A26:P26"/>
    <mergeCell ref="A27:G27"/>
    <mergeCell ref="I27:P27"/>
    <mergeCell ref="A42:P42"/>
    <mergeCell ref="A55:P55"/>
    <mergeCell ref="A56:P56"/>
    <mergeCell ref="A57:P57"/>
    <mergeCell ref="A58:P58"/>
    <mergeCell ref="A59:P59"/>
    <mergeCell ref="A60:P60"/>
    <mergeCell ref="A61:P61"/>
    <mergeCell ref="A62:P62"/>
    <mergeCell ref="A64:P64"/>
  </mergeCells>
  <conditionalFormatting sqref="B44:B53">
    <cfRule type="dataBar" priority="2">
      <dataBar>
        <cfvo type="min" val="0"/>
        <cfvo type="max" val="0"/>
        <color rgb="FF6350A8"/>
      </dataBar>
    </cfRule>
  </conditionalFormatting>
  <conditionalFormatting sqref="B7:B15">
    <cfRule type="dataBar" priority="1">
      <dataBar>
        <cfvo type="min" val="0"/>
        <cfvo type="max" val="0"/>
        <color rgb="FF6350A8"/>
      </dataBar>
    </cfRule>
  </conditionalFormatting>
  <conditionalFormatting sqref="E44:E53">
    <cfRule type="cellIs" dxfId="1" priority="3" operator="greaterThan">
      <formula>0</formula>
    </cfRule>
  </conditionalFormatting>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s>
  <pageMargins left="0.4" right="0.4" top="0.6" bottom="0.5" header="0.3" footer="0.3"/>
  <pageSetup paperSize="9" fitToHeight="0" orientation="landscape"/>
  <headerFooter>
    <oddHeader>&amp;L&amp;"Calibri,Bold"&amp;12&amp;C&amp;"Calibri,Bold"&amp;11Workflow&amp;R&amp;"Calibri,Italic"&amp;9Social Media Content Calendar &amp; Analytics Planner</oddHeader>
    <oddFooter>&amp;L&amp;"Calibri,Italic"&amp;8Novality Store - v1.0.0&amp;C&amp;"Calibri,Italic"&amp;8Page &amp;P of &amp;N&amp;R&amp;"Calibri,Italic"&amp;8&amp;D</oddFooter>
  </headerFooter>
</worksheet>
</file>

<file path=xl/worksheets/sheet13.xml><?xml version="1.0" encoding="utf-8"?>
<worksheet xmlns="http://schemas.openxmlformats.org/spreadsheetml/2006/main" xmlns:r="http://schemas.openxmlformats.org/officeDocument/2006/relationships">
  <sheetPr>
    <tabColor rgb="FFF2665E"/>
    <pageSetUpPr fitToPage="1"/>
  </sheetPr>
  <dimension ref="A1:AE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1" customWidth="1"/>
    <col min="2" max="2" width="34.7109375" style="15" customWidth="1"/>
    <col min="3" max="3" width="38.7109375" style="39" customWidth="1"/>
    <col min="4" max="4" width="18.7109375" style="15" customWidth="1"/>
    <col min="5" max="5" width="30.7109375" style="39" customWidth="1"/>
    <col min="6" max="6" width="15.7109375" style="15" customWidth="1"/>
    <col min="7" max="7" width="16.7109375" style="15" customWidth="1"/>
    <col min="8" max="8" width="14.7109375" style="15" customWidth="1"/>
    <col min="9" max="9" width="14.7109375" style="15" customWidth="1"/>
    <col min="10" max="10" width="32.7109375" style="39" customWidth="1"/>
    <col min="11" max="11" width="28.7109375" style="39" customWidth="1"/>
    <col min="12" max="12" width="18.7109375" style="15" customWidth="1"/>
    <col min="13" max="13" width="18.7109375" style="15" customWidth="1"/>
    <col min="14" max="14" width="24.7109375" style="42" customWidth="1"/>
    <col min="15" max="15" width="18.7109375" style="15" customWidth="1"/>
    <col min="16" max="16" width="18.7109375" style="15" customWidth="1"/>
    <col min="17" max="17" width="11.7109375" style="40" customWidth="1"/>
    <col min="18" max="18" width="10.7109375" style="40" customWidth="1"/>
    <col min="19" max="19" width="12.7109375" style="40" customWidth="1"/>
    <col min="20" max="20" width="15.7109375" style="48" customWidth="1"/>
    <col min="21" max="21" width="12.7109375" style="43" customWidth="1"/>
    <col min="22" max="22" width="12.7109375" style="43" customWidth="1"/>
    <col min="23" max="23" width="12.7109375" style="43" customWidth="1"/>
    <col min="24" max="24" width="13.7109375" style="15" customWidth="1"/>
    <col min="25" max="25" width="28.7109375" style="17" customWidth="1"/>
    <col min="26" max="26" width="12.7109375" style="16" customWidth="1"/>
    <col min="27" max="27" width="11.7109375" style="23" customWidth="1"/>
    <col min="28" max="28" width="12.7109375" style="16" customWidth="1"/>
    <col min="29" max="29" width="13.7109375" style="29" customWidth="1"/>
    <col min="30" max="30" width="28.7109375" style="29" customWidth="1"/>
    <col min="31" max="31" width="26.7109375" style="39" customWidth="1"/>
  </cols>
  <sheetData>
    <row r="1" spans="1:31" ht="34" customHeight="1">
      <c r="A1" s="2" t="s">
        <v>1176</v>
      </c>
      <c r="B1" s="2"/>
      <c r="C1" s="2"/>
      <c r="D1" s="2"/>
      <c r="E1" s="2"/>
      <c r="F1" s="2"/>
      <c r="G1" s="2"/>
      <c r="H1" s="2"/>
      <c r="I1" s="2"/>
      <c r="J1" s="2"/>
      <c r="K1" s="2"/>
      <c r="L1" s="2"/>
      <c r="M1" s="2"/>
      <c r="N1" s="2"/>
      <c r="O1" s="2"/>
      <c r="P1" s="2"/>
      <c r="Q1" s="2"/>
      <c r="R1" s="2"/>
      <c r="S1" s="2"/>
      <c r="T1" s="2"/>
      <c r="U1" s="2"/>
      <c r="V1" s="2"/>
      <c r="W1" s="2"/>
      <c r="X1" s="2"/>
      <c r="Y1" s="2"/>
      <c r="Z1" s="2"/>
      <c r="AA1" s="2"/>
      <c r="AB1" s="2"/>
      <c r="AC1" s="3" t="s">
        <v>1</v>
      </c>
      <c r="AD1" s="3"/>
      <c r="AE1" s="3"/>
    </row>
    <row r="2" spans="1:31" ht="18" customHeight="1">
      <c r="A2" s="4" t="s">
        <v>1177</v>
      </c>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1178</v>
      </c>
      <c r="T3" s="38"/>
      <c r="U3" s="38"/>
      <c r="V3" s="38"/>
      <c r="W3" s="38"/>
      <c r="X3" s="38"/>
      <c r="Y3" s="38"/>
      <c r="Z3" s="38"/>
      <c r="AA3" s="38"/>
      <c r="AB3" s="38"/>
      <c r="AC3" s="38"/>
      <c r="AD3" s="38"/>
      <c r="AE3" s="38"/>
    </row>
    <row r="4" spans="1:31" ht="30" customHeight="1">
      <c r="A4" s="8" t="s">
        <v>766</v>
      </c>
      <c r="B4" s="8" t="s">
        <v>416</v>
      </c>
      <c r="C4" s="9" t="s">
        <v>1179</v>
      </c>
      <c r="D4" s="9" t="s">
        <v>907</v>
      </c>
      <c r="E4" s="9" t="s">
        <v>1180</v>
      </c>
      <c r="F4" s="9" t="s">
        <v>426</v>
      </c>
      <c r="G4" s="9" t="s">
        <v>906</v>
      </c>
      <c r="H4" s="9" t="s">
        <v>240</v>
      </c>
      <c r="I4" s="9" t="s">
        <v>267</v>
      </c>
      <c r="J4" s="9" t="s">
        <v>1181</v>
      </c>
      <c r="K4" s="9" t="s">
        <v>1182</v>
      </c>
      <c r="L4" s="9" t="s">
        <v>437</v>
      </c>
      <c r="M4" s="9" t="s">
        <v>1183</v>
      </c>
      <c r="N4" s="9" t="s">
        <v>1184</v>
      </c>
      <c r="O4" s="9" t="s">
        <v>1185</v>
      </c>
      <c r="P4" s="9" t="s">
        <v>1186</v>
      </c>
      <c r="Q4" s="9" t="s">
        <v>1187</v>
      </c>
      <c r="R4" s="9" t="s">
        <v>1188</v>
      </c>
      <c r="S4" s="9" t="s">
        <v>1189</v>
      </c>
      <c r="T4" s="9" t="s">
        <v>221</v>
      </c>
      <c r="U4" s="9" t="s">
        <v>1190</v>
      </c>
      <c r="V4" s="9" t="s">
        <v>1191</v>
      </c>
      <c r="W4" s="9" t="s">
        <v>1192</v>
      </c>
      <c r="X4" s="9" t="s">
        <v>1193</v>
      </c>
      <c r="Y4" s="9" t="s">
        <v>1194</v>
      </c>
      <c r="Z4" s="9" t="s">
        <v>902</v>
      </c>
      <c r="AA4" s="9" t="s">
        <v>1195</v>
      </c>
      <c r="AB4" s="9" t="s">
        <v>1196</v>
      </c>
      <c r="AC4" s="9" t="s">
        <v>922</v>
      </c>
      <c r="AD4" s="9" t="s">
        <v>787</v>
      </c>
      <c r="AE4" s="9" t="s">
        <v>788</v>
      </c>
    </row>
    <row r="5" spans="1:31">
      <c r="A5" s="41">
        <f>IF(B5="","",IdeaPrefix&amp;TEXT(ROW()-4,"000"))</f>
        <v>0</v>
      </c>
      <c r="B5" s="15" t="s">
        <v>1197</v>
      </c>
      <c r="C5" s="39" t="s">
        <v>1198</v>
      </c>
      <c r="D5" s="15" t="s">
        <v>834</v>
      </c>
      <c r="E5" s="39" t="s">
        <v>1199</v>
      </c>
      <c r="F5" s="15" t="s">
        <v>432</v>
      </c>
      <c r="G5" s="15" t="s">
        <v>878</v>
      </c>
      <c r="H5" s="15" t="s">
        <v>376</v>
      </c>
      <c r="I5" s="15" t="s">
        <v>397</v>
      </c>
      <c r="J5" s="39" t="s">
        <v>1200</v>
      </c>
      <c r="K5" s="39" t="s">
        <v>1201</v>
      </c>
      <c r="L5" s="15" t="s">
        <v>439</v>
      </c>
      <c r="M5" s="15" t="s">
        <v>485</v>
      </c>
      <c r="N5" s="42" t="s">
        <v>205</v>
      </c>
      <c r="O5" s="15" t="s">
        <v>1202</v>
      </c>
      <c r="P5" s="15" t="s">
        <v>1203</v>
      </c>
      <c r="Q5" s="40" t="s">
        <v>372</v>
      </c>
      <c r="R5" s="40" t="s">
        <v>373</v>
      </c>
      <c r="S5" s="40">
        <v>9</v>
      </c>
      <c r="T5" s="48" t="s">
        <v>481</v>
      </c>
      <c r="U5" s="43">
        <v>46246</v>
      </c>
      <c r="X5" s="15" t="s">
        <v>1204</v>
      </c>
      <c r="Y5" s="17">
        <f>IF(X5="","",IFERROR(INDEX('Content Calendar'!$H$5:$H$604,MATCH(X5,'Content Calendar'!$A$5:$A$604,0)),"Not found"))</f>
        <v>0</v>
      </c>
      <c r="Z5" s="16">
        <f>IF(X5="","",IFERROR(INDEX('Content Calendar'!$B$5:$B$604,MATCH(X5,'Content Calendar'!$A$5:$A$604,0)),"Not found"))</f>
        <v>0</v>
      </c>
      <c r="AA5" s="23">
        <f>IF(U5="","",TODAY()-U5)</f>
        <v>0</v>
      </c>
      <c r="AB5" s="16">
        <f>IF(B5="","",IF(T5="Used","",IF(V5="",U5,V5)+IdeaReviewDays))</f>
        <v>0</v>
      </c>
      <c r="AC5" s="29">
        <f>IF(B5="","",IF(COUNTIF('Idea Bank'!$B$5:$B$304,B5)&gt;1,"Duplicate","OK"))</f>
        <v>0</v>
      </c>
      <c r="AD5" s="29">
        <f>IF(B5="","",IF(T5="Used","Done - on the calendar",IF(AND(X5&lt;&gt;"",Y5=""),"Check - content ID not found",IF(AND(AB5&lt;&gt;"",AB5&lt;TODAY()),"Review - idea is going stale",IF(AND(S5&gt;=8,T5&lt;&gt;"Scheduled",X5=""),"Plan - strong idea, not scheduled","OK")))))</f>
        <v>0</v>
      </c>
      <c r="AE5" s="39" t="s">
        <v>205</v>
      </c>
    </row>
    <row r="6" spans="1:31">
      <c r="A6" s="41">
        <f>IF(B6="","",IdeaPrefix&amp;TEXT(ROW()-4,"000"))</f>
        <v>0</v>
      </c>
      <c r="B6" s="15" t="s">
        <v>1205</v>
      </c>
      <c r="C6" s="39" t="s">
        <v>1206</v>
      </c>
      <c r="D6" s="15" t="s">
        <v>849</v>
      </c>
      <c r="E6" s="39" t="s">
        <v>1199</v>
      </c>
      <c r="F6" s="15" t="s">
        <v>430</v>
      </c>
      <c r="G6" s="15" t="s">
        <v>462</v>
      </c>
      <c r="H6" s="15" t="s">
        <v>377</v>
      </c>
      <c r="I6" s="15" t="s">
        <v>398</v>
      </c>
      <c r="J6" s="39" t="s">
        <v>1207</v>
      </c>
      <c r="K6" s="39" t="s">
        <v>1201</v>
      </c>
      <c r="L6" s="15" t="s">
        <v>441</v>
      </c>
      <c r="M6" s="15" t="s">
        <v>489</v>
      </c>
      <c r="N6" s="42" t="s">
        <v>205</v>
      </c>
      <c r="O6" s="15" t="s">
        <v>205</v>
      </c>
      <c r="P6" s="15" t="s">
        <v>205</v>
      </c>
      <c r="Q6" s="40" t="s">
        <v>373</v>
      </c>
      <c r="R6" s="40" t="s">
        <v>373</v>
      </c>
      <c r="S6" s="40">
        <v>8</v>
      </c>
      <c r="T6" s="48" t="s">
        <v>481</v>
      </c>
      <c r="U6" s="43">
        <v>46249</v>
      </c>
      <c r="V6" s="43">
        <v>46278</v>
      </c>
      <c r="X6" s="15" t="s">
        <v>1208</v>
      </c>
      <c r="Y6" s="17">
        <f>IF(X6="","",IFERROR(INDEX('Content Calendar'!$H$5:$H$604,MATCH(X6,'Content Calendar'!$A$5:$A$604,0)),"Not found"))</f>
        <v>0</v>
      </c>
      <c r="Z6" s="16">
        <f>IF(X6="","",IFERROR(INDEX('Content Calendar'!$B$5:$B$604,MATCH(X6,'Content Calendar'!$A$5:$A$604,0)),"Not found"))</f>
        <v>0</v>
      </c>
      <c r="AA6" s="23">
        <f>IF(U6="","",TODAY()-U6)</f>
        <v>0</v>
      </c>
      <c r="AB6" s="16">
        <f>IF(B6="","",IF(T6="Used","",IF(V6="",U6,V6)+IdeaReviewDays))</f>
        <v>0</v>
      </c>
      <c r="AC6" s="29">
        <f>IF(B6="","",IF(COUNTIF('Idea Bank'!$B$5:$B$304,B6)&gt;1,"Duplicate","OK"))</f>
        <v>0</v>
      </c>
      <c r="AD6" s="29">
        <f>IF(B6="","",IF(T6="Used","Done - on the calendar",IF(AND(X6&lt;&gt;"",Y6=""),"Check - content ID not found",IF(AND(AB6&lt;&gt;"",AB6&lt;TODAY()),"Review - idea is going stale",IF(AND(S6&gt;=8,T6&lt;&gt;"Scheduled",X6=""),"Plan - strong idea, not scheduled","OK")))))</f>
        <v>0</v>
      </c>
      <c r="AE6" s="39" t="s">
        <v>205</v>
      </c>
    </row>
    <row r="7" spans="1:31">
      <c r="A7" s="41">
        <f>IF(B7="","",IdeaPrefix&amp;TEXT(ROW()-4,"000"))</f>
        <v>0</v>
      </c>
      <c r="B7" s="15" t="s">
        <v>1209</v>
      </c>
      <c r="C7" s="39" t="s">
        <v>1210</v>
      </c>
      <c r="D7" s="15" t="s">
        <v>858</v>
      </c>
      <c r="E7" s="39" t="s">
        <v>1199</v>
      </c>
      <c r="F7" s="15" t="s">
        <v>432</v>
      </c>
      <c r="G7" s="15" t="s">
        <v>878</v>
      </c>
      <c r="H7" s="15" t="s">
        <v>378</v>
      </c>
      <c r="I7" s="15" t="s">
        <v>408</v>
      </c>
      <c r="J7" s="39" t="s">
        <v>1211</v>
      </c>
      <c r="K7" s="39" t="s">
        <v>1201</v>
      </c>
      <c r="L7" s="15" t="s">
        <v>439</v>
      </c>
      <c r="M7" s="15" t="s">
        <v>190</v>
      </c>
      <c r="N7" s="42" t="s">
        <v>205</v>
      </c>
      <c r="O7" s="15" t="s">
        <v>205</v>
      </c>
      <c r="P7" s="15" t="s">
        <v>205</v>
      </c>
      <c r="Q7" s="40" t="s">
        <v>372</v>
      </c>
      <c r="R7" s="40" t="s">
        <v>373</v>
      </c>
      <c r="S7" s="40">
        <v>9</v>
      </c>
      <c r="T7" s="48" t="s">
        <v>481</v>
      </c>
      <c r="U7" s="43">
        <v>46252</v>
      </c>
      <c r="X7" s="15" t="s">
        <v>1212</v>
      </c>
      <c r="Y7" s="17">
        <f>IF(X7="","",IFERROR(INDEX('Content Calendar'!$H$5:$H$604,MATCH(X7,'Content Calendar'!$A$5:$A$604,0)),"Not found"))</f>
        <v>0</v>
      </c>
      <c r="Z7" s="16">
        <f>IF(X7="","",IFERROR(INDEX('Content Calendar'!$B$5:$B$604,MATCH(X7,'Content Calendar'!$A$5:$A$604,0)),"Not found"))</f>
        <v>0</v>
      </c>
      <c r="AA7" s="23">
        <f>IF(U7="","",TODAY()-U7)</f>
        <v>0</v>
      </c>
      <c r="AB7" s="16">
        <f>IF(B7="","",IF(T7="Used","",IF(V7="",U7,V7)+IdeaReviewDays))</f>
        <v>0</v>
      </c>
      <c r="AC7" s="29">
        <f>IF(B7="","",IF(COUNTIF('Idea Bank'!$B$5:$B$304,B7)&gt;1,"Duplicate","OK"))</f>
        <v>0</v>
      </c>
      <c r="AD7" s="29">
        <f>IF(B7="","",IF(T7="Used","Done - on the calendar",IF(AND(X7&lt;&gt;"",Y7=""),"Check - content ID not found",IF(AND(AB7&lt;&gt;"",AB7&lt;TODAY()),"Review - idea is going stale",IF(AND(S7&gt;=8,T7&lt;&gt;"Scheduled",X7=""),"Plan - strong idea, not scheduled","OK")))))</f>
        <v>0</v>
      </c>
      <c r="AE7" s="39" t="s">
        <v>205</v>
      </c>
    </row>
    <row r="8" spans="1:31">
      <c r="A8" s="41">
        <f>IF(B8="","",IdeaPrefix&amp;TEXT(ROW()-4,"000"))</f>
        <v>0</v>
      </c>
      <c r="B8" s="15" t="s">
        <v>1213</v>
      </c>
      <c r="C8" s="39" t="s">
        <v>1214</v>
      </c>
      <c r="D8" s="15" t="s">
        <v>834</v>
      </c>
      <c r="E8" s="39" t="s">
        <v>1199</v>
      </c>
      <c r="F8" s="15" t="s">
        <v>432</v>
      </c>
      <c r="G8" s="15" t="s">
        <v>878</v>
      </c>
      <c r="H8" s="15" t="s">
        <v>379</v>
      </c>
      <c r="I8" s="15" t="s">
        <v>401</v>
      </c>
      <c r="J8" s="39" t="s">
        <v>1215</v>
      </c>
      <c r="K8" s="39" t="s">
        <v>1201</v>
      </c>
      <c r="L8" s="15" t="s">
        <v>439</v>
      </c>
      <c r="M8" s="15" t="s">
        <v>484</v>
      </c>
      <c r="N8" s="42" t="s">
        <v>205</v>
      </c>
      <c r="O8" s="15" t="s">
        <v>205</v>
      </c>
      <c r="P8" s="15" t="s">
        <v>205</v>
      </c>
      <c r="Q8" s="40" t="s">
        <v>372</v>
      </c>
      <c r="R8" s="40" t="s">
        <v>373</v>
      </c>
      <c r="S8" s="40">
        <v>6</v>
      </c>
      <c r="T8" s="48" t="s">
        <v>481</v>
      </c>
      <c r="U8" s="43">
        <v>46255</v>
      </c>
      <c r="V8" s="43">
        <v>46282</v>
      </c>
      <c r="X8" s="15" t="s">
        <v>1216</v>
      </c>
      <c r="Y8" s="17">
        <f>IF(X8="","",IFERROR(INDEX('Content Calendar'!$H$5:$H$604,MATCH(X8,'Content Calendar'!$A$5:$A$604,0)),"Not found"))</f>
        <v>0</v>
      </c>
      <c r="Z8" s="16">
        <f>IF(X8="","",IFERROR(INDEX('Content Calendar'!$B$5:$B$604,MATCH(X8,'Content Calendar'!$A$5:$A$604,0)),"Not found"))</f>
        <v>0</v>
      </c>
      <c r="AA8" s="23">
        <f>IF(U8="","",TODAY()-U8)</f>
        <v>0</v>
      </c>
      <c r="AB8" s="16">
        <f>IF(B8="","",IF(T8="Used","",IF(V8="",U8,V8)+IdeaReviewDays))</f>
        <v>0</v>
      </c>
      <c r="AC8" s="29">
        <f>IF(B8="","",IF(COUNTIF('Idea Bank'!$B$5:$B$304,B8)&gt;1,"Duplicate","OK"))</f>
        <v>0</v>
      </c>
      <c r="AD8" s="29">
        <f>IF(B8="","",IF(T8="Used","Done - on the calendar",IF(AND(X8&lt;&gt;"",Y8=""),"Check - content ID not found",IF(AND(AB8&lt;&gt;"",AB8&lt;TODAY()),"Review - idea is going stale",IF(AND(S8&gt;=8,T8&lt;&gt;"Scheduled",X8=""),"Plan - strong idea, not scheduled","OK")))))</f>
        <v>0</v>
      </c>
      <c r="AE8" s="39" t="s">
        <v>205</v>
      </c>
    </row>
    <row r="9" spans="1:31">
      <c r="A9" s="41">
        <f>IF(B9="","",IdeaPrefix&amp;TEXT(ROW()-4,"000"))</f>
        <v>0</v>
      </c>
      <c r="B9" s="15" t="s">
        <v>1217</v>
      </c>
      <c r="C9" s="39" t="s">
        <v>1218</v>
      </c>
      <c r="D9" s="15" t="s">
        <v>849</v>
      </c>
      <c r="E9" s="39" t="s">
        <v>1199</v>
      </c>
      <c r="F9" s="15" t="s">
        <v>428</v>
      </c>
      <c r="G9" s="15" t="s">
        <v>430</v>
      </c>
      <c r="H9" s="15" t="s">
        <v>376</v>
      </c>
      <c r="I9" s="15" t="s">
        <v>398</v>
      </c>
      <c r="J9" s="39" t="s">
        <v>1219</v>
      </c>
      <c r="K9" s="39" t="s">
        <v>1201</v>
      </c>
      <c r="L9" s="15" t="s">
        <v>449</v>
      </c>
      <c r="M9" s="15" t="s">
        <v>485</v>
      </c>
      <c r="N9" s="42" t="s">
        <v>205</v>
      </c>
      <c r="O9" s="15" t="s">
        <v>205</v>
      </c>
      <c r="P9" s="15" t="s">
        <v>205</v>
      </c>
      <c r="Q9" s="40" t="s">
        <v>373</v>
      </c>
      <c r="R9" s="40" t="s">
        <v>373</v>
      </c>
      <c r="S9" s="40">
        <v>7</v>
      </c>
      <c r="T9" s="48" t="s">
        <v>479</v>
      </c>
      <c r="U9" s="43">
        <v>46258</v>
      </c>
      <c r="W9" s="43">
        <v>46321</v>
      </c>
      <c r="X9" s="15" t="s">
        <v>205</v>
      </c>
      <c r="Y9" s="17">
        <f>IF(X9="","",IFERROR(INDEX('Content Calendar'!$H$5:$H$604,MATCH(X9,'Content Calendar'!$A$5:$A$604,0)),"Not found"))</f>
        <v>0</v>
      </c>
      <c r="Z9" s="16">
        <f>IF(X9="","",IFERROR(INDEX('Content Calendar'!$B$5:$B$604,MATCH(X9,'Content Calendar'!$A$5:$A$604,0)),"Not found"))</f>
        <v>0</v>
      </c>
      <c r="AA9" s="23">
        <f>IF(U9="","",TODAY()-U9)</f>
        <v>0</v>
      </c>
      <c r="AB9" s="16">
        <f>IF(B9="","",IF(T9="Used","",IF(V9="",U9,V9)+IdeaReviewDays))</f>
        <v>0</v>
      </c>
      <c r="AC9" s="29">
        <f>IF(B9="","",IF(COUNTIF('Idea Bank'!$B$5:$B$304,B9)&gt;1,"Duplicate","OK"))</f>
        <v>0</v>
      </c>
      <c r="AD9" s="29">
        <f>IF(B9="","",IF(T9="Used","Done - on the calendar",IF(AND(X9&lt;&gt;"",Y9=""),"Check - content ID not found",IF(AND(AB9&lt;&gt;"",AB9&lt;TODAY()),"Review - idea is going stale",IF(AND(S9&gt;=8,T9&lt;&gt;"Scheduled",X9=""),"Plan - strong idea, not scheduled","OK")))))</f>
        <v>0</v>
      </c>
      <c r="AE9" s="39" t="s">
        <v>205</v>
      </c>
    </row>
    <row r="10" spans="1:31">
      <c r="A10" s="41">
        <f>IF(B10="","",IdeaPrefix&amp;TEXT(ROW()-4,"000"))</f>
        <v>0</v>
      </c>
      <c r="B10" s="15" t="s">
        <v>1220</v>
      </c>
      <c r="C10" s="39" t="s">
        <v>1221</v>
      </c>
      <c r="D10" s="15" t="s">
        <v>858</v>
      </c>
      <c r="E10" s="39" t="s">
        <v>1199</v>
      </c>
      <c r="F10" s="15" t="s">
        <v>428</v>
      </c>
      <c r="G10" s="15" t="s">
        <v>430</v>
      </c>
      <c r="H10" s="15" t="s">
        <v>376</v>
      </c>
      <c r="I10" s="15" t="s">
        <v>399</v>
      </c>
      <c r="J10" s="39" t="s">
        <v>1222</v>
      </c>
      <c r="K10" s="39" t="s">
        <v>1201</v>
      </c>
      <c r="L10" s="15" t="s">
        <v>449</v>
      </c>
      <c r="M10" s="15" t="s">
        <v>489</v>
      </c>
      <c r="N10" s="42" t="s">
        <v>205</v>
      </c>
      <c r="O10" s="15" t="s">
        <v>1202</v>
      </c>
      <c r="P10" s="15" t="s">
        <v>205</v>
      </c>
      <c r="Q10" s="40" t="s">
        <v>373</v>
      </c>
      <c r="R10" s="40" t="s">
        <v>373</v>
      </c>
      <c r="S10" s="40">
        <v>8</v>
      </c>
      <c r="T10" s="48" t="s">
        <v>480</v>
      </c>
      <c r="U10" s="43">
        <v>46261</v>
      </c>
      <c r="V10" s="43">
        <v>46286</v>
      </c>
      <c r="W10" s="43">
        <v>46323</v>
      </c>
      <c r="X10" s="15" t="s">
        <v>205</v>
      </c>
      <c r="Y10" s="17">
        <f>IF(X10="","",IFERROR(INDEX('Content Calendar'!$H$5:$H$604,MATCH(X10,'Content Calendar'!$A$5:$A$604,0)),"Not found"))</f>
        <v>0</v>
      </c>
      <c r="Z10" s="16">
        <f>IF(X10="","",IFERROR(INDEX('Content Calendar'!$B$5:$B$604,MATCH(X10,'Content Calendar'!$A$5:$A$604,0)),"Not found"))</f>
        <v>0</v>
      </c>
      <c r="AA10" s="23">
        <f>IF(U10="","",TODAY()-U10)</f>
        <v>0</v>
      </c>
      <c r="AB10" s="16">
        <f>IF(B10="","",IF(T10="Used","",IF(V10="",U10,V10)+IdeaReviewDays))</f>
        <v>0</v>
      </c>
      <c r="AC10" s="29">
        <f>IF(B10="","",IF(COUNTIF('Idea Bank'!$B$5:$B$304,B10)&gt;1,"Duplicate","OK"))</f>
        <v>0</v>
      </c>
      <c r="AD10" s="29">
        <f>IF(B10="","",IF(T10="Used","Done - on the calendar",IF(AND(X10&lt;&gt;"",Y10=""),"Check - content ID not found",IF(AND(AB10&lt;&gt;"",AB10&lt;TODAY()),"Review - idea is going stale",IF(AND(S10&gt;=8,T10&lt;&gt;"Scheduled",X10=""),"Plan - strong idea, not scheduled","OK")))))</f>
        <v>0</v>
      </c>
      <c r="AE10" s="39" t="s">
        <v>205</v>
      </c>
    </row>
    <row r="11" spans="1:31">
      <c r="A11" s="41">
        <f>IF(B11="","",IdeaPrefix&amp;TEXT(ROW()-4,"000"))</f>
        <v>0</v>
      </c>
      <c r="B11" s="15" t="s">
        <v>1223</v>
      </c>
      <c r="C11" s="39" t="s">
        <v>1224</v>
      </c>
      <c r="D11" s="15" t="s">
        <v>834</v>
      </c>
      <c r="E11" s="39" t="s">
        <v>1199</v>
      </c>
      <c r="F11" s="15" t="s">
        <v>430</v>
      </c>
      <c r="G11" s="15" t="s">
        <v>462</v>
      </c>
      <c r="H11" s="15" t="s">
        <v>377</v>
      </c>
      <c r="I11" s="15" t="s">
        <v>400</v>
      </c>
      <c r="J11" s="39" t="s">
        <v>1225</v>
      </c>
      <c r="K11" s="39" t="s">
        <v>1201</v>
      </c>
      <c r="L11" s="15" t="s">
        <v>441</v>
      </c>
      <c r="M11" s="15" t="s">
        <v>190</v>
      </c>
      <c r="N11" s="42" t="s">
        <v>205</v>
      </c>
      <c r="O11" s="15" t="s">
        <v>205</v>
      </c>
      <c r="P11" s="15" t="s">
        <v>205</v>
      </c>
      <c r="Q11" s="40" t="s">
        <v>373</v>
      </c>
      <c r="R11" s="40" t="s">
        <v>373</v>
      </c>
      <c r="S11" s="40">
        <v>7</v>
      </c>
      <c r="T11" s="48" t="s">
        <v>479</v>
      </c>
      <c r="U11" s="43">
        <v>46264</v>
      </c>
      <c r="W11" s="43">
        <v>46325</v>
      </c>
      <c r="X11" s="15" t="s">
        <v>205</v>
      </c>
      <c r="Y11" s="17">
        <f>IF(X11="","",IFERROR(INDEX('Content Calendar'!$H$5:$H$604,MATCH(X11,'Content Calendar'!$A$5:$A$604,0)),"Not found"))</f>
        <v>0</v>
      </c>
      <c r="Z11" s="16">
        <f>IF(X11="","",IFERROR(INDEX('Content Calendar'!$B$5:$B$604,MATCH(X11,'Content Calendar'!$A$5:$A$604,0)),"Not found"))</f>
        <v>0</v>
      </c>
      <c r="AA11" s="23">
        <f>IF(U11="","",TODAY()-U11)</f>
        <v>0</v>
      </c>
      <c r="AB11" s="16">
        <f>IF(B11="","",IF(T11="Used","",IF(V11="",U11,V11)+IdeaReviewDays))</f>
        <v>0</v>
      </c>
      <c r="AC11" s="29">
        <f>IF(B11="","",IF(COUNTIF('Idea Bank'!$B$5:$B$304,B11)&gt;1,"Duplicate","OK"))</f>
        <v>0</v>
      </c>
      <c r="AD11" s="29">
        <f>IF(B11="","",IF(T11="Used","Done - on the calendar",IF(AND(X11&lt;&gt;"",Y11=""),"Check - content ID not found",IF(AND(AB11&lt;&gt;"",AB11&lt;TODAY()),"Review - idea is going stale",IF(AND(S11&gt;=8,T11&lt;&gt;"Scheduled",X11=""),"Plan - strong idea, not scheduled","OK")))))</f>
        <v>0</v>
      </c>
      <c r="AE11" s="39" t="s">
        <v>205</v>
      </c>
    </row>
    <row r="12" spans="1:31">
      <c r="A12" s="41">
        <f>IF(B12="","",IdeaPrefix&amp;TEXT(ROW()-4,"000"))</f>
        <v>0</v>
      </c>
      <c r="B12" s="15" t="s">
        <v>1226</v>
      </c>
      <c r="C12" s="39" t="s">
        <v>1227</v>
      </c>
      <c r="D12" s="15" t="s">
        <v>849</v>
      </c>
      <c r="E12" s="39" t="s">
        <v>1199</v>
      </c>
      <c r="F12" s="15" t="s">
        <v>430</v>
      </c>
      <c r="G12" s="15" t="s">
        <v>894</v>
      </c>
      <c r="H12" s="15" t="s">
        <v>376</v>
      </c>
      <c r="I12" s="15" t="s">
        <v>397</v>
      </c>
      <c r="J12" s="39" t="s">
        <v>1228</v>
      </c>
      <c r="K12" s="39" t="s">
        <v>1201</v>
      </c>
      <c r="L12" s="15" t="s">
        <v>448</v>
      </c>
      <c r="M12" s="15" t="s">
        <v>484</v>
      </c>
      <c r="N12" s="42" t="s">
        <v>205</v>
      </c>
      <c r="O12" s="15" t="s">
        <v>205</v>
      </c>
      <c r="P12" s="15" t="s">
        <v>1203</v>
      </c>
      <c r="Q12" s="40" t="s">
        <v>373</v>
      </c>
      <c r="R12" s="40" t="s">
        <v>373</v>
      </c>
      <c r="S12" s="40">
        <v>6</v>
      </c>
      <c r="T12" s="48" t="s">
        <v>479</v>
      </c>
      <c r="U12" s="43">
        <v>46267</v>
      </c>
      <c r="V12" s="43">
        <v>46290</v>
      </c>
      <c r="W12" s="43">
        <v>46327</v>
      </c>
      <c r="X12" s="15" t="s">
        <v>205</v>
      </c>
      <c r="Y12" s="17">
        <f>IF(X12="","",IFERROR(INDEX('Content Calendar'!$H$5:$H$604,MATCH(X12,'Content Calendar'!$A$5:$A$604,0)),"Not found"))</f>
        <v>0</v>
      </c>
      <c r="Z12" s="16">
        <f>IF(X12="","",IFERROR(INDEX('Content Calendar'!$B$5:$B$604,MATCH(X12,'Content Calendar'!$A$5:$A$604,0)),"Not found"))</f>
        <v>0</v>
      </c>
      <c r="AA12" s="23">
        <f>IF(U12="","",TODAY()-U12)</f>
        <v>0</v>
      </c>
      <c r="AB12" s="16">
        <f>IF(B12="","",IF(T12="Used","",IF(V12="",U12,V12)+IdeaReviewDays))</f>
        <v>0</v>
      </c>
      <c r="AC12" s="29">
        <f>IF(B12="","",IF(COUNTIF('Idea Bank'!$B$5:$B$304,B12)&gt;1,"Duplicate","OK"))</f>
        <v>0</v>
      </c>
      <c r="AD12" s="29">
        <f>IF(B12="","",IF(T12="Used","Done - on the calendar",IF(AND(X12&lt;&gt;"",Y12=""),"Check - content ID not found",IF(AND(AB12&lt;&gt;"",AB12&lt;TODAY()),"Review - idea is going stale",IF(AND(S12&gt;=8,T12&lt;&gt;"Scheduled",X12=""),"Plan - strong idea, not scheduled","OK")))))</f>
        <v>0</v>
      </c>
      <c r="AE12" s="39" t="s">
        <v>205</v>
      </c>
    </row>
    <row r="13" spans="1:31">
      <c r="A13" s="41">
        <f>IF(B13="","",IdeaPrefix&amp;TEXT(ROW()-4,"000"))</f>
        <v>0</v>
      </c>
      <c r="B13" s="15" t="s">
        <v>1229</v>
      </c>
      <c r="C13" s="39" t="s">
        <v>1230</v>
      </c>
      <c r="D13" s="15" t="s">
        <v>858</v>
      </c>
      <c r="E13" s="39" t="s">
        <v>1199</v>
      </c>
      <c r="F13" s="15" t="s">
        <v>427</v>
      </c>
      <c r="G13" s="15" t="s">
        <v>881</v>
      </c>
      <c r="H13" s="15" t="s">
        <v>378</v>
      </c>
      <c r="I13" s="15" t="s">
        <v>409</v>
      </c>
      <c r="J13" s="39" t="s">
        <v>1231</v>
      </c>
      <c r="K13" s="39" t="s">
        <v>1201</v>
      </c>
      <c r="L13" s="15" t="s">
        <v>438</v>
      </c>
      <c r="M13" s="15" t="s">
        <v>485</v>
      </c>
      <c r="N13" s="42" t="s">
        <v>205</v>
      </c>
      <c r="O13" s="15" t="s">
        <v>205</v>
      </c>
      <c r="P13" s="15" t="s">
        <v>205</v>
      </c>
      <c r="Q13" s="40" t="s">
        <v>372</v>
      </c>
      <c r="R13" s="40" t="s">
        <v>373</v>
      </c>
      <c r="S13" s="40">
        <v>8</v>
      </c>
      <c r="T13" s="48" t="s">
        <v>480</v>
      </c>
      <c r="U13" s="43">
        <v>46270</v>
      </c>
      <c r="W13" s="43">
        <v>46329</v>
      </c>
      <c r="X13" s="15" t="s">
        <v>205</v>
      </c>
      <c r="Y13" s="17">
        <f>IF(X13="","",IFERROR(INDEX('Content Calendar'!$H$5:$H$604,MATCH(X13,'Content Calendar'!$A$5:$A$604,0)),"Not found"))</f>
        <v>0</v>
      </c>
      <c r="Z13" s="16">
        <f>IF(X13="","",IFERROR(INDEX('Content Calendar'!$B$5:$B$604,MATCH(X13,'Content Calendar'!$A$5:$A$604,0)),"Not found"))</f>
        <v>0</v>
      </c>
      <c r="AA13" s="23">
        <f>IF(U13="","",TODAY()-U13)</f>
        <v>0</v>
      </c>
      <c r="AB13" s="16">
        <f>IF(B13="","",IF(T13="Used","",IF(V13="",U13,V13)+IdeaReviewDays))</f>
        <v>0</v>
      </c>
      <c r="AC13" s="29">
        <f>IF(B13="","",IF(COUNTIF('Idea Bank'!$B$5:$B$304,B13)&gt;1,"Duplicate","OK"))</f>
        <v>0</v>
      </c>
      <c r="AD13" s="29">
        <f>IF(B13="","",IF(T13="Used","Done - on the calendar",IF(AND(X13&lt;&gt;"",Y13=""),"Check - content ID not found",IF(AND(AB13&lt;&gt;"",AB13&lt;TODAY()),"Review - idea is going stale",IF(AND(S13&gt;=8,T13&lt;&gt;"Scheduled",X13=""),"Plan - strong idea, not scheduled","OK")))))</f>
        <v>0</v>
      </c>
      <c r="AE13" s="39" t="s">
        <v>205</v>
      </c>
    </row>
    <row r="14" spans="1:31">
      <c r="A14" s="41">
        <f>IF(B14="","",IdeaPrefix&amp;TEXT(ROW()-4,"000"))</f>
        <v>0</v>
      </c>
      <c r="B14" s="15" t="s">
        <v>1232</v>
      </c>
      <c r="C14" s="39" t="s">
        <v>1233</v>
      </c>
      <c r="D14" s="15" t="s">
        <v>834</v>
      </c>
      <c r="E14" s="39" t="s">
        <v>1199</v>
      </c>
      <c r="F14" s="15" t="s">
        <v>432</v>
      </c>
      <c r="G14" s="15" t="s">
        <v>878</v>
      </c>
      <c r="H14" s="15" t="s">
        <v>376</v>
      </c>
      <c r="I14" s="15" t="s">
        <v>398</v>
      </c>
      <c r="J14" s="39" t="s">
        <v>1234</v>
      </c>
      <c r="K14" s="39" t="s">
        <v>1201</v>
      </c>
      <c r="L14" s="15" t="s">
        <v>439</v>
      </c>
      <c r="M14" s="15" t="s">
        <v>489</v>
      </c>
      <c r="N14" s="42" t="s">
        <v>205</v>
      </c>
      <c r="O14" s="15" t="s">
        <v>205</v>
      </c>
      <c r="P14" s="15" t="s">
        <v>205</v>
      </c>
      <c r="Q14" s="40" t="s">
        <v>372</v>
      </c>
      <c r="R14" s="40" t="s">
        <v>373</v>
      </c>
      <c r="S14" s="40">
        <v>9</v>
      </c>
      <c r="T14" s="48" t="s">
        <v>480</v>
      </c>
      <c r="U14" s="43">
        <v>46273</v>
      </c>
      <c r="V14" s="43">
        <v>46294</v>
      </c>
      <c r="W14" s="43">
        <v>46331</v>
      </c>
      <c r="X14" s="15" t="s">
        <v>205</v>
      </c>
      <c r="Y14" s="17">
        <f>IF(X14="","",IFERROR(INDEX('Content Calendar'!$H$5:$H$604,MATCH(X14,'Content Calendar'!$A$5:$A$604,0)),"Not found"))</f>
        <v>0</v>
      </c>
      <c r="Z14" s="16">
        <f>IF(X14="","",IFERROR(INDEX('Content Calendar'!$B$5:$B$604,MATCH(X14,'Content Calendar'!$A$5:$A$604,0)),"Not found"))</f>
        <v>0</v>
      </c>
      <c r="AA14" s="23">
        <f>IF(U14="","",TODAY()-U14)</f>
        <v>0</v>
      </c>
      <c r="AB14" s="16">
        <f>IF(B14="","",IF(T14="Used","",IF(V14="",U14,V14)+IdeaReviewDays))</f>
        <v>0</v>
      </c>
      <c r="AC14" s="29">
        <f>IF(B14="","",IF(COUNTIF('Idea Bank'!$B$5:$B$304,B14)&gt;1,"Duplicate","OK"))</f>
        <v>0</v>
      </c>
      <c r="AD14" s="29">
        <f>IF(B14="","",IF(T14="Used","Done - on the calendar",IF(AND(X14&lt;&gt;"",Y14=""),"Check - content ID not found",IF(AND(AB14&lt;&gt;"",AB14&lt;TODAY()),"Review - idea is going stale",IF(AND(S14&gt;=8,T14&lt;&gt;"Scheduled",X14=""),"Plan - strong idea, not scheduled","OK")))))</f>
        <v>0</v>
      </c>
      <c r="AE14" s="39" t="s">
        <v>205</v>
      </c>
    </row>
    <row r="15" spans="1:31">
      <c r="A15" s="41">
        <f>IF(B15="","",IdeaPrefix&amp;TEXT(ROW()-4,"000"))</f>
        <v>0</v>
      </c>
      <c r="B15" s="15" t="s">
        <v>1235</v>
      </c>
      <c r="C15" s="39" t="s">
        <v>1236</v>
      </c>
      <c r="D15" s="15" t="s">
        <v>849</v>
      </c>
      <c r="E15" s="39" t="s">
        <v>1199</v>
      </c>
      <c r="F15" s="15" t="s">
        <v>430</v>
      </c>
      <c r="G15" s="15" t="s">
        <v>894</v>
      </c>
      <c r="H15" s="15" t="s">
        <v>380</v>
      </c>
      <c r="I15" s="15" t="s">
        <v>396</v>
      </c>
      <c r="J15" s="39" t="s">
        <v>1237</v>
      </c>
      <c r="K15" s="39" t="s">
        <v>1201</v>
      </c>
      <c r="L15" s="15" t="s">
        <v>448</v>
      </c>
      <c r="M15" s="15" t="s">
        <v>190</v>
      </c>
      <c r="N15" s="42" t="s">
        <v>205</v>
      </c>
      <c r="O15" s="15" t="s">
        <v>1202</v>
      </c>
      <c r="P15" s="15" t="s">
        <v>205</v>
      </c>
      <c r="Q15" s="40" t="s">
        <v>373</v>
      </c>
      <c r="R15" s="40" t="s">
        <v>373</v>
      </c>
      <c r="S15" s="40">
        <v>4</v>
      </c>
      <c r="T15" s="48" t="s">
        <v>479</v>
      </c>
      <c r="U15" s="43">
        <v>46276</v>
      </c>
      <c r="W15" s="43">
        <v>46333</v>
      </c>
      <c r="X15" s="15" t="s">
        <v>205</v>
      </c>
      <c r="Y15" s="17">
        <f>IF(X15="","",IFERROR(INDEX('Content Calendar'!$H$5:$H$604,MATCH(X15,'Content Calendar'!$A$5:$A$604,0)),"Not found"))</f>
        <v>0</v>
      </c>
      <c r="Z15" s="16">
        <f>IF(X15="","",IFERROR(INDEX('Content Calendar'!$B$5:$B$604,MATCH(X15,'Content Calendar'!$A$5:$A$604,0)),"Not found"))</f>
        <v>0</v>
      </c>
      <c r="AA15" s="23">
        <f>IF(U15="","",TODAY()-U15)</f>
        <v>0</v>
      </c>
      <c r="AB15" s="16">
        <f>IF(B15="","",IF(T15="Used","",IF(V15="",U15,V15)+IdeaReviewDays))</f>
        <v>0</v>
      </c>
      <c r="AC15" s="29">
        <f>IF(B15="","",IF(COUNTIF('Idea Bank'!$B$5:$B$304,B15)&gt;1,"Duplicate","OK"))</f>
        <v>0</v>
      </c>
      <c r="AD15" s="29">
        <f>IF(B15="","",IF(T15="Used","Done - on the calendar",IF(AND(X15&lt;&gt;"",Y15=""),"Check - content ID not found",IF(AND(AB15&lt;&gt;"",AB15&lt;TODAY()),"Review - idea is going stale",IF(AND(S15&gt;=8,T15&lt;&gt;"Scheduled",X15=""),"Plan - strong idea, not scheduled","OK")))))</f>
        <v>0</v>
      </c>
      <c r="AE15" s="39" t="s">
        <v>205</v>
      </c>
    </row>
    <row r="16" spans="1:31">
      <c r="A16" s="41">
        <f>IF(B16="","",IdeaPrefix&amp;TEXT(ROW()-4,"000"))</f>
        <v>0</v>
      </c>
      <c r="B16" s="15" t="s">
        <v>1238</v>
      </c>
      <c r="C16" s="39" t="s">
        <v>1239</v>
      </c>
      <c r="D16" s="15" t="s">
        <v>858</v>
      </c>
      <c r="E16" s="39" t="s">
        <v>1199</v>
      </c>
      <c r="F16" s="15" t="s">
        <v>170</v>
      </c>
      <c r="G16" s="15" t="s">
        <v>888</v>
      </c>
      <c r="H16" s="15" t="s">
        <v>376</v>
      </c>
      <c r="I16" s="15" t="s">
        <v>399</v>
      </c>
      <c r="J16" s="39" t="s">
        <v>1240</v>
      </c>
      <c r="K16" s="39" t="s">
        <v>1201</v>
      </c>
      <c r="L16" s="15" t="s">
        <v>443</v>
      </c>
      <c r="M16" s="15" t="s">
        <v>484</v>
      </c>
      <c r="N16" s="42" t="s">
        <v>205</v>
      </c>
      <c r="O16" s="15" t="s">
        <v>205</v>
      </c>
      <c r="P16" s="15" t="s">
        <v>205</v>
      </c>
      <c r="Q16" s="40" t="s">
        <v>373</v>
      </c>
      <c r="R16" s="40" t="s">
        <v>373</v>
      </c>
      <c r="S16" s="40">
        <v>7</v>
      </c>
      <c r="T16" s="48" t="s">
        <v>479</v>
      </c>
      <c r="U16" s="43">
        <v>46279</v>
      </c>
      <c r="V16" s="43">
        <v>46298</v>
      </c>
      <c r="W16" s="43">
        <v>46335</v>
      </c>
      <c r="X16" s="15" t="s">
        <v>205</v>
      </c>
      <c r="Y16" s="17">
        <f>IF(X16="","",IFERROR(INDEX('Content Calendar'!$H$5:$H$604,MATCH(X16,'Content Calendar'!$A$5:$A$604,0)),"Not found"))</f>
        <v>0</v>
      </c>
      <c r="Z16" s="16">
        <f>IF(X16="","",IFERROR(INDEX('Content Calendar'!$B$5:$B$604,MATCH(X16,'Content Calendar'!$A$5:$A$604,0)),"Not found"))</f>
        <v>0</v>
      </c>
      <c r="AA16" s="23">
        <f>IF(U16="","",TODAY()-U16)</f>
        <v>0</v>
      </c>
      <c r="AB16" s="16">
        <f>IF(B16="","",IF(T16="Used","",IF(V16="",U16,V16)+IdeaReviewDays))</f>
        <v>0</v>
      </c>
      <c r="AC16" s="29">
        <f>IF(B16="","",IF(COUNTIF('Idea Bank'!$B$5:$B$304,B16)&gt;1,"Duplicate","OK"))</f>
        <v>0</v>
      </c>
      <c r="AD16" s="29">
        <f>IF(B16="","",IF(T16="Used","Done - on the calendar",IF(AND(X16&lt;&gt;"",Y16=""),"Check - content ID not found",IF(AND(AB16&lt;&gt;"",AB16&lt;TODAY()),"Review - idea is going stale",IF(AND(S16&gt;=8,T16&lt;&gt;"Scheduled",X16=""),"Plan - strong idea, not scheduled","OK")))))</f>
        <v>0</v>
      </c>
      <c r="AE16" s="39" t="s">
        <v>205</v>
      </c>
    </row>
    <row r="17" spans="1:31">
      <c r="A17" s="41">
        <f>IF(B17="","",IdeaPrefix&amp;TEXT(ROW()-4,"000"))</f>
        <v>0</v>
      </c>
      <c r="B17" s="15" t="s">
        <v>1241</v>
      </c>
      <c r="C17" s="39" t="s">
        <v>1242</v>
      </c>
      <c r="D17" s="15" t="s">
        <v>834</v>
      </c>
      <c r="E17" s="39" t="s">
        <v>1199</v>
      </c>
      <c r="F17" s="15" t="s">
        <v>432</v>
      </c>
      <c r="G17" s="15" t="s">
        <v>878</v>
      </c>
      <c r="H17" s="15" t="s">
        <v>377</v>
      </c>
      <c r="I17" s="15" t="s">
        <v>398</v>
      </c>
      <c r="J17" s="39" t="s">
        <v>1243</v>
      </c>
      <c r="K17" s="39" t="s">
        <v>1201</v>
      </c>
      <c r="L17" s="15" t="s">
        <v>439</v>
      </c>
      <c r="M17" s="15" t="s">
        <v>485</v>
      </c>
      <c r="N17" s="42" t="s">
        <v>205</v>
      </c>
      <c r="O17" s="15" t="s">
        <v>205</v>
      </c>
      <c r="P17" s="15" t="s">
        <v>205</v>
      </c>
      <c r="Q17" s="40" t="s">
        <v>372</v>
      </c>
      <c r="R17" s="40" t="s">
        <v>372</v>
      </c>
      <c r="S17" s="40">
        <v>8</v>
      </c>
      <c r="T17" s="48" t="s">
        <v>480</v>
      </c>
      <c r="U17" s="43">
        <v>46282</v>
      </c>
      <c r="W17" s="43">
        <v>46337</v>
      </c>
      <c r="X17" s="15" t="s">
        <v>205</v>
      </c>
      <c r="Y17" s="17">
        <f>IF(X17="","",IFERROR(INDEX('Content Calendar'!$H$5:$H$604,MATCH(X17,'Content Calendar'!$A$5:$A$604,0)),"Not found"))</f>
        <v>0</v>
      </c>
      <c r="Z17" s="16">
        <f>IF(X17="","",IFERROR(INDEX('Content Calendar'!$B$5:$B$604,MATCH(X17,'Content Calendar'!$A$5:$A$604,0)),"Not found"))</f>
        <v>0</v>
      </c>
      <c r="AA17" s="23">
        <f>IF(U17="","",TODAY()-U17)</f>
        <v>0</v>
      </c>
      <c r="AB17" s="16">
        <f>IF(B17="","",IF(T17="Used","",IF(V17="",U17,V17)+IdeaReviewDays))</f>
        <v>0</v>
      </c>
      <c r="AC17" s="29">
        <f>IF(B17="","",IF(COUNTIF('Idea Bank'!$B$5:$B$304,B17)&gt;1,"Duplicate","OK"))</f>
        <v>0</v>
      </c>
      <c r="AD17" s="29">
        <f>IF(B17="","",IF(T17="Used","Done - on the calendar",IF(AND(X17&lt;&gt;"",Y17=""),"Check - content ID not found",IF(AND(AB17&lt;&gt;"",AB17&lt;TODAY()),"Review - idea is going stale",IF(AND(S17&gt;=8,T17&lt;&gt;"Scheduled",X17=""),"Plan - strong idea, not scheduled","OK")))))</f>
        <v>0</v>
      </c>
      <c r="AE17" s="39" t="s">
        <v>205</v>
      </c>
    </row>
    <row r="18" spans="1:31">
      <c r="A18" s="41">
        <f>IF(B18="","",IdeaPrefix&amp;TEXT(ROW()-4,"000"))</f>
        <v>0</v>
      </c>
      <c r="B18" s="15" t="s">
        <v>1244</v>
      </c>
      <c r="C18" s="39" t="s">
        <v>1245</v>
      </c>
      <c r="D18" s="15" t="s">
        <v>849</v>
      </c>
      <c r="E18" s="39" t="s">
        <v>1199</v>
      </c>
      <c r="F18" s="15" t="s">
        <v>430</v>
      </c>
      <c r="G18" s="15" t="s">
        <v>462</v>
      </c>
      <c r="H18" s="15" t="s">
        <v>379</v>
      </c>
      <c r="I18" s="15" t="s">
        <v>400</v>
      </c>
      <c r="J18" s="39" t="s">
        <v>1246</v>
      </c>
      <c r="K18" s="39" t="s">
        <v>1201</v>
      </c>
      <c r="L18" s="15" t="s">
        <v>441</v>
      </c>
      <c r="M18" s="15" t="s">
        <v>489</v>
      </c>
      <c r="N18" s="42" t="s">
        <v>205</v>
      </c>
      <c r="O18" s="15" t="s">
        <v>205</v>
      </c>
      <c r="P18" s="15" t="s">
        <v>205</v>
      </c>
      <c r="Q18" s="40" t="s">
        <v>373</v>
      </c>
      <c r="R18" s="40" t="s">
        <v>373</v>
      </c>
      <c r="S18" s="40">
        <v>5</v>
      </c>
      <c r="T18" s="48" t="s">
        <v>479</v>
      </c>
      <c r="U18" s="43">
        <v>46285</v>
      </c>
      <c r="V18" s="43">
        <v>46302</v>
      </c>
      <c r="W18" s="43">
        <v>46339</v>
      </c>
      <c r="X18" s="15" t="s">
        <v>205</v>
      </c>
      <c r="Y18" s="17">
        <f>IF(X18="","",IFERROR(INDEX('Content Calendar'!$H$5:$H$604,MATCH(X18,'Content Calendar'!$A$5:$A$604,0)),"Not found"))</f>
        <v>0</v>
      </c>
      <c r="Z18" s="16">
        <f>IF(X18="","",IFERROR(INDEX('Content Calendar'!$B$5:$B$604,MATCH(X18,'Content Calendar'!$A$5:$A$604,0)),"Not found"))</f>
        <v>0</v>
      </c>
      <c r="AA18" s="23">
        <f>IF(U18="","",TODAY()-U18)</f>
        <v>0</v>
      </c>
      <c r="AB18" s="16">
        <f>IF(B18="","",IF(T18="Used","",IF(V18="",U18,V18)+IdeaReviewDays))</f>
        <v>0</v>
      </c>
      <c r="AC18" s="29">
        <f>IF(B18="","",IF(COUNTIF('Idea Bank'!$B$5:$B$304,B18)&gt;1,"Duplicate","OK"))</f>
        <v>0</v>
      </c>
      <c r="AD18" s="29">
        <f>IF(B18="","",IF(T18="Used","Done - on the calendar",IF(AND(X18&lt;&gt;"",Y18=""),"Check - content ID not found",IF(AND(AB18&lt;&gt;"",AB18&lt;TODAY()),"Review - idea is going stale",IF(AND(S18&gt;=8,T18&lt;&gt;"Scheduled",X18=""),"Plan - strong idea, not scheduled","OK")))))</f>
        <v>0</v>
      </c>
      <c r="AE18" s="39" t="s">
        <v>205</v>
      </c>
    </row>
    <row r="19" spans="1:31">
      <c r="A19" s="41">
        <f>IF(B19="","",IdeaPrefix&amp;TEXT(ROW()-4,"000"))</f>
        <v>0</v>
      </c>
      <c r="B19" s="15" t="s">
        <v>1247</v>
      </c>
      <c r="C19" s="39" t="s">
        <v>1248</v>
      </c>
      <c r="D19" s="15" t="s">
        <v>858</v>
      </c>
      <c r="E19" s="39" t="s">
        <v>1199</v>
      </c>
      <c r="F19" s="15" t="s">
        <v>428</v>
      </c>
      <c r="G19" s="15" t="s">
        <v>430</v>
      </c>
      <c r="H19" s="15" t="s">
        <v>376</v>
      </c>
      <c r="I19" s="15" t="s">
        <v>399</v>
      </c>
      <c r="J19" s="39" t="s">
        <v>1249</v>
      </c>
      <c r="K19" s="39" t="s">
        <v>1201</v>
      </c>
      <c r="L19" s="15" t="s">
        <v>449</v>
      </c>
      <c r="M19" s="15" t="s">
        <v>190</v>
      </c>
      <c r="N19" s="42" t="s">
        <v>205</v>
      </c>
      <c r="O19" s="15" t="s">
        <v>205</v>
      </c>
      <c r="P19" s="15" t="s">
        <v>1203</v>
      </c>
      <c r="Q19" s="40" t="s">
        <v>373</v>
      </c>
      <c r="R19" s="40" t="s">
        <v>373</v>
      </c>
      <c r="S19" s="40">
        <v>7</v>
      </c>
      <c r="T19" s="48" t="s">
        <v>479</v>
      </c>
      <c r="U19" s="43">
        <v>46288</v>
      </c>
      <c r="W19" s="43">
        <v>46341</v>
      </c>
      <c r="X19" s="15" t="s">
        <v>205</v>
      </c>
      <c r="Y19" s="17">
        <f>IF(X19="","",IFERROR(INDEX('Content Calendar'!$H$5:$H$604,MATCH(X19,'Content Calendar'!$A$5:$A$604,0)),"Not found"))</f>
        <v>0</v>
      </c>
      <c r="Z19" s="16">
        <f>IF(X19="","",IFERROR(INDEX('Content Calendar'!$B$5:$B$604,MATCH(X19,'Content Calendar'!$A$5:$A$604,0)),"Not found"))</f>
        <v>0</v>
      </c>
      <c r="AA19" s="23">
        <f>IF(U19="","",TODAY()-U19)</f>
        <v>0</v>
      </c>
      <c r="AB19" s="16">
        <f>IF(B19="","",IF(T19="Used","",IF(V19="",U19,V19)+IdeaReviewDays))</f>
        <v>0</v>
      </c>
      <c r="AC19" s="29">
        <f>IF(B19="","",IF(COUNTIF('Idea Bank'!$B$5:$B$304,B19)&gt;1,"Duplicate","OK"))</f>
        <v>0</v>
      </c>
      <c r="AD19" s="29">
        <f>IF(B19="","",IF(T19="Used","Done - on the calendar",IF(AND(X19&lt;&gt;"",Y19=""),"Check - content ID not found",IF(AND(AB19&lt;&gt;"",AB19&lt;TODAY()),"Review - idea is going stale",IF(AND(S19&gt;=8,T19&lt;&gt;"Scheduled",X19=""),"Plan - strong idea, not scheduled","OK")))))</f>
        <v>0</v>
      </c>
      <c r="AE19" s="39" t="s">
        <v>205</v>
      </c>
    </row>
    <row r="20" spans="1:31">
      <c r="A20" s="41">
        <f>IF(B20="","",IdeaPrefix&amp;TEXT(ROW()-4,"000"))</f>
        <v>0</v>
      </c>
      <c r="B20" s="15" t="s">
        <v>1250</v>
      </c>
      <c r="C20" s="39" t="s">
        <v>1251</v>
      </c>
      <c r="D20" s="15" t="s">
        <v>834</v>
      </c>
      <c r="E20" s="39" t="s">
        <v>1199</v>
      </c>
      <c r="F20" s="15" t="s">
        <v>430</v>
      </c>
      <c r="G20" s="15" t="s">
        <v>894</v>
      </c>
      <c r="H20" s="15" t="s">
        <v>376</v>
      </c>
      <c r="I20" s="15" t="s">
        <v>397</v>
      </c>
      <c r="J20" s="39" t="s">
        <v>1252</v>
      </c>
      <c r="K20" s="39" t="s">
        <v>1201</v>
      </c>
      <c r="L20" s="15" t="s">
        <v>448</v>
      </c>
      <c r="M20" s="15" t="s">
        <v>484</v>
      </c>
      <c r="N20" s="42" t="s">
        <v>205</v>
      </c>
      <c r="O20" s="15" t="s">
        <v>1202</v>
      </c>
      <c r="P20" s="15" t="s">
        <v>205</v>
      </c>
      <c r="Q20" s="40" t="s">
        <v>373</v>
      </c>
      <c r="R20" s="40" t="s">
        <v>373</v>
      </c>
      <c r="S20" s="40">
        <v>8</v>
      </c>
      <c r="T20" s="48" t="s">
        <v>480</v>
      </c>
      <c r="U20" s="43">
        <v>46291</v>
      </c>
      <c r="V20" s="43">
        <v>46306</v>
      </c>
      <c r="W20" s="43">
        <v>46343</v>
      </c>
      <c r="X20" s="15" t="s">
        <v>205</v>
      </c>
      <c r="Y20" s="17">
        <f>IF(X20="","",IFERROR(INDEX('Content Calendar'!$H$5:$H$604,MATCH(X20,'Content Calendar'!$A$5:$A$604,0)),"Not found"))</f>
        <v>0</v>
      </c>
      <c r="Z20" s="16">
        <f>IF(X20="","",IFERROR(INDEX('Content Calendar'!$B$5:$B$604,MATCH(X20,'Content Calendar'!$A$5:$A$604,0)),"Not found"))</f>
        <v>0</v>
      </c>
      <c r="AA20" s="23">
        <f>IF(U20="","",TODAY()-U20)</f>
        <v>0</v>
      </c>
      <c r="AB20" s="16">
        <f>IF(B20="","",IF(T20="Used","",IF(V20="",U20,V20)+IdeaReviewDays))</f>
        <v>0</v>
      </c>
      <c r="AC20" s="29">
        <f>IF(B20="","",IF(COUNTIF('Idea Bank'!$B$5:$B$304,B20)&gt;1,"Duplicate","OK"))</f>
        <v>0</v>
      </c>
      <c r="AD20" s="29">
        <f>IF(B20="","",IF(T20="Used","Done - on the calendar",IF(AND(X20&lt;&gt;"",Y20=""),"Check - content ID not found",IF(AND(AB20&lt;&gt;"",AB20&lt;TODAY()),"Review - idea is going stale",IF(AND(S20&gt;=8,T20&lt;&gt;"Scheduled",X20=""),"Plan - strong idea, not scheduled","OK")))))</f>
        <v>0</v>
      </c>
      <c r="AE20" s="39" t="s">
        <v>205</v>
      </c>
    </row>
    <row r="21" spans="1:31">
      <c r="A21" s="41">
        <f>IF(B21="","",IdeaPrefix&amp;TEXT(ROW()-4,"000"))</f>
        <v>0</v>
      </c>
      <c r="B21" s="15" t="s">
        <v>1253</v>
      </c>
      <c r="C21" s="39" t="s">
        <v>1254</v>
      </c>
      <c r="D21" s="15" t="s">
        <v>849</v>
      </c>
      <c r="E21" s="39" t="s">
        <v>1199</v>
      </c>
      <c r="F21" s="15" t="s">
        <v>427</v>
      </c>
      <c r="G21" s="15" t="s">
        <v>881</v>
      </c>
      <c r="H21" s="15" t="s">
        <v>378</v>
      </c>
      <c r="I21" s="15" t="s">
        <v>408</v>
      </c>
      <c r="J21" s="39" t="s">
        <v>1255</v>
      </c>
      <c r="K21" s="39" t="s">
        <v>1201</v>
      </c>
      <c r="L21" s="15" t="s">
        <v>438</v>
      </c>
      <c r="M21" s="15" t="s">
        <v>485</v>
      </c>
      <c r="N21" s="42" t="s">
        <v>205</v>
      </c>
      <c r="O21" s="15" t="s">
        <v>205</v>
      </c>
      <c r="P21" s="15" t="s">
        <v>205</v>
      </c>
      <c r="Q21" s="40" t="s">
        <v>372</v>
      </c>
      <c r="R21" s="40" t="s">
        <v>373</v>
      </c>
      <c r="S21" s="40">
        <v>7</v>
      </c>
      <c r="T21" s="48" t="s">
        <v>479</v>
      </c>
      <c r="U21" s="43">
        <v>46294</v>
      </c>
      <c r="W21" s="43">
        <v>46345</v>
      </c>
      <c r="X21" s="15" t="s">
        <v>205</v>
      </c>
      <c r="Y21" s="17">
        <f>IF(X21="","",IFERROR(INDEX('Content Calendar'!$H$5:$H$604,MATCH(X21,'Content Calendar'!$A$5:$A$604,0)),"Not found"))</f>
        <v>0</v>
      </c>
      <c r="Z21" s="16">
        <f>IF(X21="","",IFERROR(INDEX('Content Calendar'!$B$5:$B$604,MATCH(X21,'Content Calendar'!$A$5:$A$604,0)),"Not found"))</f>
        <v>0</v>
      </c>
      <c r="AA21" s="23">
        <f>IF(U21="","",TODAY()-U21)</f>
        <v>0</v>
      </c>
      <c r="AB21" s="16">
        <f>IF(B21="","",IF(T21="Used","",IF(V21="",U21,V21)+IdeaReviewDays))</f>
        <v>0</v>
      </c>
      <c r="AC21" s="29">
        <f>IF(B21="","",IF(COUNTIF('Idea Bank'!$B$5:$B$304,B21)&gt;1,"Duplicate","OK"))</f>
        <v>0</v>
      </c>
      <c r="AD21" s="29">
        <f>IF(B21="","",IF(T21="Used","Done - on the calendar",IF(AND(X21&lt;&gt;"",Y21=""),"Check - content ID not found",IF(AND(AB21&lt;&gt;"",AB21&lt;TODAY()),"Review - idea is going stale",IF(AND(S21&gt;=8,T21&lt;&gt;"Scheduled",X21=""),"Plan - strong idea, not scheduled","OK")))))</f>
        <v>0</v>
      </c>
      <c r="AE21" s="39" t="s">
        <v>205</v>
      </c>
    </row>
    <row r="22" spans="1:31">
      <c r="A22" s="41">
        <f>IF(B22="","",IdeaPrefix&amp;TEXT(ROW()-4,"000"))</f>
        <v>0</v>
      </c>
      <c r="B22" s="15" t="s">
        <v>1256</v>
      </c>
      <c r="C22" s="39" t="s">
        <v>1257</v>
      </c>
      <c r="D22" s="15" t="s">
        <v>858</v>
      </c>
      <c r="E22" s="39" t="s">
        <v>1199</v>
      </c>
      <c r="F22" s="15" t="s">
        <v>430</v>
      </c>
      <c r="G22" s="15" t="s">
        <v>462</v>
      </c>
      <c r="H22" s="15" t="s">
        <v>376</v>
      </c>
      <c r="I22" s="15" t="s">
        <v>396</v>
      </c>
      <c r="J22" s="39" t="s">
        <v>1258</v>
      </c>
      <c r="K22" s="39" t="s">
        <v>1201</v>
      </c>
      <c r="L22" s="15" t="s">
        <v>441</v>
      </c>
      <c r="M22" s="15" t="s">
        <v>489</v>
      </c>
      <c r="N22" s="42" t="s">
        <v>205</v>
      </c>
      <c r="O22" s="15" t="s">
        <v>205</v>
      </c>
      <c r="P22" s="15" t="s">
        <v>205</v>
      </c>
      <c r="Q22" s="40" t="s">
        <v>373</v>
      </c>
      <c r="R22" s="40" t="s">
        <v>373</v>
      </c>
      <c r="S22" s="40">
        <v>6</v>
      </c>
      <c r="T22" s="48" t="s">
        <v>479</v>
      </c>
      <c r="U22" s="43">
        <v>46297</v>
      </c>
      <c r="V22" s="43">
        <v>46310</v>
      </c>
      <c r="W22" s="43">
        <v>46347</v>
      </c>
      <c r="X22" s="15" t="s">
        <v>205</v>
      </c>
      <c r="Y22" s="17">
        <f>IF(X22="","",IFERROR(INDEX('Content Calendar'!$H$5:$H$604,MATCH(X22,'Content Calendar'!$A$5:$A$604,0)),"Not found"))</f>
        <v>0</v>
      </c>
      <c r="Z22" s="16">
        <f>IF(X22="","",IFERROR(INDEX('Content Calendar'!$B$5:$B$604,MATCH(X22,'Content Calendar'!$A$5:$A$604,0)),"Not found"))</f>
        <v>0</v>
      </c>
      <c r="AA22" s="23">
        <f>IF(U22="","",TODAY()-U22)</f>
        <v>0</v>
      </c>
      <c r="AB22" s="16">
        <f>IF(B22="","",IF(T22="Used","",IF(V22="",U22,V22)+IdeaReviewDays))</f>
        <v>0</v>
      </c>
      <c r="AC22" s="29">
        <f>IF(B22="","",IF(COUNTIF('Idea Bank'!$B$5:$B$304,B22)&gt;1,"Duplicate","OK"))</f>
        <v>0</v>
      </c>
      <c r="AD22" s="29">
        <f>IF(B22="","",IF(T22="Used","Done - on the calendar",IF(AND(X22&lt;&gt;"",Y22=""),"Check - content ID not found",IF(AND(AB22&lt;&gt;"",AB22&lt;TODAY()),"Review - idea is going stale",IF(AND(S22&gt;=8,T22&lt;&gt;"Scheduled",X22=""),"Plan - strong idea, not scheduled","OK")))))</f>
        <v>0</v>
      </c>
      <c r="AE22" s="39" t="s">
        <v>205</v>
      </c>
    </row>
    <row r="23" spans="1:31">
      <c r="A23" s="41">
        <f>IF(B23="","",IdeaPrefix&amp;TEXT(ROW()-4,"000"))</f>
        <v>0</v>
      </c>
      <c r="Y23" s="17">
        <f>IF(X23="","",IFERROR(INDEX('Content Calendar'!$H$5:$H$604,MATCH(X23,'Content Calendar'!$A$5:$A$604,0)),"Not found"))</f>
        <v>0</v>
      </c>
      <c r="Z23" s="16">
        <f>IF(X23="","",IFERROR(INDEX('Content Calendar'!$B$5:$B$604,MATCH(X23,'Content Calendar'!$A$5:$A$604,0)),"Not found"))</f>
        <v>0</v>
      </c>
      <c r="AA23" s="23">
        <f>IF(U23="","",TODAY()-U23)</f>
        <v>0</v>
      </c>
      <c r="AB23" s="16">
        <f>IF(B23="","",IF(T23="Used","",IF(V23="",U23,V23)+IdeaReviewDays))</f>
        <v>0</v>
      </c>
      <c r="AC23" s="29">
        <f>IF(B23="","",IF(COUNTIF('Idea Bank'!$B$5:$B$304,B23)&gt;1,"Duplicate","OK"))</f>
        <v>0</v>
      </c>
      <c r="AD23" s="29">
        <f>IF(B23="","",IF(T23="Used","Done - on the calendar",IF(AND(X23&lt;&gt;"",Y23=""),"Check - content ID not found",IF(AND(AB23&lt;&gt;"",AB23&lt;TODAY()),"Review - idea is going stale",IF(AND(S23&gt;=8,T23&lt;&gt;"Scheduled",X23=""),"Plan - strong idea, not scheduled","OK")))))</f>
        <v>0</v>
      </c>
    </row>
    <row r="24" spans="1:31">
      <c r="A24" s="41">
        <f>IF(B24="","",IdeaPrefix&amp;TEXT(ROW()-4,"000"))</f>
        <v>0</v>
      </c>
      <c r="Y24" s="17">
        <f>IF(X24="","",IFERROR(INDEX('Content Calendar'!$H$5:$H$604,MATCH(X24,'Content Calendar'!$A$5:$A$604,0)),"Not found"))</f>
        <v>0</v>
      </c>
      <c r="Z24" s="16">
        <f>IF(X24="","",IFERROR(INDEX('Content Calendar'!$B$5:$B$604,MATCH(X24,'Content Calendar'!$A$5:$A$604,0)),"Not found"))</f>
        <v>0</v>
      </c>
      <c r="AA24" s="23">
        <f>IF(U24="","",TODAY()-U24)</f>
        <v>0</v>
      </c>
      <c r="AB24" s="16">
        <f>IF(B24="","",IF(T24="Used","",IF(V24="",U24,V24)+IdeaReviewDays))</f>
        <v>0</v>
      </c>
      <c r="AC24" s="29">
        <f>IF(B24="","",IF(COUNTIF('Idea Bank'!$B$5:$B$304,B24)&gt;1,"Duplicate","OK"))</f>
        <v>0</v>
      </c>
      <c r="AD24" s="29">
        <f>IF(B24="","",IF(T24="Used","Done - on the calendar",IF(AND(X24&lt;&gt;"",Y24=""),"Check - content ID not found",IF(AND(AB24&lt;&gt;"",AB24&lt;TODAY()),"Review - idea is going stale",IF(AND(S24&gt;=8,T24&lt;&gt;"Scheduled",X24=""),"Plan - strong idea, not scheduled","OK")))))</f>
        <v>0</v>
      </c>
    </row>
    <row r="25" spans="1:31">
      <c r="A25" s="41">
        <f>IF(B25="","",IdeaPrefix&amp;TEXT(ROW()-4,"000"))</f>
        <v>0</v>
      </c>
      <c r="Y25" s="17">
        <f>IF(X25="","",IFERROR(INDEX('Content Calendar'!$H$5:$H$604,MATCH(X25,'Content Calendar'!$A$5:$A$604,0)),"Not found"))</f>
        <v>0</v>
      </c>
      <c r="Z25" s="16">
        <f>IF(X25="","",IFERROR(INDEX('Content Calendar'!$B$5:$B$604,MATCH(X25,'Content Calendar'!$A$5:$A$604,0)),"Not found"))</f>
        <v>0</v>
      </c>
      <c r="AA25" s="23">
        <f>IF(U25="","",TODAY()-U25)</f>
        <v>0</v>
      </c>
      <c r="AB25" s="16">
        <f>IF(B25="","",IF(T25="Used","",IF(V25="",U25,V25)+IdeaReviewDays))</f>
        <v>0</v>
      </c>
      <c r="AC25" s="29">
        <f>IF(B25="","",IF(COUNTIF('Idea Bank'!$B$5:$B$304,B25)&gt;1,"Duplicate","OK"))</f>
        <v>0</v>
      </c>
      <c r="AD25" s="29">
        <f>IF(B25="","",IF(T25="Used","Done - on the calendar",IF(AND(X25&lt;&gt;"",Y25=""),"Check - content ID not found",IF(AND(AB25&lt;&gt;"",AB25&lt;TODAY()),"Review - idea is going stale",IF(AND(S25&gt;=8,T25&lt;&gt;"Scheduled",X25=""),"Plan - strong idea, not scheduled","OK")))))</f>
        <v>0</v>
      </c>
    </row>
    <row r="26" spans="1:31">
      <c r="A26" s="41">
        <f>IF(B26="","",IdeaPrefix&amp;TEXT(ROW()-4,"000"))</f>
        <v>0</v>
      </c>
      <c r="Y26" s="17">
        <f>IF(X26="","",IFERROR(INDEX('Content Calendar'!$H$5:$H$604,MATCH(X26,'Content Calendar'!$A$5:$A$604,0)),"Not found"))</f>
        <v>0</v>
      </c>
      <c r="Z26" s="16">
        <f>IF(X26="","",IFERROR(INDEX('Content Calendar'!$B$5:$B$604,MATCH(X26,'Content Calendar'!$A$5:$A$604,0)),"Not found"))</f>
        <v>0</v>
      </c>
      <c r="AA26" s="23">
        <f>IF(U26="","",TODAY()-U26)</f>
        <v>0</v>
      </c>
      <c r="AB26" s="16">
        <f>IF(B26="","",IF(T26="Used","",IF(V26="",U26,V26)+IdeaReviewDays))</f>
        <v>0</v>
      </c>
      <c r="AC26" s="29">
        <f>IF(B26="","",IF(COUNTIF('Idea Bank'!$B$5:$B$304,B26)&gt;1,"Duplicate","OK"))</f>
        <v>0</v>
      </c>
      <c r="AD26" s="29">
        <f>IF(B26="","",IF(T26="Used","Done - on the calendar",IF(AND(X26&lt;&gt;"",Y26=""),"Check - content ID not found",IF(AND(AB26&lt;&gt;"",AB26&lt;TODAY()),"Review - idea is going stale",IF(AND(S26&gt;=8,T26&lt;&gt;"Scheduled",X26=""),"Plan - strong idea, not scheduled","OK")))))</f>
        <v>0</v>
      </c>
    </row>
    <row r="27" spans="1:31">
      <c r="A27" s="41">
        <f>IF(B27="","",IdeaPrefix&amp;TEXT(ROW()-4,"000"))</f>
        <v>0</v>
      </c>
      <c r="Y27" s="17">
        <f>IF(X27="","",IFERROR(INDEX('Content Calendar'!$H$5:$H$604,MATCH(X27,'Content Calendar'!$A$5:$A$604,0)),"Not found"))</f>
        <v>0</v>
      </c>
      <c r="Z27" s="16">
        <f>IF(X27="","",IFERROR(INDEX('Content Calendar'!$B$5:$B$604,MATCH(X27,'Content Calendar'!$A$5:$A$604,0)),"Not found"))</f>
        <v>0</v>
      </c>
      <c r="AA27" s="23">
        <f>IF(U27="","",TODAY()-U27)</f>
        <v>0</v>
      </c>
      <c r="AB27" s="16">
        <f>IF(B27="","",IF(T27="Used","",IF(V27="",U27,V27)+IdeaReviewDays))</f>
        <v>0</v>
      </c>
      <c r="AC27" s="29">
        <f>IF(B27="","",IF(COUNTIF('Idea Bank'!$B$5:$B$304,B27)&gt;1,"Duplicate","OK"))</f>
        <v>0</v>
      </c>
      <c r="AD27" s="29">
        <f>IF(B27="","",IF(T27="Used","Done - on the calendar",IF(AND(X27&lt;&gt;"",Y27=""),"Check - content ID not found",IF(AND(AB27&lt;&gt;"",AB27&lt;TODAY()),"Review - idea is going stale",IF(AND(S27&gt;=8,T27&lt;&gt;"Scheduled",X27=""),"Plan - strong idea, not scheduled","OK")))))</f>
        <v>0</v>
      </c>
    </row>
    <row r="28" spans="1:31">
      <c r="A28" s="41">
        <f>IF(B28="","",IdeaPrefix&amp;TEXT(ROW()-4,"000"))</f>
        <v>0</v>
      </c>
      <c r="Y28" s="17">
        <f>IF(X28="","",IFERROR(INDEX('Content Calendar'!$H$5:$H$604,MATCH(X28,'Content Calendar'!$A$5:$A$604,0)),"Not found"))</f>
        <v>0</v>
      </c>
      <c r="Z28" s="16">
        <f>IF(X28="","",IFERROR(INDEX('Content Calendar'!$B$5:$B$604,MATCH(X28,'Content Calendar'!$A$5:$A$604,0)),"Not found"))</f>
        <v>0</v>
      </c>
      <c r="AA28" s="23">
        <f>IF(U28="","",TODAY()-U28)</f>
        <v>0</v>
      </c>
      <c r="AB28" s="16">
        <f>IF(B28="","",IF(T28="Used","",IF(V28="",U28,V28)+IdeaReviewDays))</f>
        <v>0</v>
      </c>
      <c r="AC28" s="29">
        <f>IF(B28="","",IF(COUNTIF('Idea Bank'!$B$5:$B$304,B28)&gt;1,"Duplicate","OK"))</f>
        <v>0</v>
      </c>
      <c r="AD28" s="29">
        <f>IF(B28="","",IF(T28="Used","Done - on the calendar",IF(AND(X28&lt;&gt;"",Y28=""),"Check - content ID not found",IF(AND(AB28&lt;&gt;"",AB28&lt;TODAY()),"Review - idea is going stale",IF(AND(S28&gt;=8,T28&lt;&gt;"Scheduled",X28=""),"Plan - strong idea, not scheduled","OK")))))</f>
        <v>0</v>
      </c>
    </row>
    <row r="29" spans="1:31">
      <c r="A29" s="41">
        <f>IF(B29="","",IdeaPrefix&amp;TEXT(ROW()-4,"000"))</f>
        <v>0</v>
      </c>
      <c r="Y29" s="17">
        <f>IF(X29="","",IFERROR(INDEX('Content Calendar'!$H$5:$H$604,MATCH(X29,'Content Calendar'!$A$5:$A$604,0)),"Not found"))</f>
        <v>0</v>
      </c>
      <c r="Z29" s="16">
        <f>IF(X29="","",IFERROR(INDEX('Content Calendar'!$B$5:$B$604,MATCH(X29,'Content Calendar'!$A$5:$A$604,0)),"Not found"))</f>
        <v>0</v>
      </c>
      <c r="AA29" s="23">
        <f>IF(U29="","",TODAY()-U29)</f>
        <v>0</v>
      </c>
      <c r="AB29" s="16">
        <f>IF(B29="","",IF(T29="Used","",IF(V29="",U29,V29)+IdeaReviewDays))</f>
        <v>0</v>
      </c>
      <c r="AC29" s="29">
        <f>IF(B29="","",IF(COUNTIF('Idea Bank'!$B$5:$B$304,B29)&gt;1,"Duplicate","OK"))</f>
        <v>0</v>
      </c>
      <c r="AD29" s="29">
        <f>IF(B29="","",IF(T29="Used","Done - on the calendar",IF(AND(X29&lt;&gt;"",Y29=""),"Check - content ID not found",IF(AND(AB29&lt;&gt;"",AB29&lt;TODAY()),"Review - idea is going stale",IF(AND(S29&gt;=8,T29&lt;&gt;"Scheduled",X29=""),"Plan - strong idea, not scheduled","OK")))))</f>
        <v>0</v>
      </c>
    </row>
    <row r="30" spans="1:31">
      <c r="A30" s="41">
        <f>IF(B30="","",IdeaPrefix&amp;TEXT(ROW()-4,"000"))</f>
        <v>0</v>
      </c>
      <c r="Y30" s="17">
        <f>IF(X30="","",IFERROR(INDEX('Content Calendar'!$H$5:$H$604,MATCH(X30,'Content Calendar'!$A$5:$A$604,0)),"Not found"))</f>
        <v>0</v>
      </c>
      <c r="Z30" s="16">
        <f>IF(X30="","",IFERROR(INDEX('Content Calendar'!$B$5:$B$604,MATCH(X30,'Content Calendar'!$A$5:$A$604,0)),"Not found"))</f>
        <v>0</v>
      </c>
      <c r="AA30" s="23">
        <f>IF(U30="","",TODAY()-U30)</f>
        <v>0</v>
      </c>
      <c r="AB30" s="16">
        <f>IF(B30="","",IF(T30="Used","",IF(V30="",U30,V30)+IdeaReviewDays))</f>
        <v>0</v>
      </c>
      <c r="AC30" s="29">
        <f>IF(B30="","",IF(COUNTIF('Idea Bank'!$B$5:$B$304,B30)&gt;1,"Duplicate","OK"))</f>
        <v>0</v>
      </c>
      <c r="AD30" s="29">
        <f>IF(B30="","",IF(T30="Used","Done - on the calendar",IF(AND(X30&lt;&gt;"",Y30=""),"Check - content ID not found",IF(AND(AB30&lt;&gt;"",AB30&lt;TODAY()),"Review - idea is going stale",IF(AND(S30&gt;=8,T30&lt;&gt;"Scheduled",X30=""),"Plan - strong idea, not scheduled","OK")))))</f>
        <v>0</v>
      </c>
    </row>
    <row r="31" spans="1:31">
      <c r="A31" s="41">
        <f>IF(B31="","",IdeaPrefix&amp;TEXT(ROW()-4,"000"))</f>
        <v>0</v>
      </c>
      <c r="Y31" s="17">
        <f>IF(X31="","",IFERROR(INDEX('Content Calendar'!$H$5:$H$604,MATCH(X31,'Content Calendar'!$A$5:$A$604,0)),"Not found"))</f>
        <v>0</v>
      </c>
      <c r="Z31" s="16">
        <f>IF(X31="","",IFERROR(INDEX('Content Calendar'!$B$5:$B$604,MATCH(X31,'Content Calendar'!$A$5:$A$604,0)),"Not found"))</f>
        <v>0</v>
      </c>
      <c r="AA31" s="23">
        <f>IF(U31="","",TODAY()-U31)</f>
        <v>0</v>
      </c>
      <c r="AB31" s="16">
        <f>IF(B31="","",IF(T31="Used","",IF(V31="",U31,V31)+IdeaReviewDays))</f>
        <v>0</v>
      </c>
      <c r="AC31" s="29">
        <f>IF(B31="","",IF(COUNTIF('Idea Bank'!$B$5:$B$304,B31)&gt;1,"Duplicate","OK"))</f>
        <v>0</v>
      </c>
      <c r="AD31" s="29">
        <f>IF(B31="","",IF(T31="Used","Done - on the calendar",IF(AND(X31&lt;&gt;"",Y31=""),"Check - content ID not found",IF(AND(AB31&lt;&gt;"",AB31&lt;TODAY()),"Review - idea is going stale",IF(AND(S31&gt;=8,T31&lt;&gt;"Scheduled",X31=""),"Plan - strong idea, not scheduled","OK")))))</f>
        <v>0</v>
      </c>
    </row>
    <row r="32" spans="1:31">
      <c r="A32" s="41">
        <f>IF(B32="","",IdeaPrefix&amp;TEXT(ROW()-4,"000"))</f>
        <v>0</v>
      </c>
      <c r="Y32" s="17">
        <f>IF(X32="","",IFERROR(INDEX('Content Calendar'!$H$5:$H$604,MATCH(X32,'Content Calendar'!$A$5:$A$604,0)),"Not found"))</f>
        <v>0</v>
      </c>
      <c r="Z32" s="16">
        <f>IF(X32="","",IFERROR(INDEX('Content Calendar'!$B$5:$B$604,MATCH(X32,'Content Calendar'!$A$5:$A$604,0)),"Not found"))</f>
        <v>0</v>
      </c>
      <c r="AA32" s="23">
        <f>IF(U32="","",TODAY()-U32)</f>
        <v>0</v>
      </c>
      <c r="AB32" s="16">
        <f>IF(B32="","",IF(T32="Used","",IF(V32="",U32,V32)+IdeaReviewDays))</f>
        <v>0</v>
      </c>
      <c r="AC32" s="29">
        <f>IF(B32="","",IF(COUNTIF('Idea Bank'!$B$5:$B$304,B32)&gt;1,"Duplicate","OK"))</f>
        <v>0</v>
      </c>
      <c r="AD32" s="29">
        <f>IF(B32="","",IF(T32="Used","Done - on the calendar",IF(AND(X32&lt;&gt;"",Y32=""),"Check - content ID not found",IF(AND(AB32&lt;&gt;"",AB32&lt;TODAY()),"Review - idea is going stale",IF(AND(S32&gt;=8,T32&lt;&gt;"Scheduled",X32=""),"Plan - strong idea, not scheduled","OK")))))</f>
        <v>0</v>
      </c>
    </row>
    <row r="33" spans="1:30">
      <c r="A33" s="41">
        <f>IF(B33="","",IdeaPrefix&amp;TEXT(ROW()-4,"000"))</f>
        <v>0</v>
      </c>
      <c r="Y33" s="17">
        <f>IF(X33="","",IFERROR(INDEX('Content Calendar'!$H$5:$H$604,MATCH(X33,'Content Calendar'!$A$5:$A$604,0)),"Not found"))</f>
        <v>0</v>
      </c>
      <c r="Z33" s="16">
        <f>IF(X33="","",IFERROR(INDEX('Content Calendar'!$B$5:$B$604,MATCH(X33,'Content Calendar'!$A$5:$A$604,0)),"Not found"))</f>
        <v>0</v>
      </c>
      <c r="AA33" s="23">
        <f>IF(U33="","",TODAY()-U33)</f>
        <v>0</v>
      </c>
      <c r="AB33" s="16">
        <f>IF(B33="","",IF(T33="Used","",IF(V33="",U33,V33)+IdeaReviewDays))</f>
        <v>0</v>
      </c>
      <c r="AC33" s="29">
        <f>IF(B33="","",IF(COUNTIF('Idea Bank'!$B$5:$B$304,B33)&gt;1,"Duplicate","OK"))</f>
        <v>0</v>
      </c>
      <c r="AD33" s="29">
        <f>IF(B33="","",IF(T33="Used","Done - on the calendar",IF(AND(X33&lt;&gt;"",Y33=""),"Check - content ID not found",IF(AND(AB33&lt;&gt;"",AB33&lt;TODAY()),"Review - idea is going stale",IF(AND(S33&gt;=8,T33&lt;&gt;"Scheduled",X33=""),"Plan - strong idea, not scheduled","OK")))))</f>
        <v>0</v>
      </c>
    </row>
    <row r="34" spans="1:30">
      <c r="A34" s="41">
        <f>IF(B34="","",IdeaPrefix&amp;TEXT(ROW()-4,"000"))</f>
        <v>0</v>
      </c>
      <c r="Y34" s="17">
        <f>IF(X34="","",IFERROR(INDEX('Content Calendar'!$H$5:$H$604,MATCH(X34,'Content Calendar'!$A$5:$A$604,0)),"Not found"))</f>
        <v>0</v>
      </c>
      <c r="Z34" s="16">
        <f>IF(X34="","",IFERROR(INDEX('Content Calendar'!$B$5:$B$604,MATCH(X34,'Content Calendar'!$A$5:$A$604,0)),"Not found"))</f>
        <v>0</v>
      </c>
      <c r="AA34" s="23">
        <f>IF(U34="","",TODAY()-U34)</f>
        <v>0</v>
      </c>
      <c r="AB34" s="16">
        <f>IF(B34="","",IF(T34="Used","",IF(V34="",U34,V34)+IdeaReviewDays))</f>
        <v>0</v>
      </c>
      <c r="AC34" s="29">
        <f>IF(B34="","",IF(COUNTIF('Idea Bank'!$B$5:$B$304,B34)&gt;1,"Duplicate","OK"))</f>
        <v>0</v>
      </c>
      <c r="AD34" s="29">
        <f>IF(B34="","",IF(T34="Used","Done - on the calendar",IF(AND(X34&lt;&gt;"",Y34=""),"Check - content ID not found",IF(AND(AB34&lt;&gt;"",AB34&lt;TODAY()),"Review - idea is going stale",IF(AND(S34&gt;=8,T34&lt;&gt;"Scheduled",X34=""),"Plan - strong idea, not scheduled","OK")))))</f>
        <v>0</v>
      </c>
    </row>
    <row r="35" spans="1:30">
      <c r="A35" s="41">
        <f>IF(B35="","",IdeaPrefix&amp;TEXT(ROW()-4,"000"))</f>
        <v>0</v>
      </c>
      <c r="Y35" s="17">
        <f>IF(X35="","",IFERROR(INDEX('Content Calendar'!$H$5:$H$604,MATCH(X35,'Content Calendar'!$A$5:$A$604,0)),"Not found"))</f>
        <v>0</v>
      </c>
      <c r="Z35" s="16">
        <f>IF(X35="","",IFERROR(INDEX('Content Calendar'!$B$5:$B$604,MATCH(X35,'Content Calendar'!$A$5:$A$604,0)),"Not found"))</f>
        <v>0</v>
      </c>
      <c r="AA35" s="23">
        <f>IF(U35="","",TODAY()-U35)</f>
        <v>0</v>
      </c>
      <c r="AB35" s="16">
        <f>IF(B35="","",IF(T35="Used","",IF(V35="",U35,V35)+IdeaReviewDays))</f>
        <v>0</v>
      </c>
      <c r="AC35" s="29">
        <f>IF(B35="","",IF(COUNTIF('Idea Bank'!$B$5:$B$304,B35)&gt;1,"Duplicate","OK"))</f>
        <v>0</v>
      </c>
      <c r="AD35" s="29">
        <f>IF(B35="","",IF(T35="Used","Done - on the calendar",IF(AND(X35&lt;&gt;"",Y35=""),"Check - content ID not found",IF(AND(AB35&lt;&gt;"",AB35&lt;TODAY()),"Review - idea is going stale",IF(AND(S35&gt;=8,T35&lt;&gt;"Scheduled",X35=""),"Plan - strong idea, not scheduled","OK")))))</f>
        <v>0</v>
      </c>
    </row>
    <row r="36" spans="1:30">
      <c r="A36" s="41">
        <f>IF(B36="","",IdeaPrefix&amp;TEXT(ROW()-4,"000"))</f>
        <v>0</v>
      </c>
      <c r="Y36" s="17">
        <f>IF(X36="","",IFERROR(INDEX('Content Calendar'!$H$5:$H$604,MATCH(X36,'Content Calendar'!$A$5:$A$604,0)),"Not found"))</f>
        <v>0</v>
      </c>
      <c r="Z36" s="16">
        <f>IF(X36="","",IFERROR(INDEX('Content Calendar'!$B$5:$B$604,MATCH(X36,'Content Calendar'!$A$5:$A$604,0)),"Not found"))</f>
        <v>0</v>
      </c>
      <c r="AA36" s="23">
        <f>IF(U36="","",TODAY()-U36)</f>
        <v>0</v>
      </c>
      <c r="AB36" s="16">
        <f>IF(B36="","",IF(T36="Used","",IF(V36="",U36,V36)+IdeaReviewDays))</f>
        <v>0</v>
      </c>
      <c r="AC36" s="29">
        <f>IF(B36="","",IF(COUNTIF('Idea Bank'!$B$5:$B$304,B36)&gt;1,"Duplicate","OK"))</f>
        <v>0</v>
      </c>
      <c r="AD36" s="29">
        <f>IF(B36="","",IF(T36="Used","Done - on the calendar",IF(AND(X36&lt;&gt;"",Y36=""),"Check - content ID not found",IF(AND(AB36&lt;&gt;"",AB36&lt;TODAY()),"Review - idea is going stale",IF(AND(S36&gt;=8,T36&lt;&gt;"Scheduled",X36=""),"Plan - strong idea, not scheduled","OK")))))</f>
        <v>0</v>
      </c>
    </row>
    <row r="37" spans="1:30">
      <c r="A37" s="41">
        <f>IF(B37="","",IdeaPrefix&amp;TEXT(ROW()-4,"000"))</f>
        <v>0</v>
      </c>
      <c r="Y37" s="17">
        <f>IF(X37="","",IFERROR(INDEX('Content Calendar'!$H$5:$H$604,MATCH(X37,'Content Calendar'!$A$5:$A$604,0)),"Not found"))</f>
        <v>0</v>
      </c>
      <c r="Z37" s="16">
        <f>IF(X37="","",IFERROR(INDEX('Content Calendar'!$B$5:$B$604,MATCH(X37,'Content Calendar'!$A$5:$A$604,0)),"Not found"))</f>
        <v>0</v>
      </c>
      <c r="AA37" s="23">
        <f>IF(U37="","",TODAY()-U37)</f>
        <v>0</v>
      </c>
      <c r="AB37" s="16">
        <f>IF(B37="","",IF(T37="Used","",IF(V37="",U37,V37)+IdeaReviewDays))</f>
        <v>0</v>
      </c>
      <c r="AC37" s="29">
        <f>IF(B37="","",IF(COUNTIF('Idea Bank'!$B$5:$B$304,B37)&gt;1,"Duplicate","OK"))</f>
        <v>0</v>
      </c>
      <c r="AD37" s="29">
        <f>IF(B37="","",IF(T37="Used","Done - on the calendar",IF(AND(X37&lt;&gt;"",Y37=""),"Check - content ID not found",IF(AND(AB37&lt;&gt;"",AB37&lt;TODAY()),"Review - idea is going stale",IF(AND(S37&gt;=8,T37&lt;&gt;"Scheduled",X37=""),"Plan - strong idea, not scheduled","OK")))))</f>
        <v>0</v>
      </c>
    </row>
    <row r="38" spans="1:30">
      <c r="A38" s="41">
        <f>IF(B38="","",IdeaPrefix&amp;TEXT(ROW()-4,"000"))</f>
        <v>0</v>
      </c>
      <c r="Y38" s="17">
        <f>IF(X38="","",IFERROR(INDEX('Content Calendar'!$H$5:$H$604,MATCH(X38,'Content Calendar'!$A$5:$A$604,0)),"Not found"))</f>
        <v>0</v>
      </c>
      <c r="Z38" s="16">
        <f>IF(X38="","",IFERROR(INDEX('Content Calendar'!$B$5:$B$604,MATCH(X38,'Content Calendar'!$A$5:$A$604,0)),"Not found"))</f>
        <v>0</v>
      </c>
      <c r="AA38" s="23">
        <f>IF(U38="","",TODAY()-U38)</f>
        <v>0</v>
      </c>
      <c r="AB38" s="16">
        <f>IF(B38="","",IF(T38="Used","",IF(V38="",U38,V38)+IdeaReviewDays))</f>
        <v>0</v>
      </c>
      <c r="AC38" s="29">
        <f>IF(B38="","",IF(COUNTIF('Idea Bank'!$B$5:$B$304,B38)&gt;1,"Duplicate","OK"))</f>
        <v>0</v>
      </c>
      <c r="AD38" s="29">
        <f>IF(B38="","",IF(T38="Used","Done - on the calendar",IF(AND(X38&lt;&gt;"",Y38=""),"Check - content ID not found",IF(AND(AB38&lt;&gt;"",AB38&lt;TODAY()),"Review - idea is going stale",IF(AND(S38&gt;=8,T38&lt;&gt;"Scheduled",X38=""),"Plan - strong idea, not scheduled","OK")))))</f>
        <v>0</v>
      </c>
    </row>
    <row r="39" spans="1:30">
      <c r="A39" s="41">
        <f>IF(B39="","",IdeaPrefix&amp;TEXT(ROW()-4,"000"))</f>
        <v>0</v>
      </c>
      <c r="Y39" s="17">
        <f>IF(X39="","",IFERROR(INDEX('Content Calendar'!$H$5:$H$604,MATCH(X39,'Content Calendar'!$A$5:$A$604,0)),"Not found"))</f>
        <v>0</v>
      </c>
      <c r="Z39" s="16">
        <f>IF(X39="","",IFERROR(INDEX('Content Calendar'!$B$5:$B$604,MATCH(X39,'Content Calendar'!$A$5:$A$604,0)),"Not found"))</f>
        <v>0</v>
      </c>
      <c r="AA39" s="23">
        <f>IF(U39="","",TODAY()-U39)</f>
        <v>0</v>
      </c>
      <c r="AB39" s="16">
        <f>IF(B39="","",IF(T39="Used","",IF(V39="",U39,V39)+IdeaReviewDays))</f>
        <v>0</v>
      </c>
      <c r="AC39" s="29">
        <f>IF(B39="","",IF(COUNTIF('Idea Bank'!$B$5:$B$304,B39)&gt;1,"Duplicate","OK"))</f>
        <v>0</v>
      </c>
      <c r="AD39" s="29">
        <f>IF(B39="","",IF(T39="Used","Done - on the calendar",IF(AND(X39&lt;&gt;"",Y39=""),"Check - content ID not found",IF(AND(AB39&lt;&gt;"",AB39&lt;TODAY()),"Review - idea is going stale",IF(AND(S39&gt;=8,T39&lt;&gt;"Scheduled",X39=""),"Plan - strong idea, not scheduled","OK")))))</f>
        <v>0</v>
      </c>
    </row>
    <row r="40" spans="1:30">
      <c r="A40" s="41">
        <f>IF(B40="","",IdeaPrefix&amp;TEXT(ROW()-4,"000"))</f>
        <v>0</v>
      </c>
      <c r="Y40" s="17">
        <f>IF(X40="","",IFERROR(INDEX('Content Calendar'!$H$5:$H$604,MATCH(X40,'Content Calendar'!$A$5:$A$604,0)),"Not found"))</f>
        <v>0</v>
      </c>
      <c r="Z40" s="16">
        <f>IF(X40="","",IFERROR(INDEX('Content Calendar'!$B$5:$B$604,MATCH(X40,'Content Calendar'!$A$5:$A$604,0)),"Not found"))</f>
        <v>0</v>
      </c>
      <c r="AA40" s="23">
        <f>IF(U40="","",TODAY()-U40)</f>
        <v>0</v>
      </c>
      <c r="AB40" s="16">
        <f>IF(B40="","",IF(T40="Used","",IF(V40="",U40,V40)+IdeaReviewDays))</f>
        <v>0</v>
      </c>
      <c r="AC40" s="29">
        <f>IF(B40="","",IF(COUNTIF('Idea Bank'!$B$5:$B$304,B40)&gt;1,"Duplicate","OK"))</f>
        <v>0</v>
      </c>
      <c r="AD40" s="29">
        <f>IF(B40="","",IF(T40="Used","Done - on the calendar",IF(AND(X40&lt;&gt;"",Y40=""),"Check - content ID not found",IF(AND(AB40&lt;&gt;"",AB40&lt;TODAY()),"Review - idea is going stale",IF(AND(S40&gt;=8,T40&lt;&gt;"Scheduled",X40=""),"Plan - strong idea, not scheduled","OK")))))</f>
        <v>0</v>
      </c>
    </row>
    <row r="41" spans="1:30">
      <c r="A41" s="41">
        <f>IF(B41="","",IdeaPrefix&amp;TEXT(ROW()-4,"000"))</f>
        <v>0</v>
      </c>
      <c r="Y41" s="17">
        <f>IF(X41="","",IFERROR(INDEX('Content Calendar'!$H$5:$H$604,MATCH(X41,'Content Calendar'!$A$5:$A$604,0)),"Not found"))</f>
        <v>0</v>
      </c>
      <c r="Z41" s="16">
        <f>IF(X41="","",IFERROR(INDEX('Content Calendar'!$B$5:$B$604,MATCH(X41,'Content Calendar'!$A$5:$A$604,0)),"Not found"))</f>
        <v>0</v>
      </c>
      <c r="AA41" s="23">
        <f>IF(U41="","",TODAY()-U41)</f>
        <v>0</v>
      </c>
      <c r="AB41" s="16">
        <f>IF(B41="","",IF(T41="Used","",IF(V41="",U41,V41)+IdeaReviewDays))</f>
        <v>0</v>
      </c>
      <c r="AC41" s="29">
        <f>IF(B41="","",IF(COUNTIF('Idea Bank'!$B$5:$B$304,B41)&gt;1,"Duplicate","OK"))</f>
        <v>0</v>
      </c>
      <c r="AD41" s="29">
        <f>IF(B41="","",IF(T41="Used","Done - on the calendar",IF(AND(X41&lt;&gt;"",Y41=""),"Check - content ID not found",IF(AND(AB41&lt;&gt;"",AB41&lt;TODAY()),"Review - idea is going stale",IF(AND(S41&gt;=8,T41&lt;&gt;"Scheduled",X41=""),"Plan - strong idea, not scheduled","OK")))))</f>
        <v>0</v>
      </c>
    </row>
    <row r="42" spans="1:30">
      <c r="A42" s="41">
        <f>IF(B42="","",IdeaPrefix&amp;TEXT(ROW()-4,"000"))</f>
        <v>0</v>
      </c>
      <c r="Y42" s="17">
        <f>IF(X42="","",IFERROR(INDEX('Content Calendar'!$H$5:$H$604,MATCH(X42,'Content Calendar'!$A$5:$A$604,0)),"Not found"))</f>
        <v>0</v>
      </c>
      <c r="Z42" s="16">
        <f>IF(X42="","",IFERROR(INDEX('Content Calendar'!$B$5:$B$604,MATCH(X42,'Content Calendar'!$A$5:$A$604,0)),"Not found"))</f>
        <v>0</v>
      </c>
      <c r="AA42" s="23">
        <f>IF(U42="","",TODAY()-U42)</f>
        <v>0</v>
      </c>
      <c r="AB42" s="16">
        <f>IF(B42="","",IF(T42="Used","",IF(V42="",U42,V42)+IdeaReviewDays))</f>
        <v>0</v>
      </c>
      <c r="AC42" s="29">
        <f>IF(B42="","",IF(COUNTIF('Idea Bank'!$B$5:$B$304,B42)&gt;1,"Duplicate","OK"))</f>
        <v>0</v>
      </c>
      <c r="AD42" s="29">
        <f>IF(B42="","",IF(T42="Used","Done - on the calendar",IF(AND(X42&lt;&gt;"",Y42=""),"Check - content ID not found",IF(AND(AB42&lt;&gt;"",AB42&lt;TODAY()),"Review - idea is going stale",IF(AND(S42&gt;=8,T42&lt;&gt;"Scheduled",X42=""),"Plan - strong idea, not scheduled","OK")))))</f>
        <v>0</v>
      </c>
    </row>
    <row r="43" spans="1:30">
      <c r="A43" s="41">
        <f>IF(B43="","",IdeaPrefix&amp;TEXT(ROW()-4,"000"))</f>
        <v>0</v>
      </c>
      <c r="Y43" s="17">
        <f>IF(X43="","",IFERROR(INDEX('Content Calendar'!$H$5:$H$604,MATCH(X43,'Content Calendar'!$A$5:$A$604,0)),"Not found"))</f>
        <v>0</v>
      </c>
      <c r="Z43" s="16">
        <f>IF(X43="","",IFERROR(INDEX('Content Calendar'!$B$5:$B$604,MATCH(X43,'Content Calendar'!$A$5:$A$604,0)),"Not found"))</f>
        <v>0</v>
      </c>
      <c r="AA43" s="23">
        <f>IF(U43="","",TODAY()-U43)</f>
        <v>0</v>
      </c>
      <c r="AB43" s="16">
        <f>IF(B43="","",IF(T43="Used","",IF(V43="",U43,V43)+IdeaReviewDays))</f>
        <v>0</v>
      </c>
      <c r="AC43" s="29">
        <f>IF(B43="","",IF(COUNTIF('Idea Bank'!$B$5:$B$304,B43)&gt;1,"Duplicate","OK"))</f>
        <v>0</v>
      </c>
      <c r="AD43" s="29">
        <f>IF(B43="","",IF(T43="Used","Done - on the calendar",IF(AND(X43&lt;&gt;"",Y43=""),"Check - content ID not found",IF(AND(AB43&lt;&gt;"",AB43&lt;TODAY()),"Review - idea is going stale",IF(AND(S43&gt;=8,T43&lt;&gt;"Scheduled",X43=""),"Plan - strong idea, not scheduled","OK")))))</f>
        <v>0</v>
      </c>
    </row>
    <row r="44" spans="1:30">
      <c r="A44" s="41">
        <f>IF(B44="","",IdeaPrefix&amp;TEXT(ROW()-4,"000"))</f>
        <v>0</v>
      </c>
      <c r="Y44" s="17">
        <f>IF(X44="","",IFERROR(INDEX('Content Calendar'!$H$5:$H$604,MATCH(X44,'Content Calendar'!$A$5:$A$604,0)),"Not found"))</f>
        <v>0</v>
      </c>
      <c r="Z44" s="16">
        <f>IF(X44="","",IFERROR(INDEX('Content Calendar'!$B$5:$B$604,MATCH(X44,'Content Calendar'!$A$5:$A$604,0)),"Not found"))</f>
        <v>0</v>
      </c>
      <c r="AA44" s="23">
        <f>IF(U44="","",TODAY()-U44)</f>
        <v>0</v>
      </c>
      <c r="AB44" s="16">
        <f>IF(B44="","",IF(T44="Used","",IF(V44="",U44,V44)+IdeaReviewDays))</f>
        <v>0</v>
      </c>
      <c r="AC44" s="29">
        <f>IF(B44="","",IF(COUNTIF('Idea Bank'!$B$5:$B$304,B44)&gt;1,"Duplicate","OK"))</f>
        <v>0</v>
      </c>
      <c r="AD44" s="29">
        <f>IF(B44="","",IF(T44="Used","Done - on the calendar",IF(AND(X44&lt;&gt;"",Y44=""),"Check - content ID not found",IF(AND(AB44&lt;&gt;"",AB44&lt;TODAY()),"Review - idea is going stale",IF(AND(S44&gt;=8,T44&lt;&gt;"Scheduled",X44=""),"Plan - strong idea, not scheduled","OK")))))</f>
        <v>0</v>
      </c>
    </row>
    <row r="45" spans="1:30">
      <c r="A45" s="41">
        <f>IF(B45="","",IdeaPrefix&amp;TEXT(ROW()-4,"000"))</f>
        <v>0</v>
      </c>
      <c r="Y45" s="17">
        <f>IF(X45="","",IFERROR(INDEX('Content Calendar'!$H$5:$H$604,MATCH(X45,'Content Calendar'!$A$5:$A$604,0)),"Not found"))</f>
        <v>0</v>
      </c>
      <c r="Z45" s="16">
        <f>IF(X45="","",IFERROR(INDEX('Content Calendar'!$B$5:$B$604,MATCH(X45,'Content Calendar'!$A$5:$A$604,0)),"Not found"))</f>
        <v>0</v>
      </c>
      <c r="AA45" s="23">
        <f>IF(U45="","",TODAY()-U45)</f>
        <v>0</v>
      </c>
      <c r="AB45" s="16">
        <f>IF(B45="","",IF(T45="Used","",IF(V45="",U45,V45)+IdeaReviewDays))</f>
        <v>0</v>
      </c>
      <c r="AC45" s="29">
        <f>IF(B45="","",IF(COUNTIF('Idea Bank'!$B$5:$B$304,B45)&gt;1,"Duplicate","OK"))</f>
        <v>0</v>
      </c>
      <c r="AD45" s="29">
        <f>IF(B45="","",IF(T45="Used","Done - on the calendar",IF(AND(X45&lt;&gt;"",Y45=""),"Check - content ID not found",IF(AND(AB45&lt;&gt;"",AB45&lt;TODAY()),"Review - idea is going stale",IF(AND(S45&gt;=8,T45&lt;&gt;"Scheduled",X45=""),"Plan - strong idea, not scheduled","OK")))))</f>
        <v>0</v>
      </c>
    </row>
    <row r="46" spans="1:30">
      <c r="A46" s="41">
        <f>IF(B46="","",IdeaPrefix&amp;TEXT(ROW()-4,"000"))</f>
        <v>0</v>
      </c>
      <c r="Y46" s="17">
        <f>IF(X46="","",IFERROR(INDEX('Content Calendar'!$H$5:$H$604,MATCH(X46,'Content Calendar'!$A$5:$A$604,0)),"Not found"))</f>
        <v>0</v>
      </c>
      <c r="Z46" s="16">
        <f>IF(X46="","",IFERROR(INDEX('Content Calendar'!$B$5:$B$604,MATCH(X46,'Content Calendar'!$A$5:$A$604,0)),"Not found"))</f>
        <v>0</v>
      </c>
      <c r="AA46" s="23">
        <f>IF(U46="","",TODAY()-U46)</f>
        <v>0</v>
      </c>
      <c r="AB46" s="16">
        <f>IF(B46="","",IF(T46="Used","",IF(V46="",U46,V46)+IdeaReviewDays))</f>
        <v>0</v>
      </c>
      <c r="AC46" s="29">
        <f>IF(B46="","",IF(COUNTIF('Idea Bank'!$B$5:$B$304,B46)&gt;1,"Duplicate","OK"))</f>
        <v>0</v>
      </c>
      <c r="AD46" s="29">
        <f>IF(B46="","",IF(T46="Used","Done - on the calendar",IF(AND(X46&lt;&gt;"",Y46=""),"Check - content ID not found",IF(AND(AB46&lt;&gt;"",AB46&lt;TODAY()),"Review - idea is going stale",IF(AND(S46&gt;=8,T46&lt;&gt;"Scheduled",X46=""),"Plan - strong idea, not scheduled","OK")))))</f>
        <v>0</v>
      </c>
    </row>
    <row r="47" spans="1:30">
      <c r="A47" s="41">
        <f>IF(B47="","",IdeaPrefix&amp;TEXT(ROW()-4,"000"))</f>
        <v>0</v>
      </c>
      <c r="Y47" s="17">
        <f>IF(X47="","",IFERROR(INDEX('Content Calendar'!$H$5:$H$604,MATCH(X47,'Content Calendar'!$A$5:$A$604,0)),"Not found"))</f>
        <v>0</v>
      </c>
      <c r="Z47" s="16">
        <f>IF(X47="","",IFERROR(INDEX('Content Calendar'!$B$5:$B$604,MATCH(X47,'Content Calendar'!$A$5:$A$604,0)),"Not found"))</f>
        <v>0</v>
      </c>
      <c r="AA47" s="23">
        <f>IF(U47="","",TODAY()-U47)</f>
        <v>0</v>
      </c>
      <c r="AB47" s="16">
        <f>IF(B47="","",IF(T47="Used","",IF(V47="",U47,V47)+IdeaReviewDays))</f>
        <v>0</v>
      </c>
      <c r="AC47" s="29">
        <f>IF(B47="","",IF(COUNTIF('Idea Bank'!$B$5:$B$304,B47)&gt;1,"Duplicate","OK"))</f>
        <v>0</v>
      </c>
      <c r="AD47" s="29">
        <f>IF(B47="","",IF(T47="Used","Done - on the calendar",IF(AND(X47&lt;&gt;"",Y47=""),"Check - content ID not found",IF(AND(AB47&lt;&gt;"",AB47&lt;TODAY()),"Review - idea is going stale",IF(AND(S47&gt;=8,T47&lt;&gt;"Scheduled",X47=""),"Plan - strong idea, not scheduled","OK")))))</f>
        <v>0</v>
      </c>
    </row>
    <row r="48" spans="1:30">
      <c r="A48" s="41">
        <f>IF(B48="","",IdeaPrefix&amp;TEXT(ROW()-4,"000"))</f>
        <v>0</v>
      </c>
      <c r="Y48" s="17">
        <f>IF(X48="","",IFERROR(INDEX('Content Calendar'!$H$5:$H$604,MATCH(X48,'Content Calendar'!$A$5:$A$604,0)),"Not found"))</f>
        <v>0</v>
      </c>
      <c r="Z48" s="16">
        <f>IF(X48="","",IFERROR(INDEX('Content Calendar'!$B$5:$B$604,MATCH(X48,'Content Calendar'!$A$5:$A$604,0)),"Not found"))</f>
        <v>0</v>
      </c>
      <c r="AA48" s="23">
        <f>IF(U48="","",TODAY()-U48)</f>
        <v>0</v>
      </c>
      <c r="AB48" s="16">
        <f>IF(B48="","",IF(T48="Used","",IF(V48="",U48,V48)+IdeaReviewDays))</f>
        <v>0</v>
      </c>
      <c r="AC48" s="29">
        <f>IF(B48="","",IF(COUNTIF('Idea Bank'!$B$5:$B$304,B48)&gt;1,"Duplicate","OK"))</f>
        <v>0</v>
      </c>
      <c r="AD48" s="29">
        <f>IF(B48="","",IF(T48="Used","Done - on the calendar",IF(AND(X48&lt;&gt;"",Y48=""),"Check - content ID not found",IF(AND(AB48&lt;&gt;"",AB48&lt;TODAY()),"Review - idea is going stale",IF(AND(S48&gt;=8,T48&lt;&gt;"Scheduled",X48=""),"Plan - strong idea, not scheduled","OK")))))</f>
        <v>0</v>
      </c>
    </row>
    <row r="49" spans="1:30">
      <c r="A49" s="41">
        <f>IF(B49="","",IdeaPrefix&amp;TEXT(ROW()-4,"000"))</f>
        <v>0</v>
      </c>
      <c r="Y49" s="17">
        <f>IF(X49="","",IFERROR(INDEX('Content Calendar'!$H$5:$H$604,MATCH(X49,'Content Calendar'!$A$5:$A$604,0)),"Not found"))</f>
        <v>0</v>
      </c>
      <c r="Z49" s="16">
        <f>IF(X49="","",IFERROR(INDEX('Content Calendar'!$B$5:$B$604,MATCH(X49,'Content Calendar'!$A$5:$A$604,0)),"Not found"))</f>
        <v>0</v>
      </c>
      <c r="AA49" s="23">
        <f>IF(U49="","",TODAY()-U49)</f>
        <v>0</v>
      </c>
      <c r="AB49" s="16">
        <f>IF(B49="","",IF(T49="Used","",IF(V49="",U49,V49)+IdeaReviewDays))</f>
        <v>0</v>
      </c>
      <c r="AC49" s="29">
        <f>IF(B49="","",IF(COUNTIF('Idea Bank'!$B$5:$B$304,B49)&gt;1,"Duplicate","OK"))</f>
        <v>0</v>
      </c>
      <c r="AD49" s="29">
        <f>IF(B49="","",IF(T49="Used","Done - on the calendar",IF(AND(X49&lt;&gt;"",Y49=""),"Check - content ID not found",IF(AND(AB49&lt;&gt;"",AB49&lt;TODAY()),"Review - idea is going stale",IF(AND(S49&gt;=8,T49&lt;&gt;"Scheduled",X49=""),"Plan - strong idea, not scheduled","OK")))))</f>
        <v>0</v>
      </c>
    </row>
    <row r="50" spans="1:30">
      <c r="A50" s="41">
        <f>IF(B50="","",IdeaPrefix&amp;TEXT(ROW()-4,"000"))</f>
        <v>0</v>
      </c>
      <c r="Y50" s="17">
        <f>IF(X50="","",IFERROR(INDEX('Content Calendar'!$H$5:$H$604,MATCH(X50,'Content Calendar'!$A$5:$A$604,0)),"Not found"))</f>
        <v>0</v>
      </c>
      <c r="Z50" s="16">
        <f>IF(X50="","",IFERROR(INDEX('Content Calendar'!$B$5:$B$604,MATCH(X50,'Content Calendar'!$A$5:$A$604,0)),"Not found"))</f>
        <v>0</v>
      </c>
      <c r="AA50" s="23">
        <f>IF(U50="","",TODAY()-U50)</f>
        <v>0</v>
      </c>
      <c r="AB50" s="16">
        <f>IF(B50="","",IF(T50="Used","",IF(V50="",U50,V50)+IdeaReviewDays))</f>
        <v>0</v>
      </c>
      <c r="AC50" s="29">
        <f>IF(B50="","",IF(COUNTIF('Idea Bank'!$B$5:$B$304,B50)&gt;1,"Duplicate","OK"))</f>
        <v>0</v>
      </c>
      <c r="AD50" s="29">
        <f>IF(B50="","",IF(T50="Used","Done - on the calendar",IF(AND(X50&lt;&gt;"",Y50=""),"Check - content ID not found",IF(AND(AB50&lt;&gt;"",AB50&lt;TODAY()),"Review - idea is going stale",IF(AND(S50&gt;=8,T50&lt;&gt;"Scheduled",X50=""),"Plan - strong idea, not scheduled","OK")))))</f>
        <v>0</v>
      </c>
    </row>
    <row r="51" spans="1:30">
      <c r="A51" s="41">
        <f>IF(B51="","",IdeaPrefix&amp;TEXT(ROW()-4,"000"))</f>
        <v>0</v>
      </c>
      <c r="Y51" s="17">
        <f>IF(X51="","",IFERROR(INDEX('Content Calendar'!$H$5:$H$604,MATCH(X51,'Content Calendar'!$A$5:$A$604,0)),"Not found"))</f>
        <v>0</v>
      </c>
      <c r="Z51" s="16">
        <f>IF(X51="","",IFERROR(INDEX('Content Calendar'!$B$5:$B$604,MATCH(X51,'Content Calendar'!$A$5:$A$604,0)),"Not found"))</f>
        <v>0</v>
      </c>
      <c r="AA51" s="23">
        <f>IF(U51="","",TODAY()-U51)</f>
        <v>0</v>
      </c>
      <c r="AB51" s="16">
        <f>IF(B51="","",IF(T51="Used","",IF(V51="",U51,V51)+IdeaReviewDays))</f>
        <v>0</v>
      </c>
      <c r="AC51" s="29">
        <f>IF(B51="","",IF(COUNTIF('Idea Bank'!$B$5:$B$304,B51)&gt;1,"Duplicate","OK"))</f>
        <v>0</v>
      </c>
      <c r="AD51" s="29">
        <f>IF(B51="","",IF(T51="Used","Done - on the calendar",IF(AND(X51&lt;&gt;"",Y51=""),"Check - content ID not found",IF(AND(AB51&lt;&gt;"",AB51&lt;TODAY()),"Review - idea is going stale",IF(AND(S51&gt;=8,T51&lt;&gt;"Scheduled",X51=""),"Plan - strong idea, not scheduled","OK")))))</f>
        <v>0</v>
      </c>
    </row>
    <row r="52" spans="1:30">
      <c r="A52" s="41">
        <f>IF(B52="","",IdeaPrefix&amp;TEXT(ROW()-4,"000"))</f>
        <v>0</v>
      </c>
      <c r="Y52" s="17">
        <f>IF(X52="","",IFERROR(INDEX('Content Calendar'!$H$5:$H$604,MATCH(X52,'Content Calendar'!$A$5:$A$604,0)),"Not found"))</f>
        <v>0</v>
      </c>
      <c r="Z52" s="16">
        <f>IF(X52="","",IFERROR(INDEX('Content Calendar'!$B$5:$B$604,MATCH(X52,'Content Calendar'!$A$5:$A$604,0)),"Not found"))</f>
        <v>0</v>
      </c>
      <c r="AA52" s="23">
        <f>IF(U52="","",TODAY()-U52)</f>
        <v>0</v>
      </c>
      <c r="AB52" s="16">
        <f>IF(B52="","",IF(T52="Used","",IF(V52="",U52,V52)+IdeaReviewDays))</f>
        <v>0</v>
      </c>
      <c r="AC52" s="29">
        <f>IF(B52="","",IF(COUNTIF('Idea Bank'!$B$5:$B$304,B52)&gt;1,"Duplicate","OK"))</f>
        <v>0</v>
      </c>
      <c r="AD52" s="29">
        <f>IF(B52="","",IF(T52="Used","Done - on the calendar",IF(AND(X52&lt;&gt;"",Y52=""),"Check - content ID not found",IF(AND(AB52&lt;&gt;"",AB52&lt;TODAY()),"Review - idea is going stale",IF(AND(S52&gt;=8,T52&lt;&gt;"Scheduled",X52=""),"Plan - strong idea, not scheduled","OK")))))</f>
        <v>0</v>
      </c>
    </row>
    <row r="53" spans="1:30">
      <c r="A53" s="41">
        <f>IF(B53="","",IdeaPrefix&amp;TEXT(ROW()-4,"000"))</f>
        <v>0</v>
      </c>
      <c r="Y53" s="17">
        <f>IF(X53="","",IFERROR(INDEX('Content Calendar'!$H$5:$H$604,MATCH(X53,'Content Calendar'!$A$5:$A$604,0)),"Not found"))</f>
        <v>0</v>
      </c>
      <c r="Z53" s="16">
        <f>IF(X53="","",IFERROR(INDEX('Content Calendar'!$B$5:$B$604,MATCH(X53,'Content Calendar'!$A$5:$A$604,0)),"Not found"))</f>
        <v>0</v>
      </c>
      <c r="AA53" s="23">
        <f>IF(U53="","",TODAY()-U53)</f>
        <v>0</v>
      </c>
      <c r="AB53" s="16">
        <f>IF(B53="","",IF(T53="Used","",IF(V53="",U53,V53)+IdeaReviewDays))</f>
        <v>0</v>
      </c>
      <c r="AC53" s="29">
        <f>IF(B53="","",IF(COUNTIF('Idea Bank'!$B$5:$B$304,B53)&gt;1,"Duplicate","OK"))</f>
        <v>0</v>
      </c>
      <c r="AD53" s="29">
        <f>IF(B53="","",IF(T53="Used","Done - on the calendar",IF(AND(X53&lt;&gt;"",Y53=""),"Check - content ID not found",IF(AND(AB53&lt;&gt;"",AB53&lt;TODAY()),"Review - idea is going stale",IF(AND(S53&gt;=8,T53&lt;&gt;"Scheduled",X53=""),"Plan - strong idea, not scheduled","OK")))))</f>
        <v>0</v>
      </c>
    </row>
    <row r="54" spans="1:30">
      <c r="A54" s="41">
        <f>IF(B54="","",IdeaPrefix&amp;TEXT(ROW()-4,"000"))</f>
        <v>0</v>
      </c>
      <c r="Y54" s="17">
        <f>IF(X54="","",IFERROR(INDEX('Content Calendar'!$H$5:$H$604,MATCH(X54,'Content Calendar'!$A$5:$A$604,0)),"Not found"))</f>
        <v>0</v>
      </c>
      <c r="Z54" s="16">
        <f>IF(X54="","",IFERROR(INDEX('Content Calendar'!$B$5:$B$604,MATCH(X54,'Content Calendar'!$A$5:$A$604,0)),"Not found"))</f>
        <v>0</v>
      </c>
      <c r="AA54" s="23">
        <f>IF(U54="","",TODAY()-U54)</f>
        <v>0</v>
      </c>
      <c r="AB54" s="16">
        <f>IF(B54="","",IF(T54="Used","",IF(V54="",U54,V54)+IdeaReviewDays))</f>
        <v>0</v>
      </c>
      <c r="AC54" s="29">
        <f>IF(B54="","",IF(COUNTIF('Idea Bank'!$B$5:$B$304,B54)&gt;1,"Duplicate","OK"))</f>
        <v>0</v>
      </c>
      <c r="AD54" s="29">
        <f>IF(B54="","",IF(T54="Used","Done - on the calendar",IF(AND(X54&lt;&gt;"",Y54=""),"Check - content ID not found",IF(AND(AB54&lt;&gt;"",AB54&lt;TODAY()),"Review - idea is going stale",IF(AND(S54&gt;=8,T54&lt;&gt;"Scheduled",X54=""),"Plan - strong idea, not scheduled","OK")))))</f>
        <v>0</v>
      </c>
    </row>
    <row r="55" spans="1:30">
      <c r="A55" s="41">
        <f>IF(B55="","",IdeaPrefix&amp;TEXT(ROW()-4,"000"))</f>
        <v>0</v>
      </c>
      <c r="Y55" s="17">
        <f>IF(X55="","",IFERROR(INDEX('Content Calendar'!$H$5:$H$604,MATCH(X55,'Content Calendar'!$A$5:$A$604,0)),"Not found"))</f>
        <v>0</v>
      </c>
      <c r="Z55" s="16">
        <f>IF(X55="","",IFERROR(INDEX('Content Calendar'!$B$5:$B$604,MATCH(X55,'Content Calendar'!$A$5:$A$604,0)),"Not found"))</f>
        <v>0</v>
      </c>
      <c r="AA55" s="23">
        <f>IF(U55="","",TODAY()-U55)</f>
        <v>0</v>
      </c>
      <c r="AB55" s="16">
        <f>IF(B55="","",IF(T55="Used","",IF(V55="",U55,V55)+IdeaReviewDays))</f>
        <v>0</v>
      </c>
      <c r="AC55" s="29">
        <f>IF(B55="","",IF(COUNTIF('Idea Bank'!$B$5:$B$304,B55)&gt;1,"Duplicate","OK"))</f>
        <v>0</v>
      </c>
      <c r="AD55" s="29">
        <f>IF(B55="","",IF(T55="Used","Done - on the calendar",IF(AND(X55&lt;&gt;"",Y55=""),"Check - content ID not found",IF(AND(AB55&lt;&gt;"",AB55&lt;TODAY()),"Review - idea is going stale",IF(AND(S55&gt;=8,T55&lt;&gt;"Scheduled",X55=""),"Plan - strong idea, not scheduled","OK")))))</f>
        <v>0</v>
      </c>
    </row>
    <row r="56" spans="1:30">
      <c r="A56" s="41">
        <f>IF(B56="","",IdeaPrefix&amp;TEXT(ROW()-4,"000"))</f>
        <v>0</v>
      </c>
      <c r="Y56" s="17">
        <f>IF(X56="","",IFERROR(INDEX('Content Calendar'!$H$5:$H$604,MATCH(X56,'Content Calendar'!$A$5:$A$604,0)),"Not found"))</f>
        <v>0</v>
      </c>
      <c r="Z56" s="16">
        <f>IF(X56="","",IFERROR(INDEX('Content Calendar'!$B$5:$B$604,MATCH(X56,'Content Calendar'!$A$5:$A$604,0)),"Not found"))</f>
        <v>0</v>
      </c>
      <c r="AA56" s="23">
        <f>IF(U56="","",TODAY()-U56)</f>
        <v>0</v>
      </c>
      <c r="AB56" s="16">
        <f>IF(B56="","",IF(T56="Used","",IF(V56="",U56,V56)+IdeaReviewDays))</f>
        <v>0</v>
      </c>
      <c r="AC56" s="29">
        <f>IF(B56="","",IF(COUNTIF('Idea Bank'!$B$5:$B$304,B56)&gt;1,"Duplicate","OK"))</f>
        <v>0</v>
      </c>
      <c r="AD56" s="29">
        <f>IF(B56="","",IF(T56="Used","Done - on the calendar",IF(AND(X56&lt;&gt;"",Y56=""),"Check - content ID not found",IF(AND(AB56&lt;&gt;"",AB56&lt;TODAY()),"Review - idea is going stale",IF(AND(S56&gt;=8,T56&lt;&gt;"Scheduled",X56=""),"Plan - strong idea, not scheduled","OK")))))</f>
        <v>0</v>
      </c>
    </row>
    <row r="57" spans="1:30">
      <c r="A57" s="41">
        <f>IF(B57="","",IdeaPrefix&amp;TEXT(ROW()-4,"000"))</f>
        <v>0</v>
      </c>
      <c r="Y57" s="17">
        <f>IF(X57="","",IFERROR(INDEX('Content Calendar'!$H$5:$H$604,MATCH(X57,'Content Calendar'!$A$5:$A$604,0)),"Not found"))</f>
        <v>0</v>
      </c>
      <c r="Z57" s="16">
        <f>IF(X57="","",IFERROR(INDEX('Content Calendar'!$B$5:$B$604,MATCH(X57,'Content Calendar'!$A$5:$A$604,0)),"Not found"))</f>
        <v>0</v>
      </c>
      <c r="AA57" s="23">
        <f>IF(U57="","",TODAY()-U57)</f>
        <v>0</v>
      </c>
      <c r="AB57" s="16">
        <f>IF(B57="","",IF(T57="Used","",IF(V57="",U57,V57)+IdeaReviewDays))</f>
        <v>0</v>
      </c>
      <c r="AC57" s="29">
        <f>IF(B57="","",IF(COUNTIF('Idea Bank'!$B$5:$B$304,B57)&gt;1,"Duplicate","OK"))</f>
        <v>0</v>
      </c>
      <c r="AD57" s="29">
        <f>IF(B57="","",IF(T57="Used","Done - on the calendar",IF(AND(X57&lt;&gt;"",Y57=""),"Check - content ID not found",IF(AND(AB57&lt;&gt;"",AB57&lt;TODAY()),"Review - idea is going stale",IF(AND(S57&gt;=8,T57&lt;&gt;"Scheduled",X57=""),"Plan - strong idea, not scheduled","OK")))))</f>
        <v>0</v>
      </c>
    </row>
    <row r="58" spans="1:30">
      <c r="A58" s="41">
        <f>IF(B58="","",IdeaPrefix&amp;TEXT(ROW()-4,"000"))</f>
        <v>0</v>
      </c>
      <c r="Y58" s="17">
        <f>IF(X58="","",IFERROR(INDEX('Content Calendar'!$H$5:$H$604,MATCH(X58,'Content Calendar'!$A$5:$A$604,0)),"Not found"))</f>
        <v>0</v>
      </c>
      <c r="Z58" s="16">
        <f>IF(X58="","",IFERROR(INDEX('Content Calendar'!$B$5:$B$604,MATCH(X58,'Content Calendar'!$A$5:$A$604,0)),"Not found"))</f>
        <v>0</v>
      </c>
      <c r="AA58" s="23">
        <f>IF(U58="","",TODAY()-U58)</f>
        <v>0</v>
      </c>
      <c r="AB58" s="16">
        <f>IF(B58="","",IF(T58="Used","",IF(V58="",U58,V58)+IdeaReviewDays))</f>
        <v>0</v>
      </c>
      <c r="AC58" s="29">
        <f>IF(B58="","",IF(COUNTIF('Idea Bank'!$B$5:$B$304,B58)&gt;1,"Duplicate","OK"))</f>
        <v>0</v>
      </c>
      <c r="AD58" s="29">
        <f>IF(B58="","",IF(T58="Used","Done - on the calendar",IF(AND(X58&lt;&gt;"",Y58=""),"Check - content ID not found",IF(AND(AB58&lt;&gt;"",AB58&lt;TODAY()),"Review - idea is going stale",IF(AND(S58&gt;=8,T58&lt;&gt;"Scheduled",X58=""),"Plan - strong idea, not scheduled","OK")))))</f>
        <v>0</v>
      </c>
    </row>
    <row r="59" spans="1:30">
      <c r="A59" s="41">
        <f>IF(B59="","",IdeaPrefix&amp;TEXT(ROW()-4,"000"))</f>
        <v>0</v>
      </c>
      <c r="Y59" s="17">
        <f>IF(X59="","",IFERROR(INDEX('Content Calendar'!$H$5:$H$604,MATCH(X59,'Content Calendar'!$A$5:$A$604,0)),"Not found"))</f>
        <v>0</v>
      </c>
      <c r="Z59" s="16">
        <f>IF(X59="","",IFERROR(INDEX('Content Calendar'!$B$5:$B$604,MATCH(X59,'Content Calendar'!$A$5:$A$604,0)),"Not found"))</f>
        <v>0</v>
      </c>
      <c r="AA59" s="23">
        <f>IF(U59="","",TODAY()-U59)</f>
        <v>0</v>
      </c>
      <c r="AB59" s="16">
        <f>IF(B59="","",IF(T59="Used","",IF(V59="",U59,V59)+IdeaReviewDays))</f>
        <v>0</v>
      </c>
      <c r="AC59" s="29">
        <f>IF(B59="","",IF(COUNTIF('Idea Bank'!$B$5:$B$304,B59)&gt;1,"Duplicate","OK"))</f>
        <v>0</v>
      </c>
      <c r="AD59" s="29">
        <f>IF(B59="","",IF(T59="Used","Done - on the calendar",IF(AND(X59&lt;&gt;"",Y59=""),"Check - content ID not found",IF(AND(AB59&lt;&gt;"",AB59&lt;TODAY()),"Review - idea is going stale",IF(AND(S59&gt;=8,T59&lt;&gt;"Scheduled",X59=""),"Plan - strong idea, not scheduled","OK")))))</f>
        <v>0</v>
      </c>
    </row>
    <row r="60" spans="1:30">
      <c r="A60" s="41">
        <f>IF(B60="","",IdeaPrefix&amp;TEXT(ROW()-4,"000"))</f>
        <v>0</v>
      </c>
      <c r="Y60" s="17">
        <f>IF(X60="","",IFERROR(INDEX('Content Calendar'!$H$5:$H$604,MATCH(X60,'Content Calendar'!$A$5:$A$604,0)),"Not found"))</f>
        <v>0</v>
      </c>
      <c r="Z60" s="16">
        <f>IF(X60="","",IFERROR(INDEX('Content Calendar'!$B$5:$B$604,MATCH(X60,'Content Calendar'!$A$5:$A$604,0)),"Not found"))</f>
        <v>0</v>
      </c>
      <c r="AA60" s="23">
        <f>IF(U60="","",TODAY()-U60)</f>
        <v>0</v>
      </c>
      <c r="AB60" s="16">
        <f>IF(B60="","",IF(T60="Used","",IF(V60="",U60,V60)+IdeaReviewDays))</f>
        <v>0</v>
      </c>
      <c r="AC60" s="29">
        <f>IF(B60="","",IF(COUNTIF('Idea Bank'!$B$5:$B$304,B60)&gt;1,"Duplicate","OK"))</f>
        <v>0</v>
      </c>
      <c r="AD60" s="29">
        <f>IF(B60="","",IF(T60="Used","Done - on the calendar",IF(AND(X60&lt;&gt;"",Y60=""),"Check - content ID not found",IF(AND(AB60&lt;&gt;"",AB60&lt;TODAY()),"Review - idea is going stale",IF(AND(S60&gt;=8,T60&lt;&gt;"Scheduled",X60=""),"Plan - strong idea, not scheduled","OK")))))</f>
        <v>0</v>
      </c>
    </row>
    <row r="61" spans="1:30">
      <c r="A61" s="41">
        <f>IF(B61="","",IdeaPrefix&amp;TEXT(ROW()-4,"000"))</f>
        <v>0</v>
      </c>
      <c r="Y61" s="17">
        <f>IF(X61="","",IFERROR(INDEX('Content Calendar'!$H$5:$H$604,MATCH(X61,'Content Calendar'!$A$5:$A$604,0)),"Not found"))</f>
        <v>0</v>
      </c>
      <c r="Z61" s="16">
        <f>IF(X61="","",IFERROR(INDEX('Content Calendar'!$B$5:$B$604,MATCH(X61,'Content Calendar'!$A$5:$A$604,0)),"Not found"))</f>
        <v>0</v>
      </c>
      <c r="AA61" s="23">
        <f>IF(U61="","",TODAY()-U61)</f>
        <v>0</v>
      </c>
      <c r="AB61" s="16">
        <f>IF(B61="","",IF(T61="Used","",IF(V61="",U61,V61)+IdeaReviewDays))</f>
        <v>0</v>
      </c>
      <c r="AC61" s="29">
        <f>IF(B61="","",IF(COUNTIF('Idea Bank'!$B$5:$B$304,B61)&gt;1,"Duplicate","OK"))</f>
        <v>0</v>
      </c>
      <c r="AD61" s="29">
        <f>IF(B61="","",IF(T61="Used","Done - on the calendar",IF(AND(X61&lt;&gt;"",Y61=""),"Check - content ID not found",IF(AND(AB61&lt;&gt;"",AB61&lt;TODAY()),"Review - idea is going stale",IF(AND(S61&gt;=8,T61&lt;&gt;"Scheduled",X61=""),"Plan - strong idea, not scheduled","OK")))))</f>
        <v>0</v>
      </c>
    </row>
    <row r="62" spans="1:30">
      <c r="A62" s="41">
        <f>IF(B62="","",IdeaPrefix&amp;TEXT(ROW()-4,"000"))</f>
        <v>0</v>
      </c>
      <c r="Y62" s="17">
        <f>IF(X62="","",IFERROR(INDEX('Content Calendar'!$H$5:$H$604,MATCH(X62,'Content Calendar'!$A$5:$A$604,0)),"Not found"))</f>
        <v>0</v>
      </c>
      <c r="Z62" s="16">
        <f>IF(X62="","",IFERROR(INDEX('Content Calendar'!$B$5:$B$604,MATCH(X62,'Content Calendar'!$A$5:$A$604,0)),"Not found"))</f>
        <v>0</v>
      </c>
      <c r="AA62" s="23">
        <f>IF(U62="","",TODAY()-U62)</f>
        <v>0</v>
      </c>
      <c r="AB62" s="16">
        <f>IF(B62="","",IF(T62="Used","",IF(V62="",U62,V62)+IdeaReviewDays))</f>
        <v>0</v>
      </c>
      <c r="AC62" s="29">
        <f>IF(B62="","",IF(COUNTIF('Idea Bank'!$B$5:$B$304,B62)&gt;1,"Duplicate","OK"))</f>
        <v>0</v>
      </c>
      <c r="AD62" s="29">
        <f>IF(B62="","",IF(T62="Used","Done - on the calendar",IF(AND(X62&lt;&gt;"",Y62=""),"Check - content ID not found",IF(AND(AB62&lt;&gt;"",AB62&lt;TODAY()),"Review - idea is going stale",IF(AND(S62&gt;=8,T62&lt;&gt;"Scheduled",X62=""),"Plan - strong idea, not scheduled","OK")))))</f>
        <v>0</v>
      </c>
    </row>
    <row r="63" spans="1:30">
      <c r="A63" s="41">
        <f>IF(B63="","",IdeaPrefix&amp;TEXT(ROW()-4,"000"))</f>
        <v>0</v>
      </c>
      <c r="Y63" s="17">
        <f>IF(X63="","",IFERROR(INDEX('Content Calendar'!$H$5:$H$604,MATCH(X63,'Content Calendar'!$A$5:$A$604,0)),"Not found"))</f>
        <v>0</v>
      </c>
      <c r="Z63" s="16">
        <f>IF(X63="","",IFERROR(INDEX('Content Calendar'!$B$5:$B$604,MATCH(X63,'Content Calendar'!$A$5:$A$604,0)),"Not found"))</f>
        <v>0</v>
      </c>
      <c r="AA63" s="23">
        <f>IF(U63="","",TODAY()-U63)</f>
        <v>0</v>
      </c>
      <c r="AB63" s="16">
        <f>IF(B63="","",IF(T63="Used","",IF(V63="",U63,V63)+IdeaReviewDays))</f>
        <v>0</v>
      </c>
      <c r="AC63" s="29">
        <f>IF(B63="","",IF(COUNTIF('Idea Bank'!$B$5:$B$304,B63)&gt;1,"Duplicate","OK"))</f>
        <v>0</v>
      </c>
      <c r="AD63" s="29">
        <f>IF(B63="","",IF(T63="Used","Done - on the calendar",IF(AND(X63&lt;&gt;"",Y63=""),"Check - content ID not found",IF(AND(AB63&lt;&gt;"",AB63&lt;TODAY()),"Review - idea is going stale",IF(AND(S63&gt;=8,T63&lt;&gt;"Scheduled",X63=""),"Plan - strong idea, not scheduled","OK")))))</f>
        <v>0</v>
      </c>
    </row>
    <row r="64" spans="1:30">
      <c r="A64" s="41">
        <f>IF(B64="","",IdeaPrefix&amp;TEXT(ROW()-4,"000"))</f>
        <v>0</v>
      </c>
      <c r="Y64" s="17">
        <f>IF(X64="","",IFERROR(INDEX('Content Calendar'!$H$5:$H$604,MATCH(X64,'Content Calendar'!$A$5:$A$604,0)),"Not found"))</f>
        <v>0</v>
      </c>
      <c r="Z64" s="16">
        <f>IF(X64="","",IFERROR(INDEX('Content Calendar'!$B$5:$B$604,MATCH(X64,'Content Calendar'!$A$5:$A$604,0)),"Not found"))</f>
        <v>0</v>
      </c>
      <c r="AA64" s="23">
        <f>IF(U64="","",TODAY()-U64)</f>
        <v>0</v>
      </c>
      <c r="AB64" s="16">
        <f>IF(B64="","",IF(T64="Used","",IF(V64="",U64,V64)+IdeaReviewDays))</f>
        <v>0</v>
      </c>
      <c r="AC64" s="29">
        <f>IF(B64="","",IF(COUNTIF('Idea Bank'!$B$5:$B$304,B64)&gt;1,"Duplicate","OK"))</f>
        <v>0</v>
      </c>
      <c r="AD64" s="29">
        <f>IF(B64="","",IF(T64="Used","Done - on the calendar",IF(AND(X64&lt;&gt;"",Y64=""),"Check - content ID not found",IF(AND(AB64&lt;&gt;"",AB64&lt;TODAY()),"Review - idea is going stale",IF(AND(S64&gt;=8,T64&lt;&gt;"Scheduled",X64=""),"Plan - strong idea, not scheduled","OK")))))</f>
        <v>0</v>
      </c>
    </row>
    <row r="65" spans="1:30">
      <c r="A65" s="41">
        <f>IF(B65="","",IdeaPrefix&amp;TEXT(ROW()-4,"000"))</f>
        <v>0</v>
      </c>
      <c r="Y65" s="17">
        <f>IF(X65="","",IFERROR(INDEX('Content Calendar'!$H$5:$H$604,MATCH(X65,'Content Calendar'!$A$5:$A$604,0)),"Not found"))</f>
        <v>0</v>
      </c>
      <c r="Z65" s="16">
        <f>IF(X65="","",IFERROR(INDEX('Content Calendar'!$B$5:$B$604,MATCH(X65,'Content Calendar'!$A$5:$A$604,0)),"Not found"))</f>
        <v>0</v>
      </c>
      <c r="AA65" s="23">
        <f>IF(U65="","",TODAY()-U65)</f>
        <v>0</v>
      </c>
      <c r="AB65" s="16">
        <f>IF(B65="","",IF(T65="Used","",IF(V65="",U65,V65)+IdeaReviewDays))</f>
        <v>0</v>
      </c>
      <c r="AC65" s="29">
        <f>IF(B65="","",IF(COUNTIF('Idea Bank'!$B$5:$B$304,B65)&gt;1,"Duplicate","OK"))</f>
        <v>0</v>
      </c>
      <c r="AD65" s="29">
        <f>IF(B65="","",IF(T65="Used","Done - on the calendar",IF(AND(X65&lt;&gt;"",Y65=""),"Check - content ID not found",IF(AND(AB65&lt;&gt;"",AB65&lt;TODAY()),"Review - idea is going stale",IF(AND(S65&gt;=8,T65&lt;&gt;"Scheduled",X65=""),"Plan - strong idea, not scheduled","OK")))))</f>
        <v>0</v>
      </c>
    </row>
    <row r="66" spans="1:30">
      <c r="A66" s="41">
        <f>IF(B66="","",IdeaPrefix&amp;TEXT(ROW()-4,"000"))</f>
        <v>0</v>
      </c>
      <c r="Y66" s="17">
        <f>IF(X66="","",IFERROR(INDEX('Content Calendar'!$H$5:$H$604,MATCH(X66,'Content Calendar'!$A$5:$A$604,0)),"Not found"))</f>
        <v>0</v>
      </c>
      <c r="Z66" s="16">
        <f>IF(X66="","",IFERROR(INDEX('Content Calendar'!$B$5:$B$604,MATCH(X66,'Content Calendar'!$A$5:$A$604,0)),"Not found"))</f>
        <v>0</v>
      </c>
      <c r="AA66" s="23">
        <f>IF(U66="","",TODAY()-U66)</f>
        <v>0</v>
      </c>
      <c r="AB66" s="16">
        <f>IF(B66="","",IF(T66="Used","",IF(V66="",U66,V66)+IdeaReviewDays))</f>
        <v>0</v>
      </c>
      <c r="AC66" s="29">
        <f>IF(B66="","",IF(COUNTIF('Idea Bank'!$B$5:$B$304,B66)&gt;1,"Duplicate","OK"))</f>
        <v>0</v>
      </c>
      <c r="AD66" s="29">
        <f>IF(B66="","",IF(T66="Used","Done - on the calendar",IF(AND(X66&lt;&gt;"",Y66=""),"Check - content ID not found",IF(AND(AB66&lt;&gt;"",AB66&lt;TODAY()),"Review - idea is going stale",IF(AND(S66&gt;=8,T66&lt;&gt;"Scheduled",X66=""),"Plan - strong idea, not scheduled","OK")))))</f>
        <v>0</v>
      </c>
    </row>
    <row r="67" spans="1:30">
      <c r="A67" s="41">
        <f>IF(B67="","",IdeaPrefix&amp;TEXT(ROW()-4,"000"))</f>
        <v>0</v>
      </c>
      <c r="Y67" s="17">
        <f>IF(X67="","",IFERROR(INDEX('Content Calendar'!$H$5:$H$604,MATCH(X67,'Content Calendar'!$A$5:$A$604,0)),"Not found"))</f>
        <v>0</v>
      </c>
      <c r="Z67" s="16">
        <f>IF(X67="","",IFERROR(INDEX('Content Calendar'!$B$5:$B$604,MATCH(X67,'Content Calendar'!$A$5:$A$604,0)),"Not found"))</f>
        <v>0</v>
      </c>
      <c r="AA67" s="23">
        <f>IF(U67="","",TODAY()-U67)</f>
        <v>0</v>
      </c>
      <c r="AB67" s="16">
        <f>IF(B67="","",IF(T67="Used","",IF(V67="",U67,V67)+IdeaReviewDays))</f>
        <v>0</v>
      </c>
      <c r="AC67" s="29">
        <f>IF(B67="","",IF(COUNTIF('Idea Bank'!$B$5:$B$304,B67)&gt;1,"Duplicate","OK"))</f>
        <v>0</v>
      </c>
      <c r="AD67" s="29">
        <f>IF(B67="","",IF(T67="Used","Done - on the calendar",IF(AND(X67&lt;&gt;"",Y67=""),"Check - content ID not found",IF(AND(AB67&lt;&gt;"",AB67&lt;TODAY()),"Review - idea is going stale",IF(AND(S67&gt;=8,T67&lt;&gt;"Scheduled",X67=""),"Plan - strong idea, not scheduled","OK")))))</f>
        <v>0</v>
      </c>
    </row>
    <row r="68" spans="1:30">
      <c r="A68" s="41">
        <f>IF(B68="","",IdeaPrefix&amp;TEXT(ROW()-4,"000"))</f>
        <v>0</v>
      </c>
      <c r="Y68" s="17">
        <f>IF(X68="","",IFERROR(INDEX('Content Calendar'!$H$5:$H$604,MATCH(X68,'Content Calendar'!$A$5:$A$604,0)),"Not found"))</f>
        <v>0</v>
      </c>
      <c r="Z68" s="16">
        <f>IF(X68="","",IFERROR(INDEX('Content Calendar'!$B$5:$B$604,MATCH(X68,'Content Calendar'!$A$5:$A$604,0)),"Not found"))</f>
        <v>0</v>
      </c>
      <c r="AA68" s="23">
        <f>IF(U68="","",TODAY()-U68)</f>
        <v>0</v>
      </c>
      <c r="AB68" s="16">
        <f>IF(B68="","",IF(T68="Used","",IF(V68="",U68,V68)+IdeaReviewDays))</f>
        <v>0</v>
      </c>
      <c r="AC68" s="29">
        <f>IF(B68="","",IF(COUNTIF('Idea Bank'!$B$5:$B$304,B68)&gt;1,"Duplicate","OK"))</f>
        <v>0</v>
      </c>
      <c r="AD68" s="29">
        <f>IF(B68="","",IF(T68="Used","Done - on the calendar",IF(AND(X68&lt;&gt;"",Y68=""),"Check - content ID not found",IF(AND(AB68&lt;&gt;"",AB68&lt;TODAY()),"Review - idea is going stale",IF(AND(S68&gt;=8,T68&lt;&gt;"Scheduled",X68=""),"Plan - strong idea, not scheduled","OK")))))</f>
        <v>0</v>
      </c>
    </row>
    <row r="69" spans="1:30">
      <c r="A69" s="41">
        <f>IF(B69="","",IdeaPrefix&amp;TEXT(ROW()-4,"000"))</f>
        <v>0</v>
      </c>
      <c r="Y69" s="17">
        <f>IF(X69="","",IFERROR(INDEX('Content Calendar'!$H$5:$H$604,MATCH(X69,'Content Calendar'!$A$5:$A$604,0)),"Not found"))</f>
        <v>0</v>
      </c>
      <c r="Z69" s="16">
        <f>IF(X69="","",IFERROR(INDEX('Content Calendar'!$B$5:$B$604,MATCH(X69,'Content Calendar'!$A$5:$A$604,0)),"Not found"))</f>
        <v>0</v>
      </c>
      <c r="AA69" s="23">
        <f>IF(U69="","",TODAY()-U69)</f>
        <v>0</v>
      </c>
      <c r="AB69" s="16">
        <f>IF(B69="","",IF(T69="Used","",IF(V69="",U69,V69)+IdeaReviewDays))</f>
        <v>0</v>
      </c>
      <c r="AC69" s="29">
        <f>IF(B69="","",IF(COUNTIF('Idea Bank'!$B$5:$B$304,B69)&gt;1,"Duplicate","OK"))</f>
        <v>0</v>
      </c>
      <c r="AD69" s="29">
        <f>IF(B69="","",IF(T69="Used","Done - on the calendar",IF(AND(X69&lt;&gt;"",Y69=""),"Check - content ID not found",IF(AND(AB69&lt;&gt;"",AB69&lt;TODAY()),"Review - idea is going stale",IF(AND(S69&gt;=8,T69&lt;&gt;"Scheduled",X69=""),"Plan - strong idea, not scheduled","OK")))))</f>
        <v>0</v>
      </c>
    </row>
    <row r="70" spans="1:30">
      <c r="A70" s="41">
        <f>IF(B70="","",IdeaPrefix&amp;TEXT(ROW()-4,"000"))</f>
        <v>0</v>
      </c>
      <c r="Y70" s="17">
        <f>IF(X70="","",IFERROR(INDEX('Content Calendar'!$H$5:$H$604,MATCH(X70,'Content Calendar'!$A$5:$A$604,0)),"Not found"))</f>
        <v>0</v>
      </c>
      <c r="Z70" s="16">
        <f>IF(X70="","",IFERROR(INDEX('Content Calendar'!$B$5:$B$604,MATCH(X70,'Content Calendar'!$A$5:$A$604,0)),"Not found"))</f>
        <v>0</v>
      </c>
      <c r="AA70" s="23">
        <f>IF(U70="","",TODAY()-U70)</f>
        <v>0</v>
      </c>
      <c r="AB70" s="16">
        <f>IF(B70="","",IF(T70="Used","",IF(V70="",U70,V70)+IdeaReviewDays))</f>
        <v>0</v>
      </c>
      <c r="AC70" s="29">
        <f>IF(B70="","",IF(COUNTIF('Idea Bank'!$B$5:$B$304,B70)&gt;1,"Duplicate","OK"))</f>
        <v>0</v>
      </c>
      <c r="AD70" s="29">
        <f>IF(B70="","",IF(T70="Used","Done - on the calendar",IF(AND(X70&lt;&gt;"",Y70=""),"Check - content ID not found",IF(AND(AB70&lt;&gt;"",AB70&lt;TODAY()),"Review - idea is going stale",IF(AND(S70&gt;=8,T70&lt;&gt;"Scheduled",X70=""),"Plan - strong idea, not scheduled","OK")))))</f>
        <v>0</v>
      </c>
    </row>
    <row r="71" spans="1:30">
      <c r="A71" s="41">
        <f>IF(B71="","",IdeaPrefix&amp;TEXT(ROW()-4,"000"))</f>
        <v>0</v>
      </c>
      <c r="Y71" s="17">
        <f>IF(X71="","",IFERROR(INDEX('Content Calendar'!$H$5:$H$604,MATCH(X71,'Content Calendar'!$A$5:$A$604,0)),"Not found"))</f>
        <v>0</v>
      </c>
      <c r="Z71" s="16">
        <f>IF(X71="","",IFERROR(INDEX('Content Calendar'!$B$5:$B$604,MATCH(X71,'Content Calendar'!$A$5:$A$604,0)),"Not found"))</f>
        <v>0</v>
      </c>
      <c r="AA71" s="23">
        <f>IF(U71="","",TODAY()-U71)</f>
        <v>0</v>
      </c>
      <c r="AB71" s="16">
        <f>IF(B71="","",IF(T71="Used","",IF(V71="",U71,V71)+IdeaReviewDays))</f>
        <v>0</v>
      </c>
      <c r="AC71" s="29">
        <f>IF(B71="","",IF(COUNTIF('Idea Bank'!$B$5:$B$304,B71)&gt;1,"Duplicate","OK"))</f>
        <v>0</v>
      </c>
      <c r="AD71" s="29">
        <f>IF(B71="","",IF(T71="Used","Done - on the calendar",IF(AND(X71&lt;&gt;"",Y71=""),"Check - content ID not found",IF(AND(AB71&lt;&gt;"",AB71&lt;TODAY()),"Review - idea is going stale",IF(AND(S71&gt;=8,T71&lt;&gt;"Scheduled",X71=""),"Plan - strong idea, not scheduled","OK")))))</f>
        <v>0</v>
      </c>
    </row>
    <row r="72" spans="1:30">
      <c r="A72" s="41">
        <f>IF(B72="","",IdeaPrefix&amp;TEXT(ROW()-4,"000"))</f>
        <v>0</v>
      </c>
      <c r="Y72" s="17">
        <f>IF(X72="","",IFERROR(INDEX('Content Calendar'!$H$5:$H$604,MATCH(X72,'Content Calendar'!$A$5:$A$604,0)),"Not found"))</f>
        <v>0</v>
      </c>
      <c r="Z72" s="16">
        <f>IF(X72="","",IFERROR(INDEX('Content Calendar'!$B$5:$B$604,MATCH(X72,'Content Calendar'!$A$5:$A$604,0)),"Not found"))</f>
        <v>0</v>
      </c>
      <c r="AA72" s="23">
        <f>IF(U72="","",TODAY()-U72)</f>
        <v>0</v>
      </c>
      <c r="AB72" s="16">
        <f>IF(B72="","",IF(T72="Used","",IF(V72="",U72,V72)+IdeaReviewDays))</f>
        <v>0</v>
      </c>
      <c r="AC72" s="29">
        <f>IF(B72="","",IF(COUNTIF('Idea Bank'!$B$5:$B$304,B72)&gt;1,"Duplicate","OK"))</f>
        <v>0</v>
      </c>
      <c r="AD72" s="29">
        <f>IF(B72="","",IF(T72="Used","Done - on the calendar",IF(AND(X72&lt;&gt;"",Y72=""),"Check - content ID not found",IF(AND(AB72&lt;&gt;"",AB72&lt;TODAY()),"Review - idea is going stale",IF(AND(S72&gt;=8,T72&lt;&gt;"Scheduled",X72=""),"Plan - strong idea, not scheduled","OK")))))</f>
        <v>0</v>
      </c>
    </row>
    <row r="73" spans="1:30">
      <c r="A73" s="41">
        <f>IF(B73="","",IdeaPrefix&amp;TEXT(ROW()-4,"000"))</f>
        <v>0</v>
      </c>
      <c r="Y73" s="17">
        <f>IF(X73="","",IFERROR(INDEX('Content Calendar'!$H$5:$H$604,MATCH(X73,'Content Calendar'!$A$5:$A$604,0)),"Not found"))</f>
        <v>0</v>
      </c>
      <c r="Z73" s="16">
        <f>IF(X73="","",IFERROR(INDEX('Content Calendar'!$B$5:$B$604,MATCH(X73,'Content Calendar'!$A$5:$A$604,0)),"Not found"))</f>
        <v>0</v>
      </c>
      <c r="AA73" s="23">
        <f>IF(U73="","",TODAY()-U73)</f>
        <v>0</v>
      </c>
      <c r="AB73" s="16">
        <f>IF(B73="","",IF(T73="Used","",IF(V73="",U73,V73)+IdeaReviewDays))</f>
        <v>0</v>
      </c>
      <c r="AC73" s="29">
        <f>IF(B73="","",IF(COUNTIF('Idea Bank'!$B$5:$B$304,B73)&gt;1,"Duplicate","OK"))</f>
        <v>0</v>
      </c>
      <c r="AD73" s="29">
        <f>IF(B73="","",IF(T73="Used","Done - on the calendar",IF(AND(X73&lt;&gt;"",Y73=""),"Check - content ID not found",IF(AND(AB73&lt;&gt;"",AB73&lt;TODAY()),"Review - idea is going stale",IF(AND(S73&gt;=8,T73&lt;&gt;"Scheduled",X73=""),"Plan - strong idea, not scheduled","OK")))))</f>
        <v>0</v>
      </c>
    </row>
    <row r="74" spans="1:30">
      <c r="A74" s="41">
        <f>IF(B74="","",IdeaPrefix&amp;TEXT(ROW()-4,"000"))</f>
        <v>0</v>
      </c>
      <c r="Y74" s="17">
        <f>IF(X74="","",IFERROR(INDEX('Content Calendar'!$H$5:$H$604,MATCH(X74,'Content Calendar'!$A$5:$A$604,0)),"Not found"))</f>
        <v>0</v>
      </c>
      <c r="Z74" s="16">
        <f>IF(X74="","",IFERROR(INDEX('Content Calendar'!$B$5:$B$604,MATCH(X74,'Content Calendar'!$A$5:$A$604,0)),"Not found"))</f>
        <v>0</v>
      </c>
      <c r="AA74" s="23">
        <f>IF(U74="","",TODAY()-U74)</f>
        <v>0</v>
      </c>
      <c r="AB74" s="16">
        <f>IF(B74="","",IF(T74="Used","",IF(V74="",U74,V74)+IdeaReviewDays))</f>
        <v>0</v>
      </c>
      <c r="AC74" s="29">
        <f>IF(B74="","",IF(COUNTIF('Idea Bank'!$B$5:$B$304,B74)&gt;1,"Duplicate","OK"))</f>
        <v>0</v>
      </c>
      <c r="AD74" s="29">
        <f>IF(B74="","",IF(T74="Used","Done - on the calendar",IF(AND(X74&lt;&gt;"",Y74=""),"Check - content ID not found",IF(AND(AB74&lt;&gt;"",AB74&lt;TODAY()),"Review - idea is going stale",IF(AND(S74&gt;=8,T74&lt;&gt;"Scheduled",X74=""),"Plan - strong idea, not scheduled","OK")))))</f>
        <v>0</v>
      </c>
    </row>
    <row r="75" spans="1:30">
      <c r="A75" s="41">
        <f>IF(B75="","",IdeaPrefix&amp;TEXT(ROW()-4,"000"))</f>
        <v>0</v>
      </c>
      <c r="Y75" s="17">
        <f>IF(X75="","",IFERROR(INDEX('Content Calendar'!$H$5:$H$604,MATCH(X75,'Content Calendar'!$A$5:$A$604,0)),"Not found"))</f>
        <v>0</v>
      </c>
      <c r="Z75" s="16">
        <f>IF(X75="","",IFERROR(INDEX('Content Calendar'!$B$5:$B$604,MATCH(X75,'Content Calendar'!$A$5:$A$604,0)),"Not found"))</f>
        <v>0</v>
      </c>
      <c r="AA75" s="23">
        <f>IF(U75="","",TODAY()-U75)</f>
        <v>0</v>
      </c>
      <c r="AB75" s="16">
        <f>IF(B75="","",IF(T75="Used","",IF(V75="",U75,V75)+IdeaReviewDays))</f>
        <v>0</v>
      </c>
      <c r="AC75" s="29">
        <f>IF(B75="","",IF(COUNTIF('Idea Bank'!$B$5:$B$304,B75)&gt;1,"Duplicate","OK"))</f>
        <v>0</v>
      </c>
      <c r="AD75" s="29">
        <f>IF(B75="","",IF(T75="Used","Done - on the calendar",IF(AND(X75&lt;&gt;"",Y75=""),"Check - content ID not found",IF(AND(AB75&lt;&gt;"",AB75&lt;TODAY()),"Review - idea is going stale",IF(AND(S75&gt;=8,T75&lt;&gt;"Scheduled",X75=""),"Plan - strong idea, not scheduled","OK")))))</f>
        <v>0</v>
      </c>
    </row>
    <row r="76" spans="1:30">
      <c r="A76" s="41">
        <f>IF(B76="","",IdeaPrefix&amp;TEXT(ROW()-4,"000"))</f>
        <v>0</v>
      </c>
      <c r="Y76" s="17">
        <f>IF(X76="","",IFERROR(INDEX('Content Calendar'!$H$5:$H$604,MATCH(X76,'Content Calendar'!$A$5:$A$604,0)),"Not found"))</f>
        <v>0</v>
      </c>
      <c r="Z76" s="16">
        <f>IF(X76="","",IFERROR(INDEX('Content Calendar'!$B$5:$B$604,MATCH(X76,'Content Calendar'!$A$5:$A$604,0)),"Not found"))</f>
        <v>0</v>
      </c>
      <c r="AA76" s="23">
        <f>IF(U76="","",TODAY()-U76)</f>
        <v>0</v>
      </c>
      <c r="AB76" s="16">
        <f>IF(B76="","",IF(T76="Used","",IF(V76="",U76,V76)+IdeaReviewDays))</f>
        <v>0</v>
      </c>
      <c r="AC76" s="29">
        <f>IF(B76="","",IF(COUNTIF('Idea Bank'!$B$5:$B$304,B76)&gt;1,"Duplicate","OK"))</f>
        <v>0</v>
      </c>
      <c r="AD76" s="29">
        <f>IF(B76="","",IF(T76="Used","Done - on the calendar",IF(AND(X76&lt;&gt;"",Y76=""),"Check - content ID not found",IF(AND(AB76&lt;&gt;"",AB76&lt;TODAY()),"Review - idea is going stale",IF(AND(S76&gt;=8,T76&lt;&gt;"Scheduled",X76=""),"Plan - strong idea, not scheduled","OK")))))</f>
        <v>0</v>
      </c>
    </row>
    <row r="77" spans="1:30">
      <c r="A77" s="41">
        <f>IF(B77="","",IdeaPrefix&amp;TEXT(ROW()-4,"000"))</f>
        <v>0</v>
      </c>
      <c r="Y77" s="17">
        <f>IF(X77="","",IFERROR(INDEX('Content Calendar'!$H$5:$H$604,MATCH(X77,'Content Calendar'!$A$5:$A$604,0)),"Not found"))</f>
        <v>0</v>
      </c>
      <c r="Z77" s="16">
        <f>IF(X77="","",IFERROR(INDEX('Content Calendar'!$B$5:$B$604,MATCH(X77,'Content Calendar'!$A$5:$A$604,0)),"Not found"))</f>
        <v>0</v>
      </c>
      <c r="AA77" s="23">
        <f>IF(U77="","",TODAY()-U77)</f>
        <v>0</v>
      </c>
      <c r="AB77" s="16">
        <f>IF(B77="","",IF(T77="Used","",IF(V77="",U77,V77)+IdeaReviewDays))</f>
        <v>0</v>
      </c>
      <c r="AC77" s="29">
        <f>IF(B77="","",IF(COUNTIF('Idea Bank'!$B$5:$B$304,B77)&gt;1,"Duplicate","OK"))</f>
        <v>0</v>
      </c>
      <c r="AD77" s="29">
        <f>IF(B77="","",IF(T77="Used","Done - on the calendar",IF(AND(X77&lt;&gt;"",Y77=""),"Check - content ID not found",IF(AND(AB77&lt;&gt;"",AB77&lt;TODAY()),"Review - idea is going stale",IF(AND(S77&gt;=8,T77&lt;&gt;"Scheduled",X77=""),"Plan - strong idea, not scheduled","OK")))))</f>
        <v>0</v>
      </c>
    </row>
    <row r="78" spans="1:30">
      <c r="A78" s="41">
        <f>IF(B78="","",IdeaPrefix&amp;TEXT(ROW()-4,"000"))</f>
        <v>0</v>
      </c>
      <c r="Y78" s="17">
        <f>IF(X78="","",IFERROR(INDEX('Content Calendar'!$H$5:$H$604,MATCH(X78,'Content Calendar'!$A$5:$A$604,0)),"Not found"))</f>
        <v>0</v>
      </c>
      <c r="Z78" s="16">
        <f>IF(X78="","",IFERROR(INDEX('Content Calendar'!$B$5:$B$604,MATCH(X78,'Content Calendar'!$A$5:$A$604,0)),"Not found"))</f>
        <v>0</v>
      </c>
      <c r="AA78" s="23">
        <f>IF(U78="","",TODAY()-U78)</f>
        <v>0</v>
      </c>
      <c r="AB78" s="16">
        <f>IF(B78="","",IF(T78="Used","",IF(V78="",U78,V78)+IdeaReviewDays))</f>
        <v>0</v>
      </c>
      <c r="AC78" s="29">
        <f>IF(B78="","",IF(COUNTIF('Idea Bank'!$B$5:$B$304,B78)&gt;1,"Duplicate","OK"))</f>
        <v>0</v>
      </c>
      <c r="AD78" s="29">
        <f>IF(B78="","",IF(T78="Used","Done - on the calendar",IF(AND(X78&lt;&gt;"",Y78=""),"Check - content ID not found",IF(AND(AB78&lt;&gt;"",AB78&lt;TODAY()),"Review - idea is going stale",IF(AND(S78&gt;=8,T78&lt;&gt;"Scheduled",X78=""),"Plan - strong idea, not scheduled","OK")))))</f>
        <v>0</v>
      </c>
    </row>
    <row r="79" spans="1:30">
      <c r="A79" s="41">
        <f>IF(B79="","",IdeaPrefix&amp;TEXT(ROW()-4,"000"))</f>
        <v>0</v>
      </c>
      <c r="Y79" s="17">
        <f>IF(X79="","",IFERROR(INDEX('Content Calendar'!$H$5:$H$604,MATCH(X79,'Content Calendar'!$A$5:$A$604,0)),"Not found"))</f>
        <v>0</v>
      </c>
      <c r="Z79" s="16">
        <f>IF(X79="","",IFERROR(INDEX('Content Calendar'!$B$5:$B$604,MATCH(X79,'Content Calendar'!$A$5:$A$604,0)),"Not found"))</f>
        <v>0</v>
      </c>
      <c r="AA79" s="23">
        <f>IF(U79="","",TODAY()-U79)</f>
        <v>0</v>
      </c>
      <c r="AB79" s="16">
        <f>IF(B79="","",IF(T79="Used","",IF(V79="",U79,V79)+IdeaReviewDays))</f>
        <v>0</v>
      </c>
      <c r="AC79" s="29">
        <f>IF(B79="","",IF(COUNTIF('Idea Bank'!$B$5:$B$304,B79)&gt;1,"Duplicate","OK"))</f>
        <v>0</v>
      </c>
      <c r="AD79" s="29">
        <f>IF(B79="","",IF(T79="Used","Done - on the calendar",IF(AND(X79&lt;&gt;"",Y79=""),"Check - content ID not found",IF(AND(AB79&lt;&gt;"",AB79&lt;TODAY()),"Review - idea is going stale",IF(AND(S79&gt;=8,T79&lt;&gt;"Scheduled",X79=""),"Plan - strong idea, not scheduled","OK")))))</f>
        <v>0</v>
      </c>
    </row>
    <row r="80" spans="1:30">
      <c r="A80" s="41">
        <f>IF(B80="","",IdeaPrefix&amp;TEXT(ROW()-4,"000"))</f>
        <v>0</v>
      </c>
      <c r="Y80" s="17">
        <f>IF(X80="","",IFERROR(INDEX('Content Calendar'!$H$5:$H$604,MATCH(X80,'Content Calendar'!$A$5:$A$604,0)),"Not found"))</f>
        <v>0</v>
      </c>
      <c r="Z80" s="16">
        <f>IF(X80="","",IFERROR(INDEX('Content Calendar'!$B$5:$B$604,MATCH(X80,'Content Calendar'!$A$5:$A$604,0)),"Not found"))</f>
        <v>0</v>
      </c>
      <c r="AA80" s="23">
        <f>IF(U80="","",TODAY()-U80)</f>
        <v>0</v>
      </c>
      <c r="AB80" s="16">
        <f>IF(B80="","",IF(T80="Used","",IF(V80="",U80,V80)+IdeaReviewDays))</f>
        <v>0</v>
      </c>
      <c r="AC80" s="29">
        <f>IF(B80="","",IF(COUNTIF('Idea Bank'!$B$5:$B$304,B80)&gt;1,"Duplicate","OK"))</f>
        <v>0</v>
      </c>
      <c r="AD80" s="29">
        <f>IF(B80="","",IF(T80="Used","Done - on the calendar",IF(AND(X80&lt;&gt;"",Y80=""),"Check - content ID not found",IF(AND(AB80&lt;&gt;"",AB80&lt;TODAY()),"Review - idea is going stale",IF(AND(S80&gt;=8,T80&lt;&gt;"Scheduled",X80=""),"Plan - strong idea, not scheduled","OK")))))</f>
        <v>0</v>
      </c>
    </row>
    <row r="81" spans="1:30">
      <c r="A81" s="41">
        <f>IF(B81="","",IdeaPrefix&amp;TEXT(ROW()-4,"000"))</f>
        <v>0</v>
      </c>
      <c r="Y81" s="17">
        <f>IF(X81="","",IFERROR(INDEX('Content Calendar'!$H$5:$H$604,MATCH(X81,'Content Calendar'!$A$5:$A$604,0)),"Not found"))</f>
        <v>0</v>
      </c>
      <c r="Z81" s="16">
        <f>IF(X81="","",IFERROR(INDEX('Content Calendar'!$B$5:$B$604,MATCH(X81,'Content Calendar'!$A$5:$A$604,0)),"Not found"))</f>
        <v>0</v>
      </c>
      <c r="AA81" s="23">
        <f>IF(U81="","",TODAY()-U81)</f>
        <v>0</v>
      </c>
      <c r="AB81" s="16">
        <f>IF(B81="","",IF(T81="Used","",IF(V81="",U81,V81)+IdeaReviewDays))</f>
        <v>0</v>
      </c>
      <c r="AC81" s="29">
        <f>IF(B81="","",IF(COUNTIF('Idea Bank'!$B$5:$B$304,B81)&gt;1,"Duplicate","OK"))</f>
        <v>0</v>
      </c>
      <c r="AD81" s="29">
        <f>IF(B81="","",IF(T81="Used","Done - on the calendar",IF(AND(X81&lt;&gt;"",Y81=""),"Check - content ID not found",IF(AND(AB81&lt;&gt;"",AB81&lt;TODAY()),"Review - idea is going stale",IF(AND(S81&gt;=8,T81&lt;&gt;"Scheduled",X81=""),"Plan - strong idea, not scheduled","OK")))))</f>
        <v>0</v>
      </c>
    </row>
    <row r="82" spans="1:30">
      <c r="A82" s="41">
        <f>IF(B82="","",IdeaPrefix&amp;TEXT(ROW()-4,"000"))</f>
        <v>0</v>
      </c>
      <c r="Y82" s="17">
        <f>IF(X82="","",IFERROR(INDEX('Content Calendar'!$H$5:$H$604,MATCH(X82,'Content Calendar'!$A$5:$A$604,0)),"Not found"))</f>
        <v>0</v>
      </c>
      <c r="Z82" s="16">
        <f>IF(X82="","",IFERROR(INDEX('Content Calendar'!$B$5:$B$604,MATCH(X82,'Content Calendar'!$A$5:$A$604,0)),"Not found"))</f>
        <v>0</v>
      </c>
      <c r="AA82" s="23">
        <f>IF(U82="","",TODAY()-U82)</f>
        <v>0</v>
      </c>
      <c r="AB82" s="16">
        <f>IF(B82="","",IF(T82="Used","",IF(V82="",U82,V82)+IdeaReviewDays))</f>
        <v>0</v>
      </c>
      <c r="AC82" s="29">
        <f>IF(B82="","",IF(COUNTIF('Idea Bank'!$B$5:$B$304,B82)&gt;1,"Duplicate","OK"))</f>
        <v>0</v>
      </c>
      <c r="AD82" s="29">
        <f>IF(B82="","",IF(T82="Used","Done - on the calendar",IF(AND(X82&lt;&gt;"",Y82=""),"Check - content ID not found",IF(AND(AB82&lt;&gt;"",AB82&lt;TODAY()),"Review - idea is going stale",IF(AND(S82&gt;=8,T82&lt;&gt;"Scheduled",X82=""),"Plan - strong idea, not scheduled","OK")))))</f>
        <v>0</v>
      </c>
    </row>
    <row r="83" spans="1:30">
      <c r="A83" s="41">
        <f>IF(B83="","",IdeaPrefix&amp;TEXT(ROW()-4,"000"))</f>
        <v>0</v>
      </c>
      <c r="Y83" s="17">
        <f>IF(X83="","",IFERROR(INDEX('Content Calendar'!$H$5:$H$604,MATCH(X83,'Content Calendar'!$A$5:$A$604,0)),"Not found"))</f>
        <v>0</v>
      </c>
      <c r="Z83" s="16">
        <f>IF(X83="","",IFERROR(INDEX('Content Calendar'!$B$5:$B$604,MATCH(X83,'Content Calendar'!$A$5:$A$604,0)),"Not found"))</f>
        <v>0</v>
      </c>
      <c r="AA83" s="23">
        <f>IF(U83="","",TODAY()-U83)</f>
        <v>0</v>
      </c>
      <c r="AB83" s="16">
        <f>IF(B83="","",IF(T83="Used","",IF(V83="",U83,V83)+IdeaReviewDays))</f>
        <v>0</v>
      </c>
      <c r="AC83" s="29">
        <f>IF(B83="","",IF(COUNTIF('Idea Bank'!$B$5:$B$304,B83)&gt;1,"Duplicate","OK"))</f>
        <v>0</v>
      </c>
      <c r="AD83" s="29">
        <f>IF(B83="","",IF(T83="Used","Done - on the calendar",IF(AND(X83&lt;&gt;"",Y83=""),"Check - content ID not found",IF(AND(AB83&lt;&gt;"",AB83&lt;TODAY()),"Review - idea is going stale",IF(AND(S83&gt;=8,T83&lt;&gt;"Scheduled",X83=""),"Plan - strong idea, not scheduled","OK")))))</f>
        <v>0</v>
      </c>
    </row>
    <row r="84" spans="1:30">
      <c r="A84" s="41">
        <f>IF(B84="","",IdeaPrefix&amp;TEXT(ROW()-4,"000"))</f>
        <v>0</v>
      </c>
      <c r="Y84" s="17">
        <f>IF(X84="","",IFERROR(INDEX('Content Calendar'!$H$5:$H$604,MATCH(X84,'Content Calendar'!$A$5:$A$604,0)),"Not found"))</f>
        <v>0</v>
      </c>
      <c r="Z84" s="16">
        <f>IF(X84="","",IFERROR(INDEX('Content Calendar'!$B$5:$B$604,MATCH(X84,'Content Calendar'!$A$5:$A$604,0)),"Not found"))</f>
        <v>0</v>
      </c>
      <c r="AA84" s="23">
        <f>IF(U84="","",TODAY()-U84)</f>
        <v>0</v>
      </c>
      <c r="AB84" s="16">
        <f>IF(B84="","",IF(T84="Used","",IF(V84="",U84,V84)+IdeaReviewDays))</f>
        <v>0</v>
      </c>
      <c r="AC84" s="29">
        <f>IF(B84="","",IF(COUNTIF('Idea Bank'!$B$5:$B$304,B84)&gt;1,"Duplicate","OK"))</f>
        <v>0</v>
      </c>
      <c r="AD84" s="29">
        <f>IF(B84="","",IF(T84="Used","Done - on the calendar",IF(AND(X84&lt;&gt;"",Y84=""),"Check - content ID not found",IF(AND(AB84&lt;&gt;"",AB84&lt;TODAY()),"Review - idea is going stale",IF(AND(S84&gt;=8,T84&lt;&gt;"Scheduled",X84=""),"Plan - strong idea, not scheduled","OK")))))</f>
        <v>0</v>
      </c>
    </row>
    <row r="85" spans="1:30">
      <c r="A85" s="41">
        <f>IF(B85="","",IdeaPrefix&amp;TEXT(ROW()-4,"000"))</f>
        <v>0</v>
      </c>
      <c r="Y85" s="17">
        <f>IF(X85="","",IFERROR(INDEX('Content Calendar'!$H$5:$H$604,MATCH(X85,'Content Calendar'!$A$5:$A$604,0)),"Not found"))</f>
        <v>0</v>
      </c>
      <c r="Z85" s="16">
        <f>IF(X85="","",IFERROR(INDEX('Content Calendar'!$B$5:$B$604,MATCH(X85,'Content Calendar'!$A$5:$A$604,0)),"Not found"))</f>
        <v>0</v>
      </c>
      <c r="AA85" s="23">
        <f>IF(U85="","",TODAY()-U85)</f>
        <v>0</v>
      </c>
      <c r="AB85" s="16">
        <f>IF(B85="","",IF(T85="Used","",IF(V85="",U85,V85)+IdeaReviewDays))</f>
        <v>0</v>
      </c>
      <c r="AC85" s="29">
        <f>IF(B85="","",IF(COUNTIF('Idea Bank'!$B$5:$B$304,B85)&gt;1,"Duplicate","OK"))</f>
        <v>0</v>
      </c>
      <c r="AD85" s="29">
        <f>IF(B85="","",IF(T85="Used","Done - on the calendar",IF(AND(X85&lt;&gt;"",Y85=""),"Check - content ID not found",IF(AND(AB85&lt;&gt;"",AB85&lt;TODAY()),"Review - idea is going stale",IF(AND(S85&gt;=8,T85&lt;&gt;"Scheduled",X85=""),"Plan - strong idea, not scheduled","OK")))))</f>
        <v>0</v>
      </c>
    </row>
    <row r="86" spans="1:30">
      <c r="A86" s="41">
        <f>IF(B86="","",IdeaPrefix&amp;TEXT(ROW()-4,"000"))</f>
        <v>0</v>
      </c>
      <c r="Y86" s="17">
        <f>IF(X86="","",IFERROR(INDEX('Content Calendar'!$H$5:$H$604,MATCH(X86,'Content Calendar'!$A$5:$A$604,0)),"Not found"))</f>
        <v>0</v>
      </c>
      <c r="Z86" s="16">
        <f>IF(X86="","",IFERROR(INDEX('Content Calendar'!$B$5:$B$604,MATCH(X86,'Content Calendar'!$A$5:$A$604,0)),"Not found"))</f>
        <v>0</v>
      </c>
      <c r="AA86" s="23">
        <f>IF(U86="","",TODAY()-U86)</f>
        <v>0</v>
      </c>
      <c r="AB86" s="16">
        <f>IF(B86="","",IF(T86="Used","",IF(V86="",U86,V86)+IdeaReviewDays))</f>
        <v>0</v>
      </c>
      <c r="AC86" s="29">
        <f>IF(B86="","",IF(COUNTIF('Idea Bank'!$B$5:$B$304,B86)&gt;1,"Duplicate","OK"))</f>
        <v>0</v>
      </c>
      <c r="AD86" s="29">
        <f>IF(B86="","",IF(T86="Used","Done - on the calendar",IF(AND(X86&lt;&gt;"",Y86=""),"Check - content ID not found",IF(AND(AB86&lt;&gt;"",AB86&lt;TODAY()),"Review - idea is going stale",IF(AND(S86&gt;=8,T86&lt;&gt;"Scheduled",X86=""),"Plan - strong idea, not scheduled","OK")))))</f>
        <v>0</v>
      </c>
    </row>
    <row r="87" spans="1:30">
      <c r="A87" s="41">
        <f>IF(B87="","",IdeaPrefix&amp;TEXT(ROW()-4,"000"))</f>
        <v>0</v>
      </c>
      <c r="Y87" s="17">
        <f>IF(X87="","",IFERROR(INDEX('Content Calendar'!$H$5:$H$604,MATCH(X87,'Content Calendar'!$A$5:$A$604,0)),"Not found"))</f>
        <v>0</v>
      </c>
      <c r="Z87" s="16">
        <f>IF(X87="","",IFERROR(INDEX('Content Calendar'!$B$5:$B$604,MATCH(X87,'Content Calendar'!$A$5:$A$604,0)),"Not found"))</f>
        <v>0</v>
      </c>
      <c r="AA87" s="23">
        <f>IF(U87="","",TODAY()-U87)</f>
        <v>0</v>
      </c>
      <c r="AB87" s="16">
        <f>IF(B87="","",IF(T87="Used","",IF(V87="",U87,V87)+IdeaReviewDays))</f>
        <v>0</v>
      </c>
      <c r="AC87" s="29">
        <f>IF(B87="","",IF(COUNTIF('Idea Bank'!$B$5:$B$304,B87)&gt;1,"Duplicate","OK"))</f>
        <v>0</v>
      </c>
      <c r="AD87" s="29">
        <f>IF(B87="","",IF(T87="Used","Done - on the calendar",IF(AND(X87&lt;&gt;"",Y87=""),"Check - content ID not found",IF(AND(AB87&lt;&gt;"",AB87&lt;TODAY()),"Review - idea is going stale",IF(AND(S87&gt;=8,T87&lt;&gt;"Scheduled",X87=""),"Plan - strong idea, not scheduled","OK")))))</f>
        <v>0</v>
      </c>
    </row>
    <row r="88" spans="1:30">
      <c r="A88" s="41">
        <f>IF(B88="","",IdeaPrefix&amp;TEXT(ROW()-4,"000"))</f>
        <v>0</v>
      </c>
      <c r="Y88" s="17">
        <f>IF(X88="","",IFERROR(INDEX('Content Calendar'!$H$5:$H$604,MATCH(X88,'Content Calendar'!$A$5:$A$604,0)),"Not found"))</f>
        <v>0</v>
      </c>
      <c r="Z88" s="16">
        <f>IF(X88="","",IFERROR(INDEX('Content Calendar'!$B$5:$B$604,MATCH(X88,'Content Calendar'!$A$5:$A$604,0)),"Not found"))</f>
        <v>0</v>
      </c>
      <c r="AA88" s="23">
        <f>IF(U88="","",TODAY()-U88)</f>
        <v>0</v>
      </c>
      <c r="AB88" s="16">
        <f>IF(B88="","",IF(T88="Used","",IF(V88="",U88,V88)+IdeaReviewDays))</f>
        <v>0</v>
      </c>
      <c r="AC88" s="29">
        <f>IF(B88="","",IF(COUNTIF('Idea Bank'!$B$5:$B$304,B88)&gt;1,"Duplicate","OK"))</f>
        <v>0</v>
      </c>
      <c r="AD88" s="29">
        <f>IF(B88="","",IF(T88="Used","Done - on the calendar",IF(AND(X88&lt;&gt;"",Y88=""),"Check - content ID not found",IF(AND(AB88&lt;&gt;"",AB88&lt;TODAY()),"Review - idea is going stale",IF(AND(S88&gt;=8,T88&lt;&gt;"Scheduled",X88=""),"Plan - strong idea, not scheduled","OK")))))</f>
        <v>0</v>
      </c>
    </row>
    <row r="89" spans="1:30">
      <c r="A89" s="41">
        <f>IF(B89="","",IdeaPrefix&amp;TEXT(ROW()-4,"000"))</f>
        <v>0</v>
      </c>
      <c r="Y89" s="17">
        <f>IF(X89="","",IFERROR(INDEX('Content Calendar'!$H$5:$H$604,MATCH(X89,'Content Calendar'!$A$5:$A$604,0)),"Not found"))</f>
        <v>0</v>
      </c>
      <c r="Z89" s="16">
        <f>IF(X89="","",IFERROR(INDEX('Content Calendar'!$B$5:$B$604,MATCH(X89,'Content Calendar'!$A$5:$A$604,0)),"Not found"))</f>
        <v>0</v>
      </c>
      <c r="AA89" s="23">
        <f>IF(U89="","",TODAY()-U89)</f>
        <v>0</v>
      </c>
      <c r="AB89" s="16">
        <f>IF(B89="","",IF(T89="Used","",IF(V89="",U89,V89)+IdeaReviewDays))</f>
        <v>0</v>
      </c>
      <c r="AC89" s="29">
        <f>IF(B89="","",IF(COUNTIF('Idea Bank'!$B$5:$B$304,B89)&gt;1,"Duplicate","OK"))</f>
        <v>0</v>
      </c>
      <c r="AD89" s="29">
        <f>IF(B89="","",IF(T89="Used","Done - on the calendar",IF(AND(X89&lt;&gt;"",Y89=""),"Check - content ID not found",IF(AND(AB89&lt;&gt;"",AB89&lt;TODAY()),"Review - idea is going stale",IF(AND(S89&gt;=8,T89&lt;&gt;"Scheduled",X89=""),"Plan - strong idea, not scheduled","OK")))))</f>
        <v>0</v>
      </c>
    </row>
    <row r="90" spans="1:30">
      <c r="A90" s="41">
        <f>IF(B90="","",IdeaPrefix&amp;TEXT(ROW()-4,"000"))</f>
        <v>0</v>
      </c>
      <c r="Y90" s="17">
        <f>IF(X90="","",IFERROR(INDEX('Content Calendar'!$H$5:$H$604,MATCH(X90,'Content Calendar'!$A$5:$A$604,0)),"Not found"))</f>
        <v>0</v>
      </c>
      <c r="Z90" s="16">
        <f>IF(X90="","",IFERROR(INDEX('Content Calendar'!$B$5:$B$604,MATCH(X90,'Content Calendar'!$A$5:$A$604,0)),"Not found"))</f>
        <v>0</v>
      </c>
      <c r="AA90" s="23">
        <f>IF(U90="","",TODAY()-U90)</f>
        <v>0</v>
      </c>
      <c r="AB90" s="16">
        <f>IF(B90="","",IF(T90="Used","",IF(V90="",U90,V90)+IdeaReviewDays))</f>
        <v>0</v>
      </c>
      <c r="AC90" s="29">
        <f>IF(B90="","",IF(COUNTIF('Idea Bank'!$B$5:$B$304,B90)&gt;1,"Duplicate","OK"))</f>
        <v>0</v>
      </c>
      <c r="AD90" s="29">
        <f>IF(B90="","",IF(T90="Used","Done - on the calendar",IF(AND(X90&lt;&gt;"",Y90=""),"Check - content ID not found",IF(AND(AB90&lt;&gt;"",AB90&lt;TODAY()),"Review - idea is going stale",IF(AND(S90&gt;=8,T90&lt;&gt;"Scheduled",X90=""),"Plan - strong idea, not scheduled","OK")))))</f>
        <v>0</v>
      </c>
    </row>
    <row r="91" spans="1:30">
      <c r="A91" s="41">
        <f>IF(B91="","",IdeaPrefix&amp;TEXT(ROW()-4,"000"))</f>
        <v>0</v>
      </c>
      <c r="Y91" s="17">
        <f>IF(X91="","",IFERROR(INDEX('Content Calendar'!$H$5:$H$604,MATCH(X91,'Content Calendar'!$A$5:$A$604,0)),"Not found"))</f>
        <v>0</v>
      </c>
      <c r="Z91" s="16">
        <f>IF(X91="","",IFERROR(INDEX('Content Calendar'!$B$5:$B$604,MATCH(X91,'Content Calendar'!$A$5:$A$604,0)),"Not found"))</f>
        <v>0</v>
      </c>
      <c r="AA91" s="23">
        <f>IF(U91="","",TODAY()-U91)</f>
        <v>0</v>
      </c>
      <c r="AB91" s="16">
        <f>IF(B91="","",IF(T91="Used","",IF(V91="",U91,V91)+IdeaReviewDays))</f>
        <v>0</v>
      </c>
      <c r="AC91" s="29">
        <f>IF(B91="","",IF(COUNTIF('Idea Bank'!$B$5:$B$304,B91)&gt;1,"Duplicate","OK"))</f>
        <v>0</v>
      </c>
      <c r="AD91" s="29">
        <f>IF(B91="","",IF(T91="Used","Done - on the calendar",IF(AND(X91&lt;&gt;"",Y91=""),"Check - content ID not found",IF(AND(AB91&lt;&gt;"",AB91&lt;TODAY()),"Review - idea is going stale",IF(AND(S91&gt;=8,T91&lt;&gt;"Scheduled",X91=""),"Plan - strong idea, not scheduled","OK")))))</f>
        <v>0</v>
      </c>
    </row>
    <row r="92" spans="1:30">
      <c r="A92" s="41">
        <f>IF(B92="","",IdeaPrefix&amp;TEXT(ROW()-4,"000"))</f>
        <v>0</v>
      </c>
      <c r="Y92" s="17">
        <f>IF(X92="","",IFERROR(INDEX('Content Calendar'!$H$5:$H$604,MATCH(X92,'Content Calendar'!$A$5:$A$604,0)),"Not found"))</f>
        <v>0</v>
      </c>
      <c r="Z92" s="16">
        <f>IF(X92="","",IFERROR(INDEX('Content Calendar'!$B$5:$B$604,MATCH(X92,'Content Calendar'!$A$5:$A$604,0)),"Not found"))</f>
        <v>0</v>
      </c>
      <c r="AA92" s="23">
        <f>IF(U92="","",TODAY()-U92)</f>
        <v>0</v>
      </c>
      <c r="AB92" s="16">
        <f>IF(B92="","",IF(T92="Used","",IF(V92="",U92,V92)+IdeaReviewDays))</f>
        <v>0</v>
      </c>
      <c r="AC92" s="29">
        <f>IF(B92="","",IF(COUNTIF('Idea Bank'!$B$5:$B$304,B92)&gt;1,"Duplicate","OK"))</f>
        <v>0</v>
      </c>
      <c r="AD92" s="29">
        <f>IF(B92="","",IF(T92="Used","Done - on the calendar",IF(AND(X92&lt;&gt;"",Y92=""),"Check - content ID not found",IF(AND(AB92&lt;&gt;"",AB92&lt;TODAY()),"Review - idea is going stale",IF(AND(S92&gt;=8,T92&lt;&gt;"Scheduled",X92=""),"Plan - strong idea, not scheduled","OK")))))</f>
        <v>0</v>
      </c>
    </row>
    <row r="93" spans="1:30">
      <c r="A93" s="41">
        <f>IF(B93="","",IdeaPrefix&amp;TEXT(ROW()-4,"000"))</f>
        <v>0</v>
      </c>
      <c r="Y93" s="17">
        <f>IF(X93="","",IFERROR(INDEX('Content Calendar'!$H$5:$H$604,MATCH(X93,'Content Calendar'!$A$5:$A$604,0)),"Not found"))</f>
        <v>0</v>
      </c>
      <c r="Z93" s="16">
        <f>IF(X93="","",IFERROR(INDEX('Content Calendar'!$B$5:$B$604,MATCH(X93,'Content Calendar'!$A$5:$A$604,0)),"Not found"))</f>
        <v>0</v>
      </c>
      <c r="AA93" s="23">
        <f>IF(U93="","",TODAY()-U93)</f>
        <v>0</v>
      </c>
      <c r="AB93" s="16">
        <f>IF(B93="","",IF(T93="Used","",IF(V93="",U93,V93)+IdeaReviewDays))</f>
        <v>0</v>
      </c>
      <c r="AC93" s="29">
        <f>IF(B93="","",IF(COUNTIF('Idea Bank'!$B$5:$B$304,B93)&gt;1,"Duplicate","OK"))</f>
        <v>0</v>
      </c>
      <c r="AD93" s="29">
        <f>IF(B93="","",IF(T93="Used","Done - on the calendar",IF(AND(X93&lt;&gt;"",Y93=""),"Check - content ID not found",IF(AND(AB93&lt;&gt;"",AB93&lt;TODAY()),"Review - idea is going stale",IF(AND(S93&gt;=8,T93&lt;&gt;"Scheduled",X93=""),"Plan - strong idea, not scheduled","OK")))))</f>
        <v>0</v>
      </c>
    </row>
    <row r="94" spans="1:30">
      <c r="A94" s="41">
        <f>IF(B94="","",IdeaPrefix&amp;TEXT(ROW()-4,"000"))</f>
        <v>0</v>
      </c>
      <c r="Y94" s="17">
        <f>IF(X94="","",IFERROR(INDEX('Content Calendar'!$H$5:$H$604,MATCH(X94,'Content Calendar'!$A$5:$A$604,0)),"Not found"))</f>
        <v>0</v>
      </c>
      <c r="Z94" s="16">
        <f>IF(X94="","",IFERROR(INDEX('Content Calendar'!$B$5:$B$604,MATCH(X94,'Content Calendar'!$A$5:$A$604,0)),"Not found"))</f>
        <v>0</v>
      </c>
      <c r="AA94" s="23">
        <f>IF(U94="","",TODAY()-U94)</f>
        <v>0</v>
      </c>
      <c r="AB94" s="16">
        <f>IF(B94="","",IF(T94="Used","",IF(V94="",U94,V94)+IdeaReviewDays))</f>
        <v>0</v>
      </c>
      <c r="AC94" s="29">
        <f>IF(B94="","",IF(COUNTIF('Idea Bank'!$B$5:$B$304,B94)&gt;1,"Duplicate","OK"))</f>
        <v>0</v>
      </c>
      <c r="AD94" s="29">
        <f>IF(B94="","",IF(T94="Used","Done - on the calendar",IF(AND(X94&lt;&gt;"",Y94=""),"Check - content ID not found",IF(AND(AB94&lt;&gt;"",AB94&lt;TODAY()),"Review - idea is going stale",IF(AND(S94&gt;=8,T94&lt;&gt;"Scheduled",X94=""),"Plan - strong idea, not scheduled","OK")))))</f>
        <v>0</v>
      </c>
    </row>
    <row r="95" spans="1:30">
      <c r="A95" s="41">
        <f>IF(B95="","",IdeaPrefix&amp;TEXT(ROW()-4,"000"))</f>
        <v>0</v>
      </c>
      <c r="Y95" s="17">
        <f>IF(X95="","",IFERROR(INDEX('Content Calendar'!$H$5:$H$604,MATCH(X95,'Content Calendar'!$A$5:$A$604,0)),"Not found"))</f>
        <v>0</v>
      </c>
      <c r="Z95" s="16">
        <f>IF(X95="","",IFERROR(INDEX('Content Calendar'!$B$5:$B$604,MATCH(X95,'Content Calendar'!$A$5:$A$604,0)),"Not found"))</f>
        <v>0</v>
      </c>
      <c r="AA95" s="23">
        <f>IF(U95="","",TODAY()-U95)</f>
        <v>0</v>
      </c>
      <c r="AB95" s="16">
        <f>IF(B95="","",IF(T95="Used","",IF(V95="",U95,V95)+IdeaReviewDays))</f>
        <v>0</v>
      </c>
      <c r="AC95" s="29">
        <f>IF(B95="","",IF(COUNTIF('Idea Bank'!$B$5:$B$304,B95)&gt;1,"Duplicate","OK"))</f>
        <v>0</v>
      </c>
      <c r="AD95" s="29">
        <f>IF(B95="","",IF(T95="Used","Done - on the calendar",IF(AND(X95&lt;&gt;"",Y95=""),"Check - content ID not found",IF(AND(AB95&lt;&gt;"",AB95&lt;TODAY()),"Review - idea is going stale",IF(AND(S95&gt;=8,T95&lt;&gt;"Scheduled",X95=""),"Plan - strong idea, not scheduled","OK")))))</f>
        <v>0</v>
      </c>
    </row>
    <row r="96" spans="1:30">
      <c r="A96" s="41">
        <f>IF(B96="","",IdeaPrefix&amp;TEXT(ROW()-4,"000"))</f>
        <v>0</v>
      </c>
      <c r="Y96" s="17">
        <f>IF(X96="","",IFERROR(INDEX('Content Calendar'!$H$5:$H$604,MATCH(X96,'Content Calendar'!$A$5:$A$604,0)),"Not found"))</f>
        <v>0</v>
      </c>
      <c r="Z96" s="16">
        <f>IF(X96="","",IFERROR(INDEX('Content Calendar'!$B$5:$B$604,MATCH(X96,'Content Calendar'!$A$5:$A$604,0)),"Not found"))</f>
        <v>0</v>
      </c>
      <c r="AA96" s="23">
        <f>IF(U96="","",TODAY()-U96)</f>
        <v>0</v>
      </c>
      <c r="AB96" s="16">
        <f>IF(B96="","",IF(T96="Used","",IF(V96="",U96,V96)+IdeaReviewDays))</f>
        <v>0</v>
      </c>
      <c r="AC96" s="29">
        <f>IF(B96="","",IF(COUNTIF('Idea Bank'!$B$5:$B$304,B96)&gt;1,"Duplicate","OK"))</f>
        <v>0</v>
      </c>
      <c r="AD96" s="29">
        <f>IF(B96="","",IF(T96="Used","Done - on the calendar",IF(AND(X96&lt;&gt;"",Y96=""),"Check - content ID not found",IF(AND(AB96&lt;&gt;"",AB96&lt;TODAY()),"Review - idea is going stale",IF(AND(S96&gt;=8,T96&lt;&gt;"Scheduled",X96=""),"Plan - strong idea, not scheduled","OK")))))</f>
        <v>0</v>
      </c>
    </row>
    <row r="97" spans="1:30">
      <c r="A97" s="41">
        <f>IF(B97="","",IdeaPrefix&amp;TEXT(ROW()-4,"000"))</f>
        <v>0</v>
      </c>
      <c r="Y97" s="17">
        <f>IF(X97="","",IFERROR(INDEX('Content Calendar'!$H$5:$H$604,MATCH(X97,'Content Calendar'!$A$5:$A$604,0)),"Not found"))</f>
        <v>0</v>
      </c>
      <c r="Z97" s="16">
        <f>IF(X97="","",IFERROR(INDEX('Content Calendar'!$B$5:$B$604,MATCH(X97,'Content Calendar'!$A$5:$A$604,0)),"Not found"))</f>
        <v>0</v>
      </c>
      <c r="AA97" s="23">
        <f>IF(U97="","",TODAY()-U97)</f>
        <v>0</v>
      </c>
      <c r="AB97" s="16">
        <f>IF(B97="","",IF(T97="Used","",IF(V97="",U97,V97)+IdeaReviewDays))</f>
        <v>0</v>
      </c>
      <c r="AC97" s="29">
        <f>IF(B97="","",IF(COUNTIF('Idea Bank'!$B$5:$B$304,B97)&gt;1,"Duplicate","OK"))</f>
        <v>0</v>
      </c>
      <c r="AD97" s="29">
        <f>IF(B97="","",IF(T97="Used","Done - on the calendar",IF(AND(X97&lt;&gt;"",Y97=""),"Check - content ID not found",IF(AND(AB97&lt;&gt;"",AB97&lt;TODAY()),"Review - idea is going stale",IF(AND(S97&gt;=8,T97&lt;&gt;"Scheduled",X97=""),"Plan - strong idea, not scheduled","OK")))))</f>
        <v>0</v>
      </c>
    </row>
    <row r="98" spans="1:30">
      <c r="A98" s="41">
        <f>IF(B98="","",IdeaPrefix&amp;TEXT(ROW()-4,"000"))</f>
        <v>0</v>
      </c>
      <c r="Y98" s="17">
        <f>IF(X98="","",IFERROR(INDEX('Content Calendar'!$H$5:$H$604,MATCH(X98,'Content Calendar'!$A$5:$A$604,0)),"Not found"))</f>
        <v>0</v>
      </c>
      <c r="Z98" s="16">
        <f>IF(X98="","",IFERROR(INDEX('Content Calendar'!$B$5:$B$604,MATCH(X98,'Content Calendar'!$A$5:$A$604,0)),"Not found"))</f>
        <v>0</v>
      </c>
      <c r="AA98" s="23">
        <f>IF(U98="","",TODAY()-U98)</f>
        <v>0</v>
      </c>
      <c r="AB98" s="16">
        <f>IF(B98="","",IF(T98="Used","",IF(V98="",U98,V98)+IdeaReviewDays))</f>
        <v>0</v>
      </c>
      <c r="AC98" s="29">
        <f>IF(B98="","",IF(COUNTIF('Idea Bank'!$B$5:$B$304,B98)&gt;1,"Duplicate","OK"))</f>
        <v>0</v>
      </c>
      <c r="AD98" s="29">
        <f>IF(B98="","",IF(T98="Used","Done - on the calendar",IF(AND(X98&lt;&gt;"",Y98=""),"Check - content ID not found",IF(AND(AB98&lt;&gt;"",AB98&lt;TODAY()),"Review - idea is going stale",IF(AND(S98&gt;=8,T98&lt;&gt;"Scheduled",X98=""),"Plan - strong idea, not scheduled","OK")))))</f>
        <v>0</v>
      </c>
    </row>
    <row r="99" spans="1:30">
      <c r="A99" s="41">
        <f>IF(B99="","",IdeaPrefix&amp;TEXT(ROW()-4,"000"))</f>
        <v>0</v>
      </c>
      <c r="Y99" s="17">
        <f>IF(X99="","",IFERROR(INDEX('Content Calendar'!$H$5:$H$604,MATCH(X99,'Content Calendar'!$A$5:$A$604,0)),"Not found"))</f>
        <v>0</v>
      </c>
      <c r="Z99" s="16">
        <f>IF(X99="","",IFERROR(INDEX('Content Calendar'!$B$5:$B$604,MATCH(X99,'Content Calendar'!$A$5:$A$604,0)),"Not found"))</f>
        <v>0</v>
      </c>
      <c r="AA99" s="23">
        <f>IF(U99="","",TODAY()-U99)</f>
        <v>0</v>
      </c>
      <c r="AB99" s="16">
        <f>IF(B99="","",IF(T99="Used","",IF(V99="",U99,V99)+IdeaReviewDays))</f>
        <v>0</v>
      </c>
      <c r="AC99" s="29">
        <f>IF(B99="","",IF(COUNTIF('Idea Bank'!$B$5:$B$304,B99)&gt;1,"Duplicate","OK"))</f>
        <v>0</v>
      </c>
      <c r="AD99" s="29">
        <f>IF(B99="","",IF(T99="Used","Done - on the calendar",IF(AND(X99&lt;&gt;"",Y99=""),"Check - content ID not found",IF(AND(AB99&lt;&gt;"",AB99&lt;TODAY()),"Review - idea is going stale",IF(AND(S99&gt;=8,T99&lt;&gt;"Scheduled",X99=""),"Plan - strong idea, not scheduled","OK")))))</f>
        <v>0</v>
      </c>
    </row>
    <row r="100" spans="1:30">
      <c r="A100" s="41">
        <f>IF(B100="","",IdeaPrefix&amp;TEXT(ROW()-4,"000"))</f>
        <v>0</v>
      </c>
      <c r="Y100" s="17">
        <f>IF(X100="","",IFERROR(INDEX('Content Calendar'!$H$5:$H$604,MATCH(X100,'Content Calendar'!$A$5:$A$604,0)),"Not found"))</f>
        <v>0</v>
      </c>
      <c r="Z100" s="16">
        <f>IF(X100="","",IFERROR(INDEX('Content Calendar'!$B$5:$B$604,MATCH(X100,'Content Calendar'!$A$5:$A$604,0)),"Not found"))</f>
        <v>0</v>
      </c>
      <c r="AA100" s="23">
        <f>IF(U100="","",TODAY()-U100)</f>
        <v>0</v>
      </c>
      <c r="AB100" s="16">
        <f>IF(B100="","",IF(T100="Used","",IF(V100="",U100,V100)+IdeaReviewDays))</f>
        <v>0</v>
      </c>
      <c r="AC100" s="29">
        <f>IF(B100="","",IF(COUNTIF('Idea Bank'!$B$5:$B$304,B100)&gt;1,"Duplicate","OK"))</f>
        <v>0</v>
      </c>
      <c r="AD100" s="29">
        <f>IF(B100="","",IF(T100="Used","Done - on the calendar",IF(AND(X100&lt;&gt;"",Y100=""),"Check - content ID not found",IF(AND(AB100&lt;&gt;"",AB100&lt;TODAY()),"Review - idea is going stale",IF(AND(S100&gt;=8,T100&lt;&gt;"Scheduled",X100=""),"Plan - strong idea, not scheduled","OK")))))</f>
        <v>0</v>
      </c>
    </row>
    <row r="101" spans="1:30">
      <c r="A101" s="41">
        <f>IF(B101="","",IdeaPrefix&amp;TEXT(ROW()-4,"000"))</f>
        <v>0</v>
      </c>
      <c r="Y101" s="17">
        <f>IF(X101="","",IFERROR(INDEX('Content Calendar'!$H$5:$H$604,MATCH(X101,'Content Calendar'!$A$5:$A$604,0)),"Not found"))</f>
        <v>0</v>
      </c>
      <c r="Z101" s="16">
        <f>IF(X101="","",IFERROR(INDEX('Content Calendar'!$B$5:$B$604,MATCH(X101,'Content Calendar'!$A$5:$A$604,0)),"Not found"))</f>
        <v>0</v>
      </c>
      <c r="AA101" s="23">
        <f>IF(U101="","",TODAY()-U101)</f>
        <v>0</v>
      </c>
      <c r="AB101" s="16">
        <f>IF(B101="","",IF(T101="Used","",IF(V101="",U101,V101)+IdeaReviewDays))</f>
        <v>0</v>
      </c>
      <c r="AC101" s="29">
        <f>IF(B101="","",IF(COUNTIF('Idea Bank'!$B$5:$B$304,B101)&gt;1,"Duplicate","OK"))</f>
        <v>0</v>
      </c>
      <c r="AD101" s="29">
        <f>IF(B101="","",IF(T101="Used","Done - on the calendar",IF(AND(X101&lt;&gt;"",Y101=""),"Check - content ID not found",IF(AND(AB101&lt;&gt;"",AB101&lt;TODAY()),"Review - idea is going stale",IF(AND(S101&gt;=8,T101&lt;&gt;"Scheduled",X101=""),"Plan - strong idea, not scheduled","OK")))))</f>
        <v>0</v>
      </c>
    </row>
    <row r="102" spans="1:30">
      <c r="A102" s="41">
        <f>IF(B102="","",IdeaPrefix&amp;TEXT(ROW()-4,"000"))</f>
        <v>0</v>
      </c>
      <c r="Y102" s="17">
        <f>IF(X102="","",IFERROR(INDEX('Content Calendar'!$H$5:$H$604,MATCH(X102,'Content Calendar'!$A$5:$A$604,0)),"Not found"))</f>
        <v>0</v>
      </c>
      <c r="Z102" s="16">
        <f>IF(X102="","",IFERROR(INDEX('Content Calendar'!$B$5:$B$604,MATCH(X102,'Content Calendar'!$A$5:$A$604,0)),"Not found"))</f>
        <v>0</v>
      </c>
      <c r="AA102" s="23">
        <f>IF(U102="","",TODAY()-U102)</f>
        <v>0</v>
      </c>
      <c r="AB102" s="16">
        <f>IF(B102="","",IF(T102="Used","",IF(V102="",U102,V102)+IdeaReviewDays))</f>
        <v>0</v>
      </c>
      <c r="AC102" s="29">
        <f>IF(B102="","",IF(COUNTIF('Idea Bank'!$B$5:$B$304,B102)&gt;1,"Duplicate","OK"))</f>
        <v>0</v>
      </c>
      <c r="AD102" s="29">
        <f>IF(B102="","",IF(T102="Used","Done - on the calendar",IF(AND(X102&lt;&gt;"",Y102=""),"Check - content ID not found",IF(AND(AB102&lt;&gt;"",AB102&lt;TODAY()),"Review - idea is going stale",IF(AND(S102&gt;=8,T102&lt;&gt;"Scheduled",X102=""),"Plan - strong idea, not scheduled","OK")))))</f>
        <v>0</v>
      </c>
    </row>
    <row r="103" spans="1:30">
      <c r="A103" s="41">
        <f>IF(B103="","",IdeaPrefix&amp;TEXT(ROW()-4,"000"))</f>
        <v>0</v>
      </c>
      <c r="Y103" s="17">
        <f>IF(X103="","",IFERROR(INDEX('Content Calendar'!$H$5:$H$604,MATCH(X103,'Content Calendar'!$A$5:$A$604,0)),"Not found"))</f>
        <v>0</v>
      </c>
      <c r="Z103" s="16">
        <f>IF(X103="","",IFERROR(INDEX('Content Calendar'!$B$5:$B$604,MATCH(X103,'Content Calendar'!$A$5:$A$604,0)),"Not found"))</f>
        <v>0</v>
      </c>
      <c r="AA103" s="23">
        <f>IF(U103="","",TODAY()-U103)</f>
        <v>0</v>
      </c>
      <c r="AB103" s="16">
        <f>IF(B103="","",IF(T103="Used","",IF(V103="",U103,V103)+IdeaReviewDays))</f>
        <v>0</v>
      </c>
      <c r="AC103" s="29">
        <f>IF(B103="","",IF(COUNTIF('Idea Bank'!$B$5:$B$304,B103)&gt;1,"Duplicate","OK"))</f>
        <v>0</v>
      </c>
      <c r="AD103" s="29">
        <f>IF(B103="","",IF(T103="Used","Done - on the calendar",IF(AND(X103&lt;&gt;"",Y103=""),"Check - content ID not found",IF(AND(AB103&lt;&gt;"",AB103&lt;TODAY()),"Review - idea is going stale",IF(AND(S103&gt;=8,T103&lt;&gt;"Scheduled",X103=""),"Plan - strong idea, not scheduled","OK")))))</f>
        <v>0</v>
      </c>
    </row>
    <row r="104" spans="1:30">
      <c r="A104" s="41">
        <f>IF(B104="","",IdeaPrefix&amp;TEXT(ROW()-4,"000"))</f>
        <v>0</v>
      </c>
      <c r="Y104" s="17">
        <f>IF(X104="","",IFERROR(INDEX('Content Calendar'!$H$5:$H$604,MATCH(X104,'Content Calendar'!$A$5:$A$604,0)),"Not found"))</f>
        <v>0</v>
      </c>
      <c r="Z104" s="16">
        <f>IF(X104="","",IFERROR(INDEX('Content Calendar'!$B$5:$B$604,MATCH(X104,'Content Calendar'!$A$5:$A$604,0)),"Not found"))</f>
        <v>0</v>
      </c>
      <c r="AA104" s="23">
        <f>IF(U104="","",TODAY()-U104)</f>
        <v>0</v>
      </c>
      <c r="AB104" s="16">
        <f>IF(B104="","",IF(T104="Used","",IF(V104="",U104,V104)+IdeaReviewDays))</f>
        <v>0</v>
      </c>
      <c r="AC104" s="29">
        <f>IF(B104="","",IF(COUNTIF('Idea Bank'!$B$5:$B$304,B104)&gt;1,"Duplicate","OK"))</f>
        <v>0</v>
      </c>
      <c r="AD104" s="29">
        <f>IF(B104="","",IF(T104="Used","Done - on the calendar",IF(AND(X104&lt;&gt;"",Y104=""),"Check - content ID not found",IF(AND(AB104&lt;&gt;"",AB104&lt;TODAY()),"Review - idea is going stale",IF(AND(S104&gt;=8,T104&lt;&gt;"Scheduled",X104=""),"Plan - strong idea, not scheduled","OK")))))</f>
        <v>0</v>
      </c>
    </row>
    <row r="105" spans="1:30">
      <c r="A105" s="41">
        <f>IF(B105="","",IdeaPrefix&amp;TEXT(ROW()-4,"000"))</f>
        <v>0</v>
      </c>
      <c r="Y105" s="17">
        <f>IF(X105="","",IFERROR(INDEX('Content Calendar'!$H$5:$H$604,MATCH(X105,'Content Calendar'!$A$5:$A$604,0)),"Not found"))</f>
        <v>0</v>
      </c>
      <c r="Z105" s="16">
        <f>IF(X105="","",IFERROR(INDEX('Content Calendar'!$B$5:$B$604,MATCH(X105,'Content Calendar'!$A$5:$A$604,0)),"Not found"))</f>
        <v>0</v>
      </c>
      <c r="AA105" s="23">
        <f>IF(U105="","",TODAY()-U105)</f>
        <v>0</v>
      </c>
      <c r="AB105" s="16">
        <f>IF(B105="","",IF(T105="Used","",IF(V105="",U105,V105)+IdeaReviewDays))</f>
        <v>0</v>
      </c>
      <c r="AC105" s="29">
        <f>IF(B105="","",IF(COUNTIF('Idea Bank'!$B$5:$B$304,B105)&gt;1,"Duplicate","OK"))</f>
        <v>0</v>
      </c>
      <c r="AD105" s="29">
        <f>IF(B105="","",IF(T105="Used","Done - on the calendar",IF(AND(X105&lt;&gt;"",Y105=""),"Check - content ID not found",IF(AND(AB105&lt;&gt;"",AB105&lt;TODAY()),"Review - idea is going stale",IF(AND(S105&gt;=8,T105&lt;&gt;"Scheduled",X105=""),"Plan - strong idea, not scheduled","OK")))))</f>
        <v>0</v>
      </c>
    </row>
    <row r="106" spans="1:30">
      <c r="A106" s="41">
        <f>IF(B106="","",IdeaPrefix&amp;TEXT(ROW()-4,"000"))</f>
        <v>0</v>
      </c>
      <c r="Y106" s="17">
        <f>IF(X106="","",IFERROR(INDEX('Content Calendar'!$H$5:$H$604,MATCH(X106,'Content Calendar'!$A$5:$A$604,0)),"Not found"))</f>
        <v>0</v>
      </c>
      <c r="Z106" s="16">
        <f>IF(X106="","",IFERROR(INDEX('Content Calendar'!$B$5:$B$604,MATCH(X106,'Content Calendar'!$A$5:$A$604,0)),"Not found"))</f>
        <v>0</v>
      </c>
      <c r="AA106" s="23">
        <f>IF(U106="","",TODAY()-U106)</f>
        <v>0</v>
      </c>
      <c r="AB106" s="16">
        <f>IF(B106="","",IF(T106="Used","",IF(V106="",U106,V106)+IdeaReviewDays))</f>
        <v>0</v>
      </c>
      <c r="AC106" s="29">
        <f>IF(B106="","",IF(COUNTIF('Idea Bank'!$B$5:$B$304,B106)&gt;1,"Duplicate","OK"))</f>
        <v>0</v>
      </c>
      <c r="AD106" s="29">
        <f>IF(B106="","",IF(T106="Used","Done - on the calendar",IF(AND(X106&lt;&gt;"",Y106=""),"Check - content ID not found",IF(AND(AB106&lt;&gt;"",AB106&lt;TODAY()),"Review - idea is going stale",IF(AND(S106&gt;=8,T106&lt;&gt;"Scheduled",X106=""),"Plan - strong idea, not scheduled","OK")))))</f>
        <v>0</v>
      </c>
    </row>
    <row r="107" spans="1:30">
      <c r="A107" s="41">
        <f>IF(B107="","",IdeaPrefix&amp;TEXT(ROW()-4,"000"))</f>
        <v>0</v>
      </c>
      <c r="Y107" s="17">
        <f>IF(X107="","",IFERROR(INDEX('Content Calendar'!$H$5:$H$604,MATCH(X107,'Content Calendar'!$A$5:$A$604,0)),"Not found"))</f>
        <v>0</v>
      </c>
      <c r="Z107" s="16">
        <f>IF(X107="","",IFERROR(INDEX('Content Calendar'!$B$5:$B$604,MATCH(X107,'Content Calendar'!$A$5:$A$604,0)),"Not found"))</f>
        <v>0</v>
      </c>
      <c r="AA107" s="23">
        <f>IF(U107="","",TODAY()-U107)</f>
        <v>0</v>
      </c>
      <c r="AB107" s="16">
        <f>IF(B107="","",IF(T107="Used","",IF(V107="",U107,V107)+IdeaReviewDays))</f>
        <v>0</v>
      </c>
      <c r="AC107" s="29">
        <f>IF(B107="","",IF(COUNTIF('Idea Bank'!$B$5:$B$304,B107)&gt;1,"Duplicate","OK"))</f>
        <v>0</v>
      </c>
      <c r="AD107" s="29">
        <f>IF(B107="","",IF(T107="Used","Done - on the calendar",IF(AND(X107&lt;&gt;"",Y107=""),"Check - content ID not found",IF(AND(AB107&lt;&gt;"",AB107&lt;TODAY()),"Review - idea is going stale",IF(AND(S107&gt;=8,T107&lt;&gt;"Scheduled",X107=""),"Plan - strong idea, not scheduled","OK")))))</f>
        <v>0</v>
      </c>
    </row>
    <row r="108" spans="1:30">
      <c r="A108" s="41">
        <f>IF(B108="","",IdeaPrefix&amp;TEXT(ROW()-4,"000"))</f>
        <v>0</v>
      </c>
      <c r="Y108" s="17">
        <f>IF(X108="","",IFERROR(INDEX('Content Calendar'!$H$5:$H$604,MATCH(X108,'Content Calendar'!$A$5:$A$604,0)),"Not found"))</f>
        <v>0</v>
      </c>
      <c r="Z108" s="16">
        <f>IF(X108="","",IFERROR(INDEX('Content Calendar'!$B$5:$B$604,MATCH(X108,'Content Calendar'!$A$5:$A$604,0)),"Not found"))</f>
        <v>0</v>
      </c>
      <c r="AA108" s="23">
        <f>IF(U108="","",TODAY()-U108)</f>
        <v>0</v>
      </c>
      <c r="AB108" s="16">
        <f>IF(B108="","",IF(T108="Used","",IF(V108="",U108,V108)+IdeaReviewDays))</f>
        <v>0</v>
      </c>
      <c r="AC108" s="29">
        <f>IF(B108="","",IF(COUNTIF('Idea Bank'!$B$5:$B$304,B108)&gt;1,"Duplicate","OK"))</f>
        <v>0</v>
      </c>
      <c r="AD108" s="29">
        <f>IF(B108="","",IF(T108="Used","Done - on the calendar",IF(AND(X108&lt;&gt;"",Y108=""),"Check - content ID not found",IF(AND(AB108&lt;&gt;"",AB108&lt;TODAY()),"Review - idea is going stale",IF(AND(S108&gt;=8,T108&lt;&gt;"Scheduled",X108=""),"Plan - strong idea, not scheduled","OK")))))</f>
        <v>0</v>
      </c>
    </row>
    <row r="109" spans="1:30">
      <c r="A109" s="41">
        <f>IF(B109="","",IdeaPrefix&amp;TEXT(ROW()-4,"000"))</f>
        <v>0</v>
      </c>
      <c r="Y109" s="17">
        <f>IF(X109="","",IFERROR(INDEX('Content Calendar'!$H$5:$H$604,MATCH(X109,'Content Calendar'!$A$5:$A$604,0)),"Not found"))</f>
        <v>0</v>
      </c>
      <c r="Z109" s="16">
        <f>IF(X109="","",IFERROR(INDEX('Content Calendar'!$B$5:$B$604,MATCH(X109,'Content Calendar'!$A$5:$A$604,0)),"Not found"))</f>
        <v>0</v>
      </c>
      <c r="AA109" s="23">
        <f>IF(U109="","",TODAY()-U109)</f>
        <v>0</v>
      </c>
      <c r="AB109" s="16">
        <f>IF(B109="","",IF(T109="Used","",IF(V109="",U109,V109)+IdeaReviewDays))</f>
        <v>0</v>
      </c>
      <c r="AC109" s="29">
        <f>IF(B109="","",IF(COUNTIF('Idea Bank'!$B$5:$B$304,B109)&gt;1,"Duplicate","OK"))</f>
        <v>0</v>
      </c>
      <c r="AD109" s="29">
        <f>IF(B109="","",IF(T109="Used","Done - on the calendar",IF(AND(X109&lt;&gt;"",Y109=""),"Check - content ID not found",IF(AND(AB109&lt;&gt;"",AB109&lt;TODAY()),"Review - idea is going stale",IF(AND(S109&gt;=8,T109&lt;&gt;"Scheduled",X109=""),"Plan - strong idea, not scheduled","OK")))))</f>
        <v>0</v>
      </c>
    </row>
    <row r="110" spans="1:30">
      <c r="A110" s="41">
        <f>IF(B110="","",IdeaPrefix&amp;TEXT(ROW()-4,"000"))</f>
        <v>0</v>
      </c>
      <c r="Y110" s="17">
        <f>IF(X110="","",IFERROR(INDEX('Content Calendar'!$H$5:$H$604,MATCH(X110,'Content Calendar'!$A$5:$A$604,0)),"Not found"))</f>
        <v>0</v>
      </c>
      <c r="Z110" s="16">
        <f>IF(X110="","",IFERROR(INDEX('Content Calendar'!$B$5:$B$604,MATCH(X110,'Content Calendar'!$A$5:$A$604,0)),"Not found"))</f>
        <v>0</v>
      </c>
      <c r="AA110" s="23">
        <f>IF(U110="","",TODAY()-U110)</f>
        <v>0</v>
      </c>
      <c r="AB110" s="16">
        <f>IF(B110="","",IF(T110="Used","",IF(V110="",U110,V110)+IdeaReviewDays))</f>
        <v>0</v>
      </c>
      <c r="AC110" s="29">
        <f>IF(B110="","",IF(COUNTIF('Idea Bank'!$B$5:$B$304,B110)&gt;1,"Duplicate","OK"))</f>
        <v>0</v>
      </c>
      <c r="AD110" s="29">
        <f>IF(B110="","",IF(T110="Used","Done - on the calendar",IF(AND(X110&lt;&gt;"",Y110=""),"Check - content ID not found",IF(AND(AB110&lt;&gt;"",AB110&lt;TODAY()),"Review - idea is going stale",IF(AND(S110&gt;=8,T110&lt;&gt;"Scheduled",X110=""),"Plan - strong idea, not scheduled","OK")))))</f>
        <v>0</v>
      </c>
    </row>
    <row r="111" spans="1:30">
      <c r="A111" s="41">
        <f>IF(B111="","",IdeaPrefix&amp;TEXT(ROW()-4,"000"))</f>
        <v>0</v>
      </c>
      <c r="Y111" s="17">
        <f>IF(X111="","",IFERROR(INDEX('Content Calendar'!$H$5:$H$604,MATCH(X111,'Content Calendar'!$A$5:$A$604,0)),"Not found"))</f>
        <v>0</v>
      </c>
      <c r="Z111" s="16">
        <f>IF(X111="","",IFERROR(INDEX('Content Calendar'!$B$5:$B$604,MATCH(X111,'Content Calendar'!$A$5:$A$604,0)),"Not found"))</f>
        <v>0</v>
      </c>
      <c r="AA111" s="23">
        <f>IF(U111="","",TODAY()-U111)</f>
        <v>0</v>
      </c>
      <c r="AB111" s="16">
        <f>IF(B111="","",IF(T111="Used","",IF(V111="",U111,V111)+IdeaReviewDays))</f>
        <v>0</v>
      </c>
      <c r="AC111" s="29">
        <f>IF(B111="","",IF(COUNTIF('Idea Bank'!$B$5:$B$304,B111)&gt;1,"Duplicate","OK"))</f>
        <v>0</v>
      </c>
      <c r="AD111" s="29">
        <f>IF(B111="","",IF(T111="Used","Done - on the calendar",IF(AND(X111&lt;&gt;"",Y111=""),"Check - content ID not found",IF(AND(AB111&lt;&gt;"",AB111&lt;TODAY()),"Review - idea is going stale",IF(AND(S111&gt;=8,T111&lt;&gt;"Scheduled",X111=""),"Plan - strong idea, not scheduled","OK")))))</f>
        <v>0</v>
      </c>
    </row>
    <row r="112" spans="1:30">
      <c r="A112" s="41">
        <f>IF(B112="","",IdeaPrefix&amp;TEXT(ROW()-4,"000"))</f>
        <v>0</v>
      </c>
      <c r="Y112" s="17">
        <f>IF(X112="","",IFERROR(INDEX('Content Calendar'!$H$5:$H$604,MATCH(X112,'Content Calendar'!$A$5:$A$604,0)),"Not found"))</f>
        <v>0</v>
      </c>
      <c r="Z112" s="16">
        <f>IF(X112="","",IFERROR(INDEX('Content Calendar'!$B$5:$B$604,MATCH(X112,'Content Calendar'!$A$5:$A$604,0)),"Not found"))</f>
        <v>0</v>
      </c>
      <c r="AA112" s="23">
        <f>IF(U112="","",TODAY()-U112)</f>
        <v>0</v>
      </c>
      <c r="AB112" s="16">
        <f>IF(B112="","",IF(T112="Used","",IF(V112="",U112,V112)+IdeaReviewDays))</f>
        <v>0</v>
      </c>
      <c r="AC112" s="29">
        <f>IF(B112="","",IF(COUNTIF('Idea Bank'!$B$5:$B$304,B112)&gt;1,"Duplicate","OK"))</f>
        <v>0</v>
      </c>
      <c r="AD112" s="29">
        <f>IF(B112="","",IF(T112="Used","Done - on the calendar",IF(AND(X112&lt;&gt;"",Y112=""),"Check - content ID not found",IF(AND(AB112&lt;&gt;"",AB112&lt;TODAY()),"Review - idea is going stale",IF(AND(S112&gt;=8,T112&lt;&gt;"Scheduled",X112=""),"Plan - strong idea, not scheduled","OK")))))</f>
        <v>0</v>
      </c>
    </row>
    <row r="113" spans="1:30">
      <c r="A113" s="41">
        <f>IF(B113="","",IdeaPrefix&amp;TEXT(ROW()-4,"000"))</f>
        <v>0</v>
      </c>
      <c r="Y113" s="17">
        <f>IF(X113="","",IFERROR(INDEX('Content Calendar'!$H$5:$H$604,MATCH(X113,'Content Calendar'!$A$5:$A$604,0)),"Not found"))</f>
        <v>0</v>
      </c>
      <c r="Z113" s="16">
        <f>IF(X113="","",IFERROR(INDEX('Content Calendar'!$B$5:$B$604,MATCH(X113,'Content Calendar'!$A$5:$A$604,0)),"Not found"))</f>
        <v>0</v>
      </c>
      <c r="AA113" s="23">
        <f>IF(U113="","",TODAY()-U113)</f>
        <v>0</v>
      </c>
      <c r="AB113" s="16">
        <f>IF(B113="","",IF(T113="Used","",IF(V113="",U113,V113)+IdeaReviewDays))</f>
        <v>0</v>
      </c>
      <c r="AC113" s="29">
        <f>IF(B113="","",IF(COUNTIF('Idea Bank'!$B$5:$B$304,B113)&gt;1,"Duplicate","OK"))</f>
        <v>0</v>
      </c>
      <c r="AD113" s="29">
        <f>IF(B113="","",IF(T113="Used","Done - on the calendar",IF(AND(X113&lt;&gt;"",Y113=""),"Check - content ID not found",IF(AND(AB113&lt;&gt;"",AB113&lt;TODAY()),"Review - idea is going stale",IF(AND(S113&gt;=8,T113&lt;&gt;"Scheduled",X113=""),"Plan - strong idea, not scheduled","OK")))))</f>
        <v>0</v>
      </c>
    </row>
    <row r="114" spans="1:30">
      <c r="A114" s="41">
        <f>IF(B114="","",IdeaPrefix&amp;TEXT(ROW()-4,"000"))</f>
        <v>0</v>
      </c>
      <c r="Y114" s="17">
        <f>IF(X114="","",IFERROR(INDEX('Content Calendar'!$H$5:$H$604,MATCH(X114,'Content Calendar'!$A$5:$A$604,0)),"Not found"))</f>
        <v>0</v>
      </c>
      <c r="Z114" s="16">
        <f>IF(X114="","",IFERROR(INDEX('Content Calendar'!$B$5:$B$604,MATCH(X114,'Content Calendar'!$A$5:$A$604,0)),"Not found"))</f>
        <v>0</v>
      </c>
      <c r="AA114" s="23">
        <f>IF(U114="","",TODAY()-U114)</f>
        <v>0</v>
      </c>
      <c r="AB114" s="16">
        <f>IF(B114="","",IF(T114="Used","",IF(V114="",U114,V114)+IdeaReviewDays))</f>
        <v>0</v>
      </c>
      <c r="AC114" s="29">
        <f>IF(B114="","",IF(COUNTIF('Idea Bank'!$B$5:$B$304,B114)&gt;1,"Duplicate","OK"))</f>
        <v>0</v>
      </c>
      <c r="AD114" s="29">
        <f>IF(B114="","",IF(T114="Used","Done - on the calendar",IF(AND(X114&lt;&gt;"",Y114=""),"Check - content ID not found",IF(AND(AB114&lt;&gt;"",AB114&lt;TODAY()),"Review - idea is going stale",IF(AND(S114&gt;=8,T114&lt;&gt;"Scheduled",X114=""),"Plan - strong idea, not scheduled","OK")))))</f>
        <v>0</v>
      </c>
    </row>
    <row r="115" spans="1:30">
      <c r="A115" s="41">
        <f>IF(B115="","",IdeaPrefix&amp;TEXT(ROW()-4,"000"))</f>
        <v>0</v>
      </c>
      <c r="Y115" s="17">
        <f>IF(X115="","",IFERROR(INDEX('Content Calendar'!$H$5:$H$604,MATCH(X115,'Content Calendar'!$A$5:$A$604,0)),"Not found"))</f>
        <v>0</v>
      </c>
      <c r="Z115" s="16">
        <f>IF(X115="","",IFERROR(INDEX('Content Calendar'!$B$5:$B$604,MATCH(X115,'Content Calendar'!$A$5:$A$604,0)),"Not found"))</f>
        <v>0</v>
      </c>
      <c r="AA115" s="23">
        <f>IF(U115="","",TODAY()-U115)</f>
        <v>0</v>
      </c>
      <c r="AB115" s="16">
        <f>IF(B115="","",IF(T115="Used","",IF(V115="",U115,V115)+IdeaReviewDays))</f>
        <v>0</v>
      </c>
      <c r="AC115" s="29">
        <f>IF(B115="","",IF(COUNTIF('Idea Bank'!$B$5:$B$304,B115)&gt;1,"Duplicate","OK"))</f>
        <v>0</v>
      </c>
      <c r="AD115" s="29">
        <f>IF(B115="","",IF(T115="Used","Done - on the calendar",IF(AND(X115&lt;&gt;"",Y115=""),"Check - content ID not found",IF(AND(AB115&lt;&gt;"",AB115&lt;TODAY()),"Review - idea is going stale",IF(AND(S115&gt;=8,T115&lt;&gt;"Scheduled",X115=""),"Plan - strong idea, not scheduled","OK")))))</f>
        <v>0</v>
      </c>
    </row>
    <row r="116" spans="1:30">
      <c r="A116" s="41">
        <f>IF(B116="","",IdeaPrefix&amp;TEXT(ROW()-4,"000"))</f>
        <v>0</v>
      </c>
      <c r="Y116" s="17">
        <f>IF(X116="","",IFERROR(INDEX('Content Calendar'!$H$5:$H$604,MATCH(X116,'Content Calendar'!$A$5:$A$604,0)),"Not found"))</f>
        <v>0</v>
      </c>
      <c r="Z116" s="16">
        <f>IF(X116="","",IFERROR(INDEX('Content Calendar'!$B$5:$B$604,MATCH(X116,'Content Calendar'!$A$5:$A$604,0)),"Not found"))</f>
        <v>0</v>
      </c>
      <c r="AA116" s="23">
        <f>IF(U116="","",TODAY()-U116)</f>
        <v>0</v>
      </c>
      <c r="AB116" s="16">
        <f>IF(B116="","",IF(T116="Used","",IF(V116="",U116,V116)+IdeaReviewDays))</f>
        <v>0</v>
      </c>
      <c r="AC116" s="29">
        <f>IF(B116="","",IF(COUNTIF('Idea Bank'!$B$5:$B$304,B116)&gt;1,"Duplicate","OK"))</f>
        <v>0</v>
      </c>
      <c r="AD116" s="29">
        <f>IF(B116="","",IF(T116="Used","Done - on the calendar",IF(AND(X116&lt;&gt;"",Y116=""),"Check - content ID not found",IF(AND(AB116&lt;&gt;"",AB116&lt;TODAY()),"Review - idea is going stale",IF(AND(S116&gt;=8,T116&lt;&gt;"Scheduled",X116=""),"Plan - strong idea, not scheduled","OK")))))</f>
        <v>0</v>
      </c>
    </row>
    <row r="117" spans="1:30">
      <c r="A117" s="41">
        <f>IF(B117="","",IdeaPrefix&amp;TEXT(ROW()-4,"000"))</f>
        <v>0</v>
      </c>
      <c r="Y117" s="17">
        <f>IF(X117="","",IFERROR(INDEX('Content Calendar'!$H$5:$H$604,MATCH(X117,'Content Calendar'!$A$5:$A$604,0)),"Not found"))</f>
        <v>0</v>
      </c>
      <c r="Z117" s="16">
        <f>IF(X117="","",IFERROR(INDEX('Content Calendar'!$B$5:$B$604,MATCH(X117,'Content Calendar'!$A$5:$A$604,0)),"Not found"))</f>
        <v>0</v>
      </c>
      <c r="AA117" s="23">
        <f>IF(U117="","",TODAY()-U117)</f>
        <v>0</v>
      </c>
      <c r="AB117" s="16">
        <f>IF(B117="","",IF(T117="Used","",IF(V117="",U117,V117)+IdeaReviewDays))</f>
        <v>0</v>
      </c>
      <c r="AC117" s="29">
        <f>IF(B117="","",IF(COUNTIF('Idea Bank'!$B$5:$B$304,B117)&gt;1,"Duplicate","OK"))</f>
        <v>0</v>
      </c>
      <c r="AD117" s="29">
        <f>IF(B117="","",IF(T117="Used","Done - on the calendar",IF(AND(X117&lt;&gt;"",Y117=""),"Check - content ID not found",IF(AND(AB117&lt;&gt;"",AB117&lt;TODAY()),"Review - idea is going stale",IF(AND(S117&gt;=8,T117&lt;&gt;"Scheduled",X117=""),"Plan - strong idea, not scheduled","OK")))))</f>
        <v>0</v>
      </c>
    </row>
    <row r="118" spans="1:30">
      <c r="A118" s="41">
        <f>IF(B118="","",IdeaPrefix&amp;TEXT(ROW()-4,"000"))</f>
        <v>0</v>
      </c>
      <c r="Y118" s="17">
        <f>IF(X118="","",IFERROR(INDEX('Content Calendar'!$H$5:$H$604,MATCH(X118,'Content Calendar'!$A$5:$A$604,0)),"Not found"))</f>
        <v>0</v>
      </c>
      <c r="Z118" s="16">
        <f>IF(X118="","",IFERROR(INDEX('Content Calendar'!$B$5:$B$604,MATCH(X118,'Content Calendar'!$A$5:$A$604,0)),"Not found"))</f>
        <v>0</v>
      </c>
      <c r="AA118" s="23">
        <f>IF(U118="","",TODAY()-U118)</f>
        <v>0</v>
      </c>
      <c r="AB118" s="16">
        <f>IF(B118="","",IF(T118="Used","",IF(V118="",U118,V118)+IdeaReviewDays))</f>
        <v>0</v>
      </c>
      <c r="AC118" s="29">
        <f>IF(B118="","",IF(COUNTIF('Idea Bank'!$B$5:$B$304,B118)&gt;1,"Duplicate","OK"))</f>
        <v>0</v>
      </c>
      <c r="AD118" s="29">
        <f>IF(B118="","",IF(T118="Used","Done - on the calendar",IF(AND(X118&lt;&gt;"",Y118=""),"Check - content ID not found",IF(AND(AB118&lt;&gt;"",AB118&lt;TODAY()),"Review - idea is going stale",IF(AND(S118&gt;=8,T118&lt;&gt;"Scheduled",X118=""),"Plan - strong idea, not scheduled","OK")))))</f>
        <v>0</v>
      </c>
    </row>
    <row r="119" spans="1:30">
      <c r="A119" s="41">
        <f>IF(B119="","",IdeaPrefix&amp;TEXT(ROW()-4,"000"))</f>
        <v>0</v>
      </c>
      <c r="Y119" s="17">
        <f>IF(X119="","",IFERROR(INDEX('Content Calendar'!$H$5:$H$604,MATCH(X119,'Content Calendar'!$A$5:$A$604,0)),"Not found"))</f>
        <v>0</v>
      </c>
      <c r="Z119" s="16">
        <f>IF(X119="","",IFERROR(INDEX('Content Calendar'!$B$5:$B$604,MATCH(X119,'Content Calendar'!$A$5:$A$604,0)),"Not found"))</f>
        <v>0</v>
      </c>
      <c r="AA119" s="23">
        <f>IF(U119="","",TODAY()-U119)</f>
        <v>0</v>
      </c>
      <c r="AB119" s="16">
        <f>IF(B119="","",IF(T119="Used","",IF(V119="",U119,V119)+IdeaReviewDays))</f>
        <v>0</v>
      </c>
      <c r="AC119" s="29">
        <f>IF(B119="","",IF(COUNTIF('Idea Bank'!$B$5:$B$304,B119)&gt;1,"Duplicate","OK"))</f>
        <v>0</v>
      </c>
      <c r="AD119" s="29">
        <f>IF(B119="","",IF(T119="Used","Done - on the calendar",IF(AND(X119&lt;&gt;"",Y119=""),"Check - content ID not found",IF(AND(AB119&lt;&gt;"",AB119&lt;TODAY()),"Review - idea is going stale",IF(AND(S119&gt;=8,T119&lt;&gt;"Scheduled",X119=""),"Plan - strong idea, not scheduled","OK")))))</f>
        <v>0</v>
      </c>
    </row>
    <row r="120" spans="1:30">
      <c r="A120" s="41">
        <f>IF(B120="","",IdeaPrefix&amp;TEXT(ROW()-4,"000"))</f>
        <v>0</v>
      </c>
      <c r="Y120" s="17">
        <f>IF(X120="","",IFERROR(INDEX('Content Calendar'!$H$5:$H$604,MATCH(X120,'Content Calendar'!$A$5:$A$604,0)),"Not found"))</f>
        <v>0</v>
      </c>
      <c r="Z120" s="16">
        <f>IF(X120="","",IFERROR(INDEX('Content Calendar'!$B$5:$B$604,MATCH(X120,'Content Calendar'!$A$5:$A$604,0)),"Not found"))</f>
        <v>0</v>
      </c>
      <c r="AA120" s="23">
        <f>IF(U120="","",TODAY()-U120)</f>
        <v>0</v>
      </c>
      <c r="AB120" s="16">
        <f>IF(B120="","",IF(T120="Used","",IF(V120="",U120,V120)+IdeaReviewDays))</f>
        <v>0</v>
      </c>
      <c r="AC120" s="29">
        <f>IF(B120="","",IF(COUNTIF('Idea Bank'!$B$5:$B$304,B120)&gt;1,"Duplicate","OK"))</f>
        <v>0</v>
      </c>
      <c r="AD120" s="29">
        <f>IF(B120="","",IF(T120="Used","Done - on the calendar",IF(AND(X120&lt;&gt;"",Y120=""),"Check - content ID not found",IF(AND(AB120&lt;&gt;"",AB120&lt;TODAY()),"Review - idea is going stale",IF(AND(S120&gt;=8,T120&lt;&gt;"Scheduled",X120=""),"Plan - strong idea, not scheduled","OK")))))</f>
        <v>0</v>
      </c>
    </row>
    <row r="121" spans="1:30">
      <c r="A121" s="41">
        <f>IF(B121="","",IdeaPrefix&amp;TEXT(ROW()-4,"000"))</f>
        <v>0</v>
      </c>
      <c r="Y121" s="17">
        <f>IF(X121="","",IFERROR(INDEX('Content Calendar'!$H$5:$H$604,MATCH(X121,'Content Calendar'!$A$5:$A$604,0)),"Not found"))</f>
        <v>0</v>
      </c>
      <c r="Z121" s="16">
        <f>IF(X121="","",IFERROR(INDEX('Content Calendar'!$B$5:$B$604,MATCH(X121,'Content Calendar'!$A$5:$A$604,0)),"Not found"))</f>
        <v>0</v>
      </c>
      <c r="AA121" s="23">
        <f>IF(U121="","",TODAY()-U121)</f>
        <v>0</v>
      </c>
      <c r="AB121" s="16">
        <f>IF(B121="","",IF(T121="Used","",IF(V121="",U121,V121)+IdeaReviewDays))</f>
        <v>0</v>
      </c>
      <c r="AC121" s="29">
        <f>IF(B121="","",IF(COUNTIF('Idea Bank'!$B$5:$B$304,B121)&gt;1,"Duplicate","OK"))</f>
        <v>0</v>
      </c>
      <c r="AD121" s="29">
        <f>IF(B121="","",IF(T121="Used","Done - on the calendar",IF(AND(X121&lt;&gt;"",Y121=""),"Check - content ID not found",IF(AND(AB121&lt;&gt;"",AB121&lt;TODAY()),"Review - idea is going stale",IF(AND(S121&gt;=8,T121&lt;&gt;"Scheduled",X121=""),"Plan - strong idea, not scheduled","OK")))))</f>
        <v>0</v>
      </c>
    </row>
    <row r="122" spans="1:30">
      <c r="A122" s="41">
        <f>IF(B122="","",IdeaPrefix&amp;TEXT(ROW()-4,"000"))</f>
        <v>0</v>
      </c>
      <c r="Y122" s="17">
        <f>IF(X122="","",IFERROR(INDEX('Content Calendar'!$H$5:$H$604,MATCH(X122,'Content Calendar'!$A$5:$A$604,0)),"Not found"))</f>
        <v>0</v>
      </c>
      <c r="Z122" s="16">
        <f>IF(X122="","",IFERROR(INDEX('Content Calendar'!$B$5:$B$604,MATCH(X122,'Content Calendar'!$A$5:$A$604,0)),"Not found"))</f>
        <v>0</v>
      </c>
      <c r="AA122" s="23">
        <f>IF(U122="","",TODAY()-U122)</f>
        <v>0</v>
      </c>
      <c r="AB122" s="16">
        <f>IF(B122="","",IF(T122="Used","",IF(V122="",U122,V122)+IdeaReviewDays))</f>
        <v>0</v>
      </c>
      <c r="AC122" s="29">
        <f>IF(B122="","",IF(COUNTIF('Idea Bank'!$B$5:$B$304,B122)&gt;1,"Duplicate","OK"))</f>
        <v>0</v>
      </c>
      <c r="AD122" s="29">
        <f>IF(B122="","",IF(T122="Used","Done - on the calendar",IF(AND(X122&lt;&gt;"",Y122=""),"Check - content ID not found",IF(AND(AB122&lt;&gt;"",AB122&lt;TODAY()),"Review - idea is going stale",IF(AND(S122&gt;=8,T122&lt;&gt;"Scheduled",X122=""),"Plan - strong idea, not scheduled","OK")))))</f>
        <v>0</v>
      </c>
    </row>
    <row r="123" spans="1:30">
      <c r="A123" s="41">
        <f>IF(B123="","",IdeaPrefix&amp;TEXT(ROW()-4,"000"))</f>
        <v>0</v>
      </c>
      <c r="Y123" s="17">
        <f>IF(X123="","",IFERROR(INDEX('Content Calendar'!$H$5:$H$604,MATCH(X123,'Content Calendar'!$A$5:$A$604,0)),"Not found"))</f>
        <v>0</v>
      </c>
      <c r="Z123" s="16">
        <f>IF(X123="","",IFERROR(INDEX('Content Calendar'!$B$5:$B$604,MATCH(X123,'Content Calendar'!$A$5:$A$604,0)),"Not found"))</f>
        <v>0</v>
      </c>
      <c r="AA123" s="23">
        <f>IF(U123="","",TODAY()-U123)</f>
        <v>0</v>
      </c>
      <c r="AB123" s="16">
        <f>IF(B123="","",IF(T123="Used","",IF(V123="",U123,V123)+IdeaReviewDays))</f>
        <v>0</v>
      </c>
      <c r="AC123" s="29">
        <f>IF(B123="","",IF(COUNTIF('Idea Bank'!$B$5:$B$304,B123)&gt;1,"Duplicate","OK"))</f>
        <v>0</v>
      </c>
      <c r="AD123" s="29">
        <f>IF(B123="","",IF(T123="Used","Done - on the calendar",IF(AND(X123&lt;&gt;"",Y123=""),"Check - content ID not found",IF(AND(AB123&lt;&gt;"",AB123&lt;TODAY()),"Review - idea is going stale",IF(AND(S123&gt;=8,T123&lt;&gt;"Scheduled",X123=""),"Plan - strong idea, not scheduled","OK")))))</f>
        <v>0</v>
      </c>
    </row>
    <row r="124" spans="1:30">
      <c r="A124" s="41">
        <f>IF(B124="","",IdeaPrefix&amp;TEXT(ROW()-4,"000"))</f>
        <v>0</v>
      </c>
      <c r="Y124" s="17">
        <f>IF(X124="","",IFERROR(INDEX('Content Calendar'!$H$5:$H$604,MATCH(X124,'Content Calendar'!$A$5:$A$604,0)),"Not found"))</f>
        <v>0</v>
      </c>
      <c r="Z124" s="16">
        <f>IF(X124="","",IFERROR(INDEX('Content Calendar'!$B$5:$B$604,MATCH(X124,'Content Calendar'!$A$5:$A$604,0)),"Not found"))</f>
        <v>0</v>
      </c>
      <c r="AA124" s="23">
        <f>IF(U124="","",TODAY()-U124)</f>
        <v>0</v>
      </c>
      <c r="AB124" s="16">
        <f>IF(B124="","",IF(T124="Used","",IF(V124="",U124,V124)+IdeaReviewDays))</f>
        <v>0</v>
      </c>
      <c r="AC124" s="29">
        <f>IF(B124="","",IF(COUNTIF('Idea Bank'!$B$5:$B$304,B124)&gt;1,"Duplicate","OK"))</f>
        <v>0</v>
      </c>
      <c r="AD124" s="29">
        <f>IF(B124="","",IF(T124="Used","Done - on the calendar",IF(AND(X124&lt;&gt;"",Y124=""),"Check - content ID not found",IF(AND(AB124&lt;&gt;"",AB124&lt;TODAY()),"Review - idea is going stale",IF(AND(S124&gt;=8,T124&lt;&gt;"Scheduled",X124=""),"Plan - strong idea, not scheduled","OK")))))</f>
        <v>0</v>
      </c>
    </row>
    <row r="125" spans="1:30">
      <c r="A125" s="41">
        <f>IF(B125="","",IdeaPrefix&amp;TEXT(ROW()-4,"000"))</f>
        <v>0</v>
      </c>
      <c r="Y125" s="17">
        <f>IF(X125="","",IFERROR(INDEX('Content Calendar'!$H$5:$H$604,MATCH(X125,'Content Calendar'!$A$5:$A$604,0)),"Not found"))</f>
        <v>0</v>
      </c>
      <c r="Z125" s="16">
        <f>IF(X125="","",IFERROR(INDEX('Content Calendar'!$B$5:$B$604,MATCH(X125,'Content Calendar'!$A$5:$A$604,0)),"Not found"))</f>
        <v>0</v>
      </c>
      <c r="AA125" s="23">
        <f>IF(U125="","",TODAY()-U125)</f>
        <v>0</v>
      </c>
      <c r="AB125" s="16">
        <f>IF(B125="","",IF(T125="Used","",IF(V125="",U125,V125)+IdeaReviewDays))</f>
        <v>0</v>
      </c>
      <c r="AC125" s="29">
        <f>IF(B125="","",IF(COUNTIF('Idea Bank'!$B$5:$B$304,B125)&gt;1,"Duplicate","OK"))</f>
        <v>0</v>
      </c>
      <c r="AD125" s="29">
        <f>IF(B125="","",IF(T125="Used","Done - on the calendar",IF(AND(X125&lt;&gt;"",Y125=""),"Check - content ID not found",IF(AND(AB125&lt;&gt;"",AB125&lt;TODAY()),"Review - idea is going stale",IF(AND(S125&gt;=8,T125&lt;&gt;"Scheduled",X125=""),"Plan - strong idea, not scheduled","OK")))))</f>
        <v>0</v>
      </c>
    </row>
    <row r="126" spans="1:30">
      <c r="A126" s="41">
        <f>IF(B126="","",IdeaPrefix&amp;TEXT(ROW()-4,"000"))</f>
        <v>0</v>
      </c>
      <c r="Y126" s="17">
        <f>IF(X126="","",IFERROR(INDEX('Content Calendar'!$H$5:$H$604,MATCH(X126,'Content Calendar'!$A$5:$A$604,0)),"Not found"))</f>
        <v>0</v>
      </c>
      <c r="Z126" s="16">
        <f>IF(X126="","",IFERROR(INDEX('Content Calendar'!$B$5:$B$604,MATCH(X126,'Content Calendar'!$A$5:$A$604,0)),"Not found"))</f>
        <v>0</v>
      </c>
      <c r="AA126" s="23">
        <f>IF(U126="","",TODAY()-U126)</f>
        <v>0</v>
      </c>
      <c r="AB126" s="16">
        <f>IF(B126="","",IF(T126="Used","",IF(V126="",U126,V126)+IdeaReviewDays))</f>
        <v>0</v>
      </c>
      <c r="AC126" s="29">
        <f>IF(B126="","",IF(COUNTIF('Idea Bank'!$B$5:$B$304,B126)&gt;1,"Duplicate","OK"))</f>
        <v>0</v>
      </c>
      <c r="AD126" s="29">
        <f>IF(B126="","",IF(T126="Used","Done - on the calendar",IF(AND(X126&lt;&gt;"",Y126=""),"Check - content ID not found",IF(AND(AB126&lt;&gt;"",AB126&lt;TODAY()),"Review - idea is going stale",IF(AND(S126&gt;=8,T126&lt;&gt;"Scheduled",X126=""),"Plan - strong idea, not scheduled","OK")))))</f>
        <v>0</v>
      </c>
    </row>
    <row r="127" spans="1:30">
      <c r="A127" s="41">
        <f>IF(B127="","",IdeaPrefix&amp;TEXT(ROW()-4,"000"))</f>
        <v>0</v>
      </c>
      <c r="Y127" s="17">
        <f>IF(X127="","",IFERROR(INDEX('Content Calendar'!$H$5:$H$604,MATCH(X127,'Content Calendar'!$A$5:$A$604,0)),"Not found"))</f>
        <v>0</v>
      </c>
      <c r="Z127" s="16">
        <f>IF(X127="","",IFERROR(INDEX('Content Calendar'!$B$5:$B$604,MATCH(X127,'Content Calendar'!$A$5:$A$604,0)),"Not found"))</f>
        <v>0</v>
      </c>
      <c r="AA127" s="23">
        <f>IF(U127="","",TODAY()-U127)</f>
        <v>0</v>
      </c>
      <c r="AB127" s="16">
        <f>IF(B127="","",IF(T127="Used","",IF(V127="",U127,V127)+IdeaReviewDays))</f>
        <v>0</v>
      </c>
      <c r="AC127" s="29">
        <f>IF(B127="","",IF(COUNTIF('Idea Bank'!$B$5:$B$304,B127)&gt;1,"Duplicate","OK"))</f>
        <v>0</v>
      </c>
      <c r="AD127" s="29">
        <f>IF(B127="","",IF(T127="Used","Done - on the calendar",IF(AND(X127&lt;&gt;"",Y127=""),"Check - content ID not found",IF(AND(AB127&lt;&gt;"",AB127&lt;TODAY()),"Review - idea is going stale",IF(AND(S127&gt;=8,T127&lt;&gt;"Scheduled",X127=""),"Plan - strong idea, not scheduled","OK")))))</f>
        <v>0</v>
      </c>
    </row>
    <row r="128" spans="1:30">
      <c r="A128" s="41">
        <f>IF(B128="","",IdeaPrefix&amp;TEXT(ROW()-4,"000"))</f>
        <v>0</v>
      </c>
      <c r="Y128" s="17">
        <f>IF(X128="","",IFERROR(INDEX('Content Calendar'!$H$5:$H$604,MATCH(X128,'Content Calendar'!$A$5:$A$604,0)),"Not found"))</f>
        <v>0</v>
      </c>
      <c r="Z128" s="16">
        <f>IF(X128="","",IFERROR(INDEX('Content Calendar'!$B$5:$B$604,MATCH(X128,'Content Calendar'!$A$5:$A$604,0)),"Not found"))</f>
        <v>0</v>
      </c>
      <c r="AA128" s="23">
        <f>IF(U128="","",TODAY()-U128)</f>
        <v>0</v>
      </c>
      <c r="AB128" s="16">
        <f>IF(B128="","",IF(T128="Used","",IF(V128="",U128,V128)+IdeaReviewDays))</f>
        <v>0</v>
      </c>
      <c r="AC128" s="29">
        <f>IF(B128="","",IF(COUNTIF('Idea Bank'!$B$5:$B$304,B128)&gt;1,"Duplicate","OK"))</f>
        <v>0</v>
      </c>
      <c r="AD128" s="29">
        <f>IF(B128="","",IF(T128="Used","Done - on the calendar",IF(AND(X128&lt;&gt;"",Y128=""),"Check - content ID not found",IF(AND(AB128&lt;&gt;"",AB128&lt;TODAY()),"Review - idea is going stale",IF(AND(S128&gt;=8,T128&lt;&gt;"Scheduled",X128=""),"Plan - strong idea, not scheduled","OK")))))</f>
        <v>0</v>
      </c>
    </row>
    <row r="129" spans="1:30">
      <c r="A129" s="41">
        <f>IF(B129="","",IdeaPrefix&amp;TEXT(ROW()-4,"000"))</f>
        <v>0</v>
      </c>
      <c r="Y129" s="17">
        <f>IF(X129="","",IFERROR(INDEX('Content Calendar'!$H$5:$H$604,MATCH(X129,'Content Calendar'!$A$5:$A$604,0)),"Not found"))</f>
        <v>0</v>
      </c>
      <c r="Z129" s="16">
        <f>IF(X129="","",IFERROR(INDEX('Content Calendar'!$B$5:$B$604,MATCH(X129,'Content Calendar'!$A$5:$A$604,0)),"Not found"))</f>
        <v>0</v>
      </c>
      <c r="AA129" s="23">
        <f>IF(U129="","",TODAY()-U129)</f>
        <v>0</v>
      </c>
      <c r="AB129" s="16">
        <f>IF(B129="","",IF(T129="Used","",IF(V129="",U129,V129)+IdeaReviewDays))</f>
        <v>0</v>
      </c>
      <c r="AC129" s="29">
        <f>IF(B129="","",IF(COUNTIF('Idea Bank'!$B$5:$B$304,B129)&gt;1,"Duplicate","OK"))</f>
        <v>0</v>
      </c>
      <c r="AD129" s="29">
        <f>IF(B129="","",IF(T129="Used","Done - on the calendar",IF(AND(X129&lt;&gt;"",Y129=""),"Check - content ID not found",IF(AND(AB129&lt;&gt;"",AB129&lt;TODAY()),"Review - idea is going stale",IF(AND(S129&gt;=8,T129&lt;&gt;"Scheduled",X129=""),"Plan - strong idea, not scheduled","OK")))))</f>
        <v>0</v>
      </c>
    </row>
    <row r="130" spans="1:30">
      <c r="A130" s="41">
        <f>IF(B130="","",IdeaPrefix&amp;TEXT(ROW()-4,"000"))</f>
        <v>0</v>
      </c>
      <c r="Y130" s="17">
        <f>IF(X130="","",IFERROR(INDEX('Content Calendar'!$H$5:$H$604,MATCH(X130,'Content Calendar'!$A$5:$A$604,0)),"Not found"))</f>
        <v>0</v>
      </c>
      <c r="Z130" s="16">
        <f>IF(X130="","",IFERROR(INDEX('Content Calendar'!$B$5:$B$604,MATCH(X130,'Content Calendar'!$A$5:$A$604,0)),"Not found"))</f>
        <v>0</v>
      </c>
      <c r="AA130" s="23">
        <f>IF(U130="","",TODAY()-U130)</f>
        <v>0</v>
      </c>
      <c r="AB130" s="16">
        <f>IF(B130="","",IF(T130="Used","",IF(V130="",U130,V130)+IdeaReviewDays))</f>
        <v>0</v>
      </c>
      <c r="AC130" s="29">
        <f>IF(B130="","",IF(COUNTIF('Idea Bank'!$B$5:$B$304,B130)&gt;1,"Duplicate","OK"))</f>
        <v>0</v>
      </c>
      <c r="AD130" s="29">
        <f>IF(B130="","",IF(T130="Used","Done - on the calendar",IF(AND(X130&lt;&gt;"",Y130=""),"Check - content ID not found",IF(AND(AB130&lt;&gt;"",AB130&lt;TODAY()),"Review - idea is going stale",IF(AND(S130&gt;=8,T130&lt;&gt;"Scheduled",X130=""),"Plan - strong idea, not scheduled","OK")))))</f>
        <v>0</v>
      </c>
    </row>
    <row r="131" spans="1:30">
      <c r="A131" s="41">
        <f>IF(B131="","",IdeaPrefix&amp;TEXT(ROW()-4,"000"))</f>
        <v>0</v>
      </c>
      <c r="Y131" s="17">
        <f>IF(X131="","",IFERROR(INDEX('Content Calendar'!$H$5:$H$604,MATCH(X131,'Content Calendar'!$A$5:$A$604,0)),"Not found"))</f>
        <v>0</v>
      </c>
      <c r="Z131" s="16">
        <f>IF(X131="","",IFERROR(INDEX('Content Calendar'!$B$5:$B$604,MATCH(X131,'Content Calendar'!$A$5:$A$604,0)),"Not found"))</f>
        <v>0</v>
      </c>
      <c r="AA131" s="23">
        <f>IF(U131="","",TODAY()-U131)</f>
        <v>0</v>
      </c>
      <c r="AB131" s="16">
        <f>IF(B131="","",IF(T131="Used","",IF(V131="",U131,V131)+IdeaReviewDays))</f>
        <v>0</v>
      </c>
      <c r="AC131" s="29">
        <f>IF(B131="","",IF(COUNTIF('Idea Bank'!$B$5:$B$304,B131)&gt;1,"Duplicate","OK"))</f>
        <v>0</v>
      </c>
      <c r="AD131" s="29">
        <f>IF(B131="","",IF(T131="Used","Done - on the calendar",IF(AND(X131&lt;&gt;"",Y131=""),"Check - content ID not found",IF(AND(AB131&lt;&gt;"",AB131&lt;TODAY()),"Review - idea is going stale",IF(AND(S131&gt;=8,T131&lt;&gt;"Scheduled",X131=""),"Plan - strong idea, not scheduled","OK")))))</f>
        <v>0</v>
      </c>
    </row>
    <row r="132" spans="1:30">
      <c r="A132" s="41">
        <f>IF(B132="","",IdeaPrefix&amp;TEXT(ROW()-4,"000"))</f>
        <v>0</v>
      </c>
      <c r="Y132" s="17">
        <f>IF(X132="","",IFERROR(INDEX('Content Calendar'!$H$5:$H$604,MATCH(X132,'Content Calendar'!$A$5:$A$604,0)),"Not found"))</f>
        <v>0</v>
      </c>
      <c r="Z132" s="16">
        <f>IF(X132="","",IFERROR(INDEX('Content Calendar'!$B$5:$B$604,MATCH(X132,'Content Calendar'!$A$5:$A$604,0)),"Not found"))</f>
        <v>0</v>
      </c>
      <c r="AA132" s="23">
        <f>IF(U132="","",TODAY()-U132)</f>
        <v>0</v>
      </c>
      <c r="AB132" s="16">
        <f>IF(B132="","",IF(T132="Used","",IF(V132="",U132,V132)+IdeaReviewDays))</f>
        <v>0</v>
      </c>
      <c r="AC132" s="29">
        <f>IF(B132="","",IF(COUNTIF('Idea Bank'!$B$5:$B$304,B132)&gt;1,"Duplicate","OK"))</f>
        <v>0</v>
      </c>
      <c r="AD132" s="29">
        <f>IF(B132="","",IF(T132="Used","Done - on the calendar",IF(AND(X132&lt;&gt;"",Y132=""),"Check - content ID not found",IF(AND(AB132&lt;&gt;"",AB132&lt;TODAY()),"Review - idea is going stale",IF(AND(S132&gt;=8,T132&lt;&gt;"Scheduled",X132=""),"Plan - strong idea, not scheduled","OK")))))</f>
        <v>0</v>
      </c>
    </row>
    <row r="133" spans="1:30">
      <c r="A133" s="41">
        <f>IF(B133="","",IdeaPrefix&amp;TEXT(ROW()-4,"000"))</f>
        <v>0</v>
      </c>
      <c r="Y133" s="17">
        <f>IF(X133="","",IFERROR(INDEX('Content Calendar'!$H$5:$H$604,MATCH(X133,'Content Calendar'!$A$5:$A$604,0)),"Not found"))</f>
        <v>0</v>
      </c>
      <c r="Z133" s="16">
        <f>IF(X133="","",IFERROR(INDEX('Content Calendar'!$B$5:$B$604,MATCH(X133,'Content Calendar'!$A$5:$A$604,0)),"Not found"))</f>
        <v>0</v>
      </c>
      <c r="AA133" s="23">
        <f>IF(U133="","",TODAY()-U133)</f>
        <v>0</v>
      </c>
      <c r="AB133" s="16">
        <f>IF(B133="","",IF(T133="Used","",IF(V133="",U133,V133)+IdeaReviewDays))</f>
        <v>0</v>
      </c>
      <c r="AC133" s="29">
        <f>IF(B133="","",IF(COUNTIF('Idea Bank'!$B$5:$B$304,B133)&gt;1,"Duplicate","OK"))</f>
        <v>0</v>
      </c>
      <c r="AD133" s="29">
        <f>IF(B133="","",IF(T133="Used","Done - on the calendar",IF(AND(X133&lt;&gt;"",Y133=""),"Check - content ID not found",IF(AND(AB133&lt;&gt;"",AB133&lt;TODAY()),"Review - idea is going stale",IF(AND(S133&gt;=8,T133&lt;&gt;"Scheduled",X133=""),"Plan - strong idea, not scheduled","OK")))))</f>
        <v>0</v>
      </c>
    </row>
    <row r="134" spans="1:30">
      <c r="A134" s="41">
        <f>IF(B134="","",IdeaPrefix&amp;TEXT(ROW()-4,"000"))</f>
        <v>0</v>
      </c>
      <c r="Y134" s="17">
        <f>IF(X134="","",IFERROR(INDEX('Content Calendar'!$H$5:$H$604,MATCH(X134,'Content Calendar'!$A$5:$A$604,0)),"Not found"))</f>
        <v>0</v>
      </c>
      <c r="Z134" s="16">
        <f>IF(X134="","",IFERROR(INDEX('Content Calendar'!$B$5:$B$604,MATCH(X134,'Content Calendar'!$A$5:$A$604,0)),"Not found"))</f>
        <v>0</v>
      </c>
      <c r="AA134" s="23">
        <f>IF(U134="","",TODAY()-U134)</f>
        <v>0</v>
      </c>
      <c r="AB134" s="16">
        <f>IF(B134="","",IF(T134="Used","",IF(V134="",U134,V134)+IdeaReviewDays))</f>
        <v>0</v>
      </c>
      <c r="AC134" s="29">
        <f>IF(B134="","",IF(COUNTIF('Idea Bank'!$B$5:$B$304,B134)&gt;1,"Duplicate","OK"))</f>
        <v>0</v>
      </c>
      <c r="AD134" s="29">
        <f>IF(B134="","",IF(T134="Used","Done - on the calendar",IF(AND(X134&lt;&gt;"",Y134=""),"Check - content ID not found",IF(AND(AB134&lt;&gt;"",AB134&lt;TODAY()),"Review - idea is going stale",IF(AND(S134&gt;=8,T134&lt;&gt;"Scheduled",X134=""),"Plan - strong idea, not scheduled","OK")))))</f>
        <v>0</v>
      </c>
    </row>
    <row r="135" spans="1:30">
      <c r="A135" s="41">
        <f>IF(B135="","",IdeaPrefix&amp;TEXT(ROW()-4,"000"))</f>
        <v>0</v>
      </c>
      <c r="Y135" s="17">
        <f>IF(X135="","",IFERROR(INDEX('Content Calendar'!$H$5:$H$604,MATCH(X135,'Content Calendar'!$A$5:$A$604,0)),"Not found"))</f>
        <v>0</v>
      </c>
      <c r="Z135" s="16">
        <f>IF(X135="","",IFERROR(INDEX('Content Calendar'!$B$5:$B$604,MATCH(X135,'Content Calendar'!$A$5:$A$604,0)),"Not found"))</f>
        <v>0</v>
      </c>
      <c r="AA135" s="23">
        <f>IF(U135="","",TODAY()-U135)</f>
        <v>0</v>
      </c>
      <c r="AB135" s="16">
        <f>IF(B135="","",IF(T135="Used","",IF(V135="",U135,V135)+IdeaReviewDays))</f>
        <v>0</v>
      </c>
      <c r="AC135" s="29">
        <f>IF(B135="","",IF(COUNTIF('Idea Bank'!$B$5:$B$304,B135)&gt;1,"Duplicate","OK"))</f>
        <v>0</v>
      </c>
      <c r="AD135" s="29">
        <f>IF(B135="","",IF(T135="Used","Done - on the calendar",IF(AND(X135&lt;&gt;"",Y135=""),"Check - content ID not found",IF(AND(AB135&lt;&gt;"",AB135&lt;TODAY()),"Review - idea is going stale",IF(AND(S135&gt;=8,T135&lt;&gt;"Scheduled",X135=""),"Plan - strong idea, not scheduled","OK")))))</f>
        <v>0</v>
      </c>
    </row>
    <row r="136" spans="1:30">
      <c r="A136" s="41">
        <f>IF(B136="","",IdeaPrefix&amp;TEXT(ROW()-4,"000"))</f>
        <v>0</v>
      </c>
      <c r="Y136" s="17">
        <f>IF(X136="","",IFERROR(INDEX('Content Calendar'!$H$5:$H$604,MATCH(X136,'Content Calendar'!$A$5:$A$604,0)),"Not found"))</f>
        <v>0</v>
      </c>
      <c r="Z136" s="16">
        <f>IF(X136="","",IFERROR(INDEX('Content Calendar'!$B$5:$B$604,MATCH(X136,'Content Calendar'!$A$5:$A$604,0)),"Not found"))</f>
        <v>0</v>
      </c>
      <c r="AA136" s="23">
        <f>IF(U136="","",TODAY()-U136)</f>
        <v>0</v>
      </c>
      <c r="AB136" s="16">
        <f>IF(B136="","",IF(T136="Used","",IF(V136="",U136,V136)+IdeaReviewDays))</f>
        <v>0</v>
      </c>
      <c r="AC136" s="29">
        <f>IF(B136="","",IF(COUNTIF('Idea Bank'!$B$5:$B$304,B136)&gt;1,"Duplicate","OK"))</f>
        <v>0</v>
      </c>
      <c r="AD136" s="29">
        <f>IF(B136="","",IF(T136="Used","Done - on the calendar",IF(AND(X136&lt;&gt;"",Y136=""),"Check - content ID not found",IF(AND(AB136&lt;&gt;"",AB136&lt;TODAY()),"Review - idea is going stale",IF(AND(S136&gt;=8,T136&lt;&gt;"Scheduled",X136=""),"Plan - strong idea, not scheduled","OK")))))</f>
        <v>0</v>
      </c>
    </row>
    <row r="137" spans="1:30">
      <c r="A137" s="41">
        <f>IF(B137="","",IdeaPrefix&amp;TEXT(ROW()-4,"000"))</f>
        <v>0</v>
      </c>
      <c r="Y137" s="17">
        <f>IF(X137="","",IFERROR(INDEX('Content Calendar'!$H$5:$H$604,MATCH(X137,'Content Calendar'!$A$5:$A$604,0)),"Not found"))</f>
        <v>0</v>
      </c>
      <c r="Z137" s="16">
        <f>IF(X137="","",IFERROR(INDEX('Content Calendar'!$B$5:$B$604,MATCH(X137,'Content Calendar'!$A$5:$A$604,0)),"Not found"))</f>
        <v>0</v>
      </c>
      <c r="AA137" s="23">
        <f>IF(U137="","",TODAY()-U137)</f>
        <v>0</v>
      </c>
      <c r="AB137" s="16">
        <f>IF(B137="","",IF(T137="Used","",IF(V137="",U137,V137)+IdeaReviewDays))</f>
        <v>0</v>
      </c>
      <c r="AC137" s="29">
        <f>IF(B137="","",IF(COUNTIF('Idea Bank'!$B$5:$B$304,B137)&gt;1,"Duplicate","OK"))</f>
        <v>0</v>
      </c>
      <c r="AD137" s="29">
        <f>IF(B137="","",IF(T137="Used","Done - on the calendar",IF(AND(X137&lt;&gt;"",Y137=""),"Check - content ID not found",IF(AND(AB137&lt;&gt;"",AB137&lt;TODAY()),"Review - idea is going stale",IF(AND(S137&gt;=8,T137&lt;&gt;"Scheduled",X137=""),"Plan - strong idea, not scheduled","OK")))))</f>
        <v>0</v>
      </c>
    </row>
    <row r="138" spans="1:30">
      <c r="A138" s="41">
        <f>IF(B138="","",IdeaPrefix&amp;TEXT(ROW()-4,"000"))</f>
        <v>0</v>
      </c>
      <c r="Y138" s="17">
        <f>IF(X138="","",IFERROR(INDEX('Content Calendar'!$H$5:$H$604,MATCH(X138,'Content Calendar'!$A$5:$A$604,0)),"Not found"))</f>
        <v>0</v>
      </c>
      <c r="Z138" s="16">
        <f>IF(X138="","",IFERROR(INDEX('Content Calendar'!$B$5:$B$604,MATCH(X138,'Content Calendar'!$A$5:$A$604,0)),"Not found"))</f>
        <v>0</v>
      </c>
      <c r="AA138" s="23">
        <f>IF(U138="","",TODAY()-U138)</f>
        <v>0</v>
      </c>
      <c r="AB138" s="16">
        <f>IF(B138="","",IF(T138="Used","",IF(V138="",U138,V138)+IdeaReviewDays))</f>
        <v>0</v>
      </c>
      <c r="AC138" s="29">
        <f>IF(B138="","",IF(COUNTIF('Idea Bank'!$B$5:$B$304,B138)&gt;1,"Duplicate","OK"))</f>
        <v>0</v>
      </c>
      <c r="AD138" s="29">
        <f>IF(B138="","",IF(T138="Used","Done - on the calendar",IF(AND(X138&lt;&gt;"",Y138=""),"Check - content ID not found",IF(AND(AB138&lt;&gt;"",AB138&lt;TODAY()),"Review - idea is going stale",IF(AND(S138&gt;=8,T138&lt;&gt;"Scheduled",X138=""),"Plan - strong idea, not scheduled","OK")))))</f>
        <v>0</v>
      </c>
    </row>
    <row r="139" spans="1:30">
      <c r="A139" s="41">
        <f>IF(B139="","",IdeaPrefix&amp;TEXT(ROW()-4,"000"))</f>
        <v>0</v>
      </c>
      <c r="Y139" s="17">
        <f>IF(X139="","",IFERROR(INDEX('Content Calendar'!$H$5:$H$604,MATCH(X139,'Content Calendar'!$A$5:$A$604,0)),"Not found"))</f>
        <v>0</v>
      </c>
      <c r="Z139" s="16">
        <f>IF(X139="","",IFERROR(INDEX('Content Calendar'!$B$5:$B$604,MATCH(X139,'Content Calendar'!$A$5:$A$604,0)),"Not found"))</f>
        <v>0</v>
      </c>
      <c r="AA139" s="23">
        <f>IF(U139="","",TODAY()-U139)</f>
        <v>0</v>
      </c>
      <c r="AB139" s="16">
        <f>IF(B139="","",IF(T139="Used","",IF(V139="",U139,V139)+IdeaReviewDays))</f>
        <v>0</v>
      </c>
      <c r="AC139" s="29">
        <f>IF(B139="","",IF(COUNTIF('Idea Bank'!$B$5:$B$304,B139)&gt;1,"Duplicate","OK"))</f>
        <v>0</v>
      </c>
      <c r="AD139" s="29">
        <f>IF(B139="","",IF(T139="Used","Done - on the calendar",IF(AND(X139&lt;&gt;"",Y139=""),"Check - content ID not found",IF(AND(AB139&lt;&gt;"",AB139&lt;TODAY()),"Review - idea is going stale",IF(AND(S139&gt;=8,T139&lt;&gt;"Scheduled",X139=""),"Plan - strong idea, not scheduled","OK")))))</f>
        <v>0</v>
      </c>
    </row>
    <row r="140" spans="1:30">
      <c r="A140" s="41">
        <f>IF(B140="","",IdeaPrefix&amp;TEXT(ROW()-4,"000"))</f>
        <v>0</v>
      </c>
      <c r="Y140" s="17">
        <f>IF(X140="","",IFERROR(INDEX('Content Calendar'!$H$5:$H$604,MATCH(X140,'Content Calendar'!$A$5:$A$604,0)),"Not found"))</f>
        <v>0</v>
      </c>
      <c r="Z140" s="16">
        <f>IF(X140="","",IFERROR(INDEX('Content Calendar'!$B$5:$B$604,MATCH(X140,'Content Calendar'!$A$5:$A$604,0)),"Not found"))</f>
        <v>0</v>
      </c>
      <c r="AA140" s="23">
        <f>IF(U140="","",TODAY()-U140)</f>
        <v>0</v>
      </c>
      <c r="AB140" s="16">
        <f>IF(B140="","",IF(T140="Used","",IF(V140="",U140,V140)+IdeaReviewDays))</f>
        <v>0</v>
      </c>
      <c r="AC140" s="29">
        <f>IF(B140="","",IF(COUNTIF('Idea Bank'!$B$5:$B$304,B140)&gt;1,"Duplicate","OK"))</f>
        <v>0</v>
      </c>
      <c r="AD140" s="29">
        <f>IF(B140="","",IF(T140="Used","Done - on the calendar",IF(AND(X140&lt;&gt;"",Y140=""),"Check - content ID not found",IF(AND(AB140&lt;&gt;"",AB140&lt;TODAY()),"Review - idea is going stale",IF(AND(S140&gt;=8,T140&lt;&gt;"Scheduled",X140=""),"Plan - strong idea, not scheduled","OK")))))</f>
        <v>0</v>
      </c>
    </row>
    <row r="141" spans="1:30">
      <c r="A141" s="41">
        <f>IF(B141="","",IdeaPrefix&amp;TEXT(ROW()-4,"000"))</f>
        <v>0</v>
      </c>
      <c r="Y141" s="17">
        <f>IF(X141="","",IFERROR(INDEX('Content Calendar'!$H$5:$H$604,MATCH(X141,'Content Calendar'!$A$5:$A$604,0)),"Not found"))</f>
        <v>0</v>
      </c>
      <c r="Z141" s="16">
        <f>IF(X141="","",IFERROR(INDEX('Content Calendar'!$B$5:$B$604,MATCH(X141,'Content Calendar'!$A$5:$A$604,0)),"Not found"))</f>
        <v>0</v>
      </c>
      <c r="AA141" s="23">
        <f>IF(U141="","",TODAY()-U141)</f>
        <v>0</v>
      </c>
      <c r="AB141" s="16">
        <f>IF(B141="","",IF(T141="Used","",IF(V141="",U141,V141)+IdeaReviewDays))</f>
        <v>0</v>
      </c>
      <c r="AC141" s="29">
        <f>IF(B141="","",IF(COUNTIF('Idea Bank'!$B$5:$B$304,B141)&gt;1,"Duplicate","OK"))</f>
        <v>0</v>
      </c>
      <c r="AD141" s="29">
        <f>IF(B141="","",IF(T141="Used","Done - on the calendar",IF(AND(X141&lt;&gt;"",Y141=""),"Check - content ID not found",IF(AND(AB141&lt;&gt;"",AB141&lt;TODAY()),"Review - idea is going stale",IF(AND(S141&gt;=8,T141&lt;&gt;"Scheduled",X141=""),"Plan - strong idea, not scheduled","OK")))))</f>
        <v>0</v>
      </c>
    </row>
    <row r="142" spans="1:30">
      <c r="A142" s="41">
        <f>IF(B142="","",IdeaPrefix&amp;TEXT(ROW()-4,"000"))</f>
        <v>0</v>
      </c>
      <c r="Y142" s="17">
        <f>IF(X142="","",IFERROR(INDEX('Content Calendar'!$H$5:$H$604,MATCH(X142,'Content Calendar'!$A$5:$A$604,0)),"Not found"))</f>
        <v>0</v>
      </c>
      <c r="Z142" s="16">
        <f>IF(X142="","",IFERROR(INDEX('Content Calendar'!$B$5:$B$604,MATCH(X142,'Content Calendar'!$A$5:$A$604,0)),"Not found"))</f>
        <v>0</v>
      </c>
      <c r="AA142" s="23">
        <f>IF(U142="","",TODAY()-U142)</f>
        <v>0</v>
      </c>
      <c r="AB142" s="16">
        <f>IF(B142="","",IF(T142="Used","",IF(V142="",U142,V142)+IdeaReviewDays))</f>
        <v>0</v>
      </c>
      <c r="AC142" s="29">
        <f>IF(B142="","",IF(COUNTIF('Idea Bank'!$B$5:$B$304,B142)&gt;1,"Duplicate","OK"))</f>
        <v>0</v>
      </c>
      <c r="AD142" s="29">
        <f>IF(B142="","",IF(T142="Used","Done - on the calendar",IF(AND(X142&lt;&gt;"",Y142=""),"Check - content ID not found",IF(AND(AB142&lt;&gt;"",AB142&lt;TODAY()),"Review - idea is going stale",IF(AND(S142&gt;=8,T142&lt;&gt;"Scheduled",X142=""),"Plan - strong idea, not scheduled","OK")))))</f>
        <v>0</v>
      </c>
    </row>
    <row r="143" spans="1:30">
      <c r="A143" s="41">
        <f>IF(B143="","",IdeaPrefix&amp;TEXT(ROW()-4,"000"))</f>
        <v>0</v>
      </c>
      <c r="Y143" s="17">
        <f>IF(X143="","",IFERROR(INDEX('Content Calendar'!$H$5:$H$604,MATCH(X143,'Content Calendar'!$A$5:$A$604,0)),"Not found"))</f>
        <v>0</v>
      </c>
      <c r="Z143" s="16">
        <f>IF(X143="","",IFERROR(INDEX('Content Calendar'!$B$5:$B$604,MATCH(X143,'Content Calendar'!$A$5:$A$604,0)),"Not found"))</f>
        <v>0</v>
      </c>
      <c r="AA143" s="23">
        <f>IF(U143="","",TODAY()-U143)</f>
        <v>0</v>
      </c>
      <c r="AB143" s="16">
        <f>IF(B143="","",IF(T143="Used","",IF(V143="",U143,V143)+IdeaReviewDays))</f>
        <v>0</v>
      </c>
      <c r="AC143" s="29">
        <f>IF(B143="","",IF(COUNTIF('Idea Bank'!$B$5:$B$304,B143)&gt;1,"Duplicate","OK"))</f>
        <v>0</v>
      </c>
      <c r="AD143" s="29">
        <f>IF(B143="","",IF(T143="Used","Done - on the calendar",IF(AND(X143&lt;&gt;"",Y143=""),"Check - content ID not found",IF(AND(AB143&lt;&gt;"",AB143&lt;TODAY()),"Review - idea is going stale",IF(AND(S143&gt;=8,T143&lt;&gt;"Scheduled",X143=""),"Plan - strong idea, not scheduled","OK")))))</f>
        <v>0</v>
      </c>
    </row>
    <row r="144" spans="1:30">
      <c r="A144" s="41">
        <f>IF(B144="","",IdeaPrefix&amp;TEXT(ROW()-4,"000"))</f>
        <v>0</v>
      </c>
      <c r="Y144" s="17">
        <f>IF(X144="","",IFERROR(INDEX('Content Calendar'!$H$5:$H$604,MATCH(X144,'Content Calendar'!$A$5:$A$604,0)),"Not found"))</f>
        <v>0</v>
      </c>
      <c r="Z144" s="16">
        <f>IF(X144="","",IFERROR(INDEX('Content Calendar'!$B$5:$B$604,MATCH(X144,'Content Calendar'!$A$5:$A$604,0)),"Not found"))</f>
        <v>0</v>
      </c>
      <c r="AA144" s="23">
        <f>IF(U144="","",TODAY()-U144)</f>
        <v>0</v>
      </c>
      <c r="AB144" s="16">
        <f>IF(B144="","",IF(T144="Used","",IF(V144="",U144,V144)+IdeaReviewDays))</f>
        <v>0</v>
      </c>
      <c r="AC144" s="29">
        <f>IF(B144="","",IF(COUNTIF('Idea Bank'!$B$5:$B$304,B144)&gt;1,"Duplicate","OK"))</f>
        <v>0</v>
      </c>
      <c r="AD144" s="29">
        <f>IF(B144="","",IF(T144="Used","Done - on the calendar",IF(AND(X144&lt;&gt;"",Y144=""),"Check - content ID not found",IF(AND(AB144&lt;&gt;"",AB144&lt;TODAY()),"Review - idea is going stale",IF(AND(S144&gt;=8,T144&lt;&gt;"Scheduled",X144=""),"Plan - strong idea, not scheduled","OK")))))</f>
        <v>0</v>
      </c>
    </row>
    <row r="145" spans="1:30">
      <c r="A145" s="41">
        <f>IF(B145="","",IdeaPrefix&amp;TEXT(ROW()-4,"000"))</f>
        <v>0</v>
      </c>
      <c r="Y145" s="17">
        <f>IF(X145="","",IFERROR(INDEX('Content Calendar'!$H$5:$H$604,MATCH(X145,'Content Calendar'!$A$5:$A$604,0)),"Not found"))</f>
        <v>0</v>
      </c>
      <c r="Z145" s="16">
        <f>IF(X145="","",IFERROR(INDEX('Content Calendar'!$B$5:$B$604,MATCH(X145,'Content Calendar'!$A$5:$A$604,0)),"Not found"))</f>
        <v>0</v>
      </c>
      <c r="AA145" s="23">
        <f>IF(U145="","",TODAY()-U145)</f>
        <v>0</v>
      </c>
      <c r="AB145" s="16">
        <f>IF(B145="","",IF(T145="Used","",IF(V145="",U145,V145)+IdeaReviewDays))</f>
        <v>0</v>
      </c>
      <c r="AC145" s="29">
        <f>IF(B145="","",IF(COUNTIF('Idea Bank'!$B$5:$B$304,B145)&gt;1,"Duplicate","OK"))</f>
        <v>0</v>
      </c>
      <c r="AD145" s="29">
        <f>IF(B145="","",IF(T145="Used","Done - on the calendar",IF(AND(X145&lt;&gt;"",Y145=""),"Check - content ID not found",IF(AND(AB145&lt;&gt;"",AB145&lt;TODAY()),"Review - idea is going stale",IF(AND(S145&gt;=8,T145&lt;&gt;"Scheduled",X145=""),"Plan - strong idea, not scheduled","OK")))))</f>
        <v>0</v>
      </c>
    </row>
    <row r="146" spans="1:30">
      <c r="A146" s="41">
        <f>IF(B146="","",IdeaPrefix&amp;TEXT(ROW()-4,"000"))</f>
        <v>0</v>
      </c>
      <c r="Y146" s="17">
        <f>IF(X146="","",IFERROR(INDEX('Content Calendar'!$H$5:$H$604,MATCH(X146,'Content Calendar'!$A$5:$A$604,0)),"Not found"))</f>
        <v>0</v>
      </c>
      <c r="Z146" s="16">
        <f>IF(X146="","",IFERROR(INDEX('Content Calendar'!$B$5:$B$604,MATCH(X146,'Content Calendar'!$A$5:$A$604,0)),"Not found"))</f>
        <v>0</v>
      </c>
      <c r="AA146" s="23">
        <f>IF(U146="","",TODAY()-U146)</f>
        <v>0</v>
      </c>
      <c r="AB146" s="16">
        <f>IF(B146="","",IF(T146="Used","",IF(V146="",U146,V146)+IdeaReviewDays))</f>
        <v>0</v>
      </c>
      <c r="AC146" s="29">
        <f>IF(B146="","",IF(COUNTIF('Idea Bank'!$B$5:$B$304,B146)&gt;1,"Duplicate","OK"))</f>
        <v>0</v>
      </c>
      <c r="AD146" s="29">
        <f>IF(B146="","",IF(T146="Used","Done - on the calendar",IF(AND(X146&lt;&gt;"",Y146=""),"Check - content ID not found",IF(AND(AB146&lt;&gt;"",AB146&lt;TODAY()),"Review - idea is going stale",IF(AND(S146&gt;=8,T146&lt;&gt;"Scheduled",X146=""),"Plan - strong idea, not scheduled","OK")))))</f>
        <v>0</v>
      </c>
    </row>
    <row r="147" spans="1:30">
      <c r="A147" s="41">
        <f>IF(B147="","",IdeaPrefix&amp;TEXT(ROW()-4,"000"))</f>
        <v>0</v>
      </c>
      <c r="Y147" s="17">
        <f>IF(X147="","",IFERROR(INDEX('Content Calendar'!$H$5:$H$604,MATCH(X147,'Content Calendar'!$A$5:$A$604,0)),"Not found"))</f>
        <v>0</v>
      </c>
      <c r="Z147" s="16">
        <f>IF(X147="","",IFERROR(INDEX('Content Calendar'!$B$5:$B$604,MATCH(X147,'Content Calendar'!$A$5:$A$604,0)),"Not found"))</f>
        <v>0</v>
      </c>
      <c r="AA147" s="23">
        <f>IF(U147="","",TODAY()-U147)</f>
        <v>0</v>
      </c>
      <c r="AB147" s="16">
        <f>IF(B147="","",IF(T147="Used","",IF(V147="",U147,V147)+IdeaReviewDays))</f>
        <v>0</v>
      </c>
      <c r="AC147" s="29">
        <f>IF(B147="","",IF(COUNTIF('Idea Bank'!$B$5:$B$304,B147)&gt;1,"Duplicate","OK"))</f>
        <v>0</v>
      </c>
      <c r="AD147" s="29">
        <f>IF(B147="","",IF(T147="Used","Done - on the calendar",IF(AND(X147&lt;&gt;"",Y147=""),"Check - content ID not found",IF(AND(AB147&lt;&gt;"",AB147&lt;TODAY()),"Review - idea is going stale",IF(AND(S147&gt;=8,T147&lt;&gt;"Scheduled",X147=""),"Plan - strong idea, not scheduled","OK")))))</f>
        <v>0</v>
      </c>
    </row>
    <row r="148" spans="1:30">
      <c r="A148" s="41">
        <f>IF(B148="","",IdeaPrefix&amp;TEXT(ROW()-4,"000"))</f>
        <v>0</v>
      </c>
      <c r="Y148" s="17">
        <f>IF(X148="","",IFERROR(INDEX('Content Calendar'!$H$5:$H$604,MATCH(X148,'Content Calendar'!$A$5:$A$604,0)),"Not found"))</f>
        <v>0</v>
      </c>
      <c r="Z148" s="16">
        <f>IF(X148="","",IFERROR(INDEX('Content Calendar'!$B$5:$B$604,MATCH(X148,'Content Calendar'!$A$5:$A$604,0)),"Not found"))</f>
        <v>0</v>
      </c>
      <c r="AA148" s="23">
        <f>IF(U148="","",TODAY()-U148)</f>
        <v>0</v>
      </c>
      <c r="AB148" s="16">
        <f>IF(B148="","",IF(T148="Used","",IF(V148="",U148,V148)+IdeaReviewDays))</f>
        <v>0</v>
      </c>
      <c r="AC148" s="29">
        <f>IF(B148="","",IF(COUNTIF('Idea Bank'!$B$5:$B$304,B148)&gt;1,"Duplicate","OK"))</f>
        <v>0</v>
      </c>
      <c r="AD148" s="29">
        <f>IF(B148="","",IF(T148="Used","Done - on the calendar",IF(AND(X148&lt;&gt;"",Y148=""),"Check - content ID not found",IF(AND(AB148&lt;&gt;"",AB148&lt;TODAY()),"Review - idea is going stale",IF(AND(S148&gt;=8,T148&lt;&gt;"Scheduled",X148=""),"Plan - strong idea, not scheduled","OK")))))</f>
        <v>0</v>
      </c>
    </row>
    <row r="149" spans="1:30">
      <c r="A149" s="41">
        <f>IF(B149="","",IdeaPrefix&amp;TEXT(ROW()-4,"000"))</f>
        <v>0</v>
      </c>
      <c r="Y149" s="17">
        <f>IF(X149="","",IFERROR(INDEX('Content Calendar'!$H$5:$H$604,MATCH(X149,'Content Calendar'!$A$5:$A$604,0)),"Not found"))</f>
        <v>0</v>
      </c>
      <c r="Z149" s="16">
        <f>IF(X149="","",IFERROR(INDEX('Content Calendar'!$B$5:$B$604,MATCH(X149,'Content Calendar'!$A$5:$A$604,0)),"Not found"))</f>
        <v>0</v>
      </c>
      <c r="AA149" s="23">
        <f>IF(U149="","",TODAY()-U149)</f>
        <v>0</v>
      </c>
      <c r="AB149" s="16">
        <f>IF(B149="","",IF(T149="Used","",IF(V149="",U149,V149)+IdeaReviewDays))</f>
        <v>0</v>
      </c>
      <c r="AC149" s="29">
        <f>IF(B149="","",IF(COUNTIF('Idea Bank'!$B$5:$B$304,B149)&gt;1,"Duplicate","OK"))</f>
        <v>0</v>
      </c>
      <c r="AD149" s="29">
        <f>IF(B149="","",IF(T149="Used","Done - on the calendar",IF(AND(X149&lt;&gt;"",Y149=""),"Check - content ID not found",IF(AND(AB149&lt;&gt;"",AB149&lt;TODAY()),"Review - idea is going stale",IF(AND(S149&gt;=8,T149&lt;&gt;"Scheduled",X149=""),"Plan - strong idea, not scheduled","OK")))))</f>
        <v>0</v>
      </c>
    </row>
    <row r="150" spans="1:30">
      <c r="A150" s="41">
        <f>IF(B150="","",IdeaPrefix&amp;TEXT(ROW()-4,"000"))</f>
        <v>0</v>
      </c>
      <c r="Y150" s="17">
        <f>IF(X150="","",IFERROR(INDEX('Content Calendar'!$H$5:$H$604,MATCH(X150,'Content Calendar'!$A$5:$A$604,0)),"Not found"))</f>
        <v>0</v>
      </c>
      <c r="Z150" s="16">
        <f>IF(X150="","",IFERROR(INDEX('Content Calendar'!$B$5:$B$604,MATCH(X150,'Content Calendar'!$A$5:$A$604,0)),"Not found"))</f>
        <v>0</v>
      </c>
      <c r="AA150" s="23">
        <f>IF(U150="","",TODAY()-U150)</f>
        <v>0</v>
      </c>
      <c r="AB150" s="16">
        <f>IF(B150="","",IF(T150="Used","",IF(V150="",U150,V150)+IdeaReviewDays))</f>
        <v>0</v>
      </c>
      <c r="AC150" s="29">
        <f>IF(B150="","",IF(COUNTIF('Idea Bank'!$B$5:$B$304,B150)&gt;1,"Duplicate","OK"))</f>
        <v>0</v>
      </c>
      <c r="AD150" s="29">
        <f>IF(B150="","",IF(T150="Used","Done - on the calendar",IF(AND(X150&lt;&gt;"",Y150=""),"Check - content ID not found",IF(AND(AB150&lt;&gt;"",AB150&lt;TODAY()),"Review - idea is going stale",IF(AND(S150&gt;=8,T150&lt;&gt;"Scheduled",X150=""),"Plan - strong idea, not scheduled","OK")))))</f>
        <v>0</v>
      </c>
    </row>
    <row r="151" spans="1:30">
      <c r="A151" s="41">
        <f>IF(B151="","",IdeaPrefix&amp;TEXT(ROW()-4,"000"))</f>
        <v>0</v>
      </c>
      <c r="Y151" s="17">
        <f>IF(X151="","",IFERROR(INDEX('Content Calendar'!$H$5:$H$604,MATCH(X151,'Content Calendar'!$A$5:$A$604,0)),"Not found"))</f>
        <v>0</v>
      </c>
      <c r="Z151" s="16">
        <f>IF(X151="","",IFERROR(INDEX('Content Calendar'!$B$5:$B$604,MATCH(X151,'Content Calendar'!$A$5:$A$604,0)),"Not found"))</f>
        <v>0</v>
      </c>
      <c r="AA151" s="23">
        <f>IF(U151="","",TODAY()-U151)</f>
        <v>0</v>
      </c>
      <c r="AB151" s="16">
        <f>IF(B151="","",IF(T151="Used","",IF(V151="",U151,V151)+IdeaReviewDays))</f>
        <v>0</v>
      </c>
      <c r="AC151" s="29">
        <f>IF(B151="","",IF(COUNTIF('Idea Bank'!$B$5:$B$304,B151)&gt;1,"Duplicate","OK"))</f>
        <v>0</v>
      </c>
      <c r="AD151" s="29">
        <f>IF(B151="","",IF(T151="Used","Done - on the calendar",IF(AND(X151&lt;&gt;"",Y151=""),"Check - content ID not found",IF(AND(AB151&lt;&gt;"",AB151&lt;TODAY()),"Review - idea is going stale",IF(AND(S151&gt;=8,T151&lt;&gt;"Scheduled",X151=""),"Plan - strong idea, not scheduled","OK")))))</f>
        <v>0</v>
      </c>
    </row>
    <row r="152" spans="1:30">
      <c r="A152" s="41">
        <f>IF(B152="","",IdeaPrefix&amp;TEXT(ROW()-4,"000"))</f>
        <v>0</v>
      </c>
      <c r="Y152" s="17">
        <f>IF(X152="","",IFERROR(INDEX('Content Calendar'!$H$5:$H$604,MATCH(X152,'Content Calendar'!$A$5:$A$604,0)),"Not found"))</f>
        <v>0</v>
      </c>
      <c r="Z152" s="16">
        <f>IF(X152="","",IFERROR(INDEX('Content Calendar'!$B$5:$B$604,MATCH(X152,'Content Calendar'!$A$5:$A$604,0)),"Not found"))</f>
        <v>0</v>
      </c>
      <c r="AA152" s="23">
        <f>IF(U152="","",TODAY()-U152)</f>
        <v>0</v>
      </c>
      <c r="AB152" s="16">
        <f>IF(B152="","",IF(T152="Used","",IF(V152="",U152,V152)+IdeaReviewDays))</f>
        <v>0</v>
      </c>
      <c r="AC152" s="29">
        <f>IF(B152="","",IF(COUNTIF('Idea Bank'!$B$5:$B$304,B152)&gt;1,"Duplicate","OK"))</f>
        <v>0</v>
      </c>
      <c r="AD152" s="29">
        <f>IF(B152="","",IF(T152="Used","Done - on the calendar",IF(AND(X152&lt;&gt;"",Y152=""),"Check - content ID not found",IF(AND(AB152&lt;&gt;"",AB152&lt;TODAY()),"Review - idea is going stale",IF(AND(S152&gt;=8,T152&lt;&gt;"Scheduled",X152=""),"Plan - strong idea, not scheduled","OK")))))</f>
        <v>0</v>
      </c>
    </row>
    <row r="153" spans="1:30">
      <c r="A153" s="41">
        <f>IF(B153="","",IdeaPrefix&amp;TEXT(ROW()-4,"000"))</f>
        <v>0</v>
      </c>
      <c r="Y153" s="17">
        <f>IF(X153="","",IFERROR(INDEX('Content Calendar'!$H$5:$H$604,MATCH(X153,'Content Calendar'!$A$5:$A$604,0)),"Not found"))</f>
        <v>0</v>
      </c>
      <c r="Z153" s="16">
        <f>IF(X153="","",IFERROR(INDEX('Content Calendar'!$B$5:$B$604,MATCH(X153,'Content Calendar'!$A$5:$A$604,0)),"Not found"))</f>
        <v>0</v>
      </c>
      <c r="AA153" s="23">
        <f>IF(U153="","",TODAY()-U153)</f>
        <v>0</v>
      </c>
      <c r="AB153" s="16">
        <f>IF(B153="","",IF(T153="Used","",IF(V153="",U153,V153)+IdeaReviewDays))</f>
        <v>0</v>
      </c>
      <c r="AC153" s="29">
        <f>IF(B153="","",IF(COUNTIF('Idea Bank'!$B$5:$B$304,B153)&gt;1,"Duplicate","OK"))</f>
        <v>0</v>
      </c>
      <c r="AD153" s="29">
        <f>IF(B153="","",IF(T153="Used","Done - on the calendar",IF(AND(X153&lt;&gt;"",Y153=""),"Check - content ID not found",IF(AND(AB153&lt;&gt;"",AB153&lt;TODAY()),"Review - idea is going stale",IF(AND(S153&gt;=8,T153&lt;&gt;"Scheduled",X153=""),"Plan - strong idea, not scheduled","OK")))))</f>
        <v>0</v>
      </c>
    </row>
    <row r="154" spans="1:30">
      <c r="A154" s="41">
        <f>IF(B154="","",IdeaPrefix&amp;TEXT(ROW()-4,"000"))</f>
        <v>0</v>
      </c>
      <c r="Y154" s="17">
        <f>IF(X154="","",IFERROR(INDEX('Content Calendar'!$H$5:$H$604,MATCH(X154,'Content Calendar'!$A$5:$A$604,0)),"Not found"))</f>
        <v>0</v>
      </c>
      <c r="Z154" s="16">
        <f>IF(X154="","",IFERROR(INDEX('Content Calendar'!$B$5:$B$604,MATCH(X154,'Content Calendar'!$A$5:$A$604,0)),"Not found"))</f>
        <v>0</v>
      </c>
      <c r="AA154" s="23">
        <f>IF(U154="","",TODAY()-U154)</f>
        <v>0</v>
      </c>
      <c r="AB154" s="16">
        <f>IF(B154="","",IF(T154="Used","",IF(V154="",U154,V154)+IdeaReviewDays))</f>
        <v>0</v>
      </c>
      <c r="AC154" s="29">
        <f>IF(B154="","",IF(COUNTIF('Idea Bank'!$B$5:$B$304,B154)&gt;1,"Duplicate","OK"))</f>
        <v>0</v>
      </c>
      <c r="AD154" s="29">
        <f>IF(B154="","",IF(T154="Used","Done - on the calendar",IF(AND(X154&lt;&gt;"",Y154=""),"Check - content ID not found",IF(AND(AB154&lt;&gt;"",AB154&lt;TODAY()),"Review - idea is going stale",IF(AND(S154&gt;=8,T154&lt;&gt;"Scheduled",X154=""),"Plan - strong idea, not scheduled","OK")))))</f>
        <v>0</v>
      </c>
    </row>
    <row r="155" spans="1:30">
      <c r="A155" s="41">
        <f>IF(B155="","",IdeaPrefix&amp;TEXT(ROW()-4,"000"))</f>
        <v>0</v>
      </c>
      <c r="Y155" s="17">
        <f>IF(X155="","",IFERROR(INDEX('Content Calendar'!$H$5:$H$604,MATCH(X155,'Content Calendar'!$A$5:$A$604,0)),"Not found"))</f>
        <v>0</v>
      </c>
      <c r="Z155" s="16">
        <f>IF(X155="","",IFERROR(INDEX('Content Calendar'!$B$5:$B$604,MATCH(X155,'Content Calendar'!$A$5:$A$604,0)),"Not found"))</f>
        <v>0</v>
      </c>
      <c r="AA155" s="23">
        <f>IF(U155="","",TODAY()-U155)</f>
        <v>0</v>
      </c>
      <c r="AB155" s="16">
        <f>IF(B155="","",IF(T155="Used","",IF(V155="",U155,V155)+IdeaReviewDays))</f>
        <v>0</v>
      </c>
      <c r="AC155" s="29">
        <f>IF(B155="","",IF(COUNTIF('Idea Bank'!$B$5:$B$304,B155)&gt;1,"Duplicate","OK"))</f>
        <v>0</v>
      </c>
      <c r="AD155" s="29">
        <f>IF(B155="","",IF(T155="Used","Done - on the calendar",IF(AND(X155&lt;&gt;"",Y155=""),"Check - content ID not found",IF(AND(AB155&lt;&gt;"",AB155&lt;TODAY()),"Review - idea is going stale",IF(AND(S155&gt;=8,T155&lt;&gt;"Scheduled",X155=""),"Plan - strong idea, not scheduled","OK")))))</f>
        <v>0</v>
      </c>
    </row>
    <row r="156" spans="1:30">
      <c r="A156" s="41">
        <f>IF(B156="","",IdeaPrefix&amp;TEXT(ROW()-4,"000"))</f>
        <v>0</v>
      </c>
      <c r="Y156" s="17">
        <f>IF(X156="","",IFERROR(INDEX('Content Calendar'!$H$5:$H$604,MATCH(X156,'Content Calendar'!$A$5:$A$604,0)),"Not found"))</f>
        <v>0</v>
      </c>
      <c r="Z156" s="16">
        <f>IF(X156="","",IFERROR(INDEX('Content Calendar'!$B$5:$B$604,MATCH(X156,'Content Calendar'!$A$5:$A$604,0)),"Not found"))</f>
        <v>0</v>
      </c>
      <c r="AA156" s="23">
        <f>IF(U156="","",TODAY()-U156)</f>
        <v>0</v>
      </c>
      <c r="AB156" s="16">
        <f>IF(B156="","",IF(T156="Used","",IF(V156="",U156,V156)+IdeaReviewDays))</f>
        <v>0</v>
      </c>
      <c r="AC156" s="29">
        <f>IF(B156="","",IF(COUNTIF('Idea Bank'!$B$5:$B$304,B156)&gt;1,"Duplicate","OK"))</f>
        <v>0</v>
      </c>
      <c r="AD156" s="29">
        <f>IF(B156="","",IF(T156="Used","Done - on the calendar",IF(AND(X156&lt;&gt;"",Y156=""),"Check - content ID not found",IF(AND(AB156&lt;&gt;"",AB156&lt;TODAY()),"Review - idea is going stale",IF(AND(S156&gt;=8,T156&lt;&gt;"Scheduled",X156=""),"Plan - strong idea, not scheduled","OK")))))</f>
        <v>0</v>
      </c>
    </row>
    <row r="157" spans="1:30">
      <c r="A157" s="41">
        <f>IF(B157="","",IdeaPrefix&amp;TEXT(ROW()-4,"000"))</f>
        <v>0</v>
      </c>
      <c r="Y157" s="17">
        <f>IF(X157="","",IFERROR(INDEX('Content Calendar'!$H$5:$H$604,MATCH(X157,'Content Calendar'!$A$5:$A$604,0)),"Not found"))</f>
        <v>0</v>
      </c>
      <c r="Z157" s="16">
        <f>IF(X157="","",IFERROR(INDEX('Content Calendar'!$B$5:$B$604,MATCH(X157,'Content Calendar'!$A$5:$A$604,0)),"Not found"))</f>
        <v>0</v>
      </c>
      <c r="AA157" s="23">
        <f>IF(U157="","",TODAY()-U157)</f>
        <v>0</v>
      </c>
      <c r="AB157" s="16">
        <f>IF(B157="","",IF(T157="Used","",IF(V157="",U157,V157)+IdeaReviewDays))</f>
        <v>0</v>
      </c>
      <c r="AC157" s="29">
        <f>IF(B157="","",IF(COUNTIF('Idea Bank'!$B$5:$B$304,B157)&gt;1,"Duplicate","OK"))</f>
        <v>0</v>
      </c>
      <c r="AD157" s="29">
        <f>IF(B157="","",IF(T157="Used","Done - on the calendar",IF(AND(X157&lt;&gt;"",Y157=""),"Check - content ID not found",IF(AND(AB157&lt;&gt;"",AB157&lt;TODAY()),"Review - idea is going stale",IF(AND(S157&gt;=8,T157&lt;&gt;"Scheduled",X157=""),"Plan - strong idea, not scheduled","OK")))))</f>
        <v>0</v>
      </c>
    </row>
    <row r="158" spans="1:30">
      <c r="A158" s="41">
        <f>IF(B158="","",IdeaPrefix&amp;TEXT(ROW()-4,"000"))</f>
        <v>0</v>
      </c>
      <c r="Y158" s="17">
        <f>IF(X158="","",IFERROR(INDEX('Content Calendar'!$H$5:$H$604,MATCH(X158,'Content Calendar'!$A$5:$A$604,0)),"Not found"))</f>
        <v>0</v>
      </c>
      <c r="Z158" s="16">
        <f>IF(X158="","",IFERROR(INDEX('Content Calendar'!$B$5:$B$604,MATCH(X158,'Content Calendar'!$A$5:$A$604,0)),"Not found"))</f>
        <v>0</v>
      </c>
      <c r="AA158" s="23">
        <f>IF(U158="","",TODAY()-U158)</f>
        <v>0</v>
      </c>
      <c r="AB158" s="16">
        <f>IF(B158="","",IF(T158="Used","",IF(V158="",U158,V158)+IdeaReviewDays))</f>
        <v>0</v>
      </c>
      <c r="AC158" s="29">
        <f>IF(B158="","",IF(COUNTIF('Idea Bank'!$B$5:$B$304,B158)&gt;1,"Duplicate","OK"))</f>
        <v>0</v>
      </c>
      <c r="AD158" s="29">
        <f>IF(B158="","",IF(T158="Used","Done - on the calendar",IF(AND(X158&lt;&gt;"",Y158=""),"Check - content ID not found",IF(AND(AB158&lt;&gt;"",AB158&lt;TODAY()),"Review - idea is going stale",IF(AND(S158&gt;=8,T158&lt;&gt;"Scheduled",X158=""),"Plan - strong idea, not scheduled","OK")))))</f>
        <v>0</v>
      </c>
    </row>
    <row r="159" spans="1:30">
      <c r="A159" s="41">
        <f>IF(B159="","",IdeaPrefix&amp;TEXT(ROW()-4,"000"))</f>
        <v>0</v>
      </c>
      <c r="Y159" s="17">
        <f>IF(X159="","",IFERROR(INDEX('Content Calendar'!$H$5:$H$604,MATCH(X159,'Content Calendar'!$A$5:$A$604,0)),"Not found"))</f>
        <v>0</v>
      </c>
      <c r="Z159" s="16">
        <f>IF(X159="","",IFERROR(INDEX('Content Calendar'!$B$5:$B$604,MATCH(X159,'Content Calendar'!$A$5:$A$604,0)),"Not found"))</f>
        <v>0</v>
      </c>
      <c r="AA159" s="23">
        <f>IF(U159="","",TODAY()-U159)</f>
        <v>0</v>
      </c>
      <c r="AB159" s="16">
        <f>IF(B159="","",IF(T159="Used","",IF(V159="",U159,V159)+IdeaReviewDays))</f>
        <v>0</v>
      </c>
      <c r="AC159" s="29">
        <f>IF(B159="","",IF(COUNTIF('Idea Bank'!$B$5:$B$304,B159)&gt;1,"Duplicate","OK"))</f>
        <v>0</v>
      </c>
      <c r="AD159" s="29">
        <f>IF(B159="","",IF(T159="Used","Done - on the calendar",IF(AND(X159&lt;&gt;"",Y159=""),"Check - content ID not found",IF(AND(AB159&lt;&gt;"",AB159&lt;TODAY()),"Review - idea is going stale",IF(AND(S159&gt;=8,T159&lt;&gt;"Scheduled",X159=""),"Plan - strong idea, not scheduled","OK")))))</f>
        <v>0</v>
      </c>
    </row>
    <row r="160" spans="1:30">
      <c r="A160" s="41">
        <f>IF(B160="","",IdeaPrefix&amp;TEXT(ROW()-4,"000"))</f>
        <v>0</v>
      </c>
      <c r="Y160" s="17">
        <f>IF(X160="","",IFERROR(INDEX('Content Calendar'!$H$5:$H$604,MATCH(X160,'Content Calendar'!$A$5:$A$604,0)),"Not found"))</f>
        <v>0</v>
      </c>
      <c r="Z160" s="16">
        <f>IF(X160="","",IFERROR(INDEX('Content Calendar'!$B$5:$B$604,MATCH(X160,'Content Calendar'!$A$5:$A$604,0)),"Not found"))</f>
        <v>0</v>
      </c>
      <c r="AA160" s="23">
        <f>IF(U160="","",TODAY()-U160)</f>
        <v>0</v>
      </c>
      <c r="AB160" s="16">
        <f>IF(B160="","",IF(T160="Used","",IF(V160="",U160,V160)+IdeaReviewDays))</f>
        <v>0</v>
      </c>
      <c r="AC160" s="29">
        <f>IF(B160="","",IF(COUNTIF('Idea Bank'!$B$5:$B$304,B160)&gt;1,"Duplicate","OK"))</f>
        <v>0</v>
      </c>
      <c r="AD160" s="29">
        <f>IF(B160="","",IF(T160="Used","Done - on the calendar",IF(AND(X160&lt;&gt;"",Y160=""),"Check - content ID not found",IF(AND(AB160&lt;&gt;"",AB160&lt;TODAY()),"Review - idea is going stale",IF(AND(S160&gt;=8,T160&lt;&gt;"Scheduled",X160=""),"Plan - strong idea, not scheduled","OK")))))</f>
        <v>0</v>
      </c>
    </row>
    <row r="161" spans="1:30">
      <c r="A161" s="41">
        <f>IF(B161="","",IdeaPrefix&amp;TEXT(ROW()-4,"000"))</f>
        <v>0</v>
      </c>
      <c r="Y161" s="17">
        <f>IF(X161="","",IFERROR(INDEX('Content Calendar'!$H$5:$H$604,MATCH(X161,'Content Calendar'!$A$5:$A$604,0)),"Not found"))</f>
        <v>0</v>
      </c>
      <c r="Z161" s="16">
        <f>IF(X161="","",IFERROR(INDEX('Content Calendar'!$B$5:$B$604,MATCH(X161,'Content Calendar'!$A$5:$A$604,0)),"Not found"))</f>
        <v>0</v>
      </c>
      <c r="AA161" s="23">
        <f>IF(U161="","",TODAY()-U161)</f>
        <v>0</v>
      </c>
      <c r="AB161" s="16">
        <f>IF(B161="","",IF(T161="Used","",IF(V161="",U161,V161)+IdeaReviewDays))</f>
        <v>0</v>
      </c>
      <c r="AC161" s="29">
        <f>IF(B161="","",IF(COUNTIF('Idea Bank'!$B$5:$B$304,B161)&gt;1,"Duplicate","OK"))</f>
        <v>0</v>
      </c>
      <c r="AD161" s="29">
        <f>IF(B161="","",IF(T161="Used","Done - on the calendar",IF(AND(X161&lt;&gt;"",Y161=""),"Check - content ID not found",IF(AND(AB161&lt;&gt;"",AB161&lt;TODAY()),"Review - idea is going stale",IF(AND(S161&gt;=8,T161&lt;&gt;"Scheduled",X161=""),"Plan - strong idea, not scheduled","OK")))))</f>
        <v>0</v>
      </c>
    </row>
    <row r="162" spans="1:30">
      <c r="A162" s="41">
        <f>IF(B162="","",IdeaPrefix&amp;TEXT(ROW()-4,"000"))</f>
        <v>0</v>
      </c>
      <c r="Y162" s="17">
        <f>IF(X162="","",IFERROR(INDEX('Content Calendar'!$H$5:$H$604,MATCH(X162,'Content Calendar'!$A$5:$A$604,0)),"Not found"))</f>
        <v>0</v>
      </c>
      <c r="Z162" s="16">
        <f>IF(X162="","",IFERROR(INDEX('Content Calendar'!$B$5:$B$604,MATCH(X162,'Content Calendar'!$A$5:$A$604,0)),"Not found"))</f>
        <v>0</v>
      </c>
      <c r="AA162" s="23">
        <f>IF(U162="","",TODAY()-U162)</f>
        <v>0</v>
      </c>
      <c r="AB162" s="16">
        <f>IF(B162="","",IF(T162="Used","",IF(V162="",U162,V162)+IdeaReviewDays))</f>
        <v>0</v>
      </c>
      <c r="AC162" s="29">
        <f>IF(B162="","",IF(COUNTIF('Idea Bank'!$B$5:$B$304,B162)&gt;1,"Duplicate","OK"))</f>
        <v>0</v>
      </c>
      <c r="AD162" s="29">
        <f>IF(B162="","",IF(T162="Used","Done - on the calendar",IF(AND(X162&lt;&gt;"",Y162=""),"Check - content ID not found",IF(AND(AB162&lt;&gt;"",AB162&lt;TODAY()),"Review - idea is going stale",IF(AND(S162&gt;=8,T162&lt;&gt;"Scheduled",X162=""),"Plan - strong idea, not scheduled","OK")))))</f>
        <v>0</v>
      </c>
    </row>
    <row r="163" spans="1:30">
      <c r="A163" s="41">
        <f>IF(B163="","",IdeaPrefix&amp;TEXT(ROW()-4,"000"))</f>
        <v>0</v>
      </c>
      <c r="Y163" s="17">
        <f>IF(X163="","",IFERROR(INDEX('Content Calendar'!$H$5:$H$604,MATCH(X163,'Content Calendar'!$A$5:$A$604,0)),"Not found"))</f>
        <v>0</v>
      </c>
      <c r="Z163" s="16">
        <f>IF(X163="","",IFERROR(INDEX('Content Calendar'!$B$5:$B$604,MATCH(X163,'Content Calendar'!$A$5:$A$604,0)),"Not found"))</f>
        <v>0</v>
      </c>
      <c r="AA163" s="23">
        <f>IF(U163="","",TODAY()-U163)</f>
        <v>0</v>
      </c>
      <c r="AB163" s="16">
        <f>IF(B163="","",IF(T163="Used","",IF(V163="",U163,V163)+IdeaReviewDays))</f>
        <v>0</v>
      </c>
      <c r="AC163" s="29">
        <f>IF(B163="","",IF(COUNTIF('Idea Bank'!$B$5:$B$304,B163)&gt;1,"Duplicate","OK"))</f>
        <v>0</v>
      </c>
      <c r="AD163" s="29">
        <f>IF(B163="","",IF(T163="Used","Done - on the calendar",IF(AND(X163&lt;&gt;"",Y163=""),"Check - content ID not found",IF(AND(AB163&lt;&gt;"",AB163&lt;TODAY()),"Review - idea is going stale",IF(AND(S163&gt;=8,T163&lt;&gt;"Scheduled",X163=""),"Plan - strong idea, not scheduled","OK")))))</f>
        <v>0</v>
      </c>
    </row>
    <row r="164" spans="1:30">
      <c r="A164" s="41">
        <f>IF(B164="","",IdeaPrefix&amp;TEXT(ROW()-4,"000"))</f>
        <v>0</v>
      </c>
      <c r="Y164" s="17">
        <f>IF(X164="","",IFERROR(INDEX('Content Calendar'!$H$5:$H$604,MATCH(X164,'Content Calendar'!$A$5:$A$604,0)),"Not found"))</f>
        <v>0</v>
      </c>
      <c r="Z164" s="16">
        <f>IF(X164="","",IFERROR(INDEX('Content Calendar'!$B$5:$B$604,MATCH(X164,'Content Calendar'!$A$5:$A$604,0)),"Not found"))</f>
        <v>0</v>
      </c>
      <c r="AA164" s="23">
        <f>IF(U164="","",TODAY()-U164)</f>
        <v>0</v>
      </c>
      <c r="AB164" s="16">
        <f>IF(B164="","",IF(T164="Used","",IF(V164="",U164,V164)+IdeaReviewDays))</f>
        <v>0</v>
      </c>
      <c r="AC164" s="29">
        <f>IF(B164="","",IF(COUNTIF('Idea Bank'!$B$5:$B$304,B164)&gt;1,"Duplicate","OK"))</f>
        <v>0</v>
      </c>
      <c r="AD164" s="29">
        <f>IF(B164="","",IF(T164="Used","Done - on the calendar",IF(AND(X164&lt;&gt;"",Y164=""),"Check - content ID not found",IF(AND(AB164&lt;&gt;"",AB164&lt;TODAY()),"Review - idea is going stale",IF(AND(S164&gt;=8,T164&lt;&gt;"Scheduled",X164=""),"Plan - strong idea, not scheduled","OK")))))</f>
        <v>0</v>
      </c>
    </row>
    <row r="165" spans="1:30">
      <c r="A165" s="41">
        <f>IF(B165="","",IdeaPrefix&amp;TEXT(ROW()-4,"000"))</f>
        <v>0</v>
      </c>
      <c r="Y165" s="17">
        <f>IF(X165="","",IFERROR(INDEX('Content Calendar'!$H$5:$H$604,MATCH(X165,'Content Calendar'!$A$5:$A$604,0)),"Not found"))</f>
        <v>0</v>
      </c>
      <c r="Z165" s="16">
        <f>IF(X165="","",IFERROR(INDEX('Content Calendar'!$B$5:$B$604,MATCH(X165,'Content Calendar'!$A$5:$A$604,0)),"Not found"))</f>
        <v>0</v>
      </c>
      <c r="AA165" s="23">
        <f>IF(U165="","",TODAY()-U165)</f>
        <v>0</v>
      </c>
      <c r="AB165" s="16">
        <f>IF(B165="","",IF(T165="Used","",IF(V165="",U165,V165)+IdeaReviewDays))</f>
        <v>0</v>
      </c>
      <c r="AC165" s="29">
        <f>IF(B165="","",IF(COUNTIF('Idea Bank'!$B$5:$B$304,B165)&gt;1,"Duplicate","OK"))</f>
        <v>0</v>
      </c>
      <c r="AD165" s="29">
        <f>IF(B165="","",IF(T165="Used","Done - on the calendar",IF(AND(X165&lt;&gt;"",Y165=""),"Check - content ID not found",IF(AND(AB165&lt;&gt;"",AB165&lt;TODAY()),"Review - idea is going stale",IF(AND(S165&gt;=8,T165&lt;&gt;"Scheduled",X165=""),"Plan - strong idea, not scheduled","OK")))))</f>
        <v>0</v>
      </c>
    </row>
    <row r="166" spans="1:30">
      <c r="A166" s="41">
        <f>IF(B166="","",IdeaPrefix&amp;TEXT(ROW()-4,"000"))</f>
        <v>0</v>
      </c>
      <c r="Y166" s="17">
        <f>IF(X166="","",IFERROR(INDEX('Content Calendar'!$H$5:$H$604,MATCH(X166,'Content Calendar'!$A$5:$A$604,0)),"Not found"))</f>
        <v>0</v>
      </c>
      <c r="Z166" s="16">
        <f>IF(X166="","",IFERROR(INDEX('Content Calendar'!$B$5:$B$604,MATCH(X166,'Content Calendar'!$A$5:$A$604,0)),"Not found"))</f>
        <v>0</v>
      </c>
      <c r="AA166" s="23">
        <f>IF(U166="","",TODAY()-U166)</f>
        <v>0</v>
      </c>
      <c r="AB166" s="16">
        <f>IF(B166="","",IF(T166="Used","",IF(V166="",U166,V166)+IdeaReviewDays))</f>
        <v>0</v>
      </c>
      <c r="AC166" s="29">
        <f>IF(B166="","",IF(COUNTIF('Idea Bank'!$B$5:$B$304,B166)&gt;1,"Duplicate","OK"))</f>
        <v>0</v>
      </c>
      <c r="AD166" s="29">
        <f>IF(B166="","",IF(T166="Used","Done - on the calendar",IF(AND(X166&lt;&gt;"",Y166=""),"Check - content ID not found",IF(AND(AB166&lt;&gt;"",AB166&lt;TODAY()),"Review - idea is going stale",IF(AND(S166&gt;=8,T166&lt;&gt;"Scheduled",X166=""),"Plan - strong idea, not scheduled","OK")))))</f>
        <v>0</v>
      </c>
    </row>
    <row r="167" spans="1:30">
      <c r="A167" s="41">
        <f>IF(B167="","",IdeaPrefix&amp;TEXT(ROW()-4,"000"))</f>
        <v>0</v>
      </c>
      <c r="Y167" s="17">
        <f>IF(X167="","",IFERROR(INDEX('Content Calendar'!$H$5:$H$604,MATCH(X167,'Content Calendar'!$A$5:$A$604,0)),"Not found"))</f>
        <v>0</v>
      </c>
      <c r="Z167" s="16">
        <f>IF(X167="","",IFERROR(INDEX('Content Calendar'!$B$5:$B$604,MATCH(X167,'Content Calendar'!$A$5:$A$604,0)),"Not found"))</f>
        <v>0</v>
      </c>
      <c r="AA167" s="23">
        <f>IF(U167="","",TODAY()-U167)</f>
        <v>0</v>
      </c>
      <c r="AB167" s="16">
        <f>IF(B167="","",IF(T167="Used","",IF(V167="",U167,V167)+IdeaReviewDays))</f>
        <v>0</v>
      </c>
      <c r="AC167" s="29">
        <f>IF(B167="","",IF(COUNTIF('Idea Bank'!$B$5:$B$304,B167)&gt;1,"Duplicate","OK"))</f>
        <v>0</v>
      </c>
      <c r="AD167" s="29">
        <f>IF(B167="","",IF(T167="Used","Done - on the calendar",IF(AND(X167&lt;&gt;"",Y167=""),"Check - content ID not found",IF(AND(AB167&lt;&gt;"",AB167&lt;TODAY()),"Review - idea is going stale",IF(AND(S167&gt;=8,T167&lt;&gt;"Scheduled",X167=""),"Plan - strong idea, not scheduled","OK")))))</f>
        <v>0</v>
      </c>
    </row>
    <row r="168" spans="1:30">
      <c r="A168" s="41">
        <f>IF(B168="","",IdeaPrefix&amp;TEXT(ROW()-4,"000"))</f>
        <v>0</v>
      </c>
      <c r="Y168" s="17">
        <f>IF(X168="","",IFERROR(INDEX('Content Calendar'!$H$5:$H$604,MATCH(X168,'Content Calendar'!$A$5:$A$604,0)),"Not found"))</f>
        <v>0</v>
      </c>
      <c r="Z168" s="16">
        <f>IF(X168="","",IFERROR(INDEX('Content Calendar'!$B$5:$B$604,MATCH(X168,'Content Calendar'!$A$5:$A$604,0)),"Not found"))</f>
        <v>0</v>
      </c>
      <c r="AA168" s="23">
        <f>IF(U168="","",TODAY()-U168)</f>
        <v>0</v>
      </c>
      <c r="AB168" s="16">
        <f>IF(B168="","",IF(T168="Used","",IF(V168="",U168,V168)+IdeaReviewDays))</f>
        <v>0</v>
      </c>
      <c r="AC168" s="29">
        <f>IF(B168="","",IF(COUNTIF('Idea Bank'!$B$5:$B$304,B168)&gt;1,"Duplicate","OK"))</f>
        <v>0</v>
      </c>
      <c r="AD168" s="29">
        <f>IF(B168="","",IF(T168="Used","Done - on the calendar",IF(AND(X168&lt;&gt;"",Y168=""),"Check - content ID not found",IF(AND(AB168&lt;&gt;"",AB168&lt;TODAY()),"Review - idea is going stale",IF(AND(S168&gt;=8,T168&lt;&gt;"Scheduled",X168=""),"Plan - strong idea, not scheduled","OK")))))</f>
        <v>0</v>
      </c>
    </row>
    <row r="169" spans="1:30">
      <c r="A169" s="41">
        <f>IF(B169="","",IdeaPrefix&amp;TEXT(ROW()-4,"000"))</f>
        <v>0</v>
      </c>
      <c r="Y169" s="17">
        <f>IF(X169="","",IFERROR(INDEX('Content Calendar'!$H$5:$H$604,MATCH(X169,'Content Calendar'!$A$5:$A$604,0)),"Not found"))</f>
        <v>0</v>
      </c>
      <c r="Z169" s="16">
        <f>IF(X169="","",IFERROR(INDEX('Content Calendar'!$B$5:$B$604,MATCH(X169,'Content Calendar'!$A$5:$A$604,0)),"Not found"))</f>
        <v>0</v>
      </c>
      <c r="AA169" s="23">
        <f>IF(U169="","",TODAY()-U169)</f>
        <v>0</v>
      </c>
      <c r="AB169" s="16">
        <f>IF(B169="","",IF(T169="Used","",IF(V169="",U169,V169)+IdeaReviewDays))</f>
        <v>0</v>
      </c>
      <c r="AC169" s="29">
        <f>IF(B169="","",IF(COUNTIF('Idea Bank'!$B$5:$B$304,B169)&gt;1,"Duplicate","OK"))</f>
        <v>0</v>
      </c>
      <c r="AD169" s="29">
        <f>IF(B169="","",IF(T169="Used","Done - on the calendar",IF(AND(X169&lt;&gt;"",Y169=""),"Check - content ID not found",IF(AND(AB169&lt;&gt;"",AB169&lt;TODAY()),"Review - idea is going stale",IF(AND(S169&gt;=8,T169&lt;&gt;"Scheduled",X169=""),"Plan - strong idea, not scheduled","OK")))))</f>
        <v>0</v>
      </c>
    </row>
    <row r="170" spans="1:30">
      <c r="A170" s="41">
        <f>IF(B170="","",IdeaPrefix&amp;TEXT(ROW()-4,"000"))</f>
        <v>0</v>
      </c>
      <c r="Y170" s="17">
        <f>IF(X170="","",IFERROR(INDEX('Content Calendar'!$H$5:$H$604,MATCH(X170,'Content Calendar'!$A$5:$A$604,0)),"Not found"))</f>
        <v>0</v>
      </c>
      <c r="Z170" s="16">
        <f>IF(X170="","",IFERROR(INDEX('Content Calendar'!$B$5:$B$604,MATCH(X170,'Content Calendar'!$A$5:$A$604,0)),"Not found"))</f>
        <v>0</v>
      </c>
      <c r="AA170" s="23">
        <f>IF(U170="","",TODAY()-U170)</f>
        <v>0</v>
      </c>
      <c r="AB170" s="16">
        <f>IF(B170="","",IF(T170="Used","",IF(V170="",U170,V170)+IdeaReviewDays))</f>
        <v>0</v>
      </c>
      <c r="AC170" s="29">
        <f>IF(B170="","",IF(COUNTIF('Idea Bank'!$B$5:$B$304,B170)&gt;1,"Duplicate","OK"))</f>
        <v>0</v>
      </c>
      <c r="AD170" s="29">
        <f>IF(B170="","",IF(T170="Used","Done - on the calendar",IF(AND(X170&lt;&gt;"",Y170=""),"Check - content ID not found",IF(AND(AB170&lt;&gt;"",AB170&lt;TODAY()),"Review - idea is going stale",IF(AND(S170&gt;=8,T170&lt;&gt;"Scheduled",X170=""),"Plan - strong idea, not scheduled","OK")))))</f>
        <v>0</v>
      </c>
    </row>
    <row r="171" spans="1:30">
      <c r="A171" s="41">
        <f>IF(B171="","",IdeaPrefix&amp;TEXT(ROW()-4,"000"))</f>
        <v>0</v>
      </c>
      <c r="Y171" s="17">
        <f>IF(X171="","",IFERROR(INDEX('Content Calendar'!$H$5:$H$604,MATCH(X171,'Content Calendar'!$A$5:$A$604,0)),"Not found"))</f>
        <v>0</v>
      </c>
      <c r="Z171" s="16">
        <f>IF(X171="","",IFERROR(INDEX('Content Calendar'!$B$5:$B$604,MATCH(X171,'Content Calendar'!$A$5:$A$604,0)),"Not found"))</f>
        <v>0</v>
      </c>
      <c r="AA171" s="23">
        <f>IF(U171="","",TODAY()-U171)</f>
        <v>0</v>
      </c>
      <c r="AB171" s="16">
        <f>IF(B171="","",IF(T171="Used","",IF(V171="",U171,V171)+IdeaReviewDays))</f>
        <v>0</v>
      </c>
      <c r="AC171" s="29">
        <f>IF(B171="","",IF(COUNTIF('Idea Bank'!$B$5:$B$304,B171)&gt;1,"Duplicate","OK"))</f>
        <v>0</v>
      </c>
      <c r="AD171" s="29">
        <f>IF(B171="","",IF(T171="Used","Done - on the calendar",IF(AND(X171&lt;&gt;"",Y171=""),"Check - content ID not found",IF(AND(AB171&lt;&gt;"",AB171&lt;TODAY()),"Review - idea is going stale",IF(AND(S171&gt;=8,T171&lt;&gt;"Scheduled",X171=""),"Plan - strong idea, not scheduled","OK")))))</f>
        <v>0</v>
      </c>
    </row>
    <row r="172" spans="1:30">
      <c r="A172" s="41">
        <f>IF(B172="","",IdeaPrefix&amp;TEXT(ROW()-4,"000"))</f>
        <v>0</v>
      </c>
      <c r="Y172" s="17">
        <f>IF(X172="","",IFERROR(INDEX('Content Calendar'!$H$5:$H$604,MATCH(X172,'Content Calendar'!$A$5:$A$604,0)),"Not found"))</f>
        <v>0</v>
      </c>
      <c r="Z172" s="16">
        <f>IF(X172="","",IFERROR(INDEX('Content Calendar'!$B$5:$B$604,MATCH(X172,'Content Calendar'!$A$5:$A$604,0)),"Not found"))</f>
        <v>0</v>
      </c>
      <c r="AA172" s="23">
        <f>IF(U172="","",TODAY()-U172)</f>
        <v>0</v>
      </c>
      <c r="AB172" s="16">
        <f>IF(B172="","",IF(T172="Used","",IF(V172="",U172,V172)+IdeaReviewDays))</f>
        <v>0</v>
      </c>
      <c r="AC172" s="29">
        <f>IF(B172="","",IF(COUNTIF('Idea Bank'!$B$5:$B$304,B172)&gt;1,"Duplicate","OK"))</f>
        <v>0</v>
      </c>
      <c r="AD172" s="29">
        <f>IF(B172="","",IF(T172="Used","Done - on the calendar",IF(AND(X172&lt;&gt;"",Y172=""),"Check - content ID not found",IF(AND(AB172&lt;&gt;"",AB172&lt;TODAY()),"Review - idea is going stale",IF(AND(S172&gt;=8,T172&lt;&gt;"Scheduled",X172=""),"Plan - strong idea, not scheduled","OK")))))</f>
        <v>0</v>
      </c>
    </row>
    <row r="173" spans="1:30">
      <c r="A173" s="41">
        <f>IF(B173="","",IdeaPrefix&amp;TEXT(ROW()-4,"000"))</f>
        <v>0</v>
      </c>
      <c r="Y173" s="17">
        <f>IF(X173="","",IFERROR(INDEX('Content Calendar'!$H$5:$H$604,MATCH(X173,'Content Calendar'!$A$5:$A$604,0)),"Not found"))</f>
        <v>0</v>
      </c>
      <c r="Z173" s="16">
        <f>IF(X173="","",IFERROR(INDEX('Content Calendar'!$B$5:$B$604,MATCH(X173,'Content Calendar'!$A$5:$A$604,0)),"Not found"))</f>
        <v>0</v>
      </c>
      <c r="AA173" s="23">
        <f>IF(U173="","",TODAY()-U173)</f>
        <v>0</v>
      </c>
      <c r="AB173" s="16">
        <f>IF(B173="","",IF(T173="Used","",IF(V173="",U173,V173)+IdeaReviewDays))</f>
        <v>0</v>
      </c>
      <c r="AC173" s="29">
        <f>IF(B173="","",IF(COUNTIF('Idea Bank'!$B$5:$B$304,B173)&gt;1,"Duplicate","OK"))</f>
        <v>0</v>
      </c>
      <c r="AD173" s="29">
        <f>IF(B173="","",IF(T173="Used","Done - on the calendar",IF(AND(X173&lt;&gt;"",Y173=""),"Check - content ID not found",IF(AND(AB173&lt;&gt;"",AB173&lt;TODAY()),"Review - idea is going stale",IF(AND(S173&gt;=8,T173&lt;&gt;"Scheduled",X173=""),"Plan - strong idea, not scheduled","OK")))))</f>
        <v>0</v>
      </c>
    </row>
    <row r="174" spans="1:30">
      <c r="A174" s="41">
        <f>IF(B174="","",IdeaPrefix&amp;TEXT(ROW()-4,"000"))</f>
        <v>0</v>
      </c>
      <c r="Y174" s="17">
        <f>IF(X174="","",IFERROR(INDEX('Content Calendar'!$H$5:$H$604,MATCH(X174,'Content Calendar'!$A$5:$A$604,0)),"Not found"))</f>
        <v>0</v>
      </c>
      <c r="Z174" s="16">
        <f>IF(X174="","",IFERROR(INDEX('Content Calendar'!$B$5:$B$604,MATCH(X174,'Content Calendar'!$A$5:$A$604,0)),"Not found"))</f>
        <v>0</v>
      </c>
      <c r="AA174" s="23">
        <f>IF(U174="","",TODAY()-U174)</f>
        <v>0</v>
      </c>
      <c r="AB174" s="16">
        <f>IF(B174="","",IF(T174="Used","",IF(V174="",U174,V174)+IdeaReviewDays))</f>
        <v>0</v>
      </c>
      <c r="AC174" s="29">
        <f>IF(B174="","",IF(COUNTIF('Idea Bank'!$B$5:$B$304,B174)&gt;1,"Duplicate","OK"))</f>
        <v>0</v>
      </c>
      <c r="AD174" s="29">
        <f>IF(B174="","",IF(T174="Used","Done - on the calendar",IF(AND(X174&lt;&gt;"",Y174=""),"Check - content ID not found",IF(AND(AB174&lt;&gt;"",AB174&lt;TODAY()),"Review - idea is going stale",IF(AND(S174&gt;=8,T174&lt;&gt;"Scheduled",X174=""),"Plan - strong idea, not scheduled","OK")))))</f>
        <v>0</v>
      </c>
    </row>
    <row r="175" spans="1:30">
      <c r="A175" s="41">
        <f>IF(B175="","",IdeaPrefix&amp;TEXT(ROW()-4,"000"))</f>
        <v>0</v>
      </c>
      <c r="Y175" s="17">
        <f>IF(X175="","",IFERROR(INDEX('Content Calendar'!$H$5:$H$604,MATCH(X175,'Content Calendar'!$A$5:$A$604,0)),"Not found"))</f>
        <v>0</v>
      </c>
      <c r="Z175" s="16">
        <f>IF(X175="","",IFERROR(INDEX('Content Calendar'!$B$5:$B$604,MATCH(X175,'Content Calendar'!$A$5:$A$604,0)),"Not found"))</f>
        <v>0</v>
      </c>
      <c r="AA175" s="23">
        <f>IF(U175="","",TODAY()-U175)</f>
        <v>0</v>
      </c>
      <c r="AB175" s="16">
        <f>IF(B175="","",IF(T175="Used","",IF(V175="",U175,V175)+IdeaReviewDays))</f>
        <v>0</v>
      </c>
      <c r="AC175" s="29">
        <f>IF(B175="","",IF(COUNTIF('Idea Bank'!$B$5:$B$304,B175)&gt;1,"Duplicate","OK"))</f>
        <v>0</v>
      </c>
      <c r="AD175" s="29">
        <f>IF(B175="","",IF(T175="Used","Done - on the calendar",IF(AND(X175&lt;&gt;"",Y175=""),"Check - content ID not found",IF(AND(AB175&lt;&gt;"",AB175&lt;TODAY()),"Review - idea is going stale",IF(AND(S175&gt;=8,T175&lt;&gt;"Scheduled",X175=""),"Plan - strong idea, not scheduled","OK")))))</f>
        <v>0</v>
      </c>
    </row>
    <row r="176" spans="1:30">
      <c r="A176" s="41">
        <f>IF(B176="","",IdeaPrefix&amp;TEXT(ROW()-4,"000"))</f>
        <v>0</v>
      </c>
      <c r="Y176" s="17">
        <f>IF(X176="","",IFERROR(INDEX('Content Calendar'!$H$5:$H$604,MATCH(X176,'Content Calendar'!$A$5:$A$604,0)),"Not found"))</f>
        <v>0</v>
      </c>
      <c r="Z176" s="16">
        <f>IF(X176="","",IFERROR(INDEX('Content Calendar'!$B$5:$B$604,MATCH(X176,'Content Calendar'!$A$5:$A$604,0)),"Not found"))</f>
        <v>0</v>
      </c>
      <c r="AA176" s="23">
        <f>IF(U176="","",TODAY()-U176)</f>
        <v>0</v>
      </c>
      <c r="AB176" s="16">
        <f>IF(B176="","",IF(T176="Used","",IF(V176="",U176,V176)+IdeaReviewDays))</f>
        <v>0</v>
      </c>
      <c r="AC176" s="29">
        <f>IF(B176="","",IF(COUNTIF('Idea Bank'!$B$5:$B$304,B176)&gt;1,"Duplicate","OK"))</f>
        <v>0</v>
      </c>
      <c r="AD176" s="29">
        <f>IF(B176="","",IF(T176="Used","Done - on the calendar",IF(AND(X176&lt;&gt;"",Y176=""),"Check - content ID not found",IF(AND(AB176&lt;&gt;"",AB176&lt;TODAY()),"Review - idea is going stale",IF(AND(S176&gt;=8,T176&lt;&gt;"Scheduled",X176=""),"Plan - strong idea, not scheduled","OK")))))</f>
        <v>0</v>
      </c>
    </row>
    <row r="177" spans="1:30">
      <c r="A177" s="41">
        <f>IF(B177="","",IdeaPrefix&amp;TEXT(ROW()-4,"000"))</f>
        <v>0</v>
      </c>
      <c r="Y177" s="17">
        <f>IF(X177="","",IFERROR(INDEX('Content Calendar'!$H$5:$H$604,MATCH(X177,'Content Calendar'!$A$5:$A$604,0)),"Not found"))</f>
        <v>0</v>
      </c>
      <c r="Z177" s="16">
        <f>IF(X177="","",IFERROR(INDEX('Content Calendar'!$B$5:$B$604,MATCH(X177,'Content Calendar'!$A$5:$A$604,0)),"Not found"))</f>
        <v>0</v>
      </c>
      <c r="AA177" s="23">
        <f>IF(U177="","",TODAY()-U177)</f>
        <v>0</v>
      </c>
      <c r="AB177" s="16">
        <f>IF(B177="","",IF(T177="Used","",IF(V177="",U177,V177)+IdeaReviewDays))</f>
        <v>0</v>
      </c>
      <c r="AC177" s="29">
        <f>IF(B177="","",IF(COUNTIF('Idea Bank'!$B$5:$B$304,B177)&gt;1,"Duplicate","OK"))</f>
        <v>0</v>
      </c>
      <c r="AD177" s="29">
        <f>IF(B177="","",IF(T177="Used","Done - on the calendar",IF(AND(X177&lt;&gt;"",Y177=""),"Check - content ID not found",IF(AND(AB177&lt;&gt;"",AB177&lt;TODAY()),"Review - idea is going stale",IF(AND(S177&gt;=8,T177&lt;&gt;"Scheduled",X177=""),"Plan - strong idea, not scheduled","OK")))))</f>
        <v>0</v>
      </c>
    </row>
    <row r="178" spans="1:30">
      <c r="A178" s="41">
        <f>IF(B178="","",IdeaPrefix&amp;TEXT(ROW()-4,"000"))</f>
        <v>0</v>
      </c>
      <c r="Y178" s="17">
        <f>IF(X178="","",IFERROR(INDEX('Content Calendar'!$H$5:$H$604,MATCH(X178,'Content Calendar'!$A$5:$A$604,0)),"Not found"))</f>
        <v>0</v>
      </c>
      <c r="Z178" s="16">
        <f>IF(X178="","",IFERROR(INDEX('Content Calendar'!$B$5:$B$604,MATCH(X178,'Content Calendar'!$A$5:$A$604,0)),"Not found"))</f>
        <v>0</v>
      </c>
      <c r="AA178" s="23">
        <f>IF(U178="","",TODAY()-U178)</f>
        <v>0</v>
      </c>
      <c r="AB178" s="16">
        <f>IF(B178="","",IF(T178="Used","",IF(V178="",U178,V178)+IdeaReviewDays))</f>
        <v>0</v>
      </c>
      <c r="AC178" s="29">
        <f>IF(B178="","",IF(COUNTIF('Idea Bank'!$B$5:$B$304,B178)&gt;1,"Duplicate","OK"))</f>
        <v>0</v>
      </c>
      <c r="AD178" s="29">
        <f>IF(B178="","",IF(T178="Used","Done - on the calendar",IF(AND(X178&lt;&gt;"",Y178=""),"Check - content ID not found",IF(AND(AB178&lt;&gt;"",AB178&lt;TODAY()),"Review - idea is going stale",IF(AND(S178&gt;=8,T178&lt;&gt;"Scheduled",X178=""),"Plan - strong idea, not scheduled","OK")))))</f>
        <v>0</v>
      </c>
    </row>
    <row r="179" spans="1:30">
      <c r="A179" s="41">
        <f>IF(B179="","",IdeaPrefix&amp;TEXT(ROW()-4,"000"))</f>
        <v>0</v>
      </c>
      <c r="Y179" s="17">
        <f>IF(X179="","",IFERROR(INDEX('Content Calendar'!$H$5:$H$604,MATCH(X179,'Content Calendar'!$A$5:$A$604,0)),"Not found"))</f>
        <v>0</v>
      </c>
      <c r="Z179" s="16">
        <f>IF(X179="","",IFERROR(INDEX('Content Calendar'!$B$5:$B$604,MATCH(X179,'Content Calendar'!$A$5:$A$604,0)),"Not found"))</f>
        <v>0</v>
      </c>
      <c r="AA179" s="23">
        <f>IF(U179="","",TODAY()-U179)</f>
        <v>0</v>
      </c>
      <c r="AB179" s="16">
        <f>IF(B179="","",IF(T179="Used","",IF(V179="",U179,V179)+IdeaReviewDays))</f>
        <v>0</v>
      </c>
      <c r="AC179" s="29">
        <f>IF(B179="","",IF(COUNTIF('Idea Bank'!$B$5:$B$304,B179)&gt;1,"Duplicate","OK"))</f>
        <v>0</v>
      </c>
      <c r="AD179" s="29">
        <f>IF(B179="","",IF(T179="Used","Done - on the calendar",IF(AND(X179&lt;&gt;"",Y179=""),"Check - content ID not found",IF(AND(AB179&lt;&gt;"",AB179&lt;TODAY()),"Review - idea is going stale",IF(AND(S179&gt;=8,T179&lt;&gt;"Scheduled",X179=""),"Plan - strong idea, not scheduled","OK")))))</f>
        <v>0</v>
      </c>
    </row>
    <row r="180" spans="1:30">
      <c r="A180" s="41">
        <f>IF(B180="","",IdeaPrefix&amp;TEXT(ROW()-4,"000"))</f>
        <v>0</v>
      </c>
      <c r="Y180" s="17">
        <f>IF(X180="","",IFERROR(INDEX('Content Calendar'!$H$5:$H$604,MATCH(X180,'Content Calendar'!$A$5:$A$604,0)),"Not found"))</f>
        <v>0</v>
      </c>
      <c r="Z180" s="16">
        <f>IF(X180="","",IFERROR(INDEX('Content Calendar'!$B$5:$B$604,MATCH(X180,'Content Calendar'!$A$5:$A$604,0)),"Not found"))</f>
        <v>0</v>
      </c>
      <c r="AA180" s="23">
        <f>IF(U180="","",TODAY()-U180)</f>
        <v>0</v>
      </c>
      <c r="AB180" s="16">
        <f>IF(B180="","",IF(T180="Used","",IF(V180="",U180,V180)+IdeaReviewDays))</f>
        <v>0</v>
      </c>
      <c r="AC180" s="29">
        <f>IF(B180="","",IF(COUNTIF('Idea Bank'!$B$5:$B$304,B180)&gt;1,"Duplicate","OK"))</f>
        <v>0</v>
      </c>
      <c r="AD180" s="29">
        <f>IF(B180="","",IF(T180="Used","Done - on the calendar",IF(AND(X180&lt;&gt;"",Y180=""),"Check - content ID not found",IF(AND(AB180&lt;&gt;"",AB180&lt;TODAY()),"Review - idea is going stale",IF(AND(S180&gt;=8,T180&lt;&gt;"Scheduled",X180=""),"Plan - strong idea, not scheduled","OK")))))</f>
        <v>0</v>
      </c>
    </row>
    <row r="181" spans="1:30">
      <c r="A181" s="41">
        <f>IF(B181="","",IdeaPrefix&amp;TEXT(ROW()-4,"000"))</f>
        <v>0</v>
      </c>
      <c r="Y181" s="17">
        <f>IF(X181="","",IFERROR(INDEX('Content Calendar'!$H$5:$H$604,MATCH(X181,'Content Calendar'!$A$5:$A$604,0)),"Not found"))</f>
        <v>0</v>
      </c>
      <c r="Z181" s="16">
        <f>IF(X181="","",IFERROR(INDEX('Content Calendar'!$B$5:$B$604,MATCH(X181,'Content Calendar'!$A$5:$A$604,0)),"Not found"))</f>
        <v>0</v>
      </c>
      <c r="AA181" s="23">
        <f>IF(U181="","",TODAY()-U181)</f>
        <v>0</v>
      </c>
      <c r="AB181" s="16">
        <f>IF(B181="","",IF(T181="Used","",IF(V181="",U181,V181)+IdeaReviewDays))</f>
        <v>0</v>
      </c>
      <c r="AC181" s="29">
        <f>IF(B181="","",IF(COUNTIF('Idea Bank'!$B$5:$B$304,B181)&gt;1,"Duplicate","OK"))</f>
        <v>0</v>
      </c>
      <c r="AD181" s="29">
        <f>IF(B181="","",IF(T181="Used","Done - on the calendar",IF(AND(X181&lt;&gt;"",Y181=""),"Check - content ID not found",IF(AND(AB181&lt;&gt;"",AB181&lt;TODAY()),"Review - idea is going stale",IF(AND(S181&gt;=8,T181&lt;&gt;"Scheduled",X181=""),"Plan - strong idea, not scheduled","OK")))))</f>
        <v>0</v>
      </c>
    </row>
    <row r="182" spans="1:30">
      <c r="A182" s="41">
        <f>IF(B182="","",IdeaPrefix&amp;TEXT(ROW()-4,"000"))</f>
        <v>0</v>
      </c>
      <c r="Y182" s="17">
        <f>IF(X182="","",IFERROR(INDEX('Content Calendar'!$H$5:$H$604,MATCH(X182,'Content Calendar'!$A$5:$A$604,0)),"Not found"))</f>
        <v>0</v>
      </c>
      <c r="Z182" s="16">
        <f>IF(X182="","",IFERROR(INDEX('Content Calendar'!$B$5:$B$604,MATCH(X182,'Content Calendar'!$A$5:$A$604,0)),"Not found"))</f>
        <v>0</v>
      </c>
      <c r="AA182" s="23">
        <f>IF(U182="","",TODAY()-U182)</f>
        <v>0</v>
      </c>
      <c r="AB182" s="16">
        <f>IF(B182="","",IF(T182="Used","",IF(V182="",U182,V182)+IdeaReviewDays))</f>
        <v>0</v>
      </c>
      <c r="AC182" s="29">
        <f>IF(B182="","",IF(COUNTIF('Idea Bank'!$B$5:$B$304,B182)&gt;1,"Duplicate","OK"))</f>
        <v>0</v>
      </c>
      <c r="AD182" s="29">
        <f>IF(B182="","",IF(T182="Used","Done - on the calendar",IF(AND(X182&lt;&gt;"",Y182=""),"Check - content ID not found",IF(AND(AB182&lt;&gt;"",AB182&lt;TODAY()),"Review - idea is going stale",IF(AND(S182&gt;=8,T182&lt;&gt;"Scheduled",X182=""),"Plan - strong idea, not scheduled","OK")))))</f>
        <v>0</v>
      </c>
    </row>
    <row r="183" spans="1:30">
      <c r="A183" s="41">
        <f>IF(B183="","",IdeaPrefix&amp;TEXT(ROW()-4,"000"))</f>
        <v>0</v>
      </c>
      <c r="Y183" s="17">
        <f>IF(X183="","",IFERROR(INDEX('Content Calendar'!$H$5:$H$604,MATCH(X183,'Content Calendar'!$A$5:$A$604,0)),"Not found"))</f>
        <v>0</v>
      </c>
      <c r="Z183" s="16">
        <f>IF(X183="","",IFERROR(INDEX('Content Calendar'!$B$5:$B$604,MATCH(X183,'Content Calendar'!$A$5:$A$604,0)),"Not found"))</f>
        <v>0</v>
      </c>
      <c r="AA183" s="23">
        <f>IF(U183="","",TODAY()-U183)</f>
        <v>0</v>
      </c>
      <c r="AB183" s="16">
        <f>IF(B183="","",IF(T183="Used","",IF(V183="",U183,V183)+IdeaReviewDays))</f>
        <v>0</v>
      </c>
      <c r="AC183" s="29">
        <f>IF(B183="","",IF(COUNTIF('Idea Bank'!$B$5:$B$304,B183)&gt;1,"Duplicate","OK"))</f>
        <v>0</v>
      </c>
      <c r="AD183" s="29">
        <f>IF(B183="","",IF(T183="Used","Done - on the calendar",IF(AND(X183&lt;&gt;"",Y183=""),"Check - content ID not found",IF(AND(AB183&lt;&gt;"",AB183&lt;TODAY()),"Review - idea is going stale",IF(AND(S183&gt;=8,T183&lt;&gt;"Scheduled",X183=""),"Plan - strong idea, not scheduled","OK")))))</f>
        <v>0</v>
      </c>
    </row>
    <row r="184" spans="1:30">
      <c r="A184" s="41">
        <f>IF(B184="","",IdeaPrefix&amp;TEXT(ROW()-4,"000"))</f>
        <v>0</v>
      </c>
      <c r="Y184" s="17">
        <f>IF(X184="","",IFERROR(INDEX('Content Calendar'!$H$5:$H$604,MATCH(X184,'Content Calendar'!$A$5:$A$604,0)),"Not found"))</f>
        <v>0</v>
      </c>
      <c r="Z184" s="16">
        <f>IF(X184="","",IFERROR(INDEX('Content Calendar'!$B$5:$B$604,MATCH(X184,'Content Calendar'!$A$5:$A$604,0)),"Not found"))</f>
        <v>0</v>
      </c>
      <c r="AA184" s="23">
        <f>IF(U184="","",TODAY()-U184)</f>
        <v>0</v>
      </c>
      <c r="AB184" s="16">
        <f>IF(B184="","",IF(T184="Used","",IF(V184="",U184,V184)+IdeaReviewDays))</f>
        <v>0</v>
      </c>
      <c r="AC184" s="29">
        <f>IF(B184="","",IF(COUNTIF('Idea Bank'!$B$5:$B$304,B184)&gt;1,"Duplicate","OK"))</f>
        <v>0</v>
      </c>
      <c r="AD184" s="29">
        <f>IF(B184="","",IF(T184="Used","Done - on the calendar",IF(AND(X184&lt;&gt;"",Y184=""),"Check - content ID not found",IF(AND(AB184&lt;&gt;"",AB184&lt;TODAY()),"Review - idea is going stale",IF(AND(S184&gt;=8,T184&lt;&gt;"Scheduled",X184=""),"Plan - strong idea, not scheduled","OK")))))</f>
        <v>0</v>
      </c>
    </row>
    <row r="185" spans="1:30">
      <c r="A185" s="41">
        <f>IF(B185="","",IdeaPrefix&amp;TEXT(ROW()-4,"000"))</f>
        <v>0</v>
      </c>
      <c r="Y185" s="17">
        <f>IF(X185="","",IFERROR(INDEX('Content Calendar'!$H$5:$H$604,MATCH(X185,'Content Calendar'!$A$5:$A$604,0)),"Not found"))</f>
        <v>0</v>
      </c>
      <c r="Z185" s="16">
        <f>IF(X185="","",IFERROR(INDEX('Content Calendar'!$B$5:$B$604,MATCH(X185,'Content Calendar'!$A$5:$A$604,0)),"Not found"))</f>
        <v>0</v>
      </c>
      <c r="AA185" s="23">
        <f>IF(U185="","",TODAY()-U185)</f>
        <v>0</v>
      </c>
      <c r="AB185" s="16">
        <f>IF(B185="","",IF(T185="Used","",IF(V185="",U185,V185)+IdeaReviewDays))</f>
        <v>0</v>
      </c>
      <c r="AC185" s="29">
        <f>IF(B185="","",IF(COUNTIF('Idea Bank'!$B$5:$B$304,B185)&gt;1,"Duplicate","OK"))</f>
        <v>0</v>
      </c>
      <c r="AD185" s="29">
        <f>IF(B185="","",IF(T185="Used","Done - on the calendar",IF(AND(X185&lt;&gt;"",Y185=""),"Check - content ID not found",IF(AND(AB185&lt;&gt;"",AB185&lt;TODAY()),"Review - idea is going stale",IF(AND(S185&gt;=8,T185&lt;&gt;"Scheduled",X185=""),"Plan - strong idea, not scheduled","OK")))))</f>
        <v>0</v>
      </c>
    </row>
    <row r="186" spans="1:30">
      <c r="A186" s="41">
        <f>IF(B186="","",IdeaPrefix&amp;TEXT(ROW()-4,"000"))</f>
        <v>0</v>
      </c>
      <c r="Y186" s="17">
        <f>IF(X186="","",IFERROR(INDEX('Content Calendar'!$H$5:$H$604,MATCH(X186,'Content Calendar'!$A$5:$A$604,0)),"Not found"))</f>
        <v>0</v>
      </c>
      <c r="Z186" s="16">
        <f>IF(X186="","",IFERROR(INDEX('Content Calendar'!$B$5:$B$604,MATCH(X186,'Content Calendar'!$A$5:$A$604,0)),"Not found"))</f>
        <v>0</v>
      </c>
      <c r="AA186" s="23">
        <f>IF(U186="","",TODAY()-U186)</f>
        <v>0</v>
      </c>
      <c r="AB186" s="16">
        <f>IF(B186="","",IF(T186="Used","",IF(V186="",U186,V186)+IdeaReviewDays))</f>
        <v>0</v>
      </c>
      <c r="AC186" s="29">
        <f>IF(B186="","",IF(COUNTIF('Idea Bank'!$B$5:$B$304,B186)&gt;1,"Duplicate","OK"))</f>
        <v>0</v>
      </c>
      <c r="AD186" s="29">
        <f>IF(B186="","",IF(T186="Used","Done - on the calendar",IF(AND(X186&lt;&gt;"",Y186=""),"Check - content ID not found",IF(AND(AB186&lt;&gt;"",AB186&lt;TODAY()),"Review - idea is going stale",IF(AND(S186&gt;=8,T186&lt;&gt;"Scheduled",X186=""),"Plan - strong idea, not scheduled","OK")))))</f>
        <v>0</v>
      </c>
    </row>
    <row r="187" spans="1:30">
      <c r="A187" s="41">
        <f>IF(B187="","",IdeaPrefix&amp;TEXT(ROW()-4,"000"))</f>
        <v>0</v>
      </c>
      <c r="Y187" s="17">
        <f>IF(X187="","",IFERROR(INDEX('Content Calendar'!$H$5:$H$604,MATCH(X187,'Content Calendar'!$A$5:$A$604,0)),"Not found"))</f>
        <v>0</v>
      </c>
      <c r="Z187" s="16">
        <f>IF(X187="","",IFERROR(INDEX('Content Calendar'!$B$5:$B$604,MATCH(X187,'Content Calendar'!$A$5:$A$604,0)),"Not found"))</f>
        <v>0</v>
      </c>
      <c r="AA187" s="23">
        <f>IF(U187="","",TODAY()-U187)</f>
        <v>0</v>
      </c>
      <c r="AB187" s="16">
        <f>IF(B187="","",IF(T187="Used","",IF(V187="",U187,V187)+IdeaReviewDays))</f>
        <v>0</v>
      </c>
      <c r="AC187" s="29">
        <f>IF(B187="","",IF(COUNTIF('Idea Bank'!$B$5:$B$304,B187)&gt;1,"Duplicate","OK"))</f>
        <v>0</v>
      </c>
      <c r="AD187" s="29">
        <f>IF(B187="","",IF(T187="Used","Done - on the calendar",IF(AND(X187&lt;&gt;"",Y187=""),"Check - content ID not found",IF(AND(AB187&lt;&gt;"",AB187&lt;TODAY()),"Review - idea is going stale",IF(AND(S187&gt;=8,T187&lt;&gt;"Scheduled",X187=""),"Plan - strong idea, not scheduled","OK")))))</f>
        <v>0</v>
      </c>
    </row>
    <row r="188" spans="1:30">
      <c r="A188" s="41">
        <f>IF(B188="","",IdeaPrefix&amp;TEXT(ROW()-4,"000"))</f>
        <v>0</v>
      </c>
      <c r="Y188" s="17">
        <f>IF(X188="","",IFERROR(INDEX('Content Calendar'!$H$5:$H$604,MATCH(X188,'Content Calendar'!$A$5:$A$604,0)),"Not found"))</f>
        <v>0</v>
      </c>
      <c r="Z188" s="16">
        <f>IF(X188="","",IFERROR(INDEX('Content Calendar'!$B$5:$B$604,MATCH(X188,'Content Calendar'!$A$5:$A$604,0)),"Not found"))</f>
        <v>0</v>
      </c>
      <c r="AA188" s="23">
        <f>IF(U188="","",TODAY()-U188)</f>
        <v>0</v>
      </c>
      <c r="AB188" s="16">
        <f>IF(B188="","",IF(T188="Used","",IF(V188="",U188,V188)+IdeaReviewDays))</f>
        <v>0</v>
      </c>
      <c r="AC188" s="29">
        <f>IF(B188="","",IF(COUNTIF('Idea Bank'!$B$5:$B$304,B188)&gt;1,"Duplicate","OK"))</f>
        <v>0</v>
      </c>
      <c r="AD188" s="29">
        <f>IF(B188="","",IF(T188="Used","Done - on the calendar",IF(AND(X188&lt;&gt;"",Y188=""),"Check - content ID not found",IF(AND(AB188&lt;&gt;"",AB188&lt;TODAY()),"Review - idea is going stale",IF(AND(S188&gt;=8,T188&lt;&gt;"Scheduled",X188=""),"Plan - strong idea, not scheduled","OK")))))</f>
        <v>0</v>
      </c>
    </row>
    <row r="189" spans="1:30">
      <c r="A189" s="41">
        <f>IF(B189="","",IdeaPrefix&amp;TEXT(ROW()-4,"000"))</f>
        <v>0</v>
      </c>
      <c r="Y189" s="17">
        <f>IF(X189="","",IFERROR(INDEX('Content Calendar'!$H$5:$H$604,MATCH(X189,'Content Calendar'!$A$5:$A$604,0)),"Not found"))</f>
        <v>0</v>
      </c>
      <c r="Z189" s="16">
        <f>IF(X189="","",IFERROR(INDEX('Content Calendar'!$B$5:$B$604,MATCH(X189,'Content Calendar'!$A$5:$A$604,0)),"Not found"))</f>
        <v>0</v>
      </c>
      <c r="AA189" s="23">
        <f>IF(U189="","",TODAY()-U189)</f>
        <v>0</v>
      </c>
      <c r="AB189" s="16">
        <f>IF(B189="","",IF(T189="Used","",IF(V189="",U189,V189)+IdeaReviewDays))</f>
        <v>0</v>
      </c>
      <c r="AC189" s="29">
        <f>IF(B189="","",IF(COUNTIF('Idea Bank'!$B$5:$B$304,B189)&gt;1,"Duplicate","OK"))</f>
        <v>0</v>
      </c>
      <c r="AD189" s="29">
        <f>IF(B189="","",IF(T189="Used","Done - on the calendar",IF(AND(X189&lt;&gt;"",Y189=""),"Check - content ID not found",IF(AND(AB189&lt;&gt;"",AB189&lt;TODAY()),"Review - idea is going stale",IF(AND(S189&gt;=8,T189&lt;&gt;"Scheduled",X189=""),"Plan - strong idea, not scheduled","OK")))))</f>
        <v>0</v>
      </c>
    </row>
    <row r="190" spans="1:30">
      <c r="A190" s="41">
        <f>IF(B190="","",IdeaPrefix&amp;TEXT(ROW()-4,"000"))</f>
        <v>0</v>
      </c>
      <c r="Y190" s="17">
        <f>IF(X190="","",IFERROR(INDEX('Content Calendar'!$H$5:$H$604,MATCH(X190,'Content Calendar'!$A$5:$A$604,0)),"Not found"))</f>
        <v>0</v>
      </c>
      <c r="Z190" s="16">
        <f>IF(X190="","",IFERROR(INDEX('Content Calendar'!$B$5:$B$604,MATCH(X190,'Content Calendar'!$A$5:$A$604,0)),"Not found"))</f>
        <v>0</v>
      </c>
      <c r="AA190" s="23">
        <f>IF(U190="","",TODAY()-U190)</f>
        <v>0</v>
      </c>
      <c r="AB190" s="16">
        <f>IF(B190="","",IF(T190="Used","",IF(V190="",U190,V190)+IdeaReviewDays))</f>
        <v>0</v>
      </c>
      <c r="AC190" s="29">
        <f>IF(B190="","",IF(COUNTIF('Idea Bank'!$B$5:$B$304,B190)&gt;1,"Duplicate","OK"))</f>
        <v>0</v>
      </c>
      <c r="AD190" s="29">
        <f>IF(B190="","",IF(T190="Used","Done - on the calendar",IF(AND(X190&lt;&gt;"",Y190=""),"Check - content ID not found",IF(AND(AB190&lt;&gt;"",AB190&lt;TODAY()),"Review - idea is going stale",IF(AND(S190&gt;=8,T190&lt;&gt;"Scheduled",X190=""),"Plan - strong idea, not scheduled","OK")))))</f>
        <v>0</v>
      </c>
    </row>
    <row r="191" spans="1:30">
      <c r="A191" s="41">
        <f>IF(B191="","",IdeaPrefix&amp;TEXT(ROW()-4,"000"))</f>
        <v>0</v>
      </c>
      <c r="Y191" s="17">
        <f>IF(X191="","",IFERROR(INDEX('Content Calendar'!$H$5:$H$604,MATCH(X191,'Content Calendar'!$A$5:$A$604,0)),"Not found"))</f>
        <v>0</v>
      </c>
      <c r="Z191" s="16">
        <f>IF(X191="","",IFERROR(INDEX('Content Calendar'!$B$5:$B$604,MATCH(X191,'Content Calendar'!$A$5:$A$604,0)),"Not found"))</f>
        <v>0</v>
      </c>
      <c r="AA191" s="23">
        <f>IF(U191="","",TODAY()-U191)</f>
        <v>0</v>
      </c>
      <c r="AB191" s="16">
        <f>IF(B191="","",IF(T191="Used","",IF(V191="",U191,V191)+IdeaReviewDays))</f>
        <v>0</v>
      </c>
      <c r="AC191" s="29">
        <f>IF(B191="","",IF(COUNTIF('Idea Bank'!$B$5:$B$304,B191)&gt;1,"Duplicate","OK"))</f>
        <v>0</v>
      </c>
      <c r="AD191" s="29">
        <f>IF(B191="","",IF(T191="Used","Done - on the calendar",IF(AND(X191&lt;&gt;"",Y191=""),"Check - content ID not found",IF(AND(AB191&lt;&gt;"",AB191&lt;TODAY()),"Review - idea is going stale",IF(AND(S191&gt;=8,T191&lt;&gt;"Scheduled",X191=""),"Plan - strong idea, not scheduled","OK")))))</f>
        <v>0</v>
      </c>
    </row>
    <row r="192" spans="1:30">
      <c r="A192" s="41">
        <f>IF(B192="","",IdeaPrefix&amp;TEXT(ROW()-4,"000"))</f>
        <v>0</v>
      </c>
      <c r="Y192" s="17">
        <f>IF(X192="","",IFERROR(INDEX('Content Calendar'!$H$5:$H$604,MATCH(X192,'Content Calendar'!$A$5:$A$604,0)),"Not found"))</f>
        <v>0</v>
      </c>
      <c r="Z192" s="16">
        <f>IF(X192="","",IFERROR(INDEX('Content Calendar'!$B$5:$B$604,MATCH(X192,'Content Calendar'!$A$5:$A$604,0)),"Not found"))</f>
        <v>0</v>
      </c>
      <c r="AA192" s="23">
        <f>IF(U192="","",TODAY()-U192)</f>
        <v>0</v>
      </c>
      <c r="AB192" s="16">
        <f>IF(B192="","",IF(T192="Used","",IF(V192="",U192,V192)+IdeaReviewDays))</f>
        <v>0</v>
      </c>
      <c r="AC192" s="29">
        <f>IF(B192="","",IF(COUNTIF('Idea Bank'!$B$5:$B$304,B192)&gt;1,"Duplicate","OK"))</f>
        <v>0</v>
      </c>
      <c r="AD192" s="29">
        <f>IF(B192="","",IF(T192="Used","Done - on the calendar",IF(AND(X192&lt;&gt;"",Y192=""),"Check - content ID not found",IF(AND(AB192&lt;&gt;"",AB192&lt;TODAY()),"Review - idea is going stale",IF(AND(S192&gt;=8,T192&lt;&gt;"Scheduled",X192=""),"Plan - strong idea, not scheduled","OK")))))</f>
        <v>0</v>
      </c>
    </row>
    <row r="193" spans="1:30">
      <c r="A193" s="41">
        <f>IF(B193="","",IdeaPrefix&amp;TEXT(ROW()-4,"000"))</f>
        <v>0</v>
      </c>
      <c r="Y193" s="17">
        <f>IF(X193="","",IFERROR(INDEX('Content Calendar'!$H$5:$H$604,MATCH(X193,'Content Calendar'!$A$5:$A$604,0)),"Not found"))</f>
        <v>0</v>
      </c>
      <c r="Z193" s="16">
        <f>IF(X193="","",IFERROR(INDEX('Content Calendar'!$B$5:$B$604,MATCH(X193,'Content Calendar'!$A$5:$A$604,0)),"Not found"))</f>
        <v>0</v>
      </c>
      <c r="AA193" s="23">
        <f>IF(U193="","",TODAY()-U193)</f>
        <v>0</v>
      </c>
      <c r="AB193" s="16">
        <f>IF(B193="","",IF(T193="Used","",IF(V193="",U193,V193)+IdeaReviewDays))</f>
        <v>0</v>
      </c>
      <c r="AC193" s="29">
        <f>IF(B193="","",IF(COUNTIF('Idea Bank'!$B$5:$B$304,B193)&gt;1,"Duplicate","OK"))</f>
        <v>0</v>
      </c>
      <c r="AD193" s="29">
        <f>IF(B193="","",IF(T193="Used","Done - on the calendar",IF(AND(X193&lt;&gt;"",Y193=""),"Check - content ID not found",IF(AND(AB193&lt;&gt;"",AB193&lt;TODAY()),"Review - idea is going stale",IF(AND(S193&gt;=8,T193&lt;&gt;"Scheduled",X193=""),"Plan - strong idea, not scheduled","OK")))))</f>
        <v>0</v>
      </c>
    </row>
    <row r="194" spans="1:30">
      <c r="A194" s="41">
        <f>IF(B194="","",IdeaPrefix&amp;TEXT(ROW()-4,"000"))</f>
        <v>0</v>
      </c>
      <c r="Y194" s="17">
        <f>IF(X194="","",IFERROR(INDEX('Content Calendar'!$H$5:$H$604,MATCH(X194,'Content Calendar'!$A$5:$A$604,0)),"Not found"))</f>
        <v>0</v>
      </c>
      <c r="Z194" s="16">
        <f>IF(X194="","",IFERROR(INDEX('Content Calendar'!$B$5:$B$604,MATCH(X194,'Content Calendar'!$A$5:$A$604,0)),"Not found"))</f>
        <v>0</v>
      </c>
      <c r="AA194" s="23">
        <f>IF(U194="","",TODAY()-U194)</f>
        <v>0</v>
      </c>
      <c r="AB194" s="16">
        <f>IF(B194="","",IF(T194="Used","",IF(V194="",U194,V194)+IdeaReviewDays))</f>
        <v>0</v>
      </c>
      <c r="AC194" s="29">
        <f>IF(B194="","",IF(COUNTIF('Idea Bank'!$B$5:$B$304,B194)&gt;1,"Duplicate","OK"))</f>
        <v>0</v>
      </c>
      <c r="AD194" s="29">
        <f>IF(B194="","",IF(T194="Used","Done - on the calendar",IF(AND(X194&lt;&gt;"",Y194=""),"Check - content ID not found",IF(AND(AB194&lt;&gt;"",AB194&lt;TODAY()),"Review - idea is going stale",IF(AND(S194&gt;=8,T194&lt;&gt;"Scheduled",X194=""),"Plan - strong idea, not scheduled","OK")))))</f>
        <v>0</v>
      </c>
    </row>
    <row r="195" spans="1:30">
      <c r="A195" s="41">
        <f>IF(B195="","",IdeaPrefix&amp;TEXT(ROW()-4,"000"))</f>
        <v>0</v>
      </c>
      <c r="Y195" s="17">
        <f>IF(X195="","",IFERROR(INDEX('Content Calendar'!$H$5:$H$604,MATCH(X195,'Content Calendar'!$A$5:$A$604,0)),"Not found"))</f>
        <v>0</v>
      </c>
      <c r="Z195" s="16">
        <f>IF(X195="","",IFERROR(INDEX('Content Calendar'!$B$5:$B$604,MATCH(X195,'Content Calendar'!$A$5:$A$604,0)),"Not found"))</f>
        <v>0</v>
      </c>
      <c r="AA195" s="23">
        <f>IF(U195="","",TODAY()-U195)</f>
        <v>0</v>
      </c>
      <c r="AB195" s="16">
        <f>IF(B195="","",IF(T195="Used","",IF(V195="",U195,V195)+IdeaReviewDays))</f>
        <v>0</v>
      </c>
      <c r="AC195" s="29">
        <f>IF(B195="","",IF(COUNTIF('Idea Bank'!$B$5:$B$304,B195)&gt;1,"Duplicate","OK"))</f>
        <v>0</v>
      </c>
      <c r="AD195" s="29">
        <f>IF(B195="","",IF(T195="Used","Done - on the calendar",IF(AND(X195&lt;&gt;"",Y195=""),"Check - content ID not found",IF(AND(AB195&lt;&gt;"",AB195&lt;TODAY()),"Review - idea is going stale",IF(AND(S195&gt;=8,T195&lt;&gt;"Scheduled",X195=""),"Plan - strong idea, not scheduled","OK")))))</f>
        <v>0</v>
      </c>
    </row>
    <row r="196" spans="1:30">
      <c r="A196" s="41">
        <f>IF(B196="","",IdeaPrefix&amp;TEXT(ROW()-4,"000"))</f>
        <v>0</v>
      </c>
      <c r="Y196" s="17">
        <f>IF(X196="","",IFERROR(INDEX('Content Calendar'!$H$5:$H$604,MATCH(X196,'Content Calendar'!$A$5:$A$604,0)),"Not found"))</f>
        <v>0</v>
      </c>
      <c r="Z196" s="16">
        <f>IF(X196="","",IFERROR(INDEX('Content Calendar'!$B$5:$B$604,MATCH(X196,'Content Calendar'!$A$5:$A$604,0)),"Not found"))</f>
        <v>0</v>
      </c>
      <c r="AA196" s="23">
        <f>IF(U196="","",TODAY()-U196)</f>
        <v>0</v>
      </c>
      <c r="AB196" s="16">
        <f>IF(B196="","",IF(T196="Used","",IF(V196="",U196,V196)+IdeaReviewDays))</f>
        <v>0</v>
      </c>
      <c r="AC196" s="29">
        <f>IF(B196="","",IF(COUNTIF('Idea Bank'!$B$5:$B$304,B196)&gt;1,"Duplicate","OK"))</f>
        <v>0</v>
      </c>
      <c r="AD196" s="29">
        <f>IF(B196="","",IF(T196="Used","Done - on the calendar",IF(AND(X196&lt;&gt;"",Y196=""),"Check - content ID not found",IF(AND(AB196&lt;&gt;"",AB196&lt;TODAY()),"Review - idea is going stale",IF(AND(S196&gt;=8,T196&lt;&gt;"Scheduled",X196=""),"Plan - strong idea, not scheduled","OK")))))</f>
        <v>0</v>
      </c>
    </row>
    <row r="197" spans="1:30">
      <c r="A197" s="41">
        <f>IF(B197="","",IdeaPrefix&amp;TEXT(ROW()-4,"000"))</f>
        <v>0</v>
      </c>
      <c r="Y197" s="17">
        <f>IF(X197="","",IFERROR(INDEX('Content Calendar'!$H$5:$H$604,MATCH(X197,'Content Calendar'!$A$5:$A$604,0)),"Not found"))</f>
        <v>0</v>
      </c>
      <c r="Z197" s="16">
        <f>IF(X197="","",IFERROR(INDEX('Content Calendar'!$B$5:$B$604,MATCH(X197,'Content Calendar'!$A$5:$A$604,0)),"Not found"))</f>
        <v>0</v>
      </c>
      <c r="AA197" s="23">
        <f>IF(U197="","",TODAY()-U197)</f>
        <v>0</v>
      </c>
      <c r="AB197" s="16">
        <f>IF(B197="","",IF(T197="Used","",IF(V197="",U197,V197)+IdeaReviewDays))</f>
        <v>0</v>
      </c>
      <c r="AC197" s="29">
        <f>IF(B197="","",IF(COUNTIF('Idea Bank'!$B$5:$B$304,B197)&gt;1,"Duplicate","OK"))</f>
        <v>0</v>
      </c>
      <c r="AD197" s="29">
        <f>IF(B197="","",IF(T197="Used","Done - on the calendar",IF(AND(X197&lt;&gt;"",Y197=""),"Check - content ID not found",IF(AND(AB197&lt;&gt;"",AB197&lt;TODAY()),"Review - idea is going stale",IF(AND(S197&gt;=8,T197&lt;&gt;"Scheduled",X197=""),"Plan - strong idea, not scheduled","OK")))))</f>
        <v>0</v>
      </c>
    </row>
    <row r="198" spans="1:30">
      <c r="A198" s="41">
        <f>IF(B198="","",IdeaPrefix&amp;TEXT(ROW()-4,"000"))</f>
        <v>0</v>
      </c>
      <c r="Y198" s="17">
        <f>IF(X198="","",IFERROR(INDEX('Content Calendar'!$H$5:$H$604,MATCH(X198,'Content Calendar'!$A$5:$A$604,0)),"Not found"))</f>
        <v>0</v>
      </c>
      <c r="Z198" s="16">
        <f>IF(X198="","",IFERROR(INDEX('Content Calendar'!$B$5:$B$604,MATCH(X198,'Content Calendar'!$A$5:$A$604,0)),"Not found"))</f>
        <v>0</v>
      </c>
      <c r="AA198" s="23">
        <f>IF(U198="","",TODAY()-U198)</f>
        <v>0</v>
      </c>
      <c r="AB198" s="16">
        <f>IF(B198="","",IF(T198="Used","",IF(V198="",U198,V198)+IdeaReviewDays))</f>
        <v>0</v>
      </c>
      <c r="AC198" s="29">
        <f>IF(B198="","",IF(COUNTIF('Idea Bank'!$B$5:$B$304,B198)&gt;1,"Duplicate","OK"))</f>
        <v>0</v>
      </c>
      <c r="AD198" s="29">
        <f>IF(B198="","",IF(T198="Used","Done - on the calendar",IF(AND(X198&lt;&gt;"",Y198=""),"Check - content ID not found",IF(AND(AB198&lt;&gt;"",AB198&lt;TODAY()),"Review - idea is going stale",IF(AND(S198&gt;=8,T198&lt;&gt;"Scheduled",X198=""),"Plan - strong idea, not scheduled","OK")))))</f>
        <v>0</v>
      </c>
    </row>
    <row r="199" spans="1:30">
      <c r="A199" s="41">
        <f>IF(B199="","",IdeaPrefix&amp;TEXT(ROW()-4,"000"))</f>
        <v>0</v>
      </c>
      <c r="Y199" s="17">
        <f>IF(X199="","",IFERROR(INDEX('Content Calendar'!$H$5:$H$604,MATCH(X199,'Content Calendar'!$A$5:$A$604,0)),"Not found"))</f>
        <v>0</v>
      </c>
      <c r="Z199" s="16">
        <f>IF(X199="","",IFERROR(INDEX('Content Calendar'!$B$5:$B$604,MATCH(X199,'Content Calendar'!$A$5:$A$604,0)),"Not found"))</f>
        <v>0</v>
      </c>
      <c r="AA199" s="23">
        <f>IF(U199="","",TODAY()-U199)</f>
        <v>0</v>
      </c>
      <c r="AB199" s="16">
        <f>IF(B199="","",IF(T199="Used","",IF(V199="",U199,V199)+IdeaReviewDays))</f>
        <v>0</v>
      </c>
      <c r="AC199" s="29">
        <f>IF(B199="","",IF(COUNTIF('Idea Bank'!$B$5:$B$304,B199)&gt;1,"Duplicate","OK"))</f>
        <v>0</v>
      </c>
      <c r="AD199" s="29">
        <f>IF(B199="","",IF(T199="Used","Done - on the calendar",IF(AND(X199&lt;&gt;"",Y199=""),"Check - content ID not found",IF(AND(AB199&lt;&gt;"",AB199&lt;TODAY()),"Review - idea is going stale",IF(AND(S199&gt;=8,T199&lt;&gt;"Scheduled",X199=""),"Plan - strong idea, not scheduled","OK")))))</f>
        <v>0</v>
      </c>
    </row>
    <row r="200" spans="1:30">
      <c r="A200" s="41">
        <f>IF(B200="","",IdeaPrefix&amp;TEXT(ROW()-4,"000"))</f>
        <v>0</v>
      </c>
      <c r="Y200" s="17">
        <f>IF(X200="","",IFERROR(INDEX('Content Calendar'!$H$5:$H$604,MATCH(X200,'Content Calendar'!$A$5:$A$604,0)),"Not found"))</f>
        <v>0</v>
      </c>
      <c r="Z200" s="16">
        <f>IF(X200="","",IFERROR(INDEX('Content Calendar'!$B$5:$B$604,MATCH(X200,'Content Calendar'!$A$5:$A$604,0)),"Not found"))</f>
        <v>0</v>
      </c>
      <c r="AA200" s="23">
        <f>IF(U200="","",TODAY()-U200)</f>
        <v>0</v>
      </c>
      <c r="AB200" s="16">
        <f>IF(B200="","",IF(T200="Used","",IF(V200="",U200,V200)+IdeaReviewDays))</f>
        <v>0</v>
      </c>
      <c r="AC200" s="29">
        <f>IF(B200="","",IF(COUNTIF('Idea Bank'!$B$5:$B$304,B200)&gt;1,"Duplicate","OK"))</f>
        <v>0</v>
      </c>
      <c r="AD200" s="29">
        <f>IF(B200="","",IF(T200="Used","Done - on the calendar",IF(AND(X200&lt;&gt;"",Y200=""),"Check - content ID not found",IF(AND(AB200&lt;&gt;"",AB200&lt;TODAY()),"Review - idea is going stale",IF(AND(S200&gt;=8,T200&lt;&gt;"Scheduled",X200=""),"Plan - strong idea, not scheduled","OK")))))</f>
        <v>0</v>
      </c>
    </row>
    <row r="201" spans="1:30">
      <c r="A201" s="41">
        <f>IF(B201="","",IdeaPrefix&amp;TEXT(ROW()-4,"000"))</f>
        <v>0</v>
      </c>
      <c r="Y201" s="17">
        <f>IF(X201="","",IFERROR(INDEX('Content Calendar'!$H$5:$H$604,MATCH(X201,'Content Calendar'!$A$5:$A$604,0)),"Not found"))</f>
        <v>0</v>
      </c>
      <c r="Z201" s="16">
        <f>IF(X201="","",IFERROR(INDEX('Content Calendar'!$B$5:$B$604,MATCH(X201,'Content Calendar'!$A$5:$A$604,0)),"Not found"))</f>
        <v>0</v>
      </c>
      <c r="AA201" s="23">
        <f>IF(U201="","",TODAY()-U201)</f>
        <v>0</v>
      </c>
      <c r="AB201" s="16">
        <f>IF(B201="","",IF(T201="Used","",IF(V201="",U201,V201)+IdeaReviewDays))</f>
        <v>0</v>
      </c>
      <c r="AC201" s="29">
        <f>IF(B201="","",IF(COUNTIF('Idea Bank'!$B$5:$B$304,B201)&gt;1,"Duplicate","OK"))</f>
        <v>0</v>
      </c>
      <c r="AD201" s="29">
        <f>IF(B201="","",IF(T201="Used","Done - on the calendar",IF(AND(X201&lt;&gt;"",Y201=""),"Check - content ID not found",IF(AND(AB201&lt;&gt;"",AB201&lt;TODAY()),"Review - idea is going stale",IF(AND(S201&gt;=8,T201&lt;&gt;"Scheduled",X201=""),"Plan - strong idea, not scheduled","OK")))))</f>
        <v>0</v>
      </c>
    </row>
    <row r="202" spans="1:30">
      <c r="A202" s="41">
        <f>IF(B202="","",IdeaPrefix&amp;TEXT(ROW()-4,"000"))</f>
        <v>0</v>
      </c>
      <c r="Y202" s="17">
        <f>IF(X202="","",IFERROR(INDEX('Content Calendar'!$H$5:$H$604,MATCH(X202,'Content Calendar'!$A$5:$A$604,0)),"Not found"))</f>
        <v>0</v>
      </c>
      <c r="Z202" s="16">
        <f>IF(X202="","",IFERROR(INDEX('Content Calendar'!$B$5:$B$604,MATCH(X202,'Content Calendar'!$A$5:$A$604,0)),"Not found"))</f>
        <v>0</v>
      </c>
      <c r="AA202" s="23">
        <f>IF(U202="","",TODAY()-U202)</f>
        <v>0</v>
      </c>
      <c r="AB202" s="16">
        <f>IF(B202="","",IF(T202="Used","",IF(V202="",U202,V202)+IdeaReviewDays))</f>
        <v>0</v>
      </c>
      <c r="AC202" s="29">
        <f>IF(B202="","",IF(COUNTIF('Idea Bank'!$B$5:$B$304,B202)&gt;1,"Duplicate","OK"))</f>
        <v>0</v>
      </c>
      <c r="AD202" s="29">
        <f>IF(B202="","",IF(T202="Used","Done - on the calendar",IF(AND(X202&lt;&gt;"",Y202=""),"Check - content ID not found",IF(AND(AB202&lt;&gt;"",AB202&lt;TODAY()),"Review - idea is going stale",IF(AND(S202&gt;=8,T202&lt;&gt;"Scheduled",X202=""),"Plan - strong idea, not scheduled","OK")))))</f>
        <v>0</v>
      </c>
    </row>
    <row r="203" spans="1:30">
      <c r="A203" s="41">
        <f>IF(B203="","",IdeaPrefix&amp;TEXT(ROW()-4,"000"))</f>
        <v>0</v>
      </c>
      <c r="Y203" s="17">
        <f>IF(X203="","",IFERROR(INDEX('Content Calendar'!$H$5:$H$604,MATCH(X203,'Content Calendar'!$A$5:$A$604,0)),"Not found"))</f>
        <v>0</v>
      </c>
      <c r="Z203" s="16">
        <f>IF(X203="","",IFERROR(INDEX('Content Calendar'!$B$5:$B$604,MATCH(X203,'Content Calendar'!$A$5:$A$604,0)),"Not found"))</f>
        <v>0</v>
      </c>
      <c r="AA203" s="23">
        <f>IF(U203="","",TODAY()-U203)</f>
        <v>0</v>
      </c>
      <c r="AB203" s="16">
        <f>IF(B203="","",IF(T203="Used","",IF(V203="",U203,V203)+IdeaReviewDays))</f>
        <v>0</v>
      </c>
      <c r="AC203" s="29">
        <f>IF(B203="","",IF(COUNTIF('Idea Bank'!$B$5:$B$304,B203)&gt;1,"Duplicate","OK"))</f>
        <v>0</v>
      </c>
      <c r="AD203" s="29">
        <f>IF(B203="","",IF(T203="Used","Done - on the calendar",IF(AND(X203&lt;&gt;"",Y203=""),"Check - content ID not found",IF(AND(AB203&lt;&gt;"",AB203&lt;TODAY()),"Review - idea is going stale",IF(AND(S203&gt;=8,T203&lt;&gt;"Scheduled",X203=""),"Plan - strong idea, not scheduled","OK")))))</f>
        <v>0</v>
      </c>
    </row>
    <row r="204" spans="1:30">
      <c r="A204" s="41">
        <f>IF(B204="","",IdeaPrefix&amp;TEXT(ROW()-4,"000"))</f>
        <v>0</v>
      </c>
      <c r="Y204" s="17">
        <f>IF(X204="","",IFERROR(INDEX('Content Calendar'!$H$5:$H$604,MATCH(X204,'Content Calendar'!$A$5:$A$604,0)),"Not found"))</f>
        <v>0</v>
      </c>
      <c r="Z204" s="16">
        <f>IF(X204="","",IFERROR(INDEX('Content Calendar'!$B$5:$B$604,MATCH(X204,'Content Calendar'!$A$5:$A$604,0)),"Not found"))</f>
        <v>0</v>
      </c>
      <c r="AA204" s="23">
        <f>IF(U204="","",TODAY()-U204)</f>
        <v>0</v>
      </c>
      <c r="AB204" s="16">
        <f>IF(B204="","",IF(T204="Used","",IF(V204="",U204,V204)+IdeaReviewDays))</f>
        <v>0</v>
      </c>
      <c r="AC204" s="29">
        <f>IF(B204="","",IF(COUNTIF('Idea Bank'!$B$5:$B$304,B204)&gt;1,"Duplicate","OK"))</f>
        <v>0</v>
      </c>
      <c r="AD204" s="29">
        <f>IF(B204="","",IF(T204="Used","Done - on the calendar",IF(AND(X204&lt;&gt;"",Y204=""),"Check - content ID not found",IF(AND(AB204&lt;&gt;"",AB204&lt;TODAY()),"Review - idea is going stale",IF(AND(S204&gt;=8,T204&lt;&gt;"Scheduled",X204=""),"Plan - strong idea, not scheduled","OK")))))</f>
        <v>0</v>
      </c>
    </row>
    <row r="205" spans="1:30">
      <c r="A205" s="41">
        <f>IF(B205="","",IdeaPrefix&amp;TEXT(ROW()-4,"000"))</f>
        <v>0</v>
      </c>
      <c r="Y205" s="17">
        <f>IF(X205="","",IFERROR(INDEX('Content Calendar'!$H$5:$H$604,MATCH(X205,'Content Calendar'!$A$5:$A$604,0)),"Not found"))</f>
        <v>0</v>
      </c>
      <c r="Z205" s="16">
        <f>IF(X205="","",IFERROR(INDEX('Content Calendar'!$B$5:$B$604,MATCH(X205,'Content Calendar'!$A$5:$A$604,0)),"Not found"))</f>
        <v>0</v>
      </c>
      <c r="AA205" s="23">
        <f>IF(U205="","",TODAY()-U205)</f>
        <v>0</v>
      </c>
      <c r="AB205" s="16">
        <f>IF(B205="","",IF(T205="Used","",IF(V205="",U205,V205)+IdeaReviewDays))</f>
        <v>0</v>
      </c>
      <c r="AC205" s="29">
        <f>IF(B205="","",IF(COUNTIF('Idea Bank'!$B$5:$B$304,B205)&gt;1,"Duplicate","OK"))</f>
        <v>0</v>
      </c>
      <c r="AD205" s="29">
        <f>IF(B205="","",IF(T205="Used","Done - on the calendar",IF(AND(X205&lt;&gt;"",Y205=""),"Check - content ID not found",IF(AND(AB205&lt;&gt;"",AB205&lt;TODAY()),"Review - idea is going stale",IF(AND(S205&gt;=8,T205&lt;&gt;"Scheduled",X205=""),"Plan - strong idea, not scheduled","OK")))))</f>
        <v>0</v>
      </c>
    </row>
    <row r="206" spans="1:30">
      <c r="A206" s="41">
        <f>IF(B206="","",IdeaPrefix&amp;TEXT(ROW()-4,"000"))</f>
        <v>0</v>
      </c>
      <c r="Y206" s="17">
        <f>IF(X206="","",IFERROR(INDEX('Content Calendar'!$H$5:$H$604,MATCH(X206,'Content Calendar'!$A$5:$A$604,0)),"Not found"))</f>
        <v>0</v>
      </c>
      <c r="Z206" s="16">
        <f>IF(X206="","",IFERROR(INDEX('Content Calendar'!$B$5:$B$604,MATCH(X206,'Content Calendar'!$A$5:$A$604,0)),"Not found"))</f>
        <v>0</v>
      </c>
      <c r="AA206" s="23">
        <f>IF(U206="","",TODAY()-U206)</f>
        <v>0</v>
      </c>
      <c r="AB206" s="16">
        <f>IF(B206="","",IF(T206="Used","",IF(V206="",U206,V206)+IdeaReviewDays))</f>
        <v>0</v>
      </c>
      <c r="AC206" s="29">
        <f>IF(B206="","",IF(COUNTIF('Idea Bank'!$B$5:$B$304,B206)&gt;1,"Duplicate","OK"))</f>
        <v>0</v>
      </c>
      <c r="AD206" s="29">
        <f>IF(B206="","",IF(T206="Used","Done - on the calendar",IF(AND(X206&lt;&gt;"",Y206=""),"Check - content ID not found",IF(AND(AB206&lt;&gt;"",AB206&lt;TODAY()),"Review - idea is going stale",IF(AND(S206&gt;=8,T206&lt;&gt;"Scheduled",X206=""),"Plan - strong idea, not scheduled","OK")))))</f>
        <v>0</v>
      </c>
    </row>
    <row r="207" spans="1:30">
      <c r="A207" s="41">
        <f>IF(B207="","",IdeaPrefix&amp;TEXT(ROW()-4,"000"))</f>
        <v>0</v>
      </c>
      <c r="Y207" s="17">
        <f>IF(X207="","",IFERROR(INDEX('Content Calendar'!$H$5:$H$604,MATCH(X207,'Content Calendar'!$A$5:$A$604,0)),"Not found"))</f>
        <v>0</v>
      </c>
      <c r="Z207" s="16">
        <f>IF(X207="","",IFERROR(INDEX('Content Calendar'!$B$5:$B$604,MATCH(X207,'Content Calendar'!$A$5:$A$604,0)),"Not found"))</f>
        <v>0</v>
      </c>
      <c r="AA207" s="23">
        <f>IF(U207="","",TODAY()-U207)</f>
        <v>0</v>
      </c>
      <c r="AB207" s="16">
        <f>IF(B207="","",IF(T207="Used","",IF(V207="",U207,V207)+IdeaReviewDays))</f>
        <v>0</v>
      </c>
      <c r="AC207" s="29">
        <f>IF(B207="","",IF(COUNTIF('Idea Bank'!$B$5:$B$304,B207)&gt;1,"Duplicate","OK"))</f>
        <v>0</v>
      </c>
      <c r="AD207" s="29">
        <f>IF(B207="","",IF(T207="Used","Done - on the calendar",IF(AND(X207&lt;&gt;"",Y207=""),"Check - content ID not found",IF(AND(AB207&lt;&gt;"",AB207&lt;TODAY()),"Review - idea is going stale",IF(AND(S207&gt;=8,T207&lt;&gt;"Scheduled",X207=""),"Plan - strong idea, not scheduled","OK")))))</f>
        <v>0</v>
      </c>
    </row>
    <row r="208" spans="1:30">
      <c r="A208" s="41">
        <f>IF(B208="","",IdeaPrefix&amp;TEXT(ROW()-4,"000"))</f>
        <v>0</v>
      </c>
      <c r="Y208" s="17">
        <f>IF(X208="","",IFERROR(INDEX('Content Calendar'!$H$5:$H$604,MATCH(X208,'Content Calendar'!$A$5:$A$604,0)),"Not found"))</f>
        <v>0</v>
      </c>
      <c r="Z208" s="16">
        <f>IF(X208="","",IFERROR(INDEX('Content Calendar'!$B$5:$B$604,MATCH(X208,'Content Calendar'!$A$5:$A$604,0)),"Not found"))</f>
        <v>0</v>
      </c>
      <c r="AA208" s="23">
        <f>IF(U208="","",TODAY()-U208)</f>
        <v>0</v>
      </c>
      <c r="AB208" s="16">
        <f>IF(B208="","",IF(T208="Used","",IF(V208="",U208,V208)+IdeaReviewDays))</f>
        <v>0</v>
      </c>
      <c r="AC208" s="29">
        <f>IF(B208="","",IF(COUNTIF('Idea Bank'!$B$5:$B$304,B208)&gt;1,"Duplicate","OK"))</f>
        <v>0</v>
      </c>
      <c r="AD208" s="29">
        <f>IF(B208="","",IF(T208="Used","Done - on the calendar",IF(AND(X208&lt;&gt;"",Y208=""),"Check - content ID not found",IF(AND(AB208&lt;&gt;"",AB208&lt;TODAY()),"Review - idea is going stale",IF(AND(S208&gt;=8,T208&lt;&gt;"Scheduled",X208=""),"Plan - strong idea, not scheduled","OK")))))</f>
        <v>0</v>
      </c>
    </row>
    <row r="209" spans="1:30">
      <c r="A209" s="41">
        <f>IF(B209="","",IdeaPrefix&amp;TEXT(ROW()-4,"000"))</f>
        <v>0</v>
      </c>
      <c r="Y209" s="17">
        <f>IF(X209="","",IFERROR(INDEX('Content Calendar'!$H$5:$H$604,MATCH(X209,'Content Calendar'!$A$5:$A$604,0)),"Not found"))</f>
        <v>0</v>
      </c>
      <c r="Z209" s="16">
        <f>IF(X209="","",IFERROR(INDEX('Content Calendar'!$B$5:$B$604,MATCH(X209,'Content Calendar'!$A$5:$A$604,0)),"Not found"))</f>
        <v>0</v>
      </c>
      <c r="AA209" s="23">
        <f>IF(U209="","",TODAY()-U209)</f>
        <v>0</v>
      </c>
      <c r="AB209" s="16">
        <f>IF(B209="","",IF(T209="Used","",IF(V209="",U209,V209)+IdeaReviewDays))</f>
        <v>0</v>
      </c>
      <c r="AC209" s="29">
        <f>IF(B209="","",IF(COUNTIF('Idea Bank'!$B$5:$B$304,B209)&gt;1,"Duplicate","OK"))</f>
        <v>0</v>
      </c>
      <c r="AD209" s="29">
        <f>IF(B209="","",IF(T209="Used","Done - on the calendar",IF(AND(X209&lt;&gt;"",Y209=""),"Check - content ID not found",IF(AND(AB209&lt;&gt;"",AB209&lt;TODAY()),"Review - idea is going stale",IF(AND(S209&gt;=8,T209&lt;&gt;"Scheduled",X209=""),"Plan - strong idea, not scheduled","OK")))))</f>
        <v>0</v>
      </c>
    </row>
    <row r="210" spans="1:30">
      <c r="A210" s="41">
        <f>IF(B210="","",IdeaPrefix&amp;TEXT(ROW()-4,"000"))</f>
        <v>0</v>
      </c>
      <c r="Y210" s="17">
        <f>IF(X210="","",IFERROR(INDEX('Content Calendar'!$H$5:$H$604,MATCH(X210,'Content Calendar'!$A$5:$A$604,0)),"Not found"))</f>
        <v>0</v>
      </c>
      <c r="Z210" s="16">
        <f>IF(X210="","",IFERROR(INDEX('Content Calendar'!$B$5:$B$604,MATCH(X210,'Content Calendar'!$A$5:$A$604,0)),"Not found"))</f>
        <v>0</v>
      </c>
      <c r="AA210" s="23">
        <f>IF(U210="","",TODAY()-U210)</f>
        <v>0</v>
      </c>
      <c r="AB210" s="16">
        <f>IF(B210="","",IF(T210="Used","",IF(V210="",U210,V210)+IdeaReviewDays))</f>
        <v>0</v>
      </c>
      <c r="AC210" s="29">
        <f>IF(B210="","",IF(COUNTIF('Idea Bank'!$B$5:$B$304,B210)&gt;1,"Duplicate","OK"))</f>
        <v>0</v>
      </c>
      <c r="AD210" s="29">
        <f>IF(B210="","",IF(T210="Used","Done - on the calendar",IF(AND(X210&lt;&gt;"",Y210=""),"Check - content ID not found",IF(AND(AB210&lt;&gt;"",AB210&lt;TODAY()),"Review - idea is going stale",IF(AND(S210&gt;=8,T210&lt;&gt;"Scheduled",X210=""),"Plan - strong idea, not scheduled","OK")))))</f>
        <v>0</v>
      </c>
    </row>
    <row r="211" spans="1:30">
      <c r="A211" s="41">
        <f>IF(B211="","",IdeaPrefix&amp;TEXT(ROW()-4,"000"))</f>
        <v>0</v>
      </c>
      <c r="Y211" s="17">
        <f>IF(X211="","",IFERROR(INDEX('Content Calendar'!$H$5:$H$604,MATCH(X211,'Content Calendar'!$A$5:$A$604,0)),"Not found"))</f>
        <v>0</v>
      </c>
      <c r="Z211" s="16">
        <f>IF(X211="","",IFERROR(INDEX('Content Calendar'!$B$5:$B$604,MATCH(X211,'Content Calendar'!$A$5:$A$604,0)),"Not found"))</f>
        <v>0</v>
      </c>
      <c r="AA211" s="23">
        <f>IF(U211="","",TODAY()-U211)</f>
        <v>0</v>
      </c>
      <c r="AB211" s="16">
        <f>IF(B211="","",IF(T211="Used","",IF(V211="",U211,V211)+IdeaReviewDays))</f>
        <v>0</v>
      </c>
      <c r="AC211" s="29">
        <f>IF(B211="","",IF(COUNTIF('Idea Bank'!$B$5:$B$304,B211)&gt;1,"Duplicate","OK"))</f>
        <v>0</v>
      </c>
      <c r="AD211" s="29">
        <f>IF(B211="","",IF(T211="Used","Done - on the calendar",IF(AND(X211&lt;&gt;"",Y211=""),"Check - content ID not found",IF(AND(AB211&lt;&gt;"",AB211&lt;TODAY()),"Review - idea is going stale",IF(AND(S211&gt;=8,T211&lt;&gt;"Scheduled",X211=""),"Plan - strong idea, not scheduled","OK")))))</f>
        <v>0</v>
      </c>
    </row>
    <row r="212" spans="1:30">
      <c r="A212" s="41">
        <f>IF(B212="","",IdeaPrefix&amp;TEXT(ROW()-4,"000"))</f>
        <v>0</v>
      </c>
      <c r="Y212" s="17">
        <f>IF(X212="","",IFERROR(INDEX('Content Calendar'!$H$5:$H$604,MATCH(X212,'Content Calendar'!$A$5:$A$604,0)),"Not found"))</f>
        <v>0</v>
      </c>
      <c r="Z212" s="16">
        <f>IF(X212="","",IFERROR(INDEX('Content Calendar'!$B$5:$B$604,MATCH(X212,'Content Calendar'!$A$5:$A$604,0)),"Not found"))</f>
        <v>0</v>
      </c>
      <c r="AA212" s="23">
        <f>IF(U212="","",TODAY()-U212)</f>
        <v>0</v>
      </c>
      <c r="AB212" s="16">
        <f>IF(B212="","",IF(T212="Used","",IF(V212="",U212,V212)+IdeaReviewDays))</f>
        <v>0</v>
      </c>
      <c r="AC212" s="29">
        <f>IF(B212="","",IF(COUNTIF('Idea Bank'!$B$5:$B$304,B212)&gt;1,"Duplicate","OK"))</f>
        <v>0</v>
      </c>
      <c r="AD212" s="29">
        <f>IF(B212="","",IF(T212="Used","Done - on the calendar",IF(AND(X212&lt;&gt;"",Y212=""),"Check - content ID not found",IF(AND(AB212&lt;&gt;"",AB212&lt;TODAY()),"Review - idea is going stale",IF(AND(S212&gt;=8,T212&lt;&gt;"Scheduled",X212=""),"Plan - strong idea, not scheduled","OK")))))</f>
        <v>0</v>
      </c>
    </row>
    <row r="213" spans="1:30">
      <c r="A213" s="41">
        <f>IF(B213="","",IdeaPrefix&amp;TEXT(ROW()-4,"000"))</f>
        <v>0</v>
      </c>
      <c r="Y213" s="17">
        <f>IF(X213="","",IFERROR(INDEX('Content Calendar'!$H$5:$H$604,MATCH(X213,'Content Calendar'!$A$5:$A$604,0)),"Not found"))</f>
        <v>0</v>
      </c>
      <c r="Z213" s="16">
        <f>IF(X213="","",IFERROR(INDEX('Content Calendar'!$B$5:$B$604,MATCH(X213,'Content Calendar'!$A$5:$A$604,0)),"Not found"))</f>
        <v>0</v>
      </c>
      <c r="AA213" s="23">
        <f>IF(U213="","",TODAY()-U213)</f>
        <v>0</v>
      </c>
      <c r="AB213" s="16">
        <f>IF(B213="","",IF(T213="Used","",IF(V213="",U213,V213)+IdeaReviewDays))</f>
        <v>0</v>
      </c>
      <c r="AC213" s="29">
        <f>IF(B213="","",IF(COUNTIF('Idea Bank'!$B$5:$B$304,B213)&gt;1,"Duplicate","OK"))</f>
        <v>0</v>
      </c>
      <c r="AD213" s="29">
        <f>IF(B213="","",IF(T213="Used","Done - on the calendar",IF(AND(X213&lt;&gt;"",Y213=""),"Check - content ID not found",IF(AND(AB213&lt;&gt;"",AB213&lt;TODAY()),"Review - idea is going stale",IF(AND(S213&gt;=8,T213&lt;&gt;"Scheduled",X213=""),"Plan - strong idea, not scheduled","OK")))))</f>
        <v>0</v>
      </c>
    </row>
    <row r="214" spans="1:30">
      <c r="A214" s="41">
        <f>IF(B214="","",IdeaPrefix&amp;TEXT(ROW()-4,"000"))</f>
        <v>0</v>
      </c>
      <c r="Y214" s="17">
        <f>IF(X214="","",IFERROR(INDEX('Content Calendar'!$H$5:$H$604,MATCH(X214,'Content Calendar'!$A$5:$A$604,0)),"Not found"))</f>
        <v>0</v>
      </c>
      <c r="Z214" s="16">
        <f>IF(X214="","",IFERROR(INDEX('Content Calendar'!$B$5:$B$604,MATCH(X214,'Content Calendar'!$A$5:$A$604,0)),"Not found"))</f>
        <v>0</v>
      </c>
      <c r="AA214" s="23">
        <f>IF(U214="","",TODAY()-U214)</f>
        <v>0</v>
      </c>
      <c r="AB214" s="16">
        <f>IF(B214="","",IF(T214="Used","",IF(V214="",U214,V214)+IdeaReviewDays))</f>
        <v>0</v>
      </c>
      <c r="AC214" s="29">
        <f>IF(B214="","",IF(COUNTIF('Idea Bank'!$B$5:$B$304,B214)&gt;1,"Duplicate","OK"))</f>
        <v>0</v>
      </c>
      <c r="AD214" s="29">
        <f>IF(B214="","",IF(T214="Used","Done - on the calendar",IF(AND(X214&lt;&gt;"",Y214=""),"Check - content ID not found",IF(AND(AB214&lt;&gt;"",AB214&lt;TODAY()),"Review - idea is going stale",IF(AND(S214&gt;=8,T214&lt;&gt;"Scheduled",X214=""),"Plan - strong idea, not scheduled","OK")))))</f>
        <v>0</v>
      </c>
    </row>
    <row r="215" spans="1:30">
      <c r="A215" s="41">
        <f>IF(B215="","",IdeaPrefix&amp;TEXT(ROW()-4,"000"))</f>
        <v>0</v>
      </c>
      <c r="Y215" s="17">
        <f>IF(X215="","",IFERROR(INDEX('Content Calendar'!$H$5:$H$604,MATCH(X215,'Content Calendar'!$A$5:$A$604,0)),"Not found"))</f>
        <v>0</v>
      </c>
      <c r="Z215" s="16">
        <f>IF(X215="","",IFERROR(INDEX('Content Calendar'!$B$5:$B$604,MATCH(X215,'Content Calendar'!$A$5:$A$604,0)),"Not found"))</f>
        <v>0</v>
      </c>
      <c r="AA215" s="23">
        <f>IF(U215="","",TODAY()-U215)</f>
        <v>0</v>
      </c>
      <c r="AB215" s="16">
        <f>IF(B215="","",IF(T215="Used","",IF(V215="",U215,V215)+IdeaReviewDays))</f>
        <v>0</v>
      </c>
      <c r="AC215" s="29">
        <f>IF(B215="","",IF(COUNTIF('Idea Bank'!$B$5:$B$304,B215)&gt;1,"Duplicate","OK"))</f>
        <v>0</v>
      </c>
      <c r="AD215" s="29">
        <f>IF(B215="","",IF(T215="Used","Done - on the calendar",IF(AND(X215&lt;&gt;"",Y215=""),"Check - content ID not found",IF(AND(AB215&lt;&gt;"",AB215&lt;TODAY()),"Review - idea is going stale",IF(AND(S215&gt;=8,T215&lt;&gt;"Scheduled",X215=""),"Plan - strong idea, not scheduled","OK")))))</f>
        <v>0</v>
      </c>
    </row>
    <row r="216" spans="1:30">
      <c r="A216" s="41">
        <f>IF(B216="","",IdeaPrefix&amp;TEXT(ROW()-4,"000"))</f>
        <v>0</v>
      </c>
      <c r="Y216" s="17">
        <f>IF(X216="","",IFERROR(INDEX('Content Calendar'!$H$5:$H$604,MATCH(X216,'Content Calendar'!$A$5:$A$604,0)),"Not found"))</f>
        <v>0</v>
      </c>
      <c r="Z216" s="16">
        <f>IF(X216="","",IFERROR(INDEX('Content Calendar'!$B$5:$B$604,MATCH(X216,'Content Calendar'!$A$5:$A$604,0)),"Not found"))</f>
        <v>0</v>
      </c>
      <c r="AA216" s="23">
        <f>IF(U216="","",TODAY()-U216)</f>
        <v>0</v>
      </c>
      <c r="AB216" s="16">
        <f>IF(B216="","",IF(T216="Used","",IF(V216="",U216,V216)+IdeaReviewDays))</f>
        <v>0</v>
      </c>
      <c r="AC216" s="29">
        <f>IF(B216="","",IF(COUNTIF('Idea Bank'!$B$5:$B$304,B216)&gt;1,"Duplicate","OK"))</f>
        <v>0</v>
      </c>
      <c r="AD216" s="29">
        <f>IF(B216="","",IF(T216="Used","Done - on the calendar",IF(AND(X216&lt;&gt;"",Y216=""),"Check - content ID not found",IF(AND(AB216&lt;&gt;"",AB216&lt;TODAY()),"Review - idea is going stale",IF(AND(S216&gt;=8,T216&lt;&gt;"Scheduled",X216=""),"Plan - strong idea, not scheduled","OK")))))</f>
        <v>0</v>
      </c>
    </row>
    <row r="217" spans="1:30">
      <c r="A217" s="41">
        <f>IF(B217="","",IdeaPrefix&amp;TEXT(ROW()-4,"000"))</f>
        <v>0</v>
      </c>
      <c r="Y217" s="17">
        <f>IF(X217="","",IFERROR(INDEX('Content Calendar'!$H$5:$H$604,MATCH(X217,'Content Calendar'!$A$5:$A$604,0)),"Not found"))</f>
        <v>0</v>
      </c>
      <c r="Z217" s="16">
        <f>IF(X217="","",IFERROR(INDEX('Content Calendar'!$B$5:$B$604,MATCH(X217,'Content Calendar'!$A$5:$A$604,0)),"Not found"))</f>
        <v>0</v>
      </c>
      <c r="AA217" s="23">
        <f>IF(U217="","",TODAY()-U217)</f>
        <v>0</v>
      </c>
      <c r="AB217" s="16">
        <f>IF(B217="","",IF(T217="Used","",IF(V217="",U217,V217)+IdeaReviewDays))</f>
        <v>0</v>
      </c>
      <c r="AC217" s="29">
        <f>IF(B217="","",IF(COUNTIF('Idea Bank'!$B$5:$B$304,B217)&gt;1,"Duplicate","OK"))</f>
        <v>0</v>
      </c>
      <c r="AD217" s="29">
        <f>IF(B217="","",IF(T217="Used","Done - on the calendar",IF(AND(X217&lt;&gt;"",Y217=""),"Check - content ID not found",IF(AND(AB217&lt;&gt;"",AB217&lt;TODAY()),"Review - idea is going stale",IF(AND(S217&gt;=8,T217&lt;&gt;"Scheduled",X217=""),"Plan - strong idea, not scheduled","OK")))))</f>
        <v>0</v>
      </c>
    </row>
    <row r="218" spans="1:30">
      <c r="A218" s="41">
        <f>IF(B218="","",IdeaPrefix&amp;TEXT(ROW()-4,"000"))</f>
        <v>0</v>
      </c>
      <c r="Y218" s="17">
        <f>IF(X218="","",IFERROR(INDEX('Content Calendar'!$H$5:$H$604,MATCH(X218,'Content Calendar'!$A$5:$A$604,0)),"Not found"))</f>
        <v>0</v>
      </c>
      <c r="Z218" s="16">
        <f>IF(X218="","",IFERROR(INDEX('Content Calendar'!$B$5:$B$604,MATCH(X218,'Content Calendar'!$A$5:$A$604,0)),"Not found"))</f>
        <v>0</v>
      </c>
      <c r="AA218" s="23">
        <f>IF(U218="","",TODAY()-U218)</f>
        <v>0</v>
      </c>
      <c r="AB218" s="16">
        <f>IF(B218="","",IF(T218="Used","",IF(V218="",U218,V218)+IdeaReviewDays))</f>
        <v>0</v>
      </c>
      <c r="AC218" s="29">
        <f>IF(B218="","",IF(COUNTIF('Idea Bank'!$B$5:$B$304,B218)&gt;1,"Duplicate","OK"))</f>
        <v>0</v>
      </c>
      <c r="AD218" s="29">
        <f>IF(B218="","",IF(T218="Used","Done - on the calendar",IF(AND(X218&lt;&gt;"",Y218=""),"Check - content ID not found",IF(AND(AB218&lt;&gt;"",AB218&lt;TODAY()),"Review - idea is going stale",IF(AND(S218&gt;=8,T218&lt;&gt;"Scheduled",X218=""),"Plan - strong idea, not scheduled","OK")))))</f>
        <v>0</v>
      </c>
    </row>
    <row r="219" spans="1:30">
      <c r="A219" s="41">
        <f>IF(B219="","",IdeaPrefix&amp;TEXT(ROW()-4,"000"))</f>
        <v>0</v>
      </c>
      <c r="Y219" s="17">
        <f>IF(X219="","",IFERROR(INDEX('Content Calendar'!$H$5:$H$604,MATCH(X219,'Content Calendar'!$A$5:$A$604,0)),"Not found"))</f>
        <v>0</v>
      </c>
      <c r="Z219" s="16">
        <f>IF(X219="","",IFERROR(INDEX('Content Calendar'!$B$5:$B$604,MATCH(X219,'Content Calendar'!$A$5:$A$604,0)),"Not found"))</f>
        <v>0</v>
      </c>
      <c r="AA219" s="23">
        <f>IF(U219="","",TODAY()-U219)</f>
        <v>0</v>
      </c>
      <c r="AB219" s="16">
        <f>IF(B219="","",IF(T219="Used","",IF(V219="",U219,V219)+IdeaReviewDays))</f>
        <v>0</v>
      </c>
      <c r="AC219" s="29">
        <f>IF(B219="","",IF(COUNTIF('Idea Bank'!$B$5:$B$304,B219)&gt;1,"Duplicate","OK"))</f>
        <v>0</v>
      </c>
      <c r="AD219" s="29">
        <f>IF(B219="","",IF(T219="Used","Done - on the calendar",IF(AND(X219&lt;&gt;"",Y219=""),"Check - content ID not found",IF(AND(AB219&lt;&gt;"",AB219&lt;TODAY()),"Review - idea is going stale",IF(AND(S219&gt;=8,T219&lt;&gt;"Scheduled",X219=""),"Plan - strong idea, not scheduled","OK")))))</f>
        <v>0</v>
      </c>
    </row>
    <row r="220" spans="1:30">
      <c r="A220" s="41">
        <f>IF(B220="","",IdeaPrefix&amp;TEXT(ROW()-4,"000"))</f>
        <v>0</v>
      </c>
      <c r="Y220" s="17">
        <f>IF(X220="","",IFERROR(INDEX('Content Calendar'!$H$5:$H$604,MATCH(X220,'Content Calendar'!$A$5:$A$604,0)),"Not found"))</f>
        <v>0</v>
      </c>
      <c r="Z220" s="16">
        <f>IF(X220="","",IFERROR(INDEX('Content Calendar'!$B$5:$B$604,MATCH(X220,'Content Calendar'!$A$5:$A$604,0)),"Not found"))</f>
        <v>0</v>
      </c>
      <c r="AA220" s="23">
        <f>IF(U220="","",TODAY()-U220)</f>
        <v>0</v>
      </c>
      <c r="AB220" s="16">
        <f>IF(B220="","",IF(T220="Used","",IF(V220="",U220,V220)+IdeaReviewDays))</f>
        <v>0</v>
      </c>
      <c r="AC220" s="29">
        <f>IF(B220="","",IF(COUNTIF('Idea Bank'!$B$5:$B$304,B220)&gt;1,"Duplicate","OK"))</f>
        <v>0</v>
      </c>
      <c r="AD220" s="29">
        <f>IF(B220="","",IF(T220="Used","Done - on the calendar",IF(AND(X220&lt;&gt;"",Y220=""),"Check - content ID not found",IF(AND(AB220&lt;&gt;"",AB220&lt;TODAY()),"Review - idea is going stale",IF(AND(S220&gt;=8,T220&lt;&gt;"Scheduled",X220=""),"Plan - strong idea, not scheduled","OK")))))</f>
        <v>0</v>
      </c>
    </row>
    <row r="221" spans="1:30">
      <c r="A221" s="41">
        <f>IF(B221="","",IdeaPrefix&amp;TEXT(ROW()-4,"000"))</f>
        <v>0</v>
      </c>
      <c r="Y221" s="17">
        <f>IF(X221="","",IFERROR(INDEX('Content Calendar'!$H$5:$H$604,MATCH(X221,'Content Calendar'!$A$5:$A$604,0)),"Not found"))</f>
        <v>0</v>
      </c>
      <c r="Z221" s="16">
        <f>IF(X221="","",IFERROR(INDEX('Content Calendar'!$B$5:$B$604,MATCH(X221,'Content Calendar'!$A$5:$A$604,0)),"Not found"))</f>
        <v>0</v>
      </c>
      <c r="AA221" s="23">
        <f>IF(U221="","",TODAY()-U221)</f>
        <v>0</v>
      </c>
      <c r="AB221" s="16">
        <f>IF(B221="","",IF(T221="Used","",IF(V221="",U221,V221)+IdeaReviewDays))</f>
        <v>0</v>
      </c>
      <c r="AC221" s="29">
        <f>IF(B221="","",IF(COUNTIF('Idea Bank'!$B$5:$B$304,B221)&gt;1,"Duplicate","OK"))</f>
        <v>0</v>
      </c>
      <c r="AD221" s="29">
        <f>IF(B221="","",IF(T221="Used","Done - on the calendar",IF(AND(X221&lt;&gt;"",Y221=""),"Check - content ID not found",IF(AND(AB221&lt;&gt;"",AB221&lt;TODAY()),"Review - idea is going stale",IF(AND(S221&gt;=8,T221&lt;&gt;"Scheduled",X221=""),"Plan - strong idea, not scheduled","OK")))))</f>
        <v>0</v>
      </c>
    </row>
    <row r="222" spans="1:30">
      <c r="A222" s="41">
        <f>IF(B222="","",IdeaPrefix&amp;TEXT(ROW()-4,"000"))</f>
        <v>0</v>
      </c>
      <c r="Y222" s="17">
        <f>IF(X222="","",IFERROR(INDEX('Content Calendar'!$H$5:$H$604,MATCH(X222,'Content Calendar'!$A$5:$A$604,0)),"Not found"))</f>
        <v>0</v>
      </c>
      <c r="Z222" s="16">
        <f>IF(X222="","",IFERROR(INDEX('Content Calendar'!$B$5:$B$604,MATCH(X222,'Content Calendar'!$A$5:$A$604,0)),"Not found"))</f>
        <v>0</v>
      </c>
      <c r="AA222" s="23">
        <f>IF(U222="","",TODAY()-U222)</f>
        <v>0</v>
      </c>
      <c r="AB222" s="16">
        <f>IF(B222="","",IF(T222="Used","",IF(V222="",U222,V222)+IdeaReviewDays))</f>
        <v>0</v>
      </c>
      <c r="AC222" s="29">
        <f>IF(B222="","",IF(COUNTIF('Idea Bank'!$B$5:$B$304,B222)&gt;1,"Duplicate","OK"))</f>
        <v>0</v>
      </c>
      <c r="AD222" s="29">
        <f>IF(B222="","",IF(T222="Used","Done - on the calendar",IF(AND(X222&lt;&gt;"",Y222=""),"Check - content ID not found",IF(AND(AB222&lt;&gt;"",AB222&lt;TODAY()),"Review - idea is going stale",IF(AND(S222&gt;=8,T222&lt;&gt;"Scheduled",X222=""),"Plan - strong idea, not scheduled","OK")))))</f>
        <v>0</v>
      </c>
    </row>
    <row r="223" spans="1:30">
      <c r="A223" s="41">
        <f>IF(B223="","",IdeaPrefix&amp;TEXT(ROW()-4,"000"))</f>
        <v>0</v>
      </c>
      <c r="Y223" s="17">
        <f>IF(X223="","",IFERROR(INDEX('Content Calendar'!$H$5:$H$604,MATCH(X223,'Content Calendar'!$A$5:$A$604,0)),"Not found"))</f>
        <v>0</v>
      </c>
      <c r="Z223" s="16">
        <f>IF(X223="","",IFERROR(INDEX('Content Calendar'!$B$5:$B$604,MATCH(X223,'Content Calendar'!$A$5:$A$604,0)),"Not found"))</f>
        <v>0</v>
      </c>
      <c r="AA223" s="23">
        <f>IF(U223="","",TODAY()-U223)</f>
        <v>0</v>
      </c>
      <c r="AB223" s="16">
        <f>IF(B223="","",IF(T223="Used","",IF(V223="",U223,V223)+IdeaReviewDays))</f>
        <v>0</v>
      </c>
      <c r="AC223" s="29">
        <f>IF(B223="","",IF(COUNTIF('Idea Bank'!$B$5:$B$304,B223)&gt;1,"Duplicate","OK"))</f>
        <v>0</v>
      </c>
      <c r="AD223" s="29">
        <f>IF(B223="","",IF(T223="Used","Done - on the calendar",IF(AND(X223&lt;&gt;"",Y223=""),"Check - content ID not found",IF(AND(AB223&lt;&gt;"",AB223&lt;TODAY()),"Review - idea is going stale",IF(AND(S223&gt;=8,T223&lt;&gt;"Scheduled",X223=""),"Plan - strong idea, not scheduled","OK")))))</f>
        <v>0</v>
      </c>
    </row>
    <row r="224" spans="1:30">
      <c r="A224" s="41">
        <f>IF(B224="","",IdeaPrefix&amp;TEXT(ROW()-4,"000"))</f>
        <v>0</v>
      </c>
      <c r="Y224" s="17">
        <f>IF(X224="","",IFERROR(INDEX('Content Calendar'!$H$5:$H$604,MATCH(X224,'Content Calendar'!$A$5:$A$604,0)),"Not found"))</f>
        <v>0</v>
      </c>
      <c r="Z224" s="16">
        <f>IF(X224="","",IFERROR(INDEX('Content Calendar'!$B$5:$B$604,MATCH(X224,'Content Calendar'!$A$5:$A$604,0)),"Not found"))</f>
        <v>0</v>
      </c>
      <c r="AA224" s="23">
        <f>IF(U224="","",TODAY()-U224)</f>
        <v>0</v>
      </c>
      <c r="AB224" s="16">
        <f>IF(B224="","",IF(T224="Used","",IF(V224="",U224,V224)+IdeaReviewDays))</f>
        <v>0</v>
      </c>
      <c r="AC224" s="29">
        <f>IF(B224="","",IF(COUNTIF('Idea Bank'!$B$5:$B$304,B224)&gt;1,"Duplicate","OK"))</f>
        <v>0</v>
      </c>
      <c r="AD224" s="29">
        <f>IF(B224="","",IF(T224="Used","Done - on the calendar",IF(AND(X224&lt;&gt;"",Y224=""),"Check - content ID not found",IF(AND(AB224&lt;&gt;"",AB224&lt;TODAY()),"Review - idea is going stale",IF(AND(S224&gt;=8,T224&lt;&gt;"Scheduled",X224=""),"Plan - strong idea, not scheduled","OK")))))</f>
        <v>0</v>
      </c>
    </row>
    <row r="225" spans="1:30">
      <c r="A225" s="41">
        <f>IF(B225="","",IdeaPrefix&amp;TEXT(ROW()-4,"000"))</f>
        <v>0</v>
      </c>
      <c r="Y225" s="17">
        <f>IF(X225="","",IFERROR(INDEX('Content Calendar'!$H$5:$H$604,MATCH(X225,'Content Calendar'!$A$5:$A$604,0)),"Not found"))</f>
        <v>0</v>
      </c>
      <c r="Z225" s="16">
        <f>IF(X225="","",IFERROR(INDEX('Content Calendar'!$B$5:$B$604,MATCH(X225,'Content Calendar'!$A$5:$A$604,0)),"Not found"))</f>
        <v>0</v>
      </c>
      <c r="AA225" s="23">
        <f>IF(U225="","",TODAY()-U225)</f>
        <v>0</v>
      </c>
      <c r="AB225" s="16">
        <f>IF(B225="","",IF(T225="Used","",IF(V225="",U225,V225)+IdeaReviewDays))</f>
        <v>0</v>
      </c>
      <c r="AC225" s="29">
        <f>IF(B225="","",IF(COUNTIF('Idea Bank'!$B$5:$B$304,B225)&gt;1,"Duplicate","OK"))</f>
        <v>0</v>
      </c>
      <c r="AD225" s="29">
        <f>IF(B225="","",IF(T225="Used","Done - on the calendar",IF(AND(X225&lt;&gt;"",Y225=""),"Check - content ID not found",IF(AND(AB225&lt;&gt;"",AB225&lt;TODAY()),"Review - idea is going stale",IF(AND(S225&gt;=8,T225&lt;&gt;"Scheduled",X225=""),"Plan - strong idea, not scheduled","OK")))))</f>
        <v>0</v>
      </c>
    </row>
    <row r="226" spans="1:30">
      <c r="A226" s="41">
        <f>IF(B226="","",IdeaPrefix&amp;TEXT(ROW()-4,"000"))</f>
        <v>0</v>
      </c>
      <c r="Y226" s="17">
        <f>IF(X226="","",IFERROR(INDEX('Content Calendar'!$H$5:$H$604,MATCH(X226,'Content Calendar'!$A$5:$A$604,0)),"Not found"))</f>
        <v>0</v>
      </c>
      <c r="Z226" s="16">
        <f>IF(X226="","",IFERROR(INDEX('Content Calendar'!$B$5:$B$604,MATCH(X226,'Content Calendar'!$A$5:$A$604,0)),"Not found"))</f>
        <v>0</v>
      </c>
      <c r="AA226" s="23">
        <f>IF(U226="","",TODAY()-U226)</f>
        <v>0</v>
      </c>
      <c r="AB226" s="16">
        <f>IF(B226="","",IF(T226="Used","",IF(V226="",U226,V226)+IdeaReviewDays))</f>
        <v>0</v>
      </c>
      <c r="AC226" s="29">
        <f>IF(B226="","",IF(COUNTIF('Idea Bank'!$B$5:$B$304,B226)&gt;1,"Duplicate","OK"))</f>
        <v>0</v>
      </c>
      <c r="AD226" s="29">
        <f>IF(B226="","",IF(T226="Used","Done - on the calendar",IF(AND(X226&lt;&gt;"",Y226=""),"Check - content ID not found",IF(AND(AB226&lt;&gt;"",AB226&lt;TODAY()),"Review - idea is going stale",IF(AND(S226&gt;=8,T226&lt;&gt;"Scheduled",X226=""),"Plan - strong idea, not scheduled","OK")))))</f>
        <v>0</v>
      </c>
    </row>
    <row r="227" spans="1:30">
      <c r="A227" s="41">
        <f>IF(B227="","",IdeaPrefix&amp;TEXT(ROW()-4,"000"))</f>
        <v>0</v>
      </c>
      <c r="Y227" s="17">
        <f>IF(X227="","",IFERROR(INDEX('Content Calendar'!$H$5:$H$604,MATCH(X227,'Content Calendar'!$A$5:$A$604,0)),"Not found"))</f>
        <v>0</v>
      </c>
      <c r="Z227" s="16">
        <f>IF(X227="","",IFERROR(INDEX('Content Calendar'!$B$5:$B$604,MATCH(X227,'Content Calendar'!$A$5:$A$604,0)),"Not found"))</f>
        <v>0</v>
      </c>
      <c r="AA227" s="23">
        <f>IF(U227="","",TODAY()-U227)</f>
        <v>0</v>
      </c>
      <c r="AB227" s="16">
        <f>IF(B227="","",IF(T227="Used","",IF(V227="",U227,V227)+IdeaReviewDays))</f>
        <v>0</v>
      </c>
      <c r="AC227" s="29">
        <f>IF(B227="","",IF(COUNTIF('Idea Bank'!$B$5:$B$304,B227)&gt;1,"Duplicate","OK"))</f>
        <v>0</v>
      </c>
      <c r="AD227" s="29">
        <f>IF(B227="","",IF(T227="Used","Done - on the calendar",IF(AND(X227&lt;&gt;"",Y227=""),"Check - content ID not found",IF(AND(AB227&lt;&gt;"",AB227&lt;TODAY()),"Review - idea is going stale",IF(AND(S227&gt;=8,T227&lt;&gt;"Scheduled",X227=""),"Plan - strong idea, not scheduled","OK")))))</f>
        <v>0</v>
      </c>
    </row>
    <row r="228" spans="1:30">
      <c r="A228" s="41">
        <f>IF(B228="","",IdeaPrefix&amp;TEXT(ROW()-4,"000"))</f>
        <v>0</v>
      </c>
      <c r="Y228" s="17">
        <f>IF(X228="","",IFERROR(INDEX('Content Calendar'!$H$5:$H$604,MATCH(X228,'Content Calendar'!$A$5:$A$604,0)),"Not found"))</f>
        <v>0</v>
      </c>
      <c r="Z228" s="16">
        <f>IF(X228="","",IFERROR(INDEX('Content Calendar'!$B$5:$B$604,MATCH(X228,'Content Calendar'!$A$5:$A$604,0)),"Not found"))</f>
        <v>0</v>
      </c>
      <c r="AA228" s="23">
        <f>IF(U228="","",TODAY()-U228)</f>
        <v>0</v>
      </c>
      <c r="AB228" s="16">
        <f>IF(B228="","",IF(T228="Used","",IF(V228="",U228,V228)+IdeaReviewDays))</f>
        <v>0</v>
      </c>
      <c r="AC228" s="29">
        <f>IF(B228="","",IF(COUNTIF('Idea Bank'!$B$5:$B$304,B228)&gt;1,"Duplicate","OK"))</f>
        <v>0</v>
      </c>
      <c r="AD228" s="29">
        <f>IF(B228="","",IF(T228="Used","Done - on the calendar",IF(AND(X228&lt;&gt;"",Y228=""),"Check - content ID not found",IF(AND(AB228&lt;&gt;"",AB228&lt;TODAY()),"Review - idea is going stale",IF(AND(S228&gt;=8,T228&lt;&gt;"Scheduled",X228=""),"Plan - strong idea, not scheduled","OK")))))</f>
        <v>0</v>
      </c>
    </row>
    <row r="229" spans="1:30">
      <c r="A229" s="41">
        <f>IF(B229="","",IdeaPrefix&amp;TEXT(ROW()-4,"000"))</f>
        <v>0</v>
      </c>
      <c r="Y229" s="17">
        <f>IF(X229="","",IFERROR(INDEX('Content Calendar'!$H$5:$H$604,MATCH(X229,'Content Calendar'!$A$5:$A$604,0)),"Not found"))</f>
        <v>0</v>
      </c>
      <c r="Z229" s="16">
        <f>IF(X229="","",IFERROR(INDEX('Content Calendar'!$B$5:$B$604,MATCH(X229,'Content Calendar'!$A$5:$A$604,0)),"Not found"))</f>
        <v>0</v>
      </c>
      <c r="AA229" s="23">
        <f>IF(U229="","",TODAY()-U229)</f>
        <v>0</v>
      </c>
      <c r="AB229" s="16">
        <f>IF(B229="","",IF(T229="Used","",IF(V229="",U229,V229)+IdeaReviewDays))</f>
        <v>0</v>
      </c>
      <c r="AC229" s="29">
        <f>IF(B229="","",IF(COUNTIF('Idea Bank'!$B$5:$B$304,B229)&gt;1,"Duplicate","OK"))</f>
        <v>0</v>
      </c>
      <c r="AD229" s="29">
        <f>IF(B229="","",IF(T229="Used","Done - on the calendar",IF(AND(X229&lt;&gt;"",Y229=""),"Check - content ID not found",IF(AND(AB229&lt;&gt;"",AB229&lt;TODAY()),"Review - idea is going stale",IF(AND(S229&gt;=8,T229&lt;&gt;"Scheduled",X229=""),"Plan - strong idea, not scheduled","OK")))))</f>
        <v>0</v>
      </c>
    </row>
    <row r="230" spans="1:30">
      <c r="A230" s="41">
        <f>IF(B230="","",IdeaPrefix&amp;TEXT(ROW()-4,"000"))</f>
        <v>0</v>
      </c>
      <c r="Y230" s="17">
        <f>IF(X230="","",IFERROR(INDEX('Content Calendar'!$H$5:$H$604,MATCH(X230,'Content Calendar'!$A$5:$A$604,0)),"Not found"))</f>
        <v>0</v>
      </c>
      <c r="Z230" s="16">
        <f>IF(X230="","",IFERROR(INDEX('Content Calendar'!$B$5:$B$604,MATCH(X230,'Content Calendar'!$A$5:$A$604,0)),"Not found"))</f>
        <v>0</v>
      </c>
      <c r="AA230" s="23">
        <f>IF(U230="","",TODAY()-U230)</f>
        <v>0</v>
      </c>
      <c r="AB230" s="16">
        <f>IF(B230="","",IF(T230="Used","",IF(V230="",U230,V230)+IdeaReviewDays))</f>
        <v>0</v>
      </c>
      <c r="AC230" s="29">
        <f>IF(B230="","",IF(COUNTIF('Idea Bank'!$B$5:$B$304,B230)&gt;1,"Duplicate","OK"))</f>
        <v>0</v>
      </c>
      <c r="AD230" s="29">
        <f>IF(B230="","",IF(T230="Used","Done - on the calendar",IF(AND(X230&lt;&gt;"",Y230=""),"Check - content ID not found",IF(AND(AB230&lt;&gt;"",AB230&lt;TODAY()),"Review - idea is going stale",IF(AND(S230&gt;=8,T230&lt;&gt;"Scheduled",X230=""),"Plan - strong idea, not scheduled","OK")))))</f>
        <v>0</v>
      </c>
    </row>
    <row r="231" spans="1:30">
      <c r="A231" s="41">
        <f>IF(B231="","",IdeaPrefix&amp;TEXT(ROW()-4,"000"))</f>
        <v>0</v>
      </c>
      <c r="Y231" s="17">
        <f>IF(X231="","",IFERROR(INDEX('Content Calendar'!$H$5:$H$604,MATCH(X231,'Content Calendar'!$A$5:$A$604,0)),"Not found"))</f>
        <v>0</v>
      </c>
      <c r="Z231" s="16">
        <f>IF(X231="","",IFERROR(INDEX('Content Calendar'!$B$5:$B$604,MATCH(X231,'Content Calendar'!$A$5:$A$604,0)),"Not found"))</f>
        <v>0</v>
      </c>
      <c r="AA231" s="23">
        <f>IF(U231="","",TODAY()-U231)</f>
        <v>0</v>
      </c>
      <c r="AB231" s="16">
        <f>IF(B231="","",IF(T231="Used","",IF(V231="",U231,V231)+IdeaReviewDays))</f>
        <v>0</v>
      </c>
      <c r="AC231" s="29">
        <f>IF(B231="","",IF(COUNTIF('Idea Bank'!$B$5:$B$304,B231)&gt;1,"Duplicate","OK"))</f>
        <v>0</v>
      </c>
      <c r="AD231" s="29">
        <f>IF(B231="","",IF(T231="Used","Done - on the calendar",IF(AND(X231&lt;&gt;"",Y231=""),"Check - content ID not found",IF(AND(AB231&lt;&gt;"",AB231&lt;TODAY()),"Review - idea is going stale",IF(AND(S231&gt;=8,T231&lt;&gt;"Scheduled",X231=""),"Plan - strong idea, not scheduled","OK")))))</f>
        <v>0</v>
      </c>
    </row>
    <row r="232" spans="1:30">
      <c r="A232" s="41">
        <f>IF(B232="","",IdeaPrefix&amp;TEXT(ROW()-4,"000"))</f>
        <v>0</v>
      </c>
      <c r="Y232" s="17">
        <f>IF(X232="","",IFERROR(INDEX('Content Calendar'!$H$5:$H$604,MATCH(X232,'Content Calendar'!$A$5:$A$604,0)),"Not found"))</f>
        <v>0</v>
      </c>
      <c r="Z232" s="16">
        <f>IF(X232="","",IFERROR(INDEX('Content Calendar'!$B$5:$B$604,MATCH(X232,'Content Calendar'!$A$5:$A$604,0)),"Not found"))</f>
        <v>0</v>
      </c>
      <c r="AA232" s="23">
        <f>IF(U232="","",TODAY()-U232)</f>
        <v>0</v>
      </c>
      <c r="AB232" s="16">
        <f>IF(B232="","",IF(T232="Used","",IF(V232="",U232,V232)+IdeaReviewDays))</f>
        <v>0</v>
      </c>
      <c r="AC232" s="29">
        <f>IF(B232="","",IF(COUNTIF('Idea Bank'!$B$5:$B$304,B232)&gt;1,"Duplicate","OK"))</f>
        <v>0</v>
      </c>
      <c r="AD232" s="29">
        <f>IF(B232="","",IF(T232="Used","Done - on the calendar",IF(AND(X232&lt;&gt;"",Y232=""),"Check - content ID not found",IF(AND(AB232&lt;&gt;"",AB232&lt;TODAY()),"Review - idea is going stale",IF(AND(S232&gt;=8,T232&lt;&gt;"Scheduled",X232=""),"Plan - strong idea, not scheduled","OK")))))</f>
        <v>0</v>
      </c>
    </row>
    <row r="233" spans="1:30">
      <c r="A233" s="41">
        <f>IF(B233="","",IdeaPrefix&amp;TEXT(ROW()-4,"000"))</f>
        <v>0</v>
      </c>
      <c r="Y233" s="17">
        <f>IF(X233="","",IFERROR(INDEX('Content Calendar'!$H$5:$H$604,MATCH(X233,'Content Calendar'!$A$5:$A$604,0)),"Not found"))</f>
        <v>0</v>
      </c>
      <c r="Z233" s="16">
        <f>IF(X233="","",IFERROR(INDEX('Content Calendar'!$B$5:$B$604,MATCH(X233,'Content Calendar'!$A$5:$A$604,0)),"Not found"))</f>
        <v>0</v>
      </c>
      <c r="AA233" s="23">
        <f>IF(U233="","",TODAY()-U233)</f>
        <v>0</v>
      </c>
      <c r="AB233" s="16">
        <f>IF(B233="","",IF(T233="Used","",IF(V233="",U233,V233)+IdeaReviewDays))</f>
        <v>0</v>
      </c>
      <c r="AC233" s="29">
        <f>IF(B233="","",IF(COUNTIF('Idea Bank'!$B$5:$B$304,B233)&gt;1,"Duplicate","OK"))</f>
        <v>0</v>
      </c>
      <c r="AD233" s="29">
        <f>IF(B233="","",IF(T233="Used","Done - on the calendar",IF(AND(X233&lt;&gt;"",Y233=""),"Check - content ID not found",IF(AND(AB233&lt;&gt;"",AB233&lt;TODAY()),"Review - idea is going stale",IF(AND(S233&gt;=8,T233&lt;&gt;"Scheduled",X233=""),"Plan - strong idea, not scheduled","OK")))))</f>
        <v>0</v>
      </c>
    </row>
    <row r="234" spans="1:30">
      <c r="A234" s="41">
        <f>IF(B234="","",IdeaPrefix&amp;TEXT(ROW()-4,"000"))</f>
        <v>0</v>
      </c>
      <c r="Y234" s="17">
        <f>IF(X234="","",IFERROR(INDEX('Content Calendar'!$H$5:$H$604,MATCH(X234,'Content Calendar'!$A$5:$A$604,0)),"Not found"))</f>
        <v>0</v>
      </c>
      <c r="Z234" s="16">
        <f>IF(X234="","",IFERROR(INDEX('Content Calendar'!$B$5:$B$604,MATCH(X234,'Content Calendar'!$A$5:$A$604,0)),"Not found"))</f>
        <v>0</v>
      </c>
      <c r="AA234" s="23">
        <f>IF(U234="","",TODAY()-U234)</f>
        <v>0</v>
      </c>
      <c r="AB234" s="16">
        <f>IF(B234="","",IF(T234="Used","",IF(V234="",U234,V234)+IdeaReviewDays))</f>
        <v>0</v>
      </c>
      <c r="AC234" s="29">
        <f>IF(B234="","",IF(COUNTIF('Idea Bank'!$B$5:$B$304,B234)&gt;1,"Duplicate","OK"))</f>
        <v>0</v>
      </c>
      <c r="AD234" s="29">
        <f>IF(B234="","",IF(T234="Used","Done - on the calendar",IF(AND(X234&lt;&gt;"",Y234=""),"Check - content ID not found",IF(AND(AB234&lt;&gt;"",AB234&lt;TODAY()),"Review - idea is going stale",IF(AND(S234&gt;=8,T234&lt;&gt;"Scheduled",X234=""),"Plan - strong idea, not scheduled","OK")))))</f>
        <v>0</v>
      </c>
    </row>
    <row r="235" spans="1:30">
      <c r="A235" s="41">
        <f>IF(B235="","",IdeaPrefix&amp;TEXT(ROW()-4,"000"))</f>
        <v>0</v>
      </c>
      <c r="Y235" s="17">
        <f>IF(X235="","",IFERROR(INDEX('Content Calendar'!$H$5:$H$604,MATCH(X235,'Content Calendar'!$A$5:$A$604,0)),"Not found"))</f>
        <v>0</v>
      </c>
      <c r="Z235" s="16">
        <f>IF(X235="","",IFERROR(INDEX('Content Calendar'!$B$5:$B$604,MATCH(X235,'Content Calendar'!$A$5:$A$604,0)),"Not found"))</f>
        <v>0</v>
      </c>
      <c r="AA235" s="23">
        <f>IF(U235="","",TODAY()-U235)</f>
        <v>0</v>
      </c>
      <c r="AB235" s="16">
        <f>IF(B235="","",IF(T235="Used","",IF(V235="",U235,V235)+IdeaReviewDays))</f>
        <v>0</v>
      </c>
      <c r="AC235" s="29">
        <f>IF(B235="","",IF(COUNTIF('Idea Bank'!$B$5:$B$304,B235)&gt;1,"Duplicate","OK"))</f>
        <v>0</v>
      </c>
      <c r="AD235" s="29">
        <f>IF(B235="","",IF(T235="Used","Done - on the calendar",IF(AND(X235&lt;&gt;"",Y235=""),"Check - content ID not found",IF(AND(AB235&lt;&gt;"",AB235&lt;TODAY()),"Review - idea is going stale",IF(AND(S235&gt;=8,T235&lt;&gt;"Scheduled",X235=""),"Plan - strong idea, not scheduled","OK")))))</f>
        <v>0</v>
      </c>
    </row>
    <row r="236" spans="1:30">
      <c r="A236" s="41">
        <f>IF(B236="","",IdeaPrefix&amp;TEXT(ROW()-4,"000"))</f>
        <v>0</v>
      </c>
      <c r="Y236" s="17">
        <f>IF(X236="","",IFERROR(INDEX('Content Calendar'!$H$5:$H$604,MATCH(X236,'Content Calendar'!$A$5:$A$604,0)),"Not found"))</f>
        <v>0</v>
      </c>
      <c r="Z236" s="16">
        <f>IF(X236="","",IFERROR(INDEX('Content Calendar'!$B$5:$B$604,MATCH(X236,'Content Calendar'!$A$5:$A$604,0)),"Not found"))</f>
        <v>0</v>
      </c>
      <c r="AA236" s="23">
        <f>IF(U236="","",TODAY()-U236)</f>
        <v>0</v>
      </c>
      <c r="AB236" s="16">
        <f>IF(B236="","",IF(T236="Used","",IF(V236="",U236,V236)+IdeaReviewDays))</f>
        <v>0</v>
      </c>
      <c r="AC236" s="29">
        <f>IF(B236="","",IF(COUNTIF('Idea Bank'!$B$5:$B$304,B236)&gt;1,"Duplicate","OK"))</f>
        <v>0</v>
      </c>
      <c r="AD236" s="29">
        <f>IF(B236="","",IF(T236="Used","Done - on the calendar",IF(AND(X236&lt;&gt;"",Y236=""),"Check - content ID not found",IF(AND(AB236&lt;&gt;"",AB236&lt;TODAY()),"Review - idea is going stale",IF(AND(S236&gt;=8,T236&lt;&gt;"Scheduled",X236=""),"Plan - strong idea, not scheduled","OK")))))</f>
        <v>0</v>
      </c>
    </row>
    <row r="237" spans="1:30">
      <c r="A237" s="41">
        <f>IF(B237="","",IdeaPrefix&amp;TEXT(ROW()-4,"000"))</f>
        <v>0</v>
      </c>
      <c r="Y237" s="17">
        <f>IF(X237="","",IFERROR(INDEX('Content Calendar'!$H$5:$H$604,MATCH(X237,'Content Calendar'!$A$5:$A$604,0)),"Not found"))</f>
        <v>0</v>
      </c>
      <c r="Z237" s="16">
        <f>IF(X237="","",IFERROR(INDEX('Content Calendar'!$B$5:$B$604,MATCH(X237,'Content Calendar'!$A$5:$A$604,0)),"Not found"))</f>
        <v>0</v>
      </c>
      <c r="AA237" s="23">
        <f>IF(U237="","",TODAY()-U237)</f>
        <v>0</v>
      </c>
      <c r="AB237" s="16">
        <f>IF(B237="","",IF(T237="Used","",IF(V237="",U237,V237)+IdeaReviewDays))</f>
        <v>0</v>
      </c>
      <c r="AC237" s="29">
        <f>IF(B237="","",IF(COUNTIF('Idea Bank'!$B$5:$B$304,B237)&gt;1,"Duplicate","OK"))</f>
        <v>0</v>
      </c>
      <c r="AD237" s="29">
        <f>IF(B237="","",IF(T237="Used","Done - on the calendar",IF(AND(X237&lt;&gt;"",Y237=""),"Check - content ID not found",IF(AND(AB237&lt;&gt;"",AB237&lt;TODAY()),"Review - idea is going stale",IF(AND(S237&gt;=8,T237&lt;&gt;"Scheduled",X237=""),"Plan - strong idea, not scheduled","OK")))))</f>
        <v>0</v>
      </c>
    </row>
    <row r="238" spans="1:30">
      <c r="A238" s="41">
        <f>IF(B238="","",IdeaPrefix&amp;TEXT(ROW()-4,"000"))</f>
        <v>0</v>
      </c>
      <c r="Y238" s="17">
        <f>IF(X238="","",IFERROR(INDEX('Content Calendar'!$H$5:$H$604,MATCH(X238,'Content Calendar'!$A$5:$A$604,0)),"Not found"))</f>
        <v>0</v>
      </c>
      <c r="Z238" s="16">
        <f>IF(X238="","",IFERROR(INDEX('Content Calendar'!$B$5:$B$604,MATCH(X238,'Content Calendar'!$A$5:$A$604,0)),"Not found"))</f>
        <v>0</v>
      </c>
      <c r="AA238" s="23">
        <f>IF(U238="","",TODAY()-U238)</f>
        <v>0</v>
      </c>
      <c r="AB238" s="16">
        <f>IF(B238="","",IF(T238="Used","",IF(V238="",U238,V238)+IdeaReviewDays))</f>
        <v>0</v>
      </c>
      <c r="AC238" s="29">
        <f>IF(B238="","",IF(COUNTIF('Idea Bank'!$B$5:$B$304,B238)&gt;1,"Duplicate","OK"))</f>
        <v>0</v>
      </c>
      <c r="AD238" s="29">
        <f>IF(B238="","",IF(T238="Used","Done - on the calendar",IF(AND(X238&lt;&gt;"",Y238=""),"Check - content ID not found",IF(AND(AB238&lt;&gt;"",AB238&lt;TODAY()),"Review - idea is going stale",IF(AND(S238&gt;=8,T238&lt;&gt;"Scheduled",X238=""),"Plan - strong idea, not scheduled","OK")))))</f>
        <v>0</v>
      </c>
    </row>
    <row r="239" spans="1:30">
      <c r="A239" s="41">
        <f>IF(B239="","",IdeaPrefix&amp;TEXT(ROW()-4,"000"))</f>
        <v>0</v>
      </c>
      <c r="Y239" s="17">
        <f>IF(X239="","",IFERROR(INDEX('Content Calendar'!$H$5:$H$604,MATCH(X239,'Content Calendar'!$A$5:$A$604,0)),"Not found"))</f>
        <v>0</v>
      </c>
      <c r="Z239" s="16">
        <f>IF(X239="","",IFERROR(INDEX('Content Calendar'!$B$5:$B$604,MATCH(X239,'Content Calendar'!$A$5:$A$604,0)),"Not found"))</f>
        <v>0</v>
      </c>
      <c r="AA239" s="23">
        <f>IF(U239="","",TODAY()-U239)</f>
        <v>0</v>
      </c>
      <c r="AB239" s="16">
        <f>IF(B239="","",IF(T239="Used","",IF(V239="",U239,V239)+IdeaReviewDays))</f>
        <v>0</v>
      </c>
      <c r="AC239" s="29">
        <f>IF(B239="","",IF(COUNTIF('Idea Bank'!$B$5:$B$304,B239)&gt;1,"Duplicate","OK"))</f>
        <v>0</v>
      </c>
      <c r="AD239" s="29">
        <f>IF(B239="","",IF(T239="Used","Done - on the calendar",IF(AND(X239&lt;&gt;"",Y239=""),"Check - content ID not found",IF(AND(AB239&lt;&gt;"",AB239&lt;TODAY()),"Review - idea is going stale",IF(AND(S239&gt;=8,T239&lt;&gt;"Scheduled",X239=""),"Plan - strong idea, not scheduled","OK")))))</f>
        <v>0</v>
      </c>
    </row>
    <row r="240" spans="1:30">
      <c r="A240" s="41">
        <f>IF(B240="","",IdeaPrefix&amp;TEXT(ROW()-4,"000"))</f>
        <v>0</v>
      </c>
      <c r="Y240" s="17">
        <f>IF(X240="","",IFERROR(INDEX('Content Calendar'!$H$5:$H$604,MATCH(X240,'Content Calendar'!$A$5:$A$604,0)),"Not found"))</f>
        <v>0</v>
      </c>
      <c r="Z240" s="16">
        <f>IF(X240="","",IFERROR(INDEX('Content Calendar'!$B$5:$B$604,MATCH(X240,'Content Calendar'!$A$5:$A$604,0)),"Not found"))</f>
        <v>0</v>
      </c>
      <c r="AA240" s="23">
        <f>IF(U240="","",TODAY()-U240)</f>
        <v>0</v>
      </c>
      <c r="AB240" s="16">
        <f>IF(B240="","",IF(T240="Used","",IF(V240="",U240,V240)+IdeaReviewDays))</f>
        <v>0</v>
      </c>
      <c r="AC240" s="29">
        <f>IF(B240="","",IF(COUNTIF('Idea Bank'!$B$5:$B$304,B240)&gt;1,"Duplicate","OK"))</f>
        <v>0</v>
      </c>
      <c r="AD240" s="29">
        <f>IF(B240="","",IF(T240="Used","Done - on the calendar",IF(AND(X240&lt;&gt;"",Y240=""),"Check - content ID not found",IF(AND(AB240&lt;&gt;"",AB240&lt;TODAY()),"Review - idea is going stale",IF(AND(S240&gt;=8,T240&lt;&gt;"Scheduled",X240=""),"Plan - strong idea, not scheduled","OK")))))</f>
        <v>0</v>
      </c>
    </row>
    <row r="241" spans="1:30">
      <c r="A241" s="41">
        <f>IF(B241="","",IdeaPrefix&amp;TEXT(ROW()-4,"000"))</f>
        <v>0</v>
      </c>
      <c r="Y241" s="17">
        <f>IF(X241="","",IFERROR(INDEX('Content Calendar'!$H$5:$H$604,MATCH(X241,'Content Calendar'!$A$5:$A$604,0)),"Not found"))</f>
        <v>0</v>
      </c>
      <c r="Z241" s="16">
        <f>IF(X241="","",IFERROR(INDEX('Content Calendar'!$B$5:$B$604,MATCH(X241,'Content Calendar'!$A$5:$A$604,0)),"Not found"))</f>
        <v>0</v>
      </c>
      <c r="AA241" s="23">
        <f>IF(U241="","",TODAY()-U241)</f>
        <v>0</v>
      </c>
      <c r="AB241" s="16">
        <f>IF(B241="","",IF(T241="Used","",IF(V241="",U241,V241)+IdeaReviewDays))</f>
        <v>0</v>
      </c>
      <c r="AC241" s="29">
        <f>IF(B241="","",IF(COUNTIF('Idea Bank'!$B$5:$B$304,B241)&gt;1,"Duplicate","OK"))</f>
        <v>0</v>
      </c>
      <c r="AD241" s="29">
        <f>IF(B241="","",IF(T241="Used","Done - on the calendar",IF(AND(X241&lt;&gt;"",Y241=""),"Check - content ID not found",IF(AND(AB241&lt;&gt;"",AB241&lt;TODAY()),"Review - idea is going stale",IF(AND(S241&gt;=8,T241&lt;&gt;"Scheduled",X241=""),"Plan - strong idea, not scheduled","OK")))))</f>
        <v>0</v>
      </c>
    </row>
    <row r="242" spans="1:30">
      <c r="A242" s="41">
        <f>IF(B242="","",IdeaPrefix&amp;TEXT(ROW()-4,"000"))</f>
        <v>0</v>
      </c>
      <c r="Y242" s="17">
        <f>IF(X242="","",IFERROR(INDEX('Content Calendar'!$H$5:$H$604,MATCH(X242,'Content Calendar'!$A$5:$A$604,0)),"Not found"))</f>
        <v>0</v>
      </c>
      <c r="Z242" s="16">
        <f>IF(X242="","",IFERROR(INDEX('Content Calendar'!$B$5:$B$604,MATCH(X242,'Content Calendar'!$A$5:$A$604,0)),"Not found"))</f>
        <v>0</v>
      </c>
      <c r="AA242" s="23">
        <f>IF(U242="","",TODAY()-U242)</f>
        <v>0</v>
      </c>
      <c r="AB242" s="16">
        <f>IF(B242="","",IF(T242="Used","",IF(V242="",U242,V242)+IdeaReviewDays))</f>
        <v>0</v>
      </c>
      <c r="AC242" s="29">
        <f>IF(B242="","",IF(COUNTIF('Idea Bank'!$B$5:$B$304,B242)&gt;1,"Duplicate","OK"))</f>
        <v>0</v>
      </c>
      <c r="AD242" s="29">
        <f>IF(B242="","",IF(T242="Used","Done - on the calendar",IF(AND(X242&lt;&gt;"",Y242=""),"Check - content ID not found",IF(AND(AB242&lt;&gt;"",AB242&lt;TODAY()),"Review - idea is going stale",IF(AND(S242&gt;=8,T242&lt;&gt;"Scheduled",X242=""),"Plan - strong idea, not scheduled","OK")))))</f>
        <v>0</v>
      </c>
    </row>
    <row r="243" spans="1:30">
      <c r="A243" s="41">
        <f>IF(B243="","",IdeaPrefix&amp;TEXT(ROW()-4,"000"))</f>
        <v>0</v>
      </c>
      <c r="Y243" s="17">
        <f>IF(X243="","",IFERROR(INDEX('Content Calendar'!$H$5:$H$604,MATCH(X243,'Content Calendar'!$A$5:$A$604,0)),"Not found"))</f>
        <v>0</v>
      </c>
      <c r="Z243" s="16">
        <f>IF(X243="","",IFERROR(INDEX('Content Calendar'!$B$5:$B$604,MATCH(X243,'Content Calendar'!$A$5:$A$604,0)),"Not found"))</f>
        <v>0</v>
      </c>
      <c r="AA243" s="23">
        <f>IF(U243="","",TODAY()-U243)</f>
        <v>0</v>
      </c>
      <c r="AB243" s="16">
        <f>IF(B243="","",IF(T243="Used","",IF(V243="",U243,V243)+IdeaReviewDays))</f>
        <v>0</v>
      </c>
      <c r="AC243" s="29">
        <f>IF(B243="","",IF(COUNTIF('Idea Bank'!$B$5:$B$304,B243)&gt;1,"Duplicate","OK"))</f>
        <v>0</v>
      </c>
      <c r="AD243" s="29">
        <f>IF(B243="","",IF(T243="Used","Done - on the calendar",IF(AND(X243&lt;&gt;"",Y243=""),"Check - content ID not found",IF(AND(AB243&lt;&gt;"",AB243&lt;TODAY()),"Review - idea is going stale",IF(AND(S243&gt;=8,T243&lt;&gt;"Scheduled",X243=""),"Plan - strong idea, not scheduled","OK")))))</f>
        <v>0</v>
      </c>
    </row>
    <row r="244" spans="1:30">
      <c r="A244" s="41">
        <f>IF(B244="","",IdeaPrefix&amp;TEXT(ROW()-4,"000"))</f>
        <v>0</v>
      </c>
      <c r="Y244" s="17">
        <f>IF(X244="","",IFERROR(INDEX('Content Calendar'!$H$5:$H$604,MATCH(X244,'Content Calendar'!$A$5:$A$604,0)),"Not found"))</f>
        <v>0</v>
      </c>
      <c r="Z244" s="16">
        <f>IF(X244="","",IFERROR(INDEX('Content Calendar'!$B$5:$B$604,MATCH(X244,'Content Calendar'!$A$5:$A$604,0)),"Not found"))</f>
        <v>0</v>
      </c>
      <c r="AA244" s="23">
        <f>IF(U244="","",TODAY()-U244)</f>
        <v>0</v>
      </c>
      <c r="AB244" s="16">
        <f>IF(B244="","",IF(T244="Used","",IF(V244="",U244,V244)+IdeaReviewDays))</f>
        <v>0</v>
      </c>
      <c r="AC244" s="29">
        <f>IF(B244="","",IF(COUNTIF('Idea Bank'!$B$5:$B$304,B244)&gt;1,"Duplicate","OK"))</f>
        <v>0</v>
      </c>
      <c r="AD244" s="29">
        <f>IF(B244="","",IF(T244="Used","Done - on the calendar",IF(AND(X244&lt;&gt;"",Y244=""),"Check - content ID not found",IF(AND(AB244&lt;&gt;"",AB244&lt;TODAY()),"Review - idea is going stale",IF(AND(S244&gt;=8,T244&lt;&gt;"Scheduled",X244=""),"Plan - strong idea, not scheduled","OK")))))</f>
        <v>0</v>
      </c>
    </row>
    <row r="245" spans="1:30">
      <c r="A245" s="41">
        <f>IF(B245="","",IdeaPrefix&amp;TEXT(ROW()-4,"000"))</f>
        <v>0</v>
      </c>
      <c r="Y245" s="17">
        <f>IF(X245="","",IFERROR(INDEX('Content Calendar'!$H$5:$H$604,MATCH(X245,'Content Calendar'!$A$5:$A$604,0)),"Not found"))</f>
        <v>0</v>
      </c>
      <c r="Z245" s="16">
        <f>IF(X245="","",IFERROR(INDEX('Content Calendar'!$B$5:$B$604,MATCH(X245,'Content Calendar'!$A$5:$A$604,0)),"Not found"))</f>
        <v>0</v>
      </c>
      <c r="AA245" s="23">
        <f>IF(U245="","",TODAY()-U245)</f>
        <v>0</v>
      </c>
      <c r="AB245" s="16">
        <f>IF(B245="","",IF(T245="Used","",IF(V245="",U245,V245)+IdeaReviewDays))</f>
        <v>0</v>
      </c>
      <c r="AC245" s="29">
        <f>IF(B245="","",IF(COUNTIF('Idea Bank'!$B$5:$B$304,B245)&gt;1,"Duplicate","OK"))</f>
        <v>0</v>
      </c>
      <c r="AD245" s="29">
        <f>IF(B245="","",IF(T245="Used","Done - on the calendar",IF(AND(X245&lt;&gt;"",Y245=""),"Check - content ID not found",IF(AND(AB245&lt;&gt;"",AB245&lt;TODAY()),"Review - idea is going stale",IF(AND(S245&gt;=8,T245&lt;&gt;"Scheduled",X245=""),"Plan - strong idea, not scheduled","OK")))))</f>
        <v>0</v>
      </c>
    </row>
    <row r="246" spans="1:30">
      <c r="A246" s="41">
        <f>IF(B246="","",IdeaPrefix&amp;TEXT(ROW()-4,"000"))</f>
        <v>0</v>
      </c>
      <c r="Y246" s="17">
        <f>IF(X246="","",IFERROR(INDEX('Content Calendar'!$H$5:$H$604,MATCH(X246,'Content Calendar'!$A$5:$A$604,0)),"Not found"))</f>
        <v>0</v>
      </c>
      <c r="Z246" s="16">
        <f>IF(X246="","",IFERROR(INDEX('Content Calendar'!$B$5:$B$604,MATCH(X246,'Content Calendar'!$A$5:$A$604,0)),"Not found"))</f>
        <v>0</v>
      </c>
      <c r="AA246" s="23">
        <f>IF(U246="","",TODAY()-U246)</f>
        <v>0</v>
      </c>
      <c r="AB246" s="16">
        <f>IF(B246="","",IF(T246="Used","",IF(V246="",U246,V246)+IdeaReviewDays))</f>
        <v>0</v>
      </c>
      <c r="AC246" s="29">
        <f>IF(B246="","",IF(COUNTIF('Idea Bank'!$B$5:$B$304,B246)&gt;1,"Duplicate","OK"))</f>
        <v>0</v>
      </c>
      <c r="AD246" s="29">
        <f>IF(B246="","",IF(T246="Used","Done - on the calendar",IF(AND(X246&lt;&gt;"",Y246=""),"Check - content ID not found",IF(AND(AB246&lt;&gt;"",AB246&lt;TODAY()),"Review - idea is going stale",IF(AND(S246&gt;=8,T246&lt;&gt;"Scheduled",X246=""),"Plan - strong idea, not scheduled","OK")))))</f>
        <v>0</v>
      </c>
    </row>
    <row r="247" spans="1:30">
      <c r="A247" s="41">
        <f>IF(B247="","",IdeaPrefix&amp;TEXT(ROW()-4,"000"))</f>
        <v>0</v>
      </c>
      <c r="Y247" s="17">
        <f>IF(X247="","",IFERROR(INDEX('Content Calendar'!$H$5:$H$604,MATCH(X247,'Content Calendar'!$A$5:$A$604,0)),"Not found"))</f>
        <v>0</v>
      </c>
      <c r="Z247" s="16">
        <f>IF(X247="","",IFERROR(INDEX('Content Calendar'!$B$5:$B$604,MATCH(X247,'Content Calendar'!$A$5:$A$604,0)),"Not found"))</f>
        <v>0</v>
      </c>
      <c r="AA247" s="23">
        <f>IF(U247="","",TODAY()-U247)</f>
        <v>0</v>
      </c>
      <c r="AB247" s="16">
        <f>IF(B247="","",IF(T247="Used","",IF(V247="",U247,V247)+IdeaReviewDays))</f>
        <v>0</v>
      </c>
      <c r="AC247" s="29">
        <f>IF(B247="","",IF(COUNTIF('Idea Bank'!$B$5:$B$304,B247)&gt;1,"Duplicate","OK"))</f>
        <v>0</v>
      </c>
      <c r="AD247" s="29">
        <f>IF(B247="","",IF(T247="Used","Done - on the calendar",IF(AND(X247&lt;&gt;"",Y247=""),"Check - content ID not found",IF(AND(AB247&lt;&gt;"",AB247&lt;TODAY()),"Review - idea is going stale",IF(AND(S247&gt;=8,T247&lt;&gt;"Scheduled",X247=""),"Plan - strong idea, not scheduled","OK")))))</f>
        <v>0</v>
      </c>
    </row>
    <row r="248" spans="1:30">
      <c r="A248" s="41">
        <f>IF(B248="","",IdeaPrefix&amp;TEXT(ROW()-4,"000"))</f>
        <v>0</v>
      </c>
      <c r="Y248" s="17">
        <f>IF(X248="","",IFERROR(INDEX('Content Calendar'!$H$5:$H$604,MATCH(X248,'Content Calendar'!$A$5:$A$604,0)),"Not found"))</f>
        <v>0</v>
      </c>
      <c r="Z248" s="16">
        <f>IF(X248="","",IFERROR(INDEX('Content Calendar'!$B$5:$B$604,MATCH(X248,'Content Calendar'!$A$5:$A$604,0)),"Not found"))</f>
        <v>0</v>
      </c>
      <c r="AA248" s="23">
        <f>IF(U248="","",TODAY()-U248)</f>
        <v>0</v>
      </c>
      <c r="AB248" s="16">
        <f>IF(B248="","",IF(T248="Used","",IF(V248="",U248,V248)+IdeaReviewDays))</f>
        <v>0</v>
      </c>
      <c r="AC248" s="29">
        <f>IF(B248="","",IF(COUNTIF('Idea Bank'!$B$5:$B$304,B248)&gt;1,"Duplicate","OK"))</f>
        <v>0</v>
      </c>
      <c r="AD248" s="29">
        <f>IF(B248="","",IF(T248="Used","Done - on the calendar",IF(AND(X248&lt;&gt;"",Y248=""),"Check - content ID not found",IF(AND(AB248&lt;&gt;"",AB248&lt;TODAY()),"Review - idea is going stale",IF(AND(S248&gt;=8,T248&lt;&gt;"Scheduled",X248=""),"Plan - strong idea, not scheduled","OK")))))</f>
        <v>0</v>
      </c>
    </row>
    <row r="249" spans="1:30">
      <c r="A249" s="41">
        <f>IF(B249="","",IdeaPrefix&amp;TEXT(ROW()-4,"000"))</f>
        <v>0</v>
      </c>
      <c r="Y249" s="17">
        <f>IF(X249="","",IFERROR(INDEX('Content Calendar'!$H$5:$H$604,MATCH(X249,'Content Calendar'!$A$5:$A$604,0)),"Not found"))</f>
        <v>0</v>
      </c>
      <c r="Z249" s="16">
        <f>IF(X249="","",IFERROR(INDEX('Content Calendar'!$B$5:$B$604,MATCH(X249,'Content Calendar'!$A$5:$A$604,0)),"Not found"))</f>
        <v>0</v>
      </c>
      <c r="AA249" s="23">
        <f>IF(U249="","",TODAY()-U249)</f>
        <v>0</v>
      </c>
      <c r="AB249" s="16">
        <f>IF(B249="","",IF(T249="Used","",IF(V249="",U249,V249)+IdeaReviewDays))</f>
        <v>0</v>
      </c>
      <c r="AC249" s="29">
        <f>IF(B249="","",IF(COUNTIF('Idea Bank'!$B$5:$B$304,B249)&gt;1,"Duplicate","OK"))</f>
        <v>0</v>
      </c>
      <c r="AD249" s="29">
        <f>IF(B249="","",IF(T249="Used","Done - on the calendar",IF(AND(X249&lt;&gt;"",Y249=""),"Check - content ID not found",IF(AND(AB249&lt;&gt;"",AB249&lt;TODAY()),"Review - idea is going stale",IF(AND(S249&gt;=8,T249&lt;&gt;"Scheduled",X249=""),"Plan - strong idea, not scheduled","OK")))))</f>
        <v>0</v>
      </c>
    </row>
    <row r="250" spans="1:30">
      <c r="A250" s="41">
        <f>IF(B250="","",IdeaPrefix&amp;TEXT(ROW()-4,"000"))</f>
        <v>0</v>
      </c>
      <c r="Y250" s="17">
        <f>IF(X250="","",IFERROR(INDEX('Content Calendar'!$H$5:$H$604,MATCH(X250,'Content Calendar'!$A$5:$A$604,0)),"Not found"))</f>
        <v>0</v>
      </c>
      <c r="Z250" s="16">
        <f>IF(X250="","",IFERROR(INDEX('Content Calendar'!$B$5:$B$604,MATCH(X250,'Content Calendar'!$A$5:$A$604,0)),"Not found"))</f>
        <v>0</v>
      </c>
      <c r="AA250" s="23">
        <f>IF(U250="","",TODAY()-U250)</f>
        <v>0</v>
      </c>
      <c r="AB250" s="16">
        <f>IF(B250="","",IF(T250="Used","",IF(V250="",U250,V250)+IdeaReviewDays))</f>
        <v>0</v>
      </c>
      <c r="AC250" s="29">
        <f>IF(B250="","",IF(COUNTIF('Idea Bank'!$B$5:$B$304,B250)&gt;1,"Duplicate","OK"))</f>
        <v>0</v>
      </c>
      <c r="AD250" s="29">
        <f>IF(B250="","",IF(T250="Used","Done - on the calendar",IF(AND(X250&lt;&gt;"",Y250=""),"Check - content ID not found",IF(AND(AB250&lt;&gt;"",AB250&lt;TODAY()),"Review - idea is going stale",IF(AND(S250&gt;=8,T250&lt;&gt;"Scheduled",X250=""),"Plan - strong idea, not scheduled","OK")))))</f>
        <v>0</v>
      </c>
    </row>
    <row r="251" spans="1:30">
      <c r="A251" s="41">
        <f>IF(B251="","",IdeaPrefix&amp;TEXT(ROW()-4,"000"))</f>
        <v>0</v>
      </c>
      <c r="Y251" s="17">
        <f>IF(X251="","",IFERROR(INDEX('Content Calendar'!$H$5:$H$604,MATCH(X251,'Content Calendar'!$A$5:$A$604,0)),"Not found"))</f>
        <v>0</v>
      </c>
      <c r="Z251" s="16">
        <f>IF(X251="","",IFERROR(INDEX('Content Calendar'!$B$5:$B$604,MATCH(X251,'Content Calendar'!$A$5:$A$604,0)),"Not found"))</f>
        <v>0</v>
      </c>
      <c r="AA251" s="23">
        <f>IF(U251="","",TODAY()-U251)</f>
        <v>0</v>
      </c>
      <c r="AB251" s="16">
        <f>IF(B251="","",IF(T251="Used","",IF(V251="",U251,V251)+IdeaReviewDays))</f>
        <v>0</v>
      </c>
      <c r="AC251" s="29">
        <f>IF(B251="","",IF(COUNTIF('Idea Bank'!$B$5:$B$304,B251)&gt;1,"Duplicate","OK"))</f>
        <v>0</v>
      </c>
      <c r="AD251" s="29">
        <f>IF(B251="","",IF(T251="Used","Done - on the calendar",IF(AND(X251&lt;&gt;"",Y251=""),"Check - content ID not found",IF(AND(AB251&lt;&gt;"",AB251&lt;TODAY()),"Review - idea is going stale",IF(AND(S251&gt;=8,T251&lt;&gt;"Scheduled",X251=""),"Plan - strong idea, not scheduled","OK")))))</f>
        <v>0</v>
      </c>
    </row>
    <row r="252" spans="1:30">
      <c r="A252" s="41">
        <f>IF(B252="","",IdeaPrefix&amp;TEXT(ROW()-4,"000"))</f>
        <v>0</v>
      </c>
      <c r="Y252" s="17">
        <f>IF(X252="","",IFERROR(INDEX('Content Calendar'!$H$5:$H$604,MATCH(X252,'Content Calendar'!$A$5:$A$604,0)),"Not found"))</f>
        <v>0</v>
      </c>
      <c r="Z252" s="16">
        <f>IF(X252="","",IFERROR(INDEX('Content Calendar'!$B$5:$B$604,MATCH(X252,'Content Calendar'!$A$5:$A$604,0)),"Not found"))</f>
        <v>0</v>
      </c>
      <c r="AA252" s="23">
        <f>IF(U252="","",TODAY()-U252)</f>
        <v>0</v>
      </c>
      <c r="AB252" s="16">
        <f>IF(B252="","",IF(T252="Used","",IF(V252="",U252,V252)+IdeaReviewDays))</f>
        <v>0</v>
      </c>
      <c r="AC252" s="29">
        <f>IF(B252="","",IF(COUNTIF('Idea Bank'!$B$5:$B$304,B252)&gt;1,"Duplicate","OK"))</f>
        <v>0</v>
      </c>
      <c r="AD252" s="29">
        <f>IF(B252="","",IF(T252="Used","Done - on the calendar",IF(AND(X252&lt;&gt;"",Y252=""),"Check - content ID not found",IF(AND(AB252&lt;&gt;"",AB252&lt;TODAY()),"Review - idea is going stale",IF(AND(S252&gt;=8,T252&lt;&gt;"Scheduled",X252=""),"Plan - strong idea, not scheduled","OK")))))</f>
        <v>0</v>
      </c>
    </row>
    <row r="253" spans="1:30">
      <c r="A253" s="41">
        <f>IF(B253="","",IdeaPrefix&amp;TEXT(ROW()-4,"000"))</f>
        <v>0</v>
      </c>
      <c r="Y253" s="17">
        <f>IF(X253="","",IFERROR(INDEX('Content Calendar'!$H$5:$H$604,MATCH(X253,'Content Calendar'!$A$5:$A$604,0)),"Not found"))</f>
        <v>0</v>
      </c>
      <c r="Z253" s="16">
        <f>IF(X253="","",IFERROR(INDEX('Content Calendar'!$B$5:$B$604,MATCH(X253,'Content Calendar'!$A$5:$A$604,0)),"Not found"))</f>
        <v>0</v>
      </c>
      <c r="AA253" s="23">
        <f>IF(U253="","",TODAY()-U253)</f>
        <v>0</v>
      </c>
      <c r="AB253" s="16">
        <f>IF(B253="","",IF(T253="Used","",IF(V253="",U253,V253)+IdeaReviewDays))</f>
        <v>0</v>
      </c>
      <c r="AC253" s="29">
        <f>IF(B253="","",IF(COUNTIF('Idea Bank'!$B$5:$B$304,B253)&gt;1,"Duplicate","OK"))</f>
        <v>0</v>
      </c>
      <c r="AD253" s="29">
        <f>IF(B253="","",IF(T253="Used","Done - on the calendar",IF(AND(X253&lt;&gt;"",Y253=""),"Check - content ID not found",IF(AND(AB253&lt;&gt;"",AB253&lt;TODAY()),"Review - idea is going stale",IF(AND(S253&gt;=8,T253&lt;&gt;"Scheduled",X253=""),"Plan - strong idea, not scheduled","OK")))))</f>
        <v>0</v>
      </c>
    </row>
    <row r="254" spans="1:30">
      <c r="A254" s="41">
        <f>IF(B254="","",IdeaPrefix&amp;TEXT(ROW()-4,"000"))</f>
        <v>0</v>
      </c>
      <c r="Y254" s="17">
        <f>IF(X254="","",IFERROR(INDEX('Content Calendar'!$H$5:$H$604,MATCH(X254,'Content Calendar'!$A$5:$A$604,0)),"Not found"))</f>
        <v>0</v>
      </c>
      <c r="Z254" s="16">
        <f>IF(X254="","",IFERROR(INDEX('Content Calendar'!$B$5:$B$604,MATCH(X254,'Content Calendar'!$A$5:$A$604,0)),"Not found"))</f>
        <v>0</v>
      </c>
      <c r="AA254" s="23">
        <f>IF(U254="","",TODAY()-U254)</f>
        <v>0</v>
      </c>
      <c r="AB254" s="16">
        <f>IF(B254="","",IF(T254="Used","",IF(V254="",U254,V254)+IdeaReviewDays))</f>
        <v>0</v>
      </c>
      <c r="AC254" s="29">
        <f>IF(B254="","",IF(COUNTIF('Idea Bank'!$B$5:$B$304,B254)&gt;1,"Duplicate","OK"))</f>
        <v>0</v>
      </c>
      <c r="AD254" s="29">
        <f>IF(B254="","",IF(T254="Used","Done - on the calendar",IF(AND(X254&lt;&gt;"",Y254=""),"Check - content ID not found",IF(AND(AB254&lt;&gt;"",AB254&lt;TODAY()),"Review - idea is going stale",IF(AND(S254&gt;=8,T254&lt;&gt;"Scheduled",X254=""),"Plan - strong idea, not scheduled","OK")))))</f>
        <v>0</v>
      </c>
    </row>
    <row r="255" spans="1:30">
      <c r="A255" s="41">
        <f>IF(B255="","",IdeaPrefix&amp;TEXT(ROW()-4,"000"))</f>
        <v>0</v>
      </c>
      <c r="Y255" s="17">
        <f>IF(X255="","",IFERROR(INDEX('Content Calendar'!$H$5:$H$604,MATCH(X255,'Content Calendar'!$A$5:$A$604,0)),"Not found"))</f>
        <v>0</v>
      </c>
      <c r="Z255" s="16">
        <f>IF(X255="","",IFERROR(INDEX('Content Calendar'!$B$5:$B$604,MATCH(X255,'Content Calendar'!$A$5:$A$604,0)),"Not found"))</f>
        <v>0</v>
      </c>
      <c r="AA255" s="23">
        <f>IF(U255="","",TODAY()-U255)</f>
        <v>0</v>
      </c>
      <c r="AB255" s="16">
        <f>IF(B255="","",IF(T255="Used","",IF(V255="",U255,V255)+IdeaReviewDays))</f>
        <v>0</v>
      </c>
      <c r="AC255" s="29">
        <f>IF(B255="","",IF(COUNTIF('Idea Bank'!$B$5:$B$304,B255)&gt;1,"Duplicate","OK"))</f>
        <v>0</v>
      </c>
      <c r="AD255" s="29">
        <f>IF(B255="","",IF(T255="Used","Done - on the calendar",IF(AND(X255&lt;&gt;"",Y255=""),"Check - content ID not found",IF(AND(AB255&lt;&gt;"",AB255&lt;TODAY()),"Review - idea is going stale",IF(AND(S255&gt;=8,T255&lt;&gt;"Scheduled",X255=""),"Plan - strong idea, not scheduled","OK")))))</f>
        <v>0</v>
      </c>
    </row>
    <row r="256" spans="1:30">
      <c r="A256" s="41">
        <f>IF(B256="","",IdeaPrefix&amp;TEXT(ROW()-4,"000"))</f>
        <v>0</v>
      </c>
      <c r="Y256" s="17">
        <f>IF(X256="","",IFERROR(INDEX('Content Calendar'!$H$5:$H$604,MATCH(X256,'Content Calendar'!$A$5:$A$604,0)),"Not found"))</f>
        <v>0</v>
      </c>
      <c r="Z256" s="16">
        <f>IF(X256="","",IFERROR(INDEX('Content Calendar'!$B$5:$B$604,MATCH(X256,'Content Calendar'!$A$5:$A$604,0)),"Not found"))</f>
        <v>0</v>
      </c>
      <c r="AA256" s="23">
        <f>IF(U256="","",TODAY()-U256)</f>
        <v>0</v>
      </c>
      <c r="AB256" s="16">
        <f>IF(B256="","",IF(T256="Used","",IF(V256="",U256,V256)+IdeaReviewDays))</f>
        <v>0</v>
      </c>
      <c r="AC256" s="29">
        <f>IF(B256="","",IF(COUNTIF('Idea Bank'!$B$5:$B$304,B256)&gt;1,"Duplicate","OK"))</f>
        <v>0</v>
      </c>
      <c r="AD256" s="29">
        <f>IF(B256="","",IF(T256="Used","Done - on the calendar",IF(AND(X256&lt;&gt;"",Y256=""),"Check - content ID not found",IF(AND(AB256&lt;&gt;"",AB256&lt;TODAY()),"Review - idea is going stale",IF(AND(S256&gt;=8,T256&lt;&gt;"Scheduled",X256=""),"Plan - strong idea, not scheduled","OK")))))</f>
        <v>0</v>
      </c>
    </row>
    <row r="257" spans="1:30">
      <c r="A257" s="41">
        <f>IF(B257="","",IdeaPrefix&amp;TEXT(ROW()-4,"000"))</f>
        <v>0</v>
      </c>
      <c r="Y257" s="17">
        <f>IF(X257="","",IFERROR(INDEX('Content Calendar'!$H$5:$H$604,MATCH(X257,'Content Calendar'!$A$5:$A$604,0)),"Not found"))</f>
        <v>0</v>
      </c>
      <c r="Z257" s="16">
        <f>IF(X257="","",IFERROR(INDEX('Content Calendar'!$B$5:$B$604,MATCH(X257,'Content Calendar'!$A$5:$A$604,0)),"Not found"))</f>
        <v>0</v>
      </c>
      <c r="AA257" s="23">
        <f>IF(U257="","",TODAY()-U257)</f>
        <v>0</v>
      </c>
      <c r="AB257" s="16">
        <f>IF(B257="","",IF(T257="Used","",IF(V257="",U257,V257)+IdeaReviewDays))</f>
        <v>0</v>
      </c>
      <c r="AC257" s="29">
        <f>IF(B257="","",IF(COUNTIF('Idea Bank'!$B$5:$B$304,B257)&gt;1,"Duplicate","OK"))</f>
        <v>0</v>
      </c>
      <c r="AD257" s="29">
        <f>IF(B257="","",IF(T257="Used","Done - on the calendar",IF(AND(X257&lt;&gt;"",Y257=""),"Check - content ID not found",IF(AND(AB257&lt;&gt;"",AB257&lt;TODAY()),"Review - idea is going stale",IF(AND(S257&gt;=8,T257&lt;&gt;"Scheduled",X257=""),"Plan - strong idea, not scheduled","OK")))))</f>
        <v>0</v>
      </c>
    </row>
    <row r="258" spans="1:30">
      <c r="A258" s="41">
        <f>IF(B258="","",IdeaPrefix&amp;TEXT(ROW()-4,"000"))</f>
        <v>0</v>
      </c>
      <c r="Y258" s="17">
        <f>IF(X258="","",IFERROR(INDEX('Content Calendar'!$H$5:$H$604,MATCH(X258,'Content Calendar'!$A$5:$A$604,0)),"Not found"))</f>
        <v>0</v>
      </c>
      <c r="Z258" s="16">
        <f>IF(X258="","",IFERROR(INDEX('Content Calendar'!$B$5:$B$604,MATCH(X258,'Content Calendar'!$A$5:$A$604,0)),"Not found"))</f>
        <v>0</v>
      </c>
      <c r="AA258" s="23">
        <f>IF(U258="","",TODAY()-U258)</f>
        <v>0</v>
      </c>
      <c r="AB258" s="16">
        <f>IF(B258="","",IF(T258="Used","",IF(V258="",U258,V258)+IdeaReviewDays))</f>
        <v>0</v>
      </c>
      <c r="AC258" s="29">
        <f>IF(B258="","",IF(COUNTIF('Idea Bank'!$B$5:$B$304,B258)&gt;1,"Duplicate","OK"))</f>
        <v>0</v>
      </c>
      <c r="AD258" s="29">
        <f>IF(B258="","",IF(T258="Used","Done - on the calendar",IF(AND(X258&lt;&gt;"",Y258=""),"Check - content ID not found",IF(AND(AB258&lt;&gt;"",AB258&lt;TODAY()),"Review - idea is going stale",IF(AND(S258&gt;=8,T258&lt;&gt;"Scheduled",X258=""),"Plan - strong idea, not scheduled","OK")))))</f>
        <v>0</v>
      </c>
    </row>
    <row r="259" spans="1:30">
      <c r="A259" s="41">
        <f>IF(B259="","",IdeaPrefix&amp;TEXT(ROW()-4,"000"))</f>
        <v>0</v>
      </c>
      <c r="Y259" s="17">
        <f>IF(X259="","",IFERROR(INDEX('Content Calendar'!$H$5:$H$604,MATCH(X259,'Content Calendar'!$A$5:$A$604,0)),"Not found"))</f>
        <v>0</v>
      </c>
      <c r="Z259" s="16">
        <f>IF(X259="","",IFERROR(INDEX('Content Calendar'!$B$5:$B$604,MATCH(X259,'Content Calendar'!$A$5:$A$604,0)),"Not found"))</f>
        <v>0</v>
      </c>
      <c r="AA259" s="23">
        <f>IF(U259="","",TODAY()-U259)</f>
        <v>0</v>
      </c>
      <c r="AB259" s="16">
        <f>IF(B259="","",IF(T259="Used","",IF(V259="",U259,V259)+IdeaReviewDays))</f>
        <v>0</v>
      </c>
      <c r="AC259" s="29">
        <f>IF(B259="","",IF(COUNTIF('Idea Bank'!$B$5:$B$304,B259)&gt;1,"Duplicate","OK"))</f>
        <v>0</v>
      </c>
      <c r="AD259" s="29">
        <f>IF(B259="","",IF(T259="Used","Done - on the calendar",IF(AND(X259&lt;&gt;"",Y259=""),"Check - content ID not found",IF(AND(AB259&lt;&gt;"",AB259&lt;TODAY()),"Review - idea is going stale",IF(AND(S259&gt;=8,T259&lt;&gt;"Scheduled",X259=""),"Plan - strong idea, not scheduled","OK")))))</f>
        <v>0</v>
      </c>
    </row>
    <row r="260" spans="1:30">
      <c r="A260" s="41">
        <f>IF(B260="","",IdeaPrefix&amp;TEXT(ROW()-4,"000"))</f>
        <v>0</v>
      </c>
      <c r="Y260" s="17">
        <f>IF(X260="","",IFERROR(INDEX('Content Calendar'!$H$5:$H$604,MATCH(X260,'Content Calendar'!$A$5:$A$604,0)),"Not found"))</f>
        <v>0</v>
      </c>
      <c r="Z260" s="16">
        <f>IF(X260="","",IFERROR(INDEX('Content Calendar'!$B$5:$B$604,MATCH(X260,'Content Calendar'!$A$5:$A$604,0)),"Not found"))</f>
        <v>0</v>
      </c>
      <c r="AA260" s="23">
        <f>IF(U260="","",TODAY()-U260)</f>
        <v>0</v>
      </c>
      <c r="AB260" s="16">
        <f>IF(B260="","",IF(T260="Used","",IF(V260="",U260,V260)+IdeaReviewDays))</f>
        <v>0</v>
      </c>
      <c r="AC260" s="29">
        <f>IF(B260="","",IF(COUNTIF('Idea Bank'!$B$5:$B$304,B260)&gt;1,"Duplicate","OK"))</f>
        <v>0</v>
      </c>
      <c r="AD260" s="29">
        <f>IF(B260="","",IF(T260="Used","Done - on the calendar",IF(AND(X260&lt;&gt;"",Y260=""),"Check - content ID not found",IF(AND(AB260&lt;&gt;"",AB260&lt;TODAY()),"Review - idea is going stale",IF(AND(S260&gt;=8,T260&lt;&gt;"Scheduled",X260=""),"Plan - strong idea, not scheduled","OK")))))</f>
        <v>0</v>
      </c>
    </row>
    <row r="261" spans="1:30">
      <c r="A261" s="41">
        <f>IF(B261="","",IdeaPrefix&amp;TEXT(ROW()-4,"000"))</f>
        <v>0</v>
      </c>
      <c r="Y261" s="17">
        <f>IF(X261="","",IFERROR(INDEX('Content Calendar'!$H$5:$H$604,MATCH(X261,'Content Calendar'!$A$5:$A$604,0)),"Not found"))</f>
        <v>0</v>
      </c>
      <c r="Z261" s="16">
        <f>IF(X261="","",IFERROR(INDEX('Content Calendar'!$B$5:$B$604,MATCH(X261,'Content Calendar'!$A$5:$A$604,0)),"Not found"))</f>
        <v>0</v>
      </c>
      <c r="AA261" s="23">
        <f>IF(U261="","",TODAY()-U261)</f>
        <v>0</v>
      </c>
      <c r="AB261" s="16">
        <f>IF(B261="","",IF(T261="Used","",IF(V261="",U261,V261)+IdeaReviewDays))</f>
        <v>0</v>
      </c>
      <c r="AC261" s="29">
        <f>IF(B261="","",IF(COUNTIF('Idea Bank'!$B$5:$B$304,B261)&gt;1,"Duplicate","OK"))</f>
        <v>0</v>
      </c>
      <c r="AD261" s="29">
        <f>IF(B261="","",IF(T261="Used","Done - on the calendar",IF(AND(X261&lt;&gt;"",Y261=""),"Check - content ID not found",IF(AND(AB261&lt;&gt;"",AB261&lt;TODAY()),"Review - idea is going stale",IF(AND(S261&gt;=8,T261&lt;&gt;"Scheduled",X261=""),"Plan - strong idea, not scheduled","OK")))))</f>
        <v>0</v>
      </c>
    </row>
    <row r="262" spans="1:30">
      <c r="A262" s="41">
        <f>IF(B262="","",IdeaPrefix&amp;TEXT(ROW()-4,"000"))</f>
        <v>0</v>
      </c>
      <c r="Y262" s="17">
        <f>IF(X262="","",IFERROR(INDEX('Content Calendar'!$H$5:$H$604,MATCH(X262,'Content Calendar'!$A$5:$A$604,0)),"Not found"))</f>
        <v>0</v>
      </c>
      <c r="Z262" s="16">
        <f>IF(X262="","",IFERROR(INDEX('Content Calendar'!$B$5:$B$604,MATCH(X262,'Content Calendar'!$A$5:$A$604,0)),"Not found"))</f>
        <v>0</v>
      </c>
      <c r="AA262" s="23">
        <f>IF(U262="","",TODAY()-U262)</f>
        <v>0</v>
      </c>
      <c r="AB262" s="16">
        <f>IF(B262="","",IF(T262="Used","",IF(V262="",U262,V262)+IdeaReviewDays))</f>
        <v>0</v>
      </c>
      <c r="AC262" s="29">
        <f>IF(B262="","",IF(COUNTIF('Idea Bank'!$B$5:$B$304,B262)&gt;1,"Duplicate","OK"))</f>
        <v>0</v>
      </c>
      <c r="AD262" s="29">
        <f>IF(B262="","",IF(T262="Used","Done - on the calendar",IF(AND(X262&lt;&gt;"",Y262=""),"Check - content ID not found",IF(AND(AB262&lt;&gt;"",AB262&lt;TODAY()),"Review - idea is going stale",IF(AND(S262&gt;=8,T262&lt;&gt;"Scheduled",X262=""),"Plan - strong idea, not scheduled","OK")))))</f>
        <v>0</v>
      </c>
    </row>
    <row r="263" spans="1:30">
      <c r="A263" s="41">
        <f>IF(B263="","",IdeaPrefix&amp;TEXT(ROW()-4,"000"))</f>
        <v>0</v>
      </c>
      <c r="Y263" s="17">
        <f>IF(X263="","",IFERROR(INDEX('Content Calendar'!$H$5:$H$604,MATCH(X263,'Content Calendar'!$A$5:$A$604,0)),"Not found"))</f>
        <v>0</v>
      </c>
      <c r="Z263" s="16">
        <f>IF(X263="","",IFERROR(INDEX('Content Calendar'!$B$5:$B$604,MATCH(X263,'Content Calendar'!$A$5:$A$604,0)),"Not found"))</f>
        <v>0</v>
      </c>
      <c r="AA263" s="23">
        <f>IF(U263="","",TODAY()-U263)</f>
        <v>0</v>
      </c>
      <c r="AB263" s="16">
        <f>IF(B263="","",IF(T263="Used","",IF(V263="",U263,V263)+IdeaReviewDays))</f>
        <v>0</v>
      </c>
      <c r="AC263" s="29">
        <f>IF(B263="","",IF(COUNTIF('Idea Bank'!$B$5:$B$304,B263)&gt;1,"Duplicate","OK"))</f>
        <v>0</v>
      </c>
      <c r="AD263" s="29">
        <f>IF(B263="","",IF(T263="Used","Done - on the calendar",IF(AND(X263&lt;&gt;"",Y263=""),"Check - content ID not found",IF(AND(AB263&lt;&gt;"",AB263&lt;TODAY()),"Review - idea is going stale",IF(AND(S263&gt;=8,T263&lt;&gt;"Scheduled",X263=""),"Plan - strong idea, not scheduled","OK")))))</f>
        <v>0</v>
      </c>
    </row>
    <row r="264" spans="1:30">
      <c r="A264" s="41">
        <f>IF(B264="","",IdeaPrefix&amp;TEXT(ROW()-4,"000"))</f>
        <v>0</v>
      </c>
      <c r="Y264" s="17">
        <f>IF(X264="","",IFERROR(INDEX('Content Calendar'!$H$5:$H$604,MATCH(X264,'Content Calendar'!$A$5:$A$604,0)),"Not found"))</f>
        <v>0</v>
      </c>
      <c r="Z264" s="16">
        <f>IF(X264="","",IFERROR(INDEX('Content Calendar'!$B$5:$B$604,MATCH(X264,'Content Calendar'!$A$5:$A$604,0)),"Not found"))</f>
        <v>0</v>
      </c>
      <c r="AA264" s="23">
        <f>IF(U264="","",TODAY()-U264)</f>
        <v>0</v>
      </c>
      <c r="AB264" s="16">
        <f>IF(B264="","",IF(T264="Used","",IF(V264="",U264,V264)+IdeaReviewDays))</f>
        <v>0</v>
      </c>
      <c r="AC264" s="29">
        <f>IF(B264="","",IF(COUNTIF('Idea Bank'!$B$5:$B$304,B264)&gt;1,"Duplicate","OK"))</f>
        <v>0</v>
      </c>
      <c r="AD264" s="29">
        <f>IF(B264="","",IF(T264="Used","Done - on the calendar",IF(AND(X264&lt;&gt;"",Y264=""),"Check - content ID not found",IF(AND(AB264&lt;&gt;"",AB264&lt;TODAY()),"Review - idea is going stale",IF(AND(S264&gt;=8,T264&lt;&gt;"Scheduled",X264=""),"Plan - strong idea, not scheduled","OK")))))</f>
        <v>0</v>
      </c>
    </row>
    <row r="265" spans="1:30">
      <c r="A265" s="41">
        <f>IF(B265="","",IdeaPrefix&amp;TEXT(ROW()-4,"000"))</f>
        <v>0</v>
      </c>
      <c r="Y265" s="17">
        <f>IF(X265="","",IFERROR(INDEX('Content Calendar'!$H$5:$H$604,MATCH(X265,'Content Calendar'!$A$5:$A$604,0)),"Not found"))</f>
        <v>0</v>
      </c>
      <c r="Z265" s="16">
        <f>IF(X265="","",IFERROR(INDEX('Content Calendar'!$B$5:$B$604,MATCH(X265,'Content Calendar'!$A$5:$A$604,0)),"Not found"))</f>
        <v>0</v>
      </c>
      <c r="AA265" s="23">
        <f>IF(U265="","",TODAY()-U265)</f>
        <v>0</v>
      </c>
      <c r="AB265" s="16">
        <f>IF(B265="","",IF(T265="Used","",IF(V265="",U265,V265)+IdeaReviewDays))</f>
        <v>0</v>
      </c>
      <c r="AC265" s="29">
        <f>IF(B265="","",IF(COUNTIF('Idea Bank'!$B$5:$B$304,B265)&gt;1,"Duplicate","OK"))</f>
        <v>0</v>
      </c>
      <c r="AD265" s="29">
        <f>IF(B265="","",IF(T265="Used","Done - on the calendar",IF(AND(X265&lt;&gt;"",Y265=""),"Check - content ID not found",IF(AND(AB265&lt;&gt;"",AB265&lt;TODAY()),"Review - idea is going stale",IF(AND(S265&gt;=8,T265&lt;&gt;"Scheduled",X265=""),"Plan - strong idea, not scheduled","OK")))))</f>
        <v>0</v>
      </c>
    </row>
    <row r="266" spans="1:30">
      <c r="A266" s="41">
        <f>IF(B266="","",IdeaPrefix&amp;TEXT(ROW()-4,"000"))</f>
        <v>0</v>
      </c>
      <c r="Y266" s="17">
        <f>IF(X266="","",IFERROR(INDEX('Content Calendar'!$H$5:$H$604,MATCH(X266,'Content Calendar'!$A$5:$A$604,0)),"Not found"))</f>
        <v>0</v>
      </c>
      <c r="Z266" s="16">
        <f>IF(X266="","",IFERROR(INDEX('Content Calendar'!$B$5:$B$604,MATCH(X266,'Content Calendar'!$A$5:$A$604,0)),"Not found"))</f>
        <v>0</v>
      </c>
      <c r="AA266" s="23">
        <f>IF(U266="","",TODAY()-U266)</f>
        <v>0</v>
      </c>
      <c r="AB266" s="16">
        <f>IF(B266="","",IF(T266="Used","",IF(V266="",U266,V266)+IdeaReviewDays))</f>
        <v>0</v>
      </c>
      <c r="AC266" s="29">
        <f>IF(B266="","",IF(COUNTIF('Idea Bank'!$B$5:$B$304,B266)&gt;1,"Duplicate","OK"))</f>
        <v>0</v>
      </c>
      <c r="AD266" s="29">
        <f>IF(B266="","",IF(T266="Used","Done - on the calendar",IF(AND(X266&lt;&gt;"",Y266=""),"Check - content ID not found",IF(AND(AB266&lt;&gt;"",AB266&lt;TODAY()),"Review - idea is going stale",IF(AND(S266&gt;=8,T266&lt;&gt;"Scheduled",X266=""),"Plan - strong idea, not scheduled","OK")))))</f>
        <v>0</v>
      </c>
    </row>
    <row r="267" spans="1:30">
      <c r="A267" s="41">
        <f>IF(B267="","",IdeaPrefix&amp;TEXT(ROW()-4,"000"))</f>
        <v>0</v>
      </c>
      <c r="Y267" s="17">
        <f>IF(X267="","",IFERROR(INDEX('Content Calendar'!$H$5:$H$604,MATCH(X267,'Content Calendar'!$A$5:$A$604,0)),"Not found"))</f>
        <v>0</v>
      </c>
      <c r="Z267" s="16">
        <f>IF(X267="","",IFERROR(INDEX('Content Calendar'!$B$5:$B$604,MATCH(X267,'Content Calendar'!$A$5:$A$604,0)),"Not found"))</f>
        <v>0</v>
      </c>
      <c r="AA267" s="23">
        <f>IF(U267="","",TODAY()-U267)</f>
        <v>0</v>
      </c>
      <c r="AB267" s="16">
        <f>IF(B267="","",IF(T267="Used","",IF(V267="",U267,V267)+IdeaReviewDays))</f>
        <v>0</v>
      </c>
      <c r="AC267" s="29">
        <f>IF(B267="","",IF(COUNTIF('Idea Bank'!$B$5:$B$304,B267)&gt;1,"Duplicate","OK"))</f>
        <v>0</v>
      </c>
      <c r="AD267" s="29">
        <f>IF(B267="","",IF(T267="Used","Done - on the calendar",IF(AND(X267&lt;&gt;"",Y267=""),"Check - content ID not found",IF(AND(AB267&lt;&gt;"",AB267&lt;TODAY()),"Review - idea is going stale",IF(AND(S267&gt;=8,T267&lt;&gt;"Scheduled",X267=""),"Plan - strong idea, not scheduled","OK")))))</f>
        <v>0</v>
      </c>
    </row>
    <row r="268" spans="1:30">
      <c r="A268" s="41">
        <f>IF(B268="","",IdeaPrefix&amp;TEXT(ROW()-4,"000"))</f>
        <v>0</v>
      </c>
      <c r="Y268" s="17">
        <f>IF(X268="","",IFERROR(INDEX('Content Calendar'!$H$5:$H$604,MATCH(X268,'Content Calendar'!$A$5:$A$604,0)),"Not found"))</f>
        <v>0</v>
      </c>
      <c r="Z268" s="16">
        <f>IF(X268="","",IFERROR(INDEX('Content Calendar'!$B$5:$B$604,MATCH(X268,'Content Calendar'!$A$5:$A$604,0)),"Not found"))</f>
        <v>0</v>
      </c>
      <c r="AA268" s="23">
        <f>IF(U268="","",TODAY()-U268)</f>
        <v>0</v>
      </c>
      <c r="AB268" s="16">
        <f>IF(B268="","",IF(T268="Used","",IF(V268="",U268,V268)+IdeaReviewDays))</f>
        <v>0</v>
      </c>
      <c r="AC268" s="29">
        <f>IF(B268="","",IF(COUNTIF('Idea Bank'!$B$5:$B$304,B268)&gt;1,"Duplicate","OK"))</f>
        <v>0</v>
      </c>
      <c r="AD268" s="29">
        <f>IF(B268="","",IF(T268="Used","Done - on the calendar",IF(AND(X268&lt;&gt;"",Y268=""),"Check - content ID not found",IF(AND(AB268&lt;&gt;"",AB268&lt;TODAY()),"Review - idea is going stale",IF(AND(S268&gt;=8,T268&lt;&gt;"Scheduled",X268=""),"Plan - strong idea, not scheduled","OK")))))</f>
        <v>0</v>
      </c>
    </row>
    <row r="269" spans="1:30">
      <c r="A269" s="41">
        <f>IF(B269="","",IdeaPrefix&amp;TEXT(ROW()-4,"000"))</f>
        <v>0</v>
      </c>
      <c r="Y269" s="17">
        <f>IF(X269="","",IFERROR(INDEX('Content Calendar'!$H$5:$H$604,MATCH(X269,'Content Calendar'!$A$5:$A$604,0)),"Not found"))</f>
        <v>0</v>
      </c>
      <c r="Z269" s="16">
        <f>IF(X269="","",IFERROR(INDEX('Content Calendar'!$B$5:$B$604,MATCH(X269,'Content Calendar'!$A$5:$A$604,0)),"Not found"))</f>
        <v>0</v>
      </c>
      <c r="AA269" s="23">
        <f>IF(U269="","",TODAY()-U269)</f>
        <v>0</v>
      </c>
      <c r="AB269" s="16">
        <f>IF(B269="","",IF(T269="Used","",IF(V269="",U269,V269)+IdeaReviewDays))</f>
        <v>0</v>
      </c>
      <c r="AC269" s="29">
        <f>IF(B269="","",IF(COUNTIF('Idea Bank'!$B$5:$B$304,B269)&gt;1,"Duplicate","OK"))</f>
        <v>0</v>
      </c>
      <c r="AD269" s="29">
        <f>IF(B269="","",IF(T269="Used","Done - on the calendar",IF(AND(X269&lt;&gt;"",Y269=""),"Check - content ID not found",IF(AND(AB269&lt;&gt;"",AB269&lt;TODAY()),"Review - idea is going stale",IF(AND(S269&gt;=8,T269&lt;&gt;"Scheduled",X269=""),"Plan - strong idea, not scheduled","OK")))))</f>
        <v>0</v>
      </c>
    </row>
    <row r="270" spans="1:30">
      <c r="A270" s="41">
        <f>IF(B270="","",IdeaPrefix&amp;TEXT(ROW()-4,"000"))</f>
        <v>0</v>
      </c>
      <c r="Y270" s="17">
        <f>IF(X270="","",IFERROR(INDEX('Content Calendar'!$H$5:$H$604,MATCH(X270,'Content Calendar'!$A$5:$A$604,0)),"Not found"))</f>
        <v>0</v>
      </c>
      <c r="Z270" s="16">
        <f>IF(X270="","",IFERROR(INDEX('Content Calendar'!$B$5:$B$604,MATCH(X270,'Content Calendar'!$A$5:$A$604,0)),"Not found"))</f>
        <v>0</v>
      </c>
      <c r="AA270" s="23">
        <f>IF(U270="","",TODAY()-U270)</f>
        <v>0</v>
      </c>
      <c r="AB270" s="16">
        <f>IF(B270="","",IF(T270="Used","",IF(V270="",U270,V270)+IdeaReviewDays))</f>
        <v>0</v>
      </c>
      <c r="AC270" s="29">
        <f>IF(B270="","",IF(COUNTIF('Idea Bank'!$B$5:$B$304,B270)&gt;1,"Duplicate","OK"))</f>
        <v>0</v>
      </c>
      <c r="AD270" s="29">
        <f>IF(B270="","",IF(T270="Used","Done - on the calendar",IF(AND(X270&lt;&gt;"",Y270=""),"Check - content ID not found",IF(AND(AB270&lt;&gt;"",AB270&lt;TODAY()),"Review - idea is going stale",IF(AND(S270&gt;=8,T270&lt;&gt;"Scheduled",X270=""),"Plan - strong idea, not scheduled","OK")))))</f>
        <v>0</v>
      </c>
    </row>
    <row r="271" spans="1:30">
      <c r="A271" s="41">
        <f>IF(B271="","",IdeaPrefix&amp;TEXT(ROW()-4,"000"))</f>
        <v>0</v>
      </c>
      <c r="Y271" s="17">
        <f>IF(X271="","",IFERROR(INDEX('Content Calendar'!$H$5:$H$604,MATCH(X271,'Content Calendar'!$A$5:$A$604,0)),"Not found"))</f>
        <v>0</v>
      </c>
      <c r="Z271" s="16">
        <f>IF(X271="","",IFERROR(INDEX('Content Calendar'!$B$5:$B$604,MATCH(X271,'Content Calendar'!$A$5:$A$604,0)),"Not found"))</f>
        <v>0</v>
      </c>
      <c r="AA271" s="23">
        <f>IF(U271="","",TODAY()-U271)</f>
        <v>0</v>
      </c>
      <c r="AB271" s="16">
        <f>IF(B271="","",IF(T271="Used","",IF(V271="",U271,V271)+IdeaReviewDays))</f>
        <v>0</v>
      </c>
      <c r="AC271" s="29">
        <f>IF(B271="","",IF(COUNTIF('Idea Bank'!$B$5:$B$304,B271)&gt;1,"Duplicate","OK"))</f>
        <v>0</v>
      </c>
      <c r="AD271" s="29">
        <f>IF(B271="","",IF(T271="Used","Done - on the calendar",IF(AND(X271&lt;&gt;"",Y271=""),"Check - content ID not found",IF(AND(AB271&lt;&gt;"",AB271&lt;TODAY()),"Review - idea is going stale",IF(AND(S271&gt;=8,T271&lt;&gt;"Scheduled",X271=""),"Plan - strong idea, not scheduled","OK")))))</f>
        <v>0</v>
      </c>
    </row>
    <row r="272" spans="1:30">
      <c r="A272" s="41">
        <f>IF(B272="","",IdeaPrefix&amp;TEXT(ROW()-4,"000"))</f>
        <v>0</v>
      </c>
      <c r="Y272" s="17">
        <f>IF(X272="","",IFERROR(INDEX('Content Calendar'!$H$5:$H$604,MATCH(X272,'Content Calendar'!$A$5:$A$604,0)),"Not found"))</f>
        <v>0</v>
      </c>
      <c r="Z272" s="16">
        <f>IF(X272="","",IFERROR(INDEX('Content Calendar'!$B$5:$B$604,MATCH(X272,'Content Calendar'!$A$5:$A$604,0)),"Not found"))</f>
        <v>0</v>
      </c>
      <c r="AA272" s="23">
        <f>IF(U272="","",TODAY()-U272)</f>
        <v>0</v>
      </c>
      <c r="AB272" s="16">
        <f>IF(B272="","",IF(T272="Used","",IF(V272="",U272,V272)+IdeaReviewDays))</f>
        <v>0</v>
      </c>
      <c r="AC272" s="29">
        <f>IF(B272="","",IF(COUNTIF('Idea Bank'!$B$5:$B$304,B272)&gt;1,"Duplicate","OK"))</f>
        <v>0</v>
      </c>
      <c r="AD272" s="29">
        <f>IF(B272="","",IF(T272="Used","Done - on the calendar",IF(AND(X272&lt;&gt;"",Y272=""),"Check - content ID not found",IF(AND(AB272&lt;&gt;"",AB272&lt;TODAY()),"Review - idea is going stale",IF(AND(S272&gt;=8,T272&lt;&gt;"Scheduled",X272=""),"Plan - strong idea, not scheduled","OK")))))</f>
        <v>0</v>
      </c>
    </row>
    <row r="273" spans="1:30">
      <c r="A273" s="41">
        <f>IF(B273="","",IdeaPrefix&amp;TEXT(ROW()-4,"000"))</f>
        <v>0</v>
      </c>
      <c r="Y273" s="17">
        <f>IF(X273="","",IFERROR(INDEX('Content Calendar'!$H$5:$H$604,MATCH(X273,'Content Calendar'!$A$5:$A$604,0)),"Not found"))</f>
        <v>0</v>
      </c>
      <c r="Z273" s="16">
        <f>IF(X273="","",IFERROR(INDEX('Content Calendar'!$B$5:$B$604,MATCH(X273,'Content Calendar'!$A$5:$A$604,0)),"Not found"))</f>
        <v>0</v>
      </c>
      <c r="AA273" s="23">
        <f>IF(U273="","",TODAY()-U273)</f>
        <v>0</v>
      </c>
      <c r="AB273" s="16">
        <f>IF(B273="","",IF(T273="Used","",IF(V273="",U273,V273)+IdeaReviewDays))</f>
        <v>0</v>
      </c>
      <c r="AC273" s="29">
        <f>IF(B273="","",IF(COUNTIF('Idea Bank'!$B$5:$B$304,B273)&gt;1,"Duplicate","OK"))</f>
        <v>0</v>
      </c>
      <c r="AD273" s="29">
        <f>IF(B273="","",IF(T273="Used","Done - on the calendar",IF(AND(X273&lt;&gt;"",Y273=""),"Check - content ID not found",IF(AND(AB273&lt;&gt;"",AB273&lt;TODAY()),"Review - idea is going stale",IF(AND(S273&gt;=8,T273&lt;&gt;"Scheduled",X273=""),"Plan - strong idea, not scheduled","OK")))))</f>
        <v>0</v>
      </c>
    </row>
    <row r="274" spans="1:30">
      <c r="A274" s="41">
        <f>IF(B274="","",IdeaPrefix&amp;TEXT(ROW()-4,"000"))</f>
        <v>0</v>
      </c>
      <c r="Y274" s="17">
        <f>IF(X274="","",IFERROR(INDEX('Content Calendar'!$H$5:$H$604,MATCH(X274,'Content Calendar'!$A$5:$A$604,0)),"Not found"))</f>
        <v>0</v>
      </c>
      <c r="Z274" s="16">
        <f>IF(X274="","",IFERROR(INDEX('Content Calendar'!$B$5:$B$604,MATCH(X274,'Content Calendar'!$A$5:$A$604,0)),"Not found"))</f>
        <v>0</v>
      </c>
      <c r="AA274" s="23">
        <f>IF(U274="","",TODAY()-U274)</f>
        <v>0</v>
      </c>
      <c r="AB274" s="16">
        <f>IF(B274="","",IF(T274="Used","",IF(V274="",U274,V274)+IdeaReviewDays))</f>
        <v>0</v>
      </c>
      <c r="AC274" s="29">
        <f>IF(B274="","",IF(COUNTIF('Idea Bank'!$B$5:$B$304,B274)&gt;1,"Duplicate","OK"))</f>
        <v>0</v>
      </c>
      <c r="AD274" s="29">
        <f>IF(B274="","",IF(T274="Used","Done - on the calendar",IF(AND(X274&lt;&gt;"",Y274=""),"Check - content ID not found",IF(AND(AB274&lt;&gt;"",AB274&lt;TODAY()),"Review - idea is going stale",IF(AND(S274&gt;=8,T274&lt;&gt;"Scheduled",X274=""),"Plan - strong idea, not scheduled","OK")))))</f>
        <v>0</v>
      </c>
    </row>
    <row r="275" spans="1:30">
      <c r="A275" s="41">
        <f>IF(B275="","",IdeaPrefix&amp;TEXT(ROW()-4,"000"))</f>
        <v>0</v>
      </c>
      <c r="Y275" s="17">
        <f>IF(X275="","",IFERROR(INDEX('Content Calendar'!$H$5:$H$604,MATCH(X275,'Content Calendar'!$A$5:$A$604,0)),"Not found"))</f>
        <v>0</v>
      </c>
      <c r="Z275" s="16">
        <f>IF(X275="","",IFERROR(INDEX('Content Calendar'!$B$5:$B$604,MATCH(X275,'Content Calendar'!$A$5:$A$604,0)),"Not found"))</f>
        <v>0</v>
      </c>
      <c r="AA275" s="23">
        <f>IF(U275="","",TODAY()-U275)</f>
        <v>0</v>
      </c>
      <c r="AB275" s="16">
        <f>IF(B275="","",IF(T275="Used","",IF(V275="",U275,V275)+IdeaReviewDays))</f>
        <v>0</v>
      </c>
      <c r="AC275" s="29">
        <f>IF(B275="","",IF(COUNTIF('Idea Bank'!$B$5:$B$304,B275)&gt;1,"Duplicate","OK"))</f>
        <v>0</v>
      </c>
      <c r="AD275" s="29">
        <f>IF(B275="","",IF(T275="Used","Done - on the calendar",IF(AND(X275&lt;&gt;"",Y275=""),"Check - content ID not found",IF(AND(AB275&lt;&gt;"",AB275&lt;TODAY()),"Review - idea is going stale",IF(AND(S275&gt;=8,T275&lt;&gt;"Scheduled",X275=""),"Plan - strong idea, not scheduled","OK")))))</f>
        <v>0</v>
      </c>
    </row>
    <row r="276" spans="1:30">
      <c r="A276" s="41">
        <f>IF(B276="","",IdeaPrefix&amp;TEXT(ROW()-4,"000"))</f>
        <v>0</v>
      </c>
      <c r="Y276" s="17">
        <f>IF(X276="","",IFERROR(INDEX('Content Calendar'!$H$5:$H$604,MATCH(X276,'Content Calendar'!$A$5:$A$604,0)),"Not found"))</f>
        <v>0</v>
      </c>
      <c r="Z276" s="16">
        <f>IF(X276="","",IFERROR(INDEX('Content Calendar'!$B$5:$B$604,MATCH(X276,'Content Calendar'!$A$5:$A$604,0)),"Not found"))</f>
        <v>0</v>
      </c>
      <c r="AA276" s="23">
        <f>IF(U276="","",TODAY()-U276)</f>
        <v>0</v>
      </c>
      <c r="AB276" s="16">
        <f>IF(B276="","",IF(T276="Used","",IF(V276="",U276,V276)+IdeaReviewDays))</f>
        <v>0</v>
      </c>
      <c r="AC276" s="29">
        <f>IF(B276="","",IF(COUNTIF('Idea Bank'!$B$5:$B$304,B276)&gt;1,"Duplicate","OK"))</f>
        <v>0</v>
      </c>
      <c r="AD276" s="29">
        <f>IF(B276="","",IF(T276="Used","Done - on the calendar",IF(AND(X276&lt;&gt;"",Y276=""),"Check - content ID not found",IF(AND(AB276&lt;&gt;"",AB276&lt;TODAY()),"Review - idea is going stale",IF(AND(S276&gt;=8,T276&lt;&gt;"Scheduled",X276=""),"Plan - strong idea, not scheduled","OK")))))</f>
        <v>0</v>
      </c>
    </row>
    <row r="277" spans="1:30">
      <c r="A277" s="41">
        <f>IF(B277="","",IdeaPrefix&amp;TEXT(ROW()-4,"000"))</f>
        <v>0</v>
      </c>
      <c r="Y277" s="17">
        <f>IF(X277="","",IFERROR(INDEX('Content Calendar'!$H$5:$H$604,MATCH(X277,'Content Calendar'!$A$5:$A$604,0)),"Not found"))</f>
        <v>0</v>
      </c>
      <c r="Z277" s="16">
        <f>IF(X277="","",IFERROR(INDEX('Content Calendar'!$B$5:$B$604,MATCH(X277,'Content Calendar'!$A$5:$A$604,0)),"Not found"))</f>
        <v>0</v>
      </c>
      <c r="AA277" s="23">
        <f>IF(U277="","",TODAY()-U277)</f>
        <v>0</v>
      </c>
      <c r="AB277" s="16">
        <f>IF(B277="","",IF(T277="Used","",IF(V277="",U277,V277)+IdeaReviewDays))</f>
        <v>0</v>
      </c>
      <c r="AC277" s="29">
        <f>IF(B277="","",IF(COUNTIF('Idea Bank'!$B$5:$B$304,B277)&gt;1,"Duplicate","OK"))</f>
        <v>0</v>
      </c>
      <c r="AD277" s="29">
        <f>IF(B277="","",IF(T277="Used","Done - on the calendar",IF(AND(X277&lt;&gt;"",Y277=""),"Check - content ID not found",IF(AND(AB277&lt;&gt;"",AB277&lt;TODAY()),"Review - idea is going stale",IF(AND(S277&gt;=8,T277&lt;&gt;"Scheduled",X277=""),"Plan - strong idea, not scheduled","OK")))))</f>
        <v>0</v>
      </c>
    </row>
    <row r="278" spans="1:30">
      <c r="A278" s="41">
        <f>IF(B278="","",IdeaPrefix&amp;TEXT(ROW()-4,"000"))</f>
        <v>0</v>
      </c>
      <c r="Y278" s="17">
        <f>IF(X278="","",IFERROR(INDEX('Content Calendar'!$H$5:$H$604,MATCH(X278,'Content Calendar'!$A$5:$A$604,0)),"Not found"))</f>
        <v>0</v>
      </c>
      <c r="Z278" s="16">
        <f>IF(X278="","",IFERROR(INDEX('Content Calendar'!$B$5:$B$604,MATCH(X278,'Content Calendar'!$A$5:$A$604,0)),"Not found"))</f>
        <v>0</v>
      </c>
      <c r="AA278" s="23">
        <f>IF(U278="","",TODAY()-U278)</f>
        <v>0</v>
      </c>
      <c r="AB278" s="16">
        <f>IF(B278="","",IF(T278="Used","",IF(V278="",U278,V278)+IdeaReviewDays))</f>
        <v>0</v>
      </c>
      <c r="AC278" s="29">
        <f>IF(B278="","",IF(COUNTIF('Idea Bank'!$B$5:$B$304,B278)&gt;1,"Duplicate","OK"))</f>
        <v>0</v>
      </c>
      <c r="AD278" s="29">
        <f>IF(B278="","",IF(T278="Used","Done - on the calendar",IF(AND(X278&lt;&gt;"",Y278=""),"Check - content ID not found",IF(AND(AB278&lt;&gt;"",AB278&lt;TODAY()),"Review - idea is going stale",IF(AND(S278&gt;=8,T278&lt;&gt;"Scheduled",X278=""),"Plan - strong idea, not scheduled","OK")))))</f>
        <v>0</v>
      </c>
    </row>
    <row r="279" spans="1:30">
      <c r="A279" s="41">
        <f>IF(B279="","",IdeaPrefix&amp;TEXT(ROW()-4,"000"))</f>
        <v>0</v>
      </c>
      <c r="Y279" s="17">
        <f>IF(X279="","",IFERROR(INDEX('Content Calendar'!$H$5:$H$604,MATCH(X279,'Content Calendar'!$A$5:$A$604,0)),"Not found"))</f>
        <v>0</v>
      </c>
      <c r="Z279" s="16">
        <f>IF(X279="","",IFERROR(INDEX('Content Calendar'!$B$5:$B$604,MATCH(X279,'Content Calendar'!$A$5:$A$604,0)),"Not found"))</f>
        <v>0</v>
      </c>
      <c r="AA279" s="23">
        <f>IF(U279="","",TODAY()-U279)</f>
        <v>0</v>
      </c>
      <c r="AB279" s="16">
        <f>IF(B279="","",IF(T279="Used","",IF(V279="",U279,V279)+IdeaReviewDays))</f>
        <v>0</v>
      </c>
      <c r="AC279" s="29">
        <f>IF(B279="","",IF(COUNTIF('Idea Bank'!$B$5:$B$304,B279)&gt;1,"Duplicate","OK"))</f>
        <v>0</v>
      </c>
      <c r="AD279" s="29">
        <f>IF(B279="","",IF(T279="Used","Done - on the calendar",IF(AND(X279&lt;&gt;"",Y279=""),"Check - content ID not found",IF(AND(AB279&lt;&gt;"",AB279&lt;TODAY()),"Review - idea is going stale",IF(AND(S279&gt;=8,T279&lt;&gt;"Scheduled",X279=""),"Plan - strong idea, not scheduled","OK")))))</f>
        <v>0</v>
      </c>
    </row>
    <row r="280" spans="1:30">
      <c r="A280" s="41">
        <f>IF(B280="","",IdeaPrefix&amp;TEXT(ROW()-4,"000"))</f>
        <v>0</v>
      </c>
      <c r="Y280" s="17">
        <f>IF(X280="","",IFERROR(INDEX('Content Calendar'!$H$5:$H$604,MATCH(X280,'Content Calendar'!$A$5:$A$604,0)),"Not found"))</f>
        <v>0</v>
      </c>
      <c r="Z280" s="16">
        <f>IF(X280="","",IFERROR(INDEX('Content Calendar'!$B$5:$B$604,MATCH(X280,'Content Calendar'!$A$5:$A$604,0)),"Not found"))</f>
        <v>0</v>
      </c>
      <c r="AA280" s="23">
        <f>IF(U280="","",TODAY()-U280)</f>
        <v>0</v>
      </c>
      <c r="AB280" s="16">
        <f>IF(B280="","",IF(T280="Used","",IF(V280="",U280,V280)+IdeaReviewDays))</f>
        <v>0</v>
      </c>
      <c r="AC280" s="29">
        <f>IF(B280="","",IF(COUNTIF('Idea Bank'!$B$5:$B$304,B280)&gt;1,"Duplicate","OK"))</f>
        <v>0</v>
      </c>
      <c r="AD280" s="29">
        <f>IF(B280="","",IF(T280="Used","Done - on the calendar",IF(AND(X280&lt;&gt;"",Y280=""),"Check - content ID not found",IF(AND(AB280&lt;&gt;"",AB280&lt;TODAY()),"Review - idea is going stale",IF(AND(S280&gt;=8,T280&lt;&gt;"Scheduled",X280=""),"Plan - strong idea, not scheduled","OK")))))</f>
        <v>0</v>
      </c>
    </row>
    <row r="281" spans="1:30">
      <c r="A281" s="41">
        <f>IF(B281="","",IdeaPrefix&amp;TEXT(ROW()-4,"000"))</f>
        <v>0</v>
      </c>
      <c r="Y281" s="17">
        <f>IF(X281="","",IFERROR(INDEX('Content Calendar'!$H$5:$H$604,MATCH(X281,'Content Calendar'!$A$5:$A$604,0)),"Not found"))</f>
        <v>0</v>
      </c>
      <c r="Z281" s="16">
        <f>IF(X281="","",IFERROR(INDEX('Content Calendar'!$B$5:$B$604,MATCH(X281,'Content Calendar'!$A$5:$A$604,0)),"Not found"))</f>
        <v>0</v>
      </c>
      <c r="AA281" s="23">
        <f>IF(U281="","",TODAY()-U281)</f>
        <v>0</v>
      </c>
      <c r="AB281" s="16">
        <f>IF(B281="","",IF(T281="Used","",IF(V281="",U281,V281)+IdeaReviewDays))</f>
        <v>0</v>
      </c>
      <c r="AC281" s="29">
        <f>IF(B281="","",IF(COUNTIF('Idea Bank'!$B$5:$B$304,B281)&gt;1,"Duplicate","OK"))</f>
        <v>0</v>
      </c>
      <c r="AD281" s="29">
        <f>IF(B281="","",IF(T281="Used","Done - on the calendar",IF(AND(X281&lt;&gt;"",Y281=""),"Check - content ID not found",IF(AND(AB281&lt;&gt;"",AB281&lt;TODAY()),"Review - idea is going stale",IF(AND(S281&gt;=8,T281&lt;&gt;"Scheduled",X281=""),"Plan - strong idea, not scheduled","OK")))))</f>
        <v>0</v>
      </c>
    </row>
    <row r="282" spans="1:30">
      <c r="A282" s="41">
        <f>IF(B282="","",IdeaPrefix&amp;TEXT(ROW()-4,"000"))</f>
        <v>0</v>
      </c>
      <c r="Y282" s="17">
        <f>IF(X282="","",IFERROR(INDEX('Content Calendar'!$H$5:$H$604,MATCH(X282,'Content Calendar'!$A$5:$A$604,0)),"Not found"))</f>
        <v>0</v>
      </c>
      <c r="Z282" s="16">
        <f>IF(X282="","",IFERROR(INDEX('Content Calendar'!$B$5:$B$604,MATCH(X282,'Content Calendar'!$A$5:$A$604,0)),"Not found"))</f>
        <v>0</v>
      </c>
      <c r="AA282" s="23">
        <f>IF(U282="","",TODAY()-U282)</f>
        <v>0</v>
      </c>
      <c r="AB282" s="16">
        <f>IF(B282="","",IF(T282="Used","",IF(V282="",U282,V282)+IdeaReviewDays))</f>
        <v>0</v>
      </c>
      <c r="AC282" s="29">
        <f>IF(B282="","",IF(COUNTIF('Idea Bank'!$B$5:$B$304,B282)&gt;1,"Duplicate","OK"))</f>
        <v>0</v>
      </c>
      <c r="AD282" s="29">
        <f>IF(B282="","",IF(T282="Used","Done - on the calendar",IF(AND(X282&lt;&gt;"",Y282=""),"Check - content ID not found",IF(AND(AB282&lt;&gt;"",AB282&lt;TODAY()),"Review - idea is going stale",IF(AND(S282&gt;=8,T282&lt;&gt;"Scheduled",X282=""),"Plan - strong idea, not scheduled","OK")))))</f>
        <v>0</v>
      </c>
    </row>
    <row r="283" spans="1:30">
      <c r="A283" s="41">
        <f>IF(B283="","",IdeaPrefix&amp;TEXT(ROW()-4,"000"))</f>
        <v>0</v>
      </c>
      <c r="Y283" s="17">
        <f>IF(X283="","",IFERROR(INDEX('Content Calendar'!$H$5:$H$604,MATCH(X283,'Content Calendar'!$A$5:$A$604,0)),"Not found"))</f>
        <v>0</v>
      </c>
      <c r="Z283" s="16">
        <f>IF(X283="","",IFERROR(INDEX('Content Calendar'!$B$5:$B$604,MATCH(X283,'Content Calendar'!$A$5:$A$604,0)),"Not found"))</f>
        <v>0</v>
      </c>
      <c r="AA283" s="23">
        <f>IF(U283="","",TODAY()-U283)</f>
        <v>0</v>
      </c>
      <c r="AB283" s="16">
        <f>IF(B283="","",IF(T283="Used","",IF(V283="",U283,V283)+IdeaReviewDays))</f>
        <v>0</v>
      </c>
      <c r="AC283" s="29">
        <f>IF(B283="","",IF(COUNTIF('Idea Bank'!$B$5:$B$304,B283)&gt;1,"Duplicate","OK"))</f>
        <v>0</v>
      </c>
      <c r="AD283" s="29">
        <f>IF(B283="","",IF(T283="Used","Done - on the calendar",IF(AND(X283&lt;&gt;"",Y283=""),"Check - content ID not found",IF(AND(AB283&lt;&gt;"",AB283&lt;TODAY()),"Review - idea is going stale",IF(AND(S283&gt;=8,T283&lt;&gt;"Scheduled",X283=""),"Plan - strong idea, not scheduled","OK")))))</f>
        <v>0</v>
      </c>
    </row>
    <row r="284" spans="1:30">
      <c r="A284" s="41">
        <f>IF(B284="","",IdeaPrefix&amp;TEXT(ROW()-4,"000"))</f>
        <v>0</v>
      </c>
      <c r="Y284" s="17">
        <f>IF(X284="","",IFERROR(INDEX('Content Calendar'!$H$5:$H$604,MATCH(X284,'Content Calendar'!$A$5:$A$604,0)),"Not found"))</f>
        <v>0</v>
      </c>
      <c r="Z284" s="16">
        <f>IF(X284="","",IFERROR(INDEX('Content Calendar'!$B$5:$B$604,MATCH(X284,'Content Calendar'!$A$5:$A$604,0)),"Not found"))</f>
        <v>0</v>
      </c>
      <c r="AA284" s="23">
        <f>IF(U284="","",TODAY()-U284)</f>
        <v>0</v>
      </c>
      <c r="AB284" s="16">
        <f>IF(B284="","",IF(T284="Used","",IF(V284="",U284,V284)+IdeaReviewDays))</f>
        <v>0</v>
      </c>
      <c r="AC284" s="29">
        <f>IF(B284="","",IF(COUNTIF('Idea Bank'!$B$5:$B$304,B284)&gt;1,"Duplicate","OK"))</f>
        <v>0</v>
      </c>
      <c r="AD284" s="29">
        <f>IF(B284="","",IF(T284="Used","Done - on the calendar",IF(AND(X284&lt;&gt;"",Y284=""),"Check - content ID not found",IF(AND(AB284&lt;&gt;"",AB284&lt;TODAY()),"Review - idea is going stale",IF(AND(S284&gt;=8,T284&lt;&gt;"Scheduled",X284=""),"Plan - strong idea, not scheduled","OK")))))</f>
        <v>0</v>
      </c>
    </row>
    <row r="285" spans="1:30">
      <c r="A285" s="41">
        <f>IF(B285="","",IdeaPrefix&amp;TEXT(ROW()-4,"000"))</f>
        <v>0</v>
      </c>
      <c r="Y285" s="17">
        <f>IF(X285="","",IFERROR(INDEX('Content Calendar'!$H$5:$H$604,MATCH(X285,'Content Calendar'!$A$5:$A$604,0)),"Not found"))</f>
        <v>0</v>
      </c>
      <c r="Z285" s="16">
        <f>IF(X285="","",IFERROR(INDEX('Content Calendar'!$B$5:$B$604,MATCH(X285,'Content Calendar'!$A$5:$A$604,0)),"Not found"))</f>
        <v>0</v>
      </c>
      <c r="AA285" s="23">
        <f>IF(U285="","",TODAY()-U285)</f>
        <v>0</v>
      </c>
      <c r="AB285" s="16">
        <f>IF(B285="","",IF(T285="Used","",IF(V285="",U285,V285)+IdeaReviewDays))</f>
        <v>0</v>
      </c>
      <c r="AC285" s="29">
        <f>IF(B285="","",IF(COUNTIF('Idea Bank'!$B$5:$B$304,B285)&gt;1,"Duplicate","OK"))</f>
        <v>0</v>
      </c>
      <c r="AD285" s="29">
        <f>IF(B285="","",IF(T285="Used","Done - on the calendar",IF(AND(X285&lt;&gt;"",Y285=""),"Check - content ID not found",IF(AND(AB285&lt;&gt;"",AB285&lt;TODAY()),"Review - idea is going stale",IF(AND(S285&gt;=8,T285&lt;&gt;"Scheduled",X285=""),"Plan - strong idea, not scheduled","OK")))))</f>
        <v>0</v>
      </c>
    </row>
    <row r="286" spans="1:30">
      <c r="A286" s="41">
        <f>IF(B286="","",IdeaPrefix&amp;TEXT(ROW()-4,"000"))</f>
        <v>0</v>
      </c>
      <c r="Y286" s="17">
        <f>IF(X286="","",IFERROR(INDEX('Content Calendar'!$H$5:$H$604,MATCH(X286,'Content Calendar'!$A$5:$A$604,0)),"Not found"))</f>
        <v>0</v>
      </c>
      <c r="Z286" s="16">
        <f>IF(X286="","",IFERROR(INDEX('Content Calendar'!$B$5:$B$604,MATCH(X286,'Content Calendar'!$A$5:$A$604,0)),"Not found"))</f>
        <v>0</v>
      </c>
      <c r="AA286" s="23">
        <f>IF(U286="","",TODAY()-U286)</f>
        <v>0</v>
      </c>
      <c r="AB286" s="16">
        <f>IF(B286="","",IF(T286="Used","",IF(V286="",U286,V286)+IdeaReviewDays))</f>
        <v>0</v>
      </c>
      <c r="AC286" s="29">
        <f>IF(B286="","",IF(COUNTIF('Idea Bank'!$B$5:$B$304,B286)&gt;1,"Duplicate","OK"))</f>
        <v>0</v>
      </c>
      <c r="AD286" s="29">
        <f>IF(B286="","",IF(T286="Used","Done - on the calendar",IF(AND(X286&lt;&gt;"",Y286=""),"Check - content ID not found",IF(AND(AB286&lt;&gt;"",AB286&lt;TODAY()),"Review - idea is going stale",IF(AND(S286&gt;=8,T286&lt;&gt;"Scheduled",X286=""),"Plan - strong idea, not scheduled","OK")))))</f>
        <v>0</v>
      </c>
    </row>
    <row r="287" spans="1:30">
      <c r="A287" s="41">
        <f>IF(B287="","",IdeaPrefix&amp;TEXT(ROW()-4,"000"))</f>
        <v>0</v>
      </c>
      <c r="Y287" s="17">
        <f>IF(X287="","",IFERROR(INDEX('Content Calendar'!$H$5:$H$604,MATCH(X287,'Content Calendar'!$A$5:$A$604,0)),"Not found"))</f>
        <v>0</v>
      </c>
      <c r="Z287" s="16">
        <f>IF(X287="","",IFERROR(INDEX('Content Calendar'!$B$5:$B$604,MATCH(X287,'Content Calendar'!$A$5:$A$604,0)),"Not found"))</f>
        <v>0</v>
      </c>
      <c r="AA287" s="23">
        <f>IF(U287="","",TODAY()-U287)</f>
        <v>0</v>
      </c>
      <c r="AB287" s="16">
        <f>IF(B287="","",IF(T287="Used","",IF(V287="",U287,V287)+IdeaReviewDays))</f>
        <v>0</v>
      </c>
      <c r="AC287" s="29">
        <f>IF(B287="","",IF(COUNTIF('Idea Bank'!$B$5:$B$304,B287)&gt;1,"Duplicate","OK"))</f>
        <v>0</v>
      </c>
      <c r="AD287" s="29">
        <f>IF(B287="","",IF(T287="Used","Done - on the calendar",IF(AND(X287&lt;&gt;"",Y287=""),"Check - content ID not found",IF(AND(AB287&lt;&gt;"",AB287&lt;TODAY()),"Review - idea is going stale",IF(AND(S287&gt;=8,T287&lt;&gt;"Scheduled",X287=""),"Plan - strong idea, not scheduled","OK")))))</f>
        <v>0</v>
      </c>
    </row>
    <row r="288" spans="1:30">
      <c r="A288" s="41">
        <f>IF(B288="","",IdeaPrefix&amp;TEXT(ROW()-4,"000"))</f>
        <v>0</v>
      </c>
      <c r="Y288" s="17">
        <f>IF(X288="","",IFERROR(INDEX('Content Calendar'!$H$5:$H$604,MATCH(X288,'Content Calendar'!$A$5:$A$604,0)),"Not found"))</f>
        <v>0</v>
      </c>
      <c r="Z288" s="16">
        <f>IF(X288="","",IFERROR(INDEX('Content Calendar'!$B$5:$B$604,MATCH(X288,'Content Calendar'!$A$5:$A$604,0)),"Not found"))</f>
        <v>0</v>
      </c>
      <c r="AA288" s="23">
        <f>IF(U288="","",TODAY()-U288)</f>
        <v>0</v>
      </c>
      <c r="AB288" s="16">
        <f>IF(B288="","",IF(T288="Used","",IF(V288="",U288,V288)+IdeaReviewDays))</f>
        <v>0</v>
      </c>
      <c r="AC288" s="29">
        <f>IF(B288="","",IF(COUNTIF('Idea Bank'!$B$5:$B$304,B288)&gt;1,"Duplicate","OK"))</f>
        <v>0</v>
      </c>
      <c r="AD288" s="29">
        <f>IF(B288="","",IF(T288="Used","Done - on the calendar",IF(AND(X288&lt;&gt;"",Y288=""),"Check - content ID not found",IF(AND(AB288&lt;&gt;"",AB288&lt;TODAY()),"Review - idea is going stale",IF(AND(S288&gt;=8,T288&lt;&gt;"Scheduled",X288=""),"Plan - strong idea, not scheduled","OK")))))</f>
        <v>0</v>
      </c>
    </row>
    <row r="289" spans="1:30">
      <c r="A289" s="41">
        <f>IF(B289="","",IdeaPrefix&amp;TEXT(ROW()-4,"000"))</f>
        <v>0</v>
      </c>
      <c r="Y289" s="17">
        <f>IF(X289="","",IFERROR(INDEX('Content Calendar'!$H$5:$H$604,MATCH(X289,'Content Calendar'!$A$5:$A$604,0)),"Not found"))</f>
        <v>0</v>
      </c>
      <c r="Z289" s="16">
        <f>IF(X289="","",IFERROR(INDEX('Content Calendar'!$B$5:$B$604,MATCH(X289,'Content Calendar'!$A$5:$A$604,0)),"Not found"))</f>
        <v>0</v>
      </c>
      <c r="AA289" s="23">
        <f>IF(U289="","",TODAY()-U289)</f>
        <v>0</v>
      </c>
      <c r="AB289" s="16">
        <f>IF(B289="","",IF(T289="Used","",IF(V289="",U289,V289)+IdeaReviewDays))</f>
        <v>0</v>
      </c>
      <c r="AC289" s="29">
        <f>IF(B289="","",IF(COUNTIF('Idea Bank'!$B$5:$B$304,B289)&gt;1,"Duplicate","OK"))</f>
        <v>0</v>
      </c>
      <c r="AD289" s="29">
        <f>IF(B289="","",IF(T289="Used","Done - on the calendar",IF(AND(X289&lt;&gt;"",Y289=""),"Check - content ID not found",IF(AND(AB289&lt;&gt;"",AB289&lt;TODAY()),"Review - idea is going stale",IF(AND(S289&gt;=8,T289&lt;&gt;"Scheduled",X289=""),"Plan - strong idea, not scheduled","OK")))))</f>
        <v>0</v>
      </c>
    </row>
    <row r="290" spans="1:30">
      <c r="A290" s="41">
        <f>IF(B290="","",IdeaPrefix&amp;TEXT(ROW()-4,"000"))</f>
        <v>0</v>
      </c>
      <c r="Y290" s="17">
        <f>IF(X290="","",IFERROR(INDEX('Content Calendar'!$H$5:$H$604,MATCH(X290,'Content Calendar'!$A$5:$A$604,0)),"Not found"))</f>
        <v>0</v>
      </c>
      <c r="Z290" s="16">
        <f>IF(X290="","",IFERROR(INDEX('Content Calendar'!$B$5:$B$604,MATCH(X290,'Content Calendar'!$A$5:$A$604,0)),"Not found"))</f>
        <v>0</v>
      </c>
      <c r="AA290" s="23">
        <f>IF(U290="","",TODAY()-U290)</f>
        <v>0</v>
      </c>
      <c r="AB290" s="16">
        <f>IF(B290="","",IF(T290="Used","",IF(V290="",U290,V290)+IdeaReviewDays))</f>
        <v>0</v>
      </c>
      <c r="AC290" s="29">
        <f>IF(B290="","",IF(COUNTIF('Idea Bank'!$B$5:$B$304,B290)&gt;1,"Duplicate","OK"))</f>
        <v>0</v>
      </c>
      <c r="AD290" s="29">
        <f>IF(B290="","",IF(T290="Used","Done - on the calendar",IF(AND(X290&lt;&gt;"",Y290=""),"Check - content ID not found",IF(AND(AB290&lt;&gt;"",AB290&lt;TODAY()),"Review - idea is going stale",IF(AND(S290&gt;=8,T290&lt;&gt;"Scheduled",X290=""),"Plan - strong idea, not scheduled","OK")))))</f>
        <v>0</v>
      </c>
    </row>
    <row r="291" spans="1:30">
      <c r="A291" s="41">
        <f>IF(B291="","",IdeaPrefix&amp;TEXT(ROW()-4,"000"))</f>
        <v>0</v>
      </c>
      <c r="Y291" s="17">
        <f>IF(X291="","",IFERROR(INDEX('Content Calendar'!$H$5:$H$604,MATCH(X291,'Content Calendar'!$A$5:$A$604,0)),"Not found"))</f>
        <v>0</v>
      </c>
      <c r="Z291" s="16">
        <f>IF(X291="","",IFERROR(INDEX('Content Calendar'!$B$5:$B$604,MATCH(X291,'Content Calendar'!$A$5:$A$604,0)),"Not found"))</f>
        <v>0</v>
      </c>
      <c r="AA291" s="23">
        <f>IF(U291="","",TODAY()-U291)</f>
        <v>0</v>
      </c>
      <c r="AB291" s="16">
        <f>IF(B291="","",IF(T291="Used","",IF(V291="",U291,V291)+IdeaReviewDays))</f>
        <v>0</v>
      </c>
      <c r="AC291" s="29">
        <f>IF(B291="","",IF(COUNTIF('Idea Bank'!$B$5:$B$304,B291)&gt;1,"Duplicate","OK"))</f>
        <v>0</v>
      </c>
      <c r="AD291" s="29">
        <f>IF(B291="","",IF(T291="Used","Done - on the calendar",IF(AND(X291&lt;&gt;"",Y291=""),"Check - content ID not found",IF(AND(AB291&lt;&gt;"",AB291&lt;TODAY()),"Review - idea is going stale",IF(AND(S291&gt;=8,T291&lt;&gt;"Scheduled",X291=""),"Plan - strong idea, not scheduled","OK")))))</f>
        <v>0</v>
      </c>
    </row>
    <row r="292" spans="1:30">
      <c r="A292" s="41">
        <f>IF(B292="","",IdeaPrefix&amp;TEXT(ROW()-4,"000"))</f>
        <v>0</v>
      </c>
      <c r="Y292" s="17">
        <f>IF(X292="","",IFERROR(INDEX('Content Calendar'!$H$5:$H$604,MATCH(X292,'Content Calendar'!$A$5:$A$604,0)),"Not found"))</f>
        <v>0</v>
      </c>
      <c r="Z292" s="16">
        <f>IF(X292="","",IFERROR(INDEX('Content Calendar'!$B$5:$B$604,MATCH(X292,'Content Calendar'!$A$5:$A$604,0)),"Not found"))</f>
        <v>0</v>
      </c>
      <c r="AA292" s="23">
        <f>IF(U292="","",TODAY()-U292)</f>
        <v>0</v>
      </c>
      <c r="AB292" s="16">
        <f>IF(B292="","",IF(T292="Used","",IF(V292="",U292,V292)+IdeaReviewDays))</f>
        <v>0</v>
      </c>
      <c r="AC292" s="29">
        <f>IF(B292="","",IF(COUNTIF('Idea Bank'!$B$5:$B$304,B292)&gt;1,"Duplicate","OK"))</f>
        <v>0</v>
      </c>
      <c r="AD292" s="29">
        <f>IF(B292="","",IF(T292="Used","Done - on the calendar",IF(AND(X292&lt;&gt;"",Y292=""),"Check - content ID not found",IF(AND(AB292&lt;&gt;"",AB292&lt;TODAY()),"Review - idea is going stale",IF(AND(S292&gt;=8,T292&lt;&gt;"Scheduled",X292=""),"Plan - strong idea, not scheduled","OK")))))</f>
        <v>0</v>
      </c>
    </row>
    <row r="293" spans="1:30">
      <c r="A293" s="41">
        <f>IF(B293="","",IdeaPrefix&amp;TEXT(ROW()-4,"000"))</f>
        <v>0</v>
      </c>
      <c r="Y293" s="17">
        <f>IF(X293="","",IFERROR(INDEX('Content Calendar'!$H$5:$H$604,MATCH(X293,'Content Calendar'!$A$5:$A$604,0)),"Not found"))</f>
        <v>0</v>
      </c>
      <c r="Z293" s="16">
        <f>IF(X293="","",IFERROR(INDEX('Content Calendar'!$B$5:$B$604,MATCH(X293,'Content Calendar'!$A$5:$A$604,0)),"Not found"))</f>
        <v>0</v>
      </c>
      <c r="AA293" s="23">
        <f>IF(U293="","",TODAY()-U293)</f>
        <v>0</v>
      </c>
      <c r="AB293" s="16">
        <f>IF(B293="","",IF(T293="Used","",IF(V293="",U293,V293)+IdeaReviewDays))</f>
        <v>0</v>
      </c>
      <c r="AC293" s="29">
        <f>IF(B293="","",IF(COUNTIF('Idea Bank'!$B$5:$B$304,B293)&gt;1,"Duplicate","OK"))</f>
        <v>0</v>
      </c>
      <c r="AD293" s="29">
        <f>IF(B293="","",IF(T293="Used","Done - on the calendar",IF(AND(X293&lt;&gt;"",Y293=""),"Check - content ID not found",IF(AND(AB293&lt;&gt;"",AB293&lt;TODAY()),"Review - idea is going stale",IF(AND(S293&gt;=8,T293&lt;&gt;"Scheduled",X293=""),"Plan - strong idea, not scheduled","OK")))))</f>
        <v>0</v>
      </c>
    </row>
    <row r="294" spans="1:30">
      <c r="A294" s="41">
        <f>IF(B294="","",IdeaPrefix&amp;TEXT(ROW()-4,"000"))</f>
        <v>0</v>
      </c>
      <c r="Y294" s="17">
        <f>IF(X294="","",IFERROR(INDEX('Content Calendar'!$H$5:$H$604,MATCH(X294,'Content Calendar'!$A$5:$A$604,0)),"Not found"))</f>
        <v>0</v>
      </c>
      <c r="Z294" s="16">
        <f>IF(X294="","",IFERROR(INDEX('Content Calendar'!$B$5:$B$604,MATCH(X294,'Content Calendar'!$A$5:$A$604,0)),"Not found"))</f>
        <v>0</v>
      </c>
      <c r="AA294" s="23">
        <f>IF(U294="","",TODAY()-U294)</f>
        <v>0</v>
      </c>
      <c r="AB294" s="16">
        <f>IF(B294="","",IF(T294="Used","",IF(V294="",U294,V294)+IdeaReviewDays))</f>
        <v>0</v>
      </c>
      <c r="AC294" s="29">
        <f>IF(B294="","",IF(COUNTIF('Idea Bank'!$B$5:$B$304,B294)&gt;1,"Duplicate","OK"))</f>
        <v>0</v>
      </c>
      <c r="AD294" s="29">
        <f>IF(B294="","",IF(T294="Used","Done - on the calendar",IF(AND(X294&lt;&gt;"",Y294=""),"Check - content ID not found",IF(AND(AB294&lt;&gt;"",AB294&lt;TODAY()),"Review - idea is going stale",IF(AND(S294&gt;=8,T294&lt;&gt;"Scheduled",X294=""),"Plan - strong idea, not scheduled","OK")))))</f>
        <v>0</v>
      </c>
    </row>
    <row r="295" spans="1:30">
      <c r="A295" s="41">
        <f>IF(B295="","",IdeaPrefix&amp;TEXT(ROW()-4,"000"))</f>
        <v>0</v>
      </c>
      <c r="Y295" s="17">
        <f>IF(X295="","",IFERROR(INDEX('Content Calendar'!$H$5:$H$604,MATCH(X295,'Content Calendar'!$A$5:$A$604,0)),"Not found"))</f>
        <v>0</v>
      </c>
      <c r="Z295" s="16">
        <f>IF(X295="","",IFERROR(INDEX('Content Calendar'!$B$5:$B$604,MATCH(X295,'Content Calendar'!$A$5:$A$604,0)),"Not found"))</f>
        <v>0</v>
      </c>
      <c r="AA295" s="23">
        <f>IF(U295="","",TODAY()-U295)</f>
        <v>0</v>
      </c>
      <c r="AB295" s="16">
        <f>IF(B295="","",IF(T295="Used","",IF(V295="",U295,V295)+IdeaReviewDays))</f>
        <v>0</v>
      </c>
      <c r="AC295" s="29">
        <f>IF(B295="","",IF(COUNTIF('Idea Bank'!$B$5:$B$304,B295)&gt;1,"Duplicate","OK"))</f>
        <v>0</v>
      </c>
      <c r="AD295" s="29">
        <f>IF(B295="","",IF(T295="Used","Done - on the calendar",IF(AND(X295&lt;&gt;"",Y295=""),"Check - content ID not found",IF(AND(AB295&lt;&gt;"",AB295&lt;TODAY()),"Review - idea is going stale",IF(AND(S295&gt;=8,T295&lt;&gt;"Scheduled",X295=""),"Plan - strong idea, not scheduled","OK")))))</f>
        <v>0</v>
      </c>
    </row>
    <row r="296" spans="1:30">
      <c r="A296" s="41">
        <f>IF(B296="","",IdeaPrefix&amp;TEXT(ROW()-4,"000"))</f>
        <v>0</v>
      </c>
      <c r="Y296" s="17">
        <f>IF(X296="","",IFERROR(INDEX('Content Calendar'!$H$5:$H$604,MATCH(X296,'Content Calendar'!$A$5:$A$604,0)),"Not found"))</f>
        <v>0</v>
      </c>
      <c r="Z296" s="16">
        <f>IF(X296="","",IFERROR(INDEX('Content Calendar'!$B$5:$B$604,MATCH(X296,'Content Calendar'!$A$5:$A$604,0)),"Not found"))</f>
        <v>0</v>
      </c>
      <c r="AA296" s="23">
        <f>IF(U296="","",TODAY()-U296)</f>
        <v>0</v>
      </c>
      <c r="AB296" s="16">
        <f>IF(B296="","",IF(T296="Used","",IF(V296="",U296,V296)+IdeaReviewDays))</f>
        <v>0</v>
      </c>
      <c r="AC296" s="29">
        <f>IF(B296="","",IF(COUNTIF('Idea Bank'!$B$5:$B$304,B296)&gt;1,"Duplicate","OK"))</f>
        <v>0</v>
      </c>
      <c r="AD296" s="29">
        <f>IF(B296="","",IF(T296="Used","Done - on the calendar",IF(AND(X296&lt;&gt;"",Y296=""),"Check - content ID not found",IF(AND(AB296&lt;&gt;"",AB296&lt;TODAY()),"Review - idea is going stale",IF(AND(S296&gt;=8,T296&lt;&gt;"Scheduled",X296=""),"Plan - strong idea, not scheduled","OK")))))</f>
        <v>0</v>
      </c>
    </row>
    <row r="297" spans="1:30">
      <c r="A297" s="41">
        <f>IF(B297="","",IdeaPrefix&amp;TEXT(ROW()-4,"000"))</f>
        <v>0</v>
      </c>
      <c r="Y297" s="17">
        <f>IF(X297="","",IFERROR(INDEX('Content Calendar'!$H$5:$H$604,MATCH(X297,'Content Calendar'!$A$5:$A$604,0)),"Not found"))</f>
        <v>0</v>
      </c>
      <c r="Z297" s="16">
        <f>IF(X297="","",IFERROR(INDEX('Content Calendar'!$B$5:$B$604,MATCH(X297,'Content Calendar'!$A$5:$A$604,0)),"Not found"))</f>
        <v>0</v>
      </c>
      <c r="AA297" s="23">
        <f>IF(U297="","",TODAY()-U297)</f>
        <v>0</v>
      </c>
      <c r="AB297" s="16">
        <f>IF(B297="","",IF(T297="Used","",IF(V297="",U297,V297)+IdeaReviewDays))</f>
        <v>0</v>
      </c>
      <c r="AC297" s="29">
        <f>IF(B297="","",IF(COUNTIF('Idea Bank'!$B$5:$B$304,B297)&gt;1,"Duplicate","OK"))</f>
        <v>0</v>
      </c>
      <c r="AD297" s="29">
        <f>IF(B297="","",IF(T297="Used","Done - on the calendar",IF(AND(X297&lt;&gt;"",Y297=""),"Check - content ID not found",IF(AND(AB297&lt;&gt;"",AB297&lt;TODAY()),"Review - idea is going stale",IF(AND(S297&gt;=8,T297&lt;&gt;"Scheduled",X297=""),"Plan - strong idea, not scheduled","OK")))))</f>
        <v>0</v>
      </c>
    </row>
    <row r="298" spans="1:30">
      <c r="A298" s="41">
        <f>IF(B298="","",IdeaPrefix&amp;TEXT(ROW()-4,"000"))</f>
        <v>0</v>
      </c>
      <c r="Y298" s="17">
        <f>IF(X298="","",IFERROR(INDEX('Content Calendar'!$H$5:$H$604,MATCH(X298,'Content Calendar'!$A$5:$A$604,0)),"Not found"))</f>
        <v>0</v>
      </c>
      <c r="Z298" s="16">
        <f>IF(X298="","",IFERROR(INDEX('Content Calendar'!$B$5:$B$604,MATCH(X298,'Content Calendar'!$A$5:$A$604,0)),"Not found"))</f>
        <v>0</v>
      </c>
      <c r="AA298" s="23">
        <f>IF(U298="","",TODAY()-U298)</f>
        <v>0</v>
      </c>
      <c r="AB298" s="16">
        <f>IF(B298="","",IF(T298="Used","",IF(V298="",U298,V298)+IdeaReviewDays))</f>
        <v>0</v>
      </c>
      <c r="AC298" s="29">
        <f>IF(B298="","",IF(COUNTIF('Idea Bank'!$B$5:$B$304,B298)&gt;1,"Duplicate","OK"))</f>
        <v>0</v>
      </c>
      <c r="AD298" s="29">
        <f>IF(B298="","",IF(T298="Used","Done - on the calendar",IF(AND(X298&lt;&gt;"",Y298=""),"Check - content ID not found",IF(AND(AB298&lt;&gt;"",AB298&lt;TODAY()),"Review - idea is going stale",IF(AND(S298&gt;=8,T298&lt;&gt;"Scheduled",X298=""),"Plan - strong idea, not scheduled","OK")))))</f>
        <v>0</v>
      </c>
    </row>
    <row r="299" spans="1:30">
      <c r="A299" s="41">
        <f>IF(B299="","",IdeaPrefix&amp;TEXT(ROW()-4,"000"))</f>
        <v>0</v>
      </c>
      <c r="Y299" s="17">
        <f>IF(X299="","",IFERROR(INDEX('Content Calendar'!$H$5:$H$604,MATCH(X299,'Content Calendar'!$A$5:$A$604,0)),"Not found"))</f>
        <v>0</v>
      </c>
      <c r="Z299" s="16">
        <f>IF(X299="","",IFERROR(INDEX('Content Calendar'!$B$5:$B$604,MATCH(X299,'Content Calendar'!$A$5:$A$604,0)),"Not found"))</f>
        <v>0</v>
      </c>
      <c r="AA299" s="23">
        <f>IF(U299="","",TODAY()-U299)</f>
        <v>0</v>
      </c>
      <c r="AB299" s="16">
        <f>IF(B299="","",IF(T299="Used","",IF(V299="",U299,V299)+IdeaReviewDays))</f>
        <v>0</v>
      </c>
      <c r="AC299" s="29">
        <f>IF(B299="","",IF(COUNTIF('Idea Bank'!$B$5:$B$304,B299)&gt;1,"Duplicate","OK"))</f>
        <v>0</v>
      </c>
      <c r="AD299" s="29">
        <f>IF(B299="","",IF(T299="Used","Done - on the calendar",IF(AND(X299&lt;&gt;"",Y299=""),"Check - content ID not found",IF(AND(AB299&lt;&gt;"",AB299&lt;TODAY()),"Review - idea is going stale",IF(AND(S299&gt;=8,T299&lt;&gt;"Scheduled",X299=""),"Plan - strong idea, not scheduled","OK")))))</f>
        <v>0</v>
      </c>
    </row>
    <row r="300" spans="1:30">
      <c r="A300" s="41">
        <f>IF(B300="","",IdeaPrefix&amp;TEXT(ROW()-4,"000"))</f>
        <v>0</v>
      </c>
      <c r="Y300" s="17">
        <f>IF(X300="","",IFERROR(INDEX('Content Calendar'!$H$5:$H$604,MATCH(X300,'Content Calendar'!$A$5:$A$604,0)),"Not found"))</f>
        <v>0</v>
      </c>
      <c r="Z300" s="16">
        <f>IF(X300="","",IFERROR(INDEX('Content Calendar'!$B$5:$B$604,MATCH(X300,'Content Calendar'!$A$5:$A$604,0)),"Not found"))</f>
        <v>0</v>
      </c>
      <c r="AA300" s="23">
        <f>IF(U300="","",TODAY()-U300)</f>
        <v>0</v>
      </c>
      <c r="AB300" s="16">
        <f>IF(B300="","",IF(T300="Used","",IF(V300="",U300,V300)+IdeaReviewDays))</f>
        <v>0</v>
      </c>
      <c r="AC300" s="29">
        <f>IF(B300="","",IF(COUNTIF('Idea Bank'!$B$5:$B$304,B300)&gt;1,"Duplicate","OK"))</f>
        <v>0</v>
      </c>
      <c r="AD300" s="29">
        <f>IF(B300="","",IF(T300="Used","Done - on the calendar",IF(AND(X300&lt;&gt;"",Y300=""),"Check - content ID not found",IF(AND(AB300&lt;&gt;"",AB300&lt;TODAY()),"Review - idea is going stale",IF(AND(S300&gt;=8,T300&lt;&gt;"Scheduled",X300=""),"Plan - strong idea, not scheduled","OK")))))</f>
        <v>0</v>
      </c>
    </row>
    <row r="301" spans="1:30">
      <c r="A301" s="41">
        <f>IF(B301="","",IdeaPrefix&amp;TEXT(ROW()-4,"000"))</f>
        <v>0</v>
      </c>
      <c r="Y301" s="17">
        <f>IF(X301="","",IFERROR(INDEX('Content Calendar'!$H$5:$H$604,MATCH(X301,'Content Calendar'!$A$5:$A$604,0)),"Not found"))</f>
        <v>0</v>
      </c>
      <c r="Z301" s="16">
        <f>IF(X301="","",IFERROR(INDEX('Content Calendar'!$B$5:$B$604,MATCH(X301,'Content Calendar'!$A$5:$A$604,0)),"Not found"))</f>
        <v>0</v>
      </c>
      <c r="AA301" s="23">
        <f>IF(U301="","",TODAY()-U301)</f>
        <v>0</v>
      </c>
      <c r="AB301" s="16">
        <f>IF(B301="","",IF(T301="Used","",IF(V301="",U301,V301)+IdeaReviewDays))</f>
        <v>0</v>
      </c>
      <c r="AC301" s="29">
        <f>IF(B301="","",IF(COUNTIF('Idea Bank'!$B$5:$B$304,B301)&gt;1,"Duplicate","OK"))</f>
        <v>0</v>
      </c>
      <c r="AD301" s="29">
        <f>IF(B301="","",IF(T301="Used","Done - on the calendar",IF(AND(X301&lt;&gt;"",Y301=""),"Check - content ID not found",IF(AND(AB301&lt;&gt;"",AB301&lt;TODAY()),"Review - idea is going stale",IF(AND(S301&gt;=8,T301&lt;&gt;"Scheduled",X301=""),"Plan - strong idea, not scheduled","OK")))))</f>
        <v>0</v>
      </c>
    </row>
    <row r="302" spans="1:30">
      <c r="A302" s="41">
        <f>IF(B302="","",IdeaPrefix&amp;TEXT(ROW()-4,"000"))</f>
        <v>0</v>
      </c>
      <c r="Y302" s="17">
        <f>IF(X302="","",IFERROR(INDEX('Content Calendar'!$H$5:$H$604,MATCH(X302,'Content Calendar'!$A$5:$A$604,0)),"Not found"))</f>
        <v>0</v>
      </c>
      <c r="Z302" s="16">
        <f>IF(X302="","",IFERROR(INDEX('Content Calendar'!$B$5:$B$604,MATCH(X302,'Content Calendar'!$A$5:$A$604,0)),"Not found"))</f>
        <v>0</v>
      </c>
      <c r="AA302" s="23">
        <f>IF(U302="","",TODAY()-U302)</f>
        <v>0</v>
      </c>
      <c r="AB302" s="16">
        <f>IF(B302="","",IF(T302="Used","",IF(V302="",U302,V302)+IdeaReviewDays))</f>
        <v>0</v>
      </c>
      <c r="AC302" s="29">
        <f>IF(B302="","",IF(COUNTIF('Idea Bank'!$B$5:$B$304,B302)&gt;1,"Duplicate","OK"))</f>
        <v>0</v>
      </c>
      <c r="AD302" s="29">
        <f>IF(B302="","",IF(T302="Used","Done - on the calendar",IF(AND(X302&lt;&gt;"",Y302=""),"Check - content ID not found",IF(AND(AB302&lt;&gt;"",AB302&lt;TODAY()),"Review - idea is going stale",IF(AND(S302&gt;=8,T302&lt;&gt;"Scheduled",X302=""),"Plan - strong idea, not scheduled","OK")))))</f>
        <v>0</v>
      </c>
    </row>
    <row r="303" spans="1:30">
      <c r="A303" s="41">
        <f>IF(B303="","",IdeaPrefix&amp;TEXT(ROW()-4,"000"))</f>
        <v>0</v>
      </c>
      <c r="Y303" s="17">
        <f>IF(X303="","",IFERROR(INDEX('Content Calendar'!$H$5:$H$604,MATCH(X303,'Content Calendar'!$A$5:$A$604,0)),"Not found"))</f>
        <v>0</v>
      </c>
      <c r="Z303" s="16">
        <f>IF(X303="","",IFERROR(INDEX('Content Calendar'!$B$5:$B$604,MATCH(X303,'Content Calendar'!$A$5:$A$604,0)),"Not found"))</f>
        <v>0</v>
      </c>
      <c r="AA303" s="23">
        <f>IF(U303="","",TODAY()-U303)</f>
        <v>0</v>
      </c>
      <c r="AB303" s="16">
        <f>IF(B303="","",IF(T303="Used","",IF(V303="",U303,V303)+IdeaReviewDays))</f>
        <v>0</v>
      </c>
      <c r="AC303" s="29">
        <f>IF(B303="","",IF(COUNTIF('Idea Bank'!$B$5:$B$304,B303)&gt;1,"Duplicate","OK"))</f>
        <v>0</v>
      </c>
      <c r="AD303" s="29">
        <f>IF(B303="","",IF(T303="Used","Done - on the calendar",IF(AND(X303&lt;&gt;"",Y303=""),"Check - content ID not found",IF(AND(AB303&lt;&gt;"",AB303&lt;TODAY()),"Review - idea is going stale",IF(AND(S303&gt;=8,T303&lt;&gt;"Scheduled",X303=""),"Plan - strong idea, not scheduled","OK")))))</f>
        <v>0</v>
      </c>
    </row>
    <row r="304" spans="1:30">
      <c r="A304" s="41">
        <f>IF(B304="","",IdeaPrefix&amp;TEXT(ROW()-4,"000"))</f>
        <v>0</v>
      </c>
      <c r="Y304" s="17">
        <f>IF(X304="","",IFERROR(INDEX('Content Calendar'!$H$5:$H$604,MATCH(X304,'Content Calendar'!$A$5:$A$604,0)),"Not found"))</f>
        <v>0</v>
      </c>
      <c r="Z304" s="16">
        <f>IF(X304="","",IFERROR(INDEX('Content Calendar'!$B$5:$B$604,MATCH(X304,'Content Calendar'!$A$5:$A$604,0)),"Not found"))</f>
        <v>0</v>
      </c>
      <c r="AA304" s="23">
        <f>IF(U304="","",TODAY()-U304)</f>
        <v>0</v>
      </c>
      <c r="AB304" s="16">
        <f>IF(B304="","",IF(T304="Used","",IF(V304="",U304,V304)+IdeaReviewDays))</f>
        <v>0</v>
      </c>
      <c r="AC304" s="29">
        <f>IF(B304="","",IF(COUNTIF('Idea Bank'!$B$5:$B$304,B304)&gt;1,"Duplicate","OK"))</f>
        <v>0</v>
      </c>
      <c r="AD304" s="29">
        <f>IF(B304="","",IF(T304="Used","Done - on the calendar",IF(AND(X304&lt;&gt;"",Y304=""),"Check - content ID not found",IF(AND(AB304&lt;&gt;"",AB304&lt;TODAY()),"Review - idea is going stale",IF(AND(S304&gt;=8,T304&lt;&gt;"Scheduled",X304=""),"Plan - strong idea, not scheduled","OK")))))</f>
        <v>0</v>
      </c>
    </row>
  </sheetData>
  <sheetProtection password="EC7C" sheet="1" objects="1" scenarios="1" formatCells="0" formatColumns="0" formatRows="0" insertRows="0" insertHyperlinks="0" deleteRows="0" autoFilter="0"/>
  <autoFilter ref="A4:AE304"/>
  <mergeCells count="13">
    <mergeCell ref="A1:AB1"/>
    <mergeCell ref="AC1:AE1"/>
    <mergeCell ref="A2:AE2"/>
    <mergeCell ref="A3:B3"/>
    <mergeCell ref="C3:D3"/>
    <mergeCell ref="E3:F3"/>
    <mergeCell ref="G3:H3"/>
    <mergeCell ref="I3:J3"/>
    <mergeCell ref="K3:L3"/>
    <mergeCell ref="M3:N3"/>
    <mergeCell ref="O3:P3"/>
    <mergeCell ref="Q3:R3"/>
    <mergeCell ref="S3:AE3"/>
  </mergeCells>
  <conditionalFormatting sqref="AC5:AC304">
    <cfRule type="containsText" dxfId="1" priority="83" operator="containsText" text="Duplicate">
      <formula>NOT(ISERROR(SEARCH("Duplicate",AC5)))</formula>
    </cfRule>
    <cfRule type="containsText" dxfId="0" priority="84" operator="containsText" text="OK">
      <formula>NOT(ISERROR(SEARCH("OK",AC5)))</formula>
    </cfRule>
  </conditionalFormatting>
  <conditionalFormatting sqref="AD5:AD304">
    <cfRule type="beginsWith" dxfId="0" priority="85" operator="beginsWith" text="OK">
      <formula>LEFT(AD5,2)="OK"</formula>
    </cfRule>
    <cfRule type="containsText" dxfId="1" priority="86" operator="containsText" text="Overdue">
      <formula>NOT(ISERROR(SEARCH("Overdue",AD5)))</formula>
    </cfRule>
    <cfRule type="containsText" dxfId="1" priority="87" operator="containsText" text="Late">
      <formula>NOT(ISERROR(SEARCH("Late",AD5)))</formula>
    </cfRule>
    <cfRule type="containsText" dxfId="1" priority="88" operator="containsText" text="Missing">
      <formula>NOT(ISERROR(SEARCH("Missing",AD5)))</formula>
    </cfRule>
    <cfRule type="containsText" dxfId="1" priority="89" operator="containsText" text="Conflict">
      <formula>NOT(ISERROR(SEARCH("Conflict",AD5)))</formula>
    </cfRule>
    <cfRule type="containsText" dxfId="1" priority="90" operator="containsText" text="Expired">
      <formula>NOT(ISERROR(SEARCH("Expired",AD5)))</formula>
    </cfRule>
    <cfRule type="containsText" dxfId="1" priority="91" operator="containsText" text="Duplicate">
      <formula>NOT(ISERROR(SEARCH("Duplicate",AD5)))</formula>
    </cfRule>
    <cfRule type="containsText" dxfId="2" priority="92" operator="containsText" text="Action">
      <formula>NOT(ISERROR(SEARCH("Action",AD5)))</formula>
    </cfRule>
    <cfRule type="containsText" dxfId="2" priority="93" operator="containsText" text="Due">
      <formula>NOT(ISERROR(SEARCH("Due",AD5)))</formula>
    </cfRule>
    <cfRule type="containsText" dxfId="2" priority="94" operator="containsText" text="Check">
      <formula>NOT(ISERROR(SEARCH("Check",AD5)))</formula>
    </cfRule>
    <cfRule type="containsText" dxfId="2" priority="95" operator="containsText" text="Add">
      <formula>NOT(ISERROR(SEARCH("Add",AD5)))</formula>
    </cfRule>
    <cfRule type="containsText" dxfId="3" priority="96" operator="containsText" text="Today">
      <formula>NOT(ISERROR(SEARCH("Today",AD5)))</formula>
    </cfRule>
    <cfRule type="containsText" dxfId="3" priority="97" operator="containsText" text="Upcoming">
      <formula>NOT(ISERROR(SEARCH("Upcoming",AD5)))</formula>
    </cfRule>
  </conditionalFormatting>
  <conditionalFormatting sqref="Q5:Q304">
    <cfRule type="containsText" dxfId="0" priority="1" operator="containsText" text="Published">
      <formula>NOT(ISERROR(SEARCH("Published",Q5)))</formula>
    </cfRule>
    <cfRule type="containsText" dxfId="0" priority="2" operator="containsText" text="Approved">
      <formula>NOT(ISERROR(SEARCH("Approved",Q5)))</formula>
    </cfRule>
    <cfRule type="containsText" dxfId="0" priority="3" operator="containsText" text="Complete">
      <formula>NOT(ISERROR(SEARCH("Complete",Q5)))</formula>
    </cfRule>
    <cfRule type="containsText" dxfId="0" priority="4" operator="containsText" text="Active">
      <formula>NOT(ISERROR(SEARCH("Active",Q5)))</formula>
    </cfRule>
    <cfRule type="containsText" dxfId="0" priority="5" operator="containsText" text="Agreed">
      <formula>NOT(ISERROR(SEARCH("Agreed",Q5)))</formula>
    </cfRule>
    <cfRule type="containsText" dxfId="0" priority="6" operator="containsText" text="Yes">
      <formula>NOT(ISERROR(SEARCH("Yes",Q5)))</formula>
    </cfRule>
    <cfRule type="containsText" dxfId="0" priority="7" operator="containsText" text="Won">
      <formula>NOT(ISERROR(SEARCH("Won",Q5)))</formula>
    </cfRule>
    <cfRule type="containsText" dxfId="3" priority="8" operator="containsText" text="Scheduled">
      <formula>NOT(ISERROR(SEARCH("Scheduled",Q5)))</formula>
    </cfRule>
    <cfRule type="containsText" dxfId="3" priority="9" operator="containsText" text="In production">
      <formula>NOT(ISERROR(SEARCH("In production",Q5)))</formula>
    </cfRule>
    <cfRule type="containsText" dxfId="3" priority="10" operator="containsText" text="Running">
      <formula>NOT(ISERROR(SEARCH("Running",Q5)))</formula>
    </cfRule>
    <cfRule type="containsText" dxfId="3" priority="11" operator="containsText" text="Sent">
      <formula>NOT(ISERROR(SEARCH("Sent",Q5)))</formula>
    </cfRule>
    <cfRule type="containsText" dxfId="3" priority="12" operator="containsText" text="Testing">
      <formula>NOT(ISERROR(SEARCH("Testing",Q5)))</formula>
    </cfRule>
    <cfRule type="containsText" dxfId="2" priority="13" operator="containsText" text="Idea">
      <formula>NOT(ISERROR(SEARCH("Idea",Q5)))</formula>
    </cfRule>
    <cfRule type="containsText" dxfId="2" priority="14" operator="containsText" text="Brief">
      <formula>NOT(ISERROR(SEARCH("Brief",Q5)))</formula>
    </cfRule>
    <cfRule type="containsText" dxfId="2" priority="15" operator="containsText" text="Draft">
      <formula>NOT(ISERROR(SEARCH("Draft",Q5)))</formula>
    </cfRule>
    <cfRule type="containsText" dxfId="2" priority="16" operator="containsText" text="Awaiting review">
      <formula>NOT(ISERROR(SEARCH("Awaiting review",Q5)))</formula>
    </cfRule>
    <cfRule type="containsText" dxfId="2" priority="17" operator="containsText" text="Pending">
      <formula>NOT(ISERROR(SEARCH("Pending",Q5)))</formula>
    </cfRule>
    <cfRule type="containsText" dxfId="2" priority="18" operator="containsText" text="On hold">
      <formula>NOT(ISERROR(SEARCH("On hold",Q5)))</formula>
    </cfRule>
    <cfRule type="containsText" dxfId="1" priority="19" operator="containsText" text="Revision needed">
      <formula>NOT(ISERROR(SEARCH("Revision needed",Q5)))</formula>
    </cfRule>
    <cfRule type="containsText" dxfId="1" priority="20" operator="containsText" text="Rejected">
      <formula>NOT(ISERROR(SEARCH("Rejected",Q5)))</formula>
    </cfRule>
    <cfRule type="containsText" dxfId="1" priority="21" operator="containsText" text="Cancelled">
      <formula>NOT(ISERROR(SEARCH("Cancelled",Q5)))</formula>
    </cfRule>
    <cfRule type="containsText" dxfId="1" priority="22" operator="containsText" text="Missed">
      <formula>NOT(ISERROR(SEARCH("Missed",Q5)))</formula>
    </cfRule>
    <cfRule type="containsText" dxfId="1" priority="23" operator="containsText" text="Overdue">
      <formula>NOT(ISERROR(SEARCH("Overdue",Q5)))</formula>
    </cfRule>
    <cfRule type="containsText" dxfId="1" priority="24" operator="containsText" text="Declined">
      <formula>NOT(ISERROR(SEARCH("Declined",Q5)))</formula>
    </cfRule>
    <cfRule type="containsText" dxfId="4" priority="25" operator="containsText" text="Archived">
      <formula>NOT(ISERROR(SEARCH("Archived",Q5)))</formula>
    </cfRule>
    <cfRule type="containsText" dxfId="4" priority="26" operator="containsText" text="Paused">
      <formula>NOT(ISERROR(SEARCH("Paused",Q5)))</formula>
    </cfRule>
    <cfRule type="containsText" dxfId="4" priority="27" operator="containsText" text="Not started">
      <formula>NOT(ISERROR(SEARCH("Not started",Q5)))</formula>
    </cfRule>
  </conditionalFormatting>
  <conditionalFormatting sqref="R5:R304">
    <cfRule type="containsText" dxfId="0" priority="28" operator="containsText" text="Published">
      <formula>NOT(ISERROR(SEARCH("Published",R5)))</formula>
    </cfRule>
    <cfRule type="containsText" dxfId="0" priority="29" operator="containsText" text="Approved">
      <formula>NOT(ISERROR(SEARCH("Approved",R5)))</formula>
    </cfRule>
    <cfRule type="containsText" dxfId="0" priority="30" operator="containsText" text="Complete">
      <formula>NOT(ISERROR(SEARCH("Complete",R5)))</formula>
    </cfRule>
    <cfRule type="containsText" dxfId="0" priority="31" operator="containsText" text="Active">
      <formula>NOT(ISERROR(SEARCH("Active",R5)))</formula>
    </cfRule>
    <cfRule type="containsText" dxfId="0" priority="32" operator="containsText" text="Agreed">
      <formula>NOT(ISERROR(SEARCH("Agreed",R5)))</formula>
    </cfRule>
    <cfRule type="containsText" dxfId="0" priority="33" operator="containsText" text="Yes">
      <formula>NOT(ISERROR(SEARCH("Yes",R5)))</formula>
    </cfRule>
    <cfRule type="containsText" dxfId="0" priority="34" operator="containsText" text="Won">
      <formula>NOT(ISERROR(SEARCH("Won",R5)))</formula>
    </cfRule>
    <cfRule type="containsText" dxfId="3" priority="35" operator="containsText" text="Scheduled">
      <formula>NOT(ISERROR(SEARCH("Scheduled",R5)))</formula>
    </cfRule>
    <cfRule type="containsText" dxfId="3" priority="36" operator="containsText" text="In production">
      <formula>NOT(ISERROR(SEARCH("In production",R5)))</formula>
    </cfRule>
    <cfRule type="containsText" dxfId="3" priority="37" operator="containsText" text="Running">
      <formula>NOT(ISERROR(SEARCH("Running",R5)))</formula>
    </cfRule>
    <cfRule type="containsText" dxfId="3" priority="38" operator="containsText" text="Sent">
      <formula>NOT(ISERROR(SEARCH("Sent",R5)))</formula>
    </cfRule>
    <cfRule type="containsText" dxfId="3" priority="39" operator="containsText" text="Testing">
      <formula>NOT(ISERROR(SEARCH("Testing",R5)))</formula>
    </cfRule>
    <cfRule type="containsText" dxfId="2" priority="40" operator="containsText" text="Idea">
      <formula>NOT(ISERROR(SEARCH("Idea",R5)))</formula>
    </cfRule>
    <cfRule type="containsText" dxfId="2" priority="41" operator="containsText" text="Brief">
      <formula>NOT(ISERROR(SEARCH("Brief",R5)))</formula>
    </cfRule>
    <cfRule type="containsText" dxfId="2" priority="42" operator="containsText" text="Draft">
      <formula>NOT(ISERROR(SEARCH("Draft",R5)))</formula>
    </cfRule>
    <cfRule type="containsText" dxfId="2" priority="43" operator="containsText" text="Awaiting review">
      <formula>NOT(ISERROR(SEARCH("Awaiting review",R5)))</formula>
    </cfRule>
    <cfRule type="containsText" dxfId="2" priority="44" operator="containsText" text="Pending">
      <formula>NOT(ISERROR(SEARCH("Pending",R5)))</formula>
    </cfRule>
    <cfRule type="containsText" dxfId="2" priority="45" operator="containsText" text="On hold">
      <formula>NOT(ISERROR(SEARCH("On hold",R5)))</formula>
    </cfRule>
    <cfRule type="containsText" dxfId="1" priority="46" operator="containsText" text="Revision needed">
      <formula>NOT(ISERROR(SEARCH("Revision needed",R5)))</formula>
    </cfRule>
    <cfRule type="containsText" dxfId="1" priority="47" operator="containsText" text="Rejected">
      <formula>NOT(ISERROR(SEARCH("Rejected",R5)))</formula>
    </cfRule>
    <cfRule type="containsText" dxfId="1" priority="48" operator="containsText" text="Cancelled">
      <formula>NOT(ISERROR(SEARCH("Cancelled",R5)))</formula>
    </cfRule>
    <cfRule type="containsText" dxfId="1" priority="49" operator="containsText" text="Missed">
      <formula>NOT(ISERROR(SEARCH("Missed",R5)))</formula>
    </cfRule>
    <cfRule type="containsText" dxfId="1" priority="50" operator="containsText" text="Overdue">
      <formula>NOT(ISERROR(SEARCH("Overdue",R5)))</formula>
    </cfRule>
    <cfRule type="containsText" dxfId="1" priority="51" operator="containsText" text="Declined">
      <formula>NOT(ISERROR(SEARCH("Declined",R5)))</formula>
    </cfRule>
    <cfRule type="containsText" dxfId="4" priority="52" operator="containsText" text="Archived">
      <formula>NOT(ISERROR(SEARCH("Archived",R5)))</formula>
    </cfRule>
    <cfRule type="containsText" dxfId="4" priority="53" operator="containsText" text="Paused">
      <formula>NOT(ISERROR(SEARCH("Paused",R5)))</formula>
    </cfRule>
    <cfRule type="containsText" dxfId="4" priority="54" operator="containsText" text="Not started">
      <formula>NOT(ISERROR(SEARCH("Not started",R5)))</formula>
    </cfRule>
  </conditionalFormatting>
  <conditionalFormatting sqref="S5:S304">
    <cfRule type="colorScale" priority="55">
      <colorScale>
        <cfvo type="min" val="0"/>
        <cfvo type="percentile" val="50"/>
        <cfvo type="max" val="0"/>
        <color rgb="FFFBD9DD"/>
        <color rgb="FFFFF1CF"/>
        <color rgb="FFD9F2E4"/>
      </colorScale>
    </cfRule>
  </conditionalFormatting>
  <conditionalFormatting sqref="T5:T304">
    <cfRule type="containsText" dxfId="0" priority="56" operator="containsText" text="Published">
      <formula>NOT(ISERROR(SEARCH("Published",T5)))</formula>
    </cfRule>
    <cfRule type="containsText" dxfId="0" priority="57" operator="containsText" text="Approved">
      <formula>NOT(ISERROR(SEARCH("Approved",T5)))</formula>
    </cfRule>
    <cfRule type="containsText" dxfId="0" priority="58" operator="containsText" text="Complete">
      <formula>NOT(ISERROR(SEARCH("Complete",T5)))</formula>
    </cfRule>
    <cfRule type="containsText" dxfId="0" priority="59" operator="containsText" text="Active">
      <formula>NOT(ISERROR(SEARCH("Active",T5)))</formula>
    </cfRule>
    <cfRule type="containsText" dxfId="0" priority="60" operator="containsText" text="Agreed">
      <formula>NOT(ISERROR(SEARCH("Agreed",T5)))</formula>
    </cfRule>
    <cfRule type="containsText" dxfId="0" priority="61" operator="containsText" text="Yes">
      <formula>NOT(ISERROR(SEARCH("Yes",T5)))</formula>
    </cfRule>
    <cfRule type="containsText" dxfId="0" priority="62" operator="containsText" text="Won">
      <formula>NOT(ISERROR(SEARCH("Won",T5)))</formula>
    </cfRule>
    <cfRule type="containsText" dxfId="3" priority="63" operator="containsText" text="Scheduled">
      <formula>NOT(ISERROR(SEARCH("Scheduled",T5)))</formula>
    </cfRule>
    <cfRule type="containsText" dxfId="3" priority="64" operator="containsText" text="In production">
      <formula>NOT(ISERROR(SEARCH("In production",T5)))</formula>
    </cfRule>
    <cfRule type="containsText" dxfId="3" priority="65" operator="containsText" text="Running">
      <formula>NOT(ISERROR(SEARCH("Running",T5)))</formula>
    </cfRule>
    <cfRule type="containsText" dxfId="3" priority="66" operator="containsText" text="Sent">
      <formula>NOT(ISERROR(SEARCH("Sent",T5)))</formula>
    </cfRule>
    <cfRule type="containsText" dxfId="3" priority="67" operator="containsText" text="Testing">
      <formula>NOT(ISERROR(SEARCH("Testing",T5)))</formula>
    </cfRule>
    <cfRule type="containsText" dxfId="2" priority="68" operator="containsText" text="Idea">
      <formula>NOT(ISERROR(SEARCH("Idea",T5)))</formula>
    </cfRule>
    <cfRule type="containsText" dxfId="2" priority="69" operator="containsText" text="Brief">
      <formula>NOT(ISERROR(SEARCH("Brief",T5)))</formula>
    </cfRule>
    <cfRule type="containsText" dxfId="2" priority="70" operator="containsText" text="Draft">
      <formula>NOT(ISERROR(SEARCH("Draft",T5)))</formula>
    </cfRule>
    <cfRule type="containsText" dxfId="2" priority="71" operator="containsText" text="Awaiting review">
      <formula>NOT(ISERROR(SEARCH("Awaiting review",T5)))</formula>
    </cfRule>
    <cfRule type="containsText" dxfId="2" priority="72" operator="containsText" text="Pending">
      <formula>NOT(ISERROR(SEARCH("Pending",T5)))</formula>
    </cfRule>
    <cfRule type="containsText" dxfId="2" priority="73" operator="containsText" text="On hold">
      <formula>NOT(ISERROR(SEARCH("On hold",T5)))</formula>
    </cfRule>
    <cfRule type="containsText" dxfId="1" priority="74" operator="containsText" text="Revision needed">
      <formula>NOT(ISERROR(SEARCH("Revision needed",T5)))</formula>
    </cfRule>
    <cfRule type="containsText" dxfId="1" priority="75" operator="containsText" text="Rejected">
      <formula>NOT(ISERROR(SEARCH("Rejected",T5)))</formula>
    </cfRule>
    <cfRule type="containsText" dxfId="1" priority="76" operator="containsText" text="Cancelled">
      <formula>NOT(ISERROR(SEARCH("Cancelled",T5)))</formula>
    </cfRule>
    <cfRule type="containsText" dxfId="1" priority="77" operator="containsText" text="Missed">
      <formula>NOT(ISERROR(SEARCH("Missed",T5)))</formula>
    </cfRule>
    <cfRule type="containsText" dxfId="1" priority="78" operator="containsText" text="Overdue">
      <formula>NOT(ISERROR(SEARCH("Overdue",T5)))</formula>
    </cfRule>
    <cfRule type="containsText" dxfId="1" priority="79" operator="containsText" text="Declined">
      <formula>NOT(ISERROR(SEARCH("Declined",T5)))</formula>
    </cfRule>
    <cfRule type="containsText" dxfId="4" priority="80" operator="containsText" text="Archived">
      <formula>NOT(ISERROR(SEARCH("Archived",T5)))</formula>
    </cfRule>
    <cfRule type="containsText" dxfId="4" priority="81" operator="containsText" text="Paused">
      <formula>NOT(ISERROR(SEARCH("Paused",T5)))</formula>
    </cfRule>
    <cfRule type="containsText" dxfId="4" priority="82" operator="containsText" text="Not started">
      <formula>NOT(ISERROR(SEARCH("Not started",T5)))</formula>
    </cfRule>
  </conditionalFormatting>
  <dataValidations count="14">
    <dataValidation type="list" allowBlank="1" showInputMessage="1" showErrorMessage="1" sqref="D5:D304">
      <formula1>PersonaNames</formula1>
    </dataValidation>
    <dataValidation type="list" allowBlank="1" showInputMessage="1" showErrorMessage="1" sqref="F5:F304">
      <formula1>ObjectiveList</formula1>
    </dataValidation>
    <dataValidation type="list" allowBlank="1" showInputMessage="1" showErrorMessage="1" sqref="G5:G304">
      <formula1>PillarNames</formula1>
    </dataValidation>
    <dataValidation type="list" allowBlank="1" showInputMessage="1" showErrorMessage="1" sqref="H5:H304">
      <formula1>PlatformList</formula1>
    </dataValidation>
    <dataValidation type="list" allowBlank="1" showInputMessage="1" showErrorMessage="1" sqref="I5:I304">
      <formula1>FormatList</formula1>
    </dataValidation>
    <dataValidation type="list" allowBlank="1" showInputMessage="1" showErrorMessage="1" sqref="L5:L304">
      <formula1>CTAList</formula1>
    </dataValidation>
    <dataValidation type="list" allowBlank="1" showInputMessage="1" showErrorMessage="1" sqref="M5:M304">
      <formula1>IdeaSourceList</formula1>
    </dataValidation>
    <dataValidation type="list" allowBlank="1" showInputMessage="1" showErrorMessage="1" sqref="Q5:Q304">
      <formula1>"Yes,No"</formula1>
    </dataValidation>
    <dataValidation type="list" allowBlank="1" showInputMessage="1" showErrorMessage="1" sqref="R5:R304">
      <formula1>"Yes,No"</formula1>
    </dataValidation>
    <dataValidation type="whole" allowBlank="1" showInputMessage="1" showErrorMessage="1" errorTitle="Score 1-10" error="Enter a whole number from 1 (low) to 10 (high)." promptTitle="Priority score (1-10)" prompt="How strong is it? 10 = make this next." sqref="S5:S304">
      <formula1>1</formula1>
      <formula2>10</formula2>
    </dataValidation>
    <dataValidation type="list" allowBlank="1" showInputMessage="1" showErrorMessage="1" sqref="T5:T304">
      <formula1>IdeaStatusList</formula1>
    </dataValidation>
    <dataValidation type="date" allowBlank="1" showInputMessage="1" showErrorMessage="1" errorTitle="Check the date" error="Enter a real date between 2000 and 2100." sqref="U5:U304">
      <formula1>36526</formula1>
      <formula2>73415</formula2>
    </dataValidation>
    <dataValidation type="date" allowBlank="1" showInputMessage="1" showErrorMessage="1" errorTitle="Check the date" error="Enter a real date between 2000 and 2100." sqref="V5:V304">
      <formula1>36526</formula1>
      <formula2>73415</formula2>
    </dataValidation>
    <dataValidation type="date" allowBlank="1" showInputMessage="1" showErrorMessage="1" errorTitle="Check the date" error="Enter a real date between 2000 and 2100." sqref="W5:W304">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&amp;L&amp;"Calibri,Bold"&amp;12&amp;C&amp;"Calibri,Bold"&amp;11Idea Bank&amp;R&amp;"Calibri,Italic"&amp;9Social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4.xml><?xml version="1.0" encoding="utf-8"?>
<worksheet xmlns="http://schemas.openxmlformats.org/spreadsheetml/2006/main" xmlns:r="http://schemas.openxmlformats.org/officeDocument/2006/relationships">
  <sheetPr>
    <tabColor rgb="FFF2665E"/>
    <pageSetUpPr fitToPage="1"/>
  </sheetPr>
  <dimension ref="A1:AC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1" customWidth="1"/>
    <col min="2" max="2" width="24.7109375" style="15" customWidth="1"/>
    <col min="3" max="3" width="13.7109375" style="15" customWidth="1"/>
    <col min="4" max="4" width="16.7109375" style="15" customWidth="1"/>
    <col min="5" max="5" width="18.7109375" style="15" customWidth="1"/>
    <col min="6" max="6" width="13.7109375" style="15" customWidth="1"/>
    <col min="7" max="7" width="34.7109375" style="39" customWidth="1"/>
    <col min="8" max="8" width="44.7109375" style="39" customWidth="1"/>
    <col min="9" max="9" width="26.7109375" style="39" customWidth="1"/>
    <col min="10" max="10" width="48.7109375" style="39" customWidth="1"/>
    <col min="11" max="11" width="34.7109375" style="39" customWidth="1"/>
    <col min="12" max="12" width="44.7109375" style="39" customWidth="1"/>
    <col min="13" max="13" width="18.7109375" style="15" customWidth="1"/>
    <col min="14" max="14" width="20.7109375" style="15" customWidth="1"/>
    <col min="15" max="15" width="18.7109375" style="15" customWidth="1"/>
    <col min="16" max="16" width="13.7109375" style="15" customWidth="1"/>
    <col min="17" max="17" width="10.7109375" style="40" customWidth="1"/>
    <col min="18" max="18" width="15.7109375" style="48" customWidth="1"/>
    <col min="19" max="19" width="12.7109375" style="43" customWidth="1"/>
    <col min="20" max="20" width="12.7109375" style="43" customWidth="1"/>
    <col min="21" max="21" width="10.7109375" style="23" customWidth="1"/>
    <col min="22" max="22" width="11.7109375" style="23" customWidth="1"/>
    <col min="23" max="23" width="12.7109375" style="29" customWidth="1"/>
    <col min="24" max="24" width="10.7109375" style="23" customWidth="1"/>
    <col min="25" max="25" width="12.7109375" style="16" customWidth="1"/>
    <col min="26" max="26" width="13.7109375" style="24" customWidth="1"/>
    <col min="27" max="27" width="13.7109375" style="29" customWidth="1"/>
    <col min="28" max="28" width="26.7109375" style="29" customWidth="1"/>
    <col min="29" max="29" width="26.7109375" style="39" customWidth="1"/>
  </cols>
  <sheetData>
    <row r="1" spans="1:29" ht="34" customHeight="1">
      <c r="A1" s="2" t="s">
        <v>1259</v>
      </c>
      <c r="B1" s="2"/>
      <c r="C1" s="2"/>
      <c r="D1" s="2"/>
      <c r="E1" s="2"/>
      <c r="F1" s="2"/>
      <c r="G1" s="2"/>
      <c r="H1" s="2"/>
      <c r="I1" s="2"/>
      <c r="J1" s="2"/>
      <c r="K1" s="2"/>
      <c r="L1" s="2"/>
      <c r="M1" s="2"/>
      <c r="N1" s="2"/>
      <c r="O1" s="2"/>
      <c r="P1" s="2"/>
      <c r="Q1" s="2"/>
      <c r="R1" s="2"/>
      <c r="S1" s="2"/>
      <c r="T1" s="2"/>
      <c r="U1" s="2"/>
      <c r="V1" s="2"/>
      <c r="W1" s="2"/>
      <c r="X1" s="2"/>
      <c r="Y1" s="2"/>
      <c r="Z1" s="2"/>
      <c r="AA1" s="3" t="s">
        <v>1</v>
      </c>
      <c r="AB1" s="3"/>
      <c r="AC1" s="3"/>
    </row>
    <row r="2" spans="1:29" ht="18" customHeight="1">
      <c r="A2" s="4" t="s">
        <v>1260</v>
      </c>
      <c r="B2" s="4"/>
      <c r="C2" s="4"/>
      <c r="D2" s="4"/>
      <c r="E2" s="4"/>
      <c r="F2" s="4"/>
      <c r="G2" s="4"/>
      <c r="H2" s="4"/>
      <c r="I2" s="4"/>
      <c r="J2" s="4"/>
      <c r="K2" s="4"/>
      <c r="L2" s="4"/>
      <c r="M2" s="4"/>
      <c r="N2" s="4"/>
      <c r="O2" s="4"/>
      <c r="P2" s="4"/>
      <c r="Q2" s="4"/>
      <c r="R2" s="4"/>
      <c r="S2" s="4"/>
      <c r="T2" s="4"/>
      <c r="U2" s="4"/>
      <c r="V2" s="4"/>
      <c r="W2" s="4"/>
      <c r="X2" s="4"/>
      <c r="Y2" s="4"/>
      <c r="Z2" s="4"/>
      <c r="AA2" s="4"/>
      <c r="AB2" s="4"/>
      <c r="AC2" s="4"/>
    </row>
    <row r="3" spans="1:29"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1261</v>
      </c>
      <c r="T3" s="38"/>
      <c r="U3" s="38"/>
      <c r="V3" s="38"/>
      <c r="W3" s="38"/>
      <c r="X3" s="38"/>
      <c r="Y3" s="38"/>
      <c r="Z3" s="38"/>
      <c r="AA3" s="38"/>
      <c r="AB3" s="38"/>
      <c r="AC3" s="38"/>
    </row>
    <row r="4" spans="1:29" ht="30" customHeight="1">
      <c r="A4" s="8" t="s">
        <v>766</v>
      </c>
      <c r="B4" s="8" t="s">
        <v>1262</v>
      </c>
      <c r="C4" s="9" t="s">
        <v>192</v>
      </c>
      <c r="D4" s="9" t="s">
        <v>906</v>
      </c>
      <c r="E4" s="9" t="s">
        <v>907</v>
      </c>
      <c r="F4" s="9" t="s">
        <v>463</v>
      </c>
      <c r="G4" s="9" t="s">
        <v>1263</v>
      </c>
      <c r="H4" s="9" t="s">
        <v>1264</v>
      </c>
      <c r="I4" s="9" t="s">
        <v>1265</v>
      </c>
      <c r="J4" s="9" t="s">
        <v>1266</v>
      </c>
      <c r="K4" s="9" t="s">
        <v>1267</v>
      </c>
      <c r="L4" s="9" t="s">
        <v>1268</v>
      </c>
      <c r="M4" s="9" t="s">
        <v>1269</v>
      </c>
      <c r="N4" s="9" t="s">
        <v>1270</v>
      </c>
      <c r="O4" s="9" t="s">
        <v>1271</v>
      </c>
      <c r="P4" s="9" t="s">
        <v>910</v>
      </c>
      <c r="Q4" s="9" t="s">
        <v>1272</v>
      </c>
      <c r="R4" s="9" t="s">
        <v>1273</v>
      </c>
      <c r="S4" s="9" t="s">
        <v>1274</v>
      </c>
      <c r="T4" s="9" t="s">
        <v>1275</v>
      </c>
      <c r="U4" s="9" t="s">
        <v>1276</v>
      </c>
      <c r="V4" s="9" t="s">
        <v>1277</v>
      </c>
      <c r="W4" s="9" t="s">
        <v>1278</v>
      </c>
      <c r="X4" s="9" t="s">
        <v>1279</v>
      </c>
      <c r="Y4" s="9" t="s">
        <v>1280</v>
      </c>
      <c r="Z4" s="9" t="s">
        <v>1281</v>
      </c>
      <c r="AA4" s="9" t="s">
        <v>922</v>
      </c>
      <c r="AB4" s="9" t="s">
        <v>787</v>
      </c>
      <c r="AC4" s="9" t="s">
        <v>788</v>
      </c>
    </row>
    <row r="5" spans="1:29">
      <c r="A5" s="41">
        <f>IF(B5="","",CaptionPrefix&amp;TEXT(ROW()-4,"000"))</f>
        <v>0</v>
      </c>
      <c r="B5" s="15" t="s">
        <v>926</v>
      </c>
      <c r="C5" s="15" t="s">
        <v>376</v>
      </c>
      <c r="D5" s="15" t="s">
        <v>878</v>
      </c>
      <c r="E5" s="15" t="s">
        <v>858</v>
      </c>
      <c r="F5" s="15" t="s">
        <v>465</v>
      </c>
      <c r="G5" s="39" t="s">
        <v>1282</v>
      </c>
      <c r="H5" s="39" t="s">
        <v>1283</v>
      </c>
      <c r="I5" s="39" t="s">
        <v>1284</v>
      </c>
      <c r="J5" s="39" t="s">
        <v>1285</v>
      </c>
      <c r="K5" s="39" t="s">
        <v>1282</v>
      </c>
      <c r="L5" s="39" t="s">
        <v>1286</v>
      </c>
      <c r="M5" s="15" t="s">
        <v>439</v>
      </c>
      <c r="N5" s="15" t="s">
        <v>684</v>
      </c>
      <c r="O5" s="15" t="s">
        <v>205</v>
      </c>
      <c r="P5" s="15" t="s">
        <v>927</v>
      </c>
      <c r="Q5" s="40" t="s">
        <v>373</v>
      </c>
      <c r="R5" s="48" t="s">
        <v>422</v>
      </c>
      <c r="S5" s="43">
        <v>46236</v>
      </c>
      <c r="T5" s="43">
        <v>46292</v>
      </c>
      <c r="U5" s="23">
        <f>IF(J5="","",LEN(J5))</f>
        <v>0</v>
      </c>
      <c r="V5" s="23">
        <f>IF(C5="","",IF(C5="Instagram",2200,IF(C5="TikTok",2200,IF(C5="Pinterest",500,IF(C5="YouTube",5000,IF(C5="Facebook",63206,IF(C5="X (Twitter)",280,IF(C5="LinkedIn",3000,IF(C5="Threads",500,2200)))))))))</f>
        <v>0</v>
      </c>
      <c r="W5" s="29">
        <f>IF(OR(J5="",V5=""),"",IF(U5&gt;V5,"Too long - trim it",IF(U5&lt;40,"Check - very short","OK")))</f>
        <v>0</v>
      </c>
      <c r="X5" s="23">
        <f>IF(B5="","",COUNTIF('Content Calendar'!$P$5:$P$604,B5))</f>
        <v>0</v>
      </c>
      <c r="Y5" s="16">
        <f>IF(X5=0,"",IF(B5="","",SUMPRODUCT(MAX(('Content Calendar'!$P$5:$P$604=B5)*'Content Calendar'!$B$5:$B$604))))</f>
        <v>0</v>
      </c>
      <c r="Z5" s="24">
        <f>IF(X5=0,"",IFERROR(SUMIFS(Performance!$Z$5:$Z$404,Performance!$J$5:$J$404,B5)/SUMIFS(Performance!$O$5:$O$404,Performance!$J$5:$J$404,B5),""))</f>
        <v>0</v>
      </c>
      <c r="AA5" s="29">
        <f>IF(B5="","",IF(COUNTIF('Caption Bank'!$B$5:$B$204,B5)&gt;1,"Duplicate","OK"))</f>
        <v>0</v>
      </c>
      <c r="AB5" s="29">
        <f>IF(B5="","",IF(R5="Rejected","Rewrite - not approved",IF(J5="","Add - caption not written yet",IF(R5&lt;&gt;"Approved","Check - waiting for approval",IF(X5=0,"Use - never used yet","OK")))))</f>
        <v>0</v>
      </c>
      <c r="AC5" s="39" t="s">
        <v>1287</v>
      </c>
    </row>
    <row r="6" spans="1:29">
      <c r="A6" s="41">
        <f>IF(B6="","",CaptionPrefix&amp;TEXT(ROW()-4,"000"))</f>
        <v>0</v>
      </c>
      <c r="B6" s="15" t="s">
        <v>932</v>
      </c>
      <c r="C6" s="15" t="s">
        <v>377</v>
      </c>
      <c r="D6" s="15" t="s">
        <v>462</v>
      </c>
      <c r="E6" s="15" t="s">
        <v>834</v>
      </c>
      <c r="F6" s="15" t="s">
        <v>469</v>
      </c>
      <c r="G6" s="39" t="s">
        <v>1288</v>
      </c>
      <c r="H6" s="39" t="s">
        <v>1288</v>
      </c>
      <c r="I6" s="39" t="s">
        <v>1289</v>
      </c>
      <c r="J6" s="39" t="s">
        <v>1290</v>
      </c>
      <c r="K6" s="39" t="s">
        <v>1288</v>
      </c>
      <c r="L6" s="39" t="s">
        <v>1291</v>
      </c>
      <c r="M6" s="15" t="s">
        <v>441</v>
      </c>
      <c r="N6" s="15" t="s">
        <v>684</v>
      </c>
      <c r="O6" s="15" t="s">
        <v>205</v>
      </c>
      <c r="P6" s="15" t="s">
        <v>933</v>
      </c>
      <c r="Q6" s="40" t="s">
        <v>372</v>
      </c>
      <c r="R6" s="48" t="s">
        <v>422</v>
      </c>
      <c r="S6" s="43">
        <v>46241</v>
      </c>
      <c r="T6" s="43">
        <v>46293</v>
      </c>
      <c r="U6" s="23">
        <f>IF(J6="","",LEN(J6))</f>
        <v>0</v>
      </c>
      <c r="V6" s="23">
        <f>IF(C6="","",IF(C6="Instagram",2200,IF(C6="TikTok",2200,IF(C6="Pinterest",500,IF(C6="YouTube",5000,IF(C6="Facebook",63206,IF(C6="X (Twitter)",280,IF(C6="LinkedIn",3000,IF(C6="Threads",500,2200)))))))))</f>
        <v>0</v>
      </c>
      <c r="W6" s="29">
        <f>IF(OR(J6="",V6=""),"",IF(U6&gt;V6,"Too long - trim it",IF(U6&lt;40,"Check - very short","OK")))</f>
        <v>0</v>
      </c>
      <c r="X6" s="23">
        <f>IF(B6="","",COUNTIF('Content Calendar'!$P$5:$P$604,B6))</f>
        <v>0</v>
      </c>
      <c r="Y6" s="16">
        <f>IF(X6=0,"",IF(B6="","",SUMPRODUCT(MAX(('Content Calendar'!$P$5:$P$604=B6)*'Content Calendar'!$B$5:$B$604))))</f>
        <v>0</v>
      </c>
      <c r="Z6" s="24">
        <f>IF(X6=0,"",IFERROR(SUMIFS(Performance!$Z$5:$Z$404,Performance!$J$5:$J$404,B6)/SUMIFS(Performance!$O$5:$O$404,Performance!$J$5:$J$404,B6),""))</f>
        <v>0</v>
      </c>
      <c r="AA6" s="29">
        <f>IF(B6="","",IF(COUNTIF('Caption Bank'!$B$5:$B$204,B6)&gt;1,"Duplicate","OK"))</f>
        <v>0</v>
      </c>
      <c r="AB6" s="29">
        <f>IF(B6="","",IF(R6="Rejected","Rewrite - not approved",IF(J6="","Add - caption not written yet",IF(R6&lt;&gt;"Approved","Check - waiting for approval",IF(X6=0,"Use - never used yet","OK")))))</f>
        <v>0</v>
      </c>
      <c r="AC6" s="39" t="s">
        <v>205</v>
      </c>
    </row>
    <row r="7" spans="1:29">
      <c r="A7" s="41">
        <f>IF(B7="","",CaptionPrefix&amp;TEXT(ROW()-4,"000"))</f>
        <v>0</v>
      </c>
      <c r="B7" s="15" t="s">
        <v>938</v>
      </c>
      <c r="C7" s="15" t="s">
        <v>378</v>
      </c>
      <c r="D7" s="15" t="s">
        <v>888</v>
      </c>
      <c r="E7" s="15" t="s">
        <v>858</v>
      </c>
      <c r="F7" s="15" t="s">
        <v>469</v>
      </c>
      <c r="G7" s="39" t="s">
        <v>1292</v>
      </c>
      <c r="H7" s="39" t="s">
        <v>1292</v>
      </c>
      <c r="I7" s="39" t="s">
        <v>1293</v>
      </c>
      <c r="J7" s="39" t="s">
        <v>1294</v>
      </c>
      <c r="K7" s="39" t="s">
        <v>1292</v>
      </c>
      <c r="L7" s="39" t="s">
        <v>1295</v>
      </c>
      <c r="M7" s="15" t="s">
        <v>443</v>
      </c>
      <c r="N7" s="15" t="s">
        <v>684</v>
      </c>
      <c r="O7" s="15" t="s">
        <v>205</v>
      </c>
      <c r="P7" s="15" t="s">
        <v>939</v>
      </c>
      <c r="Q7" s="40" t="s">
        <v>372</v>
      </c>
      <c r="R7" s="48" t="s">
        <v>422</v>
      </c>
      <c r="S7" s="43">
        <v>46246</v>
      </c>
      <c r="T7" s="43">
        <v>46294</v>
      </c>
      <c r="U7" s="23">
        <f>IF(J7="","",LEN(J7))</f>
        <v>0</v>
      </c>
      <c r="V7" s="23">
        <f>IF(C7="","",IF(C7="Instagram",2200,IF(C7="TikTok",2200,IF(C7="Pinterest",500,IF(C7="YouTube",5000,IF(C7="Facebook",63206,IF(C7="X (Twitter)",280,IF(C7="LinkedIn",3000,IF(C7="Threads",500,2200)))))))))</f>
        <v>0</v>
      </c>
      <c r="W7" s="29">
        <f>IF(OR(J7="",V7=""),"",IF(U7&gt;V7,"Too long - trim it",IF(U7&lt;40,"Check - very short","OK")))</f>
        <v>0</v>
      </c>
      <c r="X7" s="23">
        <f>IF(B7="","",COUNTIF('Content Calendar'!$P$5:$P$604,B7))</f>
        <v>0</v>
      </c>
      <c r="Y7" s="16">
        <f>IF(X7=0,"",IF(B7="","",SUMPRODUCT(MAX(('Content Calendar'!$P$5:$P$604=B7)*'Content Calendar'!$B$5:$B$604))))</f>
        <v>0</v>
      </c>
      <c r="Z7" s="24">
        <f>IF(X7=0,"",IFERROR(SUMIFS(Performance!$Z$5:$Z$404,Performance!$J$5:$J$404,B7)/SUMIFS(Performance!$O$5:$O$404,Performance!$J$5:$J$404,B7),""))</f>
        <v>0</v>
      </c>
      <c r="AA7" s="29">
        <f>IF(B7="","",IF(COUNTIF('Caption Bank'!$B$5:$B$204,B7)&gt;1,"Duplicate","OK"))</f>
        <v>0</v>
      </c>
      <c r="AB7" s="29">
        <f>IF(B7="","",IF(R7="Rejected","Rewrite - not approved",IF(J7="","Add - caption not written yet",IF(R7&lt;&gt;"Approved","Check - waiting for approval",IF(X7=0,"Use - never used yet","OK")))))</f>
        <v>0</v>
      </c>
      <c r="AC7" s="39" t="s">
        <v>205</v>
      </c>
    </row>
    <row r="8" spans="1:29">
      <c r="A8" s="41">
        <f>IF(B8="","",CaptionPrefix&amp;TEXT(ROW()-4,"000"))</f>
        <v>0</v>
      </c>
      <c r="B8" s="15" t="s">
        <v>944</v>
      </c>
      <c r="C8" s="15" t="s">
        <v>380</v>
      </c>
      <c r="D8" s="15" t="s">
        <v>878</v>
      </c>
      <c r="E8" s="15" t="s">
        <v>834</v>
      </c>
      <c r="F8" s="15" t="s">
        <v>465</v>
      </c>
      <c r="G8" s="39" t="s">
        <v>1296</v>
      </c>
      <c r="H8" s="39" t="s">
        <v>1297</v>
      </c>
      <c r="I8" s="39" t="s">
        <v>1298</v>
      </c>
      <c r="J8" s="39" t="s">
        <v>1299</v>
      </c>
      <c r="K8" s="39" t="s">
        <v>1296</v>
      </c>
      <c r="L8" s="39" t="s">
        <v>1300</v>
      </c>
      <c r="M8" s="15" t="s">
        <v>439</v>
      </c>
      <c r="N8" s="15" t="s">
        <v>684</v>
      </c>
      <c r="O8" s="15" t="s">
        <v>205</v>
      </c>
      <c r="P8" s="15" t="s">
        <v>945</v>
      </c>
      <c r="Q8" s="40" t="s">
        <v>373</v>
      </c>
      <c r="R8" s="48" t="s">
        <v>422</v>
      </c>
      <c r="S8" s="43">
        <v>46251</v>
      </c>
      <c r="T8" s="43">
        <v>46295</v>
      </c>
      <c r="U8" s="23">
        <f>IF(J8="","",LEN(J8))</f>
        <v>0</v>
      </c>
      <c r="V8" s="23">
        <f>IF(C8="","",IF(C8="Instagram",2200,IF(C8="TikTok",2200,IF(C8="Pinterest",500,IF(C8="YouTube",5000,IF(C8="Facebook",63206,IF(C8="X (Twitter)",280,IF(C8="LinkedIn",3000,IF(C8="Threads",500,2200)))))))))</f>
        <v>0</v>
      </c>
      <c r="W8" s="29">
        <f>IF(OR(J8="",V8=""),"",IF(U8&gt;V8,"Too long - trim it",IF(U8&lt;40,"Check - very short","OK")))</f>
        <v>0</v>
      </c>
      <c r="X8" s="23">
        <f>IF(B8="","",COUNTIF('Content Calendar'!$P$5:$P$604,B8))</f>
        <v>0</v>
      </c>
      <c r="Y8" s="16">
        <f>IF(X8=0,"",IF(B8="","",SUMPRODUCT(MAX(('Content Calendar'!$P$5:$P$604=B8)*'Content Calendar'!$B$5:$B$604))))</f>
        <v>0</v>
      </c>
      <c r="Z8" s="24">
        <f>IF(X8=0,"",IFERROR(SUMIFS(Performance!$Z$5:$Z$404,Performance!$J$5:$J$404,B8)/SUMIFS(Performance!$O$5:$O$404,Performance!$J$5:$J$404,B8),""))</f>
        <v>0</v>
      </c>
      <c r="AA8" s="29">
        <f>IF(B8="","",IF(COUNTIF('Caption Bank'!$B$5:$B$204,B8)&gt;1,"Duplicate","OK"))</f>
        <v>0</v>
      </c>
      <c r="AB8" s="29">
        <f>IF(B8="","",IF(R8="Rejected","Rewrite - not approved",IF(J8="","Add - caption not written yet",IF(R8&lt;&gt;"Approved","Check - waiting for approval",IF(X8=0,"Use - never used yet","OK")))))</f>
        <v>0</v>
      </c>
      <c r="AC8" s="39" t="s">
        <v>205</v>
      </c>
    </row>
    <row r="9" spans="1:29">
      <c r="A9" s="41">
        <f>IF(B9="","",CaptionPrefix&amp;TEXT(ROW()-4,"000"))</f>
        <v>0</v>
      </c>
      <c r="B9" s="15" t="s">
        <v>951</v>
      </c>
      <c r="C9" s="15" t="s">
        <v>376</v>
      </c>
      <c r="D9" s="15" t="s">
        <v>430</v>
      </c>
      <c r="E9" s="15" t="s">
        <v>858</v>
      </c>
      <c r="F9" s="15" t="s">
        <v>469</v>
      </c>
      <c r="G9" s="39" t="s">
        <v>1301</v>
      </c>
      <c r="H9" s="39" t="s">
        <v>1301</v>
      </c>
      <c r="I9" s="39" t="s">
        <v>1302</v>
      </c>
      <c r="J9" s="39" t="s">
        <v>1303</v>
      </c>
      <c r="K9" s="39" t="s">
        <v>1301</v>
      </c>
      <c r="L9" s="39" t="s">
        <v>1304</v>
      </c>
      <c r="M9" s="15" t="s">
        <v>449</v>
      </c>
      <c r="N9" s="15" t="s">
        <v>684</v>
      </c>
      <c r="O9" s="15" t="s">
        <v>205</v>
      </c>
      <c r="P9" s="15" t="s">
        <v>927</v>
      </c>
      <c r="Q9" s="40" t="s">
        <v>372</v>
      </c>
      <c r="R9" s="48" t="s">
        <v>422</v>
      </c>
      <c r="S9" s="43">
        <v>46256</v>
      </c>
      <c r="T9" s="43">
        <v>46296</v>
      </c>
      <c r="U9" s="23">
        <f>IF(J9="","",LEN(J9))</f>
        <v>0</v>
      </c>
      <c r="V9" s="23">
        <f>IF(C9="","",IF(C9="Instagram",2200,IF(C9="TikTok",2200,IF(C9="Pinterest",500,IF(C9="YouTube",5000,IF(C9="Facebook",63206,IF(C9="X (Twitter)",280,IF(C9="LinkedIn",3000,IF(C9="Threads",500,2200)))))))))</f>
        <v>0</v>
      </c>
      <c r="W9" s="29">
        <f>IF(OR(J9="",V9=""),"",IF(U9&gt;V9,"Too long - trim it",IF(U9&lt;40,"Check - very short","OK")))</f>
        <v>0</v>
      </c>
      <c r="X9" s="23">
        <f>IF(B9="","",COUNTIF('Content Calendar'!$P$5:$P$604,B9))</f>
        <v>0</v>
      </c>
      <c r="Y9" s="16">
        <f>IF(X9=0,"",IF(B9="","",SUMPRODUCT(MAX(('Content Calendar'!$P$5:$P$604=B9)*'Content Calendar'!$B$5:$B$604))))</f>
        <v>0</v>
      </c>
      <c r="Z9" s="24">
        <f>IF(X9=0,"",IFERROR(SUMIFS(Performance!$Z$5:$Z$404,Performance!$J$5:$J$404,B9)/SUMIFS(Performance!$O$5:$O$404,Performance!$J$5:$J$404,B9),""))</f>
        <v>0</v>
      </c>
      <c r="AA9" s="29">
        <f>IF(B9="","",IF(COUNTIF('Caption Bank'!$B$5:$B$204,B9)&gt;1,"Duplicate","OK"))</f>
        <v>0</v>
      </c>
      <c r="AB9" s="29">
        <f>IF(B9="","",IF(R9="Rejected","Rewrite - not approved",IF(J9="","Add - caption not written yet",IF(R9&lt;&gt;"Approved","Check - waiting for approval",IF(X9=0,"Use - never used yet","OK")))))</f>
        <v>0</v>
      </c>
      <c r="AC9" s="39" t="s">
        <v>205</v>
      </c>
    </row>
    <row r="10" spans="1:29">
      <c r="A10" s="41">
        <f>IF(B10="","",CaptionPrefix&amp;TEXT(ROW()-4,"000"))</f>
        <v>0</v>
      </c>
      <c r="B10" s="15" t="s">
        <v>956</v>
      </c>
      <c r="C10" s="15" t="s">
        <v>377</v>
      </c>
      <c r="D10" s="15" t="s">
        <v>894</v>
      </c>
      <c r="E10" s="15" t="s">
        <v>834</v>
      </c>
      <c r="F10" s="15" t="s">
        <v>469</v>
      </c>
      <c r="G10" s="39" t="s">
        <v>1305</v>
      </c>
      <c r="H10" s="39" t="s">
        <v>1306</v>
      </c>
      <c r="I10" s="39" t="s">
        <v>1307</v>
      </c>
      <c r="J10" s="39" t="s">
        <v>1308</v>
      </c>
      <c r="K10" s="39" t="s">
        <v>1305</v>
      </c>
      <c r="L10" s="39" t="s">
        <v>1309</v>
      </c>
      <c r="M10" s="15" t="s">
        <v>448</v>
      </c>
      <c r="N10" s="15" t="s">
        <v>684</v>
      </c>
      <c r="O10" s="15" t="s">
        <v>205</v>
      </c>
      <c r="P10" s="15" t="s">
        <v>933</v>
      </c>
      <c r="Q10" s="40" t="s">
        <v>372</v>
      </c>
      <c r="R10" s="48" t="s">
        <v>422</v>
      </c>
      <c r="S10" s="43">
        <v>46261</v>
      </c>
      <c r="T10" s="43">
        <v>46297</v>
      </c>
      <c r="U10" s="23">
        <f>IF(J10="","",LEN(J10))</f>
        <v>0</v>
      </c>
      <c r="V10" s="23">
        <f>IF(C10="","",IF(C10="Instagram",2200,IF(C10="TikTok",2200,IF(C10="Pinterest",500,IF(C10="YouTube",5000,IF(C10="Facebook",63206,IF(C10="X (Twitter)",280,IF(C10="LinkedIn",3000,IF(C10="Threads",500,2200)))))))))</f>
        <v>0</v>
      </c>
      <c r="W10" s="29">
        <f>IF(OR(J10="",V10=""),"",IF(U10&gt;V10,"Too long - trim it",IF(U10&lt;40,"Check - very short","OK")))</f>
        <v>0</v>
      </c>
      <c r="X10" s="23">
        <f>IF(B10="","",COUNTIF('Content Calendar'!$P$5:$P$604,B10))</f>
        <v>0</v>
      </c>
      <c r="Y10" s="16">
        <f>IF(X10=0,"",IF(B10="","",SUMPRODUCT(MAX(('Content Calendar'!$P$5:$P$604=B10)*'Content Calendar'!$B$5:$B$604))))</f>
        <v>0</v>
      </c>
      <c r="Z10" s="24">
        <f>IF(X10=0,"",IFERROR(SUMIFS(Performance!$Z$5:$Z$404,Performance!$J$5:$J$404,B10)/SUMIFS(Performance!$O$5:$O$404,Performance!$J$5:$J$404,B10),""))</f>
        <v>0</v>
      </c>
      <c r="AA10" s="29">
        <f>IF(B10="","",IF(COUNTIF('Caption Bank'!$B$5:$B$204,B10)&gt;1,"Duplicate","OK"))</f>
        <v>0</v>
      </c>
      <c r="AB10" s="29">
        <f>IF(B10="","",IF(R10="Rejected","Rewrite - not approved",IF(J10="","Add - caption not written yet",IF(R10&lt;&gt;"Approved","Check - waiting for approval",IF(X10=0,"Use - never used yet","OK")))))</f>
        <v>0</v>
      </c>
      <c r="AC10" s="39" t="s">
        <v>205</v>
      </c>
    </row>
    <row r="11" spans="1:29">
      <c r="A11" s="41">
        <f>IF(B11="","",CaptionPrefix&amp;TEXT(ROW()-4,"000"))</f>
        <v>0</v>
      </c>
      <c r="B11" s="15" t="s">
        <v>961</v>
      </c>
      <c r="C11" s="15" t="s">
        <v>378</v>
      </c>
      <c r="D11" s="15" t="s">
        <v>888</v>
      </c>
      <c r="E11" s="15" t="s">
        <v>858</v>
      </c>
      <c r="F11" s="15" t="s">
        <v>465</v>
      </c>
      <c r="G11" s="39" t="s">
        <v>1310</v>
      </c>
      <c r="H11" s="39" t="s">
        <v>1310</v>
      </c>
      <c r="I11" s="39" t="s">
        <v>442</v>
      </c>
      <c r="J11" s="39" t="s">
        <v>1311</v>
      </c>
      <c r="K11" s="39" t="s">
        <v>1310</v>
      </c>
      <c r="L11" s="39" t="s">
        <v>1312</v>
      </c>
      <c r="M11" s="15" t="s">
        <v>442</v>
      </c>
      <c r="N11" s="15" t="s">
        <v>684</v>
      </c>
      <c r="O11" s="15" t="s">
        <v>205</v>
      </c>
      <c r="P11" s="15" t="s">
        <v>939</v>
      </c>
      <c r="Q11" s="40" t="s">
        <v>373</v>
      </c>
      <c r="R11" s="48" t="s">
        <v>422</v>
      </c>
      <c r="S11" s="43">
        <v>46266</v>
      </c>
      <c r="T11" s="43">
        <v>46298</v>
      </c>
      <c r="U11" s="23">
        <f>IF(J11="","",LEN(J11))</f>
        <v>0</v>
      </c>
      <c r="V11" s="23">
        <f>IF(C11="","",IF(C11="Instagram",2200,IF(C11="TikTok",2200,IF(C11="Pinterest",500,IF(C11="YouTube",5000,IF(C11="Facebook",63206,IF(C11="X (Twitter)",280,IF(C11="LinkedIn",3000,IF(C11="Threads",500,2200)))))))))</f>
        <v>0</v>
      </c>
      <c r="W11" s="29">
        <f>IF(OR(J11="",V11=""),"",IF(U11&gt;V11,"Too long - trim it",IF(U11&lt;40,"Check - very short","OK")))</f>
        <v>0</v>
      </c>
      <c r="X11" s="23">
        <f>IF(B11="","",COUNTIF('Content Calendar'!$P$5:$P$604,B11))</f>
        <v>0</v>
      </c>
      <c r="Y11" s="16">
        <f>IF(X11=0,"",IF(B11="","",SUMPRODUCT(MAX(('Content Calendar'!$P$5:$P$604=B11)*'Content Calendar'!$B$5:$B$604))))</f>
        <v>0</v>
      </c>
      <c r="Z11" s="24">
        <f>IF(X11=0,"",IFERROR(SUMIFS(Performance!$Z$5:$Z$404,Performance!$J$5:$J$404,B11)/SUMIFS(Performance!$O$5:$O$404,Performance!$J$5:$J$404,B11),""))</f>
        <v>0</v>
      </c>
      <c r="AA11" s="29">
        <f>IF(B11="","",IF(COUNTIF('Caption Bank'!$B$5:$B$204,B11)&gt;1,"Duplicate","OK"))</f>
        <v>0</v>
      </c>
      <c r="AB11" s="29">
        <f>IF(B11="","",IF(R11="Rejected","Rewrite - not approved",IF(J11="","Add - caption not written yet",IF(R11&lt;&gt;"Approved","Check - waiting for approval",IF(X11=0,"Use - never used yet","OK")))))</f>
        <v>0</v>
      </c>
      <c r="AC11" s="39" t="s">
        <v>205</v>
      </c>
    </row>
    <row r="12" spans="1:29">
      <c r="A12" s="41">
        <f>IF(B12="","",CaptionPrefix&amp;TEXT(ROW()-4,"000"))</f>
        <v>0</v>
      </c>
      <c r="B12" s="15" t="s">
        <v>966</v>
      </c>
      <c r="C12" s="15" t="s">
        <v>380</v>
      </c>
      <c r="D12" s="15" t="s">
        <v>878</v>
      </c>
      <c r="E12" s="15" t="s">
        <v>834</v>
      </c>
      <c r="F12" s="15" t="s">
        <v>469</v>
      </c>
      <c r="G12" s="39" t="s">
        <v>1313</v>
      </c>
      <c r="H12" s="39" t="s">
        <v>1314</v>
      </c>
      <c r="I12" s="39" t="s">
        <v>1315</v>
      </c>
      <c r="J12" s="39" t="s">
        <v>1316</v>
      </c>
      <c r="K12" s="39" t="s">
        <v>1313</v>
      </c>
      <c r="L12" s="39" t="s">
        <v>1317</v>
      </c>
      <c r="M12" s="15" t="s">
        <v>439</v>
      </c>
      <c r="N12" s="15" t="s">
        <v>684</v>
      </c>
      <c r="O12" s="15" t="s">
        <v>205</v>
      </c>
      <c r="P12" s="15" t="s">
        <v>945</v>
      </c>
      <c r="Q12" s="40" t="s">
        <v>372</v>
      </c>
      <c r="R12" s="48" t="s">
        <v>422</v>
      </c>
      <c r="S12" s="43">
        <v>46271</v>
      </c>
      <c r="T12" s="43">
        <v>46299</v>
      </c>
      <c r="U12" s="23">
        <f>IF(J12="","",LEN(J12))</f>
        <v>0</v>
      </c>
      <c r="V12" s="23">
        <f>IF(C12="","",IF(C12="Instagram",2200,IF(C12="TikTok",2200,IF(C12="Pinterest",500,IF(C12="YouTube",5000,IF(C12="Facebook",63206,IF(C12="X (Twitter)",280,IF(C12="LinkedIn",3000,IF(C12="Threads",500,2200)))))))))</f>
        <v>0</v>
      </c>
      <c r="W12" s="29">
        <f>IF(OR(J12="",V12=""),"",IF(U12&gt;V12,"Too long - trim it",IF(U12&lt;40,"Check - very short","OK")))</f>
        <v>0</v>
      </c>
      <c r="X12" s="23">
        <f>IF(B12="","",COUNTIF('Content Calendar'!$P$5:$P$604,B12))</f>
        <v>0</v>
      </c>
      <c r="Y12" s="16">
        <f>IF(X12=0,"",IF(B12="","",SUMPRODUCT(MAX(('Content Calendar'!$P$5:$P$604=B12)*'Content Calendar'!$B$5:$B$604))))</f>
        <v>0</v>
      </c>
      <c r="Z12" s="24">
        <f>IF(X12=0,"",IFERROR(SUMIFS(Performance!$Z$5:$Z$404,Performance!$J$5:$J$404,B12)/SUMIFS(Performance!$O$5:$O$404,Performance!$J$5:$J$404,B12),""))</f>
        <v>0</v>
      </c>
      <c r="AA12" s="29">
        <f>IF(B12="","",IF(COUNTIF('Caption Bank'!$B$5:$B$204,B12)&gt;1,"Duplicate","OK"))</f>
        <v>0</v>
      </c>
      <c r="AB12" s="29">
        <f>IF(B12="","",IF(R12="Rejected","Rewrite - not approved",IF(J12="","Add - caption not written yet",IF(R12&lt;&gt;"Approved","Check - waiting for approval",IF(X12=0,"Use - never used yet","OK")))))</f>
        <v>0</v>
      </c>
      <c r="AC12" s="39" t="s">
        <v>205</v>
      </c>
    </row>
    <row r="13" spans="1:29">
      <c r="A13" s="41">
        <f>IF(B13="","",CaptionPrefix&amp;TEXT(ROW()-4,"000"))</f>
        <v>0</v>
      </c>
      <c r="B13" s="15" t="s">
        <v>971</v>
      </c>
      <c r="C13" s="15" t="s">
        <v>376</v>
      </c>
      <c r="D13" s="15" t="s">
        <v>888</v>
      </c>
      <c r="E13" s="15" t="s">
        <v>858</v>
      </c>
      <c r="F13" s="15" t="s">
        <v>469</v>
      </c>
      <c r="G13" s="39" t="s">
        <v>1318</v>
      </c>
      <c r="H13" s="39" t="s">
        <v>1318</v>
      </c>
      <c r="I13" s="39" t="s">
        <v>1319</v>
      </c>
      <c r="J13" s="39" t="s">
        <v>1320</v>
      </c>
      <c r="K13" s="39" t="s">
        <v>1318</v>
      </c>
      <c r="L13" s="39" t="s">
        <v>1321</v>
      </c>
      <c r="M13" s="15" t="s">
        <v>443</v>
      </c>
      <c r="N13" s="15" t="s">
        <v>684</v>
      </c>
      <c r="O13" s="15" t="s">
        <v>205</v>
      </c>
      <c r="P13" s="15" t="s">
        <v>927</v>
      </c>
      <c r="Q13" s="40" t="s">
        <v>372</v>
      </c>
      <c r="R13" s="48" t="s">
        <v>422</v>
      </c>
      <c r="S13" s="43">
        <v>46276</v>
      </c>
      <c r="T13" s="43">
        <v>46300</v>
      </c>
      <c r="U13" s="23">
        <f>IF(J13="","",LEN(J13))</f>
        <v>0</v>
      </c>
      <c r="V13" s="23">
        <f>IF(C13="","",IF(C13="Instagram",2200,IF(C13="TikTok",2200,IF(C13="Pinterest",500,IF(C13="YouTube",5000,IF(C13="Facebook",63206,IF(C13="X (Twitter)",280,IF(C13="LinkedIn",3000,IF(C13="Threads",500,2200)))))))))</f>
        <v>0</v>
      </c>
      <c r="W13" s="29">
        <f>IF(OR(J13="",V13=""),"",IF(U13&gt;V13,"Too long - trim it",IF(U13&lt;40,"Check - very short","OK")))</f>
        <v>0</v>
      </c>
      <c r="X13" s="23">
        <f>IF(B13="","",COUNTIF('Content Calendar'!$P$5:$P$604,B13))</f>
        <v>0</v>
      </c>
      <c r="Y13" s="16">
        <f>IF(X13=0,"",IF(B13="","",SUMPRODUCT(MAX(('Content Calendar'!$P$5:$P$604=B13)*'Content Calendar'!$B$5:$B$604))))</f>
        <v>0</v>
      </c>
      <c r="Z13" s="24">
        <f>IF(X13=0,"",IFERROR(SUMIFS(Performance!$Z$5:$Z$404,Performance!$J$5:$J$404,B13)/SUMIFS(Performance!$O$5:$O$404,Performance!$J$5:$J$404,B13),""))</f>
        <v>0</v>
      </c>
      <c r="AA13" s="29">
        <f>IF(B13="","",IF(COUNTIF('Caption Bank'!$B$5:$B$204,B13)&gt;1,"Duplicate","OK"))</f>
        <v>0</v>
      </c>
      <c r="AB13" s="29">
        <f>IF(B13="","",IF(R13="Rejected","Rewrite - not approved",IF(J13="","Add - caption not written yet",IF(R13&lt;&gt;"Approved","Check - waiting for approval",IF(X13=0,"Use - never used yet","OK")))))</f>
        <v>0</v>
      </c>
      <c r="AC13" s="39" t="s">
        <v>205</v>
      </c>
    </row>
    <row r="14" spans="1:29">
      <c r="A14" s="41">
        <f>IF(B14="","",CaptionPrefix&amp;TEXT(ROW()-4,"000"))</f>
        <v>0</v>
      </c>
      <c r="B14" s="15" t="s">
        <v>976</v>
      </c>
      <c r="C14" s="15" t="s">
        <v>377</v>
      </c>
      <c r="D14" s="15" t="s">
        <v>881</v>
      </c>
      <c r="E14" s="15" t="s">
        <v>834</v>
      </c>
      <c r="F14" s="15" t="s">
        <v>465</v>
      </c>
      <c r="G14" s="39" t="s">
        <v>1322</v>
      </c>
      <c r="H14" s="39" t="s">
        <v>1322</v>
      </c>
      <c r="I14" s="39" t="s">
        <v>1323</v>
      </c>
      <c r="J14" s="39" t="s">
        <v>1324</v>
      </c>
      <c r="K14" s="39" t="s">
        <v>1322</v>
      </c>
      <c r="L14" s="39" t="s">
        <v>1325</v>
      </c>
      <c r="M14" s="15" t="s">
        <v>438</v>
      </c>
      <c r="N14" s="15" t="s">
        <v>684</v>
      </c>
      <c r="O14" s="15" t="s">
        <v>205</v>
      </c>
      <c r="P14" s="15" t="s">
        <v>933</v>
      </c>
      <c r="Q14" s="40" t="s">
        <v>373</v>
      </c>
      <c r="R14" s="48" t="s">
        <v>420</v>
      </c>
      <c r="S14" s="43">
        <v>46281</v>
      </c>
      <c r="T14" s="43">
        <v>46301</v>
      </c>
      <c r="U14" s="23">
        <f>IF(J14="","",LEN(J14))</f>
        <v>0</v>
      </c>
      <c r="V14" s="23">
        <f>IF(C14="","",IF(C14="Instagram",2200,IF(C14="TikTok",2200,IF(C14="Pinterest",500,IF(C14="YouTube",5000,IF(C14="Facebook",63206,IF(C14="X (Twitter)",280,IF(C14="LinkedIn",3000,IF(C14="Threads",500,2200)))))))))</f>
        <v>0</v>
      </c>
      <c r="W14" s="29">
        <f>IF(OR(J14="",V14=""),"",IF(U14&gt;V14,"Too long - trim it",IF(U14&lt;40,"Check - very short","OK")))</f>
        <v>0</v>
      </c>
      <c r="X14" s="23">
        <f>IF(B14="","",COUNTIF('Content Calendar'!$P$5:$P$604,B14))</f>
        <v>0</v>
      </c>
      <c r="Y14" s="16">
        <f>IF(X14=0,"",IF(B14="","",SUMPRODUCT(MAX(('Content Calendar'!$P$5:$P$604=B14)*'Content Calendar'!$B$5:$B$604))))</f>
        <v>0</v>
      </c>
      <c r="Z14" s="24">
        <f>IF(X14=0,"",IFERROR(SUMIFS(Performance!$Z$5:$Z$404,Performance!$J$5:$J$404,B14)/SUMIFS(Performance!$O$5:$O$404,Performance!$J$5:$J$404,B14),""))</f>
        <v>0</v>
      </c>
      <c r="AA14" s="29">
        <f>IF(B14="","",IF(COUNTIF('Caption Bank'!$B$5:$B$204,B14)&gt;1,"Duplicate","OK"))</f>
        <v>0</v>
      </c>
      <c r="AB14" s="29">
        <f>IF(B14="","",IF(R14="Rejected","Rewrite - not approved",IF(J14="","Add - caption not written yet",IF(R14&lt;&gt;"Approved","Check - waiting for approval",IF(X14=0,"Use - never used yet","OK")))))</f>
        <v>0</v>
      </c>
      <c r="AC14" s="39" t="s">
        <v>205</v>
      </c>
    </row>
    <row r="15" spans="1:29">
      <c r="A15" s="41">
        <f>IF(B15="","",CaptionPrefix&amp;TEXT(ROW()-4,"000"))</f>
        <v>0</v>
      </c>
      <c r="B15" s="15" t="s">
        <v>981</v>
      </c>
      <c r="C15" s="15" t="s">
        <v>378</v>
      </c>
      <c r="D15" s="15" t="s">
        <v>462</v>
      </c>
      <c r="E15" s="15" t="s">
        <v>858</v>
      </c>
      <c r="F15" s="15" t="s">
        <v>469</v>
      </c>
      <c r="G15" s="39" t="s">
        <v>1326</v>
      </c>
      <c r="H15" s="39" t="s">
        <v>1326</v>
      </c>
      <c r="I15" s="39" t="s">
        <v>1327</v>
      </c>
      <c r="J15" s="39" t="s">
        <v>1328</v>
      </c>
      <c r="K15" s="39" t="s">
        <v>1326</v>
      </c>
      <c r="L15" s="39" t="s">
        <v>1329</v>
      </c>
      <c r="M15" s="15" t="s">
        <v>447</v>
      </c>
      <c r="N15" s="15" t="s">
        <v>684</v>
      </c>
      <c r="O15" s="15" t="s">
        <v>205</v>
      </c>
      <c r="P15" s="15" t="s">
        <v>939</v>
      </c>
      <c r="Q15" s="40" t="s">
        <v>372</v>
      </c>
      <c r="R15" s="48" t="s">
        <v>420</v>
      </c>
      <c r="S15" s="43">
        <v>46286</v>
      </c>
      <c r="T15" s="43">
        <v>46302</v>
      </c>
      <c r="U15" s="23">
        <f>IF(J15="","",LEN(J15))</f>
        <v>0</v>
      </c>
      <c r="V15" s="23">
        <f>IF(C15="","",IF(C15="Instagram",2200,IF(C15="TikTok",2200,IF(C15="Pinterest",500,IF(C15="YouTube",5000,IF(C15="Facebook",63206,IF(C15="X (Twitter)",280,IF(C15="LinkedIn",3000,IF(C15="Threads",500,2200)))))))))</f>
        <v>0</v>
      </c>
      <c r="W15" s="29">
        <f>IF(OR(J15="",V15=""),"",IF(U15&gt;V15,"Too long - trim it",IF(U15&lt;40,"Check - very short","OK")))</f>
        <v>0</v>
      </c>
      <c r="X15" s="23">
        <f>IF(B15="","",COUNTIF('Content Calendar'!$P$5:$P$604,B15))</f>
        <v>0</v>
      </c>
      <c r="Y15" s="16">
        <f>IF(X15=0,"",IF(B15="","",SUMPRODUCT(MAX(('Content Calendar'!$P$5:$P$604=B15)*'Content Calendar'!$B$5:$B$604))))</f>
        <v>0</v>
      </c>
      <c r="Z15" s="24">
        <f>IF(X15=0,"",IFERROR(SUMIFS(Performance!$Z$5:$Z$404,Performance!$J$5:$J$404,B15)/SUMIFS(Performance!$O$5:$O$404,Performance!$J$5:$J$404,B15),""))</f>
        <v>0</v>
      </c>
      <c r="AA15" s="29">
        <f>IF(B15="","",IF(COUNTIF('Caption Bank'!$B$5:$B$204,B15)&gt;1,"Duplicate","OK"))</f>
        <v>0</v>
      </c>
      <c r="AB15" s="29">
        <f>IF(B15="","",IF(R15="Rejected","Rewrite - not approved",IF(J15="","Add - caption not written yet",IF(R15&lt;&gt;"Approved","Check - waiting for approval",IF(X15=0,"Use - never used yet","OK")))))</f>
        <v>0</v>
      </c>
      <c r="AC15" s="39" t="s">
        <v>205</v>
      </c>
    </row>
    <row r="16" spans="1:29">
      <c r="A16" s="41">
        <f>IF(B16="","",CaptionPrefix&amp;TEXT(ROW()-4,"000"))</f>
        <v>0</v>
      </c>
      <c r="B16" s="15" t="s">
        <v>986</v>
      </c>
      <c r="C16" s="15" t="s">
        <v>380</v>
      </c>
      <c r="D16" s="15" t="s">
        <v>888</v>
      </c>
      <c r="E16" s="15" t="s">
        <v>834</v>
      </c>
      <c r="F16" s="15" t="s">
        <v>469</v>
      </c>
      <c r="G16" s="39" t="s">
        <v>1330</v>
      </c>
      <c r="H16" s="39" t="s">
        <v>1330</v>
      </c>
      <c r="I16" s="39" t="s">
        <v>1331</v>
      </c>
      <c r="J16" s="39" t="s">
        <v>1332</v>
      </c>
      <c r="K16" s="39" t="s">
        <v>1330</v>
      </c>
      <c r="L16" s="39" t="s">
        <v>1333</v>
      </c>
      <c r="M16" s="15" t="s">
        <v>443</v>
      </c>
      <c r="N16" s="15" t="s">
        <v>684</v>
      </c>
      <c r="O16" s="15" t="s">
        <v>205</v>
      </c>
      <c r="P16" s="15" t="s">
        <v>945</v>
      </c>
      <c r="Q16" s="40" t="s">
        <v>372</v>
      </c>
      <c r="R16" s="48" t="s">
        <v>420</v>
      </c>
      <c r="S16" s="43">
        <v>46291</v>
      </c>
      <c r="T16" s="43">
        <v>46303</v>
      </c>
      <c r="U16" s="23">
        <f>IF(J16="","",LEN(J16))</f>
        <v>0</v>
      </c>
      <c r="V16" s="23">
        <f>IF(C16="","",IF(C16="Instagram",2200,IF(C16="TikTok",2200,IF(C16="Pinterest",500,IF(C16="YouTube",5000,IF(C16="Facebook",63206,IF(C16="X (Twitter)",280,IF(C16="LinkedIn",3000,IF(C16="Threads",500,2200)))))))))</f>
        <v>0</v>
      </c>
      <c r="W16" s="29">
        <f>IF(OR(J16="",V16=""),"",IF(U16&gt;V16,"Too long - trim it",IF(U16&lt;40,"Check - very short","OK")))</f>
        <v>0</v>
      </c>
      <c r="X16" s="23">
        <f>IF(B16="","",COUNTIF('Content Calendar'!$P$5:$P$604,B16))</f>
        <v>0</v>
      </c>
      <c r="Y16" s="16">
        <f>IF(X16=0,"",IF(B16="","",SUMPRODUCT(MAX(('Content Calendar'!$P$5:$P$604=B16)*'Content Calendar'!$B$5:$B$604))))</f>
        <v>0</v>
      </c>
      <c r="Z16" s="24">
        <f>IF(X16=0,"",IFERROR(SUMIFS(Performance!$Z$5:$Z$404,Performance!$J$5:$J$404,B16)/SUMIFS(Performance!$O$5:$O$404,Performance!$J$5:$J$404,B16),""))</f>
        <v>0</v>
      </c>
      <c r="AA16" s="29">
        <f>IF(B16="","",IF(COUNTIF('Caption Bank'!$B$5:$B$204,B16)&gt;1,"Duplicate","OK"))</f>
        <v>0</v>
      </c>
      <c r="AB16" s="29">
        <f>IF(B16="","",IF(R16="Rejected","Rewrite - not approved",IF(J16="","Add - caption not written yet",IF(R16&lt;&gt;"Approved","Check - waiting for approval",IF(X16=0,"Use - never used yet","OK")))))</f>
        <v>0</v>
      </c>
      <c r="AC16" s="39" t="s">
        <v>205</v>
      </c>
    </row>
    <row r="17" spans="1:28">
      <c r="A17" s="41">
        <f>IF(B17="","",CaptionPrefix&amp;TEXT(ROW()-4,"000"))</f>
        <v>0</v>
      </c>
      <c r="U17" s="23">
        <f>IF(J17="","",LEN(J17))</f>
        <v>0</v>
      </c>
      <c r="V17" s="23">
        <f>IF(C17="","",IF(C17="Instagram",2200,IF(C17="TikTok",2200,IF(C17="Pinterest",500,IF(C17="YouTube",5000,IF(C17="Facebook",63206,IF(C17="X (Twitter)",280,IF(C17="LinkedIn",3000,IF(C17="Threads",500,2200)))))))))</f>
        <v>0</v>
      </c>
      <c r="W17" s="29">
        <f>IF(OR(J17="",V17=""),"",IF(U17&gt;V17,"Too long - trim it",IF(U17&lt;40,"Check - very short","OK")))</f>
        <v>0</v>
      </c>
      <c r="X17" s="23">
        <f>IF(B17="","",COUNTIF('Content Calendar'!$P$5:$P$604,B17))</f>
        <v>0</v>
      </c>
      <c r="Y17" s="16">
        <f>IF(X17=0,"",IF(B17="","",SUMPRODUCT(MAX(('Content Calendar'!$P$5:$P$604=B17)*'Content Calendar'!$B$5:$B$604))))</f>
        <v>0</v>
      </c>
      <c r="Z17" s="24">
        <f>IF(X17=0,"",IFERROR(SUMIFS(Performance!$Z$5:$Z$404,Performance!$J$5:$J$404,B17)/SUMIFS(Performance!$O$5:$O$404,Performance!$J$5:$J$404,B17),""))</f>
        <v>0</v>
      </c>
      <c r="AA17" s="29">
        <f>IF(B17="","",IF(COUNTIF('Caption Bank'!$B$5:$B$204,B17)&gt;1,"Duplicate","OK"))</f>
        <v>0</v>
      </c>
      <c r="AB17" s="29">
        <f>IF(B17="","",IF(R17="Rejected","Rewrite - not approved",IF(J17="","Add - caption not written yet",IF(R17&lt;&gt;"Approved","Check - waiting for approval",IF(X17=0,"Use - never used yet","OK")))))</f>
        <v>0</v>
      </c>
    </row>
    <row r="18" spans="1:28">
      <c r="A18" s="41">
        <f>IF(B18="","",CaptionPrefix&amp;TEXT(ROW()-4,"000"))</f>
        <v>0</v>
      </c>
      <c r="U18" s="23">
        <f>IF(J18="","",LEN(J18))</f>
        <v>0</v>
      </c>
      <c r="V18" s="23">
        <f>IF(C18="","",IF(C18="Instagram",2200,IF(C18="TikTok",2200,IF(C18="Pinterest",500,IF(C18="YouTube",5000,IF(C18="Facebook",63206,IF(C18="X (Twitter)",280,IF(C18="LinkedIn",3000,IF(C18="Threads",500,2200)))))))))</f>
        <v>0</v>
      </c>
      <c r="W18" s="29">
        <f>IF(OR(J18="",V18=""),"",IF(U18&gt;V18,"Too long - trim it",IF(U18&lt;40,"Check - very short","OK")))</f>
        <v>0</v>
      </c>
      <c r="X18" s="23">
        <f>IF(B18="","",COUNTIF('Content Calendar'!$P$5:$P$604,B18))</f>
        <v>0</v>
      </c>
      <c r="Y18" s="16">
        <f>IF(X18=0,"",IF(B18="","",SUMPRODUCT(MAX(('Content Calendar'!$P$5:$P$604=B18)*'Content Calendar'!$B$5:$B$604))))</f>
        <v>0</v>
      </c>
      <c r="Z18" s="24">
        <f>IF(X18=0,"",IFERROR(SUMIFS(Performance!$Z$5:$Z$404,Performance!$J$5:$J$404,B18)/SUMIFS(Performance!$O$5:$O$404,Performance!$J$5:$J$404,B18),""))</f>
        <v>0</v>
      </c>
      <c r="AA18" s="29">
        <f>IF(B18="","",IF(COUNTIF('Caption Bank'!$B$5:$B$204,B18)&gt;1,"Duplicate","OK"))</f>
        <v>0</v>
      </c>
      <c r="AB18" s="29">
        <f>IF(B18="","",IF(R18="Rejected","Rewrite - not approved",IF(J18="","Add - caption not written yet",IF(R18&lt;&gt;"Approved","Check - waiting for approval",IF(X18=0,"Use - never used yet","OK")))))</f>
        <v>0</v>
      </c>
    </row>
    <row r="19" spans="1:28">
      <c r="A19" s="41">
        <f>IF(B19="","",CaptionPrefix&amp;TEXT(ROW()-4,"000"))</f>
        <v>0</v>
      </c>
      <c r="U19" s="23">
        <f>IF(J19="","",LEN(J19))</f>
        <v>0</v>
      </c>
      <c r="V19" s="23">
        <f>IF(C19="","",IF(C19="Instagram",2200,IF(C19="TikTok",2200,IF(C19="Pinterest",500,IF(C19="YouTube",5000,IF(C19="Facebook",63206,IF(C19="X (Twitter)",280,IF(C19="LinkedIn",3000,IF(C19="Threads",500,2200)))))))))</f>
        <v>0</v>
      </c>
      <c r="W19" s="29">
        <f>IF(OR(J19="",V19=""),"",IF(U19&gt;V19,"Too long - trim it",IF(U19&lt;40,"Check - very short","OK")))</f>
        <v>0</v>
      </c>
      <c r="X19" s="23">
        <f>IF(B19="","",COUNTIF('Content Calendar'!$P$5:$P$604,B19))</f>
        <v>0</v>
      </c>
      <c r="Y19" s="16">
        <f>IF(X19=0,"",IF(B19="","",SUMPRODUCT(MAX(('Content Calendar'!$P$5:$P$604=B19)*'Content Calendar'!$B$5:$B$604))))</f>
        <v>0</v>
      </c>
      <c r="Z19" s="24">
        <f>IF(X19=0,"",IFERROR(SUMIFS(Performance!$Z$5:$Z$404,Performance!$J$5:$J$404,B19)/SUMIFS(Performance!$O$5:$O$404,Performance!$J$5:$J$404,B19),""))</f>
        <v>0</v>
      </c>
      <c r="AA19" s="29">
        <f>IF(B19="","",IF(COUNTIF('Caption Bank'!$B$5:$B$204,B19)&gt;1,"Duplicate","OK"))</f>
        <v>0</v>
      </c>
      <c r="AB19" s="29">
        <f>IF(B19="","",IF(R19="Rejected","Rewrite - not approved",IF(J19="","Add - caption not written yet",IF(R19&lt;&gt;"Approved","Check - waiting for approval",IF(X19=0,"Use - never used yet","OK")))))</f>
        <v>0</v>
      </c>
    </row>
    <row r="20" spans="1:28">
      <c r="A20" s="41">
        <f>IF(B20="","",CaptionPrefix&amp;TEXT(ROW()-4,"000"))</f>
        <v>0</v>
      </c>
      <c r="U20" s="23">
        <f>IF(J20="","",LEN(J20))</f>
        <v>0</v>
      </c>
      <c r="V20" s="23">
        <f>IF(C20="","",IF(C20="Instagram",2200,IF(C20="TikTok",2200,IF(C20="Pinterest",500,IF(C20="YouTube",5000,IF(C20="Facebook",63206,IF(C20="X (Twitter)",280,IF(C20="LinkedIn",3000,IF(C20="Threads",500,2200)))))))))</f>
        <v>0</v>
      </c>
      <c r="W20" s="29">
        <f>IF(OR(J20="",V20=""),"",IF(U20&gt;V20,"Too long - trim it",IF(U20&lt;40,"Check - very short","OK")))</f>
        <v>0</v>
      </c>
      <c r="X20" s="23">
        <f>IF(B20="","",COUNTIF('Content Calendar'!$P$5:$P$604,B20))</f>
        <v>0</v>
      </c>
      <c r="Y20" s="16">
        <f>IF(X20=0,"",IF(B20="","",SUMPRODUCT(MAX(('Content Calendar'!$P$5:$P$604=B20)*'Content Calendar'!$B$5:$B$604))))</f>
        <v>0</v>
      </c>
      <c r="Z20" s="24">
        <f>IF(X20=0,"",IFERROR(SUMIFS(Performance!$Z$5:$Z$404,Performance!$J$5:$J$404,B20)/SUMIFS(Performance!$O$5:$O$404,Performance!$J$5:$J$404,B20),""))</f>
        <v>0</v>
      </c>
      <c r="AA20" s="29">
        <f>IF(B20="","",IF(COUNTIF('Caption Bank'!$B$5:$B$204,B20)&gt;1,"Duplicate","OK"))</f>
        <v>0</v>
      </c>
      <c r="AB20" s="29">
        <f>IF(B20="","",IF(R20="Rejected","Rewrite - not approved",IF(J20="","Add - caption not written yet",IF(R20&lt;&gt;"Approved","Check - waiting for approval",IF(X20=0,"Use - never used yet","OK")))))</f>
        <v>0</v>
      </c>
    </row>
    <row r="21" spans="1:28">
      <c r="A21" s="41">
        <f>IF(B21="","",CaptionPrefix&amp;TEXT(ROW()-4,"000"))</f>
        <v>0</v>
      </c>
      <c r="U21" s="23">
        <f>IF(J21="","",LEN(J21))</f>
        <v>0</v>
      </c>
      <c r="V21" s="23">
        <f>IF(C21="","",IF(C21="Instagram",2200,IF(C21="TikTok",2200,IF(C21="Pinterest",500,IF(C21="YouTube",5000,IF(C21="Facebook",63206,IF(C21="X (Twitter)",280,IF(C21="LinkedIn",3000,IF(C21="Threads",500,2200)))))))))</f>
        <v>0</v>
      </c>
      <c r="W21" s="29">
        <f>IF(OR(J21="",V21=""),"",IF(U21&gt;V21,"Too long - trim it",IF(U21&lt;40,"Check - very short","OK")))</f>
        <v>0</v>
      </c>
      <c r="X21" s="23">
        <f>IF(B21="","",COUNTIF('Content Calendar'!$P$5:$P$604,B21))</f>
        <v>0</v>
      </c>
      <c r="Y21" s="16">
        <f>IF(X21=0,"",IF(B21="","",SUMPRODUCT(MAX(('Content Calendar'!$P$5:$P$604=B21)*'Content Calendar'!$B$5:$B$604))))</f>
        <v>0</v>
      </c>
      <c r="Z21" s="24">
        <f>IF(X21=0,"",IFERROR(SUMIFS(Performance!$Z$5:$Z$404,Performance!$J$5:$J$404,B21)/SUMIFS(Performance!$O$5:$O$404,Performance!$J$5:$J$404,B21),""))</f>
        <v>0</v>
      </c>
      <c r="AA21" s="29">
        <f>IF(B21="","",IF(COUNTIF('Caption Bank'!$B$5:$B$204,B21)&gt;1,"Duplicate","OK"))</f>
        <v>0</v>
      </c>
      <c r="AB21" s="29">
        <f>IF(B21="","",IF(R21="Rejected","Rewrite - not approved",IF(J21="","Add - caption not written yet",IF(R21&lt;&gt;"Approved","Check - waiting for approval",IF(X21=0,"Use - never used yet","OK")))))</f>
        <v>0</v>
      </c>
    </row>
    <row r="22" spans="1:28">
      <c r="A22" s="41">
        <f>IF(B22="","",CaptionPrefix&amp;TEXT(ROW()-4,"000"))</f>
        <v>0</v>
      </c>
      <c r="U22" s="23">
        <f>IF(J22="","",LEN(J22))</f>
        <v>0</v>
      </c>
      <c r="V22" s="23">
        <f>IF(C22="","",IF(C22="Instagram",2200,IF(C22="TikTok",2200,IF(C22="Pinterest",500,IF(C22="YouTube",5000,IF(C22="Facebook",63206,IF(C22="X (Twitter)",280,IF(C22="LinkedIn",3000,IF(C22="Threads",500,2200)))))))))</f>
        <v>0</v>
      </c>
      <c r="W22" s="29">
        <f>IF(OR(J22="",V22=""),"",IF(U22&gt;V22,"Too long - trim it",IF(U22&lt;40,"Check - very short","OK")))</f>
        <v>0</v>
      </c>
      <c r="X22" s="23">
        <f>IF(B22="","",COUNTIF('Content Calendar'!$P$5:$P$604,B22))</f>
        <v>0</v>
      </c>
      <c r="Y22" s="16">
        <f>IF(X22=0,"",IF(B22="","",SUMPRODUCT(MAX(('Content Calendar'!$P$5:$P$604=B22)*'Content Calendar'!$B$5:$B$604))))</f>
        <v>0</v>
      </c>
      <c r="Z22" s="24">
        <f>IF(X22=0,"",IFERROR(SUMIFS(Performance!$Z$5:$Z$404,Performance!$J$5:$J$404,B22)/SUMIFS(Performance!$O$5:$O$404,Performance!$J$5:$J$404,B22),""))</f>
        <v>0</v>
      </c>
      <c r="AA22" s="29">
        <f>IF(B22="","",IF(COUNTIF('Caption Bank'!$B$5:$B$204,B22)&gt;1,"Duplicate","OK"))</f>
        <v>0</v>
      </c>
      <c r="AB22" s="29">
        <f>IF(B22="","",IF(R22="Rejected","Rewrite - not approved",IF(J22="","Add - caption not written yet",IF(R22&lt;&gt;"Approved","Check - waiting for approval",IF(X22=0,"Use - never used yet","OK")))))</f>
        <v>0</v>
      </c>
    </row>
    <row r="23" spans="1:28">
      <c r="A23" s="41">
        <f>IF(B23="","",CaptionPrefix&amp;TEXT(ROW()-4,"000"))</f>
        <v>0</v>
      </c>
      <c r="U23" s="23">
        <f>IF(J23="","",LEN(J23))</f>
        <v>0</v>
      </c>
      <c r="V23" s="23">
        <f>IF(C23="","",IF(C23="Instagram",2200,IF(C23="TikTok",2200,IF(C23="Pinterest",500,IF(C23="YouTube",5000,IF(C23="Facebook",63206,IF(C23="X (Twitter)",280,IF(C23="LinkedIn",3000,IF(C23="Threads",500,2200)))))))))</f>
        <v>0</v>
      </c>
      <c r="W23" s="29">
        <f>IF(OR(J23="",V23=""),"",IF(U23&gt;V23,"Too long - trim it",IF(U23&lt;40,"Check - very short","OK")))</f>
        <v>0</v>
      </c>
      <c r="X23" s="23">
        <f>IF(B23="","",COUNTIF('Content Calendar'!$P$5:$P$604,B23))</f>
        <v>0</v>
      </c>
      <c r="Y23" s="16">
        <f>IF(X23=0,"",IF(B23="","",SUMPRODUCT(MAX(('Content Calendar'!$P$5:$P$604=B23)*'Content Calendar'!$B$5:$B$604))))</f>
        <v>0</v>
      </c>
      <c r="Z23" s="24">
        <f>IF(X23=0,"",IFERROR(SUMIFS(Performance!$Z$5:$Z$404,Performance!$J$5:$J$404,B23)/SUMIFS(Performance!$O$5:$O$404,Performance!$J$5:$J$404,B23),""))</f>
        <v>0</v>
      </c>
      <c r="AA23" s="29">
        <f>IF(B23="","",IF(COUNTIF('Caption Bank'!$B$5:$B$204,B23)&gt;1,"Duplicate","OK"))</f>
        <v>0</v>
      </c>
      <c r="AB23" s="29">
        <f>IF(B23="","",IF(R23="Rejected","Rewrite - not approved",IF(J23="","Add - caption not written yet",IF(R23&lt;&gt;"Approved","Check - waiting for approval",IF(X23=0,"Use - never used yet","OK")))))</f>
        <v>0</v>
      </c>
    </row>
    <row r="24" spans="1:28">
      <c r="A24" s="41">
        <f>IF(B24="","",CaptionPrefix&amp;TEXT(ROW()-4,"000"))</f>
        <v>0</v>
      </c>
      <c r="U24" s="23">
        <f>IF(J24="","",LEN(J24))</f>
        <v>0</v>
      </c>
      <c r="V24" s="23">
        <f>IF(C24="","",IF(C24="Instagram",2200,IF(C24="TikTok",2200,IF(C24="Pinterest",500,IF(C24="YouTube",5000,IF(C24="Facebook",63206,IF(C24="X (Twitter)",280,IF(C24="LinkedIn",3000,IF(C24="Threads",500,2200)))))))))</f>
        <v>0</v>
      </c>
      <c r="W24" s="29">
        <f>IF(OR(J24="",V24=""),"",IF(U24&gt;V24,"Too long - trim it",IF(U24&lt;40,"Check - very short","OK")))</f>
        <v>0</v>
      </c>
      <c r="X24" s="23">
        <f>IF(B24="","",COUNTIF('Content Calendar'!$P$5:$P$604,B24))</f>
        <v>0</v>
      </c>
      <c r="Y24" s="16">
        <f>IF(X24=0,"",IF(B24="","",SUMPRODUCT(MAX(('Content Calendar'!$P$5:$P$604=B24)*'Content Calendar'!$B$5:$B$604))))</f>
        <v>0</v>
      </c>
      <c r="Z24" s="24">
        <f>IF(X24=0,"",IFERROR(SUMIFS(Performance!$Z$5:$Z$404,Performance!$J$5:$J$404,B24)/SUMIFS(Performance!$O$5:$O$404,Performance!$J$5:$J$404,B24),""))</f>
        <v>0</v>
      </c>
      <c r="AA24" s="29">
        <f>IF(B24="","",IF(COUNTIF('Caption Bank'!$B$5:$B$204,B24)&gt;1,"Duplicate","OK"))</f>
        <v>0</v>
      </c>
      <c r="AB24" s="29">
        <f>IF(B24="","",IF(R24="Rejected","Rewrite - not approved",IF(J24="","Add - caption not written yet",IF(R24&lt;&gt;"Approved","Check - waiting for approval",IF(X24=0,"Use - never used yet","OK")))))</f>
        <v>0</v>
      </c>
    </row>
    <row r="25" spans="1:28">
      <c r="A25" s="41">
        <f>IF(B25="","",CaptionPrefix&amp;TEXT(ROW()-4,"000"))</f>
        <v>0</v>
      </c>
      <c r="U25" s="23">
        <f>IF(J25="","",LEN(J25))</f>
        <v>0</v>
      </c>
      <c r="V25" s="23">
        <f>IF(C25="","",IF(C25="Instagram",2200,IF(C25="TikTok",2200,IF(C25="Pinterest",500,IF(C25="YouTube",5000,IF(C25="Facebook",63206,IF(C25="X (Twitter)",280,IF(C25="LinkedIn",3000,IF(C25="Threads",500,2200)))))))))</f>
        <v>0</v>
      </c>
      <c r="W25" s="29">
        <f>IF(OR(J25="",V25=""),"",IF(U25&gt;V25,"Too long - trim it",IF(U25&lt;40,"Check - very short","OK")))</f>
        <v>0</v>
      </c>
      <c r="X25" s="23">
        <f>IF(B25="","",COUNTIF('Content Calendar'!$P$5:$P$604,B25))</f>
        <v>0</v>
      </c>
      <c r="Y25" s="16">
        <f>IF(X25=0,"",IF(B25="","",SUMPRODUCT(MAX(('Content Calendar'!$P$5:$P$604=B25)*'Content Calendar'!$B$5:$B$604))))</f>
        <v>0</v>
      </c>
      <c r="Z25" s="24">
        <f>IF(X25=0,"",IFERROR(SUMIFS(Performance!$Z$5:$Z$404,Performance!$J$5:$J$404,B25)/SUMIFS(Performance!$O$5:$O$404,Performance!$J$5:$J$404,B25),""))</f>
        <v>0</v>
      </c>
      <c r="AA25" s="29">
        <f>IF(B25="","",IF(COUNTIF('Caption Bank'!$B$5:$B$204,B25)&gt;1,"Duplicate","OK"))</f>
        <v>0</v>
      </c>
      <c r="AB25" s="29">
        <f>IF(B25="","",IF(R25="Rejected","Rewrite - not approved",IF(J25="","Add - caption not written yet",IF(R25&lt;&gt;"Approved","Check - waiting for approval",IF(X25=0,"Use - never used yet","OK")))))</f>
        <v>0</v>
      </c>
    </row>
    <row r="26" spans="1:28">
      <c r="A26" s="41">
        <f>IF(B26="","",CaptionPrefix&amp;TEXT(ROW()-4,"000"))</f>
        <v>0</v>
      </c>
      <c r="U26" s="23">
        <f>IF(J26="","",LEN(J26))</f>
        <v>0</v>
      </c>
      <c r="V26" s="23">
        <f>IF(C26="","",IF(C26="Instagram",2200,IF(C26="TikTok",2200,IF(C26="Pinterest",500,IF(C26="YouTube",5000,IF(C26="Facebook",63206,IF(C26="X (Twitter)",280,IF(C26="LinkedIn",3000,IF(C26="Threads",500,2200)))))))))</f>
        <v>0</v>
      </c>
      <c r="W26" s="29">
        <f>IF(OR(J26="",V26=""),"",IF(U26&gt;V26,"Too long - trim it",IF(U26&lt;40,"Check - very short","OK")))</f>
        <v>0</v>
      </c>
      <c r="X26" s="23">
        <f>IF(B26="","",COUNTIF('Content Calendar'!$P$5:$P$604,B26))</f>
        <v>0</v>
      </c>
      <c r="Y26" s="16">
        <f>IF(X26=0,"",IF(B26="","",SUMPRODUCT(MAX(('Content Calendar'!$P$5:$P$604=B26)*'Content Calendar'!$B$5:$B$604))))</f>
        <v>0</v>
      </c>
      <c r="Z26" s="24">
        <f>IF(X26=0,"",IFERROR(SUMIFS(Performance!$Z$5:$Z$404,Performance!$J$5:$J$404,B26)/SUMIFS(Performance!$O$5:$O$404,Performance!$J$5:$J$404,B26),""))</f>
        <v>0</v>
      </c>
      <c r="AA26" s="29">
        <f>IF(B26="","",IF(COUNTIF('Caption Bank'!$B$5:$B$204,B26)&gt;1,"Duplicate","OK"))</f>
        <v>0</v>
      </c>
      <c r="AB26" s="29">
        <f>IF(B26="","",IF(R26="Rejected","Rewrite - not approved",IF(J26="","Add - caption not written yet",IF(R26&lt;&gt;"Approved","Check - waiting for approval",IF(X26=0,"Use - never used yet","OK")))))</f>
        <v>0</v>
      </c>
    </row>
    <row r="27" spans="1:28">
      <c r="A27" s="41">
        <f>IF(B27="","",CaptionPrefix&amp;TEXT(ROW()-4,"000"))</f>
        <v>0</v>
      </c>
      <c r="U27" s="23">
        <f>IF(J27="","",LEN(J27))</f>
        <v>0</v>
      </c>
      <c r="V27" s="23">
        <f>IF(C27="","",IF(C27="Instagram",2200,IF(C27="TikTok",2200,IF(C27="Pinterest",500,IF(C27="YouTube",5000,IF(C27="Facebook",63206,IF(C27="X (Twitter)",280,IF(C27="LinkedIn",3000,IF(C27="Threads",500,2200)))))))))</f>
        <v>0</v>
      </c>
      <c r="W27" s="29">
        <f>IF(OR(J27="",V27=""),"",IF(U27&gt;V27,"Too long - trim it",IF(U27&lt;40,"Check - very short","OK")))</f>
        <v>0</v>
      </c>
      <c r="X27" s="23">
        <f>IF(B27="","",COUNTIF('Content Calendar'!$P$5:$P$604,B27))</f>
        <v>0</v>
      </c>
      <c r="Y27" s="16">
        <f>IF(X27=0,"",IF(B27="","",SUMPRODUCT(MAX(('Content Calendar'!$P$5:$P$604=B27)*'Content Calendar'!$B$5:$B$604))))</f>
        <v>0</v>
      </c>
      <c r="Z27" s="24">
        <f>IF(X27=0,"",IFERROR(SUMIFS(Performance!$Z$5:$Z$404,Performance!$J$5:$J$404,B27)/SUMIFS(Performance!$O$5:$O$404,Performance!$J$5:$J$404,B27),""))</f>
        <v>0</v>
      </c>
      <c r="AA27" s="29">
        <f>IF(B27="","",IF(COUNTIF('Caption Bank'!$B$5:$B$204,B27)&gt;1,"Duplicate","OK"))</f>
        <v>0</v>
      </c>
      <c r="AB27" s="29">
        <f>IF(B27="","",IF(R27="Rejected","Rewrite - not approved",IF(J27="","Add - caption not written yet",IF(R27&lt;&gt;"Approved","Check - waiting for approval",IF(X27=0,"Use - never used yet","OK")))))</f>
        <v>0</v>
      </c>
    </row>
    <row r="28" spans="1:28">
      <c r="A28" s="41">
        <f>IF(B28="","",CaptionPrefix&amp;TEXT(ROW()-4,"000"))</f>
        <v>0</v>
      </c>
      <c r="U28" s="23">
        <f>IF(J28="","",LEN(J28))</f>
        <v>0</v>
      </c>
      <c r="V28" s="23">
        <f>IF(C28="","",IF(C28="Instagram",2200,IF(C28="TikTok",2200,IF(C28="Pinterest",500,IF(C28="YouTube",5000,IF(C28="Facebook",63206,IF(C28="X (Twitter)",280,IF(C28="LinkedIn",3000,IF(C28="Threads",500,2200)))))))))</f>
        <v>0</v>
      </c>
      <c r="W28" s="29">
        <f>IF(OR(J28="",V28=""),"",IF(U28&gt;V28,"Too long - trim it",IF(U28&lt;40,"Check - very short","OK")))</f>
        <v>0</v>
      </c>
      <c r="X28" s="23">
        <f>IF(B28="","",COUNTIF('Content Calendar'!$P$5:$P$604,B28))</f>
        <v>0</v>
      </c>
      <c r="Y28" s="16">
        <f>IF(X28=0,"",IF(B28="","",SUMPRODUCT(MAX(('Content Calendar'!$P$5:$P$604=B28)*'Content Calendar'!$B$5:$B$604))))</f>
        <v>0</v>
      </c>
      <c r="Z28" s="24">
        <f>IF(X28=0,"",IFERROR(SUMIFS(Performance!$Z$5:$Z$404,Performance!$J$5:$J$404,B28)/SUMIFS(Performance!$O$5:$O$404,Performance!$J$5:$J$404,B28),""))</f>
        <v>0</v>
      </c>
      <c r="AA28" s="29">
        <f>IF(B28="","",IF(COUNTIF('Caption Bank'!$B$5:$B$204,B28)&gt;1,"Duplicate","OK"))</f>
        <v>0</v>
      </c>
      <c r="AB28" s="29">
        <f>IF(B28="","",IF(R28="Rejected","Rewrite - not approved",IF(J28="","Add - caption not written yet",IF(R28&lt;&gt;"Approved","Check - waiting for approval",IF(X28=0,"Use - never used yet","OK")))))</f>
        <v>0</v>
      </c>
    </row>
    <row r="29" spans="1:28">
      <c r="A29" s="41">
        <f>IF(B29="","",CaptionPrefix&amp;TEXT(ROW()-4,"000"))</f>
        <v>0</v>
      </c>
      <c r="U29" s="23">
        <f>IF(J29="","",LEN(J29))</f>
        <v>0</v>
      </c>
      <c r="V29" s="23">
        <f>IF(C29="","",IF(C29="Instagram",2200,IF(C29="TikTok",2200,IF(C29="Pinterest",500,IF(C29="YouTube",5000,IF(C29="Facebook",63206,IF(C29="X (Twitter)",280,IF(C29="LinkedIn",3000,IF(C29="Threads",500,2200)))))))))</f>
        <v>0</v>
      </c>
      <c r="W29" s="29">
        <f>IF(OR(J29="",V29=""),"",IF(U29&gt;V29,"Too long - trim it",IF(U29&lt;40,"Check - very short","OK")))</f>
        <v>0</v>
      </c>
      <c r="X29" s="23">
        <f>IF(B29="","",COUNTIF('Content Calendar'!$P$5:$P$604,B29))</f>
        <v>0</v>
      </c>
      <c r="Y29" s="16">
        <f>IF(X29=0,"",IF(B29="","",SUMPRODUCT(MAX(('Content Calendar'!$P$5:$P$604=B29)*'Content Calendar'!$B$5:$B$604))))</f>
        <v>0</v>
      </c>
      <c r="Z29" s="24">
        <f>IF(X29=0,"",IFERROR(SUMIFS(Performance!$Z$5:$Z$404,Performance!$J$5:$J$404,B29)/SUMIFS(Performance!$O$5:$O$404,Performance!$J$5:$J$404,B29),""))</f>
        <v>0</v>
      </c>
      <c r="AA29" s="29">
        <f>IF(B29="","",IF(COUNTIF('Caption Bank'!$B$5:$B$204,B29)&gt;1,"Duplicate","OK"))</f>
        <v>0</v>
      </c>
      <c r="AB29" s="29">
        <f>IF(B29="","",IF(R29="Rejected","Rewrite - not approved",IF(J29="","Add - caption not written yet",IF(R29&lt;&gt;"Approved","Check - waiting for approval",IF(X29=0,"Use - never used yet","OK")))))</f>
        <v>0</v>
      </c>
    </row>
    <row r="30" spans="1:28">
      <c r="A30" s="41">
        <f>IF(B30="","",CaptionPrefix&amp;TEXT(ROW()-4,"000"))</f>
        <v>0</v>
      </c>
      <c r="U30" s="23">
        <f>IF(J30="","",LEN(J30))</f>
        <v>0</v>
      </c>
      <c r="V30" s="23">
        <f>IF(C30="","",IF(C30="Instagram",2200,IF(C30="TikTok",2200,IF(C30="Pinterest",500,IF(C30="YouTube",5000,IF(C30="Facebook",63206,IF(C30="X (Twitter)",280,IF(C30="LinkedIn",3000,IF(C30="Threads",500,2200)))))))))</f>
        <v>0</v>
      </c>
      <c r="W30" s="29">
        <f>IF(OR(J30="",V30=""),"",IF(U30&gt;V30,"Too long - trim it",IF(U30&lt;40,"Check - very short","OK")))</f>
        <v>0</v>
      </c>
      <c r="X30" s="23">
        <f>IF(B30="","",COUNTIF('Content Calendar'!$P$5:$P$604,B30))</f>
        <v>0</v>
      </c>
      <c r="Y30" s="16">
        <f>IF(X30=0,"",IF(B30="","",SUMPRODUCT(MAX(('Content Calendar'!$P$5:$P$604=B30)*'Content Calendar'!$B$5:$B$604))))</f>
        <v>0</v>
      </c>
      <c r="Z30" s="24">
        <f>IF(X30=0,"",IFERROR(SUMIFS(Performance!$Z$5:$Z$404,Performance!$J$5:$J$404,B30)/SUMIFS(Performance!$O$5:$O$404,Performance!$J$5:$J$404,B30),""))</f>
        <v>0</v>
      </c>
      <c r="AA30" s="29">
        <f>IF(B30="","",IF(COUNTIF('Caption Bank'!$B$5:$B$204,B30)&gt;1,"Duplicate","OK"))</f>
        <v>0</v>
      </c>
      <c r="AB30" s="29">
        <f>IF(B30="","",IF(R30="Rejected","Rewrite - not approved",IF(J30="","Add - caption not written yet",IF(R30&lt;&gt;"Approved","Check - waiting for approval",IF(X30=0,"Use - never used yet","OK")))))</f>
        <v>0</v>
      </c>
    </row>
    <row r="31" spans="1:28">
      <c r="A31" s="41">
        <f>IF(B31="","",CaptionPrefix&amp;TEXT(ROW()-4,"000"))</f>
        <v>0</v>
      </c>
      <c r="U31" s="23">
        <f>IF(J31="","",LEN(J31))</f>
        <v>0</v>
      </c>
      <c r="V31" s="23">
        <f>IF(C31="","",IF(C31="Instagram",2200,IF(C31="TikTok",2200,IF(C31="Pinterest",500,IF(C31="YouTube",5000,IF(C31="Facebook",63206,IF(C31="X (Twitter)",280,IF(C31="LinkedIn",3000,IF(C31="Threads",500,2200)))))))))</f>
        <v>0</v>
      </c>
      <c r="W31" s="29">
        <f>IF(OR(J31="",V31=""),"",IF(U31&gt;V31,"Too long - trim it",IF(U31&lt;40,"Check - very short","OK")))</f>
        <v>0</v>
      </c>
      <c r="X31" s="23">
        <f>IF(B31="","",COUNTIF('Content Calendar'!$P$5:$P$604,B31))</f>
        <v>0</v>
      </c>
      <c r="Y31" s="16">
        <f>IF(X31=0,"",IF(B31="","",SUMPRODUCT(MAX(('Content Calendar'!$P$5:$P$604=B31)*'Content Calendar'!$B$5:$B$604))))</f>
        <v>0</v>
      </c>
      <c r="Z31" s="24">
        <f>IF(X31=0,"",IFERROR(SUMIFS(Performance!$Z$5:$Z$404,Performance!$J$5:$J$404,B31)/SUMIFS(Performance!$O$5:$O$404,Performance!$J$5:$J$404,B31),""))</f>
        <v>0</v>
      </c>
      <c r="AA31" s="29">
        <f>IF(B31="","",IF(COUNTIF('Caption Bank'!$B$5:$B$204,B31)&gt;1,"Duplicate","OK"))</f>
        <v>0</v>
      </c>
      <c r="AB31" s="29">
        <f>IF(B31="","",IF(R31="Rejected","Rewrite - not approved",IF(J31="","Add - caption not written yet",IF(R31&lt;&gt;"Approved","Check - waiting for approval",IF(X31=0,"Use - never used yet","OK")))))</f>
        <v>0</v>
      </c>
    </row>
    <row r="32" spans="1:28">
      <c r="A32" s="41">
        <f>IF(B32="","",CaptionPrefix&amp;TEXT(ROW()-4,"000"))</f>
        <v>0</v>
      </c>
      <c r="U32" s="23">
        <f>IF(J32="","",LEN(J32))</f>
        <v>0</v>
      </c>
      <c r="V32" s="23">
        <f>IF(C32="","",IF(C32="Instagram",2200,IF(C32="TikTok",2200,IF(C32="Pinterest",500,IF(C32="YouTube",5000,IF(C32="Facebook",63206,IF(C32="X (Twitter)",280,IF(C32="LinkedIn",3000,IF(C32="Threads",500,2200)))))))))</f>
        <v>0</v>
      </c>
      <c r="W32" s="29">
        <f>IF(OR(J32="",V32=""),"",IF(U32&gt;V32,"Too long - trim it",IF(U32&lt;40,"Check - very short","OK")))</f>
        <v>0</v>
      </c>
      <c r="X32" s="23">
        <f>IF(B32="","",COUNTIF('Content Calendar'!$P$5:$P$604,B32))</f>
        <v>0</v>
      </c>
      <c r="Y32" s="16">
        <f>IF(X32=0,"",IF(B32="","",SUMPRODUCT(MAX(('Content Calendar'!$P$5:$P$604=B32)*'Content Calendar'!$B$5:$B$604))))</f>
        <v>0</v>
      </c>
      <c r="Z32" s="24">
        <f>IF(X32=0,"",IFERROR(SUMIFS(Performance!$Z$5:$Z$404,Performance!$J$5:$J$404,B32)/SUMIFS(Performance!$O$5:$O$404,Performance!$J$5:$J$404,B32),""))</f>
        <v>0</v>
      </c>
      <c r="AA32" s="29">
        <f>IF(B32="","",IF(COUNTIF('Caption Bank'!$B$5:$B$204,B32)&gt;1,"Duplicate","OK"))</f>
        <v>0</v>
      </c>
      <c r="AB32" s="29">
        <f>IF(B32="","",IF(R32="Rejected","Rewrite - not approved",IF(J32="","Add - caption not written yet",IF(R32&lt;&gt;"Approved","Check - waiting for approval",IF(X32=0,"Use - never used yet","OK")))))</f>
        <v>0</v>
      </c>
    </row>
    <row r="33" spans="1:28">
      <c r="A33" s="41">
        <f>IF(B33="","",CaptionPrefix&amp;TEXT(ROW()-4,"000"))</f>
        <v>0</v>
      </c>
      <c r="U33" s="23">
        <f>IF(J33="","",LEN(J33))</f>
        <v>0</v>
      </c>
      <c r="V33" s="23">
        <f>IF(C33="","",IF(C33="Instagram",2200,IF(C33="TikTok",2200,IF(C33="Pinterest",500,IF(C33="YouTube",5000,IF(C33="Facebook",63206,IF(C33="X (Twitter)",280,IF(C33="LinkedIn",3000,IF(C33="Threads",500,2200)))))))))</f>
        <v>0</v>
      </c>
      <c r="W33" s="29">
        <f>IF(OR(J33="",V33=""),"",IF(U33&gt;V33,"Too long - trim it",IF(U33&lt;40,"Check - very short","OK")))</f>
        <v>0</v>
      </c>
      <c r="X33" s="23">
        <f>IF(B33="","",COUNTIF('Content Calendar'!$P$5:$P$604,B33))</f>
        <v>0</v>
      </c>
      <c r="Y33" s="16">
        <f>IF(X33=0,"",IF(B33="","",SUMPRODUCT(MAX(('Content Calendar'!$P$5:$P$604=B33)*'Content Calendar'!$B$5:$B$604))))</f>
        <v>0</v>
      </c>
      <c r="Z33" s="24">
        <f>IF(X33=0,"",IFERROR(SUMIFS(Performance!$Z$5:$Z$404,Performance!$J$5:$J$404,B33)/SUMIFS(Performance!$O$5:$O$404,Performance!$J$5:$J$404,B33),""))</f>
        <v>0</v>
      </c>
      <c r="AA33" s="29">
        <f>IF(B33="","",IF(COUNTIF('Caption Bank'!$B$5:$B$204,B33)&gt;1,"Duplicate","OK"))</f>
        <v>0</v>
      </c>
      <c r="AB33" s="29">
        <f>IF(B33="","",IF(R33="Rejected","Rewrite - not approved",IF(J33="","Add - caption not written yet",IF(R33&lt;&gt;"Approved","Check - waiting for approval",IF(X33=0,"Use - never used yet","OK")))))</f>
        <v>0</v>
      </c>
    </row>
    <row r="34" spans="1:28">
      <c r="A34" s="41">
        <f>IF(B34="","",CaptionPrefix&amp;TEXT(ROW()-4,"000"))</f>
        <v>0</v>
      </c>
      <c r="U34" s="23">
        <f>IF(J34="","",LEN(J34))</f>
        <v>0</v>
      </c>
      <c r="V34" s="23">
        <f>IF(C34="","",IF(C34="Instagram",2200,IF(C34="TikTok",2200,IF(C34="Pinterest",500,IF(C34="YouTube",5000,IF(C34="Facebook",63206,IF(C34="X (Twitter)",280,IF(C34="LinkedIn",3000,IF(C34="Threads",500,2200)))))))))</f>
        <v>0</v>
      </c>
      <c r="W34" s="29">
        <f>IF(OR(J34="",V34=""),"",IF(U34&gt;V34,"Too long - trim it",IF(U34&lt;40,"Check - very short","OK")))</f>
        <v>0</v>
      </c>
      <c r="X34" s="23">
        <f>IF(B34="","",COUNTIF('Content Calendar'!$P$5:$P$604,B34))</f>
        <v>0</v>
      </c>
      <c r="Y34" s="16">
        <f>IF(X34=0,"",IF(B34="","",SUMPRODUCT(MAX(('Content Calendar'!$P$5:$P$604=B34)*'Content Calendar'!$B$5:$B$604))))</f>
        <v>0</v>
      </c>
      <c r="Z34" s="24">
        <f>IF(X34=0,"",IFERROR(SUMIFS(Performance!$Z$5:$Z$404,Performance!$J$5:$J$404,B34)/SUMIFS(Performance!$O$5:$O$404,Performance!$J$5:$J$404,B34),""))</f>
        <v>0</v>
      </c>
      <c r="AA34" s="29">
        <f>IF(B34="","",IF(COUNTIF('Caption Bank'!$B$5:$B$204,B34)&gt;1,"Duplicate","OK"))</f>
        <v>0</v>
      </c>
      <c r="AB34" s="29">
        <f>IF(B34="","",IF(R34="Rejected","Rewrite - not approved",IF(J34="","Add - caption not written yet",IF(R34&lt;&gt;"Approved","Check - waiting for approval",IF(X34=0,"Use - never used yet","OK")))))</f>
        <v>0</v>
      </c>
    </row>
    <row r="35" spans="1:28">
      <c r="A35" s="41">
        <f>IF(B35="","",CaptionPrefix&amp;TEXT(ROW()-4,"000"))</f>
        <v>0</v>
      </c>
      <c r="U35" s="23">
        <f>IF(J35="","",LEN(J35))</f>
        <v>0</v>
      </c>
      <c r="V35" s="23">
        <f>IF(C35="","",IF(C35="Instagram",2200,IF(C35="TikTok",2200,IF(C35="Pinterest",500,IF(C35="YouTube",5000,IF(C35="Facebook",63206,IF(C35="X (Twitter)",280,IF(C35="LinkedIn",3000,IF(C35="Threads",500,2200)))))))))</f>
        <v>0</v>
      </c>
      <c r="W35" s="29">
        <f>IF(OR(J35="",V35=""),"",IF(U35&gt;V35,"Too long - trim it",IF(U35&lt;40,"Check - very short","OK")))</f>
        <v>0</v>
      </c>
      <c r="X35" s="23">
        <f>IF(B35="","",COUNTIF('Content Calendar'!$P$5:$P$604,B35))</f>
        <v>0</v>
      </c>
      <c r="Y35" s="16">
        <f>IF(X35=0,"",IF(B35="","",SUMPRODUCT(MAX(('Content Calendar'!$P$5:$P$604=B35)*'Content Calendar'!$B$5:$B$604))))</f>
        <v>0</v>
      </c>
      <c r="Z35" s="24">
        <f>IF(X35=0,"",IFERROR(SUMIFS(Performance!$Z$5:$Z$404,Performance!$J$5:$J$404,B35)/SUMIFS(Performance!$O$5:$O$404,Performance!$J$5:$J$404,B35),""))</f>
        <v>0</v>
      </c>
      <c r="AA35" s="29">
        <f>IF(B35="","",IF(COUNTIF('Caption Bank'!$B$5:$B$204,B35)&gt;1,"Duplicate","OK"))</f>
        <v>0</v>
      </c>
      <c r="AB35" s="29">
        <f>IF(B35="","",IF(R35="Rejected","Rewrite - not approved",IF(J35="","Add - caption not written yet",IF(R35&lt;&gt;"Approved","Check - waiting for approval",IF(X35=0,"Use - never used yet","OK")))))</f>
        <v>0</v>
      </c>
    </row>
    <row r="36" spans="1:28">
      <c r="A36" s="41">
        <f>IF(B36="","",CaptionPrefix&amp;TEXT(ROW()-4,"000"))</f>
        <v>0</v>
      </c>
      <c r="U36" s="23">
        <f>IF(J36="","",LEN(J36))</f>
        <v>0</v>
      </c>
      <c r="V36" s="23">
        <f>IF(C36="","",IF(C36="Instagram",2200,IF(C36="TikTok",2200,IF(C36="Pinterest",500,IF(C36="YouTube",5000,IF(C36="Facebook",63206,IF(C36="X (Twitter)",280,IF(C36="LinkedIn",3000,IF(C36="Threads",500,2200)))))))))</f>
        <v>0</v>
      </c>
      <c r="W36" s="29">
        <f>IF(OR(J36="",V36=""),"",IF(U36&gt;V36,"Too long - trim it",IF(U36&lt;40,"Check - very short","OK")))</f>
        <v>0</v>
      </c>
      <c r="X36" s="23">
        <f>IF(B36="","",COUNTIF('Content Calendar'!$P$5:$P$604,B36))</f>
        <v>0</v>
      </c>
      <c r="Y36" s="16">
        <f>IF(X36=0,"",IF(B36="","",SUMPRODUCT(MAX(('Content Calendar'!$P$5:$P$604=B36)*'Content Calendar'!$B$5:$B$604))))</f>
        <v>0</v>
      </c>
      <c r="Z36" s="24">
        <f>IF(X36=0,"",IFERROR(SUMIFS(Performance!$Z$5:$Z$404,Performance!$J$5:$J$404,B36)/SUMIFS(Performance!$O$5:$O$404,Performance!$J$5:$J$404,B36),""))</f>
        <v>0</v>
      </c>
      <c r="AA36" s="29">
        <f>IF(B36="","",IF(COUNTIF('Caption Bank'!$B$5:$B$204,B36)&gt;1,"Duplicate","OK"))</f>
        <v>0</v>
      </c>
      <c r="AB36" s="29">
        <f>IF(B36="","",IF(R36="Rejected","Rewrite - not approved",IF(J36="","Add - caption not written yet",IF(R36&lt;&gt;"Approved","Check - waiting for approval",IF(X36=0,"Use - never used yet","OK")))))</f>
        <v>0</v>
      </c>
    </row>
    <row r="37" spans="1:28">
      <c r="A37" s="41">
        <f>IF(B37="","",CaptionPrefix&amp;TEXT(ROW()-4,"000"))</f>
        <v>0</v>
      </c>
      <c r="U37" s="23">
        <f>IF(J37="","",LEN(J37))</f>
        <v>0</v>
      </c>
      <c r="V37" s="23">
        <f>IF(C37="","",IF(C37="Instagram",2200,IF(C37="TikTok",2200,IF(C37="Pinterest",500,IF(C37="YouTube",5000,IF(C37="Facebook",63206,IF(C37="X (Twitter)",280,IF(C37="LinkedIn",3000,IF(C37="Threads",500,2200)))))))))</f>
        <v>0</v>
      </c>
      <c r="W37" s="29">
        <f>IF(OR(J37="",V37=""),"",IF(U37&gt;V37,"Too long - trim it",IF(U37&lt;40,"Check - very short","OK")))</f>
        <v>0</v>
      </c>
      <c r="X37" s="23">
        <f>IF(B37="","",COUNTIF('Content Calendar'!$P$5:$P$604,B37))</f>
        <v>0</v>
      </c>
      <c r="Y37" s="16">
        <f>IF(X37=0,"",IF(B37="","",SUMPRODUCT(MAX(('Content Calendar'!$P$5:$P$604=B37)*'Content Calendar'!$B$5:$B$604))))</f>
        <v>0</v>
      </c>
      <c r="Z37" s="24">
        <f>IF(X37=0,"",IFERROR(SUMIFS(Performance!$Z$5:$Z$404,Performance!$J$5:$J$404,B37)/SUMIFS(Performance!$O$5:$O$404,Performance!$J$5:$J$404,B37),""))</f>
        <v>0</v>
      </c>
      <c r="AA37" s="29">
        <f>IF(B37="","",IF(COUNTIF('Caption Bank'!$B$5:$B$204,B37)&gt;1,"Duplicate","OK"))</f>
        <v>0</v>
      </c>
      <c r="AB37" s="29">
        <f>IF(B37="","",IF(R37="Rejected","Rewrite - not approved",IF(J37="","Add - caption not written yet",IF(R37&lt;&gt;"Approved","Check - waiting for approval",IF(X37=0,"Use - never used yet","OK")))))</f>
        <v>0</v>
      </c>
    </row>
    <row r="38" spans="1:28">
      <c r="A38" s="41">
        <f>IF(B38="","",CaptionPrefix&amp;TEXT(ROW()-4,"000"))</f>
        <v>0</v>
      </c>
      <c r="U38" s="23">
        <f>IF(J38="","",LEN(J38))</f>
        <v>0</v>
      </c>
      <c r="V38" s="23">
        <f>IF(C38="","",IF(C38="Instagram",2200,IF(C38="TikTok",2200,IF(C38="Pinterest",500,IF(C38="YouTube",5000,IF(C38="Facebook",63206,IF(C38="X (Twitter)",280,IF(C38="LinkedIn",3000,IF(C38="Threads",500,2200)))))))))</f>
        <v>0</v>
      </c>
      <c r="W38" s="29">
        <f>IF(OR(J38="",V38=""),"",IF(U38&gt;V38,"Too long - trim it",IF(U38&lt;40,"Check - very short","OK")))</f>
        <v>0</v>
      </c>
      <c r="X38" s="23">
        <f>IF(B38="","",COUNTIF('Content Calendar'!$P$5:$P$604,B38))</f>
        <v>0</v>
      </c>
      <c r="Y38" s="16">
        <f>IF(X38=0,"",IF(B38="","",SUMPRODUCT(MAX(('Content Calendar'!$P$5:$P$604=B38)*'Content Calendar'!$B$5:$B$604))))</f>
        <v>0</v>
      </c>
      <c r="Z38" s="24">
        <f>IF(X38=0,"",IFERROR(SUMIFS(Performance!$Z$5:$Z$404,Performance!$J$5:$J$404,B38)/SUMIFS(Performance!$O$5:$O$404,Performance!$J$5:$J$404,B38),""))</f>
        <v>0</v>
      </c>
      <c r="AA38" s="29">
        <f>IF(B38="","",IF(COUNTIF('Caption Bank'!$B$5:$B$204,B38)&gt;1,"Duplicate","OK"))</f>
        <v>0</v>
      </c>
      <c r="AB38" s="29">
        <f>IF(B38="","",IF(R38="Rejected","Rewrite - not approved",IF(J38="","Add - caption not written yet",IF(R38&lt;&gt;"Approved","Check - waiting for approval",IF(X38=0,"Use - never used yet","OK")))))</f>
        <v>0</v>
      </c>
    </row>
    <row r="39" spans="1:28">
      <c r="A39" s="41">
        <f>IF(B39="","",CaptionPrefix&amp;TEXT(ROW()-4,"000"))</f>
        <v>0</v>
      </c>
      <c r="U39" s="23">
        <f>IF(J39="","",LEN(J39))</f>
        <v>0</v>
      </c>
      <c r="V39" s="23">
        <f>IF(C39="","",IF(C39="Instagram",2200,IF(C39="TikTok",2200,IF(C39="Pinterest",500,IF(C39="YouTube",5000,IF(C39="Facebook",63206,IF(C39="X (Twitter)",280,IF(C39="LinkedIn",3000,IF(C39="Threads",500,2200)))))))))</f>
        <v>0</v>
      </c>
      <c r="W39" s="29">
        <f>IF(OR(J39="",V39=""),"",IF(U39&gt;V39,"Too long - trim it",IF(U39&lt;40,"Check - very short","OK")))</f>
        <v>0</v>
      </c>
      <c r="X39" s="23">
        <f>IF(B39="","",COUNTIF('Content Calendar'!$P$5:$P$604,B39))</f>
        <v>0</v>
      </c>
      <c r="Y39" s="16">
        <f>IF(X39=0,"",IF(B39="","",SUMPRODUCT(MAX(('Content Calendar'!$P$5:$P$604=B39)*'Content Calendar'!$B$5:$B$604))))</f>
        <v>0</v>
      </c>
      <c r="Z39" s="24">
        <f>IF(X39=0,"",IFERROR(SUMIFS(Performance!$Z$5:$Z$404,Performance!$J$5:$J$404,B39)/SUMIFS(Performance!$O$5:$O$404,Performance!$J$5:$J$404,B39),""))</f>
        <v>0</v>
      </c>
      <c r="AA39" s="29">
        <f>IF(B39="","",IF(COUNTIF('Caption Bank'!$B$5:$B$204,B39)&gt;1,"Duplicate","OK"))</f>
        <v>0</v>
      </c>
      <c r="AB39" s="29">
        <f>IF(B39="","",IF(R39="Rejected","Rewrite - not approved",IF(J39="","Add - caption not written yet",IF(R39&lt;&gt;"Approved","Check - waiting for approval",IF(X39=0,"Use - never used yet","OK")))))</f>
        <v>0</v>
      </c>
    </row>
    <row r="40" spans="1:28">
      <c r="A40" s="41">
        <f>IF(B40="","",CaptionPrefix&amp;TEXT(ROW()-4,"000"))</f>
        <v>0</v>
      </c>
      <c r="U40" s="23">
        <f>IF(J40="","",LEN(J40))</f>
        <v>0</v>
      </c>
      <c r="V40" s="23">
        <f>IF(C40="","",IF(C40="Instagram",2200,IF(C40="TikTok",2200,IF(C40="Pinterest",500,IF(C40="YouTube",5000,IF(C40="Facebook",63206,IF(C40="X (Twitter)",280,IF(C40="LinkedIn",3000,IF(C40="Threads",500,2200)))))))))</f>
        <v>0</v>
      </c>
      <c r="W40" s="29">
        <f>IF(OR(J40="",V40=""),"",IF(U40&gt;V40,"Too long - trim it",IF(U40&lt;40,"Check - very short","OK")))</f>
        <v>0</v>
      </c>
      <c r="X40" s="23">
        <f>IF(B40="","",COUNTIF('Content Calendar'!$P$5:$P$604,B40))</f>
        <v>0</v>
      </c>
      <c r="Y40" s="16">
        <f>IF(X40=0,"",IF(B40="","",SUMPRODUCT(MAX(('Content Calendar'!$P$5:$P$604=B40)*'Content Calendar'!$B$5:$B$604))))</f>
        <v>0</v>
      </c>
      <c r="Z40" s="24">
        <f>IF(X40=0,"",IFERROR(SUMIFS(Performance!$Z$5:$Z$404,Performance!$J$5:$J$404,B40)/SUMIFS(Performance!$O$5:$O$404,Performance!$J$5:$J$404,B40),""))</f>
        <v>0</v>
      </c>
      <c r="AA40" s="29">
        <f>IF(B40="","",IF(COUNTIF('Caption Bank'!$B$5:$B$204,B40)&gt;1,"Duplicate","OK"))</f>
        <v>0</v>
      </c>
      <c r="AB40" s="29">
        <f>IF(B40="","",IF(R40="Rejected","Rewrite - not approved",IF(J40="","Add - caption not written yet",IF(R40&lt;&gt;"Approved","Check - waiting for approval",IF(X40=0,"Use - never used yet","OK")))))</f>
        <v>0</v>
      </c>
    </row>
    <row r="41" spans="1:28">
      <c r="A41" s="41">
        <f>IF(B41="","",CaptionPrefix&amp;TEXT(ROW()-4,"000"))</f>
        <v>0</v>
      </c>
      <c r="U41" s="23">
        <f>IF(J41="","",LEN(J41))</f>
        <v>0</v>
      </c>
      <c r="V41" s="23">
        <f>IF(C41="","",IF(C41="Instagram",2200,IF(C41="TikTok",2200,IF(C41="Pinterest",500,IF(C41="YouTube",5000,IF(C41="Facebook",63206,IF(C41="X (Twitter)",280,IF(C41="LinkedIn",3000,IF(C41="Threads",500,2200)))))))))</f>
        <v>0</v>
      </c>
      <c r="W41" s="29">
        <f>IF(OR(J41="",V41=""),"",IF(U41&gt;V41,"Too long - trim it",IF(U41&lt;40,"Check - very short","OK")))</f>
        <v>0</v>
      </c>
      <c r="X41" s="23">
        <f>IF(B41="","",COUNTIF('Content Calendar'!$P$5:$P$604,B41))</f>
        <v>0</v>
      </c>
      <c r="Y41" s="16">
        <f>IF(X41=0,"",IF(B41="","",SUMPRODUCT(MAX(('Content Calendar'!$P$5:$P$604=B41)*'Content Calendar'!$B$5:$B$604))))</f>
        <v>0</v>
      </c>
      <c r="Z41" s="24">
        <f>IF(X41=0,"",IFERROR(SUMIFS(Performance!$Z$5:$Z$404,Performance!$J$5:$J$404,B41)/SUMIFS(Performance!$O$5:$O$404,Performance!$J$5:$J$404,B41),""))</f>
        <v>0</v>
      </c>
      <c r="AA41" s="29">
        <f>IF(B41="","",IF(COUNTIF('Caption Bank'!$B$5:$B$204,B41)&gt;1,"Duplicate","OK"))</f>
        <v>0</v>
      </c>
      <c r="AB41" s="29">
        <f>IF(B41="","",IF(R41="Rejected","Rewrite - not approved",IF(J41="","Add - caption not written yet",IF(R41&lt;&gt;"Approved","Check - waiting for approval",IF(X41=0,"Use - never used yet","OK")))))</f>
        <v>0</v>
      </c>
    </row>
    <row r="42" spans="1:28">
      <c r="A42" s="41">
        <f>IF(B42="","",CaptionPrefix&amp;TEXT(ROW()-4,"000"))</f>
        <v>0</v>
      </c>
      <c r="U42" s="23">
        <f>IF(J42="","",LEN(J42))</f>
        <v>0</v>
      </c>
      <c r="V42" s="23">
        <f>IF(C42="","",IF(C42="Instagram",2200,IF(C42="TikTok",2200,IF(C42="Pinterest",500,IF(C42="YouTube",5000,IF(C42="Facebook",63206,IF(C42="X (Twitter)",280,IF(C42="LinkedIn",3000,IF(C42="Threads",500,2200)))))))))</f>
        <v>0</v>
      </c>
      <c r="W42" s="29">
        <f>IF(OR(J42="",V42=""),"",IF(U42&gt;V42,"Too long - trim it",IF(U42&lt;40,"Check - very short","OK")))</f>
        <v>0</v>
      </c>
      <c r="X42" s="23">
        <f>IF(B42="","",COUNTIF('Content Calendar'!$P$5:$P$604,B42))</f>
        <v>0</v>
      </c>
      <c r="Y42" s="16">
        <f>IF(X42=0,"",IF(B42="","",SUMPRODUCT(MAX(('Content Calendar'!$P$5:$P$604=B42)*'Content Calendar'!$B$5:$B$604))))</f>
        <v>0</v>
      </c>
      <c r="Z42" s="24">
        <f>IF(X42=0,"",IFERROR(SUMIFS(Performance!$Z$5:$Z$404,Performance!$J$5:$J$404,B42)/SUMIFS(Performance!$O$5:$O$404,Performance!$J$5:$J$404,B42),""))</f>
        <v>0</v>
      </c>
      <c r="AA42" s="29">
        <f>IF(B42="","",IF(COUNTIF('Caption Bank'!$B$5:$B$204,B42)&gt;1,"Duplicate","OK"))</f>
        <v>0</v>
      </c>
      <c r="AB42" s="29">
        <f>IF(B42="","",IF(R42="Rejected","Rewrite - not approved",IF(J42="","Add - caption not written yet",IF(R42&lt;&gt;"Approved","Check - waiting for approval",IF(X42=0,"Use - never used yet","OK")))))</f>
        <v>0</v>
      </c>
    </row>
    <row r="43" spans="1:28">
      <c r="A43" s="41">
        <f>IF(B43="","",CaptionPrefix&amp;TEXT(ROW()-4,"000"))</f>
        <v>0</v>
      </c>
      <c r="U43" s="23">
        <f>IF(J43="","",LEN(J43))</f>
        <v>0</v>
      </c>
      <c r="V43" s="23">
        <f>IF(C43="","",IF(C43="Instagram",2200,IF(C43="TikTok",2200,IF(C43="Pinterest",500,IF(C43="YouTube",5000,IF(C43="Facebook",63206,IF(C43="X (Twitter)",280,IF(C43="LinkedIn",3000,IF(C43="Threads",500,2200)))))))))</f>
        <v>0</v>
      </c>
      <c r="W43" s="29">
        <f>IF(OR(J43="",V43=""),"",IF(U43&gt;V43,"Too long - trim it",IF(U43&lt;40,"Check - very short","OK")))</f>
        <v>0</v>
      </c>
      <c r="X43" s="23">
        <f>IF(B43="","",COUNTIF('Content Calendar'!$P$5:$P$604,B43))</f>
        <v>0</v>
      </c>
      <c r="Y43" s="16">
        <f>IF(X43=0,"",IF(B43="","",SUMPRODUCT(MAX(('Content Calendar'!$P$5:$P$604=B43)*'Content Calendar'!$B$5:$B$604))))</f>
        <v>0</v>
      </c>
      <c r="Z43" s="24">
        <f>IF(X43=0,"",IFERROR(SUMIFS(Performance!$Z$5:$Z$404,Performance!$J$5:$J$404,B43)/SUMIFS(Performance!$O$5:$O$404,Performance!$J$5:$J$404,B43),""))</f>
        <v>0</v>
      </c>
      <c r="AA43" s="29">
        <f>IF(B43="","",IF(COUNTIF('Caption Bank'!$B$5:$B$204,B43)&gt;1,"Duplicate","OK"))</f>
        <v>0</v>
      </c>
      <c r="AB43" s="29">
        <f>IF(B43="","",IF(R43="Rejected","Rewrite - not approved",IF(J43="","Add - caption not written yet",IF(R43&lt;&gt;"Approved","Check - waiting for approval",IF(X43=0,"Use - never used yet","OK")))))</f>
        <v>0</v>
      </c>
    </row>
    <row r="44" spans="1:28">
      <c r="A44" s="41">
        <f>IF(B44="","",CaptionPrefix&amp;TEXT(ROW()-4,"000"))</f>
        <v>0</v>
      </c>
      <c r="U44" s="23">
        <f>IF(J44="","",LEN(J44))</f>
        <v>0</v>
      </c>
      <c r="V44" s="23">
        <f>IF(C44="","",IF(C44="Instagram",2200,IF(C44="TikTok",2200,IF(C44="Pinterest",500,IF(C44="YouTube",5000,IF(C44="Facebook",63206,IF(C44="X (Twitter)",280,IF(C44="LinkedIn",3000,IF(C44="Threads",500,2200)))))))))</f>
        <v>0</v>
      </c>
      <c r="W44" s="29">
        <f>IF(OR(J44="",V44=""),"",IF(U44&gt;V44,"Too long - trim it",IF(U44&lt;40,"Check - very short","OK")))</f>
        <v>0</v>
      </c>
      <c r="X44" s="23">
        <f>IF(B44="","",COUNTIF('Content Calendar'!$P$5:$P$604,B44))</f>
        <v>0</v>
      </c>
      <c r="Y44" s="16">
        <f>IF(X44=0,"",IF(B44="","",SUMPRODUCT(MAX(('Content Calendar'!$P$5:$P$604=B44)*'Content Calendar'!$B$5:$B$604))))</f>
        <v>0</v>
      </c>
      <c r="Z44" s="24">
        <f>IF(X44=0,"",IFERROR(SUMIFS(Performance!$Z$5:$Z$404,Performance!$J$5:$J$404,B44)/SUMIFS(Performance!$O$5:$O$404,Performance!$J$5:$J$404,B44),""))</f>
        <v>0</v>
      </c>
      <c r="AA44" s="29">
        <f>IF(B44="","",IF(COUNTIF('Caption Bank'!$B$5:$B$204,B44)&gt;1,"Duplicate","OK"))</f>
        <v>0</v>
      </c>
      <c r="AB44" s="29">
        <f>IF(B44="","",IF(R44="Rejected","Rewrite - not approved",IF(J44="","Add - caption not written yet",IF(R44&lt;&gt;"Approved","Check - waiting for approval",IF(X44=0,"Use - never used yet","OK")))))</f>
        <v>0</v>
      </c>
    </row>
    <row r="45" spans="1:28">
      <c r="A45" s="41">
        <f>IF(B45="","",CaptionPrefix&amp;TEXT(ROW()-4,"000"))</f>
        <v>0</v>
      </c>
      <c r="U45" s="23">
        <f>IF(J45="","",LEN(J45))</f>
        <v>0</v>
      </c>
      <c r="V45" s="23">
        <f>IF(C45="","",IF(C45="Instagram",2200,IF(C45="TikTok",2200,IF(C45="Pinterest",500,IF(C45="YouTube",5000,IF(C45="Facebook",63206,IF(C45="X (Twitter)",280,IF(C45="LinkedIn",3000,IF(C45="Threads",500,2200)))))))))</f>
        <v>0</v>
      </c>
      <c r="W45" s="29">
        <f>IF(OR(J45="",V45=""),"",IF(U45&gt;V45,"Too long - trim it",IF(U45&lt;40,"Check - very short","OK")))</f>
        <v>0</v>
      </c>
      <c r="X45" s="23">
        <f>IF(B45="","",COUNTIF('Content Calendar'!$P$5:$P$604,B45))</f>
        <v>0</v>
      </c>
      <c r="Y45" s="16">
        <f>IF(X45=0,"",IF(B45="","",SUMPRODUCT(MAX(('Content Calendar'!$P$5:$P$604=B45)*'Content Calendar'!$B$5:$B$604))))</f>
        <v>0</v>
      </c>
      <c r="Z45" s="24">
        <f>IF(X45=0,"",IFERROR(SUMIFS(Performance!$Z$5:$Z$404,Performance!$J$5:$J$404,B45)/SUMIFS(Performance!$O$5:$O$404,Performance!$J$5:$J$404,B45),""))</f>
        <v>0</v>
      </c>
      <c r="AA45" s="29">
        <f>IF(B45="","",IF(COUNTIF('Caption Bank'!$B$5:$B$204,B45)&gt;1,"Duplicate","OK"))</f>
        <v>0</v>
      </c>
      <c r="AB45" s="29">
        <f>IF(B45="","",IF(R45="Rejected","Rewrite - not approved",IF(J45="","Add - caption not written yet",IF(R45&lt;&gt;"Approved","Check - waiting for approval",IF(X45=0,"Use - never used yet","OK")))))</f>
        <v>0</v>
      </c>
    </row>
    <row r="46" spans="1:28">
      <c r="A46" s="41">
        <f>IF(B46="","",CaptionPrefix&amp;TEXT(ROW()-4,"000"))</f>
        <v>0</v>
      </c>
      <c r="U46" s="23">
        <f>IF(J46="","",LEN(J46))</f>
        <v>0</v>
      </c>
      <c r="V46" s="23">
        <f>IF(C46="","",IF(C46="Instagram",2200,IF(C46="TikTok",2200,IF(C46="Pinterest",500,IF(C46="YouTube",5000,IF(C46="Facebook",63206,IF(C46="X (Twitter)",280,IF(C46="LinkedIn",3000,IF(C46="Threads",500,2200)))))))))</f>
        <v>0</v>
      </c>
      <c r="W46" s="29">
        <f>IF(OR(J46="",V46=""),"",IF(U46&gt;V46,"Too long - trim it",IF(U46&lt;40,"Check - very short","OK")))</f>
        <v>0</v>
      </c>
      <c r="X46" s="23">
        <f>IF(B46="","",COUNTIF('Content Calendar'!$P$5:$P$604,B46))</f>
        <v>0</v>
      </c>
      <c r="Y46" s="16">
        <f>IF(X46=0,"",IF(B46="","",SUMPRODUCT(MAX(('Content Calendar'!$P$5:$P$604=B46)*'Content Calendar'!$B$5:$B$604))))</f>
        <v>0</v>
      </c>
      <c r="Z46" s="24">
        <f>IF(X46=0,"",IFERROR(SUMIFS(Performance!$Z$5:$Z$404,Performance!$J$5:$J$404,B46)/SUMIFS(Performance!$O$5:$O$404,Performance!$J$5:$J$404,B46),""))</f>
        <v>0</v>
      </c>
      <c r="AA46" s="29">
        <f>IF(B46="","",IF(COUNTIF('Caption Bank'!$B$5:$B$204,B46)&gt;1,"Duplicate","OK"))</f>
        <v>0</v>
      </c>
      <c r="AB46" s="29">
        <f>IF(B46="","",IF(R46="Rejected","Rewrite - not approved",IF(J46="","Add - caption not written yet",IF(R46&lt;&gt;"Approved","Check - waiting for approval",IF(X46=0,"Use - never used yet","OK")))))</f>
        <v>0</v>
      </c>
    </row>
    <row r="47" spans="1:28">
      <c r="A47" s="41">
        <f>IF(B47="","",CaptionPrefix&amp;TEXT(ROW()-4,"000"))</f>
        <v>0</v>
      </c>
      <c r="U47" s="23">
        <f>IF(J47="","",LEN(J47))</f>
        <v>0</v>
      </c>
      <c r="V47" s="23">
        <f>IF(C47="","",IF(C47="Instagram",2200,IF(C47="TikTok",2200,IF(C47="Pinterest",500,IF(C47="YouTube",5000,IF(C47="Facebook",63206,IF(C47="X (Twitter)",280,IF(C47="LinkedIn",3000,IF(C47="Threads",500,2200)))))))))</f>
        <v>0</v>
      </c>
      <c r="W47" s="29">
        <f>IF(OR(J47="",V47=""),"",IF(U47&gt;V47,"Too long - trim it",IF(U47&lt;40,"Check - very short","OK")))</f>
        <v>0</v>
      </c>
      <c r="X47" s="23">
        <f>IF(B47="","",COUNTIF('Content Calendar'!$P$5:$P$604,B47))</f>
        <v>0</v>
      </c>
      <c r="Y47" s="16">
        <f>IF(X47=0,"",IF(B47="","",SUMPRODUCT(MAX(('Content Calendar'!$P$5:$P$604=B47)*'Content Calendar'!$B$5:$B$604))))</f>
        <v>0</v>
      </c>
      <c r="Z47" s="24">
        <f>IF(X47=0,"",IFERROR(SUMIFS(Performance!$Z$5:$Z$404,Performance!$J$5:$J$404,B47)/SUMIFS(Performance!$O$5:$O$404,Performance!$J$5:$J$404,B47),""))</f>
        <v>0</v>
      </c>
      <c r="AA47" s="29">
        <f>IF(B47="","",IF(COUNTIF('Caption Bank'!$B$5:$B$204,B47)&gt;1,"Duplicate","OK"))</f>
        <v>0</v>
      </c>
      <c r="AB47" s="29">
        <f>IF(B47="","",IF(R47="Rejected","Rewrite - not approved",IF(J47="","Add - caption not written yet",IF(R47&lt;&gt;"Approved","Check - waiting for approval",IF(X47=0,"Use - never used yet","OK")))))</f>
        <v>0</v>
      </c>
    </row>
    <row r="48" spans="1:28">
      <c r="A48" s="41">
        <f>IF(B48="","",CaptionPrefix&amp;TEXT(ROW()-4,"000"))</f>
        <v>0</v>
      </c>
      <c r="U48" s="23">
        <f>IF(J48="","",LEN(J48))</f>
        <v>0</v>
      </c>
      <c r="V48" s="23">
        <f>IF(C48="","",IF(C48="Instagram",2200,IF(C48="TikTok",2200,IF(C48="Pinterest",500,IF(C48="YouTube",5000,IF(C48="Facebook",63206,IF(C48="X (Twitter)",280,IF(C48="LinkedIn",3000,IF(C48="Threads",500,2200)))))))))</f>
        <v>0</v>
      </c>
      <c r="W48" s="29">
        <f>IF(OR(J48="",V48=""),"",IF(U48&gt;V48,"Too long - trim it",IF(U48&lt;40,"Check - very short","OK")))</f>
        <v>0</v>
      </c>
      <c r="X48" s="23">
        <f>IF(B48="","",COUNTIF('Content Calendar'!$P$5:$P$604,B48))</f>
        <v>0</v>
      </c>
      <c r="Y48" s="16">
        <f>IF(X48=0,"",IF(B48="","",SUMPRODUCT(MAX(('Content Calendar'!$P$5:$P$604=B48)*'Content Calendar'!$B$5:$B$604))))</f>
        <v>0</v>
      </c>
      <c r="Z48" s="24">
        <f>IF(X48=0,"",IFERROR(SUMIFS(Performance!$Z$5:$Z$404,Performance!$J$5:$J$404,B48)/SUMIFS(Performance!$O$5:$O$404,Performance!$J$5:$J$404,B48),""))</f>
        <v>0</v>
      </c>
      <c r="AA48" s="29">
        <f>IF(B48="","",IF(COUNTIF('Caption Bank'!$B$5:$B$204,B48)&gt;1,"Duplicate","OK"))</f>
        <v>0</v>
      </c>
      <c r="AB48" s="29">
        <f>IF(B48="","",IF(R48="Rejected","Rewrite - not approved",IF(J48="","Add - caption not written yet",IF(R48&lt;&gt;"Approved","Check - waiting for approval",IF(X48=0,"Use - never used yet","OK")))))</f>
        <v>0</v>
      </c>
    </row>
    <row r="49" spans="1:28">
      <c r="A49" s="41">
        <f>IF(B49="","",CaptionPrefix&amp;TEXT(ROW()-4,"000"))</f>
        <v>0</v>
      </c>
      <c r="U49" s="23">
        <f>IF(J49="","",LEN(J49))</f>
        <v>0</v>
      </c>
      <c r="V49" s="23">
        <f>IF(C49="","",IF(C49="Instagram",2200,IF(C49="TikTok",2200,IF(C49="Pinterest",500,IF(C49="YouTube",5000,IF(C49="Facebook",63206,IF(C49="X (Twitter)",280,IF(C49="LinkedIn",3000,IF(C49="Threads",500,2200)))))))))</f>
        <v>0</v>
      </c>
      <c r="W49" s="29">
        <f>IF(OR(J49="",V49=""),"",IF(U49&gt;V49,"Too long - trim it",IF(U49&lt;40,"Check - very short","OK")))</f>
        <v>0</v>
      </c>
      <c r="X49" s="23">
        <f>IF(B49="","",COUNTIF('Content Calendar'!$P$5:$P$604,B49))</f>
        <v>0</v>
      </c>
      <c r="Y49" s="16">
        <f>IF(X49=0,"",IF(B49="","",SUMPRODUCT(MAX(('Content Calendar'!$P$5:$P$604=B49)*'Content Calendar'!$B$5:$B$604))))</f>
        <v>0</v>
      </c>
      <c r="Z49" s="24">
        <f>IF(X49=0,"",IFERROR(SUMIFS(Performance!$Z$5:$Z$404,Performance!$J$5:$J$404,B49)/SUMIFS(Performance!$O$5:$O$404,Performance!$J$5:$J$404,B49),""))</f>
        <v>0</v>
      </c>
      <c r="AA49" s="29">
        <f>IF(B49="","",IF(COUNTIF('Caption Bank'!$B$5:$B$204,B49)&gt;1,"Duplicate","OK"))</f>
        <v>0</v>
      </c>
      <c r="AB49" s="29">
        <f>IF(B49="","",IF(R49="Rejected","Rewrite - not approved",IF(J49="","Add - caption not written yet",IF(R49&lt;&gt;"Approved","Check - waiting for approval",IF(X49=0,"Use - never used yet","OK")))))</f>
        <v>0</v>
      </c>
    </row>
    <row r="50" spans="1:28">
      <c r="A50" s="41">
        <f>IF(B50="","",CaptionPrefix&amp;TEXT(ROW()-4,"000"))</f>
        <v>0</v>
      </c>
      <c r="U50" s="23">
        <f>IF(J50="","",LEN(J50))</f>
        <v>0</v>
      </c>
      <c r="V50" s="23">
        <f>IF(C50="","",IF(C50="Instagram",2200,IF(C50="TikTok",2200,IF(C50="Pinterest",500,IF(C50="YouTube",5000,IF(C50="Facebook",63206,IF(C50="X (Twitter)",280,IF(C50="LinkedIn",3000,IF(C50="Threads",500,2200)))))))))</f>
        <v>0</v>
      </c>
      <c r="W50" s="29">
        <f>IF(OR(J50="",V50=""),"",IF(U50&gt;V50,"Too long - trim it",IF(U50&lt;40,"Check - very short","OK")))</f>
        <v>0</v>
      </c>
      <c r="X50" s="23">
        <f>IF(B50="","",COUNTIF('Content Calendar'!$P$5:$P$604,B50))</f>
        <v>0</v>
      </c>
      <c r="Y50" s="16">
        <f>IF(X50=0,"",IF(B50="","",SUMPRODUCT(MAX(('Content Calendar'!$P$5:$P$604=B50)*'Content Calendar'!$B$5:$B$604))))</f>
        <v>0</v>
      </c>
      <c r="Z50" s="24">
        <f>IF(X50=0,"",IFERROR(SUMIFS(Performance!$Z$5:$Z$404,Performance!$J$5:$J$404,B50)/SUMIFS(Performance!$O$5:$O$404,Performance!$J$5:$J$404,B50),""))</f>
        <v>0</v>
      </c>
      <c r="AA50" s="29">
        <f>IF(B50="","",IF(COUNTIF('Caption Bank'!$B$5:$B$204,B50)&gt;1,"Duplicate","OK"))</f>
        <v>0</v>
      </c>
      <c r="AB50" s="29">
        <f>IF(B50="","",IF(R50="Rejected","Rewrite - not approved",IF(J50="","Add - caption not written yet",IF(R50&lt;&gt;"Approved","Check - waiting for approval",IF(X50=0,"Use - never used yet","OK")))))</f>
        <v>0</v>
      </c>
    </row>
    <row r="51" spans="1:28">
      <c r="A51" s="41">
        <f>IF(B51="","",CaptionPrefix&amp;TEXT(ROW()-4,"000"))</f>
        <v>0</v>
      </c>
      <c r="U51" s="23">
        <f>IF(J51="","",LEN(J51))</f>
        <v>0</v>
      </c>
      <c r="V51" s="23">
        <f>IF(C51="","",IF(C51="Instagram",2200,IF(C51="TikTok",2200,IF(C51="Pinterest",500,IF(C51="YouTube",5000,IF(C51="Facebook",63206,IF(C51="X (Twitter)",280,IF(C51="LinkedIn",3000,IF(C51="Threads",500,2200)))))))))</f>
        <v>0</v>
      </c>
      <c r="W51" s="29">
        <f>IF(OR(J51="",V51=""),"",IF(U51&gt;V51,"Too long - trim it",IF(U51&lt;40,"Check - very short","OK")))</f>
        <v>0</v>
      </c>
      <c r="X51" s="23">
        <f>IF(B51="","",COUNTIF('Content Calendar'!$P$5:$P$604,B51))</f>
        <v>0</v>
      </c>
      <c r="Y51" s="16">
        <f>IF(X51=0,"",IF(B51="","",SUMPRODUCT(MAX(('Content Calendar'!$P$5:$P$604=B51)*'Content Calendar'!$B$5:$B$604))))</f>
        <v>0</v>
      </c>
      <c r="Z51" s="24">
        <f>IF(X51=0,"",IFERROR(SUMIFS(Performance!$Z$5:$Z$404,Performance!$J$5:$J$404,B51)/SUMIFS(Performance!$O$5:$O$404,Performance!$J$5:$J$404,B51),""))</f>
        <v>0</v>
      </c>
      <c r="AA51" s="29">
        <f>IF(B51="","",IF(COUNTIF('Caption Bank'!$B$5:$B$204,B51)&gt;1,"Duplicate","OK"))</f>
        <v>0</v>
      </c>
      <c r="AB51" s="29">
        <f>IF(B51="","",IF(R51="Rejected","Rewrite - not approved",IF(J51="","Add - caption not written yet",IF(R51&lt;&gt;"Approved","Check - waiting for approval",IF(X51=0,"Use - never used yet","OK")))))</f>
        <v>0</v>
      </c>
    </row>
    <row r="52" spans="1:28">
      <c r="A52" s="41">
        <f>IF(B52="","",CaptionPrefix&amp;TEXT(ROW()-4,"000"))</f>
        <v>0</v>
      </c>
      <c r="U52" s="23">
        <f>IF(J52="","",LEN(J52))</f>
        <v>0</v>
      </c>
      <c r="V52" s="23">
        <f>IF(C52="","",IF(C52="Instagram",2200,IF(C52="TikTok",2200,IF(C52="Pinterest",500,IF(C52="YouTube",5000,IF(C52="Facebook",63206,IF(C52="X (Twitter)",280,IF(C52="LinkedIn",3000,IF(C52="Threads",500,2200)))))))))</f>
        <v>0</v>
      </c>
      <c r="W52" s="29">
        <f>IF(OR(J52="",V52=""),"",IF(U52&gt;V52,"Too long - trim it",IF(U52&lt;40,"Check - very short","OK")))</f>
        <v>0</v>
      </c>
      <c r="X52" s="23">
        <f>IF(B52="","",COUNTIF('Content Calendar'!$P$5:$P$604,B52))</f>
        <v>0</v>
      </c>
      <c r="Y52" s="16">
        <f>IF(X52=0,"",IF(B52="","",SUMPRODUCT(MAX(('Content Calendar'!$P$5:$P$604=B52)*'Content Calendar'!$B$5:$B$604))))</f>
        <v>0</v>
      </c>
      <c r="Z52" s="24">
        <f>IF(X52=0,"",IFERROR(SUMIFS(Performance!$Z$5:$Z$404,Performance!$J$5:$J$404,B52)/SUMIFS(Performance!$O$5:$O$404,Performance!$J$5:$J$404,B52),""))</f>
        <v>0</v>
      </c>
      <c r="AA52" s="29">
        <f>IF(B52="","",IF(COUNTIF('Caption Bank'!$B$5:$B$204,B52)&gt;1,"Duplicate","OK"))</f>
        <v>0</v>
      </c>
      <c r="AB52" s="29">
        <f>IF(B52="","",IF(R52="Rejected","Rewrite - not approved",IF(J52="","Add - caption not written yet",IF(R52&lt;&gt;"Approved","Check - waiting for approval",IF(X52=0,"Use - never used yet","OK")))))</f>
        <v>0</v>
      </c>
    </row>
    <row r="53" spans="1:28">
      <c r="A53" s="41">
        <f>IF(B53="","",CaptionPrefix&amp;TEXT(ROW()-4,"000"))</f>
        <v>0</v>
      </c>
      <c r="U53" s="23">
        <f>IF(J53="","",LEN(J53))</f>
        <v>0</v>
      </c>
      <c r="V53" s="23">
        <f>IF(C53="","",IF(C53="Instagram",2200,IF(C53="TikTok",2200,IF(C53="Pinterest",500,IF(C53="YouTube",5000,IF(C53="Facebook",63206,IF(C53="X (Twitter)",280,IF(C53="LinkedIn",3000,IF(C53="Threads",500,2200)))))))))</f>
        <v>0</v>
      </c>
      <c r="W53" s="29">
        <f>IF(OR(J53="",V53=""),"",IF(U53&gt;V53,"Too long - trim it",IF(U53&lt;40,"Check - very short","OK")))</f>
        <v>0</v>
      </c>
      <c r="X53" s="23">
        <f>IF(B53="","",COUNTIF('Content Calendar'!$P$5:$P$604,B53))</f>
        <v>0</v>
      </c>
      <c r="Y53" s="16">
        <f>IF(X53=0,"",IF(B53="","",SUMPRODUCT(MAX(('Content Calendar'!$P$5:$P$604=B53)*'Content Calendar'!$B$5:$B$604))))</f>
        <v>0</v>
      </c>
      <c r="Z53" s="24">
        <f>IF(X53=0,"",IFERROR(SUMIFS(Performance!$Z$5:$Z$404,Performance!$J$5:$J$404,B53)/SUMIFS(Performance!$O$5:$O$404,Performance!$J$5:$J$404,B53),""))</f>
        <v>0</v>
      </c>
      <c r="AA53" s="29">
        <f>IF(B53="","",IF(COUNTIF('Caption Bank'!$B$5:$B$204,B53)&gt;1,"Duplicate","OK"))</f>
        <v>0</v>
      </c>
      <c r="AB53" s="29">
        <f>IF(B53="","",IF(R53="Rejected","Rewrite - not approved",IF(J53="","Add - caption not written yet",IF(R53&lt;&gt;"Approved","Check - waiting for approval",IF(X53=0,"Use - never used yet","OK")))))</f>
        <v>0</v>
      </c>
    </row>
    <row r="54" spans="1:28">
      <c r="A54" s="41">
        <f>IF(B54="","",CaptionPrefix&amp;TEXT(ROW()-4,"000"))</f>
        <v>0</v>
      </c>
      <c r="U54" s="23">
        <f>IF(J54="","",LEN(J54))</f>
        <v>0</v>
      </c>
      <c r="V54" s="23">
        <f>IF(C54="","",IF(C54="Instagram",2200,IF(C54="TikTok",2200,IF(C54="Pinterest",500,IF(C54="YouTube",5000,IF(C54="Facebook",63206,IF(C54="X (Twitter)",280,IF(C54="LinkedIn",3000,IF(C54="Threads",500,2200)))))))))</f>
        <v>0</v>
      </c>
      <c r="W54" s="29">
        <f>IF(OR(J54="",V54=""),"",IF(U54&gt;V54,"Too long - trim it",IF(U54&lt;40,"Check - very short","OK")))</f>
        <v>0</v>
      </c>
      <c r="X54" s="23">
        <f>IF(B54="","",COUNTIF('Content Calendar'!$P$5:$P$604,B54))</f>
        <v>0</v>
      </c>
      <c r="Y54" s="16">
        <f>IF(X54=0,"",IF(B54="","",SUMPRODUCT(MAX(('Content Calendar'!$P$5:$P$604=B54)*'Content Calendar'!$B$5:$B$604))))</f>
        <v>0</v>
      </c>
      <c r="Z54" s="24">
        <f>IF(X54=0,"",IFERROR(SUMIFS(Performance!$Z$5:$Z$404,Performance!$J$5:$J$404,B54)/SUMIFS(Performance!$O$5:$O$404,Performance!$J$5:$J$404,B54),""))</f>
        <v>0</v>
      </c>
      <c r="AA54" s="29">
        <f>IF(B54="","",IF(COUNTIF('Caption Bank'!$B$5:$B$204,B54)&gt;1,"Duplicate","OK"))</f>
        <v>0</v>
      </c>
      <c r="AB54" s="29">
        <f>IF(B54="","",IF(R54="Rejected","Rewrite - not approved",IF(J54="","Add - caption not written yet",IF(R54&lt;&gt;"Approved","Check - waiting for approval",IF(X54=0,"Use - never used yet","OK")))))</f>
        <v>0</v>
      </c>
    </row>
    <row r="55" spans="1:28">
      <c r="A55" s="41">
        <f>IF(B55="","",CaptionPrefix&amp;TEXT(ROW()-4,"000"))</f>
        <v>0</v>
      </c>
      <c r="U55" s="23">
        <f>IF(J55="","",LEN(J55))</f>
        <v>0</v>
      </c>
      <c r="V55" s="23">
        <f>IF(C55="","",IF(C55="Instagram",2200,IF(C55="TikTok",2200,IF(C55="Pinterest",500,IF(C55="YouTube",5000,IF(C55="Facebook",63206,IF(C55="X (Twitter)",280,IF(C55="LinkedIn",3000,IF(C55="Threads",500,2200)))))))))</f>
        <v>0</v>
      </c>
      <c r="W55" s="29">
        <f>IF(OR(J55="",V55=""),"",IF(U55&gt;V55,"Too long - trim it",IF(U55&lt;40,"Check - very short","OK")))</f>
        <v>0</v>
      </c>
      <c r="X55" s="23">
        <f>IF(B55="","",COUNTIF('Content Calendar'!$P$5:$P$604,B55))</f>
        <v>0</v>
      </c>
      <c r="Y55" s="16">
        <f>IF(X55=0,"",IF(B55="","",SUMPRODUCT(MAX(('Content Calendar'!$P$5:$P$604=B55)*'Content Calendar'!$B$5:$B$604))))</f>
        <v>0</v>
      </c>
      <c r="Z55" s="24">
        <f>IF(X55=0,"",IFERROR(SUMIFS(Performance!$Z$5:$Z$404,Performance!$J$5:$J$404,B55)/SUMIFS(Performance!$O$5:$O$404,Performance!$J$5:$J$404,B55),""))</f>
        <v>0</v>
      </c>
      <c r="AA55" s="29">
        <f>IF(B55="","",IF(COUNTIF('Caption Bank'!$B$5:$B$204,B55)&gt;1,"Duplicate","OK"))</f>
        <v>0</v>
      </c>
      <c r="AB55" s="29">
        <f>IF(B55="","",IF(R55="Rejected","Rewrite - not approved",IF(J55="","Add - caption not written yet",IF(R55&lt;&gt;"Approved","Check - waiting for approval",IF(X55=0,"Use - never used yet","OK")))))</f>
        <v>0</v>
      </c>
    </row>
    <row r="56" spans="1:28">
      <c r="A56" s="41">
        <f>IF(B56="","",CaptionPrefix&amp;TEXT(ROW()-4,"000"))</f>
        <v>0</v>
      </c>
      <c r="U56" s="23">
        <f>IF(J56="","",LEN(J56))</f>
        <v>0</v>
      </c>
      <c r="V56" s="23">
        <f>IF(C56="","",IF(C56="Instagram",2200,IF(C56="TikTok",2200,IF(C56="Pinterest",500,IF(C56="YouTube",5000,IF(C56="Facebook",63206,IF(C56="X (Twitter)",280,IF(C56="LinkedIn",3000,IF(C56="Threads",500,2200)))))))))</f>
        <v>0</v>
      </c>
      <c r="W56" s="29">
        <f>IF(OR(J56="",V56=""),"",IF(U56&gt;V56,"Too long - trim it",IF(U56&lt;40,"Check - very short","OK")))</f>
        <v>0</v>
      </c>
      <c r="X56" s="23">
        <f>IF(B56="","",COUNTIF('Content Calendar'!$P$5:$P$604,B56))</f>
        <v>0</v>
      </c>
      <c r="Y56" s="16">
        <f>IF(X56=0,"",IF(B56="","",SUMPRODUCT(MAX(('Content Calendar'!$P$5:$P$604=B56)*'Content Calendar'!$B$5:$B$604))))</f>
        <v>0</v>
      </c>
      <c r="Z56" s="24">
        <f>IF(X56=0,"",IFERROR(SUMIFS(Performance!$Z$5:$Z$404,Performance!$J$5:$J$404,B56)/SUMIFS(Performance!$O$5:$O$404,Performance!$J$5:$J$404,B56),""))</f>
        <v>0</v>
      </c>
      <c r="AA56" s="29">
        <f>IF(B56="","",IF(COUNTIF('Caption Bank'!$B$5:$B$204,B56)&gt;1,"Duplicate","OK"))</f>
        <v>0</v>
      </c>
      <c r="AB56" s="29">
        <f>IF(B56="","",IF(R56="Rejected","Rewrite - not approved",IF(J56="","Add - caption not written yet",IF(R56&lt;&gt;"Approved","Check - waiting for approval",IF(X56=0,"Use - never used yet","OK")))))</f>
        <v>0</v>
      </c>
    </row>
    <row r="57" spans="1:28">
      <c r="A57" s="41">
        <f>IF(B57="","",CaptionPrefix&amp;TEXT(ROW()-4,"000"))</f>
        <v>0</v>
      </c>
      <c r="U57" s="23">
        <f>IF(J57="","",LEN(J57))</f>
        <v>0</v>
      </c>
      <c r="V57" s="23">
        <f>IF(C57="","",IF(C57="Instagram",2200,IF(C57="TikTok",2200,IF(C57="Pinterest",500,IF(C57="YouTube",5000,IF(C57="Facebook",63206,IF(C57="X (Twitter)",280,IF(C57="LinkedIn",3000,IF(C57="Threads",500,2200)))))))))</f>
        <v>0</v>
      </c>
      <c r="W57" s="29">
        <f>IF(OR(J57="",V57=""),"",IF(U57&gt;V57,"Too long - trim it",IF(U57&lt;40,"Check - very short","OK")))</f>
        <v>0</v>
      </c>
      <c r="X57" s="23">
        <f>IF(B57="","",COUNTIF('Content Calendar'!$P$5:$P$604,B57))</f>
        <v>0</v>
      </c>
      <c r="Y57" s="16">
        <f>IF(X57=0,"",IF(B57="","",SUMPRODUCT(MAX(('Content Calendar'!$P$5:$P$604=B57)*'Content Calendar'!$B$5:$B$604))))</f>
        <v>0</v>
      </c>
      <c r="Z57" s="24">
        <f>IF(X57=0,"",IFERROR(SUMIFS(Performance!$Z$5:$Z$404,Performance!$J$5:$J$404,B57)/SUMIFS(Performance!$O$5:$O$404,Performance!$J$5:$J$404,B57),""))</f>
        <v>0</v>
      </c>
      <c r="AA57" s="29">
        <f>IF(B57="","",IF(COUNTIF('Caption Bank'!$B$5:$B$204,B57)&gt;1,"Duplicate","OK"))</f>
        <v>0</v>
      </c>
      <c r="AB57" s="29">
        <f>IF(B57="","",IF(R57="Rejected","Rewrite - not approved",IF(J57="","Add - caption not written yet",IF(R57&lt;&gt;"Approved","Check - waiting for approval",IF(X57=0,"Use - never used yet","OK")))))</f>
        <v>0</v>
      </c>
    </row>
    <row r="58" spans="1:28">
      <c r="A58" s="41">
        <f>IF(B58="","",CaptionPrefix&amp;TEXT(ROW()-4,"000"))</f>
        <v>0</v>
      </c>
      <c r="U58" s="23">
        <f>IF(J58="","",LEN(J58))</f>
        <v>0</v>
      </c>
      <c r="V58" s="23">
        <f>IF(C58="","",IF(C58="Instagram",2200,IF(C58="TikTok",2200,IF(C58="Pinterest",500,IF(C58="YouTube",5000,IF(C58="Facebook",63206,IF(C58="X (Twitter)",280,IF(C58="LinkedIn",3000,IF(C58="Threads",500,2200)))))))))</f>
        <v>0</v>
      </c>
      <c r="W58" s="29">
        <f>IF(OR(J58="",V58=""),"",IF(U58&gt;V58,"Too long - trim it",IF(U58&lt;40,"Check - very short","OK")))</f>
        <v>0</v>
      </c>
      <c r="X58" s="23">
        <f>IF(B58="","",COUNTIF('Content Calendar'!$P$5:$P$604,B58))</f>
        <v>0</v>
      </c>
      <c r="Y58" s="16">
        <f>IF(X58=0,"",IF(B58="","",SUMPRODUCT(MAX(('Content Calendar'!$P$5:$P$604=B58)*'Content Calendar'!$B$5:$B$604))))</f>
        <v>0</v>
      </c>
      <c r="Z58" s="24">
        <f>IF(X58=0,"",IFERROR(SUMIFS(Performance!$Z$5:$Z$404,Performance!$J$5:$J$404,B58)/SUMIFS(Performance!$O$5:$O$404,Performance!$J$5:$J$404,B58),""))</f>
        <v>0</v>
      </c>
      <c r="AA58" s="29">
        <f>IF(B58="","",IF(COUNTIF('Caption Bank'!$B$5:$B$204,B58)&gt;1,"Duplicate","OK"))</f>
        <v>0</v>
      </c>
      <c r="AB58" s="29">
        <f>IF(B58="","",IF(R58="Rejected","Rewrite - not approved",IF(J58="","Add - caption not written yet",IF(R58&lt;&gt;"Approved","Check - waiting for approval",IF(X58=0,"Use - never used yet","OK")))))</f>
        <v>0</v>
      </c>
    </row>
    <row r="59" spans="1:28">
      <c r="A59" s="41">
        <f>IF(B59="","",CaptionPrefix&amp;TEXT(ROW()-4,"000"))</f>
        <v>0</v>
      </c>
      <c r="U59" s="23">
        <f>IF(J59="","",LEN(J59))</f>
        <v>0</v>
      </c>
      <c r="V59" s="23">
        <f>IF(C59="","",IF(C59="Instagram",2200,IF(C59="TikTok",2200,IF(C59="Pinterest",500,IF(C59="YouTube",5000,IF(C59="Facebook",63206,IF(C59="X (Twitter)",280,IF(C59="LinkedIn",3000,IF(C59="Threads",500,2200)))))))))</f>
        <v>0</v>
      </c>
      <c r="W59" s="29">
        <f>IF(OR(J59="",V59=""),"",IF(U59&gt;V59,"Too long - trim it",IF(U59&lt;40,"Check - very short","OK")))</f>
        <v>0</v>
      </c>
      <c r="X59" s="23">
        <f>IF(B59="","",COUNTIF('Content Calendar'!$P$5:$P$604,B59))</f>
        <v>0</v>
      </c>
      <c r="Y59" s="16">
        <f>IF(X59=0,"",IF(B59="","",SUMPRODUCT(MAX(('Content Calendar'!$P$5:$P$604=B59)*'Content Calendar'!$B$5:$B$604))))</f>
        <v>0</v>
      </c>
      <c r="Z59" s="24">
        <f>IF(X59=0,"",IFERROR(SUMIFS(Performance!$Z$5:$Z$404,Performance!$J$5:$J$404,B59)/SUMIFS(Performance!$O$5:$O$404,Performance!$J$5:$J$404,B59),""))</f>
        <v>0</v>
      </c>
      <c r="AA59" s="29">
        <f>IF(B59="","",IF(COUNTIF('Caption Bank'!$B$5:$B$204,B59)&gt;1,"Duplicate","OK"))</f>
        <v>0</v>
      </c>
      <c r="AB59" s="29">
        <f>IF(B59="","",IF(R59="Rejected","Rewrite - not approved",IF(J59="","Add - caption not written yet",IF(R59&lt;&gt;"Approved","Check - waiting for approval",IF(X59=0,"Use - never used yet","OK")))))</f>
        <v>0</v>
      </c>
    </row>
    <row r="60" spans="1:28">
      <c r="A60" s="41">
        <f>IF(B60="","",CaptionPrefix&amp;TEXT(ROW()-4,"000"))</f>
        <v>0</v>
      </c>
      <c r="U60" s="23">
        <f>IF(J60="","",LEN(J60))</f>
        <v>0</v>
      </c>
      <c r="V60" s="23">
        <f>IF(C60="","",IF(C60="Instagram",2200,IF(C60="TikTok",2200,IF(C60="Pinterest",500,IF(C60="YouTube",5000,IF(C60="Facebook",63206,IF(C60="X (Twitter)",280,IF(C60="LinkedIn",3000,IF(C60="Threads",500,2200)))))))))</f>
        <v>0</v>
      </c>
      <c r="W60" s="29">
        <f>IF(OR(J60="",V60=""),"",IF(U60&gt;V60,"Too long - trim it",IF(U60&lt;40,"Check - very short","OK")))</f>
        <v>0</v>
      </c>
      <c r="X60" s="23">
        <f>IF(B60="","",COUNTIF('Content Calendar'!$P$5:$P$604,B60))</f>
        <v>0</v>
      </c>
      <c r="Y60" s="16">
        <f>IF(X60=0,"",IF(B60="","",SUMPRODUCT(MAX(('Content Calendar'!$P$5:$P$604=B60)*'Content Calendar'!$B$5:$B$604))))</f>
        <v>0</v>
      </c>
      <c r="Z60" s="24">
        <f>IF(X60=0,"",IFERROR(SUMIFS(Performance!$Z$5:$Z$404,Performance!$J$5:$J$404,B60)/SUMIFS(Performance!$O$5:$O$404,Performance!$J$5:$J$404,B60),""))</f>
        <v>0</v>
      </c>
      <c r="AA60" s="29">
        <f>IF(B60="","",IF(COUNTIF('Caption Bank'!$B$5:$B$204,B60)&gt;1,"Duplicate","OK"))</f>
        <v>0</v>
      </c>
      <c r="AB60" s="29">
        <f>IF(B60="","",IF(R60="Rejected","Rewrite - not approved",IF(J60="","Add - caption not written yet",IF(R60&lt;&gt;"Approved","Check - waiting for approval",IF(X60=0,"Use - never used yet","OK")))))</f>
        <v>0</v>
      </c>
    </row>
    <row r="61" spans="1:28">
      <c r="A61" s="41">
        <f>IF(B61="","",CaptionPrefix&amp;TEXT(ROW()-4,"000"))</f>
        <v>0</v>
      </c>
      <c r="U61" s="23">
        <f>IF(J61="","",LEN(J61))</f>
        <v>0</v>
      </c>
      <c r="V61" s="23">
        <f>IF(C61="","",IF(C61="Instagram",2200,IF(C61="TikTok",2200,IF(C61="Pinterest",500,IF(C61="YouTube",5000,IF(C61="Facebook",63206,IF(C61="X (Twitter)",280,IF(C61="LinkedIn",3000,IF(C61="Threads",500,2200)))))))))</f>
        <v>0</v>
      </c>
      <c r="W61" s="29">
        <f>IF(OR(J61="",V61=""),"",IF(U61&gt;V61,"Too long - trim it",IF(U61&lt;40,"Check - very short","OK")))</f>
        <v>0</v>
      </c>
      <c r="X61" s="23">
        <f>IF(B61="","",COUNTIF('Content Calendar'!$P$5:$P$604,B61))</f>
        <v>0</v>
      </c>
      <c r="Y61" s="16">
        <f>IF(X61=0,"",IF(B61="","",SUMPRODUCT(MAX(('Content Calendar'!$P$5:$P$604=B61)*'Content Calendar'!$B$5:$B$604))))</f>
        <v>0</v>
      </c>
      <c r="Z61" s="24">
        <f>IF(X61=0,"",IFERROR(SUMIFS(Performance!$Z$5:$Z$404,Performance!$J$5:$J$404,B61)/SUMIFS(Performance!$O$5:$O$404,Performance!$J$5:$J$404,B61),""))</f>
        <v>0</v>
      </c>
      <c r="AA61" s="29">
        <f>IF(B61="","",IF(COUNTIF('Caption Bank'!$B$5:$B$204,B61)&gt;1,"Duplicate","OK"))</f>
        <v>0</v>
      </c>
      <c r="AB61" s="29">
        <f>IF(B61="","",IF(R61="Rejected","Rewrite - not approved",IF(J61="","Add - caption not written yet",IF(R61&lt;&gt;"Approved","Check - waiting for approval",IF(X61=0,"Use - never used yet","OK")))))</f>
        <v>0</v>
      </c>
    </row>
    <row r="62" spans="1:28">
      <c r="A62" s="41">
        <f>IF(B62="","",CaptionPrefix&amp;TEXT(ROW()-4,"000"))</f>
        <v>0</v>
      </c>
      <c r="U62" s="23">
        <f>IF(J62="","",LEN(J62))</f>
        <v>0</v>
      </c>
      <c r="V62" s="23">
        <f>IF(C62="","",IF(C62="Instagram",2200,IF(C62="TikTok",2200,IF(C62="Pinterest",500,IF(C62="YouTube",5000,IF(C62="Facebook",63206,IF(C62="X (Twitter)",280,IF(C62="LinkedIn",3000,IF(C62="Threads",500,2200)))))))))</f>
        <v>0</v>
      </c>
      <c r="W62" s="29">
        <f>IF(OR(J62="",V62=""),"",IF(U62&gt;V62,"Too long - trim it",IF(U62&lt;40,"Check - very short","OK")))</f>
        <v>0</v>
      </c>
      <c r="X62" s="23">
        <f>IF(B62="","",COUNTIF('Content Calendar'!$P$5:$P$604,B62))</f>
        <v>0</v>
      </c>
      <c r="Y62" s="16">
        <f>IF(X62=0,"",IF(B62="","",SUMPRODUCT(MAX(('Content Calendar'!$P$5:$P$604=B62)*'Content Calendar'!$B$5:$B$604))))</f>
        <v>0</v>
      </c>
      <c r="Z62" s="24">
        <f>IF(X62=0,"",IFERROR(SUMIFS(Performance!$Z$5:$Z$404,Performance!$J$5:$J$404,B62)/SUMIFS(Performance!$O$5:$O$404,Performance!$J$5:$J$404,B62),""))</f>
        <v>0</v>
      </c>
      <c r="AA62" s="29">
        <f>IF(B62="","",IF(COUNTIF('Caption Bank'!$B$5:$B$204,B62)&gt;1,"Duplicate","OK"))</f>
        <v>0</v>
      </c>
      <c r="AB62" s="29">
        <f>IF(B62="","",IF(R62="Rejected","Rewrite - not approved",IF(J62="","Add - caption not written yet",IF(R62&lt;&gt;"Approved","Check - waiting for approval",IF(X62=0,"Use - never used yet","OK")))))</f>
        <v>0</v>
      </c>
    </row>
    <row r="63" spans="1:28">
      <c r="A63" s="41">
        <f>IF(B63="","",CaptionPrefix&amp;TEXT(ROW()-4,"000"))</f>
        <v>0</v>
      </c>
      <c r="U63" s="23">
        <f>IF(J63="","",LEN(J63))</f>
        <v>0</v>
      </c>
      <c r="V63" s="23">
        <f>IF(C63="","",IF(C63="Instagram",2200,IF(C63="TikTok",2200,IF(C63="Pinterest",500,IF(C63="YouTube",5000,IF(C63="Facebook",63206,IF(C63="X (Twitter)",280,IF(C63="LinkedIn",3000,IF(C63="Threads",500,2200)))))))))</f>
        <v>0</v>
      </c>
      <c r="W63" s="29">
        <f>IF(OR(J63="",V63=""),"",IF(U63&gt;V63,"Too long - trim it",IF(U63&lt;40,"Check - very short","OK")))</f>
        <v>0</v>
      </c>
      <c r="X63" s="23">
        <f>IF(B63="","",COUNTIF('Content Calendar'!$P$5:$P$604,B63))</f>
        <v>0</v>
      </c>
      <c r="Y63" s="16">
        <f>IF(X63=0,"",IF(B63="","",SUMPRODUCT(MAX(('Content Calendar'!$P$5:$P$604=B63)*'Content Calendar'!$B$5:$B$604))))</f>
        <v>0</v>
      </c>
      <c r="Z63" s="24">
        <f>IF(X63=0,"",IFERROR(SUMIFS(Performance!$Z$5:$Z$404,Performance!$J$5:$J$404,B63)/SUMIFS(Performance!$O$5:$O$404,Performance!$J$5:$J$404,B63),""))</f>
        <v>0</v>
      </c>
      <c r="AA63" s="29">
        <f>IF(B63="","",IF(COUNTIF('Caption Bank'!$B$5:$B$204,B63)&gt;1,"Duplicate","OK"))</f>
        <v>0</v>
      </c>
      <c r="AB63" s="29">
        <f>IF(B63="","",IF(R63="Rejected","Rewrite - not approved",IF(J63="","Add - caption not written yet",IF(R63&lt;&gt;"Approved","Check - waiting for approval",IF(X63=0,"Use - never used yet","OK")))))</f>
        <v>0</v>
      </c>
    </row>
    <row r="64" spans="1:28">
      <c r="A64" s="41">
        <f>IF(B64="","",CaptionPrefix&amp;TEXT(ROW()-4,"000"))</f>
        <v>0</v>
      </c>
      <c r="U64" s="23">
        <f>IF(J64="","",LEN(J64))</f>
        <v>0</v>
      </c>
      <c r="V64" s="23">
        <f>IF(C64="","",IF(C64="Instagram",2200,IF(C64="TikTok",2200,IF(C64="Pinterest",500,IF(C64="YouTube",5000,IF(C64="Facebook",63206,IF(C64="X (Twitter)",280,IF(C64="LinkedIn",3000,IF(C64="Threads",500,2200)))))))))</f>
        <v>0</v>
      </c>
      <c r="W64" s="29">
        <f>IF(OR(J64="",V64=""),"",IF(U64&gt;V64,"Too long - trim it",IF(U64&lt;40,"Check - very short","OK")))</f>
        <v>0</v>
      </c>
      <c r="X64" s="23">
        <f>IF(B64="","",COUNTIF('Content Calendar'!$P$5:$P$604,B64))</f>
        <v>0</v>
      </c>
      <c r="Y64" s="16">
        <f>IF(X64=0,"",IF(B64="","",SUMPRODUCT(MAX(('Content Calendar'!$P$5:$P$604=B64)*'Content Calendar'!$B$5:$B$604))))</f>
        <v>0</v>
      </c>
      <c r="Z64" s="24">
        <f>IF(X64=0,"",IFERROR(SUMIFS(Performance!$Z$5:$Z$404,Performance!$J$5:$J$404,B64)/SUMIFS(Performance!$O$5:$O$404,Performance!$J$5:$J$404,B64),""))</f>
        <v>0</v>
      </c>
      <c r="AA64" s="29">
        <f>IF(B64="","",IF(COUNTIF('Caption Bank'!$B$5:$B$204,B64)&gt;1,"Duplicate","OK"))</f>
        <v>0</v>
      </c>
      <c r="AB64" s="29">
        <f>IF(B64="","",IF(R64="Rejected","Rewrite - not approved",IF(J64="","Add - caption not written yet",IF(R64&lt;&gt;"Approved","Check - waiting for approval",IF(X64=0,"Use - never used yet","OK")))))</f>
        <v>0</v>
      </c>
    </row>
    <row r="65" spans="1:28">
      <c r="A65" s="41">
        <f>IF(B65="","",CaptionPrefix&amp;TEXT(ROW()-4,"000"))</f>
        <v>0</v>
      </c>
      <c r="U65" s="23">
        <f>IF(J65="","",LEN(J65))</f>
        <v>0</v>
      </c>
      <c r="V65" s="23">
        <f>IF(C65="","",IF(C65="Instagram",2200,IF(C65="TikTok",2200,IF(C65="Pinterest",500,IF(C65="YouTube",5000,IF(C65="Facebook",63206,IF(C65="X (Twitter)",280,IF(C65="LinkedIn",3000,IF(C65="Threads",500,2200)))))))))</f>
        <v>0</v>
      </c>
      <c r="W65" s="29">
        <f>IF(OR(J65="",V65=""),"",IF(U65&gt;V65,"Too long - trim it",IF(U65&lt;40,"Check - very short","OK")))</f>
        <v>0</v>
      </c>
      <c r="X65" s="23">
        <f>IF(B65="","",COUNTIF('Content Calendar'!$P$5:$P$604,B65))</f>
        <v>0</v>
      </c>
      <c r="Y65" s="16">
        <f>IF(X65=0,"",IF(B65="","",SUMPRODUCT(MAX(('Content Calendar'!$P$5:$P$604=B65)*'Content Calendar'!$B$5:$B$604))))</f>
        <v>0</v>
      </c>
      <c r="Z65" s="24">
        <f>IF(X65=0,"",IFERROR(SUMIFS(Performance!$Z$5:$Z$404,Performance!$J$5:$J$404,B65)/SUMIFS(Performance!$O$5:$O$404,Performance!$J$5:$J$404,B65),""))</f>
        <v>0</v>
      </c>
      <c r="AA65" s="29">
        <f>IF(B65="","",IF(COUNTIF('Caption Bank'!$B$5:$B$204,B65)&gt;1,"Duplicate","OK"))</f>
        <v>0</v>
      </c>
      <c r="AB65" s="29">
        <f>IF(B65="","",IF(R65="Rejected","Rewrite - not approved",IF(J65="","Add - caption not written yet",IF(R65&lt;&gt;"Approved","Check - waiting for approval",IF(X65=0,"Use - never used yet","OK")))))</f>
        <v>0</v>
      </c>
    </row>
    <row r="66" spans="1:28">
      <c r="A66" s="41">
        <f>IF(B66="","",CaptionPrefix&amp;TEXT(ROW()-4,"000"))</f>
        <v>0</v>
      </c>
      <c r="U66" s="23">
        <f>IF(J66="","",LEN(J66))</f>
        <v>0</v>
      </c>
      <c r="V66" s="23">
        <f>IF(C66="","",IF(C66="Instagram",2200,IF(C66="TikTok",2200,IF(C66="Pinterest",500,IF(C66="YouTube",5000,IF(C66="Facebook",63206,IF(C66="X (Twitter)",280,IF(C66="LinkedIn",3000,IF(C66="Threads",500,2200)))))))))</f>
        <v>0</v>
      </c>
      <c r="W66" s="29">
        <f>IF(OR(J66="",V66=""),"",IF(U66&gt;V66,"Too long - trim it",IF(U66&lt;40,"Check - very short","OK")))</f>
        <v>0</v>
      </c>
      <c r="X66" s="23">
        <f>IF(B66="","",COUNTIF('Content Calendar'!$P$5:$P$604,B66))</f>
        <v>0</v>
      </c>
      <c r="Y66" s="16">
        <f>IF(X66=0,"",IF(B66="","",SUMPRODUCT(MAX(('Content Calendar'!$P$5:$P$604=B66)*'Content Calendar'!$B$5:$B$604))))</f>
        <v>0</v>
      </c>
      <c r="Z66" s="24">
        <f>IF(X66=0,"",IFERROR(SUMIFS(Performance!$Z$5:$Z$404,Performance!$J$5:$J$404,B66)/SUMIFS(Performance!$O$5:$O$404,Performance!$J$5:$J$404,B66),""))</f>
        <v>0</v>
      </c>
      <c r="AA66" s="29">
        <f>IF(B66="","",IF(COUNTIF('Caption Bank'!$B$5:$B$204,B66)&gt;1,"Duplicate","OK"))</f>
        <v>0</v>
      </c>
      <c r="AB66" s="29">
        <f>IF(B66="","",IF(R66="Rejected","Rewrite - not approved",IF(J66="","Add - caption not written yet",IF(R66&lt;&gt;"Approved","Check - waiting for approval",IF(X66=0,"Use - never used yet","OK")))))</f>
        <v>0</v>
      </c>
    </row>
    <row r="67" spans="1:28">
      <c r="A67" s="41">
        <f>IF(B67="","",CaptionPrefix&amp;TEXT(ROW()-4,"000"))</f>
        <v>0</v>
      </c>
      <c r="U67" s="23">
        <f>IF(J67="","",LEN(J67))</f>
        <v>0</v>
      </c>
      <c r="V67" s="23">
        <f>IF(C67="","",IF(C67="Instagram",2200,IF(C67="TikTok",2200,IF(C67="Pinterest",500,IF(C67="YouTube",5000,IF(C67="Facebook",63206,IF(C67="X (Twitter)",280,IF(C67="LinkedIn",3000,IF(C67="Threads",500,2200)))))))))</f>
        <v>0</v>
      </c>
      <c r="W67" s="29">
        <f>IF(OR(J67="",V67=""),"",IF(U67&gt;V67,"Too long - trim it",IF(U67&lt;40,"Check - very short","OK")))</f>
        <v>0</v>
      </c>
      <c r="X67" s="23">
        <f>IF(B67="","",COUNTIF('Content Calendar'!$P$5:$P$604,B67))</f>
        <v>0</v>
      </c>
      <c r="Y67" s="16">
        <f>IF(X67=0,"",IF(B67="","",SUMPRODUCT(MAX(('Content Calendar'!$P$5:$P$604=B67)*'Content Calendar'!$B$5:$B$604))))</f>
        <v>0</v>
      </c>
      <c r="Z67" s="24">
        <f>IF(X67=0,"",IFERROR(SUMIFS(Performance!$Z$5:$Z$404,Performance!$J$5:$J$404,B67)/SUMIFS(Performance!$O$5:$O$404,Performance!$J$5:$J$404,B67),""))</f>
        <v>0</v>
      </c>
      <c r="AA67" s="29">
        <f>IF(B67="","",IF(COUNTIF('Caption Bank'!$B$5:$B$204,B67)&gt;1,"Duplicate","OK"))</f>
        <v>0</v>
      </c>
      <c r="AB67" s="29">
        <f>IF(B67="","",IF(R67="Rejected","Rewrite - not approved",IF(J67="","Add - caption not written yet",IF(R67&lt;&gt;"Approved","Check - waiting for approval",IF(X67=0,"Use - never used yet","OK")))))</f>
        <v>0</v>
      </c>
    </row>
    <row r="68" spans="1:28">
      <c r="A68" s="41">
        <f>IF(B68="","",CaptionPrefix&amp;TEXT(ROW()-4,"000"))</f>
        <v>0</v>
      </c>
      <c r="U68" s="23">
        <f>IF(J68="","",LEN(J68))</f>
        <v>0</v>
      </c>
      <c r="V68" s="23">
        <f>IF(C68="","",IF(C68="Instagram",2200,IF(C68="TikTok",2200,IF(C68="Pinterest",500,IF(C68="YouTube",5000,IF(C68="Facebook",63206,IF(C68="X (Twitter)",280,IF(C68="LinkedIn",3000,IF(C68="Threads",500,2200)))))))))</f>
        <v>0</v>
      </c>
      <c r="W68" s="29">
        <f>IF(OR(J68="",V68=""),"",IF(U68&gt;V68,"Too long - trim it",IF(U68&lt;40,"Check - very short","OK")))</f>
        <v>0</v>
      </c>
      <c r="X68" s="23">
        <f>IF(B68="","",COUNTIF('Content Calendar'!$P$5:$P$604,B68))</f>
        <v>0</v>
      </c>
      <c r="Y68" s="16">
        <f>IF(X68=0,"",IF(B68="","",SUMPRODUCT(MAX(('Content Calendar'!$P$5:$P$604=B68)*'Content Calendar'!$B$5:$B$604))))</f>
        <v>0</v>
      </c>
      <c r="Z68" s="24">
        <f>IF(X68=0,"",IFERROR(SUMIFS(Performance!$Z$5:$Z$404,Performance!$J$5:$J$404,B68)/SUMIFS(Performance!$O$5:$O$404,Performance!$J$5:$J$404,B68),""))</f>
        <v>0</v>
      </c>
      <c r="AA68" s="29">
        <f>IF(B68="","",IF(COUNTIF('Caption Bank'!$B$5:$B$204,B68)&gt;1,"Duplicate","OK"))</f>
        <v>0</v>
      </c>
      <c r="AB68" s="29">
        <f>IF(B68="","",IF(R68="Rejected","Rewrite - not approved",IF(J68="","Add - caption not written yet",IF(R68&lt;&gt;"Approved","Check - waiting for approval",IF(X68=0,"Use - never used yet","OK")))))</f>
        <v>0</v>
      </c>
    </row>
    <row r="69" spans="1:28">
      <c r="A69" s="41">
        <f>IF(B69="","",CaptionPrefix&amp;TEXT(ROW()-4,"000"))</f>
        <v>0</v>
      </c>
      <c r="U69" s="23">
        <f>IF(J69="","",LEN(J69))</f>
        <v>0</v>
      </c>
      <c r="V69" s="23">
        <f>IF(C69="","",IF(C69="Instagram",2200,IF(C69="TikTok",2200,IF(C69="Pinterest",500,IF(C69="YouTube",5000,IF(C69="Facebook",63206,IF(C69="X (Twitter)",280,IF(C69="LinkedIn",3000,IF(C69="Threads",500,2200)))))))))</f>
        <v>0</v>
      </c>
      <c r="W69" s="29">
        <f>IF(OR(J69="",V69=""),"",IF(U69&gt;V69,"Too long - trim it",IF(U69&lt;40,"Check - very short","OK")))</f>
        <v>0</v>
      </c>
      <c r="X69" s="23">
        <f>IF(B69="","",COUNTIF('Content Calendar'!$P$5:$P$604,B69))</f>
        <v>0</v>
      </c>
      <c r="Y69" s="16">
        <f>IF(X69=0,"",IF(B69="","",SUMPRODUCT(MAX(('Content Calendar'!$P$5:$P$604=B69)*'Content Calendar'!$B$5:$B$604))))</f>
        <v>0</v>
      </c>
      <c r="Z69" s="24">
        <f>IF(X69=0,"",IFERROR(SUMIFS(Performance!$Z$5:$Z$404,Performance!$J$5:$J$404,B69)/SUMIFS(Performance!$O$5:$O$404,Performance!$J$5:$J$404,B69),""))</f>
        <v>0</v>
      </c>
      <c r="AA69" s="29">
        <f>IF(B69="","",IF(COUNTIF('Caption Bank'!$B$5:$B$204,B69)&gt;1,"Duplicate","OK"))</f>
        <v>0</v>
      </c>
      <c r="AB69" s="29">
        <f>IF(B69="","",IF(R69="Rejected","Rewrite - not approved",IF(J69="","Add - caption not written yet",IF(R69&lt;&gt;"Approved","Check - waiting for approval",IF(X69=0,"Use - never used yet","OK")))))</f>
        <v>0</v>
      </c>
    </row>
    <row r="70" spans="1:28">
      <c r="A70" s="41">
        <f>IF(B70="","",CaptionPrefix&amp;TEXT(ROW()-4,"000"))</f>
        <v>0</v>
      </c>
      <c r="U70" s="23">
        <f>IF(J70="","",LEN(J70))</f>
        <v>0</v>
      </c>
      <c r="V70" s="23">
        <f>IF(C70="","",IF(C70="Instagram",2200,IF(C70="TikTok",2200,IF(C70="Pinterest",500,IF(C70="YouTube",5000,IF(C70="Facebook",63206,IF(C70="X (Twitter)",280,IF(C70="LinkedIn",3000,IF(C70="Threads",500,2200)))))))))</f>
        <v>0</v>
      </c>
      <c r="W70" s="29">
        <f>IF(OR(J70="",V70=""),"",IF(U70&gt;V70,"Too long - trim it",IF(U70&lt;40,"Check - very short","OK")))</f>
        <v>0</v>
      </c>
      <c r="X70" s="23">
        <f>IF(B70="","",COUNTIF('Content Calendar'!$P$5:$P$604,B70))</f>
        <v>0</v>
      </c>
      <c r="Y70" s="16">
        <f>IF(X70=0,"",IF(B70="","",SUMPRODUCT(MAX(('Content Calendar'!$P$5:$P$604=B70)*'Content Calendar'!$B$5:$B$604))))</f>
        <v>0</v>
      </c>
      <c r="Z70" s="24">
        <f>IF(X70=0,"",IFERROR(SUMIFS(Performance!$Z$5:$Z$404,Performance!$J$5:$J$404,B70)/SUMIFS(Performance!$O$5:$O$404,Performance!$J$5:$J$404,B70),""))</f>
        <v>0</v>
      </c>
      <c r="AA70" s="29">
        <f>IF(B70="","",IF(COUNTIF('Caption Bank'!$B$5:$B$204,B70)&gt;1,"Duplicate","OK"))</f>
        <v>0</v>
      </c>
      <c r="AB70" s="29">
        <f>IF(B70="","",IF(R70="Rejected","Rewrite - not approved",IF(J70="","Add - caption not written yet",IF(R70&lt;&gt;"Approved","Check - waiting for approval",IF(X70=0,"Use - never used yet","OK")))))</f>
        <v>0</v>
      </c>
    </row>
    <row r="71" spans="1:28">
      <c r="A71" s="41">
        <f>IF(B71="","",CaptionPrefix&amp;TEXT(ROW()-4,"000"))</f>
        <v>0</v>
      </c>
      <c r="U71" s="23">
        <f>IF(J71="","",LEN(J71))</f>
        <v>0</v>
      </c>
      <c r="V71" s="23">
        <f>IF(C71="","",IF(C71="Instagram",2200,IF(C71="TikTok",2200,IF(C71="Pinterest",500,IF(C71="YouTube",5000,IF(C71="Facebook",63206,IF(C71="X (Twitter)",280,IF(C71="LinkedIn",3000,IF(C71="Threads",500,2200)))))))))</f>
        <v>0</v>
      </c>
      <c r="W71" s="29">
        <f>IF(OR(J71="",V71=""),"",IF(U71&gt;V71,"Too long - trim it",IF(U71&lt;40,"Check - very short","OK")))</f>
        <v>0</v>
      </c>
      <c r="X71" s="23">
        <f>IF(B71="","",COUNTIF('Content Calendar'!$P$5:$P$604,B71))</f>
        <v>0</v>
      </c>
      <c r="Y71" s="16">
        <f>IF(X71=0,"",IF(B71="","",SUMPRODUCT(MAX(('Content Calendar'!$P$5:$P$604=B71)*'Content Calendar'!$B$5:$B$604))))</f>
        <v>0</v>
      </c>
      <c r="Z71" s="24">
        <f>IF(X71=0,"",IFERROR(SUMIFS(Performance!$Z$5:$Z$404,Performance!$J$5:$J$404,B71)/SUMIFS(Performance!$O$5:$O$404,Performance!$J$5:$J$404,B71),""))</f>
        <v>0</v>
      </c>
      <c r="AA71" s="29">
        <f>IF(B71="","",IF(COUNTIF('Caption Bank'!$B$5:$B$204,B71)&gt;1,"Duplicate","OK"))</f>
        <v>0</v>
      </c>
      <c r="AB71" s="29">
        <f>IF(B71="","",IF(R71="Rejected","Rewrite - not approved",IF(J71="","Add - caption not written yet",IF(R71&lt;&gt;"Approved","Check - waiting for approval",IF(X71=0,"Use - never used yet","OK")))))</f>
        <v>0</v>
      </c>
    </row>
    <row r="72" spans="1:28">
      <c r="A72" s="41">
        <f>IF(B72="","",CaptionPrefix&amp;TEXT(ROW()-4,"000"))</f>
        <v>0</v>
      </c>
      <c r="U72" s="23">
        <f>IF(J72="","",LEN(J72))</f>
        <v>0</v>
      </c>
      <c r="V72" s="23">
        <f>IF(C72="","",IF(C72="Instagram",2200,IF(C72="TikTok",2200,IF(C72="Pinterest",500,IF(C72="YouTube",5000,IF(C72="Facebook",63206,IF(C72="X (Twitter)",280,IF(C72="LinkedIn",3000,IF(C72="Threads",500,2200)))))))))</f>
        <v>0</v>
      </c>
      <c r="W72" s="29">
        <f>IF(OR(J72="",V72=""),"",IF(U72&gt;V72,"Too long - trim it",IF(U72&lt;40,"Check - very short","OK")))</f>
        <v>0</v>
      </c>
      <c r="X72" s="23">
        <f>IF(B72="","",COUNTIF('Content Calendar'!$P$5:$P$604,B72))</f>
        <v>0</v>
      </c>
      <c r="Y72" s="16">
        <f>IF(X72=0,"",IF(B72="","",SUMPRODUCT(MAX(('Content Calendar'!$P$5:$P$604=B72)*'Content Calendar'!$B$5:$B$604))))</f>
        <v>0</v>
      </c>
      <c r="Z72" s="24">
        <f>IF(X72=0,"",IFERROR(SUMIFS(Performance!$Z$5:$Z$404,Performance!$J$5:$J$404,B72)/SUMIFS(Performance!$O$5:$O$404,Performance!$J$5:$J$404,B72),""))</f>
        <v>0</v>
      </c>
      <c r="AA72" s="29">
        <f>IF(B72="","",IF(COUNTIF('Caption Bank'!$B$5:$B$204,B72)&gt;1,"Duplicate","OK"))</f>
        <v>0</v>
      </c>
      <c r="AB72" s="29">
        <f>IF(B72="","",IF(R72="Rejected","Rewrite - not approved",IF(J72="","Add - caption not written yet",IF(R72&lt;&gt;"Approved","Check - waiting for approval",IF(X72=0,"Use - never used yet","OK")))))</f>
        <v>0</v>
      </c>
    </row>
    <row r="73" spans="1:28">
      <c r="A73" s="41">
        <f>IF(B73="","",CaptionPrefix&amp;TEXT(ROW()-4,"000"))</f>
        <v>0</v>
      </c>
      <c r="U73" s="23">
        <f>IF(J73="","",LEN(J73))</f>
        <v>0</v>
      </c>
      <c r="V73" s="23">
        <f>IF(C73="","",IF(C73="Instagram",2200,IF(C73="TikTok",2200,IF(C73="Pinterest",500,IF(C73="YouTube",5000,IF(C73="Facebook",63206,IF(C73="X (Twitter)",280,IF(C73="LinkedIn",3000,IF(C73="Threads",500,2200)))))))))</f>
        <v>0</v>
      </c>
      <c r="W73" s="29">
        <f>IF(OR(J73="",V73=""),"",IF(U73&gt;V73,"Too long - trim it",IF(U73&lt;40,"Check - very short","OK")))</f>
        <v>0</v>
      </c>
      <c r="X73" s="23">
        <f>IF(B73="","",COUNTIF('Content Calendar'!$P$5:$P$604,B73))</f>
        <v>0</v>
      </c>
      <c r="Y73" s="16">
        <f>IF(X73=0,"",IF(B73="","",SUMPRODUCT(MAX(('Content Calendar'!$P$5:$P$604=B73)*'Content Calendar'!$B$5:$B$604))))</f>
        <v>0</v>
      </c>
      <c r="Z73" s="24">
        <f>IF(X73=0,"",IFERROR(SUMIFS(Performance!$Z$5:$Z$404,Performance!$J$5:$J$404,B73)/SUMIFS(Performance!$O$5:$O$404,Performance!$J$5:$J$404,B73),""))</f>
        <v>0</v>
      </c>
      <c r="AA73" s="29">
        <f>IF(B73="","",IF(COUNTIF('Caption Bank'!$B$5:$B$204,B73)&gt;1,"Duplicate","OK"))</f>
        <v>0</v>
      </c>
      <c r="AB73" s="29">
        <f>IF(B73="","",IF(R73="Rejected","Rewrite - not approved",IF(J73="","Add - caption not written yet",IF(R73&lt;&gt;"Approved","Check - waiting for approval",IF(X73=0,"Use - never used yet","OK")))))</f>
        <v>0</v>
      </c>
    </row>
    <row r="74" spans="1:28">
      <c r="A74" s="41">
        <f>IF(B74="","",CaptionPrefix&amp;TEXT(ROW()-4,"000"))</f>
        <v>0</v>
      </c>
      <c r="U74" s="23">
        <f>IF(J74="","",LEN(J74))</f>
        <v>0</v>
      </c>
      <c r="V74" s="23">
        <f>IF(C74="","",IF(C74="Instagram",2200,IF(C74="TikTok",2200,IF(C74="Pinterest",500,IF(C74="YouTube",5000,IF(C74="Facebook",63206,IF(C74="X (Twitter)",280,IF(C74="LinkedIn",3000,IF(C74="Threads",500,2200)))))))))</f>
        <v>0</v>
      </c>
      <c r="W74" s="29">
        <f>IF(OR(J74="",V74=""),"",IF(U74&gt;V74,"Too long - trim it",IF(U74&lt;40,"Check - very short","OK")))</f>
        <v>0</v>
      </c>
      <c r="X74" s="23">
        <f>IF(B74="","",COUNTIF('Content Calendar'!$P$5:$P$604,B74))</f>
        <v>0</v>
      </c>
      <c r="Y74" s="16">
        <f>IF(X74=0,"",IF(B74="","",SUMPRODUCT(MAX(('Content Calendar'!$P$5:$P$604=B74)*'Content Calendar'!$B$5:$B$604))))</f>
        <v>0</v>
      </c>
      <c r="Z74" s="24">
        <f>IF(X74=0,"",IFERROR(SUMIFS(Performance!$Z$5:$Z$404,Performance!$J$5:$J$404,B74)/SUMIFS(Performance!$O$5:$O$404,Performance!$J$5:$J$404,B74),""))</f>
        <v>0</v>
      </c>
      <c r="AA74" s="29">
        <f>IF(B74="","",IF(COUNTIF('Caption Bank'!$B$5:$B$204,B74)&gt;1,"Duplicate","OK"))</f>
        <v>0</v>
      </c>
      <c r="AB74" s="29">
        <f>IF(B74="","",IF(R74="Rejected","Rewrite - not approved",IF(J74="","Add - caption not written yet",IF(R74&lt;&gt;"Approved","Check - waiting for approval",IF(X74=0,"Use - never used yet","OK")))))</f>
        <v>0</v>
      </c>
    </row>
    <row r="75" spans="1:28">
      <c r="A75" s="41">
        <f>IF(B75="","",CaptionPrefix&amp;TEXT(ROW()-4,"000"))</f>
        <v>0</v>
      </c>
      <c r="U75" s="23">
        <f>IF(J75="","",LEN(J75))</f>
        <v>0</v>
      </c>
      <c r="V75" s="23">
        <f>IF(C75="","",IF(C75="Instagram",2200,IF(C75="TikTok",2200,IF(C75="Pinterest",500,IF(C75="YouTube",5000,IF(C75="Facebook",63206,IF(C75="X (Twitter)",280,IF(C75="LinkedIn",3000,IF(C75="Threads",500,2200)))))))))</f>
        <v>0</v>
      </c>
      <c r="W75" s="29">
        <f>IF(OR(J75="",V75=""),"",IF(U75&gt;V75,"Too long - trim it",IF(U75&lt;40,"Check - very short","OK")))</f>
        <v>0</v>
      </c>
      <c r="X75" s="23">
        <f>IF(B75="","",COUNTIF('Content Calendar'!$P$5:$P$604,B75))</f>
        <v>0</v>
      </c>
      <c r="Y75" s="16">
        <f>IF(X75=0,"",IF(B75="","",SUMPRODUCT(MAX(('Content Calendar'!$P$5:$P$604=B75)*'Content Calendar'!$B$5:$B$604))))</f>
        <v>0</v>
      </c>
      <c r="Z75" s="24">
        <f>IF(X75=0,"",IFERROR(SUMIFS(Performance!$Z$5:$Z$404,Performance!$J$5:$J$404,B75)/SUMIFS(Performance!$O$5:$O$404,Performance!$J$5:$J$404,B75),""))</f>
        <v>0</v>
      </c>
      <c r="AA75" s="29">
        <f>IF(B75="","",IF(COUNTIF('Caption Bank'!$B$5:$B$204,B75)&gt;1,"Duplicate","OK"))</f>
        <v>0</v>
      </c>
      <c r="AB75" s="29">
        <f>IF(B75="","",IF(R75="Rejected","Rewrite - not approved",IF(J75="","Add - caption not written yet",IF(R75&lt;&gt;"Approved","Check - waiting for approval",IF(X75=0,"Use - never used yet","OK")))))</f>
        <v>0</v>
      </c>
    </row>
    <row r="76" spans="1:28">
      <c r="A76" s="41">
        <f>IF(B76="","",CaptionPrefix&amp;TEXT(ROW()-4,"000"))</f>
        <v>0</v>
      </c>
      <c r="U76" s="23">
        <f>IF(J76="","",LEN(J76))</f>
        <v>0</v>
      </c>
      <c r="V76" s="23">
        <f>IF(C76="","",IF(C76="Instagram",2200,IF(C76="TikTok",2200,IF(C76="Pinterest",500,IF(C76="YouTube",5000,IF(C76="Facebook",63206,IF(C76="X (Twitter)",280,IF(C76="LinkedIn",3000,IF(C76="Threads",500,2200)))))))))</f>
        <v>0</v>
      </c>
      <c r="W76" s="29">
        <f>IF(OR(J76="",V76=""),"",IF(U76&gt;V76,"Too long - trim it",IF(U76&lt;40,"Check - very short","OK")))</f>
        <v>0</v>
      </c>
      <c r="X76" s="23">
        <f>IF(B76="","",COUNTIF('Content Calendar'!$P$5:$P$604,B76))</f>
        <v>0</v>
      </c>
      <c r="Y76" s="16">
        <f>IF(X76=0,"",IF(B76="","",SUMPRODUCT(MAX(('Content Calendar'!$P$5:$P$604=B76)*'Content Calendar'!$B$5:$B$604))))</f>
        <v>0</v>
      </c>
      <c r="Z76" s="24">
        <f>IF(X76=0,"",IFERROR(SUMIFS(Performance!$Z$5:$Z$404,Performance!$J$5:$J$404,B76)/SUMIFS(Performance!$O$5:$O$404,Performance!$J$5:$J$404,B76),""))</f>
        <v>0</v>
      </c>
      <c r="AA76" s="29">
        <f>IF(B76="","",IF(COUNTIF('Caption Bank'!$B$5:$B$204,B76)&gt;1,"Duplicate","OK"))</f>
        <v>0</v>
      </c>
      <c r="AB76" s="29">
        <f>IF(B76="","",IF(R76="Rejected","Rewrite - not approved",IF(J76="","Add - caption not written yet",IF(R76&lt;&gt;"Approved","Check - waiting for approval",IF(X76=0,"Use - never used yet","OK")))))</f>
        <v>0</v>
      </c>
    </row>
    <row r="77" spans="1:28">
      <c r="A77" s="41">
        <f>IF(B77="","",CaptionPrefix&amp;TEXT(ROW()-4,"000"))</f>
        <v>0</v>
      </c>
      <c r="U77" s="23">
        <f>IF(J77="","",LEN(J77))</f>
        <v>0</v>
      </c>
      <c r="V77" s="23">
        <f>IF(C77="","",IF(C77="Instagram",2200,IF(C77="TikTok",2200,IF(C77="Pinterest",500,IF(C77="YouTube",5000,IF(C77="Facebook",63206,IF(C77="X (Twitter)",280,IF(C77="LinkedIn",3000,IF(C77="Threads",500,2200)))))))))</f>
        <v>0</v>
      </c>
      <c r="W77" s="29">
        <f>IF(OR(J77="",V77=""),"",IF(U77&gt;V77,"Too long - trim it",IF(U77&lt;40,"Check - very short","OK")))</f>
        <v>0</v>
      </c>
      <c r="X77" s="23">
        <f>IF(B77="","",COUNTIF('Content Calendar'!$P$5:$P$604,B77))</f>
        <v>0</v>
      </c>
      <c r="Y77" s="16">
        <f>IF(X77=0,"",IF(B77="","",SUMPRODUCT(MAX(('Content Calendar'!$P$5:$P$604=B77)*'Content Calendar'!$B$5:$B$604))))</f>
        <v>0</v>
      </c>
      <c r="Z77" s="24">
        <f>IF(X77=0,"",IFERROR(SUMIFS(Performance!$Z$5:$Z$404,Performance!$J$5:$J$404,B77)/SUMIFS(Performance!$O$5:$O$404,Performance!$J$5:$J$404,B77),""))</f>
        <v>0</v>
      </c>
      <c r="AA77" s="29">
        <f>IF(B77="","",IF(COUNTIF('Caption Bank'!$B$5:$B$204,B77)&gt;1,"Duplicate","OK"))</f>
        <v>0</v>
      </c>
      <c r="AB77" s="29">
        <f>IF(B77="","",IF(R77="Rejected","Rewrite - not approved",IF(J77="","Add - caption not written yet",IF(R77&lt;&gt;"Approved","Check - waiting for approval",IF(X77=0,"Use - never used yet","OK")))))</f>
        <v>0</v>
      </c>
    </row>
    <row r="78" spans="1:28">
      <c r="A78" s="41">
        <f>IF(B78="","",CaptionPrefix&amp;TEXT(ROW()-4,"000"))</f>
        <v>0</v>
      </c>
      <c r="U78" s="23">
        <f>IF(J78="","",LEN(J78))</f>
        <v>0</v>
      </c>
      <c r="V78" s="23">
        <f>IF(C78="","",IF(C78="Instagram",2200,IF(C78="TikTok",2200,IF(C78="Pinterest",500,IF(C78="YouTube",5000,IF(C78="Facebook",63206,IF(C78="X (Twitter)",280,IF(C78="LinkedIn",3000,IF(C78="Threads",500,2200)))))))))</f>
        <v>0</v>
      </c>
      <c r="W78" s="29">
        <f>IF(OR(J78="",V78=""),"",IF(U78&gt;V78,"Too long - trim it",IF(U78&lt;40,"Check - very short","OK")))</f>
        <v>0</v>
      </c>
      <c r="X78" s="23">
        <f>IF(B78="","",COUNTIF('Content Calendar'!$P$5:$P$604,B78))</f>
        <v>0</v>
      </c>
      <c r="Y78" s="16">
        <f>IF(X78=0,"",IF(B78="","",SUMPRODUCT(MAX(('Content Calendar'!$P$5:$P$604=B78)*'Content Calendar'!$B$5:$B$604))))</f>
        <v>0</v>
      </c>
      <c r="Z78" s="24">
        <f>IF(X78=0,"",IFERROR(SUMIFS(Performance!$Z$5:$Z$404,Performance!$J$5:$J$404,B78)/SUMIFS(Performance!$O$5:$O$404,Performance!$J$5:$J$404,B78),""))</f>
        <v>0</v>
      </c>
      <c r="AA78" s="29">
        <f>IF(B78="","",IF(COUNTIF('Caption Bank'!$B$5:$B$204,B78)&gt;1,"Duplicate","OK"))</f>
        <v>0</v>
      </c>
      <c r="AB78" s="29">
        <f>IF(B78="","",IF(R78="Rejected","Rewrite - not approved",IF(J78="","Add - caption not written yet",IF(R78&lt;&gt;"Approved","Check - waiting for approval",IF(X78=0,"Use - never used yet","OK")))))</f>
        <v>0</v>
      </c>
    </row>
    <row r="79" spans="1:28">
      <c r="A79" s="41">
        <f>IF(B79="","",CaptionPrefix&amp;TEXT(ROW()-4,"000"))</f>
        <v>0</v>
      </c>
      <c r="U79" s="23">
        <f>IF(J79="","",LEN(J79))</f>
        <v>0</v>
      </c>
      <c r="V79" s="23">
        <f>IF(C79="","",IF(C79="Instagram",2200,IF(C79="TikTok",2200,IF(C79="Pinterest",500,IF(C79="YouTube",5000,IF(C79="Facebook",63206,IF(C79="X (Twitter)",280,IF(C79="LinkedIn",3000,IF(C79="Threads",500,2200)))))))))</f>
        <v>0</v>
      </c>
      <c r="W79" s="29">
        <f>IF(OR(J79="",V79=""),"",IF(U79&gt;V79,"Too long - trim it",IF(U79&lt;40,"Check - very short","OK")))</f>
        <v>0</v>
      </c>
      <c r="X79" s="23">
        <f>IF(B79="","",COUNTIF('Content Calendar'!$P$5:$P$604,B79))</f>
        <v>0</v>
      </c>
      <c r="Y79" s="16">
        <f>IF(X79=0,"",IF(B79="","",SUMPRODUCT(MAX(('Content Calendar'!$P$5:$P$604=B79)*'Content Calendar'!$B$5:$B$604))))</f>
        <v>0</v>
      </c>
      <c r="Z79" s="24">
        <f>IF(X79=0,"",IFERROR(SUMIFS(Performance!$Z$5:$Z$404,Performance!$J$5:$J$404,B79)/SUMIFS(Performance!$O$5:$O$404,Performance!$J$5:$J$404,B79),""))</f>
        <v>0</v>
      </c>
      <c r="AA79" s="29">
        <f>IF(B79="","",IF(COUNTIF('Caption Bank'!$B$5:$B$204,B79)&gt;1,"Duplicate","OK"))</f>
        <v>0</v>
      </c>
      <c r="AB79" s="29">
        <f>IF(B79="","",IF(R79="Rejected","Rewrite - not approved",IF(J79="","Add - caption not written yet",IF(R79&lt;&gt;"Approved","Check - waiting for approval",IF(X79=0,"Use - never used yet","OK")))))</f>
        <v>0</v>
      </c>
    </row>
    <row r="80" spans="1:28">
      <c r="A80" s="41">
        <f>IF(B80="","",CaptionPrefix&amp;TEXT(ROW()-4,"000"))</f>
        <v>0</v>
      </c>
      <c r="U80" s="23">
        <f>IF(J80="","",LEN(J80))</f>
        <v>0</v>
      </c>
      <c r="V80" s="23">
        <f>IF(C80="","",IF(C80="Instagram",2200,IF(C80="TikTok",2200,IF(C80="Pinterest",500,IF(C80="YouTube",5000,IF(C80="Facebook",63206,IF(C80="X (Twitter)",280,IF(C80="LinkedIn",3000,IF(C80="Threads",500,2200)))))))))</f>
        <v>0</v>
      </c>
      <c r="W80" s="29">
        <f>IF(OR(J80="",V80=""),"",IF(U80&gt;V80,"Too long - trim it",IF(U80&lt;40,"Check - very short","OK")))</f>
        <v>0</v>
      </c>
      <c r="X80" s="23">
        <f>IF(B80="","",COUNTIF('Content Calendar'!$P$5:$P$604,B80))</f>
        <v>0</v>
      </c>
      <c r="Y80" s="16">
        <f>IF(X80=0,"",IF(B80="","",SUMPRODUCT(MAX(('Content Calendar'!$P$5:$P$604=B80)*'Content Calendar'!$B$5:$B$604))))</f>
        <v>0</v>
      </c>
      <c r="Z80" s="24">
        <f>IF(X80=0,"",IFERROR(SUMIFS(Performance!$Z$5:$Z$404,Performance!$J$5:$J$404,B80)/SUMIFS(Performance!$O$5:$O$404,Performance!$J$5:$J$404,B80),""))</f>
        <v>0</v>
      </c>
      <c r="AA80" s="29">
        <f>IF(B80="","",IF(COUNTIF('Caption Bank'!$B$5:$B$204,B80)&gt;1,"Duplicate","OK"))</f>
        <v>0</v>
      </c>
      <c r="AB80" s="29">
        <f>IF(B80="","",IF(R80="Rejected","Rewrite - not approved",IF(J80="","Add - caption not written yet",IF(R80&lt;&gt;"Approved","Check - waiting for approval",IF(X80=0,"Use - never used yet","OK")))))</f>
        <v>0</v>
      </c>
    </row>
    <row r="81" spans="1:28">
      <c r="A81" s="41">
        <f>IF(B81="","",CaptionPrefix&amp;TEXT(ROW()-4,"000"))</f>
        <v>0</v>
      </c>
      <c r="U81" s="23">
        <f>IF(J81="","",LEN(J81))</f>
        <v>0</v>
      </c>
      <c r="V81" s="23">
        <f>IF(C81="","",IF(C81="Instagram",2200,IF(C81="TikTok",2200,IF(C81="Pinterest",500,IF(C81="YouTube",5000,IF(C81="Facebook",63206,IF(C81="X (Twitter)",280,IF(C81="LinkedIn",3000,IF(C81="Threads",500,2200)))))))))</f>
        <v>0</v>
      </c>
      <c r="W81" s="29">
        <f>IF(OR(J81="",V81=""),"",IF(U81&gt;V81,"Too long - trim it",IF(U81&lt;40,"Check - very short","OK")))</f>
        <v>0</v>
      </c>
      <c r="X81" s="23">
        <f>IF(B81="","",COUNTIF('Content Calendar'!$P$5:$P$604,B81))</f>
        <v>0</v>
      </c>
      <c r="Y81" s="16">
        <f>IF(X81=0,"",IF(B81="","",SUMPRODUCT(MAX(('Content Calendar'!$P$5:$P$604=B81)*'Content Calendar'!$B$5:$B$604))))</f>
        <v>0</v>
      </c>
      <c r="Z81" s="24">
        <f>IF(X81=0,"",IFERROR(SUMIFS(Performance!$Z$5:$Z$404,Performance!$J$5:$J$404,B81)/SUMIFS(Performance!$O$5:$O$404,Performance!$J$5:$J$404,B81),""))</f>
        <v>0</v>
      </c>
      <c r="AA81" s="29">
        <f>IF(B81="","",IF(COUNTIF('Caption Bank'!$B$5:$B$204,B81)&gt;1,"Duplicate","OK"))</f>
        <v>0</v>
      </c>
      <c r="AB81" s="29">
        <f>IF(B81="","",IF(R81="Rejected","Rewrite - not approved",IF(J81="","Add - caption not written yet",IF(R81&lt;&gt;"Approved","Check - waiting for approval",IF(X81=0,"Use - never used yet","OK")))))</f>
        <v>0</v>
      </c>
    </row>
    <row r="82" spans="1:28">
      <c r="A82" s="41">
        <f>IF(B82="","",CaptionPrefix&amp;TEXT(ROW()-4,"000"))</f>
        <v>0</v>
      </c>
      <c r="U82" s="23">
        <f>IF(J82="","",LEN(J82))</f>
        <v>0</v>
      </c>
      <c r="V82" s="23">
        <f>IF(C82="","",IF(C82="Instagram",2200,IF(C82="TikTok",2200,IF(C82="Pinterest",500,IF(C82="YouTube",5000,IF(C82="Facebook",63206,IF(C82="X (Twitter)",280,IF(C82="LinkedIn",3000,IF(C82="Threads",500,2200)))))))))</f>
        <v>0</v>
      </c>
      <c r="W82" s="29">
        <f>IF(OR(J82="",V82=""),"",IF(U82&gt;V82,"Too long - trim it",IF(U82&lt;40,"Check - very short","OK")))</f>
        <v>0</v>
      </c>
      <c r="X82" s="23">
        <f>IF(B82="","",COUNTIF('Content Calendar'!$P$5:$P$604,B82))</f>
        <v>0</v>
      </c>
      <c r="Y82" s="16">
        <f>IF(X82=0,"",IF(B82="","",SUMPRODUCT(MAX(('Content Calendar'!$P$5:$P$604=B82)*'Content Calendar'!$B$5:$B$604))))</f>
        <v>0</v>
      </c>
      <c r="Z82" s="24">
        <f>IF(X82=0,"",IFERROR(SUMIFS(Performance!$Z$5:$Z$404,Performance!$J$5:$J$404,B82)/SUMIFS(Performance!$O$5:$O$404,Performance!$J$5:$J$404,B82),""))</f>
        <v>0</v>
      </c>
      <c r="AA82" s="29">
        <f>IF(B82="","",IF(COUNTIF('Caption Bank'!$B$5:$B$204,B82)&gt;1,"Duplicate","OK"))</f>
        <v>0</v>
      </c>
      <c r="AB82" s="29">
        <f>IF(B82="","",IF(R82="Rejected","Rewrite - not approved",IF(J82="","Add - caption not written yet",IF(R82&lt;&gt;"Approved","Check - waiting for approval",IF(X82=0,"Use - never used yet","OK")))))</f>
        <v>0</v>
      </c>
    </row>
    <row r="83" spans="1:28">
      <c r="A83" s="41">
        <f>IF(B83="","",CaptionPrefix&amp;TEXT(ROW()-4,"000"))</f>
        <v>0</v>
      </c>
      <c r="U83" s="23">
        <f>IF(J83="","",LEN(J83))</f>
        <v>0</v>
      </c>
      <c r="V83" s="23">
        <f>IF(C83="","",IF(C83="Instagram",2200,IF(C83="TikTok",2200,IF(C83="Pinterest",500,IF(C83="YouTube",5000,IF(C83="Facebook",63206,IF(C83="X (Twitter)",280,IF(C83="LinkedIn",3000,IF(C83="Threads",500,2200)))))))))</f>
        <v>0</v>
      </c>
      <c r="W83" s="29">
        <f>IF(OR(J83="",V83=""),"",IF(U83&gt;V83,"Too long - trim it",IF(U83&lt;40,"Check - very short","OK")))</f>
        <v>0</v>
      </c>
      <c r="X83" s="23">
        <f>IF(B83="","",COUNTIF('Content Calendar'!$P$5:$P$604,B83))</f>
        <v>0</v>
      </c>
      <c r="Y83" s="16">
        <f>IF(X83=0,"",IF(B83="","",SUMPRODUCT(MAX(('Content Calendar'!$P$5:$P$604=B83)*'Content Calendar'!$B$5:$B$604))))</f>
        <v>0</v>
      </c>
      <c r="Z83" s="24">
        <f>IF(X83=0,"",IFERROR(SUMIFS(Performance!$Z$5:$Z$404,Performance!$J$5:$J$404,B83)/SUMIFS(Performance!$O$5:$O$404,Performance!$J$5:$J$404,B83),""))</f>
        <v>0</v>
      </c>
      <c r="AA83" s="29">
        <f>IF(B83="","",IF(COUNTIF('Caption Bank'!$B$5:$B$204,B83)&gt;1,"Duplicate","OK"))</f>
        <v>0</v>
      </c>
      <c r="AB83" s="29">
        <f>IF(B83="","",IF(R83="Rejected","Rewrite - not approved",IF(J83="","Add - caption not written yet",IF(R83&lt;&gt;"Approved","Check - waiting for approval",IF(X83=0,"Use - never used yet","OK")))))</f>
        <v>0</v>
      </c>
    </row>
    <row r="84" spans="1:28">
      <c r="A84" s="41">
        <f>IF(B84="","",CaptionPrefix&amp;TEXT(ROW()-4,"000"))</f>
        <v>0</v>
      </c>
      <c r="U84" s="23">
        <f>IF(J84="","",LEN(J84))</f>
        <v>0</v>
      </c>
      <c r="V84" s="23">
        <f>IF(C84="","",IF(C84="Instagram",2200,IF(C84="TikTok",2200,IF(C84="Pinterest",500,IF(C84="YouTube",5000,IF(C84="Facebook",63206,IF(C84="X (Twitter)",280,IF(C84="LinkedIn",3000,IF(C84="Threads",500,2200)))))))))</f>
        <v>0</v>
      </c>
      <c r="W84" s="29">
        <f>IF(OR(J84="",V84=""),"",IF(U84&gt;V84,"Too long - trim it",IF(U84&lt;40,"Check - very short","OK")))</f>
        <v>0</v>
      </c>
      <c r="X84" s="23">
        <f>IF(B84="","",COUNTIF('Content Calendar'!$P$5:$P$604,B84))</f>
        <v>0</v>
      </c>
      <c r="Y84" s="16">
        <f>IF(X84=0,"",IF(B84="","",SUMPRODUCT(MAX(('Content Calendar'!$P$5:$P$604=B84)*'Content Calendar'!$B$5:$B$604))))</f>
        <v>0</v>
      </c>
      <c r="Z84" s="24">
        <f>IF(X84=0,"",IFERROR(SUMIFS(Performance!$Z$5:$Z$404,Performance!$J$5:$J$404,B84)/SUMIFS(Performance!$O$5:$O$404,Performance!$J$5:$J$404,B84),""))</f>
        <v>0</v>
      </c>
      <c r="AA84" s="29">
        <f>IF(B84="","",IF(COUNTIF('Caption Bank'!$B$5:$B$204,B84)&gt;1,"Duplicate","OK"))</f>
        <v>0</v>
      </c>
      <c r="AB84" s="29">
        <f>IF(B84="","",IF(R84="Rejected","Rewrite - not approved",IF(J84="","Add - caption not written yet",IF(R84&lt;&gt;"Approved","Check - waiting for approval",IF(X84=0,"Use - never used yet","OK")))))</f>
        <v>0</v>
      </c>
    </row>
    <row r="85" spans="1:28">
      <c r="A85" s="41">
        <f>IF(B85="","",CaptionPrefix&amp;TEXT(ROW()-4,"000"))</f>
        <v>0</v>
      </c>
      <c r="U85" s="23">
        <f>IF(J85="","",LEN(J85))</f>
        <v>0</v>
      </c>
      <c r="V85" s="23">
        <f>IF(C85="","",IF(C85="Instagram",2200,IF(C85="TikTok",2200,IF(C85="Pinterest",500,IF(C85="YouTube",5000,IF(C85="Facebook",63206,IF(C85="X (Twitter)",280,IF(C85="LinkedIn",3000,IF(C85="Threads",500,2200)))))))))</f>
        <v>0</v>
      </c>
      <c r="W85" s="29">
        <f>IF(OR(J85="",V85=""),"",IF(U85&gt;V85,"Too long - trim it",IF(U85&lt;40,"Check - very short","OK")))</f>
        <v>0</v>
      </c>
      <c r="X85" s="23">
        <f>IF(B85="","",COUNTIF('Content Calendar'!$P$5:$P$604,B85))</f>
        <v>0</v>
      </c>
      <c r="Y85" s="16">
        <f>IF(X85=0,"",IF(B85="","",SUMPRODUCT(MAX(('Content Calendar'!$P$5:$P$604=B85)*'Content Calendar'!$B$5:$B$604))))</f>
        <v>0</v>
      </c>
      <c r="Z85" s="24">
        <f>IF(X85=0,"",IFERROR(SUMIFS(Performance!$Z$5:$Z$404,Performance!$J$5:$J$404,B85)/SUMIFS(Performance!$O$5:$O$404,Performance!$J$5:$J$404,B85),""))</f>
        <v>0</v>
      </c>
      <c r="AA85" s="29">
        <f>IF(B85="","",IF(COUNTIF('Caption Bank'!$B$5:$B$204,B85)&gt;1,"Duplicate","OK"))</f>
        <v>0</v>
      </c>
      <c r="AB85" s="29">
        <f>IF(B85="","",IF(R85="Rejected","Rewrite - not approved",IF(J85="","Add - caption not written yet",IF(R85&lt;&gt;"Approved","Check - waiting for approval",IF(X85=0,"Use - never used yet","OK")))))</f>
        <v>0</v>
      </c>
    </row>
    <row r="86" spans="1:28">
      <c r="A86" s="41">
        <f>IF(B86="","",CaptionPrefix&amp;TEXT(ROW()-4,"000"))</f>
        <v>0</v>
      </c>
      <c r="U86" s="23">
        <f>IF(J86="","",LEN(J86))</f>
        <v>0</v>
      </c>
      <c r="V86" s="23">
        <f>IF(C86="","",IF(C86="Instagram",2200,IF(C86="TikTok",2200,IF(C86="Pinterest",500,IF(C86="YouTube",5000,IF(C86="Facebook",63206,IF(C86="X (Twitter)",280,IF(C86="LinkedIn",3000,IF(C86="Threads",500,2200)))))))))</f>
        <v>0</v>
      </c>
      <c r="W86" s="29">
        <f>IF(OR(J86="",V86=""),"",IF(U86&gt;V86,"Too long - trim it",IF(U86&lt;40,"Check - very short","OK")))</f>
        <v>0</v>
      </c>
      <c r="X86" s="23">
        <f>IF(B86="","",COUNTIF('Content Calendar'!$P$5:$P$604,B86))</f>
        <v>0</v>
      </c>
      <c r="Y86" s="16">
        <f>IF(X86=0,"",IF(B86="","",SUMPRODUCT(MAX(('Content Calendar'!$P$5:$P$604=B86)*'Content Calendar'!$B$5:$B$604))))</f>
        <v>0</v>
      </c>
      <c r="Z86" s="24">
        <f>IF(X86=0,"",IFERROR(SUMIFS(Performance!$Z$5:$Z$404,Performance!$J$5:$J$404,B86)/SUMIFS(Performance!$O$5:$O$404,Performance!$J$5:$J$404,B86),""))</f>
        <v>0</v>
      </c>
      <c r="AA86" s="29">
        <f>IF(B86="","",IF(COUNTIF('Caption Bank'!$B$5:$B$204,B86)&gt;1,"Duplicate","OK"))</f>
        <v>0</v>
      </c>
      <c r="AB86" s="29">
        <f>IF(B86="","",IF(R86="Rejected","Rewrite - not approved",IF(J86="","Add - caption not written yet",IF(R86&lt;&gt;"Approved","Check - waiting for approval",IF(X86=0,"Use - never used yet","OK")))))</f>
        <v>0</v>
      </c>
    </row>
    <row r="87" spans="1:28">
      <c r="A87" s="41">
        <f>IF(B87="","",CaptionPrefix&amp;TEXT(ROW()-4,"000"))</f>
        <v>0</v>
      </c>
      <c r="U87" s="23">
        <f>IF(J87="","",LEN(J87))</f>
        <v>0</v>
      </c>
      <c r="V87" s="23">
        <f>IF(C87="","",IF(C87="Instagram",2200,IF(C87="TikTok",2200,IF(C87="Pinterest",500,IF(C87="YouTube",5000,IF(C87="Facebook",63206,IF(C87="X (Twitter)",280,IF(C87="LinkedIn",3000,IF(C87="Threads",500,2200)))))))))</f>
        <v>0</v>
      </c>
      <c r="W87" s="29">
        <f>IF(OR(J87="",V87=""),"",IF(U87&gt;V87,"Too long - trim it",IF(U87&lt;40,"Check - very short","OK")))</f>
        <v>0</v>
      </c>
      <c r="X87" s="23">
        <f>IF(B87="","",COUNTIF('Content Calendar'!$P$5:$P$604,B87))</f>
        <v>0</v>
      </c>
      <c r="Y87" s="16">
        <f>IF(X87=0,"",IF(B87="","",SUMPRODUCT(MAX(('Content Calendar'!$P$5:$P$604=B87)*'Content Calendar'!$B$5:$B$604))))</f>
        <v>0</v>
      </c>
      <c r="Z87" s="24">
        <f>IF(X87=0,"",IFERROR(SUMIFS(Performance!$Z$5:$Z$404,Performance!$J$5:$J$404,B87)/SUMIFS(Performance!$O$5:$O$404,Performance!$J$5:$J$404,B87),""))</f>
        <v>0</v>
      </c>
      <c r="AA87" s="29">
        <f>IF(B87="","",IF(COUNTIF('Caption Bank'!$B$5:$B$204,B87)&gt;1,"Duplicate","OK"))</f>
        <v>0</v>
      </c>
      <c r="AB87" s="29">
        <f>IF(B87="","",IF(R87="Rejected","Rewrite - not approved",IF(J87="","Add - caption not written yet",IF(R87&lt;&gt;"Approved","Check - waiting for approval",IF(X87=0,"Use - never used yet","OK")))))</f>
        <v>0</v>
      </c>
    </row>
    <row r="88" spans="1:28">
      <c r="A88" s="41">
        <f>IF(B88="","",CaptionPrefix&amp;TEXT(ROW()-4,"000"))</f>
        <v>0</v>
      </c>
      <c r="U88" s="23">
        <f>IF(J88="","",LEN(J88))</f>
        <v>0</v>
      </c>
      <c r="V88" s="23">
        <f>IF(C88="","",IF(C88="Instagram",2200,IF(C88="TikTok",2200,IF(C88="Pinterest",500,IF(C88="YouTube",5000,IF(C88="Facebook",63206,IF(C88="X (Twitter)",280,IF(C88="LinkedIn",3000,IF(C88="Threads",500,2200)))))))))</f>
        <v>0</v>
      </c>
      <c r="W88" s="29">
        <f>IF(OR(J88="",V88=""),"",IF(U88&gt;V88,"Too long - trim it",IF(U88&lt;40,"Check - very short","OK")))</f>
        <v>0</v>
      </c>
      <c r="X88" s="23">
        <f>IF(B88="","",COUNTIF('Content Calendar'!$P$5:$P$604,B88))</f>
        <v>0</v>
      </c>
      <c r="Y88" s="16">
        <f>IF(X88=0,"",IF(B88="","",SUMPRODUCT(MAX(('Content Calendar'!$P$5:$P$604=B88)*'Content Calendar'!$B$5:$B$604))))</f>
        <v>0</v>
      </c>
      <c r="Z88" s="24">
        <f>IF(X88=0,"",IFERROR(SUMIFS(Performance!$Z$5:$Z$404,Performance!$J$5:$J$404,B88)/SUMIFS(Performance!$O$5:$O$404,Performance!$J$5:$J$404,B88),""))</f>
        <v>0</v>
      </c>
      <c r="AA88" s="29">
        <f>IF(B88="","",IF(COUNTIF('Caption Bank'!$B$5:$B$204,B88)&gt;1,"Duplicate","OK"))</f>
        <v>0</v>
      </c>
      <c r="AB88" s="29">
        <f>IF(B88="","",IF(R88="Rejected","Rewrite - not approved",IF(J88="","Add - caption not written yet",IF(R88&lt;&gt;"Approved","Check - waiting for approval",IF(X88=0,"Use - never used yet","OK")))))</f>
        <v>0</v>
      </c>
    </row>
    <row r="89" spans="1:28">
      <c r="A89" s="41">
        <f>IF(B89="","",CaptionPrefix&amp;TEXT(ROW()-4,"000"))</f>
        <v>0</v>
      </c>
      <c r="U89" s="23">
        <f>IF(J89="","",LEN(J89))</f>
        <v>0</v>
      </c>
      <c r="V89" s="23">
        <f>IF(C89="","",IF(C89="Instagram",2200,IF(C89="TikTok",2200,IF(C89="Pinterest",500,IF(C89="YouTube",5000,IF(C89="Facebook",63206,IF(C89="X (Twitter)",280,IF(C89="LinkedIn",3000,IF(C89="Threads",500,2200)))))))))</f>
        <v>0</v>
      </c>
      <c r="W89" s="29">
        <f>IF(OR(J89="",V89=""),"",IF(U89&gt;V89,"Too long - trim it",IF(U89&lt;40,"Check - very short","OK")))</f>
        <v>0</v>
      </c>
      <c r="X89" s="23">
        <f>IF(B89="","",COUNTIF('Content Calendar'!$P$5:$P$604,B89))</f>
        <v>0</v>
      </c>
      <c r="Y89" s="16">
        <f>IF(X89=0,"",IF(B89="","",SUMPRODUCT(MAX(('Content Calendar'!$P$5:$P$604=B89)*'Content Calendar'!$B$5:$B$604))))</f>
        <v>0</v>
      </c>
      <c r="Z89" s="24">
        <f>IF(X89=0,"",IFERROR(SUMIFS(Performance!$Z$5:$Z$404,Performance!$J$5:$J$404,B89)/SUMIFS(Performance!$O$5:$O$404,Performance!$J$5:$J$404,B89),""))</f>
        <v>0</v>
      </c>
      <c r="AA89" s="29">
        <f>IF(B89="","",IF(COUNTIF('Caption Bank'!$B$5:$B$204,B89)&gt;1,"Duplicate","OK"))</f>
        <v>0</v>
      </c>
      <c r="AB89" s="29">
        <f>IF(B89="","",IF(R89="Rejected","Rewrite - not approved",IF(J89="","Add - caption not written yet",IF(R89&lt;&gt;"Approved","Check - waiting for approval",IF(X89=0,"Use - never used yet","OK")))))</f>
        <v>0</v>
      </c>
    </row>
    <row r="90" spans="1:28">
      <c r="A90" s="41">
        <f>IF(B90="","",CaptionPrefix&amp;TEXT(ROW()-4,"000"))</f>
        <v>0</v>
      </c>
      <c r="U90" s="23">
        <f>IF(J90="","",LEN(J90))</f>
        <v>0</v>
      </c>
      <c r="V90" s="23">
        <f>IF(C90="","",IF(C90="Instagram",2200,IF(C90="TikTok",2200,IF(C90="Pinterest",500,IF(C90="YouTube",5000,IF(C90="Facebook",63206,IF(C90="X (Twitter)",280,IF(C90="LinkedIn",3000,IF(C90="Threads",500,2200)))))))))</f>
        <v>0</v>
      </c>
      <c r="W90" s="29">
        <f>IF(OR(J90="",V90=""),"",IF(U90&gt;V90,"Too long - trim it",IF(U90&lt;40,"Check - very short","OK")))</f>
        <v>0</v>
      </c>
      <c r="X90" s="23">
        <f>IF(B90="","",COUNTIF('Content Calendar'!$P$5:$P$604,B90))</f>
        <v>0</v>
      </c>
      <c r="Y90" s="16">
        <f>IF(X90=0,"",IF(B90="","",SUMPRODUCT(MAX(('Content Calendar'!$P$5:$P$604=B90)*'Content Calendar'!$B$5:$B$604))))</f>
        <v>0</v>
      </c>
      <c r="Z90" s="24">
        <f>IF(X90=0,"",IFERROR(SUMIFS(Performance!$Z$5:$Z$404,Performance!$J$5:$J$404,B90)/SUMIFS(Performance!$O$5:$O$404,Performance!$J$5:$J$404,B90),""))</f>
        <v>0</v>
      </c>
      <c r="AA90" s="29">
        <f>IF(B90="","",IF(COUNTIF('Caption Bank'!$B$5:$B$204,B90)&gt;1,"Duplicate","OK"))</f>
        <v>0</v>
      </c>
      <c r="AB90" s="29">
        <f>IF(B90="","",IF(R90="Rejected","Rewrite - not approved",IF(J90="","Add - caption not written yet",IF(R90&lt;&gt;"Approved","Check - waiting for approval",IF(X90=0,"Use - never used yet","OK")))))</f>
        <v>0</v>
      </c>
    </row>
    <row r="91" spans="1:28">
      <c r="A91" s="41">
        <f>IF(B91="","",CaptionPrefix&amp;TEXT(ROW()-4,"000"))</f>
        <v>0</v>
      </c>
      <c r="U91" s="23">
        <f>IF(J91="","",LEN(J91))</f>
        <v>0</v>
      </c>
      <c r="V91" s="23">
        <f>IF(C91="","",IF(C91="Instagram",2200,IF(C91="TikTok",2200,IF(C91="Pinterest",500,IF(C91="YouTube",5000,IF(C91="Facebook",63206,IF(C91="X (Twitter)",280,IF(C91="LinkedIn",3000,IF(C91="Threads",500,2200)))))))))</f>
        <v>0</v>
      </c>
      <c r="W91" s="29">
        <f>IF(OR(J91="",V91=""),"",IF(U91&gt;V91,"Too long - trim it",IF(U91&lt;40,"Check - very short","OK")))</f>
        <v>0</v>
      </c>
      <c r="X91" s="23">
        <f>IF(B91="","",COUNTIF('Content Calendar'!$P$5:$P$604,B91))</f>
        <v>0</v>
      </c>
      <c r="Y91" s="16">
        <f>IF(X91=0,"",IF(B91="","",SUMPRODUCT(MAX(('Content Calendar'!$P$5:$P$604=B91)*'Content Calendar'!$B$5:$B$604))))</f>
        <v>0</v>
      </c>
      <c r="Z91" s="24">
        <f>IF(X91=0,"",IFERROR(SUMIFS(Performance!$Z$5:$Z$404,Performance!$J$5:$J$404,B91)/SUMIFS(Performance!$O$5:$O$404,Performance!$J$5:$J$404,B91),""))</f>
        <v>0</v>
      </c>
      <c r="AA91" s="29">
        <f>IF(B91="","",IF(COUNTIF('Caption Bank'!$B$5:$B$204,B91)&gt;1,"Duplicate","OK"))</f>
        <v>0</v>
      </c>
      <c r="AB91" s="29">
        <f>IF(B91="","",IF(R91="Rejected","Rewrite - not approved",IF(J91="","Add - caption not written yet",IF(R91&lt;&gt;"Approved","Check - waiting for approval",IF(X91=0,"Use - never used yet","OK")))))</f>
        <v>0</v>
      </c>
    </row>
    <row r="92" spans="1:28">
      <c r="A92" s="41">
        <f>IF(B92="","",CaptionPrefix&amp;TEXT(ROW()-4,"000"))</f>
        <v>0</v>
      </c>
      <c r="U92" s="23">
        <f>IF(J92="","",LEN(J92))</f>
        <v>0</v>
      </c>
      <c r="V92" s="23">
        <f>IF(C92="","",IF(C92="Instagram",2200,IF(C92="TikTok",2200,IF(C92="Pinterest",500,IF(C92="YouTube",5000,IF(C92="Facebook",63206,IF(C92="X (Twitter)",280,IF(C92="LinkedIn",3000,IF(C92="Threads",500,2200)))))))))</f>
        <v>0</v>
      </c>
      <c r="W92" s="29">
        <f>IF(OR(J92="",V92=""),"",IF(U92&gt;V92,"Too long - trim it",IF(U92&lt;40,"Check - very short","OK")))</f>
        <v>0</v>
      </c>
      <c r="X92" s="23">
        <f>IF(B92="","",COUNTIF('Content Calendar'!$P$5:$P$604,B92))</f>
        <v>0</v>
      </c>
      <c r="Y92" s="16">
        <f>IF(X92=0,"",IF(B92="","",SUMPRODUCT(MAX(('Content Calendar'!$P$5:$P$604=B92)*'Content Calendar'!$B$5:$B$604))))</f>
        <v>0</v>
      </c>
      <c r="Z92" s="24">
        <f>IF(X92=0,"",IFERROR(SUMIFS(Performance!$Z$5:$Z$404,Performance!$J$5:$J$404,B92)/SUMIFS(Performance!$O$5:$O$404,Performance!$J$5:$J$404,B92),""))</f>
        <v>0</v>
      </c>
      <c r="AA92" s="29">
        <f>IF(B92="","",IF(COUNTIF('Caption Bank'!$B$5:$B$204,B92)&gt;1,"Duplicate","OK"))</f>
        <v>0</v>
      </c>
      <c r="AB92" s="29">
        <f>IF(B92="","",IF(R92="Rejected","Rewrite - not approved",IF(J92="","Add - caption not written yet",IF(R92&lt;&gt;"Approved","Check - waiting for approval",IF(X92=0,"Use - never used yet","OK")))))</f>
        <v>0</v>
      </c>
    </row>
    <row r="93" spans="1:28">
      <c r="A93" s="41">
        <f>IF(B93="","",CaptionPrefix&amp;TEXT(ROW()-4,"000"))</f>
        <v>0</v>
      </c>
      <c r="U93" s="23">
        <f>IF(J93="","",LEN(J93))</f>
        <v>0</v>
      </c>
      <c r="V93" s="23">
        <f>IF(C93="","",IF(C93="Instagram",2200,IF(C93="TikTok",2200,IF(C93="Pinterest",500,IF(C93="YouTube",5000,IF(C93="Facebook",63206,IF(C93="X (Twitter)",280,IF(C93="LinkedIn",3000,IF(C93="Threads",500,2200)))))))))</f>
        <v>0</v>
      </c>
      <c r="W93" s="29">
        <f>IF(OR(J93="",V93=""),"",IF(U93&gt;V93,"Too long - trim it",IF(U93&lt;40,"Check - very short","OK")))</f>
        <v>0</v>
      </c>
      <c r="X93" s="23">
        <f>IF(B93="","",COUNTIF('Content Calendar'!$P$5:$P$604,B93))</f>
        <v>0</v>
      </c>
      <c r="Y93" s="16">
        <f>IF(X93=0,"",IF(B93="","",SUMPRODUCT(MAX(('Content Calendar'!$P$5:$P$604=B93)*'Content Calendar'!$B$5:$B$604))))</f>
        <v>0</v>
      </c>
      <c r="Z93" s="24">
        <f>IF(X93=0,"",IFERROR(SUMIFS(Performance!$Z$5:$Z$404,Performance!$J$5:$J$404,B93)/SUMIFS(Performance!$O$5:$O$404,Performance!$J$5:$J$404,B93),""))</f>
        <v>0</v>
      </c>
      <c r="AA93" s="29">
        <f>IF(B93="","",IF(COUNTIF('Caption Bank'!$B$5:$B$204,B93)&gt;1,"Duplicate","OK"))</f>
        <v>0</v>
      </c>
      <c r="AB93" s="29">
        <f>IF(B93="","",IF(R93="Rejected","Rewrite - not approved",IF(J93="","Add - caption not written yet",IF(R93&lt;&gt;"Approved","Check - waiting for approval",IF(X93=0,"Use - never used yet","OK")))))</f>
        <v>0</v>
      </c>
    </row>
    <row r="94" spans="1:28">
      <c r="A94" s="41">
        <f>IF(B94="","",CaptionPrefix&amp;TEXT(ROW()-4,"000"))</f>
        <v>0</v>
      </c>
      <c r="U94" s="23">
        <f>IF(J94="","",LEN(J94))</f>
        <v>0</v>
      </c>
      <c r="V94" s="23">
        <f>IF(C94="","",IF(C94="Instagram",2200,IF(C94="TikTok",2200,IF(C94="Pinterest",500,IF(C94="YouTube",5000,IF(C94="Facebook",63206,IF(C94="X (Twitter)",280,IF(C94="LinkedIn",3000,IF(C94="Threads",500,2200)))))))))</f>
        <v>0</v>
      </c>
      <c r="W94" s="29">
        <f>IF(OR(J94="",V94=""),"",IF(U94&gt;V94,"Too long - trim it",IF(U94&lt;40,"Check - very short","OK")))</f>
        <v>0</v>
      </c>
      <c r="X94" s="23">
        <f>IF(B94="","",COUNTIF('Content Calendar'!$P$5:$P$604,B94))</f>
        <v>0</v>
      </c>
      <c r="Y94" s="16">
        <f>IF(X94=0,"",IF(B94="","",SUMPRODUCT(MAX(('Content Calendar'!$P$5:$P$604=B94)*'Content Calendar'!$B$5:$B$604))))</f>
        <v>0</v>
      </c>
      <c r="Z94" s="24">
        <f>IF(X94=0,"",IFERROR(SUMIFS(Performance!$Z$5:$Z$404,Performance!$J$5:$J$404,B94)/SUMIFS(Performance!$O$5:$O$404,Performance!$J$5:$J$404,B94),""))</f>
        <v>0</v>
      </c>
      <c r="AA94" s="29">
        <f>IF(B94="","",IF(COUNTIF('Caption Bank'!$B$5:$B$204,B94)&gt;1,"Duplicate","OK"))</f>
        <v>0</v>
      </c>
      <c r="AB94" s="29">
        <f>IF(B94="","",IF(R94="Rejected","Rewrite - not approved",IF(J94="","Add - caption not written yet",IF(R94&lt;&gt;"Approved","Check - waiting for approval",IF(X94=0,"Use - never used yet","OK")))))</f>
        <v>0</v>
      </c>
    </row>
    <row r="95" spans="1:28">
      <c r="A95" s="41">
        <f>IF(B95="","",CaptionPrefix&amp;TEXT(ROW()-4,"000"))</f>
        <v>0</v>
      </c>
      <c r="U95" s="23">
        <f>IF(J95="","",LEN(J95))</f>
        <v>0</v>
      </c>
      <c r="V95" s="23">
        <f>IF(C95="","",IF(C95="Instagram",2200,IF(C95="TikTok",2200,IF(C95="Pinterest",500,IF(C95="YouTube",5000,IF(C95="Facebook",63206,IF(C95="X (Twitter)",280,IF(C95="LinkedIn",3000,IF(C95="Threads",500,2200)))))))))</f>
        <v>0</v>
      </c>
      <c r="W95" s="29">
        <f>IF(OR(J95="",V95=""),"",IF(U95&gt;V95,"Too long - trim it",IF(U95&lt;40,"Check - very short","OK")))</f>
        <v>0</v>
      </c>
      <c r="X95" s="23">
        <f>IF(B95="","",COUNTIF('Content Calendar'!$P$5:$P$604,B95))</f>
        <v>0</v>
      </c>
      <c r="Y95" s="16">
        <f>IF(X95=0,"",IF(B95="","",SUMPRODUCT(MAX(('Content Calendar'!$P$5:$P$604=B95)*'Content Calendar'!$B$5:$B$604))))</f>
        <v>0</v>
      </c>
      <c r="Z95" s="24">
        <f>IF(X95=0,"",IFERROR(SUMIFS(Performance!$Z$5:$Z$404,Performance!$J$5:$J$404,B95)/SUMIFS(Performance!$O$5:$O$404,Performance!$J$5:$J$404,B95),""))</f>
        <v>0</v>
      </c>
      <c r="AA95" s="29">
        <f>IF(B95="","",IF(COUNTIF('Caption Bank'!$B$5:$B$204,B95)&gt;1,"Duplicate","OK"))</f>
        <v>0</v>
      </c>
      <c r="AB95" s="29">
        <f>IF(B95="","",IF(R95="Rejected","Rewrite - not approved",IF(J95="","Add - caption not written yet",IF(R95&lt;&gt;"Approved","Check - waiting for approval",IF(X95=0,"Use - never used yet","OK")))))</f>
        <v>0</v>
      </c>
    </row>
    <row r="96" spans="1:28">
      <c r="A96" s="41">
        <f>IF(B96="","",CaptionPrefix&amp;TEXT(ROW()-4,"000"))</f>
        <v>0</v>
      </c>
      <c r="U96" s="23">
        <f>IF(J96="","",LEN(J96))</f>
        <v>0</v>
      </c>
      <c r="V96" s="23">
        <f>IF(C96="","",IF(C96="Instagram",2200,IF(C96="TikTok",2200,IF(C96="Pinterest",500,IF(C96="YouTube",5000,IF(C96="Facebook",63206,IF(C96="X (Twitter)",280,IF(C96="LinkedIn",3000,IF(C96="Threads",500,2200)))))))))</f>
        <v>0</v>
      </c>
      <c r="W96" s="29">
        <f>IF(OR(J96="",V96=""),"",IF(U96&gt;V96,"Too long - trim it",IF(U96&lt;40,"Check - very short","OK")))</f>
        <v>0</v>
      </c>
      <c r="X96" s="23">
        <f>IF(B96="","",COUNTIF('Content Calendar'!$P$5:$P$604,B96))</f>
        <v>0</v>
      </c>
      <c r="Y96" s="16">
        <f>IF(X96=0,"",IF(B96="","",SUMPRODUCT(MAX(('Content Calendar'!$P$5:$P$604=B96)*'Content Calendar'!$B$5:$B$604))))</f>
        <v>0</v>
      </c>
      <c r="Z96" s="24">
        <f>IF(X96=0,"",IFERROR(SUMIFS(Performance!$Z$5:$Z$404,Performance!$J$5:$J$404,B96)/SUMIFS(Performance!$O$5:$O$404,Performance!$J$5:$J$404,B96),""))</f>
        <v>0</v>
      </c>
      <c r="AA96" s="29">
        <f>IF(B96="","",IF(COUNTIF('Caption Bank'!$B$5:$B$204,B96)&gt;1,"Duplicate","OK"))</f>
        <v>0</v>
      </c>
      <c r="AB96" s="29">
        <f>IF(B96="","",IF(R96="Rejected","Rewrite - not approved",IF(J96="","Add - caption not written yet",IF(R96&lt;&gt;"Approved","Check - waiting for approval",IF(X96=0,"Use - never used yet","OK")))))</f>
        <v>0</v>
      </c>
    </row>
    <row r="97" spans="1:28">
      <c r="A97" s="41">
        <f>IF(B97="","",CaptionPrefix&amp;TEXT(ROW()-4,"000"))</f>
        <v>0</v>
      </c>
      <c r="U97" s="23">
        <f>IF(J97="","",LEN(J97))</f>
        <v>0</v>
      </c>
      <c r="V97" s="23">
        <f>IF(C97="","",IF(C97="Instagram",2200,IF(C97="TikTok",2200,IF(C97="Pinterest",500,IF(C97="YouTube",5000,IF(C97="Facebook",63206,IF(C97="X (Twitter)",280,IF(C97="LinkedIn",3000,IF(C97="Threads",500,2200)))))))))</f>
        <v>0</v>
      </c>
      <c r="W97" s="29">
        <f>IF(OR(J97="",V97=""),"",IF(U97&gt;V97,"Too long - trim it",IF(U97&lt;40,"Check - very short","OK")))</f>
        <v>0</v>
      </c>
      <c r="X97" s="23">
        <f>IF(B97="","",COUNTIF('Content Calendar'!$P$5:$P$604,B97))</f>
        <v>0</v>
      </c>
      <c r="Y97" s="16">
        <f>IF(X97=0,"",IF(B97="","",SUMPRODUCT(MAX(('Content Calendar'!$P$5:$P$604=B97)*'Content Calendar'!$B$5:$B$604))))</f>
        <v>0</v>
      </c>
      <c r="Z97" s="24">
        <f>IF(X97=0,"",IFERROR(SUMIFS(Performance!$Z$5:$Z$404,Performance!$J$5:$J$404,B97)/SUMIFS(Performance!$O$5:$O$404,Performance!$J$5:$J$404,B97),""))</f>
        <v>0</v>
      </c>
      <c r="AA97" s="29">
        <f>IF(B97="","",IF(COUNTIF('Caption Bank'!$B$5:$B$204,B97)&gt;1,"Duplicate","OK"))</f>
        <v>0</v>
      </c>
      <c r="AB97" s="29">
        <f>IF(B97="","",IF(R97="Rejected","Rewrite - not approved",IF(J97="","Add - caption not written yet",IF(R97&lt;&gt;"Approved","Check - waiting for approval",IF(X97=0,"Use - never used yet","OK")))))</f>
        <v>0</v>
      </c>
    </row>
    <row r="98" spans="1:28">
      <c r="A98" s="41">
        <f>IF(B98="","",CaptionPrefix&amp;TEXT(ROW()-4,"000"))</f>
        <v>0</v>
      </c>
      <c r="U98" s="23">
        <f>IF(J98="","",LEN(J98))</f>
        <v>0</v>
      </c>
      <c r="V98" s="23">
        <f>IF(C98="","",IF(C98="Instagram",2200,IF(C98="TikTok",2200,IF(C98="Pinterest",500,IF(C98="YouTube",5000,IF(C98="Facebook",63206,IF(C98="X (Twitter)",280,IF(C98="LinkedIn",3000,IF(C98="Threads",500,2200)))))))))</f>
        <v>0</v>
      </c>
      <c r="W98" s="29">
        <f>IF(OR(J98="",V98=""),"",IF(U98&gt;V98,"Too long - trim it",IF(U98&lt;40,"Check - very short","OK")))</f>
        <v>0</v>
      </c>
      <c r="X98" s="23">
        <f>IF(B98="","",COUNTIF('Content Calendar'!$P$5:$P$604,B98))</f>
        <v>0</v>
      </c>
      <c r="Y98" s="16">
        <f>IF(X98=0,"",IF(B98="","",SUMPRODUCT(MAX(('Content Calendar'!$P$5:$P$604=B98)*'Content Calendar'!$B$5:$B$604))))</f>
        <v>0</v>
      </c>
      <c r="Z98" s="24">
        <f>IF(X98=0,"",IFERROR(SUMIFS(Performance!$Z$5:$Z$404,Performance!$J$5:$J$404,B98)/SUMIFS(Performance!$O$5:$O$404,Performance!$J$5:$J$404,B98),""))</f>
        <v>0</v>
      </c>
      <c r="AA98" s="29">
        <f>IF(B98="","",IF(COUNTIF('Caption Bank'!$B$5:$B$204,B98)&gt;1,"Duplicate","OK"))</f>
        <v>0</v>
      </c>
      <c r="AB98" s="29">
        <f>IF(B98="","",IF(R98="Rejected","Rewrite - not approved",IF(J98="","Add - caption not written yet",IF(R98&lt;&gt;"Approved","Check - waiting for approval",IF(X98=0,"Use - never used yet","OK")))))</f>
        <v>0</v>
      </c>
    </row>
    <row r="99" spans="1:28">
      <c r="A99" s="41">
        <f>IF(B99="","",CaptionPrefix&amp;TEXT(ROW()-4,"000"))</f>
        <v>0</v>
      </c>
      <c r="U99" s="23">
        <f>IF(J99="","",LEN(J99))</f>
        <v>0</v>
      </c>
      <c r="V99" s="23">
        <f>IF(C99="","",IF(C99="Instagram",2200,IF(C99="TikTok",2200,IF(C99="Pinterest",500,IF(C99="YouTube",5000,IF(C99="Facebook",63206,IF(C99="X (Twitter)",280,IF(C99="LinkedIn",3000,IF(C99="Threads",500,2200)))))))))</f>
        <v>0</v>
      </c>
      <c r="W99" s="29">
        <f>IF(OR(J99="",V99=""),"",IF(U99&gt;V99,"Too long - trim it",IF(U99&lt;40,"Check - very short","OK")))</f>
        <v>0</v>
      </c>
      <c r="X99" s="23">
        <f>IF(B99="","",COUNTIF('Content Calendar'!$P$5:$P$604,B99))</f>
        <v>0</v>
      </c>
      <c r="Y99" s="16">
        <f>IF(X99=0,"",IF(B99="","",SUMPRODUCT(MAX(('Content Calendar'!$P$5:$P$604=B99)*'Content Calendar'!$B$5:$B$604))))</f>
        <v>0</v>
      </c>
      <c r="Z99" s="24">
        <f>IF(X99=0,"",IFERROR(SUMIFS(Performance!$Z$5:$Z$404,Performance!$J$5:$J$404,B99)/SUMIFS(Performance!$O$5:$O$404,Performance!$J$5:$J$404,B99),""))</f>
        <v>0</v>
      </c>
      <c r="AA99" s="29">
        <f>IF(B99="","",IF(COUNTIF('Caption Bank'!$B$5:$B$204,B99)&gt;1,"Duplicate","OK"))</f>
        <v>0</v>
      </c>
      <c r="AB99" s="29">
        <f>IF(B99="","",IF(R99="Rejected","Rewrite - not approved",IF(J99="","Add - caption not written yet",IF(R99&lt;&gt;"Approved","Check - waiting for approval",IF(X99=0,"Use - never used yet","OK")))))</f>
        <v>0</v>
      </c>
    </row>
    <row r="100" spans="1:28">
      <c r="A100" s="41">
        <f>IF(B100="","",CaptionPrefix&amp;TEXT(ROW()-4,"000"))</f>
        <v>0</v>
      </c>
      <c r="U100" s="23">
        <f>IF(J100="","",LEN(J100))</f>
        <v>0</v>
      </c>
      <c r="V100" s="23">
        <f>IF(C100="","",IF(C100="Instagram",2200,IF(C100="TikTok",2200,IF(C100="Pinterest",500,IF(C100="YouTube",5000,IF(C100="Facebook",63206,IF(C100="X (Twitter)",280,IF(C100="LinkedIn",3000,IF(C100="Threads",500,2200)))))))))</f>
        <v>0</v>
      </c>
      <c r="W100" s="29">
        <f>IF(OR(J100="",V100=""),"",IF(U100&gt;V100,"Too long - trim it",IF(U100&lt;40,"Check - very short","OK")))</f>
        <v>0</v>
      </c>
      <c r="X100" s="23">
        <f>IF(B100="","",COUNTIF('Content Calendar'!$P$5:$P$604,B100))</f>
        <v>0</v>
      </c>
      <c r="Y100" s="16">
        <f>IF(X100=0,"",IF(B100="","",SUMPRODUCT(MAX(('Content Calendar'!$P$5:$P$604=B100)*'Content Calendar'!$B$5:$B$604))))</f>
        <v>0</v>
      </c>
      <c r="Z100" s="24">
        <f>IF(X100=0,"",IFERROR(SUMIFS(Performance!$Z$5:$Z$404,Performance!$J$5:$J$404,B100)/SUMIFS(Performance!$O$5:$O$404,Performance!$J$5:$J$404,B100),""))</f>
        <v>0</v>
      </c>
      <c r="AA100" s="29">
        <f>IF(B100="","",IF(COUNTIF('Caption Bank'!$B$5:$B$204,B100)&gt;1,"Duplicate","OK"))</f>
        <v>0</v>
      </c>
      <c r="AB100" s="29">
        <f>IF(B100="","",IF(R100="Rejected","Rewrite - not approved",IF(J100="","Add - caption not written yet",IF(R100&lt;&gt;"Approved","Check - waiting for approval",IF(X100=0,"Use - never used yet","OK")))))</f>
        <v>0</v>
      </c>
    </row>
    <row r="101" spans="1:28">
      <c r="A101" s="41">
        <f>IF(B101="","",CaptionPrefix&amp;TEXT(ROW()-4,"000"))</f>
        <v>0</v>
      </c>
      <c r="U101" s="23">
        <f>IF(J101="","",LEN(J101))</f>
        <v>0</v>
      </c>
      <c r="V101" s="23">
        <f>IF(C101="","",IF(C101="Instagram",2200,IF(C101="TikTok",2200,IF(C101="Pinterest",500,IF(C101="YouTube",5000,IF(C101="Facebook",63206,IF(C101="X (Twitter)",280,IF(C101="LinkedIn",3000,IF(C101="Threads",500,2200)))))))))</f>
        <v>0</v>
      </c>
      <c r="W101" s="29">
        <f>IF(OR(J101="",V101=""),"",IF(U101&gt;V101,"Too long - trim it",IF(U101&lt;40,"Check - very short","OK")))</f>
        <v>0</v>
      </c>
      <c r="X101" s="23">
        <f>IF(B101="","",COUNTIF('Content Calendar'!$P$5:$P$604,B101))</f>
        <v>0</v>
      </c>
      <c r="Y101" s="16">
        <f>IF(X101=0,"",IF(B101="","",SUMPRODUCT(MAX(('Content Calendar'!$P$5:$P$604=B101)*'Content Calendar'!$B$5:$B$604))))</f>
        <v>0</v>
      </c>
      <c r="Z101" s="24">
        <f>IF(X101=0,"",IFERROR(SUMIFS(Performance!$Z$5:$Z$404,Performance!$J$5:$J$404,B101)/SUMIFS(Performance!$O$5:$O$404,Performance!$J$5:$J$404,B101),""))</f>
        <v>0</v>
      </c>
      <c r="AA101" s="29">
        <f>IF(B101="","",IF(COUNTIF('Caption Bank'!$B$5:$B$204,B101)&gt;1,"Duplicate","OK"))</f>
        <v>0</v>
      </c>
      <c r="AB101" s="29">
        <f>IF(B101="","",IF(R101="Rejected","Rewrite - not approved",IF(J101="","Add - caption not written yet",IF(R101&lt;&gt;"Approved","Check - waiting for approval",IF(X101=0,"Use - never used yet","OK")))))</f>
        <v>0</v>
      </c>
    </row>
    <row r="102" spans="1:28">
      <c r="A102" s="41">
        <f>IF(B102="","",CaptionPrefix&amp;TEXT(ROW()-4,"000"))</f>
        <v>0</v>
      </c>
      <c r="U102" s="23">
        <f>IF(J102="","",LEN(J102))</f>
        <v>0</v>
      </c>
      <c r="V102" s="23">
        <f>IF(C102="","",IF(C102="Instagram",2200,IF(C102="TikTok",2200,IF(C102="Pinterest",500,IF(C102="YouTube",5000,IF(C102="Facebook",63206,IF(C102="X (Twitter)",280,IF(C102="LinkedIn",3000,IF(C102="Threads",500,2200)))))))))</f>
        <v>0</v>
      </c>
      <c r="W102" s="29">
        <f>IF(OR(J102="",V102=""),"",IF(U102&gt;V102,"Too long - trim it",IF(U102&lt;40,"Check - very short","OK")))</f>
        <v>0</v>
      </c>
      <c r="X102" s="23">
        <f>IF(B102="","",COUNTIF('Content Calendar'!$P$5:$P$604,B102))</f>
        <v>0</v>
      </c>
      <c r="Y102" s="16">
        <f>IF(X102=0,"",IF(B102="","",SUMPRODUCT(MAX(('Content Calendar'!$P$5:$P$604=B102)*'Content Calendar'!$B$5:$B$604))))</f>
        <v>0</v>
      </c>
      <c r="Z102" s="24">
        <f>IF(X102=0,"",IFERROR(SUMIFS(Performance!$Z$5:$Z$404,Performance!$J$5:$J$404,B102)/SUMIFS(Performance!$O$5:$O$404,Performance!$J$5:$J$404,B102),""))</f>
        <v>0</v>
      </c>
      <c r="AA102" s="29">
        <f>IF(B102="","",IF(COUNTIF('Caption Bank'!$B$5:$B$204,B102)&gt;1,"Duplicate","OK"))</f>
        <v>0</v>
      </c>
      <c r="AB102" s="29">
        <f>IF(B102="","",IF(R102="Rejected","Rewrite - not approved",IF(J102="","Add - caption not written yet",IF(R102&lt;&gt;"Approved","Check - waiting for approval",IF(X102=0,"Use - never used yet","OK")))))</f>
        <v>0</v>
      </c>
    </row>
    <row r="103" spans="1:28">
      <c r="A103" s="41">
        <f>IF(B103="","",CaptionPrefix&amp;TEXT(ROW()-4,"000"))</f>
        <v>0</v>
      </c>
      <c r="U103" s="23">
        <f>IF(J103="","",LEN(J103))</f>
        <v>0</v>
      </c>
      <c r="V103" s="23">
        <f>IF(C103="","",IF(C103="Instagram",2200,IF(C103="TikTok",2200,IF(C103="Pinterest",500,IF(C103="YouTube",5000,IF(C103="Facebook",63206,IF(C103="X (Twitter)",280,IF(C103="LinkedIn",3000,IF(C103="Threads",500,2200)))))))))</f>
        <v>0</v>
      </c>
      <c r="W103" s="29">
        <f>IF(OR(J103="",V103=""),"",IF(U103&gt;V103,"Too long - trim it",IF(U103&lt;40,"Check - very short","OK")))</f>
        <v>0</v>
      </c>
      <c r="X103" s="23">
        <f>IF(B103="","",COUNTIF('Content Calendar'!$P$5:$P$604,B103))</f>
        <v>0</v>
      </c>
      <c r="Y103" s="16">
        <f>IF(X103=0,"",IF(B103="","",SUMPRODUCT(MAX(('Content Calendar'!$P$5:$P$604=B103)*'Content Calendar'!$B$5:$B$604))))</f>
        <v>0</v>
      </c>
      <c r="Z103" s="24">
        <f>IF(X103=0,"",IFERROR(SUMIFS(Performance!$Z$5:$Z$404,Performance!$J$5:$J$404,B103)/SUMIFS(Performance!$O$5:$O$404,Performance!$J$5:$J$404,B103),""))</f>
        <v>0</v>
      </c>
      <c r="AA103" s="29">
        <f>IF(B103="","",IF(COUNTIF('Caption Bank'!$B$5:$B$204,B103)&gt;1,"Duplicate","OK"))</f>
        <v>0</v>
      </c>
      <c r="AB103" s="29">
        <f>IF(B103="","",IF(R103="Rejected","Rewrite - not approved",IF(J103="","Add - caption not written yet",IF(R103&lt;&gt;"Approved","Check - waiting for approval",IF(X103=0,"Use - never used yet","OK")))))</f>
        <v>0</v>
      </c>
    </row>
    <row r="104" spans="1:28">
      <c r="A104" s="41">
        <f>IF(B104="","",CaptionPrefix&amp;TEXT(ROW()-4,"000"))</f>
        <v>0</v>
      </c>
      <c r="U104" s="23">
        <f>IF(J104="","",LEN(J104))</f>
        <v>0</v>
      </c>
      <c r="V104" s="23">
        <f>IF(C104="","",IF(C104="Instagram",2200,IF(C104="TikTok",2200,IF(C104="Pinterest",500,IF(C104="YouTube",5000,IF(C104="Facebook",63206,IF(C104="X (Twitter)",280,IF(C104="LinkedIn",3000,IF(C104="Threads",500,2200)))))))))</f>
        <v>0</v>
      </c>
      <c r="W104" s="29">
        <f>IF(OR(J104="",V104=""),"",IF(U104&gt;V104,"Too long - trim it",IF(U104&lt;40,"Check - very short","OK")))</f>
        <v>0</v>
      </c>
      <c r="X104" s="23">
        <f>IF(B104="","",COUNTIF('Content Calendar'!$P$5:$P$604,B104))</f>
        <v>0</v>
      </c>
      <c r="Y104" s="16">
        <f>IF(X104=0,"",IF(B104="","",SUMPRODUCT(MAX(('Content Calendar'!$P$5:$P$604=B104)*'Content Calendar'!$B$5:$B$604))))</f>
        <v>0</v>
      </c>
      <c r="Z104" s="24">
        <f>IF(X104=0,"",IFERROR(SUMIFS(Performance!$Z$5:$Z$404,Performance!$J$5:$J$404,B104)/SUMIFS(Performance!$O$5:$O$404,Performance!$J$5:$J$404,B104),""))</f>
        <v>0</v>
      </c>
      <c r="AA104" s="29">
        <f>IF(B104="","",IF(COUNTIF('Caption Bank'!$B$5:$B$204,B104)&gt;1,"Duplicate","OK"))</f>
        <v>0</v>
      </c>
      <c r="AB104" s="29">
        <f>IF(B104="","",IF(R104="Rejected","Rewrite - not approved",IF(J104="","Add - caption not written yet",IF(R104&lt;&gt;"Approved","Check - waiting for approval",IF(X104=0,"Use - never used yet","OK")))))</f>
        <v>0</v>
      </c>
    </row>
    <row r="105" spans="1:28">
      <c r="A105" s="41">
        <f>IF(B105="","",CaptionPrefix&amp;TEXT(ROW()-4,"000"))</f>
        <v>0</v>
      </c>
      <c r="U105" s="23">
        <f>IF(J105="","",LEN(J105))</f>
        <v>0</v>
      </c>
      <c r="V105" s="23">
        <f>IF(C105="","",IF(C105="Instagram",2200,IF(C105="TikTok",2200,IF(C105="Pinterest",500,IF(C105="YouTube",5000,IF(C105="Facebook",63206,IF(C105="X (Twitter)",280,IF(C105="LinkedIn",3000,IF(C105="Threads",500,2200)))))))))</f>
        <v>0</v>
      </c>
      <c r="W105" s="29">
        <f>IF(OR(J105="",V105=""),"",IF(U105&gt;V105,"Too long - trim it",IF(U105&lt;40,"Check - very short","OK")))</f>
        <v>0</v>
      </c>
      <c r="X105" s="23">
        <f>IF(B105="","",COUNTIF('Content Calendar'!$P$5:$P$604,B105))</f>
        <v>0</v>
      </c>
      <c r="Y105" s="16">
        <f>IF(X105=0,"",IF(B105="","",SUMPRODUCT(MAX(('Content Calendar'!$P$5:$P$604=B105)*'Content Calendar'!$B$5:$B$604))))</f>
        <v>0</v>
      </c>
      <c r="Z105" s="24">
        <f>IF(X105=0,"",IFERROR(SUMIFS(Performance!$Z$5:$Z$404,Performance!$J$5:$J$404,B105)/SUMIFS(Performance!$O$5:$O$404,Performance!$J$5:$J$404,B105),""))</f>
        <v>0</v>
      </c>
      <c r="AA105" s="29">
        <f>IF(B105="","",IF(COUNTIF('Caption Bank'!$B$5:$B$204,B105)&gt;1,"Duplicate","OK"))</f>
        <v>0</v>
      </c>
      <c r="AB105" s="29">
        <f>IF(B105="","",IF(R105="Rejected","Rewrite - not approved",IF(J105="","Add - caption not written yet",IF(R105&lt;&gt;"Approved","Check - waiting for approval",IF(X105=0,"Use - never used yet","OK")))))</f>
        <v>0</v>
      </c>
    </row>
    <row r="106" spans="1:28">
      <c r="A106" s="41">
        <f>IF(B106="","",CaptionPrefix&amp;TEXT(ROW()-4,"000"))</f>
        <v>0</v>
      </c>
      <c r="U106" s="23">
        <f>IF(J106="","",LEN(J106))</f>
        <v>0</v>
      </c>
      <c r="V106" s="23">
        <f>IF(C106="","",IF(C106="Instagram",2200,IF(C106="TikTok",2200,IF(C106="Pinterest",500,IF(C106="YouTube",5000,IF(C106="Facebook",63206,IF(C106="X (Twitter)",280,IF(C106="LinkedIn",3000,IF(C106="Threads",500,2200)))))))))</f>
        <v>0</v>
      </c>
      <c r="W106" s="29">
        <f>IF(OR(J106="",V106=""),"",IF(U106&gt;V106,"Too long - trim it",IF(U106&lt;40,"Check - very short","OK")))</f>
        <v>0</v>
      </c>
      <c r="X106" s="23">
        <f>IF(B106="","",COUNTIF('Content Calendar'!$P$5:$P$604,B106))</f>
        <v>0</v>
      </c>
      <c r="Y106" s="16">
        <f>IF(X106=0,"",IF(B106="","",SUMPRODUCT(MAX(('Content Calendar'!$P$5:$P$604=B106)*'Content Calendar'!$B$5:$B$604))))</f>
        <v>0</v>
      </c>
      <c r="Z106" s="24">
        <f>IF(X106=0,"",IFERROR(SUMIFS(Performance!$Z$5:$Z$404,Performance!$J$5:$J$404,B106)/SUMIFS(Performance!$O$5:$O$404,Performance!$J$5:$J$404,B106),""))</f>
        <v>0</v>
      </c>
      <c r="AA106" s="29">
        <f>IF(B106="","",IF(COUNTIF('Caption Bank'!$B$5:$B$204,B106)&gt;1,"Duplicate","OK"))</f>
        <v>0</v>
      </c>
      <c r="AB106" s="29">
        <f>IF(B106="","",IF(R106="Rejected","Rewrite - not approved",IF(J106="","Add - caption not written yet",IF(R106&lt;&gt;"Approved","Check - waiting for approval",IF(X106=0,"Use - never used yet","OK")))))</f>
        <v>0</v>
      </c>
    </row>
    <row r="107" spans="1:28">
      <c r="A107" s="41">
        <f>IF(B107="","",CaptionPrefix&amp;TEXT(ROW()-4,"000"))</f>
        <v>0</v>
      </c>
      <c r="U107" s="23">
        <f>IF(J107="","",LEN(J107))</f>
        <v>0</v>
      </c>
      <c r="V107" s="23">
        <f>IF(C107="","",IF(C107="Instagram",2200,IF(C107="TikTok",2200,IF(C107="Pinterest",500,IF(C107="YouTube",5000,IF(C107="Facebook",63206,IF(C107="X (Twitter)",280,IF(C107="LinkedIn",3000,IF(C107="Threads",500,2200)))))))))</f>
        <v>0</v>
      </c>
      <c r="W107" s="29">
        <f>IF(OR(J107="",V107=""),"",IF(U107&gt;V107,"Too long - trim it",IF(U107&lt;40,"Check - very short","OK")))</f>
        <v>0</v>
      </c>
      <c r="X107" s="23">
        <f>IF(B107="","",COUNTIF('Content Calendar'!$P$5:$P$604,B107))</f>
        <v>0</v>
      </c>
      <c r="Y107" s="16">
        <f>IF(X107=0,"",IF(B107="","",SUMPRODUCT(MAX(('Content Calendar'!$P$5:$P$604=B107)*'Content Calendar'!$B$5:$B$604))))</f>
        <v>0</v>
      </c>
      <c r="Z107" s="24">
        <f>IF(X107=0,"",IFERROR(SUMIFS(Performance!$Z$5:$Z$404,Performance!$J$5:$J$404,B107)/SUMIFS(Performance!$O$5:$O$404,Performance!$J$5:$J$404,B107),""))</f>
        <v>0</v>
      </c>
      <c r="AA107" s="29">
        <f>IF(B107="","",IF(COUNTIF('Caption Bank'!$B$5:$B$204,B107)&gt;1,"Duplicate","OK"))</f>
        <v>0</v>
      </c>
      <c r="AB107" s="29">
        <f>IF(B107="","",IF(R107="Rejected","Rewrite - not approved",IF(J107="","Add - caption not written yet",IF(R107&lt;&gt;"Approved","Check - waiting for approval",IF(X107=0,"Use - never used yet","OK")))))</f>
        <v>0</v>
      </c>
    </row>
    <row r="108" spans="1:28">
      <c r="A108" s="41">
        <f>IF(B108="","",CaptionPrefix&amp;TEXT(ROW()-4,"000"))</f>
        <v>0</v>
      </c>
      <c r="U108" s="23">
        <f>IF(J108="","",LEN(J108))</f>
        <v>0</v>
      </c>
      <c r="V108" s="23">
        <f>IF(C108="","",IF(C108="Instagram",2200,IF(C108="TikTok",2200,IF(C108="Pinterest",500,IF(C108="YouTube",5000,IF(C108="Facebook",63206,IF(C108="X (Twitter)",280,IF(C108="LinkedIn",3000,IF(C108="Threads",500,2200)))))))))</f>
        <v>0</v>
      </c>
      <c r="W108" s="29">
        <f>IF(OR(J108="",V108=""),"",IF(U108&gt;V108,"Too long - trim it",IF(U108&lt;40,"Check - very short","OK")))</f>
        <v>0</v>
      </c>
      <c r="X108" s="23">
        <f>IF(B108="","",COUNTIF('Content Calendar'!$P$5:$P$604,B108))</f>
        <v>0</v>
      </c>
      <c r="Y108" s="16">
        <f>IF(X108=0,"",IF(B108="","",SUMPRODUCT(MAX(('Content Calendar'!$P$5:$P$604=B108)*'Content Calendar'!$B$5:$B$604))))</f>
        <v>0</v>
      </c>
      <c r="Z108" s="24">
        <f>IF(X108=0,"",IFERROR(SUMIFS(Performance!$Z$5:$Z$404,Performance!$J$5:$J$404,B108)/SUMIFS(Performance!$O$5:$O$404,Performance!$J$5:$J$404,B108),""))</f>
        <v>0</v>
      </c>
      <c r="AA108" s="29">
        <f>IF(B108="","",IF(COUNTIF('Caption Bank'!$B$5:$B$204,B108)&gt;1,"Duplicate","OK"))</f>
        <v>0</v>
      </c>
      <c r="AB108" s="29">
        <f>IF(B108="","",IF(R108="Rejected","Rewrite - not approved",IF(J108="","Add - caption not written yet",IF(R108&lt;&gt;"Approved","Check - waiting for approval",IF(X108=0,"Use - never used yet","OK")))))</f>
        <v>0</v>
      </c>
    </row>
    <row r="109" spans="1:28">
      <c r="A109" s="41">
        <f>IF(B109="","",CaptionPrefix&amp;TEXT(ROW()-4,"000"))</f>
        <v>0</v>
      </c>
      <c r="U109" s="23">
        <f>IF(J109="","",LEN(J109))</f>
        <v>0</v>
      </c>
      <c r="V109" s="23">
        <f>IF(C109="","",IF(C109="Instagram",2200,IF(C109="TikTok",2200,IF(C109="Pinterest",500,IF(C109="YouTube",5000,IF(C109="Facebook",63206,IF(C109="X (Twitter)",280,IF(C109="LinkedIn",3000,IF(C109="Threads",500,2200)))))))))</f>
        <v>0</v>
      </c>
      <c r="W109" s="29">
        <f>IF(OR(J109="",V109=""),"",IF(U109&gt;V109,"Too long - trim it",IF(U109&lt;40,"Check - very short","OK")))</f>
        <v>0</v>
      </c>
      <c r="X109" s="23">
        <f>IF(B109="","",COUNTIF('Content Calendar'!$P$5:$P$604,B109))</f>
        <v>0</v>
      </c>
      <c r="Y109" s="16">
        <f>IF(X109=0,"",IF(B109="","",SUMPRODUCT(MAX(('Content Calendar'!$P$5:$P$604=B109)*'Content Calendar'!$B$5:$B$604))))</f>
        <v>0</v>
      </c>
      <c r="Z109" s="24">
        <f>IF(X109=0,"",IFERROR(SUMIFS(Performance!$Z$5:$Z$404,Performance!$J$5:$J$404,B109)/SUMIFS(Performance!$O$5:$O$404,Performance!$J$5:$J$404,B109),""))</f>
        <v>0</v>
      </c>
      <c r="AA109" s="29">
        <f>IF(B109="","",IF(COUNTIF('Caption Bank'!$B$5:$B$204,B109)&gt;1,"Duplicate","OK"))</f>
        <v>0</v>
      </c>
      <c r="AB109" s="29">
        <f>IF(B109="","",IF(R109="Rejected","Rewrite - not approved",IF(J109="","Add - caption not written yet",IF(R109&lt;&gt;"Approved","Check - waiting for approval",IF(X109=0,"Use - never used yet","OK")))))</f>
        <v>0</v>
      </c>
    </row>
    <row r="110" spans="1:28">
      <c r="A110" s="41">
        <f>IF(B110="","",CaptionPrefix&amp;TEXT(ROW()-4,"000"))</f>
        <v>0</v>
      </c>
      <c r="U110" s="23">
        <f>IF(J110="","",LEN(J110))</f>
        <v>0</v>
      </c>
      <c r="V110" s="23">
        <f>IF(C110="","",IF(C110="Instagram",2200,IF(C110="TikTok",2200,IF(C110="Pinterest",500,IF(C110="YouTube",5000,IF(C110="Facebook",63206,IF(C110="X (Twitter)",280,IF(C110="LinkedIn",3000,IF(C110="Threads",500,2200)))))))))</f>
        <v>0</v>
      </c>
      <c r="W110" s="29">
        <f>IF(OR(J110="",V110=""),"",IF(U110&gt;V110,"Too long - trim it",IF(U110&lt;40,"Check - very short","OK")))</f>
        <v>0</v>
      </c>
      <c r="X110" s="23">
        <f>IF(B110="","",COUNTIF('Content Calendar'!$P$5:$P$604,B110))</f>
        <v>0</v>
      </c>
      <c r="Y110" s="16">
        <f>IF(X110=0,"",IF(B110="","",SUMPRODUCT(MAX(('Content Calendar'!$P$5:$P$604=B110)*'Content Calendar'!$B$5:$B$604))))</f>
        <v>0</v>
      </c>
      <c r="Z110" s="24">
        <f>IF(X110=0,"",IFERROR(SUMIFS(Performance!$Z$5:$Z$404,Performance!$J$5:$J$404,B110)/SUMIFS(Performance!$O$5:$O$404,Performance!$J$5:$J$404,B110),""))</f>
        <v>0</v>
      </c>
      <c r="AA110" s="29">
        <f>IF(B110="","",IF(COUNTIF('Caption Bank'!$B$5:$B$204,B110)&gt;1,"Duplicate","OK"))</f>
        <v>0</v>
      </c>
      <c r="AB110" s="29">
        <f>IF(B110="","",IF(R110="Rejected","Rewrite - not approved",IF(J110="","Add - caption not written yet",IF(R110&lt;&gt;"Approved","Check - waiting for approval",IF(X110=0,"Use - never used yet","OK")))))</f>
        <v>0</v>
      </c>
    </row>
    <row r="111" spans="1:28">
      <c r="A111" s="41">
        <f>IF(B111="","",CaptionPrefix&amp;TEXT(ROW()-4,"000"))</f>
        <v>0</v>
      </c>
      <c r="U111" s="23">
        <f>IF(J111="","",LEN(J111))</f>
        <v>0</v>
      </c>
      <c r="V111" s="23">
        <f>IF(C111="","",IF(C111="Instagram",2200,IF(C111="TikTok",2200,IF(C111="Pinterest",500,IF(C111="YouTube",5000,IF(C111="Facebook",63206,IF(C111="X (Twitter)",280,IF(C111="LinkedIn",3000,IF(C111="Threads",500,2200)))))))))</f>
        <v>0</v>
      </c>
      <c r="W111" s="29">
        <f>IF(OR(J111="",V111=""),"",IF(U111&gt;V111,"Too long - trim it",IF(U111&lt;40,"Check - very short","OK")))</f>
        <v>0</v>
      </c>
      <c r="X111" s="23">
        <f>IF(B111="","",COUNTIF('Content Calendar'!$P$5:$P$604,B111))</f>
        <v>0</v>
      </c>
      <c r="Y111" s="16">
        <f>IF(X111=0,"",IF(B111="","",SUMPRODUCT(MAX(('Content Calendar'!$P$5:$P$604=B111)*'Content Calendar'!$B$5:$B$604))))</f>
        <v>0</v>
      </c>
      <c r="Z111" s="24">
        <f>IF(X111=0,"",IFERROR(SUMIFS(Performance!$Z$5:$Z$404,Performance!$J$5:$J$404,B111)/SUMIFS(Performance!$O$5:$O$404,Performance!$J$5:$J$404,B111),""))</f>
        <v>0</v>
      </c>
      <c r="AA111" s="29">
        <f>IF(B111="","",IF(COUNTIF('Caption Bank'!$B$5:$B$204,B111)&gt;1,"Duplicate","OK"))</f>
        <v>0</v>
      </c>
      <c r="AB111" s="29">
        <f>IF(B111="","",IF(R111="Rejected","Rewrite - not approved",IF(J111="","Add - caption not written yet",IF(R111&lt;&gt;"Approved","Check - waiting for approval",IF(X111=0,"Use - never used yet","OK")))))</f>
        <v>0</v>
      </c>
    </row>
    <row r="112" spans="1:28">
      <c r="A112" s="41">
        <f>IF(B112="","",CaptionPrefix&amp;TEXT(ROW()-4,"000"))</f>
        <v>0</v>
      </c>
      <c r="U112" s="23">
        <f>IF(J112="","",LEN(J112))</f>
        <v>0</v>
      </c>
      <c r="V112" s="23">
        <f>IF(C112="","",IF(C112="Instagram",2200,IF(C112="TikTok",2200,IF(C112="Pinterest",500,IF(C112="YouTube",5000,IF(C112="Facebook",63206,IF(C112="X (Twitter)",280,IF(C112="LinkedIn",3000,IF(C112="Threads",500,2200)))))))))</f>
        <v>0</v>
      </c>
      <c r="W112" s="29">
        <f>IF(OR(J112="",V112=""),"",IF(U112&gt;V112,"Too long - trim it",IF(U112&lt;40,"Check - very short","OK")))</f>
        <v>0</v>
      </c>
      <c r="X112" s="23">
        <f>IF(B112="","",COUNTIF('Content Calendar'!$P$5:$P$604,B112))</f>
        <v>0</v>
      </c>
      <c r="Y112" s="16">
        <f>IF(X112=0,"",IF(B112="","",SUMPRODUCT(MAX(('Content Calendar'!$P$5:$P$604=B112)*'Content Calendar'!$B$5:$B$604))))</f>
        <v>0</v>
      </c>
      <c r="Z112" s="24">
        <f>IF(X112=0,"",IFERROR(SUMIFS(Performance!$Z$5:$Z$404,Performance!$J$5:$J$404,B112)/SUMIFS(Performance!$O$5:$O$404,Performance!$J$5:$J$404,B112),""))</f>
        <v>0</v>
      </c>
      <c r="AA112" s="29">
        <f>IF(B112="","",IF(COUNTIF('Caption Bank'!$B$5:$B$204,B112)&gt;1,"Duplicate","OK"))</f>
        <v>0</v>
      </c>
      <c r="AB112" s="29">
        <f>IF(B112="","",IF(R112="Rejected","Rewrite - not approved",IF(J112="","Add - caption not written yet",IF(R112&lt;&gt;"Approved","Check - waiting for approval",IF(X112=0,"Use - never used yet","OK")))))</f>
        <v>0</v>
      </c>
    </row>
    <row r="113" spans="1:28">
      <c r="A113" s="41">
        <f>IF(B113="","",CaptionPrefix&amp;TEXT(ROW()-4,"000"))</f>
        <v>0</v>
      </c>
      <c r="U113" s="23">
        <f>IF(J113="","",LEN(J113))</f>
        <v>0</v>
      </c>
      <c r="V113" s="23">
        <f>IF(C113="","",IF(C113="Instagram",2200,IF(C113="TikTok",2200,IF(C113="Pinterest",500,IF(C113="YouTube",5000,IF(C113="Facebook",63206,IF(C113="X (Twitter)",280,IF(C113="LinkedIn",3000,IF(C113="Threads",500,2200)))))))))</f>
        <v>0</v>
      </c>
      <c r="W113" s="29">
        <f>IF(OR(J113="",V113=""),"",IF(U113&gt;V113,"Too long - trim it",IF(U113&lt;40,"Check - very short","OK")))</f>
        <v>0</v>
      </c>
      <c r="X113" s="23">
        <f>IF(B113="","",COUNTIF('Content Calendar'!$P$5:$P$604,B113))</f>
        <v>0</v>
      </c>
      <c r="Y113" s="16">
        <f>IF(X113=0,"",IF(B113="","",SUMPRODUCT(MAX(('Content Calendar'!$P$5:$P$604=B113)*'Content Calendar'!$B$5:$B$604))))</f>
        <v>0</v>
      </c>
      <c r="Z113" s="24">
        <f>IF(X113=0,"",IFERROR(SUMIFS(Performance!$Z$5:$Z$404,Performance!$J$5:$J$404,B113)/SUMIFS(Performance!$O$5:$O$404,Performance!$J$5:$J$404,B113),""))</f>
        <v>0</v>
      </c>
      <c r="AA113" s="29">
        <f>IF(B113="","",IF(COUNTIF('Caption Bank'!$B$5:$B$204,B113)&gt;1,"Duplicate","OK"))</f>
        <v>0</v>
      </c>
      <c r="AB113" s="29">
        <f>IF(B113="","",IF(R113="Rejected","Rewrite - not approved",IF(J113="","Add - caption not written yet",IF(R113&lt;&gt;"Approved","Check - waiting for approval",IF(X113=0,"Use - never used yet","OK")))))</f>
        <v>0</v>
      </c>
    </row>
    <row r="114" spans="1:28">
      <c r="A114" s="41">
        <f>IF(B114="","",CaptionPrefix&amp;TEXT(ROW()-4,"000"))</f>
        <v>0</v>
      </c>
      <c r="U114" s="23">
        <f>IF(J114="","",LEN(J114))</f>
        <v>0</v>
      </c>
      <c r="V114" s="23">
        <f>IF(C114="","",IF(C114="Instagram",2200,IF(C114="TikTok",2200,IF(C114="Pinterest",500,IF(C114="YouTube",5000,IF(C114="Facebook",63206,IF(C114="X (Twitter)",280,IF(C114="LinkedIn",3000,IF(C114="Threads",500,2200)))))))))</f>
        <v>0</v>
      </c>
      <c r="W114" s="29">
        <f>IF(OR(J114="",V114=""),"",IF(U114&gt;V114,"Too long - trim it",IF(U114&lt;40,"Check - very short","OK")))</f>
        <v>0</v>
      </c>
      <c r="X114" s="23">
        <f>IF(B114="","",COUNTIF('Content Calendar'!$P$5:$P$604,B114))</f>
        <v>0</v>
      </c>
      <c r="Y114" s="16">
        <f>IF(X114=0,"",IF(B114="","",SUMPRODUCT(MAX(('Content Calendar'!$P$5:$P$604=B114)*'Content Calendar'!$B$5:$B$604))))</f>
        <v>0</v>
      </c>
      <c r="Z114" s="24">
        <f>IF(X114=0,"",IFERROR(SUMIFS(Performance!$Z$5:$Z$404,Performance!$J$5:$J$404,B114)/SUMIFS(Performance!$O$5:$O$404,Performance!$J$5:$J$404,B114),""))</f>
        <v>0</v>
      </c>
      <c r="AA114" s="29">
        <f>IF(B114="","",IF(COUNTIF('Caption Bank'!$B$5:$B$204,B114)&gt;1,"Duplicate","OK"))</f>
        <v>0</v>
      </c>
      <c r="AB114" s="29">
        <f>IF(B114="","",IF(R114="Rejected","Rewrite - not approved",IF(J114="","Add - caption not written yet",IF(R114&lt;&gt;"Approved","Check - waiting for approval",IF(X114=0,"Use - never used yet","OK")))))</f>
        <v>0</v>
      </c>
    </row>
    <row r="115" spans="1:28">
      <c r="A115" s="41">
        <f>IF(B115="","",CaptionPrefix&amp;TEXT(ROW()-4,"000"))</f>
        <v>0</v>
      </c>
      <c r="U115" s="23">
        <f>IF(J115="","",LEN(J115))</f>
        <v>0</v>
      </c>
      <c r="V115" s="23">
        <f>IF(C115="","",IF(C115="Instagram",2200,IF(C115="TikTok",2200,IF(C115="Pinterest",500,IF(C115="YouTube",5000,IF(C115="Facebook",63206,IF(C115="X (Twitter)",280,IF(C115="LinkedIn",3000,IF(C115="Threads",500,2200)))))))))</f>
        <v>0</v>
      </c>
      <c r="W115" s="29">
        <f>IF(OR(J115="",V115=""),"",IF(U115&gt;V115,"Too long - trim it",IF(U115&lt;40,"Check - very short","OK")))</f>
        <v>0</v>
      </c>
      <c r="X115" s="23">
        <f>IF(B115="","",COUNTIF('Content Calendar'!$P$5:$P$604,B115))</f>
        <v>0</v>
      </c>
      <c r="Y115" s="16">
        <f>IF(X115=0,"",IF(B115="","",SUMPRODUCT(MAX(('Content Calendar'!$P$5:$P$604=B115)*'Content Calendar'!$B$5:$B$604))))</f>
        <v>0</v>
      </c>
      <c r="Z115" s="24">
        <f>IF(X115=0,"",IFERROR(SUMIFS(Performance!$Z$5:$Z$404,Performance!$J$5:$J$404,B115)/SUMIFS(Performance!$O$5:$O$404,Performance!$J$5:$J$404,B115),""))</f>
        <v>0</v>
      </c>
      <c r="AA115" s="29">
        <f>IF(B115="","",IF(COUNTIF('Caption Bank'!$B$5:$B$204,B115)&gt;1,"Duplicate","OK"))</f>
        <v>0</v>
      </c>
      <c r="AB115" s="29">
        <f>IF(B115="","",IF(R115="Rejected","Rewrite - not approved",IF(J115="","Add - caption not written yet",IF(R115&lt;&gt;"Approved","Check - waiting for approval",IF(X115=0,"Use - never used yet","OK")))))</f>
        <v>0</v>
      </c>
    </row>
    <row r="116" spans="1:28">
      <c r="A116" s="41">
        <f>IF(B116="","",CaptionPrefix&amp;TEXT(ROW()-4,"000"))</f>
        <v>0</v>
      </c>
      <c r="U116" s="23">
        <f>IF(J116="","",LEN(J116))</f>
        <v>0</v>
      </c>
      <c r="V116" s="23">
        <f>IF(C116="","",IF(C116="Instagram",2200,IF(C116="TikTok",2200,IF(C116="Pinterest",500,IF(C116="YouTube",5000,IF(C116="Facebook",63206,IF(C116="X (Twitter)",280,IF(C116="LinkedIn",3000,IF(C116="Threads",500,2200)))))))))</f>
        <v>0</v>
      </c>
      <c r="W116" s="29">
        <f>IF(OR(J116="",V116=""),"",IF(U116&gt;V116,"Too long - trim it",IF(U116&lt;40,"Check - very short","OK")))</f>
        <v>0</v>
      </c>
      <c r="X116" s="23">
        <f>IF(B116="","",COUNTIF('Content Calendar'!$P$5:$P$604,B116))</f>
        <v>0</v>
      </c>
      <c r="Y116" s="16">
        <f>IF(X116=0,"",IF(B116="","",SUMPRODUCT(MAX(('Content Calendar'!$P$5:$P$604=B116)*'Content Calendar'!$B$5:$B$604))))</f>
        <v>0</v>
      </c>
      <c r="Z116" s="24">
        <f>IF(X116=0,"",IFERROR(SUMIFS(Performance!$Z$5:$Z$404,Performance!$J$5:$J$404,B116)/SUMIFS(Performance!$O$5:$O$404,Performance!$J$5:$J$404,B116),""))</f>
        <v>0</v>
      </c>
      <c r="AA116" s="29">
        <f>IF(B116="","",IF(COUNTIF('Caption Bank'!$B$5:$B$204,B116)&gt;1,"Duplicate","OK"))</f>
        <v>0</v>
      </c>
      <c r="AB116" s="29">
        <f>IF(B116="","",IF(R116="Rejected","Rewrite - not approved",IF(J116="","Add - caption not written yet",IF(R116&lt;&gt;"Approved","Check - waiting for approval",IF(X116=0,"Use - never used yet","OK")))))</f>
        <v>0</v>
      </c>
    </row>
    <row r="117" spans="1:28">
      <c r="A117" s="41">
        <f>IF(B117="","",CaptionPrefix&amp;TEXT(ROW()-4,"000"))</f>
        <v>0</v>
      </c>
      <c r="U117" s="23">
        <f>IF(J117="","",LEN(J117))</f>
        <v>0</v>
      </c>
      <c r="V117" s="23">
        <f>IF(C117="","",IF(C117="Instagram",2200,IF(C117="TikTok",2200,IF(C117="Pinterest",500,IF(C117="YouTube",5000,IF(C117="Facebook",63206,IF(C117="X (Twitter)",280,IF(C117="LinkedIn",3000,IF(C117="Threads",500,2200)))))))))</f>
        <v>0</v>
      </c>
      <c r="W117" s="29">
        <f>IF(OR(J117="",V117=""),"",IF(U117&gt;V117,"Too long - trim it",IF(U117&lt;40,"Check - very short","OK")))</f>
        <v>0</v>
      </c>
      <c r="X117" s="23">
        <f>IF(B117="","",COUNTIF('Content Calendar'!$P$5:$P$604,B117))</f>
        <v>0</v>
      </c>
      <c r="Y117" s="16">
        <f>IF(X117=0,"",IF(B117="","",SUMPRODUCT(MAX(('Content Calendar'!$P$5:$P$604=B117)*'Content Calendar'!$B$5:$B$604))))</f>
        <v>0</v>
      </c>
      <c r="Z117" s="24">
        <f>IF(X117=0,"",IFERROR(SUMIFS(Performance!$Z$5:$Z$404,Performance!$J$5:$J$404,B117)/SUMIFS(Performance!$O$5:$O$404,Performance!$J$5:$J$404,B117),""))</f>
        <v>0</v>
      </c>
      <c r="AA117" s="29">
        <f>IF(B117="","",IF(COUNTIF('Caption Bank'!$B$5:$B$204,B117)&gt;1,"Duplicate","OK"))</f>
        <v>0</v>
      </c>
      <c r="AB117" s="29">
        <f>IF(B117="","",IF(R117="Rejected","Rewrite - not approved",IF(J117="","Add - caption not written yet",IF(R117&lt;&gt;"Approved","Check - waiting for approval",IF(X117=0,"Use - never used yet","OK")))))</f>
        <v>0</v>
      </c>
    </row>
    <row r="118" spans="1:28">
      <c r="A118" s="41">
        <f>IF(B118="","",CaptionPrefix&amp;TEXT(ROW()-4,"000"))</f>
        <v>0</v>
      </c>
      <c r="U118" s="23">
        <f>IF(J118="","",LEN(J118))</f>
        <v>0</v>
      </c>
      <c r="V118" s="23">
        <f>IF(C118="","",IF(C118="Instagram",2200,IF(C118="TikTok",2200,IF(C118="Pinterest",500,IF(C118="YouTube",5000,IF(C118="Facebook",63206,IF(C118="X (Twitter)",280,IF(C118="LinkedIn",3000,IF(C118="Threads",500,2200)))))))))</f>
        <v>0</v>
      </c>
      <c r="W118" s="29">
        <f>IF(OR(J118="",V118=""),"",IF(U118&gt;V118,"Too long - trim it",IF(U118&lt;40,"Check - very short","OK")))</f>
        <v>0</v>
      </c>
      <c r="X118" s="23">
        <f>IF(B118="","",COUNTIF('Content Calendar'!$P$5:$P$604,B118))</f>
        <v>0</v>
      </c>
      <c r="Y118" s="16">
        <f>IF(X118=0,"",IF(B118="","",SUMPRODUCT(MAX(('Content Calendar'!$P$5:$P$604=B118)*'Content Calendar'!$B$5:$B$604))))</f>
        <v>0</v>
      </c>
      <c r="Z118" s="24">
        <f>IF(X118=0,"",IFERROR(SUMIFS(Performance!$Z$5:$Z$404,Performance!$J$5:$J$404,B118)/SUMIFS(Performance!$O$5:$O$404,Performance!$J$5:$J$404,B118),""))</f>
        <v>0</v>
      </c>
      <c r="AA118" s="29">
        <f>IF(B118="","",IF(COUNTIF('Caption Bank'!$B$5:$B$204,B118)&gt;1,"Duplicate","OK"))</f>
        <v>0</v>
      </c>
      <c r="AB118" s="29">
        <f>IF(B118="","",IF(R118="Rejected","Rewrite - not approved",IF(J118="","Add - caption not written yet",IF(R118&lt;&gt;"Approved","Check - waiting for approval",IF(X118=0,"Use - never used yet","OK")))))</f>
        <v>0</v>
      </c>
    </row>
    <row r="119" spans="1:28">
      <c r="A119" s="41">
        <f>IF(B119="","",CaptionPrefix&amp;TEXT(ROW()-4,"000"))</f>
        <v>0</v>
      </c>
      <c r="U119" s="23">
        <f>IF(J119="","",LEN(J119))</f>
        <v>0</v>
      </c>
      <c r="V119" s="23">
        <f>IF(C119="","",IF(C119="Instagram",2200,IF(C119="TikTok",2200,IF(C119="Pinterest",500,IF(C119="YouTube",5000,IF(C119="Facebook",63206,IF(C119="X (Twitter)",280,IF(C119="LinkedIn",3000,IF(C119="Threads",500,2200)))))))))</f>
        <v>0</v>
      </c>
      <c r="W119" s="29">
        <f>IF(OR(J119="",V119=""),"",IF(U119&gt;V119,"Too long - trim it",IF(U119&lt;40,"Check - very short","OK")))</f>
        <v>0</v>
      </c>
      <c r="X119" s="23">
        <f>IF(B119="","",COUNTIF('Content Calendar'!$P$5:$P$604,B119))</f>
        <v>0</v>
      </c>
      <c r="Y119" s="16">
        <f>IF(X119=0,"",IF(B119="","",SUMPRODUCT(MAX(('Content Calendar'!$P$5:$P$604=B119)*'Content Calendar'!$B$5:$B$604))))</f>
        <v>0</v>
      </c>
      <c r="Z119" s="24">
        <f>IF(X119=0,"",IFERROR(SUMIFS(Performance!$Z$5:$Z$404,Performance!$J$5:$J$404,B119)/SUMIFS(Performance!$O$5:$O$404,Performance!$J$5:$J$404,B119),""))</f>
        <v>0</v>
      </c>
      <c r="AA119" s="29">
        <f>IF(B119="","",IF(COUNTIF('Caption Bank'!$B$5:$B$204,B119)&gt;1,"Duplicate","OK"))</f>
        <v>0</v>
      </c>
      <c r="AB119" s="29">
        <f>IF(B119="","",IF(R119="Rejected","Rewrite - not approved",IF(J119="","Add - caption not written yet",IF(R119&lt;&gt;"Approved","Check - waiting for approval",IF(X119=0,"Use - never used yet","OK")))))</f>
        <v>0</v>
      </c>
    </row>
    <row r="120" spans="1:28">
      <c r="A120" s="41">
        <f>IF(B120="","",CaptionPrefix&amp;TEXT(ROW()-4,"000"))</f>
        <v>0</v>
      </c>
      <c r="U120" s="23">
        <f>IF(J120="","",LEN(J120))</f>
        <v>0</v>
      </c>
      <c r="V120" s="23">
        <f>IF(C120="","",IF(C120="Instagram",2200,IF(C120="TikTok",2200,IF(C120="Pinterest",500,IF(C120="YouTube",5000,IF(C120="Facebook",63206,IF(C120="X (Twitter)",280,IF(C120="LinkedIn",3000,IF(C120="Threads",500,2200)))))))))</f>
        <v>0</v>
      </c>
      <c r="W120" s="29">
        <f>IF(OR(J120="",V120=""),"",IF(U120&gt;V120,"Too long - trim it",IF(U120&lt;40,"Check - very short","OK")))</f>
        <v>0</v>
      </c>
      <c r="X120" s="23">
        <f>IF(B120="","",COUNTIF('Content Calendar'!$P$5:$P$604,B120))</f>
        <v>0</v>
      </c>
      <c r="Y120" s="16">
        <f>IF(X120=0,"",IF(B120="","",SUMPRODUCT(MAX(('Content Calendar'!$P$5:$P$604=B120)*'Content Calendar'!$B$5:$B$604))))</f>
        <v>0</v>
      </c>
      <c r="Z120" s="24">
        <f>IF(X120=0,"",IFERROR(SUMIFS(Performance!$Z$5:$Z$404,Performance!$J$5:$J$404,B120)/SUMIFS(Performance!$O$5:$O$404,Performance!$J$5:$J$404,B120),""))</f>
        <v>0</v>
      </c>
      <c r="AA120" s="29">
        <f>IF(B120="","",IF(COUNTIF('Caption Bank'!$B$5:$B$204,B120)&gt;1,"Duplicate","OK"))</f>
        <v>0</v>
      </c>
      <c r="AB120" s="29">
        <f>IF(B120="","",IF(R120="Rejected","Rewrite - not approved",IF(J120="","Add - caption not written yet",IF(R120&lt;&gt;"Approved","Check - waiting for approval",IF(X120=0,"Use - never used yet","OK")))))</f>
        <v>0</v>
      </c>
    </row>
    <row r="121" spans="1:28">
      <c r="A121" s="41">
        <f>IF(B121="","",CaptionPrefix&amp;TEXT(ROW()-4,"000"))</f>
        <v>0</v>
      </c>
      <c r="U121" s="23">
        <f>IF(J121="","",LEN(J121))</f>
        <v>0</v>
      </c>
      <c r="V121" s="23">
        <f>IF(C121="","",IF(C121="Instagram",2200,IF(C121="TikTok",2200,IF(C121="Pinterest",500,IF(C121="YouTube",5000,IF(C121="Facebook",63206,IF(C121="X (Twitter)",280,IF(C121="LinkedIn",3000,IF(C121="Threads",500,2200)))))))))</f>
        <v>0</v>
      </c>
      <c r="W121" s="29">
        <f>IF(OR(J121="",V121=""),"",IF(U121&gt;V121,"Too long - trim it",IF(U121&lt;40,"Check - very short","OK")))</f>
        <v>0</v>
      </c>
      <c r="X121" s="23">
        <f>IF(B121="","",COUNTIF('Content Calendar'!$P$5:$P$604,B121))</f>
        <v>0</v>
      </c>
      <c r="Y121" s="16">
        <f>IF(X121=0,"",IF(B121="","",SUMPRODUCT(MAX(('Content Calendar'!$P$5:$P$604=B121)*'Content Calendar'!$B$5:$B$604))))</f>
        <v>0</v>
      </c>
      <c r="Z121" s="24">
        <f>IF(X121=0,"",IFERROR(SUMIFS(Performance!$Z$5:$Z$404,Performance!$J$5:$J$404,B121)/SUMIFS(Performance!$O$5:$O$404,Performance!$J$5:$J$404,B121),""))</f>
        <v>0</v>
      </c>
      <c r="AA121" s="29">
        <f>IF(B121="","",IF(COUNTIF('Caption Bank'!$B$5:$B$204,B121)&gt;1,"Duplicate","OK"))</f>
        <v>0</v>
      </c>
      <c r="AB121" s="29">
        <f>IF(B121="","",IF(R121="Rejected","Rewrite - not approved",IF(J121="","Add - caption not written yet",IF(R121&lt;&gt;"Approved","Check - waiting for approval",IF(X121=0,"Use - never used yet","OK")))))</f>
        <v>0</v>
      </c>
    </row>
    <row r="122" spans="1:28">
      <c r="A122" s="41">
        <f>IF(B122="","",CaptionPrefix&amp;TEXT(ROW()-4,"000"))</f>
        <v>0</v>
      </c>
      <c r="U122" s="23">
        <f>IF(J122="","",LEN(J122))</f>
        <v>0</v>
      </c>
      <c r="V122" s="23">
        <f>IF(C122="","",IF(C122="Instagram",2200,IF(C122="TikTok",2200,IF(C122="Pinterest",500,IF(C122="YouTube",5000,IF(C122="Facebook",63206,IF(C122="X (Twitter)",280,IF(C122="LinkedIn",3000,IF(C122="Threads",500,2200)))))))))</f>
        <v>0</v>
      </c>
      <c r="W122" s="29">
        <f>IF(OR(J122="",V122=""),"",IF(U122&gt;V122,"Too long - trim it",IF(U122&lt;40,"Check - very short","OK")))</f>
        <v>0</v>
      </c>
      <c r="X122" s="23">
        <f>IF(B122="","",COUNTIF('Content Calendar'!$P$5:$P$604,B122))</f>
        <v>0</v>
      </c>
      <c r="Y122" s="16">
        <f>IF(X122=0,"",IF(B122="","",SUMPRODUCT(MAX(('Content Calendar'!$P$5:$P$604=B122)*'Content Calendar'!$B$5:$B$604))))</f>
        <v>0</v>
      </c>
      <c r="Z122" s="24">
        <f>IF(X122=0,"",IFERROR(SUMIFS(Performance!$Z$5:$Z$404,Performance!$J$5:$J$404,B122)/SUMIFS(Performance!$O$5:$O$404,Performance!$J$5:$J$404,B122),""))</f>
        <v>0</v>
      </c>
      <c r="AA122" s="29">
        <f>IF(B122="","",IF(COUNTIF('Caption Bank'!$B$5:$B$204,B122)&gt;1,"Duplicate","OK"))</f>
        <v>0</v>
      </c>
      <c r="AB122" s="29">
        <f>IF(B122="","",IF(R122="Rejected","Rewrite - not approved",IF(J122="","Add - caption not written yet",IF(R122&lt;&gt;"Approved","Check - waiting for approval",IF(X122=0,"Use - never used yet","OK")))))</f>
        <v>0</v>
      </c>
    </row>
    <row r="123" spans="1:28">
      <c r="A123" s="41">
        <f>IF(B123="","",CaptionPrefix&amp;TEXT(ROW()-4,"000"))</f>
        <v>0</v>
      </c>
      <c r="U123" s="23">
        <f>IF(J123="","",LEN(J123))</f>
        <v>0</v>
      </c>
      <c r="V123" s="23">
        <f>IF(C123="","",IF(C123="Instagram",2200,IF(C123="TikTok",2200,IF(C123="Pinterest",500,IF(C123="YouTube",5000,IF(C123="Facebook",63206,IF(C123="X (Twitter)",280,IF(C123="LinkedIn",3000,IF(C123="Threads",500,2200)))))))))</f>
        <v>0</v>
      </c>
      <c r="W123" s="29">
        <f>IF(OR(J123="",V123=""),"",IF(U123&gt;V123,"Too long - trim it",IF(U123&lt;40,"Check - very short","OK")))</f>
        <v>0</v>
      </c>
      <c r="X123" s="23">
        <f>IF(B123="","",COUNTIF('Content Calendar'!$P$5:$P$604,B123))</f>
        <v>0</v>
      </c>
      <c r="Y123" s="16">
        <f>IF(X123=0,"",IF(B123="","",SUMPRODUCT(MAX(('Content Calendar'!$P$5:$P$604=B123)*'Content Calendar'!$B$5:$B$604))))</f>
        <v>0</v>
      </c>
      <c r="Z123" s="24">
        <f>IF(X123=0,"",IFERROR(SUMIFS(Performance!$Z$5:$Z$404,Performance!$J$5:$J$404,B123)/SUMIFS(Performance!$O$5:$O$404,Performance!$J$5:$J$404,B123),""))</f>
        <v>0</v>
      </c>
      <c r="AA123" s="29">
        <f>IF(B123="","",IF(COUNTIF('Caption Bank'!$B$5:$B$204,B123)&gt;1,"Duplicate","OK"))</f>
        <v>0</v>
      </c>
      <c r="AB123" s="29">
        <f>IF(B123="","",IF(R123="Rejected","Rewrite - not approved",IF(J123="","Add - caption not written yet",IF(R123&lt;&gt;"Approved","Check - waiting for approval",IF(X123=0,"Use - never used yet","OK")))))</f>
        <v>0</v>
      </c>
    </row>
    <row r="124" spans="1:28">
      <c r="A124" s="41">
        <f>IF(B124="","",CaptionPrefix&amp;TEXT(ROW()-4,"000"))</f>
        <v>0</v>
      </c>
      <c r="U124" s="23">
        <f>IF(J124="","",LEN(J124))</f>
        <v>0</v>
      </c>
      <c r="V124" s="23">
        <f>IF(C124="","",IF(C124="Instagram",2200,IF(C124="TikTok",2200,IF(C124="Pinterest",500,IF(C124="YouTube",5000,IF(C124="Facebook",63206,IF(C124="X (Twitter)",280,IF(C124="LinkedIn",3000,IF(C124="Threads",500,2200)))))))))</f>
        <v>0</v>
      </c>
      <c r="W124" s="29">
        <f>IF(OR(J124="",V124=""),"",IF(U124&gt;V124,"Too long - trim it",IF(U124&lt;40,"Check - very short","OK")))</f>
        <v>0</v>
      </c>
      <c r="X124" s="23">
        <f>IF(B124="","",COUNTIF('Content Calendar'!$P$5:$P$604,B124))</f>
        <v>0</v>
      </c>
      <c r="Y124" s="16">
        <f>IF(X124=0,"",IF(B124="","",SUMPRODUCT(MAX(('Content Calendar'!$P$5:$P$604=B124)*'Content Calendar'!$B$5:$B$604))))</f>
        <v>0</v>
      </c>
      <c r="Z124" s="24">
        <f>IF(X124=0,"",IFERROR(SUMIFS(Performance!$Z$5:$Z$404,Performance!$J$5:$J$404,B124)/SUMIFS(Performance!$O$5:$O$404,Performance!$J$5:$J$404,B124),""))</f>
        <v>0</v>
      </c>
      <c r="AA124" s="29">
        <f>IF(B124="","",IF(COUNTIF('Caption Bank'!$B$5:$B$204,B124)&gt;1,"Duplicate","OK"))</f>
        <v>0</v>
      </c>
      <c r="AB124" s="29">
        <f>IF(B124="","",IF(R124="Rejected","Rewrite - not approved",IF(J124="","Add - caption not written yet",IF(R124&lt;&gt;"Approved","Check - waiting for approval",IF(X124=0,"Use - never used yet","OK")))))</f>
        <v>0</v>
      </c>
    </row>
    <row r="125" spans="1:28">
      <c r="A125" s="41">
        <f>IF(B125="","",CaptionPrefix&amp;TEXT(ROW()-4,"000"))</f>
        <v>0</v>
      </c>
      <c r="U125" s="23">
        <f>IF(J125="","",LEN(J125))</f>
        <v>0</v>
      </c>
      <c r="V125" s="23">
        <f>IF(C125="","",IF(C125="Instagram",2200,IF(C125="TikTok",2200,IF(C125="Pinterest",500,IF(C125="YouTube",5000,IF(C125="Facebook",63206,IF(C125="X (Twitter)",280,IF(C125="LinkedIn",3000,IF(C125="Threads",500,2200)))))))))</f>
        <v>0</v>
      </c>
      <c r="W125" s="29">
        <f>IF(OR(J125="",V125=""),"",IF(U125&gt;V125,"Too long - trim it",IF(U125&lt;40,"Check - very short","OK")))</f>
        <v>0</v>
      </c>
      <c r="X125" s="23">
        <f>IF(B125="","",COUNTIF('Content Calendar'!$P$5:$P$604,B125))</f>
        <v>0</v>
      </c>
      <c r="Y125" s="16">
        <f>IF(X125=0,"",IF(B125="","",SUMPRODUCT(MAX(('Content Calendar'!$P$5:$P$604=B125)*'Content Calendar'!$B$5:$B$604))))</f>
        <v>0</v>
      </c>
      <c r="Z125" s="24">
        <f>IF(X125=0,"",IFERROR(SUMIFS(Performance!$Z$5:$Z$404,Performance!$J$5:$J$404,B125)/SUMIFS(Performance!$O$5:$O$404,Performance!$J$5:$J$404,B125),""))</f>
        <v>0</v>
      </c>
      <c r="AA125" s="29">
        <f>IF(B125="","",IF(COUNTIF('Caption Bank'!$B$5:$B$204,B125)&gt;1,"Duplicate","OK"))</f>
        <v>0</v>
      </c>
      <c r="AB125" s="29">
        <f>IF(B125="","",IF(R125="Rejected","Rewrite - not approved",IF(J125="","Add - caption not written yet",IF(R125&lt;&gt;"Approved","Check - waiting for approval",IF(X125=0,"Use - never used yet","OK")))))</f>
        <v>0</v>
      </c>
    </row>
    <row r="126" spans="1:28">
      <c r="A126" s="41">
        <f>IF(B126="","",CaptionPrefix&amp;TEXT(ROW()-4,"000"))</f>
        <v>0</v>
      </c>
      <c r="U126" s="23">
        <f>IF(J126="","",LEN(J126))</f>
        <v>0</v>
      </c>
      <c r="V126" s="23">
        <f>IF(C126="","",IF(C126="Instagram",2200,IF(C126="TikTok",2200,IF(C126="Pinterest",500,IF(C126="YouTube",5000,IF(C126="Facebook",63206,IF(C126="X (Twitter)",280,IF(C126="LinkedIn",3000,IF(C126="Threads",500,2200)))))))))</f>
        <v>0</v>
      </c>
      <c r="W126" s="29">
        <f>IF(OR(J126="",V126=""),"",IF(U126&gt;V126,"Too long - trim it",IF(U126&lt;40,"Check - very short","OK")))</f>
        <v>0</v>
      </c>
      <c r="X126" s="23">
        <f>IF(B126="","",COUNTIF('Content Calendar'!$P$5:$P$604,B126))</f>
        <v>0</v>
      </c>
      <c r="Y126" s="16">
        <f>IF(X126=0,"",IF(B126="","",SUMPRODUCT(MAX(('Content Calendar'!$P$5:$P$604=B126)*'Content Calendar'!$B$5:$B$604))))</f>
        <v>0</v>
      </c>
      <c r="Z126" s="24">
        <f>IF(X126=0,"",IFERROR(SUMIFS(Performance!$Z$5:$Z$404,Performance!$J$5:$J$404,B126)/SUMIFS(Performance!$O$5:$O$404,Performance!$J$5:$J$404,B126),""))</f>
        <v>0</v>
      </c>
      <c r="AA126" s="29">
        <f>IF(B126="","",IF(COUNTIF('Caption Bank'!$B$5:$B$204,B126)&gt;1,"Duplicate","OK"))</f>
        <v>0</v>
      </c>
      <c r="AB126" s="29">
        <f>IF(B126="","",IF(R126="Rejected","Rewrite - not approved",IF(J126="","Add - caption not written yet",IF(R126&lt;&gt;"Approved","Check - waiting for approval",IF(X126=0,"Use - never used yet","OK")))))</f>
        <v>0</v>
      </c>
    </row>
    <row r="127" spans="1:28">
      <c r="A127" s="41">
        <f>IF(B127="","",CaptionPrefix&amp;TEXT(ROW()-4,"000"))</f>
        <v>0</v>
      </c>
      <c r="U127" s="23">
        <f>IF(J127="","",LEN(J127))</f>
        <v>0</v>
      </c>
      <c r="V127" s="23">
        <f>IF(C127="","",IF(C127="Instagram",2200,IF(C127="TikTok",2200,IF(C127="Pinterest",500,IF(C127="YouTube",5000,IF(C127="Facebook",63206,IF(C127="X (Twitter)",280,IF(C127="LinkedIn",3000,IF(C127="Threads",500,2200)))))))))</f>
        <v>0</v>
      </c>
      <c r="W127" s="29">
        <f>IF(OR(J127="",V127=""),"",IF(U127&gt;V127,"Too long - trim it",IF(U127&lt;40,"Check - very short","OK")))</f>
        <v>0</v>
      </c>
      <c r="X127" s="23">
        <f>IF(B127="","",COUNTIF('Content Calendar'!$P$5:$P$604,B127))</f>
        <v>0</v>
      </c>
      <c r="Y127" s="16">
        <f>IF(X127=0,"",IF(B127="","",SUMPRODUCT(MAX(('Content Calendar'!$P$5:$P$604=B127)*'Content Calendar'!$B$5:$B$604))))</f>
        <v>0</v>
      </c>
      <c r="Z127" s="24">
        <f>IF(X127=0,"",IFERROR(SUMIFS(Performance!$Z$5:$Z$404,Performance!$J$5:$J$404,B127)/SUMIFS(Performance!$O$5:$O$404,Performance!$J$5:$J$404,B127),""))</f>
        <v>0</v>
      </c>
      <c r="AA127" s="29">
        <f>IF(B127="","",IF(COUNTIF('Caption Bank'!$B$5:$B$204,B127)&gt;1,"Duplicate","OK"))</f>
        <v>0</v>
      </c>
      <c r="AB127" s="29">
        <f>IF(B127="","",IF(R127="Rejected","Rewrite - not approved",IF(J127="","Add - caption not written yet",IF(R127&lt;&gt;"Approved","Check - waiting for approval",IF(X127=0,"Use - never used yet","OK")))))</f>
        <v>0</v>
      </c>
    </row>
    <row r="128" spans="1:28">
      <c r="A128" s="41">
        <f>IF(B128="","",CaptionPrefix&amp;TEXT(ROW()-4,"000"))</f>
        <v>0</v>
      </c>
      <c r="U128" s="23">
        <f>IF(J128="","",LEN(J128))</f>
        <v>0</v>
      </c>
      <c r="V128" s="23">
        <f>IF(C128="","",IF(C128="Instagram",2200,IF(C128="TikTok",2200,IF(C128="Pinterest",500,IF(C128="YouTube",5000,IF(C128="Facebook",63206,IF(C128="X (Twitter)",280,IF(C128="LinkedIn",3000,IF(C128="Threads",500,2200)))))))))</f>
        <v>0</v>
      </c>
      <c r="W128" s="29">
        <f>IF(OR(J128="",V128=""),"",IF(U128&gt;V128,"Too long - trim it",IF(U128&lt;40,"Check - very short","OK")))</f>
        <v>0</v>
      </c>
      <c r="X128" s="23">
        <f>IF(B128="","",COUNTIF('Content Calendar'!$P$5:$P$604,B128))</f>
        <v>0</v>
      </c>
      <c r="Y128" s="16">
        <f>IF(X128=0,"",IF(B128="","",SUMPRODUCT(MAX(('Content Calendar'!$P$5:$P$604=B128)*'Content Calendar'!$B$5:$B$604))))</f>
        <v>0</v>
      </c>
      <c r="Z128" s="24">
        <f>IF(X128=0,"",IFERROR(SUMIFS(Performance!$Z$5:$Z$404,Performance!$J$5:$J$404,B128)/SUMIFS(Performance!$O$5:$O$404,Performance!$J$5:$J$404,B128),""))</f>
        <v>0</v>
      </c>
      <c r="AA128" s="29">
        <f>IF(B128="","",IF(COUNTIF('Caption Bank'!$B$5:$B$204,B128)&gt;1,"Duplicate","OK"))</f>
        <v>0</v>
      </c>
      <c r="AB128" s="29">
        <f>IF(B128="","",IF(R128="Rejected","Rewrite - not approved",IF(J128="","Add - caption not written yet",IF(R128&lt;&gt;"Approved","Check - waiting for approval",IF(X128=0,"Use - never used yet","OK")))))</f>
        <v>0</v>
      </c>
    </row>
    <row r="129" spans="1:28">
      <c r="A129" s="41">
        <f>IF(B129="","",CaptionPrefix&amp;TEXT(ROW()-4,"000"))</f>
        <v>0</v>
      </c>
      <c r="U129" s="23">
        <f>IF(J129="","",LEN(J129))</f>
        <v>0</v>
      </c>
      <c r="V129" s="23">
        <f>IF(C129="","",IF(C129="Instagram",2200,IF(C129="TikTok",2200,IF(C129="Pinterest",500,IF(C129="YouTube",5000,IF(C129="Facebook",63206,IF(C129="X (Twitter)",280,IF(C129="LinkedIn",3000,IF(C129="Threads",500,2200)))))))))</f>
        <v>0</v>
      </c>
      <c r="W129" s="29">
        <f>IF(OR(J129="",V129=""),"",IF(U129&gt;V129,"Too long - trim it",IF(U129&lt;40,"Check - very short","OK")))</f>
        <v>0</v>
      </c>
      <c r="X129" s="23">
        <f>IF(B129="","",COUNTIF('Content Calendar'!$P$5:$P$604,B129))</f>
        <v>0</v>
      </c>
      <c r="Y129" s="16">
        <f>IF(X129=0,"",IF(B129="","",SUMPRODUCT(MAX(('Content Calendar'!$P$5:$P$604=B129)*'Content Calendar'!$B$5:$B$604))))</f>
        <v>0</v>
      </c>
      <c r="Z129" s="24">
        <f>IF(X129=0,"",IFERROR(SUMIFS(Performance!$Z$5:$Z$404,Performance!$J$5:$J$404,B129)/SUMIFS(Performance!$O$5:$O$404,Performance!$J$5:$J$404,B129),""))</f>
        <v>0</v>
      </c>
      <c r="AA129" s="29">
        <f>IF(B129="","",IF(COUNTIF('Caption Bank'!$B$5:$B$204,B129)&gt;1,"Duplicate","OK"))</f>
        <v>0</v>
      </c>
      <c r="AB129" s="29">
        <f>IF(B129="","",IF(R129="Rejected","Rewrite - not approved",IF(J129="","Add - caption not written yet",IF(R129&lt;&gt;"Approved","Check - waiting for approval",IF(X129=0,"Use - never used yet","OK")))))</f>
        <v>0</v>
      </c>
    </row>
    <row r="130" spans="1:28">
      <c r="A130" s="41">
        <f>IF(B130="","",CaptionPrefix&amp;TEXT(ROW()-4,"000"))</f>
        <v>0</v>
      </c>
      <c r="U130" s="23">
        <f>IF(J130="","",LEN(J130))</f>
        <v>0</v>
      </c>
      <c r="V130" s="23">
        <f>IF(C130="","",IF(C130="Instagram",2200,IF(C130="TikTok",2200,IF(C130="Pinterest",500,IF(C130="YouTube",5000,IF(C130="Facebook",63206,IF(C130="X (Twitter)",280,IF(C130="LinkedIn",3000,IF(C130="Threads",500,2200)))))))))</f>
        <v>0</v>
      </c>
      <c r="W130" s="29">
        <f>IF(OR(J130="",V130=""),"",IF(U130&gt;V130,"Too long - trim it",IF(U130&lt;40,"Check - very short","OK")))</f>
        <v>0</v>
      </c>
      <c r="X130" s="23">
        <f>IF(B130="","",COUNTIF('Content Calendar'!$P$5:$P$604,B130))</f>
        <v>0</v>
      </c>
      <c r="Y130" s="16">
        <f>IF(X130=0,"",IF(B130="","",SUMPRODUCT(MAX(('Content Calendar'!$P$5:$P$604=B130)*'Content Calendar'!$B$5:$B$604))))</f>
        <v>0</v>
      </c>
      <c r="Z130" s="24">
        <f>IF(X130=0,"",IFERROR(SUMIFS(Performance!$Z$5:$Z$404,Performance!$J$5:$J$404,B130)/SUMIFS(Performance!$O$5:$O$404,Performance!$J$5:$J$404,B130),""))</f>
        <v>0</v>
      </c>
      <c r="AA130" s="29">
        <f>IF(B130="","",IF(COUNTIF('Caption Bank'!$B$5:$B$204,B130)&gt;1,"Duplicate","OK"))</f>
        <v>0</v>
      </c>
      <c r="AB130" s="29">
        <f>IF(B130="","",IF(R130="Rejected","Rewrite - not approved",IF(J130="","Add - caption not written yet",IF(R130&lt;&gt;"Approved","Check - waiting for approval",IF(X130=0,"Use - never used yet","OK")))))</f>
        <v>0</v>
      </c>
    </row>
    <row r="131" spans="1:28">
      <c r="A131" s="41">
        <f>IF(B131="","",CaptionPrefix&amp;TEXT(ROW()-4,"000"))</f>
        <v>0</v>
      </c>
      <c r="U131" s="23">
        <f>IF(J131="","",LEN(J131))</f>
        <v>0</v>
      </c>
      <c r="V131" s="23">
        <f>IF(C131="","",IF(C131="Instagram",2200,IF(C131="TikTok",2200,IF(C131="Pinterest",500,IF(C131="YouTube",5000,IF(C131="Facebook",63206,IF(C131="X (Twitter)",280,IF(C131="LinkedIn",3000,IF(C131="Threads",500,2200)))))))))</f>
        <v>0</v>
      </c>
      <c r="W131" s="29">
        <f>IF(OR(J131="",V131=""),"",IF(U131&gt;V131,"Too long - trim it",IF(U131&lt;40,"Check - very short","OK")))</f>
        <v>0</v>
      </c>
      <c r="X131" s="23">
        <f>IF(B131="","",COUNTIF('Content Calendar'!$P$5:$P$604,B131))</f>
        <v>0</v>
      </c>
      <c r="Y131" s="16">
        <f>IF(X131=0,"",IF(B131="","",SUMPRODUCT(MAX(('Content Calendar'!$P$5:$P$604=B131)*'Content Calendar'!$B$5:$B$604))))</f>
        <v>0</v>
      </c>
      <c r="Z131" s="24">
        <f>IF(X131=0,"",IFERROR(SUMIFS(Performance!$Z$5:$Z$404,Performance!$J$5:$J$404,B131)/SUMIFS(Performance!$O$5:$O$404,Performance!$J$5:$J$404,B131),""))</f>
        <v>0</v>
      </c>
      <c r="AA131" s="29">
        <f>IF(B131="","",IF(COUNTIF('Caption Bank'!$B$5:$B$204,B131)&gt;1,"Duplicate","OK"))</f>
        <v>0</v>
      </c>
      <c r="AB131" s="29">
        <f>IF(B131="","",IF(R131="Rejected","Rewrite - not approved",IF(J131="","Add - caption not written yet",IF(R131&lt;&gt;"Approved","Check - waiting for approval",IF(X131=0,"Use - never used yet","OK")))))</f>
        <v>0</v>
      </c>
    </row>
    <row r="132" spans="1:28">
      <c r="A132" s="41">
        <f>IF(B132="","",CaptionPrefix&amp;TEXT(ROW()-4,"000"))</f>
        <v>0</v>
      </c>
      <c r="U132" s="23">
        <f>IF(J132="","",LEN(J132))</f>
        <v>0</v>
      </c>
      <c r="V132" s="23">
        <f>IF(C132="","",IF(C132="Instagram",2200,IF(C132="TikTok",2200,IF(C132="Pinterest",500,IF(C132="YouTube",5000,IF(C132="Facebook",63206,IF(C132="X (Twitter)",280,IF(C132="LinkedIn",3000,IF(C132="Threads",500,2200)))))))))</f>
        <v>0</v>
      </c>
      <c r="W132" s="29">
        <f>IF(OR(J132="",V132=""),"",IF(U132&gt;V132,"Too long - trim it",IF(U132&lt;40,"Check - very short","OK")))</f>
        <v>0</v>
      </c>
      <c r="X132" s="23">
        <f>IF(B132="","",COUNTIF('Content Calendar'!$P$5:$P$604,B132))</f>
        <v>0</v>
      </c>
      <c r="Y132" s="16">
        <f>IF(X132=0,"",IF(B132="","",SUMPRODUCT(MAX(('Content Calendar'!$P$5:$P$604=B132)*'Content Calendar'!$B$5:$B$604))))</f>
        <v>0</v>
      </c>
      <c r="Z132" s="24">
        <f>IF(X132=0,"",IFERROR(SUMIFS(Performance!$Z$5:$Z$404,Performance!$J$5:$J$404,B132)/SUMIFS(Performance!$O$5:$O$404,Performance!$J$5:$J$404,B132),""))</f>
        <v>0</v>
      </c>
      <c r="AA132" s="29">
        <f>IF(B132="","",IF(COUNTIF('Caption Bank'!$B$5:$B$204,B132)&gt;1,"Duplicate","OK"))</f>
        <v>0</v>
      </c>
      <c r="AB132" s="29">
        <f>IF(B132="","",IF(R132="Rejected","Rewrite - not approved",IF(J132="","Add - caption not written yet",IF(R132&lt;&gt;"Approved","Check - waiting for approval",IF(X132=0,"Use - never used yet","OK")))))</f>
        <v>0</v>
      </c>
    </row>
    <row r="133" spans="1:28">
      <c r="A133" s="41">
        <f>IF(B133="","",CaptionPrefix&amp;TEXT(ROW()-4,"000"))</f>
        <v>0</v>
      </c>
      <c r="U133" s="23">
        <f>IF(J133="","",LEN(J133))</f>
        <v>0</v>
      </c>
      <c r="V133" s="23">
        <f>IF(C133="","",IF(C133="Instagram",2200,IF(C133="TikTok",2200,IF(C133="Pinterest",500,IF(C133="YouTube",5000,IF(C133="Facebook",63206,IF(C133="X (Twitter)",280,IF(C133="LinkedIn",3000,IF(C133="Threads",500,2200)))))))))</f>
        <v>0</v>
      </c>
      <c r="W133" s="29">
        <f>IF(OR(J133="",V133=""),"",IF(U133&gt;V133,"Too long - trim it",IF(U133&lt;40,"Check - very short","OK")))</f>
        <v>0</v>
      </c>
      <c r="X133" s="23">
        <f>IF(B133="","",COUNTIF('Content Calendar'!$P$5:$P$604,B133))</f>
        <v>0</v>
      </c>
      <c r="Y133" s="16">
        <f>IF(X133=0,"",IF(B133="","",SUMPRODUCT(MAX(('Content Calendar'!$P$5:$P$604=B133)*'Content Calendar'!$B$5:$B$604))))</f>
        <v>0</v>
      </c>
      <c r="Z133" s="24">
        <f>IF(X133=0,"",IFERROR(SUMIFS(Performance!$Z$5:$Z$404,Performance!$J$5:$J$404,B133)/SUMIFS(Performance!$O$5:$O$404,Performance!$J$5:$J$404,B133),""))</f>
        <v>0</v>
      </c>
      <c r="AA133" s="29">
        <f>IF(B133="","",IF(COUNTIF('Caption Bank'!$B$5:$B$204,B133)&gt;1,"Duplicate","OK"))</f>
        <v>0</v>
      </c>
      <c r="AB133" s="29">
        <f>IF(B133="","",IF(R133="Rejected","Rewrite - not approved",IF(J133="","Add - caption not written yet",IF(R133&lt;&gt;"Approved","Check - waiting for approval",IF(X133=0,"Use - never used yet","OK")))))</f>
        <v>0</v>
      </c>
    </row>
    <row r="134" spans="1:28">
      <c r="A134" s="41">
        <f>IF(B134="","",CaptionPrefix&amp;TEXT(ROW()-4,"000"))</f>
        <v>0</v>
      </c>
      <c r="U134" s="23">
        <f>IF(J134="","",LEN(J134))</f>
        <v>0</v>
      </c>
      <c r="V134" s="23">
        <f>IF(C134="","",IF(C134="Instagram",2200,IF(C134="TikTok",2200,IF(C134="Pinterest",500,IF(C134="YouTube",5000,IF(C134="Facebook",63206,IF(C134="X (Twitter)",280,IF(C134="LinkedIn",3000,IF(C134="Threads",500,2200)))))))))</f>
        <v>0</v>
      </c>
      <c r="W134" s="29">
        <f>IF(OR(J134="",V134=""),"",IF(U134&gt;V134,"Too long - trim it",IF(U134&lt;40,"Check - very short","OK")))</f>
        <v>0</v>
      </c>
      <c r="X134" s="23">
        <f>IF(B134="","",COUNTIF('Content Calendar'!$P$5:$P$604,B134))</f>
        <v>0</v>
      </c>
      <c r="Y134" s="16">
        <f>IF(X134=0,"",IF(B134="","",SUMPRODUCT(MAX(('Content Calendar'!$P$5:$P$604=B134)*'Content Calendar'!$B$5:$B$604))))</f>
        <v>0</v>
      </c>
      <c r="Z134" s="24">
        <f>IF(X134=0,"",IFERROR(SUMIFS(Performance!$Z$5:$Z$404,Performance!$J$5:$J$404,B134)/SUMIFS(Performance!$O$5:$O$404,Performance!$J$5:$J$404,B134),""))</f>
        <v>0</v>
      </c>
      <c r="AA134" s="29">
        <f>IF(B134="","",IF(COUNTIF('Caption Bank'!$B$5:$B$204,B134)&gt;1,"Duplicate","OK"))</f>
        <v>0</v>
      </c>
      <c r="AB134" s="29">
        <f>IF(B134="","",IF(R134="Rejected","Rewrite - not approved",IF(J134="","Add - caption not written yet",IF(R134&lt;&gt;"Approved","Check - waiting for approval",IF(X134=0,"Use - never used yet","OK")))))</f>
        <v>0</v>
      </c>
    </row>
    <row r="135" spans="1:28">
      <c r="A135" s="41">
        <f>IF(B135="","",CaptionPrefix&amp;TEXT(ROW()-4,"000"))</f>
        <v>0</v>
      </c>
      <c r="U135" s="23">
        <f>IF(J135="","",LEN(J135))</f>
        <v>0</v>
      </c>
      <c r="V135" s="23">
        <f>IF(C135="","",IF(C135="Instagram",2200,IF(C135="TikTok",2200,IF(C135="Pinterest",500,IF(C135="YouTube",5000,IF(C135="Facebook",63206,IF(C135="X (Twitter)",280,IF(C135="LinkedIn",3000,IF(C135="Threads",500,2200)))))))))</f>
        <v>0</v>
      </c>
      <c r="W135" s="29">
        <f>IF(OR(J135="",V135=""),"",IF(U135&gt;V135,"Too long - trim it",IF(U135&lt;40,"Check - very short","OK")))</f>
        <v>0</v>
      </c>
      <c r="X135" s="23">
        <f>IF(B135="","",COUNTIF('Content Calendar'!$P$5:$P$604,B135))</f>
        <v>0</v>
      </c>
      <c r="Y135" s="16">
        <f>IF(X135=0,"",IF(B135="","",SUMPRODUCT(MAX(('Content Calendar'!$P$5:$P$604=B135)*'Content Calendar'!$B$5:$B$604))))</f>
        <v>0</v>
      </c>
      <c r="Z135" s="24">
        <f>IF(X135=0,"",IFERROR(SUMIFS(Performance!$Z$5:$Z$404,Performance!$J$5:$J$404,B135)/SUMIFS(Performance!$O$5:$O$404,Performance!$J$5:$J$404,B135),""))</f>
        <v>0</v>
      </c>
      <c r="AA135" s="29">
        <f>IF(B135="","",IF(COUNTIF('Caption Bank'!$B$5:$B$204,B135)&gt;1,"Duplicate","OK"))</f>
        <v>0</v>
      </c>
      <c r="AB135" s="29">
        <f>IF(B135="","",IF(R135="Rejected","Rewrite - not approved",IF(J135="","Add - caption not written yet",IF(R135&lt;&gt;"Approved","Check - waiting for approval",IF(X135=0,"Use - never used yet","OK")))))</f>
        <v>0</v>
      </c>
    </row>
    <row r="136" spans="1:28">
      <c r="A136" s="41">
        <f>IF(B136="","",CaptionPrefix&amp;TEXT(ROW()-4,"000"))</f>
        <v>0</v>
      </c>
      <c r="U136" s="23">
        <f>IF(J136="","",LEN(J136))</f>
        <v>0</v>
      </c>
      <c r="V136" s="23">
        <f>IF(C136="","",IF(C136="Instagram",2200,IF(C136="TikTok",2200,IF(C136="Pinterest",500,IF(C136="YouTube",5000,IF(C136="Facebook",63206,IF(C136="X (Twitter)",280,IF(C136="LinkedIn",3000,IF(C136="Threads",500,2200)))))))))</f>
        <v>0</v>
      </c>
      <c r="W136" s="29">
        <f>IF(OR(J136="",V136=""),"",IF(U136&gt;V136,"Too long - trim it",IF(U136&lt;40,"Check - very short","OK")))</f>
        <v>0</v>
      </c>
      <c r="X136" s="23">
        <f>IF(B136="","",COUNTIF('Content Calendar'!$P$5:$P$604,B136))</f>
        <v>0</v>
      </c>
      <c r="Y136" s="16">
        <f>IF(X136=0,"",IF(B136="","",SUMPRODUCT(MAX(('Content Calendar'!$P$5:$P$604=B136)*'Content Calendar'!$B$5:$B$604))))</f>
        <v>0</v>
      </c>
      <c r="Z136" s="24">
        <f>IF(X136=0,"",IFERROR(SUMIFS(Performance!$Z$5:$Z$404,Performance!$J$5:$J$404,B136)/SUMIFS(Performance!$O$5:$O$404,Performance!$J$5:$J$404,B136),""))</f>
        <v>0</v>
      </c>
      <c r="AA136" s="29">
        <f>IF(B136="","",IF(COUNTIF('Caption Bank'!$B$5:$B$204,B136)&gt;1,"Duplicate","OK"))</f>
        <v>0</v>
      </c>
      <c r="AB136" s="29">
        <f>IF(B136="","",IF(R136="Rejected","Rewrite - not approved",IF(J136="","Add - caption not written yet",IF(R136&lt;&gt;"Approved","Check - waiting for approval",IF(X136=0,"Use - never used yet","OK")))))</f>
        <v>0</v>
      </c>
    </row>
    <row r="137" spans="1:28">
      <c r="A137" s="41">
        <f>IF(B137="","",CaptionPrefix&amp;TEXT(ROW()-4,"000"))</f>
        <v>0</v>
      </c>
      <c r="U137" s="23">
        <f>IF(J137="","",LEN(J137))</f>
        <v>0</v>
      </c>
      <c r="V137" s="23">
        <f>IF(C137="","",IF(C137="Instagram",2200,IF(C137="TikTok",2200,IF(C137="Pinterest",500,IF(C137="YouTube",5000,IF(C137="Facebook",63206,IF(C137="X (Twitter)",280,IF(C137="LinkedIn",3000,IF(C137="Threads",500,2200)))))))))</f>
        <v>0</v>
      </c>
      <c r="W137" s="29">
        <f>IF(OR(J137="",V137=""),"",IF(U137&gt;V137,"Too long - trim it",IF(U137&lt;40,"Check - very short","OK")))</f>
        <v>0</v>
      </c>
      <c r="X137" s="23">
        <f>IF(B137="","",COUNTIF('Content Calendar'!$P$5:$P$604,B137))</f>
        <v>0</v>
      </c>
      <c r="Y137" s="16">
        <f>IF(X137=0,"",IF(B137="","",SUMPRODUCT(MAX(('Content Calendar'!$P$5:$P$604=B137)*'Content Calendar'!$B$5:$B$604))))</f>
        <v>0</v>
      </c>
      <c r="Z137" s="24">
        <f>IF(X137=0,"",IFERROR(SUMIFS(Performance!$Z$5:$Z$404,Performance!$J$5:$J$404,B137)/SUMIFS(Performance!$O$5:$O$404,Performance!$J$5:$J$404,B137),""))</f>
        <v>0</v>
      </c>
      <c r="AA137" s="29">
        <f>IF(B137="","",IF(COUNTIF('Caption Bank'!$B$5:$B$204,B137)&gt;1,"Duplicate","OK"))</f>
        <v>0</v>
      </c>
      <c r="AB137" s="29">
        <f>IF(B137="","",IF(R137="Rejected","Rewrite - not approved",IF(J137="","Add - caption not written yet",IF(R137&lt;&gt;"Approved","Check - waiting for approval",IF(X137=0,"Use - never used yet","OK")))))</f>
        <v>0</v>
      </c>
    </row>
    <row r="138" spans="1:28">
      <c r="A138" s="41">
        <f>IF(B138="","",CaptionPrefix&amp;TEXT(ROW()-4,"000"))</f>
        <v>0</v>
      </c>
      <c r="U138" s="23">
        <f>IF(J138="","",LEN(J138))</f>
        <v>0</v>
      </c>
      <c r="V138" s="23">
        <f>IF(C138="","",IF(C138="Instagram",2200,IF(C138="TikTok",2200,IF(C138="Pinterest",500,IF(C138="YouTube",5000,IF(C138="Facebook",63206,IF(C138="X (Twitter)",280,IF(C138="LinkedIn",3000,IF(C138="Threads",500,2200)))))))))</f>
        <v>0</v>
      </c>
      <c r="W138" s="29">
        <f>IF(OR(J138="",V138=""),"",IF(U138&gt;V138,"Too long - trim it",IF(U138&lt;40,"Check - very short","OK")))</f>
        <v>0</v>
      </c>
      <c r="X138" s="23">
        <f>IF(B138="","",COUNTIF('Content Calendar'!$P$5:$P$604,B138))</f>
        <v>0</v>
      </c>
      <c r="Y138" s="16">
        <f>IF(X138=0,"",IF(B138="","",SUMPRODUCT(MAX(('Content Calendar'!$P$5:$P$604=B138)*'Content Calendar'!$B$5:$B$604))))</f>
        <v>0</v>
      </c>
      <c r="Z138" s="24">
        <f>IF(X138=0,"",IFERROR(SUMIFS(Performance!$Z$5:$Z$404,Performance!$J$5:$J$404,B138)/SUMIFS(Performance!$O$5:$O$404,Performance!$J$5:$J$404,B138),""))</f>
        <v>0</v>
      </c>
      <c r="AA138" s="29">
        <f>IF(B138="","",IF(COUNTIF('Caption Bank'!$B$5:$B$204,B138)&gt;1,"Duplicate","OK"))</f>
        <v>0</v>
      </c>
      <c r="AB138" s="29">
        <f>IF(B138="","",IF(R138="Rejected","Rewrite - not approved",IF(J138="","Add - caption not written yet",IF(R138&lt;&gt;"Approved","Check - waiting for approval",IF(X138=0,"Use - never used yet","OK")))))</f>
        <v>0</v>
      </c>
    </row>
    <row r="139" spans="1:28">
      <c r="A139" s="41">
        <f>IF(B139="","",CaptionPrefix&amp;TEXT(ROW()-4,"000"))</f>
        <v>0</v>
      </c>
      <c r="U139" s="23">
        <f>IF(J139="","",LEN(J139))</f>
        <v>0</v>
      </c>
      <c r="V139" s="23">
        <f>IF(C139="","",IF(C139="Instagram",2200,IF(C139="TikTok",2200,IF(C139="Pinterest",500,IF(C139="YouTube",5000,IF(C139="Facebook",63206,IF(C139="X (Twitter)",280,IF(C139="LinkedIn",3000,IF(C139="Threads",500,2200)))))))))</f>
        <v>0</v>
      </c>
      <c r="W139" s="29">
        <f>IF(OR(J139="",V139=""),"",IF(U139&gt;V139,"Too long - trim it",IF(U139&lt;40,"Check - very short","OK")))</f>
        <v>0</v>
      </c>
      <c r="X139" s="23">
        <f>IF(B139="","",COUNTIF('Content Calendar'!$P$5:$P$604,B139))</f>
        <v>0</v>
      </c>
      <c r="Y139" s="16">
        <f>IF(X139=0,"",IF(B139="","",SUMPRODUCT(MAX(('Content Calendar'!$P$5:$P$604=B139)*'Content Calendar'!$B$5:$B$604))))</f>
        <v>0</v>
      </c>
      <c r="Z139" s="24">
        <f>IF(X139=0,"",IFERROR(SUMIFS(Performance!$Z$5:$Z$404,Performance!$J$5:$J$404,B139)/SUMIFS(Performance!$O$5:$O$404,Performance!$J$5:$J$404,B139),""))</f>
        <v>0</v>
      </c>
      <c r="AA139" s="29">
        <f>IF(B139="","",IF(COUNTIF('Caption Bank'!$B$5:$B$204,B139)&gt;1,"Duplicate","OK"))</f>
        <v>0</v>
      </c>
      <c r="AB139" s="29">
        <f>IF(B139="","",IF(R139="Rejected","Rewrite - not approved",IF(J139="","Add - caption not written yet",IF(R139&lt;&gt;"Approved","Check - waiting for approval",IF(X139=0,"Use - never used yet","OK")))))</f>
        <v>0</v>
      </c>
    </row>
    <row r="140" spans="1:28">
      <c r="A140" s="41">
        <f>IF(B140="","",CaptionPrefix&amp;TEXT(ROW()-4,"000"))</f>
        <v>0</v>
      </c>
      <c r="U140" s="23">
        <f>IF(J140="","",LEN(J140))</f>
        <v>0</v>
      </c>
      <c r="V140" s="23">
        <f>IF(C140="","",IF(C140="Instagram",2200,IF(C140="TikTok",2200,IF(C140="Pinterest",500,IF(C140="YouTube",5000,IF(C140="Facebook",63206,IF(C140="X (Twitter)",280,IF(C140="LinkedIn",3000,IF(C140="Threads",500,2200)))))))))</f>
        <v>0</v>
      </c>
      <c r="W140" s="29">
        <f>IF(OR(J140="",V140=""),"",IF(U140&gt;V140,"Too long - trim it",IF(U140&lt;40,"Check - very short","OK")))</f>
        <v>0</v>
      </c>
      <c r="X140" s="23">
        <f>IF(B140="","",COUNTIF('Content Calendar'!$P$5:$P$604,B140))</f>
        <v>0</v>
      </c>
      <c r="Y140" s="16">
        <f>IF(X140=0,"",IF(B140="","",SUMPRODUCT(MAX(('Content Calendar'!$P$5:$P$604=B140)*'Content Calendar'!$B$5:$B$604))))</f>
        <v>0</v>
      </c>
      <c r="Z140" s="24">
        <f>IF(X140=0,"",IFERROR(SUMIFS(Performance!$Z$5:$Z$404,Performance!$J$5:$J$404,B140)/SUMIFS(Performance!$O$5:$O$404,Performance!$J$5:$J$404,B140),""))</f>
        <v>0</v>
      </c>
      <c r="AA140" s="29">
        <f>IF(B140="","",IF(COUNTIF('Caption Bank'!$B$5:$B$204,B140)&gt;1,"Duplicate","OK"))</f>
        <v>0</v>
      </c>
      <c r="AB140" s="29">
        <f>IF(B140="","",IF(R140="Rejected","Rewrite - not approved",IF(J140="","Add - caption not written yet",IF(R140&lt;&gt;"Approved","Check - waiting for approval",IF(X140=0,"Use - never used yet","OK")))))</f>
        <v>0</v>
      </c>
    </row>
    <row r="141" spans="1:28">
      <c r="A141" s="41">
        <f>IF(B141="","",CaptionPrefix&amp;TEXT(ROW()-4,"000"))</f>
        <v>0</v>
      </c>
      <c r="U141" s="23">
        <f>IF(J141="","",LEN(J141))</f>
        <v>0</v>
      </c>
      <c r="V141" s="23">
        <f>IF(C141="","",IF(C141="Instagram",2200,IF(C141="TikTok",2200,IF(C141="Pinterest",500,IF(C141="YouTube",5000,IF(C141="Facebook",63206,IF(C141="X (Twitter)",280,IF(C141="LinkedIn",3000,IF(C141="Threads",500,2200)))))))))</f>
        <v>0</v>
      </c>
      <c r="W141" s="29">
        <f>IF(OR(J141="",V141=""),"",IF(U141&gt;V141,"Too long - trim it",IF(U141&lt;40,"Check - very short","OK")))</f>
        <v>0</v>
      </c>
      <c r="X141" s="23">
        <f>IF(B141="","",COUNTIF('Content Calendar'!$P$5:$P$604,B141))</f>
        <v>0</v>
      </c>
      <c r="Y141" s="16">
        <f>IF(X141=0,"",IF(B141="","",SUMPRODUCT(MAX(('Content Calendar'!$P$5:$P$604=B141)*'Content Calendar'!$B$5:$B$604))))</f>
        <v>0</v>
      </c>
      <c r="Z141" s="24">
        <f>IF(X141=0,"",IFERROR(SUMIFS(Performance!$Z$5:$Z$404,Performance!$J$5:$J$404,B141)/SUMIFS(Performance!$O$5:$O$404,Performance!$J$5:$J$404,B141),""))</f>
        <v>0</v>
      </c>
      <c r="AA141" s="29">
        <f>IF(B141="","",IF(COUNTIF('Caption Bank'!$B$5:$B$204,B141)&gt;1,"Duplicate","OK"))</f>
        <v>0</v>
      </c>
      <c r="AB141" s="29">
        <f>IF(B141="","",IF(R141="Rejected","Rewrite - not approved",IF(J141="","Add - caption not written yet",IF(R141&lt;&gt;"Approved","Check - waiting for approval",IF(X141=0,"Use - never used yet","OK")))))</f>
        <v>0</v>
      </c>
    </row>
    <row r="142" spans="1:28">
      <c r="A142" s="41">
        <f>IF(B142="","",CaptionPrefix&amp;TEXT(ROW()-4,"000"))</f>
        <v>0</v>
      </c>
      <c r="U142" s="23">
        <f>IF(J142="","",LEN(J142))</f>
        <v>0</v>
      </c>
      <c r="V142" s="23">
        <f>IF(C142="","",IF(C142="Instagram",2200,IF(C142="TikTok",2200,IF(C142="Pinterest",500,IF(C142="YouTube",5000,IF(C142="Facebook",63206,IF(C142="X (Twitter)",280,IF(C142="LinkedIn",3000,IF(C142="Threads",500,2200)))))))))</f>
        <v>0</v>
      </c>
      <c r="W142" s="29">
        <f>IF(OR(J142="",V142=""),"",IF(U142&gt;V142,"Too long - trim it",IF(U142&lt;40,"Check - very short","OK")))</f>
        <v>0</v>
      </c>
      <c r="X142" s="23">
        <f>IF(B142="","",COUNTIF('Content Calendar'!$P$5:$P$604,B142))</f>
        <v>0</v>
      </c>
      <c r="Y142" s="16">
        <f>IF(X142=0,"",IF(B142="","",SUMPRODUCT(MAX(('Content Calendar'!$P$5:$P$604=B142)*'Content Calendar'!$B$5:$B$604))))</f>
        <v>0</v>
      </c>
      <c r="Z142" s="24">
        <f>IF(X142=0,"",IFERROR(SUMIFS(Performance!$Z$5:$Z$404,Performance!$J$5:$J$404,B142)/SUMIFS(Performance!$O$5:$O$404,Performance!$J$5:$J$404,B142),""))</f>
        <v>0</v>
      </c>
      <c r="AA142" s="29">
        <f>IF(B142="","",IF(COUNTIF('Caption Bank'!$B$5:$B$204,B142)&gt;1,"Duplicate","OK"))</f>
        <v>0</v>
      </c>
      <c r="AB142" s="29">
        <f>IF(B142="","",IF(R142="Rejected","Rewrite - not approved",IF(J142="","Add - caption not written yet",IF(R142&lt;&gt;"Approved","Check - waiting for approval",IF(X142=0,"Use - never used yet","OK")))))</f>
        <v>0</v>
      </c>
    </row>
    <row r="143" spans="1:28">
      <c r="A143" s="41">
        <f>IF(B143="","",CaptionPrefix&amp;TEXT(ROW()-4,"000"))</f>
        <v>0</v>
      </c>
      <c r="U143" s="23">
        <f>IF(J143="","",LEN(J143))</f>
        <v>0</v>
      </c>
      <c r="V143" s="23">
        <f>IF(C143="","",IF(C143="Instagram",2200,IF(C143="TikTok",2200,IF(C143="Pinterest",500,IF(C143="YouTube",5000,IF(C143="Facebook",63206,IF(C143="X (Twitter)",280,IF(C143="LinkedIn",3000,IF(C143="Threads",500,2200)))))))))</f>
        <v>0</v>
      </c>
      <c r="W143" s="29">
        <f>IF(OR(J143="",V143=""),"",IF(U143&gt;V143,"Too long - trim it",IF(U143&lt;40,"Check - very short","OK")))</f>
        <v>0</v>
      </c>
      <c r="X143" s="23">
        <f>IF(B143="","",COUNTIF('Content Calendar'!$P$5:$P$604,B143))</f>
        <v>0</v>
      </c>
      <c r="Y143" s="16">
        <f>IF(X143=0,"",IF(B143="","",SUMPRODUCT(MAX(('Content Calendar'!$P$5:$P$604=B143)*'Content Calendar'!$B$5:$B$604))))</f>
        <v>0</v>
      </c>
      <c r="Z143" s="24">
        <f>IF(X143=0,"",IFERROR(SUMIFS(Performance!$Z$5:$Z$404,Performance!$J$5:$J$404,B143)/SUMIFS(Performance!$O$5:$O$404,Performance!$J$5:$J$404,B143),""))</f>
        <v>0</v>
      </c>
      <c r="AA143" s="29">
        <f>IF(B143="","",IF(COUNTIF('Caption Bank'!$B$5:$B$204,B143)&gt;1,"Duplicate","OK"))</f>
        <v>0</v>
      </c>
      <c r="AB143" s="29">
        <f>IF(B143="","",IF(R143="Rejected","Rewrite - not approved",IF(J143="","Add - caption not written yet",IF(R143&lt;&gt;"Approved","Check - waiting for approval",IF(X143=0,"Use - never used yet","OK")))))</f>
        <v>0</v>
      </c>
    </row>
    <row r="144" spans="1:28">
      <c r="A144" s="41">
        <f>IF(B144="","",CaptionPrefix&amp;TEXT(ROW()-4,"000"))</f>
        <v>0</v>
      </c>
      <c r="U144" s="23">
        <f>IF(J144="","",LEN(J144))</f>
        <v>0</v>
      </c>
      <c r="V144" s="23">
        <f>IF(C144="","",IF(C144="Instagram",2200,IF(C144="TikTok",2200,IF(C144="Pinterest",500,IF(C144="YouTube",5000,IF(C144="Facebook",63206,IF(C144="X (Twitter)",280,IF(C144="LinkedIn",3000,IF(C144="Threads",500,2200)))))))))</f>
        <v>0</v>
      </c>
      <c r="W144" s="29">
        <f>IF(OR(J144="",V144=""),"",IF(U144&gt;V144,"Too long - trim it",IF(U144&lt;40,"Check - very short","OK")))</f>
        <v>0</v>
      </c>
      <c r="X144" s="23">
        <f>IF(B144="","",COUNTIF('Content Calendar'!$P$5:$P$604,B144))</f>
        <v>0</v>
      </c>
      <c r="Y144" s="16">
        <f>IF(X144=0,"",IF(B144="","",SUMPRODUCT(MAX(('Content Calendar'!$P$5:$P$604=B144)*'Content Calendar'!$B$5:$B$604))))</f>
        <v>0</v>
      </c>
      <c r="Z144" s="24">
        <f>IF(X144=0,"",IFERROR(SUMIFS(Performance!$Z$5:$Z$404,Performance!$J$5:$J$404,B144)/SUMIFS(Performance!$O$5:$O$404,Performance!$J$5:$J$404,B144),""))</f>
        <v>0</v>
      </c>
      <c r="AA144" s="29">
        <f>IF(B144="","",IF(COUNTIF('Caption Bank'!$B$5:$B$204,B144)&gt;1,"Duplicate","OK"))</f>
        <v>0</v>
      </c>
      <c r="AB144" s="29">
        <f>IF(B144="","",IF(R144="Rejected","Rewrite - not approved",IF(J144="","Add - caption not written yet",IF(R144&lt;&gt;"Approved","Check - waiting for approval",IF(X144=0,"Use - never used yet","OK")))))</f>
        <v>0</v>
      </c>
    </row>
    <row r="145" spans="1:28">
      <c r="A145" s="41">
        <f>IF(B145="","",CaptionPrefix&amp;TEXT(ROW()-4,"000"))</f>
        <v>0</v>
      </c>
      <c r="U145" s="23">
        <f>IF(J145="","",LEN(J145))</f>
        <v>0</v>
      </c>
      <c r="V145" s="23">
        <f>IF(C145="","",IF(C145="Instagram",2200,IF(C145="TikTok",2200,IF(C145="Pinterest",500,IF(C145="YouTube",5000,IF(C145="Facebook",63206,IF(C145="X (Twitter)",280,IF(C145="LinkedIn",3000,IF(C145="Threads",500,2200)))))))))</f>
        <v>0</v>
      </c>
      <c r="W145" s="29">
        <f>IF(OR(J145="",V145=""),"",IF(U145&gt;V145,"Too long - trim it",IF(U145&lt;40,"Check - very short","OK")))</f>
        <v>0</v>
      </c>
      <c r="X145" s="23">
        <f>IF(B145="","",COUNTIF('Content Calendar'!$P$5:$P$604,B145))</f>
        <v>0</v>
      </c>
      <c r="Y145" s="16">
        <f>IF(X145=0,"",IF(B145="","",SUMPRODUCT(MAX(('Content Calendar'!$P$5:$P$604=B145)*'Content Calendar'!$B$5:$B$604))))</f>
        <v>0</v>
      </c>
      <c r="Z145" s="24">
        <f>IF(X145=0,"",IFERROR(SUMIFS(Performance!$Z$5:$Z$404,Performance!$J$5:$J$404,B145)/SUMIFS(Performance!$O$5:$O$404,Performance!$J$5:$J$404,B145),""))</f>
        <v>0</v>
      </c>
      <c r="AA145" s="29">
        <f>IF(B145="","",IF(COUNTIF('Caption Bank'!$B$5:$B$204,B145)&gt;1,"Duplicate","OK"))</f>
        <v>0</v>
      </c>
      <c r="AB145" s="29">
        <f>IF(B145="","",IF(R145="Rejected","Rewrite - not approved",IF(J145="","Add - caption not written yet",IF(R145&lt;&gt;"Approved","Check - waiting for approval",IF(X145=0,"Use - never used yet","OK")))))</f>
        <v>0</v>
      </c>
    </row>
    <row r="146" spans="1:28">
      <c r="A146" s="41">
        <f>IF(B146="","",CaptionPrefix&amp;TEXT(ROW()-4,"000"))</f>
        <v>0</v>
      </c>
      <c r="U146" s="23">
        <f>IF(J146="","",LEN(J146))</f>
        <v>0</v>
      </c>
      <c r="V146" s="23">
        <f>IF(C146="","",IF(C146="Instagram",2200,IF(C146="TikTok",2200,IF(C146="Pinterest",500,IF(C146="YouTube",5000,IF(C146="Facebook",63206,IF(C146="X (Twitter)",280,IF(C146="LinkedIn",3000,IF(C146="Threads",500,2200)))))))))</f>
        <v>0</v>
      </c>
      <c r="W146" s="29">
        <f>IF(OR(J146="",V146=""),"",IF(U146&gt;V146,"Too long - trim it",IF(U146&lt;40,"Check - very short","OK")))</f>
        <v>0</v>
      </c>
      <c r="X146" s="23">
        <f>IF(B146="","",COUNTIF('Content Calendar'!$P$5:$P$604,B146))</f>
        <v>0</v>
      </c>
      <c r="Y146" s="16">
        <f>IF(X146=0,"",IF(B146="","",SUMPRODUCT(MAX(('Content Calendar'!$P$5:$P$604=B146)*'Content Calendar'!$B$5:$B$604))))</f>
        <v>0</v>
      </c>
      <c r="Z146" s="24">
        <f>IF(X146=0,"",IFERROR(SUMIFS(Performance!$Z$5:$Z$404,Performance!$J$5:$J$404,B146)/SUMIFS(Performance!$O$5:$O$404,Performance!$J$5:$J$404,B146),""))</f>
        <v>0</v>
      </c>
      <c r="AA146" s="29">
        <f>IF(B146="","",IF(COUNTIF('Caption Bank'!$B$5:$B$204,B146)&gt;1,"Duplicate","OK"))</f>
        <v>0</v>
      </c>
      <c r="AB146" s="29">
        <f>IF(B146="","",IF(R146="Rejected","Rewrite - not approved",IF(J146="","Add - caption not written yet",IF(R146&lt;&gt;"Approved","Check - waiting for approval",IF(X146=0,"Use - never used yet","OK")))))</f>
        <v>0</v>
      </c>
    </row>
    <row r="147" spans="1:28">
      <c r="A147" s="41">
        <f>IF(B147="","",CaptionPrefix&amp;TEXT(ROW()-4,"000"))</f>
        <v>0</v>
      </c>
      <c r="U147" s="23">
        <f>IF(J147="","",LEN(J147))</f>
        <v>0</v>
      </c>
      <c r="V147" s="23">
        <f>IF(C147="","",IF(C147="Instagram",2200,IF(C147="TikTok",2200,IF(C147="Pinterest",500,IF(C147="YouTube",5000,IF(C147="Facebook",63206,IF(C147="X (Twitter)",280,IF(C147="LinkedIn",3000,IF(C147="Threads",500,2200)))))))))</f>
        <v>0</v>
      </c>
      <c r="W147" s="29">
        <f>IF(OR(J147="",V147=""),"",IF(U147&gt;V147,"Too long - trim it",IF(U147&lt;40,"Check - very short","OK")))</f>
        <v>0</v>
      </c>
      <c r="X147" s="23">
        <f>IF(B147="","",COUNTIF('Content Calendar'!$P$5:$P$604,B147))</f>
        <v>0</v>
      </c>
      <c r="Y147" s="16">
        <f>IF(X147=0,"",IF(B147="","",SUMPRODUCT(MAX(('Content Calendar'!$P$5:$P$604=B147)*'Content Calendar'!$B$5:$B$604))))</f>
        <v>0</v>
      </c>
      <c r="Z147" s="24">
        <f>IF(X147=0,"",IFERROR(SUMIFS(Performance!$Z$5:$Z$404,Performance!$J$5:$J$404,B147)/SUMIFS(Performance!$O$5:$O$404,Performance!$J$5:$J$404,B147),""))</f>
        <v>0</v>
      </c>
      <c r="AA147" s="29">
        <f>IF(B147="","",IF(COUNTIF('Caption Bank'!$B$5:$B$204,B147)&gt;1,"Duplicate","OK"))</f>
        <v>0</v>
      </c>
      <c r="AB147" s="29">
        <f>IF(B147="","",IF(R147="Rejected","Rewrite - not approved",IF(J147="","Add - caption not written yet",IF(R147&lt;&gt;"Approved","Check - waiting for approval",IF(X147=0,"Use - never used yet","OK")))))</f>
        <v>0</v>
      </c>
    </row>
    <row r="148" spans="1:28">
      <c r="A148" s="41">
        <f>IF(B148="","",CaptionPrefix&amp;TEXT(ROW()-4,"000"))</f>
        <v>0</v>
      </c>
      <c r="U148" s="23">
        <f>IF(J148="","",LEN(J148))</f>
        <v>0</v>
      </c>
      <c r="V148" s="23">
        <f>IF(C148="","",IF(C148="Instagram",2200,IF(C148="TikTok",2200,IF(C148="Pinterest",500,IF(C148="YouTube",5000,IF(C148="Facebook",63206,IF(C148="X (Twitter)",280,IF(C148="LinkedIn",3000,IF(C148="Threads",500,2200)))))))))</f>
        <v>0</v>
      </c>
      <c r="W148" s="29">
        <f>IF(OR(J148="",V148=""),"",IF(U148&gt;V148,"Too long - trim it",IF(U148&lt;40,"Check - very short","OK")))</f>
        <v>0</v>
      </c>
      <c r="X148" s="23">
        <f>IF(B148="","",COUNTIF('Content Calendar'!$P$5:$P$604,B148))</f>
        <v>0</v>
      </c>
      <c r="Y148" s="16">
        <f>IF(X148=0,"",IF(B148="","",SUMPRODUCT(MAX(('Content Calendar'!$P$5:$P$604=B148)*'Content Calendar'!$B$5:$B$604))))</f>
        <v>0</v>
      </c>
      <c r="Z148" s="24">
        <f>IF(X148=0,"",IFERROR(SUMIFS(Performance!$Z$5:$Z$404,Performance!$J$5:$J$404,B148)/SUMIFS(Performance!$O$5:$O$404,Performance!$J$5:$J$404,B148),""))</f>
        <v>0</v>
      </c>
      <c r="AA148" s="29">
        <f>IF(B148="","",IF(COUNTIF('Caption Bank'!$B$5:$B$204,B148)&gt;1,"Duplicate","OK"))</f>
        <v>0</v>
      </c>
      <c r="AB148" s="29">
        <f>IF(B148="","",IF(R148="Rejected","Rewrite - not approved",IF(J148="","Add - caption not written yet",IF(R148&lt;&gt;"Approved","Check - waiting for approval",IF(X148=0,"Use - never used yet","OK")))))</f>
        <v>0</v>
      </c>
    </row>
    <row r="149" spans="1:28">
      <c r="A149" s="41">
        <f>IF(B149="","",CaptionPrefix&amp;TEXT(ROW()-4,"000"))</f>
        <v>0</v>
      </c>
      <c r="U149" s="23">
        <f>IF(J149="","",LEN(J149))</f>
        <v>0</v>
      </c>
      <c r="V149" s="23">
        <f>IF(C149="","",IF(C149="Instagram",2200,IF(C149="TikTok",2200,IF(C149="Pinterest",500,IF(C149="YouTube",5000,IF(C149="Facebook",63206,IF(C149="X (Twitter)",280,IF(C149="LinkedIn",3000,IF(C149="Threads",500,2200)))))))))</f>
        <v>0</v>
      </c>
      <c r="W149" s="29">
        <f>IF(OR(J149="",V149=""),"",IF(U149&gt;V149,"Too long - trim it",IF(U149&lt;40,"Check - very short","OK")))</f>
        <v>0</v>
      </c>
      <c r="X149" s="23">
        <f>IF(B149="","",COUNTIF('Content Calendar'!$P$5:$P$604,B149))</f>
        <v>0</v>
      </c>
      <c r="Y149" s="16">
        <f>IF(X149=0,"",IF(B149="","",SUMPRODUCT(MAX(('Content Calendar'!$P$5:$P$604=B149)*'Content Calendar'!$B$5:$B$604))))</f>
        <v>0</v>
      </c>
      <c r="Z149" s="24">
        <f>IF(X149=0,"",IFERROR(SUMIFS(Performance!$Z$5:$Z$404,Performance!$J$5:$J$404,B149)/SUMIFS(Performance!$O$5:$O$404,Performance!$J$5:$J$404,B149),""))</f>
        <v>0</v>
      </c>
      <c r="AA149" s="29">
        <f>IF(B149="","",IF(COUNTIF('Caption Bank'!$B$5:$B$204,B149)&gt;1,"Duplicate","OK"))</f>
        <v>0</v>
      </c>
      <c r="AB149" s="29">
        <f>IF(B149="","",IF(R149="Rejected","Rewrite - not approved",IF(J149="","Add - caption not written yet",IF(R149&lt;&gt;"Approved","Check - waiting for approval",IF(X149=0,"Use - never used yet","OK")))))</f>
        <v>0</v>
      </c>
    </row>
    <row r="150" spans="1:28">
      <c r="A150" s="41">
        <f>IF(B150="","",CaptionPrefix&amp;TEXT(ROW()-4,"000"))</f>
        <v>0</v>
      </c>
      <c r="U150" s="23">
        <f>IF(J150="","",LEN(J150))</f>
        <v>0</v>
      </c>
      <c r="V150" s="23">
        <f>IF(C150="","",IF(C150="Instagram",2200,IF(C150="TikTok",2200,IF(C150="Pinterest",500,IF(C150="YouTube",5000,IF(C150="Facebook",63206,IF(C150="X (Twitter)",280,IF(C150="LinkedIn",3000,IF(C150="Threads",500,2200)))))))))</f>
        <v>0</v>
      </c>
      <c r="W150" s="29">
        <f>IF(OR(J150="",V150=""),"",IF(U150&gt;V150,"Too long - trim it",IF(U150&lt;40,"Check - very short","OK")))</f>
        <v>0</v>
      </c>
      <c r="X150" s="23">
        <f>IF(B150="","",COUNTIF('Content Calendar'!$P$5:$P$604,B150))</f>
        <v>0</v>
      </c>
      <c r="Y150" s="16">
        <f>IF(X150=0,"",IF(B150="","",SUMPRODUCT(MAX(('Content Calendar'!$P$5:$P$604=B150)*'Content Calendar'!$B$5:$B$604))))</f>
        <v>0</v>
      </c>
      <c r="Z150" s="24">
        <f>IF(X150=0,"",IFERROR(SUMIFS(Performance!$Z$5:$Z$404,Performance!$J$5:$J$404,B150)/SUMIFS(Performance!$O$5:$O$404,Performance!$J$5:$J$404,B150),""))</f>
        <v>0</v>
      </c>
      <c r="AA150" s="29">
        <f>IF(B150="","",IF(COUNTIF('Caption Bank'!$B$5:$B$204,B150)&gt;1,"Duplicate","OK"))</f>
        <v>0</v>
      </c>
      <c r="AB150" s="29">
        <f>IF(B150="","",IF(R150="Rejected","Rewrite - not approved",IF(J150="","Add - caption not written yet",IF(R150&lt;&gt;"Approved","Check - waiting for approval",IF(X150=0,"Use - never used yet","OK")))))</f>
        <v>0</v>
      </c>
    </row>
    <row r="151" spans="1:28">
      <c r="A151" s="41">
        <f>IF(B151="","",CaptionPrefix&amp;TEXT(ROW()-4,"000"))</f>
        <v>0</v>
      </c>
      <c r="U151" s="23">
        <f>IF(J151="","",LEN(J151))</f>
        <v>0</v>
      </c>
      <c r="V151" s="23">
        <f>IF(C151="","",IF(C151="Instagram",2200,IF(C151="TikTok",2200,IF(C151="Pinterest",500,IF(C151="YouTube",5000,IF(C151="Facebook",63206,IF(C151="X (Twitter)",280,IF(C151="LinkedIn",3000,IF(C151="Threads",500,2200)))))))))</f>
        <v>0</v>
      </c>
      <c r="W151" s="29">
        <f>IF(OR(J151="",V151=""),"",IF(U151&gt;V151,"Too long - trim it",IF(U151&lt;40,"Check - very short","OK")))</f>
        <v>0</v>
      </c>
      <c r="X151" s="23">
        <f>IF(B151="","",COUNTIF('Content Calendar'!$P$5:$P$604,B151))</f>
        <v>0</v>
      </c>
      <c r="Y151" s="16">
        <f>IF(X151=0,"",IF(B151="","",SUMPRODUCT(MAX(('Content Calendar'!$P$5:$P$604=B151)*'Content Calendar'!$B$5:$B$604))))</f>
        <v>0</v>
      </c>
      <c r="Z151" s="24">
        <f>IF(X151=0,"",IFERROR(SUMIFS(Performance!$Z$5:$Z$404,Performance!$J$5:$J$404,B151)/SUMIFS(Performance!$O$5:$O$404,Performance!$J$5:$J$404,B151),""))</f>
        <v>0</v>
      </c>
      <c r="AA151" s="29">
        <f>IF(B151="","",IF(COUNTIF('Caption Bank'!$B$5:$B$204,B151)&gt;1,"Duplicate","OK"))</f>
        <v>0</v>
      </c>
      <c r="AB151" s="29">
        <f>IF(B151="","",IF(R151="Rejected","Rewrite - not approved",IF(J151="","Add - caption not written yet",IF(R151&lt;&gt;"Approved","Check - waiting for approval",IF(X151=0,"Use - never used yet","OK")))))</f>
        <v>0</v>
      </c>
    </row>
    <row r="152" spans="1:28">
      <c r="A152" s="41">
        <f>IF(B152="","",CaptionPrefix&amp;TEXT(ROW()-4,"000"))</f>
        <v>0</v>
      </c>
      <c r="U152" s="23">
        <f>IF(J152="","",LEN(J152))</f>
        <v>0</v>
      </c>
      <c r="V152" s="23">
        <f>IF(C152="","",IF(C152="Instagram",2200,IF(C152="TikTok",2200,IF(C152="Pinterest",500,IF(C152="YouTube",5000,IF(C152="Facebook",63206,IF(C152="X (Twitter)",280,IF(C152="LinkedIn",3000,IF(C152="Threads",500,2200)))))))))</f>
        <v>0</v>
      </c>
      <c r="W152" s="29">
        <f>IF(OR(J152="",V152=""),"",IF(U152&gt;V152,"Too long - trim it",IF(U152&lt;40,"Check - very short","OK")))</f>
        <v>0</v>
      </c>
      <c r="X152" s="23">
        <f>IF(B152="","",COUNTIF('Content Calendar'!$P$5:$P$604,B152))</f>
        <v>0</v>
      </c>
      <c r="Y152" s="16">
        <f>IF(X152=0,"",IF(B152="","",SUMPRODUCT(MAX(('Content Calendar'!$P$5:$P$604=B152)*'Content Calendar'!$B$5:$B$604))))</f>
        <v>0</v>
      </c>
      <c r="Z152" s="24">
        <f>IF(X152=0,"",IFERROR(SUMIFS(Performance!$Z$5:$Z$404,Performance!$J$5:$J$404,B152)/SUMIFS(Performance!$O$5:$O$404,Performance!$J$5:$J$404,B152),""))</f>
        <v>0</v>
      </c>
      <c r="AA152" s="29">
        <f>IF(B152="","",IF(COUNTIF('Caption Bank'!$B$5:$B$204,B152)&gt;1,"Duplicate","OK"))</f>
        <v>0</v>
      </c>
      <c r="AB152" s="29">
        <f>IF(B152="","",IF(R152="Rejected","Rewrite - not approved",IF(J152="","Add - caption not written yet",IF(R152&lt;&gt;"Approved","Check - waiting for approval",IF(X152=0,"Use - never used yet","OK")))))</f>
        <v>0</v>
      </c>
    </row>
    <row r="153" spans="1:28">
      <c r="A153" s="41">
        <f>IF(B153="","",CaptionPrefix&amp;TEXT(ROW()-4,"000"))</f>
        <v>0</v>
      </c>
      <c r="U153" s="23">
        <f>IF(J153="","",LEN(J153))</f>
        <v>0</v>
      </c>
      <c r="V153" s="23">
        <f>IF(C153="","",IF(C153="Instagram",2200,IF(C153="TikTok",2200,IF(C153="Pinterest",500,IF(C153="YouTube",5000,IF(C153="Facebook",63206,IF(C153="X (Twitter)",280,IF(C153="LinkedIn",3000,IF(C153="Threads",500,2200)))))))))</f>
        <v>0</v>
      </c>
      <c r="W153" s="29">
        <f>IF(OR(J153="",V153=""),"",IF(U153&gt;V153,"Too long - trim it",IF(U153&lt;40,"Check - very short","OK")))</f>
        <v>0</v>
      </c>
      <c r="X153" s="23">
        <f>IF(B153="","",COUNTIF('Content Calendar'!$P$5:$P$604,B153))</f>
        <v>0</v>
      </c>
      <c r="Y153" s="16">
        <f>IF(X153=0,"",IF(B153="","",SUMPRODUCT(MAX(('Content Calendar'!$P$5:$P$604=B153)*'Content Calendar'!$B$5:$B$604))))</f>
        <v>0</v>
      </c>
      <c r="Z153" s="24">
        <f>IF(X153=0,"",IFERROR(SUMIFS(Performance!$Z$5:$Z$404,Performance!$J$5:$J$404,B153)/SUMIFS(Performance!$O$5:$O$404,Performance!$J$5:$J$404,B153),""))</f>
        <v>0</v>
      </c>
      <c r="AA153" s="29">
        <f>IF(B153="","",IF(COUNTIF('Caption Bank'!$B$5:$B$204,B153)&gt;1,"Duplicate","OK"))</f>
        <v>0</v>
      </c>
      <c r="AB153" s="29">
        <f>IF(B153="","",IF(R153="Rejected","Rewrite - not approved",IF(J153="","Add - caption not written yet",IF(R153&lt;&gt;"Approved","Check - waiting for approval",IF(X153=0,"Use - never used yet","OK")))))</f>
        <v>0</v>
      </c>
    </row>
    <row r="154" spans="1:28">
      <c r="A154" s="41">
        <f>IF(B154="","",CaptionPrefix&amp;TEXT(ROW()-4,"000"))</f>
        <v>0</v>
      </c>
      <c r="U154" s="23">
        <f>IF(J154="","",LEN(J154))</f>
        <v>0</v>
      </c>
      <c r="V154" s="23">
        <f>IF(C154="","",IF(C154="Instagram",2200,IF(C154="TikTok",2200,IF(C154="Pinterest",500,IF(C154="YouTube",5000,IF(C154="Facebook",63206,IF(C154="X (Twitter)",280,IF(C154="LinkedIn",3000,IF(C154="Threads",500,2200)))))))))</f>
        <v>0</v>
      </c>
      <c r="W154" s="29">
        <f>IF(OR(J154="",V154=""),"",IF(U154&gt;V154,"Too long - trim it",IF(U154&lt;40,"Check - very short","OK")))</f>
        <v>0</v>
      </c>
      <c r="X154" s="23">
        <f>IF(B154="","",COUNTIF('Content Calendar'!$P$5:$P$604,B154))</f>
        <v>0</v>
      </c>
      <c r="Y154" s="16">
        <f>IF(X154=0,"",IF(B154="","",SUMPRODUCT(MAX(('Content Calendar'!$P$5:$P$604=B154)*'Content Calendar'!$B$5:$B$604))))</f>
        <v>0</v>
      </c>
      <c r="Z154" s="24">
        <f>IF(X154=0,"",IFERROR(SUMIFS(Performance!$Z$5:$Z$404,Performance!$J$5:$J$404,B154)/SUMIFS(Performance!$O$5:$O$404,Performance!$J$5:$J$404,B154),""))</f>
        <v>0</v>
      </c>
      <c r="AA154" s="29">
        <f>IF(B154="","",IF(COUNTIF('Caption Bank'!$B$5:$B$204,B154)&gt;1,"Duplicate","OK"))</f>
        <v>0</v>
      </c>
      <c r="AB154" s="29">
        <f>IF(B154="","",IF(R154="Rejected","Rewrite - not approved",IF(J154="","Add - caption not written yet",IF(R154&lt;&gt;"Approved","Check - waiting for approval",IF(X154=0,"Use - never used yet","OK")))))</f>
        <v>0</v>
      </c>
    </row>
    <row r="155" spans="1:28">
      <c r="A155" s="41">
        <f>IF(B155="","",CaptionPrefix&amp;TEXT(ROW()-4,"000"))</f>
        <v>0</v>
      </c>
      <c r="U155" s="23">
        <f>IF(J155="","",LEN(J155))</f>
        <v>0</v>
      </c>
      <c r="V155" s="23">
        <f>IF(C155="","",IF(C155="Instagram",2200,IF(C155="TikTok",2200,IF(C155="Pinterest",500,IF(C155="YouTube",5000,IF(C155="Facebook",63206,IF(C155="X (Twitter)",280,IF(C155="LinkedIn",3000,IF(C155="Threads",500,2200)))))))))</f>
        <v>0</v>
      </c>
      <c r="W155" s="29">
        <f>IF(OR(J155="",V155=""),"",IF(U155&gt;V155,"Too long - trim it",IF(U155&lt;40,"Check - very short","OK")))</f>
        <v>0</v>
      </c>
      <c r="X155" s="23">
        <f>IF(B155="","",COUNTIF('Content Calendar'!$P$5:$P$604,B155))</f>
        <v>0</v>
      </c>
      <c r="Y155" s="16">
        <f>IF(X155=0,"",IF(B155="","",SUMPRODUCT(MAX(('Content Calendar'!$P$5:$P$604=B155)*'Content Calendar'!$B$5:$B$604))))</f>
        <v>0</v>
      </c>
      <c r="Z155" s="24">
        <f>IF(X155=0,"",IFERROR(SUMIFS(Performance!$Z$5:$Z$404,Performance!$J$5:$J$404,B155)/SUMIFS(Performance!$O$5:$O$404,Performance!$J$5:$J$404,B155),""))</f>
        <v>0</v>
      </c>
      <c r="AA155" s="29">
        <f>IF(B155="","",IF(COUNTIF('Caption Bank'!$B$5:$B$204,B155)&gt;1,"Duplicate","OK"))</f>
        <v>0</v>
      </c>
      <c r="AB155" s="29">
        <f>IF(B155="","",IF(R155="Rejected","Rewrite - not approved",IF(J155="","Add - caption not written yet",IF(R155&lt;&gt;"Approved","Check - waiting for approval",IF(X155=0,"Use - never used yet","OK")))))</f>
        <v>0</v>
      </c>
    </row>
    <row r="156" spans="1:28">
      <c r="A156" s="41">
        <f>IF(B156="","",CaptionPrefix&amp;TEXT(ROW()-4,"000"))</f>
        <v>0</v>
      </c>
      <c r="U156" s="23">
        <f>IF(J156="","",LEN(J156))</f>
        <v>0</v>
      </c>
      <c r="V156" s="23">
        <f>IF(C156="","",IF(C156="Instagram",2200,IF(C156="TikTok",2200,IF(C156="Pinterest",500,IF(C156="YouTube",5000,IF(C156="Facebook",63206,IF(C156="X (Twitter)",280,IF(C156="LinkedIn",3000,IF(C156="Threads",500,2200)))))))))</f>
        <v>0</v>
      </c>
      <c r="W156" s="29">
        <f>IF(OR(J156="",V156=""),"",IF(U156&gt;V156,"Too long - trim it",IF(U156&lt;40,"Check - very short","OK")))</f>
        <v>0</v>
      </c>
      <c r="X156" s="23">
        <f>IF(B156="","",COUNTIF('Content Calendar'!$P$5:$P$604,B156))</f>
        <v>0</v>
      </c>
      <c r="Y156" s="16">
        <f>IF(X156=0,"",IF(B156="","",SUMPRODUCT(MAX(('Content Calendar'!$P$5:$P$604=B156)*'Content Calendar'!$B$5:$B$604))))</f>
        <v>0</v>
      </c>
      <c r="Z156" s="24">
        <f>IF(X156=0,"",IFERROR(SUMIFS(Performance!$Z$5:$Z$404,Performance!$J$5:$J$404,B156)/SUMIFS(Performance!$O$5:$O$404,Performance!$J$5:$J$404,B156),""))</f>
        <v>0</v>
      </c>
      <c r="AA156" s="29">
        <f>IF(B156="","",IF(COUNTIF('Caption Bank'!$B$5:$B$204,B156)&gt;1,"Duplicate","OK"))</f>
        <v>0</v>
      </c>
      <c r="AB156" s="29">
        <f>IF(B156="","",IF(R156="Rejected","Rewrite - not approved",IF(J156="","Add - caption not written yet",IF(R156&lt;&gt;"Approved","Check - waiting for approval",IF(X156=0,"Use - never used yet","OK")))))</f>
        <v>0</v>
      </c>
    </row>
    <row r="157" spans="1:28">
      <c r="A157" s="41">
        <f>IF(B157="","",CaptionPrefix&amp;TEXT(ROW()-4,"000"))</f>
        <v>0</v>
      </c>
      <c r="U157" s="23">
        <f>IF(J157="","",LEN(J157))</f>
        <v>0</v>
      </c>
      <c r="V157" s="23">
        <f>IF(C157="","",IF(C157="Instagram",2200,IF(C157="TikTok",2200,IF(C157="Pinterest",500,IF(C157="YouTube",5000,IF(C157="Facebook",63206,IF(C157="X (Twitter)",280,IF(C157="LinkedIn",3000,IF(C157="Threads",500,2200)))))))))</f>
        <v>0</v>
      </c>
      <c r="W157" s="29">
        <f>IF(OR(J157="",V157=""),"",IF(U157&gt;V157,"Too long - trim it",IF(U157&lt;40,"Check - very short","OK")))</f>
        <v>0</v>
      </c>
      <c r="X157" s="23">
        <f>IF(B157="","",COUNTIF('Content Calendar'!$P$5:$P$604,B157))</f>
        <v>0</v>
      </c>
      <c r="Y157" s="16">
        <f>IF(X157=0,"",IF(B157="","",SUMPRODUCT(MAX(('Content Calendar'!$P$5:$P$604=B157)*'Content Calendar'!$B$5:$B$604))))</f>
        <v>0</v>
      </c>
      <c r="Z157" s="24">
        <f>IF(X157=0,"",IFERROR(SUMIFS(Performance!$Z$5:$Z$404,Performance!$J$5:$J$404,B157)/SUMIFS(Performance!$O$5:$O$404,Performance!$J$5:$J$404,B157),""))</f>
        <v>0</v>
      </c>
      <c r="AA157" s="29">
        <f>IF(B157="","",IF(COUNTIF('Caption Bank'!$B$5:$B$204,B157)&gt;1,"Duplicate","OK"))</f>
        <v>0</v>
      </c>
      <c r="AB157" s="29">
        <f>IF(B157="","",IF(R157="Rejected","Rewrite - not approved",IF(J157="","Add - caption not written yet",IF(R157&lt;&gt;"Approved","Check - waiting for approval",IF(X157=0,"Use - never used yet","OK")))))</f>
        <v>0</v>
      </c>
    </row>
    <row r="158" spans="1:28">
      <c r="A158" s="41">
        <f>IF(B158="","",CaptionPrefix&amp;TEXT(ROW()-4,"000"))</f>
        <v>0</v>
      </c>
      <c r="U158" s="23">
        <f>IF(J158="","",LEN(J158))</f>
        <v>0</v>
      </c>
      <c r="V158" s="23">
        <f>IF(C158="","",IF(C158="Instagram",2200,IF(C158="TikTok",2200,IF(C158="Pinterest",500,IF(C158="YouTube",5000,IF(C158="Facebook",63206,IF(C158="X (Twitter)",280,IF(C158="LinkedIn",3000,IF(C158="Threads",500,2200)))))))))</f>
        <v>0</v>
      </c>
      <c r="W158" s="29">
        <f>IF(OR(J158="",V158=""),"",IF(U158&gt;V158,"Too long - trim it",IF(U158&lt;40,"Check - very short","OK")))</f>
        <v>0</v>
      </c>
      <c r="X158" s="23">
        <f>IF(B158="","",COUNTIF('Content Calendar'!$P$5:$P$604,B158))</f>
        <v>0</v>
      </c>
      <c r="Y158" s="16">
        <f>IF(X158=0,"",IF(B158="","",SUMPRODUCT(MAX(('Content Calendar'!$P$5:$P$604=B158)*'Content Calendar'!$B$5:$B$604))))</f>
        <v>0</v>
      </c>
      <c r="Z158" s="24">
        <f>IF(X158=0,"",IFERROR(SUMIFS(Performance!$Z$5:$Z$404,Performance!$J$5:$J$404,B158)/SUMIFS(Performance!$O$5:$O$404,Performance!$J$5:$J$404,B158),""))</f>
        <v>0</v>
      </c>
      <c r="AA158" s="29">
        <f>IF(B158="","",IF(COUNTIF('Caption Bank'!$B$5:$B$204,B158)&gt;1,"Duplicate","OK"))</f>
        <v>0</v>
      </c>
      <c r="AB158" s="29">
        <f>IF(B158="","",IF(R158="Rejected","Rewrite - not approved",IF(J158="","Add - caption not written yet",IF(R158&lt;&gt;"Approved","Check - waiting for approval",IF(X158=0,"Use - never used yet","OK")))))</f>
        <v>0</v>
      </c>
    </row>
    <row r="159" spans="1:28">
      <c r="A159" s="41">
        <f>IF(B159="","",CaptionPrefix&amp;TEXT(ROW()-4,"000"))</f>
        <v>0</v>
      </c>
      <c r="U159" s="23">
        <f>IF(J159="","",LEN(J159))</f>
        <v>0</v>
      </c>
      <c r="V159" s="23">
        <f>IF(C159="","",IF(C159="Instagram",2200,IF(C159="TikTok",2200,IF(C159="Pinterest",500,IF(C159="YouTube",5000,IF(C159="Facebook",63206,IF(C159="X (Twitter)",280,IF(C159="LinkedIn",3000,IF(C159="Threads",500,2200)))))))))</f>
        <v>0</v>
      </c>
      <c r="W159" s="29">
        <f>IF(OR(J159="",V159=""),"",IF(U159&gt;V159,"Too long - trim it",IF(U159&lt;40,"Check - very short","OK")))</f>
        <v>0</v>
      </c>
      <c r="X159" s="23">
        <f>IF(B159="","",COUNTIF('Content Calendar'!$P$5:$P$604,B159))</f>
        <v>0</v>
      </c>
      <c r="Y159" s="16">
        <f>IF(X159=0,"",IF(B159="","",SUMPRODUCT(MAX(('Content Calendar'!$P$5:$P$604=B159)*'Content Calendar'!$B$5:$B$604))))</f>
        <v>0</v>
      </c>
      <c r="Z159" s="24">
        <f>IF(X159=0,"",IFERROR(SUMIFS(Performance!$Z$5:$Z$404,Performance!$J$5:$J$404,B159)/SUMIFS(Performance!$O$5:$O$404,Performance!$J$5:$J$404,B159),""))</f>
        <v>0</v>
      </c>
      <c r="AA159" s="29">
        <f>IF(B159="","",IF(COUNTIF('Caption Bank'!$B$5:$B$204,B159)&gt;1,"Duplicate","OK"))</f>
        <v>0</v>
      </c>
      <c r="AB159" s="29">
        <f>IF(B159="","",IF(R159="Rejected","Rewrite - not approved",IF(J159="","Add - caption not written yet",IF(R159&lt;&gt;"Approved","Check - waiting for approval",IF(X159=0,"Use - never used yet","OK")))))</f>
        <v>0</v>
      </c>
    </row>
    <row r="160" spans="1:28">
      <c r="A160" s="41">
        <f>IF(B160="","",CaptionPrefix&amp;TEXT(ROW()-4,"000"))</f>
        <v>0</v>
      </c>
      <c r="U160" s="23">
        <f>IF(J160="","",LEN(J160))</f>
        <v>0</v>
      </c>
      <c r="V160" s="23">
        <f>IF(C160="","",IF(C160="Instagram",2200,IF(C160="TikTok",2200,IF(C160="Pinterest",500,IF(C160="YouTube",5000,IF(C160="Facebook",63206,IF(C160="X (Twitter)",280,IF(C160="LinkedIn",3000,IF(C160="Threads",500,2200)))))))))</f>
        <v>0</v>
      </c>
      <c r="W160" s="29">
        <f>IF(OR(J160="",V160=""),"",IF(U160&gt;V160,"Too long - trim it",IF(U160&lt;40,"Check - very short","OK")))</f>
        <v>0</v>
      </c>
      <c r="X160" s="23">
        <f>IF(B160="","",COUNTIF('Content Calendar'!$P$5:$P$604,B160))</f>
        <v>0</v>
      </c>
      <c r="Y160" s="16">
        <f>IF(X160=0,"",IF(B160="","",SUMPRODUCT(MAX(('Content Calendar'!$P$5:$P$604=B160)*'Content Calendar'!$B$5:$B$604))))</f>
        <v>0</v>
      </c>
      <c r="Z160" s="24">
        <f>IF(X160=0,"",IFERROR(SUMIFS(Performance!$Z$5:$Z$404,Performance!$J$5:$J$404,B160)/SUMIFS(Performance!$O$5:$O$404,Performance!$J$5:$J$404,B160),""))</f>
        <v>0</v>
      </c>
      <c r="AA160" s="29">
        <f>IF(B160="","",IF(COUNTIF('Caption Bank'!$B$5:$B$204,B160)&gt;1,"Duplicate","OK"))</f>
        <v>0</v>
      </c>
      <c r="AB160" s="29">
        <f>IF(B160="","",IF(R160="Rejected","Rewrite - not approved",IF(J160="","Add - caption not written yet",IF(R160&lt;&gt;"Approved","Check - waiting for approval",IF(X160=0,"Use - never used yet","OK")))))</f>
        <v>0</v>
      </c>
    </row>
    <row r="161" spans="1:28">
      <c r="A161" s="41">
        <f>IF(B161="","",CaptionPrefix&amp;TEXT(ROW()-4,"000"))</f>
        <v>0</v>
      </c>
      <c r="U161" s="23">
        <f>IF(J161="","",LEN(J161))</f>
        <v>0</v>
      </c>
      <c r="V161" s="23">
        <f>IF(C161="","",IF(C161="Instagram",2200,IF(C161="TikTok",2200,IF(C161="Pinterest",500,IF(C161="YouTube",5000,IF(C161="Facebook",63206,IF(C161="X (Twitter)",280,IF(C161="LinkedIn",3000,IF(C161="Threads",500,2200)))))))))</f>
        <v>0</v>
      </c>
      <c r="W161" s="29">
        <f>IF(OR(J161="",V161=""),"",IF(U161&gt;V161,"Too long - trim it",IF(U161&lt;40,"Check - very short","OK")))</f>
        <v>0</v>
      </c>
      <c r="X161" s="23">
        <f>IF(B161="","",COUNTIF('Content Calendar'!$P$5:$P$604,B161))</f>
        <v>0</v>
      </c>
      <c r="Y161" s="16">
        <f>IF(X161=0,"",IF(B161="","",SUMPRODUCT(MAX(('Content Calendar'!$P$5:$P$604=B161)*'Content Calendar'!$B$5:$B$604))))</f>
        <v>0</v>
      </c>
      <c r="Z161" s="24">
        <f>IF(X161=0,"",IFERROR(SUMIFS(Performance!$Z$5:$Z$404,Performance!$J$5:$J$404,B161)/SUMIFS(Performance!$O$5:$O$404,Performance!$J$5:$J$404,B161),""))</f>
        <v>0</v>
      </c>
      <c r="AA161" s="29">
        <f>IF(B161="","",IF(COUNTIF('Caption Bank'!$B$5:$B$204,B161)&gt;1,"Duplicate","OK"))</f>
        <v>0</v>
      </c>
      <c r="AB161" s="29">
        <f>IF(B161="","",IF(R161="Rejected","Rewrite - not approved",IF(J161="","Add - caption not written yet",IF(R161&lt;&gt;"Approved","Check - waiting for approval",IF(X161=0,"Use - never used yet","OK")))))</f>
        <v>0</v>
      </c>
    </row>
    <row r="162" spans="1:28">
      <c r="A162" s="41">
        <f>IF(B162="","",CaptionPrefix&amp;TEXT(ROW()-4,"000"))</f>
        <v>0</v>
      </c>
      <c r="U162" s="23">
        <f>IF(J162="","",LEN(J162))</f>
        <v>0</v>
      </c>
      <c r="V162" s="23">
        <f>IF(C162="","",IF(C162="Instagram",2200,IF(C162="TikTok",2200,IF(C162="Pinterest",500,IF(C162="YouTube",5000,IF(C162="Facebook",63206,IF(C162="X (Twitter)",280,IF(C162="LinkedIn",3000,IF(C162="Threads",500,2200)))))))))</f>
        <v>0</v>
      </c>
      <c r="W162" s="29">
        <f>IF(OR(J162="",V162=""),"",IF(U162&gt;V162,"Too long - trim it",IF(U162&lt;40,"Check - very short","OK")))</f>
        <v>0</v>
      </c>
      <c r="X162" s="23">
        <f>IF(B162="","",COUNTIF('Content Calendar'!$P$5:$P$604,B162))</f>
        <v>0</v>
      </c>
      <c r="Y162" s="16">
        <f>IF(X162=0,"",IF(B162="","",SUMPRODUCT(MAX(('Content Calendar'!$P$5:$P$604=B162)*'Content Calendar'!$B$5:$B$604))))</f>
        <v>0</v>
      </c>
      <c r="Z162" s="24">
        <f>IF(X162=0,"",IFERROR(SUMIFS(Performance!$Z$5:$Z$404,Performance!$J$5:$J$404,B162)/SUMIFS(Performance!$O$5:$O$404,Performance!$J$5:$J$404,B162),""))</f>
        <v>0</v>
      </c>
      <c r="AA162" s="29">
        <f>IF(B162="","",IF(COUNTIF('Caption Bank'!$B$5:$B$204,B162)&gt;1,"Duplicate","OK"))</f>
        <v>0</v>
      </c>
      <c r="AB162" s="29">
        <f>IF(B162="","",IF(R162="Rejected","Rewrite - not approved",IF(J162="","Add - caption not written yet",IF(R162&lt;&gt;"Approved","Check - waiting for approval",IF(X162=0,"Use - never used yet","OK")))))</f>
        <v>0</v>
      </c>
    </row>
    <row r="163" spans="1:28">
      <c r="A163" s="41">
        <f>IF(B163="","",CaptionPrefix&amp;TEXT(ROW()-4,"000"))</f>
        <v>0</v>
      </c>
      <c r="U163" s="23">
        <f>IF(J163="","",LEN(J163))</f>
        <v>0</v>
      </c>
      <c r="V163" s="23">
        <f>IF(C163="","",IF(C163="Instagram",2200,IF(C163="TikTok",2200,IF(C163="Pinterest",500,IF(C163="YouTube",5000,IF(C163="Facebook",63206,IF(C163="X (Twitter)",280,IF(C163="LinkedIn",3000,IF(C163="Threads",500,2200)))))))))</f>
        <v>0</v>
      </c>
      <c r="W163" s="29">
        <f>IF(OR(J163="",V163=""),"",IF(U163&gt;V163,"Too long - trim it",IF(U163&lt;40,"Check - very short","OK")))</f>
        <v>0</v>
      </c>
      <c r="X163" s="23">
        <f>IF(B163="","",COUNTIF('Content Calendar'!$P$5:$P$604,B163))</f>
        <v>0</v>
      </c>
      <c r="Y163" s="16">
        <f>IF(X163=0,"",IF(B163="","",SUMPRODUCT(MAX(('Content Calendar'!$P$5:$P$604=B163)*'Content Calendar'!$B$5:$B$604))))</f>
        <v>0</v>
      </c>
      <c r="Z163" s="24">
        <f>IF(X163=0,"",IFERROR(SUMIFS(Performance!$Z$5:$Z$404,Performance!$J$5:$J$404,B163)/SUMIFS(Performance!$O$5:$O$404,Performance!$J$5:$J$404,B163),""))</f>
        <v>0</v>
      </c>
      <c r="AA163" s="29">
        <f>IF(B163="","",IF(COUNTIF('Caption Bank'!$B$5:$B$204,B163)&gt;1,"Duplicate","OK"))</f>
        <v>0</v>
      </c>
      <c r="AB163" s="29">
        <f>IF(B163="","",IF(R163="Rejected","Rewrite - not approved",IF(J163="","Add - caption not written yet",IF(R163&lt;&gt;"Approved","Check - waiting for approval",IF(X163=0,"Use - never used yet","OK")))))</f>
        <v>0</v>
      </c>
    </row>
    <row r="164" spans="1:28">
      <c r="A164" s="41">
        <f>IF(B164="","",CaptionPrefix&amp;TEXT(ROW()-4,"000"))</f>
        <v>0</v>
      </c>
      <c r="U164" s="23">
        <f>IF(J164="","",LEN(J164))</f>
        <v>0</v>
      </c>
      <c r="V164" s="23">
        <f>IF(C164="","",IF(C164="Instagram",2200,IF(C164="TikTok",2200,IF(C164="Pinterest",500,IF(C164="YouTube",5000,IF(C164="Facebook",63206,IF(C164="X (Twitter)",280,IF(C164="LinkedIn",3000,IF(C164="Threads",500,2200)))))))))</f>
        <v>0</v>
      </c>
      <c r="W164" s="29">
        <f>IF(OR(J164="",V164=""),"",IF(U164&gt;V164,"Too long - trim it",IF(U164&lt;40,"Check - very short","OK")))</f>
        <v>0</v>
      </c>
      <c r="X164" s="23">
        <f>IF(B164="","",COUNTIF('Content Calendar'!$P$5:$P$604,B164))</f>
        <v>0</v>
      </c>
      <c r="Y164" s="16">
        <f>IF(X164=0,"",IF(B164="","",SUMPRODUCT(MAX(('Content Calendar'!$P$5:$P$604=B164)*'Content Calendar'!$B$5:$B$604))))</f>
        <v>0</v>
      </c>
      <c r="Z164" s="24">
        <f>IF(X164=0,"",IFERROR(SUMIFS(Performance!$Z$5:$Z$404,Performance!$J$5:$J$404,B164)/SUMIFS(Performance!$O$5:$O$404,Performance!$J$5:$J$404,B164),""))</f>
        <v>0</v>
      </c>
      <c r="AA164" s="29">
        <f>IF(B164="","",IF(COUNTIF('Caption Bank'!$B$5:$B$204,B164)&gt;1,"Duplicate","OK"))</f>
        <v>0</v>
      </c>
      <c r="AB164" s="29">
        <f>IF(B164="","",IF(R164="Rejected","Rewrite - not approved",IF(J164="","Add - caption not written yet",IF(R164&lt;&gt;"Approved","Check - waiting for approval",IF(X164=0,"Use - never used yet","OK")))))</f>
        <v>0</v>
      </c>
    </row>
    <row r="165" spans="1:28">
      <c r="A165" s="41">
        <f>IF(B165="","",CaptionPrefix&amp;TEXT(ROW()-4,"000"))</f>
        <v>0</v>
      </c>
      <c r="U165" s="23">
        <f>IF(J165="","",LEN(J165))</f>
        <v>0</v>
      </c>
      <c r="V165" s="23">
        <f>IF(C165="","",IF(C165="Instagram",2200,IF(C165="TikTok",2200,IF(C165="Pinterest",500,IF(C165="YouTube",5000,IF(C165="Facebook",63206,IF(C165="X (Twitter)",280,IF(C165="LinkedIn",3000,IF(C165="Threads",500,2200)))))))))</f>
        <v>0</v>
      </c>
      <c r="W165" s="29">
        <f>IF(OR(J165="",V165=""),"",IF(U165&gt;V165,"Too long - trim it",IF(U165&lt;40,"Check - very short","OK")))</f>
        <v>0</v>
      </c>
      <c r="X165" s="23">
        <f>IF(B165="","",COUNTIF('Content Calendar'!$P$5:$P$604,B165))</f>
        <v>0</v>
      </c>
      <c r="Y165" s="16">
        <f>IF(X165=0,"",IF(B165="","",SUMPRODUCT(MAX(('Content Calendar'!$P$5:$P$604=B165)*'Content Calendar'!$B$5:$B$604))))</f>
        <v>0</v>
      </c>
      <c r="Z165" s="24">
        <f>IF(X165=0,"",IFERROR(SUMIFS(Performance!$Z$5:$Z$404,Performance!$J$5:$J$404,B165)/SUMIFS(Performance!$O$5:$O$404,Performance!$J$5:$J$404,B165),""))</f>
        <v>0</v>
      </c>
      <c r="AA165" s="29">
        <f>IF(B165="","",IF(COUNTIF('Caption Bank'!$B$5:$B$204,B165)&gt;1,"Duplicate","OK"))</f>
        <v>0</v>
      </c>
      <c r="AB165" s="29">
        <f>IF(B165="","",IF(R165="Rejected","Rewrite - not approved",IF(J165="","Add - caption not written yet",IF(R165&lt;&gt;"Approved","Check - waiting for approval",IF(X165=0,"Use - never used yet","OK")))))</f>
        <v>0</v>
      </c>
    </row>
    <row r="166" spans="1:28">
      <c r="A166" s="41">
        <f>IF(B166="","",CaptionPrefix&amp;TEXT(ROW()-4,"000"))</f>
        <v>0</v>
      </c>
      <c r="U166" s="23">
        <f>IF(J166="","",LEN(J166))</f>
        <v>0</v>
      </c>
      <c r="V166" s="23">
        <f>IF(C166="","",IF(C166="Instagram",2200,IF(C166="TikTok",2200,IF(C166="Pinterest",500,IF(C166="YouTube",5000,IF(C166="Facebook",63206,IF(C166="X (Twitter)",280,IF(C166="LinkedIn",3000,IF(C166="Threads",500,2200)))))))))</f>
        <v>0</v>
      </c>
      <c r="W166" s="29">
        <f>IF(OR(J166="",V166=""),"",IF(U166&gt;V166,"Too long - trim it",IF(U166&lt;40,"Check - very short","OK")))</f>
        <v>0</v>
      </c>
      <c r="X166" s="23">
        <f>IF(B166="","",COUNTIF('Content Calendar'!$P$5:$P$604,B166))</f>
        <v>0</v>
      </c>
      <c r="Y166" s="16">
        <f>IF(X166=0,"",IF(B166="","",SUMPRODUCT(MAX(('Content Calendar'!$P$5:$P$604=B166)*'Content Calendar'!$B$5:$B$604))))</f>
        <v>0</v>
      </c>
      <c r="Z166" s="24">
        <f>IF(X166=0,"",IFERROR(SUMIFS(Performance!$Z$5:$Z$404,Performance!$J$5:$J$404,B166)/SUMIFS(Performance!$O$5:$O$404,Performance!$J$5:$J$404,B166),""))</f>
        <v>0</v>
      </c>
      <c r="AA166" s="29">
        <f>IF(B166="","",IF(COUNTIF('Caption Bank'!$B$5:$B$204,B166)&gt;1,"Duplicate","OK"))</f>
        <v>0</v>
      </c>
      <c r="AB166" s="29">
        <f>IF(B166="","",IF(R166="Rejected","Rewrite - not approved",IF(J166="","Add - caption not written yet",IF(R166&lt;&gt;"Approved","Check - waiting for approval",IF(X166=0,"Use - never used yet","OK")))))</f>
        <v>0</v>
      </c>
    </row>
    <row r="167" spans="1:28">
      <c r="A167" s="41">
        <f>IF(B167="","",CaptionPrefix&amp;TEXT(ROW()-4,"000"))</f>
        <v>0</v>
      </c>
      <c r="U167" s="23">
        <f>IF(J167="","",LEN(J167))</f>
        <v>0</v>
      </c>
      <c r="V167" s="23">
        <f>IF(C167="","",IF(C167="Instagram",2200,IF(C167="TikTok",2200,IF(C167="Pinterest",500,IF(C167="YouTube",5000,IF(C167="Facebook",63206,IF(C167="X (Twitter)",280,IF(C167="LinkedIn",3000,IF(C167="Threads",500,2200)))))))))</f>
        <v>0</v>
      </c>
      <c r="W167" s="29">
        <f>IF(OR(J167="",V167=""),"",IF(U167&gt;V167,"Too long - trim it",IF(U167&lt;40,"Check - very short","OK")))</f>
        <v>0</v>
      </c>
      <c r="X167" s="23">
        <f>IF(B167="","",COUNTIF('Content Calendar'!$P$5:$P$604,B167))</f>
        <v>0</v>
      </c>
      <c r="Y167" s="16">
        <f>IF(X167=0,"",IF(B167="","",SUMPRODUCT(MAX(('Content Calendar'!$P$5:$P$604=B167)*'Content Calendar'!$B$5:$B$604))))</f>
        <v>0</v>
      </c>
      <c r="Z167" s="24">
        <f>IF(X167=0,"",IFERROR(SUMIFS(Performance!$Z$5:$Z$404,Performance!$J$5:$J$404,B167)/SUMIFS(Performance!$O$5:$O$404,Performance!$J$5:$J$404,B167),""))</f>
        <v>0</v>
      </c>
      <c r="AA167" s="29">
        <f>IF(B167="","",IF(COUNTIF('Caption Bank'!$B$5:$B$204,B167)&gt;1,"Duplicate","OK"))</f>
        <v>0</v>
      </c>
      <c r="AB167" s="29">
        <f>IF(B167="","",IF(R167="Rejected","Rewrite - not approved",IF(J167="","Add - caption not written yet",IF(R167&lt;&gt;"Approved","Check - waiting for approval",IF(X167=0,"Use - never used yet","OK")))))</f>
        <v>0</v>
      </c>
    </row>
    <row r="168" spans="1:28">
      <c r="A168" s="41">
        <f>IF(B168="","",CaptionPrefix&amp;TEXT(ROW()-4,"000"))</f>
        <v>0</v>
      </c>
      <c r="U168" s="23">
        <f>IF(J168="","",LEN(J168))</f>
        <v>0</v>
      </c>
      <c r="V168" s="23">
        <f>IF(C168="","",IF(C168="Instagram",2200,IF(C168="TikTok",2200,IF(C168="Pinterest",500,IF(C168="YouTube",5000,IF(C168="Facebook",63206,IF(C168="X (Twitter)",280,IF(C168="LinkedIn",3000,IF(C168="Threads",500,2200)))))))))</f>
        <v>0</v>
      </c>
      <c r="W168" s="29">
        <f>IF(OR(J168="",V168=""),"",IF(U168&gt;V168,"Too long - trim it",IF(U168&lt;40,"Check - very short","OK")))</f>
        <v>0</v>
      </c>
      <c r="X168" s="23">
        <f>IF(B168="","",COUNTIF('Content Calendar'!$P$5:$P$604,B168))</f>
        <v>0</v>
      </c>
      <c r="Y168" s="16">
        <f>IF(X168=0,"",IF(B168="","",SUMPRODUCT(MAX(('Content Calendar'!$P$5:$P$604=B168)*'Content Calendar'!$B$5:$B$604))))</f>
        <v>0</v>
      </c>
      <c r="Z168" s="24">
        <f>IF(X168=0,"",IFERROR(SUMIFS(Performance!$Z$5:$Z$404,Performance!$J$5:$J$404,B168)/SUMIFS(Performance!$O$5:$O$404,Performance!$J$5:$J$404,B168),""))</f>
        <v>0</v>
      </c>
      <c r="AA168" s="29">
        <f>IF(B168="","",IF(COUNTIF('Caption Bank'!$B$5:$B$204,B168)&gt;1,"Duplicate","OK"))</f>
        <v>0</v>
      </c>
      <c r="AB168" s="29">
        <f>IF(B168="","",IF(R168="Rejected","Rewrite - not approved",IF(J168="","Add - caption not written yet",IF(R168&lt;&gt;"Approved","Check - waiting for approval",IF(X168=0,"Use - never used yet","OK")))))</f>
        <v>0</v>
      </c>
    </row>
    <row r="169" spans="1:28">
      <c r="A169" s="41">
        <f>IF(B169="","",CaptionPrefix&amp;TEXT(ROW()-4,"000"))</f>
        <v>0</v>
      </c>
      <c r="U169" s="23">
        <f>IF(J169="","",LEN(J169))</f>
        <v>0</v>
      </c>
      <c r="V169" s="23">
        <f>IF(C169="","",IF(C169="Instagram",2200,IF(C169="TikTok",2200,IF(C169="Pinterest",500,IF(C169="YouTube",5000,IF(C169="Facebook",63206,IF(C169="X (Twitter)",280,IF(C169="LinkedIn",3000,IF(C169="Threads",500,2200)))))))))</f>
        <v>0</v>
      </c>
      <c r="W169" s="29">
        <f>IF(OR(J169="",V169=""),"",IF(U169&gt;V169,"Too long - trim it",IF(U169&lt;40,"Check - very short","OK")))</f>
        <v>0</v>
      </c>
      <c r="X169" s="23">
        <f>IF(B169="","",COUNTIF('Content Calendar'!$P$5:$P$604,B169))</f>
        <v>0</v>
      </c>
      <c r="Y169" s="16">
        <f>IF(X169=0,"",IF(B169="","",SUMPRODUCT(MAX(('Content Calendar'!$P$5:$P$604=B169)*'Content Calendar'!$B$5:$B$604))))</f>
        <v>0</v>
      </c>
      <c r="Z169" s="24">
        <f>IF(X169=0,"",IFERROR(SUMIFS(Performance!$Z$5:$Z$404,Performance!$J$5:$J$404,B169)/SUMIFS(Performance!$O$5:$O$404,Performance!$J$5:$J$404,B169),""))</f>
        <v>0</v>
      </c>
      <c r="AA169" s="29">
        <f>IF(B169="","",IF(COUNTIF('Caption Bank'!$B$5:$B$204,B169)&gt;1,"Duplicate","OK"))</f>
        <v>0</v>
      </c>
      <c r="AB169" s="29">
        <f>IF(B169="","",IF(R169="Rejected","Rewrite - not approved",IF(J169="","Add - caption not written yet",IF(R169&lt;&gt;"Approved","Check - waiting for approval",IF(X169=0,"Use - never used yet","OK")))))</f>
        <v>0</v>
      </c>
    </row>
    <row r="170" spans="1:28">
      <c r="A170" s="41">
        <f>IF(B170="","",CaptionPrefix&amp;TEXT(ROW()-4,"000"))</f>
        <v>0</v>
      </c>
      <c r="U170" s="23">
        <f>IF(J170="","",LEN(J170))</f>
        <v>0</v>
      </c>
      <c r="V170" s="23">
        <f>IF(C170="","",IF(C170="Instagram",2200,IF(C170="TikTok",2200,IF(C170="Pinterest",500,IF(C170="YouTube",5000,IF(C170="Facebook",63206,IF(C170="X (Twitter)",280,IF(C170="LinkedIn",3000,IF(C170="Threads",500,2200)))))))))</f>
        <v>0</v>
      </c>
      <c r="W170" s="29">
        <f>IF(OR(J170="",V170=""),"",IF(U170&gt;V170,"Too long - trim it",IF(U170&lt;40,"Check - very short","OK")))</f>
        <v>0</v>
      </c>
      <c r="X170" s="23">
        <f>IF(B170="","",COUNTIF('Content Calendar'!$P$5:$P$604,B170))</f>
        <v>0</v>
      </c>
      <c r="Y170" s="16">
        <f>IF(X170=0,"",IF(B170="","",SUMPRODUCT(MAX(('Content Calendar'!$P$5:$P$604=B170)*'Content Calendar'!$B$5:$B$604))))</f>
        <v>0</v>
      </c>
      <c r="Z170" s="24">
        <f>IF(X170=0,"",IFERROR(SUMIFS(Performance!$Z$5:$Z$404,Performance!$J$5:$J$404,B170)/SUMIFS(Performance!$O$5:$O$404,Performance!$J$5:$J$404,B170),""))</f>
        <v>0</v>
      </c>
      <c r="AA170" s="29">
        <f>IF(B170="","",IF(COUNTIF('Caption Bank'!$B$5:$B$204,B170)&gt;1,"Duplicate","OK"))</f>
        <v>0</v>
      </c>
      <c r="AB170" s="29">
        <f>IF(B170="","",IF(R170="Rejected","Rewrite - not approved",IF(J170="","Add - caption not written yet",IF(R170&lt;&gt;"Approved","Check - waiting for approval",IF(X170=0,"Use - never used yet","OK")))))</f>
        <v>0</v>
      </c>
    </row>
    <row r="171" spans="1:28">
      <c r="A171" s="41">
        <f>IF(B171="","",CaptionPrefix&amp;TEXT(ROW()-4,"000"))</f>
        <v>0</v>
      </c>
      <c r="U171" s="23">
        <f>IF(J171="","",LEN(J171))</f>
        <v>0</v>
      </c>
      <c r="V171" s="23">
        <f>IF(C171="","",IF(C171="Instagram",2200,IF(C171="TikTok",2200,IF(C171="Pinterest",500,IF(C171="YouTube",5000,IF(C171="Facebook",63206,IF(C171="X (Twitter)",280,IF(C171="LinkedIn",3000,IF(C171="Threads",500,2200)))))))))</f>
        <v>0</v>
      </c>
      <c r="W171" s="29">
        <f>IF(OR(J171="",V171=""),"",IF(U171&gt;V171,"Too long - trim it",IF(U171&lt;40,"Check - very short","OK")))</f>
        <v>0</v>
      </c>
      <c r="X171" s="23">
        <f>IF(B171="","",COUNTIF('Content Calendar'!$P$5:$P$604,B171))</f>
        <v>0</v>
      </c>
      <c r="Y171" s="16">
        <f>IF(X171=0,"",IF(B171="","",SUMPRODUCT(MAX(('Content Calendar'!$P$5:$P$604=B171)*'Content Calendar'!$B$5:$B$604))))</f>
        <v>0</v>
      </c>
      <c r="Z171" s="24">
        <f>IF(X171=0,"",IFERROR(SUMIFS(Performance!$Z$5:$Z$404,Performance!$J$5:$J$404,B171)/SUMIFS(Performance!$O$5:$O$404,Performance!$J$5:$J$404,B171),""))</f>
        <v>0</v>
      </c>
      <c r="AA171" s="29">
        <f>IF(B171="","",IF(COUNTIF('Caption Bank'!$B$5:$B$204,B171)&gt;1,"Duplicate","OK"))</f>
        <v>0</v>
      </c>
      <c r="AB171" s="29">
        <f>IF(B171="","",IF(R171="Rejected","Rewrite - not approved",IF(J171="","Add - caption not written yet",IF(R171&lt;&gt;"Approved","Check - waiting for approval",IF(X171=0,"Use - never used yet","OK")))))</f>
        <v>0</v>
      </c>
    </row>
    <row r="172" spans="1:28">
      <c r="A172" s="41">
        <f>IF(B172="","",CaptionPrefix&amp;TEXT(ROW()-4,"000"))</f>
        <v>0</v>
      </c>
      <c r="U172" s="23">
        <f>IF(J172="","",LEN(J172))</f>
        <v>0</v>
      </c>
      <c r="V172" s="23">
        <f>IF(C172="","",IF(C172="Instagram",2200,IF(C172="TikTok",2200,IF(C172="Pinterest",500,IF(C172="YouTube",5000,IF(C172="Facebook",63206,IF(C172="X (Twitter)",280,IF(C172="LinkedIn",3000,IF(C172="Threads",500,2200)))))))))</f>
        <v>0</v>
      </c>
      <c r="W172" s="29">
        <f>IF(OR(J172="",V172=""),"",IF(U172&gt;V172,"Too long - trim it",IF(U172&lt;40,"Check - very short","OK")))</f>
        <v>0</v>
      </c>
      <c r="X172" s="23">
        <f>IF(B172="","",COUNTIF('Content Calendar'!$P$5:$P$604,B172))</f>
        <v>0</v>
      </c>
      <c r="Y172" s="16">
        <f>IF(X172=0,"",IF(B172="","",SUMPRODUCT(MAX(('Content Calendar'!$P$5:$P$604=B172)*'Content Calendar'!$B$5:$B$604))))</f>
        <v>0</v>
      </c>
      <c r="Z172" s="24">
        <f>IF(X172=0,"",IFERROR(SUMIFS(Performance!$Z$5:$Z$404,Performance!$J$5:$J$404,B172)/SUMIFS(Performance!$O$5:$O$404,Performance!$J$5:$J$404,B172),""))</f>
        <v>0</v>
      </c>
      <c r="AA172" s="29">
        <f>IF(B172="","",IF(COUNTIF('Caption Bank'!$B$5:$B$204,B172)&gt;1,"Duplicate","OK"))</f>
        <v>0</v>
      </c>
      <c r="AB172" s="29">
        <f>IF(B172="","",IF(R172="Rejected","Rewrite - not approved",IF(J172="","Add - caption not written yet",IF(R172&lt;&gt;"Approved","Check - waiting for approval",IF(X172=0,"Use - never used yet","OK")))))</f>
        <v>0</v>
      </c>
    </row>
    <row r="173" spans="1:28">
      <c r="A173" s="41">
        <f>IF(B173="","",CaptionPrefix&amp;TEXT(ROW()-4,"000"))</f>
        <v>0</v>
      </c>
      <c r="U173" s="23">
        <f>IF(J173="","",LEN(J173))</f>
        <v>0</v>
      </c>
      <c r="V173" s="23">
        <f>IF(C173="","",IF(C173="Instagram",2200,IF(C173="TikTok",2200,IF(C173="Pinterest",500,IF(C173="YouTube",5000,IF(C173="Facebook",63206,IF(C173="X (Twitter)",280,IF(C173="LinkedIn",3000,IF(C173="Threads",500,2200)))))))))</f>
        <v>0</v>
      </c>
      <c r="W173" s="29">
        <f>IF(OR(J173="",V173=""),"",IF(U173&gt;V173,"Too long - trim it",IF(U173&lt;40,"Check - very short","OK")))</f>
        <v>0</v>
      </c>
      <c r="X173" s="23">
        <f>IF(B173="","",COUNTIF('Content Calendar'!$P$5:$P$604,B173))</f>
        <v>0</v>
      </c>
      <c r="Y173" s="16">
        <f>IF(X173=0,"",IF(B173="","",SUMPRODUCT(MAX(('Content Calendar'!$P$5:$P$604=B173)*'Content Calendar'!$B$5:$B$604))))</f>
        <v>0</v>
      </c>
      <c r="Z173" s="24">
        <f>IF(X173=0,"",IFERROR(SUMIFS(Performance!$Z$5:$Z$404,Performance!$J$5:$J$404,B173)/SUMIFS(Performance!$O$5:$O$404,Performance!$J$5:$J$404,B173),""))</f>
        <v>0</v>
      </c>
      <c r="AA173" s="29">
        <f>IF(B173="","",IF(COUNTIF('Caption Bank'!$B$5:$B$204,B173)&gt;1,"Duplicate","OK"))</f>
        <v>0</v>
      </c>
      <c r="AB173" s="29">
        <f>IF(B173="","",IF(R173="Rejected","Rewrite - not approved",IF(J173="","Add - caption not written yet",IF(R173&lt;&gt;"Approved","Check - waiting for approval",IF(X173=0,"Use - never used yet","OK")))))</f>
        <v>0</v>
      </c>
    </row>
    <row r="174" spans="1:28">
      <c r="A174" s="41">
        <f>IF(B174="","",CaptionPrefix&amp;TEXT(ROW()-4,"000"))</f>
        <v>0</v>
      </c>
      <c r="U174" s="23">
        <f>IF(J174="","",LEN(J174))</f>
        <v>0</v>
      </c>
      <c r="V174" s="23">
        <f>IF(C174="","",IF(C174="Instagram",2200,IF(C174="TikTok",2200,IF(C174="Pinterest",500,IF(C174="YouTube",5000,IF(C174="Facebook",63206,IF(C174="X (Twitter)",280,IF(C174="LinkedIn",3000,IF(C174="Threads",500,2200)))))))))</f>
        <v>0</v>
      </c>
      <c r="W174" s="29">
        <f>IF(OR(J174="",V174=""),"",IF(U174&gt;V174,"Too long - trim it",IF(U174&lt;40,"Check - very short","OK")))</f>
        <v>0</v>
      </c>
      <c r="X174" s="23">
        <f>IF(B174="","",COUNTIF('Content Calendar'!$P$5:$P$604,B174))</f>
        <v>0</v>
      </c>
      <c r="Y174" s="16">
        <f>IF(X174=0,"",IF(B174="","",SUMPRODUCT(MAX(('Content Calendar'!$P$5:$P$604=B174)*'Content Calendar'!$B$5:$B$604))))</f>
        <v>0</v>
      </c>
      <c r="Z174" s="24">
        <f>IF(X174=0,"",IFERROR(SUMIFS(Performance!$Z$5:$Z$404,Performance!$J$5:$J$404,B174)/SUMIFS(Performance!$O$5:$O$404,Performance!$J$5:$J$404,B174),""))</f>
        <v>0</v>
      </c>
      <c r="AA174" s="29">
        <f>IF(B174="","",IF(COUNTIF('Caption Bank'!$B$5:$B$204,B174)&gt;1,"Duplicate","OK"))</f>
        <v>0</v>
      </c>
      <c r="AB174" s="29">
        <f>IF(B174="","",IF(R174="Rejected","Rewrite - not approved",IF(J174="","Add - caption not written yet",IF(R174&lt;&gt;"Approved","Check - waiting for approval",IF(X174=0,"Use - never used yet","OK")))))</f>
        <v>0</v>
      </c>
    </row>
    <row r="175" spans="1:28">
      <c r="A175" s="41">
        <f>IF(B175="","",CaptionPrefix&amp;TEXT(ROW()-4,"000"))</f>
        <v>0</v>
      </c>
      <c r="U175" s="23">
        <f>IF(J175="","",LEN(J175))</f>
        <v>0</v>
      </c>
      <c r="V175" s="23">
        <f>IF(C175="","",IF(C175="Instagram",2200,IF(C175="TikTok",2200,IF(C175="Pinterest",500,IF(C175="YouTube",5000,IF(C175="Facebook",63206,IF(C175="X (Twitter)",280,IF(C175="LinkedIn",3000,IF(C175="Threads",500,2200)))))))))</f>
        <v>0</v>
      </c>
      <c r="W175" s="29">
        <f>IF(OR(J175="",V175=""),"",IF(U175&gt;V175,"Too long - trim it",IF(U175&lt;40,"Check - very short","OK")))</f>
        <v>0</v>
      </c>
      <c r="X175" s="23">
        <f>IF(B175="","",COUNTIF('Content Calendar'!$P$5:$P$604,B175))</f>
        <v>0</v>
      </c>
      <c r="Y175" s="16">
        <f>IF(X175=0,"",IF(B175="","",SUMPRODUCT(MAX(('Content Calendar'!$P$5:$P$604=B175)*'Content Calendar'!$B$5:$B$604))))</f>
        <v>0</v>
      </c>
      <c r="Z175" s="24">
        <f>IF(X175=0,"",IFERROR(SUMIFS(Performance!$Z$5:$Z$404,Performance!$J$5:$J$404,B175)/SUMIFS(Performance!$O$5:$O$404,Performance!$J$5:$J$404,B175),""))</f>
        <v>0</v>
      </c>
      <c r="AA175" s="29">
        <f>IF(B175="","",IF(COUNTIF('Caption Bank'!$B$5:$B$204,B175)&gt;1,"Duplicate","OK"))</f>
        <v>0</v>
      </c>
      <c r="AB175" s="29">
        <f>IF(B175="","",IF(R175="Rejected","Rewrite - not approved",IF(J175="","Add - caption not written yet",IF(R175&lt;&gt;"Approved","Check - waiting for approval",IF(X175=0,"Use - never used yet","OK")))))</f>
        <v>0</v>
      </c>
    </row>
    <row r="176" spans="1:28">
      <c r="A176" s="41">
        <f>IF(B176="","",CaptionPrefix&amp;TEXT(ROW()-4,"000"))</f>
        <v>0</v>
      </c>
      <c r="U176" s="23">
        <f>IF(J176="","",LEN(J176))</f>
        <v>0</v>
      </c>
      <c r="V176" s="23">
        <f>IF(C176="","",IF(C176="Instagram",2200,IF(C176="TikTok",2200,IF(C176="Pinterest",500,IF(C176="YouTube",5000,IF(C176="Facebook",63206,IF(C176="X (Twitter)",280,IF(C176="LinkedIn",3000,IF(C176="Threads",500,2200)))))))))</f>
        <v>0</v>
      </c>
      <c r="W176" s="29">
        <f>IF(OR(J176="",V176=""),"",IF(U176&gt;V176,"Too long - trim it",IF(U176&lt;40,"Check - very short","OK")))</f>
        <v>0</v>
      </c>
      <c r="X176" s="23">
        <f>IF(B176="","",COUNTIF('Content Calendar'!$P$5:$P$604,B176))</f>
        <v>0</v>
      </c>
      <c r="Y176" s="16">
        <f>IF(X176=0,"",IF(B176="","",SUMPRODUCT(MAX(('Content Calendar'!$P$5:$P$604=B176)*'Content Calendar'!$B$5:$B$604))))</f>
        <v>0</v>
      </c>
      <c r="Z176" s="24">
        <f>IF(X176=0,"",IFERROR(SUMIFS(Performance!$Z$5:$Z$404,Performance!$J$5:$J$404,B176)/SUMIFS(Performance!$O$5:$O$404,Performance!$J$5:$J$404,B176),""))</f>
        <v>0</v>
      </c>
      <c r="AA176" s="29">
        <f>IF(B176="","",IF(COUNTIF('Caption Bank'!$B$5:$B$204,B176)&gt;1,"Duplicate","OK"))</f>
        <v>0</v>
      </c>
      <c r="AB176" s="29">
        <f>IF(B176="","",IF(R176="Rejected","Rewrite - not approved",IF(J176="","Add - caption not written yet",IF(R176&lt;&gt;"Approved","Check - waiting for approval",IF(X176=0,"Use - never used yet","OK")))))</f>
        <v>0</v>
      </c>
    </row>
    <row r="177" spans="1:28">
      <c r="A177" s="41">
        <f>IF(B177="","",CaptionPrefix&amp;TEXT(ROW()-4,"000"))</f>
        <v>0</v>
      </c>
      <c r="U177" s="23">
        <f>IF(J177="","",LEN(J177))</f>
        <v>0</v>
      </c>
      <c r="V177" s="23">
        <f>IF(C177="","",IF(C177="Instagram",2200,IF(C177="TikTok",2200,IF(C177="Pinterest",500,IF(C177="YouTube",5000,IF(C177="Facebook",63206,IF(C177="X (Twitter)",280,IF(C177="LinkedIn",3000,IF(C177="Threads",500,2200)))))))))</f>
        <v>0</v>
      </c>
      <c r="W177" s="29">
        <f>IF(OR(J177="",V177=""),"",IF(U177&gt;V177,"Too long - trim it",IF(U177&lt;40,"Check - very short","OK")))</f>
        <v>0</v>
      </c>
      <c r="X177" s="23">
        <f>IF(B177="","",COUNTIF('Content Calendar'!$P$5:$P$604,B177))</f>
        <v>0</v>
      </c>
      <c r="Y177" s="16">
        <f>IF(X177=0,"",IF(B177="","",SUMPRODUCT(MAX(('Content Calendar'!$P$5:$P$604=B177)*'Content Calendar'!$B$5:$B$604))))</f>
        <v>0</v>
      </c>
      <c r="Z177" s="24">
        <f>IF(X177=0,"",IFERROR(SUMIFS(Performance!$Z$5:$Z$404,Performance!$J$5:$J$404,B177)/SUMIFS(Performance!$O$5:$O$404,Performance!$J$5:$J$404,B177),""))</f>
        <v>0</v>
      </c>
      <c r="AA177" s="29">
        <f>IF(B177="","",IF(COUNTIF('Caption Bank'!$B$5:$B$204,B177)&gt;1,"Duplicate","OK"))</f>
        <v>0</v>
      </c>
      <c r="AB177" s="29">
        <f>IF(B177="","",IF(R177="Rejected","Rewrite - not approved",IF(J177="","Add - caption not written yet",IF(R177&lt;&gt;"Approved","Check - waiting for approval",IF(X177=0,"Use - never used yet","OK")))))</f>
        <v>0</v>
      </c>
    </row>
    <row r="178" spans="1:28">
      <c r="A178" s="41">
        <f>IF(B178="","",CaptionPrefix&amp;TEXT(ROW()-4,"000"))</f>
        <v>0</v>
      </c>
      <c r="U178" s="23">
        <f>IF(J178="","",LEN(J178))</f>
        <v>0</v>
      </c>
      <c r="V178" s="23">
        <f>IF(C178="","",IF(C178="Instagram",2200,IF(C178="TikTok",2200,IF(C178="Pinterest",500,IF(C178="YouTube",5000,IF(C178="Facebook",63206,IF(C178="X (Twitter)",280,IF(C178="LinkedIn",3000,IF(C178="Threads",500,2200)))))))))</f>
        <v>0</v>
      </c>
      <c r="W178" s="29">
        <f>IF(OR(J178="",V178=""),"",IF(U178&gt;V178,"Too long - trim it",IF(U178&lt;40,"Check - very short","OK")))</f>
        <v>0</v>
      </c>
      <c r="X178" s="23">
        <f>IF(B178="","",COUNTIF('Content Calendar'!$P$5:$P$604,B178))</f>
        <v>0</v>
      </c>
      <c r="Y178" s="16">
        <f>IF(X178=0,"",IF(B178="","",SUMPRODUCT(MAX(('Content Calendar'!$P$5:$P$604=B178)*'Content Calendar'!$B$5:$B$604))))</f>
        <v>0</v>
      </c>
      <c r="Z178" s="24">
        <f>IF(X178=0,"",IFERROR(SUMIFS(Performance!$Z$5:$Z$404,Performance!$J$5:$J$404,B178)/SUMIFS(Performance!$O$5:$O$404,Performance!$J$5:$J$404,B178),""))</f>
        <v>0</v>
      </c>
      <c r="AA178" s="29">
        <f>IF(B178="","",IF(COUNTIF('Caption Bank'!$B$5:$B$204,B178)&gt;1,"Duplicate","OK"))</f>
        <v>0</v>
      </c>
      <c r="AB178" s="29">
        <f>IF(B178="","",IF(R178="Rejected","Rewrite - not approved",IF(J178="","Add - caption not written yet",IF(R178&lt;&gt;"Approved","Check - waiting for approval",IF(X178=0,"Use - never used yet","OK")))))</f>
        <v>0</v>
      </c>
    </row>
    <row r="179" spans="1:28">
      <c r="A179" s="41">
        <f>IF(B179="","",CaptionPrefix&amp;TEXT(ROW()-4,"000"))</f>
        <v>0</v>
      </c>
      <c r="U179" s="23">
        <f>IF(J179="","",LEN(J179))</f>
        <v>0</v>
      </c>
      <c r="V179" s="23">
        <f>IF(C179="","",IF(C179="Instagram",2200,IF(C179="TikTok",2200,IF(C179="Pinterest",500,IF(C179="YouTube",5000,IF(C179="Facebook",63206,IF(C179="X (Twitter)",280,IF(C179="LinkedIn",3000,IF(C179="Threads",500,2200)))))))))</f>
        <v>0</v>
      </c>
      <c r="W179" s="29">
        <f>IF(OR(J179="",V179=""),"",IF(U179&gt;V179,"Too long - trim it",IF(U179&lt;40,"Check - very short","OK")))</f>
        <v>0</v>
      </c>
      <c r="X179" s="23">
        <f>IF(B179="","",COUNTIF('Content Calendar'!$P$5:$P$604,B179))</f>
        <v>0</v>
      </c>
      <c r="Y179" s="16">
        <f>IF(X179=0,"",IF(B179="","",SUMPRODUCT(MAX(('Content Calendar'!$P$5:$P$604=B179)*'Content Calendar'!$B$5:$B$604))))</f>
        <v>0</v>
      </c>
      <c r="Z179" s="24">
        <f>IF(X179=0,"",IFERROR(SUMIFS(Performance!$Z$5:$Z$404,Performance!$J$5:$J$404,B179)/SUMIFS(Performance!$O$5:$O$404,Performance!$J$5:$J$404,B179),""))</f>
        <v>0</v>
      </c>
      <c r="AA179" s="29">
        <f>IF(B179="","",IF(COUNTIF('Caption Bank'!$B$5:$B$204,B179)&gt;1,"Duplicate","OK"))</f>
        <v>0</v>
      </c>
      <c r="AB179" s="29">
        <f>IF(B179="","",IF(R179="Rejected","Rewrite - not approved",IF(J179="","Add - caption not written yet",IF(R179&lt;&gt;"Approved","Check - waiting for approval",IF(X179=0,"Use - never used yet","OK")))))</f>
        <v>0</v>
      </c>
    </row>
    <row r="180" spans="1:28">
      <c r="A180" s="41">
        <f>IF(B180="","",CaptionPrefix&amp;TEXT(ROW()-4,"000"))</f>
        <v>0</v>
      </c>
      <c r="U180" s="23">
        <f>IF(J180="","",LEN(J180))</f>
        <v>0</v>
      </c>
      <c r="V180" s="23">
        <f>IF(C180="","",IF(C180="Instagram",2200,IF(C180="TikTok",2200,IF(C180="Pinterest",500,IF(C180="YouTube",5000,IF(C180="Facebook",63206,IF(C180="X (Twitter)",280,IF(C180="LinkedIn",3000,IF(C180="Threads",500,2200)))))))))</f>
        <v>0</v>
      </c>
      <c r="W180" s="29">
        <f>IF(OR(J180="",V180=""),"",IF(U180&gt;V180,"Too long - trim it",IF(U180&lt;40,"Check - very short","OK")))</f>
        <v>0</v>
      </c>
      <c r="X180" s="23">
        <f>IF(B180="","",COUNTIF('Content Calendar'!$P$5:$P$604,B180))</f>
        <v>0</v>
      </c>
      <c r="Y180" s="16">
        <f>IF(X180=0,"",IF(B180="","",SUMPRODUCT(MAX(('Content Calendar'!$P$5:$P$604=B180)*'Content Calendar'!$B$5:$B$604))))</f>
        <v>0</v>
      </c>
      <c r="Z180" s="24">
        <f>IF(X180=0,"",IFERROR(SUMIFS(Performance!$Z$5:$Z$404,Performance!$J$5:$J$404,B180)/SUMIFS(Performance!$O$5:$O$404,Performance!$J$5:$J$404,B180),""))</f>
        <v>0</v>
      </c>
      <c r="AA180" s="29">
        <f>IF(B180="","",IF(COUNTIF('Caption Bank'!$B$5:$B$204,B180)&gt;1,"Duplicate","OK"))</f>
        <v>0</v>
      </c>
      <c r="AB180" s="29">
        <f>IF(B180="","",IF(R180="Rejected","Rewrite - not approved",IF(J180="","Add - caption not written yet",IF(R180&lt;&gt;"Approved","Check - waiting for approval",IF(X180=0,"Use - never used yet","OK")))))</f>
        <v>0</v>
      </c>
    </row>
    <row r="181" spans="1:28">
      <c r="A181" s="41">
        <f>IF(B181="","",CaptionPrefix&amp;TEXT(ROW()-4,"000"))</f>
        <v>0</v>
      </c>
      <c r="U181" s="23">
        <f>IF(J181="","",LEN(J181))</f>
        <v>0</v>
      </c>
      <c r="V181" s="23">
        <f>IF(C181="","",IF(C181="Instagram",2200,IF(C181="TikTok",2200,IF(C181="Pinterest",500,IF(C181="YouTube",5000,IF(C181="Facebook",63206,IF(C181="X (Twitter)",280,IF(C181="LinkedIn",3000,IF(C181="Threads",500,2200)))))))))</f>
        <v>0</v>
      </c>
      <c r="W181" s="29">
        <f>IF(OR(J181="",V181=""),"",IF(U181&gt;V181,"Too long - trim it",IF(U181&lt;40,"Check - very short","OK")))</f>
        <v>0</v>
      </c>
      <c r="X181" s="23">
        <f>IF(B181="","",COUNTIF('Content Calendar'!$P$5:$P$604,B181))</f>
        <v>0</v>
      </c>
      <c r="Y181" s="16">
        <f>IF(X181=0,"",IF(B181="","",SUMPRODUCT(MAX(('Content Calendar'!$P$5:$P$604=B181)*'Content Calendar'!$B$5:$B$604))))</f>
        <v>0</v>
      </c>
      <c r="Z181" s="24">
        <f>IF(X181=0,"",IFERROR(SUMIFS(Performance!$Z$5:$Z$404,Performance!$J$5:$J$404,B181)/SUMIFS(Performance!$O$5:$O$404,Performance!$J$5:$J$404,B181),""))</f>
        <v>0</v>
      </c>
      <c r="AA181" s="29">
        <f>IF(B181="","",IF(COUNTIF('Caption Bank'!$B$5:$B$204,B181)&gt;1,"Duplicate","OK"))</f>
        <v>0</v>
      </c>
      <c r="AB181" s="29">
        <f>IF(B181="","",IF(R181="Rejected","Rewrite - not approved",IF(J181="","Add - caption not written yet",IF(R181&lt;&gt;"Approved","Check - waiting for approval",IF(X181=0,"Use - never used yet","OK")))))</f>
        <v>0</v>
      </c>
    </row>
    <row r="182" spans="1:28">
      <c r="A182" s="41">
        <f>IF(B182="","",CaptionPrefix&amp;TEXT(ROW()-4,"000"))</f>
        <v>0</v>
      </c>
      <c r="U182" s="23">
        <f>IF(J182="","",LEN(J182))</f>
        <v>0</v>
      </c>
      <c r="V182" s="23">
        <f>IF(C182="","",IF(C182="Instagram",2200,IF(C182="TikTok",2200,IF(C182="Pinterest",500,IF(C182="YouTube",5000,IF(C182="Facebook",63206,IF(C182="X (Twitter)",280,IF(C182="LinkedIn",3000,IF(C182="Threads",500,2200)))))))))</f>
        <v>0</v>
      </c>
      <c r="W182" s="29">
        <f>IF(OR(J182="",V182=""),"",IF(U182&gt;V182,"Too long - trim it",IF(U182&lt;40,"Check - very short","OK")))</f>
        <v>0</v>
      </c>
      <c r="X182" s="23">
        <f>IF(B182="","",COUNTIF('Content Calendar'!$P$5:$P$604,B182))</f>
        <v>0</v>
      </c>
      <c r="Y182" s="16">
        <f>IF(X182=0,"",IF(B182="","",SUMPRODUCT(MAX(('Content Calendar'!$P$5:$P$604=B182)*'Content Calendar'!$B$5:$B$604))))</f>
        <v>0</v>
      </c>
      <c r="Z182" s="24">
        <f>IF(X182=0,"",IFERROR(SUMIFS(Performance!$Z$5:$Z$404,Performance!$J$5:$J$404,B182)/SUMIFS(Performance!$O$5:$O$404,Performance!$J$5:$J$404,B182),""))</f>
        <v>0</v>
      </c>
      <c r="AA182" s="29">
        <f>IF(B182="","",IF(COUNTIF('Caption Bank'!$B$5:$B$204,B182)&gt;1,"Duplicate","OK"))</f>
        <v>0</v>
      </c>
      <c r="AB182" s="29">
        <f>IF(B182="","",IF(R182="Rejected","Rewrite - not approved",IF(J182="","Add - caption not written yet",IF(R182&lt;&gt;"Approved","Check - waiting for approval",IF(X182=0,"Use - never used yet","OK")))))</f>
        <v>0</v>
      </c>
    </row>
    <row r="183" spans="1:28">
      <c r="A183" s="41">
        <f>IF(B183="","",CaptionPrefix&amp;TEXT(ROW()-4,"000"))</f>
        <v>0</v>
      </c>
      <c r="U183" s="23">
        <f>IF(J183="","",LEN(J183))</f>
        <v>0</v>
      </c>
      <c r="V183" s="23">
        <f>IF(C183="","",IF(C183="Instagram",2200,IF(C183="TikTok",2200,IF(C183="Pinterest",500,IF(C183="YouTube",5000,IF(C183="Facebook",63206,IF(C183="X (Twitter)",280,IF(C183="LinkedIn",3000,IF(C183="Threads",500,2200)))))))))</f>
        <v>0</v>
      </c>
      <c r="W183" s="29">
        <f>IF(OR(J183="",V183=""),"",IF(U183&gt;V183,"Too long - trim it",IF(U183&lt;40,"Check - very short","OK")))</f>
        <v>0</v>
      </c>
      <c r="X183" s="23">
        <f>IF(B183="","",COUNTIF('Content Calendar'!$P$5:$P$604,B183))</f>
        <v>0</v>
      </c>
      <c r="Y183" s="16">
        <f>IF(X183=0,"",IF(B183="","",SUMPRODUCT(MAX(('Content Calendar'!$P$5:$P$604=B183)*'Content Calendar'!$B$5:$B$604))))</f>
        <v>0</v>
      </c>
      <c r="Z183" s="24">
        <f>IF(X183=0,"",IFERROR(SUMIFS(Performance!$Z$5:$Z$404,Performance!$J$5:$J$404,B183)/SUMIFS(Performance!$O$5:$O$404,Performance!$J$5:$J$404,B183),""))</f>
        <v>0</v>
      </c>
      <c r="AA183" s="29">
        <f>IF(B183="","",IF(COUNTIF('Caption Bank'!$B$5:$B$204,B183)&gt;1,"Duplicate","OK"))</f>
        <v>0</v>
      </c>
      <c r="AB183" s="29">
        <f>IF(B183="","",IF(R183="Rejected","Rewrite - not approved",IF(J183="","Add - caption not written yet",IF(R183&lt;&gt;"Approved","Check - waiting for approval",IF(X183=0,"Use - never used yet","OK")))))</f>
        <v>0</v>
      </c>
    </row>
    <row r="184" spans="1:28">
      <c r="A184" s="41">
        <f>IF(B184="","",CaptionPrefix&amp;TEXT(ROW()-4,"000"))</f>
        <v>0</v>
      </c>
      <c r="U184" s="23">
        <f>IF(J184="","",LEN(J184))</f>
        <v>0</v>
      </c>
      <c r="V184" s="23">
        <f>IF(C184="","",IF(C184="Instagram",2200,IF(C184="TikTok",2200,IF(C184="Pinterest",500,IF(C184="YouTube",5000,IF(C184="Facebook",63206,IF(C184="X (Twitter)",280,IF(C184="LinkedIn",3000,IF(C184="Threads",500,2200)))))))))</f>
        <v>0</v>
      </c>
      <c r="W184" s="29">
        <f>IF(OR(J184="",V184=""),"",IF(U184&gt;V184,"Too long - trim it",IF(U184&lt;40,"Check - very short","OK")))</f>
        <v>0</v>
      </c>
      <c r="X184" s="23">
        <f>IF(B184="","",COUNTIF('Content Calendar'!$P$5:$P$604,B184))</f>
        <v>0</v>
      </c>
      <c r="Y184" s="16">
        <f>IF(X184=0,"",IF(B184="","",SUMPRODUCT(MAX(('Content Calendar'!$P$5:$P$604=B184)*'Content Calendar'!$B$5:$B$604))))</f>
        <v>0</v>
      </c>
      <c r="Z184" s="24">
        <f>IF(X184=0,"",IFERROR(SUMIFS(Performance!$Z$5:$Z$404,Performance!$J$5:$J$404,B184)/SUMIFS(Performance!$O$5:$O$404,Performance!$J$5:$J$404,B184),""))</f>
        <v>0</v>
      </c>
      <c r="AA184" s="29">
        <f>IF(B184="","",IF(COUNTIF('Caption Bank'!$B$5:$B$204,B184)&gt;1,"Duplicate","OK"))</f>
        <v>0</v>
      </c>
      <c r="AB184" s="29">
        <f>IF(B184="","",IF(R184="Rejected","Rewrite - not approved",IF(J184="","Add - caption not written yet",IF(R184&lt;&gt;"Approved","Check - waiting for approval",IF(X184=0,"Use - never used yet","OK")))))</f>
        <v>0</v>
      </c>
    </row>
    <row r="185" spans="1:28">
      <c r="A185" s="41">
        <f>IF(B185="","",CaptionPrefix&amp;TEXT(ROW()-4,"000"))</f>
        <v>0</v>
      </c>
      <c r="U185" s="23">
        <f>IF(J185="","",LEN(J185))</f>
        <v>0</v>
      </c>
      <c r="V185" s="23">
        <f>IF(C185="","",IF(C185="Instagram",2200,IF(C185="TikTok",2200,IF(C185="Pinterest",500,IF(C185="YouTube",5000,IF(C185="Facebook",63206,IF(C185="X (Twitter)",280,IF(C185="LinkedIn",3000,IF(C185="Threads",500,2200)))))))))</f>
        <v>0</v>
      </c>
      <c r="W185" s="29">
        <f>IF(OR(J185="",V185=""),"",IF(U185&gt;V185,"Too long - trim it",IF(U185&lt;40,"Check - very short","OK")))</f>
        <v>0</v>
      </c>
      <c r="X185" s="23">
        <f>IF(B185="","",COUNTIF('Content Calendar'!$P$5:$P$604,B185))</f>
        <v>0</v>
      </c>
      <c r="Y185" s="16">
        <f>IF(X185=0,"",IF(B185="","",SUMPRODUCT(MAX(('Content Calendar'!$P$5:$P$604=B185)*'Content Calendar'!$B$5:$B$604))))</f>
        <v>0</v>
      </c>
      <c r="Z185" s="24">
        <f>IF(X185=0,"",IFERROR(SUMIFS(Performance!$Z$5:$Z$404,Performance!$J$5:$J$404,B185)/SUMIFS(Performance!$O$5:$O$404,Performance!$J$5:$J$404,B185),""))</f>
        <v>0</v>
      </c>
      <c r="AA185" s="29">
        <f>IF(B185="","",IF(COUNTIF('Caption Bank'!$B$5:$B$204,B185)&gt;1,"Duplicate","OK"))</f>
        <v>0</v>
      </c>
      <c r="AB185" s="29">
        <f>IF(B185="","",IF(R185="Rejected","Rewrite - not approved",IF(J185="","Add - caption not written yet",IF(R185&lt;&gt;"Approved","Check - waiting for approval",IF(X185=0,"Use - never used yet","OK")))))</f>
        <v>0</v>
      </c>
    </row>
    <row r="186" spans="1:28">
      <c r="A186" s="41">
        <f>IF(B186="","",CaptionPrefix&amp;TEXT(ROW()-4,"000"))</f>
        <v>0</v>
      </c>
      <c r="U186" s="23">
        <f>IF(J186="","",LEN(J186))</f>
        <v>0</v>
      </c>
      <c r="V186" s="23">
        <f>IF(C186="","",IF(C186="Instagram",2200,IF(C186="TikTok",2200,IF(C186="Pinterest",500,IF(C186="YouTube",5000,IF(C186="Facebook",63206,IF(C186="X (Twitter)",280,IF(C186="LinkedIn",3000,IF(C186="Threads",500,2200)))))))))</f>
        <v>0</v>
      </c>
      <c r="W186" s="29">
        <f>IF(OR(J186="",V186=""),"",IF(U186&gt;V186,"Too long - trim it",IF(U186&lt;40,"Check - very short","OK")))</f>
        <v>0</v>
      </c>
      <c r="X186" s="23">
        <f>IF(B186="","",COUNTIF('Content Calendar'!$P$5:$P$604,B186))</f>
        <v>0</v>
      </c>
      <c r="Y186" s="16">
        <f>IF(X186=0,"",IF(B186="","",SUMPRODUCT(MAX(('Content Calendar'!$P$5:$P$604=B186)*'Content Calendar'!$B$5:$B$604))))</f>
        <v>0</v>
      </c>
      <c r="Z186" s="24">
        <f>IF(X186=0,"",IFERROR(SUMIFS(Performance!$Z$5:$Z$404,Performance!$J$5:$J$404,B186)/SUMIFS(Performance!$O$5:$O$404,Performance!$J$5:$J$404,B186),""))</f>
        <v>0</v>
      </c>
      <c r="AA186" s="29">
        <f>IF(B186="","",IF(COUNTIF('Caption Bank'!$B$5:$B$204,B186)&gt;1,"Duplicate","OK"))</f>
        <v>0</v>
      </c>
      <c r="AB186" s="29">
        <f>IF(B186="","",IF(R186="Rejected","Rewrite - not approved",IF(J186="","Add - caption not written yet",IF(R186&lt;&gt;"Approved","Check - waiting for approval",IF(X186=0,"Use - never used yet","OK")))))</f>
        <v>0</v>
      </c>
    </row>
    <row r="187" spans="1:28">
      <c r="A187" s="41">
        <f>IF(B187="","",CaptionPrefix&amp;TEXT(ROW()-4,"000"))</f>
        <v>0</v>
      </c>
      <c r="U187" s="23">
        <f>IF(J187="","",LEN(J187))</f>
        <v>0</v>
      </c>
      <c r="V187" s="23">
        <f>IF(C187="","",IF(C187="Instagram",2200,IF(C187="TikTok",2200,IF(C187="Pinterest",500,IF(C187="YouTube",5000,IF(C187="Facebook",63206,IF(C187="X (Twitter)",280,IF(C187="LinkedIn",3000,IF(C187="Threads",500,2200)))))))))</f>
        <v>0</v>
      </c>
      <c r="W187" s="29">
        <f>IF(OR(J187="",V187=""),"",IF(U187&gt;V187,"Too long - trim it",IF(U187&lt;40,"Check - very short","OK")))</f>
        <v>0</v>
      </c>
      <c r="X187" s="23">
        <f>IF(B187="","",COUNTIF('Content Calendar'!$P$5:$P$604,B187))</f>
        <v>0</v>
      </c>
      <c r="Y187" s="16">
        <f>IF(X187=0,"",IF(B187="","",SUMPRODUCT(MAX(('Content Calendar'!$P$5:$P$604=B187)*'Content Calendar'!$B$5:$B$604))))</f>
        <v>0</v>
      </c>
      <c r="Z187" s="24">
        <f>IF(X187=0,"",IFERROR(SUMIFS(Performance!$Z$5:$Z$404,Performance!$J$5:$J$404,B187)/SUMIFS(Performance!$O$5:$O$404,Performance!$J$5:$J$404,B187),""))</f>
        <v>0</v>
      </c>
      <c r="AA187" s="29">
        <f>IF(B187="","",IF(COUNTIF('Caption Bank'!$B$5:$B$204,B187)&gt;1,"Duplicate","OK"))</f>
        <v>0</v>
      </c>
      <c r="AB187" s="29">
        <f>IF(B187="","",IF(R187="Rejected","Rewrite - not approved",IF(J187="","Add - caption not written yet",IF(R187&lt;&gt;"Approved","Check - waiting for approval",IF(X187=0,"Use - never used yet","OK")))))</f>
        <v>0</v>
      </c>
    </row>
    <row r="188" spans="1:28">
      <c r="A188" s="41">
        <f>IF(B188="","",CaptionPrefix&amp;TEXT(ROW()-4,"000"))</f>
        <v>0</v>
      </c>
      <c r="U188" s="23">
        <f>IF(J188="","",LEN(J188))</f>
        <v>0</v>
      </c>
      <c r="V188" s="23">
        <f>IF(C188="","",IF(C188="Instagram",2200,IF(C188="TikTok",2200,IF(C188="Pinterest",500,IF(C188="YouTube",5000,IF(C188="Facebook",63206,IF(C188="X (Twitter)",280,IF(C188="LinkedIn",3000,IF(C188="Threads",500,2200)))))))))</f>
        <v>0</v>
      </c>
      <c r="W188" s="29">
        <f>IF(OR(J188="",V188=""),"",IF(U188&gt;V188,"Too long - trim it",IF(U188&lt;40,"Check - very short","OK")))</f>
        <v>0</v>
      </c>
      <c r="X188" s="23">
        <f>IF(B188="","",COUNTIF('Content Calendar'!$P$5:$P$604,B188))</f>
        <v>0</v>
      </c>
      <c r="Y188" s="16">
        <f>IF(X188=0,"",IF(B188="","",SUMPRODUCT(MAX(('Content Calendar'!$P$5:$P$604=B188)*'Content Calendar'!$B$5:$B$604))))</f>
        <v>0</v>
      </c>
      <c r="Z188" s="24">
        <f>IF(X188=0,"",IFERROR(SUMIFS(Performance!$Z$5:$Z$404,Performance!$J$5:$J$404,B188)/SUMIFS(Performance!$O$5:$O$404,Performance!$J$5:$J$404,B188),""))</f>
        <v>0</v>
      </c>
      <c r="AA188" s="29">
        <f>IF(B188="","",IF(COUNTIF('Caption Bank'!$B$5:$B$204,B188)&gt;1,"Duplicate","OK"))</f>
        <v>0</v>
      </c>
      <c r="AB188" s="29">
        <f>IF(B188="","",IF(R188="Rejected","Rewrite - not approved",IF(J188="","Add - caption not written yet",IF(R188&lt;&gt;"Approved","Check - waiting for approval",IF(X188=0,"Use - never used yet","OK")))))</f>
        <v>0</v>
      </c>
    </row>
    <row r="189" spans="1:28">
      <c r="A189" s="41">
        <f>IF(B189="","",CaptionPrefix&amp;TEXT(ROW()-4,"000"))</f>
        <v>0</v>
      </c>
      <c r="U189" s="23">
        <f>IF(J189="","",LEN(J189))</f>
        <v>0</v>
      </c>
      <c r="V189" s="23">
        <f>IF(C189="","",IF(C189="Instagram",2200,IF(C189="TikTok",2200,IF(C189="Pinterest",500,IF(C189="YouTube",5000,IF(C189="Facebook",63206,IF(C189="X (Twitter)",280,IF(C189="LinkedIn",3000,IF(C189="Threads",500,2200)))))))))</f>
        <v>0</v>
      </c>
      <c r="W189" s="29">
        <f>IF(OR(J189="",V189=""),"",IF(U189&gt;V189,"Too long - trim it",IF(U189&lt;40,"Check - very short","OK")))</f>
        <v>0</v>
      </c>
      <c r="X189" s="23">
        <f>IF(B189="","",COUNTIF('Content Calendar'!$P$5:$P$604,B189))</f>
        <v>0</v>
      </c>
      <c r="Y189" s="16">
        <f>IF(X189=0,"",IF(B189="","",SUMPRODUCT(MAX(('Content Calendar'!$P$5:$P$604=B189)*'Content Calendar'!$B$5:$B$604))))</f>
        <v>0</v>
      </c>
      <c r="Z189" s="24">
        <f>IF(X189=0,"",IFERROR(SUMIFS(Performance!$Z$5:$Z$404,Performance!$J$5:$J$404,B189)/SUMIFS(Performance!$O$5:$O$404,Performance!$J$5:$J$404,B189),""))</f>
        <v>0</v>
      </c>
      <c r="AA189" s="29">
        <f>IF(B189="","",IF(COUNTIF('Caption Bank'!$B$5:$B$204,B189)&gt;1,"Duplicate","OK"))</f>
        <v>0</v>
      </c>
      <c r="AB189" s="29">
        <f>IF(B189="","",IF(R189="Rejected","Rewrite - not approved",IF(J189="","Add - caption not written yet",IF(R189&lt;&gt;"Approved","Check - waiting for approval",IF(X189=0,"Use - never used yet","OK")))))</f>
        <v>0</v>
      </c>
    </row>
    <row r="190" spans="1:28">
      <c r="A190" s="41">
        <f>IF(B190="","",CaptionPrefix&amp;TEXT(ROW()-4,"000"))</f>
        <v>0</v>
      </c>
      <c r="U190" s="23">
        <f>IF(J190="","",LEN(J190))</f>
        <v>0</v>
      </c>
      <c r="V190" s="23">
        <f>IF(C190="","",IF(C190="Instagram",2200,IF(C190="TikTok",2200,IF(C190="Pinterest",500,IF(C190="YouTube",5000,IF(C190="Facebook",63206,IF(C190="X (Twitter)",280,IF(C190="LinkedIn",3000,IF(C190="Threads",500,2200)))))))))</f>
        <v>0</v>
      </c>
      <c r="W190" s="29">
        <f>IF(OR(J190="",V190=""),"",IF(U190&gt;V190,"Too long - trim it",IF(U190&lt;40,"Check - very short","OK")))</f>
        <v>0</v>
      </c>
      <c r="X190" s="23">
        <f>IF(B190="","",COUNTIF('Content Calendar'!$P$5:$P$604,B190))</f>
        <v>0</v>
      </c>
      <c r="Y190" s="16">
        <f>IF(X190=0,"",IF(B190="","",SUMPRODUCT(MAX(('Content Calendar'!$P$5:$P$604=B190)*'Content Calendar'!$B$5:$B$604))))</f>
        <v>0</v>
      </c>
      <c r="Z190" s="24">
        <f>IF(X190=0,"",IFERROR(SUMIFS(Performance!$Z$5:$Z$404,Performance!$J$5:$J$404,B190)/SUMIFS(Performance!$O$5:$O$404,Performance!$J$5:$J$404,B190),""))</f>
        <v>0</v>
      </c>
      <c r="AA190" s="29">
        <f>IF(B190="","",IF(COUNTIF('Caption Bank'!$B$5:$B$204,B190)&gt;1,"Duplicate","OK"))</f>
        <v>0</v>
      </c>
      <c r="AB190" s="29">
        <f>IF(B190="","",IF(R190="Rejected","Rewrite - not approved",IF(J190="","Add - caption not written yet",IF(R190&lt;&gt;"Approved","Check - waiting for approval",IF(X190=0,"Use - never used yet","OK")))))</f>
        <v>0</v>
      </c>
    </row>
    <row r="191" spans="1:28">
      <c r="A191" s="41">
        <f>IF(B191="","",CaptionPrefix&amp;TEXT(ROW()-4,"000"))</f>
        <v>0</v>
      </c>
      <c r="U191" s="23">
        <f>IF(J191="","",LEN(J191))</f>
        <v>0</v>
      </c>
      <c r="V191" s="23">
        <f>IF(C191="","",IF(C191="Instagram",2200,IF(C191="TikTok",2200,IF(C191="Pinterest",500,IF(C191="YouTube",5000,IF(C191="Facebook",63206,IF(C191="X (Twitter)",280,IF(C191="LinkedIn",3000,IF(C191="Threads",500,2200)))))))))</f>
        <v>0</v>
      </c>
      <c r="W191" s="29">
        <f>IF(OR(J191="",V191=""),"",IF(U191&gt;V191,"Too long - trim it",IF(U191&lt;40,"Check - very short","OK")))</f>
        <v>0</v>
      </c>
      <c r="X191" s="23">
        <f>IF(B191="","",COUNTIF('Content Calendar'!$P$5:$P$604,B191))</f>
        <v>0</v>
      </c>
      <c r="Y191" s="16">
        <f>IF(X191=0,"",IF(B191="","",SUMPRODUCT(MAX(('Content Calendar'!$P$5:$P$604=B191)*'Content Calendar'!$B$5:$B$604))))</f>
        <v>0</v>
      </c>
      <c r="Z191" s="24">
        <f>IF(X191=0,"",IFERROR(SUMIFS(Performance!$Z$5:$Z$404,Performance!$J$5:$J$404,B191)/SUMIFS(Performance!$O$5:$O$404,Performance!$J$5:$J$404,B191),""))</f>
        <v>0</v>
      </c>
      <c r="AA191" s="29">
        <f>IF(B191="","",IF(COUNTIF('Caption Bank'!$B$5:$B$204,B191)&gt;1,"Duplicate","OK"))</f>
        <v>0</v>
      </c>
      <c r="AB191" s="29">
        <f>IF(B191="","",IF(R191="Rejected","Rewrite - not approved",IF(J191="","Add - caption not written yet",IF(R191&lt;&gt;"Approved","Check - waiting for approval",IF(X191=0,"Use - never used yet","OK")))))</f>
        <v>0</v>
      </c>
    </row>
    <row r="192" spans="1:28">
      <c r="A192" s="41">
        <f>IF(B192="","",CaptionPrefix&amp;TEXT(ROW()-4,"000"))</f>
        <v>0</v>
      </c>
      <c r="U192" s="23">
        <f>IF(J192="","",LEN(J192))</f>
        <v>0</v>
      </c>
      <c r="V192" s="23">
        <f>IF(C192="","",IF(C192="Instagram",2200,IF(C192="TikTok",2200,IF(C192="Pinterest",500,IF(C192="YouTube",5000,IF(C192="Facebook",63206,IF(C192="X (Twitter)",280,IF(C192="LinkedIn",3000,IF(C192="Threads",500,2200)))))))))</f>
        <v>0</v>
      </c>
      <c r="W192" s="29">
        <f>IF(OR(J192="",V192=""),"",IF(U192&gt;V192,"Too long - trim it",IF(U192&lt;40,"Check - very short","OK")))</f>
        <v>0</v>
      </c>
      <c r="X192" s="23">
        <f>IF(B192="","",COUNTIF('Content Calendar'!$P$5:$P$604,B192))</f>
        <v>0</v>
      </c>
      <c r="Y192" s="16">
        <f>IF(X192=0,"",IF(B192="","",SUMPRODUCT(MAX(('Content Calendar'!$P$5:$P$604=B192)*'Content Calendar'!$B$5:$B$604))))</f>
        <v>0</v>
      </c>
      <c r="Z192" s="24">
        <f>IF(X192=0,"",IFERROR(SUMIFS(Performance!$Z$5:$Z$404,Performance!$J$5:$J$404,B192)/SUMIFS(Performance!$O$5:$O$404,Performance!$J$5:$J$404,B192),""))</f>
        <v>0</v>
      </c>
      <c r="AA192" s="29">
        <f>IF(B192="","",IF(COUNTIF('Caption Bank'!$B$5:$B$204,B192)&gt;1,"Duplicate","OK"))</f>
        <v>0</v>
      </c>
      <c r="AB192" s="29">
        <f>IF(B192="","",IF(R192="Rejected","Rewrite - not approved",IF(J192="","Add - caption not written yet",IF(R192&lt;&gt;"Approved","Check - waiting for approval",IF(X192=0,"Use - never used yet","OK")))))</f>
        <v>0</v>
      </c>
    </row>
    <row r="193" spans="1:28">
      <c r="A193" s="41">
        <f>IF(B193="","",CaptionPrefix&amp;TEXT(ROW()-4,"000"))</f>
        <v>0</v>
      </c>
      <c r="U193" s="23">
        <f>IF(J193="","",LEN(J193))</f>
        <v>0</v>
      </c>
      <c r="V193" s="23">
        <f>IF(C193="","",IF(C193="Instagram",2200,IF(C193="TikTok",2200,IF(C193="Pinterest",500,IF(C193="YouTube",5000,IF(C193="Facebook",63206,IF(C193="X (Twitter)",280,IF(C193="LinkedIn",3000,IF(C193="Threads",500,2200)))))))))</f>
        <v>0</v>
      </c>
      <c r="W193" s="29">
        <f>IF(OR(J193="",V193=""),"",IF(U193&gt;V193,"Too long - trim it",IF(U193&lt;40,"Check - very short","OK")))</f>
        <v>0</v>
      </c>
      <c r="X193" s="23">
        <f>IF(B193="","",COUNTIF('Content Calendar'!$P$5:$P$604,B193))</f>
        <v>0</v>
      </c>
      <c r="Y193" s="16">
        <f>IF(X193=0,"",IF(B193="","",SUMPRODUCT(MAX(('Content Calendar'!$P$5:$P$604=B193)*'Content Calendar'!$B$5:$B$604))))</f>
        <v>0</v>
      </c>
      <c r="Z193" s="24">
        <f>IF(X193=0,"",IFERROR(SUMIFS(Performance!$Z$5:$Z$404,Performance!$J$5:$J$404,B193)/SUMIFS(Performance!$O$5:$O$404,Performance!$J$5:$J$404,B193),""))</f>
        <v>0</v>
      </c>
      <c r="AA193" s="29">
        <f>IF(B193="","",IF(COUNTIF('Caption Bank'!$B$5:$B$204,B193)&gt;1,"Duplicate","OK"))</f>
        <v>0</v>
      </c>
      <c r="AB193" s="29">
        <f>IF(B193="","",IF(R193="Rejected","Rewrite - not approved",IF(J193="","Add - caption not written yet",IF(R193&lt;&gt;"Approved","Check - waiting for approval",IF(X193=0,"Use - never used yet","OK")))))</f>
        <v>0</v>
      </c>
    </row>
    <row r="194" spans="1:28">
      <c r="A194" s="41">
        <f>IF(B194="","",CaptionPrefix&amp;TEXT(ROW()-4,"000"))</f>
        <v>0</v>
      </c>
      <c r="U194" s="23">
        <f>IF(J194="","",LEN(J194))</f>
        <v>0</v>
      </c>
      <c r="V194" s="23">
        <f>IF(C194="","",IF(C194="Instagram",2200,IF(C194="TikTok",2200,IF(C194="Pinterest",500,IF(C194="YouTube",5000,IF(C194="Facebook",63206,IF(C194="X (Twitter)",280,IF(C194="LinkedIn",3000,IF(C194="Threads",500,2200)))))))))</f>
        <v>0</v>
      </c>
      <c r="W194" s="29">
        <f>IF(OR(J194="",V194=""),"",IF(U194&gt;V194,"Too long - trim it",IF(U194&lt;40,"Check - very short","OK")))</f>
        <v>0</v>
      </c>
      <c r="X194" s="23">
        <f>IF(B194="","",COUNTIF('Content Calendar'!$P$5:$P$604,B194))</f>
        <v>0</v>
      </c>
      <c r="Y194" s="16">
        <f>IF(X194=0,"",IF(B194="","",SUMPRODUCT(MAX(('Content Calendar'!$P$5:$P$604=B194)*'Content Calendar'!$B$5:$B$604))))</f>
        <v>0</v>
      </c>
      <c r="Z194" s="24">
        <f>IF(X194=0,"",IFERROR(SUMIFS(Performance!$Z$5:$Z$404,Performance!$J$5:$J$404,B194)/SUMIFS(Performance!$O$5:$O$404,Performance!$J$5:$J$404,B194),""))</f>
        <v>0</v>
      </c>
      <c r="AA194" s="29">
        <f>IF(B194="","",IF(COUNTIF('Caption Bank'!$B$5:$B$204,B194)&gt;1,"Duplicate","OK"))</f>
        <v>0</v>
      </c>
      <c r="AB194" s="29">
        <f>IF(B194="","",IF(R194="Rejected","Rewrite - not approved",IF(J194="","Add - caption not written yet",IF(R194&lt;&gt;"Approved","Check - waiting for approval",IF(X194=0,"Use - never used yet","OK")))))</f>
        <v>0</v>
      </c>
    </row>
    <row r="195" spans="1:28">
      <c r="A195" s="41">
        <f>IF(B195="","",CaptionPrefix&amp;TEXT(ROW()-4,"000"))</f>
        <v>0</v>
      </c>
      <c r="U195" s="23">
        <f>IF(J195="","",LEN(J195))</f>
        <v>0</v>
      </c>
      <c r="V195" s="23">
        <f>IF(C195="","",IF(C195="Instagram",2200,IF(C195="TikTok",2200,IF(C195="Pinterest",500,IF(C195="YouTube",5000,IF(C195="Facebook",63206,IF(C195="X (Twitter)",280,IF(C195="LinkedIn",3000,IF(C195="Threads",500,2200)))))))))</f>
        <v>0</v>
      </c>
      <c r="W195" s="29">
        <f>IF(OR(J195="",V195=""),"",IF(U195&gt;V195,"Too long - trim it",IF(U195&lt;40,"Check - very short","OK")))</f>
        <v>0</v>
      </c>
      <c r="X195" s="23">
        <f>IF(B195="","",COUNTIF('Content Calendar'!$P$5:$P$604,B195))</f>
        <v>0</v>
      </c>
      <c r="Y195" s="16">
        <f>IF(X195=0,"",IF(B195="","",SUMPRODUCT(MAX(('Content Calendar'!$P$5:$P$604=B195)*'Content Calendar'!$B$5:$B$604))))</f>
        <v>0</v>
      </c>
      <c r="Z195" s="24">
        <f>IF(X195=0,"",IFERROR(SUMIFS(Performance!$Z$5:$Z$404,Performance!$J$5:$J$404,B195)/SUMIFS(Performance!$O$5:$O$404,Performance!$J$5:$J$404,B195),""))</f>
        <v>0</v>
      </c>
      <c r="AA195" s="29">
        <f>IF(B195="","",IF(COUNTIF('Caption Bank'!$B$5:$B$204,B195)&gt;1,"Duplicate","OK"))</f>
        <v>0</v>
      </c>
      <c r="AB195" s="29">
        <f>IF(B195="","",IF(R195="Rejected","Rewrite - not approved",IF(J195="","Add - caption not written yet",IF(R195&lt;&gt;"Approved","Check - waiting for approval",IF(X195=0,"Use - never used yet","OK")))))</f>
        <v>0</v>
      </c>
    </row>
    <row r="196" spans="1:28">
      <c r="A196" s="41">
        <f>IF(B196="","",CaptionPrefix&amp;TEXT(ROW()-4,"000"))</f>
        <v>0</v>
      </c>
      <c r="U196" s="23">
        <f>IF(J196="","",LEN(J196))</f>
        <v>0</v>
      </c>
      <c r="V196" s="23">
        <f>IF(C196="","",IF(C196="Instagram",2200,IF(C196="TikTok",2200,IF(C196="Pinterest",500,IF(C196="YouTube",5000,IF(C196="Facebook",63206,IF(C196="X (Twitter)",280,IF(C196="LinkedIn",3000,IF(C196="Threads",500,2200)))))))))</f>
        <v>0</v>
      </c>
      <c r="W196" s="29">
        <f>IF(OR(J196="",V196=""),"",IF(U196&gt;V196,"Too long - trim it",IF(U196&lt;40,"Check - very short","OK")))</f>
        <v>0</v>
      </c>
      <c r="X196" s="23">
        <f>IF(B196="","",COUNTIF('Content Calendar'!$P$5:$P$604,B196))</f>
        <v>0</v>
      </c>
      <c r="Y196" s="16">
        <f>IF(X196=0,"",IF(B196="","",SUMPRODUCT(MAX(('Content Calendar'!$P$5:$P$604=B196)*'Content Calendar'!$B$5:$B$604))))</f>
        <v>0</v>
      </c>
      <c r="Z196" s="24">
        <f>IF(X196=0,"",IFERROR(SUMIFS(Performance!$Z$5:$Z$404,Performance!$J$5:$J$404,B196)/SUMIFS(Performance!$O$5:$O$404,Performance!$J$5:$J$404,B196),""))</f>
        <v>0</v>
      </c>
      <c r="AA196" s="29">
        <f>IF(B196="","",IF(COUNTIF('Caption Bank'!$B$5:$B$204,B196)&gt;1,"Duplicate","OK"))</f>
        <v>0</v>
      </c>
      <c r="AB196" s="29">
        <f>IF(B196="","",IF(R196="Rejected","Rewrite - not approved",IF(J196="","Add - caption not written yet",IF(R196&lt;&gt;"Approved","Check - waiting for approval",IF(X196=0,"Use - never used yet","OK")))))</f>
        <v>0</v>
      </c>
    </row>
    <row r="197" spans="1:28">
      <c r="A197" s="41">
        <f>IF(B197="","",CaptionPrefix&amp;TEXT(ROW()-4,"000"))</f>
        <v>0</v>
      </c>
      <c r="U197" s="23">
        <f>IF(J197="","",LEN(J197))</f>
        <v>0</v>
      </c>
      <c r="V197" s="23">
        <f>IF(C197="","",IF(C197="Instagram",2200,IF(C197="TikTok",2200,IF(C197="Pinterest",500,IF(C197="YouTube",5000,IF(C197="Facebook",63206,IF(C197="X (Twitter)",280,IF(C197="LinkedIn",3000,IF(C197="Threads",500,2200)))))))))</f>
        <v>0</v>
      </c>
      <c r="W197" s="29">
        <f>IF(OR(J197="",V197=""),"",IF(U197&gt;V197,"Too long - trim it",IF(U197&lt;40,"Check - very short","OK")))</f>
        <v>0</v>
      </c>
      <c r="X197" s="23">
        <f>IF(B197="","",COUNTIF('Content Calendar'!$P$5:$P$604,B197))</f>
        <v>0</v>
      </c>
      <c r="Y197" s="16">
        <f>IF(X197=0,"",IF(B197="","",SUMPRODUCT(MAX(('Content Calendar'!$P$5:$P$604=B197)*'Content Calendar'!$B$5:$B$604))))</f>
        <v>0</v>
      </c>
      <c r="Z197" s="24">
        <f>IF(X197=0,"",IFERROR(SUMIFS(Performance!$Z$5:$Z$404,Performance!$J$5:$J$404,B197)/SUMIFS(Performance!$O$5:$O$404,Performance!$J$5:$J$404,B197),""))</f>
        <v>0</v>
      </c>
      <c r="AA197" s="29">
        <f>IF(B197="","",IF(COUNTIF('Caption Bank'!$B$5:$B$204,B197)&gt;1,"Duplicate","OK"))</f>
        <v>0</v>
      </c>
      <c r="AB197" s="29">
        <f>IF(B197="","",IF(R197="Rejected","Rewrite - not approved",IF(J197="","Add - caption not written yet",IF(R197&lt;&gt;"Approved","Check - waiting for approval",IF(X197=0,"Use - never used yet","OK")))))</f>
        <v>0</v>
      </c>
    </row>
    <row r="198" spans="1:28">
      <c r="A198" s="41">
        <f>IF(B198="","",CaptionPrefix&amp;TEXT(ROW()-4,"000"))</f>
        <v>0</v>
      </c>
      <c r="U198" s="23">
        <f>IF(J198="","",LEN(J198))</f>
        <v>0</v>
      </c>
      <c r="V198" s="23">
        <f>IF(C198="","",IF(C198="Instagram",2200,IF(C198="TikTok",2200,IF(C198="Pinterest",500,IF(C198="YouTube",5000,IF(C198="Facebook",63206,IF(C198="X (Twitter)",280,IF(C198="LinkedIn",3000,IF(C198="Threads",500,2200)))))))))</f>
        <v>0</v>
      </c>
      <c r="W198" s="29">
        <f>IF(OR(J198="",V198=""),"",IF(U198&gt;V198,"Too long - trim it",IF(U198&lt;40,"Check - very short","OK")))</f>
        <v>0</v>
      </c>
      <c r="X198" s="23">
        <f>IF(B198="","",COUNTIF('Content Calendar'!$P$5:$P$604,B198))</f>
        <v>0</v>
      </c>
      <c r="Y198" s="16">
        <f>IF(X198=0,"",IF(B198="","",SUMPRODUCT(MAX(('Content Calendar'!$P$5:$P$604=B198)*'Content Calendar'!$B$5:$B$604))))</f>
        <v>0</v>
      </c>
      <c r="Z198" s="24">
        <f>IF(X198=0,"",IFERROR(SUMIFS(Performance!$Z$5:$Z$404,Performance!$J$5:$J$404,B198)/SUMIFS(Performance!$O$5:$O$404,Performance!$J$5:$J$404,B198),""))</f>
        <v>0</v>
      </c>
      <c r="AA198" s="29">
        <f>IF(B198="","",IF(COUNTIF('Caption Bank'!$B$5:$B$204,B198)&gt;1,"Duplicate","OK"))</f>
        <v>0</v>
      </c>
      <c r="AB198" s="29">
        <f>IF(B198="","",IF(R198="Rejected","Rewrite - not approved",IF(J198="","Add - caption not written yet",IF(R198&lt;&gt;"Approved","Check - waiting for approval",IF(X198=0,"Use - never used yet","OK")))))</f>
        <v>0</v>
      </c>
    </row>
    <row r="199" spans="1:28">
      <c r="A199" s="41">
        <f>IF(B199="","",CaptionPrefix&amp;TEXT(ROW()-4,"000"))</f>
        <v>0</v>
      </c>
      <c r="U199" s="23">
        <f>IF(J199="","",LEN(J199))</f>
        <v>0</v>
      </c>
      <c r="V199" s="23">
        <f>IF(C199="","",IF(C199="Instagram",2200,IF(C199="TikTok",2200,IF(C199="Pinterest",500,IF(C199="YouTube",5000,IF(C199="Facebook",63206,IF(C199="X (Twitter)",280,IF(C199="LinkedIn",3000,IF(C199="Threads",500,2200)))))))))</f>
        <v>0</v>
      </c>
      <c r="W199" s="29">
        <f>IF(OR(J199="",V199=""),"",IF(U199&gt;V199,"Too long - trim it",IF(U199&lt;40,"Check - very short","OK")))</f>
        <v>0</v>
      </c>
      <c r="X199" s="23">
        <f>IF(B199="","",COUNTIF('Content Calendar'!$P$5:$P$604,B199))</f>
        <v>0</v>
      </c>
      <c r="Y199" s="16">
        <f>IF(X199=0,"",IF(B199="","",SUMPRODUCT(MAX(('Content Calendar'!$P$5:$P$604=B199)*'Content Calendar'!$B$5:$B$604))))</f>
        <v>0</v>
      </c>
      <c r="Z199" s="24">
        <f>IF(X199=0,"",IFERROR(SUMIFS(Performance!$Z$5:$Z$404,Performance!$J$5:$J$404,B199)/SUMIFS(Performance!$O$5:$O$404,Performance!$J$5:$J$404,B199),""))</f>
        <v>0</v>
      </c>
      <c r="AA199" s="29">
        <f>IF(B199="","",IF(COUNTIF('Caption Bank'!$B$5:$B$204,B199)&gt;1,"Duplicate","OK"))</f>
        <v>0</v>
      </c>
      <c r="AB199" s="29">
        <f>IF(B199="","",IF(R199="Rejected","Rewrite - not approved",IF(J199="","Add - caption not written yet",IF(R199&lt;&gt;"Approved","Check - waiting for approval",IF(X199=0,"Use - never used yet","OK")))))</f>
        <v>0</v>
      </c>
    </row>
    <row r="200" spans="1:28">
      <c r="A200" s="41">
        <f>IF(B200="","",CaptionPrefix&amp;TEXT(ROW()-4,"000"))</f>
        <v>0</v>
      </c>
      <c r="U200" s="23">
        <f>IF(J200="","",LEN(J200))</f>
        <v>0</v>
      </c>
      <c r="V200" s="23">
        <f>IF(C200="","",IF(C200="Instagram",2200,IF(C200="TikTok",2200,IF(C200="Pinterest",500,IF(C200="YouTube",5000,IF(C200="Facebook",63206,IF(C200="X (Twitter)",280,IF(C200="LinkedIn",3000,IF(C200="Threads",500,2200)))))))))</f>
        <v>0</v>
      </c>
      <c r="W200" s="29">
        <f>IF(OR(J200="",V200=""),"",IF(U200&gt;V200,"Too long - trim it",IF(U200&lt;40,"Check - very short","OK")))</f>
        <v>0</v>
      </c>
      <c r="X200" s="23">
        <f>IF(B200="","",COUNTIF('Content Calendar'!$P$5:$P$604,B200))</f>
        <v>0</v>
      </c>
      <c r="Y200" s="16">
        <f>IF(X200=0,"",IF(B200="","",SUMPRODUCT(MAX(('Content Calendar'!$P$5:$P$604=B200)*'Content Calendar'!$B$5:$B$604))))</f>
        <v>0</v>
      </c>
      <c r="Z200" s="24">
        <f>IF(X200=0,"",IFERROR(SUMIFS(Performance!$Z$5:$Z$404,Performance!$J$5:$J$404,B200)/SUMIFS(Performance!$O$5:$O$404,Performance!$J$5:$J$404,B200),""))</f>
        <v>0</v>
      </c>
      <c r="AA200" s="29">
        <f>IF(B200="","",IF(COUNTIF('Caption Bank'!$B$5:$B$204,B200)&gt;1,"Duplicate","OK"))</f>
        <v>0</v>
      </c>
      <c r="AB200" s="29">
        <f>IF(B200="","",IF(R200="Rejected","Rewrite - not approved",IF(J200="","Add - caption not written yet",IF(R200&lt;&gt;"Approved","Check - waiting for approval",IF(X200=0,"Use - never used yet","OK")))))</f>
        <v>0</v>
      </c>
    </row>
    <row r="201" spans="1:28">
      <c r="A201" s="41">
        <f>IF(B201="","",CaptionPrefix&amp;TEXT(ROW()-4,"000"))</f>
        <v>0</v>
      </c>
      <c r="U201" s="23">
        <f>IF(J201="","",LEN(J201))</f>
        <v>0</v>
      </c>
      <c r="V201" s="23">
        <f>IF(C201="","",IF(C201="Instagram",2200,IF(C201="TikTok",2200,IF(C201="Pinterest",500,IF(C201="YouTube",5000,IF(C201="Facebook",63206,IF(C201="X (Twitter)",280,IF(C201="LinkedIn",3000,IF(C201="Threads",500,2200)))))))))</f>
        <v>0</v>
      </c>
      <c r="W201" s="29">
        <f>IF(OR(J201="",V201=""),"",IF(U201&gt;V201,"Too long - trim it",IF(U201&lt;40,"Check - very short","OK")))</f>
        <v>0</v>
      </c>
      <c r="X201" s="23">
        <f>IF(B201="","",COUNTIF('Content Calendar'!$P$5:$P$604,B201))</f>
        <v>0</v>
      </c>
      <c r="Y201" s="16">
        <f>IF(X201=0,"",IF(B201="","",SUMPRODUCT(MAX(('Content Calendar'!$P$5:$P$604=B201)*'Content Calendar'!$B$5:$B$604))))</f>
        <v>0</v>
      </c>
      <c r="Z201" s="24">
        <f>IF(X201=0,"",IFERROR(SUMIFS(Performance!$Z$5:$Z$404,Performance!$J$5:$J$404,B201)/SUMIFS(Performance!$O$5:$O$404,Performance!$J$5:$J$404,B201),""))</f>
        <v>0</v>
      </c>
      <c r="AA201" s="29">
        <f>IF(B201="","",IF(COUNTIF('Caption Bank'!$B$5:$B$204,B201)&gt;1,"Duplicate","OK"))</f>
        <v>0</v>
      </c>
      <c r="AB201" s="29">
        <f>IF(B201="","",IF(R201="Rejected","Rewrite - not approved",IF(J201="","Add - caption not written yet",IF(R201&lt;&gt;"Approved","Check - waiting for approval",IF(X201=0,"Use - never used yet","OK")))))</f>
        <v>0</v>
      </c>
    </row>
    <row r="202" spans="1:28">
      <c r="A202" s="41">
        <f>IF(B202="","",CaptionPrefix&amp;TEXT(ROW()-4,"000"))</f>
        <v>0</v>
      </c>
      <c r="U202" s="23">
        <f>IF(J202="","",LEN(J202))</f>
        <v>0</v>
      </c>
      <c r="V202" s="23">
        <f>IF(C202="","",IF(C202="Instagram",2200,IF(C202="TikTok",2200,IF(C202="Pinterest",500,IF(C202="YouTube",5000,IF(C202="Facebook",63206,IF(C202="X (Twitter)",280,IF(C202="LinkedIn",3000,IF(C202="Threads",500,2200)))))))))</f>
        <v>0</v>
      </c>
      <c r="W202" s="29">
        <f>IF(OR(J202="",V202=""),"",IF(U202&gt;V202,"Too long - trim it",IF(U202&lt;40,"Check - very short","OK")))</f>
        <v>0</v>
      </c>
      <c r="X202" s="23">
        <f>IF(B202="","",COUNTIF('Content Calendar'!$P$5:$P$604,B202))</f>
        <v>0</v>
      </c>
      <c r="Y202" s="16">
        <f>IF(X202=0,"",IF(B202="","",SUMPRODUCT(MAX(('Content Calendar'!$P$5:$P$604=B202)*'Content Calendar'!$B$5:$B$604))))</f>
        <v>0</v>
      </c>
      <c r="Z202" s="24">
        <f>IF(X202=0,"",IFERROR(SUMIFS(Performance!$Z$5:$Z$404,Performance!$J$5:$J$404,B202)/SUMIFS(Performance!$O$5:$O$404,Performance!$J$5:$J$404,B202),""))</f>
        <v>0</v>
      </c>
      <c r="AA202" s="29">
        <f>IF(B202="","",IF(COUNTIF('Caption Bank'!$B$5:$B$204,B202)&gt;1,"Duplicate","OK"))</f>
        <v>0</v>
      </c>
      <c r="AB202" s="29">
        <f>IF(B202="","",IF(R202="Rejected","Rewrite - not approved",IF(J202="","Add - caption not written yet",IF(R202&lt;&gt;"Approved","Check - waiting for approval",IF(X202=0,"Use - never used yet","OK")))))</f>
        <v>0</v>
      </c>
    </row>
    <row r="203" spans="1:28">
      <c r="A203" s="41">
        <f>IF(B203="","",CaptionPrefix&amp;TEXT(ROW()-4,"000"))</f>
        <v>0</v>
      </c>
      <c r="U203" s="23">
        <f>IF(J203="","",LEN(J203))</f>
        <v>0</v>
      </c>
      <c r="V203" s="23">
        <f>IF(C203="","",IF(C203="Instagram",2200,IF(C203="TikTok",2200,IF(C203="Pinterest",500,IF(C203="YouTube",5000,IF(C203="Facebook",63206,IF(C203="X (Twitter)",280,IF(C203="LinkedIn",3000,IF(C203="Threads",500,2200)))))))))</f>
        <v>0</v>
      </c>
      <c r="W203" s="29">
        <f>IF(OR(J203="",V203=""),"",IF(U203&gt;V203,"Too long - trim it",IF(U203&lt;40,"Check - very short","OK")))</f>
        <v>0</v>
      </c>
      <c r="X203" s="23">
        <f>IF(B203="","",COUNTIF('Content Calendar'!$P$5:$P$604,B203))</f>
        <v>0</v>
      </c>
      <c r="Y203" s="16">
        <f>IF(X203=0,"",IF(B203="","",SUMPRODUCT(MAX(('Content Calendar'!$P$5:$P$604=B203)*'Content Calendar'!$B$5:$B$604))))</f>
        <v>0</v>
      </c>
      <c r="Z203" s="24">
        <f>IF(X203=0,"",IFERROR(SUMIFS(Performance!$Z$5:$Z$404,Performance!$J$5:$J$404,B203)/SUMIFS(Performance!$O$5:$O$404,Performance!$J$5:$J$404,B203),""))</f>
        <v>0</v>
      </c>
      <c r="AA203" s="29">
        <f>IF(B203="","",IF(COUNTIF('Caption Bank'!$B$5:$B$204,B203)&gt;1,"Duplicate","OK"))</f>
        <v>0</v>
      </c>
      <c r="AB203" s="29">
        <f>IF(B203="","",IF(R203="Rejected","Rewrite - not approved",IF(J203="","Add - caption not written yet",IF(R203&lt;&gt;"Approved","Check - waiting for approval",IF(X203=0,"Use - never used yet","OK")))))</f>
        <v>0</v>
      </c>
    </row>
    <row r="204" spans="1:28">
      <c r="A204" s="41">
        <f>IF(B204="","",CaptionPrefix&amp;TEXT(ROW()-4,"000"))</f>
        <v>0</v>
      </c>
      <c r="U204" s="23">
        <f>IF(J204="","",LEN(J204))</f>
        <v>0</v>
      </c>
      <c r="V204" s="23">
        <f>IF(C204="","",IF(C204="Instagram",2200,IF(C204="TikTok",2200,IF(C204="Pinterest",500,IF(C204="YouTube",5000,IF(C204="Facebook",63206,IF(C204="X (Twitter)",280,IF(C204="LinkedIn",3000,IF(C204="Threads",500,2200)))))))))</f>
        <v>0</v>
      </c>
      <c r="W204" s="29">
        <f>IF(OR(J204="",V204=""),"",IF(U204&gt;V204,"Too long - trim it",IF(U204&lt;40,"Check - very short","OK")))</f>
        <v>0</v>
      </c>
      <c r="X204" s="23">
        <f>IF(B204="","",COUNTIF('Content Calendar'!$P$5:$P$604,B204))</f>
        <v>0</v>
      </c>
      <c r="Y204" s="16">
        <f>IF(X204=0,"",IF(B204="","",SUMPRODUCT(MAX(('Content Calendar'!$P$5:$P$604=B204)*'Content Calendar'!$B$5:$B$604))))</f>
        <v>0</v>
      </c>
      <c r="Z204" s="24">
        <f>IF(X204=0,"",IFERROR(SUMIFS(Performance!$Z$5:$Z$404,Performance!$J$5:$J$404,B204)/SUMIFS(Performance!$O$5:$O$404,Performance!$J$5:$J$404,B204),""))</f>
        <v>0</v>
      </c>
      <c r="AA204" s="29">
        <f>IF(B204="","",IF(COUNTIF('Caption Bank'!$B$5:$B$204,B204)&gt;1,"Duplicate","OK"))</f>
        <v>0</v>
      </c>
      <c r="AB204" s="29">
        <f>IF(B204="","",IF(R204="Rejected","Rewrite - not approved",IF(J204="","Add - caption not written yet",IF(R204&lt;&gt;"Approved","Check - waiting for approval",IF(X204=0,"Use - never used yet","OK")))))</f>
        <v>0</v>
      </c>
    </row>
  </sheetData>
  <sheetProtection password="EC7C" sheet="1" objects="1" scenarios="1" formatCells="0" formatColumns="0" formatRows="0" insertRows="0" insertHyperlinks="0" deleteRows="0" autoFilter="0"/>
  <autoFilter ref="A4:AC204"/>
  <mergeCells count="13">
    <mergeCell ref="A1:Z1"/>
    <mergeCell ref="AA1:AC1"/>
    <mergeCell ref="A2:AC2"/>
    <mergeCell ref="A3:B3"/>
    <mergeCell ref="C3:D3"/>
    <mergeCell ref="E3:F3"/>
    <mergeCell ref="G3:H3"/>
    <mergeCell ref="I3:J3"/>
    <mergeCell ref="K3:L3"/>
    <mergeCell ref="M3:N3"/>
    <mergeCell ref="O3:P3"/>
    <mergeCell ref="Q3:R3"/>
    <mergeCell ref="S3:AC3"/>
  </mergeCells>
  <conditionalFormatting sqref="AA5:AA204">
    <cfRule type="containsText" dxfId="1" priority="71" operator="containsText" text="Duplicate">
      <formula>NOT(ISERROR(SEARCH("Duplicate",AA5)))</formula>
    </cfRule>
    <cfRule type="containsText" dxfId="0" priority="72" operator="containsText" text="OK">
      <formula>NOT(ISERROR(SEARCH("OK",AA5)))</formula>
    </cfRule>
  </conditionalFormatting>
  <conditionalFormatting sqref="AB5:AB204">
    <cfRule type="beginsWith" dxfId="0" priority="73" operator="beginsWith" text="OK">
      <formula>LEFT(AB5,2)="OK"</formula>
    </cfRule>
    <cfRule type="containsText" dxfId="1" priority="74" operator="containsText" text="Overdue">
      <formula>NOT(ISERROR(SEARCH("Overdue",AB5)))</formula>
    </cfRule>
    <cfRule type="containsText" dxfId="1" priority="75" operator="containsText" text="Late">
      <formula>NOT(ISERROR(SEARCH("Late",AB5)))</formula>
    </cfRule>
    <cfRule type="containsText" dxfId="1" priority="76" operator="containsText" text="Missing">
      <formula>NOT(ISERROR(SEARCH("Missing",AB5)))</formula>
    </cfRule>
    <cfRule type="containsText" dxfId="1" priority="77" operator="containsText" text="Conflict">
      <formula>NOT(ISERROR(SEARCH("Conflict",AB5)))</formula>
    </cfRule>
    <cfRule type="containsText" dxfId="1" priority="78" operator="containsText" text="Expired">
      <formula>NOT(ISERROR(SEARCH("Expired",AB5)))</formula>
    </cfRule>
    <cfRule type="containsText" dxfId="1" priority="79" operator="containsText" text="Duplicate">
      <formula>NOT(ISERROR(SEARCH("Duplicate",AB5)))</formula>
    </cfRule>
    <cfRule type="containsText" dxfId="2" priority="80" operator="containsText" text="Action">
      <formula>NOT(ISERROR(SEARCH("Action",AB5)))</formula>
    </cfRule>
    <cfRule type="containsText" dxfId="2" priority="81" operator="containsText" text="Due">
      <formula>NOT(ISERROR(SEARCH("Due",AB5)))</formula>
    </cfRule>
    <cfRule type="containsText" dxfId="2" priority="82" operator="containsText" text="Check">
      <formula>NOT(ISERROR(SEARCH("Check",AB5)))</formula>
    </cfRule>
    <cfRule type="containsText" dxfId="2" priority="83" operator="containsText" text="Add">
      <formula>NOT(ISERROR(SEARCH("Add",AB5)))</formula>
    </cfRule>
    <cfRule type="containsText" dxfId="3" priority="84" operator="containsText" text="Today">
      <formula>NOT(ISERROR(SEARCH("Today",AB5)))</formula>
    </cfRule>
    <cfRule type="containsText" dxfId="3" priority="85" operator="containsText" text="Upcoming">
      <formula>NOT(ISERROR(SEARCH("Upcoming",AB5)))</formula>
    </cfRule>
  </conditionalFormatting>
  <conditionalFormatting sqref="Q5:Q204">
    <cfRule type="containsText" dxfId="0" priority="1" operator="containsText" text="Published">
      <formula>NOT(ISERROR(SEARCH("Published",Q5)))</formula>
    </cfRule>
    <cfRule type="containsText" dxfId="0" priority="2" operator="containsText" text="Approved">
      <formula>NOT(ISERROR(SEARCH("Approved",Q5)))</formula>
    </cfRule>
    <cfRule type="containsText" dxfId="0" priority="3" operator="containsText" text="Complete">
      <formula>NOT(ISERROR(SEARCH("Complete",Q5)))</formula>
    </cfRule>
    <cfRule type="containsText" dxfId="0" priority="4" operator="containsText" text="Active">
      <formula>NOT(ISERROR(SEARCH("Active",Q5)))</formula>
    </cfRule>
    <cfRule type="containsText" dxfId="0" priority="5" operator="containsText" text="Agreed">
      <formula>NOT(ISERROR(SEARCH("Agreed",Q5)))</formula>
    </cfRule>
    <cfRule type="containsText" dxfId="0" priority="6" operator="containsText" text="Yes">
      <formula>NOT(ISERROR(SEARCH("Yes",Q5)))</formula>
    </cfRule>
    <cfRule type="containsText" dxfId="0" priority="7" operator="containsText" text="Won">
      <formula>NOT(ISERROR(SEARCH("Won",Q5)))</formula>
    </cfRule>
    <cfRule type="containsText" dxfId="3" priority="8" operator="containsText" text="Scheduled">
      <formula>NOT(ISERROR(SEARCH("Scheduled",Q5)))</formula>
    </cfRule>
    <cfRule type="containsText" dxfId="3" priority="9" operator="containsText" text="In production">
      <formula>NOT(ISERROR(SEARCH("In production",Q5)))</formula>
    </cfRule>
    <cfRule type="containsText" dxfId="3" priority="10" operator="containsText" text="Running">
      <formula>NOT(ISERROR(SEARCH("Running",Q5)))</formula>
    </cfRule>
    <cfRule type="containsText" dxfId="3" priority="11" operator="containsText" text="Sent">
      <formula>NOT(ISERROR(SEARCH("Sent",Q5)))</formula>
    </cfRule>
    <cfRule type="containsText" dxfId="3" priority="12" operator="containsText" text="Testing">
      <formula>NOT(ISERROR(SEARCH("Testing",Q5)))</formula>
    </cfRule>
    <cfRule type="containsText" dxfId="2" priority="13" operator="containsText" text="Idea">
      <formula>NOT(ISERROR(SEARCH("Idea",Q5)))</formula>
    </cfRule>
    <cfRule type="containsText" dxfId="2" priority="14" operator="containsText" text="Brief">
      <formula>NOT(ISERROR(SEARCH("Brief",Q5)))</formula>
    </cfRule>
    <cfRule type="containsText" dxfId="2" priority="15" operator="containsText" text="Draft">
      <formula>NOT(ISERROR(SEARCH("Draft",Q5)))</formula>
    </cfRule>
    <cfRule type="containsText" dxfId="2" priority="16" operator="containsText" text="Awaiting review">
      <formula>NOT(ISERROR(SEARCH("Awaiting review",Q5)))</formula>
    </cfRule>
    <cfRule type="containsText" dxfId="2" priority="17" operator="containsText" text="Pending">
      <formula>NOT(ISERROR(SEARCH("Pending",Q5)))</formula>
    </cfRule>
    <cfRule type="containsText" dxfId="2" priority="18" operator="containsText" text="On hold">
      <formula>NOT(ISERROR(SEARCH("On hold",Q5)))</formula>
    </cfRule>
    <cfRule type="containsText" dxfId="1" priority="19" operator="containsText" text="Revision needed">
      <formula>NOT(ISERROR(SEARCH("Revision needed",Q5)))</formula>
    </cfRule>
    <cfRule type="containsText" dxfId="1" priority="20" operator="containsText" text="Rejected">
      <formula>NOT(ISERROR(SEARCH("Rejected",Q5)))</formula>
    </cfRule>
    <cfRule type="containsText" dxfId="1" priority="21" operator="containsText" text="Cancelled">
      <formula>NOT(ISERROR(SEARCH("Cancelled",Q5)))</formula>
    </cfRule>
    <cfRule type="containsText" dxfId="1" priority="22" operator="containsText" text="Missed">
      <formula>NOT(ISERROR(SEARCH("Missed",Q5)))</formula>
    </cfRule>
    <cfRule type="containsText" dxfId="1" priority="23" operator="containsText" text="Overdue">
      <formula>NOT(ISERROR(SEARCH("Overdue",Q5)))</formula>
    </cfRule>
    <cfRule type="containsText" dxfId="1" priority="24" operator="containsText" text="Declined">
      <formula>NOT(ISERROR(SEARCH("Declined",Q5)))</formula>
    </cfRule>
    <cfRule type="containsText" dxfId="4" priority="25" operator="containsText" text="Archived">
      <formula>NOT(ISERROR(SEARCH("Archived",Q5)))</formula>
    </cfRule>
    <cfRule type="containsText" dxfId="4" priority="26" operator="containsText" text="Paused">
      <formula>NOT(ISERROR(SEARCH("Paused",Q5)))</formula>
    </cfRule>
    <cfRule type="containsText" dxfId="4" priority="27" operator="containsText" text="Not started">
      <formula>NOT(ISERROR(SEARCH("Not started",Q5)))</formula>
    </cfRule>
  </conditionalFormatting>
  <conditionalFormatting sqref="R5:R204">
    <cfRule type="containsText" dxfId="0" priority="28" operator="containsText" text="Published">
      <formula>NOT(ISERROR(SEARCH("Published",R5)))</formula>
    </cfRule>
    <cfRule type="containsText" dxfId="0" priority="29" operator="containsText" text="Approved">
      <formula>NOT(ISERROR(SEARCH("Approved",R5)))</formula>
    </cfRule>
    <cfRule type="containsText" dxfId="0" priority="30" operator="containsText" text="Complete">
      <formula>NOT(ISERROR(SEARCH("Complete",R5)))</formula>
    </cfRule>
    <cfRule type="containsText" dxfId="0" priority="31" operator="containsText" text="Active">
      <formula>NOT(ISERROR(SEARCH("Active",R5)))</formula>
    </cfRule>
    <cfRule type="containsText" dxfId="0" priority="32" operator="containsText" text="Agreed">
      <formula>NOT(ISERROR(SEARCH("Agreed",R5)))</formula>
    </cfRule>
    <cfRule type="containsText" dxfId="0" priority="33" operator="containsText" text="Yes">
      <formula>NOT(ISERROR(SEARCH("Yes",R5)))</formula>
    </cfRule>
    <cfRule type="containsText" dxfId="0" priority="34" operator="containsText" text="Won">
      <formula>NOT(ISERROR(SEARCH("Won",R5)))</formula>
    </cfRule>
    <cfRule type="containsText" dxfId="3" priority="35" operator="containsText" text="Scheduled">
      <formula>NOT(ISERROR(SEARCH("Scheduled",R5)))</formula>
    </cfRule>
    <cfRule type="containsText" dxfId="3" priority="36" operator="containsText" text="In production">
      <formula>NOT(ISERROR(SEARCH("In production",R5)))</formula>
    </cfRule>
    <cfRule type="containsText" dxfId="3" priority="37" operator="containsText" text="Running">
      <formula>NOT(ISERROR(SEARCH("Running",R5)))</formula>
    </cfRule>
    <cfRule type="containsText" dxfId="3" priority="38" operator="containsText" text="Sent">
      <formula>NOT(ISERROR(SEARCH("Sent",R5)))</formula>
    </cfRule>
    <cfRule type="containsText" dxfId="3" priority="39" operator="containsText" text="Testing">
      <formula>NOT(ISERROR(SEARCH("Testing",R5)))</formula>
    </cfRule>
    <cfRule type="containsText" dxfId="2" priority="40" operator="containsText" text="Idea">
      <formula>NOT(ISERROR(SEARCH("Idea",R5)))</formula>
    </cfRule>
    <cfRule type="containsText" dxfId="2" priority="41" operator="containsText" text="Brief">
      <formula>NOT(ISERROR(SEARCH("Brief",R5)))</formula>
    </cfRule>
    <cfRule type="containsText" dxfId="2" priority="42" operator="containsText" text="Draft">
      <formula>NOT(ISERROR(SEARCH("Draft",R5)))</formula>
    </cfRule>
    <cfRule type="containsText" dxfId="2" priority="43" operator="containsText" text="Awaiting review">
      <formula>NOT(ISERROR(SEARCH("Awaiting review",R5)))</formula>
    </cfRule>
    <cfRule type="containsText" dxfId="2" priority="44" operator="containsText" text="Pending">
      <formula>NOT(ISERROR(SEARCH("Pending",R5)))</formula>
    </cfRule>
    <cfRule type="containsText" dxfId="2" priority="45" operator="containsText" text="On hold">
      <formula>NOT(ISERROR(SEARCH("On hold",R5)))</formula>
    </cfRule>
    <cfRule type="containsText" dxfId="1" priority="46" operator="containsText" text="Revision needed">
      <formula>NOT(ISERROR(SEARCH("Revision needed",R5)))</formula>
    </cfRule>
    <cfRule type="containsText" dxfId="1" priority="47" operator="containsText" text="Rejected">
      <formula>NOT(ISERROR(SEARCH("Rejected",R5)))</formula>
    </cfRule>
    <cfRule type="containsText" dxfId="1" priority="48" operator="containsText" text="Cancelled">
      <formula>NOT(ISERROR(SEARCH("Cancelled",R5)))</formula>
    </cfRule>
    <cfRule type="containsText" dxfId="1" priority="49" operator="containsText" text="Missed">
      <formula>NOT(ISERROR(SEARCH("Missed",R5)))</formula>
    </cfRule>
    <cfRule type="containsText" dxfId="1" priority="50" operator="containsText" text="Overdue">
      <formula>NOT(ISERROR(SEARCH("Overdue",R5)))</formula>
    </cfRule>
    <cfRule type="containsText" dxfId="1" priority="51" operator="containsText" text="Declined">
      <formula>NOT(ISERROR(SEARCH("Declined",R5)))</formula>
    </cfRule>
    <cfRule type="containsText" dxfId="4" priority="52" operator="containsText" text="Archived">
      <formula>NOT(ISERROR(SEARCH("Archived",R5)))</formula>
    </cfRule>
    <cfRule type="containsText" dxfId="4" priority="53" operator="containsText" text="Paused">
      <formula>NOT(ISERROR(SEARCH("Paused",R5)))</formula>
    </cfRule>
    <cfRule type="containsText" dxfId="4" priority="54" operator="containsText" text="Not started">
      <formula>NOT(ISERROR(SEARCH("Not started",R5)))</formula>
    </cfRule>
  </conditionalFormatting>
  <conditionalFormatting sqref="W5:W204">
    <cfRule type="beginsWith" dxfId="0" priority="55" operator="beginsWith" text="OK">
      <formula>LEFT(W5,2)="OK"</formula>
    </cfRule>
    <cfRule type="containsText" dxfId="1" priority="56" operator="containsText" text="Overdue">
      <formula>NOT(ISERROR(SEARCH("Overdue",W5)))</formula>
    </cfRule>
    <cfRule type="containsText" dxfId="1" priority="57" operator="containsText" text="Late">
      <formula>NOT(ISERROR(SEARCH("Late",W5)))</formula>
    </cfRule>
    <cfRule type="containsText" dxfId="1" priority="58" operator="containsText" text="Missing">
      <formula>NOT(ISERROR(SEARCH("Missing",W5)))</formula>
    </cfRule>
    <cfRule type="containsText" dxfId="1" priority="59" operator="containsText" text="Conflict">
      <formula>NOT(ISERROR(SEARCH("Conflict",W5)))</formula>
    </cfRule>
    <cfRule type="containsText" dxfId="1" priority="60" operator="containsText" text="Expired">
      <formula>NOT(ISERROR(SEARCH("Expired",W5)))</formula>
    </cfRule>
    <cfRule type="containsText" dxfId="1" priority="61" operator="containsText" text="Duplicate">
      <formula>NOT(ISERROR(SEARCH("Duplicate",W5)))</formula>
    </cfRule>
    <cfRule type="containsText" dxfId="2" priority="62" operator="containsText" text="Action">
      <formula>NOT(ISERROR(SEARCH("Action",W5)))</formula>
    </cfRule>
    <cfRule type="containsText" dxfId="2" priority="63" operator="containsText" text="Due">
      <formula>NOT(ISERROR(SEARCH("Due",W5)))</formula>
    </cfRule>
    <cfRule type="containsText" dxfId="2" priority="64" operator="containsText" text="Check">
      <formula>NOT(ISERROR(SEARCH("Check",W5)))</formula>
    </cfRule>
    <cfRule type="containsText" dxfId="2" priority="65" operator="containsText" text="Add">
      <formula>NOT(ISERROR(SEARCH("Add",W5)))</formula>
    </cfRule>
    <cfRule type="containsText" dxfId="3" priority="66" operator="containsText" text="Today">
      <formula>NOT(ISERROR(SEARCH("Today",W5)))</formula>
    </cfRule>
    <cfRule type="containsText" dxfId="3" priority="67" operator="containsText" text="Upcoming">
      <formula>NOT(ISERROR(SEARCH("Upcoming",W5)))</formula>
    </cfRule>
    <cfRule type="containsText" dxfId="1" priority="68" operator="containsText" text="Too long">
      <formula>NOT(ISERROR(SEARCH("Too long",W5)))</formula>
    </cfRule>
  </conditionalFormatting>
  <conditionalFormatting sqref="Z5:Z204">
    <cfRule type="cellIs" dxfId="0" priority="69" operator="greaterThanOrEqual">
      <formula>TargetEngagement</formula>
    </cfRule>
    <cfRule type="cellIs" dxfId="2" priority="70" operator="lessThan">
      <formula>TargetEngagement</formula>
    </cfRule>
  </conditionalFormatting>
  <dataValidations count="9">
    <dataValidation type="list" allowBlank="1" showInputMessage="1" showErrorMessage="1" sqref="C5:C204">
      <formula1>PlatformList</formula1>
    </dataValidation>
    <dataValidation type="list" allowBlank="1" showInputMessage="1" showErrorMessage="1" sqref="D5:D204">
      <formula1>PillarNames</formula1>
    </dataValidation>
    <dataValidation type="list" allowBlank="1" showInputMessage="1" showErrorMessage="1" sqref="E5:E204">
      <formula1>PersonaNames</formula1>
    </dataValidation>
    <dataValidation type="list" allowBlank="1" showInputMessage="1" showErrorMessage="1" sqref="F5:F204">
      <formula1>ToneList</formula1>
    </dataValidation>
    <dataValidation type="list" allowBlank="1" showInputMessage="1" showErrorMessage="1" sqref="M5:M204">
      <formula1>CTAList</formula1>
    </dataValidation>
    <dataValidation type="list" allowBlank="1" showInputMessage="1" showErrorMessage="1" sqref="Q5:Q204">
      <formula1>"Yes,No"</formula1>
    </dataValidation>
    <dataValidation type="list" allowBlank="1" showInputMessage="1" showErrorMessage="1" sqref="R5:R204">
      <formula1>ApprovalStatusList</formula1>
    </dataValidation>
    <dataValidation type="date" allowBlank="1" showInputMessage="1" showErrorMessage="1" errorTitle="Check the date" error="Enter a real date between 2000 and 2100." sqref="S5:S204">
      <formula1>36526</formula1>
      <formula2>73415</formula2>
    </dataValidation>
    <dataValidation type="date" allowBlank="1" showInputMessage="1" showErrorMessage="1" errorTitle="Check the date" error="Enter a real date between 2000 and 2100." sqref="T5:T204">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&amp;L&amp;"Calibri,Bold"&amp;12&amp;C&amp;"Calibri,Bold"&amp;11Caption Bank&amp;R&amp;"Calibri,Italic"&amp;9Social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F2665E"/>
    <pageSetUpPr fitToPage="1"/>
  </sheetPr>
  <dimension ref="A1:U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1" customWidth="1"/>
    <col min="2" max="2" width="22.7109375" style="15" customWidth="1"/>
    <col min="3" max="3" width="14.7109375" style="15" customWidth="1"/>
    <col min="4" max="4" width="11.7109375" style="15" customWidth="1"/>
    <col min="5" max="5" width="13.7109375" style="15" customWidth="1"/>
    <col min="6" max="6" width="16.7109375" style="15" customWidth="1"/>
    <col min="7" max="7" width="16.7109375" style="15" customWidth="1"/>
    <col min="8" max="8" width="26.7109375" style="15" customWidth="1"/>
    <col min="9" max="9" width="30.7109375" style="39" customWidth="1"/>
    <col min="10" max="10" width="15.7109375" style="15" customWidth="1"/>
    <col min="11" max="11" width="12.7109375" style="15" customWidth="1"/>
    <col min="12" max="12" width="14.7109375" style="34" customWidth="1"/>
    <col min="13" max="13" width="13.7109375" style="17" customWidth="1"/>
    <col min="14" max="14" width="12.7109375" style="34" customWidth="1"/>
    <col min="15" max="15" width="13.7109375" style="23" customWidth="1"/>
    <col min="16" max="16" width="12.7109375" style="43" customWidth="1"/>
    <col min="17" max="17" width="10.7109375" style="23" customWidth="1"/>
    <col min="18" max="18" width="12.7109375" style="40" customWidth="1"/>
    <col min="19" max="19" width="13.7109375" style="29" customWidth="1"/>
    <col min="20" max="20" width="28.7109375" style="29" customWidth="1"/>
    <col min="21" max="21" width="24.7109375" style="39" customWidth="1"/>
  </cols>
  <sheetData>
    <row r="1" spans="1:21" ht="34" customHeight="1">
      <c r="A1" s="2" t="s">
        <v>1334</v>
      </c>
      <c r="B1" s="2"/>
      <c r="C1" s="2"/>
      <c r="D1" s="2"/>
      <c r="E1" s="2"/>
      <c r="F1" s="2"/>
      <c r="G1" s="2"/>
      <c r="H1" s="2"/>
      <c r="I1" s="2"/>
      <c r="J1" s="2"/>
      <c r="K1" s="2"/>
      <c r="L1" s="2"/>
      <c r="M1" s="2"/>
      <c r="N1" s="2"/>
      <c r="O1" s="2"/>
      <c r="P1" s="2"/>
      <c r="Q1" s="2"/>
      <c r="R1" s="2"/>
      <c r="S1" s="3" t="s">
        <v>1</v>
      </c>
      <c r="T1" s="3"/>
      <c r="U1" s="3"/>
    </row>
    <row r="2" spans="1:21" ht="18" customHeight="1">
      <c r="A2" s="4" t="s">
        <v>1335</v>
      </c>
      <c r="B2" s="4"/>
      <c r="C2" s="4"/>
      <c r="D2" s="4"/>
      <c r="E2" s="4"/>
      <c r="F2" s="4"/>
      <c r="G2" s="4"/>
      <c r="H2" s="4"/>
      <c r="I2" s="4"/>
      <c r="J2" s="4"/>
      <c r="K2" s="4"/>
      <c r="L2" s="4"/>
      <c r="M2" s="4"/>
      <c r="N2" s="4"/>
      <c r="O2" s="4"/>
      <c r="P2" s="4"/>
      <c r="Q2" s="4"/>
      <c r="R2" s="4"/>
      <c r="S2" s="4"/>
      <c r="T2" s="4"/>
      <c r="U2" s="4"/>
    </row>
    <row r="3" spans="1:21" ht="16" customHeight="1">
      <c r="A3" s="5" t="s">
        <v>3</v>
      </c>
      <c r="B3" s="5"/>
      <c r="C3" s="5" t="s">
        <v>4</v>
      </c>
      <c r="D3" s="5"/>
      <c r="E3" s="5" t="s">
        <v>5</v>
      </c>
      <c r="F3" s="5"/>
      <c r="G3" s="5" t="s">
        <v>6</v>
      </c>
      <c r="H3" s="5"/>
      <c r="I3" s="5" t="s">
        <v>7</v>
      </c>
      <c r="J3" s="5"/>
      <c r="K3" s="5" t="s">
        <v>8</v>
      </c>
      <c r="L3" s="5"/>
      <c r="M3" s="5" t="s">
        <v>125</v>
      </c>
      <c r="N3" s="5"/>
      <c r="O3" s="5" t="s">
        <v>126</v>
      </c>
      <c r="P3" s="5"/>
      <c r="Q3" s="5" t="s">
        <v>127</v>
      </c>
      <c r="R3" s="5"/>
      <c r="S3" s="33"/>
      <c r="T3" s="33"/>
      <c r="U3" s="33"/>
    </row>
    <row r="4" spans="1:21" ht="30" customHeight="1">
      <c r="A4" s="8" t="s">
        <v>766</v>
      </c>
      <c r="B4" s="8" t="s">
        <v>567</v>
      </c>
      <c r="C4" s="9" t="s">
        <v>1336</v>
      </c>
      <c r="D4" s="9" t="s">
        <v>392</v>
      </c>
      <c r="E4" s="9" t="s">
        <v>192</v>
      </c>
      <c r="F4" s="9" t="s">
        <v>906</v>
      </c>
      <c r="G4" s="9" t="s">
        <v>619</v>
      </c>
      <c r="H4" s="9" t="s">
        <v>1337</v>
      </c>
      <c r="I4" s="9" t="s">
        <v>1338</v>
      </c>
      <c r="J4" s="9" t="s">
        <v>513</v>
      </c>
      <c r="K4" s="9" t="s">
        <v>1339</v>
      </c>
      <c r="L4" s="9" t="s">
        <v>1340</v>
      </c>
      <c r="M4" s="9" t="s">
        <v>1341</v>
      </c>
      <c r="N4" s="9" t="s">
        <v>1342</v>
      </c>
      <c r="O4" s="9" t="s">
        <v>1343</v>
      </c>
      <c r="P4" s="9" t="s">
        <v>1280</v>
      </c>
      <c r="Q4" s="9" t="s">
        <v>1344</v>
      </c>
      <c r="R4" s="9" t="s">
        <v>1345</v>
      </c>
      <c r="S4" s="9" t="s">
        <v>922</v>
      </c>
      <c r="T4" s="9" t="s">
        <v>787</v>
      </c>
      <c r="U4" s="9" t="s">
        <v>788</v>
      </c>
    </row>
    <row r="5" spans="1:21">
      <c r="A5" s="41">
        <f>IF(B5="","",HashtagPrefix&amp;TEXT(ROW()-4,"000"))</f>
        <v>0</v>
      </c>
      <c r="B5" s="15" t="s">
        <v>1346</v>
      </c>
      <c r="C5" s="15" t="s">
        <v>506</v>
      </c>
      <c r="D5" s="15" t="s">
        <v>927</v>
      </c>
      <c r="E5" s="15" t="s">
        <v>376</v>
      </c>
      <c r="F5" s="15" t="s">
        <v>878</v>
      </c>
      <c r="G5" s="15" t="s">
        <v>1347</v>
      </c>
      <c r="H5" s="15" t="s">
        <v>1348</v>
      </c>
      <c r="I5" s="39" t="s">
        <v>1349</v>
      </c>
      <c r="J5" s="15" t="s">
        <v>514</v>
      </c>
      <c r="K5" s="15" t="s">
        <v>477</v>
      </c>
      <c r="L5" s="34">
        <v>860000</v>
      </c>
      <c r="M5" s="17">
        <f>IF(L5="","",IF(L5&gt;=1000000,"Huge - very competitive",IF(L5&gt;=250000,"Large",IF(L5&gt;=25000,"Medium - sweet spot","Small - easy to rank"))))</f>
        <v>0</v>
      </c>
      <c r="N5" s="34">
        <v>17</v>
      </c>
      <c r="O5" s="23">
        <f>IF(D5="","",COUNTIF('Content Calendar'!$R$5:$R$604,D5))</f>
        <v>0</v>
      </c>
      <c r="P5" s="43">
        <v>46283</v>
      </c>
      <c r="Q5" s="23">
        <f>IF(P5="","",TODAY()-P5)</f>
        <v>0</v>
      </c>
      <c r="R5" s="40" t="s">
        <v>373</v>
      </c>
      <c r="S5" s="29">
        <f>IF(B5="","",IF(COUNTIF('Hashtag Bank'!$B$5:$B$304,B5)&gt;1,"Duplicate","OK"))</f>
        <v>0</v>
      </c>
      <c r="T5" s="29">
        <f>IF(B5="","",IF(R5="Yes","Remove - flagged by the platform",IF(AND(L5&lt;&gt;"",L5&gt;=1000000),"Check - huge tag, pair with niche ones",IF(O5=0,"Add - group not on the calendar yet","OK"))))</f>
        <v>0</v>
      </c>
      <c r="U5" s="39" t="s">
        <v>205</v>
      </c>
    </row>
    <row r="6" spans="1:21">
      <c r="A6" s="41">
        <f>IF(B6="","",HashtagPrefix&amp;TEXT(ROW()-4,"000"))</f>
        <v>0</v>
      </c>
      <c r="B6" s="15" t="s">
        <v>1350</v>
      </c>
      <c r="C6" s="15" t="s">
        <v>506</v>
      </c>
      <c r="D6" s="15" t="s">
        <v>933</v>
      </c>
      <c r="E6" s="15" t="s">
        <v>377</v>
      </c>
      <c r="F6" s="15" t="s">
        <v>881</v>
      </c>
      <c r="G6" s="15" t="s">
        <v>1351</v>
      </c>
      <c r="H6" s="15" t="s">
        <v>1352</v>
      </c>
      <c r="I6" s="39" t="s">
        <v>1353</v>
      </c>
      <c r="J6" s="15" t="s">
        <v>515</v>
      </c>
      <c r="K6" s="15" t="s">
        <v>476</v>
      </c>
      <c r="L6" s="34">
        <v>1200000</v>
      </c>
      <c r="M6" s="17">
        <f>IF(L6="","",IF(L6&gt;=1000000,"Huge - very competitive",IF(L6&gt;=250000,"Large",IF(L6&gt;=25000,"Medium - sweet spot","Small - easy to rank"))))</f>
        <v>0</v>
      </c>
      <c r="N6" s="34">
        <v>17</v>
      </c>
      <c r="O6" s="23">
        <f>IF(D6="","",COUNTIF('Content Calendar'!$R$5:$R$604,D6))</f>
        <v>0</v>
      </c>
      <c r="P6" s="43">
        <v>46284</v>
      </c>
      <c r="Q6" s="23">
        <f>IF(P6="","",TODAY()-P6)</f>
        <v>0</v>
      </c>
      <c r="R6" s="40" t="s">
        <v>373</v>
      </c>
      <c r="S6" s="29">
        <f>IF(B6="","",IF(COUNTIF('Hashtag Bank'!$B$5:$B$304,B6)&gt;1,"Duplicate","OK"))</f>
        <v>0</v>
      </c>
      <c r="T6" s="29">
        <f>IF(B6="","",IF(R6="Yes","Remove - flagged by the platform",IF(AND(L6&lt;&gt;"",L6&gt;=1000000),"Check - huge tag, pair with niche ones",IF(O6=0,"Add - group not on the calendar yet","OK"))))</f>
        <v>0</v>
      </c>
      <c r="U6" s="39" t="s">
        <v>205</v>
      </c>
    </row>
    <row r="7" spans="1:21">
      <c r="A7" s="41">
        <f>IF(B7="","",HashtagPrefix&amp;TEXT(ROW()-4,"000"))</f>
        <v>0</v>
      </c>
      <c r="B7" s="15" t="s">
        <v>1354</v>
      </c>
      <c r="C7" s="15" t="s">
        <v>507</v>
      </c>
      <c r="D7" s="15" t="s">
        <v>939</v>
      </c>
      <c r="E7" s="15" t="s">
        <v>378</v>
      </c>
      <c r="F7" s="15" t="s">
        <v>881</v>
      </c>
      <c r="G7" s="15" t="s">
        <v>1351</v>
      </c>
      <c r="H7" s="15" t="s">
        <v>1352</v>
      </c>
      <c r="I7" s="39" t="s">
        <v>1353</v>
      </c>
      <c r="J7" s="15" t="s">
        <v>515</v>
      </c>
      <c r="K7" s="15" t="s">
        <v>475</v>
      </c>
      <c r="L7" s="34">
        <v>240000</v>
      </c>
      <c r="M7" s="17">
        <f>IF(L7="","",IF(L7&gt;=1000000,"Huge - very competitive",IF(L7&gt;=250000,"Large",IF(L7&gt;=25000,"Medium - sweet spot","Small - easy to rank"))))</f>
        <v>0</v>
      </c>
      <c r="N7" s="34">
        <v>10</v>
      </c>
      <c r="O7" s="23">
        <f>IF(D7="","",COUNTIF('Content Calendar'!$R$5:$R$604,D7))</f>
        <v>0</v>
      </c>
      <c r="P7" s="43">
        <v>46302</v>
      </c>
      <c r="Q7" s="23">
        <f>IF(P7="","",TODAY()-P7)</f>
        <v>0</v>
      </c>
      <c r="R7" s="40" t="s">
        <v>373</v>
      </c>
      <c r="S7" s="29">
        <f>IF(B7="","",IF(COUNTIF('Hashtag Bank'!$B$5:$B$304,B7)&gt;1,"Duplicate","OK"))</f>
        <v>0</v>
      </c>
      <c r="T7" s="29">
        <f>IF(B7="","",IF(R7="Yes","Remove - flagged by the platform",IF(AND(L7&lt;&gt;"",L7&gt;=1000000),"Check - huge tag, pair with niche ones",IF(O7=0,"Add - group not on the calendar yet","OK"))))</f>
        <v>0</v>
      </c>
      <c r="U7" s="39" t="s">
        <v>205</v>
      </c>
    </row>
    <row r="8" spans="1:21">
      <c r="A8" s="41">
        <f>IF(B8="","",HashtagPrefix&amp;TEXT(ROW()-4,"000"))</f>
        <v>0</v>
      </c>
      <c r="B8" s="15" t="s">
        <v>1355</v>
      </c>
      <c r="C8" s="15" t="s">
        <v>430</v>
      </c>
      <c r="D8" s="15" t="s">
        <v>945</v>
      </c>
      <c r="E8" s="15" t="s">
        <v>380</v>
      </c>
      <c r="F8" s="15" t="s">
        <v>462</v>
      </c>
      <c r="G8" s="15" t="s">
        <v>1356</v>
      </c>
      <c r="H8" s="15" t="s">
        <v>1357</v>
      </c>
      <c r="I8" s="39" t="s">
        <v>1358</v>
      </c>
      <c r="J8" s="15" t="s">
        <v>514</v>
      </c>
      <c r="K8" s="15" t="s">
        <v>477</v>
      </c>
      <c r="L8" s="34">
        <v>410000</v>
      </c>
      <c r="M8" s="17">
        <f>IF(L8="","",IF(L8&gt;=1000000,"Huge - very competitive",IF(L8&gt;=250000,"Large",IF(L8&gt;=25000,"Medium - sweet spot","Small - easy to rank"))))</f>
        <v>0</v>
      </c>
      <c r="N8" s="34">
        <v>3</v>
      </c>
      <c r="O8" s="23">
        <f>IF(D8="","",COUNTIF('Content Calendar'!$R$5:$R$604,D8))</f>
        <v>0</v>
      </c>
      <c r="P8" s="43">
        <v>46283</v>
      </c>
      <c r="Q8" s="23">
        <f>IF(P8="","",TODAY()-P8)</f>
        <v>0</v>
      </c>
      <c r="R8" s="40" t="s">
        <v>373</v>
      </c>
      <c r="S8" s="29">
        <f>IF(B8="","",IF(COUNTIF('Hashtag Bank'!$B$5:$B$304,B8)&gt;1,"Duplicate","OK"))</f>
        <v>0</v>
      </c>
      <c r="T8" s="29">
        <f>IF(B8="","",IF(R8="Yes","Remove - flagged by the platform",IF(AND(L8&lt;&gt;"",L8&gt;=1000000),"Check - huge tag, pair with niche ones",IF(O8=0,"Add - group not on the calendar yet","OK"))))</f>
        <v>0</v>
      </c>
      <c r="U8" s="39" t="s">
        <v>205</v>
      </c>
    </row>
    <row r="9" spans="1:21">
      <c r="A9" s="41">
        <f>IF(B9="","",HashtagPrefix&amp;TEXT(ROW()-4,"000"))</f>
        <v>0</v>
      </c>
      <c r="B9" s="15" t="s">
        <v>301</v>
      </c>
      <c r="C9" s="15" t="s">
        <v>508</v>
      </c>
      <c r="D9" s="15" t="s">
        <v>927</v>
      </c>
      <c r="E9" s="15" t="s">
        <v>376</v>
      </c>
      <c r="F9" s="15" t="s">
        <v>430</v>
      </c>
      <c r="G9" s="15" t="s">
        <v>1359</v>
      </c>
      <c r="H9" s="15" t="s">
        <v>1360</v>
      </c>
      <c r="I9" s="39" t="s">
        <v>1361</v>
      </c>
      <c r="J9" s="15" t="s">
        <v>517</v>
      </c>
      <c r="K9" s="15" t="s">
        <v>476</v>
      </c>
      <c r="L9" s="34">
        <v>1800</v>
      </c>
      <c r="M9" s="17">
        <f>IF(L9="","",IF(L9&gt;=1000000,"Huge - very competitive",IF(L9&gt;=250000,"Large",IF(L9&gt;=25000,"Medium - sweet spot","Small - easy to rank"))))</f>
        <v>0</v>
      </c>
      <c r="N9" s="34">
        <v>17</v>
      </c>
      <c r="O9" s="23">
        <f>IF(D9="","",COUNTIF('Content Calendar'!$R$5:$R$604,D9))</f>
        <v>0</v>
      </c>
      <c r="P9" s="43">
        <v>46303</v>
      </c>
      <c r="Q9" s="23">
        <f>IF(P9="","",TODAY()-P9)</f>
        <v>0</v>
      </c>
      <c r="R9" s="40" t="s">
        <v>373</v>
      </c>
      <c r="S9" s="29">
        <f>IF(B9="","",IF(COUNTIF('Hashtag Bank'!$B$5:$B$304,B9)&gt;1,"Duplicate","OK"))</f>
        <v>0</v>
      </c>
      <c r="T9" s="29">
        <f>IF(B9="","",IF(R9="Yes","Remove - flagged by the platform",IF(AND(L9&lt;&gt;"",L9&gt;=1000000),"Check - huge tag, pair with niche ones",IF(O9=0,"Add - group not on the calendar yet","OK"))))</f>
        <v>0</v>
      </c>
      <c r="U9" s="39" t="s">
        <v>1362</v>
      </c>
    </row>
    <row r="10" spans="1:21">
      <c r="A10" s="41">
        <f>IF(B10="","",HashtagPrefix&amp;TEXT(ROW()-4,"000"))</f>
        <v>0</v>
      </c>
      <c r="B10" s="15" t="s">
        <v>1363</v>
      </c>
      <c r="C10" s="15" t="s">
        <v>507</v>
      </c>
      <c r="D10" s="15" t="s">
        <v>933</v>
      </c>
      <c r="E10" s="15" t="s">
        <v>377</v>
      </c>
      <c r="F10" s="15" t="s">
        <v>888</v>
      </c>
      <c r="G10" s="15" t="s">
        <v>1364</v>
      </c>
      <c r="H10" s="15" t="s">
        <v>1365</v>
      </c>
      <c r="I10" s="39" t="s">
        <v>1366</v>
      </c>
      <c r="J10" s="15" t="s">
        <v>518</v>
      </c>
      <c r="K10" s="15" t="s">
        <v>475</v>
      </c>
      <c r="L10" s="34">
        <v>96000</v>
      </c>
      <c r="M10" s="17">
        <f>IF(L10="","",IF(L10&gt;=1000000,"Huge - very competitive",IF(L10&gt;=250000,"Large",IF(L10&gt;=25000,"Medium - sweet spot","Small - easy to rank"))))</f>
        <v>0</v>
      </c>
      <c r="N10" s="34">
        <v>24</v>
      </c>
      <c r="O10" s="23">
        <f>IF(D10="","",COUNTIF('Content Calendar'!$R$5:$R$604,D10))</f>
        <v>0</v>
      </c>
      <c r="P10" s="43">
        <v>46305</v>
      </c>
      <c r="Q10" s="23">
        <f>IF(P10="","",TODAY()-P10)</f>
        <v>0</v>
      </c>
      <c r="R10" s="40" t="s">
        <v>373</v>
      </c>
      <c r="S10" s="29">
        <f>IF(B10="","",IF(COUNTIF('Hashtag Bank'!$B$5:$B$304,B10)&gt;1,"Duplicate","OK"))</f>
        <v>0</v>
      </c>
      <c r="T10" s="29">
        <f>IF(B10="","",IF(R10="Yes","Remove - flagged by the platform",IF(AND(L10&lt;&gt;"",L10&gt;=1000000),"Check - huge tag, pair with niche ones",IF(O10=0,"Add - group not on the calendar yet","OK"))))</f>
        <v>0</v>
      </c>
      <c r="U10" s="39" t="s">
        <v>205</v>
      </c>
    </row>
    <row r="11" spans="1:21">
      <c r="A11" s="41">
        <f>IF(B11="","",HashtagPrefix&amp;TEXT(ROW()-4,"000"))</f>
        <v>0</v>
      </c>
      <c r="B11" s="15" t="s">
        <v>1367</v>
      </c>
      <c r="C11" s="15" t="s">
        <v>507</v>
      </c>
      <c r="D11" s="15" t="s">
        <v>939</v>
      </c>
      <c r="E11" s="15" t="s">
        <v>378</v>
      </c>
      <c r="F11" s="15" t="s">
        <v>878</v>
      </c>
      <c r="G11" s="15" t="s">
        <v>1347</v>
      </c>
      <c r="H11" s="15" t="s">
        <v>1348</v>
      </c>
      <c r="I11" s="39" t="s">
        <v>1349</v>
      </c>
      <c r="J11" s="15" t="s">
        <v>514</v>
      </c>
      <c r="K11" s="15" t="s">
        <v>477</v>
      </c>
      <c r="L11" s="34">
        <v>150000</v>
      </c>
      <c r="M11" s="17">
        <f>IF(L11="","",IF(L11&gt;=1000000,"Huge - very competitive",IF(L11&gt;=250000,"Large",IF(L11&gt;=25000,"Medium - sweet spot","Small - easy to rank"))))</f>
        <v>0</v>
      </c>
      <c r="N11" s="34">
        <v>24</v>
      </c>
      <c r="O11" s="23">
        <f>IF(D11="","",COUNTIF('Content Calendar'!$R$5:$R$604,D11))</f>
        <v>0</v>
      </c>
      <c r="P11" s="43">
        <v>46283</v>
      </c>
      <c r="Q11" s="23">
        <f>IF(P11="","",TODAY()-P11)</f>
        <v>0</v>
      </c>
      <c r="R11" s="40" t="s">
        <v>373</v>
      </c>
      <c r="S11" s="29">
        <f>IF(B11="","",IF(COUNTIF('Hashtag Bank'!$B$5:$B$304,B11)&gt;1,"Duplicate","OK"))</f>
        <v>0</v>
      </c>
      <c r="T11" s="29">
        <f>IF(B11="","",IF(R11="Yes","Remove - flagged by the platform",IF(AND(L11&lt;&gt;"",L11&gt;=1000000),"Check - huge tag, pair with niche ones",IF(O11=0,"Add - group not on the calendar yet","OK"))))</f>
        <v>0</v>
      </c>
      <c r="U11" s="39" t="s">
        <v>205</v>
      </c>
    </row>
    <row r="12" spans="1:21">
      <c r="A12" s="41">
        <f>IF(B12="","",HashtagPrefix&amp;TEXT(ROW()-4,"000"))</f>
        <v>0</v>
      </c>
      <c r="B12" s="15" t="s">
        <v>1368</v>
      </c>
      <c r="C12" s="15" t="s">
        <v>430</v>
      </c>
      <c r="D12" s="15" t="s">
        <v>945</v>
      </c>
      <c r="E12" s="15" t="s">
        <v>380</v>
      </c>
      <c r="F12" s="15" t="s">
        <v>430</v>
      </c>
      <c r="G12" s="15" t="s">
        <v>1359</v>
      </c>
      <c r="H12" s="15" t="s">
        <v>1360</v>
      </c>
      <c r="I12" s="39" t="s">
        <v>1361</v>
      </c>
      <c r="J12" s="15" t="s">
        <v>517</v>
      </c>
      <c r="K12" s="15" t="s">
        <v>476</v>
      </c>
      <c r="L12" s="34">
        <v>72000</v>
      </c>
      <c r="M12" s="17">
        <f>IF(L12="","",IF(L12&gt;=1000000,"Huge - very competitive",IF(L12&gt;=250000,"Large",IF(L12&gt;=25000,"Medium - sweet spot","Small - easy to rank"))))</f>
        <v>0</v>
      </c>
      <c r="N12" s="34">
        <v>8</v>
      </c>
      <c r="O12" s="23">
        <f>IF(D12="","",COUNTIF('Content Calendar'!$R$5:$R$604,D12))</f>
        <v>0</v>
      </c>
      <c r="P12" s="43">
        <v>46267</v>
      </c>
      <c r="Q12" s="23">
        <f>IF(P12="","",TODAY()-P12)</f>
        <v>0</v>
      </c>
      <c r="R12" s="40" t="s">
        <v>373</v>
      </c>
      <c r="S12" s="29">
        <f>IF(B12="","",IF(COUNTIF('Hashtag Bank'!$B$5:$B$304,B12)&gt;1,"Duplicate","OK"))</f>
        <v>0</v>
      </c>
      <c r="T12" s="29">
        <f>IF(B12="","",IF(R12="Yes","Remove - flagged by the platform",IF(AND(L12&lt;&gt;"",L12&gt;=1000000),"Check - huge tag, pair with niche ones",IF(O12=0,"Add - group not on the calendar yet","OK"))))</f>
        <v>0</v>
      </c>
      <c r="U12" s="39" t="s">
        <v>205</v>
      </c>
    </row>
    <row r="13" spans="1:21">
      <c r="A13" s="41">
        <f>IF(B13="","",HashtagPrefix&amp;TEXT(ROW()-4,"000"))</f>
        <v>0</v>
      </c>
      <c r="B13" s="15" t="s">
        <v>1369</v>
      </c>
      <c r="C13" s="15" t="s">
        <v>511</v>
      </c>
      <c r="D13" s="15" t="s">
        <v>927</v>
      </c>
      <c r="E13" s="15" t="s">
        <v>376</v>
      </c>
      <c r="F13" s="15" t="s">
        <v>888</v>
      </c>
      <c r="G13" s="15" t="s">
        <v>1364</v>
      </c>
      <c r="H13" s="15" t="s">
        <v>1365</v>
      </c>
      <c r="I13" s="39" t="s">
        <v>1366</v>
      </c>
      <c r="J13" s="15" t="s">
        <v>518</v>
      </c>
      <c r="K13" s="15" t="s">
        <v>475</v>
      </c>
      <c r="L13" s="34">
        <v>18000</v>
      </c>
      <c r="M13" s="17">
        <f>IF(L13="","",IF(L13&gt;=1000000,"Huge - very competitive",IF(L13&gt;=250000,"Large",IF(L13&gt;=25000,"Medium - sweet spot","Small - easy to rank"))))</f>
        <v>0</v>
      </c>
      <c r="N13" s="34">
        <v>18</v>
      </c>
      <c r="O13" s="23">
        <f>IF(D13="","",COUNTIF('Content Calendar'!$R$5:$R$604,D13))</f>
        <v>0</v>
      </c>
      <c r="P13" s="43">
        <v>46297</v>
      </c>
      <c r="Q13" s="23">
        <f>IF(P13="","",TODAY()-P13)</f>
        <v>0</v>
      </c>
      <c r="R13" s="40" t="s">
        <v>373</v>
      </c>
      <c r="S13" s="29">
        <f>IF(B13="","",IF(COUNTIF('Hashtag Bank'!$B$5:$B$304,B13)&gt;1,"Duplicate","OK"))</f>
        <v>0</v>
      </c>
      <c r="T13" s="29">
        <f>IF(B13="","",IF(R13="Yes","Remove - flagged by the platform",IF(AND(L13&lt;&gt;"",L13&gt;=1000000),"Check - huge tag, pair with niche ones",IF(O13=0,"Add - group not on the calendar yet","OK"))))</f>
        <v>0</v>
      </c>
      <c r="U13" s="39" t="s">
        <v>205</v>
      </c>
    </row>
    <row r="14" spans="1:21">
      <c r="A14" s="41">
        <f>IF(B14="","",HashtagPrefix&amp;TEXT(ROW()-4,"000"))</f>
        <v>0</v>
      </c>
      <c r="B14" s="15" t="s">
        <v>1370</v>
      </c>
      <c r="C14" s="15" t="s">
        <v>511</v>
      </c>
      <c r="D14" s="15" t="s">
        <v>933</v>
      </c>
      <c r="E14" s="15" t="s">
        <v>377</v>
      </c>
      <c r="F14" s="15" t="s">
        <v>881</v>
      </c>
      <c r="G14" s="15" t="s">
        <v>1351</v>
      </c>
      <c r="H14" s="15" t="s">
        <v>1352</v>
      </c>
      <c r="I14" s="39" t="s">
        <v>1353</v>
      </c>
      <c r="J14" s="15" t="s">
        <v>515</v>
      </c>
      <c r="K14" s="15" t="s">
        <v>477</v>
      </c>
      <c r="L14" s="34">
        <v>34000</v>
      </c>
      <c r="M14" s="17">
        <f>IF(L14="","",IF(L14&gt;=1000000,"Huge - very competitive",IF(L14&gt;=250000,"Large",IF(L14&gt;=25000,"Medium - sweet spot","Small - easy to rank"))))</f>
        <v>0</v>
      </c>
      <c r="N14" s="34">
        <v>17</v>
      </c>
      <c r="O14" s="23">
        <f>IF(D14="","",COUNTIF('Content Calendar'!$R$5:$R$604,D14))</f>
        <v>0</v>
      </c>
      <c r="P14" s="43">
        <v>46304</v>
      </c>
      <c r="Q14" s="23">
        <f>IF(P14="","",TODAY()-P14)</f>
        <v>0</v>
      </c>
      <c r="R14" s="40" t="s">
        <v>373</v>
      </c>
      <c r="S14" s="29">
        <f>IF(B14="","",IF(COUNTIF('Hashtag Bank'!$B$5:$B$304,B14)&gt;1,"Duplicate","OK"))</f>
        <v>0</v>
      </c>
      <c r="T14" s="29">
        <f>IF(B14="","",IF(R14="Yes","Remove - flagged by the platform",IF(AND(L14&lt;&gt;"",L14&gt;=1000000),"Check - huge tag, pair with niche ones",IF(O14=0,"Add - group not on the calendar yet","OK"))))</f>
        <v>0</v>
      </c>
      <c r="U14" s="39" t="s">
        <v>205</v>
      </c>
    </row>
    <row r="15" spans="1:21">
      <c r="A15" s="41">
        <f>IF(B15="","",HashtagPrefix&amp;TEXT(ROW()-4,"000"))</f>
        <v>0</v>
      </c>
      <c r="B15" s="15" t="s">
        <v>1371</v>
      </c>
      <c r="C15" s="15" t="s">
        <v>508</v>
      </c>
      <c r="D15" s="15" t="s">
        <v>939</v>
      </c>
      <c r="E15" s="15" t="s">
        <v>378</v>
      </c>
      <c r="F15" s="15" t="s">
        <v>462</v>
      </c>
      <c r="G15" s="15" t="s">
        <v>1356</v>
      </c>
      <c r="H15" s="15" t="s">
        <v>1357</v>
      </c>
      <c r="I15" s="39" t="s">
        <v>1358</v>
      </c>
      <c r="J15" s="15" t="s">
        <v>514</v>
      </c>
      <c r="K15" s="15" t="s">
        <v>476</v>
      </c>
      <c r="L15" s="34">
        <v>2400</v>
      </c>
      <c r="M15" s="17">
        <f>IF(L15="","",IF(L15&gt;=1000000,"Huge - very competitive",IF(L15&gt;=250000,"Large",IF(L15&gt;=25000,"Medium - sweet spot","Small - easy to rank"))))</f>
        <v>0</v>
      </c>
      <c r="N15" s="34">
        <v>2</v>
      </c>
      <c r="O15" s="23">
        <f>IF(D15="","",COUNTIF('Content Calendar'!$R$5:$R$604,D15))</f>
        <v>0</v>
      </c>
      <c r="P15" s="43">
        <v>46291</v>
      </c>
      <c r="Q15" s="23">
        <f>IF(P15="","",TODAY()-P15)</f>
        <v>0</v>
      </c>
      <c r="R15" s="40" t="s">
        <v>373</v>
      </c>
      <c r="S15" s="29">
        <f>IF(B15="","",IF(COUNTIF('Hashtag Bank'!$B$5:$B$304,B15)&gt;1,"Duplicate","OK"))</f>
        <v>0</v>
      </c>
      <c r="T15" s="29">
        <f>IF(B15="","",IF(R15="Yes","Remove - flagged by the platform",IF(AND(L15&lt;&gt;"",L15&gt;=1000000),"Check - huge tag, pair with niche ones",IF(O15=0,"Add - group not on the calendar yet","OK"))))</f>
        <v>0</v>
      </c>
      <c r="U15" s="39" t="s">
        <v>1362</v>
      </c>
    </row>
    <row r="16" spans="1:21">
      <c r="A16" s="41">
        <f>IF(B16="","",HashtagPrefix&amp;TEXT(ROW()-4,"000"))</f>
        <v>0</v>
      </c>
      <c r="B16" s="15" t="s">
        <v>1372</v>
      </c>
      <c r="C16" s="15" t="s">
        <v>506</v>
      </c>
      <c r="D16" s="15" t="s">
        <v>945</v>
      </c>
      <c r="E16" s="15" t="s">
        <v>380</v>
      </c>
      <c r="F16" s="15" t="s">
        <v>462</v>
      </c>
      <c r="G16" s="15" t="s">
        <v>1356</v>
      </c>
      <c r="H16" s="15" t="s">
        <v>1357</v>
      </c>
      <c r="I16" s="39" t="s">
        <v>1358</v>
      </c>
      <c r="J16" s="15" t="s">
        <v>514</v>
      </c>
      <c r="K16" s="15" t="s">
        <v>475</v>
      </c>
      <c r="L16" s="34">
        <v>540000</v>
      </c>
      <c r="M16" s="17">
        <f>IF(L16="","",IF(L16&gt;=1000000,"Huge - very competitive",IF(L16&gt;=250000,"Large",IF(L16&gt;=25000,"Medium - sweet spot","Small - easy to rank"))))</f>
        <v>0</v>
      </c>
      <c r="N16" s="34">
        <v>9</v>
      </c>
      <c r="O16" s="23">
        <f>IF(D16="","",COUNTIF('Content Calendar'!$R$5:$R$604,D16))</f>
        <v>0</v>
      </c>
      <c r="P16" s="43">
        <v>46296</v>
      </c>
      <c r="Q16" s="23">
        <f>IF(P16="","",TODAY()-P16)</f>
        <v>0</v>
      </c>
      <c r="R16" s="40" t="s">
        <v>373</v>
      </c>
      <c r="S16" s="29">
        <f>IF(B16="","",IF(COUNTIF('Hashtag Bank'!$B$5:$B$304,B16)&gt;1,"Duplicate","OK"))</f>
        <v>0</v>
      </c>
      <c r="T16" s="29">
        <f>IF(B16="","",IF(R16="Yes","Remove - flagged by the platform",IF(AND(L16&lt;&gt;"",L16&gt;=1000000),"Check - huge tag, pair with niche ones",IF(O16=0,"Add - group not on the calendar yet","OK"))))</f>
        <v>0</v>
      </c>
      <c r="U16" s="39" t="s">
        <v>205</v>
      </c>
    </row>
    <row r="17" spans="1:21">
      <c r="A17" s="41">
        <f>IF(B17="","",HashtagPrefix&amp;TEXT(ROW()-4,"000"))</f>
        <v>0</v>
      </c>
      <c r="B17" s="15" t="s">
        <v>1373</v>
      </c>
      <c r="C17" s="15" t="s">
        <v>507</v>
      </c>
      <c r="D17" s="15" t="s">
        <v>927</v>
      </c>
      <c r="E17" s="15" t="s">
        <v>376</v>
      </c>
      <c r="F17" s="15" t="s">
        <v>888</v>
      </c>
      <c r="G17" s="15" t="s">
        <v>1364</v>
      </c>
      <c r="H17" s="15" t="s">
        <v>1365</v>
      </c>
      <c r="I17" s="39" t="s">
        <v>1366</v>
      </c>
      <c r="J17" s="15" t="s">
        <v>518</v>
      </c>
      <c r="K17" s="15" t="s">
        <v>477</v>
      </c>
      <c r="L17" s="34">
        <v>21000</v>
      </c>
      <c r="M17" s="17">
        <f>IF(L17="","",IF(L17&gt;=1000000,"Huge - very competitive",IF(L17&gt;=250000,"Large",IF(L17&gt;=25000,"Medium - sweet spot","Small - easy to rank"))))</f>
        <v>0</v>
      </c>
      <c r="N17" s="34">
        <v>8</v>
      </c>
      <c r="O17" s="23">
        <f>IF(D17="","",COUNTIF('Content Calendar'!$R$5:$R$604,D17))</f>
        <v>0</v>
      </c>
      <c r="P17" s="43">
        <v>46282</v>
      </c>
      <c r="Q17" s="23">
        <f>IF(P17="","",TODAY()-P17)</f>
        <v>0</v>
      </c>
      <c r="R17" s="40" t="s">
        <v>373</v>
      </c>
      <c r="S17" s="29">
        <f>IF(B17="","",IF(COUNTIF('Hashtag Bank'!$B$5:$B$304,B17)&gt;1,"Duplicate","OK"))</f>
        <v>0</v>
      </c>
      <c r="T17" s="29">
        <f>IF(B17="","",IF(R17="Yes","Remove - flagged by the platform",IF(AND(L17&lt;&gt;"",L17&gt;=1000000),"Check - huge tag, pair with niche ones",IF(O17=0,"Add - group not on the calendar yet","OK"))))</f>
        <v>0</v>
      </c>
      <c r="U17" s="39" t="s">
        <v>205</v>
      </c>
    </row>
    <row r="18" spans="1:21">
      <c r="A18" s="41">
        <f>IF(B18="","",HashtagPrefix&amp;TEXT(ROW()-4,"000"))</f>
        <v>0</v>
      </c>
      <c r="B18" s="15" t="s">
        <v>1374</v>
      </c>
      <c r="C18" s="15" t="s">
        <v>506</v>
      </c>
      <c r="D18" s="15" t="s">
        <v>933</v>
      </c>
      <c r="E18" s="15" t="s">
        <v>377</v>
      </c>
      <c r="F18" s="15" t="s">
        <v>881</v>
      </c>
      <c r="G18" s="15" t="s">
        <v>1351</v>
      </c>
      <c r="H18" s="15" t="s">
        <v>1352</v>
      </c>
      <c r="I18" s="39" t="s">
        <v>1353</v>
      </c>
      <c r="J18" s="15" t="s">
        <v>515</v>
      </c>
      <c r="K18" s="15" t="s">
        <v>476</v>
      </c>
      <c r="L18" s="34">
        <v>680000</v>
      </c>
      <c r="M18" s="17">
        <f>IF(L18="","",IF(L18&gt;=1000000,"Huge - very competitive",IF(L18&gt;=250000,"Large",IF(L18&gt;=25000,"Medium - sweet spot","Small - easy to rank"))))</f>
        <v>0</v>
      </c>
      <c r="N18" s="34">
        <v>27</v>
      </c>
      <c r="O18" s="23">
        <f>IF(D18="","",COUNTIF('Content Calendar'!$R$5:$R$604,D18))</f>
        <v>0</v>
      </c>
      <c r="P18" s="43">
        <v>46276</v>
      </c>
      <c r="Q18" s="23">
        <f>IF(P18="","",TODAY()-P18)</f>
        <v>0</v>
      </c>
      <c r="R18" s="40" t="s">
        <v>373</v>
      </c>
      <c r="S18" s="29">
        <f>IF(B18="","",IF(COUNTIF('Hashtag Bank'!$B$5:$B$304,B18)&gt;1,"Duplicate","OK"))</f>
        <v>0</v>
      </c>
      <c r="T18" s="29">
        <f>IF(B18="","",IF(R18="Yes","Remove - flagged by the platform",IF(AND(L18&lt;&gt;"",L18&gt;=1000000),"Check - huge tag, pair with niche ones",IF(O18=0,"Add - group not on the calendar yet","OK"))))</f>
        <v>0</v>
      </c>
      <c r="U18" s="39" t="s">
        <v>205</v>
      </c>
    </row>
    <row r="19" spans="1:21">
      <c r="A19" s="41">
        <f>IF(B19="","",HashtagPrefix&amp;TEXT(ROW()-4,"000"))</f>
        <v>0</v>
      </c>
      <c r="B19" s="15" t="s">
        <v>1375</v>
      </c>
      <c r="C19" s="15" t="s">
        <v>430</v>
      </c>
      <c r="D19" s="15" t="s">
        <v>939</v>
      </c>
      <c r="E19" s="15" t="s">
        <v>378</v>
      </c>
      <c r="F19" s="15" t="s">
        <v>888</v>
      </c>
      <c r="G19" s="15" t="s">
        <v>1364</v>
      </c>
      <c r="H19" s="15" t="s">
        <v>1365</v>
      </c>
      <c r="I19" s="39" t="s">
        <v>1366</v>
      </c>
      <c r="J19" s="15" t="s">
        <v>518</v>
      </c>
      <c r="K19" s="15" t="s">
        <v>475</v>
      </c>
      <c r="L19" s="34">
        <v>2100000</v>
      </c>
      <c r="M19" s="17">
        <f>IF(L19="","",IF(L19&gt;=1000000,"Huge - very competitive",IF(L19&gt;=250000,"Large",IF(L19&gt;=25000,"Medium - sweet spot","Small - easy to rank"))))</f>
        <v>0</v>
      </c>
      <c r="N19" s="34">
        <v>21</v>
      </c>
      <c r="O19" s="23">
        <f>IF(D19="","",COUNTIF('Content Calendar'!$R$5:$R$604,D19))</f>
        <v>0</v>
      </c>
      <c r="P19" s="43">
        <v>46287</v>
      </c>
      <c r="Q19" s="23">
        <f>IF(P19="","",TODAY()-P19)</f>
        <v>0</v>
      </c>
      <c r="R19" s="40" t="s">
        <v>373</v>
      </c>
      <c r="S19" s="29">
        <f>IF(B19="","",IF(COUNTIF('Hashtag Bank'!$B$5:$B$304,B19)&gt;1,"Duplicate","OK"))</f>
        <v>0</v>
      </c>
      <c r="T19" s="29">
        <f>IF(B19="","",IF(R19="Yes","Remove - flagged by the platform",IF(AND(L19&lt;&gt;"",L19&gt;=1000000),"Check - huge tag, pair with niche ones",IF(O19=0,"Add - group not on the calendar yet","OK"))))</f>
        <v>0</v>
      </c>
      <c r="U19" s="39" t="s">
        <v>205</v>
      </c>
    </row>
    <row r="20" spans="1:21">
      <c r="A20" s="41">
        <f>IF(B20="","",HashtagPrefix&amp;TEXT(ROW()-4,"000"))</f>
        <v>0</v>
      </c>
      <c r="B20" s="15" t="s">
        <v>1376</v>
      </c>
      <c r="C20" s="15" t="s">
        <v>507</v>
      </c>
      <c r="D20" s="15" t="s">
        <v>945</v>
      </c>
      <c r="E20" s="15" t="s">
        <v>380</v>
      </c>
      <c r="F20" s="15" t="s">
        <v>462</v>
      </c>
      <c r="G20" s="15" t="s">
        <v>1356</v>
      </c>
      <c r="H20" s="15" t="s">
        <v>1357</v>
      </c>
      <c r="I20" s="39" t="s">
        <v>1358</v>
      </c>
      <c r="J20" s="15" t="s">
        <v>514</v>
      </c>
      <c r="K20" s="15" t="s">
        <v>477</v>
      </c>
      <c r="L20" s="34">
        <v>42000</v>
      </c>
      <c r="M20" s="17">
        <f>IF(L20="","",IF(L20&gt;=1000000,"Huge - very competitive",IF(L20&gt;=250000,"Large",IF(L20&gt;=25000,"Medium - sweet spot","Small - easy to rank"))))</f>
        <v>0</v>
      </c>
      <c r="N20" s="34">
        <v>2</v>
      </c>
      <c r="O20" s="23">
        <f>IF(D20="","",COUNTIF('Content Calendar'!$R$5:$R$604,D20))</f>
        <v>0</v>
      </c>
      <c r="P20" s="43">
        <v>46297</v>
      </c>
      <c r="Q20" s="23">
        <f>IF(P20="","",TODAY()-P20)</f>
        <v>0</v>
      </c>
      <c r="R20" s="40" t="s">
        <v>373</v>
      </c>
      <c r="S20" s="29">
        <f>IF(B20="","",IF(COUNTIF('Hashtag Bank'!$B$5:$B$304,B20)&gt;1,"Duplicate","OK"))</f>
        <v>0</v>
      </c>
      <c r="T20" s="29">
        <f>IF(B20="","",IF(R20="Yes","Remove - flagged by the platform",IF(AND(L20&lt;&gt;"",L20&gt;=1000000),"Check - huge tag, pair with niche ones",IF(O20=0,"Add - group not on the calendar yet","OK"))))</f>
        <v>0</v>
      </c>
      <c r="U20" s="39" t="s">
        <v>205</v>
      </c>
    </row>
    <row r="21" spans="1:21">
      <c r="A21" s="41">
        <f>IF(B21="","",HashtagPrefix&amp;TEXT(ROW()-4,"000"))</f>
        <v>0</v>
      </c>
      <c r="B21" s="15" t="s">
        <v>1377</v>
      </c>
      <c r="C21" s="15" t="s">
        <v>507</v>
      </c>
      <c r="D21" s="15" t="s">
        <v>927</v>
      </c>
      <c r="E21" s="15" t="s">
        <v>376</v>
      </c>
      <c r="F21" s="15" t="s">
        <v>878</v>
      </c>
      <c r="G21" s="15" t="s">
        <v>1347</v>
      </c>
      <c r="H21" s="15" t="s">
        <v>1348</v>
      </c>
      <c r="I21" s="39" t="s">
        <v>1349</v>
      </c>
      <c r="J21" s="15" t="s">
        <v>514</v>
      </c>
      <c r="K21" s="15" t="s">
        <v>476</v>
      </c>
      <c r="L21" s="34">
        <v>88000</v>
      </c>
      <c r="M21" s="17">
        <f>IF(L21="","",IF(L21&gt;=1000000,"Huge - very competitive",IF(L21&gt;=250000,"Large",IF(L21&gt;=25000,"Medium - sweet spot","Small - easy to rank"))))</f>
        <v>0</v>
      </c>
      <c r="N21" s="34">
        <v>10</v>
      </c>
      <c r="O21" s="23">
        <f>IF(D21="","",COUNTIF('Content Calendar'!$R$5:$R$604,D21))</f>
        <v>0</v>
      </c>
      <c r="P21" s="43">
        <v>46279</v>
      </c>
      <c r="Q21" s="23">
        <f>IF(P21="","",TODAY()-P21)</f>
        <v>0</v>
      </c>
      <c r="R21" s="40" t="s">
        <v>373</v>
      </c>
      <c r="S21" s="29">
        <f>IF(B21="","",IF(COUNTIF('Hashtag Bank'!$B$5:$B$304,B21)&gt;1,"Duplicate","OK"))</f>
        <v>0</v>
      </c>
      <c r="T21" s="29">
        <f>IF(B21="","",IF(R21="Yes","Remove - flagged by the platform",IF(AND(L21&lt;&gt;"",L21&gt;=1000000),"Check - huge tag, pair with niche ones",IF(O21=0,"Add - group not on the calendar yet","OK"))))</f>
        <v>0</v>
      </c>
      <c r="U21" s="39" t="s">
        <v>205</v>
      </c>
    </row>
    <row r="22" spans="1:21">
      <c r="A22" s="41">
        <f>IF(B22="","",HashtagPrefix&amp;TEXT(ROW()-4,"000"))</f>
        <v>0</v>
      </c>
      <c r="B22" s="15" t="s">
        <v>1378</v>
      </c>
      <c r="C22" s="15" t="s">
        <v>272</v>
      </c>
      <c r="D22" s="15" t="s">
        <v>933</v>
      </c>
      <c r="E22" s="15" t="s">
        <v>377</v>
      </c>
      <c r="F22" s="15" t="s">
        <v>888</v>
      </c>
      <c r="G22" s="15" t="s">
        <v>1364</v>
      </c>
      <c r="H22" s="15" t="s">
        <v>1365</v>
      </c>
      <c r="I22" s="39" t="s">
        <v>1366</v>
      </c>
      <c r="J22" s="15" t="s">
        <v>518</v>
      </c>
      <c r="K22" s="15" t="s">
        <v>475</v>
      </c>
      <c r="L22" s="34">
        <v>120000</v>
      </c>
      <c r="M22" s="17">
        <f>IF(L22="","",IF(L22&gt;=1000000,"Huge - very competitive",IF(L22&gt;=250000,"Large",IF(L22&gt;=25000,"Medium - sweet spot","Small - easy to rank"))))</f>
        <v>0</v>
      </c>
      <c r="N22" s="34">
        <v>24</v>
      </c>
      <c r="O22" s="23">
        <f>IF(D22="","",COUNTIF('Content Calendar'!$R$5:$R$604,D22))</f>
        <v>0</v>
      </c>
      <c r="P22" s="43">
        <v>46283</v>
      </c>
      <c r="Q22" s="23">
        <f>IF(P22="","",TODAY()-P22)</f>
        <v>0</v>
      </c>
      <c r="R22" s="40" t="s">
        <v>373</v>
      </c>
      <c r="S22" s="29">
        <f>IF(B22="","",IF(COUNTIF('Hashtag Bank'!$B$5:$B$304,B22)&gt;1,"Duplicate","OK"))</f>
        <v>0</v>
      </c>
      <c r="T22" s="29">
        <f>IF(B22="","",IF(R22="Yes","Remove - flagged by the platform",IF(AND(L22&lt;&gt;"",L22&gt;=1000000),"Check - huge tag, pair with niche ones",IF(O22=0,"Add - group not on the calendar yet","OK"))))</f>
        <v>0</v>
      </c>
      <c r="U22" s="39" t="s">
        <v>205</v>
      </c>
    </row>
    <row r="23" spans="1:21">
      <c r="A23" s="41">
        <f>IF(B23="","",HashtagPrefix&amp;TEXT(ROW()-4,"000"))</f>
        <v>0</v>
      </c>
      <c r="B23" s="15" t="s">
        <v>1379</v>
      </c>
      <c r="C23" s="15" t="s">
        <v>506</v>
      </c>
      <c r="D23" s="15" t="s">
        <v>939</v>
      </c>
      <c r="E23" s="15" t="s">
        <v>378</v>
      </c>
      <c r="F23" s="15" t="s">
        <v>881</v>
      </c>
      <c r="G23" s="15" t="s">
        <v>1351</v>
      </c>
      <c r="H23" s="15" t="s">
        <v>1352</v>
      </c>
      <c r="I23" s="39" t="s">
        <v>1353</v>
      </c>
      <c r="J23" s="15" t="s">
        <v>515</v>
      </c>
      <c r="K23" s="15" t="s">
        <v>477</v>
      </c>
      <c r="L23" s="34">
        <v>390000</v>
      </c>
      <c r="M23" s="17">
        <f>IF(L23="","",IF(L23&gt;=1000000,"Huge - very competitive",IF(L23&gt;=250000,"Large",IF(L23&gt;=25000,"Medium - sweet spot","Small - easy to rank"))))</f>
        <v>0</v>
      </c>
      <c r="N23" s="34">
        <v>26</v>
      </c>
      <c r="O23" s="23">
        <f>IF(D23="","",COUNTIF('Content Calendar'!$R$5:$R$604,D23))</f>
        <v>0</v>
      </c>
      <c r="P23" s="43">
        <v>46293</v>
      </c>
      <c r="Q23" s="23">
        <f>IF(P23="","",TODAY()-P23)</f>
        <v>0</v>
      </c>
      <c r="R23" s="40" t="s">
        <v>373</v>
      </c>
      <c r="S23" s="29">
        <f>IF(B23="","",IF(COUNTIF('Hashtag Bank'!$B$5:$B$304,B23)&gt;1,"Duplicate","OK"))</f>
        <v>0</v>
      </c>
      <c r="T23" s="29">
        <f>IF(B23="","",IF(R23="Yes","Remove - flagged by the platform",IF(AND(L23&lt;&gt;"",L23&gt;=1000000),"Check - huge tag, pair with niche ones",IF(O23=0,"Add - group not on the calendar yet","OK"))))</f>
        <v>0</v>
      </c>
      <c r="U23" s="39" t="s">
        <v>205</v>
      </c>
    </row>
    <row r="24" spans="1:21">
      <c r="A24" s="41">
        <f>IF(B24="","",HashtagPrefix&amp;TEXT(ROW()-4,"000"))</f>
        <v>0</v>
      </c>
      <c r="B24" s="15" t="s">
        <v>1380</v>
      </c>
      <c r="C24" s="15" t="s">
        <v>430</v>
      </c>
      <c r="D24" s="15" t="s">
        <v>945</v>
      </c>
      <c r="E24" s="15" t="s">
        <v>380</v>
      </c>
      <c r="F24" s="15" t="s">
        <v>430</v>
      </c>
      <c r="G24" s="15" t="s">
        <v>1359</v>
      </c>
      <c r="H24" s="15" t="s">
        <v>1360</v>
      </c>
      <c r="I24" s="39" t="s">
        <v>1361</v>
      </c>
      <c r="J24" s="15" t="s">
        <v>517</v>
      </c>
      <c r="K24" s="15" t="s">
        <v>476</v>
      </c>
      <c r="L24" s="34">
        <v>310000</v>
      </c>
      <c r="M24" s="17">
        <f>IF(L24="","",IF(L24&gt;=1000000,"Huge - very competitive",IF(L24&gt;=250000,"Large",IF(L24&gt;=25000,"Medium - sweet spot","Small - easy to rank"))))</f>
        <v>0</v>
      </c>
      <c r="N24" s="34">
        <v>11</v>
      </c>
      <c r="O24" s="23">
        <f>IF(D24="","",COUNTIF('Content Calendar'!$R$5:$R$604,D24))</f>
        <v>0</v>
      </c>
      <c r="P24" s="43">
        <v>46291</v>
      </c>
      <c r="Q24" s="23">
        <f>IF(P24="","",TODAY()-P24)</f>
        <v>0</v>
      </c>
      <c r="R24" s="40" t="s">
        <v>373</v>
      </c>
      <c r="S24" s="29">
        <f>IF(B24="","",IF(COUNTIF('Hashtag Bank'!$B$5:$B$304,B24)&gt;1,"Duplicate","OK"))</f>
        <v>0</v>
      </c>
      <c r="T24" s="29">
        <f>IF(B24="","",IF(R24="Yes","Remove - flagged by the platform",IF(AND(L24&lt;&gt;"",L24&gt;=1000000),"Check - huge tag, pair with niche ones",IF(O24=0,"Add - group not on the calendar yet","OK"))))</f>
        <v>0</v>
      </c>
      <c r="U24" s="39" t="s">
        <v>205</v>
      </c>
    </row>
    <row r="25" spans="1:21">
      <c r="A25" s="41">
        <f>IF(B25="","",HashtagPrefix&amp;TEXT(ROW()-4,"000"))</f>
        <v>0</v>
      </c>
      <c r="B25" s="15" t="s">
        <v>1381</v>
      </c>
      <c r="C25" s="15" t="s">
        <v>510</v>
      </c>
      <c r="D25" s="15" t="s">
        <v>927</v>
      </c>
      <c r="E25" s="15" t="s">
        <v>376</v>
      </c>
      <c r="F25" s="15" t="s">
        <v>430</v>
      </c>
      <c r="G25" s="15" t="s">
        <v>1359</v>
      </c>
      <c r="H25" s="15" t="s">
        <v>1360</v>
      </c>
      <c r="I25" s="39" t="s">
        <v>1361</v>
      </c>
      <c r="J25" s="15" t="s">
        <v>517</v>
      </c>
      <c r="K25" s="15" t="s">
        <v>475</v>
      </c>
      <c r="L25" s="34">
        <v>64000</v>
      </c>
      <c r="M25" s="17">
        <f>IF(L25="","",IF(L25&gt;=1000000,"Huge - very competitive",IF(L25&gt;=250000,"Large",IF(L25&gt;=25000,"Medium - sweet spot","Small - easy to rank"))))</f>
        <v>0</v>
      </c>
      <c r="N25" s="34">
        <v>13</v>
      </c>
      <c r="O25" s="23">
        <f>IF(D25="","",COUNTIF('Content Calendar'!$R$5:$R$604,D25))</f>
        <v>0</v>
      </c>
      <c r="P25" s="43">
        <v>46273</v>
      </c>
      <c r="Q25" s="23">
        <f>IF(P25="","",TODAY()-P25)</f>
        <v>0</v>
      </c>
      <c r="R25" s="40" t="s">
        <v>373</v>
      </c>
      <c r="S25" s="29">
        <f>IF(B25="","",IF(COUNTIF('Hashtag Bank'!$B$5:$B$304,B25)&gt;1,"Duplicate","OK"))</f>
        <v>0</v>
      </c>
      <c r="T25" s="29">
        <f>IF(B25="","",IF(R25="Yes","Remove - flagged by the platform",IF(AND(L25&lt;&gt;"",L25&gt;=1000000),"Check - huge tag, pair with niche ones",IF(O25=0,"Add - group not on the calendar yet","OK"))))</f>
        <v>0</v>
      </c>
      <c r="U25" s="39" t="s">
        <v>205</v>
      </c>
    </row>
    <row r="26" spans="1:21">
      <c r="A26" s="41">
        <f>IF(B26="","",HashtagPrefix&amp;TEXT(ROW()-4,"000"))</f>
        <v>0</v>
      </c>
      <c r="B26" s="15" t="s">
        <v>1382</v>
      </c>
      <c r="C26" s="15" t="s">
        <v>509</v>
      </c>
      <c r="D26" s="15" t="s">
        <v>933</v>
      </c>
      <c r="E26" s="15" t="s">
        <v>377</v>
      </c>
      <c r="F26" s="15" t="s">
        <v>888</v>
      </c>
      <c r="G26" s="15" t="s">
        <v>1364</v>
      </c>
      <c r="H26" s="15" t="s">
        <v>1365</v>
      </c>
      <c r="I26" s="39" t="s">
        <v>1366</v>
      </c>
      <c r="J26" s="15" t="s">
        <v>518</v>
      </c>
      <c r="K26" s="15" t="s">
        <v>477</v>
      </c>
      <c r="L26" s="34">
        <v>9800</v>
      </c>
      <c r="M26" s="17">
        <f>IF(L26="","",IF(L26&gt;=1000000,"Huge - very competitive",IF(L26&gt;=250000,"Large",IF(L26&gt;=25000,"Medium - sweet spot","Small - easy to rank"))))</f>
        <v>0</v>
      </c>
      <c r="N26" s="34">
        <v>5</v>
      </c>
      <c r="O26" s="23">
        <f>IF(D26="","",COUNTIF('Content Calendar'!$R$5:$R$604,D26))</f>
        <v>0</v>
      </c>
      <c r="P26" s="43">
        <v>46295</v>
      </c>
      <c r="Q26" s="23">
        <f>IF(P26="","",TODAY()-P26)</f>
        <v>0</v>
      </c>
      <c r="R26" s="40" t="s">
        <v>373</v>
      </c>
      <c r="S26" s="29">
        <f>IF(B26="","",IF(COUNTIF('Hashtag Bank'!$B$5:$B$304,B26)&gt;1,"Duplicate","OK"))</f>
        <v>0</v>
      </c>
      <c r="T26" s="29">
        <f>IF(B26="","",IF(R26="Yes","Remove - flagged by the platform",IF(AND(L26&lt;&gt;"",L26&gt;=1000000),"Check - huge tag, pair with niche ones",IF(O26=0,"Add - group not on the calendar yet","OK"))))</f>
        <v>0</v>
      </c>
      <c r="U26" s="39" t="s">
        <v>205</v>
      </c>
    </row>
    <row r="27" spans="1:21">
      <c r="A27" s="41">
        <f>IF(B27="","",HashtagPrefix&amp;TEXT(ROW()-4,"000"))</f>
        <v>0</v>
      </c>
      <c r="B27" s="15" t="s">
        <v>1383</v>
      </c>
      <c r="C27" s="15" t="s">
        <v>512</v>
      </c>
      <c r="D27" s="15" t="s">
        <v>939</v>
      </c>
      <c r="E27" s="15" t="s">
        <v>378</v>
      </c>
      <c r="F27" s="15" t="s">
        <v>891</v>
      </c>
      <c r="G27" s="15" t="s">
        <v>1384</v>
      </c>
      <c r="H27" s="15" t="s">
        <v>1385</v>
      </c>
      <c r="I27" s="39" t="s">
        <v>1386</v>
      </c>
      <c r="J27" s="15" t="s">
        <v>514</v>
      </c>
      <c r="K27" s="15" t="s">
        <v>476</v>
      </c>
      <c r="L27" s="34">
        <v>55000</v>
      </c>
      <c r="M27" s="17">
        <f>IF(L27="","",IF(L27&gt;=1000000,"Huge - very competitive",IF(L27&gt;=250000,"Large",IF(L27&gt;=25000,"Medium - sweet spot","Small - easy to rank"))))</f>
        <v>0</v>
      </c>
      <c r="N27" s="34">
        <v>24</v>
      </c>
      <c r="O27" s="23">
        <f>IF(D27="","",COUNTIF('Content Calendar'!$R$5:$R$604,D27))</f>
        <v>0</v>
      </c>
      <c r="P27" s="43">
        <v>46277</v>
      </c>
      <c r="Q27" s="23">
        <f>IF(P27="","",TODAY()-P27)</f>
        <v>0</v>
      </c>
      <c r="R27" s="40" t="s">
        <v>373</v>
      </c>
      <c r="S27" s="29">
        <f>IF(B27="","",IF(COUNTIF('Hashtag Bank'!$B$5:$B$304,B27)&gt;1,"Duplicate","OK"))</f>
        <v>0</v>
      </c>
      <c r="T27" s="29">
        <f>IF(B27="","",IF(R27="Yes","Remove - flagged by the platform",IF(AND(L27&lt;&gt;"",L27&gt;=1000000),"Check - huge tag, pair with niche ones",IF(O27=0,"Add - group not on the calendar yet","OK"))))</f>
        <v>0</v>
      </c>
      <c r="U27" s="39" t="s">
        <v>205</v>
      </c>
    </row>
    <row r="28" spans="1:21">
      <c r="A28" s="41">
        <f>IF(B28="","",HashtagPrefix&amp;TEXT(ROW()-4,"000"))</f>
        <v>0</v>
      </c>
      <c r="B28" s="15" t="s">
        <v>1387</v>
      </c>
      <c r="C28" s="15" t="s">
        <v>507</v>
      </c>
      <c r="D28" s="15" t="s">
        <v>945</v>
      </c>
      <c r="E28" s="15" t="s">
        <v>380</v>
      </c>
      <c r="F28" s="15" t="s">
        <v>462</v>
      </c>
      <c r="G28" s="15" t="s">
        <v>1356</v>
      </c>
      <c r="H28" s="15" t="s">
        <v>1357</v>
      </c>
      <c r="I28" s="39" t="s">
        <v>1358</v>
      </c>
      <c r="J28" s="15" t="s">
        <v>514</v>
      </c>
      <c r="K28" s="15" t="s">
        <v>475</v>
      </c>
      <c r="L28" s="34">
        <v>47000</v>
      </c>
      <c r="M28" s="17">
        <f>IF(L28="","",IF(L28&gt;=1000000,"Huge - very competitive",IF(L28&gt;=250000,"Large",IF(L28&gt;=25000,"Medium - sweet spot","Small - easy to rank"))))</f>
        <v>0</v>
      </c>
      <c r="N28" s="34">
        <v>4</v>
      </c>
      <c r="O28" s="23">
        <f>IF(D28="","",COUNTIF('Content Calendar'!$R$5:$R$604,D28))</f>
        <v>0</v>
      </c>
      <c r="P28" s="43">
        <v>46275</v>
      </c>
      <c r="Q28" s="23">
        <f>IF(P28="","",TODAY()-P28)</f>
        <v>0</v>
      </c>
      <c r="R28" s="40" t="s">
        <v>373</v>
      </c>
      <c r="S28" s="29">
        <f>IF(B28="","",IF(COUNTIF('Hashtag Bank'!$B$5:$B$304,B28)&gt;1,"Duplicate","OK"))</f>
        <v>0</v>
      </c>
      <c r="T28" s="29">
        <f>IF(B28="","",IF(R28="Yes","Remove - flagged by the platform",IF(AND(L28&lt;&gt;"",L28&gt;=1000000),"Check - huge tag, pair with niche ones",IF(O28=0,"Add - group not on the calendar yet","OK"))))</f>
        <v>0</v>
      </c>
      <c r="U28" s="39" t="s">
        <v>205</v>
      </c>
    </row>
    <row r="29" spans="1:21">
      <c r="A29" s="41">
        <f>IF(B29="","",HashtagPrefix&amp;TEXT(ROW()-4,"000"))</f>
        <v>0</v>
      </c>
      <c r="M29" s="17">
        <f>IF(L29="","",IF(L29&gt;=1000000,"Huge - very competitive",IF(L29&gt;=250000,"Large",IF(L29&gt;=25000,"Medium - sweet spot","Small - easy to rank"))))</f>
        <v>0</v>
      </c>
      <c r="O29" s="23">
        <f>IF(D29="","",COUNTIF('Content Calendar'!$R$5:$R$604,D29))</f>
        <v>0</v>
      </c>
      <c r="Q29" s="23">
        <f>IF(P29="","",TODAY()-P29)</f>
        <v>0</v>
      </c>
      <c r="S29" s="29">
        <f>IF(B29="","",IF(COUNTIF('Hashtag Bank'!$B$5:$B$304,B29)&gt;1,"Duplicate","OK"))</f>
        <v>0</v>
      </c>
      <c r="T29" s="29">
        <f>IF(B29="","",IF(R29="Yes","Remove - flagged by the platform",IF(AND(L29&lt;&gt;"",L29&gt;=1000000),"Check - huge tag, pair with niche ones",IF(O29=0,"Add - group not on the calendar yet","OK"))))</f>
        <v>0</v>
      </c>
    </row>
    <row r="30" spans="1:21">
      <c r="A30" s="41">
        <f>IF(B30="","",HashtagPrefix&amp;TEXT(ROW()-4,"000"))</f>
        <v>0</v>
      </c>
      <c r="M30" s="17">
        <f>IF(L30="","",IF(L30&gt;=1000000,"Huge - very competitive",IF(L30&gt;=250000,"Large",IF(L30&gt;=25000,"Medium - sweet spot","Small - easy to rank"))))</f>
        <v>0</v>
      </c>
      <c r="O30" s="23">
        <f>IF(D30="","",COUNTIF('Content Calendar'!$R$5:$R$604,D30))</f>
        <v>0</v>
      </c>
      <c r="Q30" s="23">
        <f>IF(P30="","",TODAY()-P30)</f>
        <v>0</v>
      </c>
      <c r="S30" s="29">
        <f>IF(B30="","",IF(COUNTIF('Hashtag Bank'!$B$5:$B$304,B30)&gt;1,"Duplicate","OK"))</f>
        <v>0</v>
      </c>
      <c r="T30" s="29">
        <f>IF(B30="","",IF(R30="Yes","Remove - flagged by the platform",IF(AND(L30&lt;&gt;"",L30&gt;=1000000),"Check - huge tag, pair with niche ones",IF(O30=0,"Add - group not on the calendar yet","OK"))))</f>
        <v>0</v>
      </c>
    </row>
    <row r="31" spans="1:21">
      <c r="A31" s="41">
        <f>IF(B31="","",HashtagPrefix&amp;TEXT(ROW()-4,"000"))</f>
        <v>0</v>
      </c>
      <c r="M31" s="17">
        <f>IF(L31="","",IF(L31&gt;=1000000,"Huge - very competitive",IF(L31&gt;=250000,"Large",IF(L31&gt;=25000,"Medium - sweet spot","Small - easy to rank"))))</f>
        <v>0</v>
      </c>
      <c r="O31" s="23">
        <f>IF(D31="","",COUNTIF('Content Calendar'!$R$5:$R$604,D31))</f>
        <v>0</v>
      </c>
      <c r="Q31" s="23">
        <f>IF(P31="","",TODAY()-P31)</f>
        <v>0</v>
      </c>
      <c r="S31" s="29">
        <f>IF(B31="","",IF(COUNTIF('Hashtag Bank'!$B$5:$B$304,B31)&gt;1,"Duplicate","OK"))</f>
        <v>0</v>
      </c>
      <c r="T31" s="29">
        <f>IF(B31="","",IF(R31="Yes","Remove - flagged by the platform",IF(AND(L31&lt;&gt;"",L31&gt;=1000000),"Check - huge tag, pair with niche ones",IF(O31=0,"Add - group not on the calendar yet","OK"))))</f>
        <v>0</v>
      </c>
    </row>
    <row r="32" spans="1:21">
      <c r="A32" s="41">
        <f>IF(B32="","",HashtagPrefix&amp;TEXT(ROW()-4,"000"))</f>
        <v>0</v>
      </c>
      <c r="M32" s="17">
        <f>IF(L32="","",IF(L32&gt;=1000000,"Huge - very competitive",IF(L32&gt;=250000,"Large",IF(L32&gt;=25000,"Medium - sweet spot","Small - easy to rank"))))</f>
        <v>0</v>
      </c>
      <c r="O32" s="23">
        <f>IF(D32="","",COUNTIF('Content Calendar'!$R$5:$R$604,D32))</f>
        <v>0</v>
      </c>
      <c r="Q32" s="23">
        <f>IF(P32="","",TODAY()-P32)</f>
        <v>0</v>
      </c>
      <c r="S32" s="29">
        <f>IF(B32="","",IF(COUNTIF('Hashtag Bank'!$B$5:$B$304,B32)&gt;1,"Duplicate","OK"))</f>
        <v>0</v>
      </c>
      <c r="T32" s="29">
        <f>IF(B32="","",IF(R32="Yes","Remove - flagged by the platform",IF(AND(L32&lt;&gt;"",L32&gt;=1000000),"Check - huge tag, pair with niche ones",IF(O32=0,"Add - group not on the calendar yet","OK"))))</f>
        <v>0</v>
      </c>
    </row>
    <row r="33" spans="1:20">
      <c r="A33" s="41">
        <f>IF(B33="","",HashtagPrefix&amp;TEXT(ROW()-4,"000"))</f>
        <v>0</v>
      </c>
      <c r="M33" s="17">
        <f>IF(L33="","",IF(L33&gt;=1000000,"Huge - very competitive",IF(L33&gt;=250000,"Large",IF(L33&gt;=25000,"Medium - sweet spot","Small - easy to rank"))))</f>
        <v>0</v>
      </c>
      <c r="O33" s="23">
        <f>IF(D33="","",COUNTIF('Content Calendar'!$R$5:$R$604,D33))</f>
        <v>0</v>
      </c>
      <c r="Q33" s="23">
        <f>IF(P33="","",TODAY()-P33)</f>
        <v>0</v>
      </c>
      <c r="S33" s="29">
        <f>IF(B33="","",IF(COUNTIF('Hashtag Bank'!$B$5:$B$304,B33)&gt;1,"Duplicate","OK"))</f>
        <v>0</v>
      </c>
      <c r="T33" s="29">
        <f>IF(B33="","",IF(R33="Yes","Remove - flagged by the platform",IF(AND(L33&lt;&gt;"",L33&gt;=1000000),"Check - huge tag, pair with niche ones",IF(O33=0,"Add - group not on the calendar yet","OK"))))</f>
        <v>0</v>
      </c>
    </row>
    <row r="34" spans="1:20">
      <c r="A34" s="41">
        <f>IF(B34="","",HashtagPrefix&amp;TEXT(ROW()-4,"000"))</f>
        <v>0</v>
      </c>
      <c r="M34" s="17">
        <f>IF(L34="","",IF(L34&gt;=1000000,"Huge - very competitive",IF(L34&gt;=250000,"Large",IF(L34&gt;=25000,"Medium - sweet spot","Small - easy to rank"))))</f>
        <v>0</v>
      </c>
      <c r="O34" s="23">
        <f>IF(D34="","",COUNTIF('Content Calendar'!$R$5:$R$604,D34))</f>
        <v>0</v>
      </c>
      <c r="Q34" s="23">
        <f>IF(P34="","",TODAY()-P34)</f>
        <v>0</v>
      </c>
      <c r="S34" s="29">
        <f>IF(B34="","",IF(COUNTIF('Hashtag Bank'!$B$5:$B$304,B34)&gt;1,"Duplicate","OK"))</f>
        <v>0</v>
      </c>
      <c r="T34" s="29">
        <f>IF(B34="","",IF(R34="Yes","Remove - flagged by the platform",IF(AND(L34&lt;&gt;"",L34&gt;=1000000),"Check - huge tag, pair with niche ones",IF(O34=0,"Add - group not on the calendar yet","OK"))))</f>
        <v>0</v>
      </c>
    </row>
    <row r="35" spans="1:20">
      <c r="A35" s="41">
        <f>IF(B35="","",HashtagPrefix&amp;TEXT(ROW()-4,"000"))</f>
        <v>0</v>
      </c>
      <c r="M35" s="17">
        <f>IF(L35="","",IF(L35&gt;=1000000,"Huge - very competitive",IF(L35&gt;=250000,"Large",IF(L35&gt;=25000,"Medium - sweet spot","Small - easy to rank"))))</f>
        <v>0</v>
      </c>
      <c r="O35" s="23">
        <f>IF(D35="","",COUNTIF('Content Calendar'!$R$5:$R$604,D35))</f>
        <v>0</v>
      </c>
      <c r="Q35" s="23">
        <f>IF(P35="","",TODAY()-P35)</f>
        <v>0</v>
      </c>
      <c r="S35" s="29">
        <f>IF(B35="","",IF(COUNTIF('Hashtag Bank'!$B$5:$B$304,B35)&gt;1,"Duplicate","OK"))</f>
        <v>0</v>
      </c>
      <c r="T35" s="29">
        <f>IF(B35="","",IF(R35="Yes","Remove - flagged by the platform",IF(AND(L35&lt;&gt;"",L35&gt;=1000000),"Check - huge tag, pair with niche ones",IF(O35=0,"Add - group not on the calendar yet","OK"))))</f>
        <v>0</v>
      </c>
    </row>
    <row r="36" spans="1:20">
      <c r="A36" s="41">
        <f>IF(B36="","",HashtagPrefix&amp;TEXT(ROW()-4,"000"))</f>
        <v>0</v>
      </c>
      <c r="M36" s="17">
        <f>IF(L36="","",IF(L36&gt;=1000000,"Huge - very competitive",IF(L36&gt;=250000,"Large",IF(L36&gt;=25000,"Medium - sweet spot","Small - easy to rank"))))</f>
        <v>0</v>
      </c>
      <c r="O36" s="23">
        <f>IF(D36="","",COUNTIF('Content Calendar'!$R$5:$R$604,D36))</f>
        <v>0</v>
      </c>
      <c r="Q36" s="23">
        <f>IF(P36="","",TODAY()-P36)</f>
        <v>0</v>
      </c>
      <c r="S36" s="29">
        <f>IF(B36="","",IF(COUNTIF('Hashtag Bank'!$B$5:$B$304,B36)&gt;1,"Duplicate","OK"))</f>
        <v>0</v>
      </c>
      <c r="T36" s="29">
        <f>IF(B36="","",IF(R36="Yes","Remove - flagged by the platform",IF(AND(L36&lt;&gt;"",L36&gt;=1000000),"Check - huge tag, pair with niche ones",IF(O36=0,"Add - group not on the calendar yet","OK"))))</f>
        <v>0</v>
      </c>
    </row>
    <row r="37" spans="1:20">
      <c r="A37" s="41">
        <f>IF(B37="","",HashtagPrefix&amp;TEXT(ROW()-4,"000"))</f>
        <v>0</v>
      </c>
      <c r="M37" s="17">
        <f>IF(L37="","",IF(L37&gt;=1000000,"Huge - very competitive",IF(L37&gt;=250000,"Large",IF(L37&gt;=25000,"Medium - sweet spot","Small - easy to rank"))))</f>
        <v>0</v>
      </c>
      <c r="O37" s="23">
        <f>IF(D37="","",COUNTIF('Content Calendar'!$R$5:$R$604,D37))</f>
        <v>0</v>
      </c>
      <c r="Q37" s="23">
        <f>IF(P37="","",TODAY()-P37)</f>
        <v>0</v>
      </c>
      <c r="S37" s="29">
        <f>IF(B37="","",IF(COUNTIF('Hashtag Bank'!$B$5:$B$304,B37)&gt;1,"Duplicate","OK"))</f>
        <v>0</v>
      </c>
      <c r="T37" s="29">
        <f>IF(B37="","",IF(R37="Yes","Remove - flagged by the platform",IF(AND(L37&lt;&gt;"",L37&gt;=1000000),"Check - huge tag, pair with niche ones",IF(O37=0,"Add - group not on the calendar yet","OK"))))</f>
        <v>0</v>
      </c>
    </row>
    <row r="38" spans="1:20">
      <c r="A38" s="41">
        <f>IF(B38="","",HashtagPrefix&amp;TEXT(ROW()-4,"000"))</f>
        <v>0</v>
      </c>
      <c r="M38" s="17">
        <f>IF(L38="","",IF(L38&gt;=1000000,"Huge - very competitive",IF(L38&gt;=250000,"Large",IF(L38&gt;=25000,"Medium - sweet spot","Small - easy to rank"))))</f>
        <v>0</v>
      </c>
      <c r="O38" s="23">
        <f>IF(D38="","",COUNTIF('Content Calendar'!$R$5:$R$604,D38))</f>
        <v>0</v>
      </c>
      <c r="Q38" s="23">
        <f>IF(P38="","",TODAY()-P38)</f>
        <v>0</v>
      </c>
      <c r="S38" s="29">
        <f>IF(B38="","",IF(COUNTIF('Hashtag Bank'!$B$5:$B$304,B38)&gt;1,"Duplicate","OK"))</f>
        <v>0</v>
      </c>
      <c r="T38" s="29">
        <f>IF(B38="","",IF(R38="Yes","Remove - flagged by the platform",IF(AND(L38&lt;&gt;"",L38&gt;=1000000),"Check - huge tag, pair with niche ones",IF(O38=0,"Add - group not on the calendar yet","OK"))))</f>
        <v>0</v>
      </c>
    </row>
    <row r="39" spans="1:20">
      <c r="A39" s="41">
        <f>IF(B39="","",HashtagPrefix&amp;TEXT(ROW()-4,"000"))</f>
        <v>0</v>
      </c>
      <c r="M39" s="17">
        <f>IF(L39="","",IF(L39&gt;=1000000,"Huge - very competitive",IF(L39&gt;=250000,"Large",IF(L39&gt;=25000,"Medium - sweet spot","Small - easy to rank"))))</f>
        <v>0</v>
      </c>
      <c r="O39" s="23">
        <f>IF(D39="","",COUNTIF('Content Calendar'!$R$5:$R$604,D39))</f>
        <v>0</v>
      </c>
      <c r="Q39" s="23">
        <f>IF(P39="","",TODAY()-P39)</f>
        <v>0</v>
      </c>
      <c r="S39" s="29">
        <f>IF(B39="","",IF(COUNTIF('Hashtag Bank'!$B$5:$B$304,B39)&gt;1,"Duplicate","OK"))</f>
        <v>0</v>
      </c>
      <c r="T39" s="29">
        <f>IF(B39="","",IF(R39="Yes","Remove - flagged by the platform",IF(AND(L39&lt;&gt;"",L39&gt;=1000000),"Check - huge tag, pair with niche ones",IF(O39=0,"Add - group not on the calendar yet","OK"))))</f>
        <v>0</v>
      </c>
    </row>
    <row r="40" spans="1:20">
      <c r="A40" s="41">
        <f>IF(B40="","",HashtagPrefix&amp;TEXT(ROW()-4,"000"))</f>
        <v>0</v>
      </c>
      <c r="M40" s="17">
        <f>IF(L40="","",IF(L40&gt;=1000000,"Huge - very competitive",IF(L40&gt;=250000,"Large",IF(L40&gt;=25000,"Medium - sweet spot","Small - easy to rank"))))</f>
        <v>0</v>
      </c>
      <c r="O40" s="23">
        <f>IF(D40="","",COUNTIF('Content Calendar'!$R$5:$R$604,D40))</f>
        <v>0</v>
      </c>
      <c r="Q40" s="23">
        <f>IF(P40="","",TODAY()-P40)</f>
        <v>0</v>
      </c>
      <c r="S40" s="29">
        <f>IF(B40="","",IF(COUNTIF('Hashtag Bank'!$B$5:$B$304,B40)&gt;1,"Duplicate","OK"))</f>
        <v>0</v>
      </c>
      <c r="T40" s="29">
        <f>IF(B40="","",IF(R40="Yes","Remove - flagged by the platform",IF(AND(L40&lt;&gt;"",L40&gt;=1000000),"Check - huge tag, pair with niche ones",IF(O40=0,"Add - group not on the calendar yet","OK"))))</f>
        <v>0</v>
      </c>
    </row>
    <row r="41" spans="1:20">
      <c r="A41" s="41">
        <f>IF(B41="","",HashtagPrefix&amp;TEXT(ROW()-4,"000"))</f>
        <v>0</v>
      </c>
      <c r="M41" s="17">
        <f>IF(L41="","",IF(L41&gt;=1000000,"Huge - very competitive",IF(L41&gt;=250000,"Large",IF(L41&gt;=25000,"Medium - sweet spot","Small - easy to rank"))))</f>
        <v>0</v>
      </c>
      <c r="O41" s="23">
        <f>IF(D41="","",COUNTIF('Content Calendar'!$R$5:$R$604,D41))</f>
        <v>0</v>
      </c>
      <c r="Q41" s="23">
        <f>IF(P41="","",TODAY()-P41)</f>
        <v>0</v>
      </c>
      <c r="S41" s="29">
        <f>IF(B41="","",IF(COUNTIF('Hashtag Bank'!$B$5:$B$304,B41)&gt;1,"Duplicate","OK"))</f>
        <v>0</v>
      </c>
      <c r="T41" s="29">
        <f>IF(B41="","",IF(R41="Yes","Remove - flagged by the platform",IF(AND(L41&lt;&gt;"",L41&gt;=1000000),"Check - huge tag, pair with niche ones",IF(O41=0,"Add - group not on the calendar yet","OK"))))</f>
        <v>0</v>
      </c>
    </row>
    <row r="42" spans="1:20">
      <c r="A42" s="41">
        <f>IF(B42="","",HashtagPrefix&amp;TEXT(ROW()-4,"000"))</f>
        <v>0</v>
      </c>
      <c r="M42" s="17">
        <f>IF(L42="","",IF(L42&gt;=1000000,"Huge - very competitive",IF(L42&gt;=250000,"Large",IF(L42&gt;=25000,"Medium - sweet spot","Small - easy to rank"))))</f>
        <v>0</v>
      </c>
      <c r="O42" s="23">
        <f>IF(D42="","",COUNTIF('Content Calendar'!$R$5:$R$604,D42))</f>
        <v>0</v>
      </c>
      <c r="Q42" s="23">
        <f>IF(P42="","",TODAY()-P42)</f>
        <v>0</v>
      </c>
      <c r="S42" s="29">
        <f>IF(B42="","",IF(COUNTIF('Hashtag Bank'!$B$5:$B$304,B42)&gt;1,"Duplicate","OK"))</f>
        <v>0</v>
      </c>
      <c r="T42" s="29">
        <f>IF(B42="","",IF(R42="Yes","Remove - flagged by the platform",IF(AND(L42&lt;&gt;"",L42&gt;=1000000),"Check - huge tag, pair with niche ones",IF(O42=0,"Add - group not on the calendar yet","OK"))))</f>
        <v>0</v>
      </c>
    </row>
    <row r="43" spans="1:20">
      <c r="A43" s="41">
        <f>IF(B43="","",HashtagPrefix&amp;TEXT(ROW()-4,"000"))</f>
        <v>0</v>
      </c>
      <c r="M43" s="17">
        <f>IF(L43="","",IF(L43&gt;=1000000,"Huge - very competitive",IF(L43&gt;=250000,"Large",IF(L43&gt;=25000,"Medium - sweet spot","Small - easy to rank"))))</f>
        <v>0</v>
      </c>
      <c r="O43" s="23">
        <f>IF(D43="","",COUNTIF('Content Calendar'!$R$5:$R$604,D43))</f>
        <v>0</v>
      </c>
      <c r="Q43" s="23">
        <f>IF(P43="","",TODAY()-P43)</f>
        <v>0</v>
      </c>
      <c r="S43" s="29">
        <f>IF(B43="","",IF(COUNTIF('Hashtag Bank'!$B$5:$B$304,B43)&gt;1,"Duplicate","OK"))</f>
        <v>0</v>
      </c>
      <c r="T43" s="29">
        <f>IF(B43="","",IF(R43="Yes","Remove - flagged by the platform",IF(AND(L43&lt;&gt;"",L43&gt;=1000000),"Check - huge tag, pair with niche ones",IF(O43=0,"Add - group not on the calendar yet","OK"))))</f>
        <v>0</v>
      </c>
    </row>
    <row r="44" spans="1:20">
      <c r="A44" s="41">
        <f>IF(B44="","",HashtagPrefix&amp;TEXT(ROW()-4,"000"))</f>
        <v>0</v>
      </c>
      <c r="M44" s="17">
        <f>IF(L44="","",IF(L44&gt;=1000000,"Huge - very competitive",IF(L44&gt;=250000,"Large",IF(L44&gt;=25000,"Medium - sweet spot","Small - easy to rank"))))</f>
        <v>0</v>
      </c>
      <c r="O44" s="23">
        <f>IF(D44="","",COUNTIF('Content Calendar'!$R$5:$R$604,D44))</f>
        <v>0</v>
      </c>
      <c r="Q44" s="23">
        <f>IF(P44="","",TODAY()-P44)</f>
        <v>0</v>
      </c>
      <c r="S44" s="29">
        <f>IF(B44="","",IF(COUNTIF('Hashtag Bank'!$B$5:$B$304,B44)&gt;1,"Duplicate","OK"))</f>
        <v>0</v>
      </c>
      <c r="T44" s="29">
        <f>IF(B44="","",IF(R44="Yes","Remove - flagged by the platform",IF(AND(L44&lt;&gt;"",L44&gt;=1000000),"Check - huge tag, pair with niche ones",IF(O44=0,"Add - group not on the calendar yet","OK"))))</f>
        <v>0</v>
      </c>
    </row>
    <row r="45" spans="1:20">
      <c r="A45" s="41">
        <f>IF(B45="","",HashtagPrefix&amp;TEXT(ROW()-4,"000"))</f>
        <v>0</v>
      </c>
      <c r="M45" s="17">
        <f>IF(L45="","",IF(L45&gt;=1000000,"Huge - very competitive",IF(L45&gt;=250000,"Large",IF(L45&gt;=25000,"Medium - sweet spot","Small - easy to rank"))))</f>
        <v>0</v>
      </c>
      <c r="O45" s="23">
        <f>IF(D45="","",COUNTIF('Content Calendar'!$R$5:$R$604,D45))</f>
        <v>0</v>
      </c>
      <c r="Q45" s="23">
        <f>IF(P45="","",TODAY()-P45)</f>
        <v>0</v>
      </c>
      <c r="S45" s="29">
        <f>IF(B45="","",IF(COUNTIF('Hashtag Bank'!$B$5:$B$304,B45)&gt;1,"Duplicate","OK"))</f>
        <v>0</v>
      </c>
      <c r="T45" s="29">
        <f>IF(B45="","",IF(R45="Yes","Remove - flagged by the platform",IF(AND(L45&lt;&gt;"",L45&gt;=1000000),"Check - huge tag, pair with niche ones",IF(O45=0,"Add - group not on the calendar yet","OK"))))</f>
        <v>0</v>
      </c>
    </row>
    <row r="46" spans="1:20">
      <c r="A46" s="41">
        <f>IF(B46="","",HashtagPrefix&amp;TEXT(ROW()-4,"000"))</f>
        <v>0</v>
      </c>
      <c r="M46" s="17">
        <f>IF(L46="","",IF(L46&gt;=1000000,"Huge - very competitive",IF(L46&gt;=250000,"Large",IF(L46&gt;=25000,"Medium - sweet spot","Small - easy to rank"))))</f>
        <v>0</v>
      </c>
      <c r="O46" s="23">
        <f>IF(D46="","",COUNTIF('Content Calendar'!$R$5:$R$604,D46))</f>
        <v>0</v>
      </c>
      <c r="Q46" s="23">
        <f>IF(P46="","",TODAY()-P46)</f>
        <v>0</v>
      </c>
      <c r="S46" s="29">
        <f>IF(B46="","",IF(COUNTIF('Hashtag Bank'!$B$5:$B$304,B46)&gt;1,"Duplicate","OK"))</f>
        <v>0</v>
      </c>
      <c r="T46" s="29">
        <f>IF(B46="","",IF(R46="Yes","Remove - flagged by the platform",IF(AND(L46&lt;&gt;"",L46&gt;=1000000),"Check - huge tag, pair with niche ones",IF(O46=0,"Add - group not on the calendar yet","OK"))))</f>
        <v>0</v>
      </c>
    </row>
    <row r="47" spans="1:20">
      <c r="A47" s="41">
        <f>IF(B47="","",HashtagPrefix&amp;TEXT(ROW()-4,"000"))</f>
        <v>0</v>
      </c>
      <c r="M47" s="17">
        <f>IF(L47="","",IF(L47&gt;=1000000,"Huge - very competitive",IF(L47&gt;=250000,"Large",IF(L47&gt;=25000,"Medium - sweet spot","Small - easy to rank"))))</f>
        <v>0</v>
      </c>
      <c r="O47" s="23">
        <f>IF(D47="","",COUNTIF('Content Calendar'!$R$5:$R$604,D47))</f>
        <v>0</v>
      </c>
      <c r="Q47" s="23">
        <f>IF(P47="","",TODAY()-P47)</f>
        <v>0</v>
      </c>
      <c r="S47" s="29">
        <f>IF(B47="","",IF(COUNTIF('Hashtag Bank'!$B$5:$B$304,B47)&gt;1,"Duplicate","OK"))</f>
        <v>0</v>
      </c>
      <c r="T47" s="29">
        <f>IF(B47="","",IF(R47="Yes","Remove - flagged by the platform",IF(AND(L47&lt;&gt;"",L47&gt;=1000000),"Check - huge tag, pair with niche ones",IF(O47=0,"Add - group not on the calendar yet","OK"))))</f>
        <v>0</v>
      </c>
    </row>
    <row r="48" spans="1:20">
      <c r="A48" s="41">
        <f>IF(B48="","",HashtagPrefix&amp;TEXT(ROW()-4,"000"))</f>
        <v>0</v>
      </c>
      <c r="M48" s="17">
        <f>IF(L48="","",IF(L48&gt;=1000000,"Huge - very competitive",IF(L48&gt;=250000,"Large",IF(L48&gt;=25000,"Medium - sweet spot","Small - easy to rank"))))</f>
        <v>0</v>
      </c>
      <c r="O48" s="23">
        <f>IF(D48="","",COUNTIF('Content Calendar'!$R$5:$R$604,D48))</f>
        <v>0</v>
      </c>
      <c r="Q48" s="23">
        <f>IF(P48="","",TODAY()-P48)</f>
        <v>0</v>
      </c>
      <c r="S48" s="29">
        <f>IF(B48="","",IF(COUNTIF('Hashtag Bank'!$B$5:$B$304,B48)&gt;1,"Duplicate","OK"))</f>
        <v>0</v>
      </c>
      <c r="T48" s="29">
        <f>IF(B48="","",IF(R48="Yes","Remove - flagged by the platform",IF(AND(L48&lt;&gt;"",L48&gt;=1000000),"Check - huge tag, pair with niche ones",IF(O48=0,"Add - group not on the calendar yet","OK"))))</f>
        <v>0</v>
      </c>
    </row>
    <row r="49" spans="1:20">
      <c r="A49" s="41">
        <f>IF(B49="","",HashtagPrefix&amp;TEXT(ROW()-4,"000"))</f>
        <v>0</v>
      </c>
      <c r="M49" s="17">
        <f>IF(L49="","",IF(L49&gt;=1000000,"Huge - very competitive",IF(L49&gt;=250000,"Large",IF(L49&gt;=25000,"Medium - sweet spot","Small - easy to rank"))))</f>
        <v>0</v>
      </c>
      <c r="O49" s="23">
        <f>IF(D49="","",COUNTIF('Content Calendar'!$R$5:$R$604,D49))</f>
        <v>0</v>
      </c>
      <c r="Q49" s="23">
        <f>IF(P49="","",TODAY()-P49)</f>
        <v>0</v>
      </c>
      <c r="S49" s="29">
        <f>IF(B49="","",IF(COUNTIF('Hashtag Bank'!$B$5:$B$304,B49)&gt;1,"Duplicate","OK"))</f>
        <v>0</v>
      </c>
      <c r="T49" s="29">
        <f>IF(B49="","",IF(R49="Yes","Remove - flagged by the platform",IF(AND(L49&lt;&gt;"",L49&gt;=1000000),"Check - huge tag, pair with niche ones",IF(O49=0,"Add - group not on the calendar yet","OK"))))</f>
        <v>0</v>
      </c>
    </row>
    <row r="50" spans="1:20">
      <c r="A50" s="41">
        <f>IF(B50="","",HashtagPrefix&amp;TEXT(ROW()-4,"000"))</f>
        <v>0</v>
      </c>
      <c r="M50" s="17">
        <f>IF(L50="","",IF(L50&gt;=1000000,"Huge - very competitive",IF(L50&gt;=250000,"Large",IF(L50&gt;=25000,"Medium - sweet spot","Small - easy to rank"))))</f>
        <v>0</v>
      </c>
      <c r="O50" s="23">
        <f>IF(D50="","",COUNTIF('Content Calendar'!$R$5:$R$604,D50))</f>
        <v>0</v>
      </c>
      <c r="Q50" s="23">
        <f>IF(P50="","",TODAY()-P50)</f>
        <v>0</v>
      </c>
      <c r="S50" s="29">
        <f>IF(B50="","",IF(COUNTIF('Hashtag Bank'!$B$5:$B$304,B50)&gt;1,"Duplicate","OK"))</f>
        <v>0</v>
      </c>
      <c r="T50" s="29">
        <f>IF(B50="","",IF(R50="Yes","Remove - flagged by the platform",IF(AND(L50&lt;&gt;"",L50&gt;=1000000),"Check - huge tag, pair with niche ones",IF(O50=0,"Add - group not on the calendar yet","OK"))))</f>
        <v>0</v>
      </c>
    </row>
    <row r="51" spans="1:20">
      <c r="A51" s="41">
        <f>IF(B51="","",HashtagPrefix&amp;TEXT(ROW()-4,"000"))</f>
        <v>0</v>
      </c>
      <c r="M51" s="17">
        <f>IF(L51="","",IF(L51&gt;=1000000,"Huge - very competitive",IF(L51&gt;=250000,"Large",IF(L51&gt;=25000,"Medium - sweet spot","Small - easy to rank"))))</f>
        <v>0</v>
      </c>
      <c r="O51" s="23">
        <f>IF(D51="","",COUNTIF('Content Calendar'!$R$5:$R$604,D51))</f>
        <v>0</v>
      </c>
      <c r="Q51" s="23">
        <f>IF(P51="","",TODAY()-P51)</f>
        <v>0</v>
      </c>
      <c r="S51" s="29">
        <f>IF(B51="","",IF(COUNTIF('Hashtag Bank'!$B$5:$B$304,B51)&gt;1,"Duplicate","OK"))</f>
        <v>0</v>
      </c>
      <c r="T51" s="29">
        <f>IF(B51="","",IF(R51="Yes","Remove - flagged by the platform",IF(AND(L51&lt;&gt;"",L51&gt;=1000000),"Check - huge tag, pair with niche ones",IF(O51=0,"Add - group not on the calendar yet","OK"))))</f>
        <v>0</v>
      </c>
    </row>
    <row r="52" spans="1:20">
      <c r="A52" s="41">
        <f>IF(B52="","",HashtagPrefix&amp;TEXT(ROW()-4,"000"))</f>
        <v>0</v>
      </c>
      <c r="M52" s="17">
        <f>IF(L52="","",IF(L52&gt;=1000000,"Huge - very competitive",IF(L52&gt;=250000,"Large",IF(L52&gt;=25000,"Medium - sweet spot","Small - easy to rank"))))</f>
        <v>0</v>
      </c>
      <c r="O52" s="23">
        <f>IF(D52="","",COUNTIF('Content Calendar'!$R$5:$R$604,D52))</f>
        <v>0</v>
      </c>
      <c r="Q52" s="23">
        <f>IF(P52="","",TODAY()-P52)</f>
        <v>0</v>
      </c>
      <c r="S52" s="29">
        <f>IF(B52="","",IF(COUNTIF('Hashtag Bank'!$B$5:$B$304,B52)&gt;1,"Duplicate","OK"))</f>
        <v>0</v>
      </c>
      <c r="T52" s="29">
        <f>IF(B52="","",IF(R52="Yes","Remove - flagged by the platform",IF(AND(L52&lt;&gt;"",L52&gt;=1000000),"Check - huge tag, pair with niche ones",IF(O52=0,"Add - group not on the calendar yet","OK"))))</f>
        <v>0</v>
      </c>
    </row>
    <row r="53" spans="1:20">
      <c r="A53" s="41">
        <f>IF(B53="","",HashtagPrefix&amp;TEXT(ROW()-4,"000"))</f>
        <v>0</v>
      </c>
      <c r="M53" s="17">
        <f>IF(L53="","",IF(L53&gt;=1000000,"Huge - very competitive",IF(L53&gt;=250000,"Large",IF(L53&gt;=25000,"Medium - sweet spot","Small - easy to rank"))))</f>
        <v>0</v>
      </c>
      <c r="O53" s="23">
        <f>IF(D53="","",COUNTIF('Content Calendar'!$R$5:$R$604,D53))</f>
        <v>0</v>
      </c>
      <c r="Q53" s="23">
        <f>IF(P53="","",TODAY()-P53)</f>
        <v>0</v>
      </c>
      <c r="S53" s="29">
        <f>IF(B53="","",IF(COUNTIF('Hashtag Bank'!$B$5:$B$304,B53)&gt;1,"Duplicate","OK"))</f>
        <v>0</v>
      </c>
      <c r="T53" s="29">
        <f>IF(B53="","",IF(R53="Yes","Remove - flagged by the platform",IF(AND(L53&lt;&gt;"",L53&gt;=1000000),"Check - huge tag, pair with niche ones",IF(O53=0,"Add - group not on the calendar yet","OK"))))</f>
        <v>0</v>
      </c>
    </row>
    <row r="54" spans="1:20">
      <c r="A54" s="41">
        <f>IF(B54="","",HashtagPrefix&amp;TEXT(ROW()-4,"000"))</f>
        <v>0</v>
      </c>
      <c r="M54" s="17">
        <f>IF(L54="","",IF(L54&gt;=1000000,"Huge - very competitive",IF(L54&gt;=250000,"Large",IF(L54&gt;=25000,"Medium - sweet spot","Small - easy to rank"))))</f>
        <v>0</v>
      </c>
      <c r="O54" s="23">
        <f>IF(D54="","",COUNTIF('Content Calendar'!$R$5:$R$604,D54))</f>
        <v>0</v>
      </c>
      <c r="Q54" s="23">
        <f>IF(P54="","",TODAY()-P54)</f>
        <v>0</v>
      </c>
      <c r="S54" s="29">
        <f>IF(B54="","",IF(COUNTIF('Hashtag Bank'!$B$5:$B$304,B54)&gt;1,"Duplicate","OK"))</f>
        <v>0</v>
      </c>
      <c r="T54" s="29">
        <f>IF(B54="","",IF(R54="Yes","Remove - flagged by the platform",IF(AND(L54&lt;&gt;"",L54&gt;=1000000),"Check - huge tag, pair with niche ones",IF(O54=0,"Add - group not on the calendar yet","OK"))))</f>
        <v>0</v>
      </c>
    </row>
    <row r="55" spans="1:20">
      <c r="A55" s="41">
        <f>IF(B55="","",HashtagPrefix&amp;TEXT(ROW()-4,"000"))</f>
        <v>0</v>
      </c>
      <c r="M55" s="17">
        <f>IF(L55="","",IF(L55&gt;=1000000,"Huge - very competitive",IF(L55&gt;=250000,"Large",IF(L55&gt;=25000,"Medium - sweet spot","Small - easy to rank"))))</f>
        <v>0</v>
      </c>
      <c r="O55" s="23">
        <f>IF(D55="","",COUNTIF('Content Calendar'!$R$5:$R$604,D55))</f>
        <v>0</v>
      </c>
      <c r="Q55" s="23">
        <f>IF(P55="","",TODAY()-P55)</f>
        <v>0</v>
      </c>
      <c r="S55" s="29">
        <f>IF(B55="","",IF(COUNTIF('Hashtag Bank'!$B$5:$B$304,B55)&gt;1,"Duplicate","OK"))</f>
        <v>0</v>
      </c>
      <c r="T55" s="29">
        <f>IF(B55="","",IF(R55="Yes","Remove - flagged by the platform",IF(AND(L55&lt;&gt;"",L55&gt;=1000000),"Check - huge tag, pair with niche ones",IF(O55=0,"Add - group not on the calendar yet","OK"))))</f>
        <v>0</v>
      </c>
    </row>
    <row r="56" spans="1:20">
      <c r="A56" s="41">
        <f>IF(B56="","",HashtagPrefix&amp;TEXT(ROW()-4,"000"))</f>
        <v>0</v>
      </c>
      <c r="M56" s="17">
        <f>IF(L56="","",IF(L56&gt;=1000000,"Huge - very competitive",IF(L56&gt;=250000,"Large",IF(L56&gt;=25000,"Medium - sweet spot","Small - easy to rank"))))</f>
        <v>0</v>
      </c>
      <c r="O56" s="23">
        <f>IF(D56="","",COUNTIF('Content Calendar'!$R$5:$R$604,D56))</f>
        <v>0</v>
      </c>
      <c r="Q56" s="23">
        <f>IF(P56="","",TODAY()-P56)</f>
        <v>0</v>
      </c>
      <c r="S56" s="29">
        <f>IF(B56="","",IF(COUNTIF('Hashtag Bank'!$B$5:$B$304,B56)&gt;1,"Duplicate","OK"))</f>
        <v>0</v>
      </c>
      <c r="T56" s="29">
        <f>IF(B56="","",IF(R56="Yes","Remove - flagged by the platform",IF(AND(L56&lt;&gt;"",L56&gt;=1000000),"Check - huge tag, pair with niche ones",IF(O56=0,"Add - group not on the calendar yet","OK"))))</f>
        <v>0</v>
      </c>
    </row>
    <row r="57" spans="1:20">
      <c r="A57" s="41">
        <f>IF(B57="","",HashtagPrefix&amp;TEXT(ROW()-4,"000"))</f>
        <v>0</v>
      </c>
      <c r="M57" s="17">
        <f>IF(L57="","",IF(L57&gt;=1000000,"Huge - very competitive",IF(L57&gt;=250000,"Large",IF(L57&gt;=25000,"Medium - sweet spot","Small - easy to rank"))))</f>
        <v>0</v>
      </c>
      <c r="O57" s="23">
        <f>IF(D57="","",COUNTIF('Content Calendar'!$R$5:$R$604,D57))</f>
        <v>0</v>
      </c>
      <c r="Q57" s="23">
        <f>IF(P57="","",TODAY()-P57)</f>
        <v>0</v>
      </c>
      <c r="S57" s="29">
        <f>IF(B57="","",IF(COUNTIF('Hashtag Bank'!$B$5:$B$304,B57)&gt;1,"Duplicate","OK"))</f>
        <v>0</v>
      </c>
      <c r="T57" s="29">
        <f>IF(B57="","",IF(R57="Yes","Remove - flagged by the platform",IF(AND(L57&lt;&gt;"",L57&gt;=1000000),"Check - huge tag, pair with niche ones",IF(O57=0,"Add - group not on the calendar yet","OK"))))</f>
        <v>0</v>
      </c>
    </row>
    <row r="58" spans="1:20">
      <c r="A58" s="41">
        <f>IF(B58="","",HashtagPrefix&amp;TEXT(ROW()-4,"000"))</f>
        <v>0</v>
      </c>
      <c r="M58" s="17">
        <f>IF(L58="","",IF(L58&gt;=1000000,"Huge - very competitive",IF(L58&gt;=250000,"Large",IF(L58&gt;=25000,"Medium - sweet spot","Small - easy to rank"))))</f>
        <v>0</v>
      </c>
      <c r="O58" s="23">
        <f>IF(D58="","",COUNTIF('Content Calendar'!$R$5:$R$604,D58))</f>
        <v>0</v>
      </c>
      <c r="Q58" s="23">
        <f>IF(P58="","",TODAY()-P58)</f>
        <v>0</v>
      </c>
      <c r="S58" s="29">
        <f>IF(B58="","",IF(COUNTIF('Hashtag Bank'!$B$5:$B$304,B58)&gt;1,"Duplicate","OK"))</f>
        <v>0</v>
      </c>
      <c r="T58" s="29">
        <f>IF(B58="","",IF(R58="Yes","Remove - flagged by the platform",IF(AND(L58&lt;&gt;"",L58&gt;=1000000),"Check - huge tag, pair with niche ones",IF(O58=0,"Add - group not on the calendar yet","OK"))))</f>
        <v>0</v>
      </c>
    </row>
    <row r="59" spans="1:20">
      <c r="A59" s="41">
        <f>IF(B59="","",HashtagPrefix&amp;TEXT(ROW()-4,"000"))</f>
        <v>0</v>
      </c>
      <c r="M59" s="17">
        <f>IF(L59="","",IF(L59&gt;=1000000,"Huge - very competitive",IF(L59&gt;=250000,"Large",IF(L59&gt;=25000,"Medium - sweet spot","Small - easy to rank"))))</f>
        <v>0</v>
      </c>
      <c r="O59" s="23">
        <f>IF(D59="","",COUNTIF('Content Calendar'!$R$5:$R$604,D59))</f>
        <v>0</v>
      </c>
      <c r="Q59" s="23">
        <f>IF(P59="","",TODAY()-P59)</f>
        <v>0</v>
      </c>
      <c r="S59" s="29">
        <f>IF(B59="","",IF(COUNTIF('Hashtag Bank'!$B$5:$B$304,B59)&gt;1,"Duplicate","OK"))</f>
        <v>0</v>
      </c>
      <c r="T59" s="29">
        <f>IF(B59="","",IF(R59="Yes","Remove - flagged by the platform",IF(AND(L59&lt;&gt;"",L59&gt;=1000000),"Check - huge tag, pair with niche ones",IF(O59=0,"Add - group not on the calendar yet","OK"))))</f>
        <v>0</v>
      </c>
    </row>
    <row r="60" spans="1:20">
      <c r="A60" s="41">
        <f>IF(B60="","",HashtagPrefix&amp;TEXT(ROW()-4,"000"))</f>
        <v>0</v>
      </c>
      <c r="M60" s="17">
        <f>IF(L60="","",IF(L60&gt;=1000000,"Huge - very competitive",IF(L60&gt;=250000,"Large",IF(L60&gt;=25000,"Medium - sweet spot","Small - easy to rank"))))</f>
        <v>0</v>
      </c>
      <c r="O60" s="23">
        <f>IF(D60="","",COUNTIF('Content Calendar'!$R$5:$R$604,D60))</f>
        <v>0</v>
      </c>
      <c r="Q60" s="23">
        <f>IF(P60="","",TODAY()-P60)</f>
        <v>0</v>
      </c>
      <c r="S60" s="29">
        <f>IF(B60="","",IF(COUNTIF('Hashtag Bank'!$B$5:$B$304,B60)&gt;1,"Duplicate","OK"))</f>
        <v>0</v>
      </c>
      <c r="T60" s="29">
        <f>IF(B60="","",IF(R60="Yes","Remove - flagged by the platform",IF(AND(L60&lt;&gt;"",L60&gt;=1000000),"Check - huge tag, pair with niche ones",IF(O60=0,"Add - group not on the calendar yet","OK"))))</f>
        <v>0</v>
      </c>
    </row>
    <row r="61" spans="1:20">
      <c r="A61" s="41">
        <f>IF(B61="","",HashtagPrefix&amp;TEXT(ROW()-4,"000"))</f>
        <v>0</v>
      </c>
      <c r="M61" s="17">
        <f>IF(L61="","",IF(L61&gt;=1000000,"Huge - very competitive",IF(L61&gt;=250000,"Large",IF(L61&gt;=25000,"Medium - sweet spot","Small - easy to rank"))))</f>
        <v>0</v>
      </c>
      <c r="O61" s="23">
        <f>IF(D61="","",COUNTIF('Content Calendar'!$R$5:$R$604,D61))</f>
        <v>0</v>
      </c>
      <c r="Q61" s="23">
        <f>IF(P61="","",TODAY()-P61)</f>
        <v>0</v>
      </c>
      <c r="S61" s="29">
        <f>IF(B61="","",IF(COUNTIF('Hashtag Bank'!$B$5:$B$304,B61)&gt;1,"Duplicate","OK"))</f>
        <v>0</v>
      </c>
      <c r="T61" s="29">
        <f>IF(B61="","",IF(R61="Yes","Remove - flagged by the platform",IF(AND(L61&lt;&gt;"",L61&gt;=1000000),"Check - huge tag, pair with niche ones",IF(O61=0,"Add - group not on the calendar yet","OK"))))</f>
        <v>0</v>
      </c>
    </row>
    <row r="62" spans="1:20">
      <c r="A62" s="41">
        <f>IF(B62="","",HashtagPrefix&amp;TEXT(ROW()-4,"000"))</f>
        <v>0</v>
      </c>
      <c r="M62" s="17">
        <f>IF(L62="","",IF(L62&gt;=1000000,"Huge - very competitive",IF(L62&gt;=250000,"Large",IF(L62&gt;=25000,"Medium - sweet spot","Small - easy to rank"))))</f>
        <v>0</v>
      </c>
      <c r="O62" s="23">
        <f>IF(D62="","",COUNTIF('Content Calendar'!$R$5:$R$604,D62))</f>
        <v>0</v>
      </c>
      <c r="Q62" s="23">
        <f>IF(P62="","",TODAY()-P62)</f>
        <v>0</v>
      </c>
      <c r="S62" s="29">
        <f>IF(B62="","",IF(COUNTIF('Hashtag Bank'!$B$5:$B$304,B62)&gt;1,"Duplicate","OK"))</f>
        <v>0</v>
      </c>
      <c r="T62" s="29">
        <f>IF(B62="","",IF(R62="Yes","Remove - flagged by the platform",IF(AND(L62&lt;&gt;"",L62&gt;=1000000),"Check - huge tag, pair with niche ones",IF(O62=0,"Add - group not on the calendar yet","OK"))))</f>
        <v>0</v>
      </c>
    </row>
    <row r="63" spans="1:20">
      <c r="A63" s="41">
        <f>IF(B63="","",HashtagPrefix&amp;TEXT(ROW()-4,"000"))</f>
        <v>0</v>
      </c>
      <c r="M63" s="17">
        <f>IF(L63="","",IF(L63&gt;=1000000,"Huge - very competitive",IF(L63&gt;=250000,"Large",IF(L63&gt;=25000,"Medium - sweet spot","Small - easy to rank"))))</f>
        <v>0</v>
      </c>
      <c r="O63" s="23">
        <f>IF(D63="","",COUNTIF('Content Calendar'!$R$5:$R$604,D63))</f>
        <v>0</v>
      </c>
      <c r="Q63" s="23">
        <f>IF(P63="","",TODAY()-P63)</f>
        <v>0</v>
      </c>
      <c r="S63" s="29">
        <f>IF(B63="","",IF(COUNTIF('Hashtag Bank'!$B$5:$B$304,B63)&gt;1,"Duplicate","OK"))</f>
        <v>0</v>
      </c>
      <c r="T63" s="29">
        <f>IF(B63="","",IF(R63="Yes","Remove - flagged by the platform",IF(AND(L63&lt;&gt;"",L63&gt;=1000000),"Check - huge tag, pair with niche ones",IF(O63=0,"Add - group not on the calendar yet","OK"))))</f>
        <v>0</v>
      </c>
    </row>
    <row r="64" spans="1:20">
      <c r="A64" s="41">
        <f>IF(B64="","",HashtagPrefix&amp;TEXT(ROW()-4,"000"))</f>
        <v>0</v>
      </c>
      <c r="M64" s="17">
        <f>IF(L64="","",IF(L64&gt;=1000000,"Huge - very competitive",IF(L64&gt;=250000,"Large",IF(L64&gt;=25000,"Medium - sweet spot","Small - easy to rank"))))</f>
        <v>0</v>
      </c>
      <c r="O64" s="23">
        <f>IF(D64="","",COUNTIF('Content Calendar'!$R$5:$R$604,D64))</f>
        <v>0</v>
      </c>
      <c r="Q64" s="23">
        <f>IF(P64="","",TODAY()-P64)</f>
        <v>0</v>
      </c>
      <c r="S64" s="29">
        <f>IF(B64="","",IF(COUNTIF('Hashtag Bank'!$B$5:$B$304,B64)&gt;1,"Duplicate","OK"))</f>
        <v>0</v>
      </c>
      <c r="T64" s="29">
        <f>IF(B64="","",IF(R64="Yes","Remove - flagged by the platform",IF(AND(L64&lt;&gt;"",L64&gt;=1000000),"Check - huge tag, pair with niche ones",IF(O64=0,"Add - group not on the calendar yet","OK"))))</f>
        <v>0</v>
      </c>
    </row>
    <row r="65" spans="1:20">
      <c r="A65" s="41">
        <f>IF(B65="","",HashtagPrefix&amp;TEXT(ROW()-4,"000"))</f>
        <v>0</v>
      </c>
      <c r="M65" s="17">
        <f>IF(L65="","",IF(L65&gt;=1000000,"Huge - very competitive",IF(L65&gt;=250000,"Large",IF(L65&gt;=25000,"Medium - sweet spot","Small - easy to rank"))))</f>
        <v>0</v>
      </c>
      <c r="O65" s="23">
        <f>IF(D65="","",COUNTIF('Content Calendar'!$R$5:$R$604,D65))</f>
        <v>0</v>
      </c>
      <c r="Q65" s="23">
        <f>IF(P65="","",TODAY()-P65)</f>
        <v>0</v>
      </c>
      <c r="S65" s="29">
        <f>IF(B65="","",IF(COUNTIF('Hashtag Bank'!$B$5:$B$304,B65)&gt;1,"Duplicate","OK"))</f>
        <v>0</v>
      </c>
      <c r="T65" s="29">
        <f>IF(B65="","",IF(R65="Yes","Remove - flagged by the platform",IF(AND(L65&lt;&gt;"",L65&gt;=1000000),"Check - huge tag, pair with niche ones",IF(O65=0,"Add - group not on the calendar yet","OK"))))</f>
        <v>0</v>
      </c>
    </row>
    <row r="66" spans="1:20">
      <c r="A66" s="41">
        <f>IF(B66="","",HashtagPrefix&amp;TEXT(ROW()-4,"000"))</f>
        <v>0</v>
      </c>
      <c r="M66" s="17">
        <f>IF(L66="","",IF(L66&gt;=1000000,"Huge - very competitive",IF(L66&gt;=250000,"Large",IF(L66&gt;=25000,"Medium - sweet spot","Small - easy to rank"))))</f>
        <v>0</v>
      </c>
      <c r="O66" s="23">
        <f>IF(D66="","",COUNTIF('Content Calendar'!$R$5:$R$604,D66))</f>
        <v>0</v>
      </c>
      <c r="Q66" s="23">
        <f>IF(P66="","",TODAY()-P66)</f>
        <v>0</v>
      </c>
      <c r="S66" s="29">
        <f>IF(B66="","",IF(COUNTIF('Hashtag Bank'!$B$5:$B$304,B66)&gt;1,"Duplicate","OK"))</f>
        <v>0</v>
      </c>
      <c r="T66" s="29">
        <f>IF(B66="","",IF(R66="Yes","Remove - flagged by the platform",IF(AND(L66&lt;&gt;"",L66&gt;=1000000),"Check - huge tag, pair with niche ones",IF(O66=0,"Add - group not on the calendar yet","OK"))))</f>
        <v>0</v>
      </c>
    </row>
    <row r="67" spans="1:20">
      <c r="A67" s="41">
        <f>IF(B67="","",HashtagPrefix&amp;TEXT(ROW()-4,"000"))</f>
        <v>0</v>
      </c>
      <c r="M67" s="17">
        <f>IF(L67="","",IF(L67&gt;=1000000,"Huge - very competitive",IF(L67&gt;=250000,"Large",IF(L67&gt;=25000,"Medium - sweet spot","Small - easy to rank"))))</f>
        <v>0</v>
      </c>
      <c r="O67" s="23">
        <f>IF(D67="","",COUNTIF('Content Calendar'!$R$5:$R$604,D67))</f>
        <v>0</v>
      </c>
      <c r="Q67" s="23">
        <f>IF(P67="","",TODAY()-P67)</f>
        <v>0</v>
      </c>
      <c r="S67" s="29">
        <f>IF(B67="","",IF(COUNTIF('Hashtag Bank'!$B$5:$B$304,B67)&gt;1,"Duplicate","OK"))</f>
        <v>0</v>
      </c>
      <c r="T67" s="29">
        <f>IF(B67="","",IF(R67="Yes","Remove - flagged by the platform",IF(AND(L67&lt;&gt;"",L67&gt;=1000000),"Check - huge tag, pair with niche ones",IF(O67=0,"Add - group not on the calendar yet","OK"))))</f>
        <v>0</v>
      </c>
    </row>
    <row r="68" spans="1:20">
      <c r="A68" s="41">
        <f>IF(B68="","",HashtagPrefix&amp;TEXT(ROW()-4,"000"))</f>
        <v>0</v>
      </c>
      <c r="M68" s="17">
        <f>IF(L68="","",IF(L68&gt;=1000000,"Huge - very competitive",IF(L68&gt;=250000,"Large",IF(L68&gt;=25000,"Medium - sweet spot","Small - easy to rank"))))</f>
        <v>0</v>
      </c>
      <c r="O68" s="23">
        <f>IF(D68="","",COUNTIF('Content Calendar'!$R$5:$R$604,D68))</f>
        <v>0</v>
      </c>
      <c r="Q68" s="23">
        <f>IF(P68="","",TODAY()-P68)</f>
        <v>0</v>
      </c>
      <c r="S68" s="29">
        <f>IF(B68="","",IF(COUNTIF('Hashtag Bank'!$B$5:$B$304,B68)&gt;1,"Duplicate","OK"))</f>
        <v>0</v>
      </c>
      <c r="T68" s="29">
        <f>IF(B68="","",IF(R68="Yes","Remove - flagged by the platform",IF(AND(L68&lt;&gt;"",L68&gt;=1000000),"Check - huge tag, pair with niche ones",IF(O68=0,"Add - group not on the calendar yet","OK"))))</f>
        <v>0</v>
      </c>
    </row>
    <row r="69" spans="1:20">
      <c r="A69" s="41">
        <f>IF(B69="","",HashtagPrefix&amp;TEXT(ROW()-4,"000"))</f>
        <v>0</v>
      </c>
      <c r="M69" s="17">
        <f>IF(L69="","",IF(L69&gt;=1000000,"Huge - very competitive",IF(L69&gt;=250000,"Large",IF(L69&gt;=25000,"Medium - sweet spot","Small - easy to rank"))))</f>
        <v>0</v>
      </c>
      <c r="O69" s="23">
        <f>IF(D69="","",COUNTIF('Content Calendar'!$R$5:$R$604,D69))</f>
        <v>0</v>
      </c>
      <c r="Q69" s="23">
        <f>IF(P69="","",TODAY()-P69)</f>
        <v>0</v>
      </c>
      <c r="S69" s="29">
        <f>IF(B69="","",IF(COUNTIF('Hashtag Bank'!$B$5:$B$304,B69)&gt;1,"Duplicate","OK"))</f>
        <v>0</v>
      </c>
      <c r="T69" s="29">
        <f>IF(B69="","",IF(R69="Yes","Remove - flagged by the platform",IF(AND(L69&lt;&gt;"",L69&gt;=1000000),"Check - huge tag, pair with niche ones",IF(O69=0,"Add - group not on the calendar yet","OK"))))</f>
        <v>0</v>
      </c>
    </row>
    <row r="70" spans="1:20">
      <c r="A70" s="41">
        <f>IF(B70="","",HashtagPrefix&amp;TEXT(ROW()-4,"000"))</f>
        <v>0</v>
      </c>
      <c r="M70" s="17">
        <f>IF(L70="","",IF(L70&gt;=1000000,"Huge - very competitive",IF(L70&gt;=250000,"Large",IF(L70&gt;=25000,"Medium - sweet spot","Small - easy to rank"))))</f>
        <v>0</v>
      </c>
      <c r="O70" s="23">
        <f>IF(D70="","",COUNTIF('Content Calendar'!$R$5:$R$604,D70))</f>
        <v>0</v>
      </c>
      <c r="Q70" s="23">
        <f>IF(P70="","",TODAY()-P70)</f>
        <v>0</v>
      </c>
      <c r="S70" s="29">
        <f>IF(B70="","",IF(COUNTIF('Hashtag Bank'!$B$5:$B$304,B70)&gt;1,"Duplicate","OK"))</f>
        <v>0</v>
      </c>
      <c r="T70" s="29">
        <f>IF(B70="","",IF(R70="Yes","Remove - flagged by the platform",IF(AND(L70&lt;&gt;"",L70&gt;=1000000),"Check - huge tag, pair with niche ones",IF(O70=0,"Add - group not on the calendar yet","OK"))))</f>
        <v>0</v>
      </c>
    </row>
    <row r="71" spans="1:20">
      <c r="A71" s="41">
        <f>IF(B71="","",HashtagPrefix&amp;TEXT(ROW()-4,"000"))</f>
        <v>0</v>
      </c>
      <c r="M71" s="17">
        <f>IF(L71="","",IF(L71&gt;=1000000,"Huge - very competitive",IF(L71&gt;=250000,"Large",IF(L71&gt;=25000,"Medium - sweet spot","Small - easy to rank"))))</f>
        <v>0</v>
      </c>
      <c r="O71" s="23">
        <f>IF(D71="","",COUNTIF('Content Calendar'!$R$5:$R$604,D71))</f>
        <v>0</v>
      </c>
      <c r="Q71" s="23">
        <f>IF(P71="","",TODAY()-P71)</f>
        <v>0</v>
      </c>
      <c r="S71" s="29">
        <f>IF(B71="","",IF(COUNTIF('Hashtag Bank'!$B$5:$B$304,B71)&gt;1,"Duplicate","OK"))</f>
        <v>0</v>
      </c>
      <c r="T71" s="29">
        <f>IF(B71="","",IF(R71="Yes","Remove - flagged by the platform",IF(AND(L71&lt;&gt;"",L71&gt;=1000000),"Check - huge tag, pair with niche ones",IF(O71=0,"Add - group not on the calendar yet","OK"))))</f>
        <v>0</v>
      </c>
    </row>
    <row r="72" spans="1:20">
      <c r="A72" s="41">
        <f>IF(B72="","",HashtagPrefix&amp;TEXT(ROW()-4,"000"))</f>
        <v>0</v>
      </c>
      <c r="M72" s="17">
        <f>IF(L72="","",IF(L72&gt;=1000000,"Huge - very competitive",IF(L72&gt;=250000,"Large",IF(L72&gt;=25000,"Medium - sweet spot","Small - easy to rank"))))</f>
        <v>0</v>
      </c>
      <c r="O72" s="23">
        <f>IF(D72="","",COUNTIF('Content Calendar'!$R$5:$R$604,D72))</f>
        <v>0</v>
      </c>
      <c r="Q72" s="23">
        <f>IF(P72="","",TODAY()-P72)</f>
        <v>0</v>
      </c>
      <c r="S72" s="29">
        <f>IF(B72="","",IF(COUNTIF('Hashtag Bank'!$B$5:$B$304,B72)&gt;1,"Duplicate","OK"))</f>
        <v>0</v>
      </c>
      <c r="T72" s="29">
        <f>IF(B72="","",IF(R72="Yes","Remove - flagged by the platform",IF(AND(L72&lt;&gt;"",L72&gt;=1000000),"Check - huge tag, pair with niche ones",IF(O72=0,"Add - group not on the calendar yet","OK"))))</f>
        <v>0</v>
      </c>
    </row>
    <row r="73" spans="1:20">
      <c r="A73" s="41">
        <f>IF(B73="","",HashtagPrefix&amp;TEXT(ROW()-4,"000"))</f>
        <v>0</v>
      </c>
      <c r="M73" s="17">
        <f>IF(L73="","",IF(L73&gt;=1000000,"Huge - very competitive",IF(L73&gt;=250000,"Large",IF(L73&gt;=25000,"Medium - sweet spot","Small - easy to rank"))))</f>
        <v>0</v>
      </c>
      <c r="O73" s="23">
        <f>IF(D73="","",COUNTIF('Content Calendar'!$R$5:$R$604,D73))</f>
        <v>0</v>
      </c>
      <c r="Q73" s="23">
        <f>IF(P73="","",TODAY()-P73)</f>
        <v>0</v>
      </c>
      <c r="S73" s="29">
        <f>IF(B73="","",IF(COUNTIF('Hashtag Bank'!$B$5:$B$304,B73)&gt;1,"Duplicate","OK"))</f>
        <v>0</v>
      </c>
      <c r="T73" s="29">
        <f>IF(B73="","",IF(R73="Yes","Remove - flagged by the platform",IF(AND(L73&lt;&gt;"",L73&gt;=1000000),"Check - huge tag, pair with niche ones",IF(O73=0,"Add - group not on the calendar yet","OK"))))</f>
        <v>0</v>
      </c>
    </row>
    <row r="74" spans="1:20">
      <c r="A74" s="41">
        <f>IF(B74="","",HashtagPrefix&amp;TEXT(ROW()-4,"000"))</f>
        <v>0</v>
      </c>
      <c r="M74" s="17">
        <f>IF(L74="","",IF(L74&gt;=1000000,"Huge - very competitive",IF(L74&gt;=250000,"Large",IF(L74&gt;=25000,"Medium - sweet spot","Small - easy to rank"))))</f>
        <v>0</v>
      </c>
      <c r="O74" s="23">
        <f>IF(D74="","",COUNTIF('Content Calendar'!$R$5:$R$604,D74))</f>
        <v>0</v>
      </c>
      <c r="Q74" s="23">
        <f>IF(P74="","",TODAY()-P74)</f>
        <v>0</v>
      </c>
      <c r="S74" s="29">
        <f>IF(B74="","",IF(COUNTIF('Hashtag Bank'!$B$5:$B$304,B74)&gt;1,"Duplicate","OK"))</f>
        <v>0</v>
      </c>
      <c r="T74" s="29">
        <f>IF(B74="","",IF(R74="Yes","Remove - flagged by the platform",IF(AND(L74&lt;&gt;"",L74&gt;=1000000),"Check - huge tag, pair with niche ones",IF(O74=0,"Add - group not on the calendar yet","OK"))))</f>
        <v>0</v>
      </c>
    </row>
    <row r="75" spans="1:20">
      <c r="A75" s="41">
        <f>IF(B75="","",HashtagPrefix&amp;TEXT(ROW()-4,"000"))</f>
        <v>0</v>
      </c>
      <c r="M75" s="17">
        <f>IF(L75="","",IF(L75&gt;=1000000,"Huge - very competitive",IF(L75&gt;=250000,"Large",IF(L75&gt;=25000,"Medium - sweet spot","Small - easy to rank"))))</f>
        <v>0</v>
      </c>
      <c r="O75" s="23">
        <f>IF(D75="","",COUNTIF('Content Calendar'!$R$5:$R$604,D75))</f>
        <v>0</v>
      </c>
      <c r="Q75" s="23">
        <f>IF(P75="","",TODAY()-P75)</f>
        <v>0</v>
      </c>
      <c r="S75" s="29">
        <f>IF(B75="","",IF(COUNTIF('Hashtag Bank'!$B$5:$B$304,B75)&gt;1,"Duplicate","OK"))</f>
        <v>0</v>
      </c>
      <c r="T75" s="29">
        <f>IF(B75="","",IF(R75="Yes","Remove - flagged by the platform",IF(AND(L75&lt;&gt;"",L75&gt;=1000000),"Check - huge tag, pair with niche ones",IF(O75=0,"Add - group not on the calendar yet","OK"))))</f>
        <v>0</v>
      </c>
    </row>
    <row r="76" spans="1:20">
      <c r="A76" s="41">
        <f>IF(B76="","",HashtagPrefix&amp;TEXT(ROW()-4,"000"))</f>
        <v>0</v>
      </c>
      <c r="M76" s="17">
        <f>IF(L76="","",IF(L76&gt;=1000000,"Huge - very competitive",IF(L76&gt;=250000,"Large",IF(L76&gt;=25000,"Medium - sweet spot","Small - easy to rank"))))</f>
        <v>0</v>
      </c>
      <c r="O76" s="23">
        <f>IF(D76="","",COUNTIF('Content Calendar'!$R$5:$R$604,D76))</f>
        <v>0</v>
      </c>
      <c r="Q76" s="23">
        <f>IF(P76="","",TODAY()-P76)</f>
        <v>0</v>
      </c>
      <c r="S76" s="29">
        <f>IF(B76="","",IF(COUNTIF('Hashtag Bank'!$B$5:$B$304,B76)&gt;1,"Duplicate","OK"))</f>
        <v>0</v>
      </c>
      <c r="T76" s="29">
        <f>IF(B76="","",IF(R76="Yes","Remove - flagged by the platform",IF(AND(L76&lt;&gt;"",L76&gt;=1000000),"Check - huge tag, pair with niche ones",IF(O76=0,"Add - group not on the calendar yet","OK"))))</f>
        <v>0</v>
      </c>
    </row>
    <row r="77" spans="1:20">
      <c r="A77" s="41">
        <f>IF(B77="","",HashtagPrefix&amp;TEXT(ROW()-4,"000"))</f>
        <v>0</v>
      </c>
      <c r="M77" s="17">
        <f>IF(L77="","",IF(L77&gt;=1000000,"Huge - very competitive",IF(L77&gt;=250000,"Large",IF(L77&gt;=25000,"Medium - sweet spot","Small - easy to rank"))))</f>
        <v>0</v>
      </c>
      <c r="O77" s="23">
        <f>IF(D77="","",COUNTIF('Content Calendar'!$R$5:$R$604,D77))</f>
        <v>0</v>
      </c>
      <c r="Q77" s="23">
        <f>IF(P77="","",TODAY()-P77)</f>
        <v>0</v>
      </c>
      <c r="S77" s="29">
        <f>IF(B77="","",IF(COUNTIF('Hashtag Bank'!$B$5:$B$304,B77)&gt;1,"Duplicate","OK"))</f>
        <v>0</v>
      </c>
      <c r="T77" s="29">
        <f>IF(B77="","",IF(R77="Yes","Remove - flagged by the platform",IF(AND(L77&lt;&gt;"",L77&gt;=1000000),"Check - huge tag, pair with niche ones",IF(O77=0,"Add - group not on the calendar yet","OK"))))</f>
        <v>0</v>
      </c>
    </row>
    <row r="78" spans="1:20">
      <c r="A78" s="41">
        <f>IF(B78="","",HashtagPrefix&amp;TEXT(ROW()-4,"000"))</f>
        <v>0</v>
      </c>
      <c r="M78" s="17">
        <f>IF(L78="","",IF(L78&gt;=1000000,"Huge - very competitive",IF(L78&gt;=250000,"Large",IF(L78&gt;=25000,"Medium - sweet spot","Small - easy to rank"))))</f>
        <v>0</v>
      </c>
      <c r="O78" s="23">
        <f>IF(D78="","",COUNTIF('Content Calendar'!$R$5:$R$604,D78))</f>
        <v>0</v>
      </c>
      <c r="Q78" s="23">
        <f>IF(P78="","",TODAY()-P78)</f>
        <v>0</v>
      </c>
      <c r="S78" s="29">
        <f>IF(B78="","",IF(COUNTIF('Hashtag Bank'!$B$5:$B$304,B78)&gt;1,"Duplicate","OK"))</f>
        <v>0</v>
      </c>
      <c r="T78" s="29">
        <f>IF(B78="","",IF(R78="Yes","Remove - flagged by the platform",IF(AND(L78&lt;&gt;"",L78&gt;=1000000),"Check - huge tag, pair with niche ones",IF(O78=0,"Add - group not on the calendar yet","OK"))))</f>
        <v>0</v>
      </c>
    </row>
    <row r="79" spans="1:20">
      <c r="A79" s="41">
        <f>IF(B79="","",HashtagPrefix&amp;TEXT(ROW()-4,"000"))</f>
        <v>0</v>
      </c>
      <c r="M79" s="17">
        <f>IF(L79="","",IF(L79&gt;=1000000,"Huge - very competitive",IF(L79&gt;=250000,"Large",IF(L79&gt;=25000,"Medium - sweet spot","Small - easy to rank"))))</f>
        <v>0</v>
      </c>
      <c r="O79" s="23">
        <f>IF(D79="","",COUNTIF('Content Calendar'!$R$5:$R$604,D79))</f>
        <v>0</v>
      </c>
      <c r="Q79" s="23">
        <f>IF(P79="","",TODAY()-P79)</f>
        <v>0</v>
      </c>
      <c r="S79" s="29">
        <f>IF(B79="","",IF(COUNTIF('Hashtag Bank'!$B$5:$B$304,B79)&gt;1,"Duplicate","OK"))</f>
        <v>0</v>
      </c>
      <c r="T79" s="29">
        <f>IF(B79="","",IF(R79="Yes","Remove - flagged by the platform",IF(AND(L79&lt;&gt;"",L79&gt;=1000000),"Check - huge tag, pair with niche ones",IF(O79=0,"Add - group not on the calendar yet","OK"))))</f>
        <v>0</v>
      </c>
    </row>
    <row r="80" spans="1:20">
      <c r="A80" s="41">
        <f>IF(B80="","",HashtagPrefix&amp;TEXT(ROW()-4,"000"))</f>
        <v>0</v>
      </c>
      <c r="M80" s="17">
        <f>IF(L80="","",IF(L80&gt;=1000000,"Huge - very competitive",IF(L80&gt;=250000,"Large",IF(L80&gt;=25000,"Medium - sweet spot","Small - easy to rank"))))</f>
        <v>0</v>
      </c>
      <c r="O80" s="23">
        <f>IF(D80="","",COUNTIF('Content Calendar'!$R$5:$R$604,D80))</f>
        <v>0</v>
      </c>
      <c r="Q80" s="23">
        <f>IF(P80="","",TODAY()-P80)</f>
        <v>0</v>
      </c>
      <c r="S80" s="29">
        <f>IF(B80="","",IF(COUNTIF('Hashtag Bank'!$B$5:$B$304,B80)&gt;1,"Duplicate","OK"))</f>
        <v>0</v>
      </c>
      <c r="T80" s="29">
        <f>IF(B80="","",IF(R80="Yes","Remove - flagged by the platform",IF(AND(L80&lt;&gt;"",L80&gt;=1000000),"Check - huge tag, pair with niche ones",IF(O80=0,"Add - group not on the calendar yet","OK"))))</f>
        <v>0</v>
      </c>
    </row>
    <row r="81" spans="1:20">
      <c r="A81" s="41">
        <f>IF(B81="","",HashtagPrefix&amp;TEXT(ROW()-4,"000"))</f>
        <v>0</v>
      </c>
      <c r="M81" s="17">
        <f>IF(L81="","",IF(L81&gt;=1000000,"Huge - very competitive",IF(L81&gt;=250000,"Large",IF(L81&gt;=25000,"Medium - sweet spot","Small - easy to rank"))))</f>
        <v>0</v>
      </c>
      <c r="O81" s="23">
        <f>IF(D81="","",COUNTIF('Content Calendar'!$R$5:$R$604,D81))</f>
        <v>0</v>
      </c>
      <c r="Q81" s="23">
        <f>IF(P81="","",TODAY()-P81)</f>
        <v>0</v>
      </c>
      <c r="S81" s="29">
        <f>IF(B81="","",IF(COUNTIF('Hashtag Bank'!$B$5:$B$304,B81)&gt;1,"Duplicate","OK"))</f>
        <v>0</v>
      </c>
      <c r="T81" s="29">
        <f>IF(B81="","",IF(R81="Yes","Remove - flagged by the platform",IF(AND(L81&lt;&gt;"",L81&gt;=1000000),"Check - huge tag, pair with niche ones",IF(O81=0,"Add - group not on the calendar yet","OK"))))</f>
        <v>0</v>
      </c>
    </row>
    <row r="82" spans="1:20">
      <c r="A82" s="41">
        <f>IF(B82="","",HashtagPrefix&amp;TEXT(ROW()-4,"000"))</f>
        <v>0</v>
      </c>
      <c r="M82" s="17">
        <f>IF(L82="","",IF(L82&gt;=1000000,"Huge - very competitive",IF(L82&gt;=250000,"Large",IF(L82&gt;=25000,"Medium - sweet spot","Small - easy to rank"))))</f>
        <v>0</v>
      </c>
      <c r="O82" s="23">
        <f>IF(D82="","",COUNTIF('Content Calendar'!$R$5:$R$604,D82))</f>
        <v>0</v>
      </c>
      <c r="Q82" s="23">
        <f>IF(P82="","",TODAY()-P82)</f>
        <v>0</v>
      </c>
      <c r="S82" s="29">
        <f>IF(B82="","",IF(COUNTIF('Hashtag Bank'!$B$5:$B$304,B82)&gt;1,"Duplicate","OK"))</f>
        <v>0</v>
      </c>
      <c r="T82" s="29">
        <f>IF(B82="","",IF(R82="Yes","Remove - flagged by the platform",IF(AND(L82&lt;&gt;"",L82&gt;=1000000),"Check - huge tag, pair with niche ones",IF(O82=0,"Add - group not on the calendar yet","OK"))))</f>
        <v>0</v>
      </c>
    </row>
    <row r="83" spans="1:20">
      <c r="A83" s="41">
        <f>IF(B83="","",HashtagPrefix&amp;TEXT(ROW()-4,"000"))</f>
        <v>0</v>
      </c>
      <c r="M83" s="17">
        <f>IF(L83="","",IF(L83&gt;=1000000,"Huge - very competitive",IF(L83&gt;=250000,"Large",IF(L83&gt;=25000,"Medium - sweet spot","Small - easy to rank"))))</f>
        <v>0</v>
      </c>
      <c r="O83" s="23">
        <f>IF(D83="","",COUNTIF('Content Calendar'!$R$5:$R$604,D83))</f>
        <v>0</v>
      </c>
      <c r="Q83" s="23">
        <f>IF(P83="","",TODAY()-P83)</f>
        <v>0</v>
      </c>
      <c r="S83" s="29">
        <f>IF(B83="","",IF(COUNTIF('Hashtag Bank'!$B$5:$B$304,B83)&gt;1,"Duplicate","OK"))</f>
        <v>0</v>
      </c>
      <c r="T83" s="29">
        <f>IF(B83="","",IF(R83="Yes","Remove - flagged by the platform",IF(AND(L83&lt;&gt;"",L83&gt;=1000000),"Check - huge tag, pair with niche ones",IF(O83=0,"Add - group not on the calendar yet","OK"))))</f>
        <v>0</v>
      </c>
    </row>
    <row r="84" spans="1:20">
      <c r="A84" s="41">
        <f>IF(B84="","",HashtagPrefix&amp;TEXT(ROW()-4,"000"))</f>
        <v>0</v>
      </c>
      <c r="M84" s="17">
        <f>IF(L84="","",IF(L84&gt;=1000000,"Huge - very competitive",IF(L84&gt;=250000,"Large",IF(L84&gt;=25000,"Medium - sweet spot","Small - easy to rank"))))</f>
        <v>0</v>
      </c>
      <c r="O84" s="23">
        <f>IF(D84="","",COUNTIF('Content Calendar'!$R$5:$R$604,D84))</f>
        <v>0</v>
      </c>
      <c r="Q84" s="23">
        <f>IF(P84="","",TODAY()-P84)</f>
        <v>0</v>
      </c>
      <c r="S84" s="29">
        <f>IF(B84="","",IF(COUNTIF('Hashtag Bank'!$B$5:$B$304,B84)&gt;1,"Duplicate","OK"))</f>
        <v>0</v>
      </c>
      <c r="T84" s="29">
        <f>IF(B84="","",IF(R84="Yes","Remove - flagged by the platform",IF(AND(L84&lt;&gt;"",L84&gt;=1000000),"Check - huge tag, pair with niche ones",IF(O84=0,"Add - group not on the calendar yet","OK"))))</f>
        <v>0</v>
      </c>
    </row>
    <row r="85" spans="1:20">
      <c r="A85" s="41">
        <f>IF(B85="","",HashtagPrefix&amp;TEXT(ROW()-4,"000"))</f>
        <v>0</v>
      </c>
      <c r="M85" s="17">
        <f>IF(L85="","",IF(L85&gt;=1000000,"Huge - very competitive",IF(L85&gt;=250000,"Large",IF(L85&gt;=25000,"Medium - sweet spot","Small - easy to rank"))))</f>
        <v>0</v>
      </c>
      <c r="O85" s="23">
        <f>IF(D85="","",COUNTIF('Content Calendar'!$R$5:$R$604,D85))</f>
        <v>0</v>
      </c>
      <c r="Q85" s="23">
        <f>IF(P85="","",TODAY()-P85)</f>
        <v>0</v>
      </c>
      <c r="S85" s="29">
        <f>IF(B85="","",IF(COUNTIF('Hashtag Bank'!$B$5:$B$304,B85)&gt;1,"Duplicate","OK"))</f>
        <v>0</v>
      </c>
      <c r="T85" s="29">
        <f>IF(B85="","",IF(R85="Yes","Remove - flagged by the platform",IF(AND(L85&lt;&gt;"",L85&gt;=1000000),"Check - huge tag, pair with niche ones",IF(O85=0,"Add - group not on the calendar yet","OK"))))</f>
        <v>0</v>
      </c>
    </row>
    <row r="86" spans="1:20">
      <c r="A86" s="41">
        <f>IF(B86="","",HashtagPrefix&amp;TEXT(ROW()-4,"000"))</f>
        <v>0</v>
      </c>
      <c r="M86" s="17">
        <f>IF(L86="","",IF(L86&gt;=1000000,"Huge - very competitive",IF(L86&gt;=250000,"Large",IF(L86&gt;=25000,"Medium - sweet spot","Small - easy to rank"))))</f>
        <v>0</v>
      </c>
      <c r="O86" s="23">
        <f>IF(D86="","",COUNTIF('Content Calendar'!$R$5:$R$604,D86))</f>
        <v>0</v>
      </c>
      <c r="Q86" s="23">
        <f>IF(P86="","",TODAY()-P86)</f>
        <v>0</v>
      </c>
      <c r="S86" s="29">
        <f>IF(B86="","",IF(COUNTIF('Hashtag Bank'!$B$5:$B$304,B86)&gt;1,"Duplicate","OK"))</f>
        <v>0</v>
      </c>
      <c r="T86" s="29">
        <f>IF(B86="","",IF(R86="Yes","Remove - flagged by the platform",IF(AND(L86&lt;&gt;"",L86&gt;=1000000),"Check - huge tag, pair with niche ones",IF(O86=0,"Add - group not on the calendar yet","OK"))))</f>
        <v>0</v>
      </c>
    </row>
    <row r="87" spans="1:20">
      <c r="A87" s="41">
        <f>IF(B87="","",HashtagPrefix&amp;TEXT(ROW()-4,"000"))</f>
        <v>0</v>
      </c>
      <c r="M87" s="17">
        <f>IF(L87="","",IF(L87&gt;=1000000,"Huge - very competitive",IF(L87&gt;=250000,"Large",IF(L87&gt;=25000,"Medium - sweet spot","Small - easy to rank"))))</f>
        <v>0</v>
      </c>
      <c r="O87" s="23">
        <f>IF(D87="","",COUNTIF('Content Calendar'!$R$5:$R$604,D87))</f>
        <v>0</v>
      </c>
      <c r="Q87" s="23">
        <f>IF(P87="","",TODAY()-P87)</f>
        <v>0</v>
      </c>
      <c r="S87" s="29">
        <f>IF(B87="","",IF(COUNTIF('Hashtag Bank'!$B$5:$B$304,B87)&gt;1,"Duplicate","OK"))</f>
        <v>0</v>
      </c>
      <c r="T87" s="29">
        <f>IF(B87="","",IF(R87="Yes","Remove - flagged by the platform",IF(AND(L87&lt;&gt;"",L87&gt;=1000000),"Check - huge tag, pair with niche ones",IF(O87=0,"Add - group not on the calendar yet","OK"))))</f>
        <v>0</v>
      </c>
    </row>
    <row r="88" spans="1:20">
      <c r="A88" s="41">
        <f>IF(B88="","",HashtagPrefix&amp;TEXT(ROW()-4,"000"))</f>
        <v>0</v>
      </c>
      <c r="M88" s="17">
        <f>IF(L88="","",IF(L88&gt;=1000000,"Huge - very competitive",IF(L88&gt;=250000,"Large",IF(L88&gt;=25000,"Medium - sweet spot","Small - easy to rank"))))</f>
        <v>0</v>
      </c>
      <c r="O88" s="23">
        <f>IF(D88="","",COUNTIF('Content Calendar'!$R$5:$R$604,D88))</f>
        <v>0</v>
      </c>
      <c r="Q88" s="23">
        <f>IF(P88="","",TODAY()-P88)</f>
        <v>0</v>
      </c>
      <c r="S88" s="29">
        <f>IF(B88="","",IF(COUNTIF('Hashtag Bank'!$B$5:$B$304,B88)&gt;1,"Duplicate","OK"))</f>
        <v>0</v>
      </c>
      <c r="T88" s="29">
        <f>IF(B88="","",IF(R88="Yes","Remove - flagged by the platform",IF(AND(L88&lt;&gt;"",L88&gt;=1000000),"Check - huge tag, pair with niche ones",IF(O88=0,"Add - group not on the calendar yet","OK"))))</f>
        <v>0</v>
      </c>
    </row>
    <row r="89" spans="1:20">
      <c r="A89" s="41">
        <f>IF(B89="","",HashtagPrefix&amp;TEXT(ROW()-4,"000"))</f>
        <v>0</v>
      </c>
      <c r="M89" s="17">
        <f>IF(L89="","",IF(L89&gt;=1000000,"Huge - very competitive",IF(L89&gt;=250000,"Large",IF(L89&gt;=25000,"Medium - sweet spot","Small - easy to rank"))))</f>
        <v>0</v>
      </c>
      <c r="O89" s="23">
        <f>IF(D89="","",COUNTIF('Content Calendar'!$R$5:$R$604,D89))</f>
        <v>0</v>
      </c>
      <c r="Q89" s="23">
        <f>IF(P89="","",TODAY()-P89)</f>
        <v>0</v>
      </c>
      <c r="S89" s="29">
        <f>IF(B89="","",IF(COUNTIF('Hashtag Bank'!$B$5:$B$304,B89)&gt;1,"Duplicate","OK"))</f>
        <v>0</v>
      </c>
      <c r="T89" s="29">
        <f>IF(B89="","",IF(R89="Yes","Remove - flagged by the platform",IF(AND(L89&lt;&gt;"",L89&gt;=1000000),"Check - huge tag, pair with niche ones",IF(O89=0,"Add - group not on the calendar yet","OK"))))</f>
        <v>0</v>
      </c>
    </row>
    <row r="90" spans="1:20">
      <c r="A90" s="41">
        <f>IF(B90="","",HashtagPrefix&amp;TEXT(ROW()-4,"000"))</f>
        <v>0</v>
      </c>
      <c r="M90" s="17">
        <f>IF(L90="","",IF(L90&gt;=1000000,"Huge - very competitive",IF(L90&gt;=250000,"Large",IF(L90&gt;=25000,"Medium - sweet spot","Small - easy to rank"))))</f>
        <v>0</v>
      </c>
      <c r="O90" s="23">
        <f>IF(D90="","",COUNTIF('Content Calendar'!$R$5:$R$604,D90))</f>
        <v>0</v>
      </c>
      <c r="Q90" s="23">
        <f>IF(P90="","",TODAY()-P90)</f>
        <v>0</v>
      </c>
      <c r="S90" s="29">
        <f>IF(B90="","",IF(COUNTIF('Hashtag Bank'!$B$5:$B$304,B90)&gt;1,"Duplicate","OK"))</f>
        <v>0</v>
      </c>
      <c r="T90" s="29">
        <f>IF(B90="","",IF(R90="Yes","Remove - flagged by the platform",IF(AND(L90&lt;&gt;"",L90&gt;=1000000),"Check - huge tag, pair with niche ones",IF(O90=0,"Add - group not on the calendar yet","OK"))))</f>
        <v>0</v>
      </c>
    </row>
    <row r="91" spans="1:20">
      <c r="A91" s="41">
        <f>IF(B91="","",HashtagPrefix&amp;TEXT(ROW()-4,"000"))</f>
        <v>0</v>
      </c>
      <c r="M91" s="17">
        <f>IF(L91="","",IF(L91&gt;=1000000,"Huge - very competitive",IF(L91&gt;=250000,"Large",IF(L91&gt;=25000,"Medium - sweet spot","Small - easy to rank"))))</f>
        <v>0</v>
      </c>
      <c r="O91" s="23">
        <f>IF(D91="","",COUNTIF('Content Calendar'!$R$5:$R$604,D91))</f>
        <v>0</v>
      </c>
      <c r="Q91" s="23">
        <f>IF(P91="","",TODAY()-P91)</f>
        <v>0</v>
      </c>
      <c r="S91" s="29">
        <f>IF(B91="","",IF(COUNTIF('Hashtag Bank'!$B$5:$B$304,B91)&gt;1,"Duplicate","OK"))</f>
        <v>0</v>
      </c>
      <c r="T91" s="29">
        <f>IF(B91="","",IF(R91="Yes","Remove - flagged by the platform",IF(AND(L91&lt;&gt;"",L91&gt;=1000000),"Check - huge tag, pair with niche ones",IF(O91=0,"Add - group not on the calendar yet","OK"))))</f>
        <v>0</v>
      </c>
    </row>
    <row r="92" spans="1:20">
      <c r="A92" s="41">
        <f>IF(B92="","",HashtagPrefix&amp;TEXT(ROW()-4,"000"))</f>
        <v>0</v>
      </c>
      <c r="M92" s="17">
        <f>IF(L92="","",IF(L92&gt;=1000000,"Huge - very competitive",IF(L92&gt;=250000,"Large",IF(L92&gt;=25000,"Medium - sweet spot","Small - easy to rank"))))</f>
        <v>0</v>
      </c>
      <c r="O92" s="23">
        <f>IF(D92="","",COUNTIF('Content Calendar'!$R$5:$R$604,D92))</f>
        <v>0</v>
      </c>
      <c r="Q92" s="23">
        <f>IF(P92="","",TODAY()-P92)</f>
        <v>0</v>
      </c>
      <c r="S92" s="29">
        <f>IF(B92="","",IF(COUNTIF('Hashtag Bank'!$B$5:$B$304,B92)&gt;1,"Duplicate","OK"))</f>
        <v>0</v>
      </c>
      <c r="T92" s="29">
        <f>IF(B92="","",IF(R92="Yes","Remove - flagged by the platform",IF(AND(L92&lt;&gt;"",L92&gt;=1000000),"Check - huge tag, pair with niche ones",IF(O92=0,"Add - group not on the calendar yet","OK"))))</f>
        <v>0</v>
      </c>
    </row>
    <row r="93" spans="1:20">
      <c r="A93" s="41">
        <f>IF(B93="","",HashtagPrefix&amp;TEXT(ROW()-4,"000"))</f>
        <v>0</v>
      </c>
      <c r="M93" s="17">
        <f>IF(L93="","",IF(L93&gt;=1000000,"Huge - very competitive",IF(L93&gt;=250000,"Large",IF(L93&gt;=25000,"Medium - sweet spot","Small - easy to rank"))))</f>
        <v>0</v>
      </c>
      <c r="O93" s="23">
        <f>IF(D93="","",COUNTIF('Content Calendar'!$R$5:$R$604,D93))</f>
        <v>0</v>
      </c>
      <c r="Q93" s="23">
        <f>IF(P93="","",TODAY()-P93)</f>
        <v>0</v>
      </c>
      <c r="S93" s="29">
        <f>IF(B93="","",IF(COUNTIF('Hashtag Bank'!$B$5:$B$304,B93)&gt;1,"Duplicate","OK"))</f>
        <v>0</v>
      </c>
      <c r="T93" s="29">
        <f>IF(B93="","",IF(R93="Yes","Remove - flagged by the platform",IF(AND(L93&lt;&gt;"",L93&gt;=1000000),"Check - huge tag, pair with niche ones",IF(O93=0,"Add - group not on the calendar yet","OK"))))</f>
        <v>0</v>
      </c>
    </row>
    <row r="94" spans="1:20">
      <c r="A94" s="41">
        <f>IF(B94="","",HashtagPrefix&amp;TEXT(ROW()-4,"000"))</f>
        <v>0</v>
      </c>
      <c r="M94" s="17">
        <f>IF(L94="","",IF(L94&gt;=1000000,"Huge - very competitive",IF(L94&gt;=250000,"Large",IF(L94&gt;=25000,"Medium - sweet spot","Small - easy to rank"))))</f>
        <v>0</v>
      </c>
      <c r="O94" s="23">
        <f>IF(D94="","",COUNTIF('Content Calendar'!$R$5:$R$604,D94))</f>
        <v>0</v>
      </c>
      <c r="Q94" s="23">
        <f>IF(P94="","",TODAY()-P94)</f>
        <v>0</v>
      </c>
      <c r="S94" s="29">
        <f>IF(B94="","",IF(COUNTIF('Hashtag Bank'!$B$5:$B$304,B94)&gt;1,"Duplicate","OK"))</f>
        <v>0</v>
      </c>
      <c r="T94" s="29">
        <f>IF(B94="","",IF(R94="Yes","Remove - flagged by the platform",IF(AND(L94&lt;&gt;"",L94&gt;=1000000),"Check - huge tag, pair with niche ones",IF(O94=0,"Add - group not on the calendar yet","OK"))))</f>
        <v>0</v>
      </c>
    </row>
    <row r="95" spans="1:20">
      <c r="A95" s="41">
        <f>IF(B95="","",HashtagPrefix&amp;TEXT(ROW()-4,"000"))</f>
        <v>0</v>
      </c>
      <c r="M95" s="17">
        <f>IF(L95="","",IF(L95&gt;=1000000,"Huge - very competitive",IF(L95&gt;=250000,"Large",IF(L95&gt;=25000,"Medium - sweet spot","Small - easy to rank"))))</f>
        <v>0</v>
      </c>
      <c r="O95" s="23">
        <f>IF(D95="","",COUNTIF('Content Calendar'!$R$5:$R$604,D95))</f>
        <v>0</v>
      </c>
      <c r="Q95" s="23">
        <f>IF(P95="","",TODAY()-P95)</f>
        <v>0</v>
      </c>
      <c r="S95" s="29">
        <f>IF(B95="","",IF(COUNTIF('Hashtag Bank'!$B$5:$B$304,B95)&gt;1,"Duplicate","OK"))</f>
        <v>0</v>
      </c>
      <c r="T95" s="29">
        <f>IF(B95="","",IF(R95="Yes","Remove - flagged by the platform",IF(AND(L95&lt;&gt;"",L95&gt;=1000000),"Check - huge tag, pair with niche ones",IF(O95=0,"Add - group not on the calendar yet","OK"))))</f>
        <v>0</v>
      </c>
    </row>
    <row r="96" spans="1:20">
      <c r="A96" s="41">
        <f>IF(B96="","",HashtagPrefix&amp;TEXT(ROW()-4,"000"))</f>
        <v>0</v>
      </c>
      <c r="M96" s="17">
        <f>IF(L96="","",IF(L96&gt;=1000000,"Huge - very competitive",IF(L96&gt;=250000,"Large",IF(L96&gt;=25000,"Medium - sweet spot","Small - easy to rank"))))</f>
        <v>0</v>
      </c>
      <c r="O96" s="23">
        <f>IF(D96="","",COUNTIF('Content Calendar'!$R$5:$R$604,D96))</f>
        <v>0</v>
      </c>
      <c r="Q96" s="23">
        <f>IF(P96="","",TODAY()-P96)</f>
        <v>0</v>
      </c>
      <c r="S96" s="29">
        <f>IF(B96="","",IF(COUNTIF('Hashtag Bank'!$B$5:$B$304,B96)&gt;1,"Duplicate","OK"))</f>
        <v>0</v>
      </c>
      <c r="T96" s="29">
        <f>IF(B96="","",IF(R96="Yes","Remove - flagged by the platform",IF(AND(L96&lt;&gt;"",L96&gt;=1000000),"Check - huge tag, pair with niche ones",IF(O96=0,"Add - group not on the calendar yet","OK"))))</f>
        <v>0</v>
      </c>
    </row>
    <row r="97" spans="1:20">
      <c r="A97" s="41">
        <f>IF(B97="","",HashtagPrefix&amp;TEXT(ROW()-4,"000"))</f>
        <v>0</v>
      </c>
      <c r="M97" s="17">
        <f>IF(L97="","",IF(L97&gt;=1000000,"Huge - very competitive",IF(L97&gt;=250000,"Large",IF(L97&gt;=25000,"Medium - sweet spot","Small - easy to rank"))))</f>
        <v>0</v>
      </c>
      <c r="O97" s="23">
        <f>IF(D97="","",COUNTIF('Content Calendar'!$R$5:$R$604,D97))</f>
        <v>0</v>
      </c>
      <c r="Q97" s="23">
        <f>IF(P97="","",TODAY()-P97)</f>
        <v>0</v>
      </c>
      <c r="S97" s="29">
        <f>IF(B97="","",IF(COUNTIF('Hashtag Bank'!$B$5:$B$304,B97)&gt;1,"Duplicate","OK"))</f>
        <v>0</v>
      </c>
      <c r="T97" s="29">
        <f>IF(B97="","",IF(R97="Yes","Remove - flagged by the platform",IF(AND(L97&lt;&gt;"",L97&gt;=1000000),"Check - huge tag, pair with niche ones",IF(O97=0,"Add - group not on the calendar yet","OK"))))</f>
        <v>0</v>
      </c>
    </row>
    <row r="98" spans="1:20">
      <c r="A98" s="41">
        <f>IF(B98="","",HashtagPrefix&amp;TEXT(ROW()-4,"000"))</f>
        <v>0</v>
      </c>
      <c r="M98" s="17">
        <f>IF(L98="","",IF(L98&gt;=1000000,"Huge - very competitive",IF(L98&gt;=250000,"Large",IF(L98&gt;=25000,"Medium - sweet spot","Small - easy to rank"))))</f>
        <v>0</v>
      </c>
      <c r="O98" s="23">
        <f>IF(D98="","",COUNTIF('Content Calendar'!$R$5:$R$604,D98))</f>
        <v>0</v>
      </c>
      <c r="Q98" s="23">
        <f>IF(P98="","",TODAY()-P98)</f>
        <v>0</v>
      </c>
      <c r="S98" s="29">
        <f>IF(B98="","",IF(COUNTIF('Hashtag Bank'!$B$5:$B$304,B98)&gt;1,"Duplicate","OK"))</f>
        <v>0</v>
      </c>
      <c r="T98" s="29">
        <f>IF(B98="","",IF(R98="Yes","Remove - flagged by the platform",IF(AND(L98&lt;&gt;"",L98&gt;=1000000),"Check - huge tag, pair with niche ones",IF(O98=0,"Add - group not on the calendar yet","OK"))))</f>
        <v>0</v>
      </c>
    </row>
    <row r="99" spans="1:20">
      <c r="A99" s="41">
        <f>IF(B99="","",HashtagPrefix&amp;TEXT(ROW()-4,"000"))</f>
        <v>0</v>
      </c>
      <c r="M99" s="17">
        <f>IF(L99="","",IF(L99&gt;=1000000,"Huge - very competitive",IF(L99&gt;=250000,"Large",IF(L99&gt;=25000,"Medium - sweet spot","Small - easy to rank"))))</f>
        <v>0</v>
      </c>
      <c r="O99" s="23">
        <f>IF(D99="","",COUNTIF('Content Calendar'!$R$5:$R$604,D99))</f>
        <v>0</v>
      </c>
      <c r="Q99" s="23">
        <f>IF(P99="","",TODAY()-P99)</f>
        <v>0</v>
      </c>
      <c r="S99" s="29">
        <f>IF(B99="","",IF(COUNTIF('Hashtag Bank'!$B$5:$B$304,B99)&gt;1,"Duplicate","OK"))</f>
        <v>0</v>
      </c>
      <c r="T99" s="29">
        <f>IF(B99="","",IF(R99="Yes","Remove - flagged by the platform",IF(AND(L99&lt;&gt;"",L99&gt;=1000000),"Check - huge tag, pair with niche ones",IF(O99=0,"Add - group not on the calendar yet","OK"))))</f>
        <v>0</v>
      </c>
    </row>
    <row r="100" spans="1:20">
      <c r="A100" s="41">
        <f>IF(B100="","",HashtagPrefix&amp;TEXT(ROW()-4,"000"))</f>
        <v>0</v>
      </c>
      <c r="M100" s="17">
        <f>IF(L100="","",IF(L100&gt;=1000000,"Huge - very competitive",IF(L100&gt;=250000,"Large",IF(L100&gt;=25000,"Medium - sweet spot","Small - easy to rank"))))</f>
        <v>0</v>
      </c>
      <c r="O100" s="23">
        <f>IF(D100="","",COUNTIF('Content Calendar'!$R$5:$R$604,D100))</f>
        <v>0</v>
      </c>
      <c r="Q100" s="23">
        <f>IF(P100="","",TODAY()-P100)</f>
        <v>0</v>
      </c>
      <c r="S100" s="29">
        <f>IF(B100="","",IF(COUNTIF('Hashtag Bank'!$B$5:$B$304,B100)&gt;1,"Duplicate","OK"))</f>
        <v>0</v>
      </c>
      <c r="T100" s="29">
        <f>IF(B100="","",IF(R100="Yes","Remove - flagged by the platform",IF(AND(L100&lt;&gt;"",L100&gt;=1000000),"Check - huge tag, pair with niche ones",IF(O100=0,"Add - group not on the calendar yet","OK"))))</f>
        <v>0</v>
      </c>
    </row>
    <row r="101" spans="1:20">
      <c r="A101" s="41">
        <f>IF(B101="","",HashtagPrefix&amp;TEXT(ROW()-4,"000"))</f>
        <v>0</v>
      </c>
      <c r="M101" s="17">
        <f>IF(L101="","",IF(L101&gt;=1000000,"Huge - very competitive",IF(L101&gt;=250000,"Large",IF(L101&gt;=25000,"Medium - sweet spot","Small - easy to rank"))))</f>
        <v>0</v>
      </c>
      <c r="O101" s="23">
        <f>IF(D101="","",COUNTIF('Content Calendar'!$R$5:$R$604,D101))</f>
        <v>0</v>
      </c>
      <c r="Q101" s="23">
        <f>IF(P101="","",TODAY()-P101)</f>
        <v>0</v>
      </c>
      <c r="S101" s="29">
        <f>IF(B101="","",IF(COUNTIF('Hashtag Bank'!$B$5:$B$304,B101)&gt;1,"Duplicate","OK"))</f>
        <v>0</v>
      </c>
      <c r="T101" s="29">
        <f>IF(B101="","",IF(R101="Yes","Remove - flagged by the platform",IF(AND(L101&lt;&gt;"",L101&gt;=1000000),"Check - huge tag, pair with niche ones",IF(O101=0,"Add - group not on the calendar yet","OK"))))</f>
        <v>0</v>
      </c>
    </row>
    <row r="102" spans="1:20">
      <c r="A102" s="41">
        <f>IF(B102="","",HashtagPrefix&amp;TEXT(ROW()-4,"000"))</f>
        <v>0</v>
      </c>
      <c r="M102" s="17">
        <f>IF(L102="","",IF(L102&gt;=1000000,"Huge - very competitive",IF(L102&gt;=250000,"Large",IF(L102&gt;=25000,"Medium - sweet spot","Small - easy to rank"))))</f>
        <v>0</v>
      </c>
      <c r="O102" s="23">
        <f>IF(D102="","",COUNTIF('Content Calendar'!$R$5:$R$604,D102))</f>
        <v>0</v>
      </c>
      <c r="Q102" s="23">
        <f>IF(P102="","",TODAY()-P102)</f>
        <v>0</v>
      </c>
      <c r="S102" s="29">
        <f>IF(B102="","",IF(COUNTIF('Hashtag Bank'!$B$5:$B$304,B102)&gt;1,"Duplicate","OK"))</f>
        <v>0</v>
      </c>
      <c r="T102" s="29">
        <f>IF(B102="","",IF(R102="Yes","Remove - flagged by the platform",IF(AND(L102&lt;&gt;"",L102&gt;=1000000),"Check - huge tag, pair with niche ones",IF(O102=0,"Add - group not on the calendar yet","OK"))))</f>
        <v>0</v>
      </c>
    </row>
    <row r="103" spans="1:20">
      <c r="A103" s="41">
        <f>IF(B103="","",HashtagPrefix&amp;TEXT(ROW()-4,"000"))</f>
        <v>0</v>
      </c>
      <c r="M103" s="17">
        <f>IF(L103="","",IF(L103&gt;=1000000,"Huge - very competitive",IF(L103&gt;=250000,"Large",IF(L103&gt;=25000,"Medium - sweet spot","Small - easy to rank"))))</f>
        <v>0</v>
      </c>
      <c r="O103" s="23">
        <f>IF(D103="","",COUNTIF('Content Calendar'!$R$5:$R$604,D103))</f>
        <v>0</v>
      </c>
      <c r="Q103" s="23">
        <f>IF(P103="","",TODAY()-P103)</f>
        <v>0</v>
      </c>
      <c r="S103" s="29">
        <f>IF(B103="","",IF(COUNTIF('Hashtag Bank'!$B$5:$B$304,B103)&gt;1,"Duplicate","OK"))</f>
        <v>0</v>
      </c>
      <c r="T103" s="29">
        <f>IF(B103="","",IF(R103="Yes","Remove - flagged by the platform",IF(AND(L103&lt;&gt;"",L103&gt;=1000000),"Check - huge tag, pair with niche ones",IF(O103=0,"Add - group not on the calendar yet","OK"))))</f>
        <v>0</v>
      </c>
    </row>
    <row r="104" spans="1:20">
      <c r="A104" s="41">
        <f>IF(B104="","",HashtagPrefix&amp;TEXT(ROW()-4,"000"))</f>
        <v>0</v>
      </c>
      <c r="M104" s="17">
        <f>IF(L104="","",IF(L104&gt;=1000000,"Huge - very competitive",IF(L104&gt;=250000,"Large",IF(L104&gt;=25000,"Medium - sweet spot","Small - easy to rank"))))</f>
        <v>0</v>
      </c>
      <c r="O104" s="23">
        <f>IF(D104="","",COUNTIF('Content Calendar'!$R$5:$R$604,D104))</f>
        <v>0</v>
      </c>
      <c r="Q104" s="23">
        <f>IF(P104="","",TODAY()-P104)</f>
        <v>0</v>
      </c>
      <c r="S104" s="29">
        <f>IF(B104="","",IF(COUNTIF('Hashtag Bank'!$B$5:$B$304,B104)&gt;1,"Duplicate","OK"))</f>
        <v>0</v>
      </c>
      <c r="T104" s="29">
        <f>IF(B104="","",IF(R104="Yes","Remove - flagged by the platform",IF(AND(L104&lt;&gt;"",L104&gt;=1000000),"Check - huge tag, pair with niche ones",IF(O104=0,"Add - group not on the calendar yet","OK"))))</f>
        <v>0</v>
      </c>
    </row>
    <row r="105" spans="1:20">
      <c r="A105" s="41">
        <f>IF(B105="","",HashtagPrefix&amp;TEXT(ROW()-4,"000"))</f>
        <v>0</v>
      </c>
      <c r="M105" s="17">
        <f>IF(L105="","",IF(L105&gt;=1000000,"Huge - very competitive",IF(L105&gt;=250000,"Large",IF(L105&gt;=25000,"Medium - sweet spot","Small - easy to rank"))))</f>
        <v>0</v>
      </c>
      <c r="O105" s="23">
        <f>IF(D105="","",COUNTIF('Content Calendar'!$R$5:$R$604,D105))</f>
        <v>0</v>
      </c>
      <c r="Q105" s="23">
        <f>IF(P105="","",TODAY()-P105)</f>
        <v>0</v>
      </c>
      <c r="S105" s="29">
        <f>IF(B105="","",IF(COUNTIF('Hashtag Bank'!$B$5:$B$304,B105)&gt;1,"Duplicate","OK"))</f>
        <v>0</v>
      </c>
      <c r="T105" s="29">
        <f>IF(B105="","",IF(R105="Yes","Remove - flagged by the platform",IF(AND(L105&lt;&gt;"",L105&gt;=1000000),"Check - huge tag, pair with niche ones",IF(O105=0,"Add - group not on the calendar yet","OK"))))</f>
        <v>0</v>
      </c>
    </row>
    <row r="106" spans="1:20">
      <c r="A106" s="41">
        <f>IF(B106="","",HashtagPrefix&amp;TEXT(ROW()-4,"000"))</f>
        <v>0</v>
      </c>
      <c r="M106" s="17">
        <f>IF(L106="","",IF(L106&gt;=1000000,"Huge - very competitive",IF(L106&gt;=250000,"Large",IF(L106&gt;=25000,"Medium - sweet spot","Small - easy to rank"))))</f>
        <v>0</v>
      </c>
      <c r="O106" s="23">
        <f>IF(D106="","",COUNTIF('Content Calendar'!$R$5:$R$604,D106))</f>
        <v>0</v>
      </c>
      <c r="Q106" s="23">
        <f>IF(P106="","",TODAY()-P106)</f>
        <v>0</v>
      </c>
      <c r="S106" s="29">
        <f>IF(B106="","",IF(COUNTIF('Hashtag Bank'!$B$5:$B$304,B106)&gt;1,"Duplicate","OK"))</f>
        <v>0</v>
      </c>
      <c r="T106" s="29">
        <f>IF(B106="","",IF(R106="Yes","Remove - flagged by the platform",IF(AND(L106&lt;&gt;"",L106&gt;=1000000),"Check - huge tag, pair with niche ones",IF(O106=0,"Add - group not on the calendar yet","OK"))))</f>
        <v>0</v>
      </c>
    </row>
    <row r="107" spans="1:20">
      <c r="A107" s="41">
        <f>IF(B107="","",HashtagPrefix&amp;TEXT(ROW()-4,"000"))</f>
        <v>0</v>
      </c>
      <c r="M107" s="17">
        <f>IF(L107="","",IF(L107&gt;=1000000,"Huge - very competitive",IF(L107&gt;=250000,"Large",IF(L107&gt;=25000,"Medium - sweet spot","Small - easy to rank"))))</f>
        <v>0</v>
      </c>
      <c r="O107" s="23">
        <f>IF(D107="","",COUNTIF('Content Calendar'!$R$5:$R$604,D107))</f>
        <v>0</v>
      </c>
      <c r="Q107" s="23">
        <f>IF(P107="","",TODAY()-P107)</f>
        <v>0</v>
      </c>
      <c r="S107" s="29">
        <f>IF(B107="","",IF(COUNTIF('Hashtag Bank'!$B$5:$B$304,B107)&gt;1,"Duplicate","OK"))</f>
        <v>0</v>
      </c>
      <c r="T107" s="29">
        <f>IF(B107="","",IF(R107="Yes","Remove - flagged by the platform",IF(AND(L107&lt;&gt;"",L107&gt;=1000000),"Check - huge tag, pair with niche ones",IF(O107=0,"Add - group not on the calendar yet","OK"))))</f>
        <v>0</v>
      </c>
    </row>
    <row r="108" spans="1:20">
      <c r="A108" s="41">
        <f>IF(B108="","",HashtagPrefix&amp;TEXT(ROW()-4,"000"))</f>
        <v>0</v>
      </c>
      <c r="M108" s="17">
        <f>IF(L108="","",IF(L108&gt;=1000000,"Huge - very competitive",IF(L108&gt;=250000,"Large",IF(L108&gt;=25000,"Medium - sweet spot","Small - easy to rank"))))</f>
        <v>0</v>
      </c>
      <c r="O108" s="23">
        <f>IF(D108="","",COUNTIF('Content Calendar'!$R$5:$R$604,D108))</f>
        <v>0</v>
      </c>
      <c r="Q108" s="23">
        <f>IF(P108="","",TODAY()-P108)</f>
        <v>0</v>
      </c>
      <c r="S108" s="29">
        <f>IF(B108="","",IF(COUNTIF('Hashtag Bank'!$B$5:$B$304,B108)&gt;1,"Duplicate","OK"))</f>
        <v>0</v>
      </c>
      <c r="T108" s="29">
        <f>IF(B108="","",IF(R108="Yes","Remove - flagged by the platform",IF(AND(L108&lt;&gt;"",L108&gt;=1000000),"Check - huge tag, pair with niche ones",IF(O108=0,"Add - group not on the calendar yet","OK"))))</f>
        <v>0</v>
      </c>
    </row>
    <row r="109" spans="1:20">
      <c r="A109" s="41">
        <f>IF(B109="","",HashtagPrefix&amp;TEXT(ROW()-4,"000"))</f>
        <v>0</v>
      </c>
      <c r="M109" s="17">
        <f>IF(L109="","",IF(L109&gt;=1000000,"Huge - very competitive",IF(L109&gt;=250000,"Large",IF(L109&gt;=25000,"Medium - sweet spot","Small - easy to rank"))))</f>
        <v>0</v>
      </c>
      <c r="O109" s="23">
        <f>IF(D109="","",COUNTIF('Content Calendar'!$R$5:$R$604,D109))</f>
        <v>0</v>
      </c>
      <c r="Q109" s="23">
        <f>IF(P109="","",TODAY()-P109)</f>
        <v>0</v>
      </c>
      <c r="S109" s="29">
        <f>IF(B109="","",IF(COUNTIF('Hashtag Bank'!$B$5:$B$304,B109)&gt;1,"Duplicate","OK"))</f>
        <v>0</v>
      </c>
      <c r="T109" s="29">
        <f>IF(B109="","",IF(R109="Yes","Remove - flagged by the platform",IF(AND(L109&lt;&gt;"",L109&gt;=1000000),"Check - huge tag, pair with niche ones",IF(O109=0,"Add - group not on the calendar yet","OK"))))</f>
        <v>0</v>
      </c>
    </row>
    <row r="110" spans="1:20">
      <c r="A110" s="41">
        <f>IF(B110="","",HashtagPrefix&amp;TEXT(ROW()-4,"000"))</f>
        <v>0</v>
      </c>
      <c r="M110" s="17">
        <f>IF(L110="","",IF(L110&gt;=1000000,"Huge - very competitive",IF(L110&gt;=250000,"Large",IF(L110&gt;=25000,"Medium - sweet spot","Small - easy to rank"))))</f>
        <v>0</v>
      </c>
      <c r="O110" s="23">
        <f>IF(D110="","",COUNTIF('Content Calendar'!$R$5:$R$604,D110))</f>
        <v>0</v>
      </c>
      <c r="Q110" s="23">
        <f>IF(P110="","",TODAY()-P110)</f>
        <v>0</v>
      </c>
      <c r="S110" s="29">
        <f>IF(B110="","",IF(COUNTIF('Hashtag Bank'!$B$5:$B$304,B110)&gt;1,"Duplicate","OK"))</f>
        <v>0</v>
      </c>
      <c r="T110" s="29">
        <f>IF(B110="","",IF(R110="Yes","Remove - flagged by the platform",IF(AND(L110&lt;&gt;"",L110&gt;=1000000),"Check - huge tag, pair with niche ones",IF(O110=0,"Add - group not on the calendar yet","OK"))))</f>
        <v>0</v>
      </c>
    </row>
    <row r="111" spans="1:20">
      <c r="A111" s="41">
        <f>IF(B111="","",HashtagPrefix&amp;TEXT(ROW()-4,"000"))</f>
        <v>0</v>
      </c>
      <c r="M111" s="17">
        <f>IF(L111="","",IF(L111&gt;=1000000,"Huge - very competitive",IF(L111&gt;=250000,"Large",IF(L111&gt;=25000,"Medium - sweet spot","Small - easy to rank"))))</f>
        <v>0</v>
      </c>
      <c r="O111" s="23">
        <f>IF(D111="","",COUNTIF('Content Calendar'!$R$5:$R$604,D111))</f>
        <v>0</v>
      </c>
      <c r="Q111" s="23">
        <f>IF(P111="","",TODAY()-P111)</f>
        <v>0</v>
      </c>
      <c r="S111" s="29">
        <f>IF(B111="","",IF(COUNTIF('Hashtag Bank'!$B$5:$B$304,B111)&gt;1,"Duplicate","OK"))</f>
        <v>0</v>
      </c>
      <c r="T111" s="29">
        <f>IF(B111="","",IF(R111="Yes","Remove - flagged by the platform",IF(AND(L111&lt;&gt;"",L111&gt;=1000000),"Check - huge tag, pair with niche ones",IF(O111=0,"Add - group not on the calendar yet","OK"))))</f>
        <v>0</v>
      </c>
    </row>
    <row r="112" spans="1:20">
      <c r="A112" s="41">
        <f>IF(B112="","",HashtagPrefix&amp;TEXT(ROW()-4,"000"))</f>
        <v>0</v>
      </c>
      <c r="M112" s="17">
        <f>IF(L112="","",IF(L112&gt;=1000000,"Huge - very competitive",IF(L112&gt;=250000,"Large",IF(L112&gt;=25000,"Medium - sweet spot","Small - easy to rank"))))</f>
        <v>0</v>
      </c>
      <c r="O112" s="23">
        <f>IF(D112="","",COUNTIF('Content Calendar'!$R$5:$R$604,D112))</f>
        <v>0</v>
      </c>
      <c r="Q112" s="23">
        <f>IF(P112="","",TODAY()-P112)</f>
        <v>0</v>
      </c>
      <c r="S112" s="29">
        <f>IF(B112="","",IF(COUNTIF('Hashtag Bank'!$B$5:$B$304,B112)&gt;1,"Duplicate","OK"))</f>
        <v>0</v>
      </c>
      <c r="T112" s="29">
        <f>IF(B112="","",IF(R112="Yes","Remove - flagged by the platform",IF(AND(L112&lt;&gt;"",L112&gt;=1000000),"Check - huge tag, pair with niche ones",IF(O112=0,"Add - group not on the calendar yet","OK"))))</f>
        <v>0</v>
      </c>
    </row>
    <row r="113" spans="1:20">
      <c r="A113" s="41">
        <f>IF(B113="","",HashtagPrefix&amp;TEXT(ROW()-4,"000"))</f>
        <v>0</v>
      </c>
      <c r="M113" s="17">
        <f>IF(L113="","",IF(L113&gt;=1000000,"Huge - very competitive",IF(L113&gt;=250000,"Large",IF(L113&gt;=25000,"Medium - sweet spot","Small - easy to rank"))))</f>
        <v>0</v>
      </c>
      <c r="O113" s="23">
        <f>IF(D113="","",COUNTIF('Content Calendar'!$R$5:$R$604,D113))</f>
        <v>0</v>
      </c>
      <c r="Q113" s="23">
        <f>IF(P113="","",TODAY()-P113)</f>
        <v>0</v>
      </c>
      <c r="S113" s="29">
        <f>IF(B113="","",IF(COUNTIF('Hashtag Bank'!$B$5:$B$304,B113)&gt;1,"Duplicate","OK"))</f>
        <v>0</v>
      </c>
      <c r="T113" s="29">
        <f>IF(B113="","",IF(R113="Yes","Remove - flagged by the platform",IF(AND(L113&lt;&gt;"",L113&gt;=1000000),"Check - huge tag, pair with niche ones",IF(O113=0,"Add - group not on the calendar yet","OK"))))</f>
        <v>0</v>
      </c>
    </row>
    <row r="114" spans="1:20">
      <c r="A114" s="41">
        <f>IF(B114="","",HashtagPrefix&amp;TEXT(ROW()-4,"000"))</f>
        <v>0</v>
      </c>
      <c r="M114" s="17">
        <f>IF(L114="","",IF(L114&gt;=1000000,"Huge - very competitive",IF(L114&gt;=250000,"Large",IF(L114&gt;=25000,"Medium - sweet spot","Small - easy to rank"))))</f>
        <v>0</v>
      </c>
      <c r="O114" s="23">
        <f>IF(D114="","",COUNTIF('Content Calendar'!$R$5:$R$604,D114))</f>
        <v>0</v>
      </c>
      <c r="Q114" s="23">
        <f>IF(P114="","",TODAY()-P114)</f>
        <v>0</v>
      </c>
      <c r="S114" s="29">
        <f>IF(B114="","",IF(COUNTIF('Hashtag Bank'!$B$5:$B$304,B114)&gt;1,"Duplicate","OK"))</f>
        <v>0</v>
      </c>
      <c r="T114" s="29">
        <f>IF(B114="","",IF(R114="Yes","Remove - flagged by the platform",IF(AND(L114&lt;&gt;"",L114&gt;=1000000),"Check - huge tag, pair with niche ones",IF(O114=0,"Add - group not on the calendar yet","OK"))))</f>
        <v>0</v>
      </c>
    </row>
    <row r="115" spans="1:20">
      <c r="A115" s="41">
        <f>IF(B115="","",HashtagPrefix&amp;TEXT(ROW()-4,"000"))</f>
        <v>0</v>
      </c>
      <c r="M115" s="17">
        <f>IF(L115="","",IF(L115&gt;=1000000,"Huge - very competitive",IF(L115&gt;=250000,"Large",IF(L115&gt;=25000,"Medium - sweet spot","Small - easy to rank"))))</f>
        <v>0</v>
      </c>
      <c r="O115" s="23">
        <f>IF(D115="","",COUNTIF('Content Calendar'!$R$5:$R$604,D115))</f>
        <v>0</v>
      </c>
      <c r="Q115" s="23">
        <f>IF(P115="","",TODAY()-P115)</f>
        <v>0</v>
      </c>
      <c r="S115" s="29">
        <f>IF(B115="","",IF(COUNTIF('Hashtag Bank'!$B$5:$B$304,B115)&gt;1,"Duplicate","OK"))</f>
        <v>0</v>
      </c>
      <c r="T115" s="29">
        <f>IF(B115="","",IF(R115="Yes","Remove - flagged by the platform",IF(AND(L115&lt;&gt;"",L115&gt;=1000000),"Check - huge tag, pair with niche ones",IF(O115=0,"Add - group not on the calendar yet","OK"))))</f>
        <v>0</v>
      </c>
    </row>
    <row r="116" spans="1:20">
      <c r="A116" s="41">
        <f>IF(B116="","",HashtagPrefix&amp;TEXT(ROW()-4,"000"))</f>
        <v>0</v>
      </c>
      <c r="M116" s="17">
        <f>IF(L116="","",IF(L116&gt;=1000000,"Huge - very competitive",IF(L116&gt;=250000,"Large",IF(L116&gt;=25000,"Medium - sweet spot","Small - easy to rank"))))</f>
        <v>0</v>
      </c>
      <c r="O116" s="23">
        <f>IF(D116="","",COUNTIF('Content Calendar'!$R$5:$R$604,D116))</f>
        <v>0</v>
      </c>
      <c r="Q116" s="23">
        <f>IF(P116="","",TODAY()-P116)</f>
        <v>0</v>
      </c>
      <c r="S116" s="29">
        <f>IF(B116="","",IF(COUNTIF('Hashtag Bank'!$B$5:$B$304,B116)&gt;1,"Duplicate","OK"))</f>
        <v>0</v>
      </c>
      <c r="T116" s="29">
        <f>IF(B116="","",IF(R116="Yes","Remove - flagged by the platform",IF(AND(L116&lt;&gt;"",L116&gt;=1000000),"Check - huge tag, pair with niche ones",IF(O116=0,"Add - group not on the calendar yet","OK"))))</f>
        <v>0</v>
      </c>
    </row>
    <row r="117" spans="1:20">
      <c r="A117" s="41">
        <f>IF(B117="","",HashtagPrefix&amp;TEXT(ROW()-4,"000"))</f>
        <v>0</v>
      </c>
      <c r="M117" s="17">
        <f>IF(L117="","",IF(L117&gt;=1000000,"Huge - very competitive",IF(L117&gt;=250000,"Large",IF(L117&gt;=25000,"Medium - sweet spot","Small - easy to rank"))))</f>
        <v>0</v>
      </c>
      <c r="O117" s="23">
        <f>IF(D117="","",COUNTIF('Content Calendar'!$R$5:$R$604,D117))</f>
        <v>0</v>
      </c>
      <c r="Q117" s="23">
        <f>IF(P117="","",TODAY()-P117)</f>
        <v>0</v>
      </c>
      <c r="S117" s="29">
        <f>IF(B117="","",IF(COUNTIF('Hashtag Bank'!$B$5:$B$304,B117)&gt;1,"Duplicate","OK"))</f>
        <v>0</v>
      </c>
      <c r="T117" s="29">
        <f>IF(B117="","",IF(R117="Yes","Remove - flagged by the platform",IF(AND(L117&lt;&gt;"",L117&gt;=1000000),"Check - huge tag, pair with niche ones",IF(O117=0,"Add - group not on the calendar yet","OK"))))</f>
        <v>0</v>
      </c>
    </row>
    <row r="118" spans="1:20">
      <c r="A118" s="41">
        <f>IF(B118="","",HashtagPrefix&amp;TEXT(ROW()-4,"000"))</f>
        <v>0</v>
      </c>
      <c r="M118" s="17">
        <f>IF(L118="","",IF(L118&gt;=1000000,"Huge - very competitive",IF(L118&gt;=250000,"Large",IF(L118&gt;=25000,"Medium - sweet spot","Small - easy to rank"))))</f>
        <v>0</v>
      </c>
      <c r="O118" s="23">
        <f>IF(D118="","",COUNTIF('Content Calendar'!$R$5:$R$604,D118))</f>
        <v>0</v>
      </c>
      <c r="Q118" s="23">
        <f>IF(P118="","",TODAY()-P118)</f>
        <v>0</v>
      </c>
      <c r="S118" s="29">
        <f>IF(B118="","",IF(COUNTIF('Hashtag Bank'!$B$5:$B$304,B118)&gt;1,"Duplicate","OK"))</f>
        <v>0</v>
      </c>
      <c r="T118" s="29">
        <f>IF(B118="","",IF(R118="Yes","Remove - flagged by the platform",IF(AND(L118&lt;&gt;"",L118&gt;=1000000),"Check - huge tag, pair with niche ones",IF(O118=0,"Add - group not on the calendar yet","OK"))))</f>
        <v>0</v>
      </c>
    </row>
    <row r="119" spans="1:20">
      <c r="A119" s="41">
        <f>IF(B119="","",HashtagPrefix&amp;TEXT(ROW()-4,"000"))</f>
        <v>0</v>
      </c>
      <c r="M119" s="17">
        <f>IF(L119="","",IF(L119&gt;=1000000,"Huge - very competitive",IF(L119&gt;=250000,"Large",IF(L119&gt;=25000,"Medium - sweet spot","Small - easy to rank"))))</f>
        <v>0</v>
      </c>
      <c r="O119" s="23">
        <f>IF(D119="","",COUNTIF('Content Calendar'!$R$5:$R$604,D119))</f>
        <v>0</v>
      </c>
      <c r="Q119" s="23">
        <f>IF(P119="","",TODAY()-P119)</f>
        <v>0</v>
      </c>
      <c r="S119" s="29">
        <f>IF(B119="","",IF(COUNTIF('Hashtag Bank'!$B$5:$B$304,B119)&gt;1,"Duplicate","OK"))</f>
        <v>0</v>
      </c>
      <c r="T119" s="29">
        <f>IF(B119="","",IF(R119="Yes","Remove - flagged by the platform",IF(AND(L119&lt;&gt;"",L119&gt;=1000000),"Check - huge tag, pair with niche ones",IF(O119=0,"Add - group not on the calendar yet","OK"))))</f>
        <v>0</v>
      </c>
    </row>
    <row r="120" spans="1:20">
      <c r="A120" s="41">
        <f>IF(B120="","",HashtagPrefix&amp;TEXT(ROW()-4,"000"))</f>
        <v>0</v>
      </c>
      <c r="M120" s="17">
        <f>IF(L120="","",IF(L120&gt;=1000000,"Huge - very competitive",IF(L120&gt;=250000,"Large",IF(L120&gt;=25000,"Medium - sweet spot","Small - easy to rank"))))</f>
        <v>0</v>
      </c>
      <c r="O120" s="23">
        <f>IF(D120="","",COUNTIF('Content Calendar'!$R$5:$R$604,D120))</f>
        <v>0</v>
      </c>
      <c r="Q120" s="23">
        <f>IF(P120="","",TODAY()-P120)</f>
        <v>0</v>
      </c>
      <c r="S120" s="29">
        <f>IF(B120="","",IF(COUNTIF('Hashtag Bank'!$B$5:$B$304,B120)&gt;1,"Duplicate","OK"))</f>
        <v>0</v>
      </c>
      <c r="T120" s="29">
        <f>IF(B120="","",IF(R120="Yes","Remove - flagged by the platform",IF(AND(L120&lt;&gt;"",L120&gt;=1000000),"Check - huge tag, pair with niche ones",IF(O120=0,"Add - group not on the calendar yet","OK"))))</f>
        <v>0</v>
      </c>
    </row>
    <row r="121" spans="1:20">
      <c r="A121" s="41">
        <f>IF(B121="","",HashtagPrefix&amp;TEXT(ROW()-4,"000"))</f>
        <v>0</v>
      </c>
      <c r="M121" s="17">
        <f>IF(L121="","",IF(L121&gt;=1000000,"Huge - very competitive",IF(L121&gt;=250000,"Large",IF(L121&gt;=25000,"Medium - sweet spot","Small - easy to rank"))))</f>
        <v>0</v>
      </c>
      <c r="O121" s="23">
        <f>IF(D121="","",COUNTIF('Content Calendar'!$R$5:$R$604,D121))</f>
        <v>0</v>
      </c>
      <c r="Q121" s="23">
        <f>IF(P121="","",TODAY()-P121)</f>
        <v>0</v>
      </c>
      <c r="S121" s="29">
        <f>IF(B121="","",IF(COUNTIF('Hashtag Bank'!$B$5:$B$304,B121)&gt;1,"Duplicate","OK"))</f>
        <v>0</v>
      </c>
      <c r="T121" s="29">
        <f>IF(B121="","",IF(R121="Yes","Remove - flagged by the platform",IF(AND(L121&lt;&gt;"",L121&gt;=1000000),"Check - huge tag, pair with niche ones",IF(O121=0,"Add - group not on the calendar yet","OK"))))</f>
        <v>0</v>
      </c>
    </row>
    <row r="122" spans="1:20">
      <c r="A122" s="41">
        <f>IF(B122="","",HashtagPrefix&amp;TEXT(ROW()-4,"000"))</f>
        <v>0</v>
      </c>
      <c r="M122" s="17">
        <f>IF(L122="","",IF(L122&gt;=1000000,"Huge - very competitive",IF(L122&gt;=250000,"Large",IF(L122&gt;=25000,"Medium - sweet spot","Small - easy to rank"))))</f>
        <v>0</v>
      </c>
      <c r="O122" s="23">
        <f>IF(D122="","",COUNTIF('Content Calendar'!$R$5:$R$604,D122))</f>
        <v>0</v>
      </c>
      <c r="Q122" s="23">
        <f>IF(P122="","",TODAY()-P122)</f>
        <v>0</v>
      </c>
      <c r="S122" s="29">
        <f>IF(B122="","",IF(COUNTIF('Hashtag Bank'!$B$5:$B$304,B122)&gt;1,"Duplicate","OK"))</f>
        <v>0</v>
      </c>
      <c r="T122" s="29">
        <f>IF(B122="","",IF(R122="Yes","Remove - flagged by the platform",IF(AND(L122&lt;&gt;"",L122&gt;=1000000),"Check - huge tag, pair with niche ones",IF(O122=0,"Add - group not on the calendar yet","OK"))))</f>
        <v>0</v>
      </c>
    </row>
    <row r="123" spans="1:20">
      <c r="A123" s="41">
        <f>IF(B123="","",HashtagPrefix&amp;TEXT(ROW()-4,"000"))</f>
        <v>0</v>
      </c>
      <c r="M123" s="17">
        <f>IF(L123="","",IF(L123&gt;=1000000,"Huge - very competitive",IF(L123&gt;=250000,"Large",IF(L123&gt;=25000,"Medium - sweet spot","Small - easy to rank"))))</f>
        <v>0</v>
      </c>
      <c r="O123" s="23">
        <f>IF(D123="","",COUNTIF('Content Calendar'!$R$5:$R$604,D123))</f>
        <v>0</v>
      </c>
      <c r="Q123" s="23">
        <f>IF(P123="","",TODAY()-P123)</f>
        <v>0</v>
      </c>
      <c r="S123" s="29">
        <f>IF(B123="","",IF(COUNTIF('Hashtag Bank'!$B$5:$B$304,B123)&gt;1,"Duplicate","OK"))</f>
        <v>0</v>
      </c>
      <c r="T123" s="29">
        <f>IF(B123="","",IF(R123="Yes","Remove - flagged by the platform",IF(AND(L123&lt;&gt;"",L123&gt;=1000000),"Check - huge tag, pair with niche ones",IF(O123=0,"Add - group not on the calendar yet","OK"))))</f>
        <v>0</v>
      </c>
    </row>
    <row r="124" spans="1:20">
      <c r="A124" s="41">
        <f>IF(B124="","",HashtagPrefix&amp;TEXT(ROW()-4,"000"))</f>
        <v>0</v>
      </c>
      <c r="M124" s="17">
        <f>IF(L124="","",IF(L124&gt;=1000000,"Huge - very competitive",IF(L124&gt;=250000,"Large",IF(L124&gt;=25000,"Medium - sweet spot","Small - easy to rank"))))</f>
        <v>0</v>
      </c>
      <c r="O124" s="23">
        <f>IF(D124="","",COUNTIF('Content Calendar'!$R$5:$R$604,D124))</f>
        <v>0</v>
      </c>
      <c r="Q124" s="23">
        <f>IF(P124="","",TODAY()-P124)</f>
        <v>0</v>
      </c>
      <c r="S124" s="29">
        <f>IF(B124="","",IF(COUNTIF('Hashtag Bank'!$B$5:$B$304,B124)&gt;1,"Duplicate","OK"))</f>
        <v>0</v>
      </c>
      <c r="T124" s="29">
        <f>IF(B124="","",IF(R124="Yes","Remove - flagged by the platform",IF(AND(L124&lt;&gt;"",L124&gt;=1000000),"Check - huge tag, pair with niche ones",IF(O124=0,"Add - group not on the calendar yet","OK"))))</f>
        <v>0</v>
      </c>
    </row>
    <row r="125" spans="1:20">
      <c r="A125" s="41">
        <f>IF(B125="","",HashtagPrefix&amp;TEXT(ROW()-4,"000"))</f>
        <v>0</v>
      </c>
      <c r="M125" s="17">
        <f>IF(L125="","",IF(L125&gt;=1000000,"Huge - very competitive",IF(L125&gt;=250000,"Large",IF(L125&gt;=25000,"Medium - sweet spot","Small - easy to rank"))))</f>
        <v>0</v>
      </c>
      <c r="O125" s="23">
        <f>IF(D125="","",COUNTIF('Content Calendar'!$R$5:$R$604,D125))</f>
        <v>0</v>
      </c>
      <c r="Q125" s="23">
        <f>IF(P125="","",TODAY()-P125)</f>
        <v>0</v>
      </c>
      <c r="S125" s="29">
        <f>IF(B125="","",IF(COUNTIF('Hashtag Bank'!$B$5:$B$304,B125)&gt;1,"Duplicate","OK"))</f>
        <v>0</v>
      </c>
      <c r="T125" s="29">
        <f>IF(B125="","",IF(R125="Yes","Remove - flagged by the platform",IF(AND(L125&lt;&gt;"",L125&gt;=1000000),"Check - huge tag, pair with niche ones",IF(O125=0,"Add - group not on the calendar yet","OK"))))</f>
        <v>0</v>
      </c>
    </row>
    <row r="126" spans="1:20">
      <c r="A126" s="41">
        <f>IF(B126="","",HashtagPrefix&amp;TEXT(ROW()-4,"000"))</f>
        <v>0</v>
      </c>
      <c r="M126" s="17">
        <f>IF(L126="","",IF(L126&gt;=1000000,"Huge - very competitive",IF(L126&gt;=250000,"Large",IF(L126&gt;=25000,"Medium - sweet spot","Small - easy to rank"))))</f>
        <v>0</v>
      </c>
      <c r="O126" s="23">
        <f>IF(D126="","",COUNTIF('Content Calendar'!$R$5:$R$604,D126))</f>
        <v>0</v>
      </c>
      <c r="Q126" s="23">
        <f>IF(P126="","",TODAY()-P126)</f>
        <v>0</v>
      </c>
      <c r="S126" s="29">
        <f>IF(B126="","",IF(COUNTIF('Hashtag Bank'!$B$5:$B$304,B126)&gt;1,"Duplicate","OK"))</f>
        <v>0</v>
      </c>
      <c r="T126" s="29">
        <f>IF(B126="","",IF(R126="Yes","Remove - flagged by the platform",IF(AND(L126&lt;&gt;"",L126&gt;=1000000),"Check - huge tag, pair with niche ones",IF(O126=0,"Add - group not on the calendar yet","OK"))))</f>
        <v>0</v>
      </c>
    </row>
    <row r="127" spans="1:20">
      <c r="A127" s="41">
        <f>IF(B127="","",HashtagPrefix&amp;TEXT(ROW()-4,"000"))</f>
        <v>0</v>
      </c>
      <c r="M127" s="17">
        <f>IF(L127="","",IF(L127&gt;=1000000,"Huge - very competitive",IF(L127&gt;=250000,"Large",IF(L127&gt;=25000,"Medium - sweet spot","Small - easy to rank"))))</f>
        <v>0</v>
      </c>
      <c r="O127" s="23">
        <f>IF(D127="","",COUNTIF('Content Calendar'!$R$5:$R$604,D127))</f>
        <v>0</v>
      </c>
      <c r="Q127" s="23">
        <f>IF(P127="","",TODAY()-P127)</f>
        <v>0</v>
      </c>
      <c r="S127" s="29">
        <f>IF(B127="","",IF(COUNTIF('Hashtag Bank'!$B$5:$B$304,B127)&gt;1,"Duplicate","OK"))</f>
        <v>0</v>
      </c>
      <c r="T127" s="29">
        <f>IF(B127="","",IF(R127="Yes","Remove - flagged by the platform",IF(AND(L127&lt;&gt;"",L127&gt;=1000000),"Check - huge tag, pair with niche ones",IF(O127=0,"Add - group not on the calendar yet","OK"))))</f>
        <v>0</v>
      </c>
    </row>
    <row r="128" spans="1:20">
      <c r="A128" s="41">
        <f>IF(B128="","",HashtagPrefix&amp;TEXT(ROW()-4,"000"))</f>
        <v>0</v>
      </c>
      <c r="M128" s="17">
        <f>IF(L128="","",IF(L128&gt;=1000000,"Huge - very competitive",IF(L128&gt;=250000,"Large",IF(L128&gt;=25000,"Medium - sweet spot","Small - easy to rank"))))</f>
        <v>0</v>
      </c>
      <c r="O128" s="23">
        <f>IF(D128="","",COUNTIF('Content Calendar'!$R$5:$R$604,D128))</f>
        <v>0</v>
      </c>
      <c r="Q128" s="23">
        <f>IF(P128="","",TODAY()-P128)</f>
        <v>0</v>
      </c>
      <c r="S128" s="29">
        <f>IF(B128="","",IF(COUNTIF('Hashtag Bank'!$B$5:$B$304,B128)&gt;1,"Duplicate","OK"))</f>
        <v>0</v>
      </c>
      <c r="T128" s="29">
        <f>IF(B128="","",IF(R128="Yes","Remove - flagged by the platform",IF(AND(L128&lt;&gt;"",L128&gt;=1000000),"Check - huge tag, pair with niche ones",IF(O128=0,"Add - group not on the calendar yet","OK"))))</f>
        <v>0</v>
      </c>
    </row>
    <row r="129" spans="1:20">
      <c r="A129" s="41">
        <f>IF(B129="","",HashtagPrefix&amp;TEXT(ROW()-4,"000"))</f>
        <v>0</v>
      </c>
      <c r="M129" s="17">
        <f>IF(L129="","",IF(L129&gt;=1000000,"Huge - very competitive",IF(L129&gt;=250000,"Large",IF(L129&gt;=25000,"Medium - sweet spot","Small - easy to rank"))))</f>
        <v>0</v>
      </c>
      <c r="O129" s="23">
        <f>IF(D129="","",COUNTIF('Content Calendar'!$R$5:$R$604,D129))</f>
        <v>0</v>
      </c>
      <c r="Q129" s="23">
        <f>IF(P129="","",TODAY()-P129)</f>
        <v>0</v>
      </c>
      <c r="S129" s="29">
        <f>IF(B129="","",IF(COUNTIF('Hashtag Bank'!$B$5:$B$304,B129)&gt;1,"Duplicate","OK"))</f>
        <v>0</v>
      </c>
      <c r="T129" s="29">
        <f>IF(B129="","",IF(R129="Yes","Remove - flagged by the platform",IF(AND(L129&lt;&gt;"",L129&gt;=1000000),"Check - huge tag, pair with niche ones",IF(O129=0,"Add - group not on the calendar yet","OK"))))</f>
        <v>0</v>
      </c>
    </row>
    <row r="130" spans="1:20">
      <c r="A130" s="41">
        <f>IF(B130="","",HashtagPrefix&amp;TEXT(ROW()-4,"000"))</f>
        <v>0</v>
      </c>
      <c r="M130" s="17">
        <f>IF(L130="","",IF(L130&gt;=1000000,"Huge - very competitive",IF(L130&gt;=250000,"Large",IF(L130&gt;=25000,"Medium - sweet spot","Small - easy to rank"))))</f>
        <v>0</v>
      </c>
      <c r="O130" s="23">
        <f>IF(D130="","",COUNTIF('Content Calendar'!$R$5:$R$604,D130))</f>
        <v>0</v>
      </c>
      <c r="Q130" s="23">
        <f>IF(P130="","",TODAY()-P130)</f>
        <v>0</v>
      </c>
      <c r="S130" s="29">
        <f>IF(B130="","",IF(COUNTIF('Hashtag Bank'!$B$5:$B$304,B130)&gt;1,"Duplicate","OK"))</f>
        <v>0</v>
      </c>
      <c r="T130" s="29">
        <f>IF(B130="","",IF(R130="Yes","Remove - flagged by the platform",IF(AND(L130&lt;&gt;"",L130&gt;=1000000),"Check - huge tag, pair with niche ones",IF(O130=0,"Add - group not on the calendar yet","OK"))))</f>
        <v>0</v>
      </c>
    </row>
    <row r="131" spans="1:20">
      <c r="A131" s="41">
        <f>IF(B131="","",HashtagPrefix&amp;TEXT(ROW()-4,"000"))</f>
        <v>0</v>
      </c>
      <c r="M131" s="17">
        <f>IF(L131="","",IF(L131&gt;=1000000,"Huge - very competitive",IF(L131&gt;=250000,"Large",IF(L131&gt;=25000,"Medium - sweet spot","Small - easy to rank"))))</f>
        <v>0</v>
      </c>
      <c r="O131" s="23">
        <f>IF(D131="","",COUNTIF('Content Calendar'!$R$5:$R$604,D131))</f>
        <v>0</v>
      </c>
      <c r="Q131" s="23">
        <f>IF(P131="","",TODAY()-P131)</f>
        <v>0</v>
      </c>
      <c r="S131" s="29">
        <f>IF(B131="","",IF(COUNTIF('Hashtag Bank'!$B$5:$B$304,B131)&gt;1,"Duplicate","OK"))</f>
        <v>0</v>
      </c>
      <c r="T131" s="29">
        <f>IF(B131="","",IF(R131="Yes","Remove - flagged by the platform",IF(AND(L131&lt;&gt;"",L131&gt;=1000000),"Check - huge tag, pair with niche ones",IF(O131=0,"Add - group not on the calendar yet","OK"))))</f>
        <v>0</v>
      </c>
    </row>
    <row r="132" spans="1:20">
      <c r="A132" s="41">
        <f>IF(B132="","",HashtagPrefix&amp;TEXT(ROW()-4,"000"))</f>
        <v>0</v>
      </c>
      <c r="M132" s="17">
        <f>IF(L132="","",IF(L132&gt;=1000000,"Huge - very competitive",IF(L132&gt;=250000,"Large",IF(L132&gt;=25000,"Medium - sweet spot","Small - easy to rank"))))</f>
        <v>0</v>
      </c>
      <c r="O132" s="23">
        <f>IF(D132="","",COUNTIF('Content Calendar'!$R$5:$R$604,D132))</f>
        <v>0</v>
      </c>
      <c r="Q132" s="23">
        <f>IF(P132="","",TODAY()-P132)</f>
        <v>0</v>
      </c>
      <c r="S132" s="29">
        <f>IF(B132="","",IF(COUNTIF('Hashtag Bank'!$B$5:$B$304,B132)&gt;1,"Duplicate","OK"))</f>
        <v>0</v>
      </c>
      <c r="T132" s="29">
        <f>IF(B132="","",IF(R132="Yes","Remove - flagged by the platform",IF(AND(L132&lt;&gt;"",L132&gt;=1000000),"Check - huge tag, pair with niche ones",IF(O132=0,"Add - group not on the calendar yet","OK"))))</f>
        <v>0</v>
      </c>
    </row>
    <row r="133" spans="1:20">
      <c r="A133" s="41">
        <f>IF(B133="","",HashtagPrefix&amp;TEXT(ROW()-4,"000"))</f>
        <v>0</v>
      </c>
      <c r="M133" s="17">
        <f>IF(L133="","",IF(L133&gt;=1000000,"Huge - very competitive",IF(L133&gt;=250000,"Large",IF(L133&gt;=25000,"Medium - sweet spot","Small - easy to rank"))))</f>
        <v>0</v>
      </c>
      <c r="O133" s="23">
        <f>IF(D133="","",COUNTIF('Content Calendar'!$R$5:$R$604,D133))</f>
        <v>0</v>
      </c>
      <c r="Q133" s="23">
        <f>IF(P133="","",TODAY()-P133)</f>
        <v>0</v>
      </c>
      <c r="S133" s="29">
        <f>IF(B133="","",IF(COUNTIF('Hashtag Bank'!$B$5:$B$304,B133)&gt;1,"Duplicate","OK"))</f>
        <v>0</v>
      </c>
      <c r="T133" s="29">
        <f>IF(B133="","",IF(R133="Yes","Remove - flagged by the platform",IF(AND(L133&lt;&gt;"",L133&gt;=1000000),"Check - huge tag, pair with niche ones",IF(O133=0,"Add - group not on the calendar yet","OK"))))</f>
        <v>0</v>
      </c>
    </row>
    <row r="134" spans="1:20">
      <c r="A134" s="41">
        <f>IF(B134="","",HashtagPrefix&amp;TEXT(ROW()-4,"000"))</f>
        <v>0</v>
      </c>
      <c r="M134" s="17">
        <f>IF(L134="","",IF(L134&gt;=1000000,"Huge - very competitive",IF(L134&gt;=250000,"Large",IF(L134&gt;=25000,"Medium - sweet spot","Small - easy to rank"))))</f>
        <v>0</v>
      </c>
      <c r="O134" s="23">
        <f>IF(D134="","",COUNTIF('Content Calendar'!$R$5:$R$604,D134))</f>
        <v>0</v>
      </c>
      <c r="Q134" s="23">
        <f>IF(P134="","",TODAY()-P134)</f>
        <v>0</v>
      </c>
      <c r="S134" s="29">
        <f>IF(B134="","",IF(COUNTIF('Hashtag Bank'!$B$5:$B$304,B134)&gt;1,"Duplicate","OK"))</f>
        <v>0</v>
      </c>
      <c r="T134" s="29">
        <f>IF(B134="","",IF(R134="Yes","Remove - flagged by the platform",IF(AND(L134&lt;&gt;"",L134&gt;=1000000),"Check - huge tag, pair with niche ones",IF(O134=0,"Add - group not on the calendar yet","OK"))))</f>
        <v>0</v>
      </c>
    </row>
    <row r="135" spans="1:20">
      <c r="A135" s="41">
        <f>IF(B135="","",HashtagPrefix&amp;TEXT(ROW()-4,"000"))</f>
        <v>0</v>
      </c>
      <c r="M135" s="17">
        <f>IF(L135="","",IF(L135&gt;=1000000,"Huge - very competitive",IF(L135&gt;=250000,"Large",IF(L135&gt;=25000,"Medium - sweet spot","Small - easy to rank"))))</f>
        <v>0</v>
      </c>
      <c r="O135" s="23">
        <f>IF(D135="","",COUNTIF('Content Calendar'!$R$5:$R$604,D135))</f>
        <v>0</v>
      </c>
      <c r="Q135" s="23">
        <f>IF(P135="","",TODAY()-P135)</f>
        <v>0</v>
      </c>
      <c r="S135" s="29">
        <f>IF(B135="","",IF(COUNTIF('Hashtag Bank'!$B$5:$B$304,B135)&gt;1,"Duplicate","OK"))</f>
        <v>0</v>
      </c>
      <c r="T135" s="29">
        <f>IF(B135="","",IF(R135="Yes","Remove - flagged by the platform",IF(AND(L135&lt;&gt;"",L135&gt;=1000000),"Check - huge tag, pair with niche ones",IF(O135=0,"Add - group not on the calendar yet","OK"))))</f>
        <v>0</v>
      </c>
    </row>
    <row r="136" spans="1:20">
      <c r="A136" s="41">
        <f>IF(B136="","",HashtagPrefix&amp;TEXT(ROW()-4,"000"))</f>
        <v>0</v>
      </c>
      <c r="M136" s="17">
        <f>IF(L136="","",IF(L136&gt;=1000000,"Huge - very competitive",IF(L136&gt;=250000,"Large",IF(L136&gt;=25000,"Medium - sweet spot","Small - easy to rank"))))</f>
        <v>0</v>
      </c>
      <c r="O136" s="23">
        <f>IF(D136="","",COUNTIF('Content Calendar'!$R$5:$R$604,D136))</f>
        <v>0</v>
      </c>
      <c r="Q136" s="23">
        <f>IF(P136="","",TODAY()-P136)</f>
        <v>0</v>
      </c>
      <c r="S136" s="29">
        <f>IF(B136="","",IF(COUNTIF('Hashtag Bank'!$B$5:$B$304,B136)&gt;1,"Duplicate","OK"))</f>
        <v>0</v>
      </c>
      <c r="T136" s="29">
        <f>IF(B136="","",IF(R136="Yes","Remove - flagged by the platform",IF(AND(L136&lt;&gt;"",L136&gt;=1000000),"Check - huge tag, pair with niche ones",IF(O136=0,"Add - group not on the calendar yet","OK"))))</f>
        <v>0</v>
      </c>
    </row>
    <row r="137" spans="1:20">
      <c r="A137" s="41">
        <f>IF(B137="","",HashtagPrefix&amp;TEXT(ROW()-4,"000"))</f>
        <v>0</v>
      </c>
      <c r="M137" s="17">
        <f>IF(L137="","",IF(L137&gt;=1000000,"Huge - very competitive",IF(L137&gt;=250000,"Large",IF(L137&gt;=25000,"Medium - sweet spot","Small - easy to rank"))))</f>
        <v>0</v>
      </c>
      <c r="O137" s="23">
        <f>IF(D137="","",COUNTIF('Content Calendar'!$R$5:$R$604,D137))</f>
        <v>0</v>
      </c>
      <c r="Q137" s="23">
        <f>IF(P137="","",TODAY()-P137)</f>
        <v>0</v>
      </c>
      <c r="S137" s="29">
        <f>IF(B137="","",IF(COUNTIF('Hashtag Bank'!$B$5:$B$304,B137)&gt;1,"Duplicate","OK"))</f>
        <v>0</v>
      </c>
      <c r="T137" s="29">
        <f>IF(B137="","",IF(R137="Yes","Remove - flagged by the platform",IF(AND(L137&lt;&gt;"",L137&gt;=1000000),"Check - huge tag, pair with niche ones",IF(O137=0,"Add - group not on the calendar yet","OK"))))</f>
        <v>0</v>
      </c>
    </row>
    <row r="138" spans="1:20">
      <c r="A138" s="41">
        <f>IF(B138="","",HashtagPrefix&amp;TEXT(ROW()-4,"000"))</f>
        <v>0</v>
      </c>
      <c r="M138" s="17">
        <f>IF(L138="","",IF(L138&gt;=1000000,"Huge - very competitive",IF(L138&gt;=250000,"Large",IF(L138&gt;=25000,"Medium - sweet spot","Small - easy to rank"))))</f>
        <v>0</v>
      </c>
      <c r="O138" s="23">
        <f>IF(D138="","",COUNTIF('Content Calendar'!$R$5:$R$604,D138))</f>
        <v>0</v>
      </c>
      <c r="Q138" s="23">
        <f>IF(P138="","",TODAY()-P138)</f>
        <v>0</v>
      </c>
      <c r="S138" s="29">
        <f>IF(B138="","",IF(COUNTIF('Hashtag Bank'!$B$5:$B$304,B138)&gt;1,"Duplicate","OK"))</f>
        <v>0</v>
      </c>
      <c r="T138" s="29">
        <f>IF(B138="","",IF(R138="Yes","Remove - flagged by the platform",IF(AND(L138&lt;&gt;"",L138&gt;=1000000),"Check - huge tag, pair with niche ones",IF(O138=0,"Add - group not on the calendar yet","OK"))))</f>
        <v>0</v>
      </c>
    </row>
    <row r="139" spans="1:20">
      <c r="A139" s="41">
        <f>IF(B139="","",HashtagPrefix&amp;TEXT(ROW()-4,"000"))</f>
        <v>0</v>
      </c>
      <c r="M139" s="17">
        <f>IF(L139="","",IF(L139&gt;=1000000,"Huge - very competitive",IF(L139&gt;=250000,"Large",IF(L139&gt;=25000,"Medium - sweet spot","Small - easy to rank"))))</f>
        <v>0</v>
      </c>
      <c r="O139" s="23">
        <f>IF(D139="","",COUNTIF('Content Calendar'!$R$5:$R$604,D139))</f>
        <v>0</v>
      </c>
      <c r="Q139" s="23">
        <f>IF(P139="","",TODAY()-P139)</f>
        <v>0</v>
      </c>
      <c r="S139" s="29">
        <f>IF(B139="","",IF(COUNTIF('Hashtag Bank'!$B$5:$B$304,B139)&gt;1,"Duplicate","OK"))</f>
        <v>0</v>
      </c>
      <c r="T139" s="29">
        <f>IF(B139="","",IF(R139="Yes","Remove - flagged by the platform",IF(AND(L139&lt;&gt;"",L139&gt;=1000000),"Check - huge tag, pair with niche ones",IF(O139=0,"Add - group not on the calendar yet","OK"))))</f>
        <v>0</v>
      </c>
    </row>
    <row r="140" spans="1:20">
      <c r="A140" s="41">
        <f>IF(B140="","",HashtagPrefix&amp;TEXT(ROW()-4,"000"))</f>
        <v>0</v>
      </c>
      <c r="M140" s="17">
        <f>IF(L140="","",IF(L140&gt;=1000000,"Huge - very competitive",IF(L140&gt;=250000,"Large",IF(L140&gt;=25000,"Medium - sweet spot","Small - easy to rank"))))</f>
        <v>0</v>
      </c>
      <c r="O140" s="23">
        <f>IF(D140="","",COUNTIF('Content Calendar'!$R$5:$R$604,D140))</f>
        <v>0</v>
      </c>
      <c r="Q140" s="23">
        <f>IF(P140="","",TODAY()-P140)</f>
        <v>0</v>
      </c>
      <c r="S140" s="29">
        <f>IF(B140="","",IF(COUNTIF('Hashtag Bank'!$B$5:$B$304,B140)&gt;1,"Duplicate","OK"))</f>
        <v>0</v>
      </c>
      <c r="T140" s="29">
        <f>IF(B140="","",IF(R140="Yes","Remove - flagged by the platform",IF(AND(L140&lt;&gt;"",L140&gt;=1000000),"Check - huge tag, pair with niche ones",IF(O140=0,"Add - group not on the calendar yet","OK"))))</f>
        <v>0</v>
      </c>
    </row>
    <row r="141" spans="1:20">
      <c r="A141" s="41">
        <f>IF(B141="","",HashtagPrefix&amp;TEXT(ROW()-4,"000"))</f>
        <v>0</v>
      </c>
      <c r="M141" s="17">
        <f>IF(L141="","",IF(L141&gt;=1000000,"Huge - very competitive",IF(L141&gt;=250000,"Large",IF(L141&gt;=25000,"Medium - sweet spot","Small - easy to rank"))))</f>
        <v>0</v>
      </c>
      <c r="O141" s="23">
        <f>IF(D141="","",COUNTIF('Content Calendar'!$R$5:$R$604,D141))</f>
        <v>0</v>
      </c>
      <c r="Q141" s="23">
        <f>IF(P141="","",TODAY()-P141)</f>
        <v>0</v>
      </c>
      <c r="S141" s="29">
        <f>IF(B141="","",IF(COUNTIF('Hashtag Bank'!$B$5:$B$304,B141)&gt;1,"Duplicate","OK"))</f>
        <v>0</v>
      </c>
      <c r="T141" s="29">
        <f>IF(B141="","",IF(R141="Yes","Remove - flagged by the platform",IF(AND(L141&lt;&gt;"",L141&gt;=1000000),"Check - huge tag, pair with niche ones",IF(O141=0,"Add - group not on the calendar yet","OK"))))</f>
        <v>0</v>
      </c>
    </row>
    <row r="142" spans="1:20">
      <c r="A142" s="41">
        <f>IF(B142="","",HashtagPrefix&amp;TEXT(ROW()-4,"000"))</f>
        <v>0</v>
      </c>
      <c r="M142" s="17">
        <f>IF(L142="","",IF(L142&gt;=1000000,"Huge - very competitive",IF(L142&gt;=250000,"Large",IF(L142&gt;=25000,"Medium - sweet spot","Small - easy to rank"))))</f>
        <v>0</v>
      </c>
      <c r="O142" s="23">
        <f>IF(D142="","",COUNTIF('Content Calendar'!$R$5:$R$604,D142))</f>
        <v>0</v>
      </c>
      <c r="Q142" s="23">
        <f>IF(P142="","",TODAY()-P142)</f>
        <v>0</v>
      </c>
      <c r="S142" s="29">
        <f>IF(B142="","",IF(COUNTIF('Hashtag Bank'!$B$5:$B$304,B142)&gt;1,"Duplicate","OK"))</f>
        <v>0</v>
      </c>
      <c r="T142" s="29">
        <f>IF(B142="","",IF(R142="Yes","Remove - flagged by the platform",IF(AND(L142&lt;&gt;"",L142&gt;=1000000),"Check - huge tag, pair with niche ones",IF(O142=0,"Add - group not on the calendar yet","OK"))))</f>
        <v>0</v>
      </c>
    </row>
    <row r="143" spans="1:20">
      <c r="A143" s="41">
        <f>IF(B143="","",HashtagPrefix&amp;TEXT(ROW()-4,"000"))</f>
        <v>0</v>
      </c>
      <c r="M143" s="17">
        <f>IF(L143="","",IF(L143&gt;=1000000,"Huge - very competitive",IF(L143&gt;=250000,"Large",IF(L143&gt;=25000,"Medium - sweet spot","Small - easy to rank"))))</f>
        <v>0</v>
      </c>
      <c r="O143" s="23">
        <f>IF(D143="","",COUNTIF('Content Calendar'!$R$5:$R$604,D143))</f>
        <v>0</v>
      </c>
      <c r="Q143" s="23">
        <f>IF(P143="","",TODAY()-P143)</f>
        <v>0</v>
      </c>
      <c r="S143" s="29">
        <f>IF(B143="","",IF(COUNTIF('Hashtag Bank'!$B$5:$B$304,B143)&gt;1,"Duplicate","OK"))</f>
        <v>0</v>
      </c>
      <c r="T143" s="29">
        <f>IF(B143="","",IF(R143="Yes","Remove - flagged by the platform",IF(AND(L143&lt;&gt;"",L143&gt;=1000000),"Check - huge tag, pair with niche ones",IF(O143=0,"Add - group not on the calendar yet","OK"))))</f>
        <v>0</v>
      </c>
    </row>
    <row r="144" spans="1:20">
      <c r="A144" s="41">
        <f>IF(B144="","",HashtagPrefix&amp;TEXT(ROW()-4,"000"))</f>
        <v>0</v>
      </c>
      <c r="M144" s="17">
        <f>IF(L144="","",IF(L144&gt;=1000000,"Huge - very competitive",IF(L144&gt;=250000,"Large",IF(L144&gt;=25000,"Medium - sweet spot","Small - easy to rank"))))</f>
        <v>0</v>
      </c>
      <c r="O144" s="23">
        <f>IF(D144="","",COUNTIF('Content Calendar'!$R$5:$R$604,D144))</f>
        <v>0</v>
      </c>
      <c r="Q144" s="23">
        <f>IF(P144="","",TODAY()-P144)</f>
        <v>0</v>
      </c>
      <c r="S144" s="29">
        <f>IF(B144="","",IF(COUNTIF('Hashtag Bank'!$B$5:$B$304,B144)&gt;1,"Duplicate","OK"))</f>
        <v>0</v>
      </c>
      <c r="T144" s="29">
        <f>IF(B144="","",IF(R144="Yes","Remove - flagged by the platform",IF(AND(L144&lt;&gt;"",L144&gt;=1000000),"Check - huge tag, pair with niche ones",IF(O144=0,"Add - group not on the calendar yet","OK"))))</f>
        <v>0</v>
      </c>
    </row>
    <row r="145" spans="1:20">
      <c r="A145" s="41">
        <f>IF(B145="","",HashtagPrefix&amp;TEXT(ROW()-4,"000"))</f>
        <v>0</v>
      </c>
      <c r="M145" s="17">
        <f>IF(L145="","",IF(L145&gt;=1000000,"Huge - very competitive",IF(L145&gt;=250000,"Large",IF(L145&gt;=25000,"Medium - sweet spot","Small - easy to rank"))))</f>
        <v>0</v>
      </c>
      <c r="O145" s="23">
        <f>IF(D145="","",COUNTIF('Content Calendar'!$R$5:$R$604,D145))</f>
        <v>0</v>
      </c>
      <c r="Q145" s="23">
        <f>IF(P145="","",TODAY()-P145)</f>
        <v>0</v>
      </c>
      <c r="S145" s="29">
        <f>IF(B145="","",IF(COUNTIF('Hashtag Bank'!$B$5:$B$304,B145)&gt;1,"Duplicate","OK"))</f>
        <v>0</v>
      </c>
      <c r="T145" s="29">
        <f>IF(B145="","",IF(R145="Yes","Remove - flagged by the platform",IF(AND(L145&lt;&gt;"",L145&gt;=1000000),"Check - huge tag, pair with niche ones",IF(O145=0,"Add - group not on the calendar yet","OK"))))</f>
        <v>0</v>
      </c>
    </row>
    <row r="146" spans="1:20">
      <c r="A146" s="41">
        <f>IF(B146="","",HashtagPrefix&amp;TEXT(ROW()-4,"000"))</f>
        <v>0</v>
      </c>
      <c r="M146" s="17">
        <f>IF(L146="","",IF(L146&gt;=1000000,"Huge - very competitive",IF(L146&gt;=250000,"Large",IF(L146&gt;=25000,"Medium - sweet spot","Small - easy to rank"))))</f>
        <v>0</v>
      </c>
      <c r="O146" s="23">
        <f>IF(D146="","",COUNTIF('Content Calendar'!$R$5:$R$604,D146))</f>
        <v>0</v>
      </c>
      <c r="Q146" s="23">
        <f>IF(P146="","",TODAY()-P146)</f>
        <v>0</v>
      </c>
      <c r="S146" s="29">
        <f>IF(B146="","",IF(COUNTIF('Hashtag Bank'!$B$5:$B$304,B146)&gt;1,"Duplicate","OK"))</f>
        <v>0</v>
      </c>
      <c r="T146" s="29">
        <f>IF(B146="","",IF(R146="Yes","Remove - flagged by the platform",IF(AND(L146&lt;&gt;"",L146&gt;=1000000),"Check - huge tag, pair with niche ones",IF(O146=0,"Add - group not on the calendar yet","OK"))))</f>
        <v>0</v>
      </c>
    </row>
    <row r="147" spans="1:20">
      <c r="A147" s="41">
        <f>IF(B147="","",HashtagPrefix&amp;TEXT(ROW()-4,"000"))</f>
        <v>0</v>
      </c>
      <c r="M147" s="17">
        <f>IF(L147="","",IF(L147&gt;=1000000,"Huge - very competitive",IF(L147&gt;=250000,"Large",IF(L147&gt;=25000,"Medium - sweet spot","Small - easy to rank"))))</f>
        <v>0</v>
      </c>
      <c r="O147" s="23">
        <f>IF(D147="","",COUNTIF('Content Calendar'!$R$5:$R$604,D147))</f>
        <v>0</v>
      </c>
      <c r="Q147" s="23">
        <f>IF(P147="","",TODAY()-P147)</f>
        <v>0</v>
      </c>
      <c r="S147" s="29">
        <f>IF(B147="","",IF(COUNTIF('Hashtag Bank'!$B$5:$B$304,B147)&gt;1,"Duplicate","OK"))</f>
        <v>0</v>
      </c>
      <c r="T147" s="29">
        <f>IF(B147="","",IF(R147="Yes","Remove - flagged by the platform",IF(AND(L147&lt;&gt;"",L147&gt;=1000000),"Check - huge tag, pair with niche ones",IF(O147=0,"Add - group not on the calendar yet","OK"))))</f>
        <v>0</v>
      </c>
    </row>
    <row r="148" spans="1:20">
      <c r="A148" s="41">
        <f>IF(B148="","",HashtagPrefix&amp;TEXT(ROW()-4,"000"))</f>
        <v>0</v>
      </c>
      <c r="M148" s="17">
        <f>IF(L148="","",IF(L148&gt;=1000000,"Huge - very competitive",IF(L148&gt;=250000,"Large",IF(L148&gt;=25000,"Medium - sweet spot","Small - easy to rank"))))</f>
        <v>0</v>
      </c>
      <c r="O148" s="23">
        <f>IF(D148="","",COUNTIF('Content Calendar'!$R$5:$R$604,D148))</f>
        <v>0</v>
      </c>
      <c r="Q148" s="23">
        <f>IF(P148="","",TODAY()-P148)</f>
        <v>0</v>
      </c>
      <c r="S148" s="29">
        <f>IF(B148="","",IF(COUNTIF('Hashtag Bank'!$B$5:$B$304,B148)&gt;1,"Duplicate","OK"))</f>
        <v>0</v>
      </c>
      <c r="T148" s="29">
        <f>IF(B148="","",IF(R148="Yes","Remove - flagged by the platform",IF(AND(L148&lt;&gt;"",L148&gt;=1000000),"Check - huge tag, pair with niche ones",IF(O148=0,"Add - group not on the calendar yet","OK"))))</f>
        <v>0</v>
      </c>
    </row>
    <row r="149" spans="1:20">
      <c r="A149" s="41">
        <f>IF(B149="","",HashtagPrefix&amp;TEXT(ROW()-4,"000"))</f>
        <v>0</v>
      </c>
      <c r="M149" s="17">
        <f>IF(L149="","",IF(L149&gt;=1000000,"Huge - very competitive",IF(L149&gt;=250000,"Large",IF(L149&gt;=25000,"Medium - sweet spot","Small - easy to rank"))))</f>
        <v>0</v>
      </c>
      <c r="O149" s="23">
        <f>IF(D149="","",COUNTIF('Content Calendar'!$R$5:$R$604,D149))</f>
        <v>0</v>
      </c>
      <c r="Q149" s="23">
        <f>IF(P149="","",TODAY()-P149)</f>
        <v>0</v>
      </c>
      <c r="S149" s="29">
        <f>IF(B149="","",IF(COUNTIF('Hashtag Bank'!$B$5:$B$304,B149)&gt;1,"Duplicate","OK"))</f>
        <v>0</v>
      </c>
      <c r="T149" s="29">
        <f>IF(B149="","",IF(R149="Yes","Remove - flagged by the platform",IF(AND(L149&lt;&gt;"",L149&gt;=1000000),"Check - huge tag, pair with niche ones",IF(O149=0,"Add - group not on the calendar yet","OK"))))</f>
        <v>0</v>
      </c>
    </row>
    <row r="150" spans="1:20">
      <c r="A150" s="41">
        <f>IF(B150="","",HashtagPrefix&amp;TEXT(ROW()-4,"000"))</f>
        <v>0</v>
      </c>
      <c r="M150" s="17">
        <f>IF(L150="","",IF(L150&gt;=1000000,"Huge - very competitive",IF(L150&gt;=250000,"Large",IF(L150&gt;=25000,"Medium - sweet spot","Small - easy to rank"))))</f>
        <v>0</v>
      </c>
      <c r="O150" s="23">
        <f>IF(D150="","",COUNTIF('Content Calendar'!$R$5:$R$604,D150))</f>
        <v>0</v>
      </c>
      <c r="Q150" s="23">
        <f>IF(P150="","",TODAY()-P150)</f>
        <v>0</v>
      </c>
      <c r="S150" s="29">
        <f>IF(B150="","",IF(COUNTIF('Hashtag Bank'!$B$5:$B$304,B150)&gt;1,"Duplicate","OK"))</f>
        <v>0</v>
      </c>
      <c r="T150" s="29">
        <f>IF(B150="","",IF(R150="Yes","Remove - flagged by the platform",IF(AND(L150&lt;&gt;"",L150&gt;=1000000),"Check - huge tag, pair with niche ones",IF(O150=0,"Add - group not on the calendar yet","OK"))))</f>
        <v>0</v>
      </c>
    </row>
    <row r="151" spans="1:20">
      <c r="A151" s="41">
        <f>IF(B151="","",HashtagPrefix&amp;TEXT(ROW()-4,"000"))</f>
        <v>0</v>
      </c>
      <c r="M151" s="17">
        <f>IF(L151="","",IF(L151&gt;=1000000,"Huge - very competitive",IF(L151&gt;=250000,"Large",IF(L151&gt;=25000,"Medium - sweet spot","Small - easy to rank"))))</f>
        <v>0</v>
      </c>
      <c r="O151" s="23">
        <f>IF(D151="","",COUNTIF('Content Calendar'!$R$5:$R$604,D151))</f>
        <v>0</v>
      </c>
      <c r="Q151" s="23">
        <f>IF(P151="","",TODAY()-P151)</f>
        <v>0</v>
      </c>
      <c r="S151" s="29">
        <f>IF(B151="","",IF(COUNTIF('Hashtag Bank'!$B$5:$B$304,B151)&gt;1,"Duplicate","OK"))</f>
        <v>0</v>
      </c>
      <c r="T151" s="29">
        <f>IF(B151="","",IF(R151="Yes","Remove - flagged by the platform",IF(AND(L151&lt;&gt;"",L151&gt;=1000000),"Check - huge tag, pair with niche ones",IF(O151=0,"Add - group not on the calendar yet","OK"))))</f>
        <v>0</v>
      </c>
    </row>
    <row r="152" spans="1:20">
      <c r="A152" s="41">
        <f>IF(B152="","",HashtagPrefix&amp;TEXT(ROW()-4,"000"))</f>
        <v>0</v>
      </c>
      <c r="M152" s="17">
        <f>IF(L152="","",IF(L152&gt;=1000000,"Huge - very competitive",IF(L152&gt;=250000,"Large",IF(L152&gt;=25000,"Medium - sweet spot","Small - easy to rank"))))</f>
        <v>0</v>
      </c>
      <c r="O152" s="23">
        <f>IF(D152="","",COUNTIF('Content Calendar'!$R$5:$R$604,D152))</f>
        <v>0</v>
      </c>
      <c r="Q152" s="23">
        <f>IF(P152="","",TODAY()-P152)</f>
        <v>0</v>
      </c>
      <c r="S152" s="29">
        <f>IF(B152="","",IF(COUNTIF('Hashtag Bank'!$B$5:$B$304,B152)&gt;1,"Duplicate","OK"))</f>
        <v>0</v>
      </c>
      <c r="T152" s="29">
        <f>IF(B152="","",IF(R152="Yes","Remove - flagged by the platform",IF(AND(L152&lt;&gt;"",L152&gt;=1000000),"Check - huge tag, pair with niche ones",IF(O152=0,"Add - group not on the calendar yet","OK"))))</f>
        <v>0</v>
      </c>
    </row>
    <row r="153" spans="1:20">
      <c r="A153" s="41">
        <f>IF(B153="","",HashtagPrefix&amp;TEXT(ROW()-4,"000"))</f>
        <v>0</v>
      </c>
      <c r="M153" s="17">
        <f>IF(L153="","",IF(L153&gt;=1000000,"Huge - very competitive",IF(L153&gt;=250000,"Large",IF(L153&gt;=25000,"Medium - sweet spot","Small - easy to rank"))))</f>
        <v>0</v>
      </c>
      <c r="O153" s="23">
        <f>IF(D153="","",COUNTIF('Content Calendar'!$R$5:$R$604,D153))</f>
        <v>0</v>
      </c>
      <c r="Q153" s="23">
        <f>IF(P153="","",TODAY()-P153)</f>
        <v>0</v>
      </c>
      <c r="S153" s="29">
        <f>IF(B153="","",IF(COUNTIF('Hashtag Bank'!$B$5:$B$304,B153)&gt;1,"Duplicate","OK"))</f>
        <v>0</v>
      </c>
      <c r="T153" s="29">
        <f>IF(B153="","",IF(R153="Yes","Remove - flagged by the platform",IF(AND(L153&lt;&gt;"",L153&gt;=1000000),"Check - huge tag, pair with niche ones",IF(O153=0,"Add - group not on the calendar yet","OK"))))</f>
        <v>0</v>
      </c>
    </row>
    <row r="154" spans="1:20">
      <c r="A154" s="41">
        <f>IF(B154="","",HashtagPrefix&amp;TEXT(ROW()-4,"000"))</f>
        <v>0</v>
      </c>
      <c r="M154" s="17">
        <f>IF(L154="","",IF(L154&gt;=1000000,"Huge - very competitive",IF(L154&gt;=250000,"Large",IF(L154&gt;=25000,"Medium - sweet spot","Small - easy to rank"))))</f>
        <v>0</v>
      </c>
      <c r="O154" s="23">
        <f>IF(D154="","",COUNTIF('Content Calendar'!$R$5:$R$604,D154))</f>
        <v>0</v>
      </c>
      <c r="Q154" s="23">
        <f>IF(P154="","",TODAY()-P154)</f>
        <v>0</v>
      </c>
      <c r="S154" s="29">
        <f>IF(B154="","",IF(COUNTIF('Hashtag Bank'!$B$5:$B$304,B154)&gt;1,"Duplicate","OK"))</f>
        <v>0</v>
      </c>
      <c r="T154" s="29">
        <f>IF(B154="","",IF(R154="Yes","Remove - flagged by the platform",IF(AND(L154&lt;&gt;"",L154&gt;=1000000),"Check - huge tag, pair with niche ones",IF(O154=0,"Add - group not on the calendar yet","OK"))))</f>
        <v>0</v>
      </c>
    </row>
    <row r="155" spans="1:20">
      <c r="A155" s="41">
        <f>IF(B155="","",HashtagPrefix&amp;TEXT(ROW()-4,"000"))</f>
        <v>0</v>
      </c>
      <c r="M155" s="17">
        <f>IF(L155="","",IF(L155&gt;=1000000,"Huge - very competitive",IF(L155&gt;=250000,"Large",IF(L155&gt;=25000,"Medium - sweet spot","Small - easy to rank"))))</f>
        <v>0</v>
      </c>
      <c r="O155" s="23">
        <f>IF(D155="","",COUNTIF('Content Calendar'!$R$5:$R$604,D155))</f>
        <v>0</v>
      </c>
      <c r="Q155" s="23">
        <f>IF(P155="","",TODAY()-P155)</f>
        <v>0</v>
      </c>
      <c r="S155" s="29">
        <f>IF(B155="","",IF(COUNTIF('Hashtag Bank'!$B$5:$B$304,B155)&gt;1,"Duplicate","OK"))</f>
        <v>0</v>
      </c>
      <c r="T155" s="29">
        <f>IF(B155="","",IF(R155="Yes","Remove - flagged by the platform",IF(AND(L155&lt;&gt;"",L155&gt;=1000000),"Check - huge tag, pair with niche ones",IF(O155=0,"Add - group not on the calendar yet","OK"))))</f>
        <v>0</v>
      </c>
    </row>
    <row r="156" spans="1:20">
      <c r="A156" s="41">
        <f>IF(B156="","",HashtagPrefix&amp;TEXT(ROW()-4,"000"))</f>
        <v>0</v>
      </c>
      <c r="M156" s="17">
        <f>IF(L156="","",IF(L156&gt;=1000000,"Huge - very competitive",IF(L156&gt;=250000,"Large",IF(L156&gt;=25000,"Medium - sweet spot","Small - easy to rank"))))</f>
        <v>0</v>
      </c>
      <c r="O156" s="23">
        <f>IF(D156="","",COUNTIF('Content Calendar'!$R$5:$R$604,D156))</f>
        <v>0</v>
      </c>
      <c r="Q156" s="23">
        <f>IF(P156="","",TODAY()-P156)</f>
        <v>0</v>
      </c>
      <c r="S156" s="29">
        <f>IF(B156="","",IF(COUNTIF('Hashtag Bank'!$B$5:$B$304,B156)&gt;1,"Duplicate","OK"))</f>
        <v>0</v>
      </c>
      <c r="T156" s="29">
        <f>IF(B156="","",IF(R156="Yes","Remove - flagged by the platform",IF(AND(L156&lt;&gt;"",L156&gt;=1000000),"Check - huge tag, pair with niche ones",IF(O156=0,"Add - group not on the calendar yet","OK"))))</f>
        <v>0</v>
      </c>
    </row>
    <row r="157" spans="1:20">
      <c r="A157" s="41">
        <f>IF(B157="","",HashtagPrefix&amp;TEXT(ROW()-4,"000"))</f>
        <v>0</v>
      </c>
      <c r="M157" s="17">
        <f>IF(L157="","",IF(L157&gt;=1000000,"Huge - very competitive",IF(L157&gt;=250000,"Large",IF(L157&gt;=25000,"Medium - sweet spot","Small - easy to rank"))))</f>
        <v>0</v>
      </c>
      <c r="O157" s="23">
        <f>IF(D157="","",COUNTIF('Content Calendar'!$R$5:$R$604,D157))</f>
        <v>0</v>
      </c>
      <c r="Q157" s="23">
        <f>IF(P157="","",TODAY()-P157)</f>
        <v>0</v>
      </c>
      <c r="S157" s="29">
        <f>IF(B157="","",IF(COUNTIF('Hashtag Bank'!$B$5:$B$304,B157)&gt;1,"Duplicate","OK"))</f>
        <v>0</v>
      </c>
      <c r="T157" s="29">
        <f>IF(B157="","",IF(R157="Yes","Remove - flagged by the platform",IF(AND(L157&lt;&gt;"",L157&gt;=1000000),"Check - huge tag, pair with niche ones",IF(O157=0,"Add - group not on the calendar yet","OK"))))</f>
        <v>0</v>
      </c>
    </row>
    <row r="158" spans="1:20">
      <c r="A158" s="41">
        <f>IF(B158="","",HashtagPrefix&amp;TEXT(ROW()-4,"000"))</f>
        <v>0</v>
      </c>
      <c r="M158" s="17">
        <f>IF(L158="","",IF(L158&gt;=1000000,"Huge - very competitive",IF(L158&gt;=250000,"Large",IF(L158&gt;=25000,"Medium - sweet spot","Small - easy to rank"))))</f>
        <v>0</v>
      </c>
      <c r="O158" s="23">
        <f>IF(D158="","",COUNTIF('Content Calendar'!$R$5:$R$604,D158))</f>
        <v>0</v>
      </c>
      <c r="Q158" s="23">
        <f>IF(P158="","",TODAY()-P158)</f>
        <v>0</v>
      </c>
      <c r="S158" s="29">
        <f>IF(B158="","",IF(COUNTIF('Hashtag Bank'!$B$5:$B$304,B158)&gt;1,"Duplicate","OK"))</f>
        <v>0</v>
      </c>
      <c r="T158" s="29">
        <f>IF(B158="","",IF(R158="Yes","Remove - flagged by the platform",IF(AND(L158&lt;&gt;"",L158&gt;=1000000),"Check - huge tag, pair with niche ones",IF(O158=0,"Add - group not on the calendar yet","OK"))))</f>
        <v>0</v>
      </c>
    </row>
    <row r="159" spans="1:20">
      <c r="A159" s="41">
        <f>IF(B159="","",HashtagPrefix&amp;TEXT(ROW()-4,"000"))</f>
        <v>0</v>
      </c>
      <c r="M159" s="17">
        <f>IF(L159="","",IF(L159&gt;=1000000,"Huge - very competitive",IF(L159&gt;=250000,"Large",IF(L159&gt;=25000,"Medium - sweet spot","Small - easy to rank"))))</f>
        <v>0</v>
      </c>
      <c r="O159" s="23">
        <f>IF(D159="","",COUNTIF('Content Calendar'!$R$5:$R$604,D159))</f>
        <v>0</v>
      </c>
      <c r="Q159" s="23">
        <f>IF(P159="","",TODAY()-P159)</f>
        <v>0</v>
      </c>
      <c r="S159" s="29">
        <f>IF(B159="","",IF(COUNTIF('Hashtag Bank'!$B$5:$B$304,B159)&gt;1,"Duplicate","OK"))</f>
        <v>0</v>
      </c>
      <c r="T159" s="29">
        <f>IF(B159="","",IF(R159="Yes","Remove - flagged by the platform",IF(AND(L159&lt;&gt;"",L159&gt;=1000000),"Check - huge tag, pair with niche ones",IF(O159=0,"Add - group not on the calendar yet","OK"))))</f>
        <v>0</v>
      </c>
    </row>
    <row r="160" spans="1:20">
      <c r="A160" s="41">
        <f>IF(B160="","",HashtagPrefix&amp;TEXT(ROW()-4,"000"))</f>
        <v>0</v>
      </c>
      <c r="M160" s="17">
        <f>IF(L160="","",IF(L160&gt;=1000000,"Huge - very competitive",IF(L160&gt;=250000,"Large",IF(L160&gt;=25000,"Medium - sweet spot","Small - easy to rank"))))</f>
        <v>0</v>
      </c>
      <c r="O160" s="23">
        <f>IF(D160="","",COUNTIF('Content Calendar'!$R$5:$R$604,D160))</f>
        <v>0</v>
      </c>
      <c r="Q160" s="23">
        <f>IF(P160="","",TODAY()-P160)</f>
        <v>0</v>
      </c>
      <c r="S160" s="29">
        <f>IF(B160="","",IF(COUNTIF('Hashtag Bank'!$B$5:$B$304,B160)&gt;1,"Duplicate","OK"))</f>
        <v>0</v>
      </c>
      <c r="T160" s="29">
        <f>IF(B160="","",IF(R160="Yes","Remove - flagged by the platform",IF(AND(L160&lt;&gt;"",L160&gt;=1000000),"Check - huge tag, pair with niche ones",IF(O160=0,"Add - group not on the calendar yet","OK"))))</f>
        <v>0</v>
      </c>
    </row>
    <row r="161" spans="1:20">
      <c r="A161" s="41">
        <f>IF(B161="","",HashtagPrefix&amp;TEXT(ROW()-4,"000"))</f>
        <v>0</v>
      </c>
      <c r="M161" s="17">
        <f>IF(L161="","",IF(L161&gt;=1000000,"Huge - very competitive",IF(L161&gt;=250000,"Large",IF(L161&gt;=25000,"Medium - sweet spot","Small - easy to rank"))))</f>
        <v>0</v>
      </c>
      <c r="O161" s="23">
        <f>IF(D161="","",COUNTIF('Content Calendar'!$R$5:$R$604,D161))</f>
        <v>0</v>
      </c>
      <c r="Q161" s="23">
        <f>IF(P161="","",TODAY()-P161)</f>
        <v>0</v>
      </c>
      <c r="S161" s="29">
        <f>IF(B161="","",IF(COUNTIF('Hashtag Bank'!$B$5:$B$304,B161)&gt;1,"Duplicate","OK"))</f>
        <v>0</v>
      </c>
      <c r="T161" s="29">
        <f>IF(B161="","",IF(R161="Yes","Remove - flagged by the platform",IF(AND(L161&lt;&gt;"",L161&gt;=1000000),"Check - huge tag, pair with niche ones",IF(O161=0,"Add - group not on the calendar yet","OK"))))</f>
        <v>0</v>
      </c>
    </row>
    <row r="162" spans="1:20">
      <c r="A162" s="41">
        <f>IF(B162="","",HashtagPrefix&amp;TEXT(ROW()-4,"000"))</f>
        <v>0</v>
      </c>
      <c r="M162" s="17">
        <f>IF(L162="","",IF(L162&gt;=1000000,"Huge - very competitive",IF(L162&gt;=250000,"Large",IF(L162&gt;=25000,"Medium - sweet spot","Small - easy to rank"))))</f>
        <v>0</v>
      </c>
      <c r="O162" s="23">
        <f>IF(D162="","",COUNTIF('Content Calendar'!$R$5:$R$604,D162))</f>
        <v>0</v>
      </c>
      <c r="Q162" s="23">
        <f>IF(P162="","",TODAY()-P162)</f>
        <v>0</v>
      </c>
      <c r="S162" s="29">
        <f>IF(B162="","",IF(COUNTIF('Hashtag Bank'!$B$5:$B$304,B162)&gt;1,"Duplicate","OK"))</f>
        <v>0</v>
      </c>
      <c r="T162" s="29">
        <f>IF(B162="","",IF(R162="Yes","Remove - flagged by the platform",IF(AND(L162&lt;&gt;"",L162&gt;=1000000),"Check - huge tag, pair with niche ones",IF(O162=0,"Add - group not on the calendar yet","OK"))))</f>
        <v>0</v>
      </c>
    </row>
    <row r="163" spans="1:20">
      <c r="A163" s="41">
        <f>IF(B163="","",HashtagPrefix&amp;TEXT(ROW()-4,"000"))</f>
        <v>0</v>
      </c>
      <c r="M163" s="17">
        <f>IF(L163="","",IF(L163&gt;=1000000,"Huge - very competitive",IF(L163&gt;=250000,"Large",IF(L163&gt;=25000,"Medium - sweet spot","Small - easy to rank"))))</f>
        <v>0</v>
      </c>
      <c r="O163" s="23">
        <f>IF(D163="","",COUNTIF('Content Calendar'!$R$5:$R$604,D163))</f>
        <v>0</v>
      </c>
      <c r="Q163" s="23">
        <f>IF(P163="","",TODAY()-P163)</f>
        <v>0</v>
      </c>
      <c r="S163" s="29">
        <f>IF(B163="","",IF(COUNTIF('Hashtag Bank'!$B$5:$B$304,B163)&gt;1,"Duplicate","OK"))</f>
        <v>0</v>
      </c>
      <c r="T163" s="29">
        <f>IF(B163="","",IF(R163="Yes","Remove - flagged by the platform",IF(AND(L163&lt;&gt;"",L163&gt;=1000000),"Check - huge tag, pair with niche ones",IF(O163=0,"Add - group not on the calendar yet","OK"))))</f>
        <v>0</v>
      </c>
    </row>
    <row r="164" spans="1:20">
      <c r="A164" s="41">
        <f>IF(B164="","",HashtagPrefix&amp;TEXT(ROW()-4,"000"))</f>
        <v>0</v>
      </c>
      <c r="M164" s="17">
        <f>IF(L164="","",IF(L164&gt;=1000000,"Huge - very competitive",IF(L164&gt;=250000,"Large",IF(L164&gt;=25000,"Medium - sweet spot","Small - easy to rank"))))</f>
        <v>0</v>
      </c>
      <c r="O164" s="23">
        <f>IF(D164="","",COUNTIF('Content Calendar'!$R$5:$R$604,D164))</f>
        <v>0</v>
      </c>
      <c r="Q164" s="23">
        <f>IF(P164="","",TODAY()-P164)</f>
        <v>0</v>
      </c>
      <c r="S164" s="29">
        <f>IF(B164="","",IF(COUNTIF('Hashtag Bank'!$B$5:$B$304,B164)&gt;1,"Duplicate","OK"))</f>
        <v>0</v>
      </c>
      <c r="T164" s="29">
        <f>IF(B164="","",IF(R164="Yes","Remove - flagged by the platform",IF(AND(L164&lt;&gt;"",L164&gt;=1000000),"Check - huge tag, pair with niche ones",IF(O164=0,"Add - group not on the calendar yet","OK"))))</f>
        <v>0</v>
      </c>
    </row>
    <row r="165" spans="1:20">
      <c r="A165" s="41">
        <f>IF(B165="","",HashtagPrefix&amp;TEXT(ROW()-4,"000"))</f>
        <v>0</v>
      </c>
      <c r="M165" s="17">
        <f>IF(L165="","",IF(L165&gt;=1000000,"Huge - very competitive",IF(L165&gt;=250000,"Large",IF(L165&gt;=25000,"Medium - sweet spot","Small - easy to rank"))))</f>
        <v>0</v>
      </c>
      <c r="O165" s="23">
        <f>IF(D165="","",COUNTIF('Content Calendar'!$R$5:$R$604,D165))</f>
        <v>0</v>
      </c>
      <c r="Q165" s="23">
        <f>IF(P165="","",TODAY()-P165)</f>
        <v>0</v>
      </c>
      <c r="S165" s="29">
        <f>IF(B165="","",IF(COUNTIF('Hashtag Bank'!$B$5:$B$304,B165)&gt;1,"Duplicate","OK"))</f>
        <v>0</v>
      </c>
      <c r="T165" s="29">
        <f>IF(B165="","",IF(R165="Yes","Remove - flagged by the platform",IF(AND(L165&lt;&gt;"",L165&gt;=1000000),"Check - huge tag, pair with niche ones",IF(O165=0,"Add - group not on the calendar yet","OK"))))</f>
        <v>0</v>
      </c>
    </row>
    <row r="166" spans="1:20">
      <c r="A166" s="41">
        <f>IF(B166="","",HashtagPrefix&amp;TEXT(ROW()-4,"000"))</f>
        <v>0</v>
      </c>
      <c r="M166" s="17">
        <f>IF(L166="","",IF(L166&gt;=1000000,"Huge - very competitive",IF(L166&gt;=250000,"Large",IF(L166&gt;=25000,"Medium - sweet spot","Small - easy to rank"))))</f>
        <v>0</v>
      </c>
      <c r="O166" s="23">
        <f>IF(D166="","",COUNTIF('Content Calendar'!$R$5:$R$604,D166))</f>
        <v>0</v>
      </c>
      <c r="Q166" s="23">
        <f>IF(P166="","",TODAY()-P166)</f>
        <v>0</v>
      </c>
      <c r="S166" s="29">
        <f>IF(B166="","",IF(COUNTIF('Hashtag Bank'!$B$5:$B$304,B166)&gt;1,"Duplicate","OK"))</f>
        <v>0</v>
      </c>
      <c r="T166" s="29">
        <f>IF(B166="","",IF(R166="Yes","Remove - flagged by the platform",IF(AND(L166&lt;&gt;"",L166&gt;=1000000),"Check - huge tag, pair with niche ones",IF(O166=0,"Add - group not on the calendar yet","OK"))))</f>
        <v>0</v>
      </c>
    </row>
    <row r="167" spans="1:20">
      <c r="A167" s="41">
        <f>IF(B167="","",HashtagPrefix&amp;TEXT(ROW()-4,"000"))</f>
        <v>0</v>
      </c>
      <c r="M167" s="17">
        <f>IF(L167="","",IF(L167&gt;=1000000,"Huge - very competitive",IF(L167&gt;=250000,"Large",IF(L167&gt;=25000,"Medium - sweet spot","Small - easy to rank"))))</f>
        <v>0</v>
      </c>
      <c r="O167" s="23">
        <f>IF(D167="","",COUNTIF('Content Calendar'!$R$5:$R$604,D167))</f>
        <v>0</v>
      </c>
      <c r="Q167" s="23">
        <f>IF(P167="","",TODAY()-P167)</f>
        <v>0</v>
      </c>
      <c r="S167" s="29">
        <f>IF(B167="","",IF(COUNTIF('Hashtag Bank'!$B$5:$B$304,B167)&gt;1,"Duplicate","OK"))</f>
        <v>0</v>
      </c>
      <c r="T167" s="29">
        <f>IF(B167="","",IF(R167="Yes","Remove - flagged by the platform",IF(AND(L167&lt;&gt;"",L167&gt;=1000000),"Check - huge tag, pair with niche ones",IF(O167=0,"Add - group not on the calendar yet","OK"))))</f>
        <v>0</v>
      </c>
    </row>
    <row r="168" spans="1:20">
      <c r="A168" s="41">
        <f>IF(B168="","",HashtagPrefix&amp;TEXT(ROW()-4,"000"))</f>
        <v>0</v>
      </c>
      <c r="M168" s="17">
        <f>IF(L168="","",IF(L168&gt;=1000000,"Huge - very competitive",IF(L168&gt;=250000,"Large",IF(L168&gt;=25000,"Medium - sweet spot","Small - easy to rank"))))</f>
        <v>0</v>
      </c>
      <c r="O168" s="23">
        <f>IF(D168="","",COUNTIF('Content Calendar'!$R$5:$R$604,D168))</f>
        <v>0</v>
      </c>
      <c r="Q168" s="23">
        <f>IF(P168="","",TODAY()-P168)</f>
        <v>0</v>
      </c>
      <c r="S168" s="29">
        <f>IF(B168="","",IF(COUNTIF('Hashtag Bank'!$B$5:$B$304,B168)&gt;1,"Duplicate","OK"))</f>
        <v>0</v>
      </c>
      <c r="T168" s="29">
        <f>IF(B168="","",IF(R168="Yes","Remove - flagged by the platform",IF(AND(L168&lt;&gt;"",L168&gt;=1000000),"Check - huge tag, pair with niche ones",IF(O168=0,"Add - group not on the calendar yet","OK"))))</f>
        <v>0</v>
      </c>
    </row>
    <row r="169" spans="1:20">
      <c r="A169" s="41">
        <f>IF(B169="","",HashtagPrefix&amp;TEXT(ROW()-4,"000"))</f>
        <v>0</v>
      </c>
      <c r="M169" s="17">
        <f>IF(L169="","",IF(L169&gt;=1000000,"Huge - very competitive",IF(L169&gt;=250000,"Large",IF(L169&gt;=25000,"Medium - sweet spot","Small - easy to rank"))))</f>
        <v>0</v>
      </c>
      <c r="O169" s="23">
        <f>IF(D169="","",COUNTIF('Content Calendar'!$R$5:$R$604,D169))</f>
        <v>0</v>
      </c>
      <c r="Q169" s="23">
        <f>IF(P169="","",TODAY()-P169)</f>
        <v>0</v>
      </c>
      <c r="S169" s="29">
        <f>IF(B169="","",IF(COUNTIF('Hashtag Bank'!$B$5:$B$304,B169)&gt;1,"Duplicate","OK"))</f>
        <v>0</v>
      </c>
      <c r="T169" s="29">
        <f>IF(B169="","",IF(R169="Yes","Remove - flagged by the platform",IF(AND(L169&lt;&gt;"",L169&gt;=1000000),"Check - huge tag, pair with niche ones",IF(O169=0,"Add - group not on the calendar yet","OK"))))</f>
        <v>0</v>
      </c>
    </row>
    <row r="170" spans="1:20">
      <c r="A170" s="41">
        <f>IF(B170="","",HashtagPrefix&amp;TEXT(ROW()-4,"000"))</f>
        <v>0</v>
      </c>
      <c r="M170" s="17">
        <f>IF(L170="","",IF(L170&gt;=1000000,"Huge - very competitive",IF(L170&gt;=250000,"Large",IF(L170&gt;=25000,"Medium - sweet spot","Small - easy to rank"))))</f>
        <v>0</v>
      </c>
      <c r="O170" s="23">
        <f>IF(D170="","",COUNTIF('Content Calendar'!$R$5:$R$604,D170))</f>
        <v>0</v>
      </c>
      <c r="Q170" s="23">
        <f>IF(P170="","",TODAY()-P170)</f>
        <v>0</v>
      </c>
      <c r="S170" s="29">
        <f>IF(B170="","",IF(COUNTIF('Hashtag Bank'!$B$5:$B$304,B170)&gt;1,"Duplicate","OK"))</f>
        <v>0</v>
      </c>
      <c r="T170" s="29">
        <f>IF(B170="","",IF(R170="Yes","Remove - flagged by the platform",IF(AND(L170&lt;&gt;"",L170&gt;=1000000),"Check - huge tag, pair with niche ones",IF(O170=0,"Add - group not on the calendar yet","OK"))))</f>
        <v>0</v>
      </c>
    </row>
    <row r="171" spans="1:20">
      <c r="A171" s="41">
        <f>IF(B171="","",HashtagPrefix&amp;TEXT(ROW()-4,"000"))</f>
        <v>0</v>
      </c>
      <c r="M171" s="17">
        <f>IF(L171="","",IF(L171&gt;=1000000,"Huge - very competitive",IF(L171&gt;=250000,"Large",IF(L171&gt;=25000,"Medium - sweet spot","Small - easy to rank"))))</f>
        <v>0</v>
      </c>
      <c r="O171" s="23">
        <f>IF(D171="","",COUNTIF('Content Calendar'!$R$5:$R$604,D171))</f>
        <v>0</v>
      </c>
      <c r="Q171" s="23">
        <f>IF(P171="","",TODAY()-P171)</f>
        <v>0</v>
      </c>
      <c r="S171" s="29">
        <f>IF(B171="","",IF(COUNTIF('Hashtag Bank'!$B$5:$B$304,B171)&gt;1,"Duplicate","OK"))</f>
        <v>0</v>
      </c>
      <c r="T171" s="29">
        <f>IF(B171="","",IF(R171="Yes","Remove - flagged by the platform",IF(AND(L171&lt;&gt;"",L171&gt;=1000000),"Check - huge tag, pair with niche ones",IF(O171=0,"Add - group not on the calendar yet","OK"))))</f>
        <v>0</v>
      </c>
    </row>
    <row r="172" spans="1:20">
      <c r="A172" s="41">
        <f>IF(B172="","",HashtagPrefix&amp;TEXT(ROW()-4,"000"))</f>
        <v>0</v>
      </c>
      <c r="M172" s="17">
        <f>IF(L172="","",IF(L172&gt;=1000000,"Huge - very competitive",IF(L172&gt;=250000,"Large",IF(L172&gt;=25000,"Medium - sweet spot","Small - easy to rank"))))</f>
        <v>0</v>
      </c>
      <c r="O172" s="23">
        <f>IF(D172="","",COUNTIF('Content Calendar'!$R$5:$R$604,D172))</f>
        <v>0</v>
      </c>
      <c r="Q172" s="23">
        <f>IF(P172="","",TODAY()-P172)</f>
        <v>0</v>
      </c>
      <c r="S172" s="29">
        <f>IF(B172="","",IF(COUNTIF('Hashtag Bank'!$B$5:$B$304,B172)&gt;1,"Duplicate","OK"))</f>
        <v>0</v>
      </c>
      <c r="T172" s="29">
        <f>IF(B172="","",IF(R172="Yes","Remove - flagged by the platform",IF(AND(L172&lt;&gt;"",L172&gt;=1000000),"Check - huge tag, pair with niche ones",IF(O172=0,"Add - group not on the calendar yet","OK"))))</f>
        <v>0</v>
      </c>
    </row>
    <row r="173" spans="1:20">
      <c r="A173" s="41">
        <f>IF(B173="","",HashtagPrefix&amp;TEXT(ROW()-4,"000"))</f>
        <v>0</v>
      </c>
      <c r="M173" s="17">
        <f>IF(L173="","",IF(L173&gt;=1000000,"Huge - very competitive",IF(L173&gt;=250000,"Large",IF(L173&gt;=25000,"Medium - sweet spot","Small - easy to rank"))))</f>
        <v>0</v>
      </c>
      <c r="O173" s="23">
        <f>IF(D173="","",COUNTIF('Content Calendar'!$R$5:$R$604,D173))</f>
        <v>0</v>
      </c>
      <c r="Q173" s="23">
        <f>IF(P173="","",TODAY()-P173)</f>
        <v>0</v>
      </c>
      <c r="S173" s="29">
        <f>IF(B173="","",IF(COUNTIF('Hashtag Bank'!$B$5:$B$304,B173)&gt;1,"Duplicate","OK"))</f>
        <v>0</v>
      </c>
      <c r="T173" s="29">
        <f>IF(B173="","",IF(R173="Yes","Remove - flagged by the platform",IF(AND(L173&lt;&gt;"",L173&gt;=1000000),"Check - huge tag, pair with niche ones",IF(O173=0,"Add - group not on the calendar yet","OK"))))</f>
        <v>0</v>
      </c>
    </row>
    <row r="174" spans="1:20">
      <c r="A174" s="41">
        <f>IF(B174="","",HashtagPrefix&amp;TEXT(ROW()-4,"000"))</f>
        <v>0</v>
      </c>
      <c r="M174" s="17">
        <f>IF(L174="","",IF(L174&gt;=1000000,"Huge - very competitive",IF(L174&gt;=250000,"Large",IF(L174&gt;=25000,"Medium - sweet spot","Small - easy to rank"))))</f>
        <v>0</v>
      </c>
      <c r="O174" s="23">
        <f>IF(D174="","",COUNTIF('Content Calendar'!$R$5:$R$604,D174))</f>
        <v>0</v>
      </c>
      <c r="Q174" s="23">
        <f>IF(P174="","",TODAY()-P174)</f>
        <v>0</v>
      </c>
      <c r="S174" s="29">
        <f>IF(B174="","",IF(COUNTIF('Hashtag Bank'!$B$5:$B$304,B174)&gt;1,"Duplicate","OK"))</f>
        <v>0</v>
      </c>
      <c r="T174" s="29">
        <f>IF(B174="","",IF(R174="Yes","Remove - flagged by the platform",IF(AND(L174&lt;&gt;"",L174&gt;=1000000),"Check - huge tag, pair with niche ones",IF(O174=0,"Add - group not on the calendar yet","OK"))))</f>
        <v>0</v>
      </c>
    </row>
    <row r="175" spans="1:20">
      <c r="A175" s="41">
        <f>IF(B175="","",HashtagPrefix&amp;TEXT(ROW()-4,"000"))</f>
        <v>0</v>
      </c>
      <c r="M175" s="17">
        <f>IF(L175="","",IF(L175&gt;=1000000,"Huge - very competitive",IF(L175&gt;=250000,"Large",IF(L175&gt;=25000,"Medium - sweet spot","Small - easy to rank"))))</f>
        <v>0</v>
      </c>
      <c r="O175" s="23">
        <f>IF(D175="","",COUNTIF('Content Calendar'!$R$5:$R$604,D175))</f>
        <v>0</v>
      </c>
      <c r="Q175" s="23">
        <f>IF(P175="","",TODAY()-P175)</f>
        <v>0</v>
      </c>
      <c r="S175" s="29">
        <f>IF(B175="","",IF(COUNTIF('Hashtag Bank'!$B$5:$B$304,B175)&gt;1,"Duplicate","OK"))</f>
        <v>0</v>
      </c>
      <c r="T175" s="29">
        <f>IF(B175="","",IF(R175="Yes","Remove - flagged by the platform",IF(AND(L175&lt;&gt;"",L175&gt;=1000000),"Check - huge tag, pair with niche ones",IF(O175=0,"Add - group not on the calendar yet","OK"))))</f>
        <v>0</v>
      </c>
    </row>
    <row r="176" spans="1:20">
      <c r="A176" s="41">
        <f>IF(B176="","",HashtagPrefix&amp;TEXT(ROW()-4,"000"))</f>
        <v>0</v>
      </c>
      <c r="M176" s="17">
        <f>IF(L176="","",IF(L176&gt;=1000000,"Huge - very competitive",IF(L176&gt;=250000,"Large",IF(L176&gt;=25000,"Medium - sweet spot","Small - easy to rank"))))</f>
        <v>0</v>
      </c>
      <c r="O176" s="23">
        <f>IF(D176="","",COUNTIF('Content Calendar'!$R$5:$R$604,D176))</f>
        <v>0</v>
      </c>
      <c r="Q176" s="23">
        <f>IF(P176="","",TODAY()-P176)</f>
        <v>0</v>
      </c>
      <c r="S176" s="29">
        <f>IF(B176="","",IF(COUNTIF('Hashtag Bank'!$B$5:$B$304,B176)&gt;1,"Duplicate","OK"))</f>
        <v>0</v>
      </c>
      <c r="T176" s="29">
        <f>IF(B176="","",IF(R176="Yes","Remove - flagged by the platform",IF(AND(L176&lt;&gt;"",L176&gt;=1000000),"Check - huge tag, pair with niche ones",IF(O176=0,"Add - group not on the calendar yet","OK"))))</f>
        <v>0</v>
      </c>
    </row>
    <row r="177" spans="1:20">
      <c r="A177" s="41">
        <f>IF(B177="","",HashtagPrefix&amp;TEXT(ROW()-4,"000"))</f>
        <v>0</v>
      </c>
      <c r="M177" s="17">
        <f>IF(L177="","",IF(L177&gt;=1000000,"Huge - very competitive",IF(L177&gt;=250000,"Large",IF(L177&gt;=25000,"Medium - sweet spot","Small - easy to rank"))))</f>
        <v>0</v>
      </c>
      <c r="O177" s="23">
        <f>IF(D177="","",COUNTIF('Content Calendar'!$R$5:$R$604,D177))</f>
        <v>0</v>
      </c>
      <c r="Q177" s="23">
        <f>IF(P177="","",TODAY()-P177)</f>
        <v>0</v>
      </c>
      <c r="S177" s="29">
        <f>IF(B177="","",IF(COUNTIF('Hashtag Bank'!$B$5:$B$304,B177)&gt;1,"Duplicate","OK"))</f>
        <v>0</v>
      </c>
      <c r="T177" s="29">
        <f>IF(B177="","",IF(R177="Yes","Remove - flagged by the platform",IF(AND(L177&lt;&gt;"",L177&gt;=1000000),"Check - huge tag, pair with niche ones",IF(O177=0,"Add - group not on the calendar yet","OK"))))</f>
        <v>0</v>
      </c>
    </row>
    <row r="178" spans="1:20">
      <c r="A178" s="41">
        <f>IF(B178="","",HashtagPrefix&amp;TEXT(ROW()-4,"000"))</f>
        <v>0</v>
      </c>
      <c r="M178" s="17">
        <f>IF(L178="","",IF(L178&gt;=1000000,"Huge - very competitive",IF(L178&gt;=250000,"Large",IF(L178&gt;=25000,"Medium - sweet spot","Small - easy to rank"))))</f>
        <v>0</v>
      </c>
      <c r="O178" s="23">
        <f>IF(D178="","",COUNTIF('Content Calendar'!$R$5:$R$604,D178))</f>
        <v>0</v>
      </c>
      <c r="Q178" s="23">
        <f>IF(P178="","",TODAY()-P178)</f>
        <v>0</v>
      </c>
      <c r="S178" s="29">
        <f>IF(B178="","",IF(COUNTIF('Hashtag Bank'!$B$5:$B$304,B178)&gt;1,"Duplicate","OK"))</f>
        <v>0</v>
      </c>
      <c r="T178" s="29">
        <f>IF(B178="","",IF(R178="Yes","Remove - flagged by the platform",IF(AND(L178&lt;&gt;"",L178&gt;=1000000),"Check - huge tag, pair with niche ones",IF(O178=0,"Add - group not on the calendar yet","OK"))))</f>
        <v>0</v>
      </c>
    </row>
    <row r="179" spans="1:20">
      <c r="A179" s="41">
        <f>IF(B179="","",HashtagPrefix&amp;TEXT(ROW()-4,"000"))</f>
        <v>0</v>
      </c>
      <c r="M179" s="17">
        <f>IF(L179="","",IF(L179&gt;=1000000,"Huge - very competitive",IF(L179&gt;=250000,"Large",IF(L179&gt;=25000,"Medium - sweet spot","Small - easy to rank"))))</f>
        <v>0</v>
      </c>
      <c r="O179" s="23">
        <f>IF(D179="","",COUNTIF('Content Calendar'!$R$5:$R$604,D179))</f>
        <v>0</v>
      </c>
      <c r="Q179" s="23">
        <f>IF(P179="","",TODAY()-P179)</f>
        <v>0</v>
      </c>
      <c r="S179" s="29">
        <f>IF(B179="","",IF(COUNTIF('Hashtag Bank'!$B$5:$B$304,B179)&gt;1,"Duplicate","OK"))</f>
        <v>0</v>
      </c>
      <c r="T179" s="29">
        <f>IF(B179="","",IF(R179="Yes","Remove - flagged by the platform",IF(AND(L179&lt;&gt;"",L179&gt;=1000000),"Check - huge tag, pair with niche ones",IF(O179=0,"Add - group not on the calendar yet","OK"))))</f>
        <v>0</v>
      </c>
    </row>
    <row r="180" spans="1:20">
      <c r="A180" s="41">
        <f>IF(B180="","",HashtagPrefix&amp;TEXT(ROW()-4,"000"))</f>
        <v>0</v>
      </c>
      <c r="M180" s="17">
        <f>IF(L180="","",IF(L180&gt;=1000000,"Huge - very competitive",IF(L180&gt;=250000,"Large",IF(L180&gt;=25000,"Medium - sweet spot","Small - easy to rank"))))</f>
        <v>0</v>
      </c>
      <c r="O180" s="23">
        <f>IF(D180="","",COUNTIF('Content Calendar'!$R$5:$R$604,D180))</f>
        <v>0</v>
      </c>
      <c r="Q180" s="23">
        <f>IF(P180="","",TODAY()-P180)</f>
        <v>0</v>
      </c>
      <c r="S180" s="29">
        <f>IF(B180="","",IF(COUNTIF('Hashtag Bank'!$B$5:$B$304,B180)&gt;1,"Duplicate","OK"))</f>
        <v>0</v>
      </c>
      <c r="T180" s="29">
        <f>IF(B180="","",IF(R180="Yes","Remove - flagged by the platform",IF(AND(L180&lt;&gt;"",L180&gt;=1000000),"Check - huge tag, pair with niche ones",IF(O180=0,"Add - group not on the calendar yet","OK"))))</f>
        <v>0</v>
      </c>
    </row>
    <row r="181" spans="1:20">
      <c r="A181" s="41">
        <f>IF(B181="","",HashtagPrefix&amp;TEXT(ROW()-4,"000"))</f>
        <v>0</v>
      </c>
      <c r="M181" s="17">
        <f>IF(L181="","",IF(L181&gt;=1000000,"Huge - very competitive",IF(L181&gt;=250000,"Large",IF(L181&gt;=25000,"Medium - sweet spot","Small - easy to rank"))))</f>
        <v>0</v>
      </c>
      <c r="O181" s="23">
        <f>IF(D181="","",COUNTIF('Content Calendar'!$R$5:$R$604,D181))</f>
        <v>0</v>
      </c>
      <c r="Q181" s="23">
        <f>IF(P181="","",TODAY()-P181)</f>
        <v>0</v>
      </c>
      <c r="S181" s="29">
        <f>IF(B181="","",IF(COUNTIF('Hashtag Bank'!$B$5:$B$304,B181)&gt;1,"Duplicate","OK"))</f>
        <v>0</v>
      </c>
      <c r="T181" s="29">
        <f>IF(B181="","",IF(R181="Yes","Remove - flagged by the platform",IF(AND(L181&lt;&gt;"",L181&gt;=1000000),"Check - huge tag, pair with niche ones",IF(O181=0,"Add - group not on the calendar yet","OK"))))</f>
        <v>0</v>
      </c>
    </row>
    <row r="182" spans="1:20">
      <c r="A182" s="41">
        <f>IF(B182="","",HashtagPrefix&amp;TEXT(ROW()-4,"000"))</f>
        <v>0</v>
      </c>
      <c r="M182" s="17">
        <f>IF(L182="","",IF(L182&gt;=1000000,"Huge - very competitive",IF(L182&gt;=250000,"Large",IF(L182&gt;=25000,"Medium - sweet spot","Small - easy to rank"))))</f>
        <v>0</v>
      </c>
      <c r="O182" s="23">
        <f>IF(D182="","",COUNTIF('Content Calendar'!$R$5:$R$604,D182))</f>
        <v>0</v>
      </c>
      <c r="Q182" s="23">
        <f>IF(P182="","",TODAY()-P182)</f>
        <v>0</v>
      </c>
      <c r="S182" s="29">
        <f>IF(B182="","",IF(COUNTIF('Hashtag Bank'!$B$5:$B$304,B182)&gt;1,"Duplicate","OK"))</f>
        <v>0</v>
      </c>
      <c r="T182" s="29">
        <f>IF(B182="","",IF(R182="Yes","Remove - flagged by the platform",IF(AND(L182&lt;&gt;"",L182&gt;=1000000),"Check - huge tag, pair with niche ones",IF(O182=0,"Add - group not on the calendar yet","OK"))))</f>
        <v>0</v>
      </c>
    </row>
    <row r="183" spans="1:20">
      <c r="A183" s="41">
        <f>IF(B183="","",HashtagPrefix&amp;TEXT(ROW()-4,"000"))</f>
        <v>0</v>
      </c>
      <c r="M183" s="17">
        <f>IF(L183="","",IF(L183&gt;=1000000,"Huge - very competitive",IF(L183&gt;=250000,"Large",IF(L183&gt;=25000,"Medium - sweet spot","Small - easy to rank"))))</f>
        <v>0</v>
      </c>
      <c r="O183" s="23">
        <f>IF(D183="","",COUNTIF('Content Calendar'!$R$5:$R$604,D183))</f>
        <v>0</v>
      </c>
      <c r="Q183" s="23">
        <f>IF(P183="","",TODAY()-P183)</f>
        <v>0</v>
      </c>
      <c r="S183" s="29">
        <f>IF(B183="","",IF(COUNTIF('Hashtag Bank'!$B$5:$B$304,B183)&gt;1,"Duplicate","OK"))</f>
        <v>0</v>
      </c>
      <c r="T183" s="29">
        <f>IF(B183="","",IF(R183="Yes","Remove - flagged by the platform",IF(AND(L183&lt;&gt;"",L183&gt;=1000000),"Check - huge tag, pair with niche ones",IF(O183=0,"Add - group not on the calendar yet","OK"))))</f>
        <v>0</v>
      </c>
    </row>
    <row r="184" spans="1:20">
      <c r="A184" s="41">
        <f>IF(B184="","",HashtagPrefix&amp;TEXT(ROW()-4,"000"))</f>
        <v>0</v>
      </c>
      <c r="M184" s="17">
        <f>IF(L184="","",IF(L184&gt;=1000000,"Huge - very competitive",IF(L184&gt;=250000,"Large",IF(L184&gt;=25000,"Medium - sweet spot","Small - easy to rank"))))</f>
        <v>0</v>
      </c>
      <c r="O184" s="23">
        <f>IF(D184="","",COUNTIF('Content Calendar'!$R$5:$R$604,D184))</f>
        <v>0</v>
      </c>
      <c r="Q184" s="23">
        <f>IF(P184="","",TODAY()-P184)</f>
        <v>0</v>
      </c>
      <c r="S184" s="29">
        <f>IF(B184="","",IF(COUNTIF('Hashtag Bank'!$B$5:$B$304,B184)&gt;1,"Duplicate","OK"))</f>
        <v>0</v>
      </c>
      <c r="T184" s="29">
        <f>IF(B184="","",IF(R184="Yes","Remove - flagged by the platform",IF(AND(L184&lt;&gt;"",L184&gt;=1000000),"Check - huge tag, pair with niche ones",IF(O184=0,"Add - group not on the calendar yet","OK"))))</f>
        <v>0</v>
      </c>
    </row>
    <row r="185" spans="1:20">
      <c r="A185" s="41">
        <f>IF(B185="","",HashtagPrefix&amp;TEXT(ROW()-4,"000"))</f>
        <v>0</v>
      </c>
      <c r="M185" s="17">
        <f>IF(L185="","",IF(L185&gt;=1000000,"Huge - very competitive",IF(L185&gt;=250000,"Large",IF(L185&gt;=25000,"Medium - sweet spot","Small - easy to rank"))))</f>
        <v>0</v>
      </c>
      <c r="O185" s="23">
        <f>IF(D185="","",COUNTIF('Content Calendar'!$R$5:$R$604,D185))</f>
        <v>0</v>
      </c>
      <c r="Q185" s="23">
        <f>IF(P185="","",TODAY()-P185)</f>
        <v>0</v>
      </c>
      <c r="S185" s="29">
        <f>IF(B185="","",IF(COUNTIF('Hashtag Bank'!$B$5:$B$304,B185)&gt;1,"Duplicate","OK"))</f>
        <v>0</v>
      </c>
      <c r="T185" s="29">
        <f>IF(B185="","",IF(R185="Yes","Remove - flagged by the platform",IF(AND(L185&lt;&gt;"",L185&gt;=1000000),"Check - huge tag, pair with niche ones",IF(O185=0,"Add - group not on the calendar yet","OK"))))</f>
        <v>0</v>
      </c>
    </row>
    <row r="186" spans="1:20">
      <c r="A186" s="41">
        <f>IF(B186="","",HashtagPrefix&amp;TEXT(ROW()-4,"000"))</f>
        <v>0</v>
      </c>
      <c r="M186" s="17">
        <f>IF(L186="","",IF(L186&gt;=1000000,"Huge - very competitive",IF(L186&gt;=250000,"Large",IF(L186&gt;=25000,"Medium - sweet spot","Small - easy to rank"))))</f>
        <v>0</v>
      </c>
      <c r="O186" s="23">
        <f>IF(D186="","",COUNTIF('Content Calendar'!$R$5:$R$604,D186))</f>
        <v>0</v>
      </c>
      <c r="Q186" s="23">
        <f>IF(P186="","",TODAY()-P186)</f>
        <v>0</v>
      </c>
      <c r="S186" s="29">
        <f>IF(B186="","",IF(COUNTIF('Hashtag Bank'!$B$5:$B$304,B186)&gt;1,"Duplicate","OK"))</f>
        <v>0</v>
      </c>
      <c r="T186" s="29">
        <f>IF(B186="","",IF(R186="Yes","Remove - flagged by the platform",IF(AND(L186&lt;&gt;"",L186&gt;=1000000),"Check - huge tag, pair with niche ones",IF(O186=0,"Add - group not on the calendar yet","OK"))))</f>
        <v>0</v>
      </c>
    </row>
    <row r="187" spans="1:20">
      <c r="A187" s="41">
        <f>IF(B187="","",HashtagPrefix&amp;TEXT(ROW()-4,"000"))</f>
        <v>0</v>
      </c>
      <c r="M187" s="17">
        <f>IF(L187="","",IF(L187&gt;=1000000,"Huge - very competitive",IF(L187&gt;=250000,"Large",IF(L187&gt;=25000,"Medium - sweet spot","Small - easy to rank"))))</f>
        <v>0</v>
      </c>
      <c r="O187" s="23">
        <f>IF(D187="","",COUNTIF('Content Calendar'!$R$5:$R$604,D187))</f>
        <v>0</v>
      </c>
      <c r="Q187" s="23">
        <f>IF(P187="","",TODAY()-P187)</f>
        <v>0</v>
      </c>
      <c r="S187" s="29">
        <f>IF(B187="","",IF(COUNTIF('Hashtag Bank'!$B$5:$B$304,B187)&gt;1,"Duplicate","OK"))</f>
        <v>0</v>
      </c>
      <c r="T187" s="29">
        <f>IF(B187="","",IF(R187="Yes","Remove - flagged by the platform",IF(AND(L187&lt;&gt;"",L187&gt;=1000000),"Check - huge tag, pair with niche ones",IF(O187=0,"Add - group not on the calendar yet","OK"))))</f>
        <v>0</v>
      </c>
    </row>
    <row r="188" spans="1:20">
      <c r="A188" s="41">
        <f>IF(B188="","",HashtagPrefix&amp;TEXT(ROW()-4,"000"))</f>
        <v>0</v>
      </c>
      <c r="M188" s="17">
        <f>IF(L188="","",IF(L188&gt;=1000000,"Huge - very competitive",IF(L188&gt;=250000,"Large",IF(L188&gt;=25000,"Medium - sweet spot","Small - easy to rank"))))</f>
        <v>0</v>
      </c>
      <c r="O188" s="23">
        <f>IF(D188="","",COUNTIF('Content Calendar'!$R$5:$R$604,D188))</f>
        <v>0</v>
      </c>
      <c r="Q188" s="23">
        <f>IF(P188="","",TODAY()-P188)</f>
        <v>0</v>
      </c>
      <c r="S188" s="29">
        <f>IF(B188="","",IF(COUNTIF('Hashtag Bank'!$B$5:$B$304,B188)&gt;1,"Duplicate","OK"))</f>
        <v>0</v>
      </c>
      <c r="T188" s="29">
        <f>IF(B188="","",IF(R188="Yes","Remove - flagged by the platform",IF(AND(L188&lt;&gt;"",L188&gt;=1000000),"Check - huge tag, pair with niche ones",IF(O188=0,"Add - group not on the calendar yet","OK"))))</f>
        <v>0</v>
      </c>
    </row>
    <row r="189" spans="1:20">
      <c r="A189" s="41">
        <f>IF(B189="","",HashtagPrefix&amp;TEXT(ROW()-4,"000"))</f>
        <v>0</v>
      </c>
      <c r="M189" s="17">
        <f>IF(L189="","",IF(L189&gt;=1000000,"Huge - very competitive",IF(L189&gt;=250000,"Large",IF(L189&gt;=25000,"Medium - sweet spot","Small - easy to rank"))))</f>
        <v>0</v>
      </c>
      <c r="O189" s="23">
        <f>IF(D189="","",COUNTIF('Content Calendar'!$R$5:$R$604,D189))</f>
        <v>0</v>
      </c>
      <c r="Q189" s="23">
        <f>IF(P189="","",TODAY()-P189)</f>
        <v>0</v>
      </c>
      <c r="S189" s="29">
        <f>IF(B189="","",IF(COUNTIF('Hashtag Bank'!$B$5:$B$304,B189)&gt;1,"Duplicate","OK"))</f>
        <v>0</v>
      </c>
      <c r="T189" s="29">
        <f>IF(B189="","",IF(R189="Yes","Remove - flagged by the platform",IF(AND(L189&lt;&gt;"",L189&gt;=1000000),"Check - huge tag, pair with niche ones",IF(O189=0,"Add - group not on the calendar yet","OK"))))</f>
        <v>0</v>
      </c>
    </row>
    <row r="190" spans="1:20">
      <c r="A190" s="41">
        <f>IF(B190="","",HashtagPrefix&amp;TEXT(ROW()-4,"000"))</f>
        <v>0</v>
      </c>
      <c r="M190" s="17">
        <f>IF(L190="","",IF(L190&gt;=1000000,"Huge - very competitive",IF(L190&gt;=250000,"Large",IF(L190&gt;=25000,"Medium - sweet spot","Small - easy to rank"))))</f>
        <v>0</v>
      </c>
      <c r="O190" s="23">
        <f>IF(D190="","",COUNTIF('Content Calendar'!$R$5:$R$604,D190))</f>
        <v>0</v>
      </c>
      <c r="Q190" s="23">
        <f>IF(P190="","",TODAY()-P190)</f>
        <v>0</v>
      </c>
      <c r="S190" s="29">
        <f>IF(B190="","",IF(COUNTIF('Hashtag Bank'!$B$5:$B$304,B190)&gt;1,"Duplicate","OK"))</f>
        <v>0</v>
      </c>
      <c r="T190" s="29">
        <f>IF(B190="","",IF(R190="Yes","Remove - flagged by the platform",IF(AND(L190&lt;&gt;"",L190&gt;=1000000),"Check - huge tag, pair with niche ones",IF(O190=0,"Add - group not on the calendar yet","OK"))))</f>
        <v>0</v>
      </c>
    </row>
    <row r="191" spans="1:20">
      <c r="A191" s="41">
        <f>IF(B191="","",HashtagPrefix&amp;TEXT(ROW()-4,"000"))</f>
        <v>0</v>
      </c>
      <c r="M191" s="17">
        <f>IF(L191="","",IF(L191&gt;=1000000,"Huge - very competitive",IF(L191&gt;=250000,"Large",IF(L191&gt;=25000,"Medium - sweet spot","Small - easy to rank"))))</f>
        <v>0</v>
      </c>
      <c r="O191" s="23">
        <f>IF(D191="","",COUNTIF('Content Calendar'!$R$5:$R$604,D191))</f>
        <v>0</v>
      </c>
      <c r="Q191" s="23">
        <f>IF(P191="","",TODAY()-P191)</f>
        <v>0</v>
      </c>
      <c r="S191" s="29">
        <f>IF(B191="","",IF(COUNTIF('Hashtag Bank'!$B$5:$B$304,B191)&gt;1,"Duplicate","OK"))</f>
        <v>0</v>
      </c>
      <c r="T191" s="29">
        <f>IF(B191="","",IF(R191="Yes","Remove - flagged by the platform",IF(AND(L191&lt;&gt;"",L191&gt;=1000000),"Check - huge tag, pair with niche ones",IF(O191=0,"Add - group not on the calendar yet","OK"))))</f>
        <v>0</v>
      </c>
    </row>
    <row r="192" spans="1:20">
      <c r="A192" s="41">
        <f>IF(B192="","",HashtagPrefix&amp;TEXT(ROW()-4,"000"))</f>
        <v>0</v>
      </c>
      <c r="M192" s="17">
        <f>IF(L192="","",IF(L192&gt;=1000000,"Huge - very competitive",IF(L192&gt;=250000,"Large",IF(L192&gt;=25000,"Medium - sweet spot","Small - easy to rank"))))</f>
        <v>0</v>
      </c>
      <c r="O192" s="23">
        <f>IF(D192="","",COUNTIF('Content Calendar'!$R$5:$R$604,D192))</f>
        <v>0</v>
      </c>
      <c r="Q192" s="23">
        <f>IF(P192="","",TODAY()-P192)</f>
        <v>0</v>
      </c>
      <c r="S192" s="29">
        <f>IF(B192="","",IF(COUNTIF('Hashtag Bank'!$B$5:$B$304,B192)&gt;1,"Duplicate","OK"))</f>
        <v>0</v>
      </c>
      <c r="T192" s="29">
        <f>IF(B192="","",IF(R192="Yes","Remove - flagged by the platform",IF(AND(L192&lt;&gt;"",L192&gt;=1000000),"Check - huge tag, pair with niche ones",IF(O192=0,"Add - group not on the calendar yet","OK"))))</f>
        <v>0</v>
      </c>
    </row>
    <row r="193" spans="1:20">
      <c r="A193" s="41">
        <f>IF(B193="","",HashtagPrefix&amp;TEXT(ROW()-4,"000"))</f>
        <v>0</v>
      </c>
      <c r="M193" s="17">
        <f>IF(L193="","",IF(L193&gt;=1000000,"Huge - very competitive",IF(L193&gt;=250000,"Large",IF(L193&gt;=25000,"Medium - sweet spot","Small - easy to rank"))))</f>
        <v>0</v>
      </c>
      <c r="O193" s="23">
        <f>IF(D193="","",COUNTIF('Content Calendar'!$R$5:$R$604,D193))</f>
        <v>0</v>
      </c>
      <c r="Q193" s="23">
        <f>IF(P193="","",TODAY()-P193)</f>
        <v>0</v>
      </c>
      <c r="S193" s="29">
        <f>IF(B193="","",IF(COUNTIF('Hashtag Bank'!$B$5:$B$304,B193)&gt;1,"Duplicate","OK"))</f>
        <v>0</v>
      </c>
      <c r="T193" s="29">
        <f>IF(B193="","",IF(R193="Yes","Remove - flagged by the platform",IF(AND(L193&lt;&gt;"",L193&gt;=1000000),"Check - huge tag, pair with niche ones",IF(O193=0,"Add - group not on the calendar yet","OK"))))</f>
        <v>0</v>
      </c>
    </row>
    <row r="194" spans="1:20">
      <c r="A194" s="41">
        <f>IF(B194="","",HashtagPrefix&amp;TEXT(ROW()-4,"000"))</f>
        <v>0</v>
      </c>
      <c r="M194" s="17">
        <f>IF(L194="","",IF(L194&gt;=1000000,"Huge - very competitive",IF(L194&gt;=250000,"Large",IF(L194&gt;=25000,"Medium - sweet spot","Small - easy to rank"))))</f>
        <v>0</v>
      </c>
      <c r="O194" s="23">
        <f>IF(D194="","",COUNTIF('Content Calendar'!$R$5:$R$604,D194))</f>
        <v>0</v>
      </c>
      <c r="Q194" s="23">
        <f>IF(P194="","",TODAY()-P194)</f>
        <v>0</v>
      </c>
      <c r="S194" s="29">
        <f>IF(B194="","",IF(COUNTIF('Hashtag Bank'!$B$5:$B$304,B194)&gt;1,"Duplicate","OK"))</f>
        <v>0</v>
      </c>
      <c r="T194" s="29">
        <f>IF(B194="","",IF(R194="Yes","Remove - flagged by the platform",IF(AND(L194&lt;&gt;"",L194&gt;=1000000),"Check - huge tag, pair with niche ones",IF(O194=0,"Add - group not on the calendar yet","OK"))))</f>
        <v>0</v>
      </c>
    </row>
    <row r="195" spans="1:20">
      <c r="A195" s="41">
        <f>IF(B195="","",HashtagPrefix&amp;TEXT(ROW()-4,"000"))</f>
        <v>0</v>
      </c>
      <c r="M195" s="17">
        <f>IF(L195="","",IF(L195&gt;=1000000,"Huge - very competitive",IF(L195&gt;=250000,"Large",IF(L195&gt;=25000,"Medium - sweet spot","Small - easy to rank"))))</f>
        <v>0</v>
      </c>
      <c r="O195" s="23">
        <f>IF(D195="","",COUNTIF('Content Calendar'!$R$5:$R$604,D195))</f>
        <v>0</v>
      </c>
      <c r="Q195" s="23">
        <f>IF(P195="","",TODAY()-P195)</f>
        <v>0</v>
      </c>
      <c r="S195" s="29">
        <f>IF(B195="","",IF(COUNTIF('Hashtag Bank'!$B$5:$B$304,B195)&gt;1,"Duplicate","OK"))</f>
        <v>0</v>
      </c>
      <c r="T195" s="29">
        <f>IF(B195="","",IF(R195="Yes","Remove - flagged by the platform",IF(AND(L195&lt;&gt;"",L195&gt;=1000000),"Check - huge tag, pair with niche ones",IF(O195=0,"Add - group not on the calendar yet","OK"))))</f>
        <v>0</v>
      </c>
    </row>
    <row r="196" spans="1:20">
      <c r="A196" s="41">
        <f>IF(B196="","",HashtagPrefix&amp;TEXT(ROW()-4,"000"))</f>
        <v>0</v>
      </c>
      <c r="M196" s="17">
        <f>IF(L196="","",IF(L196&gt;=1000000,"Huge - very competitive",IF(L196&gt;=250000,"Large",IF(L196&gt;=25000,"Medium - sweet spot","Small - easy to rank"))))</f>
        <v>0</v>
      </c>
      <c r="O196" s="23">
        <f>IF(D196="","",COUNTIF('Content Calendar'!$R$5:$R$604,D196))</f>
        <v>0</v>
      </c>
      <c r="Q196" s="23">
        <f>IF(P196="","",TODAY()-P196)</f>
        <v>0</v>
      </c>
      <c r="S196" s="29">
        <f>IF(B196="","",IF(COUNTIF('Hashtag Bank'!$B$5:$B$304,B196)&gt;1,"Duplicate","OK"))</f>
        <v>0</v>
      </c>
      <c r="T196" s="29">
        <f>IF(B196="","",IF(R196="Yes","Remove - flagged by the platform",IF(AND(L196&lt;&gt;"",L196&gt;=1000000),"Check - huge tag, pair with niche ones",IF(O196=0,"Add - group not on the calendar yet","OK"))))</f>
        <v>0</v>
      </c>
    </row>
    <row r="197" spans="1:20">
      <c r="A197" s="41">
        <f>IF(B197="","",HashtagPrefix&amp;TEXT(ROW()-4,"000"))</f>
        <v>0</v>
      </c>
      <c r="M197" s="17">
        <f>IF(L197="","",IF(L197&gt;=1000000,"Huge - very competitive",IF(L197&gt;=250000,"Large",IF(L197&gt;=25000,"Medium - sweet spot","Small - easy to rank"))))</f>
        <v>0</v>
      </c>
      <c r="O197" s="23">
        <f>IF(D197="","",COUNTIF('Content Calendar'!$R$5:$R$604,D197))</f>
        <v>0</v>
      </c>
      <c r="Q197" s="23">
        <f>IF(P197="","",TODAY()-P197)</f>
        <v>0</v>
      </c>
      <c r="S197" s="29">
        <f>IF(B197="","",IF(COUNTIF('Hashtag Bank'!$B$5:$B$304,B197)&gt;1,"Duplicate","OK"))</f>
        <v>0</v>
      </c>
      <c r="T197" s="29">
        <f>IF(B197="","",IF(R197="Yes","Remove - flagged by the platform",IF(AND(L197&lt;&gt;"",L197&gt;=1000000),"Check - huge tag, pair with niche ones",IF(O197=0,"Add - group not on the calendar yet","OK"))))</f>
        <v>0</v>
      </c>
    </row>
    <row r="198" spans="1:20">
      <c r="A198" s="41">
        <f>IF(B198="","",HashtagPrefix&amp;TEXT(ROW()-4,"000"))</f>
        <v>0</v>
      </c>
      <c r="M198" s="17">
        <f>IF(L198="","",IF(L198&gt;=1000000,"Huge - very competitive",IF(L198&gt;=250000,"Large",IF(L198&gt;=25000,"Medium - sweet spot","Small - easy to rank"))))</f>
        <v>0</v>
      </c>
      <c r="O198" s="23">
        <f>IF(D198="","",COUNTIF('Content Calendar'!$R$5:$R$604,D198))</f>
        <v>0</v>
      </c>
      <c r="Q198" s="23">
        <f>IF(P198="","",TODAY()-P198)</f>
        <v>0</v>
      </c>
      <c r="S198" s="29">
        <f>IF(B198="","",IF(COUNTIF('Hashtag Bank'!$B$5:$B$304,B198)&gt;1,"Duplicate","OK"))</f>
        <v>0</v>
      </c>
      <c r="T198" s="29">
        <f>IF(B198="","",IF(R198="Yes","Remove - flagged by the platform",IF(AND(L198&lt;&gt;"",L198&gt;=1000000),"Check - huge tag, pair with niche ones",IF(O198=0,"Add - group not on the calendar yet","OK"))))</f>
        <v>0</v>
      </c>
    </row>
    <row r="199" spans="1:20">
      <c r="A199" s="41">
        <f>IF(B199="","",HashtagPrefix&amp;TEXT(ROW()-4,"000"))</f>
        <v>0</v>
      </c>
      <c r="M199" s="17">
        <f>IF(L199="","",IF(L199&gt;=1000000,"Huge - very competitive",IF(L199&gt;=250000,"Large",IF(L199&gt;=25000,"Medium - sweet spot","Small - easy to rank"))))</f>
        <v>0</v>
      </c>
      <c r="O199" s="23">
        <f>IF(D199="","",COUNTIF('Content Calendar'!$R$5:$R$604,D199))</f>
        <v>0</v>
      </c>
      <c r="Q199" s="23">
        <f>IF(P199="","",TODAY()-P199)</f>
        <v>0</v>
      </c>
      <c r="S199" s="29">
        <f>IF(B199="","",IF(COUNTIF('Hashtag Bank'!$B$5:$B$304,B199)&gt;1,"Duplicate","OK"))</f>
        <v>0</v>
      </c>
      <c r="T199" s="29">
        <f>IF(B199="","",IF(R199="Yes","Remove - flagged by the platform",IF(AND(L199&lt;&gt;"",L199&gt;=1000000),"Check - huge tag, pair with niche ones",IF(O199=0,"Add - group not on the calendar yet","OK"))))</f>
        <v>0</v>
      </c>
    </row>
    <row r="200" spans="1:20">
      <c r="A200" s="41">
        <f>IF(B200="","",HashtagPrefix&amp;TEXT(ROW()-4,"000"))</f>
        <v>0</v>
      </c>
      <c r="M200" s="17">
        <f>IF(L200="","",IF(L200&gt;=1000000,"Huge - very competitive",IF(L200&gt;=250000,"Large",IF(L200&gt;=25000,"Medium - sweet spot","Small - easy to rank"))))</f>
        <v>0</v>
      </c>
      <c r="O200" s="23">
        <f>IF(D200="","",COUNTIF('Content Calendar'!$R$5:$R$604,D200))</f>
        <v>0</v>
      </c>
      <c r="Q200" s="23">
        <f>IF(P200="","",TODAY()-P200)</f>
        <v>0</v>
      </c>
      <c r="S200" s="29">
        <f>IF(B200="","",IF(COUNTIF('Hashtag Bank'!$B$5:$B$304,B200)&gt;1,"Duplicate","OK"))</f>
        <v>0</v>
      </c>
      <c r="T200" s="29">
        <f>IF(B200="","",IF(R200="Yes","Remove - flagged by the platform",IF(AND(L200&lt;&gt;"",L200&gt;=1000000),"Check - huge tag, pair with niche ones",IF(O200=0,"Add - group not on the calendar yet","OK"))))</f>
        <v>0</v>
      </c>
    </row>
    <row r="201" spans="1:20">
      <c r="A201" s="41">
        <f>IF(B201="","",HashtagPrefix&amp;TEXT(ROW()-4,"000"))</f>
        <v>0</v>
      </c>
      <c r="M201" s="17">
        <f>IF(L201="","",IF(L201&gt;=1000000,"Huge - very competitive",IF(L201&gt;=250000,"Large",IF(L201&gt;=25000,"Medium - sweet spot","Small - easy to rank"))))</f>
        <v>0</v>
      </c>
      <c r="O201" s="23">
        <f>IF(D201="","",COUNTIF('Content Calendar'!$R$5:$R$604,D201))</f>
        <v>0</v>
      </c>
      <c r="Q201" s="23">
        <f>IF(P201="","",TODAY()-P201)</f>
        <v>0</v>
      </c>
      <c r="S201" s="29">
        <f>IF(B201="","",IF(COUNTIF('Hashtag Bank'!$B$5:$B$304,B201)&gt;1,"Duplicate","OK"))</f>
        <v>0</v>
      </c>
      <c r="T201" s="29">
        <f>IF(B201="","",IF(R201="Yes","Remove - flagged by the platform",IF(AND(L201&lt;&gt;"",L201&gt;=1000000),"Check - huge tag, pair with niche ones",IF(O201=0,"Add - group not on the calendar yet","OK"))))</f>
        <v>0</v>
      </c>
    </row>
    <row r="202" spans="1:20">
      <c r="A202" s="41">
        <f>IF(B202="","",HashtagPrefix&amp;TEXT(ROW()-4,"000"))</f>
        <v>0</v>
      </c>
      <c r="M202" s="17">
        <f>IF(L202="","",IF(L202&gt;=1000000,"Huge - very competitive",IF(L202&gt;=250000,"Large",IF(L202&gt;=25000,"Medium - sweet spot","Small - easy to rank"))))</f>
        <v>0</v>
      </c>
      <c r="O202" s="23">
        <f>IF(D202="","",COUNTIF('Content Calendar'!$R$5:$R$604,D202))</f>
        <v>0</v>
      </c>
      <c r="Q202" s="23">
        <f>IF(P202="","",TODAY()-P202)</f>
        <v>0</v>
      </c>
      <c r="S202" s="29">
        <f>IF(B202="","",IF(COUNTIF('Hashtag Bank'!$B$5:$B$304,B202)&gt;1,"Duplicate","OK"))</f>
        <v>0</v>
      </c>
      <c r="T202" s="29">
        <f>IF(B202="","",IF(R202="Yes","Remove - flagged by the platform",IF(AND(L202&lt;&gt;"",L202&gt;=1000000),"Check - huge tag, pair with niche ones",IF(O202=0,"Add - group not on the calendar yet","OK"))))</f>
        <v>0</v>
      </c>
    </row>
    <row r="203" spans="1:20">
      <c r="A203" s="41">
        <f>IF(B203="","",HashtagPrefix&amp;TEXT(ROW()-4,"000"))</f>
        <v>0</v>
      </c>
      <c r="M203" s="17">
        <f>IF(L203="","",IF(L203&gt;=1000000,"Huge - very competitive",IF(L203&gt;=250000,"Large",IF(L203&gt;=25000,"Medium - sweet spot","Small - easy to rank"))))</f>
        <v>0</v>
      </c>
      <c r="O203" s="23">
        <f>IF(D203="","",COUNTIF('Content Calendar'!$R$5:$R$604,D203))</f>
        <v>0</v>
      </c>
      <c r="Q203" s="23">
        <f>IF(P203="","",TODAY()-P203)</f>
        <v>0</v>
      </c>
      <c r="S203" s="29">
        <f>IF(B203="","",IF(COUNTIF('Hashtag Bank'!$B$5:$B$304,B203)&gt;1,"Duplicate","OK"))</f>
        <v>0</v>
      </c>
      <c r="T203" s="29">
        <f>IF(B203="","",IF(R203="Yes","Remove - flagged by the platform",IF(AND(L203&lt;&gt;"",L203&gt;=1000000),"Check - huge tag, pair with niche ones",IF(O203=0,"Add - group not on the calendar yet","OK"))))</f>
        <v>0</v>
      </c>
    </row>
    <row r="204" spans="1:20">
      <c r="A204" s="41">
        <f>IF(B204="","",HashtagPrefix&amp;TEXT(ROW()-4,"000"))</f>
        <v>0</v>
      </c>
      <c r="M204" s="17">
        <f>IF(L204="","",IF(L204&gt;=1000000,"Huge - very competitive",IF(L204&gt;=250000,"Large",IF(L204&gt;=25000,"Medium - sweet spot","Small - easy to rank"))))</f>
        <v>0</v>
      </c>
      <c r="O204" s="23">
        <f>IF(D204="","",COUNTIF('Content Calendar'!$R$5:$R$604,D204))</f>
        <v>0</v>
      </c>
      <c r="Q204" s="23">
        <f>IF(P204="","",TODAY()-P204)</f>
        <v>0</v>
      </c>
      <c r="S204" s="29">
        <f>IF(B204="","",IF(COUNTIF('Hashtag Bank'!$B$5:$B$304,B204)&gt;1,"Duplicate","OK"))</f>
        <v>0</v>
      </c>
      <c r="T204" s="29">
        <f>IF(B204="","",IF(R204="Yes","Remove - flagged by the platform",IF(AND(L204&lt;&gt;"",L204&gt;=1000000),"Check - huge tag, pair with niche ones",IF(O204=0,"Add - group not on the calendar yet","OK"))))</f>
        <v>0</v>
      </c>
    </row>
    <row r="205" spans="1:20">
      <c r="A205" s="41">
        <f>IF(B205="","",HashtagPrefix&amp;TEXT(ROW()-4,"000"))</f>
        <v>0</v>
      </c>
      <c r="M205" s="17">
        <f>IF(L205="","",IF(L205&gt;=1000000,"Huge - very competitive",IF(L205&gt;=250000,"Large",IF(L205&gt;=25000,"Medium - sweet spot","Small - easy to rank"))))</f>
        <v>0</v>
      </c>
      <c r="O205" s="23">
        <f>IF(D205="","",COUNTIF('Content Calendar'!$R$5:$R$604,D205))</f>
        <v>0</v>
      </c>
      <c r="Q205" s="23">
        <f>IF(P205="","",TODAY()-P205)</f>
        <v>0</v>
      </c>
      <c r="S205" s="29">
        <f>IF(B205="","",IF(COUNTIF('Hashtag Bank'!$B$5:$B$304,B205)&gt;1,"Duplicate","OK"))</f>
        <v>0</v>
      </c>
      <c r="T205" s="29">
        <f>IF(B205="","",IF(R205="Yes","Remove - flagged by the platform",IF(AND(L205&lt;&gt;"",L205&gt;=1000000),"Check - huge tag, pair with niche ones",IF(O205=0,"Add - group not on the calendar yet","OK"))))</f>
        <v>0</v>
      </c>
    </row>
    <row r="206" spans="1:20">
      <c r="A206" s="41">
        <f>IF(B206="","",HashtagPrefix&amp;TEXT(ROW()-4,"000"))</f>
        <v>0</v>
      </c>
      <c r="M206" s="17">
        <f>IF(L206="","",IF(L206&gt;=1000000,"Huge - very competitive",IF(L206&gt;=250000,"Large",IF(L206&gt;=25000,"Medium - sweet spot","Small - easy to rank"))))</f>
        <v>0</v>
      </c>
      <c r="O206" s="23">
        <f>IF(D206="","",COUNTIF('Content Calendar'!$R$5:$R$604,D206))</f>
        <v>0</v>
      </c>
      <c r="Q206" s="23">
        <f>IF(P206="","",TODAY()-P206)</f>
        <v>0</v>
      </c>
      <c r="S206" s="29">
        <f>IF(B206="","",IF(COUNTIF('Hashtag Bank'!$B$5:$B$304,B206)&gt;1,"Duplicate","OK"))</f>
        <v>0</v>
      </c>
      <c r="T206" s="29">
        <f>IF(B206="","",IF(R206="Yes","Remove - flagged by the platform",IF(AND(L206&lt;&gt;"",L206&gt;=1000000),"Check - huge tag, pair with niche ones",IF(O206=0,"Add - group not on the calendar yet","OK"))))</f>
        <v>0</v>
      </c>
    </row>
    <row r="207" spans="1:20">
      <c r="A207" s="41">
        <f>IF(B207="","",HashtagPrefix&amp;TEXT(ROW()-4,"000"))</f>
        <v>0</v>
      </c>
      <c r="M207" s="17">
        <f>IF(L207="","",IF(L207&gt;=1000000,"Huge - very competitive",IF(L207&gt;=250000,"Large",IF(L207&gt;=25000,"Medium - sweet spot","Small - easy to rank"))))</f>
        <v>0</v>
      </c>
      <c r="O207" s="23">
        <f>IF(D207="","",COUNTIF('Content Calendar'!$R$5:$R$604,D207))</f>
        <v>0</v>
      </c>
      <c r="Q207" s="23">
        <f>IF(P207="","",TODAY()-P207)</f>
        <v>0</v>
      </c>
      <c r="S207" s="29">
        <f>IF(B207="","",IF(COUNTIF('Hashtag Bank'!$B$5:$B$304,B207)&gt;1,"Duplicate","OK"))</f>
        <v>0</v>
      </c>
      <c r="T207" s="29">
        <f>IF(B207="","",IF(R207="Yes","Remove - flagged by the platform",IF(AND(L207&lt;&gt;"",L207&gt;=1000000),"Check - huge tag, pair with niche ones",IF(O207=0,"Add - group not on the calendar yet","OK"))))</f>
        <v>0</v>
      </c>
    </row>
    <row r="208" spans="1:20">
      <c r="A208" s="41">
        <f>IF(B208="","",HashtagPrefix&amp;TEXT(ROW()-4,"000"))</f>
        <v>0</v>
      </c>
      <c r="M208" s="17">
        <f>IF(L208="","",IF(L208&gt;=1000000,"Huge - very competitive",IF(L208&gt;=250000,"Large",IF(L208&gt;=25000,"Medium - sweet spot","Small - easy to rank"))))</f>
        <v>0</v>
      </c>
      <c r="O208" s="23">
        <f>IF(D208="","",COUNTIF('Content Calendar'!$R$5:$R$604,D208))</f>
        <v>0</v>
      </c>
      <c r="Q208" s="23">
        <f>IF(P208="","",TODAY()-P208)</f>
        <v>0</v>
      </c>
      <c r="S208" s="29">
        <f>IF(B208="","",IF(COUNTIF('Hashtag Bank'!$B$5:$B$304,B208)&gt;1,"Duplicate","OK"))</f>
        <v>0</v>
      </c>
      <c r="T208" s="29">
        <f>IF(B208="","",IF(R208="Yes","Remove - flagged by the platform",IF(AND(L208&lt;&gt;"",L208&gt;=1000000),"Check - huge tag, pair with niche ones",IF(O208=0,"Add - group not on the calendar yet","OK"))))</f>
        <v>0</v>
      </c>
    </row>
    <row r="209" spans="1:20">
      <c r="A209" s="41">
        <f>IF(B209="","",HashtagPrefix&amp;TEXT(ROW()-4,"000"))</f>
        <v>0</v>
      </c>
      <c r="M209" s="17">
        <f>IF(L209="","",IF(L209&gt;=1000000,"Huge - very competitive",IF(L209&gt;=250000,"Large",IF(L209&gt;=25000,"Medium - sweet spot","Small - easy to rank"))))</f>
        <v>0</v>
      </c>
      <c r="O209" s="23">
        <f>IF(D209="","",COUNTIF('Content Calendar'!$R$5:$R$604,D209))</f>
        <v>0</v>
      </c>
      <c r="Q209" s="23">
        <f>IF(P209="","",TODAY()-P209)</f>
        <v>0</v>
      </c>
      <c r="S209" s="29">
        <f>IF(B209="","",IF(COUNTIF('Hashtag Bank'!$B$5:$B$304,B209)&gt;1,"Duplicate","OK"))</f>
        <v>0</v>
      </c>
      <c r="T209" s="29">
        <f>IF(B209="","",IF(R209="Yes","Remove - flagged by the platform",IF(AND(L209&lt;&gt;"",L209&gt;=1000000),"Check - huge tag, pair with niche ones",IF(O209=0,"Add - group not on the calendar yet","OK"))))</f>
        <v>0</v>
      </c>
    </row>
    <row r="210" spans="1:20">
      <c r="A210" s="41">
        <f>IF(B210="","",HashtagPrefix&amp;TEXT(ROW()-4,"000"))</f>
        <v>0</v>
      </c>
      <c r="M210" s="17">
        <f>IF(L210="","",IF(L210&gt;=1000000,"Huge - very competitive",IF(L210&gt;=250000,"Large",IF(L210&gt;=25000,"Medium - sweet spot","Small - easy to rank"))))</f>
        <v>0</v>
      </c>
      <c r="O210" s="23">
        <f>IF(D210="","",COUNTIF('Content Calendar'!$R$5:$R$604,D210))</f>
        <v>0</v>
      </c>
      <c r="Q210" s="23">
        <f>IF(P210="","",TODAY()-P210)</f>
        <v>0</v>
      </c>
      <c r="S210" s="29">
        <f>IF(B210="","",IF(COUNTIF('Hashtag Bank'!$B$5:$B$304,B210)&gt;1,"Duplicate","OK"))</f>
        <v>0</v>
      </c>
      <c r="T210" s="29">
        <f>IF(B210="","",IF(R210="Yes","Remove - flagged by the platform",IF(AND(L210&lt;&gt;"",L210&gt;=1000000),"Check - huge tag, pair with niche ones",IF(O210=0,"Add - group not on the calendar yet","OK"))))</f>
        <v>0</v>
      </c>
    </row>
    <row r="211" spans="1:20">
      <c r="A211" s="41">
        <f>IF(B211="","",HashtagPrefix&amp;TEXT(ROW()-4,"000"))</f>
        <v>0</v>
      </c>
      <c r="M211" s="17">
        <f>IF(L211="","",IF(L211&gt;=1000000,"Huge - very competitive",IF(L211&gt;=250000,"Large",IF(L211&gt;=25000,"Medium - sweet spot","Small - easy to rank"))))</f>
        <v>0</v>
      </c>
      <c r="O211" s="23">
        <f>IF(D211="","",COUNTIF('Content Calendar'!$R$5:$R$604,D211))</f>
        <v>0</v>
      </c>
      <c r="Q211" s="23">
        <f>IF(P211="","",TODAY()-P211)</f>
        <v>0</v>
      </c>
      <c r="S211" s="29">
        <f>IF(B211="","",IF(COUNTIF('Hashtag Bank'!$B$5:$B$304,B211)&gt;1,"Duplicate","OK"))</f>
        <v>0</v>
      </c>
      <c r="T211" s="29">
        <f>IF(B211="","",IF(R211="Yes","Remove - flagged by the platform",IF(AND(L211&lt;&gt;"",L211&gt;=1000000),"Check - huge tag, pair with niche ones",IF(O211=0,"Add - group not on the calendar yet","OK"))))</f>
        <v>0</v>
      </c>
    </row>
    <row r="212" spans="1:20">
      <c r="A212" s="41">
        <f>IF(B212="","",HashtagPrefix&amp;TEXT(ROW()-4,"000"))</f>
        <v>0</v>
      </c>
      <c r="M212" s="17">
        <f>IF(L212="","",IF(L212&gt;=1000000,"Huge - very competitive",IF(L212&gt;=250000,"Large",IF(L212&gt;=25000,"Medium - sweet spot","Small - easy to rank"))))</f>
        <v>0</v>
      </c>
      <c r="O212" s="23">
        <f>IF(D212="","",COUNTIF('Content Calendar'!$R$5:$R$604,D212))</f>
        <v>0</v>
      </c>
      <c r="Q212" s="23">
        <f>IF(P212="","",TODAY()-P212)</f>
        <v>0</v>
      </c>
      <c r="S212" s="29">
        <f>IF(B212="","",IF(COUNTIF('Hashtag Bank'!$B$5:$B$304,B212)&gt;1,"Duplicate","OK"))</f>
        <v>0</v>
      </c>
      <c r="T212" s="29">
        <f>IF(B212="","",IF(R212="Yes","Remove - flagged by the platform",IF(AND(L212&lt;&gt;"",L212&gt;=1000000),"Check - huge tag, pair with niche ones",IF(O212=0,"Add - group not on the calendar yet","OK"))))</f>
        <v>0</v>
      </c>
    </row>
    <row r="213" spans="1:20">
      <c r="A213" s="41">
        <f>IF(B213="","",HashtagPrefix&amp;TEXT(ROW()-4,"000"))</f>
        <v>0</v>
      </c>
      <c r="M213" s="17">
        <f>IF(L213="","",IF(L213&gt;=1000000,"Huge - very competitive",IF(L213&gt;=250000,"Large",IF(L213&gt;=25000,"Medium - sweet spot","Small - easy to rank"))))</f>
        <v>0</v>
      </c>
      <c r="O213" s="23">
        <f>IF(D213="","",COUNTIF('Content Calendar'!$R$5:$R$604,D213))</f>
        <v>0</v>
      </c>
      <c r="Q213" s="23">
        <f>IF(P213="","",TODAY()-P213)</f>
        <v>0</v>
      </c>
      <c r="S213" s="29">
        <f>IF(B213="","",IF(COUNTIF('Hashtag Bank'!$B$5:$B$304,B213)&gt;1,"Duplicate","OK"))</f>
        <v>0</v>
      </c>
      <c r="T213" s="29">
        <f>IF(B213="","",IF(R213="Yes","Remove - flagged by the platform",IF(AND(L213&lt;&gt;"",L213&gt;=1000000),"Check - huge tag, pair with niche ones",IF(O213=0,"Add - group not on the calendar yet","OK"))))</f>
        <v>0</v>
      </c>
    </row>
    <row r="214" spans="1:20">
      <c r="A214" s="41">
        <f>IF(B214="","",HashtagPrefix&amp;TEXT(ROW()-4,"000"))</f>
        <v>0</v>
      </c>
      <c r="M214" s="17">
        <f>IF(L214="","",IF(L214&gt;=1000000,"Huge - very competitive",IF(L214&gt;=250000,"Large",IF(L214&gt;=25000,"Medium - sweet spot","Small - easy to rank"))))</f>
        <v>0</v>
      </c>
      <c r="O214" s="23">
        <f>IF(D214="","",COUNTIF('Content Calendar'!$R$5:$R$604,D214))</f>
        <v>0</v>
      </c>
      <c r="Q214" s="23">
        <f>IF(P214="","",TODAY()-P214)</f>
        <v>0</v>
      </c>
      <c r="S214" s="29">
        <f>IF(B214="","",IF(COUNTIF('Hashtag Bank'!$B$5:$B$304,B214)&gt;1,"Duplicate","OK"))</f>
        <v>0</v>
      </c>
      <c r="T214" s="29">
        <f>IF(B214="","",IF(R214="Yes","Remove - flagged by the platform",IF(AND(L214&lt;&gt;"",L214&gt;=1000000),"Check - huge tag, pair with niche ones",IF(O214=0,"Add - group not on the calendar yet","OK"))))</f>
        <v>0</v>
      </c>
    </row>
    <row r="215" spans="1:20">
      <c r="A215" s="41">
        <f>IF(B215="","",HashtagPrefix&amp;TEXT(ROW()-4,"000"))</f>
        <v>0</v>
      </c>
      <c r="M215" s="17">
        <f>IF(L215="","",IF(L215&gt;=1000000,"Huge - very competitive",IF(L215&gt;=250000,"Large",IF(L215&gt;=25000,"Medium - sweet spot","Small - easy to rank"))))</f>
        <v>0</v>
      </c>
      <c r="O215" s="23">
        <f>IF(D215="","",COUNTIF('Content Calendar'!$R$5:$R$604,D215))</f>
        <v>0</v>
      </c>
      <c r="Q215" s="23">
        <f>IF(P215="","",TODAY()-P215)</f>
        <v>0</v>
      </c>
      <c r="S215" s="29">
        <f>IF(B215="","",IF(COUNTIF('Hashtag Bank'!$B$5:$B$304,B215)&gt;1,"Duplicate","OK"))</f>
        <v>0</v>
      </c>
      <c r="T215" s="29">
        <f>IF(B215="","",IF(R215="Yes","Remove - flagged by the platform",IF(AND(L215&lt;&gt;"",L215&gt;=1000000),"Check - huge tag, pair with niche ones",IF(O215=0,"Add - group not on the calendar yet","OK"))))</f>
        <v>0</v>
      </c>
    </row>
    <row r="216" spans="1:20">
      <c r="A216" s="41">
        <f>IF(B216="","",HashtagPrefix&amp;TEXT(ROW()-4,"000"))</f>
        <v>0</v>
      </c>
      <c r="M216" s="17">
        <f>IF(L216="","",IF(L216&gt;=1000000,"Huge - very competitive",IF(L216&gt;=250000,"Large",IF(L216&gt;=25000,"Medium - sweet spot","Small - easy to rank"))))</f>
        <v>0</v>
      </c>
      <c r="O216" s="23">
        <f>IF(D216="","",COUNTIF('Content Calendar'!$R$5:$R$604,D216))</f>
        <v>0</v>
      </c>
      <c r="Q216" s="23">
        <f>IF(P216="","",TODAY()-P216)</f>
        <v>0</v>
      </c>
      <c r="S216" s="29">
        <f>IF(B216="","",IF(COUNTIF('Hashtag Bank'!$B$5:$B$304,B216)&gt;1,"Duplicate","OK"))</f>
        <v>0</v>
      </c>
      <c r="T216" s="29">
        <f>IF(B216="","",IF(R216="Yes","Remove - flagged by the platform",IF(AND(L216&lt;&gt;"",L216&gt;=1000000),"Check - huge tag, pair with niche ones",IF(O216=0,"Add - group not on the calendar yet","OK"))))</f>
        <v>0</v>
      </c>
    </row>
    <row r="217" spans="1:20">
      <c r="A217" s="41">
        <f>IF(B217="","",HashtagPrefix&amp;TEXT(ROW()-4,"000"))</f>
        <v>0</v>
      </c>
      <c r="M217" s="17">
        <f>IF(L217="","",IF(L217&gt;=1000000,"Huge - very competitive",IF(L217&gt;=250000,"Large",IF(L217&gt;=25000,"Medium - sweet spot","Small - easy to rank"))))</f>
        <v>0</v>
      </c>
      <c r="O217" s="23">
        <f>IF(D217="","",COUNTIF('Content Calendar'!$R$5:$R$604,D217))</f>
        <v>0</v>
      </c>
      <c r="Q217" s="23">
        <f>IF(P217="","",TODAY()-P217)</f>
        <v>0</v>
      </c>
      <c r="S217" s="29">
        <f>IF(B217="","",IF(COUNTIF('Hashtag Bank'!$B$5:$B$304,B217)&gt;1,"Duplicate","OK"))</f>
        <v>0</v>
      </c>
      <c r="T217" s="29">
        <f>IF(B217="","",IF(R217="Yes","Remove - flagged by the platform",IF(AND(L217&lt;&gt;"",L217&gt;=1000000),"Check - huge tag, pair with niche ones",IF(O217=0,"Add - group not on the calendar yet","OK"))))</f>
        <v>0</v>
      </c>
    </row>
    <row r="218" spans="1:20">
      <c r="A218" s="41">
        <f>IF(B218="","",HashtagPrefix&amp;TEXT(ROW()-4,"000"))</f>
        <v>0</v>
      </c>
      <c r="M218" s="17">
        <f>IF(L218="","",IF(L218&gt;=1000000,"Huge - very competitive",IF(L218&gt;=250000,"Large",IF(L218&gt;=25000,"Medium - sweet spot","Small - easy to rank"))))</f>
        <v>0</v>
      </c>
      <c r="O218" s="23">
        <f>IF(D218="","",COUNTIF('Content Calendar'!$R$5:$R$604,D218))</f>
        <v>0</v>
      </c>
      <c r="Q218" s="23">
        <f>IF(P218="","",TODAY()-P218)</f>
        <v>0</v>
      </c>
      <c r="S218" s="29">
        <f>IF(B218="","",IF(COUNTIF('Hashtag Bank'!$B$5:$B$304,B218)&gt;1,"Duplicate","OK"))</f>
        <v>0</v>
      </c>
      <c r="T218" s="29">
        <f>IF(B218="","",IF(R218="Yes","Remove - flagged by the platform",IF(AND(L218&lt;&gt;"",L218&gt;=1000000),"Check - huge tag, pair with niche ones",IF(O218=0,"Add - group not on the calendar yet","OK"))))</f>
        <v>0</v>
      </c>
    </row>
    <row r="219" spans="1:20">
      <c r="A219" s="41">
        <f>IF(B219="","",HashtagPrefix&amp;TEXT(ROW()-4,"000"))</f>
        <v>0</v>
      </c>
      <c r="M219" s="17">
        <f>IF(L219="","",IF(L219&gt;=1000000,"Huge - very competitive",IF(L219&gt;=250000,"Large",IF(L219&gt;=25000,"Medium - sweet spot","Small - easy to rank"))))</f>
        <v>0</v>
      </c>
      <c r="O219" s="23">
        <f>IF(D219="","",COUNTIF('Content Calendar'!$R$5:$R$604,D219))</f>
        <v>0</v>
      </c>
      <c r="Q219" s="23">
        <f>IF(P219="","",TODAY()-P219)</f>
        <v>0</v>
      </c>
      <c r="S219" s="29">
        <f>IF(B219="","",IF(COUNTIF('Hashtag Bank'!$B$5:$B$304,B219)&gt;1,"Duplicate","OK"))</f>
        <v>0</v>
      </c>
      <c r="T219" s="29">
        <f>IF(B219="","",IF(R219="Yes","Remove - flagged by the platform",IF(AND(L219&lt;&gt;"",L219&gt;=1000000),"Check - huge tag, pair with niche ones",IF(O219=0,"Add - group not on the calendar yet","OK"))))</f>
        <v>0</v>
      </c>
    </row>
    <row r="220" spans="1:20">
      <c r="A220" s="41">
        <f>IF(B220="","",HashtagPrefix&amp;TEXT(ROW()-4,"000"))</f>
        <v>0</v>
      </c>
      <c r="M220" s="17">
        <f>IF(L220="","",IF(L220&gt;=1000000,"Huge - very competitive",IF(L220&gt;=250000,"Large",IF(L220&gt;=25000,"Medium - sweet spot","Small - easy to rank"))))</f>
        <v>0</v>
      </c>
      <c r="O220" s="23">
        <f>IF(D220="","",COUNTIF('Content Calendar'!$R$5:$R$604,D220))</f>
        <v>0</v>
      </c>
      <c r="Q220" s="23">
        <f>IF(P220="","",TODAY()-P220)</f>
        <v>0</v>
      </c>
      <c r="S220" s="29">
        <f>IF(B220="","",IF(COUNTIF('Hashtag Bank'!$B$5:$B$304,B220)&gt;1,"Duplicate","OK"))</f>
        <v>0</v>
      </c>
      <c r="T220" s="29">
        <f>IF(B220="","",IF(R220="Yes","Remove - flagged by the platform",IF(AND(L220&lt;&gt;"",L220&gt;=1000000),"Check - huge tag, pair with niche ones",IF(O220=0,"Add - group not on the calendar yet","OK"))))</f>
        <v>0</v>
      </c>
    </row>
    <row r="221" spans="1:20">
      <c r="A221" s="41">
        <f>IF(B221="","",HashtagPrefix&amp;TEXT(ROW()-4,"000"))</f>
        <v>0</v>
      </c>
      <c r="M221" s="17">
        <f>IF(L221="","",IF(L221&gt;=1000000,"Huge - very competitive",IF(L221&gt;=250000,"Large",IF(L221&gt;=25000,"Medium - sweet spot","Small - easy to rank"))))</f>
        <v>0</v>
      </c>
      <c r="O221" s="23">
        <f>IF(D221="","",COUNTIF('Content Calendar'!$R$5:$R$604,D221))</f>
        <v>0</v>
      </c>
      <c r="Q221" s="23">
        <f>IF(P221="","",TODAY()-P221)</f>
        <v>0</v>
      </c>
      <c r="S221" s="29">
        <f>IF(B221="","",IF(COUNTIF('Hashtag Bank'!$B$5:$B$304,B221)&gt;1,"Duplicate","OK"))</f>
        <v>0</v>
      </c>
      <c r="T221" s="29">
        <f>IF(B221="","",IF(R221="Yes","Remove - flagged by the platform",IF(AND(L221&lt;&gt;"",L221&gt;=1000000),"Check - huge tag, pair with niche ones",IF(O221=0,"Add - group not on the calendar yet","OK"))))</f>
        <v>0</v>
      </c>
    </row>
    <row r="222" spans="1:20">
      <c r="A222" s="41">
        <f>IF(B222="","",HashtagPrefix&amp;TEXT(ROW()-4,"000"))</f>
        <v>0</v>
      </c>
      <c r="M222" s="17">
        <f>IF(L222="","",IF(L222&gt;=1000000,"Huge - very competitive",IF(L222&gt;=250000,"Large",IF(L222&gt;=25000,"Medium - sweet spot","Small - easy to rank"))))</f>
        <v>0</v>
      </c>
      <c r="O222" s="23">
        <f>IF(D222="","",COUNTIF('Content Calendar'!$R$5:$R$604,D222))</f>
        <v>0</v>
      </c>
      <c r="Q222" s="23">
        <f>IF(P222="","",TODAY()-P222)</f>
        <v>0</v>
      </c>
      <c r="S222" s="29">
        <f>IF(B222="","",IF(COUNTIF('Hashtag Bank'!$B$5:$B$304,B222)&gt;1,"Duplicate","OK"))</f>
        <v>0</v>
      </c>
      <c r="T222" s="29">
        <f>IF(B222="","",IF(R222="Yes","Remove - flagged by the platform",IF(AND(L222&lt;&gt;"",L222&gt;=1000000),"Check - huge tag, pair with niche ones",IF(O222=0,"Add - group not on the calendar yet","OK"))))</f>
        <v>0</v>
      </c>
    </row>
    <row r="223" spans="1:20">
      <c r="A223" s="41">
        <f>IF(B223="","",HashtagPrefix&amp;TEXT(ROW()-4,"000"))</f>
        <v>0</v>
      </c>
      <c r="M223" s="17">
        <f>IF(L223="","",IF(L223&gt;=1000000,"Huge - very competitive",IF(L223&gt;=250000,"Large",IF(L223&gt;=25000,"Medium - sweet spot","Small - easy to rank"))))</f>
        <v>0</v>
      </c>
      <c r="O223" s="23">
        <f>IF(D223="","",COUNTIF('Content Calendar'!$R$5:$R$604,D223))</f>
        <v>0</v>
      </c>
      <c r="Q223" s="23">
        <f>IF(P223="","",TODAY()-P223)</f>
        <v>0</v>
      </c>
      <c r="S223" s="29">
        <f>IF(B223="","",IF(COUNTIF('Hashtag Bank'!$B$5:$B$304,B223)&gt;1,"Duplicate","OK"))</f>
        <v>0</v>
      </c>
      <c r="T223" s="29">
        <f>IF(B223="","",IF(R223="Yes","Remove - flagged by the platform",IF(AND(L223&lt;&gt;"",L223&gt;=1000000),"Check - huge tag, pair with niche ones",IF(O223=0,"Add - group not on the calendar yet","OK"))))</f>
        <v>0</v>
      </c>
    </row>
    <row r="224" spans="1:20">
      <c r="A224" s="41">
        <f>IF(B224="","",HashtagPrefix&amp;TEXT(ROW()-4,"000"))</f>
        <v>0</v>
      </c>
      <c r="M224" s="17">
        <f>IF(L224="","",IF(L224&gt;=1000000,"Huge - very competitive",IF(L224&gt;=250000,"Large",IF(L224&gt;=25000,"Medium - sweet spot","Small - easy to rank"))))</f>
        <v>0</v>
      </c>
      <c r="O224" s="23">
        <f>IF(D224="","",COUNTIF('Content Calendar'!$R$5:$R$604,D224))</f>
        <v>0</v>
      </c>
      <c r="Q224" s="23">
        <f>IF(P224="","",TODAY()-P224)</f>
        <v>0</v>
      </c>
      <c r="S224" s="29">
        <f>IF(B224="","",IF(COUNTIF('Hashtag Bank'!$B$5:$B$304,B224)&gt;1,"Duplicate","OK"))</f>
        <v>0</v>
      </c>
      <c r="T224" s="29">
        <f>IF(B224="","",IF(R224="Yes","Remove - flagged by the platform",IF(AND(L224&lt;&gt;"",L224&gt;=1000000),"Check - huge tag, pair with niche ones",IF(O224=0,"Add - group not on the calendar yet","OK"))))</f>
        <v>0</v>
      </c>
    </row>
    <row r="225" spans="1:20">
      <c r="A225" s="41">
        <f>IF(B225="","",HashtagPrefix&amp;TEXT(ROW()-4,"000"))</f>
        <v>0</v>
      </c>
      <c r="M225" s="17">
        <f>IF(L225="","",IF(L225&gt;=1000000,"Huge - very competitive",IF(L225&gt;=250000,"Large",IF(L225&gt;=25000,"Medium - sweet spot","Small - easy to rank"))))</f>
        <v>0</v>
      </c>
      <c r="O225" s="23">
        <f>IF(D225="","",COUNTIF('Content Calendar'!$R$5:$R$604,D225))</f>
        <v>0</v>
      </c>
      <c r="Q225" s="23">
        <f>IF(P225="","",TODAY()-P225)</f>
        <v>0</v>
      </c>
      <c r="S225" s="29">
        <f>IF(B225="","",IF(COUNTIF('Hashtag Bank'!$B$5:$B$304,B225)&gt;1,"Duplicate","OK"))</f>
        <v>0</v>
      </c>
      <c r="T225" s="29">
        <f>IF(B225="","",IF(R225="Yes","Remove - flagged by the platform",IF(AND(L225&lt;&gt;"",L225&gt;=1000000),"Check - huge tag, pair with niche ones",IF(O225=0,"Add - group not on the calendar yet","OK"))))</f>
        <v>0</v>
      </c>
    </row>
    <row r="226" spans="1:20">
      <c r="A226" s="41">
        <f>IF(B226="","",HashtagPrefix&amp;TEXT(ROW()-4,"000"))</f>
        <v>0</v>
      </c>
      <c r="M226" s="17">
        <f>IF(L226="","",IF(L226&gt;=1000000,"Huge - very competitive",IF(L226&gt;=250000,"Large",IF(L226&gt;=25000,"Medium - sweet spot","Small - easy to rank"))))</f>
        <v>0</v>
      </c>
      <c r="O226" s="23">
        <f>IF(D226="","",COUNTIF('Content Calendar'!$R$5:$R$604,D226))</f>
        <v>0</v>
      </c>
      <c r="Q226" s="23">
        <f>IF(P226="","",TODAY()-P226)</f>
        <v>0</v>
      </c>
      <c r="S226" s="29">
        <f>IF(B226="","",IF(COUNTIF('Hashtag Bank'!$B$5:$B$304,B226)&gt;1,"Duplicate","OK"))</f>
        <v>0</v>
      </c>
      <c r="T226" s="29">
        <f>IF(B226="","",IF(R226="Yes","Remove - flagged by the platform",IF(AND(L226&lt;&gt;"",L226&gt;=1000000),"Check - huge tag, pair with niche ones",IF(O226=0,"Add - group not on the calendar yet","OK"))))</f>
        <v>0</v>
      </c>
    </row>
    <row r="227" spans="1:20">
      <c r="A227" s="41">
        <f>IF(B227="","",HashtagPrefix&amp;TEXT(ROW()-4,"000"))</f>
        <v>0</v>
      </c>
      <c r="M227" s="17">
        <f>IF(L227="","",IF(L227&gt;=1000000,"Huge - very competitive",IF(L227&gt;=250000,"Large",IF(L227&gt;=25000,"Medium - sweet spot","Small - easy to rank"))))</f>
        <v>0</v>
      </c>
      <c r="O227" s="23">
        <f>IF(D227="","",COUNTIF('Content Calendar'!$R$5:$R$604,D227))</f>
        <v>0</v>
      </c>
      <c r="Q227" s="23">
        <f>IF(P227="","",TODAY()-P227)</f>
        <v>0</v>
      </c>
      <c r="S227" s="29">
        <f>IF(B227="","",IF(COUNTIF('Hashtag Bank'!$B$5:$B$304,B227)&gt;1,"Duplicate","OK"))</f>
        <v>0</v>
      </c>
      <c r="T227" s="29">
        <f>IF(B227="","",IF(R227="Yes","Remove - flagged by the platform",IF(AND(L227&lt;&gt;"",L227&gt;=1000000),"Check - huge tag, pair with niche ones",IF(O227=0,"Add - group not on the calendar yet","OK"))))</f>
        <v>0</v>
      </c>
    </row>
    <row r="228" spans="1:20">
      <c r="A228" s="41">
        <f>IF(B228="","",HashtagPrefix&amp;TEXT(ROW()-4,"000"))</f>
        <v>0</v>
      </c>
      <c r="M228" s="17">
        <f>IF(L228="","",IF(L228&gt;=1000000,"Huge - very competitive",IF(L228&gt;=250000,"Large",IF(L228&gt;=25000,"Medium - sweet spot","Small - easy to rank"))))</f>
        <v>0</v>
      </c>
      <c r="O228" s="23">
        <f>IF(D228="","",COUNTIF('Content Calendar'!$R$5:$R$604,D228))</f>
        <v>0</v>
      </c>
      <c r="Q228" s="23">
        <f>IF(P228="","",TODAY()-P228)</f>
        <v>0</v>
      </c>
      <c r="S228" s="29">
        <f>IF(B228="","",IF(COUNTIF('Hashtag Bank'!$B$5:$B$304,B228)&gt;1,"Duplicate","OK"))</f>
        <v>0</v>
      </c>
      <c r="T228" s="29">
        <f>IF(B228="","",IF(R228="Yes","Remove - flagged by the platform",IF(AND(L228&lt;&gt;"",L228&gt;=1000000),"Check - huge tag, pair with niche ones",IF(O228=0,"Add - group not on the calendar yet","OK"))))</f>
        <v>0</v>
      </c>
    </row>
    <row r="229" spans="1:20">
      <c r="A229" s="41">
        <f>IF(B229="","",HashtagPrefix&amp;TEXT(ROW()-4,"000"))</f>
        <v>0</v>
      </c>
      <c r="M229" s="17">
        <f>IF(L229="","",IF(L229&gt;=1000000,"Huge - very competitive",IF(L229&gt;=250000,"Large",IF(L229&gt;=25000,"Medium - sweet spot","Small - easy to rank"))))</f>
        <v>0</v>
      </c>
      <c r="O229" s="23">
        <f>IF(D229="","",COUNTIF('Content Calendar'!$R$5:$R$604,D229))</f>
        <v>0</v>
      </c>
      <c r="Q229" s="23">
        <f>IF(P229="","",TODAY()-P229)</f>
        <v>0</v>
      </c>
      <c r="S229" s="29">
        <f>IF(B229="","",IF(COUNTIF('Hashtag Bank'!$B$5:$B$304,B229)&gt;1,"Duplicate","OK"))</f>
        <v>0</v>
      </c>
      <c r="T229" s="29">
        <f>IF(B229="","",IF(R229="Yes","Remove - flagged by the platform",IF(AND(L229&lt;&gt;"",L229&gt;=1000000),"Check - huge tag, pair with niche ones",IF(O229=0,"Add - group not on the calendar yet","OK"))))</f>
        <v>0</v>
      </c>
    </row>
    <row r="230" spans="1:20">
      <c r="A230" s="41">
        <f>IF(B230="","",HashtagPrefix&amp;TEXT(ROW()-4,"000"))</f>
        <v>0</v>
      </c>
      <c r="M230" s="17">
        <f>IF(L230="","",IF(L230&gt;=1000000,"Huge - very competitive",IF(L230&gt;=250000,"Large",IF(L230&gt;=25000,"Medium - sweet spot","Small - easy to rank"))))</f>
        <v>0</v>
      </c>
      <c r="O230" s="23">
        <f>IF(D230="","",COUNTIF('Content Calendar'!$R$5:$R$604,D230))</f>
        <v>0</v>
      </c>
      <c r="Q230" s="23">
        <f>IF(P230="","",TODAY()-P230)</f>
        <v>0</v>
      </c>
      <c r="S230" s="29">
        <f>IF(B230="","",IF(COUNTIF('Hashtag Bank'!$B$5:$B$304,B230)&gt;1,"Duplicate","OK"))</f>
        <v>0</v>
      </c>
      <c r="T230" s="29">
        <f>IF(B230="","",IF(R230="Yes","Remove - flagged by the platform",IF(AND(L230&lt;&gt;"",L230&gt;=1000000),"Check - huge tag, pair with niche ones",IF(O230=0,"Add - group not on the calendar yet","OK"))))</f>
        <v>0</v>
      </c>
    </row>
    <row r="231" spans="1:20">
      <c r="A231" s="41">
        <f>IF(B231="","",HashtagPrefix&amp;TEXT(ROW()-4,"000"))</f>
        <v>0</v>
      </c>
      <c r="M231" s="17">
        <f>IF(L231="","",IF(L231&gt;=1000000,"Huge - very competitive",IF(L231&gt;=250000,"Large",IF(L231&gt;=25000,"Medium - sweet spot","Small - easy to rank"))))</f>
        <v>0</v>
      </c>
      <c r="O231" s="23">
        <f>IF(D231="","",COUNTIF('Content Calendar'!$R$5:$R$604,D231))</f>
        <v>0</v>
      </c>
      <c r="Q231" s="23">
        <f>IF(P231="","",TODAY()-P231)</f>
        <v>0</v>
      </c>
      <c r="S231" s="29">
        <f>IF(B231="","",IF(COUNTIF('Hashtag Bank'!$B$5:$B$304,B231)&gt;1,"Duplicate","OK"))</f>
        <v>0</v>
      </c>
      <c r="T231" s="29">
        <f>IF(B231="","",IF(R231="Yes","Remove - flagged by the platform",IF(AND(L231&lt;&gt;"",L231&gt;=1000000),"Check - huge tag, pair with niche ones",IF(O231=0,"Add - group not on the calendar yet","OK"))))</f>
        <v>0</v>
      </c>
    </row>
    <row r="232" spans="1:20">
      <c r="A232" s="41">
        <f>IF(B232="","",HashtagPrefix&amp;TEXT(ROW()-4,"000"))</f>
        <v>0</v>
      </c>
      <c r="M232" s="17">
        <f>IF(L232="","",IF(L232&gt;=1000000,"Huge - very competitive",IF(L232&gt;=250000,"Large",IF(L232&gt;=25000,"Medium - sweet spot","Small - easy to rank"))))</f>
        <v>0</v>
      </c>
      <c r="O232" s="23">
        <f>IF(D232="","",COUNTIF('Content Calendar'!$R$5:$R$604,D232))</f>
        <v>0</v>
      </c>
      <c r="Q232" s="23">
        <f>IF(P232="","",TODAY()-P232)</f>
        <v>0</v>
      </c>
      <c r="S232" s="29">
        <f>IF(B232="","",IF(COUNTIF('Hashtag Bank'!$B$5:$B$304,B232)&gt;1,"Duplicate","OK"))</f>
        <v>0</v>
      </c>
      <c r="T232" s="29">
        <f>IF(B232="","",IF(R232="Yes","Remove - flagged by the platform",IF(AND(L232&lt;&gt;"",L232&gt;=1000000),"Check - huge tag, pair with niche ones",IF(O232=0,"Add - group not on the calendar yet","OK"))))</f>
        <v>0</v>
      </c>
    </row>
    <row r="233" spans="1:20">
      <c r="A233" s="41">
        <f>IF(B233="","",HashtagPrefix&amp;TEXT(ROW()-4,"000"))</f>
        <v>0</v>
      </c>
      <c r="M233" s="17">
        <f>IF(L233="","",IF(L233&gt;=1000000,"Huge - very competitive",IF(L233&gt;=250000,"Large",IF(L233&gt;=25000,"Medium - sweet spot","Small - easy to rank"))))</f>
        <v>0</v>
      </c>
      <c r="O233" s="23">
        <f>IF(D233="","",COUNTIF('Content Calendar'!$R$5:$R$604,D233))</f>
        <v>0</v>
      </c>
      <c r="Q233" s="23">
        <f>IF(P233="","",TODAY()-P233)</f>
        <v>0</v>
      </c>
      <c r="S233" s="29">
        <f>IF(B233="","",IF(COUNTIF('Hashtag Bank'!$B$5:$B$304,B233)&gt;1,"Duplicate","OK"))</f>
        <v>0</v>
      </c>
      <c r="T233" s="29">
        <f>IF(B233="","",IF(R233="Yes","Remove - flagged by the platform",IF(AND(L233&lt;&gt;"",L233&gt;=1000000),"Check - huge tag, pair with niche ones",IF(O233=0,"Add - group not on the calendar yet","OK"))))</f>
        <v>0</v>
      </c>
    </row>
    <row r="234" spans="1:20">
      <c r="A234" s="41">
        <f>IF(B234="","",HashtagPrefix&amp;TEXT(ROW()-4,"000"))</f>
        <v>0</v>
      </c>
      <c r="M234" s="17">
        <f>IF(L234="","",IF(L234&gt;=1000000,"Huge - very competitive",IF(L234&gt;=250000,"Large",IF(L234&gt;=25000,"Medium - sweet spot","Small - easy to rank"))))</f>
        <v>0</v>
      </c>
      <c r="O234" s="23">
        <f>IF(D234="","",COUNTIF('Content Calendar'!$R$5:$R$604,D234))</f>
        <v>0</v>
      </c>
      <c r="Q234" s="23">
        <f>IF(P234="","",TODAY()-P234)</f>
        <v>0</v>
      </c>
      <c r="S234" s="29">
        <f>IF(B234="","",IF(COUNTIF('Hashtag Bank'!$B$5:$B$304,B234)&gt;1,"Duplicate","OK"))</f>
        <v>0</v>
      </c>
      <c r="T234" s="29">
        <f>IF(B234="","",IF(R234="Yes","Remove - flagged by the platform",IF(AND(L234&lt;&gt;"",L234&gt;=1000000),"Check - huge tag, pair with niche ones",IF(O234=0,"Add - group not on the calendar yet","OK"))))</f>
        <v>0</v>
      </c>
    </row>
    <row r="235" spans="1:20">
      <c r="A235" s="41">
        <f>IF(B235="","",HashtagPrefix&amp;TEXT(ROW()-4,"000"))</f>
        <v>0</v>
      </c>
      <c r="M235" s="17">
        <f>IF(L235="","",IF(L235&gt;=1000000,"Huge - very competitive",IF(L235&gt;=250000,"Large",IF(L235&gt;=25000,"Medium - sweet spot","Small - easy to rank"))))</f>
        <v>0</v>
      </c>
      <c r="O235" s="23">
        <f>IF(D235="","",COUNTIF('Content Calendar'!$R$5:$R$604,D235))</f>
        <v>0</v>
      </c>
      <c r="Q235" s="23">
        <f>IF(P235="","",TODAY()-P235)</f>
        <v>0</v>
      </c>
      <c r="S235" s="29">
        <f>IF(B235="","",IF(COUNTIF('Hashtag Bank'!$B$5:$B$304,B235)&gt;1,"Duplicate","OK"))</f>
        <v>0</v>
      </c>
      <c r="T235" s="29">
        <f>IF(B235="","",IF(R235="Yes","Remove - flagged by the platform",IF(AND(L235&lt;&gt;"",L235&gt;=1000000),"Check - huge tag, pair with niche ones",IF(O235=0,"Add - group not on the calendar yet","OK"))))</f>
        <v>0</v>
      </c>
    </row>
    <row r="236" spans="1:20">
      <c r="A236" s="41">
        <f>IF(B236="","",HashtagPrefix&amp;TEXT(ROW()-4,"000"))</f>
        <v>0</v>
      </c>
      <c r="M236" s="17">
        <f>IF(L236="","",IF(L236&gt;=1000000,"Huge - very competitive",IF(L236&gt;=250000,"Large",IF(L236&gt;=25000,"Medium - sweet spot","Small - easy to rank"))))</f>
        <v>0</v>
      </c>
      <c r="O236" s="23">
        <f>IF(D236="","",COUNTIF('Content Calendar'!$R$5:$R$604,D236))</f>
        <v>0</v>
      </c>
      <c r="Q236" s="23">
        <f>IF(P236="","",TODAY()-P236)</f>
        <v>0</v>
      </c>
      <c r="S236" s="29">
        <f>IF(B236="","",IF(COUNTIF('Hashtag Bank'!$B$5:$B$304,B236)&gt;1,"Duplicate","OK"))</f>
        <v>0</v>
      </c>
      <c r="T236" s="29">
        <f>IF(B236="","",IF(R236="Yes","Remove - flagged by the platform",IF(AND(L236&lt;&gt;"",L236&gt;=1000000),"Check - huge tag, pair with niche ones",IF(O236=0,"Add - group not on the calendar yet","OK"))))</f>
        <v>0</v>
      </c>
    </row>
    <row r="237" spans="1:20">
      <c r="A237" s="41">
        <f>IF(B237="","",HashtagPrefix&amp;TEXT(ROW()-4,"000"))</f>
        <v>0</v>
      </c>
      <c r="M237" s="17">
        <f>IF(L237="","",IF(L237&gt;=1000000,"Huge - very competitive",IF(L237&gt;=250000,"Large",IF(L237&gt;=25000,"Medium - sweet spot","Small - easy to rank"))))</f>
        <v>0</v>
      </c>
      <c r="O237" s="23">
        <f>IF(D237="","",COUNTIF('Content Calendar'!$R$5:$R$604,D237))</f>
        <v>0</v>
      </c>
      <c r="Q237" s="23">
        <f>IF(P237="","",TODAY()-P237)</f>
        <v>0</v>
      </c>
      <c r="S237" s="29">
        <f>IF(B237="","",IF(COUNTIF('Hashtag Bank'!$B$5:$B$304,B237)&gt;1,"Duplicate","OK"))</f>
        <v>0</v>
      </c>
      <c r="T237" s="29">
        <f>IF(B237="","",IF(R237="Yes","Remove - flagged by the platform",IF(AND(L237&lt;&gt;"",L237&gt;=1000000),"Check - huge tag, pair with niche ones",IF(O237=0,"Add - group not on the calendar yet","OK"))))</f>
        <v>0</v>
      </c>
    </row>
    <row r="238" spans="1:20">
      <c r="A238" s="41">
        <f>IF(B238="","",HashtagPrefix&amp;TEXT(ROW()-4,"000"))</f>
        <v>0</v>
      </c>
      <c r="M238" s="17">
        <f>IF(L238="","",IF(L238&gt;=1000000,"Huge - very competitive",IF(L238&gt;=250000,"Large",IF(L238&gt;=25000,"Medium - sweet spot","Small - easy to rank"))))</f>
        <v>0</v>
      </c>
      <c r="O238" s="23">
        <f>IF(D238="","",COUNTIF('Content Calendar'!$R$5:$R$604,D238))</f>
        <v>0</v>
      </c>
      <c r="Q238" s="23">
        <f>IF(P238="","",TODAY()-P238)</f>
        <v>0</v>
      </c>
      <c r="S238" s="29">
        <f>IF(B238="","",IF(COUNTIF('Hashtag Bank'!$B$5:$B$304,B238)&gt;1,"Duplicate","OK"))</f>
        <v>0</v>
      </c>
      <c r="T238" s="29">
        <f>IF(B238="","",IF(R238="Yes","Remove - flagged by the platform",IF(AND(L238&lt;&gt;"",L238&gt;=1000000),"Check - huge tag, pair with niche ones",IF(O238=0,"Add - group not on the calendar yet","OK"))))</f>
        <v>0</v>
      </c>
    </row>
    <row r="239" spans="1:20">
      <c r="A239" s="41">
        <f>IF(B239="","",HashtagPrefix&amp;TEXT(ROW()-4,"000"))</f>
        <v>0</v>
      </c>
      <c r="M239" s="17">
        <f>IF(L239="","",IF(L239&gt;=1000000,"Huge - very competitive",IF(L239&gt;=250000,"Large",IF(L239&gt;=25000,"Medium - sweet spot","Small - easy to rank"))))</f>
        <v>0</v>
      </c>
      <c r="O239" s="23">
        <f>IF(D239="","",COUNTIF('Content Calendar'!$R$5:$R$604,D239))</f>
        <v>0</v>
      </c>
      <c r="Q239" s="23">
        <f>IF(P239="","",TODAY()-P239)</f>
        <v>0</v>
      </c>
      <c r="S239" s="29">
        <f>IF(B239="","",IF(COUNTIF('Hashtag Bank'!$B$5:$B$304,B239)&gt;1,"Duplicate","OK"))</f>
        <v>0</v>
      </c>
      <c r="T239" s="29">
        <f>IF(B239="","",IF(R239="Yes","Remove - flagged by the platform",IF(AND(L239&lt;&gt;"",L239&gt;=1000000),"Check - huge tag, pair with niche ones",IF(O239=0,"Add - group not on the calendar yet","OK"))))</f>
        <v>0</v>
      </c>
    </row>
    <row r="240" spans="1:20">
      <c r="A240" s="41">
        <f>IF(B240="","",HashtagPrefix&amp;TEXT(ROW()-4,"000"))</f>
        <v>0</v>
      </c>
      <c r="M240" s="17">
        <f>IF(L240="","",IF(L240&gt;=1000000,"Huge - very competitive",IF(L240&gt;=250000,"Large",IF(L240&gt;=25000,"Medium - sweet spot","Small - easy to rank"))))</f>
        <v>0</v>
      </c>
      <c r="O240" s="23">
        <f>IF(D240="","",COUNTIF('Content Calendar'!$R$5:$R$604,D240))</f>
        <v>0</v>
      </c>
      <c r="Q240" s="23">
        <f>IF(P240="","",TODAY()-P240)</f>
        <v>0</v>
      </c>
      <c r="S240" s="29">
        <f>IF(B240="","",IF(COUNTIF('Hashtag Bank'!$B$5:$B$304,B240)&gt;1,"Duplicate","OK"))</f>
        <v>0</v>
      </c>
      <c r="T240" s="29">
        <f>IF(B240="","",IF(R240="Yes","Remove - flagged by the platform",IF(AND(L240&lt;&gt;"",L240&gt;=1000000),"Check - huge tag, pair with niche ones",IF(O240=0,"Add - group not on the calendar yet","OK"))))</f>
        <v>0</v>
      </c>
    </row>
    <row r="241" spans="1:20">
      <c r="A241" s="41">
        <f>IF(B241="","",HashtagPrefix&amp;TEXT(ROW()-4,"000"))</f>
        <v>0</v>
      </c>
      <c r="M241" s="17">
        <f>IF(L241="","",IF(L241&gt;=1000000,"Huge - very competitive",IF(L241&gt;=250000,"Large",IF(L241&gt;=25000,"Medium - sweet spot","Small - easy to rank"))))</f>
        <v>0</v>
      </c>
      <c r="O241" s="23">
        <f>IF(D241="","",COUNTIF('Content Calendar'!$R$5:$R$604,D241))</f>
        <v>0</v>
      </c>
      <c r="Q241" s="23">
        <f>IF(P241="","",TODAY()-P241)</f>
        <v>0</v>
      </c>
      <c r="S241" s="29">
        <f>IF(B241="","",IF(COUNTIF('Hashtag Bank'!$B$5:$B$304,B241)&gt;1,"Duplicate","OK"))</f>
        <v>0</v>
      </c>
      <c r="T241" s="29">
        <f>IF(B241="","",IF(R241="Yes","Remove - flagged by the platform",IF(AND(L241&lt;&gt;"",L241&gt;=1000000),"Check - huge tag, pair with niche ones",IF(O241=0,"Add - group not on the calendar yet","OK"))))</f>
        <v>0</v>
      </c>
    </row>
    <row r="242" spans="1:20">
      <c r="A242" s="41">
        <f>IF(B242="","",HashtagPrefix&amp;TEXT(ROW()-4,"000"))</f>
        <v>0</v>
      </c>
      <c r="M242" s="17">
        <f>IF(L242="","",IF(L242&gt;=1000000,"Huge - very competitive",IF(L242&gt;=250000,"Large",IF(L242&gt;=25000,"Medium - sweet spot","Small - easy to rank"))))</f>
        <v>0</v>
      </c>
      <c r="O242" s="23">
        <f>IF(D242="","",COUNTIF('Content Calendar'!$R$5:$R$604,D242))</f>
        <v>0</v>
      </c>
      <c r="Q242" s="23">
        <f>IF(P242="","",TODAY()-P242)</f>
        <v>0</v>
      </c>
      <c r="S242" s="29">
        <f>IF(B242="","",IF(COUNTIF('Hashtag Bank'!$B$5:$B$304,B242)&gt;1,"Duplicate","OK"))</f>
        <v>0</v>
      </c>
      <c r="T242" s="29">
        <f>IF(B242="","",IF(R242="Yes","Remove - flagged by the platform",IF(AND(L242&lt;&gt;"",L242&gt;=1000000),"Check - huge tag, pair with niche ones",IF(O242=0,"Add - group not on the calendar yet","OK"))))</f>
        <v>0</v>
      </c>
    </row>
    <row r="243" spans="1:20">
      <c r="A243" s="41">
        <f>IF(B243="","",HashtagPrefix&amp;TEXT(ROW()-4,"000"))</f>
        <v>0</v>
      </c>
      <c r="M243" s="17">
        <f>IF(L243="","",IF(L243&gt;=1000000,"Huge - very competitive",IF(L243&gt;=250000,"Large",IF(L243&gt;=25000,"Medium - sweet spot","Small - easy to rank"))))</f>
        <v>0</v>
      </c>
      <c r="O243" s="23">
        <f>IF(D243="","",COUNTIF('Content Calendar'!$R$5:$R$604,D243))</f>
        <v>0</v>
      </c>
      <c r="Q243" s="23">
        <f>IF(P243="","",TODAY()-P243)</f>
        <v>0</v>
      </c>
      <c r="S243" s="29">
        <f>IF(B243="","",IF(COUNTIF('Hashtag Bank'!$B$5:$B$304,B243)&gt;1,"Duplicate","OK"))</f>
        <v>0</v>
      </c>
      <c r="T243" s="29">
        <f>IF(B243="","",IF(R243="Yes","Remove - flagged by the platform",IF(AND(L243&lt;&gt;"",L243&gt;=1000000),"Check - huge tag, pair with niche ones",IF(O243=0,"Add - group not on the calendar yet","OK"))))</f>
        <v>0</v>
      </c>
    </row>
    <row r="244" spans="1:20">
      <c r="A244" s="41">
        <f>IF(B244="","",HashtagPrefix&amp;TEXT(ROW()-4,"000"))</f>
        <v>0</v>
      </c>
      <c r="M244" s="17">
        <f>IF(L244="","",IF(L244&gt;=1000000,"Huge - very competitive",IF(L244&gt;=250000,"Large",IF(L244&gt;=25000,"Medium - sweet spot","Small - easy to rank"))))</f>
        <v>0</v>
      </c>
      <c r="O244" s="23">
        <f>IF(D244="","",COUNTIF('Content Calendar'!$R$5:$R$604,D244))</f>
        <v>0</v>
      </c>
      <c r="Q244" s="23">
        <f>IF(P244="","",TODAY()-P244)</f>
        <v>0</v>
      </c>
      <c r="S244" s="29">
        <f>IF(B244="","",IF(COUNTIF('Hashtag Bank'!$B$5:$B$304,B244)&gt;1,"Duplicate","OK"))</f>
        <v>0</v>
      </c>
      <c r="T244" s="29">
        <f>IF(B244="","",IF(R244="Yes","Remove - flagged by the platform",IF(AND(L244&lt;&gt;"",L244&gt;=1000000),"Check - huge tag, pair with niche ones",IF(O244=0,"Add - group not on the calendar yet","OK"))))</f>
        <v>0</v>
      </c>
    </row>
    <row r="245" spans="1:20">
      <c r="A245" s="41">
        <f>IF(B245="","",HashtagPrefix&amp;TEXT(ROW()-4,"000"))</f>
        <v>0</v>
      </c>
      <c r="M245" s="17">
        <f>IF(L245="","",IF(L245&gt;=1000000,"Huge - very competitive",IF(L245&gt;=250000,"Large",IF(L245&gt;=25000,"Medium - sweet spot","Small - easy to rank"))))</f>
        <v>0</v>
      </c>
      <c r="O245" s="23">
        <f>IF(D245="","",COUNTIF('Content Calendar'!$R$5:$R$604,D245))</f>
        <v>0</v>
      </c>
      <c r="Q245" s="23">
        <f>IF(P245="","",TODAY()-P245)</f>
        <v>0</v>
      </c>
      <c r="S245" s="29">
        <f>IF(B245="","",IF(COUNTIF('Hashtag Bank'!$B$5:$B$304,B245)&gt;1,"Duplicate","OK"))</f>
        <v>0</v>
      </c>
      <c r="T245" s="29">
        <f>IF(B245="","",IF(R245="Yes","Remove - flagged by the platform",IF(AND(L245&lt;&gt;"",L245&gt;=1000000),"Check - huge tag, pair with niche ones",IF(O245=0,"Add - group not on the calendar yet","OK"))))</f>
        <v>0</v>
      </c>
    </row>
    <row r="246" spans="1:20">
      <c r="A246" s="41">
        <f>IF(B246="","",HashtagPrefix&amp;TEXT(ROW()-4,"000"))</f>
        <v>0</v>
      </c>
      <c r="M246" s="17">
        <f>IF(L246="","",IF(L246&gt;=1000000,"Huge - very competitive",IF(L246&gt;=250000,"Large",IF(L246&gt;=25000,"Medium - sweet spot","Small - easy to rank"))))</f>
        <v>0</v>
      </c>
      <c r="O246" s="23">
        <f>IF(D246="","",COUNTIF('Content Calendar'!$R$5:$R$604,D246))</f>
        <v>0</v>
      </c>
      <c r="Q246" s="23">
        <f>IF(P246="","",TODAY()-P246)</f>
        <v>0</v>
      </c>
      <c r="S246" s="29">
        <f>IF(B246="","",IF(COUNTIF('Hashtag Bank'!$B$5:$B$304,B246)&gt;1,"Duplicate","OK"))</f>
        <v>0</v>
      </c>
      <c r="T246" s="29">
        <f>IF(B246="","",IF(R246="Yes","Remove - flagged by the platform",IF(AND(L246&lt;&gt;"",L246&gt;=1000000),"Check - huge tag, pair with niche ones",IF(O246=0,"Add - group not on the calendar yet","OK"))))</f>
        <v>0</v>
      </c>
    </row>
    <row r="247" spans="1:20">
      <c r="A247" s="41">
        <f>IF(B247="","",HashtagPrefix&amp;TEXT(ROW()-4,"000"))</f>
        <v>0</v>
      </c>
      <c r="M247" s="17">
        <f>IF(L247="","",IF(L247&gt;=1000000,"Huge - very competitive",IF(L247&gt;=250000,"Large",IF(L247&gt;=25000,"Medium - sweet spot","Small - easy to rank"))))</f>
        <v>0</v>
      </c>
      <c r="O247" s="23">
        <f>IF(D247="","",COUNTIF('Content Calendar'!$R$5:$R$604,D247))</f>
        <v>0</v>
      </c>
      <c r="Q247" s="23">
        <f>IF(P247="","",TODAY()-P247)</f>
        <v>0</v>
      </c>
      <c r="S247" s="29">
        <f>IF(B247="","",IF(COUNTIF('Hashtag Bank'!$B$5:$B$304,B247)&gt;1,"Duplicate","OK"))</f>
        <v>0</v>
      </c>
      <c r="T247" s="29">
        <f>IF(B247="","",IF(R247="Yes","Remove - flagged by the platform",IF(AND(L247&lt;&gt;"",L247&gt;=1000000),"Check - huge tag, pair with niche ones",IF(O247=0,"Add - group not on the calendar yet","OK"))))</f>
        <v>0</v>
      </c>
    </row>
    <row r="248" spans="1:20">
      <c r="A248" s="41">
        <f>IF(B248="","",HashtagPrefix&amp;TEXT(ROW()-4,"000"))</f>
        <v>0</v>
      </c>
      <c r="M248" s="17">
        <f>IF(L248="","",IF(L248&gt;=1000000,"Huge - very competitive",IF(L248&gt;=250000,"Large",IF(L248&gt;=25000,"Medium - sweet spot","Small - easy to rank"))))</f>
        <v>0</v>
      </c>
      <c r="O248" s="23">
        <f>IF(D248="","",COUNTIF('Content Calendar'!$R$5:$R$604,D248))</f>
        <v>0</v>
      </c>
      <c r="Q248" s="23">
        <f>IF(P248="","",TODAY()-P248)</f>
        <v>0</v>
      </c>
      <c r="S248" s="29">
        <f>IF(B248="","",IF(COUNTIF('Hashtag Bank'!$B$5:$B$304,B248)&gt;1,"Duplicate","OK"))</f>
        <v>0</v>
      </c>
      <c r="T248" s="29">
        <f>IF(B248="","",IF(R248="Yes","Remove - flagged by the platform",IF(AND(L248&lt;&gt;"",L248&gt;=1000000),"Check - huge tag, pair with niche ones",IF(O248=0,"Add - group not on the calendar yet","OK"))))</f>
        <v>0</v>
      </c>
    </row>
    <row r="249" spans="1:20">
      <c r="A249" s="41">
        <f>IF(B249="","",HashtagPrefix&amp;TEXT(ROW()-4,"000"))</f>
        <v>0</v>
      </c>
      <c r="M249" s="17">
        <f>IF(L249="","",IF(L249&gt;=1000000,"Huge - very competitive",IF(L249&gt;=250000,"Large",IF(L249&gt;=25000,"Medium - sweet spot","Small - easy to rank"))))</f>
        <v>0</v>
      </c>
      <c r="O249" s="23">
        <f>IF(D249="","",COUNTIF('Content Calendar'!$R$5:$R$604,D249))</f>
        <v>0</v>
      </c>
      <c r="Q249" s="23">
        <f>IF(P249="","",TODAY()-P249)</f>
        <v>0</v>
      </c>
      <c r="S249" s="29">
        <f>IF(B249="","",IF(COUNTIF('Hashtag Bank'!$B$5:$B$304,B249)&gt;1,"Duplicate","OK"))</f>
        <v>0</v>
      </c>
      <c r="T249" s="29">
        <f>IF(B249="","",IF(R249="Yes","Remove - flagged by the platform",IF(AND(L249&lt;&gt;"",L249&gt;=1000000),"Check - huge tag, pair with niche ones",IF(O249=0,"Add - group not on the calendar yet","OK"))))</f>
        <v>0</v>
      </c>
    </row>
    <row r="250" spans="1:20">
      <c r="A250" s="41">
        <f>IF(B250="","",HashtagPrefix&amp;TEXT(ROW()-4,"000"))</f>
        <v>0</v>
      </c>
      <c r="M250" s="17">
        <f>IF(L250="","",IF(L250&gt;=1000000,"Huge - very competitive",IF(L250&gt;=250000,"Large",IF(L250&gt;=25000,"Medium - sweet spot","Small - easy to rank"))))</f>
        <v>0</v>
      </c>
      <c r="O250" s="23">
        <f>IF(D250="","",COUNTIF('Content Calendar'!$R$5:$R$604,D250))</f>
        <v>0</v>
      </c>
      <c r="Q250" s="23">
        <f>IF(P250="","",TODAY()-P250)</f>
        <v>0</v>
      </c>
      <c r="S250" s="29">
        <f>IF(B250="","",IF(COUNTIF('Hashtag Bank'!$B$5:$B$304,B250)&gt;1,"Duplicate","OK"))</f>
        <v>0</v>
      </c>
      <c r="T250" s="29">
        <f>IF(B250="","",IF(R250="Yes","Remove - flagged by the platform",IF(AND(L250&lt;&gt;"",L250&gt;=1000000),"Check - huge tag, pair with niche ones",IF(O250=0,"Add - group not on the calendar yet","OK"))))</f>
        <v>0</v>
      </c>
    </row>
    <row r="251" spans="1:20">
      <c r="A251" s="41">
        <f>IF(B251="","",HashtagPrefix&amp;TEXT(ROW()-4,"000"))</f>
        <v>0</v>
      </c>
      <c r="M251" s="17">
        <f>IF(L251="","",IF(L251&gt;=1000000,"Huge - very competitive",IF(L251&gt;=250000,"Large",IF(L251&gt;=25000,"Medium - sweet spot","Small - easy to rank"))))</f>
        <v>0</v>
      </c>
      <c r="O251" s="23">
        <f>IF(D251="","",COUNTIF('Content Calendar'!$R$5:$R$604,D251))</f>
        <v>0</v>
      </c>
      <c r="Q251" s="23">
        <f>IF(P251="","",TODAY()-P251)</f>
        <v>0</v>
      </c>
      <c r="S251" s="29">
        <f>IF(B251="","",IF(COUNTIF('Hashtag Bank'!$B$5:$B$304,B251)&gt;1,"Duplicate","OK"))</f>
        <v>0</v>
      </c>
      <c r="T251" s="29">
        <f>IF(B251="","",IF(R251="Yes","Remove - flagged by the platform",IF(AND(L251&lt;&gt;"",L251&gt;=1000000),"Check - huge tag, pair with niche ones",IF(O251=0,"Add - group not on the calendar yet","OK"))))</f>
        <v>0</v>
      </c>
    </row>
    <row r="252" spans="1:20">
      <c r="A252" s="41">
        <f>IF(B252="","",HashtagPrefix&amp;TEXT(ROW()-4,"000"))</f>
        <v>0</v>
      </c>
      <c r="M252" s="17">
        <f>IF(L252="","",IF(L252&gt;=1000000,"Huge - very competitive",IF(L252&gt;=250000,"Large",IF(L252&gt;=25000,"Medium - sweet spot","Small - easy to rank"))))</f>
        <v>0</v>
      </c>
      <c r="O252" s="23">
        <f>IF(D252="","",COUNTIF('Content Calendar'!$R$5:$R$604,D252))</f>
        <v>0</v>
      </c>
      <c r="Q252" s="23">
        <f>IF(P252="","",TODAY()-P252)</f>
        <v>0</v>
      </c>
      <c r="S252" s="29">
        <f>IF(B252="","",IF(COUNTIF('Hashtag Bank'!$B$5:$B$304,B252)&gt;1,"Duplicate","OK"))</f>
        <v>0</v>
      </c>
      <c r="T252" s="29">
        <f>IF(B252="","",IF(R252="Yes","Remove - flagged by the platform",IF(AND(L252&lt;&gt;"",L252&gt;=1000000),"Check - huge tag, pair with niche ones",IF(O252=0,"Add - group not on the calendar yet","OK"))))</f>
        <v>0</v>
      </c>
    </row>
    <row r="253" spans="1:20">
      <c r="A253" s="41">
        <f>IF(B253="","",HashtagPrefix&amp;TEXT(ROW()-4,"000"))</f>
        <v>0</v>
      </c>
      <c r="M253" s="17">
        <f>IF(L253="","",IF(L253&gt;=1000000,"Huge - very competitive",IF(L253&gt;=250000,"Large",IF(L253&gt;=25000,"Medium - sweet spot","Small - easy to rank"))))</f>
        <v>0</v>
      </c>
      <c r="O253" s="23">
        <f>IF(D253="","",COUNTIF('Content Calendar'!$R$5:$R$604,D253))</f>
        <v>0</v>
      </c>
      <c r="Q253" s="23">
        <f>IF(P253="","",TODAY()-P253)</f>
        <v>0</v>
      </c>
      <c r="S253" s="29">
        <f>IF(B253="","",IF(COUNTIF('Hashtag Bank'!$B$5:$B$304,B253)&gt;1,"Duplicate","OK"))</f>
        <v>0</v>
      </c>
      <c r="T253" s="29">
        <f>IF(B253="","",IF(R253="Yes","Remove - flagged by the platform",IF(AND(L253&lt;&gt;"",L253&gt;=1000000),"Check - huge tag, pair with niche ones",IF(O253=0,"Add - group not on the calendar yet","OK"))))</f>
        <v>0</v>
      </c>
    </row>
    <row r="254" spans="1:20">
      <c r="A254" s="41">
        <f>IF(B254="","",HashtagPrefix&amp;TEXT(ROW()-4,"000"))</f>
        <v>0</v>
      </c>
      <c r="M254" s="17">
        <f>IF(L254="","",IF(L254&gt;=1000000,"Huge - very competitive",IF(L254&gt;=250000,"Large",IF(L254&gt;=25000,"Medium - sweet spot","Small - easy to rank"))))</f>
        <v>0</v>
      </c>
      <c r="O254" s="23">
        <f>IF(D254="","",COUNTIF('Content Calendar'!$R$5:$R$604,D254))</f>
        <v>0</v>
      </c>
      <c r="Q254" s="23">
        <f>IF(P254="","",TODAY()-P254)</f>
        <v>0</v>
      </c>
      <c r="S254" s="29">
        <f>IF(B254="","",IF(COUNTIF('Hashtag Bank'!$B$5:$B$304,B254)&gt;1,"Duplicate","OK"))</f>
        <v>0</v>
      </c>
      <c r="T254" s="29">
        <f>IF(B254="","",IF(R254="Yes","Remove - flagged by the platform",IF(AND(L254&lt;&gt;"",L254&gt;=1000000),"Check - huge tag, pair with niche ones",IF(O254=0,"Add - group not on the calendar yet","OK"))))</f>
        <v>0</v>
      </c>
    </row>
    <row r="255" spans="1:20">
      <c r="A255" s="41">
        <f>IF(B255="","",HashtagPrefix&amp;TEXT(ROW()-4,"000"))</f>
        <v>0</v>
      </c>
      <c r="M255" s="17">
        <f>IF(L255="","",IF(L255&gt;=1000000,"Huge - very competitive",IF(L255&gt;=250000,"Large",IF(L255&gt;=25000,"Medium - sweet spot","Small - easy to rank"))))</f>
        <v>0</v>
      </c>
      <c r="O255" s="23">
        <f>IF(D255="","",COUNTIF('Content Calendar'!$R$5:$R$604,D255))</f>
        <v>0</v>
      </c>
      <c r="Q255" s="23">
        <f>IF(P255="","",TODAY()-P255)</f>
        <v>0</v>
      </c>
      <c r="S255" s="29">
        <f>IF(B255="","",IF(COUNTIF('Hashtag Bank'!$B$5:$B$304,B255)&gt;1,"Duplicate","OK"))</f>
        <v>0</v>
      </c>
      <c r="T255" s="29">
        <f>IF(B255="","",IF(R255="Yes","Remove - flagged by the platform",IF(AND(L255&lt;&gt;"",L255&gt;=1000000),"Check - huge tag, pair with niche ones",IF(O255=0,"Add - group not on the calendar yet","OK"))))</f>
        <v>0</v>
      </c>
    </row>
    <row r="256" spans="1:20">
      <c r="A256" s="41">
        <f>IF(B256="","",HashtagPrefix&amp;TEXT(ROW()-4,"000"))</f>
        <v>0</v>
      </c>
      <c r="M256" s="17">
        <f>IF(L256="","",IF(L256&gt;=1000000,"Huge - very competitive",IF(L256&gt;=250000,"Large",IF(L256&gt;=25000,"Medium - sweet spot","Small - easy to rank"))))</f>
        <v>0</v>
      </c>
      <c r="O256" s="23">
        <f>IF(D256="","",COUNTIF('Content Calendar'!$R$5:$R$604,D256))</f>
        <v>0</v>
      </c>
      <c r="Q256" s="23">
        <f>IF(P256="","",TODAY()-P256)</f>
        <v>0</v>
      </c>
      <c r="S256" s="29">
        <f>IF(B256="","",IF(COUNTIF('Hashtag Bank'!$B$5:$B$304,B256)&gt;1,"Duplicate","OK"))</f>
        <v>0</v>
      </c>
      <c r="T256" s="29">
        <f>IF(B256="","",IF(R256="Yes","Remove - flagged by the platform",IF(AND(L256&lt;&gt;"",L256&gt;=1000000),"Check - huge tag, pair with niche ones",IF(O256=0,"Add - group not on the calendar yet","OK"))))</f>
        <v>0</v>
      </c>
    </row>
    <row r="257" spans="1:20">
      <c r="A257" s="41">
        <f>IF(B257="","",HashtagPrefix&amp;TEXT(ROW()-4,"000"))</f>
        <v>0</v>
      </c>
      <c r="M257" s="17">
        <f>IF(L257="","",IF(L257&gt;=1000000,"Huge - very competitive",IF(L257&gt;=250000,"Large",IF(L257&gt;=25000,"Medium - sweet spot","Small - easy to rank"))))</f>
        <v>0</v>
      </c>
      <c r="O257" s="23">
        <f>IF(D257="","",COUNTIF('Content Calendar'!$R$5:$R$604,D257))</f>
        <v>0</v>
      </c>
      <c r="Q257" s="23">
        <f>IF(P257="","",TODAY()-P257)</f>
        <v>0</v>
      </c>
      <c r="S257" s="29">
        <f>IF(B257="","",IF(COUNTIF('Hashtag Bank'!$B$5:$B$304,B257)&gt;1,"Duplicate","OK"))</f>
        <v>0</v>
      </c>
      <c r="T257" s="29">
        <f>IF(B257="","",IF(R257="Yes","Remove - flagged by the platform",IF(AND(L257&lt;&gt;"",L257&gt;=1000000),"Check - huge tag, pair with niche ones",IF(O257=0,"Add - group not on the calendar yet","OK"))))</f>
        <v>0</v>
      </c>
    </row>
    <row r="258" spans="1:20">
      <c r="A258" s="41">
        <f>IF(B258="","",HashtagPrefix&amp;TEXT(ROW()-4,"000"))</f>
        <v>0</v>
      </c>
      <c r="M258" s="17">
        <f>IF(L258="","",IF(L258&gt;=1000000,"Huge - very competitive",IF(L258&gt;=250000,"Large",IF(L258&gt;=25000,"Medium - sweet spot","Small - easy to rank"))))</f>
        <v>0</v>
      </c>
      <c r="O258" s="23">
        <f>IF(D258="","",COUNTIF('Content Calendar'!$R$5:$R$604,D258))</f>
        <v>0</v>
      </c>
      <c r="Q258" s="23">
        <f>IF(P258="","",TODAY()-P258)</f>
        <v>0</v>
      </c>
      <c r="S258" s="29">
        <f>IF(B258="","",IF(COUNTIF('Hashtag Bank'!$B$5:$B$304,B258)&gt;1,"Duplicate","OK"))</f>
        <v>0</v>
      </c>
      <c r="T258" s="29">
        <f>IF(B258="","",IF(R258="Yes","Remove - flagged by the platform",IF(AND(L258&lt;&gt;"",L258&gt;=1000000),"Check - huge tag, pair with niche ones",IF(O258=0,"Add - group not on the calendar yet","OK"))))</f>
        <v>0</v>
      </c>
    </row>
    <row r="259" spans="1:20">
      <c r="A259" s="41">
        <f>IF(B259="","",HashtagPrefix&amp;TEXT(ROW()-4,"000"))</f>
        <v>0</v>
      </c>
      <c r="M259" s="17">
        <f>IF(L259="","",IF(L259&gt;=1000000,"Huge - very competitive",IF(L259&gt;=250000,"Large",IF(L259&gt;=25000,"Medium - sweet spot","Small - easy to rank"))))</f>
        <v>0</v>
      </c>
      <c r="O259" s="23">
        <f>IF(D259="","",COUNTIF('Content Calendar'!$R$5:$R$604,D259))</f>
        <v>0</v>
      </c>
      <c r="Q259" s="23">
        <f>IF(P259="","",TODAY()-P259)</f>
        <v>0</v>
      </c>
      <c r="S259" s="29">
        <f>IF(B259="","",IF(COUNTIF('Hashtag Bank'!$B$5:$B$304,B259)&gt;1,"Duplicate","OK"))</f>
        <v>0</v>
      </c>
      <c r="T259" s="29">
        <f>IF(B259="","",IF(R259="Yes","Remove - flagged by the platform",IF(AND(L259&lt;&gt;"",L259&gt;=1000000),"Check - huge tag, pair with niche ones",IF(O259=0,"Add - group not on the calendar yet","OK"))))</f>
        <v>0</v>
      </c>
    </row>
    <row r="260" spans="1:20">
      <c r="A260" s="41">
        <f>IF(B260="","",HashtagPrefix&amp;TEXT(ROW()-4,"000"))</f>
        <v>0</v>
      </c>
      <c r="M260" s="17">
        <f>IF(L260="","",IF(L260&gt;=1000000,"Huge - very competitive",IF(L260&gt;=250000,"Large",IF(L260&gt;=25000,"Medium - sweet spot","Small - easy to rank"))))</f>
        <v>0</v>
      </c>
      <c r="O260" s="23">
        <f>IF(D260="","",COUNTIF('Content Calendar'!$R$5:$R$604,D260))</f>
        <v>0</v>
      </c>
      <c r="Q260" s="23">
        <f>IF(P260="","",TODAY()-P260)</f>
        <v>0</v>
      </c>
      <c r="S260" s="29">
        <f>IF(B260="","",IF(COUNTIF('Hashtag Bank'!$B$5:$B$304,B260)&gt;1,"Duplicate","OK"))</f>
        <v>0</v>
      </c>
      <c r="T260" s="29">
        <f>IF(B260="","",IF(R260="Yes","Remove - flagged by the platform",IF(AND(L260&lt;&gt;"",L260&gt;=1000000),"Check - huge tag, pair with niche ones",IF(O260=0,"Add - group not on the calendar yet","OK"))))</f>
        <v>0</v>
      </c>
    </row>
    <row r="261" spans="1:20">
      <c r="A261" s="41">
        <f>IF(B261="","",HashtagPrefix&amp;TEXT(ROW()-4,"000"))</f>
        <v>0</v>
      </c>
      <c r="M261" s="17">
        <f>IF(L261="","",IF(L261&gt;=1000000,"Huge - very competitive",IF(L261&gt;=250000,"Large",IF(L261&gt;=25000,"Medium - sweet spot","Small - easy to rank"))))</f>
        <v>0</v>
      </c>
      <c r="O261" s="23">
        <f>IF(D261="","",COUNTIF('Content Calendar'!$R$5:$R$604,D261))</f>
        <v>0</v>
      </c>
      <c r="Q261" s="23">
        <f>IF(P261="","",TODAY()-P261)</f>
        <v>0</v>
      </c>
      <c r="S261" s="29">
        <f>IF(B261="","",IF(COUNTIF('Hashtag Bank'!$B$5:$B$304,B261)&gt;1,"Duplicate","OK"))</f>
        <v>0</v>
      </c>
      <c r="T261" s="29">
        <f>IF(B261="","",IF(R261="Yes","Remove - flagged by the platform",IF(AND(L261&lt;&gt;"",L261&gt;=1000000),"Check - huge tag, pair with niche ones",IF(O261=0,"Add - group not on the calendar yet","OK"))))</f>
        <v>0</v>
      </c>
    </row>
    <row r="262" spans="1:20">
      <c r="A262" s="41">
        <f>IF(B262="","",HashtagPrefix&amp;TEXT(ROW()-4,"000"))</f>
        <v>0</v>
      </c>
      <c r="M262" s="17">
        <f>IF(L262="","",IF(L262&gt;=1000000,"Huge - very competitive",IF(L262&gt;=250000,"Large",IF(L262&gt;=25000,"Medium - sweet spot","Small - easy to rank"))))</f>
        <v>0</v>
      </c>
      <c r="O262" s="23">
        <f>IF(D262="","",COUNTIF('Content Calendar'!$R$5:$R$604,D262))</f>
        <v>0</v>
      </c>
      <c r="Q262" s="23">
        <f>IF(P262="","",TODAY()-P262)</f>
        <v>0</v>
      </c>
      <c r="S262" s="29">
        <f>IF(B262="","",IF(COUNTIF('Hashtag Bank'!$B$5:$B$304,B262)&gt;1,"Duplicate","OK"))</f>
        <v>0</v>
      </c>
      <c r="T262" s="29">
        <f>IF(B262="","",IF(R262="Yes","Remove - flagged by the platform",IF(AND(L262&lt;&gt;"",L262&gt;=1000000),"Check - huge tag, pair with niche ones",IF(O262=0,"Add - group not on the calendar yet","OK"))))</f>
        <v>0</v>
      </c>
    </row>
    <row r="263" spans="1:20">
      <c r="A263" s="41">
        <f>IF(B263="","",HashtagPrefix&amp;TEXT(ROW()-4,"000"))</f>
        <v>0</v>
      </c>
      <c r="M263" s="17">
        <f>IF(L263="","",IF(L263&gt;=1000000,"Huge - very competitive",IF(L263&gt;=250000,"Large",IF(L263&gt;=25000,"Medium - sweet spot","Small - easy to rank"))))</f>
        <v>0</v>
      </c>
      <c r="O263" s="23">
        <f>IF(D263="","",COUNTIF('Content Calendar'!$R$5:$R$604,D263))</f>
        <v>0</v>
      </c>
      <c r="Q263" s="23">
        <f>IF(P263="","",TODAY()-P263)</f>
        <v>0</v>
      </c>
      <c r="S263" s="29">
        <f>IF(B263="","",IF(COUNTIF('Hashtag Bank'!$B$5:$B$304,B263)&gt;1,"Duplicate","OK"))</f>
        <v>0</v>
      </c>
      <c r="T263" s="29">
        <f>IF(B263="","",IF(R263="Yes","Remove - flagged by the platform",IF(AND(L263&lt;&gt;"",L263&gt;=1000000),"Check - huge tag, pair with niche ones",IF(O263=0,"Add - group not on the calendar yet","OK"))))</f>
        <v>0</v>
      </c>
    </row>
    <row r="264" spans="1:20">
      <c r="A264" s="41">
        <f>IF(B264="","",HashtagPrefix&amp;TEXT(ROW()-4,"000"))</f>
        <v>0</v>
      </c>
      <c r="M264" s="17">
        <f>IF(L264="","",IF(L264&gt;=1000000,"Huge - very competitive",IF(L264&gt;=250000,"Large",IF(L264&gt;=25000,"Medium - sweet spot","Small - easy to rank"))))</f>
        <v>0</v>
      </c>
      <c r="O264" s="23">
        <f>IF(D264="","",COUNTIF('Content Calendar'!$R$5:$R$604,D264))</f>
        <v>0</v>
      </c>
      <c r="Q264" s="23">
        <f>IF(P264="","",TODAY()-P264)</f>
        <v>0</v>
      </c>
      <c r="S264" s="29">
        <f>IF(B264="","",IF(COUNTIF('Hashtag Bank'!$B$5:$B$304,B264)&gt;1,"Duplicate","OK"))</f>
        <v>0</v>
      </c>
      <c r="T264" s="29">
        <f>IF(B264="","",IF(R264="Yes","Remove - flagged by the platform",IF(AND(L264&lt;&gt;"",L264&gt;=1000000),"Check - huge tag, pair with niche ones",IF(O264=0,"Add - group not on the calendar yet","OK"))))</f>
        <v>0</v>
      </c>
    </row>
    <row r="265" spans="1:20">
      <c r="A265" s="41">
        <f>IF(B265="","",HashtagPrefix&amp;TEXT(ROW()-4,"000"))</f>
        <v>0</v>
      </c>
      <c r="M265" s="17">
        <f>IF(L265="","",IF(L265&gt;=1000000,"Huge - very competitive",IF(L265&gt;=250000,"Large",IF(L265&gt;=25000,"Medium - sweet spot","Small - easy to rank"))))</f>
        <v>0</v>
      </c>
      <c r="O265" s="23">
        <f>IF(D265="","",COUNTIF('Content Calendar'!$R$5:$R$604,D265))</f>
        <v>0</v>
      </c>
      <c r="Q265" s="23">
        <f>IF(P265="","",TODAY()-P265)</f>
        <v>0</v>
      </c>
      <c r="S265" s="29">
        <f>IF(B265="","",IF(COUNTIF('Hashtag Bank'!$B$5:$B$304,B265)&gt;1,"Duplicate","OK"))</f>
        <v>0</v>
      </c>
      <c r="T265" s="29">
        <f>IF(B265="","",IF(R265="Yes","Remove - flagged by the platform",IF(AND(L265&lt;&gt;"",L265&gt;=1000000),"Check - huge tag, pair with niche ones",IF(O265=0,"Add - group not on the calendar yet","OK"))))</f>
        <v>0</v>
      </c>
    </row>
    <row r="266" spans="1:20">
      <c r="A266" s="41">
        <f>IF(B266="","",HashtagPrefix&amp;TEXT(ROW()-4,"000"))</f>
        <v>0</v>
      </c>
      <c r="M266" s="17">
        <f>IF(L266="","",IF(L266&gt;=1000000,"Huge - very competitive",IF(L266&gt;=250000,"Large",IF(L266&gt;=25000,"Medium - sweet spot","Small - easy to rank"))))</f>
        <v>0</v>
      </c>
      <c r="O266" s="23">
        <f>IF(D266="","",COUNTIF('Content Calendar'!$R$5:$R$604,D266))</f>
        <v>0</v>
      </c>
      <c r="Q266" s="23">
        <f>IF(P266="","",TODAY()-P266)</f>
        <v>0</v>
      </c>
      <c r="S266" s="29">
        <f>IF(B266="","",IF(COUNTIF('Hashtag Bank'!$B$5:$B$304,B266)&gt;1,"Duplicate","OK"))</f>
        <v>0</v>
      </c>
      <c r="T266" s="29">
        <f>IF(B266="","",IF(R266="Yes","Remove - flagged by the platform",IF(AND(L266&lt;&gt;"",L266&gt;=1000000),"Check - huge tag, pair with niche ones",IF(O266=0,"Add - group not on the calendar yet","OK"))))</f>
        <v>0</v>
      </c>
    </row>
    <row r="267" spans="1:20">
      <c r="A267" s="41">
        <f>IF(B267="","",HashtagPrefix&amp;TEXT(ROW()-4,"000"))</f>
        <v>0</v>
      </c>
      <c r="M267" s="17">
        <f>IF(L267="","",IF(L267&gt;=1000000,"Huge - very competitive",IF(L267&gt;=250000,"Large",IF(L267&gt;=25000,"Medium - sweet spot","Small - easy to rank"))))</f>
        <v>0</v>
      </c>
      <c r="O267" s="23">
        <f>IF(D267="","",COUNTIF('Content Calendar'!$R$5:$R$604,D267))</f>
        <v>0</v>
      </c>
      <c r="Q267" s="23">
        <f>IF(P267="","",TODAY()-P267)</f>
        <v>0</v>
      </c>
      <c r="S267" s="29">
        <f>IF(B267="","",IF(COUNTIF('Hashtag Bank'!$B$5:$B$304,B267)&gt;1,"Duplicate","OK"))</f>
        <v>0</v>
      </c>
      <c r="T267" s="29">
        <f>IF(B267="","",IF(R267="Yes","Remove - flagged by the platform",IF(AND(L267&lt;&gt;"",L267&gt;=1000000),"Check - huge tag, pair with niche ones",IF(O267=0,"Add - group not on the calendar yet","OK"))))</f>
        <v>0</v>
      </c>
    </row>
    <row r="268" spans="1:20">
      <c r="A268" s="41">
        <f>IF(B268="","",HashtagPrefix&amp;TEXT(ROW()-4,"000"))</f>
        <v>0</v>
      </c>
      <c r="M268" s="17">
        <f>IF(L268="","",IF(L268&gt;=1000000,"Huge - very competitive",IF(L268&gt;=250000,"Large",IF(L268&gt;=25000,"Medium - sweet spot","Small - easy to rank"))))</f>
        <v>0</v>
      </c>
      <c r="O268" s="23">
        <f>IF(D268="","",COUNTIF('Content Calendar'!$R$5:$R$604,D268))</f>
        <v>0</v>
      </c>
      <c r="Q268" s="23">
        <f>IF(P268="","",TODAY()-P268)</f>
        <v>0</v>
      </c>
      <c r="S268" s="29">
        <f>IF(B268="","",IF(COUNTIF('Hashtag Bank'!$B$5:$B$304,B268)&gt;1,"Duplicate","OK"))</f>
        <v>0</v>
      </c>
      <c r="T268" s="29">
        <f>IF(B268="","",IF(R268="Yes","Remove - flagged by the platform",IF(AND(L268&lt;&gt;"",L268&gt;=1000000),"Check - huge tag, pair with niche ones",IF(O268=0,"Add - group not on the calendar yet","OK"))))</f>
        <v>0</v>
      </c>
    </row>
    <row r="269" spans="1:20">
      <c r="A269" s="41">
        <f>IF(B269="","",HashtagPrefix&amp;TEXT(ROW()-4,"000"))</f>
        <v>0</v>
      </c>
      <c r="M269" s="17">
        <f>IF(L269="","",IF(L269&gt;=1000000,"Huge - very competitive",IF(L269&gt;=250000,"Large",IF(L269&gt;=25000,"Medium - sweet spot","Small - easy to rank"))))</f>
        <v>0</v>
      </c>
      <c r="O269" s="23">
        <f>IF(D269="","",COUNTIF('Content Calendar'!$R$5:$R$604,D269))</f>
        <v>0</v>
      </c>
      <c r="Q269" s="23">
        <f>IF(P269="","",TODAY()-P269)</f>
        <v>0</v>
      </c>
      <c r="S269" s="29">
        <f>IF(B269="","",IF(COUNTIF('Hashtag Bank'!$B$5:$B$304,B269)&gt;1,"Duplicate","OK"))</f>
        <v>0</v>
      </c>
      <c r="T269" s="29">
        <f>IF(B269="","",IF(R269="Yes","Remove - flagged by the platform",IF(AND(L269&lt;&gt;"",L269&gt;=1000000),"Check - huge tag, pair with niche ones",IF(O269=0,"Add - group not on the calendar yet","OK"))))</f>
        <v>0</v>
      </c>
    </row>
    <row r="270" spans="1:20">
      <c r="A270" s="41">
        <f>IF(B270="","",HashtagPrefix&amp;TEXT(ROW()-4,"000"))</f>
        <v>0</v>
      </c>
      <c r="M270" s="17">
        <f>IF(L270="","",IF(L270&gt;=1000000,"Huge - very competitive",IF(L270&gt;=250000,"Large",IF(L270&gt;=25000,"Medium - sweet spot","Small - easy to rank"))))</f>
        <v>0</v>
      </c>
      <c r="O270" s="23">
        <f>IF(D270="","",COUNTIF('Content Calendar'!$R$5:$R$604,D270))</f>
        <v>0</v>
      </c>
      <c r="Q270" s="23">
        <f>IF(P270="","",TODAY()-P270)</f>
        <v>0</v>
      </c>
      <c r="S270" s="29">
        <f>IF(B270="","",IF(COUNTIF('Hashtag Bank'!$B$5:$B$304,B270)&gt;1,"Duplicate","OK"))</f>
        <v>0</v>
      </c>
      <c r="T270" s="29">
        <f>IF(B270="","",IF(R270="Yes","Remove - flagged by the platform",IF(AND(L270&lt;&gt;"",L270&gt;=1000000),"Check - huge tag, pair with niche ones",IF(O270=0,"Add - group not on the calendar yet","OK"))))</f>
        <v>0</v>
      </c>
    </row>
    <row r="271" spans="1:20">
      <c r="A271" s="41">
        <f>IF(B271="","",HashtagPrefix&amp;TEXT(ROW()-4,"000"))</f>
        <v>0</v>
      </c>
      <c r="M271" s="17">
        <f>IF(L271="","",IF(L271&gt;=1000000,"Huge - very competitive",IF(L271&gt;=250000,"Large",IF(L271&gt;=25000,"Medium - sweet spot","Small - easy to rank"))))</f>
        <v>0</v>
      </c>
      <c r="O271" s="23">
        <f>IF(D271="","",COUNTIF('Content Calendar'!$R$5:$R$604,D271))</f>
        <v>0</v>
      </c>
      <c r="Q271" s="23">
        <f>IF(P271="","",TODAY()-P271)</f>
        <v>0</v>
      </c>
      <c r="S271" s="29">
        <f>IF(B271="","",IF(COUNTIF('Hashtag Bank'!$B$5:$B$304,B271)&gt;1,"Duplicate","OK"))</f>
        <v>0</v>
      </c>
      <c r="T271" s="29">
        <f>IF(B271="","",IF(R271="Yes","Remove - flagged by the platform",IF(AND(L271&lt;&gt;"",L271&gt;=1000000),"Check - huge tag, pair with niche ones",IF(O271=0,"Add - group not on the calendar yet","OK"))))</f>
        <v>0</v>
      </c>
    </row>
    <row r="272" spans="1:20">
      <c r="A272" s="41">
        <f>IF(B272="","",HashtagPrefix&amp;TEXT(ROW()-4,"000"))</f>
        <v>0</v>
      </c>
      <c r="M272" s="17">
        <f>IF(L272="","",IF(L272&gt;=1000000,"Huge - very competitive",IF(L272&gt;=250000,"Large",IF(L272&gt;=25000,"Medium - sweet spot","Small - easy to rank"))))</f>
        <v>0</v>
      </c>
      <c r="O272" s="23">
        <f>IF(D272="","",COUNTIF('Content Calendar'!$R$5:$R$604,D272))</f>
        <v>0</v>
      </c>
      <c r="Q272" s="23">
        <f>IF(P272="","",TODAY()-P272)</f>
        <v>0</v>
      </c>
      <c r="S272" s="29">
        <f>IF(B272="","",IF(COUNTIF('Hashtag Bank'!$B$5:$B$304,B272)&gt;1,"Duplicate","OK"))</f>
        <v>0</v>
      </c>
      <c r="T272" s="29">
        <f>IF(B272="","",IF(R272="Yes","Remove - flagged by the platform",IF(AND(L272&lt;&gt;"",L272&gt;=1000000),"Check - huge tag, pair with niche ones",IF(O272=0,"Add - group not on the calendar yet","OK"))))</f>
        <v>0</v>
      </c>
    </row>
    <row r="273" spans="1:20">
      <c r="A273" s="41">
        <f>IF(B273="","",HashtagPrefix&amp;TEXT(ROW()-4,"000"))</f>
        <v>0</v>
      </c>
      <c r="M273" s="17">
        <f>IF(L273="","",IF(L273&gt;=1000000,"Huge - very competitive",IF(L273&gt;=250000,"Large",IF(L273&gt;=25000,"Medium - sweet spot","Small - easy to rank"))))</f>
        <v>0</v>
      </c>
      <c r="O273" s="23">
        <f>IF(D273="","",COUNTIF('Content Calendar'!$R$5:$R$604,D273))</f>
        <v>0</v>
      </c>
      <c r="Q273" s="23">
        <f>IF(P273="","",TODAY()-P273)</f>
        <v>0</v>
      </c>
      <c r="S273" s="29">
        <f>IF(B273="","",IF(COUNTIF('Hashtag Bank'!$B$5:$B$304,B273)&gt;1,"Duplicate","OK"))</f>
        <v>0</v>
      </c>
      <c r="T273" s="29">
        <f>IF(B273="","",IF(R273="Yes","Remove - flagged by the platform",IF(AND(L273&lt;&gt;"",L273&gt;=1000000),"Check - huge tag, pair with niche ones",IF(O273=0,"Add - group not on the calendar yet","OK"))))</f>
        <v>0</v>
      </c>
    </row>
    <row r="274" spans="1:20">
      <c r="A274" s="41">
        <f>IF(B274="","",HashtagPrefix&amp;TEXT(ROW()-4,"000"))</f>
        <v>0</v>
      </c>
      <c r="M274" s="17">
        <f>IF(L274="","",IF(L274&gt;=1000000,"Huge - very competitive",IF(L274&gt;=250000,"Large",IF(L274&gt;=25000,"Medium - sweet spot","Small - easy to rank"))))</f>
        <v>0</v>
      </c>
      <c r="O274" s="23">
        <f>IF(D274="","",COUNTIF('Content Calendar'!$R$5:$R$604,D274))</f>
        <v>0</v>
      </c>
      <c r="Q274" s="23">
        <f>IF(P274="","",TODAY()-P274)</f>
        <v>0</v>
      </c>
      <c r="S274" s="29">
        <f>IF(B274="","",IF(COUNTIF('Hashtag Bank'!$B$5:$B$304,B274)&gt;1,"Duplicate","OK"))</f>
        <v>0</v>
      </c>
      <c r="T274" s="29">
        <f>IF(B274="","",IF(R274="Yes","Remove - flagged by the platform",IF(AND(L274&lt;&gt;"",L274&gt;=1000000),"Check - huge tag, pair with niche ones",IF(O274=0,"Add - group not on the calendar yet","OK"))))</f>
        <v>0</v>
      </c>
    </row>
    <row r="275" spans="1:20">
      <c r="A275" s="41">
        <f>IF(B275="","",HashtagPrefix&amp;TEXT(ROW()-4,"000"))</f>
        <v>0</v>
      </c>
      <c r="M275" s="17">
        <f>IF(L275="","",IF(L275&gt;=1000000,"Huge - very competitive",IF(L275&gt;=250000,"Large",IF(L275&gt;=25000,"Medium - sweet spot","Small - easy to rank"))))</f>
        <v>0</v>
      </c>
      <c r="O275" s="23">
        <f>IF(D275="","",COUNTIF('Content Calendar'!$R$5:$R$604,D275))</f>
        <v>0</v>
      </c>
      <c r="Q275" s="23">
        <f>IF(P275="","",TODAY()-P275)</f>
        <v>0</v>
      </c>
      <c r="S275" s="29">
        <f>IF(B275="","",IF(COUNTIF('Hashtag Bank'!$B$5:$B$304,B275)&gt;1,"Duplicate","OK"))</f>
        <v>0</v>
      </c>
      <c r="T275" s="29">
        <f>IF(B275="","",IF(R275="Yes","Remove - flagged by the platform",IF(AND(L275&lt;&gt;"",L275&gt;=1000000),"Check - huge tag, pair with niche ones",IF(O275=0,"Add - group not on the calendar yet","OK"))))</f>
        <v>0</v>
      </c>
    </row>
    <row r="276" spans="1:20">
      <c r="A276" s="41">
        <f>IF(B276="","",HashtagPrefix&amp;TEXT(ROW()-4,"000"))</f>
        <v>0</v>
      </c>
      <c r="M276" s="17">
        <f>IF(L276="","",IF(L276&gt;=1000000,"Huge - very competitive",IF(L276&gt;=250000,"Large",IF(L276&gt;=25000,"Medium - sweet spot","Small - easy to rank"))))</f>
        <v>0</v>
      </c>
      <c r="O276" s="23">
        <f>IF(D276="","",COUNTIF('Content Calendar'!$R$5:$R$604,D276))</f>
        <v>0</v>
      </c>
      <c r="Q276" s="23">
        <f>IF(P276="","",TODAY()-P276)</f>
        <v>0</v>
      </c>
      <c r="S276" s="29">
        <f>IF(B276="","",IF(COUNTIF('Hashtag Bank'!$B$5:$B$304,B276)&gt;1,"Duplicate","OK"))</f>
        <v>0</v>
      </c>
      <c r="T276" s="29">
        <f>IF(B276="","",IF(R276="Yes","Remove - flagged by the platform",IF(AND(L276&lt;&gt;"",L276&gt;=1000000),"Check - huge tag, pair with niche ones",IF(O276=0,"Add - group not on the calendar yet","OK"))))</f>
        <v>0</v>
      </c>
    </row>
    <row r="277" spans="1:20">
      <c r="A277" s="41">
        <f>IF(B277="","",HashtagPrefix&amp;TEXT(ROW()-4,"000"))</f>
        <v>0</v>
      </c>
      <c r="M277" s="17">
        <f>IF(L277="","",IF(L277&gt;=1000000,"Huge - very competitive",IF(L277&gt;=250000,"Large",IF(L277&gt;=25000,"Medium - sweet spot","Small - easy to rank"))))</f>
        <v>0</v>
      </c>
      <c r="O277" s="23">
        <f>IF(D277="","",COUNTIF('Content Calendar'!$R$5:$R$604,D277))</f>
        <v>0</v>
      </c>
      <c r="Q277" s="23">
        <f>IF(P277="","",TODAY()-P277)</f>
        <v>0</v>
      </c>
      <c r="S277" s="29">
        <f>IF(B277="","",IF(COUNTIF('Hashtag Bank'!$B$5:$B$304,B277)&gt;1,"Duplicate","OK"))</f>
        <v>0</v>
      </c>
      <c r="T277" s="29">
        <f>IF(B277="","",IF(R277="Yes","Remove - flagged by the platform",IF(AND(L277&lt;&gt;"",L277&gt;=1000000),"Check - huge tag, pair with niche ones",IF(O277=0,"Add - group not on the calendar yet","OK"))))</f>
        <v>0</v>
      </c>
    </row>
    <row r="278" spans="1:20">
      <c r="A278" s="41">
        <f>IF(B278="","",HashtagPrefix&amp;TEXT(ROW()-4,"000"))</f>
        <v>0</v>
      </c>
      <c r="M278" s="17">
        <f>IF(L278="","",IF(L278&gt;=1000000,"Huge - very competitive",IF(L278&gt;=250000,"Large",IF(L278&gt;=25000,"Medium - sweet spot","Small - easy to rank"))))</f>
        <v>0</v>
      </c>
      <c r="O278" s="23">
        <f>IF(D278="","",COUNTIF('Content Calendar'!$R$5:$R$604,D278))</f>
        <v>0</v>
      </c>
      <c r="Q278" s="23">
        <f>IF(P278="","",TODAY()-P278)</f>
        <v>0</v>
      </c>
      <c r="S278" s="29">
        <f>IF(B278="","",IF(COUNTIF('Hashtag Bank'!$B$5:$B$304,B278)&gt;1,"Duplicate","OK"))</f>
        <v>0</v>
      </c>
      <c r="T278" s="29">
        <f>IF(B278="","",IF(R278="Yes","Remove - flagged by the platform",IF(AND(L278&lt;&gt;"",L278&gt;=1000000),"Check - huge tag, pair with niche ones",IF(O278=0,"Add - group not on the calendar yet","OK"))))</f>
        <v>0</v>
      </c>
    </row>
    <row r="279" spans="1:20">
      <c r="A279" s="41">
        <f>IF(B279="","",HashtagPrefix&amp;TEXT(ROW()-4,"000"))</f>
        <v>0</v>
      </c>
      <c r="M279" s="17">
        <f>IF(L279="","",IF(L279&gt;=1000000,"Huge - very competitive",IF(L279&gt;=250000,"Large",IF(L279&gt;=25000,"Medium - sweet spot","Small - easy to rank"))))</f>
        <v>0</v>
      </c>
      <c r="O279" s="23">
        <f>IF(D279="","",COUNTIF('Content Calendar'!$R$5:$R$604,D279))</f>
        <v>0</v>
      </c>
      <c r="Q279" s="23">
        <f>IF(P279="","",TODAY()-P279)</f>
        <v>0</v>
      </c>
      <c r="S279" s="29">
        <f>IF(B279="","",IF(COUNTIF('Hashtag Bank'!$B$5:$B$304,B279)&gt;1,"Duplicate","OK"))</f>
        <v>0</v>
      </c>
      <c r="T279" s="29">
        <f>IF(B279="","",IF(R279="Yes","Remove - flagged by the platform",IF(AND(L279&lt;&gt;"",L279&gt;=1000000),"Check - huge tag, pair with niche ones",IF(O279=0,"Add - group not on the calendar yet","OK"))))</f>
        <v>0</v>
      </c>
    </row>
    <row r="280" spans="1:20">
      <c r="A280" s="41">
        <f>IF(B280="","",HashtagPrefix&amp;TEXT(ROW()-4,"000"))</f>
        <v>0</v>
      </c>
      <c r="M280" s="17">
        <f>IF(L280="","",IF(L280&gt;=1000000,"Huge - very competitive",IF(L280&gt;=250000,"Large",IF(L280&gt;=25000,"Medium - sweet spot","Small - easy to rank"))))</f>
        <v>0</v>
      </c>
      <c r="O280" s="23">
        <f>IF(D280="","",COUNTIF('Content Calendar'!$R$5:$R$604,D280))</f>
        <v>0</v>
      </c>
      <c r="Q280" s="23">
        <f>IF(P280="","",TODAY()-P280)</f>
        <v>0</v>
      </c>
      <c r="S280" s="29">
        <f>IF(B280="","",IF(COUNTIF('Hashtag Bank'!$B$5:$B$304,B280)&gt;1,"Duplicate","OK"))</f>
        <v>0</v>
      </c>
      <c r="T280" s="29">
        <f>IF(B280="","",IF(R280="Yes","Remove - flagged by the platform",IF(AND(L280&lt;&gt;"",L280&gt;=1000000),"Check - huge tag, pair with niche ones",IF(O280=0,"Add - group not on the calendar yet","OK"))))</f>
        <v>0</v>
      </c>
    </row>
    <row r="281" spans="1:20">
      <c r="A281" s="41">
        <f>IF(B281="","",HashtagPrefix&amp;TEXT(ROW()-4,"000"))</f>
        <v>0</v>
      </c>
      <c r="M281" s="17">
        <f>IF(L281="","",IF(L281&gt;=1000000,"Huge - very competitive",IF(L281&gt;=250000,"Large",IF(L281&gt;=25000,"Medium - sweet spot","Small - easy to rank"))))</f>
        <v>0</v>
      </c>
      <c r="O281" s="23">
        <f>IF(D281="","",COUNTIF('Content Calendar'!$R$5:$R$604,D281))</f>
        <v>0</v>
      </c>
      <c r="Q281" s="23">
        <f>IF(P281="","",TODAY()-P281)</f>
        <v>0</v>
      </c>
      <c r="S281" s="29">
        <f>IF(B281="","",IF(COUNTIF('Hashtag Bank'!$B$5:$B$304,B281)&gt;1,"Duplicate","OK"))</f>
        <v>0</v>
      </c>
      <c r="T281" s="29">
        <f>IF(B281="","",IF(R281="Yes","Remove - flagged by the platform",IF(AND(L281&lt;&gt;"",L281&gt;=1000000),"Check - huge tag, pair with niche ones",IF(O281=0,"Add - group not on the calendar yet","OK"))))</f>
        <v>0</v>
      </c>
    </row>
    <row r="282" spans="1:20">
      <c r="A282" s="41">
        <f>IF(B282="","",HashtagPrefix&amp;TEXT(ROW()-4,"000"))</f>
        <v>0</v>
      </c>
      <c r="M282" s="17">
        <f>IF(L282="","",IF(L282&gt;=1000000,"Huge - very competitive",IF(L282&gt;=250000,"Large",IF(L282&gt;=25000,"Medium - sweet spot","Small - easy to rank"))))</f>
        <v>0</v>
      </c>
      <c r="O282" s="23">
        <f>IF(D282="","",COUNTIF('Content Calendar'!$R$5:$R$604,D282))</f>
        <v>0</v>
      </c>
      <c r="Q282" s="23">
        <f>IF(P282="","",TODAY()-P282)</f>
        <v>0</v>
      </c>
      <c r="S282" s="29">
        <f>IF(B282="","",IF(COUNTIF('Hashtag Bank'!$B$5:$B$304,B282)&gt;1,"Duplicate","OK"))</f>
        <v>0</v>
      </c>
      <c r="T282" s="29">
        <f>IF(B282="","",IF(R282="Yes","Remove - flagged by the platform",IF(AND(L282&lt;&gt;"",L282&gt;=1000000),"Check - huge tag, pair with niche ones",IF(O282=0,"Add - group not on the calendar yet","OK"))))</f>
        <v>0</v>
      </c>
    </row>
    <row r="283" spans="1:20">
      <c r="A283" s="41">
        <f>IF(B283="","",HashtagPrefix&amp;TEXT(ROW()-4,"000"))</f>
        <v>0</v>
      </c>
      <c r="M283" s="17">
        <f>IF(L283="","",IF(L283&gt;=1000000,"Huge - very competitive",IF(L283&gt;=250000,"Large",IF(L283&gt;=25000,"Medium - sweet spot","Small - easy to rank"))))</f>
        <v>0</v>
      </c>
      <c r="O283" s="23">
        <f>IF(D283="","",COUNTIF('Content Calendar'!$R$5:$R$604,D283))</f>
        <v>0</v>
      </c>
      <c r="Q283" s="23">
        <f>IF(P283="","",TODAY()-P283)</f>
        <v>0</v>
      </c>
      <c r="S283" s="29">
        <f>IF(B283="","",IF(COUNTIF('Hashtag Bank'!$B$5:$B$304,B283)&gt;1,"Duplicate","OK"))</f>
        <v>0</v>
      </c>
      <c r="T283" s="29">
        <f>IF(B283="","",IF(R283="Yes","Remove - flagged by the platform",IF(AND(L283&lt;&gt;"",L283&gt;=1000000),"Check - huge tag, pair with niche ones",IF(O283=0,"Add - group not on the calendar yet","OK"))))</f>
        <v>0</v>
      </c>
    </row>
    <row r="284" spans="1:20">
      <c r="A284" s="41">
        <f>IF(B284="","",HashtagPrefix&amp;TEXT(ROW()-4,"000"))</f>
        <v>0</v>
      </c>
      <c r="M284" s="17">
        <f>IF(L284="","",IF(L284&gt;=1000000,"Huge - very competitive",IF(L284&gt;=250000,"Large",IF(L284&gt;=25000,"Medium - sweet spot","Small - easy to rank"))))</f>
        <v>0</v>
      </c>
      <c r="O284" s="23">
        <f>IF(D284="","",COUNTIF('Content Calendar'!$R$5:$R$604,D284))</f>
        <v>0</v>
      </c>
      <c r="Q284" s="23">
        <f>IF(P284="","",TODAY()-P284)</f>
        <v>0</v>
      </c>
      <c r="S284" s="29">
        <f>IF(B284="","",IF(COUNTIF('Hashtag Bank'!$B$5:$B$304,B284)&gt;1,"Duplicate","OK"))</f>
        <v>0</v>
      </c>
      <c r="T284" s="29">
        <f>IF(B284="","",IF(R284="Yes","Remove - flagged by the platform",IF(AND(L284&lt;&gt;"",L284&gt;=1000000),"Check - huge tag, pair with niche ones",IF(O284=0,"Add - group not on the calendar yet","OK"))))</f>
        <v>0</v>
      </c>
    </row>
    <row r="285" spans="1:20">
      <c r="A285" s="41">
        <f>IF(B285="","",HashtagPrefix&amp;TEXT(ROW()-4,"000"))</f>
        <v>0</v>
      </c>
      <c r="M285" s="17">
        <f>IF(L285="","",IF(L285&gt;=1000000,"Huge - very competitive",IF(L285&gt;=250000,"Large",IF(L285&gt;=25000,"Medium - sweet spot","Small - easy to rank"))))</f>
        <v>0</v>
      </c>
      <c r="O285" s="23">
        <f>IF(D285="","",COUNTIF('Content Calendar'!$R$5:$R$604,D285))</f>
        <v>0</v>
      </c>
      <c r="Q285" s="23">
        <f>IF(P285="","",TODAY()-P285)</f>
        <v>0</v>
      </c>
      <c r="S285" s="29">
        <f>IF(B285="","",IF(COUNTIF('Hashtag Bank'!$B$5:$B$304,B285)&gt;1,"Duplicate","OK"))</f>
        <v>0</v>
      </c>
      <c r="T285" s="29">
        <f>IF(B285="","",IF(R285="Yes","Remove - flagged by the platform",IF(AND(L285&lt;&gt;"",L285&gt;=1000000),"Check - huge tag, pair with niche ones",IF(O285=0,"Add - group not on the calendar yet","OK"))))</f>
        <v>0</v>
      </c>
    </row>
    <row r="286" spans="1:20">
      <c r="A286" s="41">
        <f>IF(B286="","",HashtagPrefix&amp;TEXT(ROW()-4,"000"))</f>
        <v>0</v>
      </c>
      <c r="M286" s="17">
        <f>IF(L286="","",IF(L286&gt;=1000000,"Huge - very competitive",IF(L286&gt;=250000,"Large",IF(L286&gt;=25000,"Medium - sweet spot","Small - easy to rank"))))</f>
        <v>0</v>
      </c>
      <c r="O286" s="23">
        <f>IF(D286="","",COUNTIF('Content Calendar'!$R$5:$R$604,D286))</f>
        <v>0</v>
      </c>
      <c r="Q286" s="23">
        <f>IF(P286="","",TODAY()-P286)</f>
        <v>0</v>
      </c>
      <c r="S286" s="29">
        <f>IF(B286="","",IF(COUNTIF('Hashtag Bank'!$B$5:$B$304,B286)&gt;1,"Duplicate","OK"))</f>
        <v>0</v>
      </c>
      <c r="T286" s="29">
        <f>IF(B286="","",IF(R286="Yes","Remove - flagged by the platform",IF(AND(L286&lt;&gt;"",L286&gt;=1000000),"Check - huge tag, pair with niche ones",IF(O286=0,"Add - group not on the calendar yet","OK"))))</f>
        <v>0</v>
      </c>
    </row>
    <row r="287" spans="1:20">
      <c r="A287" s="41">
        <f>IF(B287="","",HashtagPrefix&amp;TEXT(ROW()-4,"000"))</f>
        <v>0</v>
      </c>
      <c r="M287" s="17">
        <f>IF(L287="","",IF(L287&gt;=1000000,"Huge - very competitive",IF(L287&gt;=250000,"Large",IF(L287&gt;=25000,"Medium - sweet spot","Small - easy to rank"))))</f>
        <v>0</v>
      </c>
      <c r="O287" s="23">
        <f>IF(D287="","",COUNTIF('Content Calendar'!$R$5:$R$604,D287))</f>
        <v>0</v>
      </c>
      <c r="Q287" s="23">
        <f>IF(P287="","",TODAY()-P287)</f>
        <v>0</v>
      </c>
      <c r="S287" s="29">
        <f>IF(B287="","",IF(COUNTIF('Hashtag Bank'!$B$5:$B$304,B287)&gt;1,"Duplicate","OK"))</f>
        <v>0</v>
      </c>
      <c r="T287" s="29">
        <f>IF(B287="","",IF(R287="Yes","Remove - flagged by the platform",IF(AND(L287&lt;&gt;"",L287&gt;=1000000),"Check - huge tag, pair with niche ones",IF(O287=0,"Add - group not on the calendar yet","OK"))))</f>
        <v>0</v>
      </c>
    </row>
    <row r="288" spans="1:20">
      <c r="A288" s="41">
        <f>IF(B288="","",HashtagPrefix&amp;TEXT(ROW()-4,"000"))</f>
        <v>0</v>
      </c>
      <c r="M288" s="17">
        <f>IF(L288="","",IF(L288&gt;=1000000,"Huge - very competitive",IF(L288&gt;=250000,"Large",IF(L288&gt;=25000,"Medium - sweet spot","Small - easy to rank"))))</f>
        <v>0</v>
      </c>
      <c r="O288" s="23">
        <f>IF(D288="","",COUNTIF('Content Calendar'!$R$5:$R$604,D288))</f>
        <v>0</v>
      </c>
      <c r="Q288" s="23">
        <f>IF(P288="","",TODAY()-P288)</f>
        <v>0</v>
      </c>
      <c r="S288" s="29">
        <f>IF(B288="","",IF(COUNTIF('Hashtag Bank'!$B$5:$B$304,B288)&gt;1,"Duplicate","OK"))</f>
        <v>0</v>
      </c>
      <c r="T288" s="29">
        <f>IF(B288="","",IF(R288="Yes","Remove - flagged by the platform",IF(AND(L288&lt;&gt;"",L288&gt;=1000000),"Check - huge tag, pair with niche ones",IF(O288=0,"Add - group not on the calendar yet","OK"))))</f>
        <v>0</v>
      </c>
    </row>
    <row r="289" spans="1:20">
      <c r="A289" s="41">
        <f>IF(B289="","",HashtagPrefix&amp;TEXT(ROW()-4,"000"))</f>
        <v>0</v>
      </c>
      <c r="M289" s="17">
        <f>IF(L289="","",IF(L289&gt;=1000000,"Huge - very competitive",IF(L289&gt;=250000,"Large",IF(L289&gt;=25000,"Medium - sweet spot","Small - easy to rank"))))</f>
        <v>0</v>
      </c>
      <c r="O289" s="23">
        <f>IF(D289="","",COUNTIF('Content Calendar'!$R$5:$R$604,D289))</f>
        <v>0</v>
      </c>
      <c r="Q289" s="23">
        <f>IF(P289="","",TODAY()-P289)</f>
        <v>0</v>
      </c>
      <c r="S289" s="29">
        <f>IF(B289="","",IF(COUNTIF('Hashtag Bank'!$B$5:$B$304,B289)&gt;1,"Duplicate","OK"))</f>
        <v>0</v>
      </c>
      <c r="T289" s="29">
        <f>IF(B289="","",IF(R289="Yes","Remove - flagged by the platform",IF(AND(L289&lt;&gt;"",L289&gt;=1000000),"Check - huge tag, pair with niche ones",IF(O289=0,"Add - group not on the calendar yet","OK"))))</f>
        <v>0</v>
      </c>
    </row>
    <row r="290" spans="1:20">
      <c r="A290" s="41">
        <f>IF(B290="","",HashtagPrefix&amp;TEXT(ROW()-4,"000"))</f>
        <v>0</v>
      </c>
      <c r="M290" s="17">
        <f>IF(L290="","",IF(L290&gt;=1000000,"Huge - very competitive",IF(L290&gt;=250000,"Large",IF(L290&gt;=25000,"Medium - sweet spot","Small - easy to rank"))))</f>
        <v>0</v>
      </c>
      <c r="O290" s="23">
        <f>IF(D290="","",COUNTIF('Content Calendar'!$R$5:$R$604,D290))</f>
        <v>0</v>
      </c>
      <c r="Q290" s="23">
        <f>IF(P290="","",TODAY()-P290)</f>
        <v>0</v>
      </c>
      <c r="S290" s="29">
        <f>IF(B290="","",IF(COUNTIF('Hashtag Bank'!$B$5:$B$304,B290)&gt;1,"Duplicate","OK"))</f>
        <v>0</v>
      </c>
      <c r="T290" s="29">
        <f>IF(B290="","",IF(R290="Yes","Remove - flagged by the platform",IF(AND(L290&lt;&gt;"",L290&gt;=1000000),"Check - huge tag, pair with niche ones",IF(O290=0,"Add - group not on the calendar yet","OK"))))</f>
        <v>0</v>
      </c>
    </row>
    <row r="291" spans="1:20">
      <c r="A291" s="41">
        <f>IF(B291="","",HashtagPrefix&amp;TEXT(ROW()-4,"000"))</f>
        <v>0</v>
      </c>
      <c r="M291" s="17">
        <f>IF(L291="","",IF(L291&gt;=1000000,"Huge - very competitive",IF(L291&gt;=250000,"Large",IF(L291&gt;=25000,"Medium - sweet spot","Small - easy to rank"))))</f>
        <v>0</v>
      </c>
      <c r="O291" s="23">
        <f>IF(D291="","",COUNTIF('Content Calendar'!$R$5:$R$604,D291))</f>
        <v>0</v>
      </c>
      <c r="Q291" s="23">
        <f>IF(P291="","",TODAY()-P291)</f>
        <v>0</v>
      </c>
      <c r="S291" s="29">
        <f>IF(B291="","",IF(COUNTIF('Hashtag Bank'!$B$5:$B$304,B291)&gt;1,"Duplicate","OK"))</f>
        <v>0</v>
      </c>
      <c r="T291" s="29">
        <f>IF(B291="","",IF(R291="Yes","Remove - flagged by the platform",IF(AND(L291&lt;&gt;"",L291&gt;=1000000),"Check - huge tag, pair with niche ones",IF(O291=0,"Add - group not on the calendar yet","OK"))))</f>
        <v>0</v>
      </c>
    </row>
    <row r="292" spans="1:20">
      <c r="A292" s="41">
        <f>IF(B292="","",HashtagPrefix&amp;TEXT(ROW()-4,"000"))</f>
        <v>0</v>
      </c>
      <c r="M292" s="17">
        <f>IF(L292="","",IF(L292&gt;=1000000,"Huge - very competitive",IF(L292&gt;=250000,"Large",IF(L292&gt;=25000,"Medium - sweet spot","Small - easy to rank"))))</f>
        <v>0</v>
      </c>
      <c r="O292" s="23">
        <f>IF(D292="","",COUNTIF('Content Calendar'!$R$5:$R$604,D292))</f>
        <v>0</v>
      </c>
      <c r="Q292" s="23">
        <f>IF(P292="","",TODAY()-P292)</f>
        <v>0</v>
      </c>
      <c r="S292" s="29">
        <f>IF(B292="","",IF(COUNTIF('Hashtag Bank'!$B$5:$B$304,B292)&gt;1,"Duplicate","OK"))</f>
        <v>0</v>
      </c>
      <c r="T292" s="29">
        <f>IF(B292="","",IF(R292="Yes","Remove - flagged by the platform",IF(AND(L292&lt;&gt;"",L292&gt;=1000000),"Check - huge tag, pair with niche ones",IF(O292=0,"Add - group not on the calendar yet","OK"))))</f>
        <v>0</v>
      </c>
    </row>
    <row r="293" spans="1:20">
      <c r="A293" s="41">
        <f>IF(B293="","",HashtagPrefix&amp;TEXT(ROW()-4,"000"))</f>
        <v>0</v>
      </c>
      <c r="M293" s="17">
        <f>IF(L293="","",IF(L293&gt;=1000000,"Huge - very competitive",IF(L293&gt;=250000,"Large",IF(L293&gt;=25000,"Medium - sweet spot","Small - easy to rank"))))</f>
        <v>0</v>
      </c>
      <c r="O293" s="23">
        <f>IF(D293="","",COUNTIF('Content Calendar'!$R$5:$R$604,D293))</f>
        <v>0</v>
      </c>
      <c r="Q293" s="23">
        <f>IF(P293="","",TODAY()-P293)</f>
        <v>0</v>
      </c>
      <c r="S293" s="29">
        <f>IF(B293="","",IF(COUNTIF('Hashtag Bank'!$B$5:$B$304,B293)&gt;1,"Duplicate","OK"))</f>
        <v>0</v>
      </c>
      <c r="T293" s="29">
        <f>IF(B293="","",IF(R293="Yes","Remove - flagged by the platform",IF(AND(L293&lt;&gt;"",L293&gt;=1000000),"Check - huge tag, pair with niche ones",IF(O293=0,"Add - group not on the calendar yet","OK"))))</f>
        <v>0</v>
      </c>
    </row>
    <row r="294" spans="1:20">
      <c r="A294" s="41">
        <f>IF(B294="","",HashtagPrefix&amp;TEXT(ROW()-4,"000"))</f>
        <v>0</v>
      </c>
      <c r="M294" s="17">
        <f>IF(L294="","",IF(L294&gt;=1000000,"Huge - very competitive",IF(L294&gt;=250000,"Large",IF(L294&gt;=25000,"Medium - sweet spot","Small - easy to rank"))))</f>
        <v>0</v>
      </c>
      <c r="O294" s="23">
        <f>IF(D294="","",COUNTIF('Content Calendar'!$R$5:$R$604,D294))</f>
        <v>0</v>
      </c>
      <c r="Q294" s="23">
        <f>IF(P294="","",TODAY()-P294)</f>
        <v>0</v>
      </c>
      <c r="S294" s="29">
        <f>IF(B294="","",IF(COUNTIF('Hashtag Bank'!$B$5:$B$304,B294)&gt;1,"Duplicate","OK"))</f>
        <v>0</v>
      </c>
      <c r="T294" s="29">
        <f>IF(B294="","",IF(R294="Yes","Remove - flagged by the platform",IF(AND(L294&lt;&gt;"",L294&gt;=1000000),"Check - huge tag, pair with niche ones",IF(O294=0,"Add - group not on the calendar yet","OK"))))</f>
        <v>0</v>
      </c>
    </row>
    <row r="295" spans="1:20">
      <c r="A295" s="41">
        <f>IF(B295="","",HashtagPrefix&amp;TEXT(ROW()-4,"000"))</f>
        <v>0</v>
      </c>
      <c r="M295" s="17">
        <f>IF(L295="","",IF(L295&gt;=1000000,"Huge - very competitive",IF(L295&gt;=250000,"Large",IF(L295&gt;=25000,"Medium - sweet spot","Small - easy to rank"))))</f>
        <v>0</v>
      </c>
      <c r="O295" s="23">
        <f>IF(D295="","",COUNTIF('Content Calendar'!$R$5:$R$604,D295))</f>
        <v>0</v>
      </c>
      <c r="Q295" s="23">
        <f>IF(P295="","",TODAY()-P295)</f>
        <v>0</v>
      </c>
      <c r="S295" s="29">
        <f>IF(B295="","",IF(COUNTIF('Hashtag Bank'!$B$5:$B$304,B295)&gt;1,"Duplicate","OK"))</f>
        <v>0</v>
      </c>
      <c r="T295" s="29">
        <f>IF(B295="","",IF(R295="Yes","Remove - flagged by the platform",IF(AND(L295&lt;&gt;"",L295&gt;=1000000),"Check - huge tag, pair with niche ones",IF(O295=0,"Add - group not on the calendar yet","OK"))))</f>
        <v>0</v>
      </c>
    </row>
    <row r="296" spans="1:20">
      <c r="A296" s="41">
        <f>IF(B296="","",HashtagPrefix&amp;TEXT(ROW()-4,"000"))</f>
        <v>0</v>
      </c>
      <c r="M296" s="17">
        <f>IF(L296="","",IF(L296&gt;=1000000,"Huge - very competitive",IF(L296&gt;=250000,"Large",IF(L296&gt;=25000,"Medium - sweet spot","Small - easy to rank"))))</f>
        <v>0</v>
      </c>
      <c r="O296" s="23">
        <f>IF(D296="","",COUNTIF('Content Calendar'!$R$5:$R$604,D296))</f>
        <v>0</v>
      </c>
      <c r="Q296" s="23">
        <f>IF(P296="","",TODAY()-P296)</f>
        <v>0</v>
      </c>
      <c r="S296" s="29">
        <f>IF(B296="","",IF(COUNTIF('Hashtag Bank'!$B$5:$B$304,B296)&gt;1,"Duplicate","OK"))</f>
        <v>0</v>
      </c>
      <c r="T296" s="29">
        <f>IF(B296="","",IF(R296="Yes","Remove - flagged by the platform",IF(AND(L296&lt;&gt;"",L296&gt;=1000000),"Check - huge tag, pair with niche ones",IF(O296=0,"Add - group not on the calendar yet","OK"))))</f>
        <v>0</v>
      </c>
    </row>
    <row r="297" spans="1:20">
      <c r="A297" s="41">
        <f>IF(B297="","",HashtagPrefix&amp;TEXT(ROW()-4,"000"))</f>
        <v>0</v>
      </c>
      <c r="M297" s="17">
        <f>IF(L297="","",IF(L297&gt;=1000000,"Huge - very competitive",IF(L297&gt;=250000,"Large",IF(L297&gt;=25000,"Medium - sweet spot","Small - easy to rank"))))</f>
        <v>0</v>
      </c>
      <c r="O297" s="23">
        <f>IF(D297="","",COUNTIF('Content Calendar'!$R$5:$R$604,D297))</f>
        <v>0</v>
      </c>
      <c r="Q297" s="23">
        <f>IF(P297="","",TODAY()-P297)</f>
        <v>0</v>
      </c>
      <c r="S297" s="29">
        <f>IF(B297="","",IF(COUNTIF('Hashtag Bank'!$B$5:$B$304,B297)&gt;1,"Duplicate","OK"))</f>
        <v>0</v>
      </c>
      <c r="T297" s="29">
        <f>IF(B297="","",IF(R297="Yes","Remove - flagged by the platform",IF(AND(L297&lt;&gt;"",L297&gt;=1000000),"Check - huge tag, pair with niche ones",IF(O297=0,"Add - group not on the calendar yet","OK"))))</f>
        <v>0</v>
      </c>
    </row>
    <row r="298" spans="1:20">
      <c r="A298" s="41">
        <f>IF(B298="","",HashtagPrefix&amp;TEXT(ROW()-4,"000"))</f>
        <v>0</v>
      </c>
      <c r="M298" s="17">
        <f>IF(L298="","",IF(L298&gt;=1000000,"Huge - very competitive",IF(L298&gt;=250000,"Large",IF(L298&gt;=25000,"Medium - sweet spot","Small - easy to rank"))))</f>
        <v>0</v>
      </c>
      <c r="O298" s="23">
        <f>IF(D298="","",COUNTIF('Content Calendar'!$R$5:$R$604,D298))</f>
        <v>0</v>
      </c>
      <c r="Q298" s="23">
        <f>IF(P298="","",TODAY()-P298)</f>
        <v>0</v>
      </c>
      <c r="S298" s="29">
        <f>IF(B298="","",IF(COUNTIF('Hashtag Bank'!$B$5:$B$304,B298)&gt;1,"Duplicate","OK"))</f>
        <v>0</v>
      </c>
      <c r="T298" s="29">
        <f>IF(B298="","",IF(R298="Yes","Remove - flagged by the platform",IF(AND(L298&lt;&gt;"",L298&gt;=1000000),"Check - huge tag, pair with niche ones",IF(O298=0,"Add - group not on the calendar yet","OK"))))</f>
        <v>0</v>
      </c>
    </row>
    <row r="299" spans="1:20">
      <c r="A299" s="41">
        <f>IF(B299="","",HashtagPrefix&amp;TEXT(ROW()-4,"000"))</f>
        <v>0</v>
      </c>
      <c r="M299" s="17">
        <f>IF(L299="","",IF(L299&gt;=1000000,"Huge - very competitive",IF(L299&gt;=250000,"Large",IF(L299&gt;=25000,"Medium - sweet spot","Small - easy to rank"))))</f>
        <v>0</v>
      </c>
      <c r="O299" s="23">
        <f>IF(D299="","",COUNTIF('Content Calendar'!$R$5:$R$604,D299))</f>
        <v>0</v>
      </c>
      <c r="Q299" s="23">
        <f>IF(P299="","",TODAY()-P299)</f>
        <v>0</v>
      </c>
      <c r="S299" s="29">
        <f>IF(B299="","",IF(COUNTIF('Hashtag Bank'!$B$5:$B$304,B299)&gt;1,"Duplicate","OK"))</f>
        <v>0</v>
      </c>
      <c r="T299" s="29">
        <f>IF(B299="","",IF(R299="Yes","Remove - flagged by the platform",IF(AND(L299&lt;&gt;"",L299&gt;=1000000),"Check - huge tag, pair with niche ones",IF(O299=0,"Add - group not on the calendar yet","OK"))))</f>
        <v>0</v>
      </c>
    </row>
    <row r="300" spans="1:20">
      <c r="A300" s="41">
        <f>IF(B300="","",HashtagPrefix&amp;TEXT(ROW()-4,"000"))</f>
        <v>0</v>
      </c>
      <c r="M300" s="17">
        <f>IF(L300="","",IF(L300&gt;=1000000,"Huge - very competitive",IF(L300&gt;=250000,"Large",IF(L300&gt;=25000,"Medium - sweet spot","Small - easy to rank"))))</f>
        <v>0</v>
      </c>
      <c r="O300" s="23">
        <f>IF(D300="","",COUNTIF('Content Calendar'!$R$5:$R$604,D300))</f>
        <v>0</v>
      </c>
      <c r="Q300" s="23">
        <f>IF(P300="","",TODAY()-P300)</f>
        <v>0</v>
      </c>
      <c r="S300" s="29">
        <f>IF(B300="","",IF(COUNTIF('Hashtag Bank'!$B$5:$B$304,B300)&gt;1,"Duplicate","OK"))</f>
        <v>0</v>
      </c>
      <c r="T300" s="29">
        <f>IF(B300="","",IF(R300="Yes","Remove - flagged by the platform",IF(AND(L300&lt;&gt;"",L300&gt;=1000000),"Check - huge tag, pair with niche ones",IF(O300=0,"Add - group not on the calendar yet","OK"))))</f>
        <v>0</v>
      </c>
    </row>
    <row r="301" spans="1:20">
      <c r="A301" s="41">
        <f>IF(B301="","",HashtagPrefix&amp;TEXT(ROW()-4,"000"))</f>
        <v>0</v>
      </c>
      <c r="M301" s="17">
        <f>IF(L301="","",IF(L301&gt;=1000000,"Huge - very competitive",IF(L301&gt;=250000,"Large",IF(L301&gt;=25000,"Medium - sweet spot","Small - easy to rank"))))</f>
        <v>0</v>
      </c>
      <c r="O301" s="23">
        <f>IF(D301="","",COUNTIF('Content Calendar'!$R$5:$R$604,D301))</f>
        <v>0</v>
      </c>
      <c r="Q301" s="23">
        <f>IF(P301="","",TODAY()-P301)</f>
        <v>0</v>
      </c>
      <c r="S301" s="29">
        <f>IF(B301="","",IF(COUNTIF('Hashtag Bank'!$B$5:$B$304,B301)&gt;1,"Duplicate","OK"))</f>
        <v>0</v>
      </c>
      <c r="T301" s="29">
        <f>IF(B301="","",IF(R301="Yes","Remove - flagged by the platform",IF(AND(L301&lt;&gt;"",L301&gt;=1000000),"Check - huge tag, pair with niche ones",IF(O301=0,"Add - group not on the calendar yet","OK"))))</f>
        <v>0</v>
      </c>
    </row>
    <row r="302" spans="1:20">
      <c r="A302" s="41">
        <f>IF(B302="","",HashtagPrefix&amp;TEXT(ROW()-4,"000"))</f>
        <v>0</v>
      </c>
      <c r="M302" s="17">
        <f>IF(L302="","",IF(L302&gt;=1000000,"Huge - very competitive",IF(L302&gt;=250000,"Large",IF(L302&gt;=25000,"Medium - sweet spot","Small - easy to rank"))))</f>
        <v>0</v>
      </c>
      <c r="O302" s="23">
        <f>IF(D302="","",COUNTIF('Content Calendar'!$R$5:$R$604,D302))</f>
        <v>0</v>
      </c>
      <c r="Q302" s="23">
        <f>IF(P302="","",TODAY()-P302)</f>
        <v>0</v>
      </c>
      <c r="S302" s="29">
        <f>IF(B302="","",IF(COUNTIF('Hashtag Bank'!$B$5:$B$304,B302)&gt;1,"Duplicate","OK"))</f>
        <v>0</v>
      </c>
      <c r="T302" s="29">
        <f>IF(B302="","",IF(R302="Yes","Remove - flagged by the platform",IF(AND(L302&lt;&gt;"",L302&gt;=1000000),"Check - huge tag, pair with niche ones",IF(O302=0,"Add - group not on the calendar yet","OK"))))</f>
        <v>0</v>
      </c>
    </row>
    <row r="303" spans="1:20">
      <c r="A303" s="41">
        <f>IF(B303="","",HashtagPrefix&amp;TEXT(ROW()-4,"000"))</f>
        <v>0</v>
      </c>
      <c r="M303" s="17">
        <f>IF(L303="","",IF(L303&gt;=1000000,"Huge - very competitive",IF(L303&gt;=250000,"Large",IF(L303&gt;=25000,"Medium - sweet spot","Small - easy to rank"))))</f>
        <v>0</v>
      </c>
      <c r="O303" s="23">
        <f>IF(D303="","",COUNTIF('Content Calendar'!$R$5:$R$604,D303))</f>
        <v>0</v>
      </c>
      <c r="Q303" s="23">
        <f>IF(P303="","",TODAY()-P303)</f>
        <v>0</v>
      </c>
      <c r="S303" s="29">
        <f>IF(B303="","",IF(COUNTIF('Hashtag Bank'!$B$5:$B$304,B303)&gt;1,"Duplicate","OK"))</f>
        <v>0</v>
      </c>
      <c r="T303" s="29">
        <f>IF(B303="","",IF(R303="Yes","Remove - flagged by the platform",IF(AND(L303&lt;&gt;"",L303&gt;=1000000),"Check - huge tag, pair with niche ones",IF(O303=0,"Add - group not on the calendar yet","OK"))))</f>
        <v>0</v>
      </c>
    </row>
    <row r="304" spans="1:20">
      <c r="A304" s="41">
        <f>IF(B304="","",HashtagPrefix&amp;TEXT(ROW()-4,"000"))</f>
        <v>0</v>
      </c>
      <c r="M304" s="17">
        <f>IF(L304="","",IF(L304&gt;=1000000,"Huge - very competitive",IF(L304&gt;=250000,"Large",IF(L304&gt;=25000,"Medium - sweet spot","Small - easy to rank"))))</f>
        <v>0</v>
      </c>
      <c r="O304" s="23">
        <f>IF(D304="","",COUNTIF('Content Calendar'!$R$5:$R$604,D304))</f>
        <v>0</v>
      </c>
      <c r="Q304" s="23">
        <f>IF(P304="","",TODAY()-P304)</f>
        <v>0</v>
      </c>
      <c r="S304" s="29">
        <f>IF(B304="","",IF(COUNTIF('Hashtag Bank'!$B$5:$B$304,B304)&gt;1,"Duplicate","OK"))</f>
        <v>0</v>
      </c>
      <c r="T304" s="29">
        <f>IF(B304="","",IF(R304="Yes","Remove - flagged by the platform",IF(AND(L304&lt;&gt;"",L304&gt;=1000000),"Check - huge tag, pair with niche ones",IF(O304=0,"Add - group not on the calendar yet","OK"))))</f>
        <v>0</v>
      </c>
    </row>
  </sheetData>
  <sheetProtection password="EC7C" sheet="1" objects="1" scenarios="1" formatCells="0" formatColumns="0" formatRows="0" insertRows="0" insertHyperlinks="0" deleteRows="0" autoFilter="0"/>
  <autoFilter ref="A4:U3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K5:K304">
    <cfRule type="containsText" dxfId="0" priority="1" operator="containsText" text="Published">
      <formula>NOT(ISERROR(SEARCH("Published",K5)))</formula>
    </cfRule>
    <cfRule type="containsText" dxfId="0" priority="2" operator="containsText" text="Approved">
      <formula>NOT(ISERROR(SEARCH("Approved",K5)))</formula>
    </cfRule>
    <cfRule type="containsText" dxfId="0" priority="3" operator="containsText" text="Complete">
      <formula>NOT(ISERROR(SEARCH("Complete",K5)))</formula>
    </cfRule>
    <cfRule type="containsText" dxfId="0" priority="4" operator="containsText" text="Active">
      <formula>NOT(ISERROR(SEARCH("Active",K5)))</formula>
    </cfRule>
    <cfRule type="containsText" dxfId="0" priority="5" operator="containsText" text="Agreed">
      <formula>NOT(ISERROR(SEARCH("Agreed",K5)))</formula>
    </cfRule>
    <cfRule type="containsText" dxfId="0" priority="6" operator="containsText" text="Yes">
      <formula>NOT(ISERROR(SEARCH("Yes",K5)))</formula>
    </cfRule>
    <cfRule type="containsText" dxfId="0" priority="7" operator="containsText" text="Won">
      <formula>NOT(ISERROR(SEARCH("Won",K5)))</formula>
    </cfRule>
    <cfRule type="containsText" dxfId="3" priority="8" operator="containsText" text="Scheduled">
      <formula>NOT(ISERROR(SEARCH("Scheduled",K5)))</formula>
    </cfRule>
    <cfRule type="containsText" dxfId="3" priority="9" operator="containsText" text="In production">
      <formula>NOT(ISERROR(SEARCH("In production",K5)))</formula>
    </cfRule>
    <cfRule type="containsText" dxfId="3" priority="10" operator="containsText" text="Running">
      <formula>NOT(ISERROR(SEARCH("Running",K5)))</formula>
    </cfRule>
    <cfRule type="containsText" dxfId="3" priority="11" operator="containsText" text="Sent">
      <formula>NOT(ISERROR(SEARCH("Sent",K5)))</formula>
    </cfRule>
    <cfRule type="containsText" dxfId="3" priority="12" operator="containsText" text="Testing">
      <formula>NOT(ISERROR(SEARCH("Testing",K5)))</formula>
    </cfRule>
    <cfRule type="containsText" dxfId="2" priority="13" operator="containsText" text="Idea">
      <formula>NOT(ISERROR(SEARCH("Idea",K5)))</formula>
    </cfRule>
    <cfRule type="containsText" dxfId="2" priority="14" operator="containsText" text="Brief">
      <formula>NOT(ISERROR(SEARCH("Brief",K5)))</formula>
    </cfRule>
    <cfRule type="containsText" dxfId="2" priority="15" operator="containsText" text="Draft">
      <formula>NOT(ISERROR(SEARCH("Draft",K5)))</formula>
    </cfRule>
    <cfRule type="containsText" dxfId="2" priority="16" operator="containsText" text="Awaiting review">
      <formula>NOT(ISERROR(SEARCH("Awaiting review",K5)))</formula>
    </cfRule>
    <cfRule type="containsText" dxfId="2" priority="17" operator="containsText" text="Pending">
      <formula>NOT(ISERROR(SEARCH("Pending",K5)))</formula>
    </cfRule>
    <cfRule type="containsText" dxfId="2" priority="18" operator="containsText" text="On hold">
      <formula>NOT(ISERROR(SEARCH("On hold",K5)))</formula>
    </cfRule>
    <cfRule type="containsText" dxfId="1" priority="19" operator="containsText" text="Revision needed">
      <formula>NOT(ISERROR(SEARCH("Revision needed",K5)))</formula>
    </cfRule>
    <cfRule type="containsText" dxfId="1" priority="20" operator="containsText" text="Rejected">
      <formula>NOT(ISERROR(SEARCH("Rejected",K5)))</formula>
    </cfRule>
    <cfRule type="containsText" dxfId="1" priority="21" operator="containsText" text="Cancelled">
      <formula>NOT(ISERROR(SEARCH("Cancelled",K5)))</formula>
    </cfRule>
    <cfRule type="containsText" dxfId="1" priority="22" operator="containsText" text="Missed">
      <formula>NOT(ISERROR(SEARCH("Missed",K5)))</formula>
    </cfRule>
    <cfRule type="containsText" dxfId="1" priority="23" operator="containsText" text="Overdue">
      <formula>NOT(ISERROR(SEARCH("Overdue",K5)))</formula>
    </cfRule>
    <cfRule type="containsText" dxfId="1" priority="24" operator="containsText" text="Declined">
      <formula>NOT(ISERROR(SEARCH("Declined",K5)))</formula>
    </cfRule>
    <cfRule type="containsText" dxfId="4" priority="25" operator="containsText" text="Archived">
      <formula>NOT(ISERROR(SEARCH("Archived",K5)))</formula>
    </cfRule>
    <cfRule type="containsText" dxfId="4" priority="26" operator="containsText" text="Paused">
      <formula>NOT(ISERROR(SEARCH("Paused",K5)))</formula>
    </cfRule>
    <cfRule type="containsText" dxfId="4" priority="27" operator="containsText" text="Not started">
      <formula>NOT(ISERROR(SEARCH("Not started",K5)))</formula>
    </cfRule>
  </conditionalFormatting>
  <conditionalFormatting sqref="L5:L304">
    <cfRule type="dataBar" priority="28">
      <dataBar>
        <cfvo type="min" val="0"/>
        <cfvo type="max" val="0"/>
        <color rgb="FF6350A8"/>
      </dataBar>
    </cfRule>
  </conditionalFormatting>
  <conditionalFormatting sqref="R5:R304">
    <cfRule type="containsText" dxfId="1" priority="29" operator="containsText" text="Yes">
      <formula>NOT(ISERROR(SEARCH("Yes",R5)))</formula>
    </cfRule>
    <cfRule type="containsText" dxfId="0" priority="30" operator="containsText" text="No">
      <formula>NOT(ISERROR(SEARCH("No",R5)))</formula>
    </cfRule>
  </conditionalFormatting>
  <conditionalFormatting sqref="S5:S304">
    <cfRule type="containsText" dxfId="1" priority="31" operator="containsText" text="Duplicate">
      <formula>NOT(ISERROR(SEARCH("Duplicate",S5)))</formula>
    </cfRule>
    <cfRule type="containsText" dxfId="0" priority="32" operator="containsText" text="OK">
      <formula>NOT(ISERROR(SEARCH("OK",S5)))</formula>
    </cfRule>
  </conditionalFormatting>
  <conditionalFormatting sqref="T5:T304">
    <cfRule type="beginsWith" dxfId="0" priority="33" operator="beginsWith" text="OK">
      <formula>LEFT(T5,2)="OK"</formula>
    </cfRule>
    <cfRule type="containsText" dxfId="1" priority="34" operator="containsText" text="Overdue">
      <formula>NOT(ISERROR(SEARCH("Overdue",T5)))</formula>
    </cfRule>
    <cfRule type="containsText" dxfId="1" priority="35" operator="containsText" text="Late">
      <formula>NOT(ISERROR(SEARCH("Late",T5)))</formula>
    </cfRule>
    <cfRule type="containsText" dxfId="1" priority="36" operator="containsText" text="Missing">
      <formula>NOT(ISERROR(SEARCH("Missing",T5)))</formula>
    </cfRule>
    <cfRule type="containsText" dxfId="1" priority="37" operator="containsText" text="Conflict">
      <formula>NOT(ISERROR(SEARCH("Conflict",T5)))</formula>
    </cfRule>
    <cfRule type="containsText" dxfId="1" priority="38" operator="containsText" text="Expired">
      <formula>NOT(ISERROR(SEARCH("Expired",T5)))</formula>
    </cfRule>
    <cfRule type="containsText" dxfId="1" priority="39" operator="containsText" text="Duplicate">
      <formula>NOT(ISERROR(SEARCH("Duplicate",T5)))</formula>
    </cfRule>
    <cfRule type="containsText" dxfId="2" priority="40" operator="containsText" text="Action">
      <formula>NOT(ISERROR(SEARCH("Action",T5)))</formula>
    </cfRule>
    <cfRule type="containsText" dxfId="2" priority="41" operator="containsText" text="Due">
      <formula>NOT(ISERROR(SEARCH("Due",T5)))</formula>
    </cfRule>
    <cfRule type="containsText" dxfId="2" priority="42" operator="containsText" text="Check">
      <formula>NOT(ISERROR(SEARCH("Check",T5)))</formula>
    </cfRule>
    <cfRule type="containsText" dxfId="2" priority="43" operator="containsText" text="Add">
      <formula>NOT(ISERROR(SEARCH("Add",T5)))</formula>
    </cfRule>
    <cfRule type="containsText" dxfId="3" priority="44" operator="containsText" text="Today">
      <formula>NOT(ISERROR(SEARCH("Today",T5)))</formula>
    </cfRule>
    <cfRule type="containsText" dxfId="3" priority="45" operator="containsText" text="Upcoming">
      <formula>NOT(ISERROR(SEARCH("Upcoming",T5)))</formula>
    </cfRule>
  </conditionalFormatting>
  <dataValidations count="9">
    <dataValidation type="list" allowBlank="1" showInputMessage="1" showErrorMessage="1" promptTitle="Type" prompt="Mix broad, niche, community and branded tags in every group." sqref="C5:C304">
      <formula1>HashtagTypeList</formula1>
    </dataValidation>
    <dataValidation type="list" allowBlank="1" showInputMessage="1" showErrorMessage="1" sqref="E5:E304">
      <formula1>PlatformList</formula1>
    </dataValidation>
    <dataValidation type="list" allowBlank="1" showInputMessage="1" showErrorMessage="1" sqref="F5:F304">
      <formula1>PillarNames</formula1>
    </dataValidation>
    <dataValidation type="list" allowBlank="1" showInputMessage="1" showErrorMessage="1" sqref="J5:J304">
      <formula1>SearchIntentList</formula1>
    </dataValidation>
    <dataValidation type="list" allowBlank="1" showInputMessage="1" showErrorMessage="1" sqref="K5:K304">
      <formula1>DifficultyList</formula1>
    </dataValidation>
    <dataValidation type="whole" allowBlank="1" showInputMessage="1" showErrorMessage="1" errorTitle="Check the value" error="Enter a number between 0 and 10000000000." sqref="L5:L304">
      <formula1>0</formula1>
      <formula2>10000000000</formula2>
    </dataValidation>
    <dataValidation type="whole" allowBlank="1" showInputMessage="1" showErrorMessage="1" errorTitle="Check the value" error="Enter a number between 0 and 100000." sqref="N5:N304">
      <formula1>0</formula1>
      <formula2>100000</formula2>
    </dataValidation>
    <dataValidation type="date" allowBlank="1" showInputMessage="1" showErrorMessage="1" errorTitle="Check the date" error="Enter a real date between 2000 and 2100." sqref="P5:P304">
      <formula1>36526</formula1>
      <formula2>73415</formula2>
    </dataValidation>
    <dataValidation type="list" allowBlank="1" showInputMessage="1" showErrorMessage="1" promptTitle="Banned / flagged?" prompt="Some tags get hidden by the platform. Check before a campaign." sqref="R5:R304">
      <formula1>"Yes,No"</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&amp;L&amp;"Calibri,Bold"&amp;12&amp;C&amp;"Calibri,Bold"&amp;11Hashtag Bank&amp;R&amp;"Calibri,Italic"&amp;9Social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6350A8"/>
    <pageSetUpPr fitToPage="1"/>
  </sheetPr>
  <dimension ref="A1:Y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5.7109375" style="17" customWidth="1"/>
    <col min="6" max="6" width="14.7109375" style="29" customWidth="1"/>
    <col min="7" max="7" width="14.7109375" style="15" customWidth="1"/>
    <col min="8" max="8" width="32.7109375" style="39" customWidth="1"/>
    <col min="9" max="9" width="11.7109375" style="34" customWidth="1"/>
    <col min="10" max="10" width="12.7109375" style="34" customWidth="1"/>
    <col min="11" max="11" width="22.7109375" style="15" customWidth="1"/>
    <col min="12" max="12" width="28.7109375" style="39" customWidth="1"/>
    <col min="13" max="13" width="11.7109375" style="40" customWidth="1"/>
    <col min="14" max="14" width="12.7109375" style="34" customWidth="1"/>
    <col min="15" max="15" width="13.7109375" style="34" customWidth="1"/>
    <col min="16" max="16" width="11.7109375" style="23" customWidth="1"/>
    <col min="17" max="17" width="11.7109375" style="23" customWidth="1"/>
    <col min="18" max="18" width="11.7109375" style="23" customWidth="1"/>
    <col min="19" max="19" width="12.7109375" style="24" customWidth="1"/>
    <col min="20" max="20" width="9.7109375" style="23" customWidth="1"/>
    <col min="21" max="21" width="9.7109375" style="23" customWidth="1"/>
    <col min="22" max="22" width="10.7109375" style="23" customWidth="1"/>
    <col min="23" max="23" width="9.7109375" style="23" customWidth="1"/>
    <col min="24" max="24" width="28.7109375" style="29" customWidth="1"/>
    <col min="25" max="25" width="24.7109375" style="39" customWidth="1"/>
  </cols>
  <sheetData>
    <row r="1" spans="1:25" ht="34" customHeight="1">
      <c r="A1" s="2" t="s">
        <v>1388</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1389</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1390</v>
      </c>
      <c r="T3" s="38"/>
      <c r="U3" s="38"/>
      <c r="V3" s="38"/>
      <c r="W3" s="38"/>
      <c r="X3" s="38"/>
      <c r="Y3" s="38"/>
    </row>
    <row r="4" spans="1:25" ht="30" customHeight="1">
      <c r="A4" s="8" t="s">
        <v>766</v>
      </c>
      <c r="B4" s="8" t="s">
        <v>1391</v>
      </c>
      <c r="C4" s="9" t="s">
        <v>904</v>
      </c>
      <c r="D4" s="9" t="s">
        <v>902</v>
      </c>
      <c r="E4" s="9" t="s">
        <v>195</v>
      </c>
      <c r="F4" s="9" t="s">
        <v>221</v>
      </c>
      <c r="G4" s="9" t="s">
        <v>1392</v>
      </c>
      <c r="H4" s="9" t="s">
        <v>1393</v>
      </c>
      <c r="I4" s="9" t="s">
        <v>1394</v>
      </c>
      <c r="J4" s="9" t="s">
        <v>1395</v>
      </c>
      <c r="K4" s="9" t="s">
        <v>1396</v>
      </c>
      <c r="L4" s="9" t="s">
        <v>1397</v>
      </c>
      <c r="M4" s="9" t="s">
        <v>1398</v>
      </c>
      <c r="N4" s="9" t="s">
        <v>1399</v>
      </c>
      <c r="O4" s="9" t="s">
        <v>246</v>
      </c>
      <c r="P4" s="9" t="s">
        <v>149</v>
      </c>
      <c r="Q4" s="9" t="s">
        <v>151</v>
      </c>
      <c r="R4" s="9" t="s">
        <v>153</v>
      </c>
      <c r="S4" s="9" t="s">
        <v>155</v>
      </c>
      <c r="T4" s="9" t="s">
        <v>1400</v>
      </c>
      <c r="U4" s="9" t="s">
        <v>1401</v>
      </c>
      <c r="V4" s="9" t="s">
        <v>1402</v>
      </c>
      <c r="W4" s="9" t="s">
        <v>188</v>
      </c>
      <c r="X4" s="9" t="s">
        <v>787</v>
      </c>
      <c r="Y4" s="9" t="s">
        <v>788</v>
      </c>
    </row>
    <row r="5" spans="1:25">
      <c r="A5" s="41">
        <f>IF(B5="","","IG-"&amp;TEXT(ROW()-4,"000"))</f>
        <v>0</v>
      </c>
      <c r="B5" s="15" t="s">
        <v>1204</v>
      </c>
      <c r="C5" s="17">
        <f>IF(B5="","",IFERROR(INDEX('Content Calendar'!$H$5:$H$604,MATCH(B5,'Content Calendar'!$A$5:$A$604,0)),"Not found"))</f>
        <v>0</v>
      </c>
      <c r="D5" s="16">
        <f>IF(B5="","",IFERROR(INDEX('Content Calendar'!$B$5:$B$604,MATCH(B5,'Content Calendar'!$A$5:$A$604,0)),"Not found"))</f>
        <v>0</v>
      </c>
      <c r="E5" s="17">
        <f>IF(B5="","",IFERROR(INDEX('Content Calendar'!$J$5:$J$604,MATCH(B5,'Content Calendar'!$A$5:$A$604,0)),"Not found"))</f>
        <v>0</v>
      </c>
      <c r="F5" s="29">
        <f>IF(B5="","",IFERROR(INDEX('Content Calendar'!$X$5:$X$604,MATCH(B5,'Content Calendar'!$A$5:$A$604,0)),"Not found"))</f>
        <v>0</v>
      </c>
      <c r="G5" s="15" t="s">
        <v>397</v>
      </c>
      <c r="H5" s="39" t="s">
        <v>1403</v>
      </c>
      <c r="I5" s="34">
        <v>10</v>
      </c>
      <c r="J5" s="34">
        <v>0</v>
      </c>
      <c r="K5" s="15" t="s">
        <v>1404</v>
      </c>
      <c r="L5" s="39" t="s">
        <v>205</v>
      </c>
      <c r="M5" s="40" t="s">
        <v>373</v>
      </c>
      <c r="N5" s="34">
        <v>233</v>
      </c>
      <c r="O5" s="34">
        <v>38</v>
      </c>
      <c r="P5" s="23">
        <f>IF(B5="","",IF(COUNTIF(Performance!$B$5:$B$404,B5)=0,"",SUMIFS(Performance!$O$5:$O$404,Performance!$B$5:$B$404,B5)))</f>
        <v>0</v>
      </c>
      <c r="Q5" s="23">
        <f>IF(B5="","",IF(COUNTIF(Performance!$B$5:$B$404,B5)=0,"",SUMIFS(Performance!$P$5:$P$404,Performance!$B$5:$B$404,B5)))</f>
        <v>0</v>
      </c>
      <c r="R5" s="23">
        <f>IF(B5="","",IF(COUNTIF(Performance!$B$5:$B$404,B5)=0,"",SUMIFS(Performance!$Z$5:$Z$404,Performance!$B$5:$B$404,B5)))</f>
        <v>0</v>
      </c>
      <c r="S5" s="24">
        <f>IF(OR(P5="",P5=0),"",R5/P5)</f>
        <v>0</v>
      </c>
      <c r="T5" s="23">
        <f>IF(B5="","",IF(COUNTIF(Performance!$B$5:$B$404,B5)=0,"",SUMIFS(Performance!$T$5:$T$404,Performance!$B$5:$B$404,B5)))</f>
        <v>0</v>
      </c>
      <c r="U5" s="23">
        <f>IF(B5="","",IF(COUNTIF(Performance!$B$5:$B$404,B5)=0,"",SUMIFS(Performance!$S$5:$S$404,Performance!$B$5:$B$404,B5)))</f>
        <v>0</v>
      </c>
      <c r="V5" s="23">
        <f>IF(B5="","",IF(COUNTIF(Performance!$B$5:$B$404,B5)=0,"",SUMIFS(Performance!$R$5:$R$404,Performance!$B$5:$B$404,B5)))</f>
        <v>0</v>
      </c>
      <c r="W5" s="23">
        <f>IF(B5="","",IF(COUNTIF(Performance!$B$5:$B$404,B5)=0,"",SUMIFS(Performance!$U$5:$U$404,Performance!$B$5:$B$404,B5)))</f>
        <v>0</v>
      </c>
      <c r="X5" s="29">
        <f>IF(B5="","",IF(C5="Not found","Check - content ID not on the calendar",IF(AND(G5="Reel",J5=0),"Add - reel length missing",IF(K5="","Add - no cover image",IF(AND(P5&lt;&gt;"",S5&lt;TargetEngagement),"Review - below your target rate","OK")))))</f>
        <v>0</v>
      </c>
      <c r="Y5" s="39" t="s">
        <v>205</v>
      </c>
    </row>
    <row r="6" spans="1:25">
      <c r="A6" s="41">
        <f>IF(B6="","","IG-"&amp;TEXT(ROW()-4,"000"))</f>
        <v>0</v>
      </c>
      <c r="B6" s="15" t="s">
        <v>1216</v>
      </c>
      <c r="C6" s="17">
        <f>IF(B6="","",IFERROR(INDEX('Content Calendar'!$H$5:$H$604,MATCH(B6,'Content Calendar'!$A$5:$A$604,0)),"Not found"))</f>
        <v>0</v>
      </c>
      <c r="D6" s="16">
        <f>IF(B6="","",IFERROR(INDEX('Content Calendar'!$B$5:$B$604,MATCH(B6,'Content Calendar'!$A$5:$A$604,0)),"Not found"))</f>
        <v>0</v>
      </c>
      <c r="E6" s="17">
        <f>IF(B6="","",IFERROR(INDEX('Content Calendar'!$J$5:$J$604,MATCH(B6,'Content Calendar'!$A$5:$A$604,0)),"Not found"))</f>
        <v>0</v>
      </c>
      <c r="F6" s="29">
        <f>IF(B6="","",IFERROR(INDEX('Content Calendar'!$X$5:$X$604,MATCH(B6,'Content Calendar'!$A$5:$A$604,0)),"Not found"))</f>
        <v>0</v>
      </c>
      <c r="G6" s="15" t="s">
        <v>398</v>
      </c>
      <c r="H6" s="39" t="s">
        <v>1405</v>
      </c>
      <c r="I6" s="34">
        <v>0</v>
      </c>
      <c r="J6" s="34">
        <v>30</v>
      </c>
      <c r="K6" s="15" t="s">
        <v>1406</v>
      </c>
      <c r="L6" s="39" t="s">
        <v>205</v>
      </c>
      <c r="M6" s="40" t="s">
        <v>373</v>
      </c>
      <c r="N6" s="34">
        <v>239</v>
      </c>
      <c r="O6" s="34">
        <v>36</v>
      </c>
      <c r="P6" s="23">
        <f>IF(B6="","",IF(COUNTIF(Performance!$B$5:$B$404,B6)=0,"",SUMIFS(Performance!$O$5:$O$404,Performance!$B$5:$B$404,B6)))</f>
        <v>0</v>
      </c>
      <c r="Q6" s="23">
        <f>IF(B6="","",IF(COUNTIF(Performance!$B$5:$B$404,B6)=0,"",SUMIFS(Performance!$P$5:$P$404,Performance!$B$5:$B$404,B6)))</f>
        <v>0</v>
      </c>
      <c r="R6" s="23">
        <f>IF(B6="","",IF(COUNTIF(Performance!$B$5:$B$404,B6)=0,"",SUMIFS(Performance!$Z$5:$Z$404,Performance!$B$5:$B$404,B6)))</f>
        <v>0</v>
      </c>
      <c r="S6" s="24">
        <f>IF(OR(P6="",P6=0),"",R6/P6)</f>
        <v>0</v>
      </c>
      <c r="T6" s="23">
        <f>IF(B6="","",IF(COUNTIF(Performance!$B$5:$B$404,B6)=0,"",SUMIFS(Performance!$T$5:$T$404,Performance!$B$5:$B$404,B6)))</f>
        <v>0</v>
      </c>
      <c r="U6" s="23">
        <f>IF(B6="","",IF(COUNTIF(Performance!$B$5:$B$404,B6)=0,"",SUMIFS(Performance!$S$5:$S$404,Performance!$B$5:$B$404,B6)))</f>
        <v>0</v>
      </c>
      <c r="V6" s="23">
        <f>IF(B6="","",IF(COUNTIF(Performance!$B$5:$B$404,B6)=0,"",SUMIFS(Performance!$R$5:$R$404,Performance!$B$5:$B$404,B6)))</f>
        <v>0</v>
      </c>
      <c r="W6" s="23">
        <f>IF(B6="","",IF(COUNTIF(Performance!$B$5:$B$404,B6)=0,"",SUMIFS(Performance!$U$5:$U$404,Performance!$B$5:$B$404,B6)))</f>
        <v>0</v>
      </c>
      <c r="X6" s="29">
        <f>IF(B6="","",IF(C6="Not found","Check - content ID not on the calendar",IF(AND(G6="Reel",J6=0),"Add - reel length missing",IF(K6="","Add - no cover image",IF(AND(P6&lt;&gt;"",S6&lt;TargetEngagement),"Review - below your target rate","OK")))))</f>
        <v>0</v>
      </c>
      <c r="Y6" s="39" t="s">
        <v>205</v>
      </c>
    </row>
    <row r="7" spans="1:25">
      <c r="A7" s="41">
        <f>IF(B7="","","IG-"&amp;TEXT(ROW()-4,"000"))</f>
        <v>0</v>
      </c>
      <c r="B7" s="15" t="s">
        <v>1407</v>
      </c>
      <c r="C7" s="17">
        <f>IF(B7="","",IFERROR(INDEX('Content Calendar'!$H$5:$H$604,MATCH(B7,'Content Calendar'!$A$5:$A$604,0)),"Not found"))</f>
        <v>0</v>
      </c>
      <c r="D7" s="16">
        <f>IF(B7="","",IFERROR(INDEX('Content Calendar'!$B$5:$B$604,MATCH(B7,'Content Calendar'!$A$5:$A$604,0)),"Not found"))</f>
        <v>0</v>
      </c>
      <c r="E7" s="17">
        <f>IF(B7="","",IFERROR(INDEX('Content Calendar'!$J$5:$J$604,MATCH(B7,'Content Calendar'!$A$5:$A$604,0)),"Not found"))</f>
        <v>0</v>
      </c>
      <c r="F7" s="29">
        <f>IF(B7="","",IFERROR(INDEX('Content Calendar'!$X$5:$X$604,MATCH(B7,'Content Calendar'!$A$5:$A$604,0)),"Not found"))</f>
        <v>0</v>
      </c>
      <c r="G7" s="15" t="s">
        <v>399</v>
      </c>
      <c r="H7" s="39" t="s">
        <v>1405</v>
      </c>
      <c r="I7" s="34">
        <v>0</v>
      </c>
      <c r="J7" s="34">
        <v>18</v>
      </c>
      <c r="K7" s="15" t="s">
        <v>1408</v>
      </c>
      <c r="L7" s="39" t="s">
        <v>1409</v>
      </c>
      <c r="M7" s="40" t="s">
        <v>373</v>
      </c>
      <c r="N7" s="34">
        <v>249</v>
      </c>
      <c r="O7" s="34">
        <v>37</v>
      </c>
      <c r="P7" s="23">
        <f>IF(B7="","",IF(COUNTIF(Performance!$B$5:$B$404,B7)=0,"",SUMIFS(Performance!$O$5:$O$404,Performance!$B$5:$B$404,B7)))</f>
        <v>0</v>
      </c>
      <c r="Q7" s="23">
        <f>IF(B7="","",IF(COUNTIF(Performance!$B$5:$B$404,B7)=0,"",SUMIFS(Performance!$P$5:$P$404,Performance!$B$5:$B$404,B7)))</f>
        <v>0</v>
      </c>
      <c r="R7" s="23">
        <f>IF(B7="","",IF(COUNTIF(Performance!$B$5:$B$404,B7)=0,"",SUMIFS(Performance!$Z$5:$Z$404,Performance!$B$5:$B$404,B7)))</f>
        <v>0</v>
      </c>
      <c r="S7" s="24">
        <f>IF(OR(P7="",P7=0),"",R7/P7)</f>
        <v>0</v>
      </c>
      <c r="T7" s="23">
        <f>IF(B7="","",IF(COUNTIF(Performance!$B$5:$B$404,B7)=0,"",SUMIFS(Performance!$T$5:$T$404,Performance!$B$5:$B$404,B7)))</f>
        <v>0</v>
      </c>
      <c r="U7" s="23">
        <f>IF(B7="","",IF(COUNTIF(Performance!$B$5:$B$404,B7)=0,"",SUMIFS(Performance!$S$5:$S$404,Performance!$B$5:$B$404,B7)))</f>
        <v>0</v>
      </c>
      <c r="V7" s="23">
        <f>IF(B7="","",IF(COUNTIF(Performance!$B$5:$B$404,B7)=0,"",SUMIFS(Performance!$R$5:$R$404,Performance!$B$5:$B$404,B7)))</f>
        <v>0</v>
      </c>
      <c r="W7" s="23">
        <f>IF(B7="","",IF(COUNTIF(Performance!$B$5:$B$404,B7)=0,"",SUMIFS(Performance!$U$5:$U$404,Performance!$B$5:$B$404,B7)))</f>
        <v>0</v>
      </c>
      <c r="X7" s="29">
        <f>IF(B7="","",IF(C7="Not found","Check - content ID not on the calendar",IF(AND(G7="Reel",J7=0),"Add - reel length missing",IF(K7="","Add - no cover image",IF(AND(P7&lt;&gt;"",S7&lt;TargetEngagement),"Review - below your target rate","OK")))))</f>
        <v>0</v>
      </c>
      <c r="Y7" s="39" t="s">
        <v>205</v>
      </c>
    </row>
    <row r="8" spans="1:25">
      <c r="A8" s="41">
        <f>IF(B8="","","IG-"&amp;TEXT(ROW()-4,"000"))</f>
        <v>0</v>
      </c>
      <c r="B8" s="15" t="s">
        <v>1410</v>
      </c>
      <c r="C8" s="17">
        <f>IF(B8="","",IFERROR(INDEX('Content Calendar'!$H$5:$H$604,MATCH(B8,'Content Calendar'!$A$5:$A$604,0)),"Not found"))</f>
        <v>0</v>
      </c>
      <c r="D8" s="16">
        <f>IF(B8="","",IFERROR(INDEX('Content Calendar'!$B$5:$B$604,MATCH(B8,'Content Calendar'!$A$5:$A$604,0)),"Not found"))</f>
        <v>0</v>
      </c>
      <c r="E8" s="17">
        <f>IF(B8="","",IFERROR(INDEX('Content Calendar'!$J$5:$J$604,MATCH(B8,'Content Calendar'!$A$5:$A$604,0)),"Not found"))</f>
        <v>0</v>
      </c>
      <c r="F8" s="29">
        <f>IF(B8="","",IFERROR(INDEX('Content Calendar'!$X$5:$X$604,MATCH(B8,'Content Calendar'!$A$5:$A$604,0)),"Not found"))</f>
        <v>0</v>
      </c>
      <c r="G8" s="15" t="s">
        <v>396</v>
      </c>
      <c r="H8" s="39" t="s">
        <v>1403</v>
      </c>
      <c r="I8" s="34">
        <v>10</v>
      </c>
      <c r="J8" s="34">
        <v>0</v>
      </c>
      <c r="K8" s="15" t="s">
        <v>1411</v>
      </c>
      <c r="L8" s="39" t="s">
        <v>205</v>
      </c>
      <c r="M8" s="40" t="s">
        <v>373</v>
      </c>
      <c r="N8" s="34">
        <v>304</v>
      </c>
      <c r="O8" s="34">
        <v>55</v>
      </c>
      <c r="P8" s="23">
        <f>IF(B8="","",IF(COUNTIF(Performance!$B$5:$B$404,B8)=0,"",SUMIFS(Performance!$O$5:$O$404,Performance!$B$5:$B$404,B8)))</f>
        <v>0</v>
      </c>
      <c r="Q8" s="23">
        <f>IF(B8="","",IF(COUNTIF(Performance!$B$5:$B$404,B8)=0,"",SUMIFS(Performance!$P$5:$P$404,Performance!$B$5:$B$404,B8)))</f>
        <v>0</v>
      </c>
      <c r="R8" s="23">
        <f>IF(B8="","",IF(COUNTIF(Performance!$B$5:$B$404,B8)=0,"",SUMIFS(Performance!$Z$5:$Z$404,Performance!$B$5:$B$404,B8)))</f>
        <v>0</v>
      </c>
      <c r="S8" s="24">
        <f>IF(OR(P8="",P8=0),"",R8/P8)</f>
        <v>0</v>
      </c>
      <c r="T8" s="23">
        <f>IF(B8="","",IF(COUNTIF(Performance!$B$5:$B$404,B8)=0,"",SUMIFS(Performance!$T$5:$T$404,Performance!$B$5:$B$404,B8)))</f>
        <v>0</v>
      </c>
      <c r="U8" s="23">
        <f>IF(B8="","",IF(COUNTIF(Performance!$B$5:$B$404,B8)=0,"",SUMIFS(Performance!$S$5:$S$404,Performance!$B$5:$B$404,B8)))</f>
        <v>0</v>
      </c>
      <c r="V8" s="23">
        <f>IF(B8="","",IF(COUNTIF(Performance!$B$5:$B$404,B8)=0,"",SUMIFS(Performance!$R$5:$R$404,Performance!$B$5:$B$404,B8)))</f>
        <v>0</v>
      </c>
      <c r="W8" s="23">
        <f>IF(B8="","",IF(COUNTIF(Performance!$B$5:$B$404,B8)=0,"",SUMIFS(Performance!$U$5:$U$404,Performance!$B$5:$B$404,B8)))</f>
        <v>0</v>
      </c>
      <c r="X8" s="29">
        <f>IF(B8="","",IF(C8="Not found","Check - content ID not on the calendar",IF(AND(G8="Reel",J8=0),"Add - reel length missing",IF(K8="","Add - no cover image",IF(AND(P8&lt;&gt;"",S8&lt;TargetEngagement),"Review - below your target rate","OK")))))</f>
        <v>0</v>
      </c>
      <c r="Y8" s="39" t="s">
        <v>205</v>
      </c>
    </row>
    <row r="9" spans="1:25">
      <c r="A9" s="41">
        <f>IF(B9="","","IG-"&amp;TEXT(ROW()-4,"000"))</f>
        <v>0</v>
      </c>
      <c r="B9" s="15" t="s">
        <v>1412</v>
      </c>
      <c r="C9" s="17">
        <f>IF(B9="","",IFERROR(INDEX('Content Calendar'!$H$5:$H$604,MATCH(B9,'Content Calendar'!$A$5:$A$604,0)),"Not found"))</f>
        <v>0</v>
      </c>
      <c r="D9" s="16">
        <f>IF(B9="","",IFERROR(INDEX('Content Calendar'!$B$5:$B$604,MATCH(B9,'Content Calendar'!$A$5:$A$604,0)),"Not found"))</f>
        <v>0</v>
      </c>
      <c r="E9" s="17">
        <f>IF(B9="","",IFERROR(INDEX('Content Calendar'!$J$5:$J$604,MATCH(B9,'Content Calendar'!$A$5:$A$604,0)),"Not found"))</f>
        <v>0</v>
      </c>
      <c r="F9" s="29">
        <f>IF(B9="","",IFERROR(INDEX('Content Calendar'!$X$5:$X$604,MATCH(B9,'Content Calendar'!$A$5:$A$604,0)),"Not found"))</f>
        <v>0</v>
      </c>
      <c r="G9" s="15" t="s">
        <v>397</v>
      </c>
      <c r="H9" s="39" t="s">
        <v>1403</v>
      </c>
      <c r="I9" s="34">
        <v>5</v>
      </c>
      <c r="J9" s="34">
        <v>0</v>
      </c>
      <c r="K9" s="15" t="s">
        <v>1413</v>
      </c>
      <c r="L9" s="39" t="s">
        <v>205</v>
      </c>
      <c r="M9" s="40" t="s">
        <v>373</v>
      </c>
      <c r="N9" s="34">
        <v>46</v>
      </c>
      <c r="O9" s="34">
        <v>83</v>
      </c>
      <c r="P9" s="23">
        <f>IF(B9="","",IF(COUNTIF(Performance!$B$5:$B$404,B9)=0,"",SUMIFS(Performance!$O$5:$O$404,Performance!$B$5:$B$404,B9)))</f>
        <v>0</v>
      </c>
      <c r="Q9" s="23">
        <f>IF(B9="","",IF(COUNTIF(Performance!$B$5:$B$404,B9)=0,"",SUMIFS(Performance!$P$5:$P$404,Performance!$B$5:$B$404,B9)))</f>
        <v>0</v>
      </c>
      <c r="R9" s="23">
        <f>IF(B9="","",IF(COUNTIF(Performance!$B$5:$B$404,B9)=0,"",SUMIFS(Performance!$Z$5:$Z$404,Performance!$B$5:$B$404,B9)))</f>
        <v>0</v>
      </c>
      <c r="S9" s="24">
        <f>IF(OR(P9="",P9=0),"",R9/P9)</f>
        <v>0</v>
      </c>
      <c r="T9" s="23">
        <f>IF(B9="","",IF(COUNTIF(Performance!$B$5:$B$404,B9)=0,"",SUMIFS(Performance!$T$5:$T$404,Performance!$B$5:$B$404,B9)))</f>
        <v>0</v>
      </c>
      <c r="U9" s="23">
        <f>IF(B9="","",IF(COUNTIF(Performance!$B$5:$B$404,B9)=0,"",SUMIFS(Performance!$S$5:$S$404,Performance!$B$5:$B$404,B9)))</f>
        <v>0</v>
      </c>
      <c r="V9" s="23">
        <f>IF(B9="","",IF(COUNTIF(Performance!$B$5:$B$404,B9)=0,"",SUMIFS(Performance!$R$5:$R$404,Performance!$B$5:$B$404,B9)))</f>
        <v>0</v>
      </c>
      <c r="W9" s="23">
        <f>IF(B9="","",IF(COUNTIF(Performance!$B$5:$B$404,B9)=0,"",SUMIFS(Performance!$U$5:$U$404,Performance!$B$5:$B$404,B9)))</f>
        <v>0</v>
      </c>
      <c r="X9" s="29">
        <f>IF(B9="","",IF(C9="Not found","Check - content ID not on the calendar",IF(AND(G9="Reel",J9=0),"Add - reel length missing",IF(K9="","Add - no cover image",IF(AND(P9&lt;&gt;"",S9&lt;TargetEngagement),"Review - below your target rate","OK")))))</f>
        <v>0</v>
      </c>
      <c r="Y9" s="39" t="s">
        <v>205</v>
      </c>
    </row>
    <row r="10" spans="1:25">
      <c r="A10" s="41">
        <f>IF(B10="","","IG-"&amp;TEXT(ROW()-4,"000"))</f>
        <v>0</v>
      </c>
      <c r="B10" s="15" t="s">
        <v>1414</v>
      </c>
      <c r="C10" s="17">
        <f>IF(B10="","",IFERROR(INDEX('Content Calendar'!$H$5:$H$604,MATCH(B10,'Content Calendar'!$A$5:$A$604,0)),"Not found"))</f>
        <v>0</v>
      </c>
      <c r="D10" s="16">
        <f>IF(B10="","",IFERROR(INDEX('Content Calendar'!$B$5:$B$604,MATCH(B10,'Content Calendar'!$A$5:$A$604,0)),"Not found"))</f>
        <v>0</v>
      </c>
      <c r="E10" s="17">
        <f>IF(B10="","",IFERROR(INDEX('Content Calendar'!$J$5:$J$604,MATCH(B10,'Content Calendar'!$A$5:$A$604,0)),"Not found"))</f>
        <v>0</v>
      </c>
      <c r="F10" s="29">
        <f>IF(B10="","",IFERROR(INDEX('Content Calendar'!$X$5:$X$604,MATCH(B10,'Content Calendar'!$A$5:$A$604,0)),"Not found"))</f>
        <v>0</v>
      </c>
      <c r="G10" s="15" t="s">
        <v>398</v>
      </c>
      <c r="H10" s="39" t="s">
        <v>1405</v>
      </c>
      <c r="I10" s="34">
        <v>0</v>
      </c>
      <c r="J10" s="34">
        <v>30</v>
      </c>
      <c r="K10" s="15" t="s">
        <v>1415</v>
      </c>
      <c r="L10" s="39" t="s">
        <v>205</v>
      </c>
      <c r="M10" s="40" t="s">
        <v>373</v>
      </c>
      <c r="N10" s="34">
        <v>112</v>
      </c>
      <c r="O10" s="34">
        <v>55</v>
      </c>
      <c r="P10" s="23">
        <f>IF(B10="","",IF(COUNTIF(Performance!$B$5:$B$404,B10)=0,"",SUMIFS(Performance!$O$5:$O$404,Performance!$B$5:$B$404,B10)))</f>
        <v>0</v>
      </c>
      <c r="Q10" s="23">
        <f>IF(B10="","",IF(COUNTIF(Performance!$B$5:$B$404,B10)=0,"",SUMIFS(Performance!$P$5:$P$404,Performance!$B$5:$B$404,B10)))</f>
        <v>0</v>
      </c>
      <c r="R10" s="23">
        <f>IF(B10="","",IF(COUNTIF(Performance!$B$5:$B$404,B10)=0,"",SUMIFS(Performance!$Z$5:$Z$404,Performance!$B$5:$B$404,B10)))</f>
        <v>0</v>
      </c>
      <c r="S10" s="24">
        <f>IF(OR(P10="",P10=0),"",R10/P10)</f>
        <v>0</v>
      </c>
      <c r="T10" s="23">
        <f>IF(B10="","",IF(COUNTIF(Performance!$B$5:$B$404,B10)=0,"",SUMIFS(Performance!$T$5:$T$404,Performance!$B$5:$B$404,B10)))</f>
        <v>0</v>
      </c>
      <c r="U10" s="23">
        <f>IF(B10="","",IF(COUNTIF(Performance!$B$5:$B$404,B10)=0,"",SUMIFS(Performance!$S$5:$S$404,Performance!$B$5:$B$404,B10)))</f>
        <v>0</v>
      </c>
      <c r="V10" s="23">
        <f>IF(B10="","",IF(COUNTIF(Performance!$B$5:$B$404,B10)=0,"",SUMIFS(Performance!$R$5:$R$404,Performance!$B$5:$B$404,B10)))</f>
        <v>0</v>
      </c>
      <c r="W10" s="23">
        <f>IF(B10="","",IF(COUNTIF(Performance!$B$5:$B$404,B10)=0,"",SUMIFS(Performance!$U$5:$U$404,Performance!$B$5:$B$404,B10)))</f>
        <v>0</v>
      </c>
      <c r="X10" s="29">
        <f>IF(B10="","",IF(C10="Not found","Check - content ID not on the calendar",IF(AND(G10="Reel",J10=0),"Add - reel length missing",IF(K10="","Add - no cover image",IF(AND(P10&lt;&gt;"",S10&lt;TargetEngagement),"Review - below your target rate","OK")))))</f>
        <v>0</v>
      </c>
      <c r="Y10" s="39" t="s">
        <v>205</v>
      </c>
    </row>
    <row r="11" spans="1:25">
      <c r="A11" s="41">
        <f>IF(B11="","","IG-"&amp;TEXT(ROW()-4,"000"))</f>
        <v>0</v>
      </c>
      <c r="B11" s="15" t="s">
        <v>1416</v>
      </c>
      <c r="C11" s="17">
        <f>IF(B11="","",IFERROR(INDEX('Content Calendar'!$H$5:$H$604,MATCH(B11,'Content Calendar'!$A$5:$A$604,0)),"Not found"))</f>
        <v>0</v>
      </c>
      <c r="D11" s="16">
        <f>IF(B11="","",IFERROR(INDEX('Content Calendar'!$B$5:$B$604,MATCH(B11,'Content Calendar'!$A$5:$A$604,0)),"Not found"))</f>
        <v>0</v>
      </c>
      <c r="E11" s="17">
        <f>IF(B11="","",IFERROR(INDEX('Content Calendar'!$J$5:$J$604,MATCH(B11,'Content Calendar'!$A$5:$A$604,0)),"Not found"))</f>
        <v>0</v>
      </c>
      <c r="F11" s="29">
        <f>IF(B11="","",IFERROR(INDEX('Content Calendar'!$X$5:$X$604,MATCH(B11,'Content Calendar'!$A$5:$A$604,0)),"Not found"))</f>
        <v>0</v>
      </c>
      <c r="G11" s="15" t="s">
        <v>399</v>
      </c>
      <c r="H11" s="39" t="s">
        <v>1405</v>
      </c>
      <c r="I11" s="34">
        <v>0</v>
      </c>
      <c r="J11" s="34">
        <v>18</v>
      </c>
      <c r="K11" s="15" t="s">
        <v>1417</v>
      </c>
      <c r="L11" s="39" t="s">
        <v>1409</v>
      </c>
      <c r="M11" s="40" t="s">
        <v>373</v>
      </c>
      <c r="N11" s="34">
        <v>76</v>
      </c>
      <c r="O11" s="34">
        <v>32</v>
      </c>
      <c r="P11" s="23">
        <f>IF(B11="","",IF(COUNTIF(Performance!$B$5:$B$404,B11)=0,"",SUMIFS(Performance!$O$5:$O$404,Performance!$B$5:$B$404,B11)))</f>
        <v>0</v>
      </c>
      <c r="Q11" s="23">
        <f>IF(B11="","",IF(COUNTIF(Performance!$B$5:$B$404,B11)=0,"",SUMIFS(Performance!$P$5:$P$404,Performance!$B$5:$B$404,B11)))</f>
        <v>0</v>
      </c>
      <c r="R11" s="23">
        <f>IF(B11="","",IF(COUNTIF(Performance!$B$5:$B$404,B11)=0,"",SUMIFS(Performance!$Z$5:$Z$404,Performance!$B$5:$B$404,B11)))</f>
        <v>0</v>
      </c>
      <c r="S11" s="24">
        <f>IF(OR(P11="",P11=0),"",R11/P11)</f>
        <v>0</v>
      </c>
      <c r="T11" s="23">
        <f>IF(B11="","",IF(COUNTIF(Performance!$B$5:$B$404,B11)=0,"",SUMIFS(Performance!$T$5:$T$404,Performance!$B$5:$B$404,B11)))</f>
        <v>0</v>
      </c>
      <c r="U11" s="23">
        <f>IF(B11="","",IF(COUNTIF(Performance!$B$5:$B$404,B11)=0,"",SUMIFS(Performance!$S$5:$S$404,Performance!$B$5:$B$404,B11)))</f>
        <v>0</v>
      </c>
      <c r="V11" s="23">
        <f>IF(B11="","",IF(COUNTIF(Performance!$B$5:$B$404,B11)=0,"",SUMIFS(Performance!$R$5:$R$404,Performance!$B$5:$B$404,B11)))</f>
        <v>0</v>
      </c>
      <c r="W11" s="23">
        <f>IF(B11="","",IF(COUNTIF(Performance!$B$5:$B$404,B11)=0,"",SUMIFS(Performance!$U$5:$U$404,Performance!$B$5:$B$404,B11)))</f>
        <v>0</v>
      </c>
      <c r="X11" s="29">
        <f>IF(B11="","",IF(C11="Not found","Check - content ID not on the calendar",IF(AND(G11="Reel",J11=0),"Add - reel length missing",IF(K11="","Add - no cover image",IF(AND(P11&lt;&gt;"",S11&lt;TargetEngagement),"Review - below your target rate","OK")))))</f>
        <v>0</v>
      </c>
      <c r="Y11" s="39" t="s">
        <v>205</v>
      </c>
    </row>
    <row r="12" spans="1:25">
      <c r="A12" s="41">
        <f>IF(B12="","","IG-"&amp;TEXT(ROW()-4,"000"))</f>
        <v>0</v>
      </c>
      <c r="B12" s="15" t="s">
        <v>1418</v>
      </c>
      <c r="C12" s="17">
        <f>IF(B12="","",IFERROR(INDEX('Content Calendar'!$H$5:$H$604,MATCH(B12,'Content Calendar'!$A$5:$A$604,0)),"Not found"))</f>
        <v>0</v>
      </c>
      <c r="D12" s="16">
        <f>IF(B12="","",IFERROR(INDEX('Content Calendar'!$B$5:$B$604,MATCH(B12,'Content Calendar'!$A$5:$A$604,0)),"Not found"))</f>
        <v>0</v>
      </c>
      <c r="E12" s="17">
        <f>IF(B12="","",IFERROR(INDEX('Content Calendar'!$J$5:$J$604,MATCH(B12,'Content Calendar'!$A$5:$A$604,0)),"Not found"))</f>
        <v>0</v>
      </c>
      <c r="F12" s="29">
        <f>IF(B12="","",IFERROR(INDEX('Content Calendar'!$X$5:$X$604,MATCH(B12,'Content Calendar'!$A$5:$A$604,0)),"Not found"))</f>
        <v>0</v>
      </c>
      <c r="G12" s="15" t="s">
        <v>397</v>
      </c>
      <c r="H12" s="39" t="s">
        <v>1403</v>
      </c>
      <c r="I12" s="34">
        <v>10</v>
      </c>
      <c r="J12" s="34">
        <v>0</v>
      </c>
      <c r="K12" s="15" t="s">
        <v>1419</v>
      </c>
      <c r="L12" s="39" t="s">
        <v>205</v>
      </c>
      <c r="M12" s="40" t="s">
        <v>373</v>
      </c>
      <c r="N12" s="34">
        <v>284</v>
      </c>
      <c r="O12" s="34">
        <v>81</v>
      </c>
      <c r="P12" s="23">
        <f>IF(B12="","",IF(COUNTIF(Performance!$B$5:$B$404,B12)=0,"",SUMIFS(Performance!$O$5:$O$404,Performance!$B$5:$B$404,B12)))</f>
        <v>0</v>
      </c>
      <c r="Q12" s="23">
        <f>IF(B12="","",IF(COUNTIF(Performance!$B$5:$B$404,B12)=0,"",SUMIFS(Performance!$P$5:$P$404,Performance!$B$5:$B$404,B12)))</f>
        <v>0</v>
      </c>
      <c r="R12" s="23">
        <f>IF(B12="","",IF(COUNTIF(Performance!$B$5:$B$404,B12)=0,"",SUMIFS(Performance!$Z$5:$Z$404,Performance!$B$5:$B$404,B12)))</f>
        <v>0</v>
      </c>
      <c r="S12" s="24">
        <f>IF(OR(P12="",P12=0),"",R12/P12)</f>
        <v>0</v>
      </c>
      <c r="T12" s="23">
        <f>IF(B12="","",IF(COUNTIF(Performance!$B$5:$B$404,B12)=0,"",SUMIFS(Performance!$T$5:$T$404,Performance!$B$5:$B$404,B12)))</f>
        <v>0</v>
      </c>
      <c r="U12" s="23">
        <f>IF(B12="","",IF(COUNTIF(Performance!$B$5:$B$404,B12)=0,"",SUMIFS(Performance!$S$5:$S$404,Performance!$B$5:$B$404,B12)))</f>
        <v>0</v>
      </c>
      <c r="V12" s="23">
        <f>IF(B12="","",IF(COUNTIF(Performance!$B$5:$B$404,B12)=0,"",SUMIFS(Performance!$R$5:$R$404,Performance!$B$5:$B$404,B12)))</f>
        <v>0</v>
      </c>
      <c r="W12" s="23">
        <f>IF(B12="","",IF(COUNTIF(Performance!$B$5:$B$404,B12)=0,"",SUMIFS(Performance!$U$5:$U$404,Performance!$B$5:$B$404,B12)))</f>
        <v>0</v>
      </c>
      <c r="X12" s="29">
        <f>IF(B12="","",IF(C12="Not found","Check - content ID not on the calendar",IF(AND(G12="Reel",J12=0),"Add - reel length missing",IF(K12="","Add - no cover image",IF(AND(P12&lt;&gt;"",S12&lt;TargetEngagement),"Review - below your target rate","OK")))))</f>
        <v>0</v>
      </c>
      <c r="Y12" s="39" t="s">
        <v>205</v>
      </c>
    </row>
    <row r="13" spans="1:25">
      <c r="A13" s="41">
        <f>IF(B13="","","IG-"&amp;TEXT(ROW()-4,"000"))</f>
        <v>0</v>
      </c>
      <c r="B13" s="15" t="s">
        <v>1420</v>
      </c>
      <c r="C13" s="17">
        <f>IF(B13="","",IFERROR(INDEX('Content Calendar'!$H$5:$H$604,MATCH(B13,'Content Calendar'!$A$5:$A$604,0)),"Not found"))</f>
        <v>0</v>
      </c>
      <c r="D13" s="16">
        <f>IF(B13="","",IFERROR(INDEX('Content Calendar'!$B$5:$B$604,MATCH(B13,'Content Calendar'!$A$5:$A$604,0)),"Not found"))</f>
        <v>0</v>
      </c>
      <c r="E13" s="17">
        <f>IF(B13="","",IFERROR(INDEX('Content Calendar'!$J$5:$J$604,MATCH(B13,'Content Calendar'!$A$5:$A$604,0)),"Not found"))</f>
        <v>0</v>
      </c>
      <c r="F13" s="29">
        <f>IF(B13="","",IFERROR(INDEX('Content Calendar'!$X$5:$X$604,MATCH(B13,'Content Calendar'!$A$5:$A$604,0)),"Not found"))</f>
        <v>0</v>
      </c>
      <c r="G13" s="15" t="s">
        <v>396</v>
      </c>
      <c r="H13" s="39" t="s">
        <v>1403</v>
      </c>
      <c r="I13" s="34">
        <v>6</v>
      </c>
      <c r="J13" s="34">
        <v>0</v>
      </c>
      <c r="K13" s="15" t="s">
        <v>1421</v>
      </c>
      <c r="L13" s="39" t="s">
        <v>205</v>
      </c>
      <c r="M13" s="40" t="s">
        <v>373</v>
      </c>
      <c r="N13" s="34">
        <v>164</v>
      </c>
      <c r="O13" s="34">
        <v>49</v>
      </c>
      <c r="P13" s="23">
        <f>IF(B13="","",IF(COUNTIF(Performance!$B$5:$B$404,B13)=0,"",SUMIFS(Performance!$O$5:$O$404,Performance!$B$5:$B$404,B13)))</f>
        <v>0</v>
      </c>
      <c r="Q13" s="23">
        <f>IF(B13="","",IF(COUNTIF(Performance!$B$5:$B$404,B13)=0,"",SUMIFS(Performance!$P$5:$P$404,Performance!$B$5:$B$404,B13)))</f>
        <v>0</v>
      </c>
      <c r="R13" s="23">
        <f>IF(B13="","",IF(COUNTIF(Performance!$B$5:$B$404,B13)=0,"",SUMIFS(Performance!$Z$5:$Z$404,Performance!$B$5:$B$404,B13)))</f>
        <v>0</v>
      </c>
      <c r="S13" s="24">
        <f>IF(OR(P13="",P13=0),"",R13/P13)</f>
        <v>0</v>
      </c>
      <c r="T13" s="23">
        <f>IF(B13="","",IF(COUNTIF(Performance!$B$5:$B$404,B13)=0,"",SUMIFS(Performance!$T$5:$T$404,Performance!$B$5:$B$404,B13)))</f>
        <v>0</v>
      </c>
      <c r="U13" s="23">
        <f>IF(B13="","",IF(COUNTIF(Performance!$B$5:$B$404,B13)=0,"",SUMIFS(Performance!$S$5:$S$404,Performance!$B$5:$B$404,B13)))</f>
        <v>0</v>
      </c>
      <c r="V13" s="23">
        <f>IF(B13="","",IF(COUNTIF(Performance!$B$5:$B$404,B13)=0,"",SUMIFS(Performance!$R$5:$R$404,Performance!$B$5:$B$404,B13)))</f>
        <v>0</v>
      </c>
      <c r="W13" s="23">
        <f>IF(B13="","",IF(COUNTIF(Performance!$B$5:$B$404,B13)=0,"",SUMIFS(Performance!$U$5:$U$404,Performance!$B$5:$B$404,B13)))</f>
        <v>0</v>
      </c>
      <c r="X13" s="29">
        <f>IF(B13="","",IF(C13="Not found","Check - content ID not on the calendar",IF(AND(G13="Reel",J13=0),"Add - reel length missing",IF(K13="","Add - no cover image",IF(AND(P13&lt;&gt;"",S13&lt;TargetEngagement),"Review - below your target rate","OK")))))</f>
        <v>0</v>
      </c>
      <c r="Y13" s="39" t="s">
        <v>205</v>
      </c>
    </row>
    <row r="14" spans="1:25">
      <c r="A14" s="41">
        <f>IF(B14="","","IG-"&amp;TEXT(ROW()-4,"000"))</f>
        <v>0</v>
      </c>
      <c r="C14" s="17">
        <f>IF(B14="","",IFERROR(INDEX('Content Calendar'!$H$5:$H$604,MATCH(B14,'Content Calendar'!$A$5:$A$604,0)),"Not found"))</f>
        <v>0</v>
      </c>
      <c r="D14" s="16">
        <f>IF(B14="","",IFERROR(INDEX('Content Calendar'!$B$5:$B$604,MATCH(B14,'Content Calendar'!$A$5:$A$604,0)),"Not found"))</f>
        <v>0</v>
      </c>
      <c r="E14" s="17">
        <f>IF(B14="","",IFERROR(INDEX('Content Calendar'!$J$5:$J$604,MATCH(B14,'Content Calendar'!$A$5:$A$604,0)),"Not found"))</f>
        <v>0</v>
      </c>
      <c r="F14" s="29">
        <f>IF(B14="","",IFERROR(INDEX('Content Calendar'!$X$5:$X$604,MATCH(B14,'Content Calendar'!$A$5:$A$604,0)),"Not found"))</f>
        <v>0</v>
      </c>
      <c r="P14" s="23">
        <f>IF(B14="","",IF(COUNTIF(Performance!$B$5:$B$404,B14)=0,"",SUMIFS(Performance!$O$5:$O$404,Performance!$B$5:$B$404,B14)))</f>
        <v>0</v>
      </c>
      <c r="Q14" s="23">
        <f>IF(B14="","",IF(COUNTIF(Performance!$B$5:$B$404,B14)=0,"",SUMIFS(Performance!$P$5:$P$404,Performance!$B$5:$B$404,B14)))</f>
        <v>0</v>
      </c>
      <c r="R14" s="23">
        <f>IF(B14="","",IF(COUNTIF(Performance!$B$5:$B$404,B14)=0,"",SUMIFS(Performance!$Z$5:$Z$404,Performance!$B$5:$B$404,B14)))</f>
        <v>0</v>
      </c>
      <c r="S14" s="24">
        <f>IF(OR(P14="",P14=0),"",R14/P14)</f>
        <v>0</v>
      </c>
      <c r="T14" s="23">
        <f>IF(B14="","",IF(COUNTIF(Performance!$B$5:$B$404,B14)=0,"",SUMIFS(Performance!$T$5:$T$404,Performance!$B$5:$B$404,B14)))</f>
        <v>0</v>
      </c>
      <c r="U14" s="23">
        <f>IF(B14="","",IF(COUNTIF(Performance!$B$5:$B$404,B14)=0,"",SUMIFS(Performance!$S$5:$S$404,Performance!$B$5:$B$404,B14)))</f>
        <v>0</v>
      </c>
      <c r="V14" s="23">
        <f>IF(B14="","",IF(COUNTIF(Performance!$B$5:$B$404,B14)=0,"",SUMIFS(Performance!$R$5:$R$404,Performance!$B$5:$B$404,B14)))</f>
        <v>0</v>
      </c>
      <c r="W14" s="23">
        <f>IF(B14="","",IF(COUNTIF(Performance!$B$5:$B$404,B14)=0,"",SUMIFS(Performance!$U$5:$U$404,Performance!$B$5:$B$404,B14)))</f>
        <v>0</v>
      </c>
      <c r="X14" s="29">
        <f>IF(B14="","",IF(C14="Not found","Check - content ID not on the calendar",IF(AND(G14="Reel",J14=0),"Add - reel length missing",IF(K14="","Add - no cover image",IF(AND(P14&lt;&gt;"",S14&lt;TargetEngagement),"Review - below your target rate","OK")))))</f>
        <v>0</v>
      </c>
    </row>
    <row r="15" spans="1:25">
      <c r="A15" s="41">
        <f>IF(B15="","","IG-"&amp;TEXT(ROW()-4,"000"))</f>
        <v>0</v>
      </c>
      <c r="C15" s="17">
        <f>IF(B15="","",IFERROR(INDEX('Content Calendar'!$H$5:$H$604,MATCH(B15,'Content Calendar'!$A$5:$A$604,0)),"Not found"))</f>
        <v>0</v>
      </c>
      <c r="D15" s="16">
        <f>IF(B15="","",IFERROR(INDEX('Content Calendar'!$B$5:$B$604,MATCH(B15,'Content Calendar'!$A$5:$A$604,0)),"Not found"))</f>
        <v>0</v>
      </c>
      <c r="E15" s="17">
        <f>IF(B15="","",IFERROR(INDEX('Content Calendar'!$J$5:$J$604,MATCH(B15,'Content Calendar'!$A$5:$A$604,0)),"Not found"))</f>
        <v>0</v>
      </c>
      <c r="F15" s="29">
        <f>IF(B15="","",IFERROR(INDEX('Content Calendar'!$X$5:$X$604,MATCH(B15,'Content Calendar'!$A$5:$A$604,0)),"Not found"))</f>
        <v>0</v>
      </c>
      <c r="P15" s="23">
        <f>IF(B15="","",IF(COUNTIF(Performance!$B$5:$B$404,B15)=0,"",SUMIFS(Performance!$O$5:$O$404,Performance!$B$5:$B$404,B15)))</f>
        <v>0</v>
      </c>
      <c r="Q15" s="23">
        <f>IF(B15="","",IF(COUNTIF(Performance!$B$5:$B$404,B15)=0,"",SUMIFS(Performance!$P$5:$P$404,Performance!$B$5:$B$404,B15)))</f>
        <v>0</v>
      </c>
      <c r="R15" s="23">
        <f>IF(B15="","",IF(COUNTIF(Performance!$B$5:$B$404,B15)=0,"",SUMIFS(Performance!$Z$5:$Z$404,Performance!$B$5:$B$404,B15)))</f>
        <v>0</v>
      </c>
      <c r="S15" s="24">
        <f>IF(OR(P15="",P15=0),"",R15/P15)</f>
        <v>0</v>
      </c>
      <c r="T15" s="23">
        <f>IF(B15="","",IF(COUNTIF(Performance!$B$5:$B$404,B15)=0,"",SUMIFS(Performance!$T$5:$T$404,Performance!$B$5:$B$404,B15)))</f>
        <v>0</v>
      </c>
      <c r="U15" s="23">
        <f>IF(B15="","",IF(COUNTIF(Performance!$B$5:$B$404,B15)=0,"",SUMIFS(Performance!$S$5:$S$404,Performance!$B$5:$B$404,B15)))</f>
        <v>0</v>
      </c>
      <c r="V15" s="23">
        <f>IF(B15="","",IF(COUNTIF(Performance!$B$5:$B$404,B15)=0,"",SUMIFS(Performance!$R$5:$R$404,Performance!$B$5:$B$404,B15)))</f>
        <v>0</v>
      </c>
      <c r="W15" s="23">
        <f>IF(B15="","",IF(COUNTIF(Performance!$B$5:$B$404,B15)=0,"",SUMIFS(Performance!$U$5:$U$404,Performance!$B$5:$B$404,B15)))</f>
        <v>0</v>
      </c>
      <c r="X15" s="29">
        <f>IF(B15="","",IF(C15="Not found","Check - content ID not on the calendar",IF(AND(G15="Reel",J15=0),"Add - reel length missing",IF(K15="","Add - no cover image",IF(AND(P15&lt;&gt;"",S15&lt;TargetEngagement),"Review - below your target rate","OK")))))</f>
        <v>0</v>
      </c>
    </row>
    <row r="16" spans="1:25">
      <c r="A16" s="41">
        <f>IF(B16="","","IG-"&amp;TEXT(ROW()-4,"000"))</f>
        <v>0</v>
      </c>
      <c r="C16" s="17">
        <f>IF(B16="","",IFERROR(INDEX('Content Calendar'!$H$5:$H$604,MATCH(B16,'Content Calendar'!$A$5:$A$604,0)),"Not found"))</f>
        <v>0</v>
      </c>
      <c r="D16" s="16">
        <f>IF(B16="","",IFERROR(INDEX('Content Calendar'!$B$5:$B$604,MATCH(B16,'Content Calendar'!$A$5:$A$604,0)),"Not found"))</f>
        <v>0</v>
      </c>
      <c r="E16" s="17">
        <f>IF(B16="","",IFERROR(INDEX('Content Calendar'!$J$5:$J$604,MATCH(B16,'Content Calendar'!$A$5:$A$604,0)),"Not found"))</f>
        <v>0</v>
      </c>
      <c r="F16" s="29">
        <f>IF(B16="","",IFERROR(INDEX('Content Calendar'!$X$5:$X$604,MATCH(B16,'Content Calendar'!$A$5:$A$604,0)),"Not found"))</f>
        <v>0</v>
      </c>
      <c r="P16" s="23">
        <f>IF(B16="","",IF(COUNTIF(Performance!$B$5:$B$404,B16)=0,"",SUMIFS(Performance!$O$5:$O$404,Performance!$B$5:$B$404,B16)))</f>
        <v>0</v>
      </c>
      <c r="Q16" s="23">
        <f>IF(B16="","",IF(COUNTIF(Performance!$B$5:$B$404,B16)=0,"",SUMIFS(Performance!$P$5:$P$404,Performance!$B$5:$B$404,B16)))</f>
        <v>0</v>
      </c>
      <c r="R16" s="23">
        <f>IF(B16="","",IF(COUNTIF(Performance!$B$5:$B$404,B16)=0,"",SUMIFS(Performance!$Z$5:$Z$404,Performance!$B$5:$B$404,B16)))</f>
        <v>0</v>
      </c>
      <c r="S16" s="24">
        <f>IF(OR(P16="",P16=0),"",R16/P16)</f>
        <v>0</v>
      </c>
      <c r="T16" s="23">
        <f>IF(B16="","",IF(COUNTIF(Performance!$B$5:$B$404,B16)=0,"",SUMIFS(Performance!$T$5:$T$404,Performance!$B$5:$B$404,B16)))</f>
        <v>0</v>
      </c>
      <c r="U16" s="23">
        <f>IF(B16="","",IF(COUNTIF(Performance!$B$5:$B$404,B16)=0,"",SUMIFS(Performance!$S$5:$S$404,Performance!$B$5:$B$404,B16)))</f>
        <v>0</v>
      </c>
      <c r="V16" s="23">
        <f>IF(B16="","",IF(COUNTIF(Performance!$B$5:$B$404,B16)=0,"",SUMIFS(Performance!$R$5:$R$404,Performance!$B$5:$B$404,B16)))</f>
        <v>0</v>
      </c>
      <c r="W16" s="23">
        <f>IF(B16="","",IF(COUNTIF(Performance!$B$5:$B$404,B16)=0,"",SUMIFS(Performance!$U$5:$U$404,Performance!$B$5:$B$404,B16)))</f>
        <v>0</v>
      </c>
      <c r="X16" s="29">
        <f>IF(B16="","",IF(C16="Not found","Check - content ID not on the calendar",IF(AND(G16="Reel",J16=0),"Add - reel length missing",IF(K16="","Add - no cover image",IF(AND(P16&lt;&gt;"",S16&lt;TargetEngagement),"Review - below your target rate","OK")))))</f>
        <v>0</v>
      </c>
    </row>
    <row r="17" spans="1:24">
      <c r="A17" s="41">
        <f>IF(B17="","","IG-"&amp;TEXT(ROW()-4,"000"))</f>
        <v>0</v>
      </c>
      <c r="C17" s="17">
        <f>IF(B17="","",IFERROR(INDEX('Content Calendar'!$H$5:$H$604,MATCH(B17,'Content Calendar'!$A$5:$A$604,0)),"Not found"))</f>
        <v>0</v>
      </c>
      <c r="D17" s="16">
        <f>IF(B17="","",IFERROR(INDEX('Content Calendar'!$B$5:$B$604,MATCH(B17,'Content Calendar'!$A$5:$A$604,0)),"Not found"))</f>
        <v>0</v>
      </c>
      <c r="E17" s="17">
        <f>IF(B17="","",IFERROR(INDEX('Content Calendar'!$J$5:$J$604,MATCH(B17,'Content Calendar'!$A$5:$A$604,0)),"Not found"))</f>
        <v>0</v>
      </c>
      <c r="F17" s="29">
        <f>IF(B17="","",IFERROR(INDEX('Content Calendar'!$X$5:$X$604,MATCH(B17,'Content Calendar'!$A$5:$A$604,0)),"Not found"))</f>
        <v>0</v>
      </c>
      <c r="P17" s="23">
        <f>IF(B17="","",IF(COUNTIF(Performance!$B$5:$B$404,B17)=0,"",SUMIFS(Performance!$O$5:$O$404,Performance!$B$5:$B$404,B17)))</f>
        <v>0</v>
      </c>
      <c r="Q17" s="23">
        <f>IF(B17="","",IF(COUNTIF(Performance!$B$5:$B$404,B17)=0,"",SUMIFS(Performance!$P$5:$P$404,Performance!$B$5:$B$404,B17)))</f>
        <v>0</v>
      </c>
      <c r="R17" s="23">
        <f>IF(B17="","",IF(COUNTIF(Performance!$B$5:$B$404,B17)=0,"",SUMIFS(Performance!$Z$5:$Z$404,Performance!$B$5:$B$404,B17)))</f>
        <v>0</v>
      </c>
      <c r="S17" s="24">
        <f>IF(OR(P17="",P17=0),"",R17/P17)</f>
        <v>0</v>
      </c>
      <c r="T17" s="23">
        <f>IF(B17="","",IF(COUNTIF(Performance!$B$5:$B$404,B17)=0,"",SUMIFS(Performance!$T$5:$T$404,Performance!$B$5:$B$404,B17)))</f>
        <v>0</v>
      </c>
      <c r="U17" s="23">
        <f>IF(B17="","",IF(COUNTIF(Performance!$B$5:$B$404,B17)=0,"",SUMIFS(Performance!$S$5:$S$404,Performance!$B$5:$B$404,B17)))</f>
        <v>0</v>
      </c>
      <c r="V17" s="23">
        <f>IF(B17="","",IF(COUNTIF(Performance!$B$5:$B$404,B17)=0,"",SUMIFS(Performance!$R$5:$R$404,Performance!$B$5:$B$404,B17)))</f>
        <v>0</v>
      </c>
      <c r="W17" s="23">
        <f>IF(B17="","",IF(COUNTIF(Performance!$B$5:$B$404,B17)=0,"",SUMIFS(Performance!$U$5:$U$404,Performance!$B$5:$B$404,B17)))</f>
        <v>0</v>
      </c>
      <c r="X17" s="29">
        <f>IF(B17="","",IF(C17="Not found","Check - content ID not on the calendar",IF(AND(G17="Reel",J17=0),"Add - reel length missing",IF(K17="","Add - no cover image",IF(AND(P17&lt;&gt;"",S17&lt;TargetEngagement),"Review - below your target rate","OK")))))</f>
        <v>0</v>
      </c>
    </row>
    <row r="18" spans="1:24">
      <c r="A18" s="41">
        <f>IF(B18="","","IG-"&amp;TEXT(ROW()-4,"000"))</f>
        <v>0</v>
      </c>
      <c r="C18" s="17">
        <f>IF(B18="","",IFERROR(INDEX('Content Calendar'!$H$5:$H$604,MATCH(B18,'Content Calendar'!$A$5:$A$604,0)),"Not found"))</f>
        <v>0</v>
      </c>
      <c r="D18" s="16">
        <f>IF(B18="","",IFERROR(INDEX('Content Calendar'!$B$5:$B$604,MATCH(B18,'Content Calendar'!$A$5:$A$604,0)),"Not found"))</f>
        <v>0</v>
      </c>
      <c r="E18" s="17">
        <f>IF(B18="","",IFERROR(INDEX('Content Calendar'!$J$5:$J$604,MATCH(B18,'Content Calendar'!$A$5:$A$604,0)),"Not found"))</f>
        <v>0</v>
      </c>
      <c r="F18" s="29">
        <f>IF(B18="","",IFERROR(INDEX('Content Calendar'!$X$5:$X$604,MATCH(B18,'Content Calendar'!$A$5:$A$604,0)),"Not found"))</f>
        <v>0</v>
      </c>
      <c r="P18" s="23">
        <f>IF(B18="","",IF(COUNTIF(Performance!$B$5:$B$404,B18)=0,"",SUMIFS(Performance!$O$5:$O$404,Performance!$B$5:$B$404,B18)))</f>
        <v>0</v>
      </c>
      <c r="Q18" s="23">
        <f>IF(B18="","",IF(COUNTIF(Performance!$B$5:$B$404,B18)=0,"",SUMIFS(Performance!$P$5:$P$404,Performance!$B$5:$B$404,B18)))</f>
        <v>0</v>
      </c>
      <c r="R18" s="23">
        <f>IF(B18="","",IF(COUNTIF(Performance!$B$5:$B$404,B18)=0,"",SUMIFS(Performance!$Z$5:$Z$404,Performance!$B$5:$B$404,B18)))</f>
        <v>0</v>
      </c>
      <c r="S18" s="24">
        <f>IF(OR(P18="",P18=0),"",R18/P18)</f>
        <v>0</v>
      </c>
      <c r="T18" s="23">
        <f>IF(B18="","",IF(COUNTIF(Performance!$B$5:$B$404,B18)=0,"",SUMIFS(Performance!$T$5:$T$404,Performance!$B$5:$B$404,B18)))</f>
        <v>0</v>
      </c>
      <c r="U18" s="23">
        <f>IF(B18="","",IF(COUNTIF(Performance!$B$5:$B$404,B18)=0,"",SUMIFS(Performance!$S$5:$S$404,Performance!$B$5:$B$404,B18)))</f>
        <v>0</v>
      </c>
      <c r="V18" s="23">
        <f>IF(B18="","",IF(COUNTIF(Performance!$B$5:$B$404,B18)=0,"",SUMIFS(Performance!$R$5:$R$404,Performance!$B$5:$B$404,B18)))</f>
        <v>0</v>
      </c>
      <c r="W18" s="23">
        <f>IF(B18="","",IF(COUNTIF(Performance!$B$5:$B$404,B18)=0,"",SUMIFS(Performance!$U$5:$U$404,Performance!$B$5:$B$404,B18)))</f>
        <v>0</v>
      </c>
      <c r="X18" s="29">
        <f>IF(B18="","",IF(C18="Not found","Check - content ID not on the calendar",IF(AND(G18="Reel",J18=0),"Add - reel length missing",IF(K18="","Add - no cover image",IF(AND(P18&lt;&gt;"",S18&lt;TargetEngagement),"Review - below your target rate","OK")))))</f>
        <v>0</v>
      </c>
    </row>
    <row r="19" spans="1:24">
      <c r="A19" s="41">
        <f>IF(B19="","","IG-"&amp;TEXT(ROW()-4,"000"))</f>
        <v>0</v>
      </c>
      <c r="C19" s="17">
        <f>IF(B19="","",IFERROR(INDEX('Content Calendar'!$H$5:$H$604,MATCH(B19,'Content Calendar'!$A$5:$A$604,0)),"Not found"))</f>
        <v>0</v>
      </c>
      <c r="D19" s="16">
        <f>IF(B19="","",IFERROR(INDEX('Content Calendar'!$B$5:$B$604,MATCH(B19,'Content Calendar'!$A$5:$A$604,0)),"Not found"))</f>
        <v>0</v>
      </c>
      <c r="E19" s="17">
        <f>IF(B19="","",IFERROR(INDEX('Content Calendar'!$J$5:$J$604,MATCH(B19,'Content Calendar'!$A$5:$A$604,0)),"Not found"))</f>
        <v>0</v>
      </c>
      <c r="F19" s="29">
        <f>IF(B19="","",IFERROR(INDEX('Content Calendar'!$X$5:$X$604,MATCH(B19,'Content Calendar'!$A$5:$A$604,0)),"Not found"))</f>
        <v>0</v>
      </c>
      <c r="P19" s="23">
        <f>IF(B19="","",IF(COUNTIF(Performance!$B$5:$B$404,B19)=0,"",SUMIFS(Performance!$O$5:$O$404,Performance!$B$5:$B$404,B19)))</f>
        <v>0</v>
      </c>
      <c r="Q19" s="23">
        <f>IF(B19="","",IF(COUNTIF(Performance!$B$5:$B$404,B19)=0,"",SUMIFS(Performance!$P$5:$P$404,Performance!$B$5:$B$404,B19)))</f>
        <v>0</v>
      </c>
      <c r="R19" s="23">
        <f>IF(B19="","",IF(COUNTIF(Performance!$B$5:$B$404,B19)=0,"",SUMIFS(Performance!$Z$5:$Z$404,Performance!$B$5:$B$404,B19)))</f>
        <v>0</v>
      </c>
      <c r="S19" s="24">
        <f>IF(OR(P19="",P19=0),"",R19/P19)</f>
        <v>0</v>
      </c>
      <c r="T19" s="23">
        <f>IF(B19="","",IF(COUNTIF(Performance!$B$5:$B$404,B19)=0,"",SUMIFS(Performance!$T$5:$T$404,Performance!$B$5:$B$404,B19)))</f>
        <v>0</v>
      </c>
      <c r="U19" s="23">
        <f>IF(B19="","",IF(COUNTIF(Performance!$B$5:$B$404,B19)=0,"",SUMIFS(Performance!$S$5:$S$404,Performance!$B$5:$B$404,B19)))</f>
        <v>0</v>
      </c>
      <c r="V19" s="23">
        <f>IF(B19="","",IF(COUNTIF(Performance!$B$5:$B$404,B19)=0,"",SUMIFS(Performance!$R$5:$R$404,Performance!$B$5:$B$404,B19)))</f>
        <v>0</v>
      </c>
      <c r="W19" s="23">
        <f>IF(B19="","",IF(COUNTIF(Performance!$B$5:$B$404,B19)=0,"",SUMIFS(Performance!$U$5:$U$404,Performance!$B$5:$B$404,B19)))</f>
        <v>0</v>
      </c>
      <c r="X19" s="29">
        <f>IF(B19="","",IF(C19="Not found","Check - content ID not on the calendar",IF(AND(G19="Reel",J19=0),"Add - reel length missing",IF(K19="","Add - no cover image",IF(AND(P19&lt;&gt;"",S19&lt;TargetEngagement),"Review - below your target rate","OK")))))</f>
        <v>0</v>
      </c>
    </row>
    <row r="20" spans="1:24">
      <c r="A20" s="41">
        <f>IF(B20="","","IG-"&amp;TEXT(ROW()-4,"000"))</f>
        <v>0</v>
      </c>
      <c r="C20" s="17">
        <f>IF(B20="","",IFERROR(INDEX('Content Calendar'!$H$5:$H$604,MATCH(B20,'Content Calendar'!$A$5:$A$604,0)),"Not found"))</f>
        <v>0</v>
      </c>
      <c r="D20" s="16">
        <f>IF(B20="","",IFERROR(INDEX('Content Calendar'!$B$5:$B$604,MATCH(B20,'Content Calendar'!$A$5:$A$604,0)),"Not found"))</f>
        <v>0</v>
      </c>
      <c r="E20" s="17">
        <f>IF(B20="","",IFERROR(INDEX('Content Calendar'!$J$5:$J$604,MATCH(B20,'Content Calendar'!$A$5:$A$604,0)),"Not found"))</f>
        <v>0</v>
      </c>
      <c r="F20" s="29">
        <f>IF(B20="","",IFERROR(INDEX('Content Calendar'!$X$5:$X$604,MATCH(B20,'Content Calendar'!$A$5:$A$604,0)),"Not found"))</f>
        <v>0</v>
      </c>
      <c r="P20" s="23">
        <f>IF(B20="","",IF(COUNTIF(Performance!$B$5:$B$404,B20)=0,"",SUMIFS(Performance!$O$5:$O$404,Performance!$B$5:$B$404,B20)))</f>
        <v>0</v>
      </c>
      <c r="Q20" s="23">
        <f>IF(B20="","",IF(COUNTIF(Performance!$B$5:$B$404,B20)=0,"",SUMIFS(Performance!$P$5:$P$404,Performance!$B$5:$B$404,B20)))</f>
        <v>0</v>
      </c>
      <c r="R20" s="23">
        <f>IF(B20="","",IF(COUNTIF(Performance!$B$5:$B$404,B20)=0,"",SUMIFS(Performance!$Z$5:$Z$404,Performance!$B$5:$B$404,B20)))</f>
        <v>0</v>
      </c>
      <c r="S20" s="24">
        <f>IF(OR(P20="",P20=0),"",R20/P20)</f>
        <v>0</v>
      </c>
      <c r="T20" s="23">
        <f>IF(B20="","",IF(COUNTIF(Performance!$B$5:$B$404,B20)=0,"",SUMIFS(Performance!$T$5:$T$404,Performance!$B$5:$B$404,B20)))</f>
        <v>0</v>
      </c>
      <c r="U20" s="23">
        <f>IF(B20="","",IF(COUNTIF(Performance!$B$5:$B$404,B20)=0,"",SUMIFS(Performance!$S$5:$S$404,Performance!$B$5:$B$404,B20)))</f>
        <v>0</v>
      </c>
      <c r="V20" s="23">
        <f>IF(B20="","",IF(COUNTIF(Performance!$B$5:$B$404,B20)=0,"",SUMIFS(Performance!$R$5:$R$404,Performance!$B$5:$B$404,B20)))</f>
        <v>0</v>
      </c>
      <c r="W20" s="23">
        <f>IF(B20="","",IF(COUNTIF(Performance!$B$5:$B$404,B20)=0,"",SUMIFS(Performance!$U$5:$U$404,Performance!$B$5:$B$404,B20)))</f>
        <v>0</v>
      </c>
      <c r="X20" s="29">
        <f>IF(B20="","",IF(C20="Not found","Check - content ID not on the calendar",IF(AND(G20="Reel",J20=0),"Add - reel length missing",IF(K20="","Add - no cover image",IF(AND(P20&lt;&gt;"",S20&lt;TargetEngagement),"Review - below your target rate","OK")))))</f>
        <v>0</v>
      </c>
    </row>
    <row r="21" spans="1:24">
      <c r="A21" s="41">
        <f>IF(B21="","","IG-"&amp;TEXT(ROW()-4,"000"))</f>
        <v>0</v>
      </c>
      <c r="C21" s="17">
        <f>IF(B21="","",IFERROR(INDEX('Content Calendar'!$H$5:$H$604,MATCH(B21,'Content Calendar'!$A$5:$A$604,0)),"Not found"))</f>
        <v>0</v>
      </c>
      <c r="D21" s="16">
        <f>IF(B21="","",IFERROR(INDEX('Content Calendar'!$B$5:$B$604,MATCH(B21,'Content Calendar'!$A$5:$A$604,0)),"Not found"))</f>
        <v>0</v>
      </c>
      <c r="E21" s="17">
        <f>IF(B21="","",IFERROR(INDEX('Content Calendar'!$J$5:$J$604,MATCH(B21,'Content Calendar'!$A$5:$A$604,0)),"Not found"))</f>
        <v>0</v>
      </c>
      <c r="F21" s="29">
        <f>IF(B21="","",IFERROR(INDEX('Content Calendar'!$X$5:$X$604,MATCH(B21,'Content Calendar'!$A$5:$A$604,0)),"Not found"))</f>
        <v>0</v>
      </c>
      <c r="P21" s="23">
        <f>IF(B21="","",IF(COUNTIF(Performance!$B$5:$B$404,B21)=0,"",SUMIFS(Performance!$O$5:$O$404,Performance!$B$5:$B$404,B21)))</f>
        <v>0</v>
      </c>
      <c r="Q21" s="23">
        <f>IF(B21="","",IF(COUNTIF(Performance!$B$5:$B$404,B21)=0,"",SUMIFS(Performance!$P$5:$P$404,Performance!$B$5:$B$404,B21)))</f>
        <v>0</v>
      </c>
      <c r="R21" s="23">
        <f>IF(B21="","",IF(COUNTIF(Performance!$B$5:$B$404,B21)=0,"",SUMIFS(Performance!$Z$5:$Z$404,Performance!$B$5:$B$404,B21)))</f>
        <v>0</v>
      </c>
      <c r="S21" s="24">
        <f>IF(OR(P21="",P21=0),"",R21/P21)</f>
        <v>0</v>
      </c>
      <c r="T21" s="23">
        <f>IF(B21="","",IF(COUNTIF(Performance!$B$5:$B$404,B21)=0,"",SUMIFS(Performance!$T$5:$T$404,Performance!$B$5:$B$404,B21)))</f>
        <v>0</v>
      </c>
      <c r="U21" s="23">
        <f>IF(B21="","",IF(COUNTIF(Performance!$B$5:$B$404,B21)=0,"",SUMIFS(Performance!$S$5:$S$404,Performance!$B$5:$B$404,B21)))</f>
        <v>0</v>
      </c>
      <c r="V21" s="23">
        <f>IF(B21="","",IF(COUNTIF(Performance!$B$5:$B$404,B21)=0,"",SUMIFS(Performance!$R$5:$R$404,Performance!$B$5:$B$404,B21)))</f>
        <v>0</v>
      </c>
      <c r="W21" s="23">
        <f>IF(B21="","",IF(COUNTIF(Performance!$B$5:$B$404,B21)=0,"",SUMIFS(Performance!$U$5:$U$404,Performance!$B$5:$B$404,B21)))</f>
        <v>0</v>
      </c>
      <c r="X21" s="29">
        <f>IF(B21="","",IF(C21="Not found","Check - content ID not on the calendar",IF(AND(G21="Reel",J21=0),"Add - reel length missing",IF(K21="","Add - no cover image",IF(AND(P21&lt;&gt;"",S21&lt;TargetEngagement),"Review - below your target rate","OK")))))</f>
        <v>0</v>
      </c>
    </row>
    <row r="22" spans="1:24">
      <c r="A22" s="41">
        <f>IF(B22="","","IG-"&amp;TEXT(ROW()-4,"000"))</f>
        <v>0</v>
      </c>
      <c r="C22" s="17">
        <f>IF(B22="","",IFERROR(INDEX('Content Calendar'!$H$5:$H$604,MATCH(B22,'Content Calendar'!$A$5:$A$604,0)),"Not found"))</f>
        <v>0</v>
      </c>
      <c r="D22" s="16">
        <f>IF(B22="","",IFERROR(INDEX('Content Calendar'!$B$5:$B$604,MATCH(B22,'Content Calendar'!$A$5:$A$604,0)),"Not found"))</f>
        <v>0</v>
      </c>
      <c r="E22" s="17">
        <f>IF(B22="","",IFERROR(INDEX('Content Calendar'!$J$5:$J$604,MATCH(B22,'Content Calendar'!$A$5:$A$604,0)),"Not found"))</f>
        <v>0</v>
      </c>
      <c r="F22" s="29">
        <f>IF(B22="","",IFERROR(INDEX('Content Calendar'!$X$5:$X$604,MATCH(B22,'Content Calendar'!$A$5:$A$604,0)),"Not found"))</f>
        <v>0</v>
      </c>
      <c r="P22" s="23">
        <f>IF(B22="","",IF(COUNTIF(Performance!$B$5:$B$404,B22)=0,"",SUMIFS(Performance!$O$5:$O$404,Performance!$B$5:$B$404,B22)))</f>
        <v>0</v>
      </c>
      <c r="Q22" s="23">
        <f>IF(B22="","",IF(COUNTIF(Performance!$B$5:$B$404,B22)=0,"",SUMIFS(Performance!$P$5:$P$404,Performance!$B$5:$B$404,B22)))</f>
        <v>0</v>
      </c>
      <c r="R22" s="23">
        <f>IF(B22="","",IF(COUNTIF(Performance!$B$5:$B$404,B22)=0,"",SUMIFS(Performance!$Z$5:$Z$404,Performance!$B$5:$B$404,B22)))</f>
        <v>0</v>
      </c>
      <c r="S22" s="24">
        <f>IF(OR(P22="",P22=0),"",R22/P22)</f>
        <v>0</v>
      </c>
      <c r="T22" s="23">
        <f>IF(B22="","",IF(COUNTIF(Performance!$B$5:$B$404,B22)=0,"",SUMIFS(Performance!$T$5:$T$404,Performance!$B$5:$B$404,B22)))</f>
        <v>0</v>
      </c>
      <c r="U22" s="23">
        <f>IF(B22="","",IF(COUNTIF(Performance!$B$5:$B$404,B22)=0,"",SUMIFS(Performance!$S$5:$S$404,Performance!$B$5:$B$404,B22)))</f>
        <v>0</v>
      </c>
      <c r="V22" s="23">
        <f>IF(B22="","",IF(COUNTIF(Performance!$B$5:$B$404,B22)=0,"",SUMIFS(Performance!$R$5:$R$404,Performance!$B$5:$B$404,B22)))</f>
        <v>0</v>
      </c>
      <c r="W22" s="23">
        <f>IF(B22="","",IF(COUNTIF(Performance!$B$5:$B$404,B22)=0,"",SUMIFS(Performance!$U$5:$U$404,Performance!$B$5:$B$404,B22)))</f>
        <v>0</v>
      </c>
      <c r="X22" s="29">
        <f>IF(B22="","",IF(C22="Not found","Check - content ID not on the calendar",IF(AND(G22="Reel",J22=0),"Add - reel length missing",IF(K22="","Add - no cover image",IF(AND(P22&lt;&gt;"",S22&lt;TargetEngagement),"Review - below your target rate","OK")))))</f>
        <v>0</v>
      </c>
    </row>
    <row r="23" spans="1:24">
      <c r="A23" s="41">
        <f>IF(B23="","","IG-"&amp;TEXT(ROW()-4,"000"))</f>
        <v>0</v>
      </c>
      <c r="C23" s="17">
        <f>IF(B23="","",IFERROR(INDEX('Content Calendar'!$H$5:$H$604,MATCH(B23,'Content Calendar'!$A$5:$A$604,0)),"Not found"))</f>
        <v>0</v>
      </c>
      <c r="D23" s="16">
        <f>IF(B23="","",IFERROR(INDEX('Content Calendar'!$B$5:$B$604,MATCH(B23,'Content Calendar'!$A$5:$A$604,0)),"Not found"))</f>
        <v>0</v>
      </c>
      <c r="E23" s="17">
        <f>IF(B23="","",IFERROR(INDEX('Content Calendar'!$J$5:$J$604,MATCH(B23,'Content Calendar'!$A$5:$A$604,0)),"Not found"))</f>
        <v>0</v>
      </c>
      <c r="F23" s="29">
        <f>IF(B23="","",IFERROR(INDEX('Content Calendar'!$X$5:$X$604,MATCH(B23,'Content Calendar'!$A$5:$A$604,0)),"Not found"))</f>
        <v>0</v>
      </c>
      <c r="P23" s="23">
        <f>IF(B23="","",IF(COUNTIF(Performance!$B$5:$B$404,B23)=0,"",SUMIFS(Performance!$O$5:$O$404,Performance!$B$5:$B$404,B23)))</f>
        <v>0</v>
      </c>
      <c r="Q23" s="23">
        <f>IF(B23="","",IF(COUNTIF(Performance!$B$5:$B$404,B23)=0,"",SUMIFS(Performance!$P$5:$P$404,Performance!$B$5:$B$404,B23)))</f>
        <v>0</v>
      </c>
      <c r="R23" s="23">
        <f>IF(B23="","",IF(COUNTIF(Performance!$B$5:$B$404,B23)=0,"",SUMIFS(Performance!$Z$5:$Z$404,Performance!$B$5:$B$404,B23)))</f>
        <v>0</v>
      </c>
      <c r="S23" s="24">
        <f>IF(OR(P23="",P23=0),"",R23/P23)</f>
        <v>0</v>
      </c>
      <c r="T23" s="23">
        <f>IF(B23="","",IF(COUNTIF(Performance!$B$5:$B$404,B23)=0,"",SUMIFS(Performance!$T$5:$T$404,Performance!$B$5:$B$404,B23)))</f>
        <v>0</v>
      </c>
      <c r="U23" s="23">
        <f>IF(B23="","",IF(COUNTIF(Performance!$B$5:$B$404,B23)=0,"",SUMIFS(Performance!$S$5:$S$404,Performance!$B$5:$B$404,B23)))</f>
        <v>0</v>
      </c>
      <c r="V23" s="23">
        <f>IF(B23="","",IF(COUNTIF(Performance!$B$5:$B$404,B23)=0,"",SUMIFS(Performance!$R$5:$R$404,Performance!$B$5:$B$404,B23)))</f>
        <v>0</v>
      </c>
      <c r="W23" s="23">
        <f>IF(B23="","",IF(COUNTIF(Performance!$B$5:$B$404,B23)=0,"",SUMIFS(Performance!$U$5:$U$404,Performance!$B$5:$B$404,B23)))</f>
        <v>0</v>
      </c>
      <c r="X23" s="29">
        <f>IF(B23="","",IF(C23="Not found","Check - content ID not on the calendar",IF(AND(G23="Reel",J23=0),"Add - reel length missing",IF(K23="","Add - no cover image",IF(AND(P23&lt;&gt;"",S23&lt;TargetEngagement),"Review - below your target rate","OK")))))</f>
        <v>0</v>
      </c>
    </row>
    <row r="24" spans="1:24">
      <c r="A24" s="41">
        <f>IF(B24="","","IG-"&amp;TEXT(ROW()-4,"000"))</f>
        <v>0</v>
      </c>
      <c r="C24" s="17">
        <f>IF(B24="","",IFERROR(INDEX('Content Calendar'!$H$5:$H$604,MATCH(B24,'Content Calendar'!$A$5:$A$604,0)),"Not found"))</f>
        <v>0</v>
      </c>
      <c r="D24" s="16">
        <f>IF(B24="","",IFERROR(INDEX('Content Calendar'!$B$5:$B$604,MATCH(B24,'Content Calendar'!$A$5:$A$604,0)),"Not found"))</f>
        <v>0</v>
      </c>
      <c r="E24" s="17">
        <f>IF(B24="","",IFERROR(INDEX('Content Calendar'!$J$5:$J$604,MATCH(B24,'Content Calendar'!$A$5:$A$604,0)),"Not found"))</f>
        <v>0</v>
      </c>
      <c r="F24" s="29">
        <f>IF(B24="","",IFERROR(INDEX('Content Calendar'!$X$5:$X$604,MATCH(B24,'Content Calendar'!$A$5:$A$604,0)),"Not found"))</f>
        <v>0</v>
      </c>
      <c r="P24" s="23">
        <f>IF(B24="","",IF(COUNTIF(Performance!$B$5:$B$404,B24)=0,"",SUMIFS(Performance!$O$5:$O$404,Performance!$B$5:$B$404,B24)))</f>
        <v>0</v>
      </c>
      <c r="Q24" s="23">
        <f>IF(B24="","",IF(COUNTIF(Performance!$B$5:$B$404,B24)=0,"",SUMIFS(Performance!$P$5:$P$404,Performance!$B$5:$B$404,B24)))</f>
        <v>0</v>
      </c>
      <c r="R24" s="23">
        <f>IF(B24="","",IF(COUNTIF(Performance!$B$5:$B$404,B24)=0,"",SUMIFS(Performance!$Z$5:$Z$404,Performance!$B$5:$B$404,B24)))</f>
        <v>0</v>
      </c>
      <c r="S24" s="24">
        <f>IF(OR(P24="",P24=0),"",R24/P24)</f>
        <v>0</v>
      </c>
      <c r="T24" s="23">
        <f>IF(B24="","",IF(COUNTIF(Performance!$B$5:$B$404,B24)=0,"",SUMIFS(Performance!$T$5:$T$404,Performance!$B$5:$B$404,B24)))</f>
        <v>0</v>
      </c>
      <c r="U24" s="23">
        <f>IF(B24="","",IF(COUNTIF(Performance!$B$5:$B$404,B24)=0,"",SUMIFS(Performance!$S$5:$S$404,Performance!$B$5:$B$404,B24)))</f>
        <v>0</v>
      </c>
      <c r="V24" s="23">
        <f>IF(B24="","",IF(COUNTIF(Performance!$B$5:$B$404,B24)=0,"",SUMIFS(Performance!$R$5:$R$404,Performance!$B$5:$B$404,B24)))</f>
        <v>0</v>
      </c>
      <c r="W24" s="23">
        <f>IF(B24="","",IF(COUNTIF(Performance!$B$5:$B$404,B24)=0,"",SUMIFS(Performance!$U$5:$U$404,Performance!$B$5:$B$404,B24)))</f>
        <v>0</v>
      </c>
      <c r="X24" s="29">
        <f>IF(B24="","",IF(C24="Not found","Check - content ID not on the calendar",IF(AND(G24="Reel",J24=0),"Add - reel length missing",IF(K24="","Add - no cover image",IF(AND(P24&lt;&gt;"",S24&lt;TargetEngagement),"Review - below your target rate","OK")))))</f>
        <v>0</v>
      </c>
    </row>
    <row r="25" spans="1:24">
      <c r="A25" s="41">
        <f>IF(B25="","","IG-"&amp;TEXT(ROW()-4,"000"))</f>
        <v>0</v>
      </c>
      <c r="C25" s="17">
        <f>IF(B25="","",IFERROR(INDEX('Content Calendar'!$H$5:$H$604,MATCH(B25,'Content Calendar'!$A$5:$A$604,0)),"Not found"))</f>
        <v>0</v>
      </c>
      <c r="D25" s="16">
        <f>IF(B25="","",IFERROR(INDEX('Content Calendar'!$B$5:$B$604,MATCH(B25,'Content Calendar'!$A$5:$A$604,0)),"Not found"))</f>
        <v>0</v>
      </c>
      <c r="E25" s="17">
        <f>IF(B25="","",IFERROR(INDEX('Content Calendar'!$J$5:$J$604,MATCH(B25,'Content Calendar'!$A$5:$A$604,0)),"Not found"))</f>
        <v>0</v>
      </c>
      <c r="F25" s="29">
        <f>IF(B25="","",IFERROR(INDEX('Content Calendar'!$X$5:$X$604,MATCH(B25,'Content Calendar'!$A$5:$A$604,0)),"Not found"))</f>
        <v>0</v>
      </c>
      <c r="P25" s="23">
        <f>IF(B25="","",IF(COUNTIF(Performance!$B$5:$B$404,B25)=0,"",SUMIFS(Performance!$O$5:$O$404,Performance!$B$5:$B$404,B25)))</f>
        <v>0</v>
      </c>
      <c r="Q25" s="23">
        <f>IF(B25="","",IF(COUNTIF(Performance!$B$5:$B$404,B25)=0,"",SUMIFS(Performance!$P$5:$P$404,Performance!$B$5:$B$404,B25)))</f>
        <v>0</v>
      </c>
      <c r="R25" s="23">
        <f>IF(B25="","",IF(COUNTIF(Performance!$B$5:$B$404,B25)=0,"",SUMIFS(Performance!$Z$5:$Z$404,Performance!$B$5:$B$404,B25)))</f>
        <v>0</v>
      </c>
      <c r="S25" s="24">
        <f>IF(OR(P25="",P25=0),"",R25/P25)</f>
        <v>0</v>
      </c>
      <c r="T25" s="23">
        <f>IF(B25="","",IF(COUNTIF(Performance!$B$5:$B$404,B25)=0,"",SUMIFS(Performance!$T$5:$T$404,Performance!$B$5:$B$404,B25)))</f>
        <v>0</v>
      </c>
      <c r="U25" s="23">
        <f>IF(B25="","",IF(COUNTIF(Performance!$B$5:$B$404,B25)=0,"",SUMIFS(Performance!$S$5:$S$404,Performance!$B$5:$B$404,B25)))</f>
        <v>0</v>
      </c>
      <c r="V25" s="23">
        <f>IF(B25="","",IF(COUNTIF(Performance!$B$5:$B$404,B25)=0,"",SUMIFS(Performance!$R$5:$R$404,Performance!$B$5:$B$404,B25)))</f>
        <v>0</v>
      </c>
      <c r="W25" s="23">
        <f>IF(B25="","",IF(COUNTIF(Performance!$B$5:$B$404,B25)=0,"",SUMIFS(Performance!$U$5:$U$404,Performance!$B$5:$B$404,B25)))</f>
        <v>0</v>
      </c>
      <c r="X25" s="29">
        <f>IF(B25="","",IF(C25="Not found","Check - content ID not on the calendar",IF(AND(G25="Reel",J25=0),"Add - reel length missing",IF(K25="","Add - no cover image",IF(AND(P25&lt;&gt;"",S25&lt;TargetEngagement),"Review - below your target rate","OK")))))</f>
        <v>0</v>
      </c>
    </row>
    <row r="26" spans="1:24">
      <c r="A26" s="41">
        <f>IF(B26="","","IG-"&amp;TEXT(ROW()-4,"000"))</f>
        <v>0</v>
      </c>
      <c r="C26" s="17">
        <f>IF(B26="","",IFERROR(INDEX('Content Calendar'!$H$5:$H$604,MATCH(B26,'Content Calendar'!$A$5:$A$604,0)),"Not found"))</f>
        <v>0</v>
      </c>
      <c r="D26" s="16">
        <f>IF(B26="","",IFERROR(INDEX('Content Calendar'!$B$5:$B$604,MATCH(B26,'Content Calendar'!$A$5:$A$604,0)),"Not found"))</f>
        <v>0</v>
      </c>
      <c r="E26" s="17">
        <f>IF(B26="","",IFERROR(INDEX('Content Calendar'!$J$5:$J$604,MATCH(B26,'Content Calendar'!$A$5:$A$604,0)),"Not found"))</f>
        <v>0</v>
      </c>
      <c r="F26" s="29">
        <f>IF(B26="","",IFERROR(INDEX('Content Calendar'!$X$5:$X$604,MATCH(B26,'Content Calendar'!$A$5:$A$604,0)),"Not found"))</f>
        <v>0</v>
      </c>
      <c r="P26" s="23">
        <f>IF(B26="","",IF(COUNTIF(Performance!$B$5:$B$404,B26)=0,"",SUMIFS(Performance!$O$5:$O$404,Performance!$B$5:$B$404,B26)))</f>
        <v>0</v>
      </c>
      <c r="Q26" s="23">
        <f>IF(B26="","",IF(COUNTIF(Performance!$B$5:$B$404,B26)=0,"",SUMIFS(Performance!$P$5:$P$404,Performance!$B$5:$B$404,B26)))</f>
        <v>0</v>
      </c>
      <c r="R26" s="23">
        <f>IF(B26="","",IF(COUNTIF(Performance!$B$5:$B$404,B26)=0,"",SUMIFS(Performance!$Z$5:$Z$404,Performance!$B$5:$B$404,B26)))</f>
        <v>0</v>
      </c>
      <c r="S26" s="24">
        <f>IF(OR(P26="",P26=0),"",R26/P26)</f>
        <v>0</v>
      </c>
      <c r="T26" s="23">
        <f>IF(B26="","",IF(COUNTIF(Performance!$B$5:$B$404,B26)=0,"",SUMIFS(Performance!$T$5:$T$404,Performance!$B$5:$B$404,B26)))</f>
        <v>0</v>
      </c>
      <c r="U26" s="23">
        <f>IF(B26="","",IF(COUNTIF(Performance!$B$5:$B$404,B26)=0,"",SUMIFS(Performance!$S$5:$S$404,Performance!$B$5:$B$404,B26)))</f>
        <v>0</v>
      </c>
      <c r="V26" s="23">
        <f>IF(B26="","",IF(COUNTIF(Performance!$B$5:$B$404,B26)=0,"",SUMIFS(Performance!$R$5:$R$404,Performance!$B$5:$B$404,B26)))</f>
        <v>0</v>
      </c>
      <c r="W26" s="23">
        <f>IF(B26="","",IF(COUNTIF(Performance!$B$5:$B$404,B26)=0,"",SUMIFS(Performance!$U$5:$U$404,Performance!$B$5:$B$404,B26)))</f>
        <v>0</v>
      </c>
      <c r="X26" s="29">
        <f>IF(B26="","",IF(C26="Not found","Check - content ID not on the calendar",IF(AND(G26="Reel",J26=0),"Add - reel length missing",IF(K26="","Add - no cover image",IF(AND(P26&lt;&gt;"",S26&lt;TargetEngagement),"Review - below your target rate","OK")))))</f>
        <v>0</v>
      </c>
    </row>
    <row r="27" spans="1:24">
      <c r="A27" s="41">
        <f>IF(B27="","","IG-"&amp;TEXT(ROW()-4,"000"))</f>
        <v>0</v>
      </c>
      <c r="C27" s="17">
        <f>IF(B27="","",IFERROR(INDEX('Content Calendar'!$H$5:$H$604,MATCH(B27,'Content Calendar'!$A$5:$A$604,0)),"Not found"))</f>
        <v>0</v>
      </c>
      <c r="D27" s="16">
        <f>IF(B27="","",IFERROR(INDEX('Content Calendar'!$B$5:$B$604,MATCH(B27,'Content Calendar'!$A$5:$A$604,0)),"Not found"))</f>
        <v>0</v>
      </c>
      <c r="E27" s="17">
        <f>IF(B27="","",IFERROR(INDEX('Content Calendar'!$J$5:$J$604,MATCH(B27,'Content Calendar'!$A$5:$A$604,0)),"Not found"))</f>
        <v>0</v>
      </c>
      <c r="F27" s="29">
        <f>IF(B27="","",IFERROR(INDEX('Content Calendar'!$X$5:$X$604,MATCH(B27,'Content Calendar'!$A$5:$A$604,0)),"Not found"))</f>
        <v>0</v>
      </c>
      <c r="P27" s="23">
        <f>IF(B27="","",IF(COUNTIF(Performance!$B$5:$B$404,B27)=0,"",SUMIFS(Performance!$O$5:$O$404,Performance!$B$5:$B$404,B27)))</f>
        <v>0</v>
      </c>
      <c r="Q27" s="23">
        <f>IF(B27="","",IF(COUNTIF(Performance!$B$5:$B$404,B27)=0,"",SUMIFS(Performance!$P$5:$P$404,Performance!$B$5:$B$404,B27)))</f>
        <v>0</v>
      </c>
      <c r="R27" s="23">
        <f>IF(B27="","",IF(COUNTIF(Performance!$B$5:$B$404,B27)=0,"",SUMIFS(Performance!$Z$5:$Z$404,Performance!$B$5:$B$404,B27)))</f>
        <v>0</v>
      </c>
      <c r="S27" s="24">
        <f>IF(OR(P27="",P27=0),"",R27/P27)</f>
        <v>0</v>
      </c>
      <c r="T27" s="23">
        <f>IF(B27="","",IF(COUNTIF(Performance!$B$5:$B$404,B27)=0,"",SUMIFS(Performance!$T$5:$T$404,Performance!$B$5:$B$404,B27)))</f>
        <v>0</v>
      </c>
      <c r="U27" s="23">
        <f>IF(B27="","",IF(COUNTIF(Performance!$B$5:$B$404,B27)=0,"",SUMIFS(Performance!$S$5:$S$404,Performance!$B$5:$B$404,B27)))</f>
        <v>0</v>
      </c>
      <c r="V27" s="23">
        <f>IF(B27="","",IF(COUNTIF(Performance!$B$5:$B$404,B27)=0,"",SUMIFS(Performance!$R$5:$R$404,Performance!$B$5:$B$404,B27)))</f>
        <v>0</v>
      </c>
      <c r="W27" s="23">
        <f>IF(B27="","",IF(COUNTIF(Performance!$B$5:$B$404,B27)=0,"",SUMIFS(Performance!$U$5:$U$404,Performance!$B$5:$B$404,B27)))</f>
        <v>0</v>
      </c>
      <c r="X27" s="29">
        <f>IF(B27="","",IF(C27="Not found","Check - content ID not on the calendar",IF(AND(G27="Reel",J27=0),"Add - reel length missing",IF(K27="","Add - no cover image",IF(AND(P27&lt;&gt;"",S27&lt;TargetEngagement),"Review - below your target rate","OK")))))</f>
        <v>0</v>
      </c>
    </row>
    <row r="28" spans="1:24">
      <c r="A28" s="41">
        <f>IF(B28="","","IG-"&amp;TEXT(ROW()-4,"000"))</f>
        <v>0</v>
      </c>
      <c r="C28" s="17">
        <f>IF(B28="","",IFERROR(INDEX('Content Calendar'!$H$5:$H$604,MATCH(B28,'Content Calendar'!$A$5:$A$604,0)),"Not found"))</f>
        <v>0</v>
      </c>
      <c r="D28" s="16">
        <f>IF(B28="","",IFERROR(INDEX('Content Calendar'!$B$5:$B$604,MATCH(B28,'Content Calendar'!$A$5:$A$604,0)),"Not found"))</f>
        <v>0</v>
      </c>
      <c r="E28" s="17">
        <f>IF(B28="","",IFERROR(INDEX('Content Calendar'!$J$5:$J$604,MATCH(B28,'Content Calendar'!$A$5:$A$604,0)),"Not found"))</f>
        <v>0</v>
      </c>
      <c r="F28" s="29">
        <f>IF(B28="","",IFERROR(INDEX('Content Calendar'!$X$5:$X$604,MATCH(B28,'Content Calendar'!$A$5:$A$604,0)),"Not found"))</f>
        <v>0</v>
      </c>
      <c r="P28" s="23">
        <f>IF(B28="","",IF(COUNTIF(Performance!$B$5:$B$404,B28)=0,"",SUMIFS(Performance!$O$5:$O$404,Performance!$B$5:$B$404,B28)))</f>
        <v>0</v>
      </c>
      <c r="Q28" s="23">
        <f>IF(B28="","",IF(COUNTIF(Performance!$B$5:$B$404,B28)=0,"",SUMIFS(Performance!$P$5:$P$404,Performance!$B$5:$B$404,B28)))</f>
        <v>0</v>
      </c>
      <c r="R28" s="23">
        <f>IF(B28="","",IF(COUNTIF(Performance!$B$5:$B$404,B28)=0,"",SUMIFS(Performance!$Z$5:$Z$404,Performance!$B$5:$B$404,B28)))</f>
        <v>0</v>
      </c>
      <c r="S28" s="24">
        <f>IF(OR(P28="",P28=0),"",R28/P28)</f>
        <v>0</v>
      </c>
      <c r="T28" s="23">
        <f>IF(B28="","",IF(COUNTIF(Performance!$B$5:$B$404,B28)=0,"",SUMIFS(Performance!$T$5:$T$404,Performance!$B$5:$B$404,B28)))</f>
        <v>0</v>
      </c>
      <c r="U28" s="23">
        <f>IF(B28="","",IF(COUNTIF(Performance!$B$5:$B$404,B28)=0,"",SUMIFS(Performance!$S$5:$S$404,Performance!$B$5:$B$404,B28)))</f>
        <v>0</v>
      </c>
      <c r="V28" s="23">
        <f>IF(B28="","",IF(COUNTIF(Performance!$B$5:$B$404,B28)=0,"",SUMIFS(Performance!$R$5:$R$404,Performance!$B$5:$B$404,B28)))</f>
        <v>0</v>
      </c>
      <c r="W28" s="23">
        <f>IF(B28="","",IF(COUNTIF(Performance!$B$5:$B$404,B28)=0,"",SUMIFS(Performance!$U$5:$U$404,Performance!$B$5:$B$404,B28)))</f>
        <v>0</v>
      </c>
      <c r="X28" s="29">
        <f>IF(B28="","",IF(C28="Not found","Check - content ID not on the calendar",IF(AND(G28="Reel",J28=0),"Add - reel length missing",IF(K28="","Add - no cover image",IF(AND(P28&lt;&gt;"",S28&lt;TargetEngagement),"Review - below your target rate","OK")))))</f>
        <v>0</v>
      </c>
    </row>
    <row r="29" spans="1:24">
      <c r="A29" s="41">
        <f>IF(B29="","","IG-"&amp;TEXT(ROW()-4,"000"))</f>
        <v>0</v>
      </c>
      <c r="C29" s="17">
        <f>IF(B29="","",IFERROR(INDEX('Content Calendar'!$H$5:$H$604,MATCH(B29,'Content Calendar'!$A$5:$A$604,0)),"Not found"))</f>
        <v>0</v>
      </c>
      <c r="D29" s="16">
        <f>IF(B29="","",IFERROR(INDEX('Content Calendar'!$B$5:$B$604,MATCH(B29,'Content Calendar'!$A$5:$A$604,0)),"Not found"))</f>
        <v>0</v>
      </c>
      <c r="E29" s="17">
        <f>IF(B29="","",IFERROR(INDEX('Content Calendar'!$J$5:$J$604,MATCH(B29,'Content Calendar'!$A$5:$A$604,0)),"Not found"))</f>
        <v>0</v>
      </c>
      <c r="F29" s="29">
        <f>IF(B29="","",IFERROR(INDEX('Content Calendar'!$X$5:$X$604,MATCH(B29,'Content Calendar'!$A$5:$A$604,0)),"Not found"))</f>
        <v>0</v>
      </c>
      <c r="P29" s="23">
        <f>IF(B29="","",IF(COUNTIF(Performance!$B$5:$B$404,B29)=0,"",SUMIFS(Performance!$O$5:$O$404,Performance!$B$5:$B$404,B29)))</f>
        <v>0</v>
      </c>
      <c r="Q29" s="23">
        <f>IF(B29="","",IF(COUNTIF(Performance!$B$5:$B$404,B29)=0,"",SUMIFS(Performance!$P$5:$P$404,Performance!$B$5:$B$404,B29)))</f>
        <v>0</v>
      </c>
      <c r="R29" s="23">
        <f>IF(B29="","",IF(COUNTIF(Performance!$B$5:$B$404,B29)=0,"",SUMIFS(Performance!$Z$5:$Z$404,Performance!$B$5:$B$404,B29)))</f>
        <v>0</v>
      </c>
      <c r="S29" s="24">
        <f>IF(OR(P29="",P29=0),"",R29/P29)</f>
        <v>0</v>
      </c>
      <c r="T29" s="23">
        <f>IF(B29="","",IF(COUNTIF(Performance!$B$5:$B$404,B29)=0,"",SUMIFS(Performance!$T$5:$T$404,Performance!$B$5:$B$404,B29)))</f>
        <v>0</v>
      </c>
      <c r="U29" s="23">
        <f>IF(B29="","",IF(COUNTIF(Performance!$B$5:$B$404,B29)=0,"",SUMIFS(Performance!$S$5:$S$404,Performance!$B$5:$B$404,B29)))</f>
        <v>0</v>
      </c>
      <c r="V29" s="23">
        <f>IF(B29="","",IF(COUNTIF(Performance!$B$5:$B$404,B29)=0,"",SUMIFS(Performance!$R$5:$R$404,Performance!$B$5:$B$404,B29)))</f>
        <v>0</v>
      </c>
      <c r="W29" s="23">
        <f>IF(B29="","",IF(COUNTIF(Performance!$B$5:$B$404,B29)=0,"",SUMIFS(Performance!$U$5:$U$404,Performance!$B$5:$B$404,B29)))</f>
        <v>0</v>
      </c>
      <c r="X29" s="29">
        <f>IF(B29="","",IF(C29="Not found","Check - content ID not on the calendar",IF(AND(G29="Reel",J29=0),"Add - reel length missing",IF(K29="","Add - no cover image",IF(AND(P29&lt;&gt;"",S29&lt;TargetEngagement),"Review - below your target rate","OK")))))</f>
        <v>0</v>
      </c>
    </row>
    <row r="30" spans="1:24">
      <c r="A30" s="41">
        <f>IF(B30="","","IG-"&amp;TEXT(ROW()-4,"000"))</f>
        <v>0</v>
      </c>
      <c r="C30" s="17">
        <f>IF(B30="","",IFERROR(INDEX('Content Calendar'!$H$5:$H$604,MATCH(B30,'Content Calendar'!$A$5:$A$604,0)),"Not found"))</f>
        <v>0</v>
      </c>
      <c r="D30" s="16">
        <f>IF(B30="","",IFERROR(INDEX('Content Calendar'!$B$5:$B$604,MATCH(B30,'Content Calendar'!$A$5:$A$604,0)),"Not found"))</f>
        <v>0</v>
      </c>
      <c r="E30" s="17">
        <f>IF(B30="","",IFERROR(INDEX('Content Calendar'!$J$5:$J$604,MATCH(B30,'Content Calendar'!$A$5:$A$604,0)),"Not found"))</f>
        <v>0</v>
      </c>
      <c r="F30" s="29">
        <f>IF(B30="","",IFERROR(INDEX('Content Calendar'!$X$5:$X$604,MATCH(B30,'Content Calendar'!$A$5:$A$604,0)),"Not found"))</f>
        <v>0</v>
      </c>
      <c r="P30" s="23">
        <f>IF(B30="","",IF(COUNTIF(Performance!$B$5:$B$404,B30)=0,"",SUMIFS(Performance!$O$5:$O$404,Performance!$B$5:$B$404,B30)))</f>
        <v>0</v>
      </c>
      <c r="Q30" s="23">
        <f>IF(B30="","",IF(COUNTIF(Performance!$B$5:$B$404,B30)=0,"",SUMIFS(Performance!$P$5:$P$404,Performance!$B$5:$B$404,B30)))</f>
        <v>0</v>
      </c>
      <c r="R30" s="23">
        <f>IF(B30="","",IF(COUNTIF(Performance!$B$5:$B$404,B30)=0,"",SUMIFS(Performance!$Z$5:$Z$404,Performance!$B$5:$B$404,B30)))</f>
        <v>0</v>
      </c>
      <c r="S30" s="24">
        <f>IF(OR(P30="",P30=0),"",R30/P30)</f>
        <v>0</v>
      </c>
      <c r="T30" s="23">
        <f>IF(B30="","",IF(COUNTIF(Performance!$B$5:$B$404,B30)=0,"",SUMIFS(Performance!$T$5:$T$404,Performance!$B$5:$B$404,B30)))</f>
        <v>0</v>
      </c>
      <c r="U30" s="23">
        <f>IF(B30="","",IF(COUNTIF(Performance!$B$5:$B$404,B30)=0,"",SUMIFS(Performance!$S$5:$S$404,Performance!$B$5:$B$404,B30)))</f>
        <v>0</v>
      </c>
      <c r="V30" s="23">
        <f>IF(B30="","",IF(COUNTIF(Performance!$B$5:$B$404,B30)=0,"",SUMIFS(Performance!$R$5:$R$404,Performance!$B$5:$B$404,B30)))</f>
        <v>0</v>
      </c>
      <c r="W30" s="23">
        <f>IF(B30="","",IF(COUNTIF(Performance!$B$5:$B$404,B30)=0,"",SUMIFS(Performance!$U$5:$U$404,Performance!$B$5:$B$404,B30)))</f>
        <v>0</v>
      </c>
      <c r="X30" s="29">
        <f>IF(B30="","",IF(C30="Not found","Check - content ID not on the calendar",IF(AND(G30="Reel",J30=0),"Add - reel length missing",IF(K30="","Add - no cover image",IF(AND(P30&lt;&gt;"",S30&lt;TargetEngagement),"Review - below your target rate","OK")))))</f>
        <v>0</v>
      </c>
    </row>
    <row r="31" spans="1:24">
      <c r="A31" s="41">
        <f>IF(B31="","","IG-"&amp;TEXT(ROW()-4,"000"))</f>
        <v>0</v>
      </c>
      <c r="C31" s="17">
        <f>IF(B31="","",IFERROR(INDEX('Content Calendar'!$H$5:$H$604,MATCH(B31,'Content Calendar'!$A$5:$A$604,0)),"Not found"))</f>
        <v>0</v>
      </c>
      <c r="D31" s="16">
        <f>IF(B31="","",IFERROR(INDEX('Content Calendar'!$B$5:$B$604,MATCH(B31,'Content Calendar'!$A$5:$A$604,0)),"Not found"))</f>
        <v>0</v>
      </c>
      <c r="E31" s="17">
        <f>IF(B31="","",IFERROR(INDEX('Content Calendar'!$J$5:$J$604,MATCH(B31,'Content Calendar'!$A$5:$A$604,0)),"Not found"))</f>
        <v>0</v>
      </c>
      <c r="F31" s="29">
        <f>IF(B31="","",IFERROR(INDEX('Content Calendar'!$X$5:$X$604,MATCH(B31,'Content Calendar'!$A$5:$A$604,0)),"Not found"))</f>
        <v>0</v>
      </c>
      <c r="P31" s="23">
        <f>IF(B31="","",IF(COUNTIF(Performance!$B$5:$B$404,B31)=0,"",SUMIFS(Performance!$O$5:$O$404,Performance!$B$5:$B$404,B31)))</f>
        <v>0</v>
      </c>
      <c r="Q31" s="23">
        <f>IF(B31="","",IF(COUNTIF(Performance!$B$5:$B$404,B31)=0,"",SUMIFS(Performance!$P$5:$P$404,Performance!$B$5:$B$404,B31)))</f>
        <v>0</v>
      </c>
      <c r="R31" s="23">
        <f>IF(B31="","",IF(COUNTIF(Performance!$B$5:$B$404,B31)=0,"",SUMIFS(Performance!$Z$5:$Z$404,Performance!$B$5:$B$404,B31)))</f>
        <v>0</v>
      </c>
      <c r="S31" s="24">
        <f>IF(OR(P31="",P31=0),"",R31/P31)</f>
        <v>0</v>
      </c>
      <c r="T31" s="23">
        <f>IF(B31="","",IF(COUNTIF(Performance!$B$5:$B$404,B31)=0,"",SUMIFS(Performance!$T$5:$T$404,Performance!$B$5:$B$404,B31)))</f>
        <v>0</v>
      </c>
      <c r="U31" s="23">
        <f>IF(B31="","",IF(COUNTIF(Performance!$B$5:$B$404,B31)=0,"",SUMIFS(Performance!$S$5:$S$404,Performance!$B$5:$B$404,B31)))</f>
        <v>0</v>
      </c>
      <c r="V31" s="23">
        <f>IF(B31="","",IF(COUNTIF(Performance!$B$5:$B$404,B31)=0,"",SUMIFS(Performance!$R$5:$R$404,Performance!$B$5:$B$404,B31)))</f>
        <v>0</v>
      </c>
      <c r="W31" s="23">
        <f>IF(B31="","",IF(COUNTIF(Performance!$B$5:$B$404,B31)=0,"",SUMIFS(Performance!$U$5:$U$404,Performance!$B$5:$B$404,B31)))</f>
        <v>0</v>
      </c>
      <c r="X31" s="29">
        <f>IF(B31="","",IF(C31="Not found","Check - content ID not on the calendar",IF(AND(G31="Reel",J31=0),"Add - reel length missing",IF(K31="","Add - no cover image",IF(AND(P31&lt;&gt;"",S31&lt;TargetEngagement),"Review - below your target rate","OK")))))</f>
        <v>0</v>
      </c>
    </row>
    <row r="32" spans="1:24">
      <c r="A32" s="41">
        <f>IF(B32="","","IG-"&amp;TEXT(ROW()-4,"000"))</f>
        <v>0</v>
      </c>
      <c r="C32" s="17">
        <f>IF(B32="","",IFERROR(INDEX('Content Calendar'!$H$5:$H$604,MATCH(B32,'Content Calendar'!$A$5:$A$604,0)),"Not found"))</f>
        <v>0</v>
      </c>
      <c r="D32" s="16">
        <f>IF(B32="","",IFERROR(INDEX('Content Calendar'!$B$5:$B$604,MATCH(B32,'Content Calendar'!$A$5:$A$604,0)),"Not found"))</f>
        <v>0</v>
      </c>
      <c r="E32" s="17">
        <f>IF(B32="","",IFERROR(INDEX('Content Calendar'!$J$5:$J$604,MATCH(B32,'Content Calendar'!$A$5:$A$604,0)),"Not found"))</f>
        <v>0</v>
      </c>
      <c r="F32" s="29">
        <f>IF(B32="","",IFERROR(INDEX('Content Calendar'!$X$5:$X$604,MATCH(B32,'Content Calendar'!$A$5:$A$604,0)),"Not found"))</f>
        <v>0</v>
      </c>
      <c r="P32" s="23">
        <f>IF(B32="","",IF(COUNTIF(Performance!$B$5:$B$404,B32)=0,"",SUMIFS(Performance!$O$5:$O$404,Performance!$B$5:$B$404,B32)))</f>
        <v>0</v>
      </c>
      <c r="Q32" s="23">
        <f>IF(B32="","",IF(COUNTIF(Performance!$B$5:$B$404,B32)=0,"",SUMIFS(Performance!$P$5:$P$404,Performance!$B$5:$B$404,B32)))</f>
        <v>0</v>
      </c>
      <c r="R32" s="23">
        <f>IF(B32="","",IF(COUNTIF(Performance!$B$5:$B$404,B32)=0,"",SUMIFS(Performance!$Z$5:$Z$404,Performance!$B$5:$B$404,B32)))</f>
        <v>0</v>
      </c>
      <c r="S32" s="24">
        <f>IF(OR(P32="",P32=0),"",R32/P32)</f>
        <v>0</v>
      </c>
      <c r="T32" s="23">
        <f>IF(B32="","",IF(COUNTIF(Performance!$B$5:$B$404,B32)=0,"",SUMIFS(Performance!$T$5:$T$404,Performance!$B$5:$B$404,B32)))</f>
        <v>0</v>
      </c>
      <c r="U32" s="23">
        <f>IF(B32="","",IF(COUNTIF(Performance!$B$5:$B$404,B32)=0,"",SUMIFS(Performance!$S$5:$S$404,Performance!$B$5:$B$404,B32)))</f>
        <v>0</v>
      </c>
      <c r="V32" s="23">
        <f>IF(B32="","",IF(COUNTIF(Performance!$B$5:$B$404,B32)=0,"",SUMIFS(Performance!$R$5:$R$404,Performance!$B$5:$B$404,B32)))</f>
        <v>0</v>
      </c>
      <c r="W32" s="23">
        <f>IF(B32="","",IF(COUNTIF(Performance!$B$5:$B$404,B32)=0,"",SUMIFS(Performance!$U$5:$U$404,Performance!$B$5:$B$404,B32)))</f>
        <v>0</v>
      </c>
      <c r="X32" s="29">
        <f>IF(B32="","",IF(C32="Not found","Check - content ID not on the calendar",IF(AND(G32="Reel",J32=0),"Add - reel length missing",IF(K32="","Add - no cover image",IF(AND(P32&lt;&gt;"",S32&lt;TargetEngagement),"Review - below your target rate","OK")))))</f>
        <v>0</v>
      </c>
    </row>
    <row r="33" spans="1:24">
      <c r="A33" s="41">
        <f>IF(B33="","","IG-"&amp;TEXT(ROW()-4,"000"))</f>
        <v>0</v>
      </c>
      <c r="C33" s="17">
        <f>IF(B33="","",IFERROR(INDEX('Content Calendar'!$H$5:$H$604,MATCH(B33,'Content Calendar'!$A$5:$A$604,0)),"Not found"))</f>
        <v>0</v>
      </c>
      <c r="D33" s="16">
        <f>IF(B33="","",IFERROR(INDEX('Content Calendar'!$B$5:$B$604,MATCH(B33,'Content Calendar'!$A$5:$A$604,0)),"Not found"))</f>
        <v>0</v>
      </c>
      <c r="E33" s="17">
        <f>IF(B33="","",IFERROR(INDEX('Content Calendar'!$J$5:$J$604,MATCH(B33,'Content Calendar'!$A$5:$A$604,0)),"Not found"))</f>
        <v>0</v>
      </c>
      <c r="F33" s="29">
        <f>IF(B33="","",IFERROR(INDEX('Content Calendar'!$X$5:$X$604,MATCH(B33,'Content Calendar'!$A$5:$A$604,0)),"Not found"))</f>
        <v>0</v>
      </c>
      <c r="P33" s="23">
        <f>IF(B33="","",IF(COUNTIF(Performance!$B$5:$B$404,B33)=0,"",SUMIFS(Performance!$O$5:$O$404,Performance!$B$5:$B$404,B33)))</f>
        <v>0</v>
      </c>
      <c r="Q33" s="23">
        <f>IF(B33="","",IF(COUNTIF(Performance!$B$5:$B$404,B33)=0,"",SUMIFS(Performance!$P$5:$P$404,Performance!$B$5:$B$404,B33)))</f>
        <v>0</v>
      </c>
      <c r="R33" s="23">
        <f>IF(B33="","",IF(COUNTIF(Performance!$B$5:$B$404,B33)=0,"",SUMIFS(Performance!$Z$5:$Z$404,Performance!$B$5:$B$404,B33)))</f>
        <v>0</v>
      </c>
      <c r="S33" s="24">
        <f>IF(OR(P33="",P33=0),"",R33/P33)</f>
        <v>0</v>
      </c>
      <c r="T33" s="23">
        <f>IF(B33="","",IF(COUNTIF(Performance!$B$5:$B$404,B33)=0,"",SUMIFS(Performance!$T$5:$T$404,Performance!$B$5:$B$404,B33)))</f>
        <v>0</v>
      </c>
      <c r="U33" s="23">
        <f>IF(B33="","",IF(COUNTIF(Performance!$B$5:$B$404,B33)=0,"",SUMIFS(Performance!$S$5:$S$404,Performance!$B$5:$B$404,B33)))</f>
        <v>0</v>
      </c>
      <c r="V33" s="23">
        <f>IF(B33="","",IF(COUNTIF(Performance!$B$5:$B$404,B33)=0,"",SUMIFS(Performance!$R$5:$R$404,Performance!$B$5:$B$404,B33)))</f>
        <v>0</v>
      </c>
      <c r="W33" s="23">
        <f>IF(B33="","",IF(COUNTIF(Performance!$B$5:$B$404,B33)=0,"",SUMIFS(Performance!$U$5:$U$404,Performance!$B$5:$B$404,B33)))</f>
        <v>0</v>
      </c>
      <c r="X33" s="29">
        <f>IF(B33="","",IF(C33="Not found","Check - content ID not on the calendar",IF(AND(G33="Reel",J33=0),"Add - reel length missing",IF(K33="","Add - no cover image",IF(AND(P33&lt;&gt;"",S33&lt;TargetEngagement),"Review - below your target rate","OK")))))</f>
        <v>0</v>
      </c>
    </row>
    <row r="34" spans="1:24">
      <c r="A34" s="41">
        <f>IF(B34="","","IG-"&amp;TEXT(ROW()-4,"000"))</f>
        <v>0</v>
      </c>
      <c r="C34" s="17">
        <f>IF(B34="","",IFERROR(INDEX('Content Calendar'!$H$5:$H$604,MATCH(B34,'Content Calendar'!$A$5:$A$604,0)),"Not found"))</f>
        <v>0</v>
      </c>
      <c r="D34" s="16">
        <f>IF(B34="","",IFERROR(INDEX('Content Calendar'!$B$5:$B$604,MATCH(B34,'Content Calendar'!$A$5:$A$604,0)),"Not found"))</f>
        <v>0</v>
      </c>
      <c r="E34" s="17">
        <f>IF(B34="","",IFERROR(INDEX('Content Calendar'!$J$5:$J$604,MATCH(B34,'Content Calendar'!$A$5:$A$604,0)),"Not found"))</f>
        <v>0</v>
      </c>
      <c r="F34" s="29">
        <f>IF(B34="","",IFERROR(INDEX('Content Calendar'!$X$5:$X$604,MATCH(B34,'Content Calendar'!$A$5:$A$604,0)),"Not found"))</f>
        <v>0</v>
      </c>
      <c r="P34" s="23">
        <f>IF(B34="","",IF(COUNTIF(Performance!$B$5:$B$404,B34)=0,"",SUMIFS(Performance!$O$5:$O$404,Performance!$B$5:$B$404,B34)))</f>
        <v>0</v>
      </c>
      <c r="Q34" s="23">
        <f>IF(B34="","",IF(COUNTIF(Performance!$B$5:$B$404,B34)=0,"",SUMIFS(Performance!$P$5:$P$404,Performance!$B$5:$B$404,B34)))</f>
        <v>0</v>
      </c>
      <c r="R34" s="23">
        <f>IF(B34="","",IF(COUNTIF(Performance!$B$5:$B$404,B34)=0,"",SUMIFS(Performance!$Z$5:$Z$404,Performance!$B$5:$B$404,B34)))</f>
        <v>0</v>
      </c>
      <c r="S34" s="24">
        <f>IF(OR(P34="",P34=0),"",R34/P34)</f>
        <v>0</v>
      </c>
      <c r="T34" s="23">
        <f>IF(B34="","",IF(COUNTIF(Performance!$B$5:$B$404,B34)=0,"",SUMIFS(Performance!$T$5:$T$404,Performance!$B$5:$B$404,B34)))</f>
        <v>0</v>
      </c>
      <c r="U34" s="23">
        <f>IF(B34="","",IF(COUNTIF(Performance!$B$5:$B$404,B34)=0,"",SUMIFS(Performance!$S$5:$S$404,Performance!$B$5:$B$404,B34)))</f>
        <v>0</v>
      </c>
      <c r="V34" s="23">
        <f>IF(B34="","",IF(COUNTIF(Performance!$B$5:$B$404,B34)=0,"",SUMIFS(Performance!$R$5:$R$404,Performance!$B$5:$B$404,B34)))</f>
        <v>0</v>
      </c>
      <c r="W34" s="23">
        <f>IF(B34="","",IF(COUNTIF(Performance!$B$5:$B$404,B34)=0,"",SUMIFS(Performance!$U$5:$U$404,Performance!$B$5:$B$404,B34)))</f>
        <v>0</v>
      </c>
      <c r="X34" s="29">
        <f>IF(B34="","",IF(C34="Not found","Check - content ID not on the calendar",IF(AND(G34="Reel",J34=0),"Add - reel length missing",IF(K34="","Add - no cover image",IF(AND(P34&lt;&gt;"",S34&lt;TargetEngagement),"Review - below your target rate","OK")))))</f>
        <v>0</v>
      </c>
    </row>
    <row r="35" spans="1:24">
      <c r="A35" s="41">
        <f>IF(B35="","","IG-"&amp;TEXT(ROW()-4,"000"))</f>
        <v>0</v>
      </c>
      <c r="C35" s="17">
        <f>IF(B35="","",IFERROR(INDEX('Content Calendar'!$H$5:$H$604,MATCH(B35,'Content Calendar'!$A$5:$A$604,0)),"Not found"))</f>
        <v>0</v>
      </c>
      <c r="D35" s="16">
        <f>IF(B35="","",IFERROR(INDEX('Content Calendar'!$B$5:$B$604,MATCH(B35,'Content Calendar'!$A$5:$A$604,0)),"Not found"))</f>
        <v>0</v>
      </c>
      <c r="E35" s="17">
        <f>IF(B35="","",IFERROR(INDEX('Content Calendar'!$J$5:$J$604,MATCH(B35,'Content Calendar'!$A$5:$A$604,0)),"Not found"))</f>
        <v>0</v>
      </c>
      <c r="F35" s="29">
        <f>IF(B35="","",IFERROR(INDEX('Content Calendar'!$X$5:$X$604,MATCH(B35,'Content Calendar'!$A$5:$A$604,0)),"Not found"))</f>
        <v>0</v>
      </c>
      <c r="P35" s="23">
        <f>IF(B35="","",IF(COUNTIF(Performance!$B$5:$B$404,B35)=0,"",SUMIFS(Performance!$O$5:$O$404,Performance!$B$5:$B$404,B35)))</f>
        <v>0</v>
      </c>
      <c r="Q35" s="23">
        <f>IF(B35="","",IF(COUNTIF(Performance!$B$5:$B$404,B35)=0,"",SUMIFS(Performance!$P$5:$P$404,Performance!$B$5:$B$404,B35)))</f>
        <v>0</v>
      </c>
      <c r="R35" s="23">
        <f>IF(B35="","",IF(COUNTIF(Performance!$B$5:$B$404,B35)=0,"",SUMIFS(Performance!$Z$5:$Z$404,Performance!$B$5:$B$404,B35)))</f>
        <v>0</v>
      </c>
      <c r="S35" s="24">
        <f>IF(OR(P35="",P35=0),"",R35/P35)</f>
        <v>0</v>
      </c>
      <c r="T35" s="23">
        <f>IF(B35="","",IF(COUNTIF(Performance!$B$5:$B$404,B35)=0,"",SUMIFS(Performance!$T$5:$T$404,Performance!$B$5:$B$404,B35)))</f>
        <v>0</v>
      </c>
      <c r="U35" s="23">
        <f>IF(B35="","",IF(COUNTIF(Performance!$B$5:$B$404,B35)=0,"",SUMIFS(Performance!$S$5:$S$404,Performance!$B$5:$B$404,B35)))</f>
        <v>0</v>
      </c>
      <c r="V35" s="23">
        <f>IF(B35="","",IF(COUNTIF(Performance!$B$5:$B$404,B35)=0,"",SUMIFS(Performance!$R$5:$R$404,Performance!$B$5:$B$404,B35)))</f>
        <v>0</v>
      </c>
      <c r="W35" s="23">
        <f>IF(B35="","",IF(COUNTIF(Performance!$B$5:$B$404,B35)=0,"",SUMIFS(Performance!$U$5:$U$404,Performance!$B$5:$B$404,B35)))</f>
        <v>0</v>
      </c>
      <c r="X35" s="29">
        <f>IF(B35="","",IF(C35="Not found","Check - content ID not on the calendar",IF(AND(G35="Reel",J35=0),"Add - reel length missing",IF(K35="","Add - no cover image",IF(AND(P35&lt;&gt;"",S35&lt;TargetEngagement),"Review - below your target rate","OK")))))</f>
        <v>0</v>
      </c>
    </row>
    <row r="36" spans="1:24">
      <c r="A36" s="41">
        <f>IF(B36="","","IG-"&amp;TEXT(ROW()-4,"000"))</f>
        <v>0</v>
      </c>
      <c r="C36" s="17">
        <f>IF(B36="","",IFERROR(INDEX('Content Calendar'!$H$5:$H$604,MATCH(B36,'Content Calendar'!$A$5:$A$604,0)),"Not found"))</f>
        <v>0</v>
      </c>
      <c r="D36" s="16">
        <f>IF(B36="","",IFERROR(INDEX('Content Calendar'!$B$5:$B$604,MATCH(B36,'Content Calendar'!$A$5:$A$604,0)),"Not found"))</f>
        <v>0</v>
      </c>
      <c r="E36" s="17">
        <f>IF(B36="","",IFERROR(INDEX('Content Calendar'!$J$5:$J$604,MATCH(B36,'Content Calendar'!$A$5:$A$604,0)),"Not found"))</f>
        <v>0</v>
      </c>
      <c r="F36" s="29">
        <f>IF(B36="","",IFERROR(INDEX('Content Calendar'!$X$5:$X$604,MATCH(B36,'Content Calendar'!$A$5:$A$604,0)),"Not found"))</f>
        <v>0</v>
      </c>
      <c r="P36" s="23">
        <f>IF(B36="","",IF(COUNTIF(Performance!$B$5:$B$404,B36)=0,"",SUMIFS(Performance!$O$5:$O$404,Performance!$B$5:$B$404,B36)))</f>
        <v>0</v>
      </c>
      <c r="Q36" s="23">
        <f>IF(B36="","",IF(COUNTIF(Performance!$B$5:$B$404,B36)=0,"",SUMIFS(Performance!$P$5:$P$404,Performance!$B$5:$B$404,B36)))</f>
        <v>0</v>
      </c>
      <c r="R36" s="23">
        <f>IF(B36="","",IF(COUNTIF(Performance!$B$5:$B$404,B36)=0,"",SUMIFS(Performance!$Z$5:$Z$404,Performance!$B$5:$B$404,B36)))</f>
        <v>0</v>
      </c>
      <c r="S36" s="24">
        <f>IF(OR(P36="",P36=0),"",R36/P36)</f>
        <v>0</v>
      </c>
      <c r="T36" s="23">
        <f>IF(B36="","",IF(COUNTIF(Performance!$B$5:$B$404,B36)=0,"",SUMIFS(Performance!$T$5:$T$404,Performance!$B$5:$B$404,B36)))</f>
        <v>0</v>
      </c>
      <c r="U36" s="23">
        <f>IF(B36="","",IF(COUNTIF(Performance!$B$5:$B$404,B36)=0,"",SUMIFS(Performance!$S$5:$S$404,Performance!$B$5:$B$404,B36)))</f>
        <v>0</v>
      </c>
      <c r="V36" s="23">
        <f>IF(B36="","",IF(COUNTIF(Performance!$B$5:$B$404,B36)=0,"",SUMIFS(Performance!$R$5:$R$404,Performance!$B$5:$B$404,B36)))</f>
        <v>0</v>
      </c>
      <c r="W36" s="23">
        <f>IF(B36="","",IF(COUNTIF(Performance!$B$5:$B$404,B36)=0,"",SUMIFS(Performance!$U$5:$U$404,Performance!$B$5:$B$404,B36)))</f>
        <v>0</v>
      </c>
      <c r="X36" s="29">
        <f>IF(B36="","",IF(C36="Not found","Check - content ID not on the calendar",IF(AND(G36="Reel",J36=0),"Add - reel length missing",IF(K36="","Add - no cover image",IF(AND(P36&lt;&gt;"",S36&lt;TargetEngagement),"Review - below your target rate","OK")))))</f>
        <v>0</v>
      </c>
    </row>
    <row r="37" spans="1:24">
      <c r="A37" s="41">
        <f>IF(B37="","","IG-"&amp;TEXT(ROW()-4,"000"))</f>
        <v>0</v>
      </c>
      <c r="C37" s="17">
        <f>IF(B37="","",IFERROR(INDEX('Content Calendar'!$H$5:$H$604,MATCH(B37,'Content Calendar'!$A$5:$A$604,0)),"Not found"))</f>
        <v>0</v>
      </c>
      <c r="D37" s="16">
        <f>IF(B37="","",IFERROR(INDEX('Content Calendar'!$B$5:$B$604,MATCH(B37,'Content Calendar'!$A$5:$A$604,0)),"Not found"))</f>
        <v>0</v>
      </c>
      <c r="E37" s="17">
        <f>IF(B37="","",IFERROR(INDEX('Content Calendar'!$J$5:$J$604,MATCH(B37,'Content Calendar'!$A$5:$A$604,0)),"Not found"))</f>
        <v>0</v>
      </c>
      <c r="F37" s="29">
        <f>IF(B37="","",IFERROR(INDEX('Content Calendar'!$X$5:$X$604,MATCH(B37,'Content Calendar'!$A$5:$A$604,0)),"Not found"))</f>
        <v>0</v>
      </c>
      <c r="P37" s="23">
        <f>IF(B37="","",IF(COUNTIF(Performance!$B$5:$B$404,B37)=0,"",SUMIFS(Performance!$O$5:$O$404,Performance!$B$5:$B$404,B37)))</f>
        <v>0</v>
      </c>
      <c r="Q37" s="23">
        <f>IF(B37="","",IF(COUNTIF(Performance!$B$5:$B$404,B37)=0,"",SUMIFS(Performance!$P$5:$P$404,Performance!$B$5:$B$404,B37)))</f>
        <v>0</v>
      </c>
      <c r="R37" s="23">
        <f>IF(B37="","",IF(COUNTIF(Performance!$B$5:$B$404,B37)=0,"",SUMIFS(Performance!$Z$5:$Z$404,Performance!$B$5:$B$404,B37)))</f>
        <v>0</v>
      </c>
      <c r="S37" s="24">
        <f>IF(OR(P37="",P37=0),"",R37/P37)</f>
        <v>0</v>
      </c>
      <c r="T37" s="23">
        <f>IF(B37="","",IF(COUNTIF(Performance!$B$5:$B$404,B37)=0,"",SUMIFS(Performance!$T$5:$T$404,Performance!$B$5:$B$404,B37)))</f>
        <v>0</v>
      </c>
      <c r="U37" s="23">
        <f>IF(B37="","",IF(COUNTIF(Performance!$B$5:$B$404,B37)=0,"",SUMIFS(Performance!$S$5:$S$404,Performance!$B$5:$B$404,B37)))</f>
        <v>0</v>
      </c>
      <c r="V37" s="23">
        <f>IF(B37="","",IF(COUNTIF(Performance!$B$5:$B$404,B37)=0,"",SUMIFS(Performance!$R$5:$R$404,Performance!$B$5:$B$404,B37)))</f>
        <v>0</v>
      </c>
      <c r="W37" s="23">
        <f>IF(B37="","",IF(COUNTIF(Performance!$B$5:$B$404,B37)=0,"",SUMIFS(Performance!$U$5:$U$404,Performance!$B$5:$B$404,B37)))</f>
        <v>0</v>
      </c>
      <c r="X37" s="29">
        <f>IF(B37="","",IF(C37="Not found","Check - content ID not on the calendar",IF(AND(G37="Reel",J37=0),"Add - reel length missing",IF(K37="","Add - no cover image",IF(AND(P37&lt;&gt;"",S37&lt;TargetEngagement),"Review - below your target rate","OK")))))</f>
        <v>0</v>
      </c>
    </row>
    <row r="38" spans="1:24">
      <c r="A38" s="41">
        <f>IF(B38="","","IG-"&amp;TEXT(ROW()-4,"000"))</f>
        <v>0</v>
      </c>
      <c r="C38" s="17">
        <f>IF(B38="","",IFERROR(INDEX('Content Calendar'!$H$5:$H$604,MATCH(B38,'Content Calendar'!$A$5:$A$604,0)),"Not found"))</f>
        <v>0</v>
      </c>
      <c r="D38" s="16">
        <f>IF(B38="","",IFERROR(INDEX('Content Calendar'!$B$5:$B$604,MATCH(B38,'Content Calendar'!$A$5:$A$604,0)),"Not found"))</f>
        <v>0</v>
      </c>
      <c r="E38" s="17">
        <f>IF(B38="","",IFERROR(INDEX('Content Calendar'!$J$5:$J$604,MATCH(B38,'Content Calendar'!$A$5:$A$604,0)),"Not found"))</f>
        <v>0</v>
      </c>
      <c r="F38" s="29">
        <f>IF(B38="","",IFERROR(INDEX('Content Calendar'!$X$5:$X$604,MATCH(B38,'Content Calendar'!$A$5:$A$604,0)),"Not found"))</f>
        <v>0</v>
      </c>
      <c r="P38" s="23">
        <f>IF(B38="","",IF(COUNTIF(Performance!$B$5:$B$404,B38)=0,"",SUMIFS(Performance!$O$5:$O$404,Performance!$B$5:$B$404,B38)))</f>
        <v>0</v>
      </c>
      <c r="Q38" s="23">
        <f>IF(B38="","",IF(COUNTIF(Performance!$B$5:$B$404,B38)=0,"",SUMIFS(Performance!$P$5:$P$404,Performance!$B$5:$B$404,B38)))</f>
        <v>0</v>
      </c>
      <c r="R38" s="23">
        <f>IF(B38="","",IF(COUNTIF(Performance!$B$5:$B$404,B38)=0,"",SUMIFS(Performance!$Z$5:$Z$404,Performance!$B$5:$B$404,B38)))</f>
        <v>0</v>
      </c>
      <c r="S38" s="24">
        <f>IF(OR(P38="",P38=0),"",R38/P38)</f>
        <v>0</v>
      </c>
      <c r="T38" s="23">
        <f>IF(B38="","",IF(COUNTIF(Performance!$B$5:$B$404,B38)=0,"",SUMIFS(Performance!$T$5:$T$404,Performance!$B$5:$B$404,B38)))</f>
        <v>0</v>
      </c>
      <c r="U38" s="23">
        <f>IF(B38="","",IF(COUNTIF(Performance!$B$5:$B$404,B38)=0,"",SUMIFS(Performance!$S$5:$S$404,Performance!$B$5:$B$404,B38)))</f>
        <v>0</v>
      </c>
      <c r="V38" s="23">
        <f>IF(B38="","",IF(COUNTIF(Performance!$B$5:$B$404,B38)=0,"",SUMIFS(Performance!$R$5:$R$404,Performance!$B$5:$B$404,B38)))</f>
        <v>0</v>
      </c>
      <c r="W38" s="23">
        <f>IF(B38="","",IF(COUNTIF(Performance!$B$5:$B$404,B38)=0,"",SUMIFS(Performance!$U$5:$U$404,Performance!$B$5:$B$404,B38)))</f>
        <v>0</v>
      </c>
      <c r="X38" s="29">
        <f>IF(B38="","",IF(C38="Not found","Check - content ID not on the calendar",IF(AND(G38="Reel",J38=0),"Add - reel length missing",IF(K38="","Add - no cover image",IF(AND(P38&lt;&gt;"",S38&lt;TargetEngagement),"Review - below your target rate","OK")))))</f>
        <v>0</v>
      </c>
    </row>
    <row r="39" spans="1:24">
      <c r="A39" s="41">
        <f>IF(B39="","","IG-"&amp;TEXT(ROW()-4,"000"))</f>
        <v>0</v>
      </c>
      <c r="C39" s="17">
        <f>IF(B39="","",IFERROR(INDEX('Content Calendar'!$H$5:$H$604,MATCH(B39,'Content Calendar'!$A$5:$A$604,0)),"Not found"))</f>
        <v>0</v>
      </c>
      <c r="D39" s="16">
        <f>IF(B39="","",IFERROR(INDEX('Content Calendar'!$B$5:$B$604,MATCH(B39,'Content Calendar'!$A$5:$A$604,0)),"Not found"))</f>
        <v>0</v>
      </c>
      <c r="E39" s="17">
        <f>IF(B39="","",IFERROR(INDEX('Content Calendar'!$J$5:$J$604,MATCH(B39,'Content Calendar'!$A$5:$A$604,0)),"Not found"))</f>
        <v>0</v>
      </c>
      <c r="F39" s="29">
        <f>IF(B39="","",IFERROR(INDEX('Content Calendar'!$X$5:$X$604,MATCH(B39,'Content Calendar'!$A$5:$A$604,0)),"Not found"))</f>
        <v>0</v>
      </c>
      <c r="P39" s="23">
        <f>IF(B39="","",IF(COUNTIF(Performance!$B$5:$B$404,B39)=0,"",SUMIFS(Performance!$O$5:$O$404,Performance!$B$5:$B$404,B39)))</f>
        <v>0</v>
      </c>
      <c r="Q39" s="23">
        <f>IF(B39="","",IF(COUNTIF(Performance!$B$5:$B$404,B39)=0,"",SUMIFS(Performance!$P$5:$P$404,Performance!$B$5:$B$404,B39)))</f>
        <v>0</v>
      </c>
      <c r="R39" s="23">
        <f>IF(B39="","",IF(COUNTIF(Performance!$B$5:$B$404,B39)=0,"",SUMIFS(Performance!$Z$5:$Z$404,Performance!$B$5:$B$404,B39)))</f>
        <v>0</v>
      </c>
      <c r="S39" s="24">
        <f>IF(OR(P39="",P39=0),"",R39/P39)</f>
        <v>0</v>
      </c>
      <c r="T39" s="23">
        <f>IF(B39="","",IF(COUNTIF(Performance!$B$5:$B$404,B39)=0,"",SUMIFS(Performance!$T$5:$T$404,Performance!$B$5:$B$404,B39)))</f>
        <v>0</v>
      </c>
      <c r="U39" s="23">
        <f>IF(B39="","",IF(COUNTIF(Performance!$B$5:$B$404,B39)=0,"",SUMIFS(Performance!$S$5:$S$404,Performance!$B$5:$B$404,B39)))</f>
        <v>0</v>
      </c>
      <c r="V39" s="23">
        <f>IF(B39="","",IF(COUNTIF(Performance!$B$5:$B$404,B39)=0,"",SUMIFS(Performance!$R$5:$R$404,Performance!$B$5:$B$404,B39)))</f>
        <v>0</v>
      </c>
      <c r="W39" s="23">
        <f>IF(B39="","",IF(COUNTIF(Performance!$B$5:$B$404,B39)=0,"",SUMIFS(Performance!$U$5:$U$404,Performance!$B$5:$B$404,B39)))</f>
        <v>0</v>
      </c>
      <c r="X39" s="29">
        <f>IF(B39="","",IF(C39="Not found","Check - content ID not on the calendar",IF(AND(G39="Reel",J39=0),"Add - reel length missing",IF(K39="","Add - no cover image",IF(AND(P39&lt;&gt;"",S39&lt;TargetEngagement),"Review - below your target rate","OK")))))</f>
        <v>0</v>
      </c>
    </row>
    <row r="40" spans="1:24">
      <c r="A40" s="41">
        <f>IF(B40="","","IG-"&amp;TEXT(ROW()-4,"000"))</f>
        <v>0</v>
      </c>
      <c r="C40" s="17">
        <f>IF(B40="","",IFERROR(INDEX('Content Calendar'!$H$5:$H$604,MATCH(B40,'Content Calendar'!$A$5:$A$604,0)),"Not found"))</f>
        <v>0</v>
      </c>
      <c r="D40" s="16">
        <f>IF(B40="","",IFERROR(INDEX('Content Calendar'!$B$5:$B$604,MATCH(B40,'Content Calendar'!$A$5:$A$604,0)),"Not found"))</f>
        <v>0</v>
      </c>
      <c r="E40" s="17">
        <f>IF(B40="","",IFERROR(INDEX('Content Calendar'!$J$5:$J$604,MATCH(B40,'Content Calendar'!$A$5:$A$604,0)),"Not found"))</f>
        <v>0</v>
      </c>
      <c r="F40" s="29">
        <f>IF(B40="","",IFERROR(INDEX('Content Calendar'!$X$5:$X$604,MATCH(B40,'Content Calendar'!$A$5:$A$604,0)),"Not found"))</f>
        <v>0</v>
      </c>
      <c r="P40" s="23">
        <f>IF(B40="","",IF(COUNTIF(Performance!$B$5:$B$404,B40)=0,"",SUMIFS(Performance!$O$5:$O$404,Performance!$B$5:$B$404,B40)))</f>
        <v>0</v>
      </c>
      <c r="Q40" s="23">
        <f>IF(B40="","",IF(COUNTIF(Performance!$B$5:$B$404,B40)=0,"",SUMIFS(Performance!$P$5:$P$404,Performance!$B$5:$B$404,B40)))</f>
        <v>0</v>
      </c>
      <c r="R40" s="23">
        <f>IF(B40="","",IF(COUNTIF(Performance!$B$5:$B$404,B40)=0,"",SUMIFS(Performance!$Z$5:$Z$404,Performance!$B$5:$B$404,B40)))</f>
        <v>0</v>
      </c>
      <c r="S40" s="24">
        <f>IF(OR(P40="",P40=0),"",R40/P40)</f>
        <v>0</v>
      </c>
      <c r="T40" s="23">
        <f>IF(B40="","",IF(COUNTIF(Performance!$B$5:$B$404,B40)=0,"",SUMIFS(Performance!$T$5:$T$404,Performance!$B$5:$B$404,B40)))</f>
        <v>0</v>
      </c>
      <c r="U40" s="23">
        <f>IF(B40="","",IF(COUNTIF(Performance!$B$5:$B$404,B40)=0,"",SUMIFS(Performance!$S$5:$S$404,Performance!$B$5:$B$404,B40)))</f>
        <v>0</v>
      </c>
      <c r="V40" s="23">
        <f>IF(B40="","",IF(COUNTIF(Performance!$B$5:$B$404,B40)=0,"",SUMIFS(Performance!$R$5:$R$404,Performance!$B$5:$B$404,B40)))</f>
        <v>0</v>
      </c>
      <c r="W40" s="23">
        <f>IF(B40="","",IF(COUNTIF(Performance!$B$5:$B$404,B40)=0,"",SUMIFS(Performance!$U$5:$U$404,Performance!$B$5:$B$404,B40)))</f>
        <v>0</v>
      </c>
      <c r="X40" s="29">
        <f>IF(B40="","",IF(C40="Not found","Check - content ID not on the calendar",IF(AND(G40="Reel",J40=0),"Add - reel length missing",IF(K40="","Add - no cover image",IF(AND(P40&lt;&gt;"",S40&lt;TargetEngagement),"Review - below your target rate","OK")))))</f>
        <v>0</v>
      </c>
    </row>
    <row r="41" spans="1:24">
      <c r="A41" s="41">
        <f>IF(B41="","","IG-"&amp;TEXT(ROW()-4,"000"))</f>
        <v>0</v>
      </c>
      <c r="C41" s="17">
        <f>IF(B41="","",IFERROR(INDEX('Content Calendar'!$H$5:$H$604,MATCH(B41,'Content Calendar'!$A$5:$A$604,0)),"Not found"))</f>
        <v>0</v>
      </c>
      <c r="D41" s="16">
        <f>IF(B41="","",IFERROR(INDEX('Content Calendar'!$B$5:$B$604,MATCH(B41,'Content Calendar'!$A$5:$A$604,0)),"Not found"))</f>
        <v>0</v>
      </c>
      <c r="E41" s="17">
        <f>IF(B41="","",IFERROR(INDEX('Content Calendar'!$J$5:$J$604,MATCH(B41,'Content Calendar'!$A$5:$A$604,0)),"Not found"))</f>
        <v>0</v>
      </c>
      <c r="F41" s="29">
        <f>IF(B41="","",IFERROR(INDEX('Content Calendar'!$X$5:$X$604,MATCH(B41,'Content Calendar'!$A$5:$A$604,0)),"Not found"))</f>
        <v>0</v>
      </c>
      <c r="P41" s="23">
        <f>IF(B41="","",IF(COUNTIF(Performance!$B$5:$B$404,B41)=0,"",SUMIFS(Performance!$O$5:$O$404,Performance!$B$5:$B$404,B41)))</f>
        <v>0</v>
      </c>
      <c r="Q41" s="23">
        <f>IF(B41="","",IF(COUNTIF(Performance!$B$5:$B$404,B41)=0,"",SUMIFS(Performance!$P$5:$P$404,Performance!$B$5:$B$404,B41)))</f>
        <v>0</v>
      </c>
      <c r="R41" s="23">
        <f>IF(B41="","",IF(COUNTIF(Performance!$B$5:$B$404,B41)=0,"",SUMIFS(Performance!$Z$5:$Z$404,Performance!$B$5:$B$404,B41)))</f>
        <v>0</v>
      </c>
      <c r="S41" s="24">
        <f>IF(OR(P41="",P41=0),"",R41/P41)</f>
        <v>0</v>
      </c>
      <c r="T41" s="23">
        <f>IF(B41="","",IF(COUNTIF(Performance!$B$5:$B$404,B41)=0,"",SUMIFS(Performance!$T$5:$T$404,Performance!$B$5:$B$404,B41)))</f>
        <v>0</v>
      </c>
      <c r="U41" s="23">
        <f>IF(B41="","",IF(COUNTIF(Performance!$B$5:$B$404,B41)=0,"",SUMIFS(Performance!$S$5:$S$404,Performance!$B$5:$B$404,B41)))</f>
        <v>0</v>
      </c>
      <c r="V41" s="23">
        <f>IF(B41="","",IF(COUNTIF(Performance!$B$5:$B$404,B41)=0,"",SUMIFS(Performance!$R$5:$R$404,Performance!$B$5:$B$404,B41)))</f>
        <v>0</v>
      </c>
      <c r="W41" s="23">
        <f>IF(B41="","",IF(COUNTIF(Performance!$B$5:$B$404,B41)=0,"",SUMIFS(Performance!$U$5:$U$404,Performance!$B$5:$B$404,B41)))</f>
        <v>0</v>
      </c>
      <c r="X41" s="29">
        <f>IF(B41="","",IF(C41="Not found","Check - content ID not on the calendar",IF(AND(G41="Reel",J41=0),"Add - reel length missing",IF(K41="","Add - no cover image",IF(AND(P41&lt;&gt;"",S41&lt;TargetEngagement),"Review - below your target rate","OK")))))</f>
        <v>0</v>
      </c>
    </row>
    <row r="42" spans="1:24">
      <c r="A42" s="41">
        <f>IF(B42="","","IG-"&amp;TEXT(ROW()-4,"000"))</f>
        <v>0</v>
      </c>
      <c r="C42" s="17">
        <f>IF(B42="","",IFERROR(INDEX('Content Calendar'!$H$5:$H$604,MATCH(B42,'Content Calendar'!$A$5:$A$604,0)),"Not found"))</f>
        <v>0</v>
      </c>
      <c r="D42" s="16">
        <f>IF(B42="","",IFERROR(INDEX('Content Calendar'!$B$5:$B$604,MATCH(B42,'Content Calendar'!$A$5:$A$604,0)),"Not found"))</f>
        <v>0</v>
      </c>
      <c r="E42" s="17">
        <f>IF(B42="","",IFERROR(INDEX('Content Calendar'!$J$5:$J$604,MATCH(B42,'Content Calendar'!$A$5:$A$604,0)),"Not found"))</f>
        <v>0</v>
      </c>
      <c r="F42" s="29">
        <f>IF(B42="","",IFERROR(INDEX('Content Calendar'!$X$5:$X$604,MATCH(B42,'Content Calendar'!$A$5:$A$604,0)),"Not found"))</f>
        <v>0</v>
      </c>
      <c r="P42" s="23">
        <f>IF(B42="","",IF(COUNTIF(Performance!$B$5:$B$404,B42)=0,"",SUMIFS(Performance!$O$5:$O$404,Performance!$B$5:$B$404,B42)))</f>
        <v>0</v>
      </c>
      <c r="Q42" s="23">
        <f>IF(B42="","",IF(COUNTIF(Performance!$B$5:$B$404,B42)=0,"",SUMIFS(Performance!$P$5:$P$404,Performance!$B$5:$B$404,B42)))</f>
        <v>0</v>
      </c>
      <c r="R42" s="23">
        <f>IF(B42="","",IF(COUNTIF(Performance!$B$5:$B$404,B42)=0,"",SUMIFS(Performance!$Z$5:$Z$404,Performance!$B$5:$B$404,B42)))</f>
        <v>0</v>
      </c>
      <c r="S42" s="24">
        <f>IF(OR(P42="",P42=0),"",R42/P42)</f>
        <v>0</v>
      </c>
      <c r="T42" s="23">
        <f>IF(B42="","",IF(COUNTIF(Performance!$B$5:$B$404,B42)=0,"",SUMIFS(Performance!$T$5:$T$404,Performance!$B$5:$B$404,B42)))</f>
        <v>0</v>
      </c>
      <c r="U42" s="23">
        <f>IF(B42="","",IF(COUNTIF(Performance!$B$5:$B$404,B42)=0,"",SUMIFS(Performance!$S$5:$S$404,Performance!$B$5:$B$404,B42)))</f>
        <v>0</v>
      </c>
      <c r="V42" s="23">
        <f>IF(B42="","",IF(COUNTIF(Performance!$B$5:$B$404,B42)=0,"",SUMIFS(Performance!$R$5:$R$404,Performance!$B$5:$B$404,B42)))</f>
        <v>0</v>
      </c>
      <c r="W42" s="23">
        <f>IF(B42="","",IF(COUNTIF(Performance!$B$5:$B$404,B42)=0,"",SUMIFS(Performance!$U$5:$U$404,Performance!$B$5:$B$404,B42)))</f>
        <v>0</v>
      </c>
      <c r="X42" s="29">
        <f>IF(B42="","",IF(C42="Not found","Check - content ID not on the calendar",IF(AND(G42="Reel",J42=0),"Add - reel length missing",IF(K42="","Add - no cover image",IF(AND(P42&lt;&gt;"",S42&lt;TargetEngagement),"Review - below your target rate","OK")))))</f>
        <v>0</v>
      </c>
    </row>
    <row r="43" spans="1:24">
      <c r="A43" s="41">
        <f>IF(B43="","","IG-"&amp;TEXT(ROW()-4,"000"))</f>
        <v>0</v>
      </c>
      <c r="C43" s="17">
        <f>IF(B43="","",IFERROR(INDEX('Content Calendar'!$H$5:$H$604,MATCH(B43,'Content Calendar'!$A$5:$A$604,0)),"Not found"))</f>
        <v>0</v>
      </c>
      <c r="D43" s="16">
        <f>IF(B43="","",IFERROR(INDEX('Content Calendar'!$B$5:$B$604,MATCH(B43,'Content Calendar'!$A$5:$A$604,0)),"Not found"))</f>
        <v>0</v>
      </c>
      <c r="E43" s="17">
        <f>IF(B43="","",IFERROR(INDEX('Content Calendar'!$J$5:$J$604,MATCH(B43,'Content Calendar'!$A$5:$A$604,0)),"Not found"))</f>
        <v>0</v>
      </c>
      <c r="F43" s="29">
        <f>IF(B43="","",IFERROR(INDEX('Content Calendar'!$X$5:$X$604,MATCH(B43,'Content Calendar'!$A$5:$A$604,0)),"Not found"))</f>
        <v>0</v>
      </c>
      <c r="P43" s="23">
        <f>IF(B43="","",IF(COUNTIF(Performance!$B$5:$B$404,B43)=0,"",SUMIFS(Performance!$O$5:$O$404,Performance!$B$5:$B$404,B43)))</f>
        <v>0</v>
      </c>
      <c r="Q43" s="23">
        <f>IF(B43="","",IF(COUNTIF(Performance!$B$5:$B$404,B43)=0,"",SUMIFS(Performance!$P$5:$P$404,Performance!$B$5:$B$404,B43)))</f>
        <v>0</v>
      </c>
      <c r="R43" s="23">
        <f>IF(B43="","",IF(COUNTIF(Performance!$B$5:$B$404,B43)=0,"",SUMIFS(Performance!$Z$5:$Z$404,Performance!$B$5:$B$404,B43)))</f>
        <v>0</v>
      </c>
      <c r="S43" s="24">
        <f>IF(OR(P43="",P43=0),"",R43/P43)</f>
        <v>0</v>
      </c>
      <c r="T43" s="23">
        <f>IF(B43="","",IF(COUNTIF(Performance!$B$5:$B$404,B43)=0,"",SUMIFS(Performance!$T$5:$T$404,Performance!$B$5:$B$404,B43)))</f>
        <v>0</v>
      </c>
      <c r="U43" s="23">
        <f>IF(B43="","",IF(COUNTIF(Performance!$B$5:$B$404,B43)=0,"",SUMIFS(Performance!$S$5:$S$404,Performance!$B$5:$B$404,B43)))</f>
        <v>0</v>
      </c>
      <c r="V43" s="23">
        <f>IF(B43="","",IF(COUNTIF(Performance!$B$5:$B$404,B43)=0,"",SUMIFS(Performance!$R$5:$R$404,Performance!$B$5:$B$404,B43)))</f>
        <v>0</v>
      </c>
      <c r="W43" s="23">
        <f>IF(B43="","",IF(COUNTIF(Performance!$B$5:$B$404,B43)=0,"",SUMIFS(Performance!$U$5:$U$404,Performance!$B$5:$B$404,B43)))</f>
        <v>0</v>
      </c>
      <c r="X43" s="29">
        <f>IF(B43="","",IF(C43="Not found","Check - content ID not on the calendar",IF(AND(G43="Reel",J43=0),"Add - reel length missing",IF(K43="","Add - no cover image",IF(AND(P43&lt;&gt;"",S43&lt;TargetEngagement),"Review - below your target rate","OK")))))</f>
        <v>0</v>
      </c>
    </row>
    <row r="44" spans="1:24">
      <c r="A44" s="41">
        <f>IF(B44="","","IG-"&amp;TEXT(ROW()-4,"000"))</f>
        <v>0</v>
      </c>
      <c r="C44" s="17">
        <f>IF(B44="","",IFERROR(INDEX('Content Calendar'!$H$5:$H$604,MATCH(B44,'Content Calendar'!$A$5:$A$604,0)),"Not found"))</f>
        <v>0</v>
      </c>
      <c r="D44" s="16">
        <f>IF(B44="","",IFERROR(INDEX('Content Calendar'!$B$5:$B$604,MATCH(B44,'Content Calendar'!$A$5:$A$604,0)),"Not found"))</f>
        <v>0</v>
      </c>
      <c r="E44" s="17">
        <f>IF(B44="","",IFERROR(INDEX('Content Calendar'!$J$5:$J$604,MATCH(B44,'Content Calendar'!$A$5:$A$604,0)),"Not found"))</f>
        <v>0</v>
      </c>
      <c r="F44" s="29">
        <f>IF(B44="","",IFERROR(INDEX('Content Calendar'!$X$5:$X$604,MATCH(B44,'Content Calendar'!$A$5:$A$604,0)),"Not found"))</f>
        <v>0</v>
      </c>
      <c r="P44" s="23">
        <f>IF(B44="","",IF(COUNTIF(Performance!$B$5:$B$404,B44)=0,"",SUMIFS(Performance!$O$5:$O$404,Performance!$B$5:$B$404,B44)))</f>
        <v>0</v>
      </c>
      <c r="Q44" s="23">
        <f>IF(B44="","",IF(COUNTIF(Performance!$B$5:$B$404,B44)=0,"",SUMIFS(Performance!$P$5:$P$404,Performance!$B$5:$B$404,B44)))</f>
        <v>0</v>
      </c>
      <c r="R44" s="23">
        <f>IF(B44="","",IF(COUNTIF(Performance!$B$5:$B$404,B44)=0,"",SUMIFS(Performance!$Z$5:$Z$404,Performance!$B$5:$B$404,B44)))</f>
        <v>0</v>
      </c>
      <c r="S44" s="24">
        <f>IF(OR(P44="",P44=0),"",R44/P44)</f>
        <v>0</v>
      </c>
      <c r="T44" s="23">
        <f>IF(B44="","",IF(COUNTIF(Performance!$B$5:$B$404,B44)=0,"",SUMIFS(Performance!$T$5:$T$404,Performance!$B$5:$B$404,B44)))</f>
        <v>0</v>
      </c>
      <c r="U44" s="23">
        <f>IF(B44="","",IF(COUNTIF(Performance!$B$5:$B$404,B44)=0,"",SUMIFS(Performance!$S$5:$S$404,Performance!$B$5:$B$404,B44)))</f>
        <v>0</v>
      </c>
      <c r="V44" s="23">
        <f>IF(B44="","",IF(COUNTIF(Performance!$B$5:$B$404,B44)=0,"",SUMIFS(Performance!$R$5:$R$404,Performance!$B$5:$B$404,B44)))</f>
        <v>0</v>
      </c>
      <c r="W44" s="23">
        <f>IF(B44="","",IF(COUNTIF(Performance!$B$5:$B$404,B44)=0,"",SUMIFS(Performance!$U$5:$U$404,Performance!$B$5:$B$404,B44)))</f>
        <v>0</v>
      </c>
      <c r="X44" s="29">
        <f>IF(B44="","",IF(C44="Not found","Check - content ID not on the calendar",IF(AND(G44="Reel",J44=0),"Add - reel length missing",IF(K44="","Add - no cover image",IF(AND(P44&lt;&gt;"",S44&lt;TargetEngagement),"Review - below your target rate","OK")))))</f>
        <v>0</v>
      </c>
    </row>
    <row r="45" spans="1:24">
      <c r="A45" s="41">
        <f>IF(B45="","","IG-"&amp;TEXT(ROW()-4,"000"))</f>
        <v>0</v>
      </c>
      <c r="C45" s="17">
        <f>IF(B45="","",IFERROR(INDEX('Content Calendar'!$H$5:$H$604,MATCH(B45,'Content Calendar'!$A$5:$A$604,0)),"Not found"))</f>
        <v>0</v>
      </c>
      <c r="D45" s="16">
        <f>IF(B45="","",IFERROR(INDEX('Content Calendar'!$B$5:$B$604,MATCH(B45,'Content Calendar'!$A$5:$A$604,0)),"Not found"))</f>
        <v>0</v>
      </c>
      <c r="E45" s="17">
        <f>IF(B45="","",IFERROR(INDEX('Content Calendar'!$J$5:$J$604,MATCH(B45,'Content Calendar'!$A$5:$A$604,0)),"Not found"))</f>
        <v>0</v>
      </c>
      <c r="F45" s="29">
        <f>IF(B45="","",IFERROR(INDEX('Content Calendar'!$X$5:$X$604,MATCH(B45,'Content Calendar'!$A$5:$A$604,0)),"Not found"))</f>
        <v>0</v>
      </c>
      <c r="P45" s="23">
        <f>IF(B45="","",IF(COUNTIF(Performance!$B$5:$B$404,B45)=0,"",SUMIFS(Performance!$O$5:$O$404,Performance!$B$5:$B$404,B45)))</f>
        <v>0</v>
      </c>
      <c r="Q45" s="23">
        <f>IF(B45="","",IF(COUNTIF(Performance!$B$5:$B$404,B45)=0,"",SUMIFS(Performance!$P$5:$P$404,Performance!$B$5:$B$404,B45)))</f>
        <v>0</v>
      </c>
      <c r="R45" s="23">
        <f>IF(B45="","",IF(COUNTIF(Performance!$B$5:$B$404,B45)=0,"",SUMIFS(Performance!$Z$5:$Z$404,Performance!$B$5:$B$404,B45)))</f>
        <v>0</v>
      </c>
      <c r="S45" s="24">
        <f>IF(OR(P45="",P45=0),"",R45/P45)</f>
        <v>0</v>
      </c>
      <c r="T45" s="23">
        <f>IF(B45="","",IF(COUNTIF(Performance!$B$5:$B$404,B45)=0,"",SUMIFS(Performance!$T$5:$T$404,Performance!$B$5:$B$404,B45)))</f>
        <v>0</v>
      </c>
      <c r="U45" s="23">
        <f>IF(B45="","",IF(COUNTIF(Performance!$B$5:$B$404,B45)=0,"",SUMIFS(Performance!$S$5:$S$404,Performance!$B$5:$B$404,B45)))</f>
        <v>0</v>
      </c>
      <c r="V45" s="23">
        <f>IF(B45="","",IF(COUNTIF(Performance!$B$5:$B$404,B45)=0,"",SUMIFS(Performance!$R$5:$R$404,Performance!$B$5:$B$404,B45)))</f>
        <v>0</v>
      </c>
      <c r="W45" s="23">
        <f>IF(B45="","",IF(COUNTIF(Performance!$B$5:$B$404,B45)=0,"",SUMIFS(Performance!$U$5:$U$404,Performance!$B$5:$B$404,B45)))</f>
        <v>0</v>
      </c>
      <c r="X45" s="29">
        <f>IF(B45="","",IF(C45="Not found","Check - content ID not on the calendar",IF(AND(G45="Reel",J45=0),"Add - reel length missing",IF(K45="","Add - no cover image",IF(AND(P45&lt;&gt;"",S45&lt;TargetEngagement),"Review - below your target rate","OK")))))</f>
        <v>0</v>
      </c>
    </row>
    <row r="46" spans="1:24">
      <c r="A46" s="41">
        <f>IF(B46="","","IG-"&amp;TEXT(ROW()-4,"000"))</f>
        <v>0</v>
      </c>
      <c r="C46" s="17">
        <f>IF(B46="","",IFERROR(INDEX('Content Calendar'!$H$5:$H$604,MATCH(B46,'Content Calendar'!$A$5:$A$604,0)),"Not found"))</f>
        <v>0</v>
      </c>
      <c r="D46" s="16">
        <f>IF(B46="","",IFERROR(INDEX('Content Calendar'!$B$5:$B$604,MATCH(B46,'Content Calendar'!$A$5:$A$604,0)),"Not found"))</f>
        <v>0</v>
      </c>
      <c r="E46" s="17">
        <f>IF(B46="","",IFERROR(INDEX('Content Calendar'!$J$5:$J$604,MATCH(B46,'Content Calendar'!$A$5:$A$604,0)),"Not found"))</f>
        <v>0</v>
      </c>
      <c r="F46" s="29">
        <f>IF(B46="","",IFERROR(INDEX('Content Calendar'!$X$5:$X$604,MATCH(B46,'Content Calendar'!$A$5:$A$604,0)),"Not found"))</f>
        <v>0</v>
      </c>
      <c r="P46" s="23">
        <f>IF(B46="","",IF(COUNTIF(Performance!$B$5:$B$404,B46)=0,"",SUMIFS(Performance!$O$5:$O$404,Performance!$B$5:$B$404,B46)))</f>
        <v>0</v>
      </c>
      <c r="Q46" s="23">
        <f>IF(B46="","",IF(COUNTIF(Performance!$B$5:$B$404,B46)=0,"",SUMIFS(Performance!$P$5:$P$404,Performance!$B$5:$B$404,B46)))</f>
        <v>0</v>
      </c>
      <c r="R46" s="23">
        <f>IF(B46="","",IF(COUNTIF(Performance!$B$5:$B$404,B46)=0,"",SUMIFS(Performance!$Z$5:$Z$404,Performance!$B$5:$B$404,B46)))</f>
        <v>0</v>
      </c>
      <c r="S46" s="24">
        <f>IF(OR(P46="",P46=0),"",R46/P46)</f>
        <v>0</v>
      </c>
      <c r="T46" s="23">
        <f>IF(B46="","",IF(COUNTIF(Performance!$B$5:$B$404,B46)=0,"",SUMIFS(Performance!$T$5:$T$404,Performance!$B$5:$B$404,B46)))</f>
        <v>0</v>
      </c>
      <c r="U46" s="23">
        <f>IF(B46="","",IF(COUNTIF(Performance!$B$5:$B$404,B46)=0,"",SUMIFS(Performance!$S$5:$S$404,Performance!$B$5:$B$404,B46)))</f>
        <v>0</v>
      </c>
      <c r="V46" s="23">
        <f>IF(B46="","",IF(COUNTIF(Performance!$B$5:$B$404,B46)=0,"",SUMIFS(Performance!$R$5:$R$404,Performance!$B$5:$B$404,B46)))</f>
        <v>0</v>
      </c>
      <c r="W46" s="23">
        <f>IF(B46="","",IF(COUNTIF(Performance!$B$5:$B$404,B46)=0,"",SUMIFS(Performance!$U$5:$U$404,Performance!$B$5:$B$404,B46)))</f>
        <v>0</v>
      </c>
      <c r="X46" s="29">
        <f>IF(B46="","",IF(C46="Not found","Check - content ID not on the calendar",IF(AND(G46="Reel",J46=0),"Add - reel length missing",IF(K46="","Add - no cover image",IF(AND(P46&lt;&gt;"",S46&lt;TargetEngagement),"Review - below your target rate","OK")))))</f>
        <v>0</v>
      </c>
    </row>
    <row r="47" spans="1:24">
      <c r="A47" s="41">
        <f>IF(B47="","","IG-"&amp;TEXT(ROW()-4,"000"))</f>
        <v>0</v>
      </c>
      <c r="C47" s="17">
        <f>IF(B47="","",IFERROR(INDEX('Content Calendar'!$H$5:$H$604,MATCH(B47,'Content Calendar'!$A$5:$A$604,0)),"Not found"))</f>
        <v>0</v>
      </c>
      <c r="D47" s="16">
        <f>IF(B47="","",IFERROR(INDEX('Content Calendar'!$B$5:$B$604,MATCH(B47,'Content Calendar'!$A$5:$A$604,0)),"Not found"))</f>
        <v>0</v>
      </c>
      <c r="E47" s="17">
        <f>IF(B47="","",IFERROR(INDEX('Content Calendar'!$J$5:$J$604,MATCH(B47,'Content Calendar'!$A$5:$A$604,0)),"Not found"))</f>
        <v>0</v>
      </c>
      <c r="F47" s="29">
        <f>IF(B47="","",IFERROR(INDEX('Content Calendar'!$X$5:$X$604,MATCH(B47,'Content Calendar'!$A$5:$A$604,0)),"Not found"))</f>
        <v>0</v>
      </c>
      <c r="P47" s="23">
        <f>IF(B47="","",IF(COUNTIF(Performance!$B$5:$B$404,B47)=0,"",SUMIFS(Performance!$O$5:$O$404,Performance!$B$5:$B$404,B47)))</f>
        <v>0</v>
      </c>
      <c r="Q47" s="23">
        <f>IF(B47="","",IF(COUNTIF(Performance!$B$5:$B$404,B47)=0,"",SUMIFS(Performance!$P$5:$P$404,Performance!$B$5:$B$404,B47)))</f>
        <v>0</v>
      </c>
      <c r="R47" s="23">
        <f>IF(B47="","",IF(COUNTIF(Performance!$B$5:$B$404,B47)=0,"",SUMIFS(Performance!$Z$5:$Z$404,Performance!$B$5:$B$404,B47)))</f>
        <v>0</v>
      </c>
      <c r="S47" s="24">
        <f>IF(OR(P47="",P47=0),"",R47/P47)</f>
        <v>0</v>
      </c>
      <c r="T47" s="23">
        <f>IF(B47="","",IF(COUNTIF(Performance!$B$5:$B$404,B47)=0,"",SUMIFS(Performance!$T$5:$T$404,Performance!$B$5:$B$404,B47)))</f>
        <v>0</v>
      </c>
      <c r="U47" s="23">
        <f>IF(B47="","",IF(COUNTIF(Performance!$B$5:$B$404,B47)=0,"",SUMIFS(Performance!$S$5:$S$404,Performance!$B$5:$B$404,B47)))</f>
        <v>0</v>
      </c>
      <c r="V47" s="23">
        <f>IF(B47="","",IF(COUNTIF(Performance!$B$5:$B$404,B47)=0,"",SUMIFS(Performance!$R$5:$R$404,Performance!$B$5:$B$404,B47)))</f>
        <v>0</v>
      </c>
      <c r="W47" s="23">
        <f>IF(B47="","",IF(COUNTIF(Performance!$B$5:$B$404,B47)=0,"",SUMIFS(Performance!$U$5:$U$404,Performance!$B$5:$B$404,B47)))</f>
        <v>0</v>
      </c>
      <c r="X47" s="29">
        <f>IF(B47="","",IF(C47="Not found","Check - content ID not on the calendar",IF(AND(G47="Reel",J47=0),"Add - reel length missing",IF(K47="","Add - no cover image",IF(AND(P47&lt;&gt;"",S47&lt;TargetEngagement),"Review - below your target rate","OK")))))</f>
        <v>0</v>
      </c>
    </row>
    <row r="48" spans="1:24">
      <c r="A48" s="41">
        <f>IF(B48="","","IG-"&amp;TEXT(ROW()-4,"000"))</f>
        <v>0</v>
      </c>
      <c r="C48" s="17">
        <f>IF(B48="","",IFERROR(INDEX('Content Calendar'!$H$5:$H$604,MATCH(B48,'Content Calendar'!$A$5:$A$604,0)),"Not found"))</f>
        <v>0</v>
      </c>
      <c r="D48" s="16">
        <f>IF(B48="","",IFERROR(INDEX('Content Calendar'!$B$5:$B$604,MATCH(B48,'Content Calendar'!$A$5:$A$604,0)),"Not found"))</f>
        <v>0</v>
      </c>
      <c r="E48" s="17">
        <f>IF(B48="","",IFERROR(INDEX('Content Calendar'!$J$5:$J$604,MATCH(B48,'Content Calendar'!$A$5:$A$604,0)),"Not found"))</f>
        <v>0</v>
      </c>
      <c r="F48" s="29">
        <f>IF(B48="","",IFERROR(INDEX('Content Calendar'!$X$5:$X$604,MATCH(B48,'Content Calendar'!$A$5:$A$604,0)),"Not found"))</f>
        <v>0</v>
      </c>
      <c r="P48" s="23">
        <f>IF(B48="","",IF(COUNTIF(Performance!$B$5:$B$404,B48)=0,"",SUMIFS(Performance!$O$5:$O$404,Performance!$B$5:$B$404,B48)))</f>
        <v>0</v>
      </c>
      <c r="Q48" s="23">
        <f>IF(B48="","",IF(COUNTIF(Performance!$B$5:$B$404,B48)=0,"",SUMIFS(Performance!$P$5:$P$404,Performance!$B$5:$B$404,B48)))</f>
        <v>0</v>
      </c>
      <c r="R48" s="23">
        <f>IF(B48="","",IF(COUNTIF(Performance!$B$5:$B$404,B48)=0,"",SUMIFS(Performance!$Z$5:$Z$404,Performance!$B$5:$B$404,B48)))</f>
        <v>0</v>
      </c>
      <c r="S48" s="24">
        <f>IF(OR(P48="",P48=0),"",R48/P48)</f>
        <v>0</v>
      </c>
      <c r="T48" s="23">
        <f>IF(B48="","",IF(COUNTIF(Performance!$B$5:$B$404,B48)=0,"",SUMIFS(Performance!$T$5:$T$404,Performance!$B$5:$B$404,B48)))</f>
        <v>0</v>
      </c>
      <c r="U48" s="23">
        <f>IF(B48="","",IF(COUNTIF(Performance!$B$5:$B$404,B48)=0,"",SUMIFS(Performance!$S$5:$S$404,Performance!$B$5:$B$404,B48)))</f>
        <v>0</v>
      </c>
      <c r="V48" s="23">
        <f>IF(B48="","",IF(COUNTIF(Performance!$B$5:$B$404,B48)=0,"",SUMIFS(Performance!$R$5:$R$404,Performance!$B$5:$B$404,B48)))</f>
        <v>0</v>
      </c>
      <c r="W48" s="23">
        <f>IF(B48="","",IF(COUNTIF(Performance!$B$5:$B$404,B48)=0,"",SUMIFS(Performance!$U$5:$U$404,Performance!$B$5:$B$404,B48)))</f>
        <v>0</v>
      </c>
      <c r="X48" s="29">
        <f>IF(B48="","",IF(C48="Not found","Check - content ID not on the calendar",IF(AND(G48="Reel",J48=0),"Add - reel length missing",IF(K48="","Add - no cover image",IF(AND(P48&lt;&gt;"",S48&lt;TargetEngagement),"Review - below your target rate","OK")))))</f>
        <v>0</v>
      </c>
    </row>
    <row r="49" spans="1:24">
      <c r="A49" s="41">
        <f>IF(B49="","","IG-"&amp;TEXT(ROW()-4,"000"))</f>
        <v>0</v>
      </c>
      <c r="C49" s="17">
        <f>IF(B49="","",IFERROR(INDEX('Content Calendar'!$H$5:$H$604,MATCH(B49,'Content Calendar'!$A$5:$A$604,0)),"Not found"))</f>
        <v>0</v>
      </c>
      <c r="D49" s="16">
        <f>IF(B49="","",IFERROR(INDEX('Content Calendar'!$B$5:$B$604,MATCH(B49,'Content Calendar'!$A$5:$A$604,0)),"Not found"))</f>
        <v>0</v>
      </c>
      <c r="E49" s="17">
        <f>IF(B49="","",IFERROR(INDEX('Content Calendar'!$J$5:$J$604,MATCH(B49,'Content Calendar'!$A$5:$A$604,0)),"Not found"))</f>
        <v>0</v>
      </c>
      <c r="F49" s="29">
        <f>IF(B49="","",IFERROR(INDEX('Content Calendar'!$X$5:$X$604,MATCH(B49,'Content Calendar'!$A$5:$A$604,0)),"Not found"))</f>
        <v>0</v>
      </c>
      <c r="P49" s="23">
        <f>IF(B49="","",IF(COUNTIF(Performance!$B$5:$B$404,B49)=0,"",SUMIFS(Performance!$O$5:$O$404,Performance!$B$5:$B$404,B49)))</f>
        <v>0</v>
      </c>
      <c r="Q49" s="23">
        <f>IF(B49="","",IF(COUNTIF(Performance!$B$5:$B$404,B49)=0,"",SUMIFS(Performance!$P$5:$P$404,Performance!$B$5:$B$404,B49)))</f>
        <v>0</v>
      </c>
      <c r="R49" s="23">
        <f>IF(B49="","",IF(COUNTIF(Performance!$B$5:$B$404,B49)=0,"",SUMIFS(Performance!$Z$5:$Z$404,Performance!$B$5:$B$404,B49)))</f>
        <v>0</v>
      </c>
      <c r="S49" s="24">
        <f>IF(OR(P49="",P49=0),"",R49/P49)</f>
        <v>0</v>
      </c>
      <c r="T49" s="23">
        <f>IF(B49="","",IF(COUNTIF(Performance!$B$5:$B$404,B49)=0,"",SUMIFS(Performance!$T$5:$T$404,Performance!$B$5:$B$404,B49)))</f>
        <v>0</v>
      </c>
      <c r="U49" s="23">
        <f>IF(B49="","",IF(COUNTIF(Performance!$B$5:$B$404,B49)=0,"",SUMIFS(Performance!$S$5:$S$404,Performance!$B$5:$B$404,B49)))</f>
        <v>0</v>
      </c>
      <c r="V49" s="23">
        <f>IF(B49="","",IF(COUNTIF(Performance!$B$5:$B$404,B49)=0,"",SUMIFS(Performance!$R$5:$R$404,Performance!$B$5:$B$404,B49)))</f>
        <v>0</v>
      </c>
      <c r="W49" s="23">
        <f>IF(B49="","",IF(COUNTIF(Performance!$B$5:$B$404,B49)=0,"",SUMIFS(Performance!$U$5:$U$404,Performance!$B$5:$B$404,B49)))</f>
        <v>0</v>
      </c>
      <c r="X49" s="29">
        <f>IF(B49="","",IF(C49="Not found","Check - content ID not on the calendar",IF(AND(G49="Reel",J49=0),"Add - reel length missing",IF(K49="","Add - no cover image",IF(AND(P49&lt;&gt;"",S49&lt;TargetEngagement),"Review - below your target rate","OK")))))</f>
        <v>0</v>
      </c>
    </row>
    <row r="50" spans="1:24">
      <c r="A50" s="41">
        <f>IF(B50="","","IG-"&amp;TEXT(ROW()-4,"000"))</f>
        <v>0</v>
      </c>
      <c r="C50" s="17">
        <f>IF(B50="","",IFERROR(INDEX('Content Calendar'!$H$5:$H$604,MATCH(B50,'Content Calendar'!$A$5:$A$604,0)),"Not found"))</f>
        <v>0</v>
      </c>
      <c r="D50" s="16">
        <f>IF(B50="","",IFERROR(INDEX('Content Calendar'!$B$5:$B$604,MATCH(B50,'Content Calendar'!$A$5:$A$604,0)),"Not found"))</f>
        <v>0</v>
      </c>
      <c r="E50" s="17">
        <f>IF(B50="","",IFERROR(INDEX('Content Calendar'!$J$5:$J$604,MATCH(B50,'Content Calendar'!$A$5:$A$604,0)),"Not found"))</f>
        <v>0</v>
      </c>
      <c r="F50" s="29">
        <f>IF(B50="","",IFERROR(INDEX('Content Calendar'!$X$5:$X$604,MATCH(B50,'Content Calendar'!$A$5:$A$604,0)),"Not found"))</f>
        <v>0</v>
      </c>
      <c r="P50" s="23">
        <f>IF(B50="","",IF(COUNTIF(Performance!$B$5:$B$404,B50)=0,"",SUMIFS(Performance!$O$5:$O$404,Performance!$B$5:$B$404,B50)))</f>
        <v>0</v>
      </c>
      <c r="Q50" s="23">
        <f>IF(B50="","",IF(COUNTIF(Performance!$B$5:$B$404,B50)=0,"",SUMIFS(Performance!$P$5:$P$404,Performance!$B$5:$B$404,B50)))</f>
        <v>0</v>
      </c>
      <c r="R50" s="23">
        <f>IF(B50="","",IF(COUNTIF(Performance!$B$5:$B$404,B50)=0,"",SUMIFS(Performance!$Z$5:$Z$404,Performance!$B$5:$B$404,B50)))</f>
        <v>0</v>
      </c>
      <c r="S50" s="24">
        <f>IF(OR(P50="",P50=0),"",R50/P50)</f>
        <v>0</v>
      </c>
      <c r="T50" s="23">
        <f>IF(B50="","",IF(COUNTIF(Performance!$B$5:$B$404,B50)=0,"",SUMIFS(Performance!$T$5:$T$404,Performance!$B$5:$B$404,B50)))</f>
        <v>0</v>
      </c>
      <c r="U50" s="23">
        <f>IF(B50="","",IF(COUNTIF(Performance!$B$5:$B$404,B50)=0,"",SUMIFS(Performance!$S$5:$S$404,Performance!$B$5:$B$404,B50)))</f>
        <v>0</v>
      </c>
      <c r="V50" s="23">
        <f>IF(B50="","",IF(COUNTIF(Performance!$B$5:$B$404,B50)=0,"",SUMIFS(Performance!$R$5:$R$404,Performance!$B$5:$B$404,B50)))</f>
        <v>0</v>
      </c>
      <c r="W50" s="23">
        <f>IF(B50="","",IF(COUNTIF(Performance!$B$5:$B$404,B50)=0,"",SUMIFS(Performance!$U$5:$U$404,Performance!$B$5:$B$404,B50)))</f>
        <v>0</v>
      </c>
      <c r="X50" s="29">
        <f>IF(B50="","",IF(C50="Not found","Check - content ID not on the calendar",IF(AND(G50="Reel",J50=0),"Add - reel length missing",IF(K50="","Add - no cover image",IF(AND(P50&lt;&gt;"",S50&lt;TargetEngagement),"Review - below your target rate","OK")))))</f>
        <v>0</v>
      </c>
    </row>
    <row r="51" spans="1:24">
      <c r="A51" s="41">
        <f>IF(B51="","","IG-"&amp;TEXT(ROW()-4,"000"))</f>
        <v>0</v>
      </c>
      <c r="C51" s="17">
        <f>IF(B51="","",IFERROR(INDEX('Content Calendar'!$H$5:$H$604,MATCH(B51,'Content Calendar'!$A$5:$A$604,0)),"Not found"))</f>
        <v>0</v>
      </c>
      <c r="D51" s="16">
        <f>IF(B51="","",IFERROR(INDEX('Content Calendar'!$B$5:$B$604,MATCH(B51,'Content Calendar'!$A$5:$A$604,0)),"Not found"))</f>
        <v>0</v>
      </c>
      <c r="E51" s="17">
        <f>IF(B51="","",IFERROR(INDEX('Content Calendar'!$J$5:$J$604,MATCH(B51,'Content Calendar'!$A$5:$A$604,0)),"Not found"))</f>
        <v>0</v>
      </c>
      <c r="F51" s="29">
        <f>IF(B51="","",IFERROR(INDEX('Content Calendar'!$X$5:$X$604,MATCH(B51,'Content Calendar'!$A$5:$A$604,0)),"Not found"))</f>
        <v>0</v>
      </c>
      <c r="P51" s="23">
        <f>IF(B51="","",IF(COUNTIF(Performance!$B$5:$B$404,B51)=0,"",SUMIFS(Performance!$O$5:$O$404,Performance!$B$5:$B$404,B51)))</f>
        <v>0</v>
      </c>
      <c r="Q51" s="23">
        <f>IF(B51="","",IF(COUNTIF(Performance!$B$5:$B$404,B51)=0,"",SUMIFS(Performance!$P$5:$P$404,Performance!$B$5:$B$404,B51)))</f>
        <v>0</v>
      </c>
      <c r="R51" s="23">
        <f>IF(B51="","",IF(COUNTIF(Performance!$B$5:$B$404,B51)=0,"",SUMIFS(Performance!$Z$5:$Z$404,Performance!$B$5:$B$404,B51)))</f>
        <v>0</v>
      </c>
      <c r="S51" s="24">
        <f>IF(OR(P51="",P51=0),"",R51/P51)</f>
        <v>0</v>
      </c>
      <c r="T51" s="23">
        <f>IF(B51="","",IF(COUNTIF(Performance!$B$5:$B$404,B51)=0,"",SUMIFS(Performance!$T$5:$T$404,Performance!$B$5:$B$404,B51)))</f>
        <v>0</v>
      </c>
      <c r="U51" s="23">
        <f>IF(B51="","",IF(COUNTIF(Performance!$B$5:$B$404,B51)=0,"",SUMIFS(Performance!$S$5:$S$404,Performance!$B$5:$B$404,B51)))</f>
        <v>0</v>
      </c>
      <c r="V51" s="23">
        <f>IF(B51="","",IF(COUNTIF(Performance!$B$5:$B$404,B51)=0,"",SUMIFS(Performance!$R$5:$R$404,Performance!$B$5:$B$404,B51)))</f>
        <v>0</v>
      </c>
      <c r="W51" s="23">
        <f>IF(B51="","",IF(COUNTIF(Performance!$B$5:$B$404,B51)=0,"",SUMIFS(Performance!$U$5:$U$404,Performance!$B$5:$B$404,B51)))</f>
        <v>0</v>
      </c>
      <c r="X51" s="29">
        <f>IF(B51="","",IF(C51="Not found","Check - content ID not on the calendar",IF(AND(G51="Reel",J51=0),"Add - reel length missing",IF(K51="","Add - no cover image",IF(AND(P51&lt;&gt;"",S51&lt;TargetEngagement),"Review - below your target rate","OK")))))</f>
        <v>0</v>
      </c>
    </row>
    <row r="52" spans="1:24">
      <c r="A52" s="41">
        <f>IF(B52="","","IG-"&amp;TEXT(ROW()-4,"000"))</f>
        <v>0</v>
      </c>
      <c r="C52" s="17">
        <f>IF(B52="","",IFERROR(INDEX('Content Calendar'!$H$5:$H$604,MATCH(B52,'Content Calendar'!$A$5:$A$604,0)),"Not found"))</f>
        <v>0</v>
      </c>
      <c r="D52" s="16">
        <f>IF(B52="","",IFERROR(INDEX('Content Calendar'!$B$5:$B$604,MATCH(B52,'Content Calendar'!$A$5:$A$604,0)),"Not found"))</f>
        <v>0</v>
      </c>
      <c r="E52" s="17">
        <f>IF(B52="","",IFERROR(INDEX('Content Calendar'!$J$5:$J$604,MATCH(B52,'Content Calendar'!$A$5:$A$604,0)),"Not found"))</f>
        <v>0</v>
      </c>
      <c r="F52" s="29">
        <f>IF(B52="","",IFERROR(INDEX('Content Calendar'!$X$5:$X$604,MATCH(B52,'Content Calendar'!$A$5:$A$604,0)),"Not found"))</f>
        <v>0</v>
      </c>
      <c r="P52" s="23">
        <f>IF(B52="","",IF(COUNTIF(Performance!$B$5:$B$404,B52)=0,"",SUMIFS(Performance!$O$5:$O$404,Performance!$B$5:$B$404,B52)))</f>
        <v>0</v>
      </c>
      <c r="Q52" s="23">
        <f>IF(B52="","",IF(COUNTIF(Performance!$B$5:$B$404,B52)=0,"",SUMIFS(Performance!$P$5:$P$404,Performance!$B$5:$B$404,B52)))</f>
        <v>0</v>
      </c>
      <c r="R52" s="23">
        <f>IF(B52="","",IF(COUNTIF(Performance!$B$5:$B$404,B52)=0,"",SUMIFS(Performance!$Z$5:$Z$404,Performance!$B$5:$B$404,B52)))</f>
        <v>0</v>
      </c>
      <c r="S52" s="24">
        <f>IF(OR(P52="",P52=0),"",R52/P52)</f>
        <v>0</v>
      </c>
      <c r="T52" s="23">
        <f>IF(B52="","",IF(COUNTIF(Performance!$B$5:$B$404,B52)=0,"",SUMIFS(Performance!$T$5:$T$404,Performance!$B$5:$B$404,B52)))</f>
        <v>0</v>
      </c>
      <c r="U52" s="23">
        <f>IF(B52="","",IF(COUNTIF(Performance!$B$5:$B$404,B52)=0,"",SUMIFS(Performance!$S$5:$S$404,Performance!$B$5:$B$404,B52)))</f>
        <v>0</v>
      </c>
      <c r="V52" s="23">
        <f>IF(B52="","",IF(COUNTIF(Performance!$B$5:$B$404,B52)=0,"",SUMIFS(Performance!$R$5:$R$404,Performance!$B$5:$B$404,B52)))</f>
        <v>0</v>
      </c>
      <c r="W52" s="23">
        <f>IF(B52="","",IF(COUNTIF(Performance!$B$5:$B$404,B52)=0,"",SUMIFS(Performance!$U$5:$U$404,Performance!$B$5:$B$404,B52)))</f>
        <v>0</v>
      </c>
      <c r="X52" s="29">
        <f>IF(B52="","",IF(C52="Not found","Check - content ID not on the calendar",IF(AND(G52="Reel",J52=0),"Add - reel length missing",IF(K52="","Add - no cover image",IF(AND(P52&lt;&gt;"",S52&lt;TargetEngagement),"Review - below your target rate","OK")))))</f>
        <v>0</v>
      </c>
    </row>
    <row r="53" spans="1:24">
      <c r="A53" s="41">
        <f>IF(B53="","","IG-"&amp;TEXT(ROW()-4,"000"))</f>
        <v>0</v>
      </c>
      <c r="C53" s="17">
        <f>IF(B53="","",IFERROR(INDEX('Content Calendar'!$H$5:$H$604,MATCH(B53,'Content Calendar'!$A$5:$A$604,0)),"Not found"))</f>
        <v>0</v>
      </c>
      <c r="D53" s="16">
        <f>IF(B53="","",IFERROR(INDEX('Content Calendar'!$B$5:$B$604,MATCH(B53,'Content Calendar'!$A$5:$A$604,0)),"Not found"))</f>
        <v>0</v>
      </c>
      <c r="E53" s="17">
        <f>IF(B53="","",IFERROR(INDEX('Content Calendar'!$J$5:$J$604,MATCH(B53,'Content Calendar'!$A$5:$A$604,0)),"Not found"))</f>
        <v>0</v>
      </c>
      <c r="F53" s="29">
        <f>IF(B53="","",IFERROR(INDEX('Content Calendar'!$X$5:$X$604,MATCH(B53,'Content Calendar'!$A$5:$A$604,0)),"Not found"))</f>
        <v>0</v>
      </c>
      <c r="P53" s="23">
        <f>IF(B53="","",IF(COUNTIF(Performance!$B$5:$B$404,B53)=0,"",SUMIFS(Performance!$O$5:$O$404,Performance!$B$5:$B$404,B53)))</f>
        <v>0</v>
      </c>
      <c r="Q53" s="23">
        <f>IF(B53="","",IF(COUNTIF(Performance!$B$5:$B$404,B53)=0,"",SUMIFS(Performance!$P$5:$P$404,Performance!$B$5:$B$404,B53)))</f>
        <v>0</v>
      </c>
      <c r="R53" s="23">
        <f>IF(B53="","",IF(COUNTIF(Performance!$B$5:$B$404,B53)=0,"",SUMIFS(Performance!$Z$5:$Z$404,Performance!$B$5:$B$404,B53)))</f>
        <v>0</v>
      </c>
      <c r="S53" s="24">
        <f>IF(OR(P53="",P53=0),"",R53/P53)</f>
        <v>0</v>
      </c>
      <c r="T53" s="23">
        <f>IF(B53="","",IF(COUNTIF(Performance!$B$5:$B$404,B53)=0,"",SUMIFS(Performance!$T$5:$T$404,Performance!$B$5:$B$404,B53)))</f>
        <v>0</v>
      </c>
      <c r="U53" s="23">
        <f>IF(B53="","",IF(COUNTIF(Performance!$B$5:$B$404,B53)=0,"",SUMIFS(Performance!$S$5:$S$404,Performance!$B$5:$B$404,B53)))</f>
        <v>0</v>
      </c>
      <c r="V53" s="23">
        <f>IF(B53="","",IF(COUNTIF(Performance!$B$5:$B$404,B53)=0,"",SUMIFS(Performance!$R$5:$R$404,Performance!$B$5:$B$404,B53)))</f>
        <v>0</v>
      </c>
      <c r="W53" s="23">
        <f>IF(B53="","",IF(COUNTIF(Performance!$B$5:$B$404,B53)=0,"",SUMIFS(Performance!$U$5:$U$404,Performance!$B$5:$B$404,B53)))</f>
        <v>0</v>
      </c>
      <c r="X53" s="29">
        <f>IF(B53="","",IF(C53="Not found","Check - content ID not on the calendar",IF(AND(G53="Reel",J53=0),"Add - reel length missing",IF(K53="","Add - no cover image",IF(AND(P53&lt;&gt;"",S53&lt;TargetEngagement),"Review - below your target rate","OK")))))</f>
        <v>0</v>
      </c>
    </row>
    <row r="54" spans="1:24">
      <c r="A54" s="41">
        <f>IF(B54="","","IG-"&amp;TEXT(ROW()-4,"000"))</f>
        <v>0</v>
      </c>
      <c r="C54" s="17">
        <f>IF(B54="","",IFERROR(INDEX('Content Calendar'!$H$5:$H$604,MATCH(B54,'Content Calendar'!$A$5:$A$604,0)),"Not found"))</f>
        <v>0</v>
      </c>
      <c r="D54" s="16">
        <f>IF(B54="","",IFERROR(INDEX('Content Calendar'!$B$5:$B$604,MATCH(B54,'Content Calendar'!$A$5:$A$604,0)),"Not found"))</f>
        <v>0</v>
      </c>
      <c r="E54" s="17">
        <f>IF(B54="","",IFERROR(INDEX('Content Calendar'!$J$5:$J$604,MATCH(B54,'Content Calendar'!$A$5:$A$604,0)),"Not found"))</f>
        <v>0</v>
      </c>
      <c r="F54" s="29">
        <f>IF(B54="","",IFERROR(INDEX('Content Calendar'!$X$5:$X$604,MATCH(B54,'Content Calendar'!$A$5:$A$604,0)),"Not found"))</f>
        <v>0</v>
      </c>
      <c r="P54" s="23">
        <f>IF(B54="","",IF(COUNTIF(Performance!$B$5:$B$404,B54)=0,"",SUMIFS(Performance!$O$5:$O$404,Performance!$B$5:$B$404,B54)))</f>
        <v>0</v>
      </c>
      <c r="Q54" s="23">
        <f>IF(B54="","",IF(COUNTIF(Performance!$B$5:$B$404,B54)=0,"",SUMIFS(Performance!$P$5:$P$404,Performance!$B$5:$B$404,B54)))</f>
        <v>0</v>
      </c>
      <c r="R54" s="23">
        <f>IF(B54="","",IF(COUNTIF(Performance!$B$5:$B$404,B54)=0,"",SUMIFS(Performance!$Z$5:$Z$404,Performance!$B$5:$B$404,B54)))</f>
        <v>0</v>
      </c>
      <c r="S54" s="24">
        <f>IF(OR(P54="",P54=0),"",R54/P54)</f>
        <v>0</v>
      </c>
      <c r="T54" s="23">
        <f>IF(B54="","",IF(COUNTIF(Performance!$B$5:$B$404,B54)=0,"",SUMIFS(Performance!$T$5:$T$404,Performance!$B$5:$B$404,B54)))</f>
        <v>0</v>
      </c>
      <c r="U54" s="23">
        <f>IF(B54="","",IF(COUNTIF(Performance!$B$5:$B$404,B54)=0,"",SUMIFS(Performance!$S$5:$S$404,Performance!$B$5:$B$404,B54)))</f>
        <v>0</v>
      </c>
      <c r="V54" s="23">
        <f>IF(B54="","",IF(COUNTIF(Performance!$B$5:$B$404,B54)=0,"",SUMIFS(Performance!$R$5:$R$404,Performance!$B$5:$B$404,B54)))</f>
        <v>0</v>
      </c>
      <c r="W54" s="23">
        <f>IF(B54="","",IF(COUNTIF(Performance!$B$5:$B$404,B54)=0,"",SUMIFS(Performance!$U$5:$U$404,Performance!$B$5:$B$404,B54)))</f>
        <v>0</v>
      </c>
      <c r="X54" s="29">
        <f>IF(B54="","",IF(C54="Not found","Check - content ID not on the calendar",IF(AND(G54="Reel",J54=0),"Add - reel length missing",IF(K54="","Add - no cover image",IF(AND(P54&lt;&gt;"",S54&lt;TargetEngagement),"Review - below your target rate","OK")))))</f>
        <v>0</v>
      </c>
    </row>
    <row r="55" spans="1:24">
      <c r="A55" s="41">
        <f>IF(B55="","","IG-"&amp;TEXT(ROW()-4,"000"))</f>
        <v>0</v>
      </c>
      <c r="C55" s="17">
        <f>IF(B55="","",IFERROR(INDEX('Content Calendar'!$H$5:$H$604,MATCH(B55,'Content Calendar'!$A$5:$A$604,0)),"Not found"))</f>
        <v>0</v>
      </c>
      <c r="D55" s="16">
        <f>IF(B55="","",IFERROR(INDEX('Content Calendar'!$B$5:$B$604,MATCH(B55,'Content Calendar'!$A$5:$A$604,0)),"Not found"))</f>
        <v>0</v>
      </c>
      <c r="E55" s="17">
        <f>IF(B55="","",IFERROR(INDEX('Content Calendar'!$J$5:$J$604,MATCH(B55,'Content Calendar'!$A$5:$A$604,0)),"Not found"))</f>
        <v>0</v>
      </c>
      <c r="F55" s="29">
        <f>IF(B55="","",IFERROR(INDEX('Content Calendar'!$X$5:$X$604,MATCH(B55,'Content Calendar'!$A$5:$A$604,0)),"Not found"))</f>
        <v>0</v>
      </c>
      <c r="P55" s="23">
        <f>IF(B55="","",IF(COUNTIF(Performance!$B$5:$B$404,B55)=0,"",SUMIFS(Performance!$O$5:$O$404,Performance!$B$5:$B$404,B55)))</f>
        <v>0</v>
      </c>
      <c r="Q55" s="23">
        <f>IF(B55="","",IF(COUNTIF(Performance!$B$5:$B$404,B55)=0,"",SUMIFS(Performance!$P$5:$P$404,Performance!$B$5:$B$404,B55)))</f>
        <v>0</v>
      </c>
      <c r="R55" s="23">
        <f>IF(B55="","",IF(COUNTIF(Performance!$B$5:$B$404,B55)=0,"",SUMIFS(Performance!$Z$5:$Z$404,Performance!$B$5:$B$404,B55)))</f>
        <v>0</v>
      </c>
      <c r="S55" s="24">
        <f>IF(OR(P55="",P55=0),"",R55/P55)</f>
        <v>0</v>
      </c>
      <c r="T55" s="23">
        <f>IF(B55="","",IF(COUNTIF(Performance!$B$5:$B$404,B55)=0,"",SUMIFS(Performance!$T$5:$T$404,Performance!$B$5:$B$404,B55)))</f>
        <v>0</v>
      </c>
      <c r="U55" s="23">
        <f>IF(B55="","",IF(COUNTIF(Performance!$B$5:$B$404,B55)=0,"",SUMIFS(Performance!$S$5:$S$404,Performance!$B$5:$B$404,B55)))</f>
        <v>0</v>
      </c>
      <c r="V55" s="23">
        <f>IF(B55="","",IF(COUNTIF(Performance!$B$5:$B$404,B55)=0,"",SUMIFS(Performance!$R$5:$R$404,Performance!$B$5:$B$404,B55)))</f>
        <v>0</v>
      </c>
      <c r="W55" s="23">
        <f>IF(B55="","",IF(COUNTIF(Performance!$B$5:$B$404,B55)=0,"",SUMIFS(Performance!$U$5:$U$404,Performance!$B$5:$B$404,B55)))</f>
        <v>0</v>
      </c>
      <c r="X55" s="29">
        <f>IF(B55="","",IF(C55="Not found","Check - content ID not on the calendar",IF(AND(G55="Reel",J55=0),"Add - reel length missing",IF(K55="","Add - no cover image",IF(AND(P55&lt;&gt;"",S55&lt;TargetEngagement),"Review - below your target rate","OK")))))</f>
        <v>0</v>
      </c>
    </row>
    <row r="56" spans="1:24">
      <c r="A56" s="41">
        <f>IF(B56="","","IG-"&amp;TEXT(ROW()-4,"000"))</f>
        <v>0</v>
      </c>
      <c r="C56" s="17">
        <f>IF(B56="","",IFERROR(INDEX('Content Calendar'!$H$5:$H$604,MATCH(B56,'Content Calendar'!$A$5:$A$604,0)),"Not found"))</f>
        <v>0</v>
      </c>
      <c r="D56" s="16">
        <f>IF(B56="","",IFERROR(INDEX('Content Calendar'!$B$5:$B$604,MATCH(B56,'Content Calendar'!$A$5:$A$604,0)),"Not found"))</f>
        <v>0</v>
      </c>
      <c r="E56" s="17">
        <f>IF(B56="","",IFERROR(INDEX('Content Calendar'!$J$5:$J$604,MATCH(B56,'Content Calendar'!$A$5:$A$604,0)),"Not found"))</f>
        <v>0</v>
      </c>
      <c r="F56" s="29">
        <f>IF(B56="","",IFERROR(INDEX('Content Calendar'!$X$5:$X$604,MATCH(B56,'Content Calendar'!$A$5:$A$604,0)),"Not found"))</f>
        <v>0</v>
      </c>
      <c r="P56" s="23">
        <f>IF(B56="","",IF(COUNTIF(Performance!$B$5:$B$404,B56)=0,"",SUMIFS(Performance!$O$5:$O$404,Performance!$B$5:$B$404,B56)))</f>
        <v>0</v>
      </c>
      <c r="Q56" s="23">
        <f>IF(B56="","",IF(COUNTIF(Performance!$B$5:$B$404,B56)=0,"",SUMIFS(Performance!$P$5:$P$404,Performance!$B$5:$B$404,B56)))</f>
        <v>0</v>
      </c>
      <c r="R56" s="23">
        <f>IF(B56="","",IF(COUNTIF(Performance!$B$5:$B$404,B56)=0,"",SUMIFS(Performance!$Z$5:$Z$404,Performance!$B$5:$B$404,B56)))</f>
        <v>0</v>
      </c>
      <c r="S56" s="24">
        <f>IF(OR(P56="",P56=0),"",R56/P56)</f>
        <v>0</v>
      </c>
      <c r="T56" s="23">
        <f>IF(B56="","",IF(COUNTIF(Performance!$B$5:$B$404,B56)=0,"",SUMIFS(Performance!$T$5:$T$404,Performance!$B$5:$B$404,B56)))</f>
        <v>0</v>
      </c>
      <c r="U56" s="23">
        <f>IF(B56="","",IF(COUNTIF(Performance!$B$5:$B$404,B56)=0,"",SUMIFS(Performance!$S$5:$S$404,Performance!$B$5:$B$404,B56)))</f>
        <v>0</v>
      </c>
      <c r="V56" s="23">
        <f>IF(B56="","",IF(COUNTIF(Performance!$B$5:$B$404,B56)=0,"",SUMIFS(Performance!$R$5:$R$404,Performance!$B$5:$B$404,B56)))</f>
        <v>0</v>
      </c>
      <c r="W56" s="23">
        <f>IF(B56="","",IF(COUNTIF(Performance!$B$5:$B$404,B56)=0,"",SUMIFS(Performance!$U$5:$U$404,Performance!$B$5:$B$404,B56)))</f>
        <v>0</v>
      </c>
      <c r="X56" s="29">
        <f>IF(B56="","",IF(C56="Not found","Check - content ID not on the calendar",IF(AND(G56="Reel",J56=0),"Add - reel length missing",IF(K56="","Add - no cover image",IF(AND(P56&lt;&gt;"",S56&lt;TargetEngagement),"Review - below your target rate","OK")))))</f>
        <v>0</v>
      </c>
    </row>
    <row r="57" spans="1:24">
      <c r="A57" s="41">
        <f>IF(B57="","","IG-"&amp;TEXT(ROW()-4,"000"))</f>
        <v>0</v>
      </c>
      <c r="C57" s="17">
        <f>IF(B57="","",IFERROR(INDEX('Content Calendar'!$H$5:$H$604,MATCH(B57,'Content Calendar'!$A$5:$A$604,0)),"Not found"))</f>
        <v>0</v>
      </c>
      <c r="D57" s="16">
        <f>IF(B57="","",IFERROR(INDEX('Content Calendar'!$B$5:$B$604,MATCH(B57,'Content Calendar'!$A$5:$A$604,0)),"Not found"))</f>
        <v>0</v>
      </c>
      <c r="E57" s="17">
        <f>IF(B57="","",IFERROR(INDEX('Content Calendar'!$J$5:$J$604,MATCH(B57,'Content Calendar'!$A$5:$A$604,0)),"Not found"))</f>
        <v>0</v>
      </c>
      <c r="F57" s="29">
        <f>IF(B57="","",IFERROR(INDEX('Content Calendar'!$X$5:$X$604,MATCH(B57,'Content Calendar'!$A$5:$A$604,0)),"Not found"))</f>
        <v>0</v>
      </c>
      <c r="P57" s="23">
        <f>IF(B57="","",IF(COUNTIF(Performance!$B$5:$B$404,B57)=0,"",SUMIFS(Performance!$O$5:$O$404,Performance!$B$5:$B$404,B57)))</f>
        <v>0</v>
      </c>
      <c r="Q57" s="23">
        <f>IF(B57="","",IF(COUNTIF(Performance!$B$5:$B$404,B57)=0,"",SUMIFS(Performance!$P$5:$P$404,Performance!$B$5:$B$404,B57)))</f>
        <v>0</v>
      </c>
      <c r="R57" s="23">
        <f>IF(B57="","",IF(COUNTIF(Performance!$B$5:$B$404,B57)=0,"",SUMIFS(Performance!$Z$5:$Z$404,Performance!$B$5:$B$404,B57)))</f>
        <v>0</v>
      </c>
      <c r="S57" s="24">
        <f>IF(OR(P57="",P57=0),"",R57/P57)</f>
        <v>0</v>
      </c>
      <c r="T57" s="23">
        <f>IF(B57="","",IF(COUNTIF(Performance!$B$5:$B$404,B57)=0,"",SUMIFS(Performance!$T$5:$T$404,Performance!$B$5:$B$404,B57)))</f>
        <v>0</v>
      </c>
      <c r="U57" s="23">
        <f>IF(B57="","",IF(COUNTIF(Performance!$B$5:$B$404,B57)=0,"",SUMIFS(Performance!$S$5:$S$404,Performance!$B$5:$B$404,B57)))</f>
        <v>0</v>
      </c>
      <c r="V57" s="23">
        <f>IF(B57="","",IF(COUNTIF(Performance!$B$5:$B$404,B57)=0,"",SUMIFS(Performance!$R$5:$R$404,Performance!$B$5:$B$404,B57)))</f>
        <v>0</v>
      </c>
      <c r="W57" s="23">
        <f>IF(B57="","",IF(COUNTIF(Performance!$B$5:$B$404,B57)=0,"",SUMIFS(Performance!$U$5:$U$404,Performance!$B$5:$B$404,B57)))</f>
        <v>0</v>
      </c>
      <c r="X57" s="29">
        <f>IF(B57="","",IF(C57="Not found","Check - content ID not on the calendar",IF(AND(G57="Reel",J57=0),"Add - reel length missing",IF(K57="","Add - no cover image",IF(AND(P57&lt;&gt;"",S57&lt;TargetEngagement),"Review - below your target rate","OK")))))</f>
        <v>0</v>
      </c>
    </row>
    <row r="58" spans="1:24">
      <c r="A58" s="41">
        <f>IF(B58="","","IG-"&amp;TEXT(ROW()-4,"000"))</f>
        <v>0</v>
      </c>
      <c r="C58" s="17">
        <f>IF(B58="","",IFERROR(INDEX('Content Calendar'!$H$5:$H$604,MATCH(B58,'Content Calendar'!$A$5:$A$604,0)),"Not found"))</f>
        <v>0</v>
      </c>
      <c r="D58" s="16">
        <f>IF(B58="","",IFERROR(INDEX('Content Calendar'!$B$5:$B$604,MATCH(B58,'Content Calendar'!$A$5:$A$604,0)),"Not found"))</f>
        <v>0</v>
      </c>
      <c r="E58" s="17">
        <f>IF(B58="","",IFERROR(INDEX('Content Calendar'!$J$5:$J$604,MATCH(B58,'Content Calendar'!$A$5:$A$604,0)),"Not found"))</f>
        <v>0</v>
      </c>
      <c r="F58" s="29">
        <f>IF(B58="","",IFERROR(INDEX('Content Calendar'!$X$5:$X$604,MATCH(B58,'Content Calendar'!$A$5:$A$604,0)),"Not found"))</f>
        <v>0</v>
      </c>
      <c r="P58" s="23">
        <f>IF(B58="","",IF(COUNTIF(Performance!$B$5:$B$404,B58)=0,"",SUMIFS(Performance!$O$5:$O$404,Performance!$B$5:$B$404,B58)))</f>
        <v>0</v>
      </c>
      <c r="Q58" s="23">
        <f>IF(B58="","",IF(COUNTIF(Performance!$B$5:$B$404,B58)=0,"",SUMIFS(Performance!$P$5:$P$404,Performance!$B$5:$B$404,B58)))</f>
        <v>0</v>
      </c>
      <c r="R58" s="23">
        <f>IF(B58="","",IF(COUNTIF(Performance!$B$5:$B$404,B58)=0,"",SUMIFS(Performance!$Z$5:$Z$404,Performance!$B$5:$B$404,B58)))</f>
        <v>0</v>
      </c>
      <c r="S58" s="24">
        <f>IF(OR(P58="",P58=0),"",R58/P58)</f>
        <v>0</v>
      </c>
      <c r="T58" s="23">
        <f>IF(B58="","",IF(COUNTIF(Performance!$B$5:$B$404,B58)=0,"",SUMIFS(Performance!$T$5:$T$404,Performance!$B$5:$B$404,B58)))</f>
        <v>0</v>
      </c>
      <c r="U58" s="23">
        <f>IF(B58="","",IF(COUNTIF(Performance!$B$5:$B$404,B58)=0,"",SUMIFS(Performance!$S$5:$S$404,Performance!$B$5:$B$404,B58)))</f>
        <v>0</v>
      </c>
      <c r="V58" s="23">
        <f>IF(B58="","",IF(COUNTIF(Performance!$B$5:$B$404,B58)=0,"",SUMIFS(Performance!$R$5:$R$404,Performance!$B$5:$B$404,B58)))</f>
        <v>0</v>
      </c>
      <c r="W58" s="23">
        <f>IF(B58="","",IF(COUNTIF(Performance!$B$5:$B$404,B58)=0,"",SUMIFS(Performance!$U$5:$U$404,Performance!$B$5:$B$404,B58)))</f>
        <v>0</v>
      </c>
      <c r="X58" s="29">
        <f>IF(B58="","",IF(C58="Not found","Check - content ID not on the calendar",IF(AND(G58="Reel",J58=0),"Add - reel length missing",IF(K58="","Add - no cover image",IF(AND(P58&lt;&gt;"",S58&lt;TargetEngagement),"Review - below your target rate","OK")))))</f>
        <v>0</v>
      </c>
    </row>
    <row r="59" spans="1:24">
      <c r="A59" s="41">
        <f>IF(B59="","","IG-"&amp;TEXT(ROW()-4,"000"))</f>
        <v>0</v>
      </c>
      <c r="C59" s="17">
        <f>IF(B59="","",IFERROR(INDEX('Content Calendar'!$H$5:$H$604,MATCH(B59,'Content Calendar'!$A$5:$A$604,0)),"Not found"))</f>
        <v>0</v>
      </c>
      <c r="D59" s="16">
        <f>IF(B59="","",IFERROR(INDEX('Content Calendar'!$B$5:$B$604,MATCH(B59,'Content Calendar'!$A$5:$A$604,0)),"Not found"))</f>
        <v>0</v>
      </c>
      <c r="E59" s="17">
        <f>IF(B59="","",IFERROR(INDEX('Content Calendar'!$J$5:$J$604,MATCH(B59,'Content Calendar'!$A$5:$A$604,0)),"Not found"))</f>
        <v>0</v>
      </c>
      <c r="F59" s="29">
        <f>IF(B59="","",IFERROR(INDEX('Content Calendar'!$X$5:$X$604,MATCH(B59,'Content Calendar'!$A$5:$A$604,0)),"Not found"))</f>
        <v>0</v>
      </c>
      <c r="P59" s="23">
        <f>IF(B59="","",IF(COUNTIF(Performance!$B$5:$B$404,B59)=0,"",SUMIFS(Performance!$O$5:$O$404,Performance!$B$5:$B$404,B59)))</f>
        <v>0</v>
      </c>
      <c r="Q59" s="23">
        <f>IF(B59="","",IF(COUNTIF(Performance!$B$5:$B$404,B59)=0,"",SUMIFS(Performance!$P$5:$P$404,Performance!$B$5:$B$404,B59)))</f>
        <v>0</v>
      </c>
      <c r="R59" s="23">
        <f>IF(B59="","",IF(COUNTIF(Performance!$B$5:$B$404,B59)=0,"",SUMIFS(Performance!$Z$5:$Z$404,Performance!$B$5:$B$404,B59)))</f>
        <v>0</v>
      </c>
      <c r="S59" s="24">
        <f>IF(OR(P59="",P59=0),"",R59/P59)</f>
        <v>0</v>
      </c>
      <c r="T59" s="23">
        <f>IF(B59="","",IF(COUNTIF(Performance!$B$5:$B$404,B59)=0,"",SUMIFS(Performance!$T$5:$T$404,Performance!$B$5:$B$404,B59)))</f>
        <v>0</v>
      </c>
      <c r="U59" s="23">
        <f>IF(B59="","",IF(COUNTIF(Performance!$B$5:$B$404,B59)=0,"",SUMIFS(Performance!$S$5:$S$404,Performance!$B$5:$B$404,B59)))</f>
        <v>0</v>
      </c>
      <c r="V59" s="23">
        <f>IF(B59="","",IF(COUNTIF(Performance!$B$5:$B$404,B59)=0,"",SUMIFS(Performance!$R$5:$R$404,Performance!$B$5:$B$404,B59)))</f>
        <v>0</v>
      </c>
      <c r="W59" s="23">
        <f>IF(B59="","",IF(COUNTIF(Performance!$B$5:$B$404,B59)=0,"",SUMIFS(Performance!$U$5:$U$404,Performance!$B$5:$B$404,B59)))</f>
        <v>0</v>
      </c>
      <c r="X59" s="29">
        <f>IF(B59="","",IF(C59="Not found","Check - content ID not on the calendar",IF(AND(G59="Reel",J59=0),"Add - reel length missing",IF(K59="","Add - no cover image",IF(AND(P59&lt;&gt;"",S59&lt;TargetEngagement),"Review - below your target rate","OK")))))</f>
        <v>0</v>
      </c>
    </row>
    <row r="60" spans="1:24">
      <c r="A60" s="41">
        <f>IF(B60="","","IG-"&amp;TEXT(ROW()-4,"000"))</f>
        <v>0</v>
      </c>
      <c r="C60" s="17">
        <f>IF(B60="","",IFERROR(INDEX('Content Calendar'!$H$5:$H$604,MATCH(B60,'Content Calendar'!$A$5:$A$604,0)),"Not found"))</f>
        <v>0</v>
      </c>
      <c r="D60" s="16">
        <f>IF(B60="","",IFERROR(INDEX('Content Calendar'!$B$5:$B$604,MATCH(B60,'Content Calendar'!$A$5:$A$604,0)),"Not found"))</f>
        <v>0</v>
      </c>
      <c r="E60" s="17">
        <f>IF(B60="","",IFERROR(INDEX('Content Calendar'!$J$5:$J$604,MATCH(B60,'Content Calendar'!$A$5:$A$604,0)),"Not found"))</f>
        <v>0</v>
      </c>
      <c r="F60" s="29">
        <f>IF(B60="","",IFERROR(INDEX('Content Calendar'!$X$5:$X$604,MATCH(B60,'Content Calendar'!$A$5:$A$604,0)),"Not found"))</f>
        <v>0</v>
      </c>
      <c r="P60" s="23">
        <f>IF(B60="","",IF(COUNTIF(Performance!$B$5:$B$404,B60)=0,"",SUMIFS(Performance!$O$5:$O$404,Performance!$B$5:$B$404,B60)))</f>
        <v>0</v>
      </c>
      <c r="Q60" s="23">
        <f>IF(B60="","",IF(COUNTIF(Performance!$B$5:$B$404,B60)=0,"",SUMIFS(Performance!$P$5:$P$404,Performance!$B$5:$B$404,B60)))</f>
        <v>0</v>
      </c>
      <c r="R60" s="23">
        <f>IF(B60="","",IF(COUNTIF(Performance!$B$5:$B$404,B60)=0,"",SUMIFS(Performance!$Z$5:$Z$404,Performance!$B$5:$B$404,B60)))</f>
        <v>0</v>
      </c>
      <c r="S60" s="24">
        <f>IF(OR(P60="",P60=0),"",R60/P60)</f>
        <v>0</v>
      </c>
      <c r="T60" s="23">
        <f>IF(B60="","",IF(COUNTIF(Performance!$B$5:$B$404,B60)=0,"",SUMIFS(Performance!$T$5:$T$404,Performance!$B$5:$B$404,B60)))</f>
        <v>0</v>
      </c>
      <c r="U60" s="23">
        <f>IF(B60="","",IF(COUNTIF(Performance!$B$5:$B$404,B60)=0,"",SUMIFS(Performance!$S$5:$S$404,Performance!$B$5:$B$404,B60)))</f>
        <v>0</v>
      </c>
      <c r="V60" s="23">
        <f>IF(B60="","",IF(COUNTIF(Performance!$B$5:$B$404,B60)=0,"",SUMIFS(Performance!$R$5:$R$404,Performance!$B$5:$B$404,B60)))</f>
        <v>0</v>
      </c>
      <c r="W60" s="23">
        <f>IF(B60="","",IF(COUNTIF(Performance!$B$5:$B$404,B60)=0,"",SUMIFS(Performance!$U$5:$U$404,Performance!$B$5:$B$404,B60)))</f>
        <v>0</v>
      </c>
      <c r="X60" s="29">
        <f>IF(B60="","",IF(C60="Not found","Check - content ID not on the calendar",IF(AND(G60="Reel",J60=0),"Add - reel length missing",IF(K60="","Add - no cover image",IF(AND(P60&lt;&gt;"",S60&lt;TargetEngagement),"Review - below your target rate","OK")))))</f>
        <v>0</v>
      </c>
    </row>
    <row r="61" spans="1:24">
      <c r="A61" s="41">
        <f>IF(B61="","","IG-"&amp;TEXT(ROW()-4,"000"))</f>
        <v>0</v>
      </c>
      <c r="C61" s="17">
        <f>IF(B61="","",IFERROR(INDEX('Content Calendar'!$H$5:$H$604,MATCH(B61,'Content Calendar'!$A$5:$A$604,0)),"Not found"))</f>
        <v>0</v>
      </c>
      <c r="D61" s="16">
        <f>IF(B61="","",IFERROR(INDEX('Content Calendar'!$B$5:$B$604,MATCH(B61,'Content Calendar'!$A$5:$A$604,0)),"Not found"))</f>
        <v>0</v>
      </c>
      <c r="E61" s="17">
        <f>IF(B61="","",IFERROR(INDEX('Content Calendar'!$J$5:$J$604,MATCH(B61,'Content Calendar'!$A$5:$A$604,0)),"Not found"))</f>
        <v>0</v>
      </c>
      <c r="F61" s="29">
        <f>IF(B61="","",IFERROR(INDEX('Content Calendar'!$X$5:$X$604,MATCH(B61,'Content Calendar'!$A$5:$A$604,0)),"Not found"))</f>
        <v>0</v>
      </c>
      <c r="P61" s="23">
        <f>IF(B61="","",IF(COUNTIF(Performance!$B$5:$B$404,B61)=0,"",SUMIFS(Performance!$O$5:$O$404,Performance!$B$5:$B$404,B61)))</f>
        <v>0</v>
      </c>
      <c r="Q61" s="23">
        <f>IF(B61="","",IF(COUNTIF(Performance!$B$5:$B$404,B61)=0,"",SUMIFS(Performance!$P$5:$P$404,Performance!$B$5:$B$404,B61)))</f>
        <v>0</v>
      </c>
      <c r="R61" s="23">
        <f>IF(B61="","",IF(COUNTIF(Performance!$B$5:$B$404,B61)=0,"",SUMIFS(Performance!$Z$5:$Z$404,Performance!$B$5:$B$404,B61)))</f>
        <v>0</v>
      </c>
      <c r="S61" s="24">
        <f>IF(OR(P61="",P61=0),"",R61/P61)</f>
        <v>0</v>
      </c>
      <c r="T61" s="23">
        <f>IF(B61="","",IF(COUNTIF(Performance!$B$5:$B$404,B61)=0,"",SUMIFS(Performance!$T$5:$T$404,Performance!$B$5:$B$404,B61)))</f>
        <v>0</v>
      </c>
      <c r="U61" s="23">
        <f>IF(B61="","",IF(COUNTIF(Performance!$B$5:$B$404,B61)=0,"",SUMIFS(Performance!$S$5:$S$404,Performance!$B$5:$B$404,B61)))</f>
        <v>0</v>
      </c>
      <c r="V61" s="23">
        <f>IF(B61="","",IF(COUNTIF(Performance!$B$5:$B$404,B61)=0,"",SUMIFS(Performance!$R$5:$R$404,Performance!$B$5:$B$404,B61)))</f>
        <v>0</v>
      </c>
      <c r="W61" s="23">
        <f>IF(B61="","",IF(COUNTIF(Performance!$B$5:$B$404,B61)=0,"",SUMIFS(Performance!$U$5:$U$404,Performance!$B$5:$B$404,B61)))</f>
        <v>0</v>
      </c>
      <c r="X61" s="29">
        <f>IF(B61="","",IF(C61="Not found","Check - content ID not on the calendar",IF(AND(G61="Reel",J61=0),"Add - reel length missing",IF(K61="","Add - no cover image",IF(AND(P61&lt;&gt;"",S61&lt;TargetEngagement),"Review - below your target rate","OK")))))</f>
        <v>0</v>
      </c>
    </row>
    <row r="62" spans="1:24">
      <c r="A62" s="41">
        <f>IF(B62="","","IG-"&amp;TEXT(ROW()-4,"000"))</f>
        <v>0</v>
      </c>
      <c r="C62" s="17">
        <f>IF(B62="","",IFERROR(INDEX('Content Calendar'!$H$5:$H$604,MATCH(B62,'Content Calendar'!$A$5:$A$604,0)),"Not found"))</f>
        <v>0</v>
      </c>
      <c r="D62" s="16">
        <f>IF(B62="","",IFERROR(INDEX('Content Calendar'!$B$5:$B$604,MATCH(B62,'Content Calendar'!$A$5:$A$604,0)),"Not found"))</f>
        <v>0</v>
      </c>
      <c r="E62" s="17">
        <f>IF(B62="","",IFERROR(INDEX('Content Calendar'!$J$5:$J$604,MATCH(B62,'Content Calendar'!$A$5:$A$604,0)),"Not found"))</f>
        <v>0</v>
      </c>
      <c r="F62" s="29">
        <f>IF(B62="","",IFERROR(INDEX('Content Calendar'!$X$5:$X$604,MATCH(B62,'Content Calendar'!$A$5:$A$604,0)),"Not found"))</f>
        <v>0</v>
      </c>
      <c r="P62" s="23">
        <f>IF(B62="","",IF(COUNTIF(Performance!$B$5:$B$404,B62)=0,"",SUMIFS(Performance!$O$5:$O$404,Performance!$B$5:$B$404,B62)))</f>
        <v>0</v>
      </c>
      <c r="Q62" s="23">
        <f>IF(B62="","",IF(COUNTIF(Performance!$B$5:$B$404,B62)=0,"",SUMIFS(Performance!$P$5:$P$404,Performance!$B$5:$B$404,B62)))</f>
        <v>0</v>
      </c>
      <c r="R62" s="23">
        <f>IF(B62="","",IF(COUNTIF(Performance!$B$5:$B$404,B62)=0,"",SUMIFS(Performance!$Z$5:$Z$404,Performance!$B$5:$B$404,B62)))</f>
        <v>0</v>
      </c>
      <c r="S62" s="24">
        <f>IF(OR(P62="",P62=0),"",R62/P62)</f>
        <v>0</v>
      </c>
      <c r="T62" s="23">
        <f>IF(B62="","",IF(COUNTIF(Performance!$B$5:$B$404,B62)=0,"",SUMIFS(Performance!$T$5:$T$404,Performance!$B$5:$B$404,B62)))</f>
        <v>0</v>
      </c>
      <c r="U62" s="23">
        <f>IF(B62="","",IF(COUNTIF(Performance!$B$5:$B$404,B62)=0,"",SUMIFS(Performance!$S$5:$S$404,Performance!$B$5:$B$404,B62)))</f>
        <v>0</v>
      </c>
      <c r="V62" s="23">
        <f>IF(B62="","",IF(COUNTIF(Performance!$B$5:$B$404,B62)=0,"",SUMIFS(Performance!$R$5:$R$404,Performance!$B$5:$B$404,B62)))</f>
        <v>0</v>
      </c>
      <c r="W62" s="23">
        <f>IF(B62="","",IF(COUNTIF(Performance!$B$5:$B$404,B62)=0,"",SUMIFS(Performance!$U$5:$U$404,Performance!$B$5:$B$404,B62)))</f>
        <v>0</v>
      </c>
      <c r="X62" s="29">
        <f>IF(B62="","",IF(C62="Not found","Check - content ID not on the calendar",IF(AND(G62="Reel",J62=0),"Add - reel length missing",IF(K62="","Add - no cover image",IF(AND(P62&lt;&gt;"",S62&lt;TargetEngagement),"Review - below your target rate","OK")))))</f>
        <v>0</v>
      </c>
    </row>
    <row r="63" spans="1:24">
      <c r="A63" s="41">
        <f>IF(B63="","","IG-"&amp;TEXT(ROW()-4,"000"))</f>
        <v>0</v>
      </c>
      <c r="C63" s="17">
        <f>IF(B63="","",IFERROR(INDEX('Content Calendar'!$H$5:$H$604,MATCH(B63,'Content Calendar'!$A$5:$A$604,0)),"Not found"))</f>
        <v>0</v>
      </c>
      <c r="D63" s="16">
        <f>IF(B63="","",IFERROR(INDEX('Content Calendar'!$B$5:$B$604,MATCH(B63,'Content Calendar'!$A$5:$A$604,0)),"Not found"))</f>
        <v>0</v>
      </c>
      <c r="E63" s="17">
        <f>IF(B63="","",IFERROR(INDEX('Content Calendar'!$J$5:$J$604,MATCH(B63,'Content Calendar'!$A$5:$A$604,0)),"Not found"))</f>
        <v>0</v>
      </c>
      <c r="F63" s="29">
        <f>IF(B63="","",IFERROR(INDEX('Content Calendar'!$X$5:$X$604,MATCH(B63,'Content Calendar'!$A$5:$A$604,0)),"Not found"))</f>
        <v>0</v>
      </c>
      <c r="P63" s="23">
        <f>IF(B63="","",IF(COUNTIF(Performance!$B$5:$B$404,B63)=0,"",SUMIFS(Performance!$O$5:$O$404,Performance!$B$5:$B$404,B63)))</f>
        <v>0</v>
      </c>
      <c r="Q63" s="23">
        <f>IF(B63="","",IF(COUNTIF(Performance!$B$5:$B$404,B63)=0,"",SUMIFS(Performance!$P$5:$P$404,Performance!$B$5:$B$404,B63)))</f>
        <v>0</v>
      </c>
      <c r="R63" s="23">
        <f>IF(B63="","",IF(COUNTIF(Performance!$B$5:$B$404,B63)=0,"",SUMIFS(Performance!$Z$5:$Z$404,Performance!$B$5:$B$404,B63)))</f>
        <v>0</v>
      </c>
      <c r="S63" s="24">
        <f>IF(OR(P63="",P63=0),"",R63/P63)</f>
        <v>0</v>
      </c>
      <c r="T63" s="23">
        <f>IF(B63="","",IF(COUNTIF(Performance!$B$5:$B$404,B63)=0,"",SUMIFS(Performance!$T$5:$T$404,Performance!$B$5:$B$404,B63)))</f>
        <v>0</v>
      </c>
      <c r="U63" s="23">
        <f>IF(B63="","",IF(COUNTIF(Performance!$B$5:$B$404,B63)=0,"",SUMIFS(Performance!$S$5:$S$404,Performance!$B$5:$B$404,B63)))</f>
        <v>0</v>
      </c>
      <c r="V63" s="23">
        <f>IF(B63="","",IF(COUNTIF(Performance!$B$5:$B$404,B63)=0,"",SUMIFS(Performance!$R$5:$R$404,Performance!$B$5:$B$404,B63)))</f>
        <v>0</v>
      </c>
      <c r="W63" s="23">
        <f>IF(B63="","",IF(COUNTIF(Performance!$B$5:$B$404,B63)=0,"",SUMIFS(Performance!$U$5:$U$404,Performance!$B$5:$B$404,B63)))</f>
        <v>0</v>
      </c>
      <c r="X63" s="29">
        <f>IF(B63="","",IF(C63="Not found","Check - content ID not on the calendar",IF(AND(G63="Reel",J63=0),"Add - reel length missing",IF(K63="","Add - no cover image",IF(AND(P63&lt;&gt;"",S63&lt;TargetEngagement),"Review - below your target rate","OK")))))</f>
        <v>0</v>
      </c>
    </row>
    <row r="64" spans="1:24">
      <c r="A64" s="41">
        <f>IF(B64="","","IG-"&amp;TEXT(ROW()-4,"000"))</f>
        <v>0</v>
      </c>
      <c r="C64" s="17">
        <f>IF(B64="","",IFERROR(INDEX('Content Calendar'!$H$5:$H$604,MATCH(B64,'Content Calendar'!$A$5:$A$604,0)),"Not found"))</f>
        <v>0</v>
      </c>
      <c r="D64" s="16">
        <f>IF(B64="","",IFERROR(INDEX('Content Calendar'!$B$5:$B$604,MATCH(B64,'Content Calendar'!$A$5:$A$604,0)),"Not found"))</f>
        <v>0</v>
      </c>
      <c r="E64" s="17">
        <f>IF(B64="","",IFERROR(INDEX('Content Calendar'!$J$5:$J$604,MATCH(B64,'Content Calendar'!$A$5:$A$604,0)),"Not found"))</f>
        <v>0</v>
      </c>
      <c r="F64" s="29">
        <f>IF(B64="","",IFERROR(INDEX('Content Calendar'!$X$5:$X$604,MATCH(B64,'Content Calendar'!$A$5:$A$604,0)),"Not found"))</f>
        <v>0</v>
      </c>
      <c r="P64" s="23">
        <f>IF(B64="","",IF(COUNTIF(Performance!$B$5:$B$404,B64)=0,"",SUMIFS(Performance!$O$5:$O$404,Performance!$B$5:$B$404,B64)))</f>
        <v>0</v>
      </c>
      <c r="Q64" s="23">
        <f>IF(B64="","",IF(COUNTIF(Performance!$B$5:$B$404,B64)=0,"",SUMIFS(Performance!$P$5:$P$404,Performance!$B$5:$B$404,B64)))</f>
        <v>0</v>
      </c>
      <c r="R64" s="23">
        <f>IF(B64="","",IF(COUNTIF(Performance!$B$5:$B$404,B64)=0,"",SUMIFS(Performance!$Z$5:$Z$404,Performance!$B$5:$B$404,B64)))</f>
        <v>0</v>
      </c>
      <c r="S64" s="24">
        <f>IF(OR(P64="",P64=0),"",R64/P64)</f>
        <v>0</v>
      </c>
      <c r="T64" s="23">
        <f>IF(B64="","",IF(COUNTIF(Performance!$B$5:$B$404,B64)=0,"",SUMIFS(Performance!$T$5:$T$404,Performance!$B$5:$B$404,B64)))</f>
        <v>0</v>
      </c>
      <c r="U64" s="23">
        <f>IF(B64="","",IF(COUNTIF(Performance!$B$5:$B$404,B64)=0,"",SUMIFS(Performance!$S$5:$S$404,Performance!$B$5:$B$404,B64)))</f>
        <v>0</v>
      </c>
      <c r="V64" s="23">
        <f>IF(B64="","",IF(COUNTIF(Performance!$B$5:$B$404,B64)=0,"",SUMIFS(Performance!$R$5:$R$404,Performance!$B$5:$B$404,B64)))</f>
        <v>0</v>
      </c>
      <c r="W64" s="23">
        <f>IF(B64="","",IF(COUNTIF(Performance!$B$5:$B$404,B64)=0,"",SUMIFS(Performance!$U$5:$U$404,Performance!$B$5:$B$404,B64)))</f>
        <v>0</v>
      </c>
      <c r="X64" s="29">
        <f>IF(B64="","",IF(C64="Not found","Check - content ID not on the calendar",IF(AND(G64="Reel",J64=0),"Add - reel length missing",IF(K64="","Add - no cover image",IF(AND(P64&lt;&gt;"",S64&lt;TargetEngagement),"Review - below your target rate","OK")))))</f>
        <v>0</v>
      </c>
    </row>
    <row r="65" spans="1:24">
      <c r="A65" s="41">
        <f>IF(B65="","","IG-"&amp;TEXT(ROW()-4,"000"))</f>
        <v>0</v>
      </c>
      <c r="C65" s="17">
        <f>IF(B65="","",IFERROR(INDEX('Content Calendar'!$H$5:$H$604,MATCH(B65,'Content Calendar'!$A$5:$A$604,0)),"Not found"))</f>
        <v>0</v>
      </c>
      <c r="D65" s="16">
        <f>IF(B65="","",IFERROR(INDEX('Content Calendar'!$B$5:$B$604,MATCH(B65,'Content Calendar'!$A$5:$A$604,0)),"Not found"))</f>
        <v>0</v>
      </c>
      <c r="E65" s="17">
        <f>IF(B65="","",IFERROR(INDEX('Content Calendar'!$J$5:$J$604,MATCH(B65,'Content Calendar'!$A$5:$A$604,0)),"Not found"))</f>
        <v>0</v>
      </c>
      <c r="F65" s="29">
        <f>IF(B65="","",IFERROR(INDEX('Content Calendar'!$X$5:$X$604,MATCH(B65,'Content Calendar'!$A$5:$A$604,0)),"Not found"))</f>
        <v>0</v>
      </c>
      <c r="P65" s="23">
        <f>IF(B65="","",IF(COUNTIF(Performance!$B$5:$B$404,B65)=0,"",SUMIFS(Performance!$O$5:$O$404,Performance!$B$5:$B$404,B65)))</f>
        <v>0</v>
      </c>
      <c r="Q65" s="23">
        <f>IF(B65="","",IF(COUNTIF(Performance!$B$5:$B$404,B65)=0,"",SUMIFS(Performance!$P$5:$P$404,Performance!$B$5:$B$404,B65)))</f>
        <v>0</v>
      </c>
      <c r="R65" s="23">
        <f>IF(B65="","",IF(COUNTIF(Performance!$B$5:$B$404,B65)=0,"",SUMIFS(Performance!$Z$5:$Z$404,Performance!$B$5:$B$404,B65)))</f>
        <v>0</v>
      </c>
      <c r="S65" s="24">
        <f>IF(OR(P65="",P65=0),"",R65/P65)</f>
        <v>0</v>
      </c>
      <c r="T65" s="23">
        <f>IF(B65="","",IF(COUNTIF(Performance!$B$5:$B$404,B65)=0,"",SUMIFS(Performance!$T$5:$T$404,Performance!$B$5:$B$404,B65)))</f>
        <v>0</v>
      </c>
      <c r="U65" s="23">
        <f>IF(B65="","",IF(COUNTIF(Performance!$B$5:$B$404,B65)=0,"",SUMIFS(Performance!$S$5:$S$404,Performance!$B$5:$B$404,B65)))</f>
        <v>0</v>
      </c>
      <c r="V65" s="23">
        <f>IF(B65="","",IF(COUNTIF(Performance!$B$5:$B$404,B65)=0,"",SUMIFS(Performance!$R$5:$R$404,Performance!$B$5:$B$404,B65)))</f>
        <v>0</v>
      </c>
      <c r="W65" s="23">
        <f>IF(B65="","",IF(COUNTIF(Performance!$B$5:$B$404,B65)=0,"",SUMIFS(Performance!$U$5:$U$404,Performance!$B$5:$B$404,B65)))</f>
        <v>0</v>
      </c>
      <c r="X65" s="29">
        <f>IF(B65="","",IF(C65="Not found","Check - content ID not on the calendar",IF(AND(G65="Reel",J65=0),"Add - reel length missing",IF(K65="","Add - no cover image",IF(AND(P65&lt;&gt;"",S65&lt;TargetEngagement),"Review - below your target rate","OK")))))</f>
        <v>0</v>
      </c>
    </row>
    <row r="66" spans="1:24">
      <c r="A66" s="41">
        <f>IF(B66="","","IG-"&amp;TEXT(ROW()-4,"000"))</f>
        <v>0</v>
      </c>
      <c r="C66" s="17">
        <f>IF(B66="","",IFERROR(INDEX('Content Calendar'!$H$5:$H$604,MATCH(B66,'Content Calendar'!$A$5:$A$604,0)),"Not found"))</f>
        <v>0</v>
      </c>
      <c r="D66" s="16">
        <f>IF(B66="","",IFERROR(INDEX('Content Calendar'!$B$5:$B$604,MATCH(B66,'Content Calendar'!$A$5:$A$604,0)),"Not found"))</f>
        <v>0</v>
      </c>
      <c r="E66" s="17">
        <f>IF(B66="","",IFERROR(INDEX('Content Calendar'!$J$5:$J$604,MATCH(B66,'Content Calendar'!$A$5:$A$604,0)),"Not found"))</f>
        <v>0</v>
      </c>
      <c r="F66" s="29">
        <f>IF(B66="","",IFERROR(INDEX('Content Calendar'!$X$5:$X$604,MATCH(B66,'Content Calendar'!$A$5:$A$604,0)),"Not found"))</f>
        <v>0</v>
      </c>
      <c r="P66" s="23">
        <f>IF(B66="","",IF(COUNTIF(Performance!$B$5:$B$404,B66)=0,"",SUMIFS(Performance!$O$5:$O$404,Performance!$B$5:$B$404,B66)))</f>
        <v>0</v>
      </c>
      <c r="Q66" s="23">
        <f>IF(B66="","",IF(COUNTIF(Performance!$B$5:$B$404,B66)=0,"",SUMIFS(Performance!$P$5:$P$404,Performance!$B$5:$B$404,B66)))</f>
        <v>0</v>
      </c>
      <c r="R66" s="23">
        <f>IF(B66="","",IF(COUNTIF(Performance!$B$5:$B$404,B66)=0,"",SUMIFS(Performance!$Z$5:$Z$404,Performance!$B$5:$B$404,B66)))</f>
        <v>0</v>
      </c>
      <c r="S66" s="24">
        <f>IF(OR(P66="",P66=0),"",R66/P66)</f>
        <v>0</v>
      </c>
      <c r="T66" s="23">
        <f>IF(B66="","",IF(COUNTIF(Performance!$B$5:$B$404,B66)=0,"",SUMIFS(Performance!$T$5:$T$404,Performance!$B$5:$B$404,B66)))</f>
        <v>0</v>
      </c>
      <c r="U66" s="23">
        <f>IF(B66="","",IF(COUNTIF(Performance!$B$5:$B$404,B66)=0,"",SUMIFS(Performance!$S$5:$S$404,Performance!$B$5:$B$404,B66)))</f>
        <v>0</v>
      </c>
      <c r="V66" s="23">
        <f>IF(B66="","",IF(COUNTIF(Performance!$B$5:$B$404,B66)=0,"",SUMIFS(Performance!$R$5:$R$404,Performance!$B$5:$B$404,B66)))</f>
        <v>0</v>
      </c>
      <c r="W66" s="23">
        <f>IF(B66="","",IF(COUNTIF(Performance!$B$5:$B$404,B66)=0,"",SUMIFS(Performance!$U$5:$U$404,Performance!$B$5:$B$404,B66)))</f>
        <v>0</v>
      </c>
      <c r="X66" s="29">
        <f>IF(B66="","",IF(C66="Not found","Check - content ID not on the calendar",IF(AND(G66="Reel",J66=0),"Add - reel length missing",IF(K66="","Add - no cover image",IF(AND(P66&lt;&gt;"",S66&lt;TargetEngagement),"Review - below your target rate","OK")))))</f>
        <v>0</v>
      </c>
    </row>
    <row r="67" spans="1:24">
      <c r="A67" s="41">
        <f>IF(B67="","","IG-"&amp;TEXT(ROW()-4,"000"))</f>
        <v>0</v>
      </c>
      <c r="C67" s="17">
        <f>IF(B67="","",IFERROR(INDEX('Content Calendar'!$H$5:$H$604,MATCH(B67,'Content Calendar'!$A$5:$A$604,0)),"Not found"))</f>
        <v>0</v>
      </c>
      <c r="D67" s="16">
        <f>IF(B67="","",IFERROR(INDEX('Content Calendar'!$B$5:$B$604,MATCH(B67,'Content Calendar'!$A$5:$A$604,0)),"Not found"))</f>
        <v>0</v>
      </c>
      <c r="E67" s="17">
        <f>IF(B67="","",IFERROR(INDEX('Content Calendar'!$J$5:$J$604,MATCH(B67,'Content Calendar'!$A$5:$A$604,0)),"Not found"))</f>
        <v>0</v>
      </c>
      <c r="F67" s="29">
        <f>IF(B67="","",IFERROR(INDEX('Content Calendar'!$X$5:$X$604,MATCH(B67,'Content Calendar'!$A$5:$A$604,0)),"Not found"))</f>
        <v>0</v>
      </c>
      <c r="P67" s="23">
        <f>IF(B67="","",IF(COUNTIF(Performance!$B$5:$B$404,B67)=0,"",SUMIFS(Performance!$O$5:$O$404,Performance!$B$5:$B$404,B67)))</f>
        <v>0</v>
      </c>
      <c r="Q67" s="23">
        <f>IF(B67="","",IF(COUNTIF(Performance!$B$5:$B$404,B67)=0,"",SUMIFS(Performance!$P$5:$P$404,Performance!$B$5:$B$404,B67)))</f>
        <v>0</v>
      </c>
      <c r="R67" s="23">
        <f>IF(B67="","",IF(COUNTIF(Performance!$B$5:$B$404,B67)=0,"",SUMIFS(Performance!$Z$5:$Z$404,Performance!$B$5:$B$404,B67)))</f>
        <v>0</v>
      </c>
      <c r="S67" s="24">
        <f>IF(OR(P67="",P67=0),"",R67/P67)</f>
        <v>0</v>
      </c>
      <c r="T67" s="23">
        <f>IF(B67="","",IF(COUNTIF(Performance!$B$5:$B$404,B67)=0,"",SUMIFS(Performance!$T$5:$T$404,Performance!$B$5:$B$404,B67)))</f>
        <v>0</v>
      </c>
      <c r="U67" s="23">
        <f>IF(B67="","",IF(COUNTIF(Performance!$B$5:$B$404,B67)=0,"",SUMIFS(Performance!$S$5:$S$404,Performance!$B$5:$B$404,B67)))</f>
        <v>0</v>
      </c>
      <c r="V67" s="23">
        <f>IF(B67="","",IF(COUNTIF(Performance!$B$5:$B$404,B67)=0,"",SUMIFS(Performance!$R$5:$R$404,Performance!$B$5:$B$404,B67)))</f>
        <v>0</v>
      </c>
      <c r="W67" s="23">
        <f>IF(B67="","",IF(COUNTIF(Performance!$B$5:$B$404,B67)=0,"",SUMIFS(Performance!$U$5:$U$404,Performance!$B$5:$B$404,B67)))</f>
        <v>0</v>
      </c>
      <c r="X67" s="29">
        <f>IF(B67="","",IF(C67="Not found","Check - content ID not on the calendar",IF(AND(G67="Reel",J67=0),"Add - reel length missing",IF(K67="","Add - no cover image",IF(AND(P67&lt;&gt;"",S67&lt;TargetEngagement),"Review - below your target rate","OK")))))</f>
        <v>0</v>
      </c>
    </row>
    <row r="68" spans="1:24">
      <c r="A68" s="41">
        <f>IF(B68="","","IG-"&amp;TEXT(ROW()-4,"000"))</f>
        <v>0</v>
      </c>
      <c r="C68" s="17">
        <f>IF(B68="","",IFERROR(INDEX('Content Calendar'!$H$5:$H$604,MATCH(B68,'Content Calendar'!$A$5:$A$604,0)),"Not found"))</f>
        <v>0</v>
      </c>
      <c r="D68" s="16">
        <f>IF(B68="","",IFERROR(INDEX('Content Calendar'!$B$5:$B$604,MATCH(B68,'Content Calendar'!$A$5:$A$604,0)),"Not found"))</f>
        <v>0</v>
      </c>
      <c r="E68" s="17">
        <f>IF(B68="","",IFERROR(INDEX('Content Calendar'!$J$5:$J$604,MATCH(B68,'Content Calendar'!$A$5:$A$604,0)),"Not found"))</f>
        <v>0</v>
      </c>
      <c r="F68" s="29">
        <f>IF(B68="","",IFERROR(INDEX('Content Calendar'!$X$5:$X$604,MATCH(B68,'Content Calendar'!$A$5:$A$604,0)),"Not found"))</f>
        <v>0</v>
      </c>
      <c r="P68" s="23">
        <f>IF(B68="","",IF(COUNTIF(Performance!$B$5:$B$404,B68)=0,"",SUMIFS(Performance!$O$5:$O$404,Performance!$B$5:$B$404,B68)))</f>
        <v>0</v>
      </c>
      <c r="Q68" s="23">
        <f>IF(B68="","",IF(COUNTIF(Performance!$B$5:$B$404,B68)=0,"",SUMIFS(Performance!$P$5:$P$404,Performance!$B$5:$B$404,B68)))</f>
        <v>0</v>
      </c>
      <c r="R68" s="23">
        <f>IF(B68="","",IF(COUNTIF(Performance!$B$5:$B$404,B68)=0,"",SUMIFS(Performance!$Z$5:$Z$404,Performance!$B$5:$B$404,B68)))</f>
        <v>0</v>
      </c>
      <c r="S68" s="24">
        <f>IF(OR(P68="",P68=0),"",R68/P68)</f>
        <v>0</v>
      </c>
      <c r="T68" s="23">
        <f>IF(B68="","",IF(COUNTIF(Performance!$B$5:$B$404,B68)=0,"",SUMIFS(Performance!$T$5:$T$404,Performance!$B$5:$B$404,B68)))</f>
        <v>0</v>
      </c>
      <c r="U68" s="23">
        <f>IF(B68="","",IF(COUNTIF(Performance!$B$5:$B$404,B68)=0,"",SUMIFS(Performance!$S$5:$S$404,Performance!$B$5:$B$404,B68)))</f>
        <v>0</v>
      </c>
      <c r="V68" s="23">
        <f>IF(B68="","",IF(COUNTIF(Performance!$B$5:$B$404,B68)=0,"",SUMIFS(Performance!$R$5:$R$404,Performance!$B$5:$B$404,B68)))</f>
        <v>0</v>
      </c>
      <c r="W68" s="23">
        <f>IF(B68="","",IF(COUNTIF(Performance!$B$5:$B$404,B68)=0,"",SUMIFS(Performance!$U$5:$U$404,Performance!$B$5:$B$404,B68)))</f>
        <v>0</v>
      </c>
      <c r="X68" s="29">
        <f>IF(B68="","",IF(C68="Not found","Check - content ID not on the calendar",IF(AND(G68="Reel",J68=0),"Add - reel length missing",IF(K68="","Add - no cover image",IF(AND(P68&lt;&gt;"",S68&lt;TargetEngagement),"Review - below your target rate","OK")))))</f>
        <v>0</v>
      </c>
    </row>
    <row r="69" spans="1:24">
      <c r="A69" s="41">
        <f>IF(B69="","","IG-"&amp;TEXT(ROW()-4,"000"))</f>
        <v>0</v>
      </c>
      <c r="C69" s="17">
        <f>IF(B69="","",IFERROR(INDEX('Content Calendar'!$H$5:$H$604,MATCH(B69,'Content Calendar'!$A$5:$A$604,0)),"Not found"))</f>
        <v>0</v>
      </c>
      <c r="D69" s="16">
        <f>IF(B69="","",IFERROR(INDEX('Content Calendar'!$B$5:$B$604,MATCH(B69,'Content Calendar'!$A$5:$A$604,0)),"Not found"))</f>
        <v>0</v>
      </c>
      <c r="E69" s="17">
        <f>IF(B69="","",IFERROR(INDEX('Content Calendar'!$J$5:$J$604,MATCH(B69,'Content Calendar'!$A$5:$A$604,0)),"Not found"))</f>
        <v>0</v>
      </c>
      <c r="F69" s="29">
        <f>IF(B69="","",IFERROR(INDEX('Content Calendar'!$X$5:$X$604,MATCH(B69,'Content Calendar'!$A$5:$A$604,0)),"Not found"))</f>
        <v>0</v>
      </c>
      <c r="P69" s="23">
        <f>IF(B69="","",IF(COUNTIF(Performance!$B$5:$B$404,B69)=0,"",SUMIFS(Performance!$O$5:$O$404,Performance!$B$5:$B$404,B69)))</f>
        <v>0</v>
      </c>
      <c r="Q69" s="23">
        <f>IF(B69="","",IF(COUNTIF(Performance!$B$5:$B$404,B69)=0,"",SUMIFS(Performance!$P$5:$P$404,Performance!$B$5:$B$404,B69)))</f>
        <v>0</v>
      </c>
      <c r="R69" s="23">
        <f>IF(B69="","",IF(COUNTIF(Performance!$B$5:$B$404,B69)=0,"",SUMIFS(Performance!$Z$5:$Z$404,Performance!$B$5:$B$404,B69)))</f>
        <v>0</v>
      </c>
      <c r="S69" s="24">
        <f>IF(OR(P69="",P69=0),"",R69/P69)</f>
        <v>0</v>
      </c>
      <c r="T69" s="23">
        <f>IF(B69="","",IF(COUNTIF(Performance!$B$5:$B$404,B69)=0,"",SUMIFS(Performance!$T$5:$T$404,Performance!$B$5:$B$404,B69)))</f>
        <v>0</v>
      </c>
      <c r="U69" s="23">
        <f>IF(B69="","",IF(COUNTIF(Performance!$B$5:$B$404,B69)=0,"",SUMIFS(Performance!$S$5:$S$404,Performance!$B$5:$B$404,B69)))</f>
        <v>0</v>
      </c>
      <c r="V69" s="23">
        <f>IF(B69="","",IF(COUNTIF(Performance!$B$5:$B$404,B69)=0,"",SUMIFS(Performance!$R$5:$R$404,Performance!$B$5:$B$404,B69)))</f>
        <v>0</v>
      </c>
      <c r="W69" s="23">
        <f>IF(B69="","",IF(COUNTIF(Performance!$B$5:$B$404,B69)=0,"",SUMIFS(Performance!$U$5:$U$404,Performance!$B$5:$B$404,B69)))</f>
        <v>0</v>
      </c>
      <c r="X69" s="29">
        <f>IF(B69="","",IF(C69="Not found","Check - content ID not on the calendar",IF(AND(G69="Reel",J69=0),"Add - reel length missing",IF(K69="","Add - no cover image",IF(AND(P69&lt;&gt;"",S69&lt;TargetEngagement),"Review - below your target rate","OK")))))</f>
        <v>0</v>
      </c>
    </row>
    <row r="70" spans="1:24">
      <c r="A70" s="41">
        <f>IF(B70="","","IG-"&amp;TEXT(ROW()-4,"000"))</f>
        <v>0</v>
      </c>
      <c r="C70" s="17">
        <f>IF(B70="","",IFERROR(INDEX('Content Calendar'!$H$5:$H$604,MATCH(B70,'Content Calendar'!$A$5:$A$604,0)),"Not found"))</f>
        <v>0</v>
      </c>
      <c r="D70" s="16">
        <f>IF(B70="","",IFERROR(INDEX('Content Calendar'!$B$5:$B$604,MATCH(B70,'Content Calendar'!$A$5:$A$604,0)),"Not found"))</f>
        <v>0</v>
      </c>
      <c r="E70" s="17">
        <f>IF(B70="","",IFERROR(INDEX('Content Calendar'!$J$5:$J$604,MATCH(B70,'Content Calendar'!$A$5:$A$604,0)),"Not found"))</f>
        <v>0</v>
      </c>
      <c r="F70" s="29">
        <f>IF(B70="","",IFERROR(INDEX('Content Calendar'!$X$5:$X$604,MATCH(B70,'Content Calendar'!$A$5:$A$604,0)),"Not found"))</f>
        <v>0</v>
      </c>
      <c r="P70" s="23">
        <f>IF(B70="","",IF(COUNTIF(Performance!$B$5:$B$404,B70)=0,"",SUMIFS(Performance!$O$5:$O$404,Performance!$B$5:$B$404,B70)))</f>
        <v>0</v>
      </c>
      <c r="Q70" s="23">
        <f>IF(B70="","",IF(COUNTIF(Performance!$B$5:$B$404,B70)=0,"",SUMIFS(Performance!$P$5:$P$404,Performance!$B$5:$B$404,B70)))</f>
        <v>0</v>
      </c>
      <c r="R70" s="23">
        <f>IF(B70="","",IF(COUNTIF(Performance!$B$5:$B$404,B70)=0,"",SUMIFS(Performance!$Z$5:$Z$404,Performance!$B$5:$B$404,B70)))</f>
        <v>0</v>
      </c>
      <c r="S70" s="24">
        <f>IF(OR(P70="",P70=0),"",R70/P70)</f>
        <v>0</v>
      </c>
      <c r="T70" s="23">
        <f>IF(B70="","",IF(COUNTIF(Performance!$B$5:$B$404,B70)=0,"",SUMIFS(Performance!$T$5:$T$404,Performance!$B$5:$B$404,B70)))</f>
        <v>0</v>
      </c>
      <c r="U70" s="23">
        <f>IF(B70="","",IF(COUNTIF(Performance!$B$5:$B$404,B70)=0,"",SUMIFS(Performance!$S$5:$S$404,Performance!$B$5:$B$404,B70)))</f>
        <v>0</v>
      </c>
      <c r="V70" s="23">
        <f>IF(B70="","",IF(COUNTIF(Performance!$B$5:$B$404,B70)=0,"",SUMIFS(Performance!$R$5:$R$404,Performance!$B$5:$B$404,B70)))</f>
        <v>0</v>
      </c>
      <c r="W70" s="23">
        <f>IF(B70="","",IF(COUNTIF(Performance!$B$5:$B$404,B70)=0,"",SUMIFS(Performance!$U$5:$U$404,Performance!$B$5:$B$404,B70)))</f>
        <v>0</v>
      </c>
      <c r="X70" s="29">
        <f>IF(B70="","",IF(C70="Not found","Check - content ID not on the calendar",IF(AND(G70="Reel",J70=0),"Add - reel length missing",IF(K70="","Add - no cover image",IF(AND(P70&lt;&gt;"",S70&lt;TargetEngagement),"Review - below your target rate","OK")))))</f>
        <v>0</v>
      </c>
    </row>
    <row r="71" spans="1:24">
      <c r="A71" s="41">
        <f>IF(B71="","","IG-"&amp;TEXT(ROW()-4,"000"))</f>
        <v>0</v>
      </c>
      <c r="C71" s="17">
        <f>IF(B71="","",IFERROR(INDEX('Content Calendar'!$H$5:$H$604,MATCH(B71,'Content Calendar'!$A$5:$A$604,0)),"Not found"))</f>
        <v>0</v>
      </c>
      <c r="D71" s="16">
        <f>IF(B71="","",IFERROR(INDEX('Content Calendar'!$B$5:$B$604,MATCH(B71,'Content Calendar'!$A$5:$A$604,0)),"Not found"))</f>
        <v>0</v>
      </c>
      <c r="E71" s="17">
        <f>IF(B71="","",IFERROR(INDEX('Content Calendar'!$J$5:$J$604,MATCH(B71,'Content Calendar'!$A$5:$A$604,0)),"Not found"))</f>
        <v>0</v>
      </c>
      <c r="F71" s="29">
        <f>IF(B71="","",IFERROR(INDEX('Content Calendar'!$X$5:$X$604,MATCH(B71,'Content Calendar'!$A$5:$A$604,0)),"Not found"))</f>
        <v>0</v>
      </c>
      <c r="P71" s="23">
        <f>IF(B71="","",IF(COUNTIF(Performance!$B$5:$B$404,B71)=0,"",SUMIFS(Performance!$O$5:$O$404,Performance!$B$5:$B$404,B71)))</f>
        <v>0</v>
      </c>
      <c r="Q71" s="23">
        <f>IF(B71="","",IF(COUNTIF(Performance!$B$5:$B$404,B71)=0,"",SUMIFS(Performance!$P$5:$P$404,Performance!$B$5:$B$404,B71)))</f>
        <v>0</v>
      </c>
      <c r="R71" s="23">
        <f>IF(B71="","",IF(COUNTIF(Performance!$B$5:$B$404,B71)=0,"",SUMIFS(Performance!$Z$5:$Z$404,Performance!$B$5:$B$404,B71)))</f>
        <v>0</v>
      </c>
      <c r="S71" s="24">
        <f>IF(OR(P71="",P71=0),"",R71/P71)</f>
        <v>0</v>
      </c>
      <c r="T71" s="23">
        <f>IF(B71="","",IF(COUNTIF(Performance!$B$5:$B$404,B71)=0,"",SUMIFS(Performance!$T$5:$T$404,Performance!$B$5:$B$404,B71)))</f>
        <v>0</v>
      </c>
      <c r="U71" s="23">
        <f>IF(B71="","",IF(COUNTIF(Performance!$B$5:$B$404,B71)=0,"",SUMIFS(Performance!$S$5:$S$404,Performance!$B$5:$B$404,B71)))</f>
        <v>0</v>
      </c>
      <c r="V71" s="23">
        <f>IF(B71="","",IF(COUNTIF(Performance!$B$5:$B$404,B71)=0,"",SUMIFS(Performance!$R$5:$R$404,Performance!$B$5:$B$404,B71)))</f>
        <v>0</v>
      </c>
      <c r="W71" s="23">
        <f>IF(B71="","",IF(COUNTIF(Performance!$B$5:$B$404,B71)=0,"",SUMIFS(Performance!$U$5:$U$404,Performance!$B$5:$B$404,B71)))</f>
        <v>0</v>
      </c>
      <c r="X71" s="29">
        <f>IF(B71="","",IF(C71="Not found","Check - content ID not on the calendar",IF(AND(G71="Reel",J71=0),"Add - reel length missing",IF(K71="","Add - no cover image",IF(AND(P71&lt;&gt;"",S71&lt;TargetEngagement),"Review - below your target rate","OK")))))</f>
        <v>0</v>
      </c>
    </row>
    <row r="72" spans="1:24">
      <c r="A72" s="41">
        <f>IF(B72="","","IG-"&amp;TEXT(ROW()-4,"000"))</f>
        <v>0</v>
      </c>
      <c r="C72" s="17">
        <f>IF(B72="","",IFERROR(INDEX('Content Calendar'!$H$5:$H$604,MATCH(B72,'Content Calendar'!$A$5:$A$604,0)),"Not found"))</f>
        <v>0</v>
      </c>
      <c r="D72" s="16">
        <f>IF(B72="","",IFERROR(INDEX('Content Calendar'!$B$5:$B$604,MATCH(B72,'Content Calendar'!$A$5:$A$604,0)),"Not found"))</f>
        <v>0</v>
      </c>
      <c r="E72" s="17">
        <f>IF(B72="","",IFERROR(INDEX('Content Calendar'!$J$5:$J$604,MATCH(B72,'Content Calendar'!$A$5:$A$604,0)),"Not found"))</f>
        <v>0</v>
      </c>
      <c r="F72" s="29">
        <f>IF(B72="","",IFERROR(INDEX('Content Calendar'!$X$5:$X$604,MATCH(B72,'Content Calendar'!$A$5:$A$604,0)),"Not found"))</f>
        <v>0</v>
      </c>
      <c r="P72" s="23">
        <f>IF(B72="","",IF(COUNTIF(Performance!$B$5:$B$404,B72)=0,"",SUMIFS(Performance!$O$5:$O$404,Performance!$B$5:$B$404,B72)))</f>
        <v>0</v>
      </c>
      <c r="Q72" s="23">
        <f>IF(B72="","",IF(COUNTIF(Performance!$B$5:$B$404,B72)=0,"",SUMIFS(Performance!$P$5:$P$404,Performance!$B$5:$B$404,B72)))</f>
        <v>0</v>
      </c>
      <c r="R72" s="23">
        <f>IF(B72="","",IF(COUNTIF(Performance!$B$5:$B$404,B72)=0,"",SUMIFS(Performance!$Z$5:$Z$404,Performance!$B$5:$B$404,B72)))</f>
        <v>0</v>
      </c>
      <c r="S72" s="24">
        <f>IF(OR(P72="",P72=0),"",R72/P72)</f>
        <v>0</v>
      </c>
      <c r="T72" s="23">
        <f>IF(B72="","",IF(COUNTIF(Performance!$B$5:$B$404,B72)=0,"",SUMIFS(Performance!$T$5:$T$404,Performance!$B$5:$B$404,B72)))</f>
        <v>0</v>
      </c>
      <c r="U72" s="23">
        <f>IF(B72="","",IF(COUNTIF(Performance!$B$5:$B$404,B72)=0,"",SUMIFS(Performance!$S$5:$S$404,Performance!$B$5:$B$404,B72)))</f>
        <v>0</v>
      </c>
      <c r="V72" s="23">
        <f>IF(B72="","",IF(COUNTIF(Performance!$B$5:$B$404,B72)=0,"",SUMIFS(Performance!$R$5:$R$404,Performance!$B$5:$B$404,B72)))</f>
        <v>0</v>
      </c>
      <c r="W72" s="23">
        <f>IF(B72="","",IF(COUNTIF(Performance!$B$5:$B$404,B72)=0,"",SUMIFS(Performance!$U$5:$U$404,Performance!$B$5:$B$404,B72)))</f>
        <v>0</v>
      </c>
      <c r="X72" s="29">
        <f>IF(B72="","",IF(C72="Not found","Check - content ID not on the calendar",IF(AND(G72="Reel",J72=0),"Add - reel length missing",IF(K72="","Add - no cover image",IF(AND(P72&lt;&gt;"",S72&lt;TargetEngagement),"Review - below your target rate","OK")))))</f>
        <v>0</v>
      </c>
    </row>
    <row r="73" spans="1:24">
      <c r="A73" s="41">
        <f>IF(B73="","","IG-"&amp;TEXT(ROW()-4,"000"))</f>
        <v>0</v>
      </c>
      <c r="C73" s="17">
        <f>IF(B73="","",IFERROR(INDEX('Content Calendar'!$H$5:$H$604,MATCH(B73,'Content Calendar'!$A$5:$A$604,0)),"Not found"))</f>
        <v>0</v>
      </c>
      <c r="D73" s="16">
        <f>IF(B73="","",IFERROR(INDEX('Content Calendar'!$B$5:$B$604,MATCH(B73,'Content Calendar'!$A$5:$A$604,0)),"Not found"))</f>
        <v>0</v>
      </c>
      <c r="E73" s="17">
        <f>IF(B73="","",IFERROR(INDEX('Content Calendar'!$J$5:$J$604,MATCH(B73,'Content Calendar'!$A$5:$A$604,0)),"Not found"))</f>
        <v>0</v>
      </c>
      <c r="F73" s="29">
        <f>IF(B73="","",IFERROR(INDEX('Content Calendar'!$X$5:$X$604,MATCH(B73,'Content Calendar'!$A$5:$A$604,0)),"Not found"))</f>
        <v>0</v>
      </c>
      <c r="P73" s="23">
        <f>IF(B73="","",IF(COUNTIF(Performance!$B$5:$B$404,B73)=0,"",SUMIFS(Performance!$O$5:$O$404,Performance!$B$5:$B$404,B73)))</f>
        <v>0</v>
      </c>
      <c r="Q73" s="23">
        <f>IF(B73="","",IF(COUNTIF(Performance!$B$5:$B$404,B73)=0,"",SUMIFS(Performance!$P$5:$P$404,Performance!$B$5:$B$404,B73)))</f>
        <v>0</v>
      </c>
      <c r="R73" s="23">
        <f>IF(B73="","",IF(COUNTIF(Performance!$B$5:$B$404,B73)=0,"",SUMIFS(Performance!$Z$5:$Z$404,Performance!$B$5:$B$404,B73)))</f>
        <v>0</v>
      </c>
      <c r="S73" s="24">
        <f>IF(OR(P73="",P73=0),"",R73/P73)</f>
        <v>0</v>
      </c>
      <c r="T73" s="23">
        <f>IF(B73="","",IF(COUNTIF(Performance!$B$5:$B$404,B73)=0,"",SUMIFS(Performance!$T$5:$T$404,Performance!$B$5:$B$404,B73)))</f>
        <v>0</v>
      </c>
      <c r="U73" s="23">
        <f>IF(B73="","",IF(COUNTIF(Performance!$B$5:$B$404,B73)=0,"",SUMIFS(Performance!$S$5:$S$404,Performance!$B$5:$B$404,B73)))</f>
        <v>0</v>
      </c>
      <c r="V73" s="23">
        <f>IF(B73="","",IF(COUNTIF(Performance!$B$5:$B$404,B73)=0,"",SUMIFS(Performance!$R$5:$R$404,Performance!$B$5:$B$404,B73)))</f>
        <v>0</v>
      </c>
      <c r="W73" s="23">
        <f>IF(B73="","",IF(COUNTIF(Performance!$B$5:$B$404,B73)=0,"",SUMIFS(Performance!$U$5:$U$404,Performance!$B$5:$B$404,B73)))</f>
        <v>0</v>
      </c>
      <c r="X73" s="29">
        <f>IF(B73="","",IF(C73="Not found","Check - content ID not on the calendar",IF(AND(G73="Reel",J73=0),"Add - reel length missing",IF(K73="","Add - no cover image",IF(AND(P73&lt;&gt;"",S73&lt;TargetEngagement),"Review - below your target rate","OK")))))</f>
        <v>0</v>
      </c>
    </row>
    <row r="74" spans="1:24">
      <c r="A74" s="41">
        <f>IF(B74="","","IG-"&amp;TEXT(ROW()-4,"000"))</f>
        <v>0</v>
      </c>
      <c r="C74" s="17">
        <f>IF(B74="","",IFERROR(INDEX('Content Calendar'!$H$5:$H$604,MATCH(B74,'Content Calendar'!$A$5:$A$604,0)),"Not found"))</f>
        <v>0</v>
      </c>
      <c r="D74" s="16">
        <f>IF(B74="","",IFERROR(INDEX('Content Calendar'!$B$5:$B$604,MATCH(B74,'Content Calendar'!$A$5:$A$604,0)),"Not found"))</f>
        <v>0</v>
      </c>
      <c r="E74" s="17">
        <f>IF(B74="","",IFERROR(INDEX('Content Calendar'!$J$5:$J$604,MATCH(B74,'Content Calendar'!$A$5:$A$604,0)),"Not found"))</f>
        <v>0</v>
      </c>
      <c r="F74" s="29">
        <f>IF(B74="","",IFERROR(INDEX('Content Calendar'!$X$5:$X$604,MATCH(B74,'Content Calendar'!$A$5:$A$604,0)),"Not found"))</f>
        <v>0</v>
      </c>
      <c r="P74" s="23">
        <f>IF(B74="","",IF(COUNTIF(Performance!$B$5:$B$404,B74)=0,"",SUMIFS(Performance!$O$5:$O$404,Performance!$B$5:$B$404,B74)))</f>
        <v>0</v>
      </c>
      <c r="Q74" s="23">
        <f>IF(B74="","",IF(COUNTIF(Performance!$B$5:$B$404,B74)=0,"",SUMIFS(Performance!$P$5:$P$404,Performance!$B$5:$B$404,B74)))</f>
        <v>0</v>
      </c>
      <c r="R74" s="23">
        <f>IF(B74="","",IF(COUNTIF(Performance!$B$5:$B$404,B74)=0,"",SUMIFS(Performance!$Z$5:$Z$404,Performance!$B$5:$B$404,B74)))</f>
        <v>0</v>
      </c>
      <c r="S74" s="24">
        <f>IF(OR(P74="",P74=0),"",R74/P74)</f>
        <v>0</v>
      </c>
      <c r="T74" s="23">
        <f>IF(B74="","",IF(COUNTIF(Performance!$B$5:$B$404,B74)=0,"",SUMIFS(Performance!$T$5:$T$404,Performance!$B$5:$B$404,B74)))</f>
        <v>0</v>
      </c>
      <c r="U74" s="23">
        <f>IF(B74="","",IF(COUNTIF(Performance!$B$5:$B$404,B74)=0,"",SUMIFS(Performance!$S$5:$S$404,Performance!$B$5:$B$404,B74)))</f>
        <v>0</v>
      </c>
      <c r="V74" s="23">
        <f>IF(B74="","",IF(COUNTIF(Performance!$B$5:$B$404,B74)=0,"",SUMIFS(Performance!$R$5:$R$404,Performance!$B$5:$B$404,B74)))</f>
        <v>0</v>
      </c>
      <c r="W74" s="23">
        <f>IF(B74="","",IF(COUNTIF(Performance!$B$5:$B$404,B74)=0,"",SUMIFS(Performance!$U$5:$U$404,Performance!$B$5:$B$404,B74)))</f>
        <v>0</v>
      </c>
      <c r="X74" s="29">
        <f>IF(B74="","",IF(C74="Not found","Check - content ID not on the calendar",IF(AND(G74="Reel",J74=0),"Add - reel length missing",IF(K74="","Add - no cover image",IF(AND(P74&lt;&gt;"",S74&lt;TargetEngagement),"Review - below your target rate","OK")))))</f>
        <v>0</v>
      </c>
    </row>
    <row r="75" spans="1:24">
      <c r="A75" s="41">
        <f>IF(B75="","","IG-"&amp;TEXT(ROW()-4,"000"))</f>
        <v>0</v>
      </c>
      <c r="C75" s="17">
        <f>IF(B75="","",IFERROR(INDEX('Content Calendar'!$H$5:$H$604,MATCH(B75,'Content Calendar'!$A$5:$A$604,0)),"Not found"))</f>
        <v>0</v>
      </c>
      <c r="D75" s="16">
        <f>IF(B75="","",IFERROR(INDEX('Content Calendar'!$B$5:$B$604,MATCH(B75,'Content Calendar'!$A$5:$A$604,0)),"Not found"))</f>
        <v>0</v>
      </c>
      <c r="E75" s="17">
        <f>IF(B75="","",IFERROR(INDEX('Content Calendar'!$J$5:$J$604,MATCH(B75,'Content Calendar'!$A$5:$A$604,0)),"Not found"))</f>
        <v>0</v>
      </c>
      <c r="F75" s="29">
        <f>IF(B75="","",IFERROR(INDEX('Content Calendar'!$X$5:$X$604,MATCH(B75,'Content Calendar'!$A$5:$A$604,0)),"Not found"))</f>
        <v>0</v>
      </c>
      <c r="P75" s="23">
        <f>IF(B75="","",IF(COUNTIF(Performance!$B$5:$B$404,B75)=0,"",SUMIFS(Performance!$O$5:$O$404,Performance!$B$5:$B$404,B75)))</f>
        <v>0</v>
      </c>
      <c r="Q75" s="23">
        <f>IF(B75="","",IF(COUNTIF(Performance!$B$5:$B$404,B75)=0,"",SUMIFS(Performance!$P$5:$P$404,Performance!$B$5:$B$404,B75)))</f>
        <v>0</v>
      </c>
      <c r="R75" s="23">
        <f>IF(B75="","",IF(COUNTIF(Performance!$B$5:$B$404,B75)=0,"",SUMIFS(Performance!$Z$5:$Z$404,Performance!$B$5:$B$404,B75)))</f>
        <v>0</v>
      </c>
      <c r="S75" s="24">
        <f>IF(OR(P75="",P75=0),"",R75/P75)</f>
        <v>0</v>
      </c>
      <c r="T75" s="23">
        <f>IF(B75="","",IF(COUNTIF(Performance!$B$5:$B$404,B75)=0,"",SUMIFS(Performance!$T$5:$T$404,Performance!$B$5:$B$404,B75)))</f>
        <v>0</v>
      </c>
      <c r="U75" s="23">
        <f>IF(B75="","",IF(COUNTIF(Performance!$B$5:$B$404,B75)=0,"",SUMIFS(Performance!$S$5:$S$404,Performance!$B$5:$B$404,B75)))</f>
        <v>0</v>
      </c>
      <c r="V75" s="23">
        <f>IF(B75="","",IF(COUNTIF(Performance!$B$5:$B$404,B75)=0,"",SUMIFS(Performance!$R$5:$R$404,Performance!$B$5:$B$404,B75)))</f>
        <v>0</v>
      </c>
      <c r="W75" s="23">
        <f>IF(B75="","",IF(COUNTIF(Performance!$B$5:$B$404,B75)=0,"",SUMIFS(Performance!$U$5:$U$404,Performance!$B$5:$B$404,B75)))</f>
        <v>0</v>
      </c>
      <c r="X75" s="29">
        <f>IF(B75="","",IF(C75="Not found","Check - content ID not on the calendar",IF(AND(G75="Reel",J75=0),"Add - reel length missing",IF(K75="","Add - no cover image",IF(AND(P75&lt;&gt;"",S75&lt;TargetEngagement),"Review - below your target rate","OK")))))</f>
        <v>0</v>
      </c>
    </row>
    <row r="76" spans="1:24">
      <c r="A76" s="41">
        <f>IF(B76="","","IG-"&amp;TEXT(ROW()-4,"000"))</f>
        <v>0</v>
      </c>
      <c r="C76" s="17">
        <f>IF(B76="","",IFERROR(INDEX('Content Calendar'!$H$5:$H$604,MATCH(B76,'Content Calendar'!$A$5:$A$604,0)),"Not found"))</f>
        <v>0</v>
      </c>
      <c r="D76" s="16">
        <f>IF(B76="","",IFERROR(INDEX('Content Calendar'!$B$5:$B$604,MATCH(B76,'Content Calendar'!$A$5:$A$604,0)),"Not found"))</f>
        <v>0</v>
      </c>
      <c r="E76" s="17">
        <f>IF(B76="","",IFERROR(INDEX('Content Calendar'!$J$5:$J$604,MATCH(B76,'Content Calendar'!$A$5:$A$604,0)),"Not found"))</f>
        <v>0</v>
      </c>
      <c r="F76" s="29">
        <f>IF(B76="","",IFERROR(INDEX('Content Calendar'!$X$5:$X$604,MATCH(B76,'Content Calendar'!$A$5:$A$604,0)),"Not found"))</f>
        <v>0</v>
      </c>
      <c r="P76" s="23">
        <f>IF(B76="","",IF(COUNTIF(Performance!$B$5:$B$404,B76)=0,"",SUMIFS(Performance!$O$5:$O$404,Performance!$B$5:$B$404,B76)))</f>
        <v>0</v>
      </c>
      <c r="Q76" s="23">
        <f>IF(B76="","",IF(COUNTIF(Performance!$B$5:$B$404,B76)=0,"",SUMIFS(Performance!$P$5:$P$404,Performance!$B$5:$B$404,B76)))</f>
        <v>0</v>
      </c>
      <c r="R76" s="23">
        <f>IF(B76="","",IF(COUNTIF(Performance!$B$5:$B$404,B76)=0,"",SUMIFS(Performance!$Z$5:$Z$404,Performance!$B$5:$B$404,B76)))</f>
        <v>0</v>
      </c>
      <c r="S76" s="24">
        <f>IF(OR(P76="",P76=0),"",R76/P76)</f>
        <v>0</v>
      </c>
      <c r="T76" s="23">
        <f>IF(B76="","",IF(COUNTIF(Performance!$B$5:$B$404,B76)=0,"",SUMIFS(Performance!$T$5:$T$404,Performance!$B$5:$B$404,B76)))</f>
        <v>0</v>
      </c>
      <c r="U76" s="23">
        <f>IF(B76="","",IF(COUNTIF(Performance!$B$5:$B$404,B76)=0,"",SUMIFS(Performance!$S$5:$S$404,Performance!$B$5:$B$404,B76)))</f>
        <v>0</v>
      </c>
      <c r="V76" s="23">
        <f>IF(B76="","",IF(COUNTIF(Performance!$B$5:$B$404,B76)=0,"",SUMIFS(Performance!$R$5:$R$404,Performance!$B$5:$B$404,B76)))</f>
        <v>0</v>
      </c>
      <c r="W76" s="23">
        <f>IF(B76="","",IF(COUNTIF(Performance!$B$5:$B$404,B76)=0,"",SUMIFS(Performance!$U$5:$U$404,Performance!$B$5:$B$404,B76)))</f>
        <v>0</v>
      </c>
      <c r="X76" s="29">
        <f>IF(B76="","",IF(C76="Not found","Check - content ID not on the calendar",IF(AND(G76="Reel",J76=0),"Add - reel length missing",IF(K76="","Add - no cover image",IF(AND(P76&lt;&gt;"",S76&lt;TargetEngagement),"Review - below your target rate","OK")))))</f>
        <v>0</v>
      </c>
    </row>
    <row r="77" spans="1:24">
      <c r="A77" s="41">
        <f>IF(B77="","","IG-"&amp;TEXT(ROW()-4,"000"))</f>
        <v>0</v>
      </c>
      <c r="C77" s="17">
        <f>IF(B77="","",IFERROR(INDEX('Content Calendar'!$H$5:$H$604,MATCH(B77,'Content Calendar'!$A$5:$A$604,0)),"Not found"))</f>
        <v>0</v>
      </c>
      <c r="D77" s="16">
        <f>IF(B77="","",IFERROR(INDEX('Content Calendar'!$B$5:$B$604,MATCH(B77,'Content Calendar'!$A$5:$A$604,0)),"Not found"))</f>
        <v>0</v>
      </c>
      <c r="E77" s="17">
        <f>IF(B77="","",IFERROR(INDEX('Content Calendar'!$J$5:$J$604,MATCH(B77,'Content Calendar'!$A$5:$A$604,0)),"Not found"))</f>
        <v>0</v>
      </c>
      <c r="F77" s="29">
        <f>IF(B77="","",IFERROR(INDEX('Content Calendar'!$X$5:$X$604,MATCH(B77,'Content Calendar'!$A$5:$A$604,0)),"Not found"))</f>
        <v>0</v>
      </c>
      <c r="P77" s="23">
        <f>IF(B77="","",IF(COUNTIF(Performance!$B$5:$B$404,B77)=0,"",SUMIFS(Performance!$O$5:$O$404,Performance!$B$5:$B$404,B77)))</f>
        <v>0</v>
      </c>
      <c r="Q77" s="23">
        <f>IF(B77="","",IF(COUNTIF(Performance!$B$5:$B$404,B77)=0,"",SUMIFS(Performance!$P$5:$P$404,Performance!$B$5:$B$404,B77)))</f>
        <v>0</v>
      </c>
      <c r="R77" s="23">
        <f>IF(B77="","",IF(COUNTIF(Performance!$B$5:$B$404,B77)=0,"",SUMIFS(Performance!$Z$5:$Z$404,Performance!$B$5:$B$404,B77)))</f>
        <v>0</v>
      </c>
      <c r="S77" s="24">
        <f>IF(OR(P77="",P77=0),"",R77/P77)</f>
        <v>0</v>
      </c>
      <c r="T77" s="23">
        <f>IF(B77="","",IF(COUNTIF(Performance!$B$5:$B$404,B77)=0,"",SUMIFS(Performance!$T$5:$T$404,Performance!$B$5:$B$404,B77)))</f>
        <v>0</v>
      </c>
      <c r="U77" s="23">
        <f>IF(B77="","",IF(COUNTIF(Performance!$B$5:$B$404,B77)=0,"",SUMIFS(Performance!$S$5:$S$404,Performance!$B$5:$B$404,B77)))</f>
        <v>0</v>
      </c>
      <c r="V77" s="23">
        <f>IF(B77="","",IF(COUNTIF(Performance!$B$5:$B$404,B77)=0,"",SUMIFS(Performance!$R$5:$R$404,Performance!$B$5:$B$404,B77)))</f>
        <v>0</v>
      </c>
      <c r="W77" s="23">
        <f>IF(B77="","",IF(COUNTIF(Performance!$B$5:$B$404,B77)=0,"",SUMIFS(Performance!$U$5:$U$404,Performance!$B$5:$B$404,B77)))</f>
        <v>0</v>
      </c>
      <c r="X77" s="29">
        <f>IF(B77="","",IF(C77="Not found","Check - content ID not on the calendar",IF(AND(G77="Reel",J77=0),"Add - reel length missing",IF(K77="","Add - no cover image",IF(AND(P77&lt;&gt;"",S77&lt;TargetEngagement),"Review - below your target rate","OK")))))</f>
        <v>0</v>
      </c>
    </row>
    <row r="78" spans="1:24">
      <c r="A78" s="41">
        <f>IF(B78="","","IG-"&amp;TEXT(ROW()-4,"000"))</f>
        <v>0</v>
      </c>
      <c r="C78" s="17">
        <f>IF(B78="","",IFERROR(INDEX('Content Calendar'!$H$5:$H$604,MATCH(B78,'Content Calendar'!$A$5:$A$604,0)),"Not found"))</f>
        <v>0</v>
      </c>
      <c r="D78" s="16">
        <f>IF(B78="","",IFERROR(INDEX('Content Calendar'!$B$5:$B$604,MATCH(B78,'Content Calendar'!$A$5:$A$604,0)),"Not found"))</f>
        <v>0</v>
      </c>
      <c r="E78" s="17">
        <f>IF(B78="","",IFERROR(INDEX('Content Calendar'!$J$5:$J$604,MATCH(B78,'Content Calendar'!$A$5:$A$604,0)),"Not found"))</f>
        <v>0</v>
      </c>
      <c r="F78" s="29">
        <f>IF(B78="","",IFERROR(INDEX('Content Calendar'!$X$5:$X$604,MATCH(B78,'Content Calendar'!$A$5:$A$604,0)),"Not found"))</f>
        <v>0</v>
      </c>
      <c r="P78" s="23">
        <f>IF(B78="","",IF(COUNTIF(Performance!$B$5:$B$404,B78)=0,"",SUMIFS(Performance!$O$5:$O$404,Performance!$B$5:$B$404,B78)))</f>
        <v>0</v>
      </c>
      <c r="Q78" s="23">
        <f>IF(B78="","",IF(COUNTIF(Performance!$B$5:$B$404,B78)=0,"",SUMIFS(Performance!$P$5:$P$404,Performance!$B$5:$B$404,B78)))</f>
        <v>0</v>
      </c>
      <c r="R78" s="23">
        <f>IF(B78="","",IF(COUNTIF(Performance!$B$5:$B$404,B78)=0,"",SUMIFS(Performance!$Z$5:$Z$404,Performance!$B$5:$B$404,B78)))</f>
        <v>0</v>
      </c>
      <c r="S78" s="24">
        <f>IF(OR(P78="",P78=0),"",R78/P78)</f>
        <v>0</v>
      </c>
      <c r="T78" s="23">
        <f>IF(B78="","",IF(COUNTIF(Performance!$B$5:$B$404,B78)=0,"",SUMIFS(Performance!$T$5:$T$404,Performance!$B$5:$B$404,B78)))</f>
        <v>0</v>
      </c>
      <c r="U78" s="23">
        <f>IF(B78="","",IF(COUNTIF(Performance!$B$5:$B$404,B78)=0,"",SUMIFS(Performance!$S$5:$S$404,Performance!$B$5:$B$404,B78)))</f>
        <v>0</v>
      </c>
      <c r="V78" s="23">
        <f>IF(B78="","",IF(COUNTIF(Performance!$B$5:$B$404,B78)=0,"",SUMIFS(Performance!$R$5:$R$404,Performance!$B$5:$B$404,B78)))</f>
        <v>0</v>
      </c>
      <c r="W78" s="23">
        <f>IF(B78="","",IF(COUNTIF(Performance!$B$5:$B$404,B78)=0,"",SUMIFS(Performance!$U$5:$U$404,Performance!$B$5:$B$404,B78)))</f>
        <v>0</v>
      </c>
      <c r="X78" s="29">
        <f>IF(B78="","",IF(C78="Not found","Check - content ID not on the calendar",IF(AND(G78="Reel",J78=0),"Add - reel length missing",IF(K78="","Add - no cover image",IF(AND(P78&lt;&gt;"",S78&lt;TargetEngagement),"Review - below your target rate","OK")))))</f>
        <v>0</v>
      </c>
    </row>
    <row r="79" spans="1:24">
      <c r="A79" s="41">
        <f>IF(B79="","","IG-"&amp;TEXT(ROW()-4,"000"))</f>
        <v>0</v>
      </c>
      <c r="C79" s="17">
        <f>IF(B79="","",IFERROR(INDEX('Content Calendar'!$H$5:$H$604,MATCH(B79,'Content Calendar'!$A$5:$A$604,0)),"Not found"))</f>
        <v>0</v>
      </c>
      <c r="D79" s="16">
        <f>IF(B79="","",IFERROR(INDEX('Content Calendar'!$B$5:$B$604,MATCH(B79,'Content Calendar'!$A$5:$A$604,0)),"Not found"))</f>
        <v>0</v>
      </c>
      <c r="E79" s="17">
        <f>IF(B79="","",IFERROR(INDEX('Content Calendar'!$J$5:$J$604,MATCH(B79,'Content Calendar'!$A$5:$A$604,0)),"Not found"))</f>
        <v>0</v>
      </c>
      <c r="F79" s="29">
        <f>IF(B79="","",IFERROR(INDEX('Content Calendar'!$X$5:$X$604,MATCH(B79,'Content Calendar'!$A$5:$A$604,0)),"Not found"))</f>
        <v>0</v>
      </c>
      <c r="P79" s="23">
        <f>IF(B79="","",IF(COUNTIF(Performance!$B$5:$B$404,B79)=0,"",SUMIFS(Performance!$O$5:$O$404,Performance!$B$5:$B$404,B79)))</f>
        <v>0</v>
      </c>
      <c r="Q79" s="23">
        <f>IF(B79="","",IF(COUNTIF(Performance!$B$5:$B$404,B79)=0,"",SUMIFS(Performance!$P$5:$P$404,Performance!$B$5:$B$404,B79)))</f>
        <v>0</v>
      </c>
      <c r="R79" s="23">
        <f>IF(B79="","",IF(COUNTIF(Performance!$B$5:$B$404,B79)=0,"",SUMIFS(Performance!$Z$5:$Z$404,Performance!$B$5:$B$404,B79)))</f>
        <v>0</v>
      </c>
      <c r="S79" s="24">
        <f>IF(OR(P79="",P79=0),"",R79/P79)</f>
        <v>0</v>
      </c>
      <c r="T79" s="23">
        <f>IF(B79="","",IF(COUNTIF(Performance!$B$5:$B$404,B79)=0,"",SUMIFS(Performance!$T$5:$T$404,Performance!$B$5:$B$404,B79)))</f>
        <v>0</v>
      </c>
      <c r="U79" s="23">
        <f>IF(B79="","",IF(COUNTIF(Performance!$B$5:$B$404,B79)=0,"",SUMIFS(Performance!$S$5:$S$404,Performance!$B$5:$B$404,B79)))</f>
        <v>0</v>
      </c>
      <c r="V79" s="23">
        <f>IF(B79="","",IF(COUNTIF(Performance!$B$5:$B$404,B79)=0,"",SUMIFS(Performance!$R$5:$R$404,Performance!$B$5:$B$404,B79)))</f>
        <v>0</v>
      </c>
      <c r="W79" s="23">
        <f>IF(B79="","",IF(COUNTIF(Performance!$B$5:$B$404,B79)=0,"",SUMIFS(Performance!$U$5:$U$404,Performance!$B$5:$B$404,B79)))</f>
        <v>0</v>
      </c>
      <c r="X79" s="29">
        <f>IF(B79="","",IF(C79="Not found","Check - content ID not on the calendar",IF(AND(G79="Reel",J79=0),"Add - reel length missing",IF(K79="","Add - no cover image",IF(AND(P79&lt;&gt;"",S79&lt;TargetEngagement),"Review - below your target rate","OK")))))</f>
        <v>0</v>
      </c>
    </row>
    <row r="80" spans="1:24">
      <c r="A80" s="41">
        <f>IF(B80="","","IG-"&amp;TEXT(ROW()-4,"000"))</f>
        <v>0</v>
      </c>
      <c r="C80" s="17">
        <f>IF(B80="","",IFERROR(INDEX('Content Calendar'!$H$5:$H$604,MATCH(B80,'Content Calendar'!$A$5:$A$604,0)),"Not found"))</f>
        <v>0</v>
      </c>
      <c r="D80" s="16">
        <f>IF(B80="","",IFERROR(INDEX('Content Calendar'!$B$5:$B$604,MATCH(B80,'Content Calendar'!$A$5:$A$604,0)),"Not found"))</f>
        <v>0</v>
      </c>
      <c r="E80" s="17">
        <f>IF(B80="","",IFERROR(INDEX('Content Calendar'!$J$5:$J$604,MATCH(B80,'Content Calendar'!$A$5:$A$604,0)),"Not found"))</f>
        <v>0</v>
      </c>
      <c r="F80" s="29">
        <f>IF(B80="","",IFERROR(INDEX('Content Calendar'!$X$5:$X$604,MATCH(B80,'Content Calendar'!$A$5:$A$604,0)),"Not found"))</f>
        <v>0</v>
      </c>
      <c r="P80" s="23">
        <f>IF(B80="","",IF(COUNTIF(Performance!$B$5:$B$404,B80)=0,"",SUMIFS(Performance!$O$5:$O$404,Performance!$B$5:$B$404,B80)))</f>
        <v>0</v>
      </c>
      <c r="Q80" s="23">
        <f>IF(B80="","",IF(COUNTIF(Performance!$B$5:$B$404,B80)=0,"",SUMIFS(Performance!$P$5:$P$404,Performance!$B$5:$B$404,B80)))</f>
        <v>0</v>
      </c>
      <c r="R80" s="23">
        <f>IF(B80="","",IF(COUNTIF(Performance!$B$5:$B$404,B80)=0,"",SUMIFS(Performance!$Z$5:$Z$404,Performance!$B$5:$B$404,B80)))</f>
        <v>0</v>
      </c>
      <c r="S80" s="24">
        <f>IF(OR(P80="",P80=0),"",R80/P80)</f>
        <v>0</v>
      </c>
      <c r="T80" s="23">
        <f>IF(B80="","",IF(COUNTIF(Performance!$B$5:$B$404,B80)=0,"",SUMIFS(Performance!$T$5:$T$404,Performance!$B$5:$B$404,B80)))</f>
        <v>0</v>
      </c>
      <c r="U80" s="23">
        <f>IF(B80="","",IF(COUNTIF(Performance!$B$5:$B$404,B80)=0,"",SUMIFS(Performance!$S$5:$S$404,Performance!$B$5:$B$404,B80)))</f>
        <v>0</v>
      </c>
      <c r="V80" s="23">
        <f>IF(B80="","",IF(COUNTIF(Performance!$B$5:$B$404,B80)=0,"",SUMIFS(Performance!$R$5:$R$404,Performance!$B$5:$B$404,B80)))</f>
        <v>0</v>
      </c>
      <c r="W80" s="23">
        <f>IF(B80="","",IF(COUNTIF(Performance!$B$5:$B$404,B80)=0,"",SUMIFS(Performance!$U$5:$U$404,Performance!$B$5:$B$404,B80)))</f>
        <v>0</v>
      </c>
      <c r="X80" s="29">
        <f>IF(B80="","",IF(C80="Not found","Check - content ID not on the calendar",IF(AND(G80="Reel",J80=0),"Add - reel length missing",IF(K80="","Add - no cover image",IF(AND(P80&lt;&gt;"",S80&lt;TargetEngagement),"Review - below your target rate","OK")))))</f>
        <v>0</v>
      </c>
    </row>
    <row r="81" spans="1:24">
      <c r="A81" s="41">
        <f>IF(B81="","","IG-"&amp;TEXT(ROW()-4,"000"))</f>
        <v>0</v>
      </c>
      <c r="C81" s="17">
        <f>IF(B81="","",IFERROR(INDEX('Content Calendar'!$H$5:$H$604,MATCH(B81,'Content Calendar'!$A$5:$A$604,0)),"Not found"))</f>
        <v>0</v>
      </c>
      <c r="D81" s="16">
        <f>IF(B81="","",IFERROR(INDEX('Content Calendar'!$B$5:$B$604,MATCH(B81,'Content Calendar'!$A$5:$A$604,0)),"Not found"))</f>
        <v>0</v>
      </c>
      <c r="E81" s="17">
        <f>IF(B81="","",IFERROR(INDEX('Content Calendar'!$J$5:$J$604,MATCH(B81,'Content Calendar'!$A$5:$A$604,0)),"Not found"))</f>
        <v>0</v>
      </c>
      <c r="F81" s="29">
        <f>IF(B81="","",IFERROR(INDEX('Content Calendar'!$X$5:$X$604,MATCH(B81,'Content Calendar'!$A$5:$A$604,0)),"Not found"))</f>
        <v>0</v>
      </c>
      <c r="P81" s="23">
        <f>IF(B81="","",IF(COUNTIF(Performance!$B$5:$B$404,B81)=0,"",SUMIFS(Performance!$O$5:$O$404,Performance!$B$5:$B$404,B81)))</f>
        <v>0</v>
      </c>
      <c r="Q81" s="23">
        <f>IF(B81="","",IF(COUNTIF(Performance!$B$5:$B$404,B81)=0,"",SUMIFS(Performance!$P$5:$P$404,Performance!$B$5:$B$404,B81)))</f>
        <v>0</v>
      </c>
      <c r="R81" s="23">
        <f>IF(B81="","",IF(COUNTIF(Performance!$B$5:$B$404,B81)=0,"",SUMIFS(Performance!$Z$5:$Z$404,Performance!$B$5:$B$404,B81)))</f>
        <v>0</v>
      </c>
      <c r="S81" s="24">
        <f>IF(OR(P81="",P81=0),"",R81/P81)</f>
        <v>0</v>
      </c>
      <c r="T81" s="23">
        <f>IF(B81="","",IF(COUNTIF(Performance!$B$5:$B$404,B81)=0,"",SUMIFS(Performance!$T$5:$T$404,Performance!$B$5:$B$404,B81)))</f>
        <v>0</v>
      </c>
      <c r="U81" s="23">
        <f>IF(B81="","",IF(COUNTIF(Performance!$B$5:$B$404,B81)=0,"",SUMIFS(Performance!$S$5:$S$404,Performance!$B$5:$B$404,B81)))</f>
        <v>0</v>
      </c>
      <c r="V81" s="23">
        <f>IF(B81="","",IF(COUNTIF(Performance!$B$5:$B$404,B81)=0,"",SUMIFS(Performance!$R$5:$R$404,Performance!$B$5:$B$404,B81)))</f>
        <v>0</v>
      </c>
      <c r="W81" s="23">
        <f>IF(B81="","",IF(COUNTIF(Performance!$B$5:$B$404,B81)=0,"",SUMIFS(Performance!$U$5:$U$404,Performance!$B$5:$B$404,B81)))</f>
        <v>0</v>
      </c>
      <c r="X81" s="29">
        <f>IF(B81="","",IF(C81="Not found","Check - content ID not on the calendar",IF(AND(G81="Reel",J81=0),"Add - reel length missing",IF(K81="","Add - no cover image",IF(AND(P81&lt;&gt;"",S81&lt;TargetEngagement),"Review - below your target rate","OK")))))</f>
        <v>0</v>
      </c>
    </row>
    <row r="82" spans="1:24">
      <c r="A82" s="41">
        <f>IF(B82="","","IG-"&amp;TEXT(ROW()-4,"000"))</f>
        <v>0</v>
      </c>
      <c r="C82" s="17">
        <f>IF(B82="","",IFERROR(INDEX('Content Calendar'!$H$5:$H$604,MATCH(B82,'Content Calendar'!$A$5:$A$604,0)),"Not found"))</f>
        <v>0</v>
      </c>
      <c r="D82" s="16">
        <f>IF(B82="","",IFERROR(INDEX('Content Calendar'!$B$5:$B$604,MATCH(B82,'Content Calendar'!$A$5:$A$604,0)),"Not found"))</f>
        <v>0</v>
      </c>
      <c r="E82" s="17">
        <f>IF(B82="","",IFERROR(INDEX('Content Calendar'!$J$5:$J$604,MATCH(B82,'Content Calendar'!$A$5:$A$604,0)),"Not found"))</f>
        <v>0</v>
      </c>
      <c r="F82" s="29">
        <f>IF(B82="","",IFERROR(INDEX('Content Calendar'!$X$5:$X$604,MATCH(B82,'Content Calendar'!$A$5:$A$604,0)),"Not found"))</f>
        <v>0</v>
      </c>
      <c r="P82" s="23">
        <f>IF(B82="","",IF(COUNTIF(Performance!$B$5:$B$404,B82)=0,"",SUMIFS(Performance!$O$5:$O$404,Performance!$B$5:$B$404,B82)))</f>
        <v>0</v>
      </c>
      <c r="Q82" s="23">
        <f>IF(B82="","",IF(COUNTIF(Performance!$B$5:$B$404,B82)=0,"",SUMIFS(Performance!$P$5:$P$404,Performance!$B$5:$B$404,B82)))</f>
        <v>0</v>
      </c>
      <c r="R82" s="23">
        <f>IF(B82="","",IF(COUNTIF(Performance!$B$5:$B$404,B82)=0,"",SUMIFS(Performance!$Z$5:$Z$404,Performance!$B$5:$B$404,B82)))</f>
        <v>0</v>
      </c>
      <c r="S82" s="24">
        <f>IF(OR(P82="",P82=0),"",R82/P82)</f>
        <v>0</v>
      </c>
      <c r="T82" s="23">
        <f>IF(B82="","",IF(COUNTIF(Performance!$B$5:$B$404,B82)=0,"",SUMIFS(Performance!$T$5:$T$404,Performance!$B$5:$B$404,B82)))</f>
        <v>0</v>
      </c>
      <c r="U82" s="23">
        <f>IF(B82="","",IF(COUNTIF(Performance!$B$5:$B$404,B82)=0,"",SUMIFS(Performance!$S$5:$S$404,Performance!$B$5:$B$404,B82)))</f>
        <v>0</v>
      </c>
      <c r="V82" s="23">
        <f>IF(B82="","",IF(COUNTIF(Performance!$B$5:$B$404,B82)=0,"",SUMIFS(Performance!$R$5:$R$404,Performance!$B$5:$B$404,B82)))</f>
        <v>0</v>
      </c>
      <c r="W82" s="23">
        <f>IF(B82="","",IF(COUNTIF(Performance!$B$5:$B$404,B82)=0,"",SUMIFS(Performance!$U$5:$U$404,Performance!$B$5:$B$404,B82)))</f>
        <v>0</v>
      </c>
      <c r="X82" s="29">
        <f>IF(B82="","",IF(C82="Not found","Check - content ID not on the calendar",IF(AND(G82="Reel",J82=0),"Add - reel length missing",IF(K82="","Add - no cover image",IF(AND(P82&lt;&gt;"",S82&lt;TargetEngagement),"Review - below your target rate","OK")))))</f>
        <v>0</v>
      </c>
    </row>
    <row r="83" spans="1:24">
      <c r="A83" s="41">
        <f>IF(B83="","","IG-"&amp;TEXT(ROW()-4,"000"))</f>
        <v>0</v>
      </c>
      <c r="C83" s="17">
        <f>IF(B83="","",IFERROR(INDEX('Content Calendar'!$H$5:$H$604,MATCH(B83,'Content Calendar'!$A$5:$A$604,0)),"Not found"))</f>
        <v>0</v>
      </c>
      <c r="D83" s="16">
        <f>IF(B83="","",IFERROR(INDEX('Content Calendar'!$B$5:$B$604,MATCH(B83,'Content Calendar'!$A$5:$A$604,0)),"Not found"))</f>
        <v>0</v>
      </c>
      <c r="E83" s="17">
        <f>IF(B83="","",IFERROR(INDEX('Content Calendar'!$J$5:$J$604,MATCH(B83,'Content Calendar'!$A$5:$A$604,0)),"Not found"))</f>
        <v>0</v>
      </c>
      <c r="F83" s="29">
        <f>IF(B83="","",IFERROR(INDEX('Content Calendar'!$X$5:$X$604,MATCH(B83,'Content Calendar'!$A$5:$A$604,0)),"Not found"))</f>
        <v>0</v>
      </c>
      <c r="P83" s="23">
        <f>IF(B83="","",IF(COUNTIF(Performance!$B$5:$B$404,B83)=0,"",SUMIFS(Performance!$O$5:$O$404,Performance!$B$5:$B$404,B83)))</f>
        <v>0</v>
      </c>
      <c r="Q83" s="23">
        <f>IF(B83="","",IF(COUNTIF(Performance!$B$5:$B$404,B83)=0,"",SUMIFS(Performance!$P$5:$P$404,Performance!$B$5:$B$404,B83)))</f>
        <v>0</v>
      </c>
      <c r="R83" s="23">
        <f>IF(B83="","",IF(COUNTIF(Performance!$B$5:$B$404,B83)=0,"",SUMIFS(Performance!$Z$5:$Z$404,Performance!$B$5:$B$404,B83)))</f>
        <v>0</v>
      </c>
      <c r="S83" s="24">
        <f>IF(OR(P83="",P83=0),"",R83/P83)</f>
        <v>0</v>
      </c>
      <c r="T83" s="23">
        <f>IF(B83="","",IF(COUNTIF(Performance!$B$5:$B$404,B83)=0,"",SUMIFS(Performance!$T$5:$T$404,Performance!$B$5:$B$404,B83)))</f>
        <v>0</v>
      </c>
      <c r="U83" s="23">
        <f>IF(B83="","",IF(COUNTIF(Performance!$B$5:$B$404,B83)=0,"",SUMIFS(Performance!$S$5:$S$404,Performance!$B$5:$B$404,B83)))</f>
        <v>0</v>
      </c>
      <c r="V83" s="23">
        <f>IF(B83="","",IF(COUNTIF(Performance!$B$5:$B$404,B83)=0,"",SUMIFS(Performance!$R$5:$R$404,Performance!$B$5:$B$404,B83)))</f>
        <v>0</v>
      </c>
      <c r="W83" s="23">
        <f>IF(B83="","",IF(COUNTIF(Performance!$B$5:$B$404,B83)=0,"",SUMIFS(Performance!$U$5:$U$404,Performance!$B$5:$B$404,B83)))</f>
        <v>0</v>
      </c>
      <c r="X83" s="29">
        <f>IF(B83="","",IF(C83="Not found","Check - content ID not on the calendar",IF(AND(G83="Reel",J83=0),"Add - reel length missing",IF(K83="","Add - no cover image",IF(AND(P83&lt;&gt;"",S83&lt;TargetEngagement),"Review - below your target rate","OK")))))</f>
        <v>0</v>
      </c>
    </row>
    <row r="84" spans="1:24">
      <c r="A84" s="41">
        <f>IF(B84="","","IG-"&amp;TEXT(ROW()-4,"000"))</f>
        <v>0</v>
      </c>
      <c r="C84" s="17">
        <f>IF(B84="","",IFERROR(INDEX('Content Calendar'!$H$5:$H$604,MATCH(B84,'Content Calendar'!$A$5:$A$604,0)),"Not found"))</f>
        <v>0</v>
      </c>
      <c r="D84" s="16">
        <f>IF(B84="","",IFERROR(INDEX('Content Calendar'!$B$5:$B$604,MATCH(B84,'Content Calendar'!$A$5:$A$604,0)),"Not found"))</f>
        <v>0</v>
      </c>
      <c r="E84" s="17">
        <f>IF(B84="","",IFERROR(INDEX('Content Calendar'!$J$5:$J$604,MATCH(B84,'Content Calendar'!$A$5:$A$604,0)),"Not found"))</f>
        <v>0</v>
      </c>
      <c r="F84" s="29">
        <f>IF(B84="","",IFERROR(INDEX('Content Calendar'!$X$5:$X$604,MATCH(B84,'Content Calendar'!$A$5:$A$604,0)),"Not found"))</f>
        <v>0</v>
      </c>
      <c r="P84" s="23">
        <f>IF(B84="","",IF(COUNTIF(Performance!$B$5:$B$404,B84)=0,"",SUMIFS(Performance!$O$5:$O$404,Performance!$B$5:$B$404,B84)))</f>
        <v>0</v>
      </c>
      <c r="Q84" s="23">
        <f>IF(B84="","",IF(COUNTIF(Performance!$B$5:$B$404,B84)=0,"",SUMIFS(Performance!$P$5:$P$404,Performance!$B$5:$B$404,B84)))</f>
        <v>0</v>
      </c>
      <c r="R84" s="23">
        <f>IF(B84="","",IF(COUNTIF(Performance!$B$5:$B$404,B84)=0,"",SUMIFS(Performance!$Z$5:$Z$404,Performance!$B$5:$B$404,B84)))</f>
        <v>0</v>
      </c>
      <c r="S84" s="24">
        <f>IF(OR(P84="",P84=0),"",R84/P84)</f>
        <v>0</v>
      </c>
      <c r="T84" s="23">
        <f>IF(B84="","",IF(COUNTIF(Performance!$B$5:$B$404,B84)=0,"",SUMIFS(Performance!$T$5:$T$404,Performance!$B$5:$B$404,B84)))</f>
        <v>0</v>
      </c>
      <c r="U84" s="23">
        <f>IF(B84="","",IF(COUNTIF(Performance!$B$5:$B$404,B84)=0,"",SUMIFS(Performance!$S$5:$S$404,Performance!$B$5:$B$404,B84)))</f>
        <v>0</v>
      </c>
      <c r="V84" s="23">
        <f>IF(B84="","",IF(COUNTIF(Performance!$B$5:$B$404,B84)=0,"",SUMIFS(Performance!$R$5:$R$404,Performance!$B$5:$B$404,B84)))</f>
        <v>0</v>
      </c>
      <c r="W84" s="23">
        <f>IF(B84="","",IF(COUNTIF(Performance!$B$5:$B$404,B84)=0,"",SUMIFS(Performance!$U$5:$U$404,Performance!$B$5:$B$404,B84)))</f>
        <v>0</v>
      </c>
      <c r="X84" s="29">
        <f>IF(B84="","",IF(C84="Not found","Check - content ID not on the calendar",IF(AND(G84="Reel",J84=0),"Add - reel length missing",IF(K84="","Add - no cover image",IF(AND(P84&lt;&gt;"",S84&lt;TargetEngagement),"Review - below your target rate","OK")))))</f>
        <v>0</v>
      </c>
    </row>
    <row r="85" spans="1:24">
      <c r="A85" s="41">
        <f>IF(B85="","","IG-"&amp;TEXT(ROW()-4,"000"))</f>
        <v>0</v>
      </c>
      <c r="C85" s="17">
        <f>IF(B85="","",IFERROR(INDEX('Content Calendar'!$H$5:$H$604,MATCH(B85,'Content Calendar'!$A$5:$A$604,0)),"Not found"))</f>
        <v>0</v>
      </c>
      <c r="D85" s="16">
        <f>IF(B85="","",IFERROR(INDEX('Content Calendar'!$B$5:$B$604,MATCH(B85,'Content Calendar'!$A$5:$A$604,0)),"Not found"))</f>
        <v>0</v>
      </c>
      <c r="E85" s="17">
        <f>IF(B85="","",IFERROR(INDEX('Content Calendar'!$J$5:$J$604,MATCH(B85,'Content Calendar'!$A$5:$A$604,0)),"Not found"))</f>
        <v>0</v>
      </c>
      <c r="F85" s="29">
        <f>IF(B85="","",IFERROR(INDEX('Content Calendar'!$X$5:$X$604,MATCH(B85,'Content Calendar'!$A$5:$A$604,0)),"Not found"))</f>
        <v>0</v>
      </c>
      <c r="P85" s="23">
        <f>IF(B85="","",IF(COUNTIF(Performance!$B$5:$B$404,B85)=0,"",SUMIFS(Performance!$O$5:$O$404,Performance!$B$5:$B$404,B85)))</f>
        <v>0</v>
      </c>
      <c r="Q85" s="23">
        <f>IF(B85="","",IF(COUNTIF(Performance!$B$5:$B$404,B85)=0,"",SUMIFS(Performance!$P$5:$P$404,Performance!$B$5:$B$404,B85)))</f>
        <v>0</v>
      </c>
      <c r="R85" s="23">
        <f>IF(B85="","",IF(COUNTIF(Performance!$B$5:$B$404,B85)=0,"",SUMIFS(Performance!$Z$5:$Z$404,Performance!$B$5:$B$404,B85)))</f>
        <v>0</v>
      </c>
      <c r="S85" s="24">
        <f>IF(OR(P85="",P85=0),"",R85/P85)</f>
        <v>0</v>
      </c>
      <c r="T85" s="23">
        <f>IF(B85="","",IF(COUNTIF(Performance!$B$5:$B$404,B85)=0,"",SUMIFS(Performance!$T$5:$T$404,Performance!$B$5:$B$404,B85)))</f>
        <v>0</v>
      </c>
      <c r="U85" s="23">
        <f>IF(B85="","",IF(COUNTIF(Performance!$B$5:$B$404,B85)=0,"",SUMIFS(Performance!$S$5:$S$404,Performance!$B$5:$B$404,B85)))</f>
        <v>0</v>
      </c>
      <c r="V85" s="23">
        <f>IF(B85="","",IF(COUNTIF(Performance!$B$5:$B$404,B85)=0,"",SUMIFS(Performance!$R$5:$R$404,Performance!$B$5:$B$404,B85)))</f>
        <v>0</v>
      </c>
      <c r="W85" s="23">
        <f>IF(B85="","",IF(COUNTIF(Performance!$B$5:$B$404,B85)=0,"",SUMIFS(Performance!$U$5:$U$404,Performance!$B$5:$B$404,B85)))</f>
        <v>0</v>
      </c>
      <c r="X85" s="29">
        <f>IF(B85="","",IF(C85="Not found","Check - content ID not on the calendar",IF(AND(G85="Reel",J85=0),"Add - reel length missing",IF(K85="","Add - no cover image",IF(AND(P85&lt;&gt;"",S85&lt;TargetEngagement),"Review - below your target rate","OK")))))</f>
        <v>0</v>
      </c>
    </row>
    <row r="86" spans="1:24">
      <c r="A86" s="41">
        <f>IF(B86="","","IG-"&amp;TEXT(ROW()-4,"000"))</f>
        <v>0</v>
      </c>
      <c r="C86" s="17">
        <f>IF(B86="","",IFERROR(INDEX('Content Calendar'!$H$5:$H$604,MATCH(B86,'Content Calendar'!$A$5:$A$604,0)),"Not found"))</f>
        <v>0</v>
      </c>
      <c r="D86" s="16">
        <f>IF(B86="","",IFERROR(INDEX('Content Calendar'!$B$5:$B$604,MATCH(B86,'Content Calendar'!$A$5:$A$604,0)),"Not found"))</f>
        <v>0</v>
      </c>
      <c r="E86" s="17">
        <f>IF(B86="","",IFERROR(INDEX('Content Calendar'!$J$5:$J$604,MATCH(B86,'Content Calendar'!$A$5:$A$604,0)),"Not found"))</f>
        <v>0</v>
      </c>
      <c r="F86" s="29">
        <f>IF(B86="","",IFERROR(INDEX('Content Calendar'!$X$5:$X$604,MATCH(B86,'Content Calendar'!$A$5:$A$604,0)),"Not found"))</f>
        <v>0</v>
      </c>
      <c r="P86" s="23">
        <f>IF(B86="","",IF(COUNTIF(Performance!$B$5:$B$404,B86)=0,"",SUMIFS(Performance!$O$5:$O$404,Performance!$B$5:$B$404,B86)))</f>
        <v>0</v>
      </c>
      <c r="Q86" s="23">
        <f>IF(B86="","",IF(COUNTIF(Performance!$B$5:$B$404,B86)=0,"",SUMIFS(Performance!$P$5:$P$404,Performance!$B$5:$B$404,B86)))</f>
        <v>0</v>
      </c>
      <c r="R86" s="23">
        <f>IF(B86="","",IF(COUNTIF(Performance!$B$5:$B$404,B86)=0,"",SUMIFS(Performance!$Z$5:$Z$404,Performance!$B$5:$B$404,B86)))</f>
        <v>0</v>
      </c>
      <c r="S86" s="24">
        <f>IF(OR(P86="",P86=0),"",R86/P86)</f>
        <v>0</v>
      </c>
      <c r="T86" s="23">
        <f>IF(B86="","",IF(COUNTIF(Performance!$B$5:$B$404,B86)=0,"",SUMIFS(Performance!$T$5:$T$404,Performance!$B$5:$B$404,B86)))</f>
        <v>0</v>
      </c>
      <c r="U86" s="23">
        <f>IF(B86="","",IF(COUNTIF(Performance!$B$5:$B$404,B86)=0,"",SUMIFS(Performance!$S$5:$S$404,Performance!$B$5:$B$404,B86)))</f>
        <v>0</v>
      </c>
      <c r="V86" s="23">
        <f>IF(B86="","",IF(COUNTIF(Performance!$B$5:$B$404,B86)=0,"",SUMIFS(Performance!$R$5:$R$404,Performance!$B$5:$B$404,B86)))</f>
        <v>0</v>
      </c>
      <c r="W86" s="23">
        <f>IF(B86="","",IF(COUNTIF(Performance!$B$5:$B$404,B86)=0,"",SUMIFS(Performance!$U$5:$U$404,Performance!$B$5:$B$404,B86)))</f>
        <v>0</v>
      </c>
      <c r="X86" s="29">
        <f>IF(B86="","",IF(C86="Not found","Check - content ID not on the calendar",IF(AND(G86="Reel",J86=0),"Add - reel length missing",IF(K86="","Add - no cover image",IF(AND(P86&lt;&gt;"",S86&lt;TargetEngagement),"Review - below your target rate","OK")))))</f>
        <v>0</v>
      </c>
    </row>
    <row r="87" spans="1:24">
      <c r="A87" s="41">
        <f>IF(B87="","","IG-"&amp;TEXT(ROW()-4,"000"))</f>
        <v>0</v>
      </c>
      <c r="C87" s="17">
        <f>IF(B87="","",IFERROR(INDEX('Content Calendar'!$H$5:$H$604,MATCH(B87,'Content Calendar'!$A$5:$A$604,0)),"Not found"))</f>
        <v>0</v>
      </c>
      <c r="D87" s="16">
        <f>IF(B87="","",IFERROR(INDEX('Content Calendar'!$B$5:$B$604,MATCH(B87,'Content Calendar'!$A$5:$A$604,0)),"Not found"))</f>
        <v>0</v>
      </c>
      <c r="E87" s="17">
        <f>IF(B87="","",IFERROR(INDEX('Content Calendar'!$J$5:$J$604,MATCH(B87,'Content Calendar'!$A$5:$A$604,0)),"Not found"))</f>
        <v>0</v>
      </c>
      <c r="F87" s="29">
        <f>IF(B87="","",IFERROR(INDEX('Content Calendar'!$X$5:$X$604,MATCH(B87,'Content Calendar'!$A$5:$A$604,0)),"Not found"))</f>
        <v>0</v>
      </c>
      <c r="P87" s="23">
        <f>IF(B87="","",IF(COUNTIF(Performance!$B$5:$B$404,B87)=0,"",SUMIFS(Performance!$O$5:$O$404,Performance!$B$5:$B$404,B87)))</f>
        <v>0</v>
      </c>
      <c r="Q87" s="23">
        <f>IF(B87="","",IF(COUNTIF(Performance!$B$5:$B$404,B87)=0,"",SUMIFS(Performance!$P$5:$P$404,Performance!$B$5:$B$404,B87)))</f>
        <v>0</v>
      </c>
      <c r="R87" s="23">
        <f>IF(B87="","",IF(COUNTIF(Performance!$B$5:$B$404,B87)=0,"",SUMIFS(Performance!$Z$5:$Z$404,Performance!$B$5:$B$404,B87)))</f>
        <v>0</v>
      </c>
      <c r="S87" s="24">
        <f>IF(OR(P87="",P87=0),"",R87/P87)</f>
        <v>0</v>
      </c>
      <c r="T87" s="23">
        <f>IF(B87="","",IF(COUNTIF(Performance!$B$5:$B$404,B87)=0,"",SUMIFS(Performance!$T$5:$T$404,Performance!$B$5:$B$404,B87)))</f>
        <v>0</v>
      </c>
      <c r="U87" s="23">
        <f>IF(B87="","",IF(COUNTIF(Performance!$B$5:$B$404,B87)=0,"",SUMIFS(Performance!$S$5:$S$404,Performance!$B$5:$B$404,B87)))</f>
        <v>0</v>
      </c>
      <c r="V87" s="23">
        <f>IF(B87="","",IF(COUNTIF(Performance!$B$5:$B$404,B87)=0,"",SUMIFS(Performance!$R$5:$R$404,Performance!$B$5:$B$404,B87)))</f>
        <v>0</v>
      </c>
      <c r="W87" s="23">
        <f>IF(B87="","",IF(COUNTIF(Performance!$B$5:$B$404,B87)=0,"",SUMIFS(Performance!$U$5:$U$404,Performance!$B$5:$B$404,B87)))</f>
        <v>0</v>
      </c>
      <c r="X87" s="29">
        <f>IF(B87="","",IF(C87="Not found","Check - content ID not on the calendar",IF(AND(G87="Reel",J87=0),"Add - reel length missing",IF(K87="","Add - no cover image",IF(AND(P87&lt;&gt;"",S87&lt;TargetEngagement),"Review - below your target rate","OK")))))</f>
        <v>0</v>
      </c>
    </row>
    <row r="88" spans="1:24">
      <c r="A88" s="41">
        <f>IF(B88="","","IG-"&amp;TEXT(ROW()-4,"000"))</f>
        <v>0</v>
      </c>
      <c r="C88" s="17">
        <f>IF(B88="","",IFERROR(INDEX('Content Calendar'!$H$5:$H$604,MATCH(B88,'Content Calendar'!$A$5:$A$604,0)),"Not found"))</f>
        <v>0</v>
      </c>
      <c r="D88" s="16">
        <f>IF(B88="","",IFERROR(INDEX('Content Calendar'!$B$5:$B$604,MATCH(B88,'Content Calendar'!$A$5:$A$604,0)),"Not found"))</f>
        <v>0</v>
      </c>
      <c r="E88" s="17">
        <f>IF(B88="","",IFERROR(INDEX('Content Calendar'!$J$5:$J$604,MATCH(B88,'Content Calendar'!$A$5:$A$604,0)),"Not found"))</f>
        <v>0</v>
      </c>
      <c r="F88" s="29">
        <f>IF(B88="","",IFERROR(INDEX('Content Calendar'!$X$5:$X$604,MATCH(B88,'Content Calendar'!$A$5:$A$604,0)),"Not found"))</f>
        <v>0</v>
      </c>
      <c r="P88" s="23">
        <f>IF(B88="","",IF(COUNTIF(Performance!$B$5:$B$404,B88)=0,"",SUMIFS(Performance!$O$5:$O$404,Performance!$B$5:$B$404,B88)))</f>
        <v>0</v>
      </c>
      <c r="Q88" s="23">
        <f>IF(B88="","",IF(COUNTIF(Performance!$B$5:$B$404,B88)=0,"",SUMIFS(Performance!$P$5:$P$404,Performance!$B$5:$B$404,B88)))</f>
        <v>0</v>
      </c>
      <c r="R88" s="23">
        <f>IF(B88="","",IF(COUNTIF(Performance!$B$5:$B$404,B88)=0,"",SUMIFS(Performance!$Z$5:$Z$404,Performance!$B$5:$B$404,B88)))</f>
        <v>0</v>
      </c>
      <c r="S88" s="24">
        <f>IF(OR(P88="",P88=0),"",R88/P88)</f>
        <v>0</v>
      </c>
      <c r="T88" s="23">
        <f>IF(B88="","",IF(COUNTIF(Performance!$B$5:$B$404,B88)=0,"",SUMIFS(Performance!$T$5:$T$404,Performance!$B$5:$B$404,B88)))</f>
        <v>0</v>
      </c>
      <c r="U88" s="23">
        <f>IF(B88="","",IF(COUNTIF(Performance!$B$5:$B$404,B88)=0,"",SUMIFS(Performance!$S$5:$S$404,Performance!$B$5:$B$404,B88)))</f>
        <v>0</v>
      </c>
      <c r="V88" s="23">
        <f>IF(B88="","",IF(COUNTIF(Performance!$B$5:$B$404,B88)=0,"",SUMIFS(Performance!$R$5:$R$404,Performance!$B$5:$B$404,B88)))</f>
        <v>0</v>
      </c>
      <c r="W88" s="23">
        <f>IF(B88="","",IF(COUNTIF(Performance!$B$5:$B$404,B88)=0,"",SUMIFS(Performance!$U$5:$U$404,Performance!$B$5:$B$404,B88)))</f>
        <v>0</v>
      </c>
      <c r="X88" s="29">
        <f>IF(B88="","",IF(C88="Not found","Check - content ID not on the calendar",IF(AND(G88="Reel",J88=0),"Add - reel length missing",IF(K88="","Add - no cover image",IF(AND(P88&lt;&gt;"",S88&lt;TargetEngagement),"Review - below your target rate","OK")))))</f>
        <v>0</v>
      </c>
    </row>
    <row r="89" spans="1:24">
      <c r="A89" s="41">
        <f>IF(B89="","","IG-"&amp;TEXT(ROW()-4,"000"))</f>
        <v>0</v>
      </c>
      <c r="C89" s="17">
        <f>IF(B89="","",IFERROR(INDEX('Content Calendar'!$H$5:$H$604,MATCH(B89,'Content Calendar'!$A$5:$A$604,0)),"Not found"))</f>
        <v>0</v>
      </c>
      <c r="D89" s="16">
        <f>IF(B89="","",IFERROR(INDEX('Content Calendar'!$B$5:$B$604,MATCH(B89,'Content Calendar'!$A$5:$A$604,0)),"Not found"))</f>
        <v>0</v>
      </c>
      <c r="E89" s="17">
        <f>IF(B89="","",IFERROR(INDEX('Content Calendar'!$J$5:$J$604,MATCH(B89,'Content Calendar'!$A$5:$A$604,0)),"Not found"))</f>
        <v>0</v>
      </c>
      <c r="F89" s="29">
        <f>IF(B89="","",IFERROR(INDEX('Content Calendar'!$X$5:$X$604,MATCH(B89,'Content Calendar'!$A$5:$A$604,0)),"Not found"))</f>
        <v>0</v>
      </c>
      <c r="P89" s="23">
        <f>IF(B89="","",IF(COUNTIF(Performance!$B$5:$B$404,B89)=0,"",SUMIFS(Performance!$O$5:$O$404,Performance!$B$5:$B$404,B89)))</f>
        <v>0</v>
      </c>
      <c r="Q89" s="23">
        <f>IF(B89="","",IF(COUNTIF(Performance!$B$5:$B$404,B89)=0,"",SUMIFS(Performance!$P$5:$P$404,Performance!$B$5:$B$404,B89)))</f>
        <v>0</v>
      </c>
      <c r="R89" s="23">
        <f>IF(B89="","",IF(COUNTIF(Performance!$B$5:$B$404,B89)=0,"",SUMIFS(Performance!$Z$5:$Z$404,Performance!$B$5:$B$404,B89)))</f>
        <v>0</v>
      </c>
      <c r="S89" s="24">
        <f>IF(OR(P89="",P89=0),"",R89/P89)</f>
        <v>0</v>
      </c>
      <c r="T89" s="23">
        <f>IF(B89="","",IF(COUNTIF(Performance!$B$5:$B$404,B89)=0,"",SUMIFS(Performance!$T$5:$T$404,Performance!$B$5:$B$404,B89)))</f>
        <v>0</v>
      </c>
      <c r="U89" s="23">
        <f>IF(B89="","",IF(COUNTIF(Performance!$B$5:$B$404,B89)=0,"",SUMIFS(Performance!$S$5:$S$404,Performance!$B$5:$B$404,B89)))</f>
        <v>0</v>
      </c>
      <c r="V89" s="23">
        <f>IF(B89="","",IF(COUNTIF(Performance!$B$5:$B$404,B89)=0,"",SUMIFS(Performance!$R$5:$R$404,Performance!$B$5:$B$404,B89)))</f>
        <v>0</v>
      </c>
      <c r="W89" s="23">
        <f>IF(B89="","",IF(COUNTIF(Performance!$B$5:$B$404,B89)=0,"",SUMIFS(Performance!$U$5:$U$404,Performance!$B$5:$B$404,B89)))</f>
        <v>0</v>
      </c>
      <c r="X89" s="29">
        <f>IF(B89="","",IF(C89="Not found","Check - content ID not on the calendar",IF(AND(G89="Reel",J89=0),"Add - reel length missing",IF(K89="","Add - no cover image",IF(AND(P89&lt;&gt;"",S89&lt;TargetEngagement),"Review - below your target rate","OK")))))</f>
        <v>0</v>
      </c>
    </row>
    <row r="90" spans="1:24">
      <c r="A90" s="41">
        <f>IF(B90="","","IG-"&amp;TEXT(ROW()-4,"000"))</f>
        <v>0</v>
      </c>
      <c r="C90" s="17">
        <f>IF(B90="","",IFERROR(INDEX('Content Calendar'!$H$5:$H$604,MATCH(B90,'Content Calendar'!$A$5:$A$604,0)),"Not found"))</f>
        <v>0</v>
      </c>
      <c r="D90" s="16">
        <f>IF(B90="","",IFERROR(INDEX('Content Calendar'!$B$5:$B$604,MATCH(B90,'Content Calendar'!$A$5:$A$604,0)),"Not found"))</f>
        <v>0</v>
      </c>
      <c r="E90" s="17">
        <f>IF(B90="","",IFERROR(INDEX('Content Calendar'!$J$5:$J$604,MATCH(B90,'Content Calendar'!$A$5:$A$604,0)),"Not found"))</f>
        <v>0</v>
      </c>
      <c r="F90" s="29">
        <f>IF(B90="","",IFERROR(INDEX('Content Calendar'!$X$5:$X$604,MATCH(B90,'Content Calendar'!$A$5:$A$604,0)),"Not found"))</f>
        <v>0</v>
      </c>
      <c r="P90" s="23">
        <f>IF(B90="","",IF(COUNTIF(Performance!$B$5:$B$404,B90)=0,"",SUMIFS(Performance!$O$5:$O$404,Performance!$B$5:$B$404,B90)))</f>
        <v>0</v>
      </c>
      <c r="Q90" s="23">
        <f>IF(B90="","",IF(COUNTIF(Performance!$B$5:$B$404,B90)=0,"",SUMIFS(Performance!$P$5:$P$404,Performance!$B$5:$B$404,B90)))</f>
        <v>0</v>
      </c>
      <c r="R90" s="23">
        <f>IF(B90="","",IF(COUNTIF(Performance!$B$5:$B$404,B90)=0,"",SUMIFS(Performance!$Z$5:$Z$404,Performance!$B$5:$B$404,B90)))</f>
        <v>0</v>
      </c>
      <c r="S90" s="24">
        <f>IF(OR(P90="",P90=0),"",R90/P90)</f>
        <v>0</v>
      </c>
      <c r="T90" s="23">
        <f>IF(B90="","",IF(COUNTIF(Performance!$B$5:$B$404,B90)=0,"",SUMIFS(Performance!$T$5:$T$404,Performance!$B$5:$B$404,B90)))</f>
        <v>0</v>
      </c>
      <c r="U90" s="23">
        <f>IF(B90="","",IF(COUNTIF(Performance!$B$5:$B$404,B90)=0,"",SUMIFS(Performance!$S$5:$S$404,Performance!$B$5:$B$404,B90)))</f>
        <v>0</v>
      </c>
      <c r="V90" s="23">
        <f>IF(B90="","",IF(COUNTIF(Performance!$B$5:$B$404,B90)=0,"",SUMIFS(Performance!$R$5:$R$404,Performance!$B$5:$B$404,B90)))</f>
        <v>0</v>
      </c>
      <c r="W90" s="23">
        <f>IF(B90="","",IF(COUNTIF(Performance!$B$5:$B$404,B90)=0,"",SUMIFS(Performance!$U$5:$U$404,Performance!$B$5:$B$404,B90)))</f>
        <v>0</v>
      </c>
      <c r="X90" s="29">
        <f>IF(B90="","",IF(C90="Not found","Check - content ID not on the calendar",IF(AND(G90="Reel",J90=0),"Add - reel length missing",IF(K90="","Add - no cover image",IF(AND(P90&lt;&gt;"",S90&lt;TargetEngagement),"Review - below your target rate","OK")))))</f>
        <v>0</v>
      </c>
    </row>
    <row r="91" spans="1:24">
      <c r="A91" s="41">
        <f>IF(B91="","","IG-"&amp;TEXT(ROW()-4,"000"))</f>
        <v>0</v>
      </c>
      <c r="C91" s="17">
        <f>IF(B91="","",IFERROR(INDEX('Content Calendar'!$H$5:$H$604,MATCH(B91,'Content Calendar'!$A$5:$A$604,0)),"Not found"))</f>
        <v>0</v>
      </c>
      <c r="D91" s="16">
        <f>IF(B91="","",IFERROR(INDEX('Content Calendar'!$B$5:$B$604,MATCH(B91,'Content Calendar'!$A$5:$A$604,0)),"Not found"))</f>
        <v>0</v>
      </c>
      <c r="E91" s="17">
        <f>IF(B91="","",IFERROR(INDEX('Content Calendar'!$J$5:$J$604,MATCH(B91,'Content Calendar'!$A$5:$A$604,0)),"Not found"))</f>
        <v>0</v>
      </c>
      <c r="F91" s="29">
        <f>IF(B91="","",IFERROR(INDEX('Content Calendar'!$X$5:$X$604,MATCH(B91,'Content Calendar'!$A$5:$A$604,0)),"Not found"))</f>
        <v>0</v>
      </c>
      <c r="P91" s="23">
        <f>IF(B91="","",IF(COUNTIF(Performance!$B$5:$B$404,B91)=0,"",SUMIFS(Performance!$O$5:$O$404,Performance!$B$5:$B$404,B91)))</f>
        <v>0</v>
      </c>
      <c r="Q91" s="23">
        <f>IF(B91="","",IF(COUNTIF(Performance!$B$5:$B$404,B91)=0,"",SUMIFS(Performance!$P$5:$P$404,Performance!$B$5:$B$404,B91)))</f>
        <v>0</v>
      </c>
      <c r="R91" s="23">
        <f>IF(B91="","",IF(COUNTIF(Performance!$B$5:$B$404,B91)=0,"",SUMIFS(Performance!$Z$5:$Z$404,Performance!$B$5:$B$404,B91)))</f>
        <v>0</v>
      </c>
      <c r="S91" s="24">
        <f>IF(OR(P91="",P91=0),"",R91/P91)</f>
        <v>0</v>
      </c>
      <c r="T91" s="23">
        <f>IF(B91="","",IF(COUNTIF(Performance!$B$5:$B$404,B91)=0,"",SUMIFS(Performance!$T$5:$T$404,Performance!$B$5:$B$404,B91)))</f>
        <v>0</v>
      </c>
      <c r="U91" s="23">
        <f>IF(B91="","",IF(COUNTIF(Performance!$B$5:$B$404,B91)=0,"",SUMIFS(Performance!$S$5:$S$404,Performance!$B$5:$B$404,B91)))</f>
        <v>0</v>
      </c>
      <c r="V91" s="23">
        <f>IF(B91="","",IF(COUNTIF(Performance!$B$5:$B$404,B91)=0,"",SUMIFS(Performance!$R$5:$R$404,Performance!$B$5:$B$404,B91)))</f>
        <v>0</v>
      </c>
      <c r="W91" s="23">
        <f>IF(B91="","",IF(COUNTIF(Performance!$B$5:$B$404,B91)=0,"",SUMIFS(Performance!$U$5:$U$404,Performance!$B$5:$B$404,B91)))</f>
        <v>0</v>
      </c>
      <c r="X91" s="29">
        <f>IF(B91="","",IF(C91="Not found","Check - content ID not on the calendar",IF(AND(G91="Reel",J91=0),"Add - reel length missing",IF(K91="","Add - no cover image",IF(AND(P91&lt;&gt;"",S91&lt;TargetEngagement),"Review - below your target rate","OK")))))</f>
        <v>0</v>
      </c>
    </row>
    <row r="92" spans="1:24">
      <c r="A92" s="41">
        <f>IF(B92="","","IG-"&amp;TEXT(ROW()-4,"000"))</f>
        <v>0</v>
      </c>
      <c r="C92" s="17">
        <f>IF(B92="","",IFERROR(INDEX('Content Calendar'!$H$5:$H$604,MATCH(B92,'Content Calendar'!$A$5:$A$604,0)),"Not found"))</f>
        <v>0</v>
      </c>
      <c r="D92" s="16">
        <f>IF(B92="","",IFERROR(INDEX('Content Calendar'!$B$5:$B$604,MATCH(B92,'Content Calendar'!$A$5:$A$604,0)),"Not found"))</f>
        <v>0</v>
      </c>
      <c r="E92" s="17">
        <f>IF(B92="","",IFERROR(INDEX('Content Calendar'!$J$5:$J$604,MATCH(B92,'Content Calendar'!$A$5:$A$604,0)),"Not found"))</f>
        <v>0</v>
      </c>
      <c r="F92" s="29">
        <f>IF(B92="","",IFERROR(INDEX('Content Calendar'!$X$5:$X$604,MATCH(B92,'Content Calendar'!$A$5:$A$604,0)),"Not found"))</f>
        <v>0</v>
      </c>
      <c r="P92" s="23">
        <f>IF(B92="","",IF(COUNTIF(Performance!$B$5:$B$404,B92)=0,"",SUMIFS(Performance!$O$5:$O$404,Performance!$B$5:$B$404,B92)))</f>
        <v>0</v>
      </c>
      <c r="Q92" s="23">
        <f>IF(B92="","",IF(COUNTIF(Performance!$B$5:$B$404,B92)=0,"",SUMIFS(Performance!$P$5:$P$404,Performance!$B$5:$B$404,B92)))</f>
        <v>0</v>
      </c>
      <c r="R92" s="23">
        <f>IF(B92="","",IF(COUNTIF(Performance!$B$5:$B$404,B92)=0,"",SUMIFS(Performance!$Z$5:$Z$404,Performance!$B$5:$B$404,B92)))</f>
        <v>0</v>
      </c>
      <c r="S92" s="24">
        <f>IF(OR(P92="",P92=0),"",R92/P92)</f>
        <v>0</v>
      </c>
      <c r="T92" s="23">
        <f>IF(B92="","",IF(COUNTIF(Performance!$B$5:$B$404,B92)=0,"",SUMIFS(Performance!$T$5:$T$404,Performance!$B$5:$B$404,B92)))</f>
        <v>0</v>
      </c>
      <c r="U92" s="23">
        <f>IF(B92="","",IF(COUNTIF(Performance!$B$5:$B$404,B92)=0,"",SUMIFS(Performance!$S$5:$S$404,Performance!$B$5:$B$404,B92)))</f>
        <v>0</v>
      </c>
      <c r="V92" s="23">
        <f>IF(B92="","",IF(COUNTIF(Performance!$B$5:$B$404,B92)=0,"",SUMIFS(Performance!$R$5:$R$404,Performance!$B$5:$B$404,B92)))</f>
        <v>0</v>
      </c>
      <c r="W92" s="23">
        <f>IF(B92="","",IF(COUNTIF(Performance!$B$5:$B$404,B92)=0,"",SUMIFS(Performance!$U$5:$U$404,Performance!$B$5:$B$404,B92)))</f>
        <v>0</v>
      </c>
      <c r="X92" s="29">
        <f>IF(B92="","",IF(C92="Not found","Check - content ID not on the calendar",IF(AND(G92="Reel",J92=0),"Add - reel length missing",IF(K92="","Add - no cover image",IF(AND(P92&lt;&gt;"",S92&lt;TargetEngagement),"Review - below your target rate","OK")))))</f>
        <v>0</v>
      </c>
    </row>
    <row r="93" spans="1:24">
      <c r="A93" s="41">
        <f>IF(B93="","","IG-"&amp;TEXT(ROW()-4,"000"))</f>
        <v>0</v>
      </c>
      <c r="C93" s="17">
        <f>IF(B93="","",IFERROR(INDEX('Content Calendar'!$H$5:$H$604,MATCH(B93,'Content Calendar'!$A$5:$A$604,0)),"Not found"))</f>
        <v>0</v>
      </c>
      <c r="D93" s="16">
        <f>IF(B93="","",IFERROR(INDEX('Content Calendar'!$B$5:$B$604,MATCH(B93,'Content Calendar'!$A$5:$A$604,0)),"Not found"))</f>
        <v>0</v>
      </c>
      <c r="E93" s="17">
        <f>IF(B93="","",IFERROR(INDEX('Content Calendar'!$J$5:$J$604,MATCH(B93,'Content Calendar'!$A$5:$A$604,0)),"Not found"))</f>
        <v>0</v>
      </c>
      <c r="F93" s="29">
        <f>IF(B93="","",IFERROR(INDEX('Content Calendar'!$X$5:$X$604,MATCH(B93,'Content Calendar'!$A$5:$A$604,0)),"Not found"))</f>
        <v>0</v>
      </c>
      <c r="P93" s="23">
        <f>IF(B93="","",IF(COUNTIF(Performance!$B$5:$B$404,B93)=0,"",SUMIFS(Performance!$O$5:$O$404,Performance!$B$5:$B$404,B93)))</f>
        <v>0</v>
      </c>
      <c r="Q93" s="23">
        <f>IF(B93="","",IF(COUNTIF(Performance!$B$5:$B$404,B93)=0,"",SUMIFS(Performance!$P$5:$P$404,Performance!$B$5:$B$404,B93)))</f>
        <v>0</v>
      </c>
      <c r="R93" s="23">
        <f>IF(B93="","",IF(COUNTIF(Performance!$B$5:$B$404,B93)=0,"",SUMIFS(Performance!$Z$5:$Z$404,Performance!$B$5:$B$404,B93)))</f>
        <v>0</v>
      </c>
      <c r="S93" s="24">
        <f>IF(OR(P93="",P93=0),"",R93/P93)</f>
        <v>0</v>
      </c>
      <c r="T93" s="23">
        <f>IF(B93="","",IF(COUNTIF(Performance!$B$5:$B$404,B93)=0,"",SUMIFS(Performance!$T$5:$T$404,Performance!$B$5:$B$404,B93)))</f>
        <v>0</v>
      </c>
      <c r="U93" s="23">
        <f>IF(B93="","",IF(COUNTIF(Performance!$B$5:$B$404,B93)=0,"",SUMIFS(Performance!$S$5:$S$404,Performance!$B$5:$B$404,B93)))</f>
        <v>0</v>
      </c>
      <c r="V93" s="23">
        <f>IF(B93="","",IF(COUNTIF(Performance!$B$5:$B$404,B93)=0,"",SUMIFS(Performance!$R$5:$R$404,Performance!$B$5:$B$404,B93)))</f>
        <v>0</v>
      </c>
      <c r="W93" s="23">
        <f>IF(B93="","",IF(COUNTIF(Performance!$B$5:$B$404,B93)=0,"",SUMIFS(Performance!$U$5:$U$404,Performance!$B$5:$B$404,B93)))</f>
        <v>0</v>
      </c>
      <c r="X93" s="29">
        <f>IF(B93="","",IF(C93="Not found","Check - content ID not on the calendar",IF(AND(G93="Reel",J93=0),"Add - reel length missing",IF(K93="","Add - no cover image",IF(AND(P93&lt;&gt;"",S93&lt;TargetEngagement),"Review - below your target rate","OK")))))</f>
        <v>0</v>
      </c>
    </row>
    <row r="94" spans="1:24">
      <c r="A94" s="41">
        <f>IF(B94="","","IG-"&amp;TEXT(ROW()-4,"000"))</f>
        <v>0</v>
      </c>
      <c r="C94" s="17">
        <f>IF(B94="","",IFERROR(INDEX('Content Calendar'!$H$5:$H$604,MATCH(B94,'Content Calendar'!$A$5:$A$604,0)),"Not found"))</f>
        <v>0</v>
      </c>
      <c r="D94" s="16">
        <f>IF(B94="","",IFERROR(INDEX('Content Calendar'!$B$5:$B$604,MATCH(B94,'Content Calendar'!$A$5:$A$604,0)),"Not found"))</f>
        <v>0</v>
      </c>
      <c r="E94" s="17">
        <f>IF(B94="","",IFERROR(INDEX('Content Calendar'!$J$5:$J$604,MATCH(B94,'Content Calendar'!$A$5:$A$604,0)),"Not found"))</f>
        <v>0</v>
      </c>
      <c r="F94" s="29">
        <f>IF(B94="","",IFERROR(INDEX('Content Calendar'!$X$5:$X$604,MATCH(B94,'Content Calendar'!$A$5:$A$604,0)),"Not found"))</f>
        <v>0</v>
      </c>
      <c r="P94" s="23">
        <f>IF(B94="","",IF(COUNTIF(Performance!$B$5:$B$404,B94)=0,"",SUMIFS(Performance!$O$5:$O$404,Performance!$B$5:$B$404,B94)))</f>
        <v>0</v>
      </c>
      <c r="Q94" s="23">
        <f>IF(B94="","",IF(COUNTIF(Performance!$B$5:$B$404,B94)=0,"",SUMIFS(Performance!$P$5:$P$404,Performance!$B$5:$B$404,B94)))</f>
        <v>0</v>
      </c>
      <c r="R94" s="23">
        <f>IF(B94="","",IF(COUNTIF(Performance!$B$5:$B$404,B94)=0,"",SUMIFS(Performance!$Z$5:$Z$404,Performance!$B$5:$B$404,B94)))</f>
        <v>0</v>
      </c>
      <c r="S94" s="24">
        <f>IF(OR(P94="",P94=0),"",R94/P94)</f>
        <v>0</v>
      </c>
      <c r="T94" s="23">
        <f>IF(B94="","",IF(COUNTIF(Performance!$B$5:$B$404,B94)=0,"",SUMIFS(Performance!$T$5:$T$404,Performance!$B$5:$B$404,B94)))</f>
        <v>0</v>
      </c>
      <c r="U94" s="23">
        <f>IF(B94="","",IF(COUNTIF(Performance!$B$5:$B$404,B94)=0,"",SUMIFS(Performance!$S$5:$S$404,Performance!$B$5:$B$404,B94)))</f>
        <v>0</v>
      </c>
      <c r="V94" s="23">
        <f>IF(B94="","",IF(COUNTIF(Performance!$B$5:$B$404,B94)=0,"",SUMIFS(Performance!$R$5:$R$404,Performance!$B$5:$B$404,B94)))</f>
        <v>0</v>
      </c>
      <c r="W94" s="23">
        <f>IF(B94="","",IF(COUNTIF(Performance!$B$5:$B$404,B94)=0,"",SUMIFS(Performance!$U$5:$U$404,Performance!$B$5:$B$404,B94)))</f>
        <v>0</v>
      </c>
      <c r="X94" s="29">
        <f>IF(B94="","",IF(C94="Not found","Check - content ID not on the calendar",IF(AND(G94="Reel",J94=0),"Add - reel length missing",IF(K94="","Add - no cover image",IF(AND(P94&lt;&gt;"",S94&lt;TargetEngagement),"Review - below your target rate","OK")))))</f>
        <v>0</v>
      </c>
    </row>
    <row r="95" spans="1:24">
      <c r="A95" s="41">
        <f>IF(B95="","","IG-"&amp;TEXT(ROW()-4,"000"))</f>
        <v>0</v>
      </c>
      <c r="C95" s="17">
        <f>IF(B95="","",IFERROR(INDEX('Content Calendar'!$H$5:$H$604,MATCH(B95,'Content Calendar'!$A$5:$A$604,0)),"Not found"))</f>
        <v>0</v>
      </c>
      <c r="D95" s="16">
        <f>IF(B95="","",IFERROR(INDEX('Content Calendar'!$B$5:$B$604,MATCH(B95,'Content Calendar'!$A$5:$A$604,0)),"Not found"))</f>
        <v>0</v>
      </c>
      <c r="E95" s="17">
        <f>IF(B95="","",IFERROR(INDEX('Content Calendar'!$J$5:$J$604,MATCH(B95,'Content Calendar'!$A$5:$A$604,0)),"Not found"))</f>
        <v>0</v>
      </c>
      <c r="F95" s="29">
        <f>IF(B95="","",IFERROR(INDEX('Content Calendar'!$X$5:$X$604,MATCH(B95,'Content Calendar'!$A$5:$A$604,0)),"Not found"))</f>
        <v>0</v>
      </c>
      <c r="P95" s="23">
        <f>IF(B95="","",IF(COUNTIF(Performance!$B$5:$B$404,B95)=0,"",SUMIFS(Performance!$O$5:$O$404,Performance!$B$5:$B$404,B95)))</f>
        <v>0</v>
      </c>
      <c r="Q95" s="23">
        <f>IF(B95="","",IF(COUNTIF(Performance!$B$5:$B$404,B95)=0,"",SUMIFS(Performance!$P$5:$P$404,Performance!$B$5:$B$404,B95)))</f>
        <v>0</v>
      </c>
      <c r="R95" s="23">
        <f>IF(B95="","",IF(COUNTIF(Performance!$B$5:$B$404,B95)=0,"",SUMIFS(Performance!$Z$5:$Z$404,Performance!$B$5:$B$404,B95)))</f>
        <v>0</v>
      </c>
      <c r="S95" s="24">
        <f>IF(OR(P95="",P95=0),"",R95/P95)</f>
        <v>0</v>
      </c>
      <c r="T95" s="23">
        <f>IF(B95="","",IF(COUNTIF(Performance!$B$5:$B$404,B95)=0,"",SUMIFS(Performance!$T$5:$T$404,Performance!$B$5:$B$404,B95)))</f>
        <v>0</v>
      </c>
      <c r="U95" s="23">
        <f>IF(B95="","",IF(COUNTIF(Performance!$B$5:$B$404,B95)=0,"",SUMIFS(Performance!$S$5:$S$404,Performance!$B$5:$B$404,B95)))</f>
        <v>0</v>
      </c>
      <c r="V95" s="23">
        <f>IF(B95="","",IF(COUNTIF(Performance!$B$5:$B$404,B95)=0,"",SUMIFS(Performance!$R$5:$R$404,Performance!$B$5:$B$404,B95)))</f>
        <v>0</v>
      </c>
      <c r="W95" s="23">
        <f>IF(B95="","",IF(COUNTIF(Performance!$B$5:$B$404,B95)=0,"",SUMIFS(Performance!$U$5:$U$404,Performance!$B$5:$B$404,B95)))</f>
        <v>0</v>
      </c>
      <c r="X95" s="29">
        <f>IF(B95="","",IF(C95="Not found","Check - content ID not on the calendar",IF(AND(G95="Reel",J95=0),"Add - reel length missing",IF(K95="","Add - no cover image",IF(AND(P95&lt;&gt;"",S95&lt;TargetEngagement),"Review - below your target rate","OK")))))</f>
        <v>0</v>
      </c>
    </row>
    <row r="96" spans="1:24">
      <c r="A96" s="41">
        <f>IF(B96="","","IG-"&amp;TEXT(ROW()-4,"000"))</f>
        <v>0</v>
      </c>
      <c r="C96" s="17">
        <f>IF(B96="","",IFERROR(INDEX('Content Calendar'!$H$5:$H$604,MATCH(B96,'Content Calendar'!$A$5:$A$604,0)),"Not found"))</f>
        <v>0</v>
      </c>
      <c r="D96" s="16">
        <f>IF(B96="","",IFERROR(INDEX('Content Calendar'!$B$5:$B$604,MATCH(B96,'Content Calendar'!$A$5:$A$604,0)),"Not found"))</f>
        <v>0</v>
      </c>
      <c r="E96" s="17">
        <f>IF(B96="","",IFERROR(INDEX('Content Calendar'!$J$5:$J$604,MATCH(B96,'Content Calendar'!$A$5:$A$604,0)),"Not found"))</f>
        <v>0</v>
      </c>
      <c r="F96" s="29">
        <f>IF(B96="","",IFERROR(INDEX('Content Calendar'!$X$5:$X$604,MATCH(B96,'Content Calendar'!$A$5:$A$604,0)),"Not found"))</f>
        <v>0</v>
      </c>
      <c r="P96" s="23">
        <f>IF(B96="","",IF(COUNTIF(Performance!$B$5:$B$404,B96)=0,"",SUMIFS(Performance!$O$5:$O$404,Performance!$B$5:$B$404,B96)))</f>
        <v>0</v>
      </c>
      <c r="Q96" s="23">
        <f>IF(B96="","",IF(COUNTIF(Performance!$B$5:$B$404,B96)=0,"",SUMIFS(Performance!$P$5:$P$404,Performance!$B$5:$B$404,B96)))</f>
        <v>0</v>
      </c>
      <c r="R96" s="23">
        <f>IF(B96="","",IF(COUNTIF(Performance!$B$5:$B$404,B96)=0,"",SUMIFS(Performance!$Z$5:$Z$404,Performance!$B$5:$B$404,B96)))</f>
        <v>0</v>
      </c>
      <c r="S96" s="24">
        <f>IF(OR(P96="",P96=0),"",R96/P96)</f>
        <v>0</v>
      </c>
      <c r="T96" s="23">
        <f>IF(B96="","",IF(COUNTIF(Performance!$B$5:$B$404,B96)=0,"",SUMIFS(Performance!$T$5:$T$404,Performance!$B$5:$B$404,B96)))</f>
        <v>0</v>
      </c>
      <c r="U96" s="23">
        <f>IF(B96="","",IF(COUNTIF(Performance!$B$5:$B$404,B96)=0,"",SUMIFS(Performance!$S$5:$S$404,Performance!$B$5:$B$404,B96)))</f>
        <v>0</v>
      </c>
      <c r="V96" s="23">
        <f>IF(B96="","",IF(COUNTIF(Performance!$B$5:$B$404,B96)=0,"",SUMIFS(Performance!$R$5:$R$404,Performance!$B$5:$B$404,B96)))</f>
        <v>0</v>
      </c>
      <c r="W96" s="23">
        <f>IF(B96="","",IF(COUNTIF(Performance!$B$5:$B$404,B96)=0,"",SUMIFS(Performance!$U$5:$U$404,Performance!$B$5:$B$404,B96)))</f>
        <v>0</v>
      </c>
      <c r="X96" s="29">
        <f>IF(B96="","",IF(C96="Not found","Check - content ID not on the calendar",IF(AND(G96="Reel",J96=0),"Add - reel length missing",IF(K96="","Add - no cover image",IF(AND(P96&lt;&gt;"",S96&lt;TargetEngagement),"Review - below your target rate","OK")))))</f>
        <v>0</v>
      </c>
    </row>
    <row r="97" spans="1:24">
      <c r="A97" s="41">
        <f>IF(B97="","","IG-"&amp;TEXT(ROW()-4,"000"))</f>
        <v>0</v>
      </c>
      <c r="C97" s="17">
        <f>IF(B97="","",IFERROR(INDEX('Content Calendar'!$H$5:$H$604,MATCH(B97,'Content Calendar'!$A$5:$A$604,0)),"Not found"))</f>
        <v>0</v>
      </c>
      <c r="D97" s="16">
        <f>IF(B97="","",IFERROR(INDEX('Content Calendar'!$B$5:$B$604,MATCH(B97,'Content Calendar'!$A$5:$A$604,0)),"Not found"))</f>
        <v>0</v>
      </c>
      <c r="E97" s="17">
        <f>IF(B97="","",IFERROR(INDEX('Content Calendar'!$J$5:$J$604,MATCH(B97,'Content Calendar'!$A$5:$A$604,0)),"Not found"))</f>
        <v>0</v>
      </c>
      <c r="F97" s="29">
        <f>IF(B97="","",IFERROR(INDEX('Content Calendar'!$X$5:$X$604,MATCH(B97,'Content Calendar'!$A$5:$A$604,0)),"Not found"))</f>
        <v>0</v>
      </c>
      <c r="P97" s="23">
        <f>IF(B97="","",IF(COUNTIF(Performance!$B$5:$B$404,B97)=0,"",SUMIFS(Performance!$O$5:$O$404,Performance!$B$5:$B$404,B97)))</f>
        <v>0</v>
      </c>
      <c r="Q97" s="23">
        <f>IF(B97="","",IF(COUNTIF(Performance!$B$5:$B$404,B97)=0,"",SUMIFS(Performance!$P$5:$P$404,Performance!$B$5:$B$404,B97)))</f>
        <v>0</v>
      </c>
      <c r="R97" s="23">
        <f>IF(B97="","",IF(COUNTIF(Performance!$B$5:$B$404,B97)=0,"",SUMIFS(Performance!$Z$5:$Z$404,Performance!$B$5:$B$404,B97)))</f>
        <v>0</v>
      </c>
      <c r="S97" s="24">
        <f>IF(OR(P97="",P97=0),"",R97/P97)</f>
        <v>0</v>
      </c>
      <c r="T97" s="23">
        <f>IF(B97="","",IF(COUNTIF(Performance!$B$5:$B$404,B97)=0,"",SUMIFS(Performance!$T$5:$T$404,Performance!$B$5:$B$404,B97)))</f>
        <v>0</v>
      </c>
      <c r="U97" s="23">
        <f>IF(B97="","",IF(COUNTIF(Performance!$B$5:$B$404,B97)=0,"",SUMIFS(Performance!$S$5:$S$404,Performance!$B$5:$B$404,B97)))</f>
        <v>0</v>
      </c>
      <c r="V97" s="23">
        <f>IF(B97="","",IF(COUNTIF(Performance!$B$5:$B$404,B97)=0,"",SUMIFS(Performance!$R$5:$R$404,Performance!$B$5:$B$404,B97)))</f>
        <v>0</v>
      </c>
      <c r="W97" s="23">
        <f>IF(B97="","",IF(COUNTIF(Performance!$B$5:$B$404,B97)=0,"",SUMIFS(Performance!$U$5:$U$404,Performance!$B$5:$B$404,B97)))</f>
        <v>0</v>
      </c>
      <c r="X97" s="29">
        <f>IF(B97="","",IF(C97="Not found","Check - content ID not on the calendar",IF(AND(G97="Reel",J97=0),"Add - reel length missing",IF(K97="","Add - no cover image",IF(AND(P97&lt;&gt;"",S97&lt;TargetEngagement),"Review - below your target rate","OK")))))</f>
        <v>0</v>
      </c>
    </row>
    <row r="98" spans="1:24">
      <c r="A98" s="41">
        <f>IF(B98="","","IG-"&amp;TEXT(ROW()-4,"000"))</f>
        <v>0</v>
      </c>
      <c r="C98" s="17">
        <f>IF(B98="","",IFERROR(INDEX('Content Calendar'!$H$5:$H$604,MATCH(B98,'Content Calendar'!$A$5:$A$604,0)),"Not found"))</f>
        <v>0</v>
      </c>
      <c r="D98" s="16">
        <f>IF(B98="","",IFERROR(INDEX('Content Calendar'!$B$5:$B$604,MATCH(B98,'Content Calendar'!$A$5:$A$604,0)),"Not found"))</f>
        <v>0</v>
      </c>
      <c r="E98" s="17">
        <f>IF(B98="","",IFERROR(INDEX('Content Calendar'!$J$5:$J$604,MATCH(B98,'Content Calendar'!$A$5:$A$604,0)),"Not found"))</f>
        <v>0</v>
      </c>
      <c r="F98" s="29">
        <f>IF(B98="","",IFERROR(INDEX('Content Calendar'!$X$5:$X$604,MATCH(B98,'Content Calendar'!$A$5:$A$604,0)),"Not found"))</f>
        <v>0</v>
      </c>
      <c r="P98" s="23">
        <f>IF(B98="","",IF(COUNTIF(Performance!$B$5:$B$404,B98)=0,"",SUMIFS(Performance!$O$5:$O$404,Performance!$B$5:$B$404,B98)))</f>
        <v>0</v>
      </c>
      <c r="Q98" s="23">
        <f>IF(B98="","",IF(COUNTIF(Performance!$B$5:$B$404,B98)=0,"",SUMIFS(Performance!$P$5:$P$404,Performance!$B$5:$B$404,B98)))</f>
        <v>0</v>
      </c>
      <c r="R98" s="23">
        <f>IF(B98="","",IF(COUNTIF(Performance!$B$5:$B$404,B98)=0,"",SUMIFS(Performance!$Z$5:$Z$404,Performance!$B$5:$B$404,B98)))</f>
        <v>0</v>
      </c>
      <c r="S98" s="24">
        <f>IF(OR(P98="",P98=0),"",R98/P98)</f>
        <v>0</v>
      </c>
      <c r="T98" s="23">
        <f>IF(B98="","",IF(COUNTIF(Performance!$B$5:$B$404,B98)=0,"",SUMIFS(Performance!$T$5:$T$404,Performance!$B$5:$B$404,B98)))</f>
        <v>0</v>
      </c>
      <c r="U98" s="23">
        <f>IF(B98="","",IF(COUNTIF(Performance!$B$5:$B$404,B98)=0,"",SUMIFS(Performance!$S$5:$S$404,Performance!$B$5:$B$404,B98)))</f>
        <v>0</v>
      </c>
      <c r="V98" s="23">
        <f>IF(B98="","",IF(COUNTIF(Performance!$B$5:$B$404,B98)=0,"",SUMIFS(Performance!$R$5:$R$404,Performance!$B$5:$B$404,B98)))</f>
        <v>0</v>
      </c>
      <c r="W98" s="23">
        <f>IF(B98="","",IF(COUNTIF(Performance!$B$5:$B$404,B98)=0,"",SUMIFS(Performance!$U$5:$U$404,Performance!$B$5:$B$404,B98)))</f>
        <v>0</v>
      </c>
      <c r="X98" s="29">
        <f>IF(B98="","",IF(C98="Not found","Check - content ID not on the calendar",IF(AND(G98="Reel",J98=0),"Add - reel length missing",IF(K98="","Add - no cover image",IF(AND(P98&lt;&gt;"",S98&lt;TargetEngagement),"Review - below your target rate","OK")))))</f>
        <v>0</v>
      </c>
    </row>
    <row r="99" spans="1:24">
      <c r="A99" s="41">
        <f>IF(B99="","","IG-"&amp;TEXT(ROW()-4,"000"))</f>
        <v>0</v>
      </c>
      <c r="C99" s="17">
        <f>IF(B99="","",IFERROR(INDEX('Content Calendar'!$H$5:$H$604,MATCH(B99,'Content Calendar'!$A$5:$A$604,0)),"Not found"))</f>
        <v>0</v>
      </c>
      <c r="D99" s="16">
        <f>IF(B99="","",IFERROR(INDEX('Content Calendar'!$B$5:$B$604,MATCH(B99,'Content Calendar'!$A$5:$A$604,0)),"Not found"))</f>
        <v>0</v>
      </c>
      <c r="E99" s="17">
        <f>IF(B99="","",IFERROR(INDEX('Content Calendar'!$J$5:$J$604,MATCH(B99,'Content Calendar'!$A$5:$A$604,0)),"Not found"))</f>
        <v>0</v>
      </c>
      <c r="F99" s="29">
        <f>IF(B99="","",IFERROR(INDEX('Content Calendar'!$X$5:$X$604,MATCH(B99,'Content Calendar'!$A$5:$A$604,0)),"Not found"))</f>
        <v>0</v>
      </c>
      <c r="P99" s="23">
        <f>IF(B99="","",IF(COUNTIF(Performance!$B$5:$B$404,B99)=0,"",SUMIFS(Performance!$O$5:$O$404,Performance!$B$5:$B$404,B99)))</f>
        <v>0</v>
      </c>
      <c r="Q99" s="23">
        <f>IF(B99="","",IF(COUNTIF(Performance!$B$5:$B$404,B99)=0,"",SUMIFS(Performance!$P$5:$P$404,Performance!$B$5:$B$404,B99)))</f>
        <v>0</v>
      </c>
      <c r="R99" s="23">
        <f>IF(B99="","",IF(COUNTIF(Performance!$B$5:$B$404,B99)=0,"",SUMIFS(Performance!$Z$5:$Z$404,Performance!$B$5:$B$404,B99)))</f>
        <v>0</v>
      </c>
      <c r="S99" s="24">
        <f>IF(OR(P99="",P99=0),"",R99/P99)</f>
        <v>0</v>
      </c>
      <c r="T99" s="23">
        <f>IF(B99="","",IF(COUNTIF(Performance!$B$5:$B$404,B99)=0,"",SUMIFS(Performance!$T$5:$T$404,Performance!$B$5:$B$404,B99)))</f>
        <v>0</v>
      </c>
      <c r="U99" s="23">
        <f>IF(B99="","",IF(COUNTIF(Performance!$B$5:$B$404,B99)=0,"",SUMIFS(Performance!$S$5:$S$404,Performance!$B$5:$B$404,B99)))</f>
        <v>0</v>
      </c>
      <c r="V99" s="23">
        <f>IF(B99="","",IF(COUNTIF(Performance!$B$5:$B$404,B99)=0,"",SUMIFS(Performance!$R$5:$R$404,Performance!$B$5:$B$404,B99)))</f>
        <v>0</v>
      </c>
      <c r="W99" s="23">
        <f>IF(B99="","",IF(COUNTIF(Performance!$B$5:$B$404,B99)=0,"",SUMIFS(Performance!$U$5:$U$404,Performance!$B$5:$B$404,B99)))</f>
        <v>0</v>
      </c>
      <c r="X99" s="29">
        <f>IF(B99="","",IF(C99="Not found","Check - content ID not on the calendar",IF(AND(G99="Reel",J99=0),"Add - reel length missing",IF(K99="","Add - no cover image",IF(AND(P99&lt;&gt;"",S99&lt;TargetEngagement),"Review - below your target rate","OK")))))</f>
        <v>0</v>
      </c>
    </row>
    <row r="100" spans="1:24">
      <c r="A100" s="41">
        <f>IF(B100="","","IG-"&amp;TEXT(ROW()-4,"000"))</f>
        <v>0</v>
      </c>
      <c r="C100" s="17">
        <f>IF(B100="","",IFERROR(INDEX('Content Calendar'!$H$5:$H$604,MATCH(B100,'Content Calendar'!$A$5:$A$604,0)),"Not found"))</f>
        <v>0</v>
      </c>
      <c r="D100" s="16">
        <f>IF(B100="","",IFERROR(INDEX('Content Calendar'!$B$5:$B$604,MATCH(B100,'Content Calendar'!$A$5:$A$604,0)),"Not found"))</f>
        <v>0</v>
      </c>
      <c r="E100" s="17">
        <f>IF(B100="","",IFERROR(INDEX('Content Calendar'!$J$5:$J$604,MATCH(B100,'Content Calendar'!$A$5:$A$604,0)),"Not found"))</f>
        <v>0</v>
      </c>
      <c r="F100" s="29">
        <f>IF(B100="","",IFERROR(INDEX('Content Calendar'!$X$5:$X$604,MATCH(B100,'Content Calendar'!$A$5:$A$604,0)),"Not found"))</f>
        <v>0</v>
      </c>
      <c r="P100" s="23">
        <f>IF(B100="","",IF(COUNTIF(Performance!$B$5:$B$404,B100)=0,"",SUMIFS(Performance!$O$5:$O$404,Performance!$B$5:$B$404,B100)))</f>
        <v>0</v>
      </c>
      <c r="Q100" s="23">
        <f>IF(B100="","",IF(COUNTIF(Performance!$B$5:$B$404,B100)=0,"",SUMIFS(Performance!$P$5:$P$404,Performance!$B$5:$B$404,B100)))</f>
        <v>0</v>
      </c>
      <c r="R100" s="23">
        <f>IF(B100="","",IF(COUNTIF(Performance!$B$5:$B$404,B100)=0,"",SUMIFS(Performance!$Z$5:$Z$404,Performance!$B$5:$B$404,B100)))</f>
        <v>0</v>
      </c>
      <c r="S100" s="24">
        <f>IF(OR(P100="",P100=0),"",R100/P100)</f>
        <v>0</v>
      </c>
      <c r="T100" s="23">
        <f>IF(B100="","",IF(COUNTIF(Performance!$B$5:$B$404,B100)=0,"",SUMIFS(Performance!$T$5:$T$404,Performance!$B$5:$B$404,B100)))</f>
        <v>0</v>
      </c>
      <c r="U100" s="23">
        <f>IF(B100="","",IF(COUNTIF(Performance!$B$5:$B$404,B100)=0,"",SUMIFS(Performance!$S$5:$S$404,Performance!$B$5:$B$404,B100)))</f>
        <v>0</v>
      </c>
      <c r="V100" s="23">
        <f>IF(B100="","",IF(COUNTIF(Performance!$B$5:$B$404,B100)=0,"",SUMIFS(Performance!$R$5:$R$404,Performance!$B$5:$B$404,B100)))</f>
        <v>0</v>
      </c>
      <c r="W100" s="23">
        <f>IF(B100="","",IF(COUNTIF(Performance!$B$5:$B$404,B100)=0,"",SUMIFS(Performance!$U$5:$U$404,Performance!$B$5:$B$404,B100)))</f>
        <v>0</v>
      </c>
      <c r="X100" s="29">
        <f>IF(B100="","",IF(C100="Not found","Check - content ID not on the calendar",IF(AND(G100="Reel",J100=0),"Add - reel length missing",IF(K100="","Add - no cover image",IF(AND(P100&lt;&gt;"",S100&lt;TargetEngagement),"Review - below your target rate","OK")))))</f>
        <v>0</v>
      </c>
    </row>
    <row r="101" spans="1:24">
      <c r="A101" s="41">
        <f>IF(B101="","","IG-"&amp;TEXT(ROW()-4,"000"))</f>
        <v>0</v>
      </c>
      <c r="C101" s="17">
        <f>IF(B101="","",IFERROR(INDEX('Content Calendar'!$H$5:$H$604,MATCH(B101,'Content Calendar'!$A$5:$A$604,0)),"Not found"))</f>
        <v>0</v>
      </c>
      <c r="D101" s="16">
        <f>IF(B101="","",IFERROR(INDEX('Content Calendar'!$B$5:$B$604,MATCH(B101,'Content Calendar'!$A$5:$A$604,0)),"Not found"))</f>
        <v>0</v>
      </c>
      <c r="E101" s="17">
        <f>IF(B101="","",IFERROR(INDEX('Content Calendar'!$J$5:$J$604,MATCH(B101,'Content Calendar'!$A$5:$A$604,0)),"Not found"))</f>
        <v>0</v>
      </c>
      <c r="F101" s="29">
        <f>IF(B101="","",IFERROR(INDEX('Content Calendar'!$X$5:$X$604,MATCH(B101,'Content Calendar'!$A$5:$A$604,0)),"Not found"))</f>
        <v>0</v>
      </c>
      <c r="P101" s="23">
        <f>IF(B101="","",IF(COUNTIF(Performance!$B$5:$B$404,B101)=0,"",SUMIFS(Performance!$O$5:$O$404,Performance!$B$5:$B$404,B101)))</f>
        <v>0</v>
      </c>
      <c r="Q101" s="23">
        <f>IF(B101="","",IF(COUNTIF(Performance!$B$5:$B$404,B101)=0,"",SUMIFS(Performance!$P$5:$P$404,Performance!$B$5:$B$404,B101)))</f>
        <v>0</v>
      </c>
      <c r="R101" s="23">
        <f>IF(B101="","",IF(COUNTIF(Performance!$B$5:$B$404,B101)=0,"",SUMIFS(Performance!$Z$5:$Z$404,Performance!$B$5:$B$404,B101)))</f>
        <v>0</v>
      </c>
      <c r="S101" s="24">
        <f>IF(OR(P101="",P101=0),"",R101/P101)</f>
        <v>0</v>
      </c>
      <c r="T101" s="23">
        <f>IF(B101="","",IF(COUNTIF(Performance!$B$5:$B$404,B101)=0,"",SUMIFS(Performance!$T$5:$T$404,Performance!$B$5:$B$404,B101)))</f>
        <v>0</v>
      </c>
      <c r="U101" s="23">
        <f>IF(B101="","",IF(COUNTIF(Performance!$B$5:$B$404,B101)=0,"",SUMIFS(Performance!$S$5:$S$404,Performance!$B$5:$B$404,B101)))</f>
        <v>0</v>
      </c>
      <c r="V101" s="23">
        <f>IF(B101="","",IF(COUNTIF(Performance!$B$5:$B$404,B101)=0,"",SUMIFS(Performance!$R$5:$R$404,Performance!$B$5:$B$404,B101)))</f>
        <v>0</v>
      </c>
      <c r="W101" s="23">
        <f>IF(B101="","",IF(COUNTIF(Performance!$B$5:$B$404,B101)=0,"",SUMIFS(Performance!$U$5:$U$404,Performance!$B$5:$B$404,B101)))</f>
        <v>0</v>
      </c>
      <c r="X101" s="29">
        <f>IF(B101="","",IF(C101="Not found","Check - content ID not on the calendar",IF(AND(G101="Reel",J101=0),"Add - reel length missing",IF(K101="","Add - no cover image",IF(AND(P101&lt;&gt;"",S101&lt;TargetEngagement),"Review - below your target rate","OK")))))</f>
        <v>0</v>
      </c>
    </row>
    <row r="102" spans="1:24">
      <c r="A102" s="41">
        <f>IF(B102="","","IG-"&amp;TEXT(ROW()-4,"000"))</f>
        <v>0</v>
      </c>
      <c r="C102" s="17">
        <f>IF(B102="","",IFERROR(INDEX('Content Calendar'!$H$5:$H$604,MATCH(B102,'Content Calendar'!$A$5:$A$604,0)),"Not found"))</f>
        <v>0</v>
      </c>
      <c r="D102" s="16">
        <f>IF(B102="","",IFERROR(INDEX('Content Calendar'!$B$5:$B$604,MATCH(B102,'Content Calendar'!$A$5:$A$604,0)),"Not found"))</f>
        <v>0</v>
      </c>
      <c r="E102" s="17">
        <f>IF(B102="","",IFERROR(INDEX('Content Calendar'!$J$5:$J$604,MATCH(B102,'Content Calendar'!$A$5:$A$604,0)),"Not found"))</f>
        <v>0</v>
      </c>
      <c r="F102" s="29">
        <f>IF(B102="","",IFERROR(INDEX('Content Calendar'!$X$5:$X$604,MATCH(B102,'Content Calendar'!$A$5:$A$604,0)),"Not found"))</f>
        <v>0</v>
      </c>
      <c r="P102" s="23">
        <f>IF(B102="","",IF(COUNTIF(Performance!$B$5:$B$404,B102)=0,"",SUMIFS(Performance!$O$5:$O$404,Performance!$B$5:$B$404,B102)))</f>
        <v>0</v>
      </c>
      <c r="Q102" s="23">
        <f>IF(B102="","",IF(COUNTIF(Performance!$B$5:$B$404,B102)=0,"",SUMIFS(Performance!$P$5:$P$404,Performance!$B$5:$B$404,B102)))</f>
        <v>0</v>
      </c>
      <c r="R102" s="23">
        <f>IF(B102="","",IF(COUNTIF(Performance!$B$5:$B$404,B102)=0,"",SUMIFS(Performance!$Z$5:$Z$404,Performance!$B$5:$B$404,B102)))</f>
        <v>0</v>
      </c>
      <c r="S102" s="24">
        <f>IF(OR(P102="",P102=0),"",R102/P102)</f>
        <v>0</v>
      </c>
      <c r="T102" s="23">
        <f>IF(B102="","",IF(COUNTIF(Performance!$B$5:$B$404,B102)=0,"",SUMIFS(Performance!$T$5:$T$404,Performance!$B$5:$B$404,B102)))</f>
        <v>0</v>
      </c>
      <c r="U102" s="23">
        <f>IF(B102="","",IF(COUNTIF(Performance!$B$5:$B$404,B102)=0,"",SUMIFS(Performance!$S$5:$S$404,Performance!$B$5:$B$404,B102)))</f>
        <v>0</v>
      </c>
      <c r="V102" s="23">
        <f>IF(B102="","",IF(COUNTIF(Performance!$B$5:$B$404,B102)=0,"",SUMIFS(Performance!$R$5:$R$404,Performance!$B$5:$B$404,B102)))</f>
        <v>0</v>
      </c>
      <c r="W102" s="23">
        <f>IF(B102="","",IF(COUNTIF(Performance!$B$5:$B$404,B102)=0,"",SUMIFS(Performance!$U$5:$U$404,Performance!$B$5:$B$404,B102)))</f>
        <v>0</v>
      </c>
      <c r="X102" s="29">
        <f>IF(B102="","",IF(C102="Not found","Check - content ID not on the calendar",IF(AND(G102="Reel",J102=0),"Add - reel length missing",IF(K102="","Add - no cover image",IF(AND(P102&lt;&gt;"",S102&lt;TargetEngagement),"Review - below your target rate","OK")))))</f>
        <v>0</v>
      </c>
    </row>
    <row r="103" spans="1:24">
      <c r="A103" s="41">
        <f>IF(B103="","","IG-"&amp;TEXT(ROW()-4,"000"))</f>
        <v>0</v>
      </c>
      <c r="C103" s="17">
        <f>IF(B103="","",IFERROR(INDEX('Content Calendar'!$H$5:$H$604,MATCH(B103,'Content Calendar'!$A$5:$A$604,0)),"Not found"))</f>
        <v>0</v>
      </c>
      <c r="D103" s="16">
        <f>IF(B103="","",IFERROR(INDEX('Content Calendar'!$B$5:$B$604,MATCH(B103,'Content Calendar'!$A$5:$A$604,0)),"Not found"))</f>
        <v>0</v>
      </c>
      <c r="E103" s="17">
        <f>IF(B103="","",IFERROR(INDEX('Content Calendar'!$J$5:$J$604,MATCH(B103,'Content Calendar'!$A$5:$A$604,0)),"Not found"))</f>
        <v>0</v>
      </c>
      <c r="F103" s="29">
        <f>IF(B103="","",IFERROR(INDEX('Content Calendar'!$X$5:$X$604,MATCH(B103,'Content Calendar'!$A$5:$A$604,0)),"Not found"))</f>
        <v>0</v>
      </c>
      <c r="P103" s="23">
        <f>IF(B103="","",IF(COUNTIF(Performance!$B$5:$B$404,B103)=0,"",SUMIFS(Performance!$O$5:$O$404,Performance!$B$5:$B$404,B103)))</f>
        <v>0</v>
      </c>
      <c r="Q103" s="23">
        <f>IF(B103="","",IF(COUNTIF(Performance!$B$5:$B$404,B103)=0,"",SUMIFS(Performance!$P$5:$P$404,Performance!$B$5:$B$404,B103)))</f>
        <v>0</v>
      </c>
      <c r="R103" s="23">
        <f>IF(B103="","",IF(COUNTIF(Performance!$B$5:$B$404,B103)=0,"",SUMIFS(Performance!$Z$5:$Z$404,Performance!$B$5:$B$404,B103)))</f>
        <v>0</v>
      </c>
      <c r="S103" s="24">
        <f>IF(OR(P103="",P103=0),"",R103/P103)</f>
        <v>0</v>
      </c>
      <c r="T103" s="23">
        <f>IF(B103="","",IF(COUNTIF(Performance!$B$5:$B$404,B103)=0,"",SUMIFS(Performance!$T$5:$T$404,Performance!$B$5:$B$404,B103)))</f>
        <v>0</v>
      </c>
      <c r="U103" s="23">
        <f>IF(B103="","",IF(COUNTIF(Performance!$B$5:$B$404,B103)=0,"",SUMIFS(Performance!$S$5:$S$404,Performance!$B$5:$B$404,B103)))</f>
        <v>0</v>
      </c>
      <c r="V103" s="23">
        <f>IF(B103="","",IF(COUNTIF(Performance!$B$5:$B$404,B103)=0,"",SUMIFS(Performance!$R$5:$R$404,Performance!$B$5:$B$404,B103)))</f>
        <v>0</v>
      </c>
      <c r="W103" s="23">
        <f>IF(B103="","",IF(COUNTIF(Performance!$B$5:$B$404,B103)=0,"",SUMIFS(Performance!$U$5:$U$404,Performance!$B$5:$B$404,B103)))</f>
        <v>0</v>
      </c>
      <c r="X103" s="29">
        <f>IF(B103="","",IF(C103="Not found","Check - content ID not on the calendar",IF(AND(G103="Reel",J103=0),"Add - reel length missing",IF(K103="","Add - no cover image",IF(AND(P103&lt;&gt;"",S103&lt;TargetEngagement),"Review - below your target rate","OK")))))</f>
        <v>0</v>
      </c>
    </row>
    <row r="104" spans="1:24">
      <c r="A104" s="41">
        <f>IF(B104="","","IG-"&amp;TEXT(ROW()-4,"000"))</f>
        <v>0</v>
      </c>
      <c r="C104" s="17">
        <f>IF(B104="","",IFERROR(INDEX('Content Calendar'!$H$5:$H$604,MATCH(B104,'Content Calendar'!$A$5:$A$604,0)),"Not found"))</f>
        <v>0</v>
      </c>
      <c r="D104" s="16">
        <f>IF(B104="","",IFERROR(INDEX('Content Calendar'!$B$5:$B$604,MATCH(B104,'Content Calendar'!$A$5:$A$604,0)),"Not found"))</f>
        <v>0</v>
      </c>
      <c r="E104" s="17">
        <f>IF(B104="","",IFERROR(INDEX('Content Calendar'!$J$5:$J$604,MATCH(B104,'Content Calendar'!$A$5:$A$604,0)),"Not found"))</f>
        <v>0</v>
      </c>
      <c r="F104" s="29">
        <f>IF(B104="","",IFERROR(INDEX('Content Calendar'!$X$5:$X$604,MATCH(B104,'Content Calendar'!$A$5:$A$604,0)),"Not found"))</f>
        <v>0</v>
      </c>
      <c r="P104" s="23">
        <f>IF(B104="","",IF(COUNTIF(Performance!$B$5:$B$404,B104)=0,"",SUMIFS(Performance!$O$5:$O$404,Performance!$B$5:$B$404,B104)))</f>
        <v>0</v>
      </c>
      <c r="Q104" s="23">
        <f>IF(B104="","",IF(COUNTIF(Performance!$B$5:$B$404,B104)=0,"",SUMIFS(Performance!$P$5:$P$404,Performance!$B$5:$B$404,B104)))</f>
        <v>0</v>
      </c>
      <c r="R104" s="23">
        <f>IF(B104="","",IF(COUNTIF(Performance!$B$5:$B$404,B104)=0,"",SUMIFS(Performance!$Z$5:$Z$404,Performance!$B$5:$B$404,B104)))</f>
        <v>0</v>
      </c>
      <c r="S104" s="24">
        <f>IF(OR(P104="",P104=0),"",R104/P104)</f>
        <v>0</v>
      </c>
      <c r="T104" s="23">
        <f>IF(B104="","",IF(COUNTIF(Performance!$B$5:$B$404,B104)=0,"",SUMIFS(Performance!$T$5:$T$404,Performance!$B$5:$B$404,B104)))</f>
        <v>0</v>
      </c>
      <c r="U104" s="23">
        <f>IF(B104="","",IF(COUNTIF(Performance!$B$5:$B$404,B104)=0,"",SUMIFS(Performance!$S$5:$S$404,Performance!$B$5:$B$404,B104)))</f>
        <v>0</v>
      </c>
      <c r="V104" s="23">
        <f>IF(B104="","",IF(COUNTIF(Performance!$B$5:$B$404,B104)=0,"",SUMIFS(Performance!$R$5:$R$404,Performance!$B$5:$B$404,B104)))</f>
        <v>0</v>
      </c>
      <c r="W104" s="23">
        <f>IF(B104="","",IF(COUNTIF(Performance!$B$5:$B$404,B104)=0,"",SUMIFS(Performance!$U$5:$U$404,Performance!$B$5:$B$404,B104)))</f>
        <v>0</v>
      </c>
      <c r="X104" s="29">
        <f>IF(B104="","",IF(C104="Not found","Check - content ID not on the calendar",IF(AND(G104="Reel",J104=0),"Add - reel length missing",IF(K104="","Add - no cover image",IF(AND(P104&lt;&gt;"",S104&lt;TargetEngagement),"Review - below your target rate","OK")))))</f>
        <v>0</v>
      </c>
    </row>
    <row r="105" spans="1:24">
      <c r="A105" s="41">
        <f>IF(B105="","","IG-"&amp;TEXT(ROW()-4,"000"))</f>
        <v>0</v>
      </c>
      <c r="C105" s="17">
        <f>IF(B105="","",IFERROR(INDEX('Content Calendar'!$H$5:$H$604,MATCH(B105,'Content Calendar'!$A$5:$A$604,0)),"Not found"))</f>
        <v>0</v>
      </c>
      <c r="D105" s="16">
        <f>IF(B105="","",IFERROR(INDEX('Content Calendar'!$B$5:$B$604,MATCH(B105,'Content Calendar'!$A$5:$A$604,0)),"Not found"))</f>
        <v>0</v>
      </c>
      <c r="E105" s="17">
        <f>IF(B105="","",IFERROR(INDEX('Content Calendar'!$J$5:$J$604,MATCH(B105,'Content Calendar'!$A$5:$A$604,0)),"Not found"))</f>
        <v>0</v>
      </c>
      <c r="F105" s="29">
        <f>IF(B105="","",IFERROR(INDEX('Content Calendar'!$X$5:$X$604,MATCH(B105,'Content Calendar'!$A$5:$A$604,0)),"Not found"))</f>
        <v>0</v>
      </c>
      <c r="P105" s="23">
        <f>IF(B105="","",IF(COUNTIF(Performance!$B$5:$B$404,B105)=0,"",SUMIFS(Performance!$O$5:$O$404,Performance!$B$5:$B$404,B105)))</f>
        <v>0</v>
      </c>
      <c r="Q105" s="23">
        <f>IF(B105="","",IF(COUNTIF(Performance!$B$5:$B$404,B105)=0,"",SUMIFS(Performance!$P$5:$P$404,Performance!$B$5:$B$404,B105)))</f>
        <v>0</v>
      </c>
      <c r="R105" s="23">
        <f>IF(B105="","",IF(COUNTIF(Performance!$B$5:$B$404,B105)=0,"",SUMIFS(Performance!$Z$5:$Z$404,Performance!$B$5:$B$404,B105)))</f>
        <v>0</v>
      </c>
      <c r="S105" s="24">
        <f>IF(OR(P105="",P105=0),"",R105/P105)</f>
        <v>0</v>
      </c>
      <c r="T105" s="23">
        <f>IF(B105="","",IF(COUNTIF(Performance!$B$5:$B$404,B105)=0,"",SUMIFS(Performance!$T$5:$T$404,Performance!$B$5:$B$404,B105)))</f>
        <v>0</v>
      </c>
      <c r="U105" s="23">
        <f>IF(B105="","",IF(COUNTIF(Performance!$B$5:$B$404,B105)=0,"",SUMIFS(Performance!$S$5:$S$404,Performance!$B$5:$B$404,B105)))</f>
        <v>0</v>
      </c>
      <c r="V105" s="23">
        <f>IF(B105="","",IF(COUNTIF(Performance!$B$5:$B$404,B105)=0,"",SUMIFS(Performance!$R$5:$R$404,Performance!$B$5:$B$404,B105)))</f>
        <v>0</v>
      </c>
      <c r="W105" s="23">
        <f>IF(B105="","",IF(COUNTIF(Performance!$B$5:$B$404,B105)=0,"",SUMIFS(Performance!$U$5:$U$404,Performance!$B$5:$B$404,B105)))</f>
        <v>0</v>
      </c>
      <c r="X105" s="29">
        <f>IF(B105="","",IF(C105="Not found","Check - content ID not on the calendar",IF(AND(G105="Reel",J105=0),"Add - reel length missing",IF(K105="","Add - no cover image",IF(AND(P105&lt;&gt;"",S105&lt;TargetEngagement),"Review - below your target rate","OK")))))</f>
        <v>0</v>
      </c>
    </row>
    <row r="106" spans="1:24">
      <c r="A106" s="41">
        <f>IF(B106="","","IG-"&amp;TEXT(ROW()-4,"000"))</f>
        <v>0</v>
      </c>
      <c r="C106" s="17">
        <f>IF(B106="","",IFERROR(INDEX('Content Calendar'!$H$5:$H$604,MATCH(B106,'Content Calendar'!$A$5:$A$604,0)),"Not found"))</f>
        <v>0</v>
      </c>
      <c r="D106" s="16">
        <f>IF(B106="","",IFERROR(INDEX('Content Calendar'!$B$5:$B$604,MATCH(B106,'Content Calendar'!$A$5:$A$604,0)),"Not found"))</f>
        <v>0</v>
      </c>
      <c r="E106" s="17">
        <f>IF(B106="","",IFERROR(INDEX('Content Calendar'!$J$5:$J$604,MATCH(B106,'Content Calendar'!$A$5:$A$604,0)),"Not found"))</f>
        <v>0</v>
      </c>
      <c r="F106" s="29">
        <f>IF(B106="","",IFERROR(INDEX('Content Calendar'!$X$5:$X$604,MATCH(B106,'Content Calendar'!$A$5:$A$604,0)),"Not found"))</f>
        <v>0</v>
      </c>
      <c r="P106" s="23">
        <f>IF(B106="","",IF(COUNTIF(Performance!$B$5:$B$404,B106)=0,"",SUMIFS(Performance!$O$5:$O$404,Performance!$B$5:$B$404,B106)))</f>
        <v>0</v>
      </c>
      <c r="Q106" s="23">
        <f>IF(B106="","",IF(COUNTIF(Performance!$B$5:$B$404,B106)=0,"",SUMIFS(Performance!$P$5:$P$404,Performance!$B$5:$B$404,B106)))</f>
        <v>0</v>
      </c>
      <c r="R106" s="23">
        <f>IF(B106="","",IF(COUNTIF(Performance!$B$5:$B$404,B106)=0,"",SUMIFS(Performance!$Z$5:$Z$404,Performance!$B$5:$B$404,B106)))</f>
        <v>0</v>
      </c>
      <c r="S106" s="24">
        <f>IF(OR(P106="",P106=0),"",R106/P106)</f>
        <v>0</v>
      </c>
      <c r="T106" s="23">
        <f>IF(B106="","",IF(COUNTIF(Performance!$B$5:$B$404,B106)=0,"",SUMIFS(Performance!$T$5:$T$404,Performance!$B$5:$B$404,B106)))</f>
        <v>0</v>
      </c>
      <c r="U106" s="23">
        <f>IF(B106="","",IF(COUNTIF(Performance!$B$5:$B$404,B106)=0,"",SUMIFS(Performance!$S$5:$S$404,Performance!$B$5:$B$404,B106)))</f>
        <v>0</v>
      </c>
      <c r="V106" s="23">
        <f>IF(B106="","",IF(COUNTIF(Performance!$B$5:$B$404,B106)=0,"",SUMIFS(Performance!$R$5:$R$404,Performance!$B$5:$B$404,B106)))</f>
        <v>0</v>
      </c>
      <c r="W106" s="23">
        <f>IF(B106="","",IF(COUNTIF(Performance!$B$5:$B$404,B106)=0,"",SUMIFS(Performance!$U$5:$U$404,Performance!$B$5:$B$404,B106)))</f>
        <v>0</v>
      </c>
      <c r="X106" s="29">
        <f>IF(B106="","",IF(C106="Not found","Check - content ID not on the calendar",IF(AND(G106="Reel",J106=0),"Add - reel length missing",IF(K106="","Add - no cover image",IF(AND(P106&lt;&gt;"",S106&lt;TargetEngagement),"Review - below your target rate","OK")))))</f>
        <v>0</v>
      </c>
    </row>
    <row r="107" spans="1:24">
      <c r="A107" s="41">
        <f>IF(B107="","","IG-"&amp;TEXT(ROW()-4,"000"))</f>
        <v>0</v>
      </c>
      <c r="C107" s="17">
        <f>IF(B107="","",IFERROR(INDEX('Content Calendar'!$H$5:$H$604,MATCH(B107,'Content Calendar'!$A$5:$A$604,0)),"Not found"))</f>
        <v>0</v>
      </c>
      <c r="D107" s="16">
        <f>IF(B107="","",IFERROR(INDEX('Content Calendar'!$B$5:$B$604,MATCH(B107,'Content Calendar'!$A$5:$A$604,0)),"Not found"))</f>
        <v>0</v>
      </c>
      <c r="E107" s="17">
        <f>IF(B107="","",IFERROR(INDEX('Content Calendar'!$J$5:$J$604,MATCH(B107,'Content Calendar'!$A$5:$A$604,0)),"Not found"))</f>
        <v>0</v>
      </c>
      <c r="F107" s="29">
        <f>IF(B107="","",IFERROR(INDEX('Content Calendar'!$X$5:$X$604,MATCH(B107,'Content Calendar'!$A$5:$A$604,0)),"Not found"))</f>
        <v>0</v>
      </c>
      <c r="P107" s="23">
        <f>IF(B107="","",IF(COUNTIF(Performance!$B$5:$B$404,B107)=0,"",SUMIFS(Performance!$O$5:$O$404,Performance!$B$5:$B$404,B107)))</f>
        <v>0</v>
      </c>
      <c r="Q107" s="23">
        <f>IF(B107="","",IF(COUNTIF(Performance!$B$5:$B$404,B107)=0,"",SUMIFS(Performance!$P$5:$P$404,Performance!$B$5:$B$404,B107)))</f>
        <v>0</v>
      </c>
      <c r="R107" s="23">
        <f>IF(B107="","",IF(COUNTIF(Performance!$B$5:$B$404,B107)=0,"",SUMIFS(Performance!$Z$5:$Z$404,Performance!$B$5:$B$404,B107)))</f>
        <v>0</v>
      </c>
      <c r="S107" s="24">
        <f>IF(OR(P107="",P107=0),"",R107/P107)</f>
        <v>0</v>
      </c>
      <c r="T107" s="23">
        <f>IF(B107="","",IF(COUNTIF(Performance!$B$5:$B$404,B107)=0,"",SUMIFS(Performance!$T$5:$T$404,Performance!$B$5:$B$404,B107)))</f>
        <v>0</v>
      </c>
      <c r="U107" s="23">
        <f>IF(B107="","",IF(COUNTIF(Performance!$B$5:$B$404,B107)=0,"",SUMIFS(Performance!$S$5:$S$404,Performance!$B$5:$B$404,B107)))</f>
        <v>0</v>
      </c>
      <c r="V107" s="23">
        <f>IF(B107="","",IF(COUNTIF(Performance!$B$5:$B$404,B107)=0,"",SUMIFS(Performance!$R$5:$R$404,Performance!$B$5:$B$404,B107)))</f>
        <v>0</v>
      </c>
      <c r="W107" s="23">
        <f>IF(B107="","",IF(COUNTIF(Performance!$B$5:$B$404,B107)=0,"",SUMIFS(Performance!$U$5:$U$404,Performance!$B$5:$B$404,B107)))</f>
        <v>0</v>
      </c>
      <c r="X107" s="29">
        <f>IF(B107="","",IF(C107="Not found","Check - content ID not on the calendar",IF(AND(G107="Reel",J107=0),"Add - reel length missing",IF(K107="","Add - no cover image",IF(AND(P107&lt;&gt;"",S107&lt;TargetEngagement),"Review - below your target rate","OK")))))</f>
        <v>0</v>
      </c>
    </row>
    <row r="108" spans="1:24">
      <c r="A108" s="41">
        <f>IF(B108="","","IG-"&amp;TEXT(ROW()-4,"000"))</f>
        <v>0</v>
      </c>
      <c r="C108" s="17">
        <f>IF(B108="","",IFERROR(INDEX('Content Calendar'!$H$5:$H$604,MATCH(B108,'Content Calendar'!$A$5:$A$604,0)),"Not found"))</f>
        <v>0</v>
      </c>
      <c r="D108" s="16">
        <f>IF(B108="","",IFERROR(INDEX('Content Calendar'!$B$5:$B$604,MATCH(B108,'Content Calendar'!$A$5:$A$604,0)),"Not found"))</f>
        <v>0</v>
      </c>
      <c r="E108" s="17">
        <f>IF(B108="","",IFERROR(INDEX('Content Calendar'!$J$5:$J$604,MATCH(B108,'Content Calendar'!$A$5:$A$604,0)),"Not found"))</f>
        <v>0</v>
      </c>
      <c r="F108" s="29">
        <f>IF(B108="","",IFERROR(INDEX('Content Calendar'!$X$5:$X$604,MATCH(B108,'Content Calendar'!$A$5:$A$604,0)),"Not found"))</f>
        <v>0</v>
      </c>
      <c r="P108" s="23">
        <f>IF(B108="","",IF(COUNTIF(Performance!$B$5:$B$404,B108)=0,"",SUMIFS(Performance!$O$5:$O$404,Performance!$B$5:$B$404,B108)))</f>
        <v>0</v>
      </c>
      <c r="Q108" s="23">
        <f>IF(B108="","",IF(COUNTIF(Performance!$B$5:$B$404,B108)=0,"",SUMIFS(Performance!$P$5:$P$404,Performance!$B$5:$B$404,B108)))</f>
        <v>0</v>
      </c>
      <c r="R108" s="23">
        <f>IF(B108="","",IF(COUNTIF(Performance!$B$5:$B$404,B108)=0,"",SUMIFS(Performance!$Z$5:$Z$404,Performance!$B$5:$B$404,B108)))</f>
        <v>0</v>
      </c>
      <c r="S108" s="24">
        <f>IF(OR(P108="",P108=0),"",R108/P108)</f>
        <v>0</v>
      </c>
      <c r="T108" s="23">
        <f>IF(B108="","",IF(COUNTIF(Performance!$B$5:$B$404,B108)=0,"",SUMIFS(Performance!$T$5:$T$404,Performance!$B$5:$B$404,B108)))</f>
        <v>0</v>
      </c>
      <c r="U108" s="23">
        <f>IF(B108="","",IF(COUNTIF(Performance!$B$5:$B$404,B108)=0,"",SUMIFS(Performance!$S$5:$S$404,Performance!$B$5:$B$404,B108)))</f>
        <v>0</v>
      </c>
      <c r="V108" s="23">
        <f>IF(B108="","",IF(COUNTIF(Performance!$B$5:$B$404,B108)=0,"",SUMIFS(Performance!$R$5:$R$404,Performance!$B$5:$B$404,B108)))</f>
        <v>0</v>
      </c>
      <c r="W108" s="23">
        <f>IF(B108="","",IF(COUNTIF(Performance!$B$5:$B$404,B108)=0,"",SUMIFS(Performance!$U$5:$U$404,Performance!$B$5:$B$404,B108)))</f>
        <v>0</v>
      </c>
      <c r="X108" s="29">
        <f>IF(B108="","",IF(C108="Not found","Check - content ID not on the calendar",IF(AND(G108="Reel",J108=0),"Add - reel length missing",IF(K108="","Add - no cover image",IF(AND(P108&lt;&gt;"",S108&lt;TargetEngagement),"Review - below your target rate","OK")))))</f>
        <v>0</v>
      </c>
    </row>
    <row r="109" spans="1:24">
      <c r="A109" s="41">
        <f>IF(B109="","","IG-"&amp;TEXT(ROW()-4,"000"))</f>
        <v>0</v>
      </c>
      <c r="C109" s="17">
        <f>IF(B109="","",IFERROR(INDEX('Content Calendar'!$H$5:$H$604,MATCH(B109,'Content Calendar'!$A$5:$A$604,0)),"Not found"))</f>
        <v>0</v>
      </c>
      <c r="D109" s="16">
        <f>IF(B109="","",IFERROR(INDEX('Content Calendar'!$B$5:$B$604,MATCH(B109,'Content Calendar'!$A$5:$A$604,0)),"Not found"))</f>
        <v>0</v>
      </c>
      <c r="E109" s="17">
        <f>IF(B109="","",IFERROR(INDEX('Content Calendar'!$J$5:$J$604,MATCH(B109,'Content Calendar'!$A$5:$A$604,0)),"Not found"))</f>
        <v>0</v>
      </c>
      <c r="F109" s="29">
        <f>IF(B109="","",IFERROR(INDEX('Content Calendar'!$X$5:$X$604,MATCH(B109,'Content Calendar'!$A$5:$A$604,0)),"Not found"))</f>
        <v>0</v>
      </c>
      <c r="P109" s="23">
        <f>IF(B109="","",IF(COUNTIF(Performance!$B$5:$B$404,B109)=0,"",SUMIFS(Performance!$O$5:$O$404,Performance!$B$5:$B$404,B109)))</f>
        <v>0</v>
      </c>
      <c r="Q109" s="23">
        <f>IF(B109="","",IF(COUNTIF(Performance!$B$5:$B$404,B109)=0,"",SUMIFS(Performance!$P$5:$P$404,Performance!$B$5:$B$404,B109)))</f>
        <v>0</v>
      </c>
      <c r="R109" s="23">
        <f>IF(B109="","",IF(COUNTIF(Performance!$B$5:$B$404,B109)=0,"",SUMIFS(Performance!$Z$5:$Z$404,Performance!$B$5:$B$404,B109)))</f>
        <v>0</v>
      </c>
      <c r="S109" s="24">
        <f>IF(OR(P109="",P109=0),"",R109/P109)</f>
        <v>0</v>
      </c>
      <c r="T109" s="23">
        <f>IF(B109="","",IF(COUNTIF(Performance!$B$5:$B$404,B109)=0,"",SUMIFS(Performance!$T$5:$T$404,Performance!$B$5:$B$404,B109)))</f>
        <v>0</v>
      </c>
      <c r="U109" s="23">
        <f>IF(B109="","",IF(COUNTIF(Performance!$B$5:$B$404,B109)=0,"",SUMIFS(Performance!$S$5:$S$404,Performance!$B$5:$B$404,B109)))</f>
        <v>0</v>
      </c>
      <c r="V109" s="23">
        <f>IF(B109="","",IF(COUNTIF(Performance!$B$5:$B$404,B109)=0,"",SUMIFS(Performance!$R$5:$R$404,Performance!$B$5:$B$404,B109)))</f>
        <v>0</v>
      </c>
      <c r="W109" s="23">
        <f>IF(B109="","",IF(COUNTIF(Performance!$B$5:$B$404,B109)=0,"",SUMIFS(Performance!$U$5:$U$404,Performance!$B$5:$B$404,B109)))</f>
        <v>0</v>
      </c>
      <c r="X109" s="29">
        <f>IF(B109="","",IF(C109="Not found","Check - content ID not on the calendar",IF(AND(G109="Reel",J109=0),"Add - reel length missing",IF(K109="","Add - no cover image",IF(AND(P109&lt;&gt;"",S109&lt;TargetEngagement),"Review - below your target rate","OK")))))</f>
        <v>0</v>
      </c>
    </row>
    <row r="110" spans="1:24">
      <c r="A110" s="41">
        <f>IF(B110="","","IG-"&amp;TEXT(ROW()-4,"000"))</f>
        <v>0</v>
      </c>
      <c r="C110" s="17">
        <f>IF(B110="","",IFERROR(INDEX('Content Calendar'!$H$5:$H$604,MATCH(B110,'Content Calendar'!$A$5:$A$604,0)),"Not found"))</f>
        <v>0</v>
      </c>
      <c r="D110" s="16">
        <f>IF(B110="","",IFERROR(INDEX('Content Calendar'!$B$5:$B$604,MATCH(B110,'Content Calendar'!$A$5:$A$604,0)),"Not found"))</f>
        <v>0</v>
      </c>
      <c r="E110" s="17">
        <f>IF(B110="","",IFERROR(INDEX('Content Calendar'!$J$5:$J$604,MATCH(B110,'Content Calendar'!$A$5:$A$604,0)),"Not found"))</f>
        <v>0</v>
      </c>
      <c r="F110" s="29">
        <f>IF(B110="","",IFERROR(INDEX('Content Calendar'!$X$5:$X$604,MATCH(B110,'Content Calendar'!$A$5:$A$604,0)),"Not found"))</f>
        <v>0</v>
      </c>
      <c r="P110" s="23">
        <f>IF(B110="","",IF(COUNTIF(Performance!$B$5:$B$404,B110)=0,"",SUMIFS(Performance!$O$5:$O$404,Performance!$B$5:$B$404,B110)))</f>
        <v>0</v>
      </c>
      <c r="Q110" s="23">
        <f>IF(B110="","",IF(COUNTIF(Performance!$B$5:$B$404,B110)=0,"",SUMIFS(Performance!$P$5:$P$404,Performance!$B$5:$B$404,B110)))</f>
        <v>0</v>
      </c>
      <c r="R110" s="23">
        <f>IF(B110="","",IF(COUNTIF(Performance!$B$5:$B$404,B110)=0,"",SUMIFS(Performance!$Z$5:$Z$404,Performance!$B$5:$B$404,B110)))</f>
        <v>0</v>
      </c>
      <c r="S110" s="24">
        <f>IF(OR(P110="",P110=0),"",R110/P110)</f>
        <v>0</v>
      </c>
      <c r="T110" s="23">
        <f>IF(B110="","",IF(COUNTIF(Performance!$B$5:$B$404,B110)=0,"",SUMIFS(Performance!$T$5:$T$404,Performance!$B$5:$B$404,B110)))</f>
        <v>0</v>
      </c>
      <c r="U110" s="23">
        <f>IF(B110="","",IF(COUNTIF(Performance!$B$5:$B$404,B110)=0,"",SUMIFS(Performance!$S$5:$S$404,Performance!$B$5:$B$404,B110)))</f>
        <v>0</v>
      </c>
      <c r="V110" s="23">
        <f>IF(B110="","",IF(COUNTIF(Performance!$B$5:$B$404,B110)=0,"",SUMIFS(Performance!$R$5:$R$404,Performance!$B$5:$B$404,B110)))</f>
        <v>0</v>
      </c>
      <c r="W110" s="23">
        <f>IF(B110="","",IF(COUNTIF(Performance!$B$5:$B$404,B110)=0,"",SUMIFS(Performance!$U$5:$U$404,Performance!$B$5:$B$404,B110)))</f>
        <v>0</v>
      </c>
      <c r="X110" s="29">
        <f>IF(B110="","",IF(C110="Not found","Check - content ID not on the calendar",IF(AND(G110="Reel",J110=0),"Add - reel length missing",IF(K110="","Add - no cover image",IF(AND(P110&lt;&gt;"",S110&lt;TargetEngagement),"Review - below your target rate","OK")))))</f>
        <v>0</v>
      </c>
    </row>
    <row r="111" spans="1:24">
      <c r="A111" s="41">
        <f>IF(B111="","","IG-"&amp;TEXT(ROW()-4,"000"))</f>
        <v>0</v>
      </c>
      <c r="C111" s="17">
        <f>IF(B111="","",IFERROR(INDEX('Content Calendar'!$H$5:$H$604,MATCH(B111,'Content Calendar'!$A$5:$A$604,0)),"Not found"))</f>
        <v>0</v>
      </c>
      <c r="D111" s="16">
        <f>IF(B111="","",IFERROR(INDEX('Content Calendar'!$B$5:$B$604,MATCH(B111,'Content Calendar'!$A$5:$A$604,0)),"Not found"))</f>
        <v>0</v>
      </c>
      <c r="E111" s="17">
        <f>IF(B111="","",IFERROR(INDEX('Content Calendar'!$J$5:$J$604,MATCH(B111,'Content Calendar'!$A$5:$A$604,0)),"Not found"))</f>
        <v>0</v>
      </c>
      <c r="F111" s="29">
        <f>IF(B111="","",IFERROR(INDEX('Content Calendar'!$X$5:$X$604,MATCH(B111,'Content Calendar'!$A$5:$A$604,0)),"Not found"))</f>
        <v>0</v>
      </c>
      <c r="P111" s="23">
        <f>IF(B111="","",IF(COUNTIF(Performance!$B$5:$B$404,B111)=0,"",SUMIFS(Performance!$O$5:$O$404,Performance!$B$5:$B$404,B111)))</f>
        <v>0</v>
      </c>
      <c r="Q111" s="23">
        <f>IF(B111="","",IF(COUNTIF(Performance!$B$5:$B$404,B111)=0,"",SUMIFS(Performance!$P$5:$P$404,Performance!$B$5:$B$404,B111)))</f>
        <v>0</v>
      </c>
      <c r="R111" s="23">
        <f>IF(B111="","",IF(COUNTIF(Performance!$B$5:$B$404,B111)=0,"",SUMIFS(Performance!$Z$5:$Z$404,Performance!$B$5:$B$404,B111)))</f>
        <v>0</v>
      </c>
      <c r="S111" s="24">
        <f>IF(OR(P111="",P111=0),"",R111/P111)</f>
        <v>0</v>
      </c>
      <c r="T111" s="23">
        <f>IF(B111="","",IF(COUNTIF(Performance!$B$5:$B$404,B111)=0,"",SUMIFS(Performance!$T$5:$T$404,Performance!$B$5:$B$404,B111)))</f>
        <v>0</v>
      </c>
      <c r="U111" s="23">
        <f>IF(B111="","",IF(COUNTIF(Performance!$B$5:$B$404,B111)=0,"",SUMIFS(Performance!$S$5:$S$404,Performance!$B$5:$B$404,B111)))</f>
        <v>0</v>
      </c>
      <c r="V111" s="23">
        <f>IF(B111="","",IF(COUNTIF(Performance!$B$5:$B$404,B111)=0,"",SUMIFS(Performance!$R$5:$R$404,Performance!$B$5:$B$404,B111)))</f>
        <v>0</v>
      </c>
      <c r="W111" s="23">
        <f>IF(B111="","",IF(COUNTIF(Performance!$B$5:$B$404,B111)=0,"",SUMIFS(Performance!$U$5:$U$404,Performance!$B$5:$B$404,B111)))</f>
        <v>0</v>
      </c>
      <c r="X111" s="29">
        <f>IF(B111="","",IF(C111="Not found","Check - content ID not on the calendar",IF(AND(G111="Reel",J111=0),"Add - reel length missing",IF(K111="","Add - no cover image",IF(AND(P111&lt;&gt;"",S111&lt;TargetEngagement),"Review - below your target rate","OK")))))</f>
        <v>0</v>
      </c>
    </row>
    <row r="112" spans="1:24">
      <c r="A112" s="41">
        <f>IF(B112="","","IG-"&amp;TEXT(ROW()-4,"000"))</f>
        <v>0</v>
      </c>
      <c r="C112" s="17">
        <f>IF(B112="","",IFERROR(INDEX('Content Calendar'!$H$5:$H$604,MATCH(B112,'Content Calendar'!$A$5:$A$604,0)),"Not found"))</f>
        <v>0</v>
      </c>
      <c r="D112" s="16">
        <f>IF(B112="","",IFERROR(INDEX('Content Calendar'!$B$5:$B$604,MATCH(B112,'Content Calendar'!$A$5:$A$604,0)),"Not found"))</f>
        <v>0</v>
      </c>
      <c r="E112" s="17">
        <f>IF(B112="","",IFERROR(INDEX('Content Calendar'!$J$5:$J$604,MATCH(B112,'Content Calendar'!$A$5:$A$604,0)),"Not found"))</f>
        <v>0</v>
      </c>
      <c r="F112" s="29">
        <f>IF(B112="","",IFERROR(INDEX('Content Calendar'!$X$5:$X$604,MATCH(B112,'Content Calendar'!$A$5:$A$604,0)),"Not found"))</f>
        <v>0</v>
      </c>
      <c r="P112" s="23">
        <f>IF(B112="","",IF(COUNTIF(Performance!$B$5:$B$404,B112)=0,"",SUMIFS(Performance!$O$5:$O$404,Performance!$B$5:$B$404,B112)))</f>
        <v>0</v>
      </c>
      <c r="Q112" s="23">
        <f>IF(B112="","",IF(COUNTIF(Performance!$B$5:$B$404,B112)=0,"",SUMIFS(Performance!$P$5:$P$404,Performance!$B$5:$B$404,B112)))</f>
        <v>0</v>
      </c>
      <c r="R112" s="23">
        <f>IF(B112="","",IF(COUNTIF(Performance!$B$5:$B$404,B112)=0,"",SUMIFS(Performance!$Z$5:$Z$404,Performance!$B$5:$B$404,B112)))</f>
        <v>0</v>
      </c>
      <c r="S112" s="24">
        <f>IF(OR(P112="",P112=0),"",R112/P112)</f>
        <v>0</v>
      </c>
      <c r="T112" s="23">
        <f>IF(B112="","",IF(COUNTIF(Performance!$B$5:$B$404,B112)=0,"",SUMIFS(Performance!$T$5:$T$404,Performance!$B$5:$B$404,B112)))</f>
        <v>0</v>
      </c>
      <c r="U112" s="23">
        <f>IF(B112="","",IF(COUNTIF(Performance!$B$5:$B$404,B112)=0,"",SUMIFS(Performance!$S$5:$S$404,Performance!$B$5:$B$404,B112)))</f>
        <v>0</v>
      </c>
      <c r="V112" s="23">
        <f>IF(B112="","",IF(COUNTIF(Performance!$B$5:$B$404,B112)=0,"",SUMIFS(Performance!$R$5:$R$404,Performance!$B$5:$B$404,B112)))</f>
        <v>0</v>
      </c>
      <c r="W112" s="23">
        <f>IF(B112="","",IF(COUNTIF(Performance!$B$5:$B$404,B112)=0,"",SUMIFS(Performance!$U$5:$U$404,Performance!$B$5:$B$404,B112)))</f>
        <v>0</v>
      </c>
      <c r="X112" s="29">
        <f>IF(B112="","",IF(C112="Not found","Check - content ID not on the calendar",IF(AND(G112="Reel",J112=0),"Add - reel length missing",IF(K112="","Add - no cover image",IF(AND(P112&lt;&gt;"",S112&lt;TargetEngagement),"Review - below your target rate","OK")))))</f>
        <v>0</v>
      </c>
    </row>
    <row r="113" spans="1:24">
      <c r="A113" s="41">
        <f>IF(B113="","","IG-"&amp;TEXT(ROW()-4,"000"))</f>
        <v>0</v>
      </c>
      <c r="C113" s="17">
        <f>IF(B113="","",IFERROR(INDEX('Content Calendar'!$H$5:$H$604,MATCH(B113,'Content Calendar'!$A$5:$A$604,0)),"Not found"))</f>
        <v>0</v>
      </c>
      <c r="D113" s="16">
        <f>IF(B113="","",IFERROR(INDEX('Content Calendar'!$B$5:$B$604,MATCH(B113,'Content Calendar'!$A$5:$A$604,0)),"Not found"))</f>
        <v>0</v>
      </c>
      <c r="E113" s="17">
        <f>IF(B113="","",IFERROR(INDEX('Content Calendar'!$J$5:$J$604,MATCH(B113,'Content Calendar'!$A$5:$A$604,0)),"Not found"))</f>
        <v>0</v>
      </c>
      <c r="F113" s="29">
        <f>IF(B113="","",IFERROR(INDEX('Content Calendar'!$X$5:$X$604,MATCH(B113,'Content Calendar'!$A$5:$A$604,0)),"Not found"))</f>
        <v>0</v>
      </c>
      <c r="P113" s="23">
        <f>IF(B113="","",IF(COUNTIF(Performance!$B$5:$B$404,B113)=0,"",SUMIFS(Performance!$O$5:$O$404,Performance!$B$5:$B$404,B113)))</f>
        <v>0</v>
      </c>
      <c r="Q113" s="23">
        <f>IF(B113="","",IF(COUNTIF(Performance!$B$5:$B$404,B113)=0,"",SUMIFS(Performance!$P$5:$P$404,Performance!$B$5:$B$404,B113)))</f>
        <v>0</v>
      </c>
      <c r="R113" s="23">
        <f>IF(B113="","",IF(COUNTIF(Performance!$B$5:$B$404,B113)=0,"",SUMIFS(Performance!$Z$5:$Z$404,Performance!$B$5:$B$404,B113)))</f>
        <v>0</v>
      </c>
      <c r="S113" s="24">
        <f>IF(OR(P113="",P113=0),"",R113/P113)</f>
        <v>0</v>
      </c>
      <c r="T113" s="23">
        <f>IF(B113="","",IF(COUNTIF(Performance!$B$5:$B$404,B113)=0,"",SUMIFS(Performance!$T$5:$T$404,Performance!$B$5:$B$404,B113)))</f>
        <v>0</v>
      </c>
      <c r="U113" s="23">
        <f>IF(B113="","",IF(COUNTIF(Performance!$B$5:$B$404,B113)=0,"",SUMIFS(Performance!$S$5:$S$404,Performance!$B$5:$B$404,B113)))</f>
        <v>0</v>
      </c>
      <c r="V113" s="23">
        <f>IF(B113="","",IF(COUNTIF(Performance!$B$5:$B$404,B113)=0,"",SUMIFS(Performance!$R$5:$R$404,Performance!$B$5:$B$404,B113)))</f>
        <v>0</v>
      </c>
      <c r="W113" s="23">
        <f>IF(B113="","",IF(COUNTIF(Performance!$B$5:$B$404,B113)=0,"",SUMIFS(Performance!$U$5:$U$404,Performance!$B$5:$B$404,B113)))</f>
        <v>0</v>
      </c>
      <c r="X113" s="29">
        <f>IF(B113="","",IF(C113="Not found","Check - content ID not on the calendar",IF(AND(G113="Reel",J113=0),"Add - reel length missing",IF(K113="","Add - no cover image",IF(AND(P113&lt;&gt;"",S113&lt;TargetEngagement),"Review - below your target rate","OK")))))</f>
        <v>0</v>
      </c>
    </row>
    <row r="114" spans="1:24">
      <c r="A114" s="41">
        <f>IF(B114="","","IG-"&amp;TEXT(ROW()-4,"000"))</f>
        <v>0</v>
      </c>
      <c r="C114" s="17">
        <f>IF(B114="","",IFERROR(INDEX('Content Calendar'!$H$5:$H$604,MATCH(B114,'Content Calendar'!$A$5:$A$604,0)),"Not found"))</f>
        <v>0</v>
      </c>
      <c r="D114" s="16">
        <f>IF(B114="","",IFERROR(INDEX('Content Calendar'!$B$5:$B$604,MATCH(B114,'Content Calendar'!$A$5:$A$604,0)),"Not found"))</f>
        <v>0</v>
      </c>
      <c r="E114" s="17">
        <f>IF(B114="","",IFERROR(INDEX('Content Calendar'!$J$5:$J$604,MATCH(B114,'Content Calendar'!$A$5:$A$604,0)),"Not found"))</f>
        <v>0</v>
      </c>
      <c r="F114" s="29">
        <f>IF(B114="","",IFERROR(INDEX('Content Calendar'!$X$5:$X$604,MATCH(B114,'Content Calendar'!$A$5:$A$604,0)),"Not found"))</f>
        <v>0</v>
      </c>
      <c r="P114" s="23">
        <f>IF(B114="","",IF(COUNTIF(Performance!$B$5:$B$404,B114)=0,"",SUMIFS(Performance!$O$5:$O$404,Performance!$B$5:$B$404,B114)))</f>
        <v>0</v>
      </c>
      <c r="Q114" s="23">
        <f>IF(B114="","",IF(COUNTIF(Performance!$B$5:$B$404,B114)=0,"",SUMIFS(Performance!$P$5:$P$404,Performance!$B$5:$B$404,B114)))</f>
        <v>0</v>
      </c>
      <c r="R114" s="23">
        <f>IF(B114="","",IF(COUNTIF(Performance!$B$5:$B$404,B114)=0,"",SUMIFS(Performance!$Z$5:$Z$404,Performance!$B$5:$B$404,B114)))</f>
        <v>0</v>
      </c>
      <c r="S114" s="24">
        <f>IF(OR(P114="",P114=0),"",R114/P114)</f>
        <v>0</v>
      </c>
      <c r="T114" s="23">
        <f>IF(B114="","",IF(COUNTIF(Performance!$B$5:$B$404,B114)=0,"",SUMIFS(Performance!$T$5:$T$404,Performance!$B$5:$B$404,B114)))</f>
        <v>0</v>
      </c>
      <c r="U114" s="23">
        <f>IF(B114="","",IF(COUNTIF(Performance!$B$5:$B$404,B114)=0,"",SUMIFS(Performance!$S$5:$S$404,Performance!$B$5:$B$404,B114)))</f>
        <v>0</v>
      </c>
      <c r="V114" s="23">
        <f>IF(B114="","",IF(COUNTIF(Performance!$B$5:$B$404,B114)=0,"",SUMIFS(Performance!$R$5:$R$404,Performance!$B$5:$B$404,B114)))</f>
        <v>0</v>
      </c>
      <c r="W114" s="23">
        <f>IF(B114="","",IF(COUNTIF(Performance!$B$5:$B$404,B114)=0,"",SUMIFS(Performance!$U$5:$U$404,Performance!$B$5:$B$404,B114)))</f>
        <v>0</v>
      </c>
      <c r="X114" s="29">
        <f>IF(B114="","",IF(C114="Not found","Check - content ID not on the calendar",IF(AND(G114="Reel",J114=0),"Add - reel length missing",IF(K114="","Add - no cover image",IF(AND(P114&lt;&gt;"",S114&lt;TargetEngagement),"Review - below your target rate","OK")))))</f>
        <v>0</v>
      </c>
    </row>
    <row r="115" spans="1:24">
      <c r="A115" s="41">
        <f>IF(B115="","","IG-"&amp;TEXT(ROW()-4,"000"))</f>
        <v>0</v>
      </c>
      <c r="C115" s="17">
        <f>IF(B115="","",IFERROR(INDEX('Content Calendar'!$H$5:$H$604,MATCH(B115,'Content Calendar'!$A$5:$A$604,0)),"Not found"))</f>
        <v>0</v>
      </c>
      <c r="D115" s="16">
        <f>IF(B115="","",IFERROR(INDEX('Content Calendar'!$B$5:$B$604,MATCH(B115,'Content Calendar'!$A$5:$A$604,0)),"Not found"))</f>
        <v>0</v>
      </c>
      <c r="E115" s="17">
        <f>IF(B115="","",IFERROR(INDEX('Content Calendar'!$J$5:$J$604,MATCH(B115,'Content Calendar'!$A$5:$A$604,0)),"Not found"))</f>
        <v>0</v>
      </c>
      <c r="F115" s="29">
        <f>IF(B115="","",IFERROR(INDEX('Content Calendar'!$X$5:$X$604,MATCH(B115,'Content Calendar'!$A$5:$A$604,0)),"Not found"))</f>
        <v>0</v>
      </c>
      <c r="P115" s="23">
        <f>IF(B115="","",IF(COUNTIF(Performance!$B$5:$B$404,B115)=0,"",SUMIFS(Performance!$O$5:$O$404,Performance!$B$5:$B$404,B115)))</f>
        <v>0</v>
      </c>
      <c r="Q115" s="23">
        <f>IF(B115="","",IF(COUNTIF(Performance!$B$5:$B$404,B115)=0,"",SUMIFS(Performance!$P$5:$P$404,Performance!$B$5:$B$404,B115)))</f>
        <v>0</v>
      </c>
      <c r="R115" s="23">
        <f>IF(B115="","",IF(COUNTIF(Performance!$B$5:$B$404,B115)=0,"",SUMIFS(Performance!$Z$5:$Z$404,Performance!$B$5:$B$404,B115)))</f>
        <v>0</v>
      </c>
      <c r="S115" s="24">
        <f>IF(OR(P115="",P115=0),"",R115/P115)</f>
        <v>0</v>
      </c>
      <c r="T115" s="23">
        <f>IF(B115="","",IF(COUNTIF(Performance!$B$5:$B$404,B115)=0,"",SUMIFS(Performance!$T$5:$T$404,Performance!$B$5:$B$404,B115)))</f>
        <v>0</v>
      </c>
      <c r="U115" s="23">
        <f>IF(B115="","",IF(COUNTIF(Performance!$B$5:$B$404,B115)=0,"",SUMIFS(Performance!$S$5:$S$404,Performance!$B$5:$B$404,B115)))</f>
        <v>0</v>
      </c>
      <c r="V115" s="23">
        <f>IF(B115="","",IF(COUNTIF(Performance!$B$5:$B$404,B115)=0,"",SUMIFS(Performance!$R$5:$R$404,Performance!$B$5:$B$404,B115)))</f>
        <v>0</v>
      </c>
      <c r="W115" s="23">
        <f>IF(B115="","",IF(COUNTIF(Performance!$B$5:$B$404,B115)=0,"",SUMIFS(Performance!$U$5:$U$404,Performance!$B$5:$B$404,B115)))</f>
        <v>0</v>
      </c>
      <c r="X115" s="29">
        <f>IF(B115="","",IF(C115="Not found","Check - content ID not on the calendar",IF(AND(G115="Reel",J115=0),"Add - reel length missing",IF(K115="","Add - no cover image",IF(AND(P115&lt;&gt;"",S115&lt;TargetEngagement),"Review - below your target rate","OK")))))</f>
        <v>0</v>
      </c>
    </row>
    <row r="116" spans="1:24">
      <c r="A116" s="41">
        <f>IF(B116="","","IG-"&amp;TEXT(ROW()-4,"000"))</f>
        <v>0</v>
      </c>
      <c r="C116" s="17">
        <f>IF(B116="","",IFERROR(INDEX('Content Calendar'!$H$5:$H$604,MATCH(B116,'Content Calendar'!$A$5:$A$604,0)),"Not found"))</f>
        <v>0</v>
      </c>
      <c r="D116" s="16">
        <f>IF(B116="","",IFERROR(INDEX('Content Calendar'!$B$5:$B$604,MATCH(B116,'Content Calendar'!$A$5:$A$604,0)),"Not found"))</f>
        <v>0</v>
      </c>
      <c r="E116" s="17">
        <f>IF(B116="","",IFERROR(INDEX('Content Calendar'!$J$5:$J$604,MATCH(B116,'Content Calendar'!$A$5:$A$604,0)),"Not found"))</f>
        <v>0</v>
      </c>
      <c r="F116" s="29">
        <f>IF(B116="","",IFERROR(INDEX('Content Calendar'!$X$5:$X$604,MATCH(B116,'Content Calendar'!$A$5:$A$604,0)),"Not found"))</f>
        <v>0</v>
      </c>
      <c r="P116" s="23">
        <f>IF(B116="","",IF(COUNTIF(Performance!$B$5:$B$404,B116)=0,"",SUMIFS(Performance!$O$5:$O$404,Performance!$B$5:$B$404,B116)))</f>
        <v>0</v>
      </c>
      <c r="Q116" s="23">
        <f>IF(B116="","",IF(COUNTIF(Performance!$B$5:$B$404,B116)=0,"",SUMIFS(Performance!$P$5:$P$404,Performance!$B$5:$B$404,B116)))</f>
        <v>0</v>
      </c>
      <c r="R116" s="23">
        <f>IF(B116="","",IF(COUNTIF(Performance!$B$5:$B$404,B116)=0,"",SUMIFS(Performance!$Z$5:$Z$404,Performance!$B$5:$B$404,B116)))</f>
        <v>0</v>
      </c>
      <c r="S116" s="24">
        <f>IF(OR(P116="",P116=0),"",R116/P116)</f>
        <v>0</v>
      </c>
      <c r="T116" s="23">
        <f>IF(B116="","",IF(COUNTIF(Performance!$B$5:$B$404,B116)=0,"",SUMIFS(Performance!$T$5:$T$404,Performance!$B$5:$B$404,B116)))</f>
        <v>0</v>
      </c>
      <c r="U116" s="23">
        <f>IF(B116="","",IF(COUNTIF(Performance!$B$5:$B$404,B116)=0,"",SUMIFS(Performance!$S$5:$S$404,Performance!$B$5:$B$404,B116)))</f>
        <v>0</v>
      </c>
      <c r="V116" s="23">
        <f>IF(B116="","",IF(COUNTIF(Performance!$B$5:$B$404,B116)=0,"",SUMIFS(Performance!$R$5:$R$404,Performance!$B$5:$B$404,B116)))</f>
        <v>0</v>
      </c>
      <c r="W116" s="23">
        <f>IF(B116="","",IF(COUNTIF(Performance!$B$5:$B$404,B116)=0,"",SUMIFS(Performance!$U$5:$U$404,Performance!$B$5:$B$404,B116)))</f>
        <v>0</v>
      </c>
      <c r="X116" s="29">
        <f>IF(B116="","",IF(C116="Not found","Check - content ID not on the calendar",IF(AND(G116="Reel",J116=0),"Add - reel length missing",IF(K116="","Add - no cover image",IF(AND(P116&lt;&gt;"",S116&lt;TargetEngagement),"Review - below your target rate","OK")))))</f>
        <v>0</v>
      </c>
    </row>
    <row r="117" spans="1:24">
      <c r="A117" s="41">
        <f>IF(B117="","","IG-"&amp;TEXT(ROW()-4,"000"))</f>
        <v>0</v>
      </c>
      <c r="C117" s="17">
        <f>IF(B117="","",IFERROR(INDEX('Content Calendar'!$H$5:$H$604,MATCH(B117,'Content Calendar'!$A$5:$A$604,0)),"Not found"))</f>
        <v>0</v>
      </c>
      <c r="D117" s="16">
        <f>IF(B117="","",IFERROR(INDEX('Content Calendar'!$B$5:$B$604,MATCH(B117,'Content Calendar'!$A$5:$A$604,0)),"Not found"))</f>
        <v>0</v>
      </c>
      <c r="E117" s="17">
        <f>IF(B117="","",IFERROR(INDEX('Content Calendar'!$J$5:$J$604,MATCH(B117,'Content Calendar'!$A$5:$A$604,0)),"Not found"))</f>
        <v>0</v>
      </c>
      <c r="F117" s="29">
        <f>IF(B117="","",IFERROR(INDEX('Content Calendar'!$X$5:$X$604,MATCH(B117,'Content Calendar'!$A$5:$A$604,0)),"Not found"))</f>
        <v>0</v>
      </c>
      <c r="P117" s="23">
        <f>IF(B117="","",IF(COUNTIF(Performance!$B$5:$B$404,B117)=0,"",SUMIFS(Performance!$O$5:$O$404,Performance!$B$5:$B$404,B117)))</f>
        <v>0</v>
      </c>
      <c r="Q117" s="23">
        <f>IF(B117="","",IF(COUNTIF(Performance!$B$5:$B$404,B117)=0,"",SUMIFS(Performance!$P$5:$P$404,Performance!$B$5:$B$404,B117)))</f>
        <v>0</v>
      </c>
      <c r="R117" s="23">
        <f>IF(B117="","",IF(COUNTIF(Performance!$B$5:$B$404,B117)=0,"",SUMIFS(Performance!$Z$5:$Z$404,Performance!$B$5:$B$404,B117)))</f>
        <v>0</v>
      </c>
      <c r="S117" s="24">
        <f>IF(OR(P117="",P117=0),"",R117/P117)</f>
        <v>0</v>
      </c>
      <c r="T117" s="23">
        <f>IF(B117="","",IF(COUNTIF(Performance!$B$5:$B$404,B117)=0,"",SUMIFS(Performance!$T$5:$T$404,Performance!$B$5:$B$404,B117)))</f>
        <v>0</v>
      </c>
      <c r="U117" s="23">
        <f>IF(B117="","",IF(COUNTIF(Performance!$B$5:$B$404,B117)=0,"",SUMIFS(Performance!$S$5:$S$404,Performance!$B$5:$B$404,B117)))</f>
        <v>0</v>
      </c>
      <c r="V117" s="23">
        <f>IF(B117="","",IF(COUNTIF(Performance!$B$5:$B$404,B117)=0,"",SUMIFS(Performance!$R$5:$R$404,Performance!$B$5:$B$404,B117)))</f>
        <v>0</v>
      </c>
      <c r="W117" s="23">
        <f>IF(B117="","",IF(COUNTIF(Performance!$B$5:$B$404,B117)=0,"",SUMIFS(Performance!$U$5:$U$404,Performance!$B$5:$B$404,B117)))</f>
        <v>0</v>
      </c>
      <c r="X117" s="29">
        <f>IF(B117="","",IF(C117="Not found","Check - content ID not on the calendar",IF(AND(G117="Reel",J117=0),"Add - reel length missing",IF(K117="","Add - no cover image",IF(AND(P117&lt;&gt;"",S117&lt;TargetEngagement),"Review - below your target rate","OK")))))</f>
        <v>0</v>
      </c>
    </row>
    <row r="118" spans="1:24">
      <c r="A118" s="41">
        <f>IF(B118="","","IG-"&amp;TEXT(ROW()-4,"000"))</f>
        <v>0</v>
      </c>
      <c r="C118" s="17">
        <f>IF(B118="","",IFERROR(INDEX('Content Calendar'!$H$5:$H$604,MATCH(B118,'Content Calendar'!$A$5:$A$604,0)),"Not found"))</f>
        <v>0</v>
      </c>
      <c r="D118" s="16">
        <f>IF(B118="","",IFERROR(INDEX('Content Calendar'!$B$5:$B$604,MATCH(B118,'Content Calendar'!$A$5:$A$604,0)),"Not found"))</f>
        <v>0</v>
      </c>
      <c r="E118" s="17">
        <f>IF(B118="","",IFERROR(INDEX('Content Calendar'!$J$5:$J$604,MATCH(B118,'Content Calendar'!$A$5:$A$604,0)),"Not found"))</f>
        <v>0</v>
      </c>
      <c r="F118" s="29">
        <f>IF(B118="","",IFERROR(INDEX('Content Calendar'!$X$5:$X$604,MATCH(B118,'Content Calendar'!$A$5:$A$604,0)),"Not found"))</f>
        <v>0</v>
      </c>
      <c r="P118" s="23">
        <f>IF(B118="","",IF(COUNTIF(Performance!$B$5:$B$404,B118)=0,"",SUMIFS(Performance!$O$5:$O$404,Performance!$B$5:$B$404,B118)))</f>
        <v>0</v>
      </c>
      <c r="Q118" s="23">
        <f>IF(B118="","",IF(COUNTIF(Performance!$B$5:$B$404,B118)=0,"",SUMIFS(Performance!$P$5:$P$404,Performance!$B$5:$B$404,B118)))</f>
        <v>0</v>
      </c>
      <c r="R118" s="23">
        <f>IF(B118="","",IF(COUNTIF(Performance!$B$5:$B$404,B118)=0,"",SUMIFS(Performance!$Z$5:$Z$404,Performance!$B$5:$B$404,B118)))</f>
        <v>0</v>
      </c>
      <c r="S118" s="24">
        <f>IF(OR(P118="",P118=0),"",R118/P118)</f>
        <v>0</v>
      </c>
      <c r="T118" s="23">
        <f>IF(B118="","",IF(COUNTIF(Performance!$B$5:$B$404,B118)=0,"",SUMIFS(Performance!$T$5:$T$404,Performance!$B$5:$B$404,B118)))</f>
        <v>0</v>
      </c>
      <c r="U118" s="23">
        <f>IF(B118="","",IF(COUNTIF(Performance!$B$5:$B$404,B118)=0,"",SUMIFS(Performance!$S$5:$S$404,Performance!$B$5:$B$404,B118)))</f>
        <v>0</v>
      </c>
      <c r="V118" s="23">
        <f>IF(B118="","",IF(COUNTIF(Performance!$B$5:$B$404,B118)=0,"",SUMIFS(Performance!$R$5:$R$404,Performance!$B$5:$B$404,B118)))</f>
        <v>0</v>
      </c>
      <c r="W118" s="23">
        <f>IF(B118="","",IF(COUNTIF(Performance!$B$5:$B$404,B118)=0,"",SUMIFS(Performance!$U$5:$U$404,Performance!$B$5:$B$404,B118)))</f>
        <v>0</v>
      </c>
      <c r="X118" s="29">
        <f>IF(B118="","",IF(C118="Not found","Check - content ID not on the calendar",IF(AND(G118="Reel",J118=0),"Add - reel length missing",IF(K118="","Add - no cover image",IF(AND(P118&lt;&gt;"",S118&lt;TargetEngagement),"Review - below your target rate","OK")))))</f>
        <v>0</v>
      </c>
    </row>
    <row r="119" spans="1:24">
      <c r="A119" s="41">
        <f>IF(B119="","","IG-"&amp;TEXT(ROW()-4,"000"))</f>
        <v>0</v>
      </c>
      <c r="C119" s="17">
        <f>IF(B119="","",IFERROR(INDEX('Content Calendar'!$H$5:$H$604,MATCH(B119,'Content Calendar'!$A$5:$A$604,0)),"Not found"))</f>
        <v>0</v>
      </c>
      <c r="D119" s="16">
        <f>IF(B119="","",IFERROR(INDEX('Content Calendar'!$B$5:$B$604,MATCH(B119,'Content Calendar'!$A$5:$A$604,0)),"Not found"))</f>
        <v>0</v>
      </c>
      <c r="E119" s="17">
        <f>IF(B119="","",IFERROR(INDEX('Content Calendar'!$J$5:$J$604,MATCH(B119,'Content Calendar'!$A$5:$A$604,0)),"Not found"))</f>
        <v>0</v>
      </c>
      <c r="F119" s="29">
        <f>IF(B119="","",IFERROR(INDEX('Content Calendar'!$X$5:$X$604,MATCH(B119,'Content Calendar'!$A$5:$A$604,0)),"Not found"))</f>
        <v>0</v>
      </c>
      <c r="P119" s="23">
        <f>IF(B119="","",IF(COUNTIF(Performance!$B$5:$B$404,B119)=0,"",SUMIFS(Performance!$O$5:$O$404,Performance!$B$5:$B$404,B119)))</f>
        <v>0</v>
      </c>
      <c r="Q119" s="23">
        <f>IF(B119="","",IF(COUNTIF(Performance!$B$5:$B$404,B119)=0,"",SUMIFS(Performance!$P$5:$P$404,Performance!$B$5:$B$404,B119)))</f>
        <v>0</v>
      </c>
      <c r="R119" s="23">
        <f>IF(B119="","",IF(COUNTIF(Performance!$B$5:$B$404,B119)=0,"",SUMIFS(Performance!$Z$5:$Z$404,Performance!$B$5:$B$404,B119)))</f>
        <v>0</v>
      </c>
      <c r="S119" s="24">
        <f>IF(OR(P119="",P119=0),"",R119/P119)</f>
        <v>0</v>
      </c>
      <c r="T119" s="23">
        <f>IF(B119="","",IF(COUNTIF(Performance!$B$5:$B$404,B119)=0,"",SUMIFS(Performance!$T$5:$T$404,Performance!$B$5:$B$404,B119)))</f>
        <v>0</v>
      </c>
      <c r="U119" s="23">
        <f>IF(B119="","",IF(COUNTIF(Performance!$B$5:$B$404,B119)=0,"",SUMIFS(Performance!$S$5:$S$404,Performance!$B$5:$B$404,B119)))</f>
        <v>0</v>
      </c>
      <c r="V119" s="23">
        <f>IF(B119="","",IF(COUNTIF(Performance!$B$5:$B$404,B119)=0,"",SUMIFS(Performance!$R$5:$R$404,Performance!$B$5:$B$404,B119)))</f>
        <v>0</v>
      </c>
      <c r="W119" s="23">
        <f>IF(B119="","",IF(COUNTIF(Performance!$B$5:$B$404,B119)=0,"",SUMIFS(Performance!$U$5:$U$404,Performance!$B$5:$B$404,B119)))</f>
        <v>0</v>
      </c>
      <c r="X119" s="29">
        <f>IF(B119="","",IF(C119="Not found","Check - content ID not on the calendar",IF(AND(G119="Reel",J119=0),"Add - reel length missing",IF(K119="","Add - no cover image",IF(AND(P119&lt;&gt;"",S119&lt;TargetEngagement),"Review - below your target rate","OK")))))</f>
        <v>0</v>
      </c>
    </row>
    <row r="120" spans="1:24">
      <c r="A120" s="41">
        <f>IF(B120="","","IG-"&amp;TEXT(ROW()-4,"000"))</f>
        <v>0</v>
      </c>
      <c r="C120" s="17">
        <f>IF(B120="","",IFERROR(INDEX('Content Calendar'!$H$5:$H$604,MATCH(B120,'Content Calendar'!$A$5:$A$604,0)),"Not found"))</f>
        <v>0</v>
      </c>
      <c r="D120" s="16">
        <f>IF(B120="","",IFERROR(INDEX('Content Calendar'!$B$5:$B$604,MATCH(B120,'Content Calendar'!$A$5:$A$604,0)),"Not found"))</f>
        <v>0</v>
      </c>
      <c r="E120" s="17">
        <f>IF(B120="","",IFERROR(INDEX('Content Calendar'!$J$5:$J$604,MATCH(B120,'Content Calendar'!$A$5:$A$604,0)),"Not found"))</f>
        <v>0</v>
      </c>
      <c r="F120" s="29">
        <f>IF(B120="","",IFERROR(INDEX('Content Calendar'!$X$5:$X$604,MATCH(B120,'Content Calendar'!$A$5:$A$604,0)),"Not found"))</f>
        <v>0</v>
      </c>
      <c r="P120" s="23">
        <f>IF(B120="","",IF(COUNTIF(Performance!$B$5:$B$404,B120)=0,"",SUMIFS(Performance!$O$5:$O$404,Performance!$B$5:$B$404,B120)))</f>
        <v>0</v>
      </c>
      <c r="Q120" s="23">
        <f>IF(B120="","",IF(COUNTIF(Performance!$B$5:$B$404,B120)=0,"",SUMIFS(Performance!$P$5:$P$404,Performance!$B$5:$B$404,B120)))</f>
        <v>0</v>
      </c>
      <c r="R120" s="23">
        <f>IF(B120="","",IF(COUNTIF(Performance!$B$5:$B$404,B120)=0,"",SUMIFS(Performance!$Z$5:$Z$404,Performance!$B$5:$B$404,B120)))</f>
        <v>0</v>
      </c>
      <c r="S120" s="24">
        <f>IF(OR(P120="",P120=0),"",R120/P120)</f>
        <v>0</v>
      </c>
      <c r="T120" s="23">
        <f>IF(B120="","",IF(COUNTIF(Performance!$B$5:$B$404,B120)=0,"",SUMIFS(Performance!$T$5:$T$404,Performance!$B$5:$B$404,B120)))</f>
        <v>0</v>
      </c>
      <c r="U120" s="23">
        <f>IF(B120="","",IF(COUNTIF(Performance!$B$5:$B$404,B120)=0,"",SUMIFS(Performance!$S$5:$S$404,Performance!$B$5:$B$404,B120)))</f>
        <v>0</v>
      </c>
      <c r="V120" s="23">
        <f>IF(B120="","",IF(COUNTIF(Performance!$B$5:$B$404,B120)=0,"",SUMIFS(Performance!$R$5:$R$404,Performance!$B$5:$B$404,B120)))</f>
        <v>0</v>
      </c>
      <c r="W120" s="23">
        <f>IF(B120="","",IF(COUNTIF(Performance!$B$5:$B$404,B120)=0,"",SUMIFS(Performance!$U$5:$U$404,Performance!$B$5:$B$404,B120)))</f>
        <v>0</v>
      </c>
      <c r="X120" s="29">
        <f>IF(B120="","",IF(C120="Not found","Check - content ID not on the calendar",IF(AND(G120="Reel",J120=0),"Add - reel length missing",IF(K120="","Add - no cover image",IF(AND(P120&lt;&gt;"",S120&lt;TargetEngagement),"Review - below your target rate","OK")))))</f>
        <v>0</v>
      </c>
    </row>
    <row r="121" spans="1:24">
      <c r="A121" s="41">
        <f>IF(B121="","","IG-"&amp;TEXT(ROW()-4,"000"))</f>
        <v>0</v>
      </c>
      <c r="C121" s="17">
        <f>IF(B121="","",IFERROR(INDEX('Content Calendar'!$H$5:$H$604,MATCH(B121,'Content Calendar'!$A$5:$A$604,0)),"Not found"))</f>
        <v>0</v>
      </c>
      <c r="D121" s="16">
        <f>IF(B121="","",IFERROR(INDEX('Content Calendar'!$B$5:$B$604,MATCH(B121,'Content Calendar'!$A$5:$A$604,0)),"Not found"))</f>
        <v>0</v>
      </c>
      <c r="E121" s="17">
        <f>IF(B121="","",IFERROR(INDEX('Content Calendar'!$J$5:$J$604,MATCH(B121,'Content Calendar'!$A$5:$A$604,0)),"Not found"))</f>
        <v>0</v>
      </c>
      <c r="F121" s="29">
        <f>IF(B121="","",IFERROR(INDEX('Content Calendar'!$X$5:$X$604,MATCH(B121,'Content Calendar'!$A$5:$A$604,0)),"Not found"))</f>
        <v>0</v>
      </c>
      <c r="P121" s="23">
        <f>IF(B121="","",IF(COUNTIF(Performance!$B$5:$B$404,B121)=0,"",SUMIFS(Performance!$O$5:$O$404,Performance!$B$5:$B$404,B121)))</f>
        <v>0</v>
      </c>
      <c r="Q121" s="23">
        <f>IF(B121="","",IF(COUNTIF(Performance!$B$5:$B$404,B121)=0,"",SUMIFS(Performance!$P$5:$P$404,Performance!$B$5:$B$404,B121)))</f>
        <v>0</v>
      </c>
      <c r="R121" s="23">
        <f>IF(B121="","",IF(COUNTIF(Performance!$B$5:$B$404,B121)=0,"",SUMIFS(Performance!$Z$5:$Z$404,Performance!$B$5:$B$404,B121)))</f>
        <v>0</v>
      </c>
      <c r="S121" s="24">
        <f>IF(OR(P121="",P121=0),"",R121/P121)</f>
        <v>0</v>
      </c>
      <c r="T121" s="23">
        <f>IF(B121="","",IF(COUNTIF(Performance!$B$5:$B$404,B121)=0,"",SUMIFS(Performance!$T$5:$T$404,Performance!$B$5:$B$404,B121)))</f>
        <v>0</v>
      </c>
      <c r="U121" s="23">
        <f>IF(B121="","",IF(COUNTIF(Performance!$B$5:$B$404,B121)=0,"",SUMIFS(Performance!$S$5:$S$404,Performance!$B$5:$B$404,B121)))</f>
        <v>0</v>
      </c>
      <c r="V121" s="23">
        <f>IF(B121="","",IF(COUNTIF(Performance!$B$5:$B$404,B121)=0,"",SUMIFS(Performance!$R$5:$R$404,Performance!$B$5:$B$404,B121)))</f>
        <v>0</v>
      </c>
      <c r="W121" s="23">
        <f>IF(B121="","",IF(COUNTIF(Performance!$B$5:$B$404,B121)=0,"",SUMIFS(Performance!$U$5:$U$404,Performance!$B$5:$B$404,B121)))</f>
        <v>0</v>
      </c>
      <c r="X121" s="29">
        <f>IF(B121="","",IF(C121="Not found","Check - content ID not on the calendar",IF(AND(G121="Reel",J121=0),"Add - reel length missing",IF(K121="","Add - no cover image",IF(AND(P121&lt;&gt;"",S121&lt;TargetEngagement),"Review - below your target rate","OK")))))</f>
        <v>0</v>
      </c>
    </row>
    <row r="122" spans="1:24">
      <c r="A122" s="41">
        <f>IF(B122="","","IG-"&amp;TEXT(ROW()-4,"000"))</f>
        <v>0</v>
      </c>
      <c r="C122" s="17">
        <f>IF(B122="","",IFERROR(INDEX('Content Calendar'!$H$5:$H$604,MATCH(B122,'Content Calendar'!$A$5:$A$604,0)),"Not found"))</f>
        <v>0</v>
      </c>
      <c r="D122" s="16">
        <f>IF(B122="","",IFERROR(INDEX('Content Calendar'!$B$5:$B$604,MATCH(B122,'Content Calendar'!$A$5:$A$604,0)),"Not found"))</f>
        <v>0</v>
      </c>
      <c r="E122" s="17">
        <f>IF(B122="","",IFERROR(INDEX('Content Calendar'!$J$5:$J$604,MATCH(B122,'Content Calendar'!$A$5:$A$604,0)),"Not found"))</f>
        <v>0</v>
      </c>
      <c r="F122" s="29">
        <f>IF(B122="","",IFERROR(INDEX('Content Calendar'!$X$5:$X$604,MATCH(B122,'Content Calendar'!$A$5:$A$604,0)),"Not found"))</f>
        <v>0</v>
      </c>
      <c r="P122" s="23">
        <f>IF(B122="","",IF(COUNTIF(Performance!$B$5:$B$404,B122)=0,"",SUMIFS(Performance!$O$5:$O$404,Performance!$B$5:$B$404,B122)))</f>
        <v>0</v>
      </c>
      <c r="Q122" s="23">
        <f>IF(B122="","",IF(COUNTIF(Performance!$B$5:$B$404,B122)=0,"",SUMIFS(Performance!$P$5:$P$404,Performance!$B$5:$B$404,B122)))</f>
        <v>0</v>
      </c>
      <c r="R122" s="23">
        <f>IF(B122="","",IF(COUNTIF(Performance!$B$5:$B$404,B122)=0,"",SUMIFS(Performance!$Z$5:$Z$404,Performance!$B$5:$B$404,B122)))</f>
        <v>0</v>
      </c>
      <c r="S122" s="24">
        <f>IF(OR(P122="",P122=0),"",R122/P122)</f>
        <v>0</v>
      </c>
      <c r="T122" s="23">
        <f>IF(B122="","",IF(COUNTIF(Performance!$B$5:$B$404,B122)=0,"",SUMIFS(Performance!$T$5:$T$404,Performance!$B$5:$B$404,B122)))</f>
        <v>0</v>
      </c>
      <c r="U122" s="23">
        <f>IF(B122="","",IF(COUNTIF(Performance!$B$5:$B$404,B122)=0,"",SUMIFS(Performance!$S$5:$S$404,Performance!$B$5:$B$404,B122)))</f>
        <v>0</v>
      </c>
      <c r="V122" s="23">
        <f>IF(B122="","",IF(COUNTIF(Performance!$B$5:$B$404,B122)=0,"",SUMIFS(Performance!$R$5:$R$404,Performance!$B$5:$B$404,B122)))</f>
        <v>0</v>
      </c>
      <c r="W122" s="23">
        <f>IF(B122="","",IF(COUNTIF(Performance!$B$5:$B$404,B122)=0,"",SUMIFS(Performance!$U$5:$U$404,Performance!$B$5:$B$404,B122)))</f>
        <v>0</v>
      </c>
      <c r="X122" s="29">
        <f>IF(B122="","",IF(C122="Not found","Check - content ID not on the calendar",IF(AND(G122="Reel",J122=0),"Add - reel length missing",IF(K122="","Add - no cover image",IF(AND(P122&lt;&gt;"",S122&lt;TargetEngagement),"Review - below your target rate","OK")))))</f>
        <v>0</v>
      </c>
    </row>
    <row r="123" spans="1:24">
      <c r="A123" s="41">
        <f>IF(B123="","","IG-"&amp;TEXT(ROW()-4,"000"))</f>
        <v>0</v>
      </c>
      <c r="C123" s="17">
        <f>IF(B123="","",IFERROR(INDEX('Content Calendar'!$H$5:$H$604,MATCH(B123,'Content Calendar'!$A$5:$A$604,0)),"Not found"))</f>
        <v>0</v>
      </c>
      <c r="D123" s="16">
        <f>IF(B123="","",IFERROR(INDEX('Content Calendar'!$B$5:$B$604,MATCH(B123,'Content Calendar'!$A$5:$A$604,0)),"Not found"))</f>
        <v>0</v>
      </c>
      <c r="E123" s="17">
        <f>IF(B123="","",IFERROR(INDEX('Content Calendar'!$J$5:$J$604,MATCH(B123,'Content Calendar'!$A$5:$A$604,0)),"Not found"))</f>
        <v>0</v>
      </c>
      <c r="F123" s="29">
        <f>IF(B123="","",IFERROR(INDEX('Content Calendar'!$X$5:$X$604,MATCH(B123,'Content Calendar'!$A$5:$A$604,0)),"Not found"))</f>
        <v>0</v>
      </c>
      <c r="P123" s="23">
        <f>IF(B123="","",IF(COUNTIF(Performance!$B$5:$B$404,B123)=0,"",SUMIFS(Performance!$O$5:$O$404,Performance!$B$5:$B$404,B123)))</f>
        <v>0</v>
      </c>
      <c r="Q123" s="23">
        <f>IF(B123="","",IF(COUNTIF(Performance!$B$5:$B$404,B123)=0,"",SUMIFS(Performance!$P$5:$P$404,Performance!$B$5:$B$404,B123)))</f>
        <v>0</v>
      </c>
      <c r="R123" s="23">
        <f>IF(B123="","",IF(COUNTIF(Performance!$B$5:$B$404,B123)=0,"",SUMIFS(Performance!$Z$5:$Z$404,Performance!$B$5:$B$404,B123)))</f>
        <v>0</v>
      </c>
      <c r="S123" s="24">
        <f>IF(OR(P123="",P123=0),"",R123/P123)</f>
        <v>0</v>
      </c>
      <c r="T123" s="23">
        <f>IF(B123="","",IF(COUNTIF(Performance!$B$5:$B$404,B123)=0,"",SUMIFS(Performance!$T$5:$T$404,Performance!$B$5:$B$404,B123)))</f>
        <v>0</v>
      </c>
      <c r="U123" s="23">
        <f>IF(B123="","",IF(COUNTIF(Performance!$B$5:$B$404,B123)=0,"",SUMIFS(Performance!$S$5:$S$404,Performance!$B$5:$B$404,B123)))</f>
        <v>0</v>
      </c>
      <c r="V123" s="23">
        <f>IF(B123="","",IF(COUNTIF(Performance!$B$5:$B$404,B123)=0,"",SUMIFS(Performance!$R$5:$R$404,Performance!$B$5:$B$404,B123)))</f>
        <v>0</v>
      </c>
      <c r="W123" s="23">
        <f>IF(B123="","",IF(COUNTIF(Performance!$B$5:$B$404,B123)=0,"",SUMIFS(Performance!$U$5:$U$404,Performance!$B$5:$B$404,B123)))</f>
        <v>0</v>
      </c>
      <c r="X123" s="29">
        <f>IF(B123="","",IF(C123="Not found","Check - content ID not on the calendar",IF(AND(G123="Reel",J123=0),"Add - reel length missing",IF(K123="","Add - no cover image",IF(AND(P123&lt;&gt;"",S123&lt;TargetEngagement),"Review - below your target rate","OK")))))</f>
        <v>0</v>
      </c>
    </row>
    <row r="124" spans="1:24">
      <c r="A124" s="41">
        <f>IF(B124="","","IG-"&amp;TEXT(ROW()-4,"000"))</f>
        <v>0</v>
      </c>
      <c r="C124" s="17">
        <f>IF(B124="","",IFERROR(INDEX('Content Calendar'!$H$5:$H$604,MATCH(B124,'Content Calendar'!$A$5:$A$604,0)),"Not found"))</f>
        <v>0</v>
      </c>
      <c r="D124" s="16">
        <f>IF(B124="","",IFERROR(INDEX('Content Calendar'!$B$5:$B$604,MATCH(B124,'Content Calendar'!$A$5:$A$604,0)),"Not found"))</f>
        <v>0</v>
      </c>
      <c r="E124" s="17">
        <f>IF(B124="","",IFERROR(INDEX('Content Calendar'!$J$5:$J$604,MATCH(B124,'Content Calendar'!$A$5:$A$604,0)),"Not found"))</f>
        <v>0</v>
      </c>
      <c r="F124" s="29">
        <f>IF(B124="","",IFERROR(INDEX('Content Calendar'!$X$5:$X$604,MATCH(B124,'Content Calendar'!$A$5:$A$604,0)),"Not found"))</f>
        <v>0</v>
      </c>
      <c r="P124" s="23">
        <f>IF(B124="","",IF(COUNTIF(Performance!$B$5:$B$404,B124)=0,"",SUMIFS(Performance!$O$5:$O$404,Performance!$B$5:$B$404,B124)))</f>
        <v>0</v>
      </c>
      <c r="Q124" s="23">
        <f>IF(B124="","",IF(COUNTIF(Performance!$B$5:$B$404,B124)=0,"",SUMIFS(Performance!$P$5:$P$404,Performance!$B$5:$B$404,B124)))</f>
        <v>0</v>
      </c>
      <c r="R124" s="23">
        <f>IF(B124="","",IF(COUNTIF(Performance!$B$5:$B$404,B124)=0,"",SUMIFS(Performance!$Z$5:$Z$404,Performance!$B$5:$B$404,B124)))</f>
        <v>0</v>
      </c>
      <c r="S124" s="24">
        <f>IF(OR(P124="",P124=0),"",R124/P124)</f>
        <v>0</v>
      </c>
      <c r="T124" s="23">
        <f>IF(B124="","",IF(COUNTIF(Performance!$B$5:$B$404,B124)=0,"",SUMIFS(Performance!$T$5:$T$404,Performance!$B$5:$B$404,B124)))</f>
        <v>0</v>
      </c>
      <c r="U124" s="23">
        <f>IF(B124="","",IF(COUNTIF(Performance!$B$5:$B$404,B124)=0,"",SUMIFS(Performance!$S$5:$S$404,Performance!$B$5:$B$404,B124)))</f>
        <v>0</v>
      </c>
      <c r="V124" s="23">
        <f>IF(B124="","",IF(COUNTIF(Performance!$B$5:$B$404,B124)=0,"",SUMIFS(Performance!$R$5:$R$404,Performance!$B$5:$B$404,B124)))</f>
        <v>0</v>
      </c>
      <c r="W124" s="23">
        <f>IF(B124="","",IF(COUNTIF(Performance!$B$5:$B$404,B124)=0,"",SUMIFS(Performance!$U$5:$U$404,Performance!$B$5:$B$404,B124)))</f>
        <v>0</v>
      </c>
      <c r="X124" s="29">
        <f>IF(B124="","",IF(C124="Not found","Check - content ID not on the calendar",IF(AND(G124="Reel",J124=0),"Add - reel length missing",IF(K124="","Add - no cover image",IF(AND(P124&lt;&gt;"",S124&lt;TargetEngagement),"Review - below your target rate","OK")))))</f>
        <v>0</v>
      </c>
    </row>
    <row r="125" spans="1:24">
      <c r="A125" s="41">
        <f>IF(B125="","","IG-"&amp;TEXT(ROW()-4,"000"))</f>
        <v>0</v>
      </c>
      <c r="C125" s="17">
        <f>IF(B125="","",IFERROR(INDEX('Content Calendar'!$H$5:$H$604,MATCH(B125,'Content Calendar'!$A$5:$A$604,0)),"Not found"))</f>
        <v>0</v>
      </c>
      <c r="D125" s="16">
        <f>IF(B125="","",IFERROR(INDEX('Content Calendar'!$B$5:$B$604,MATCH(B125,'Content Calendar'!$A$5:$A$604,0)),"Not found"))</f>
        <v>0</v>
      </c>
      <c r="E125" s="17">
        <f>IF(B125="","",IFERROR(INDEX('Content Calendar'!$J$5:$J$604,MATCH(B125,'Content Calendar'!$A$5:$A$604,0)),"Not found"))</f>
        <v>0</v>
      </c>
      <c r="F125" s="29">
        <f>IF(B125="","",IFERROR(INDEX('Content Calendar'!$X$5:$X$604,MATCH(B125,'Content Calendar'!$A$5:$A$604,0)),"Not found"))</f>
        <v>0</v>
      </c>
      <c r="P125" s="23">
        <f>IF(B125="","",IF(COUNTIF(Performance!$B$5:$B$404,B125)=0,"",SUMIFS(Performance!$O$5:$O$404,Performance!$B$5:$B$404,B125)))</f>
        <v>0</v>
      </c>
      <c r="Q125" s="23">
        <f>IF(B125="","",IF(COUNTIF(Performance!$B$5:$B$404,B125)=0,"",SUMIFS(Performance!$P$5:$P$404,Performance!$B$5:$B$404,B125)))</f>
        <v>0</v>
      </c>
      <c r="R125" s="23">
        <f>IF(B125="","",IF(COUNTIF(Performance!$B$5:$B$404,B125)=0,"",SUMIFS(Performance!$Z$5:$Z$404,Performance!$B$5:$B$404,B125)))</f>
        <v>0</v>
      </c>
      <c r="S125" s="24">
        <f>IF(OR(P125="",P125=0),"",R125/P125)</f>
        <v>0</v>
      </c>
      <c r="T125" s="23">
        <f>IF(B125="","",IF(COUNTIF(Performance!$B$5:$B$404,B125)=0,"",SUMIFS(Performance!$T$5:$T$404,Performance!$B$5:$B$404,B125)))</f>
        <v>0</v>
      </c>
      <c r="U125" s="23">
        <f>IF(B125="","",IF(COUNTIF(Performance!$B$5:$B$404,B125)=0,"",SUMIFS(Performance!$S$5:$S$404,Performance!$B$5:$B$404,B125)))</f>
        <v>0</v>
      </c>
      <c r="V125" s="23">
        <f>IF(B125="","",IF(COUNTIF(Performance!$B$5:$B$404,B125)=0,"",SUMIFS(Performance!$R$5:$R$404,Performance!$B$5:$B$404,B125)))</f>
        <v>0</v>
      </c>
      <c r="W125" s="23">
        <f>IF(B125="","",IF(COUNTIF(Performance!$B$5:$B$404,B125)=0,"",SUMIFS(Performance!$U$5:$U$404,Performance!$B$5:$B$404,B125)))</f>
        <v>0</v>
      </c>
      <c r="X125" s="29">
        <f>IF(B125="","",IF(C125="Not found","Check - content ID not on the calendar",IF(AND(G125="Reel",J125=0),"Add - reel length missing",IF(K125="","Add - no cover image",IF(AND(P125&lt;&gt;"",S125&lt;TargetEngagement),"Review - below your target rate","OK")))))</f>
        <v>0</v>
      </c>
    </row>
    <row r="126" spans="1:24">
      <c r="A126" s="41">
        <f>IF(B126="","","IG-"&amp;TEXT(ROW()-4,"000"))</f>
        <v>0</v>
      </c>
      <c r="C126" s="17">
        <f>IF(B126="","",IFERROR(INDEX('Content Calendar'!$H$5:$H$604,MATCH(B126,'Content Calendar'!$A$5:$A$604,0)),"Not found"))</f>
        <v>0</v>
      </c>
      <c r="D126" s="16">
        <f>IF(B126="","",IFERROR(INDEX('Content Calendar'!$B$5:$B$604,MATCH(B126,'Content Calendar'!$A$5:$A$604,0)),"Not found"))</f>
        <v>0</v>
      </c>
      <c r="E126" s="17">
        <f>IF(B126="","",IFERROR(INDEX('Content Calendar'!$J$5:$J$604,MATCH(B126,'Content Calendar'!$A$5:$A$604,0)),"Not found"))</f>
        <v>0</v>
      </c>
      <c r="F126" s="29">
        <f>IF(B126="","",IFERROR(INDEX('Content Calendar'!$X$5:$X$604,MATCH(B126,'Content Calendar'!$A$5:$A$604,0)),"Not found"))</f>
        <v>0</v>
      </c>
      <c r="P126" s="23">
        <f>IF(B126="","",IF(COUNTIF(Performance!$B$5:$B$404,B126)=0,"",SUMIFS(Performance!$O$5:$O$404,Performance!$B$5:$B$404,B126)))</f>
        <v>0</v>
      </c>
      <c r="Q126" s="23">
        <f>IF(B126="","",IF(COUNTIF(Performance!$B$5:$B$404,B126)=0,"",SUMIFS(Performance!$P$5:$P$404,Performance!$B$5:$B$404,B126)))</f>
        <v>0</v>
      </c>
      <c r="R126" s="23">
        <f>IF(B126="","",IF(COUNTIF(Performance!$B$5:$B$404,B126)=0,"",SUMIFS(Performance!$Z$5:$Z$404,Performance!$B$5:$B$404,B126)))</f>
        <v>0</v>
      </c>
      <c r="S126" s="24">
        <f>IF(OR(P126="",P126=0),"",R126/P126)</f>
        <v>0</v>
      </c>
      <c r="T126" s="23">
        <f>IF(B126="","",IF(COUNTIF(Performance!$B$5:$B$404,B126)=0,"",SUMIFS(Performance!$T$5:$T$404,Performance!$B$5:$B$404,B126)))</f>
        <v>0</v>
      </c>
      <c r="U126" s="23">
        <f>IF(B126="","",IF(COUNTIF(Performance!$B$5:$B$404,B126)=0,"",SUMIFS(Performance!$S$5:$S$404,Performance!$B$5:$B$404,B126)))</f>
        <v>0</v>
      </c>
      <c r="V126" s="23">
        <f>IF(B126="","",IF(COUNTIF(Performance!$B$5:$B$404,B126)=0,"",SUMIFS(Performance!$R$5:$R$404,Performance!$B$5:$B$404,B126)))</f>
        <v>0</v>
      </c>
      <c r="W126" s="23">
        <f>IF(B126="","",IF(COUNTIF(Performance!$B$5:$B$404,B126)=0,"",SUMIFS(Performance!$U$5:$U$404,Performance!$B$5:$B$404,B126)))</f>
        <v>0</v>
      </c>
      <c r="X126" s="29">
        <f>IF(B126="","",IF(C126="Not found","Check - content ID not on the calendar",IF(AND(G126="Reel",J126=0),"Add - reel length missing",IF(K126="","Add - no cover image",IF(AND(P126&lt;&gt;"",S126&lt;TargetEngagement),"Review - below your target rate","OK")))))</f>
        <v>0</v>
      </c>
    </row>
    <row r="127" spans="1:24">
      <c r="A127" s="41">
        <f>IF(B127="","","IG-"&amp;TEXT(ROW()-4,"000"))</f>
        <v>0</v>
      </c>
      <c r="C127" s="17">
        <f>IF(B127="","",IFERROR(INDEX('Content Calendar'!$H$5:$H$604,MATCH(B127,'Content Calendar'!$A$5:$A$604,0)),"Not found"))</f>
        <v>0</v>
      </c>
      <c r="D127" s="16">
        <f>IF(B127="","",IFERROR(INDEX('Content Calendar'!$B$5:$B$604,MATCH(B127,'Content Calendar'!$A$5:$A$604,0)),"Not found"))</f>
        <v>0</v>
      </c>
      <c r="E127" s="17">
        <f>IF(B127="","",IFERROR(INDEX('Content Calendar'!$J$5:$J$604,MATCH(B127,'Content Calendar'!$A$5:$A$604,0)),"Not found"))</f>
        <v>0</v>
      </c>
      <c r="F127" s="29">
        <f>IF(B127="","",IFERROR(INDEX('Content Calendar'!$X$5:$X$604,MATCH(B127,'Content Calendar'!$A$5:$A$604,0)),"Not found"))</f>
        <v>0</v>
      </c>
      <c r="P127" s="23">
        <f>IF(B127="","",IF(COUNTIF(Performance!$B$5:$B$404,B127)=0,"",SUMIFS(Performance!$O$5:$O$404,Performance!$B$5:$B$404,B127)))</f>
        <v>0</v>
      </c>
      <c r="Q127" s="23">
        <f>IF(B127="","",IF(COUNTIF(Performance!$B$5:$B$404,B127)=0,"",SUMIFS(Performance!$P$5:$P$404,Performance!$B$5:$B$404,B127)))</f>
        <v>0</v>
      </c>
      <c r="R127" s="23">
        <f>IF(B127="","",IF(COUNTIF(Performance!$B$5:$B$404,B127)=0,"",SUMIFS(Performance!$Z$5:$Z$404,Performance!$B$5:$B$404,B127)))</f>
        <v>0</v>
      </c>
      <c r="S127" s="24">
        <f>IF(OR(P127="",P127=0),"",R127/P127)</f>
        <v>0</v>
      </c>
      <c r="T127" s="23">
        <f>IF(B127="","",IF(COUNTIF(Performance!$B$5:$B$404,B127)=0,"",SUMIFS(Performance!$T$5:$T$404,Performance!$B$5:$B$404,B127)))</f>
        <v>0</v>
      </c>
      <c r="U127" s="23">
        <f>IF(B127="","",IF(COUNTIF(Performance!$B$5:$B$404,B127)=0,"",SUMIFS(Performance!$S$5:$S$404,Performance!$B$5:$B$404,B127)))</f>
        <v>0</v>
      </c>
      <c r="V127" s="23">
        <f>IF(B127="","",IF(COUNTIF(Performance!$B$5:$B$404,B127)=0,"",SUMIFS(Performance!$R$5:$R$404,Performance!$B$5:$B$404,B127)))</f>
        <v>0</v>
      </c>
      <c r="W127" s="23">
        <f>IF(B127="","",IF(COUNTIF(Performance!$B$5:$B$404,B127)=0,"",SUMIFS(Performance!$U$5:$U$404,Performance!$B$5:$B$404,B127)))</f>
        <v>0</v>
      </c>
      <c r="X127" s="29">
        <f>IF(B127="","",IF(C127="Not found","Check - content ID not on the calendar",IF(AND(G127="Reel",J127=0),"Add - reel length missing",IF(K127="","Add - no cover image",IF(AND(P127&lt;&gt;"",S127&lt;TargetEngagement),"Review - below your target rate","OK")))))</f>
        <v>0</v>
      </c>
    </row>
    <row r="128" spans="1:24">
      <c r="A128" s="41">
        <f>IF(B128="","","IG-"&amp;TEXT(ROW()-4,"000"))</f>
        <v>0</v>
      </c>
      <c r="C128" s="17">
        <f>IF(B128="","",IFERROR(INDEX('Content Calendar'!$H$5:$H$604,MATCH(B128,'Content Calendar'!$A$5:$A$604,0)),"Not found"))</f>
        <v>0</v>
      </c>
      <c r="D128" s="16">
        <f>IF(B128="","",IFERROR(INDEX('Content Calendar'!$B$5:$B$604,MATCH(B128,'Content Calendar'!$A$5:$A$604,0)),"Not found"))</f>
        <v>0</v>
      </c>
      <c r="E128" s="17">
        <f>IF(B128="","",IFERROR(INDEX('Content Calendar'!$J$5:$J$604,MATCH(B128,'Content Calendar'!$A$5:$A$604,0)),"Not found"))</f>
        <v>0</v>
      </c>
      <c r="F128" s="29">
        <f>IF(B128="","",IFERROR(INDEX('Content Calendar'!$X$5:$X$604,MATCH(B128,'Content Calendar'!$A$5:$A$604,0)),"Not found"))</f>
        <v>0</v>
      </c>
      <c r="P128" s="23">
        <f>IF(B128="","",IF(COUNTIF(Performance!$B$5:$B$404,B128)=0,"",SUMIFS(Performance!$O$5:$O$404,Performance!$B$5:$B$404,B128)))</f>
        <v>0</v>
      </c>
      <c r="Q128" s="23">
        <f>IF(B128="","",IF(COUNTIF(Performance!$B$5:$B$404,B128)=0,"",SUMIFS(Performance!$P$5:$P$404,Performance!$B$5:$B$404,B128)))</f>
        <v>0</v>
      </c>
      <c r="R128" s="23">
        <f>IF(B128="","",IF(COUNTIF(Performance!$B$5:$B$404,B128)=0,"",SUMIFS(Performance!$Z$5:$Z$404,Performance!$B$5:$B$404,B128)))</f>
        <v>0</v>
      </c>
      <c r="S128" s="24">
        <f>IF(OR(P128="",P128=0),"",R128/P128)</f>
        <v>0</v>
      </c>
      <c r="T128" s="23">
        <f>IF(B128="","",IF(COUNTIF(Performance!$B$5:$B$404,B128)=0,"",SUMIFS(Performance!$T$5:$T$404,Performance!$B$5:$B$404,B128)))</f>
        <v>0</v>
      </c>
      <c r="U128" s="23">
        <f>IF(B128="","",IF(COUNTIF(Performance!$B$5:$B$404,B128)=0,"",SUMIFS(Performance!$S$5:$S$404,Performance!$B$5:$B$404,B128)))</f>
        <v>0</v>
      </c>
      <c r="V128" s="23">
        <f>IF(B128="","",IF(COUNTIF(Performance!$B$5:$B$404,B128)=0,"",SUMIFS(Performance!$R$5:$R$404,Performance!$B$5:$B$404,B128)))</f>
        <v>0</v>
      </c>
      <c r="W128" s="23">
        <f>IF(B128="","",IF(COUNTIF(Performance!$B$5:$B$404,B128)=0,"",SUMIFS(Performance!$U$5:$U$404,Performance!$B$5:$B$404,B128)))</f>
        <v>0</v>
      </c>
      <c r="X128" s="29">
        <f>IF(B128="","",IF(C128="Not found","Check - content ID not on the calendar",IF(AND(G128="Reel",J128=0),"Add - reel length missing",IF(K128="","Add - no cover image",IF(AND(P128&lt;&gt;"",S128&lt;TargetEngagement),"Review - below your target rate","OK")))))</f>
        <v>0</v>
      </c>
    </row>
    <row r="129" spans="1:24">
      <c r="A129" s="41">
        <f>IF(B129="","","IG-"&amp;TEXT(ROW()-4,"000"))</f>
        <v>0</v>
      </c>
      <c r="C129" s="17">
        <f>IF(B129="","",IFERROR(INDEX('Content Calendar'!$H$5:$H$604,MATCH(B129,'Content Calendar'!$A$5:$A$604,0)),"Not found"))</f>
        <v>0</v>
      </c>
      <c r="D129" s="16">
        <f>IF(B129="","",IFERROR(INDEX('Content Calendar'!$B$5:$B$604,MATCH(B129,'Content Calendar'!$A$5:$A$604,0)),"Not found"))</f>
        <v>0</v>
      </c>
      <c r="E129" s="17">
        <f>IF(B129="","",IFERROR(INDEX('Content Calendar'!$J$5:$J$604,MATCH(B129,'Content Calendar'!$A$5:$A$604,0)),"Not found"))</f>
        <v>0</v>
      </c>
      <c r="F129" s="29">
        <f>IF(B129="","",IFERROR(INDEX('Content Calendar'!$X$5:$X$604,MATCH(B129,'Content Calendar'!$A$5:$A$604,0)),"Not found"))</f>
        <v>0</v>
      </c>
      <c r="P129" s="23">
        <f>IF(B129="","",IF(COUNTIF(Performance!$B$5:$B$404,B129)=0,"",SUMIFS(Performance!$O$5:$O$404,Performance!$B$5:$B$404,B129)))</f>
        <v>0</v>
      </c>
      <c r="Q129" s="23">
        <f>IF(B129="","",IF(COUNTIF(Performance!$B$5:$B$404,B129)=0,"",SUMIFS(Performance!$P$5:$P$404,Performance!$B$5:$B$404,B129)))</f>
        <v>0</v>
      </c>
      <c r="R129" s="23">
        <f>IF(B129="","",IF(COUNTIF(Performance!$B$5:$B$404,B129)=0,"",SUMIFS(Performance!$Z$5:$Z$404,Performance!$B$5:$B$404,B129)))</f>
        <v>0</v>
      </c>
      <c r="S129" s="24">
        <f>IF(OR(P129="",P129=0),"",R129/P129)</f>
        <v>0</v>
      </c>
      <c r="T129" s="23">
        <f>IF(B129="","",IF(COUNTIF(Performance!$B$5:$B$404,B129)=0,"",SUMIFS(Performance!$T$5:$T$404,Performance!$B$5:$B$404,B129)))</f>
        <v>0</v>
      </c>
      <c r="U129" s="23">
        <f>IF(B129="","",IF(COUNTIF(Performance!$B$5:$B$404,B129)=0,"",SUMIFS(Performance!$S$5:$S$404,Performance!$B$5:$B$404,B129)))</f>
        <v>0</v>
      </c>
      <c r="V129" s="23">
        <f>IF(B129="","",IF(COUNTIF(Performance!$B$5:$B$404,B129)=0,"",SUMIFS(Performance!$R$5:$R$404,Performance!$B$5:$B$404,B129)))</f>
        <v>0</v>
      </c>
      <c r="W129" s="23">
        <f>IF(B129="","",IF(COUNTIF(Performance!$B$5:$B$404,B129)=0,"",SUMIFS(Performance!$U$5:$U$404,Performance!$B$5:$B$404,B129)))</f>
        <v>0</v>
      </c>
      <c r="X129" s="29">
        <f>IF(B129="","",IF(C129="Not found","Check - content ID not on the calendar",IF(AND(G129="Reel",J129=0),"Add - reel length missing",IF(K129="","Add - no cover image",IF(AND(P129&lt;&gt;"",S129&lt;TargetEngagement),"Review - below your target rate","OK")))))</f>
        <v>0</v>
      </c>
    </row>
    <row r="130" spans="1:24">
      <c r="A130" s="41">
        <f>IF(B130="","","IG-"&amp;TEXT(ROW()-4,"000"))</f>
        <v>0</v>
      </c>
      <c r="C130" s="17">
        <f>IF(B130="","",IFERROR(INDEX('Content Calendar'!$H$5:$H$604,MATCH(B130,'Content Calendar'!$A$5:$A$604,0)),"Not found"))</f>
        <v>0</v>
      </c>
      <c r="D130" s="16">
        <f>IF(B130="","",IFERROR(INDEX('Content Calendar'!$B$5:$B$604,MATCH(B130,'Content Calendar'!$A$5:$A$604,0)),"Not found"))</f>
        <v>0</v>
      </c>
      <c r="E130" s="17">
        <f>IF(B130="","",IFERROR(INDEX('Content Calendar'!$J$5:$J$604,MATCH(B130,'Content Calendar'!$A$5:$A$604,0)),"Not found"))</f>
        <v>0</v>
      </c>
      <c r="F130" s="29">
        <f>IF(B130="","",IFERROR(INDEX('Content Calendar'!$X$5:$X$604,MATCH(B130,'Content Calendar'!$A$5:$A$604,0)),"Not found"))</f>
        <v>0</v>
      </c>
      <c r="P130" s="23">
        <f>IF(B130="","",IF(COUNTIF(Performance!$B$5:$B$404,B130)=0,"",SUMIFS(Performance!$O$5:$O$404,Performance!$B$5:$B$404,B130)))</f>
        <v>0</v>
      </c>
      <c r="Q130" s="23">
        <f>IF(B130="","",IF(COUNTIF(Performance!$B$5:$B$404,B130)=0,"",SUMIFS(Performance!$P$5:$P$404,Performance!$B$5:$B$404,B130)))</f>
        <v>0</v>
      </c>
      <c r="R130" s="23">
        <f>IF(B130="","",IF(COUNTIF(Performance!$B$5:$B$404,B130)=0,"",SUMIFS(Performance!$Z$5:$Z$404,Performance!$B$5:$B$404,B130)))</f>
        <v>0</v>
      </c>
      <c r="S130" s="24">
        <f>IF(OR(P130="",P130=0),"",R130/P130)</f>
        <v>0</v>
      </c>
      <c r="T130" s="23">
        <f>IF(B130="","",IF(COUNTIF(Performance!$B$5:$B$404,B130)=0,"",SUMIFS(Performance!$T$5:$T$404,Performance!$B$5:$B$404,B130)))</f>
        <v>0</v>
      </c>
      <c r="U130" s="23">
        <f>IF(B130="","",IF(COUNTIF(Performance!$B$5:$B$404,B130)=0,"",SUMIFS(Performance!$S$5:$S$404,Performance!$B$5:$B$404,B130)))</f>
        <v>0</v>
      </c>
      <c r="V130" s="23">
        <f>IF(B130="","",IF(COUNTIF(Performance!$B$5:$B$404,B130)=0,"",SUMIFS(Performance!$R$5:$R$404,Performance!$B$5:$B$404,B130)))</f>
        <v>0</v>
      </c>
      <c r="W130" s="23">
        <f>IF(B130="","",IF(COUNTIF(Performance!$B$5:$B$404,B130)=0,"",SUMIFS(Performance!$U$5:$U$404,Performance!$B$5:$B$404,B130)))</f>
        <v>0</v>
      </c>
      <c r="X130" s="29">
        <f>IF(B130="","",IF(C130="Not found","Check - content ID not on the calendar",IF(AND(G130="Reel",J130=0),"Add - reel length missing",IF(K130="","Add - no cover image",IF(AND(P130&lt;&gt;"",S130&lt;TargetEngagement),"Review - below your target rate","OK")))))</f>
        <v>0</v>
      </c>
    </row>
    <row r="131" spans="1:24">
      <c r="A131" s="41">
        <f>IF(B131="","","IG-"&amp;TEXT(ROW()-4,"000"))</f>
        <v>0</v>
      </c>
      <c r="C131" s="17">
        <f>IF(B131="","",IFERROR(INDEX('Content Calendar'!$H$5:$H$604,MATCH(B131,'Content Calendar'!$A$5:$A$604,0)),"Not found"))</f>
        <v>0</v>
      </c>
      <c r="D131" s="16">
        <f>IF(B131="","",IFERROR(INDEX('Content Calendar'!$B$5:$B$604,MATCH(B131,'Content Calendar'!$A$5:$A$604,0)),"Not found"))</f>
        <v>0</v>
      </c>
      <c r="E131" s="17">
        <f>IF(B131="","",IFERROR(INDEX('Content Calendar'!$J$5:$J$604,MATCH(B131,'Content Calendar'!$A$5:$A$604,0)),"Not found"))</f>
        <v>0</v>
      </c>
      <c r="F131" s="29">
        <f>IF(B131="","",IFERROR(INDEX('Content Calendar'!$X$5:$X$604,MATCH(B131,'Content Calendar'!$A$5:$A$604,0)),"Not found"))</f>
        <v>0</v>
      </c>
      <c r="P131" s="23">
        <f>IF(B131="","",IF(COUNTIF(Performance!$B$5:$B$404,B131)=0,"",SUMIFS(Performance!$O$5:$O$404,Performance!$B$5:$B$404,B131)))</f>
        <v>0</v>
      </c>
      <c r="Q131" s="23">
        <f>IF(B131="","",IF(COUNTIF(Performance!$B$5:$B$404,B131)=0,"",SUMIFS(Performance!$P$5:$P$404,Performance!$B$5:$B$404,B131)))</f>
        <v>0</v>
      </c>
      <c r="R131" s="23">
        <f>IF(B131="","",IF(COUNTIF(Performance!$B$5:$B$404,B131)=0,"",SUMIFS(Performance!$Z$5:$Z$404,Performance!$B$5:$B$404,B131)))</f>
        <v>0</v>
      </c>
      <c r="S131" s="24">
        <f>IF(OR(P131="",P131=0),"",R131/P131)</f>
        <v>0</v>
      </c>
      <c r="T131" s="23">
        <f>IF(B131="","",IF(COUNTIF(Performance!$B$5:$B$404,B131)=0,"",SUMIFS(Performance!$T$5:$T$404,Performance!$B$5:$B$404,B131)))</f>
        <v>0</v>
      </c>
      <c r="U131" s="23">
        <f>IF(B131="","",IF(COUNTIF(Performance!$B$5:$B$404,B131)=0,"",SUMIFS(Performance!$S$5:$S$404,Performance!$B$5:$B$404,B131)))</f>
        <v>0</v>
      </c>
      <c r="V131" s="23">
        <f>IF(B131="","",IF(COUNTIF(Performance!$B$5:$B$404,B131)=0,"",SUMIFS(Performance!$R$5:$R$404,Performance!$B$5:$B$404,B131)))</f>
        <v>0</v>
      </c>
      <c r="W131" s="23">
        <f>IF(B131="","",IF(COUNTIF(Performance!$B$5:$B$404,B131)=0,"",SUMIFS(Performance!$U$5:$U$404,Performance!$B$5:$B$404,B131)))</f>
        <v>0</v>
      </c>
      <c r="X131" s="29">
        <f>IF(B131="","",IF(C131="Not found","Check - content ID not on the calendar",IF(AND(G131="Reel",J131=0),"Add - reel length missing",IF(K131="","Add - no cover image",IF(AND(P131&lt;&gt;"",S131&lt;TargetEngagement),"Review - below your target rate","OK")))))</f>
        <v>0</v>
      </c>
    </row>
    <row r="132" spans="1:24">
      <c r="A132" s="41">
        <f>IF(B132="","","IG-"&amp;TEXT(ROW()-4,"000"))</f>
        <v>0</v>
      </c>
      <c r="C132" s="17">
        <f>IF(B132="","",IFERROR(INDEX('Content Calendar'!$H$5:$H$604,MATCH(B132,'Content Calendar'!$A$5:$A$604,0)),"Not found"))</f>
        <v>0</v>
      </c>
      <c r="D132" s="16">
        <f>IF(B132="","",IFERROR(INDEX('Content Calendar'!$B$5:$B$604,MATCH(B132,'Content Calendar'!$A$5:$A$604,0)),"Not found"))</f>
        <v>0</v>
      </c>
      <c r="E132" s="17">
        <f>IF(B132="","",IFERROR(INDEX('Content Calendar'!$J$5:$J$604,MATCH(B132,'Content Calendar'!$A$5:$A$604,0)),"Not found"))</f>
        <v>0</v>
      </c>
      <c r="F132" s="29">
        <f>IF(B132="","",IFERROR(INDEX('Content Calendar'!$X$5:$X$604,MATCH(B132,'Content Calendar'!$A$5:$A$604,0)),"Not found"))</f>
        <v>0</v>
      </c>
      <c r="P132" s="23">
        <f>IF(B132="","",IF(COUNTIF(Performance!$B$5:$B$404,B132)=0,"",SUMIFS(Performance!$O$5:$O$404,Performance!$B$5:$B$404,B132)))</f>
        <v>0</v>
      </c>
      <c r="Q132" s="23">
        <f>IF(B132="","",IF(COUNTIF(Performance!$B$5:$B$404,B132)=0,"",SUMIFS(Performance!$P$5:$P$404,Performance!$B$5:$B$404,B132)))</f>
        <v>0</v>
      </c>
      <c r="R132" s="23">
        <f>IF(B132="","",IF(COUNTIF(Performance!$B$5:$B$404,B132)=0,"",SUMIFS(Performance!$Z$5:$Z$404,Performance!$B$5:$B$404,B132)))</f>
        <v>0</v>
      </c>
      <c r="S132" s="24">
        <f>IF(OR(P132="",P132=0),"",R132/P132)</f>
        <v>0</v>
      </c>
      <c r="T132" s="23">
        <f>IF(B132="","",IF(COUNTIF(Performance!$B$5:$B$404,B132)=0,"",SUMIFS(Performance!$T$5:$T$404,Performance!$B$5:$B$404,B132)))</f>
        <v>0</v>
      </c>
      <c r="U132" s="23">
        <f>IF(B132="","",IF(COUNTIF(Performance!$B$5:$B$404,B132)=0,"",SUMIFS(Performance!$S$5:$S$404,Performance!$B$5:$B$404,B132)))</f>
        <v>0</v>
      </c>
      <c r="V132" s="23">
        <f>IF(B132="","",IF(COUNTIF(Performance!$B$5:$B$404,B132)=0,"",SUMIFS(Performance!$R$5:$R$404,Performance!$B$5:$B$404,B132)))</f>
        <v>0</v>
      </c>
      <c r="W132" s="23">
        <f>IF(B132="","",IF(COUNTIF(Performance!$B$5:$B$404,B132)=0,"",SUMIFS(Performance!$U$5:$U$404,Performance!$B$5:$B$404,B132)))</f>
        <v>0</v>
      </c>
      <c r="X132" s="29">
        <f>IF(B132="","",IF(C132="Not found","Check - content ID not on the calendar",IF(AND(G132="Reel",J132=0),"Add - reel length missing",IF(K132="","Add - no cover image",IF(AND(P132&lt;&gt;"",S132&lt;TargetEngagement),"Review - below your target rate","OK")))))</f>
        <v>0</v>
      </c>
    </row>
    <row r="133" spans="1:24">
      <c r="A133" s="41">
        <f>IF(B133="","","IG-"&amp;TEXT(ROW()-4,"000"))</f>
        <v>0</v>
      </c>
      <c r="C133" s="17">
        <f>IF(B133="","",IFERROR(INDEX('Content Calendar'!$H$5:$H$604,MATCH(B133,'Content Calendar'!$A$5:$A$604,0)),"Not found"))</f>
        <v>0</v>
      </c>
      <c r="D133" s="16">
        <f>IF(B133="","",IFERROR(INDEX('Content Calendar'!$B$5:$B$604,MATCH(B133,'Content Calendar'!$A$5:$A$604,0)),"Not found"))</f>
        <v>0</v>
      </c>
      <c r="E133" s="17">
        <f>IF(B133="","",IFERROR(INDEX('Content Calendar'!$J$5:$J$604,MATCH(B133,'Content Calendar'!$A$5:$A$604,0)),"Not found"))</f>
        <v>0</v>
      </c>
      <c r="F133" s="29">
        <f>IF(B133="","",IFERROR(INDEX('Content Calendar'!$X$5:$X$604,MATCH(B133,'Content Calendar'!$A$5:$A$604,0)),"Not found"))</f>
        <v>0</v>
      </c>
      <c r="P133" s="23">
        <f>IF(B133="","",IF(COUNTIF(Performance!$B$5:$B$404,B133)=0,"",SUMIFS(Performance!$O$5:$O$404,Performance!$B$5:$B$404,B133)))</f>
        <v>0</v>
      </c>
      <c r="Q133" s="23">
        <f>IF(B133="","",IF(COUNTIF(Performance!$B$5:$B$404,B133)=0,"",SUMIFS(Performance!$P$5:$P$404,Performance!$B$5:$B$404,B133)))</f>
        <v>0</v>
      </c>
      <c r="R133" s="23">
        <f>IF(B133="","",IF(COUNTIF(Performance!$B$5:$B$404,B133)=0,"",SUMIFS(Performance!$Z$5:$Z$404,Performance!$B$5:$B$404,B133)))</f>
        <v>0</v>
      </c>
      <c r="S133" s="24">
        <f>IF(OR(P133="",P133=0),"",R133/P133)</f>
        <v>0</v>
      </c>
      <c r="T133" s="23">
        <f>IF(B133="","",IF(COUNTIF(Performance!$B$5:$B$404,B133)=0,"",SUMIFS(Performance!$T$5:$T$404,Performance!$B$5:$B$404,B133)))</f>
        <v>0</v>
      </c>
      <c r="U133" s="23">
        <f>IF(B133="","",IF(COUNTIF(Performance!$B$5:$B$404,B133)=0,"",SUMIFS(Performance!$S$5:$S$404,Performance!$B$5:$B$404,B133)))</f>
        <v>0</v>
      </c>
      <c r="V133" s="23">
        <f>IF(B133="","",IF(COUNTIF(Performance!$B$5:$B$404,B133)=0,"",SUMIFS(Performance!$R$5:$R$404,Performance!$B$5:$B$404,B133)))</f>
        <v>0</v>
      </c>
      <c r="W133" s="23">
        <f>IF(B133="","",IF(COUNTIF(Performance!$B$5:$B$404,B133)=0,"",SUMIFS(Performance!$U$5:$U$404,Performance!$B$5:$B$404,B133)))</f>
        <v>0</v>
      </c>
      <c r="X133" s="29">
        <f>IF(B133="","",IF(C133="Not found","Check - content ID not on the calendar",IF(AND(G133="Reel",J133=0),"Add - reel length missing",IF(K133="","Add - no cover image",IF(AND(P133&lt;&gt;"",S133&lt;TargetEngagement),"Review - below your target rate","OK")))))</f>
        <v>0</v>
      </c>
    </row>
    <row r="134" spans="1:24">
      <c r="A134" s="41">
        <f>IF(B134="","","IG-"&amp;TEXT(ROW()-4,"000"))</f>
        <v>0</v>
      </c>
      <c r="C134" s="17">
        <f>IF(B134="","",IFERROR(INDEX('Content Calendar'!$H$5:$H$604,MATCH(B134,'Content Calendar'!$A$5:$A$604,0)),"Not found"))</f>
        <v>0</v>
      </c>
      <c r="D134" s="16">
        <f>IF(B134="","",IFERROR(INDEX('Content Calendar'!$B$5:$B$604,MATCH(B134,'Content Calendar'!$A$5:$A$604,0)),"Not found"))</f>
        <v>0</v>
      </c>
      <c r="E134" s="17">
        <f>IF(B134="","",IFERROR(INDEX('Content Calendar'!$J$5:$J$604,MATCH(B134,'Content Calendar'!$A$5:$A$604,0)),"Not found"))</f>
        <v>0</v>
      </c>
      <c r="F134" s="29">
        <f>IF(B134="","",IFERROR(INDEX('Content Calendar'!$X$5:$X$604,MATCH(B134,'Content Calendar'!$A$5:$A$604,0)),"Not found"))</f>
        <v>0</v>
      </c>
      <c r="P134" s="23">
        <f>IF(B134="","",IF(COUNTIF(Performance!$B$5:$B$404,B134)=0,"",SUMIFS(Performance!$O$5:$O$404,Performance!$B$5:$B$404,B134)))</f>
        <v>0</v>
      </c>
      <c r="Q134" s="23">
        <f>IF(B134="","",IF(COUNTIF(Performance!$B$5:$B$404,B134)=0,"",SUMIFS(Performance!$P$5:$P$404,Performance!$B$5:$B$404,B134)))</f>
        <v>0</v>
      </c>
      <c r="R134" s="23">
        <f>IF(B134="","",IF(COUNTIF(Performance!$B$5:$B$404,B134)=0,"",SUMIFS(Performance!$Z$5:$Z$404,Performance!$B$5:$B$404,B134)))</f>
        <v>0</v>
      </c>
      <c r="S134" s="24">
        <f>IF(OR(P134="",P134=0),"",R134/P134)</f>
        <v>0</v>
      </c>
      <c r="T134" s="23">
        <f>IF(B134="","",IF(COUNTIF(Performance!$B$5:$B$404,B134)=0,"",SUMIFS(Performance!$T$5:$T$404,Performance!$B$5:$B$404,B134)))</f>
        <v>0</v>
      </c>
      <c r="U134" s="23">
        <f>IF(B134="","",IF(COUNTIF(Performance!$B$5:$B$404,B134)=0,"",SUMIFS(Performance!$S$5:$S$404,Performance!$B$5:$B$404,B134)))</f>
        <v>0</v>
      </c>
      <c r="V134" s="23">
        <f>IF(B134="","",IF(COUNTIF(Performance!$B$5:$B$404,B134)=0,"",SUMIFS(Performance!$R$5:$R$404,Performance!$B$5:$B$404,B134)))</f>
        <v>0</v>
      </c>
      <c r="W134" s="23">
        <f>IF(B134="","",IF(COUNTIF(Performance!$B$5:$B$404,B134)=0,"",SUMIFS(Performance!$U$5:$U$404,Performance!$B$5:$B$404,B134)))</f>
        <v>0</v>
      </c>
      <c r="X134" s="29">
        <f>IF(B134="","",IF(C134="Not found","Check - content ID not on the calendar",IF(AND(G134="Reel",J134=0),"Add - reel length missing",IF(K134="","Add - no cover image",IF(AND(P134&lt;&gt;"",S134&lt;TargetEngagement),"Review - below your target rate","OK")))))</f>
        <v>0</v>
      </c>
    </row>
    <row r="135" spans="1:24">
      <c r="A135" s="41">
        <f>IF(B135="","","IG-"&amp;TEXT(ROW()-4,"000"))</f>
        <v>0</v>
      </c>
      <c r="C135" s="17">
        <f>IF(B135="","",IFERROR(INDEX('Content Calendar'!$H$5:$H$604,MATCH(B135,'Content Calendar'!$A$5:$A$604,0)),"Not found"))</f>
        <v>0</v>
      </c>
      <c r="D135" s="16">
        <f>IF(B135="","",IFERROR(INDEX('Content Calendar'!$B$5:$B$604,MATCH(B135,'Content Calendar'!$A$5:$A$604,0)),"Not found"))</f>
        <v>0</v>
      </c>
      <c r="E135" s="17">
        <f>IF(B135="","",IFERROR(INDEX('Content Calendar'!$J$5:$J$604,MATCH(B135,'Content Calendar'!$A$5:$A$604,0)),"Not found"))</f>
        <v>0</v>
      </c>
      <c r="F135" s="29">
        <f>IF(B135="","",IFERROR(INDEX('Content Calendar'!$X$5:$X$604,MATCH(B135,'Content Calendar'!$A$5:$A$604,0)),"Not found"))</f>
        <v>0</v>
      </c>
      <c r="P135" s="23">
        <f>IF(B135="","",IF(COUNTIF(Performance!$B$5:$B$404,B135)=0,"",SUMIFS(Performance!$O$5:$O$404,Performance!$B$5:$B$404,B135)))</f>
        <v>0</v>
      </c>
      <c r="Q135" s="23">
        <f>IF(B135="","",IF(COUNTIF(Performance!$B$5:$B$404,B135)=0,"",SUMIFS(Performance!$P$5:$P$404,Performance!$B$5:$B$404,B135)))</f>
        <v>0</v>
      </c>
      <c r="R135" s="23">
        <f>IF(B135="","",IF(COUNTIF(Performance!$B$5:$B$404,B135)=0,"",SUMIFS(Performance!$Z$5:$Z$404,Performance!$B$5:$B$404,B135)))</f>
        <v>0</v>
      </c>
      <c r="S135" s="24">
        <f>IF(OR(P135="",P135=0),"",R135/P135)</f>
        <v>0</v>
      </c>
      <c r="T135" s="23">
        <f>IF(B135="","",IF(COUNTIF(Performance!$B$5:$B$404,B135)=0,"",SUMIFS(Performance!$T$5:$T$404,Performance!$B$5:$B$404,B135)))</f>
        <v>0</v>
      </c>
      <c r="U135" s="23">
        <f>IF(B135="","",IF(COUNTIF(Performance!$B$5:$B$404,B135)=0,"",SUMIFS(Performance!$S$5:$S$404,Performance!$B$5:$B$404,B135)))</f>
        <v>0</v>
      </c>
      <c r="V135" s="23">
        <f>IF(B135="","",IF(COUNTIF(Performance!$B$5:$B$404,B135)=0,"",SUMIFS(Performance!$R$5:$R$404,Performance!$B$5:$B$404,B135)))</f>
        <v>0</v>
      </c>
      <c r="W135" s="23">
        <f>IF(B135="","",IF(COUNTIF(Performance!$B$5:$B$404,B135)=0,"",SUMIFS(Performance!$U$5:$U$404,Performance!$B$5:$B$404,B135)))</f>
        <v>0</v>
      </c>
      <c r="X135" s="29">
        <f>IF(B135="","",IF(C135="Not found","Check - content ID not on the calendar",IF(AND(G135="Reel",J135=0),"Add - reel length missing",IF(K135="","Add - no cover image",IF(AND(P135&lt;&gt;"",S135&lt;TargetEngagement),"Review - below your target rate","OK")))))</f>
        <v>0</v>
      </c>
    </row>
    <row r="136" spans="1:24">
      <c r="A136" s="41">
        <f>IF(B136="","","IG-"&amp;TEXT(ROW()-4,"000"))</f>
        <v>0</v>
      </c>
      <c r="C136" s="17">
        <f>IF(B136="","",IFERROR(INDEX('Content Calendar'!$H$5:$H$604,MATCH(B136,'Content Calendar'!$A$5:$A$604,0)),"Not found"))</f>
        <v>0</v>
      </c>
      <c r="D136" s="16">
        <f>IF(B136="","",IFERROR(INDEX('Content Calendar'!$B$5:$B$604,MATCH(B136,'Content Calendar'!$A$5:$A$604,0)),"Not found"))</f>
        <v>0</v>
      </c>
      <c r="E136" s="17">
        <f>IF(B136="","",IFERROR(INDEX('Content Calendar'!$J$5:$J$604,MATCH(B136,'Content Calendar'!$A$5:$A$604,0)),"Not found"))</f>
        <v>0</v>
      </c>
      <c r="F136" s="29">
        <f>IF(B136="","",IFERROR(INDEX('Content Calendar'!$X$5:$X$604,MATCH(B136,'Content Calendar'!$A$5:$A$604,0)),"Not found"))</f>
        <v>0</v>
      </c>
      <c r="P136" s="23">
        <f>IF(B136="","",IF(COUNTIF(Performance!$B$5:$B$404,B136)=0,"",SUMIFS(Performance!$O$5:$O$404,Performance!$B$5:$B$404,B136)))</f>
        <v>0</v>
      </c>
      <c r="Q136" s="23">
        <f>IF(B136="","",IF(COUNTIF(Performance!$B$5:$B$404,B136)=0,"",SUMIFS(Performance!$P$5:$P$404,Performance!$B$5:$B$404,B136)))</f>
        <v>0</v>
      </c>
      <c r="R136" s="23">
        <f>IF(B136="","",IF(COUNTIF(Performance!$B$5:$B$404,B136)=0,"",SUMIFS(Performance!$Z$5:$Z$404,Performance!$B$5:$B$404,B136)))</f>
        <v>0</v>
      </c>
      <c r="S136" s="24">
        <f>IF(OR(P136="",P136=0),"",R136/P136)</f>
        <v>0</v>
      </c>
      <c r="T136" s="23">
        <f>IF(B136="","",IF(COUNTIF(Performance!$B$5:$B$404,B136)=0,"",SUMIFS(Performance!$T$5:$T$404,Performance!$B$5:$B$404,B136)))</f>
        <v>0</v>
      </c>
      <c r="U136" s="23">
        <f>IF(B136="","",IF(COUNTIF(Performance!$B$5:$B$404,B136)=0,"",SUMIFS(Performance!$S$5:$S$404,Performance!$B$5:$B$404,B136)))</f>
        <v>0</v>
      </c>
      <c r="V136" s="23">
        <f>IF(B136="","",IF(COUNTIF(Performance!$B$5:$B$404,B136)=0,"",SUMIFS(Performance!$R$5:$R$404,Performance!$B$5:$B$404,B136)))</f>
        <v>0</v>
      </c>
      <c r="W136" s="23">
        <f>IF(B136="","",IF(COUNTIF(Performance!$B$5:$B$404,B136)=0,"",SUMIFS(Performance!$U$5:$U$404,Performance!$B$5:$B$404,B136)))</f>
        <v>0</v>
      </c>
      <c r="X136" s="29">
        <f>IF(B136="","",IF(C136="Not found","Check - content ID not on the calendar",IF(AND(G136="Reel",J136=0),"Add - reel length missing",IF(K136="","Add - no cover image",IF(AND(P136&lt;&gt;"",S136&lt;TargetEngagement),"Review - below your target rate","OK")))))</f>
        <v>0</v>
      </c>
    </row>
    <row r="137" spans="1:24">
      <c r="A137" s="41">
        <f>IF(B137="","","IG-"&amp;TEXT(ROW()-4,"000"))</f>
        <v>0</v>
      </c>
      <c r="C137" s="17">
        <f>IF(B137="","",IFERROR(INDEX('Content Calendar'!$H$5:$H$604,MATCH(B137,'Content Calendar'!$A$5:$A$604,0)),"Not found"))</f>
        <v>0</v>
      </c>
      <c r="D137" s="16">
        <f>IF(B137="","",IFERROR(INDEX('Content Calendar'!$B$5:$B$604,MATCH(B137,'Content Calendar'!$A$5:$A$604,0)),"Not found"))</f>
        <v>0</v>
      </c>
      <c r="E137" s="17">
        <f>IF(B137="","",IFERROR(INDEX('Content Calendar'!$J$5:$J$604,MATCH(B137,'Content Calendar'!$A$5:$A$604,0)),"Not found"))</f>
        <v>0</v>
      </c>
      <c r="F137" s="29">
        <f>IF(B137="","",IFERROR(INDEX('Content Calendar'!$X$5:$X$604,MATCH(B137,'Content Calendar'!$A$5:$A$604,0)),"Not found"))</f>
        <v>0</v>
      </c>
      <c r="P137" s="23">
        <f>IF(B137="","",IF(COUNTIF(Performance!$B$5:$B$404,B137)=0,"",SUMIFS(Performance!$O$5:$O$404,Performance!$B$5:$B$404,B137)))</f>
        <v>0</v>
      </c>
      <c r="Q137" s="23">
        <f>IF(B137="","",IF(COUNTIF(Performance!$B$5:$B$404,B137)=0,"",SUMIFS(Performance!$P$5:$P$404,Performance!$B$5:$B$404,B137)))</f>
        <v>0</v>
      </c>
      <c r="R137" s="23">
        <f>IF(B137="","",IF(COUNTIF(Performance!$B$5:$B$404,B137)=0,"",SUMIFS(Performance!$Z$5:$Z$404,Performance!$B$5:$B$404,B137)))</f>
        <v>0</v>
      </c>
      <c r="S137" s="24">
        <f>IF(OR(P137="",P137=0),"",R137/P137)</f>
        <v>0</v>
      </c>
      <c r="T137" s="23">
        <f>IF(B137="","",IF(COUNTIF(Performance!$B$5:$B$404,B137)=0,"",SUMIFS(Performance!$T$5:$T$404,Performance!$B$5:$B$404,B137)))</f>
        <v>0</v>
      </c>
      <c r="U137" s="23">
        <f>IF(B137="","",IF(COUNTIF(Performance!$B$5:$B$404,B137)=0,"",SUMIFS(Performance!$S$5:$S$404,Performance!$B$5:$B$404,B137)))</f>
        <v>0</v>
      </c>
      <c r="V137" s="23">
        <f>IF(B137="","",IF(COUNTIF(Performance!$B$5:$B$404,B137)=0,"",SUMIFS(Performance!$R$5:$R$404,Performance!$B$5:$B$404,B137)))</f>
        <v>0</v>
      </c>
      <c r="W137" s="23">
        <f>IF(B137="","",IF(COUNTIF(Performance!$B$5:$B$404,B137)=0,"",SUMIFS(Performance!$U$5:$U$404,Performance!$B$5:$B$404,B137)))</f>
        <v>0</v>
      </c>
      <c r="X137" s="29">
        <f>IF(B137="","",IF(C137="Not found","Check - content ID not on the calendar",IF(AND(G137="Reel",J137=0),"Add - reel length missing",IF(K137="","Add - no cover image",IF(AND(P137&lt;&gt;"",S137&lt;TargetEngagement),"Review - below your target rate","OK")))))</f>
        <v>0</v>
      </c>
    </row>
    <row r="138" spans="1:24">
      <c r="A138" s="41">
        <f>IF(B138="","","IG-"&amp;TEXT(ROW()-4,"000"))</f>
        <v>0</v>
      </c>
      <c r="C138" s="17">
        <f>IF(B138="","",IFERROR(INDEX('Content Calendar'!$H$5:$H$604,MATCH(B138,'Content Calendar'!$A$5:$A$604,0)),"Not found"))</f>
        <v>0</v>
      </c>
      <c r="D138" s="16">
        <f>IF(B138="","",IFERROR(INDEX('Content Calendar'!$B$5:$B$604,MATCH(B138,'Content Calendar'!$A$5:$A$604,0)),"Not found"))</f>
        <v>0</v>
      </c>
      <c r="E138" s="17">
        <f>IF(B138="","",IFERROR(INDEX('Content Calendar'!$J$5:$J$604,MATCH(B138,'Content Calendar'!$A$5:$A$604,0)),"Not found"))</f>
        <v>0</v>
      </c>
      <c r="F138" s="29">
        <f>IF(B138="","",IFERROR(INDEX('Content Calendar'!$X$5:$X$604,MATCH(B138,'Content Calendar'!$A$5:$A$604,0)),"Not found"))</f>
        <v>0</v>
      </c>
      <c r="P138" s="23">
        <f>IF(B138="","",IF(COUNTIF(Performance!$B$5:$B$404,B138)=0,"",SUMIFS(Performance!$O$5:$O$404,Performance!$B$5:$B$404,B138)))</f>
        <v>0</v>
      </c>
      <c r="Q138" s="23">
        <f>IF(B138="","",IF(COUNTIF(Performance!$B$5:$B$404,B138)=0,"",SUMIFS(Performance!$P$5:$P$404,Performance!$B$5:$B$404,B138)))</f>
        <v>0</v>
      </c>
      <c r="R138" s="23">
        <f>IF(B138="","",IF(COUNTIF(Performance!$B$5:$B$404,B138)=0,"",SUMIFS(Performance!$Z$5:$Z$404,Performance!$B$5:$B$404,B138)))</f>
        <v>0</v>
      </c>
      <c r="S138" s="24">
        <f>IF(OR(P138="",P138=0),"",R138/P138)</f>
        <v>0</v>
      </c>
      <c r="T138" s="23">
        <f>IF(B138="","",IF(COUNTIF(Performance!$B$5:$B$404,B138)=0,"",SUMIFS(Performance!$T$5:$T$404,Performance!$B$5:$B$404,B138)))</f>
        <v>0</v>
      </c>
      <c r="U138" s="23">
        <f>IF(B138="","",IF(COUNTIF(Performance!$B$5:$B$404,B138)=0,"",SUMIFS(Performance!$S$5:$S$404,Performance!$B$5:$B$404,B138)))</f>
        <v>0</v>
      </c>
      <c r="V138" s="23">
        <f>IF(B138="","",IF(COUNTIF(Performance!$B$5:$B$404,B138)=0,"",SUMIFS(Performance!$R$5:$R$404,Performance!$B$5:$B$404,B138)))</f>
        <v>0</v>
      </c>
      <c r="W138" s="23">
        <f>IF(B138="","",IF(COUNTIF(Performance!$B$5:$B$404,B138)=0,"",SUMIFS(Performance!$U$5:$U$404,Performance!$B$5:$B$404,B138)))</f>
        <v>0</v>
      </c>
      <c r="X138" s="29">
        <f>IF(B138="","",IF(C138="Not found","Check - content ID not on the calendar",IF(AND(G138="Reel",J138=0),"Add - reel length missing",IF(K138="","Add - no cover image",IF(AND(P138&lt;&gt;"",S138&lt;TargetEngagement),"Review - below your target rate","OK")))))</f>
        <v>0</v>
      </c>
    </row>
    <row r="139" spans="1:24">
      <c r="A139" s="41">
        <f>IF(B139="","","IG-"&amp;TEXT(ROW()-4,"000"))</f>
        <v>0</v>
      </c>
      <c r="C139" s="17">
        <f>IF(B139="","",IFERROR(INDEX('Content Calendar'!$H$5:$H$604,MATCH(B139,'Content Calendar'!$A$5:$A$604,0)),"Not found"))</f>
        <v>0</v>
      </c>
      <c r="D139" s="16">
        <f>IF(B139="","",IFERROR(INDEX('Content Calendar'!$B$5:$B$604,MATCH(B139,'Content Calendar'!$A$5:$A$604,0)),"Not found"))</f>
        <v>0</v>
      </c>
      <c r="E139" s="17">
        <f>IF(B139="","",IFERROR(INDEX('Content Calendar'!$J$5:$J$604,MATCH(B139,'Content Calendar'!$A$5:$A$604,0)),"Not found"))</f>
        <v>0</v>
      </c>
      <c r="F139" s="29">
        <f>IF(B139="","",IFERROR(INDEX('Content Calendar'!$X$5:$X$604,MATCH(B139,'Content Calendar'!$A$5:$A$604,0)),"Not found"))</f>
        <v>0</v>
      </c>
      <c r="P139" s="23">
        <f>IF(B139="","",IF(COUNTIF(Performance!$B$5:$B$404,B139)=0,"",SUMIFS(Performance!$O$5:$O$404,Performance!$B$5:$B$404,B139)))</f>
        <v>0</v>
      </c>
      <c r="Q139" s="23">
        <f>IF(B139="","",IF(COUNTIF(Performance!$B$5:$B$404,B139)=0,"",SUMIFS(Performance!$P$5:$P$404,Performance!$B$5:$B$404,B139)))</f>
        <v>0</v>
      </c>
      <c r="R139" s="23">
        <f>IF(B139="","",IF(COUNTIF(Performance!$B$5:$B$404,B139)=0,"",SUMIFS(Performance!$Z$5:$Z$404,Performance!$B$5:$B$404,B139)))</f>
        <v>0</v>
      </c>
      <c r="S139" s="24">
        <f>IF(OR(P139="",P139=0),"",R139/P139)</f>
        <v>0</v>
      </c>
      <c r="T139" s="23">
        <f>IF(B139="","",IF(COUNTIF(Performance!$B$5:$B$404,B139)=0,"",SUMIFS(Performance!$T$5:$T$404,Performance!$B$5:$B$404,B139)))</f>
        <v>0</v>
      </c>
      <c r="U139" s="23">
        <f>IF(B139="","",IF(COUNTIF(Performance!$B$5:$B$404,B139)=0,"",SUMIFS(Performance!$S$5:$S$404,Performance!$B$5:$B$404,B139)))</f>
        <v>0</v>
      </c>
      <c r="V139" s="23">
        <f>IF(B139="","",IF(COUNTIF(Performance!$B$5:$B$404,B139)=0,"",SUMIFS(Performance!$R$5:$R$404,Performance!$B$5:$B$404,B139)))</f>
        <v>0</v>
      </c>
      <c r="W139" s="23">
        <f>IF(B139="","",IF(COUNTIF(Performance!$B$5:$B$404,B139)=0,"",SUMIFS(Performance!$U$5:$U$404,Performance!$B$5:$B$404,B139)))</f>
        <v>0</v>
      </c>
      <c r="X139" s="29">
        <f>IF(B139="","",IF(C139="Not found","Check - content ID not on the calendar",IF(AND(G139="Reel",J139=0),"Add - reel length missing",IF(K139="","Add - no cover image",IF(AND(P139&lt;&gt;"",S139&lt;TargetEngagement),"Review - below your target rate","OK")))))</f>
        <v>0</v>
      </c>
    </row>
    <row r="140" spans="1:24">
      <c r="A140" s="41">
        <f>IF(B140="","","IG-"&amp;TEXT(ROW()-4,"000"))</f>
        <v>0</v>
      </c>
      <c r="C140" s="17">
        <f>IF(B140="","",IFERROR(INDEX('Content Calendar'!$H$5:$H$604,MATCH(B140,'Content Calendar'!$A$5:$A$604,0)),"Not found"))</f>
        <v>0</v>
      </c>
      <c r="D140" s="16">
        <f>IF(B140="","",IFERROR(INDEX('Content Calendar'!$B$5:$B$604,MATCH(B140,'Content Calendar'!$A$5:$A$604,0)),"Not found"))</f>
        <v>0</v>
      </c>
      <c r="E140" s="17">
        <f>IF(B140="","",IFERROR(INDEX('Content Calendar'!$J$5:$J$604,MATCH(B140,'Content Calendar'!$A$5:$A$604,0)),"Not found"))</f>
        <v>0</v>
      </c>
      <c r="F140" s="29">
        <f>IF(B140="","",IFERROR(INDEX('Content Calendar'!$X$5:$X$604,MATCH(B140,'Content Calendar'!$A$5:$A$604,0)),"Not found"))</f>
        <v>0</v>
      </c>
      <c r="P140" s="23">
        <f>IF(B140="","",IF(COUNTIF(Performance!$B$5:$B$404,B140)=0,"",SUMIFS(Performance!$O$5:$O$404,Performance!$B$5:$B$404,B140)))</f>
        <v>0</v>
      </c>
      <c r="Q140" s="23">
        <f>IF(B140="","",IF(COUNTIF(Performance!$B$5:$B$404,B140)=0,"",SUMIFS(Performance!$P$5:$P$404,Performance!$B$5:$B$404,B140)))</f>
        <v>0</v>
      </c>
      <c r="R140" s="23">
        <f>IF(B140="","",IF(COUNTIF(Performance!$B$5:$B$404,B140)=0,"",SUMIFS(Performance!$Z$5:$Z$404,Performance!$B$5:$B$404,B140)))</f>
        <v>0</v>
      </c>
      <c r="S140" s="24">
        <f>IF(OR(P140="",P140=0),"",R140/P140)</f>
        <v>0</v>
      </c>
      <c r="T140" s="23">
        <f>IF(B140="","",IF(COUNTIF(Performance!$B$5:$B$404,B140)=0,"",SUMIFS(Performance!$T$5:$T$404,Performance!$B$5:$B$404,B140)))</f>
        <v>0</v>
      </c>
      <c r="U140" s="23">
        <f>IF(B140="","",IF(COUNTIF(Performance!$B$5:$B$404,B140)=0,"",SUMIFS(Performance!$S$5:$S$404,Performance!$B$5:$B$404,B140)))</f>
        <v>0</v>
      </c>
      <c r="V140" s="23">
        <f>IF(B140="","",IF(COUNTIF(Performance!$B$5:$B$404,B140)=0,"",SUMIFS(Performance!$R$5:$R$404,Performance!$B$5:$B$404,B140)))</f>
        <v>0</v>
      </c>
      <c r="W140" s="23">
        <f>IF(B140="","",IF(COUNTIF(Performance!$B$5:$B$404,B140)=0,"",SUMIFS(Performance!$U$5:$U$404,Performance!$B$5:$B$404,B140)))</f>
        <v>0</v>
      </c>
      <c r="X140" s="29">
        <f>IF(B140="","",IF(C140="Not found","Check - content ID not on the calendar",IF(AND(G140="Reel",J140=0),"Add - reel length missing",IF(K140="","Add - no cover image",IF(AND(P140&lt;&gt;"",S140&lt;TargetEngagement),"Review - below your target rate","OK")))))</f>
        <v>0</v>
      </c>
    </row>
    <row r="141" spans="1:24">
      <c r="A141" s="41">
        <f>IF(B141="","","IG-"&amp;TEXT(ROW()-4,"000"))</f>
        <v>0</v>
      </c>
      <c r="C141" s="17">
        <f>IF(B141="","",IFERROR(INDEX('Content Calendar'!$H$5:$H$604,MATCH(B141,'Content Calendar'!$A$5:$A$604,0)),"Not found"))</f>
        <v>0</v>
      </c>
      <c r="D141" s="16">
        <f>IF(B141="","",IFERROR(INDEX('Content Calendar'!$B$5:$B$604,MATCH(B141,'Content Calendar'!$A$5:$A$604,0)),"Not found"))</f>
        <v>0</v>
      </c>
      <c r="E141" s="17">
        <f>IF(B141="","",IFERROR(INDEX('Content Calendar'!$J$5:$J$604,MATCH(B141,'Content Calendar'!$A$5:$A$604,0)),"Not found"))</f>
        <v>0</v>
      </c>
      <c r="F141" s="29">
        <f>IF(B141="","",IFERROR(INDEX('Content Calendar'!$X$5:$X$604,MATCH(B141,'Content Calendar'!$A$5:$A$604,0)),"Not found"))</f>
        <v>0</v>
      </c>
      <c r="P141" s="23">
        <f>IF(B141="","",IF(COUNTIF(Performance!$B$5:$B$404,B141)=0,"",SUMIFS(Performance!$O$5:$O$404,Performance!$B$5:$B$404,B141)))</f>
        <v>0</v>
      </c>
      <c r="Q141" s="23">
        <f>IF(B141="","",IF(COUNTIF(Performance!$B$5:$B$404,B141)=0,"",SUMIFS(Performance!$P$5:$P$404,Performance!$B$5:$B$404,B141)))</f>
        <v>0</v>
      </c>
      <c r="R141" s="23">
        <f>IF(B141="","",IF(COUNTIF(Performance!$B$5:$B$404,B141)=0,"",SUMIFS(Performance!$Z$5:$Z$404,Performance!$B$5:$B$404,B141)))</f>
        <v>0</v>
      </c>
      <c r="S141" s="24">
        <f>IF(OR(P141="",P141=0),"",R141/P141)</f>
        <v>0</v>
      </c>
      <c r="T141" s="23">
        <f>IF(B141="","",IF(COUNTIF(Performance!$B$5:$B$404,B141)=0,"",SUMIFS(Performance!$T$5:$T$404,Performance!$B$5:$B$404,B141)))</f>
        <v>0</v>
      </c>
      <c r="U141" s="23">
        <f>IF(B141="","",IF(COUNTIF(Performance!$B$5:$B$404,B141)=0,"",SUMIFS(Performance!$S$5:$S$404,Performance!$B$5:$B$404,B141)))</f>
        <v>0</v>
      </c>
      <c r="V141" s="23">
        <f>IF(B141="","",IF(COUNTIF(Performance!$B$5:$B$404,B141)=0,"",SUMIFS(Performance!$R$5:$R$404,Performance!$B$5:$B$404,B141)))</f>
        <v>0</v>
      </c>
      <c r="W141" s="23">
        <f>IF(B141="","",IF(COUNTIF(Performance!$B$5:$B$404,B141)=0,"",SUMIFS(Performance!$U$5:$U$404,Performance!$B$5:$B$404,B141)))</f>
        <v>0</v>
      </c>
      <c r="X141" s="29">
        <f>IF(B141="","",IF(C141="Not found","Check - content ID not on the calendar",IF(AND(G141="Reel",J141=0),"Add - reel length missing",IF(K141="","Add - no cover image",IF(AND(P141&lt;&gt;"",S141&lt;TargetEngagement),"Review - below your target rate","OK")))))</f>
        <v>0</v>
      </c>
    </row>
    <row r="142" spans="1:24">
      <c r="A142" s="41">
        <f>IF(B142="","","IG-"&amp;TEXT(ROW()-4,"000"))</f>
        <v>0</v>
      </c>
      <c r="C142" s="17">
        <f>IF(B142="","",IFERROR(INDEX('Content Calendar'!$H$5:$H$604,MATCH(B142,'Content Calendar'!$A$5:$A$604,0)),"Not found"))</f>
        <v>0</v>
      </c>
      <c r="D142" s="16">
        <f>IF(B142="","",IFERROR(INDEX('Content Calendar'!$B$5:$B$604,MATCH(B142,'Content Calendar'!$A$5:$A$604,0)),"Not found"))</f>
        <v>0</v>
      </c>
      <c r="E142" s="17">
        <f>IF(B142="","",IFERROR(INDEX('Content Calendar'!$J$5:$J$604,MATCH(B142,'Content Calendar'!$A$5:$A$604,0)),"Not found"))</f>
        <v>0</v>
      </c>
      <c r="F142" s="29">
        <f>IF(B142="","",IFERROR(INDEX('Content Calendar'!$X$5:$X$604,MATCH(B142,'Content Calendar'!$A$5:$A$604,0)),"Not found"))</f>
        <v>0</v>
      </c>
      <c r="P142" s="23">
        <f>IF(B142="","",IF(COUNTIF(Performance!$B$5:$B$404,B142)=0,"",SUMIFS(Performance!$O$5:$O$404,Performance!$B$5:$B$404,B142)))</f>
        <v>0</v>
      </c>
      <c r="Q142" s="23">
        <f>IF(B142="","",IF(COUNTIF(Performance!$B$5:$B$404,B142)=0,"",SUMIFS(Performance!$P$5:$P$404,Performance!$B$5:$B$404,B142)))</f>
        <v>0</v>
      </c>
      <c r="R142" s="23">
        <f>IF(B142="","",IF(COUNTIF(Performance!$B$5:$B$404,B142)=0,"",SUMIFS(Performance!$Z$5:$Z$404,Performance!$B$5:$B$404,B142)))</f>
        <v>0</v>
      </c>
      <c r="S142" s="24">
        <f>IF(OR(P142="",P142=0),"",R142/P142)</f>
        <v>0</v>
      </c>
      <c r="T142" s="23">
        <f>IF(B142="","",IF(COUNTIF(Performance!$B$5:$B$404,B142)=0,"",SUMIFS(Performance!$T$5:$T$404,Performance!$B$5:$B$404,B142)))</f>
        <v>0</v>
      </c>
      <c r="U142" s="23">
        <f>IF(B142="","",IF(COUNTIF(Performance!$B$5:$B$404,B142)=0,"",SUMIFS(Performance!$S$5:$S$404,Performance!$B$5:$B$404,B142)))</f>
        <v>0</v>
      </c>
      <c r="V142" s="23">
        <f>IF(B142="","",IF(COUNTIF(Performance!$B$5:$B$404,B142)=0,"",SUMIFS(Performance!$R$5:$R$404,Performance!$B$5:$B$404,B142)))</f>
        <v>0</v>
      </c>
      <c r="W142" s="23">
        <f>IF(B142="","",IF(COUNTIF(Performance!$B$5:$B$404,B142)=0,"",SUMIFS(Performance!$U$5:$U$404,Performance!$B$5:$B$404,B142)))</f>
        <v>0</v>
      </c>
      <c r="X142" s="29">
        <f>IF(B142="","",IF(C142="Not found","Check - content ID not on the calendar",IF(AND(G142="Reel",J142=0),"Add - reel length missing",IF(K142="","Add - no cover image",IF(AND(P142&lt;&gt;"",S142&lt;TargetEngagement),"Review - below your target rate","OK")))))</f>
        <v>0</v>
      </c>
    </row>
    <row r="143" spans="1:24">
      <c r="A143" s="41">
        <f>IF(B143="","","IG-"&amp;TEXT(ROW()-4,"000"))</f>
        <v>0</v>
      </c>
      <c r="C143" s="17">
        <f>IF(B143="","",IFERROR(INDEX('Content Calendar'!$H$5:$H$604,MATCH(B143,'Content Calendar'!$A$5:$A$604,0)),"Not found"))</f>
        <v>0</v>
      </c>
      <c r="D143" s="16">
        <f>IF(B143="","",IFERROR(INDEX('Content Calendar'!$B$5:$B$604,MATCH(B143,'Content Calendar'!$A$5:$A$604,0)),"Not found"))</f>
        <v>0</v>
      </c>
      <c r="E143" s="17">
        <f>IF(B143="","",IFERROR(INDEX('Content Calendar'!$J$5:$J$604,MATCH(B143,'Content Calendar'!$A$5:$A$604,0)),"Not found"))</f>
        <v>0</v>
      </c>
      <c r="F143" s="29">
        <f>IF(B143="","",IFERROR(INDEX('Content Calendar'!$X$5:$X$604,MATCH(B143,'Content Calendar'!$A$5:$A$604,0)),"Not found"))</f>
        <v>0</v>
      </c>
      <c r="P143" s="23">
        <f>IF(B143="","",IF(COUNTIF(Performance!$B$5:$B$404,B143)=0,"",SUMIFS(Performance!$O$5:$O$404,Performance!$B$5:$B$404,B143)))</f>
        <v>0</v>
      </c>
      <c r="Q143" s="23">
        <f>IF(B143="","",IF(COUNTIF(Performance!$B$5:$B$404,B143)=0,"",SUMIFS(Performance!$P$5:$P$404,Performance!$B$5:$B$404,B143)))</f>
        <v>0</v>
      </c>
      <c r="R143" s="23">
        <f>IF(B143="","",IF(COUNTIF(Performance!$B$5:$B$404,B143)=0,"",SUMIFS(Performance!$Z$5:$Z$404,Performance!$B$5:$B$404,B143)))</f>
        <v>0</v>
      </c>
      <c r="S143" s="24">
        <f>IF(OR(P143="",P143=0),"",R143/P143)</f>
        <v>0</v>
      </c>
      <c r="T143" s="23">
        <f>IF(B143="","",IF(COUNTIF(Performance!$B$5:$B$404,B143)=0,"",SUMIFS(Performance!$T$5:$T$404,Performance!$B$5:$B$404,B143)))</f>
        <v>0</v>
      </c>
      <c r="U143" s="23">
        <f>IF(B143="","",IF(COUNTIF(Performance!$B$5:$B$404,B143)=0,"",SUMIFS(Performance!$S$5:$S$404,Performance!$B$5:$B$404,B143)))</f>
        <v>0</v>
      </c>
      <c r="V143" s="23">
        <f>IF(B143="","",IF(COUNTIF(Performance!$B$5:$B$404,B143)=0,"",SUMIFS(Performance!$R$5:$R$404,Performance!$B$5:$B$404,B143)))</f>
        <v>0</v>
      </c>
      <c r="W143" s="23">
        <f>IF(B143="","",IF(COUNTIF(Performance!$B$5:$B$404,B143)=0,"",SUMIFS(Performance!$U$5:$U$404,Performance!$B$5:$B$404,B143)))</f>
        <v>0</v>
      </c>
      <c r="X143" s="29">
        <f>IF(B143="","",IF(C143="Not found","Check - content ID not on the calendar",IF(AND(G143="Reel",J143=0),"Add - reel length missing",IF(K143="","Add - no cover image",IF(AND(P143&lt;&gt;"",S143&lt;TargetEngagement),"Review - below your target rate","OK")))))</f>
        <v>0</v>
      </c>
    </row>
    <row r="144" spans="1:24">
      <c r="A144" s="41">
        <f>IF(B144="","","IG-"&amp;TEXT(ROW()-4,"000"))</f>
        <v>0</v>
      </c>
      <c r="C144" s="17">
        <f>IF(B144="","",IFERROR(INDEX('Content Calendar'!$H$5:$H$604,MATCH(B144,'Content Calendar'!$A$5:$A$604,0)),"Not found"))</f>
        <v>0</v>
      </c>
      <c r="D144" s="16">
        <f>IF(B144="","",IFERROR(INDEX('Content Calendar'!$B$5:$B$604,MATCH(B144,'Content Calendar'!$A$5:$A$604,0)),"Not found"))</f>
        <v>0</v>
      </c>
      <c r="E144" s="17">
        <f>IF(B144="","",IFERROR(INDEX('Content Calendar'!$J$5:$J$604,MATCH(B144,'Content Calendar'!$A$5:$A$604,0)),"Not found"))</f>
        <v>0</v>
      </c>
      <c r="F144" s="29">
        <f>IF(B144="","",IFERROR(INDEX('Content Calendar'!$X$5:$X$604,MATCH(B144,'Content Calendar'!$A$5:$A$604,0)),"Not found"))</f>
        <v>0</v>
      </c>
      <c r="P144" s="23">
        <f>IF(B144="","",IF(COUNTIF(Performance!$B$5:$B$404,B144)=0,"",SUMIFS(Performance!$O$5:$O$404,Performance!$B$5:$B$404,B144)))</f>
        <v>0</v>
      </c>
      <c r="Q144" s="23">
        <f>IF(B144="","",IF(COUNTIF(Performance!$B$5:$B$404,B144)=0,"",SUMIFS(Performance!$P$5:$P$404,Performance!$B$5:$B$404,B144)))</f>
        <v>0</v>
      </c>
      <c r="R144" s="23">
        <f>IF(B144="","",IF(COUNTIF(Performance!$B$5:$B$404,B144)=0,"",SUMIFS(Performance!$Z$5:$Z$404,Performance!$B$5:$B$404,B144)))</f>
        <v>0</v>
      </c>
      <c r="S144" s="24">
        <f>IF(OR(P144="",P144=0),"",R144/P144)</f>
        <v>0</v>
      </c>
      <c r="T144" s="23">
        <f>IF(B144="","",IF(COUNTIF(Performance!$B$5:$B$404,B144)=0,"",SUMIFS(Performance!$T$5:$T$404,Performance!$B$5:$B$404,B144)))</f>
        <v>0</v>
      </c>
      <c r="U144" s="23">
        <f>IF(B144="","",IF(COUNTIF(Performance!$B$5:$B$404,B144)=0,"",SUMIFS(Performance!$S$5:$S$404,Performance!$B$5:$B$404,B144)))</f>
        <v>0</v>
      </c>
      <c r="V144" s="23">
        <f>IF(B144="","",IF(COUNTIF(Performance!$B$5:$B$404,B144)=0,"",SUMIFS(Performance!$R$5:$R$404,Performance!$B$5:$B$404,B144)))</f>
        <v>0</v>
      </c>
      <c r="W144" s="23">
        <f>IF(B144="","",IF(COUNTIF(Performance!$B$5:$B$404,B144)=0,"",SUMIFS(Performance!$U$5:$U$404,Performance!$B$5:$B$404,B144)))</f>
        <v>0</v>
      </c>
      <c r="X144" s="29">
        <f>IF(B144="","",IF(C144="Not found","Check - content ID not on the calendar",IF(AND(G144="Reel",J144=0),"Add - reel length missing",IF(K144="","Add - no cover image",IF(AND(P144&lt;&gt;"",S144&lt;TargetEngagement),"Review - below your target rate","OK")))))</f>
        <v>0</v>
      </c>
    </row>
    <row r="145" spans="1:24">
      <c r="A145" s="41">
        <f>IF(B145="","","IG-"&amp;TEXT(ROW()-4,"000"))</f>
        <v>0</v>
      </c>
      <c r="C145" s="17">
        <f>IF(B145="","",IFERROR(INDEX('Content Calendar'!$H$5:$H$604,MATCH(B145,'Content Calendar'!$A$5:$A$604,0)),"Not found"))</f>
        <v>0</v>
      </c>
      <c r="D145" s="16">
        <f>IF(B145="","",IFERROR(INDEX('Content Calendar'!$B$5:$B$604,MATCH(B145,'Content Calendar'!$A$5:$A$604,0)),"Not found"))</f>
        <v>0</v>
      </c>
      <c r="E145" s="17">
        <f>IF(B145="","",IFERROR(INDEX('Content Calendar'!$J$5:$J$604,MATCH(B145,'Content Calendar'!$A$5:$A$604,0)),"Not found"))</f>
        <v>0</v>
      </c>
      <c r="F145" s="29">
        <f>IF(B145="","",IFERROR(INDEX('Content Calendar'!$X$5:$X$604,MATCH(B145,'Content Calendar'!$A$5:$A$604,0)),"Not found"))</f>
        <v>0</v>
      </c>
      <c r="P145" s="23">
        <f>IF(B145="","",IF(COUNTIF(Performance!$B$5:$B$404,B145)=0,"",SUMIFS(Performance!$O$5:$O$404,Performance!$B$5:$B$404,B145)))</f>
        <v>0</v>
      </c>
      <c r="Q145" s="23">
        <f>IF(B145="","",IF(COUNTIF(Performance!$B$5:$B$404,B145)=0,"",SUMIFS(Performance!$P$5:$P$404,Performance!$B$5:$B$404,B145)))</f>
        <v>0</v>
      </c>
      <c r="R145" s="23">
        <f>IF(B145="","",IF(COUNTIF(Performance!$B$5:$B$404,B145)=0,"",SUMIFS(Performance!$Z$5:$Z$404,Performance!$B$5:$B$404,B145)))</f>
        <v>0</v>
      </c>
      <c r="S145" s="24">
        <f>IF(OR(P145="",P145=0),"",R145/P145)</f>
        <v>0</v>
      </c>
      <c r="T145" s="23">
        <f>IF(B145="","",IF(COUNTIF(Performance!$B$5:$B$404,B145)=0,"",SUMIFS(Performance!$T$5:$T$404,Performance!$B$5:$B$404,B145)))</f>
        <v>0</v>
      </c>
      <c r="U145" s="23">
        <f>IF(B145="","",IF(COUNTIF(Performance!$B$5:$B$404,B145)=0,"",SUMIFS(Performance!$S$5:$S$404,Performance!$B$5:$B$404,B145)))</f>
        <v>0</v>
      </c>
      <c r="V145" s="23">
        <f>IF(B145="","",IF(COUNTIF(Performance!$B$5:$B$404,B145)=0,"",SUMIFS(Performance!$R$5:$R$404,Performance!$B$5:$B$404,B145)))</f>
        <v>0</v>
      </c>
      <c r="W145" s="23">
        <f>IF(B145="","",IF(COUNTIF(Performance!$B$5:$B$404,B145)=0,"",SUMIFS(Performance!$U$5:$U$404,Performance!$B$5:$B$404,B145)))</f>
        <v>0</v>
      </c>
      <c r="X145" s="29">
        <f>IF(B145="","",IF(C145="Not found","Check - content ID not on the calendar",IF(AND(G145="Reel",J145=0),"Add - reel length missing",IF(K145="","Add - no cover image",IF(AND(P145&lt;&gt;"",S145&lt;TargetEngagement),"Review - below your target rate","OK")))))</f>
        <v>0</v>
      </c>
    </row>
    <row r="146" spans="1:24">
      <c r="A146" s="41">
        <f>IF(B146="","","IG-"&amp;TEXT(ROW()-4,"000"))</f>
        <v>0</v>
      </c>
      <c r="C146" s="17">
        <f>IF(B146="","",IFERROR(INDEX('Content Calendar'!$H$5:$H$604,MATCH(B146,'Content Calendar'!$A$5:$A$604,0)),"Not found"))</f>
        <v>0</v>
      </c>
      <c r="D146" s="16">
        <f>IF(B146="","",IFERROR(INDEX('Content Calendar'!$B$5:$B$604,MATCH(B146,'Content Calendar'!$A$5:$A$604,0)),"Not found"))</f>
        <v>0</v>
      </c>
      <c r="E146" s="17">
        <f>IF(B146="","",IFERROR(INDEX('Content Calendar'!$J$5:$J$604,MATCH(B146,'Content Calendar'!$A$5:$A$604,0)),"Not found"))</f>
        <v>0</v>
      </c>
      <c r="F146" s="29">
        <f>IF(B146="","",IFERROR(INDEX('Content Calendar'!$X$5:$X$604,MATCH(B146,'Content Calendar'!$A$5:$A$604,0)),"Not found"))</f>
        <v>0</v>
      </c>
      <c r="P146" s="23">
        <f>IF(B146="","",IF(COUNTIF(Performance!$B$5:$B$404,B146)=0,"",SUMIFS(Performance!$O$5:$O$404,Performance!$B$5:$B$404,B146)))</f>
        <v>0</v>
      </c>
      <c r="Q146" s="23">
        <f>IF(B146="","",IF(COUNTIF(Performance!$B$5:$B$404,B146)=0,"",SUMIFS(Performance!$P$5:$P$404,Performance!$B$5:$B$404,B146)))</f>
        <v>0</v>
      </c>
      <c r="R146" s="23">
        <f>IF(B146="","",IF(COUNTIF(Performance!$B$5:$B$404,B146)=0,"",SUMIFS(Performance!$Z$5:$Z$404,Performance!$B$5:$B$404,B146)))</f>
        <v>0</v>
      </c>
      <c r="S146" s="24">
        <f>IF(OR(P146="",P146=0),"",R146/P146)</f>
        <v>0</v>
      </c>
      <c r="T146" s="23">
        <f>IF(B146="","",IF(COUNTIF(Performance!$B$5:$B$404,B146)=0,"",SUMIFS(Performance!$T$5:$T$404,Performance!$B$5:$B$404,B146)))</f>
        <v>0</v>
      </c>
      <c r="U146" s="23">
        <f>IF(B146="","",IF(COUNTIF(Performance!$B$5:$B$404,B146)=0,"",SUMIFS(Performance!$S$5:$S$404,Performance!$B$5:$B$404,B146)))</f>
        <v>0</v>
      </c>
      <c r="V146" s="23">
        <f>IF(B146="","",IF(COUNTIF(Performance!$B$5:$B$404,B146)=0,"",SUMIFS(Performance!$R$5:$R$404,Performance!$B$5:$B$404,B146)))</f>
        <v>0</v>
      </c>
      <c r="W146" s="23">
        <f>IF(B146="","",IF(COUNTIF(Performance!$B$5:$B$404,B146)=0,"",SUMIFS(Performance!$U$5:$U$404,Performance!$B$5:$B$404,B146)))</f>
        <v>0</v>
      </c>
      <c r="X146" s="29">
        <f>IF(B146="","",IF(C146="Not found","Check - content ID not on the calendar",IF(AND(G146="Reel",J146=0),"Add - reel length missing",IF(K146="","Add - no cover image",IF(AND(P146&lt;&gt;"",S146&lt;TargetEngagement),"Review - below your target rate","OK")))))</f>
        <v>0</v>
      </c>
    </row>
    <row r="147" spans="1:24">
      <c r="A147" s="41">
        <f>IF(B147="","","IG-"&amp;TEXT(ROW()-4,"000"))</f>
        <v>0</v>
      </c>
      <c r="C147" s="17">
        <f>IF(B147="","",IFERROR(INDEX('Content Calendar'!$H$5:$H$604,MATCH(B147,'Content Calendar'!$A$5:$A$604,0)),"Not found"))</f>
        <v>0</v>
      </c>
      <c r="D147" s="16">
        <f>IF(B147="","",IFERROR(INDEX('Content Calendar'!$B$5:$B$604,MATCH(B147,'Content Calendar'!$A$5:$A$604,0)),"Not found"))</f>
        <v>0</v>
      </c>
      <c r="E147" s="17">
        <f>IF(B147="","",IFERROR(INDEX('Content Calendar'!$J$5:$J$604,MATCH(B147,'Content Calendar'!$A$5:$A$604,0)),"Not found"))</f>
        <v>0</v>
      </c>
      <c r="F147" s="29">
        <f>IF(B147="","",IFERROR(INDEX('Content Calendar'!$X$5:$X$604,MATCH(B147,'Content Calendar'!$A$5:$A$604,0)),"Not found"))</f>
        <v>0</v>
      </c>
      <c r="P147" s="23">
        <f>IF(B147="","",IF(COUNTIF(Performance!$B$5:$B$404,B147)=0,"",SUMIFS(Performance!$O$5:$O$404,Performance!$B$5:$B$404,B147)))</f>
        <v>0</v>
      </c>
      <c r="Q147" s="23">
        <f>IF(B147="","",IF(COUNTIF(Performance!$B$5:$B$404,B147)=0,"",SUMIFS(Performance!$P$5:$P$404,Performance!$B$5:$B$404,B147)))</f>
        <v>0</v>
      </c>
      <c r="R147" s="23">
        <f>IF(B147="","",IF(COUNTIF(Performance!$B$5:$B$404,B147)=0,"",SUMIFS(Performance!$Z$5:$Z$404,Performance!$B$5:$B$404,B147)))</f>
        <v>0</v>
      </c>
      <c r="S147" s="24">
        <f>IF(OR(P147="",P147=0),"",R147/P147)</f>
        <v>0</v>
      </c>
      <c r="T147" s="23">
        <f>IF(B147="","",IF(COUNTIF(Performance!$B$5:$B$404,B147)=0,"",SUMIFS(Performance!$T$5:$T$404,Performance!$B$5:$B$404,B147)))</f>
        <v>0</v>
      </c>
      <c r="U147" s="23">
        <f>IF(B147="","",IF(COUNTIF(Performance!$B$5:$B$404,B147)=0,"",SUMIFS(Performance!$S$5:$S$404,Performance!$B$5:$B$404,B147)))</f>
        <v>0</v>
      </c>
      <c r="V147" s="23">
        <f>IF(B147="","",IF(COUNTIF(Performance!$B$5:$B$404,B147)=0,"",SUMIFS(Performance!$R$5:$R$404,Performance!$B$5:$B$404,B147)))</f>
        <v>0</v>
      </c>
      <c r="W147" s="23">
        <f>IF(B147="","",IF(COUNTIF(Performance!$B$5:$B$404,B147)=0,"",SUMIFS(Performance!$U$5:$U$404,Performance!$B$5:$B$404,B147)))</f>
        <v>0</v>
      </c>
      <c r="X147" s="29">
        <f>IF(B147="","",IF(C147="Not found","Check - content ID not on the calendar",IF(AND(G147="Reel",J147=0),"Add - reel length missing",IF(K147="","Add - no cover image",IF(AND(P147&lt;&gt;"",S147&lt;TargetEngagement),"Review - below your target rate","OK")))))</f>
        <v>0</v>
      </c>
    </row>
    <row r="148" spans="1:24">
      <c r="A148" s="41">
        <f>IF(B148="","","IG-"&amp;TEXT(ROW()-4,"000"))</f>
        <v>0</v>
      </c>
      <c r="C148" s="17">
        <f>IF(B148="","",IFERROR(INDEX('Content Calendar'!$H$5:$H$604,MATCH(B148,'Content Calendar'!$A$5:$A$604,0)),"Not found"))</f>
        <v>0</v>
      </c>
      <c r="D148" s="16">
        <f>IF(B148="","",IFERROR(INDEX('Content Calendar'!$B$5:$B$604,MATCH(B148,'Content Calendar'!$A$5:$A$604,0)),"Not found"))</f>
        <v>0</v>
      </c>
      <c r="E148" s="17">
        <f>IF(B148="","",IFERROR(INDEX('Content Calendar'!$J$5:$J$604,MATCH(B148,'Content Calendar'!$A$5:$A$604,0)),"Not found"))</f>
        <v>0</v>
      </c>
      <c r="F148" s="29">
        <f>IF(B148="","",IFERROR(INDEX('Content Calendar'!$X$5:$X$604,MATCH(B148,'Content Calendar'!$A$5:$A$604,0)),"Not found"))</f>
        <v>0</v>
      </c>
      <c r="P148" s="23">
        <f>IF(B148="","",IF(COUNTIF(Performance!$B$5:$B$404,B148)=0,"",SUMIFS(Performance!$O$5:$O$404,Performance!$B$5:$B$404,B148)))</f>
        <v>0</v>
      </c>
      <c r="Q148" s="23">
        <f>IF(B148="","",IF(COUNTIF(Performance!$B$5:$B$404,B148)=0,"",SUMIFS(Performance!$P$5:$P$404,Performance!$B$5:$B$404,B148)))</f>
        <v>0</v>
      </c>
      <c r="R148" s="23">
        <f>IF(B148="","",IF(COUNTIF(Performance!$B$5:$B$404,B148)=0,"",SUMIFS(Performance!$Z$5:$Z$404,Performance!$B$5:$B$404,B148)))</f>
        <v>0</v>
      </c>
      <c r="S148" s="24">
        <f>IF(OR(P148="",P148=0),"",R148/P148)</f>
        <v>0</v>
      </c>
      <c r="T148" s="23">
        <f>IF(B148="","",IF(COUNTIF(Performance!$B$5:$B$404,B148)=0,"",SUMIFS(Performance!$T$5:$T$404,Performance!$B$5:$B$404,B148)))</f>
        <v>0</v>
      </c>
      <c r="U148" s="23">
        <f>IF(B148="","",IF(COUNTIF(Performance!$B$5:$B$404,B148)=0,"",SUMIFS(Performance!$S$5:$S$404,Performance!$B$5:$B$404,B148)))</f>
        <v>0</v>
      </c>
      <c r="V148" s="23">
        <f>IF(B148="","",IF(COUNTIF(Performance!$B$5:$B$404,B148)=0,"",SUMIFS(Performance!$R$5:$R$404,Performance!$B$5:$B$404,B148)))</f>
        <v>0</v>
      </c>
      <c r="W148" s="23">
        <f>IF(B148="","",IF(COUNTIF(Performance!$B$5:$B$404,B148)=0,"",SUMIFS(Performance!$U$5:$U$404,Performance!$B$5:$B$404,B148)))</f>
        <v>0</v>
      </c>
      <c r="X148" s="29">
        <f>IF(B148="","",IF(C148="Not found","Check - content ID not on the calendar",IF(AND(G148="Reel",J148=0),"Add - reel length missing",IF(K148="","Add - no cover image",IF(AND(P148&lt;&gt;"",S148&lt;TargetEngagement),"Review - below your target rate","OK")))))</f>
        <v>0</v>
      </c>
    </row>
    <row r="149" spans="1:24">
      <c r="A149" s="41">
        <f>IF(B149="","","IG-"&amp;TEXT(ROW()-4,"000"))</f>
        <v>0</v>
      </c>
      <c r="C149" s="17">
        <f>IF(B149="","",IFERROR(INDEX('Content Calendar'!$H$5:$H$604,MATCH(B149,'Content Calendar'!$A$5:$A$604,0)),"Not found"))</f>
        <v>0</v>
      </c>
      <c r="D149" s="16">
        <f>IF(B149="","",IFERROR(INDEX('Content Calendar'!$B$5:$B$604,MATCH(B149,'Content Calendar'!$A$5:$A$604,0)),"Not found"))</f>
        <v>0</v>
      </c>
      <c r="E149" s="17">
        <f>IF(B149="","",IFERROR(INDEX('Content Calendar'!$J$5:$J$604,MATCH(B149,'Content Calendar'!$A$5:$A$604,0)),"Not found"))</f>
        <v>0</v>
      </c>
      <c r="F149" s="29">
        <f>IF(B149="","",IFERROR(INDEX('Content Calendar'!$X$5:$X$604,MATCH(B149,'Content Calendar'!$A$5:$A$604,0)),"Not found"))</f>
        <v>0</v>
      </c>
      <c r="P149" s="23">
        <f>IF(B149="","",IF(COUNTIF(Performance!$B$5:$B$404,B149)=0,"",SUMIFS(Performance!$O$5:$O$404,Performance!$B$5:$B$404,B149)))</f>
        <v>0</v>
      </c>
      <c r="Q149" s="23">
        <f>IF(B149="","",IF(COUNTIF(Performance!$B$5:$B$404,B149)=0,"",SUMIFS(Performance!$P$5:$P$404,Performance!$B$5:$B$404,B149)))</f>
        <v>0</v>
      </c>
      <c r="R149" s="23">
        <f>IF(B149="","",IF(COUNTIF(Performance!$B$5:$B$404,B149)=0,"",SUMIFS(Performance!$Z$5:$Z$404,Performance!$B$5:$B$404,B149)))</f>
        <v>0</v>
      </c>
      <c r="S149" s="24">
        <f>IF(OR(P149="",P149=0),"",R149/P149)</f>
        <v>0</v>
      </c>
      <c r="T149" s="23">
        <f>IF(B149="","",IF(COUNTIF(Performance!$B$5:$B$404,B149)=0,"",SUMIFS(Performance!$T$5:$T$404,Performance!$B$5:$B$404,B149)))</f>
        <v>0</v>
      </c>
      <c r="U149" s="23">
        <f>IF(B149="","",IF(COUNTIF(Performance!$B$5:$B$404,B149)=0,"",SUMIFS(Performance!$S$5:$S$404,Performance!$B$5:$B$404,B149)))</f>
        <v>0</v>
      </c>
      <c r="V149" s="23">
        <f>IF(B149="","",IF(COUNTIF(Performance!$B$5:$B$404,B149)=0,"",SUMIFS(Performance!$R$5:$R$404,Performance!$B$5:$B$404,B149)))</f>
        <v>0</v>
      </c>
      <c r="W149" s="23">
        <f>IF(B149="","",IF(COUNTIF(Performance!$B$5:$B$404,B149)=0,"",SUMIFS(Performance!$U$5:$U$404,Performance!$B$5:$B$404,B149)))</f>
        <v>0</v>
      </c>
      <c r="X149" s="29">
        <f>IF(B149="","",IF(C149="Not found","Check - content ID not on the calendar",IF(AND(G149="Reel",J149=0),"Add - reel length missing",IF(K149="","Add - no cover image",IF(AND(P149&lt;&gt;"",S149&lt;TargetEngagement),"Review - below your target rate","OK")))))</f>
        <v>0</v>
      </c>
    </row>
    <row r="150" spans="1:24">
      <c r="A150" s="41">
        <f>IF(B150="","","IG-"&amp;TEXT(ROW()-4,"000"))</f>
        <v>0</v>
      </c>
      <c r="C150" s="17">
        <f>IF(B150="","",IFERROR(INDEX('Content Calendar'!$H$5:$H$604,MATCH(B150,'Content Calendar'!$A$5:$A$604,0)),"Not found"))</f>
        <v>0</v>
      </c>
      <c r="D150" s="16">
        <f>IF(B150="","",IFERROR(INDEX('Content Calendar'!$B$5:$B$604,MATCH(B150,'Content Calendar'!$A$5:$A$604,0)),"Not found"))</f>
        <v>0</v>
      </c>
      <c r="E150" s="17">
        <f>IF(B150="","",IFERROR(INDEX('Content Calendar'!$J$5:$J$604,MATCH(B150,'Content Calendar'!$A$5:$A$604,0)),"Not found"))</f>
        <v>0</v>
      </c>
      <c r="F150" s="29">
        <f>IF(B150="","",IFERROR(INDEX('Content Calendar'!$X$5:$X$604,MATCH(B150,'Content Calendar'!$A$5:$A$604,0)),"Not found"))</f>
        <v>0</v>
      </c>
      <c r="P150" s="23">
        <f>IF(B150="","",IF(COUNTIF(Performance!$B$5:$B$404,B150)=0,"",SUMIFS(Performance!$O$5:$O$404,Performance!$B$5:$B$404,B150)))</f>
        <v>0</v>
      </c>
      <c r="Q150" s="23">
        <f>IF(B150="","",IF(COUNTIF(Performance!$B$5:$B$404,B150)=0,"",SUMIFS(Performance!$P$5:$P$404,Performance!$B$5:$B$404,B150)))</f>
        <v>0</v>
      </c>
      <c r="R150" s="23">
        <f>IF(B150="","",IF(COUNTIF(Performance!$B$5:$B$404,B150)=0,"",SUMIFS(Performance!$Z$5:$Z$404,Performance!$B$5:$B$404,B150)))</f>
        <v>0</v>
      </c>
      <c r="S150" s="24">
        <f>IF(OR(P150="",P150=0),"",R150/P150)</f>
        <v>0</v>
      </c>
      <c r="T150" s="23">
        <f>IF(B150="","",IF(COUNTIF(Performance!$B$5:$B$404,B150)=0,"",SUMIFS(Performance!$T$5:$T$404,Performance!$B$5:$B$404,B150)))</f>
        <v>0</v>
      </c>
      <c r="U150" s="23">
        <f>IF(B150="","",IF(COUNTIF(Performance!$B$5:$B$404,B150)=0,"",SUMIFS(Performance!$S$5:$S$404,Performance!$B$5:$B$404,B150)))</f>
        <v>0</v>
      </c>
      <c r="V150" s="23">
        <f>IF(B150="","",IF(COUNTIF(Performance!$B$5:$B$404,B150)=0,"",SUMIFS(Performance!$R$5:$R$404,Performance!$B$5:$B$404,B150)))</f>
        <v>0</v>
      </c>
      <c r="W150" s="23">
        <f>IF(B150="","",IF(COUNTIF(Performance!$B$5:$B$404,B150)=0,"",SUMIFS(Performance!$U$5:$U$404,Performance!$B$5:$B$404,B150)))</f>
        <v>0</v>
      </c>
      <c r="X150" s="29">
        <f>IF(B150="","",IF(C150="Not found","Check - content ID not on the calendar",IF(AND(G150="Reel",J150=0),"Add - reel length missing",IF(K150="","Add - no cover image",IF(AND(P150&lt;&gt;"",S150&lt;TargetEngagement),"Review - below your target rate","OK")))))</f>
        <v>0</v>
      </c>
    </row>
    <row r="151" spans="1:24">
      <c r="A151" s="41">
        <f>IF(B151="","","IG-"&amp;TEXT(ROW()-4,"000"))</f>
        <v>0</v>
      </c>
      <c r="C151" s="17">
        <f>IF(B151="","",IFERROR(INDEX('Content Calendar'!$H$5:$H$604,MATCH(B151,'Content Calendar'!$A$5:$A$604,0)),"Not found"))</f>
        <v>0</v>
      </c>
      <c r="D151" s="16">
        <f>IF(B151="","",IFERROR(INDEX('Content Calendar'!$B$5:$B$604,MATCH(B151,'Content Calendar'!$A$5:$A$604,0)),"Not found"))</f>
        <v>0</v>
      </c>
      <c r="E151" s="17">
        <f>IF(B151="","",IFERROR(INDEX('Content Calendar'!$J$5:$J$604,MATCH(B151,'Content Calendar'!$A$5:$A$604,0)),"Not found"))</f>
        <v>0</v>
      </c>
      <c r="F151" s="29">
        <f>IF(B151="","",IFERROR(INDEX('Content Calendar'!$X$5:$X$604,MATCH(B151,'Content Calendar'!$A$5:$A$604,0)),"Not found"))</f>
        <v>0</v>
      </c>
      <c r="P151" s="23">
        <f>IF(B151="","",IF(COUNTIF(Performance!$B$5:$B$404,B151)=0,"",SUMIFS(Performance!$O$5:$O$404,Performance!$B$5:$B$404,B151)))</f>
        <v>0</v>
      </c>
      <c r="Q151" s="23">
        <f>IF(B151="","",IF(COUNTIF(Performance!$B$5:$B$404,B151)=0,"",SUMIFS(Performance!$P$5:$P$404,Performance!$B$5:$B$404,B151)))</f>
        <v>0</v>
      </c>
      <c r="R151" s="23">
        <f>IF(B151="","",IF(COUNTIF(Performance!$B$5:$B$404,B151)=0,"",SUMIFS(Performance!$Z$5:$Z$404,Performance!$B$5:$B$404,B151)))</f>
        <v>0</v>
      </c>
      <c r="S151" s="24">
        <f>IF(OR(P151="",P151=0),"",R151/P151)</f>
        <v>0</v>
      </c>
      <c r="T151" s="23">
        <f>IF(B151="","",IF(COUNTIF(Performance!$B$5:$B$404,B151)=0,"",SUMIFS(Performance!$T$5:$T$404,Performance!$B$5:$B$404,B151)))</f>
        <v>0</v>
      </c>
      <c r="U151" s="23">
        <f>IF(B151="","",IF(COUNTIF(Performance!$B$5:$B$404,B151)=0,"",SUMIFS(Performance!$S$5:$S$404,Performance!$B$5:$B$404,B151)))</f>
        <v>0</v>
      </c>
      <c r="V151" s="23">
        <f>IF(B151="","",IF(COUNTIF(Performance!$B$5:$B$404,B151)=0,"",SUMIFS(Performance!$R$5:$R$404,Performance!$B$5:$B$404,B151)))</f>
        <v>0</v>
      </c>
      <c r="W151" s="23">
        <f>IF(B151="","",IF(COUNTIF(Performance!$B$5:$B$404,B151)=0,"",SUMIFS(Performance!$U$5:$U$404,Performance!$B$5:$B$404,B151)))</f>
        <v>0</v>
      </c>
      <c r="X151" s="29">
        <f>IF(B151="","",IF(C151="Not found","Check - content ID not on the calendar",IF(AND(G151="Reel",J151=0),"Add - reel length missing",IF(K151="","Add - no cover image",IF(AND(P151&lt;&gt;"",S151&lt;TargetEngagement),"Review - below your target rate","OK")))))</f>
        <v>0</v>
      </c>
    </row>
    <row r="152" spans="1:24">
      <c r="A152" s="41">
        <f>IF(B152="","","IG-"&amp;TEXT(ROW()-4,"000"))</f>
        <v>0</v>
      </c>
      <c r="C152" s="17">
        <f>IF(B152="","",IFERROR(INDEX('Content Calendar'!$H$5:$H$604,MATCH(B152,'Content Calendar'!$A$5:$A$604,0)),"Not found"))</f>
        <v>0</v>
      </c>
      <c r="D152" s="16">
        <f>IF(B152="","",IFERROR(INDEX('Content Calendar'!$B$5:$B$604,MATCH(B152,'Content Calendar'!$A$5:$A$604,0)),"Not found"))</f>
        <v>0</v>
      </c>
      <c r="E152" s="17">
        <f>IF(B152="","",IFERROR(INDEX('Content Calendar'!$J$5:$J$604,MATCH(B152,'Content Calendar'!$A$5:$A$604,0)),"Not found"))</f>
        <v>0</v>
      </c>
      <c r="F152" s="29">
        <f>IF(B152="","",IFERROR(INDEX('Content Calendar'!$X$5:$X$604,MATCH(B152,'Content Calendar'!$A$5:$A$604,0)),"Not found"))</f>
        <v>0</v>
      </c>
      <c r="P152" s="23">
        <f>IF(B152="","",IF(COUNTIF(Performance!$B$5:$B$404,B152)=0,"",SUMIFS(Performance!$O$5:$O$404,Performance!$B$5:$B$404,B152)))</f>
        <v>0</v>
      </c>
      <c r="Q152" s="23">
        <f>IF(B152="","",IF(COUNTIF(Performance!$B$5:$B$404,B152)=0,"",SUMIFS(Performance!$P$5:$P$404,Performance!$B$5:$B$404,B152)))</f>
        <v>0</v>
      </c>
      <c r="R152" s="23">
        <f>IF(B152="","",IF(COUNTIF(Performance!$B$5:$B$404,B152)=0,"",SUMIFS(Performance!$Z$5:$Z$404,Performance!$B$5:$B$404,B152)))</f>
        <v>0</v>
      </c>
      <c r="S152" s="24">
        <f>IF(OR(P152="",P152=0),"",R152/P152)</f>
        <v>0</v>
      </c>
      <c r="T152" s="23">
        <f>IF(B152="","",IF(COUNTIF(Performance!$B$5:$B$404,B152)=0,"",SUMIFS(Performance!$T$5:$T$404,Performance!$B$5:$B$404,B152)))</f>
        <v>0</v>
      </c>
      <c r="U152" s="23">
        <f>IF(B152="","",IF(COUNTIF(Performance!$B$5:$B$404,B152)=0,"",SUMIFS(Performance!$S$5:$S$404,Performance!$B$5:$B$404,B152)))</f>
        <v>0</v>
      </c>
      <c r="V152" s="23">
        <f>IF(B152="","",IF(COUNTIF(Performance!$B$5:$B$404,B152)=0,"",SUMIFS(Performance!$R$5:$R$404,Performance!$B$5:$B$404,B152)))</f>
        <v>0</v>
      </c>
      <c r="W152" s="23">
        <f>IF(B152="","",IF(COUNTIF(Performance!$B$5:$B$404,B152)=0,"",SUMIFS(Performance!$U$5:$U$404,Performance!$B$5:$B$404,B152)))</f>
        <v>0</v>
      </c>
      <c r="X152" s="29">
        <f>IF(B152="","",IF(C152="Not found","Check - content ID not on the calendar",IF(AND(G152="Reel",J152=0),"Add - reel length missing",IF(K152="","Add - no cover image",IF(AND(P152&lt;&gt;"",S152&lt;TargetEngagement),"Review - below your target rate","OK")))))</f>
        <v>0</v>
      </c>
    </row>
    <row r="153" spans="1:24">
      <c r="A153" s="41">
        <f>IF(B153="","","IG-"&amp;TEXT(ROW()-4,"000"))</f>
        <v>0</v>
      </c>
      <c r="C153" s="17">
        <f>IF(B153="","",IFERROR(INDEX('Content Calendar'!$H$5:$H$604,MATCH(B153,'Content Calendar'!$A$5:$A$604,0)),"Not found"))</f>
        <v>0</v>
      </c>
      <c r="D153" s="16">
        <f>IF(B153="","",IFERROR(INDEX('Content Calendar'!$B$5:$B$604,MATCH(B153,'Content Calendar'!$A$5:$A$604,0)),"Not found"))</f>
        <v>0</v>
      </c>
      <c r="E153" s="17">
        <f>IF(B153="","",IFERROR(INDEX('Content Calendar'!$J$5:$J$604,MATCH(B153,'Content Calendar'!$A$5:$A$604,0)),"Not found"))</f>
        <v>0</v>
      </c>
      <c r="F153" s="29">
        <f>IF(B153="","",IFERROR(INDEX('Content Calendar'!$X$5:$X$604,MATCH(B153,'Content Calendar'!$A$5:$A$604,0)),"Not found"))</f>
        <v>0</v>
      </c>
      <c r="P153" s="23">
        <f>IF(B153="","",IF(COUNTIF(Performance!$B$5:$B$404,B153)=0,"",SUMIFS(Performance!$O$5:$O$404,Performance!$B$5:$B$404,B153)))</f>
        <v>0</v>
      </c>
      <c r="Q153" s="23">
        <f>IF(B153="","",IF(COUNTIF(Performance!$B$5:$B$404,B153)=0,"",SUMIFS(Performance!$P$5:$P$404,Performance!$B$5:$B$404,B153)))</f>
        <v>0</v>
      </c>
      <c r="R153" s="23">
        <f>IF(B153="","",IF(COUNTIF(Performance!$B$5:$B$404,B153)=0,"",SUMIFS(Performance!$Z$5:$Z$404,Performance!$B$5:$B$404,B153)))</f>
        <v>0</v>
      </c>
      <c r="S153" s="24">
        <f>IF(OR(P153="",P153=0),"",R153/P153)</f>
        <v>0</v>
      </c>
      <c r="T153" s="23">
        <f>IF(B153="","",IF(COUNTIF(Performance!$B$5:$B$404,B153)=0,"",SUMIFS(Performance!$T$5:$T$404,Performance!$B$5:$B$404,B153)))</f>
        <v>0</v>
      </c>
      <c r="U153" s="23">
        <f>IF(B153="","",IF(COUNTIF(Performance!$B$5:$B$404,B153)=0,"",SUMIFS(Performance!$S$5:$S$404,Performance!$B$5:$B$404,B153)))</f>
        <v>0</v>
      </c>
      <c r="V153" s="23">
        <f>IF(B153="","",IF(COUNTIF(Performance!$B$5:$B$404,B153)=0,"",SUMIFS(Performance!$R$5:$R$404,Performance!$B$5:$B$404,B153)))</f>
        <v>0</v>
      </c>
      <c r="W153" s="23">
        <f>IF(B153="","",IF(COUNTIF(Performance!$B$5:$B$404,B153)=0,"",SUMIFS(Performance!$U$5:$U$404,Performance!$B$5:$B$404,B153)))</f>
        <v>0</v>
      </c>
      <c r="X153" s="29">
        <f>IF(B153="","",IF(C153="Not found","Check - content ID not on the calendar",IF(AND(G153="Reel",J153=0),"Add - reel length missing",IF(K153="","Add - no cover image",IF(AND(P153&lt;&gt;"",S153&lt;TargetEngagement),"Review - below your target rate","OK")))))</f>
        <v>0</v>
      </c>
    </row>
    <row r="154" spans="1:24">
      <c r="A154" s="41">
        <f>IF(B154="","","IG-"&amp;TEXT(ROW()-4,"000"))</f>
        <v>0</v>
      </c>
      <c r="C154" s="17">
        <f>IF(B154="","",IFERROR(INDEX('Content Calendar'!$H$5:$H$604,MATCH(B154,'Content Calendar'!$A$5:$A$604,0)),"Not found"))</f>
        <v>0</v>
      </c>
      <c r="D154" s="16">
        <f>IF(B154="","",IFERROR(INDEX('Content Calendar'!$B$5:$B$604,MATCH(B154,'Content Calendar'!$A$5:$A$604,0)),"Not found"))</f>
        <v>0</v>
      </c>
      <c r="E154" s="17">
        <f>IF(B154="","",IFERROR(INDEX('Content Calendar'!$J$5:$J$604,MATCH(B154,'Content Calendar'!$A$5:$A$604,0)),"Not found"))</f>
        <v>0</v>
      </c>
      <c r="F154" s="29">
        <f>IF(B154="","",IFERROR(INDEX('Content Calendar'!$X$5:$X$604,MATCH(B154,'Content Calendar'!$A$5:$A$604,0)),"Not found"))</f>
        <v>0</v>
      </c>
      <c r="P154" s="23">
        <f>IF(B154="","",IF(COUNTIF(Performance!$B$5:$B$404,B154)=0,"",SUMIFS(Performance!$O$5:$O$404,Performance!$B$5:$B$404,B154)))</f>
        <v>0</v>
      </c>
      <c r="Q154" s="23">
        <f>IF(B154="","",IF(COUNTIF(Performance!$B$5:$B$404,B154)=0,"",SUMIFS(Performance!$P$5:$P$404,Performance!$B$5:$B$404,B154)))</f>
        <v>0</v>
      </c>
      <c r="R154" s="23">
        <f>IF(B154="","",IF(COUNTIF(Performance!$B$5:$B$404,B154)=0,"",SUMIFS(Performance!$Z$5:$Z$404,Performance!$B$5:$B$404,B154)))</f>
        <v>0</v>
      </c>
      <c r="S154" s="24">
        <f>IF(OR(P154="",P154=0),"",R154/P154)</f>
        <v>0</v>
      </c>
      <c r="T154" s="23">
        <f>IF(B154="","",IF(COUNTIF(Performance!$B$5:$B$404,B154)=0,"",SUMIFS(Performance!$T$5:$T$404,Performance!$B$5:$B$404,B154)))</f>
        <v>0</v>
      </c>
      <c r="U154" s="23">
        <f>IF(B154="","",IF(COUNTIF(Performance!$B$5:$B$404,B154)=0,"",SUMIFS(Performance!$S$5:$S$404,Performance!$B$5:$B$404,B154)))</f>
        <v>0</v>
      </c>
      <c r="V154" s="23">
        <f>IF(B154="","",IF(COUNTIF(Performance!$B$5:$B$404,B154)=0,"",SUMIFS(Performance!$R$5:$R$404,Performance!$B$5:$B$404,B154)))</f>
        <v>0</v>
      </c>
      <c r="W154" s="23">
        <f>IF(B154="","",IF(COUNTIF(Performance!$B$5:$B$404,B154)=0,"",SUMIFS(Performance!$U$5:$U$404,Performance!$B$5:$B$404,B154)))</f>
        <v>0</v>
      </c>
      <c r="X154" s="29">
        <f>IF(B154="","",IF(C154="Not found","Check - content ID not on the calendar",IF(AND(G154="Reel",J154=0),"Add - reel length missing",IF(K154="","Add - no cover image",IF(AND(P154&lt;&gt;"",S154&lt;TargetEngagement),"Review - below your target rate","OK")))))</f>
        <v>0</v>
      </c>
    </row>
    <row r="155" spans="1:24">
      <c r="A155" s="41">
        <f>IF(B155="","","IG-"&amp;TEXT(ROW()-4,"000"))</f>
        <v>0</v>
      </c>
      <c r="C155" s="17">
        <f>IF(B155="","",IFERROR(INDEX('Content Calendar'!$H$5:$H$604,MATCH(B155,'Content Calendar'!$A$5:$A$604,0)),"Not found"))</f>
        <v>0</v>
      </c>
      <c r="D155" s="16">
        <f>IF(B155="","",IFERROR(INDEX('Content Calendar'!$B$5:$B$604,MATCH(B155,'Content Calendar'!$A$5:$A$604,0)),"Not found"))</f>
        <v>0</v>
      </c>
      <c r="E155" s="17">
        <f>IF(B155="","",IFERROR(INDEX('Content Calendar'!$J$5:$J$604,MATCH(B155,'Content Calendar'!$A$5:$A$604,0)),"Not found"))</f>
        <v>0</v>
      </c>
      <c r="F155" s="29">
        <f>IF(B155="","",IFERROR(INDEX('Content Calendar'!$X$5:$X$604,MATCH(B155,'Content Calendar'!$A$5:$A$604,0)),"Not found"))</f>
        <v>0</v>
      </c>
      <c r="P155" s="23">
        <f>IF(B155="","",IF(COUNTIF(Performance!$B$5:$B$404,B155)=0,"",SUMIFS(Performance!$O$5:$O$404,Performance!$B$5:$B$404,B155)))</f>
        <v>0</v>
      </c>
      <c r="Q155" s="23">
        <f>IF(B155="","",IF(COUNTIF(Performance!$B$5:$B$404,B155)=0,"",SUMIFS(Performance!$P$5:$P$404,Performance!$B$5:$B$404,B155)))</f>
        <v>0</v>
      </c>
      <c r="R155" s="23">
        <f>IF(B155="","",IF(COUNTIF(Performance!$B$5:$B$404,B155)=0,"",SUMIFS(Performance!$Z$5:$Z$404,Performance!$B$5:$B$404,B155)))</f>
        <v>0</v>
      </c>
      <c r="S155" s="24">
        <f>IF(OR(P155="",P155=0),"",R155/P155)</f>
        <v>0</v>
      </c>
      <c r="T155" s="23">
        <f>IF(B155="","",IF(COUNTIF(Performance!$B$5:$B$404,B155)=0,"",SUMIFS(Performance!$T$5:$T$404,Performance!$B$5:$B$404,B155)))</f>
        <v>0</v>
      </c>
      <c r="U155" s="23">
        <f>IF(B155="","",IF(COUNTIF(Performance!$B$5:$B$404,B155)=0,"",SUMIFS(Performance!$S$5:$S$404,Performance!$B$5:$B$404,B155)))</f>
        <v>0</v>
      </c>
      <c r="V155" s="23">
        <f>IF(B155="","",IF(COUNTIF(Performance!$B$5:$B$404,B155)=0,"",SUMIFS(Performance!$R$5:$R$404,Performance!$B$5:$B$404,B155)))</f>
        <v>0</v>
      </c>
      <c r="W155" s="23">
        <f>IF(B155="","",IF(COUNTIF(Performance!$B$5:$B$404,B155)=0,"",SUMIFS(Performance!$U$5:$U$404,Performance!$B$5:$B$404,B155)))</f>
        <v>0</v>
      </c>
      <c r="X155" s="29">
        <f>IF(B155="","",IF(C155="Not found","Check - content ID not on the calendar",IF(AND(G155="Reel",J155=0),"Add - reel length missing",IF(K155="","Add - no cover image",IF(AND(P155&lt;&gt;"",S155&lt;TargetEngagement),"Review - below your target rate","OK")))))</f>
        <v>0</v>
      </c>
    </row>
    <row r="156" spans="1:24">
      <c r="A156" s="41">
        <f>IF(B156="","","IG-"&amp;TEXT(ROW()-4,"000"))</f>
        <v>0</v>
      </c>
      <c r="C156" s="17">
        <f>IF(B156="","",IFERROR(INDEX('Content Calendar'!$H$5:$H$604,MATCH(B156,'Content Calendar'!$A$5:$A$604,0)),"Not found"))</f>
        <v>0</v>
      </c>
      <c r="D156" s="16">
        <f>IF(B156="","",IFERROR(INDEX('Content Calendar'!$B$5:$B$604,MATCH(B156,'Content Calendar'!$A$5:$A$604,0)),"Not found"))</f>
        <v>0</v>
      </c>
      <c r="E156" s="17">
        <f>IF(B156="","",IFERROR(INDEX('Content Calendar'!$J$5:$J$604,MATCH(B156,'Content Calendar'!$A$5:$A$604,0)),"Not found"))</f>
        <v>0</v>
      </c>
      <c r="F156" s="29">
        <f>IF(B156="","",IFERROR(INDEX('Content Calendar'!$X$5:$X$604,MATCH(B156,'Content Calendar'!$A$5:$A$604,0)),"Not found"))</f>
        <v>0</v>
      </c>
      <c r="P156" s="23">
        <f>IF(B156="","",IF(COUNTIF(Performance!$B$5:$B$404,B156)=0,"",SUMIFS(Performance!$O$5:$O$404,Performance!$B$5:$B$404,B156)))</f>
        <v>0</v>
      </c>
      <c r="Q156" s="23">
        <f>IF(B156="","",IF(COUNTIF(Performance!$B$5:$B$404,B156)=0,"",SUMIFS(Performance!$P$5:$P$404,Performance!$B$5:$B$404,B156)))</f>
        <v>0</v>
      </c>
      <c r="R156" s="23">
        <f>IF(B156="","",IF(COUNTIF(Performance!$B$5:$B$404,B156)=0,"",SUMIFS(Performance!$Z$5:$Z$404,Performance!$B$5:$B$404,B156)))</f>
        <v>0</v>
      </c>
      <c r="S156" s="24">
        <f>IF(OR(P156="",P156=0),"",R156/P156)</f>
        <v>0</v>
      </c>
      <c r="T156" s="23">
        <f>IF(B156="","",IF(COUNTIF(Performance!$B$5:$B$404,B156)=0,"",SUMIFS(Performance!$T$5:$T$404,Performance!$B$5:$B$404,B156)))</f>
        <v>0</v>
      </c>
      <c r="U156" s="23">
        <f>IF(B156="","",IF(COUNTIF(Performance!$B$5:$B$404,B156)=0,"",SUMIFS(Performance!$S$5:$S$404,Performance!$B$5:$B$404,B156)))</f>
        <v>0</v>
      </c>
      <c r="V156" s="23">
        <f>IF(B156="","",IF(COUNTIF(Performance!$B$5:$B$404,B156)=0,"",SUMIFS(Performance!$R$5:$R$404,Performance!$B$5:$B$404,B156)))</f>
        <v>0</v>
      </c>
      <c r="W156" s="23">
        <f>IF(B156="","",IF(COUNTIF(Performance!$B$5:$B$404,B156)=0,"",SUMIFS(Performance!$U$5:$U$404,Performance!$B$5:$B$404,B156)))</f>
        <v>0</v>
      </c>
      <c r="X156" s="29">
        <f>IF(B156="","",IF(C156="Not found","Check - content ID not on the calendar",IF(AND(G156="Reel",J156=0),"Add - reel length missing",IF(K156="","Add - no cover image",IF(AND(P156&lt;&gt;"",S156&lt;TargetEngagement),"Review - below your target rate","OK")))))</f>
        <v>0</v>
      </c>
    </row>
    <row r="157" spans="1:24">
      <c r="A157" s="41">
        <f>IF(B157="","","IG-"&amp;TEXT(ROW()-4,"000"))</f>
        <v>0</v>
      </c>
      <c r="C157" s="17">
        <f>IF(B157="","",IFERROR(INDEX('Content Calendar'!$H$5:$H$604,MATCH(B157,'Content Calendar'!$A$5:$A$604,0)),"Not found"))</f>
        <v>0</v>
      </c>
      <c r="D157" s="16">
        <f>IF(B157="","",IFERROR(INDEX('Content Calendar'!$B$5:$B$604,MATCH(B157,'Content Calendar'!$A$5:$A$604,0)),"Not found"))</f>
        <v>0</v>
      </c>
      <c r="E157" s="17">
        <f>IF(B157="","",IFERROR(INDEX('Content Calendar'!$J$5:$J$604,MATCH(B157,'Content Calendar'!$A$5:$A$604,0)),"Not found"))</f>
        <v>0</v>
      </c>
      <c r="F157" s="29">
        <f>IF(B157="","",IFERROR(INDEX('Content Calendar'!$X$5:$X$604,MATCH(B157,'Content Calendar'!$A$5:$A$604,0)),"Not found"))</f>
        <v>0</v>
      </c>
      <c r="P157" s="23">
        <f>IF(B157="","",IF(COUNTIF(Performance!$B$5:$B$404,B157)=0,"",SUMIFS(Performance!$O$5:$O$404,Performance!$B$5:$B$404,B157)))</f>
        <v>0</v>
      </c>
      <c r="Q157" s="23">
        <f>IF(B157="","",IF(COUNTIF(Performance!$B$5:$B$404,B157)=0,"",SUMIFS(Performance!$P$5:$P$404,Performance!$B$5:$B$404,B157)))</f>
        <v>0</v>
      </c>
      <c r="R157" s="23">
        <f>IF(B157="","",IF(COUNTIF(Performance!$B$5:$B$404,B157)=0,"",SUMIFS(Performance!$Z$5:$Z$404,Performance!$B$5:$B$404,B157)))</f>
        <v>0</v>
      </c>
      <c r="S157" s="24">
        <f>IF(OR(P157="",P157=0),"",R157/P157)</f>
        <v>0</v>
      </c>
      <c r="T157" s="23">
        <f>IF(B157="","",IF(COUNTIF(Performance!$B$5:$B$404,B157)=0,"",SUMIFS(Performance!$T$5:$T$404,Performance!$B$5:$B$404,B157)))</f>
        <v>0</v>
      </c>
      <c r="U157" s="23">
        <f>IF(B157="","",IF(COUNTIF(Performance!$B$5:$B$404,B157)=0,"",SUMIFS(Performance!$S$5:$S$404,Performance!$B$5:$B$404,B157)))</f>
        <v>0</v>
      </c>
      <c r="V157" s="23">
        <f>IF(B157="","",IF(COUNTIF(Performance!$B$5:$B$404,B157)=0,"",SUMIFS(Performance!$R$5:$R$404,Performance!$B$5:$B$404,B157)))</f>
        <v>0</v>
      </c>
      <c r="W157" s="23">
        <f>IF(B157="","",IF(COUNTIF(Performance!$B$5:$B$404,B157)=0,"",SUMIFS(Performance!$U$5:$U$404,Performance!$B$5:$B$404,B157)))</f>
        <v>0</v>
      </c>
      <c r="X157" s="29">
        <f>IF(B157="","",IF(C157="Not found","Check - content ID not on the calendar",IF(AND(G157="Reel",J157=0),"Add - reel length missing",IF(K157="","Add - no cover image",IF(AND(P157&lt;&gt;"",S157&lt;TargetEngagement),"Review - below your target rate","OK")))))</f>
        <v>0</v>
      </c>
    </row>
    <row r="158" spans="1:24">
      <c r="A158" s="41">
        <f>IF(B158="","","IG-"&amp;TEXT(ROW()-4,"000"))</f>
        <v>0</v>
      </c>
      <c r="C158" s="17">
        <f>IF(B158="","",IFERROR(INDEX('Content Calendar'!$H$5:$H$604,MATCH(B158,'Content Calendar'!$A$5:$A$604,0)),"Not found"))</f>
        <v>0</v>
      </c>
      <c r="D158" s="16">
        <f>IF(B158="","",IFERROR(INDEX('Content Calendar'!$B$5:$B$604,MATCH(B158,'Content Calendar'!$A$5:$A$604,0)),"Not found"))</f>
        <v>0</v>
      </c>
      <c r="E158" s="17">
        <f>IF(B158="","",IFERROR(INDEX('Content Calendar'!$J$5:$J$604,MATCH(B158,'Content Calendar'!$A$5:$A$604,0)),"Not found"))</f>
        <v>0</v>
      </c>
      <c r="F158" s="29">
        <f>IF(B158="","",IFERROR(INDEX('Content Calendar'!$X$5:$X$604,MATCH(B158,'Content Calendar'!$A$5:$A$604,0)),"Not found"))</f>
        <v>0</v>
      </c>
      <c r="P158" s="23">
        <f>IF(B158="","",IF(COUNTIF(Performance!$B$5:$B$404,B158)=0,"",SUMIFS(Performance!$O$5:$O$404,Performance!$B$5:$B$404,B158)))</f>
        <v>0</v>
      </c>
      <c r="Q158" s="23">
        <f>IF(B158="","",IF(COUNTIF(Performance!$B$5:$B$404,B158)=0,"",SUMIFS(Performance!$P$5:$P$404,Performance!$B$5:$B$404,B158)))</f>
        <v>0</v>
      </c>
      <c r="R158" s="23">
        <f>IF(B158="","",IF(COUNTIF(Performance!$B$5:$B$404,B158)=0,"",SUMIFS(Performance!$Z$5:$Z$404,Performance!$B$5:$B$404,B158)))</f>
        <v>0</v>
      </c>
      <c r="S158" s="24">
        <f>IF(OR(P158="",P158=0),"",R158/P158)</f>
        <v>0</v>
      </c>
      <c r="T158" s="23">
        <f>IF(B158="","",IF(COUNTIF(Performance!$B$5:$B$404,B158)=0,"",SUMIFS(Performance!$T$5:$T$404,Performance!$B$5:$B$404,B158)))</f>
        <v>0</v>
      </c>
      <c r="U158" s="23">
        <f>IF(B158="","",IF(COUNTIF(Performance!$B$5:$B$404,B158)=0,"",SUMIFS(Performance!$S$5:$S$404,Performance!$B$5:$B$404,B158)))</f>
        <v>0</v>
      </c>
      <c r="V158" s="23">
        <f>IF(B158="","",IF(COUNTIF(Performance!$B$5:$B$404,B158)=0,"",SUMIFS(Performance!$R$5:$R$404,Performance!$B$5:$B$404,B158)))</f>
        <v>0</v>
      </c>
      <c r="W158" s="23">
        <f>IF(B158="","",IF(COUNTIF(Performance!$B$5:$B$404,B158)=0,"",SUMIFS(Performance!$U$5:$U$404,Performance!$B$5:$B$404,B158)))</f>
        <v>0</v>
      </c>
      <c r="X158" s="29">
        <f>IF(B158="","",IF(C158="Not found","Check - content ID not on the calendar",IF(AND(G158="Reel",J158=0),"Add - reel length missing",IF(K158="","Add - no cover image",IF(AND(P158&lt;&gt;"",S158&lt;TargetEngagement),"Review - below your target rate","OK")))))</f>
        <v>0</v>
      </c>
    </row>
    <row r="159" spans="1:24">
      <c r="A159" s="41">
        <f>IF(B159="","","IG-"&amp;TEXT(ROW()-4,"000"))</f>
        <v>0</v>
      </c>
      <c r="C159" s="17">
        <f>IF(B159="","",IFERROR(INDEX('Content Calendar'!$H$5:$H$604,MATCH(B159,'Content Calendar'!$A$5:$A$604,0)),"Not found"))</f>
        <v>0</v>
      </c>
      <c r="D159" s="16">
        <f>IF(B159="","",IFERROR(INDEX('Content Calendar'!$B$5:$B$604,MATCH(B159,'Content Calendar'!$A$5:$A$604,0)),"Not found"))</f>
        <v>0</v>
      </c>
      <c r="E159" s="17">
        <f>IF(B159="","",IFERROR(INDEX('Content Calendar'!$J$5:$J$604,MATCH(B159,'Content Calendar'!$A$5:$A$604,0)),"Not found"))</f>
        <v>0</v>
      </c>
      <c r="F159" s="29">
        <f>IF(B159="","",IFERROR(INDEX('Content Calendar'!$X$5:$X$604,MATCH(B159,'Content Calendar'!$A$5:$A$604,0)),"Not found"))</f>
        <v>0</v>
      </c>
      <c r="P159" s="23">
        <f>IF(B159="","",IF(COUNTIF(Performance!$B$5:$B$404,B159)=0,"",SUMIFS(Performance!$O$5:$O$404,Performance!$B$5:$B$404,B159)))</f>
        <v>0</v>
      </c>
      <c r="Q159" s="23">
        <f>IF(B159="","",IF(COUNTIF(Performance!$B$5:$B$404,B159)=0,"",SUMIFS(Performance!$P$5:$P$404,Performance!$B$5:$B$404,B159)))</f>
        <v>0</v>
      </c>
      <c r="R159" s="23">
        <f>IF(B159="","",IF(COUNTIF(Performance!$B$5:$B$404,B159)=0,"",SUMIFS(Performance!$Z$5:$Z$404,Performance!$B$5:$B$404,B159)))</f>
        <v>0</v>
      </c>
      <c r="S159" s="24">
        <f>IF(OR(P159="",P159=0),"",R159/P159)</f>
        <v>0</v>
      </c>
      <c r="T159" s="23">
        <f>IF(B159="","",IF(COUNTIF(Performance!$B$5:$B$404,B159)=0,"",SUMIFS(Performance!$T$5:$T$404,Performance!$B$5:$B$404,B159)))</f>
        <v>0</v>
      </c>
      <c r="U159" s="23">
        <f>IF(B159="","",IF(COUNTIF(Performance!$B$5:$B$404,B159)=0,"",SUMIFS(Performance!$S$5:$S$404,Performance!$B$5:$B$404,B159)))</f>
        <v>0</v>
      </c>
      <c r="V159" s="23">
        <f>IF(B159="","",IF(COUNTIF(Performance!$B$5:$B$404,B159)=0,"",SUMIFS(Performance!$R$5:$R$404,Performance!$B$5:$B$404,B159)))</f>
        <v>0</v>
      </c>
      <c r="W159" s="23">
        <f>IF(B159="","",IF(COUNTIF(Performance!$B$5:$B$404,B159)=0,"",SUMIFS(Performance!$U$5:$U$404,Performance!$B$5:$B$404,B159)))</f>
        <v>0</v>
      </c>
      <c r="X159" s="29">
        <f>IF(B159="","",IF(C159="Not found","Check - content ID not on the calendar",IF(AND(G159="Reel",J159=0),"Add - reel length missing",IF(K159="","Add - no cover image",IF(AND(P159&lt;&gt;"",S159&lt;TargetEngagement),"Review - below your target rate","OK")))))</f>
        <v>0</v>
      </c>
    </row>
    <row r="160" spans="1:24">
      <c r="A160" s="41">
        <f>IF(B160="","","IG-"&amp;TEXT(ROW()-4,"000"))</f>
        <v>0</v>
      </c>
      <c r="C160" s="17">
        <f>IF(B160="","",IFERROR(INDEX('Content Calendar'!$H$5:$H$604,MATCH(B160,'Content Calendar'!$A$5:$A$604,0)),"Not found"))</f>
        <v>0</v>
      </c>
      <c r="D160" s="16">
        <f>IF(B160="","",IFERROR(INDEX('Content Calendar'!$B$5:$B$604,MATCH(B160,'Content Calendar'!$A$5:$A$604,0)),"Not found"))</f>
        <v>0</v>
      </c>
      <c r="E160" s="17">
        <f>IF(B160="","",IFERROR(INDEX('Content Calendar'!$J$5:$J$604,MATCH(B160,'Content Calendar'!$A$5:$A$604,0)),"Not found"))</f>
        <v>0</v>
      </c>
      <c r="F160" s="29">
        <f>IF(B160="","",IFERROR(INDEX('Content Calendar'!$X$5:$X$604,MATCH(B160,'Content Calendar'!$A$5:$A$604,0)),"Not found"))</f>
        <v>0</v>
      </c>
      <c r="P160" s="23">
        <f>IF(B160="","",IF(COUNTIF(Performance!$B$5:$B$404,B160)=0,"",SUMIFS(Performance!$O$5:$O$404,Performance!$B$5:$B$404,B160)))</f>
        <v>0</v>
      </c>
      <c r="Q160" s="23">
        <f>IF(B160="","",IF(COUNTIF(Performance!$B$5:$B$404,B160)=0,"",SUMIFS(Performance!$P$5:$P$404,Performance!$B$5:$B$404,B160)))</f>
        <v>0</v>
      </c>
      <c r="R160" s="23">
        <f>IF(B160="","",IF(COUNTIF(Performance!$B$5:$B$404,B160)=0,"",SUMIFS(Performance!$Z$5:$Z$404,Performance!$B$5:$B$404,B160)))</f>
        <v>0</v>
      </c>
      <c r="S160" s="24">
        <f>IF(OR(P160="",P160=0),"",R160/P160)</f>
        <v>0</v>
      </c>
      <c r="T160" s="23">
        <f>IF(B160="","",IF(COUNTIF(Performance!$B$5:$B$404,B160)=0,"",SUMIFS(Performance!$T$5:$T$404,Performance!$B$5:$B$404,B160)))</f>
        <v>0</v>
      </c>
      <c r="U160" s="23">
        <f>IF(B160="","",IF(COUNTIF(Performance!$B$5:$B$404,B160)=0,"",SUMIFS(Performance!$S$5:$S$404,Performance!$B$5:$B$404,B160)))</f>
        <v>0</v>
      </c>
      <c r="V160" s="23">
        <f>IF(B160="","",IF(COUNTIF(Performance!$B$5:$B$404,B160)=0,"",SUMIFS(Performance!$R$5:$R$404,Performance!$B$5:$B$404,B160)))</f>
        <v>0</v>
      </c>
      <c r="W160" s="23">
        <f>IF(B160="","",IF(COUNTIF(Performance!$B$5:$B$404,B160)=0,"",SUMIFS(Performance!$U$5:$U$404,Performance!$B$5:$B$404,B160)))</f>
        <v>0</v>
      </c>
      <c r="X160" s="29">
        <f>IF(B160="","",IF(C160="Not found","Check - content ID not on the calendar",IF(AND(G160="Reel",J160=0),"Add - reel length missing",IF(K160="","Add - no cover image",IF(AND(P160&lt;&gt;"",S160&lt;TargetEngagement),"Review - below your target rate","OK")))))</f>
        <v>0</v>
      </c>
    </row>
    <row r="161" spans="1:24">
      <c r="A161" s="41">
        <f>IF(B161="","","IG-"&amp;TEXT(ROW()-4,"000"))</f>
        <v>0</v>
      </c>
      <c r="C161" s="17">
        <f>IF(B161="","",IFERROR(INDEX('Content Calendar'!$H$5:$H$604,MATCH(B161,'Content Calendar'!$A$5:$A$604,0)),"Not found"))</f>
        <v>0</v>
      </c>
      <c r="D161" s="16">
        <f>IF(B161="","",IFERROR(INDEX('Content Calendar'!$B$5:$B$604,MATCH(B161,'Content Calendar'!$A$5:$A$604,0)),"Not found"))</f>
        <v>0</v>
      </c>
      <c r="E161" s="17">
        <f>IF(B161="","",IFERROR(INDEX('Content Calendar'!$J$5:$J$604,MATCH(B161,'Content Calendar'!$A$5:$A$604,0)),"Not found"))</f>
        <v>0</v>
      </c>
      <c r="F161" s="29">
        <f>IF(B161="","",IFERROR(INDEX('Content Calendar'!$X$5:$X$604,MATCH(B161,'Content Calendar'!$A$5:$A$604,0)),"Not found"))</f>
        <v>0</v>
      </c>
      <c r="P161" s="23">
        <f>IF(B161="","",IF(COUNTIF(Performance!$B$5:$B$404,B161)=0,"",SUMIFS(Performance!$O$5:$O$404,Performance!$B$5:$B$404,B161)))</f>
        <v>0</v>
      </c>
      <c r="Q161" s="23">
        <f>IF(B161="","",IF(COUNTIF(Performance!$B$5:$B$404,B161)=0,"",SUMIFS(Performance!$P$5:$P$404,Performance!$B$5:$B$404,B161)))</f>
        <v>0</v>
      </c>
      <c r="R161" s="23">
        <f>IF(B161="","",IF(COUNTIF(Performance!$B$5:$B$404,B161)=0,"",SUMIFS(Performance!$Z$5:$Z$404,Performance!$B$5:$B$404,B161)))</f>
        <v>0</v>
      </c>
      <c r="S161" s="24">
        <f>IF(OR(P161="",P161=0),"",R161/P161)</f>
        <v>0</v>
      </c>
      <c r="T161" s="23">
        <f>IF(B161="","",IF(COUNTIF(Performance!$B$5:$B$404,B161)=0,"",SUMIFS(Performance!$T$5:$T$404,Performance!$B$5:$B$404,B161)))</f>
        <v>0</v>
      </c>
      <c r="U161" s="23">
        <f>IF(B161="","",IF(COUNTIF(Performance!$B$5:$B$404,B161)=0,"",SUMIFS(Performance!$S$5:$S$404,Performance!$B$5:$B$404,B161)))</f>
        <v>0</v>
      </c>
      <c r="V161" s="23">
        <f>IF(B161="","",IF(COUNTIF(Performance!$B$5:$B$404,B161)=0,"",SUMIFS(Performance!$R$5:$R$404,Performance!$B$5:$B$404,B161)))</f>
        <v>0</v>
      </c>
      <c r="W161" s="23">
        <f>IF(B161="","",IF(COUNTIF(Performance!$B$5:$B$404,B161)=0,"",SUMIFS(Performance!$U$5:$U$404,Performance!$B$5:$B$404,B161)))</f>
        <v>0</v>
      </c>
      <c r="X161" s="29">
        <f>IF(B161="","",IF(C161="Not found","Check - content ID not on the calendar",IF(AND(G161="Reel",J161=0),"Add - reel length missing",IF(K161="","Add - no cover image",IF(AND(P161&lt;&gt;"",S161&lt;TargetEngagement),"Review - below your target rate","OK")))))</f>
        <v>0</v>
      </c>
    </row>
    <row r="162" spans="1:24">
      <c r="A162" s="41">
        <f>IF(B162="","","IG-"&amp;TEXT(ROW()-4,"000"))</f>
        <v>0</v>
      </c>
      <c r="C162" s="17">
        <f>IF(B162="","",IFERROR(INDEX('Content Calendar'!$H$5:$H$604,MATCH(B162,'Content Calendar'!$A$5:$A$604,0)),"Not found"))</f>
        <v>0</v>
      </c>
      <c r="D162" s="16">
        <f>IF(B162="","",IFERROR(INDEX('Content Calendar'!$B$5:$B$604,MATCH(B162,'Content Calendar'!$A$5:$A$604,0)),"Not found"))</f>
        <v>0</v>
      </c>
      <c r="E162" s="17">
        <f>IF(B162="","",IFERROR(INDEX('Content Calendar'!$J$5:$J$604,MATCH(B162,'Content Calendar'!$A$5:$A$604,0)),"Not found"))</f>
        <v>0</v>
      </c>
      <c r="F162" s="29">
        <f>IF(B162="","",IFERROR(INDEX('Content Calendar'!$X$5:$X$604,MATCH(B162,'Content Calendar'!$A$5:$A$604,0)),"Not found"))</f>
        <v>0</v>
      </c>
      <c r="P162" s="23">
        <f>IF(B162="","",IF(COUNTIF(Performance!$B$5:$B$404,B162)=0,"",SUMIFS(Performance!$O$5:$O$404,Performance!$B$5:$B$404,B162)))</f>
        <v>0</v>
      </c>
      <c r="Q162" s="23">
        <f>IF(B162="","",IF(COUNTIF(Performance!$B$5:$B$404,B162)=0,"",SUMIFS(Performance!$P$5:$P$404,Performance!$B$5:$B$404,B162)))</f>
        <v>0</v>
      </c>
      <c r="R162" s="23">
        <f>IF(B162="","",IF(COUNTIF(Performance!$B$5:$B$404,B162)=0,"",SUMIFS(Performance!$Z$5:$Z$404,Performance!$B$5:$B$404,B162)))</f>
        <v>0</v>
      </c>
      <c r="S162" s="24">
        <f>IF(OR(P162="",P162=0),"",R162/P162)</f>
        <v>0</v>
      </c>
      <c r="T162" s="23">
        <f>IF(B162="","",IF(COUNTIF(Performance!$B$5:$B$404,B162)=0,"",SUMIFS(Performance!$T$5:$T$404,Performance!$B$5:$B$404,B162)))</f>
        <v>0</v>
      </c>
      <c r="U162" s="23">
        <f>IF(B162="","",IF(COUNTIF(Performance!$B$5:$B$404,B162)=0,"",SUMIFS(Performance!$S$5:$S$404,Performance!$B$5:$B$404,B162)))</f>
        <v>0</v>
      </c>
      <c r="V162" s="23">
        <f>IF(B162="","",IF(COUNTIF(Performance!$B$5:$B$404,B162)=0,"",SUMIFS(Performance!$R$5:$R$404,Performance!$B$5:$B$404,B162)))</f>
        <v>0</v>
      </c>
      <c r="W162" s="23">
        <f>IF(B162="","",IF(COUNTIF(Performance!$B$5:$B$404,B162)=0,"",SUMIFS(Performance!$U$5:$U$404,Performance!$B$5:$B$404,B162)))</f>
        <v>0</v>
      </c>
      <c r="X162" s="29">
        <f>IF(B162="","",IF(C162="Not found","Check - content ID not on the calendar",IF(AND(G162="Reel",J162=0),"Add - reel length missing",IF(K162="","Add - no cover image",IF(AND(P162&lt;&gt;"",S162&lt;TargetEngagement),"Review - below your target rate","OK")))))</f>
        <v>0</v>
      </c>
    </row>
    <row r="163" spans="1:24">
      <c r="A163" s="41">
        <f>IF(B163="","","IG-"&amp;TEXT(ROW()-4,"000"))</f>
        <v>0</v>
      </c>
      <c r="C163" s="17">
        <f>IF(B163="","",IFERROR(INDEX('Content Calendar'!$H$5:$H$604,MATCH(B163,'Content Calendar'!$A$5:$A$604,0)),"Not found"))</f>
        <v>0</v>
      </c>
      <c r="D163" s="16">
        <f>IF(B163="","",IFERROR(INDEX('Content Calendar'!$B$5:$B$604,MATCH(B163,'Content Calendar'!$A$5:$A$604,0)),"Not found"))</f>
        <v>0</v>
      </c>
      <c r="E163" s="17">
        <f>IF(B163="","",IFERROR(INDEX('Content Calendar'!$J$5:$J$604,MATCH(B163,'Content Calendar'!$A$5:$A$604,0)),"Not found"))</f>
        <v>0</v>
      </c>
      <c r="F163" s="29">
        <f>IF(B163="","",IFERROR(INDEX('Content Calendar'!$X$5:$X$604,MATCH(B163,'Content Calendar'!$A$5:$A$604,0)),"Not found"))</f>
        <v>0</v>
      </c>
      <c r="P163" s="23">
        <f>IF(B163="","",IF(COUNTIF(Performance!$B$5:$B$404,B163)=0,"",SUMIFS(Performance!$O$5:$O$404,Performance!$B$5:$B$404,B163)))</f>
        <v>0</v>
      </c>
      <c r="Q163" s="23">
        <f>IF(B163="","",IF(COUNTIF(Performance!$B$5:$B$404,B163)=0,"",SUMIFS(Performance!$P$5:$P$404,Performance!$B$5:$B$404,B163)))</f>
        <v>0</v>
      </c>
      <c r="R163" s="23">
        <f>IF(B163="","",IF(COUNTIF(Performance!$B$5:$B$404,B163)=0,"",SUMIFS(Performance!$Z$5:$Z$404,Performance!$B$5:$B$404,B163)))</f>
        <v>0</v>
      </c>
      <c r="S163" s="24">
        <f>IF(OR(P163="",P163=0),"",R163/P163)</f>
        <v>0</v>
      </c>
      <c r="T163" s="23">
        <f>IF(B163="","",IF(COUNTIF(Performance!$B$5:$B$404,B163)=0,"",SUMIFS(Performance!$T$5:$T$404,Performance!$B$5:$B$404,B163)))</f>
        <v>0</v>
      </c>
      <c r="U163" s="23">
        <f>IF(B163="","",IF(COUNTIF(Performance!$B$5:$B$404,B163)=0,"",SUMIFS(Performance!$S$5:$S$404,Performance!$B$5:$B$404,B163)))</f>
        <v>0</v>
      </c>
      <c r="V163" s="23">
        <f>IF(B163="","",IF(COUNTIF(Performance!$B$5:$B$404,B163)=0,"",SUMIFS(Performance!$R$5:$R$404,Performance!$B$5:$B$404,B163)))</f>
        <v>0</v>
      </c>
      <c r="W163" s="23">
        <f>IF(B163="","",IF(COUNTIF(Performance!$B$5:$B$404,B163)=0,"",SUMIFS(Performance!$U$5:$U$404,Performance!$B$5:$B$404,B163)))</f>
        <v>0</v>
      </c>
      <c r="X163" s="29">
        <f>IF(B163="","",IF(C163="Not found","Check - content ID not on the calendar",IF(AND(G163="Reel",J163=0),"Add - reel length missing",IF(K163="","Add - no cover image",IF(AND(P163&lt;&gt;"",S163&lt;TargetEngagement),"Review - below your target rate","OK")))))</f>
        <v>0</v>
      </c>
    </row>
    <row r="164" spans="1:24">
      <c r="A164" s="41">
        <f>IF(B164="","","IG-"&amp;TEXT(ROW()-4,"000"))</f>
        <v>0</v>
      </c>
      <c r="C164" s="17">
        <f>IF(B164="","",IFERROR(INDEX('Content Calendar'!$H$5:$H$604,MATCH(B164,'Content Calendar'!$A$5:$A$604,0)),"Not found"))</f>
        <v>0</v>
      </c>
      <c r="D164" s="16">
        <f>IF(B164="","",IFERROR(INDEX('Content Calendar'!$B$5:$B$604,MATCH(B164,'Content Calendar'!$A$5:$A$604,0)),"Not found"))</f>
        <v>0</v>
      </c>
      <c r="E164" s="17">
        <f>IF(B164="","",IFERROR(INDEX('Content Calendar'!$J$5:$J$604,MATCH(B164,'Content Calendar'!$A$5:$A$604,0)),"Not found"))</f>
        <v>0</v>
      </c>
      <c r="F164" s="29">
        <f>IF(B164="","",IFERROR(INDEX('Content Calendar'!$X$5:$X$604,MATCH(B164,'Content Calendar'!$A$5:$A$604,0)),"Not found"))</f>
        <v>0</v>
      </c>
      <c r="P164" s="23">
        <f>IF(B164="","",IF(COUNTIF(Performance!$B$5:$B$404,B164)=0,"",SUMIFS(Performance!$O$5:$O$404,Performance!$B$5:$B$404,B164)))</f>
        <v>0</v>
      </c>
      <c r="Q164" s="23">
        <f>IF(B164="","",IF(COUNTIF(Performance!$B$5:$B$404,B164)=0,"",SUMIFS(Performance!$P$5:$P$404,Performance!$B$5:$B$404,B164)))</f>
        <v>0</v>
      </c>
      <c r="R164" s="23">
        <f>IF(B164="","",IF(COUNTIF(Performance!$B$5:$B$404,B164)=0,"",SUMIFS(Performance!$Z$5:$Z$404,Performance!$B$5:$B$404,B164)))</f>
        <v>0</v>
      </c>
      <c r="S164" s="24">
        <f>IF(OR(P164="",P164=0),"",R164/P164)</f>
        <v>0</v>
      </c>
      <c r="T164" s="23">
        <f>IF(B164="","",IF(COUNTIF(Performance!$B$5:$B$404,B164)=0,"",SUMIFS(Performance!$T$5:$T$404,Performance!$B$5:$B$404,B164)))</f>
        <v>0</v>
      </c>
      <c r="U164" s="23">
        <f>IF(B164="","",IF(COUNTIF(Performance!$B$5:$B$404,B164)=0,"",SUMIFS(Performance!$S$5:$S$404,Performance!$B$5:$B$404,B164)))</f>
        <v>0</v>
      </c>
      <c r="V164" s="23">
        <f>IF(B164="","",IF(COUNTIF(Performance!$B$5:$B$404,B164)=0,"",SUMIFS(Performance!$R$5:$R$404,Performance!$B$5:$B$404,B164)))</f>
        <v>0</v>
      </c>
      <c r="W164" s="23">
        <f>IF(B164="","",IF(COUNTIF(Performance!$B$5:$B$404,B164)=0,"",SUMIFS(Performance!$U$5:$U$404,Performance!$B$5:$B$404,B164)))</f>
        <v>0</v>
      </c>
      <c r="X164" s="29">
        <f>IF(B164="","",IF(C164="Not found","Check - content ID not on the calendar",IF(AND(G164="Reel",J164=0),"Add - reel length missing",IF(K164="","Add - no cover image",IF(AND(P164&lt;&gt;"",S164&lt;TargetEngagement),"Review - below your target rate","OK")))))</f>
        <v>0</v>
      </c>
    </row>
    <row r="165" spans="1:24">
      <c r="A165" s="41">
        <f>IF(B165="","","IG-"&amp;TEXT(ROW()-4,"000"))</f>
        <v>0</v>
      </c>
      <c r="C165" s="17">
        <f>IF(B165="","",IFERROR(INDEX('Content Calendar'!$H$5:$H$604,MATCH(B165,'Content Calendar'!$A$5:$A$604,0)),"Not found"))</f>
        <v>0</v>
      </c>
      <c r="D165" s="16">
        <f>IF(B165="","",IFERROR(INDEX('Content Calendar'!$B$5:$B$604,MATCH(B165,'Content Calendar'!$A$5:$A$604,0)),"Not found"))</f>
        <v>0</v>
      </c>
      <c r="E165" s="17">
        <f>IF(B165="","",IFERROR(INDEX('Content Calendar'!$J$5:$J$604,MATCH(B165,'Content Calendar'!$A$5:$A$604,0)),"Not found"))</f>
        <v>0</v>
      </c>
      <c r="F165" s="29">
        <f>IF(B165="","",IFERROR(INDEX('Content Calendar'!$X$5:$X$604,MATCH(B165,'Content Calendar'!$A$5:$A$604,0)),"Not found"))</f>
        <v>0</v>
      </c>
      <c r="P165" s="23">
        <f>IF(B165="","",IF(COUNTIF(Performance!$B$5:$B$404,B165)=0,"",SUMIFS(Performance!$O$5:$O$404,Performance!$B$5:$B$404,B165)))</f>
        <v>0</v>
      </c>
      <c r="Q165" s="23">
        <f>IF(B165="","",IF(COUNTIF(Performance!$B$5:$B$404,B165)=0,"",SUMIFS(Performance!$P$5:$P$404,Performance!$B$5:$B$404,B165)))</f>
        <v>0</v>
      </c>
      <c r="R165" s="23">
        <f>IF(B165="","",IF(COUNTIF(Performance!$B$5:$B$404,B165)=0,"",SUMIFS(Performance!$Z$5:$Z$404,Performance!$B$5:$B$404,B165)))</f>
        <v>0</v>
      </c>
      <c r="S165" s="24">
        <f>IF(OR(P165="",P165=0),"",R165/P165)</f>
        <v>0</v>
      </c>
      <c r="T165" s="23">
        <f>IF(B165="","",IF(COUNTIF(Performance!$B$5:$B$404,B165)=0,"",SUMIFS(Performance!$T$5:$T$404,Performance!$B$5:$B$404,B165)))</f>
        <v>0</v>
      </c>
      <c r="U165" s="23">
        <f>IF(B165="","",IF(COUNTIF(Performance!$B$5:$B$404,B165)=0,"",SUMIFS(Performance!$S$5:$S$404,Performance!$B$5:$B$404,B165)))</f>
        <v>0</v>
      </c>
      <c r="V165" s="23">
        <f>IF(B165="","",IF(COUNTIF(Performance!$B$5:$B$404,B165)=0,"",SUMIFS(Performance!$R$5:$R$404,Performance!$B$5:$B$404,B165)))</f>
        <v>0</v>
      </c>
      <c r="W165" s="23">
        <f>IF(B165="","",IF(COUNTIF(Performance!$B$5:$B$404,B165)=0,"",SUMIFS(Performance!$U$5:$U$404,Performance!$B$5:$B$404,B165)))</f>
        <v>0</v>
      </c>
      <c r="X165" s="29">
        <f>IF(B165="","",IF(C165="Not found","Check - content ID not on the calendar",IF(AND(G165="Reel",J165=0),"Add - reel length missing",IF(K165="","Add - no cover image",IF(AND(P165&lt;&gt;"",S165&lt;TargetEngagement),"Review - below your target rate","OK")))))</f>
        <v>0</v>
      </c>
    </row>
    <row r="166" spans="1:24">
      <c r="A166" s="41">
        <f>IF(B166="","","IG-"&amp;TEXT(ROW()-4,"000"))</f>
        <v>0</v>
      </c>
      <c r="C166" s="17">
        <f>IF(B166="","",IFERROR(INDEX('Content Calendar'!$H$5:$H$604,MATCH(B166,'Content Calendar'!$A$5:$A$604,0)),"Not found"))</f>
        <v>0</v>
      </c>
      <c r="D166" s="16">
        <f>IF(B166="","",IFERROR(INDEX('Content Calendar'!$B$5:$B$604,MATCH(B166,'Content Calendar'!$A$5:$A$604,0)),"Not found"))</f>
        <v>0</v>
      </c>
      <c r="E166" s="17">
        <f>IF(B166="","",IFERROR(INDEX('Content Calendar'!$J$5:$J$604,MATCH(B166,'Content Calendar'!$A$5:$A$604,0)),"Not found"))</f>
        <v>0</v>
      </c>
      <c r="F166" s="29">
        <f>IF(B166="","",IFERROR(INDEX('Content Calendar'!$X$5:$X$604,MATCH(B166,'Content Calendar'!$A$5:$A$604,0)),"Not found"))</f>
        <v>0</v>
      </c>
      <c r="P166" s="23">
        <f>IF(B166="","",IF(COUNTIF(Performance!$B$5:$B$404,B166)=0,"",SUMIFS(Performance!$O$5:$O$404,Performance!$B$5:$B$404,B166)))</f>
        <v>0</v>
      </c>
      <c r="Q166" s="23">
        <f>IF(B166="","",IF(COUNTIF(Performance!$B$5:$B$404,B166)=0,"",SUMIFS(Performance!$P$5:$P$404,Performance!$B$5:$B$404,B166)))</f>
        <v>0</v>
      </c>
      <c r="R166" s="23">
        <f>IF(B166="","",IF(COUNTIF(Performance!$B$5:$B$404,B166)=0,"",SUMIFS(Performance!$Z$5:$Z$404,Performance!$B$5:$B$404,B166)))</f>
        <v>0</v>
      </c>
      <c r="S166" s="24">
        <f>IF(OR(P166="",P166=0),"",R166/P166)</f>
        <v>0</v>
      </c>
      <c r="T166" s="23">
        <f>IF(B166="","",IF(COUNTIF(Performance!$B$5:$B$404,B166)=0,"",SUMIFS(Performance!$T$5:$T$404,Performance!$B$5:$B$404,B166)))</f>
        <v>0</v>
      </c>
      <c r="U166" s="23">
        <f>IF(B166="","",IF(COUNTIF(Performance!$B$5:$B$404,B166)=0,"",SUMIFS(Performance!$S$5:$S$404,Performance!$B$5:$B$404,B166)))</f>
        <v>0</v>
      </c>
      <c r="V166" s="23">
        <f>IF(B166="","",IF(COUNTIF(Performance!$B$5:$B$404,B166)=0,"",SUMIFS(Performance!$R$5:$R$404,Performance!$B$5:$B$404,B166)))</f>
        <v>0</v>
      </c>
      <c r="W166" s="23">
        <f>IF(B166="","",IF(COUNTIF(Performance!$B$5:$B$404,B166)=0,"",SUMIFS(Performance!$U$5:$U$404,Performance!$B$5:$B$404,B166)))</f>
        <v>0</v>
      </c>
      <c r="X166" s="29">
        <f>IF(B166="","",IF(C166="Not found","Check - content ID not on the calendar",IF(AND(G166="Reel",J166=0),"Add - reel length missing",IF(K166="","Add - no cover image",IF(AND(P166&lt;&gt;"",S166&lt;TargetEngagement),"Review - below your target rate","OK")))))</f>
        <v>0</v>
      </c>
    </row>
    <row r="167" spans="1:24">
      <c r="A167" s="41">
        <f>IF(B167="","","IG-"&amp;TEXT(ROW()-4,"000"))</f>
        <v>0</v>
      </c>
      <c r="C167" s="17">
        <f>IF(B167="","",IFERROR(INDEX('Content Calendar'!$H$5:$H$604,MATCH(B167,'Content Calendar'!$A$5:$A$604,0)),"Not found"))</f>
        <v>0</v>
      </c>
      <c r="D167" s="16">
        <f>IF(B167="","",IFERROR(INDEX('Content Calendar'!$B$5:$B$604,MATCH(B167,'Content Calendar'!$A$5:$A$604,0)),"Not found"))</f>
        <v>0</v>
      </c>
      <c r="E167" s="17">
        <f>IF(B167="","",IFERROR(INDEX('Content Calendar'!$J$5:$J$604,MATCH(B167,'Content Calendar'!$A$5:$A$604,0)),"Not found"))</f>
        <v>0</v>
      </c>
      <c r="F167" s="29">
        <f>IF(B167="","",IFERROR(INDEX('Content Calendar'!$X$5:$X$604,MATCH(B167,'Content Calendar'!$A$5:$A$604,0)),"Not found"))</f>
        <v>0</v>
      </c>
      <c r="P167" s="23">
        <f>IF(B167="","",IF(COUNTIF(Performance!$B$5:$B$404,B167)=0,"",SUMIFS(Performance!$O$5:$O$404,Performance!$B$5:$B$404,B167)))</f>
        <v>0</v>
      </c>
      <c r="Q167" s="23">
        <f>IF(B167="","",IF(COUNTIF(Performance!$B$5:$B$404,B167)=0,"",SUMIFS(Performance!$P$5:$P$404,Performance!$B$5:$B$404,B167)))</f>
        <v>0</v>
      </c>
      <c r="R167" s="23">
        <f>IF(B167="","",IF(COUNTIF(Performance!$B$5:$B$404,B167)=0,"",SUMIFS(Performance!$Z$5:$Z$404,Performance!$B$5:$B$404,B167)))</f>
        <v>0</v>
      </c>
      <c r="S167" s="24">
        <f>IF(OR(P167="",P167=0),"",R167/P167)</f>
        <v>0</v>
      </c>
      <c r="T167" s="23">
        <f>IF(B167="","",IF(COUNTIF(Performance!$B$5:$B$404,B167)=0,"",SUMIFS(Performance!$T$5:$T$404,Performance!$B$5:$B$404,B167)))</f>
        <v>0</v>
      </c>
      <c r="U167" s="23">
        <f>IF(B167="","",IF(COUNTIF(Performance!$B$5:$B$404,B167)=0,"",SUMIFS(Performance!$S$5:$S$404,Performance!$B$5:$B$404,B167)))</f>
        <v>0</v>
      </c>
      <c r="V167" s="23">
        <f>IF(B167="","",IF(COUNTIF(Performance!$B$5:$B$404,B167)=0,"",SUMIFS(Performance!$R$5:$R$404,Performance!$B$5:$B$404,B167)))</f>
        <v>0</v>
      </c>
      <c r="W167" s="23">
        <f>IF(B167="","",IF(COUNTIF(Performance!$B$5:$B$404,B167)=0,"",SUMIFS(Performance!$U$5:$U$404,Performance!$B$5:$B$404,B167)))</f>
        <v>0</v>
      </c>
      <c r="X167" s="29">
        <f>IF(B167="","",IF(C167="Not found","Check - content ID not on the calendar",IF(AND(G167="Reel",J167=0),"Add - reel length missing",IF(K167="","Add - no cover image",IF(AND(P167&lt;&gt;"",S167&lt;TargetEngagement),"Review - below your target rate","OK")))))</f>
        <v>0</v>
      </c>
    </row>
    <row r="168" spans="1:24">
      <c r="A168" s="41">
        <f>IF(B168="","","IG-"&amp;TEXT(ROW()-4,"000"))</f>
        <v>0</v>
      </c>
      <c r="C168" s="17">
        <f>IF(B168="","",IFERROR(INDEX('Content Calendar'!$H$5:$H$604,MATCH(B168,'Content Calendar'!$A$5:$A$604,0)),"Not found"))</f>
        <v>0</v>
      </c>
      <c r="D168" s="16">
        <f>IF(B168="","",IFERROR(INDEX('Content Calendar'!$B$5:$B$604,MATCH(B168,'Content Calendar'!$A$5:$A$604,0)),"Not found"))</f>
        <v>0</v>
      </c>
      <c r="E168" s="17">
        <f>IF(B168="","",IFERROR(INDEX('Content Calendar'!$J$5:$J$604,MATCH(B168,'Content Calendar'!$A$5:$A$604,0)),"Not found"))</f>
        <v>0</v>
      </c>
      <c r="F168" s="29">
        <f>IF(B168="","",IFERROR(INDEX('Content Calendar'!$X$5:$X$604,MATCH(B168,'Content Calendar'!$A$5:$A$604,0)),"Not found"))</f>
        <v>0</v>
      </c>
      <c r="P168" s="23">
        <f>IF(B168="","",IF(COUNTIF(Performance!$B$5:$B$404,B168)=0,"",SUMIFS(Performance!$O$5:$O$404,Performance!$B$5:$B$404,B168)))</f>
        <v>0</v>
      </c>
      <c r="Q168" s="23">
        <f>IF(B168="","",IF(COUNTIF(Performance!$B$5:$B$404,B168)=0,"",SUMIFS(Performance!$P$5:$P$404,Performance!$B$5:$B$404,B168)))</f>
        <v>0</v>
      </c>
      <c r="R168" s="23">
        <f>IF(B168="","",IF(COUNTIF(Performance!$B$5:$B$404,B168)=0,"",SUMIFS(Performance!$Z$5:$Z$404,Performance!$B$5:$B$404,B168)))</f>
        <v>0</v>
      </c>
      <c r="S168" s="24">
        <f>IF(OR(P168="",P168=0),"",R168/P168)</f>
        <v>0</v>
      </c>
      <c r="T168" s="23">
        <f>IF(B168="","",IF(COUNTIF(Performance!$B$5:$B$404,B168)=0,"",SUMIFS(Performance!$T$5:$T$404,Performance!$B$5:$B$404,B168)))</f>
        <v>0</v>
      </c>
      <c r="U168" s="23">
        <f>IF(B168="","",IF(COUNTIF(Performance!$B$5:$B$404,B168)=0,"",SUMIFS(Performance!$S$5:$S$404,Performance!$B$5:$B$404,B168)))</f>
        <v>0</v>
      </c>
      <c r="V168" s="23">
        <f>IF(B168="","",IF(COUNTIF(Performance!$B$5:$B$404,B168)=0,"",SUMIFS(Performance!$R$5:$R$404,Performance!$B$5:$B$404,B168)))</f>
        <v>0</v>
      </c>
      <c r="W168" s="23">
        <f>IF(B168="","",IF(COUNTIF(Performance!$B$5:$B$404,B168)=0,"",SUMIFS(Performance!$U$5:$U$404,Performance!$B$5:$B$404,B168)))</f>
        <v>0</v>
      </c>
      <c r="X168" s="29">
        <f>IF(B168="","",IF(C168="Not found","Check - content ID not on the calendar",IF(AND(G168="Reel",J168=0),"Add - reel length missing",IF(K168="","Add - no cover image",IF(AND(P168&lt;&gt;"",S168&lt;TargetEngagement),"Review - below your target rate","OK")))))</f>
        <v>0</v>
      </c>
    </row>
    <row r="169" spans="1:24">
      <c r="A169" s="41">
        <f>IF(B169="","","IG-"&amp;TEXT(ROW()-4,"000"))</f>
        <v>0</v>
      </c>
      <c r="C169" s="17">
        <f>IF(B169="","",IFERROR(INDEX('Content Calendar'!$H$5:$H$604,MATCH(B169,'Content Calendar'!$A$5:$A$604,0)),"Not found"))</f>
        <v>0</v>
      </c>
      <c r="D169" s="16">
        <f>IF(B169="","",IFERROR(INDEX('Content Calendar'!$B$5:$B$604,MATCH(B169,'Content Calendar'!$A$5:$A$604,0)),"Not found"))</f>
        <v>0</v>
      </c>
      <c r="E169" s="17">
        <f>IF(B169="","",IFERROR(INDEX('Content Calendar'!$J$5:$J$604,MATCH(B169,'Content Calendar'!$A$5:$A$604,0)),"Not found"))</f>
        <v>0</v>
      </c>
      <c r="F169" s="29">
        <f>IF(B169="","",IFERROR(INDEX('Content Calendar'!$X$5:$X$604,MATCH(B169,'Content Calendar'!$A$5:$A$604,0)),"Not found"))</f>
        <v>0</v>
      </c>
      <c r="P169" s="23">
        <f>IF(B169="","",IF(COUNTIF(Performance!$B$5:$B$404,B169)=0,"",SUMIFS(Performance!$O$5:$O$404,Performance!$B$5:$B$404,B169)))</f>
        <v>0</v>
      </c>
      <c r="Q169" s="23">
        <f>IF(B169="","",IF(COUNTIF(Performance!$B$5:$B$404,B169)=0,"",SUMIFS(Performance!$P$5:$P$404,Performance!$B$5:$B$404,B169)))</f>
        <v>0</v>
      </c>
      <c r="R169" s="23">
        <f>IF(B169="","",IF(COUNTIF(Performance!$B$5:$B$404,B169)=0,"",SUMIFS(Performance!$Z$5:$Z$404,Performance!$B$5:$B$404,B169)))</f>
        <v>0</v>
      </c>
      <c r="S169" s="24">
        <f>IF(OR(P169="",P169=0),"",R169/P169)</f>
        <v>0</v>
      </c>
      <c r="T169" s="23">
        <f>IF(B169="","",IF(COUNTIF(Performance!$B$5:$B$404,B169)=0,"",SUMIFS(Performance!$T$5:$T$404,Performance!$B$5:$B$404,B169)))</f>
        <v>0</v>
      </c>
      <c r="U169" s="23">
        <f>IF(B169="","",IF(COUNTIF(Performance!$B$5:$B$404,B169)=0,"",SUMIFS(Performance!$S$5:$S$404,Performance!$B$5:$B$404,B169)))</f>
        <v>0</v>
      </c>
      <c r="V169" s="23">
        <f>IF(B169="","",IF(COUNTIF(Performance!$B$5:$B$404,B169)=0,"",SUMIFS(Performance!$R$5:$R$404,Performance!$B$5:$B$404,B169)))</f>
        <v>0</v>
      </c>
      <c r="W169" s="23">
        <f>IF(B169="","",IF(COUNTIF(Performance!$B$5:$B$404,B169)=0,"",SUMIFS(Performance!$U$5:$U$404,Performance!$B$5:$B$404,B169)))</f>
        <v>0</v>
      </c>
      <c r="X169" s="29">
        <f>IF(B169="","",IF(C169="Not found","Check - content ID not on the calendar",IF(AND(G169="Reel",J169=0),"Add - reel length missing",IF(K169="","Add - no cover image",IF(AND(P169&lt;&gt;"",S169&lt;TargetEngagement),"Review - below your target rate","OK")))))</f>
        <v>0</v>
      </c>
    </row>
    <row r="170" spans="1:24">
      <c r="A170" s="41">
        <f>IF(B170="","","IG-"&amp;TEXT(ROW()-4,"000"))</f>
        <v>0</v>
      </c>
      <c r="C170" s="17">
        <f>IF(B170="","",IFERROR(INDEX('Content Calendar'!$H$5:$H$604,MATCH(B170,'Content Calendar'!$A$5:$A$604,0)),"Not found"))</f>
        <v>0</v>
      </c>
      <c r="D170" s="16">
        <f>IF(B170="","",IFERROR(INDEX('Content Calendar'!$B$5:$B$604,MATCH(B170,'Content Calendar'!$A$5:$A$604,0)),"Not found"))</f>
        <v>0</v>
      </c>
      <c r="E170" s="17">
        <f>IF(B170="","",IFERROR(INDEX('Content Calendar'!$J$5:$J$604,MATCH(B170,'Content Calendar'!$A$5:$A$604,0)),"Not found"))</f>
        <v>0</v>
      </c>
      <c r="F170" s="29">
        <f>IF(B170="","",IFERROR(INDEX('Content Calendar'!$X$5:$X$604,MATCH(B170,'Content Calendar'!$A$5:$A$604,0)),"Not found"))</f>
        <v>0</v>
      </c>
      <c r="P170" s="23">
        <f>IF(B170="","",IF(COUNTIF(Performance!$B$5:$B$404,B170)=0,"",SUMIFS(Performance!$O$5:$O$404,Performance!$B$5:$B$404,B170)))</f>
        <v>0</v>
      </c>
      <c r="Q170" s="23">
        <f>IF(B170="","",IF(COUNTIF(Performance!$B$5:$B$404,B170)=0,"",SUMIFS(Performance!$P$5:$P$404,Performance!$B$5:$B$404,B170)))</f>
        <v>0</v>
      </c>
      <c r="R170" s="23">
        <f>IF(B170="","",IF(COUNTIF(Performance!$B$5:$B$404,B170)=0,"",SUMIFS(Performance!$Z$5:$Z$404,Performance!$B$5:$B$404,B170)))</f>
        <v>0</v>
      </c>
      <c r="S170" s="24">
        <f>IF(OR(P170="",P170=0),"",R170/P170)</f>
        <v>0</v>
      </c>
      <c r="T170" s="23">
        <f>IF(B170="","",IF(COUNTIF(Performance!$B$5:$B$404,B170)=0,"",SUMIFS(Performance!$T$5:$T$404,Performance!$B$5:$B$404,B170)))</f>
        <v>0</v>
      </c>
      <c r="U170" s="23">
        <f>IF(B170="","",IF(COUNTIF(Performance!$B$5:$B$404,B170)=0,"",SUMIFS(Performance!$S$5:$S$404,Performance!$B$5:$B$404,B170)))</f>
        <v>0</v>
      </c>
      <c r="V170" s="23">
        <f>IF(B170="","",IF(COUNTIF(Performance!$B$5:$B$404,B170)=0,"",SUMIFS(Performance!$R$5:$R$404,Performance!$B$5:$B$404,B170)))</f>
        <v>0</v>
      </c>
      <c r="W170" s="23">
        <f>IF(B170="","",IF(COUNTIF(Performance!$B$5:$B$404,B170)=0,"",SUMIFS(Performance!$U$5:$U$404,Performance!$B$5:$B$404,B170)))</f>
        <v>0</v>
      </c>
      <c r="X170" s="29">
        <f>IF(B170="","",IF(C170="Not found","Check - content ID not on the calendar",IF(AND(G170="Reel",J170=0),"Add - reel length missing",IF(K170="","Add - no cover image",IF(AND(P170&lt;&gt;"",S170&lt;TargetEngagement),"Review - below your target rate","OK")))))</f>
        <v>0</v>
      </c>
    </row>
    <row r="171" spans="1:24">
      <c r="A171" s="41">
        <f>IF(B171="","","IG-"&amp;TEXT(ROW()-4,"000"))</f>
        <v>0</v>
      </c>
      <c r="C171" s="17">
        <f>IF(B171="","",IFERROR(INDEX('Content Calendar'!$H$5:$H$604,MATCH(B171,'Content Calendar'!$A$5:$A$604,0)),"Not found"))</f>
        <v>0</v>
      </c>
      <c r="D171" s="16">
        <f>IF(B171="","",IFERROR(INDEX('Content Calendar'!$B$5:$B$604,MATCH(B171,'Content Calendar'!$A$5:$A$604,0)),"Not found"))</f>
        <v>0</v>
      </c>
      <c r="E171" s="17">
        <f>IF(B171="","",IFERROR(INDEX('Content Calendar'!$J$5:$J$604,MATCH(B171,'Content Calendar'!$A$5:$A$604,0)),"Not found"))</f>
        <v>0</v>
      </c>
      <c r="F171" s="29">
        <f>IF(B171="","",IFERROR(INDEX('Content Calendar'!$X$5:$X$604,MATCH(B171,'Content Calendar'!$A$5:$A$604,0)),"Not found"))</f>
        <v>0</v>
      </c>
      <c r="P171" s="23">
        <f>IF(B171="","",IF(COUNTIF(Performance!$B$5:$B$404,B171)=0,"",SUMIFS(Performance!$O$5:$O$404,Performance!$B$5:$B$404,B171)))</f>
        <v>0</v>
      </c>
      <c r="Q171" s="23">
        <f>IF(B171="","",IF(COUNTIF(Performance!$B$5:$B$404,B171)=0,"",SUMIFS(Performance!$P$5:$P$404,Performance!$B$5:$B$404,B171)))</f>
        <v>0</v>
      </c>
      <c r="R171" s="23">
        <f>IF(B171="","",IF(COUNTIF(Performance!$B$5:$B$404,B171)=0,"",SUMIFS(Performance!$Z$5:$Z$404,Performance!$B$5:$B$404,B171)))</f>
        <v>0</v>
      </c>
      <c r="S171" s="24">
        <f>IF(OR(P171="",P171=0),"",R171/P171)</f>
        <v>0</v>
      </c>
      <c r="T171" s="23">
        <f>IF(B171="","",IF(COUNTIF(Performance!$B$5:$B$404,B171)=0,"",SUMIFS(Performance!$T$5:$T$404,Performance!$B$5:$B$404,B171)))</f>
        <v>0</v>
      </c>
      <c r="U171" s="23">
        <f>IF(B171="","",IF(COUNTIF(Performance!$B$5:$B$404,B171)=0,"",SUMIFS(Performance!$S$5:$S$404,Performance!$B$5:$B$404,B171)))</f>
        <v>0</v>
      </c>
      <c r="V171" s="23">
        <f>IF(B171="","",IF(COUNTIF(Performance!$B$5:$B$404,B171)=0,"",SUMIFS(Performance!$R$5:$R$404,Performance!$B$5:$B$404,B171)))</f>
        <v>0</v>
      </c>
      <c r="W171" s="23">
        <f>IF(B171="","",IF(COUNTIF(Performance!$B$5:$B$404,B171)=0,"",SUMIFS(Performance!$U$5:$U$404,Performance!$B$5:$B$404,B171)))</f>
        <v>0</v>
      </c>
      <c r="X171" s="29">
        <f>IF(B171="","",IF(C171="Not found","Check - content ID not on the calendar",IF(AND(G171="Reel",J171=0),"Add - reel length missing",IF(K171="","Add - no cover image",IF(AND(P171&lt;&gt;"",S171&lt;TargetEngagement),"Review - below your target rate","OK")))))</f>
        <v>0</v>
      </c>
    </row>
    <row r="172" spans="1:24">
      <c r="A172" s="41">
        <f>IF(B172="","","IG-"&amp;TEXT(ROW()-4,"000"))</f>
        <v>0</v>
      </c>
      <c r="C172" s="17">
        <f>IF(B172="","",IFERROR(INDEX('Content Calendar'!$H$5:$H$604,MATCH(B172,'Content Calendar'!$A$5:$A$604,0)),"Not found"))</f>
        <v>0</v>
      </c>
      <c r="D172" s="16">
        <f>IF(B172="","",IFERROR(INDEX('Content Calendar'!$B$5:$B$604,MATCH(B172,'Content Calendar'!$A$5:$A$604,0)),"Not found"))</f>
        <v>0</v>
      </c>
      <c r="E172" s="17">
        <f>IF(B172="","",IFERROR(INDEX('Content Calendar'!$J$5:$J$604,MATCH(B172,'Content Calendar'!$A$5:$A$604,0)),"Not found"))</f>
        <v>0</v>
      </c>
      <c r="F172" s="29">
        <f>IF(B172="","",IFERROR(INDEX('Content Calendar'!$X$5:$X$604,MATCH(B172,'Content Calendar'!$A$5:$A$604,0)),"Not found"))</f>
        <v>0</v>
      </c>
      <c r="P172" s="23">
        <f>IF(B172="","",IF(COUNTIF(Performance!$B$5:$B$404,B172)=0,"",SUMIFS(Performance!$O$5:$O$404,Performance!$B$5:$B$404,B172)))</f>
        <v>0</v>
      </c>
      <c r="Q172" s="23">
        <f>IF(B172="","",IF(COUNTIF(Performance!$B$5:$B$404,B172)=0,"",SUMIFS(Performance!$P$5:$P$404,Performance!$B$5:$B$404,B172)))</f>
        <v>0</v>
      </c>
      <c r="R172" s="23">
        <f>IF(B172="","",IF(COUNTIF(Performance!$B$5:$B$404,B172)=0,"",SUMIFS(Performance!$Z$5:$Z$404,Performance!$B$5:$B$404,B172)))</f>
        <v>0</v>
      </c>
      <c r="S172" s="24">
        <f>IF(OR(P172="",P172=0),"",R172/P172)</f>
        <v>0</v>
      </c>
      <c r="T172" s="23">
        <f>IF(B172="","",IF(COUNTIF(Performance!$B$5:$B$404,B172)=0,"",SUMIFS(Performance!$T$5:$T$404,Performance!$B$5:$B$404,B172)))</f>
        <v>0</v>
      </c>
      <c r="U172" s="23">
        <f>IF(B172="","",IF(COUNTIF(Performance!$B$5:$B$404,B172)=0,"",SUMIFS(Performance!$S$5:$S$404,Performance!$B$5:$B$404,B172)))</f>
        <v>0</v>
      </c>
      <c r="V172" s="23">
        <f>IF(B172="","",IF(COUNTIF(Performance!$B$5:$B$404,B172)=0,"",SUMIFS(Performance!$R$5:$R$404,Performance!$B$5:$B$404,B172)))</f>
        <v>0</v>
      </c>
      <c r="W172" s="23">
        <f>IF(B172="","",IF(COUNTIF(Performance!$B$5:$B$404,B172)=0,"",SUMIFS(Performance!$U$5:$U$404,Performance!$B$5:$B$404,B172)))</f>
        <v>0</v>
      </c>
      <c r="X172" s="29">
        <f>IF(B172="","",IF(C172="Not found","Check - content ID not on the calendar",IF(AND(G172="Reel",J172=0),"Add - reel length missing",IF(K172="","Add - no cover image",IF(AND(P172&lt;&gt;"",S172&lt;TargetEngagement),"Review - below your target rate","OK")))))</f>
        <v>0</v>
      </c>
    </row>
    <row r="173" spans="1:24">
      <c r="A173" s="41">
        <f>IF(B173="","","IG-"&amp;TEXT(ROW()-4,"000"))</f>
        <v>0</v>
      </c>
      <c r="C173" s="17">
        <f>IF(B173="","",IFERROR(INDEX('Content Calendar'!$H$5:$H$604,MATCH(B173,'Content Calendar'!$A$5:$A$604,0)),"Not found"))</f>
        <v>0</v>
      </c>
      <c r="D173" s="16">
        <f>IF(B173="","",IFERROR(INDEX('Content Calendar'!$B$5:$B$604,MATCH(B173,'Content Calendar'!$A$5:$A$604,0)),"Not found"))</f>
        <v>0</v>
      </c>
      <c r="E173" s="17">
        <f>IF(B173="","",IFERROR(INDEX('Content Calendar'!$J$5:$J$604,MATCH(B173,'Content Calendar'!$A$5:$A$604,0)),"Not found"))</f>
        <v>0</v>
      </c>
      <c r="F173" s="29">
        <f>IF(B173="","",IFERROR(INDEX('Content Calendar'!$X$5:$X$604,MATCH(B173,'Content Calendar'!$A$5:$A$604,0)),"Not found"))</f>
        <v>0</v>
      </c>
      <c r="P173" s="23">
        <f>IF(B173="","",IF(COUNTIF(Performance!$B$5:$B$404,B173)=0,"",SUMIFS(Performance!$O$5:$O$404,Performance!$B$5:$B$404,B173)))</f>
        <v>0</v>
      </c>
      <c r="Q173" s="23">
        <f>IF(B173="","",IF(COUNTIF(Performance!$B$5:$B$404,B173)=0,"",SUMIFS(Performance!$P$5:$P$404,Performance!$B$5:$B$404,B173)))</f>
        <v>0</v>
      </c>
      <c r="R173" s="23">
        <f>IF(B173="","",IF(COUNTIF(Performance!$B$5:$B$404,B173)=0,"",SUMIFS(Performance!$Z$5:$Z$404,Performance!$B$5:$B$404,B173)))</f>
        <v>0</v>
      </c>
      <c r="S173" s="24">
        <f>IF(OR(P173="",P173=0),"",R173/P173)</f>
        <v>0</v>
      </c>
      <c r="T173" s="23">
        <f>IF(B173="","",IF(COUNTIF(Performance!$B$5:$B$404,B173)=0,"",SUMIFS(Performance!$T$5:$T$404,Performance!$B$5:$B$404,B173)))</f>
        <v>0</v>
      </c>
      <c r="U173" s="23">
        <f>IF(B173="","",IF(COUNTIF(Performance!$B$5:$B$404,B173)=0,"",SUMIFS(Performance!$S$5:$S$404,Performance!$B$5:$B$404,B173)))</f>
        <v>0</v>
      </c>
      <c r="V173" s="23">
        <f>IF(B173="","",IF(COUNTIF(Performance!$B$5:$B$404,B173)=0,"",SUMIFS(Performance!$R$5:$R$404,Performance!$B$5:$B$404,B173)))</f>
        <v>0</v>
      </c>
      <c r="W173" s="23">
        <f>IF(B173="","",IF(COUNTIF(Performance!$B$5:$B$404,B173)=0,"",SUMIFS(Performance!$U$5:$U$404,Performance!$B$5:$B$404,B173)))</f>
        <v>0</v>
      </c>
      <c r="X173" s="29">
        <f>IF(B173="","",IF(C173="Not found","Check - content ID not on the calendar",IF(AND(G173="Reel",J173=0),"Add - reel length missing",IF(K173="","Add - no cover image",IF(AND(P173&lt;&gt;"",S173&lt;TargetEngagement),"Review - below your target rate","OK")))))</f>
        <v>0</v>
      </c>
    </row>
    <row r="174" spans="1:24">
      <c r="A174" s="41">
        <f>IF(B174="","","IG-"&amp;TEXT(ROW()-4,"000"))</f>
        <v>0</v>
      </c>
      <c r="C174" s="17">
        <f>IF(B174="","",IFERROR(INDEX('Content Calendar'!$H$5:$H$604,MATCH(B174,'Content Calendar'!$A$5:$A$604,0)),"Not found"))</f>
        <v>0</v>
      </c>
      <c r="D174" s="16">
        <f>IF(B174="","",IFERROR(INDEX('Content Calendar'!$B$5:$B$604,MATCH(B174,'Content Calendar'!$A$5:$A$604,0)),"Not found"))</f>
        <v>0</v>
      </c>
      <c r="E174" s="17">
        <f>IF(B174="","",IFERROR(INDEX('Content Calendar'!$J$5:$J$604,MATCH(B174,'Content Calendar'!$A$5:$A$604,0)),"Not found"))</f>
        <v>0</v>
      </c>
      <c r="F174" s="29">
        <f>IF(B174="","",IFERROR(INDEX('Content Calendar'!$X$5:$X$604,MATCH(B174,'Content Calendar'!$A$5:$A$604,0)),"Not found"))</f>
        <v>0</v>
      </c>
      <c r="P174" s="23">
        <f>IF(B174="","",IF(COUNTIF(Performance!$B$5:$B$404,B174)=0,"",SUMIFS(Performance!$O$5:$O$404,Performance!$B$5:$B$404,B174)))</f>
        <v>0</v>
      </c>
      <c r="Q174" s="23">
        <f>IF(B174="","",IF(COUNTIF(Performance!$B$5:$B$404,B174)=0,"",SUMIFS(Performance!$P$5:$P$404,Performance!$B$5:$B$404,B174)))</f>
        <v>0</v>
      </c>
      <c r="R174" s="23">
        <f>IF(B174="","",IF(COUNTIF(Performance!$B$5:$B$404,B174)=0,"",SUMIFS(Performance!$Z$5:$Z$404,Performance!$B$5:$B$404,B174)))</f>
        <v>0</v>
      </c>
      <c r="S174" s="24">
        <f>IF(OR(P174="",P174=0),"",R174/P174)</f>
        <v>0</v>
      </c>
      <c r="T174" s="23">
        <f>IF(B174="","",IF(COUNTIF(Performance!$B$5:$B$404,B174)=0,"",SUMIFS(Performance!$T$5:$T$404,Performance!$B$5:$B$404,B174)))</f>
        <v>0</v>
      </c>
      <c r="U174" s="23">
        <f>IF(B174="","",IF(COUNTIF(Performance!$B$5:$B$404,B174)=0,"",SUMIFS(Performance!$S$5:$S$404,Performance!$B$5:$B$404,B174)))</f>
        <v>0</v>
      </c>
      <c r="V174" s="23">
        <f>IF(B174="","",IF(COUNTIF(Performance!$B$5:$B$404,B174)=0,"",SUMIFS(Performance!$R$5:$R$404,Performance!$B$5:$B$404,B174)))</f>
        <v>0</v>
      </c>
      <c r="W174" s="23">
        <f>IF(B174="","",IF(COUNTIF(Performance!$B$5:$B$404,B174)=0,"",SUMIFS(Performance!$U$5:$U$404,Performance!$B$5:$B$404,B174)))</f>
        <v>0</v>
      </c>
      <c r="X174" s="29">
        <f>IF(B174="","",IF(C174="Not found","Check - content ID not on the calendar",IF(AND(G174="Reel",J174=0),"Add - reel length missing",IF(K174="","Add - no cover image",IF(AND(P174&lt;&gt;"",S174&lt;TargetEngagement),"Review - below your target rate","OK")))))</f>
        <v>0</v>
      </c>
    </row>
    <row r="175" spans="1:24">
      <c r="A175" s="41">
        <f>IF(B175="","","IG-"&amp;TEXT(ROW()-4,"000"))</f>
        <v>0</v>
      </c>
      <c r="C175" s="17">
        <f>IF(B175="","",IFERROR(INDEX('Content Calendar'!$H$5:$H$604,MATCH(B175,'Content Calendar'!$A$5:$A$604,0)),"Not found"))</f>
        <v>0</v>
      </c>
      <c r="D175" s="16">
        <f>IF(B175="","",IFERROR(INDEX('Content Calendar'!$B$5:$B$604,MATCH(B175,'Content Calendar'!$A$5:$A$604,0)),"Not found"))</f>
        <v>0</v>
      </c>
      <c r="E175" s="17">
        <f>IF(B175="","",IFERROR(INDEX('Content Calendar'!$J$5:$J$604,MATCH(B175,'Content Calendar'!$A$5:$A$604,0)),"Not found"))</f>
        <v>0</v>
      </c>
      <c r="F175" s="29">
        <f>IF(B175="","",IFERROR(INDEX('Content Calendar'!$X$5:$X$604,MATCH(B175,'Content Calendar'!$A$5:$A$604,0)),"Not found"))</f>
        <v>0</v>
      </c>
      <c r="P175" s="23">
        <f>IF(B175="","",IF(COUNTIF(Performance!$B$5:$B$404,B175)=0,"",SUMIFS(Performance!$O$5:$O$404,Performance!$B$5:$B$404,B175)))</f>
        <v>0</v>
      </c>
      <c r="Q175" s="23">
        <f>IF(B175="","",IF(COUNTIF(Performance!$B$5:$B$404,B175)=0,"",SUMIFS(Performance!$P$5:$P$404,Performance!$B$5:$B$404,B175)))</f>
        <v>0</v>
      </c>
      <c r="R175" s="23">
        <f>IF(B175="","",IF(COUNTIF(Performance!$B$5:$B$404,B175)=0,"",SUMIFS(Performance!$Z$5:$Z$404,Performance!$B$5:$B$404,B175)))</f>
        <v>0</v>
      </c>
      <c r="S175" s="24">
        <f>IF(OR(P175="",P175=0),"",R175/P175)</f>
        <v>0</v>
      </c>
      <c r="T175" s="23">
        <f>IF(B175="","",IF(COUNTIF(Performance!$B$5:$B$404,B175)=0,"",SUMIFS(Performance!$T$5:$T$404,Performance!$B$5:$B$404,B175)))</f>
        <v>0</v>
      </c>
      <c r="U175" s="23">
        <f>IF(B175="","",IF(COUNTIF(Performance!$B$5:$B$404,B175)=0,"",SUMIFS(Performance!$S$5:$S$404,Performance!$B$5:$B$404,B175)))</f>
        <v>0</v>
      </c>
      <c r="V175" s="23">
        <f>IF(B175="","",IF(COUNTIF(Performance!$B$5:$B$404,B175)=0,"",SUMIFS(Performance!$R$5:$R$404,Performance!$B$5:$B$404,B175)))</f>
        <v>0</v>
      </c>
      <c r="W175" s="23">
        <f>IF(B175="","",IF(COUNTIF(Performance!$B$5:$B$404,B175)=0,"",SUMIFS(Performance!$U$5:$U$404,Performance!$B$5:$B$404,B175)))</f>
        <v>0</v>
      </c>
      <c r="X175" s="29">
        <f>IF(B175="","",IF(C175="Not found","Check - content ID not on the calendar",IF(AND(G175="Reel",J175=0),"Add - reel length missing",IF(K175="","Add - no cover image",IF(AND(P175&lt;&gt;"",S175&lt;TargetEngagement),"Review - below your target rate","OK")))))</f>
        <v>0</v>
      </c>
    </row>
    <row r="176" spans="1:24">
      <c r="A176" s="41">
        <f>IF(B176="","","IG-"&amp;TEXT(ROW()-4,"000"))</f>
        <v>0</v>
      </c>
      <c r="C176" s="17">
        <f>IF(B176="","",IFERROR(INDEX('Content Calendar'!$H$5:$H$604,MATCH(B176,'Content Calendar'!$A$5:$A$604,0)),"Not found"))</f>
        <v>0</v>
      </c>
      <c r="D176" s="16">
        <f>IF(B176="","",IFERROR(INDEX('Content Calendar'!$B$5:$B$604,MATCH(B176,'Content Calendar'!$A$5:$A$604,0)),"Not found"))</f>
        <v>0</v>
      </c>
      <c r="E176" s="17">
        <f>IF(B176="","",IFERROR(INDEX('Content Calendar'!$J$5:$J$604,MATCH(B176,'Content Calendar'!$A$5:$A$604,0)),"Not found"))</f>
        <v>0</v>
      </c>
      <c r="F176" s="29">
        <f>IF(B176="","",IFERROR(INDEX('Content Calendar'!$X$5:$X$604,MATCH(B176,'Content Calendar'!$A$5:$A$604,0)),"Not found"))</f>
        <v>0</v>
      </c>
      <c r="P176" s="23">
        <f>IF(B176="","",IF(COUNTIF(Performance!$B$5:$B$404,B176)=0,"",SUMIFS(Performance!$O$5:$O$404,Performance!$B$5:$B$404,B176)))</f>
        <v>0</v>
      </c>
      <c r="Q176" s="23">
        <f>IF(B176="","",IF(COUNTIF(Performance!$B$5:$B$404,B176)=0,"",SUMIFS(Performance!$P$5:$P$404,Performance!$B$5:$B$404,B176)))</f>
        <v>0</v>
      </c>
      <c r="R176" s="23">
        <f>IF(B176="","",IF(COUNTIF(Performance!$B$5:$B$404,B176)=0,"",SUMIFS(Performance!$Z$5:$Z$404,Performance!$B$5:$B$404,B176)))</f>
        <v>0</v>
      </c>
      <c r="S176" s="24">
        <f>IF(OR(P176="",P176=0),"",R176/P176)</f>
        <v>0</v>
      </c>
      <c r="T176" s="23">
        <f>IF(B176="","",IF(COUNTIF(Performance!$B$5:$B$404,B176)=0,"",SUMIFS(Performance!$T$5:$T$404,Performance!$B$5:$B$404,B176)))</f>
        <v>0</v>
      </c>
      <c r="U176" s="23">
        <f>IF(B176="","",IF(COUNTIF(Performance!$B$5:$B$404,B176)=0,"",SUMIFS(Performance!$S$5:$S$404,Performance!$B$5:$B$404,B176)))</f>
        <v>0</v>
      </c>
      <c r="V176" s="23">
        <f>IF(B176="","",IF(COUNTIF(Performance!$B$5:$B$404,B176)=0,"",SUMIFS(Performance!$R$5:$R$404,Performance!$B$5:$B$404,B176)))</f>
        <v>0</v>
      </c>
      <c r="W176" s="23">
        <f>IF(B176="","",IF(COUNTIF(Performance!$B$5:$B$404,B176)=0,"",SUMIFS(Performance!$U$5:$U$404,Performance!$B$5:$B$404,B176)))</f>
        <v>0</v>
      </c>
      <c r="X176" s="29">
        <f>IF(B176="","",IF(C176="Not found","Check - content ID not on the calendar",IF(AND(G176="Reel",J176=0),"Add - reel length missing",IF(K176="","Add - no cover image",IF(AND(P176&lt;&gt;"",S176&lt;TargetEngagement),"Review - below your target rate","OK")))))</f>
        <v>0</v>
      </c>
    </row>
    <row r="177" spans="1:24">
      <c r="A177" s="41">
        <f>IF(B177="","","IG-"&amp;TEXT(ROW()-4,"000"))</f>
        <v>0</v>
      </c>
      <c r="C177" s="17">
        <f>IF(B177="","",IFERROR(INDEX('Content Calendar'!$H$5:$H$604,MATCH(B177,'Content Calendar'!$A$5:$A$604,0)),"Not found"))</f>
        <v>0</v>
      </c>
      <c r="D177" s="16">
        <f>IF(B177="","",IFERROR(INDEX('Content Calendar'!$B$5:$B$604,MATCH(B177,'Content Calendar'!$A$5:$A$604,0)),"Not found"))</f>
        <v>0</v>
      </c>
      <c r="E177" s="17">
        <f>IF(B177="","",IFERROR(INDEX('Content Calendar'!$J$5:$J$604,MATCH(B177,'Content Calendar'!$A$5:$A$604,0)),"Not found"))</f>
        <v>0</v>
      </c>
      <c r="F177" s="29">
        <f>IF(B177="","",IFERROR(INDEX('Content Calendar'!$X$5:$X$604,MATCH(B177,'Content Calendar'!$A$5:$A$604,0)),"Not found"))</f>
        <v>0</v>
      </c>
      <c r="P177" s="23">
        <f>IF(B177="","",IF(COUNTIF(Performance!$B$5:$B$404,B177)=0,"",SUMIFS(Performance!$O$5:$O$404,Performance!$B$5:$B$404,B177)))</f>
        <v>0</v>
      </c>
      <c r="Q177" s="23">
        <f>IF(B177="","",IF(COUNTIF(Performance!$B$5:$B$404,B177)=0,"",SUMIFS(Performance!$P$5:$P$404,Performance!$B$5:$B$404,B177)))</f>
        <v>0</v>
      </c>
      <c r="R177" s="23">
        <f>IF(B177="","",IF(COUNTIF(Performance!$B$5:$B$404,B177)=0,"",SUMIFS(Performance!$Z$5:$Z$404,Performance!$B$5:$B$404,B177)))</f>
        <v>0</v>
      </c>
      <c r="S177" s="24">
        <f>IF(OR(P177="",P177=0),"",R177/P177)</f>
        <v>0</v>
      </c>
      <c r="T177" s="23">
        <f>IF(B177="","",IF(COUNTIF(Performance!$B$5:$B$404,B177)=0,"",SUMIFS(Performance!$T$5:$T$404,Performance!$B$5:$B$404,B177)))</f>
        <v>0</v>
      </c>
      <c r="U177" s="23">
        <f>IF(B177="","",IF(COUNTIF(Performance!$B$5:$B$404,B177)=0,"",SUMIFS(Performance!$S$5:$S$404,Performance!$B$5:$B$404,B177)))</f>
        <v>0</v>
      </c>
      <c r="V177" s="23">
        <f>IF(B177="","",IF(COUNTIF(Performance!$B$5:$B$404,B177)=0,"",SUMIFS(Performance!$R$5:$R$404,Performance!$B$5:$B$404,B177)))</f>
        <v>0</v>
      </c>
      <c r="W177" s="23">
        <f>IF(B177="","",IF(COUNTIF(Performance!$B$5:$B$404,B177)=0,"",SUMIFS(Performance!$U$5:$U$404,Performance!$B$5:$B$404,B177)))</f>
        <v>0</v>
      </c>
      <c r="X177" s="29">
        <f>IF(B177="","",IF(C177="Not found","Check - content ID not on the calendar",IF(AND(G177="Reel",J177=0),"Add - reel length missing",IF(K177="","Add - no cover image",IF(AND(P177&lt;&gt;"",S177&lt;TargetEngagement),"Review - below your target rate","OK")))))</f>
        <v>0</v>
      </c>
    </row>
    <row r="178" spans="1:24">
      <c r="A178" s="41">
        <f>IF(B178="","","IG-"&amp;TEXT(ROW()-4,"000"))</f>
        <v>0</v>
      </c>
      <c r="C178" s="17">
        <f>IF(B178="","",IFERROR(INDEX('Content Calendar'!$H$5:$H$604,MATCH(B178,'Content Calendar'!$A$5:$A$604,0)),"Not found"))</f>
        <v>0</v>
      </c>
      <c r="D178" s="16">
        <f>IF(B178="","",IFERROR(INDEX('Content Calendar'!$B$5:$B$604,MATCH(B178,'Content Calendar'!$A$5:$A$604,0)),"Not found"))</f>
        <v>0</v>
      </c>
      <c r="E178" s="17">
        <f>IF(B178="","",IFERROR(INDEX('Content Calendar'!$J$5:$J$604,MATCH(B178,'Content Calendar'!$A$5:$A$604,0)),"Not found"))</f>
        <v>0</v>
      </c>
      <c r="F178" s="29">
        <f>IF(B178="","",IFERROR(INDEX('Content Calendar'!$X$5:$X$604,MATCH(B178,'Content Calendar'!$A$5:$A$604,0)),"Not found"))</f>
        <v>0</v>
      </c>
      <c r="P178" s="23">
        <f>IF(B178="","",IF(COUNTIF(Performance!$B$5:$B$404,B178)=0,"",SUMIFS(Performance!$O$5:$O$404,Performance!$B$5:$B$404,B178)))</f>
        <v>0</v>
      </c>
      <c r="Q178" s="23">
        <f>IF(B178="","",IF(COUNTIF(Performance!$B$5:$B$404,B178)=0,"",SUMIFS(Performance!$P$5:$P$404,Performance!$B$5:$B$404,B178)))</f>
        <v>0</v>
      </c>
      <c r="R178" s="23">
        <f>IF(B178="","",IF(COUNTIF(Performance!$B$5:$B$404,B178)=0,"",SUMIFS(Performance!$Z$5:$Z$404,Performance!$B$5:$B$404,B178)))</f>
        <v>0</v>
      </c>
      <c r="S178" s="24">
        <f>IF(OR(P178="",P178=0),"",R178/P178)</f>
        <v>0</v>
      </c>
      <c r="T178" s="23">
        <f>IF(B178="","",IF(COUNTIF(Performance!$B$5:$B$404,B178)=0,"",SUMIFS(Performance!$T$5:$T$404,Performance!$B$5:$B$404,B178)))</f>
        <v>0</v>
      </c>
      <c r="U178" s="23">
        <f>IF(B178="","",IF(COUNTIF(Performance!$B$5:$B$404,B178)=0,"",SUMIFS(Performance!$S$5:$S$404,Performance!$B$5:$B$404,B178)))</f>
        <v>0</v>
      </c>
      <c r="V178" s="23">
        <f>IF(B178="","",IF(COUNTIF(Performance!$B$5:$B$404,B178)=0,"",SUMIFS(Performance!$R$5:$R$404,Performance!$B$5:$B$404,B178)))</f>
        <v>0</v>
      </c>
      <c r="W178" s="23">
        <f>IF(B178="","",IF(COUNTIF(Performance!$B$5:$B$404,B178)=0,"",SUMIFS(Performance!$U$5:$U$404,Performance!$B$5:$B$404,B178)))</f>
        <v>0</v>
      </c>
      <c r="X178" s="29">
        <f>IF(B178="","",IF(C178="Not found","Check - content ID not on the calendar",IF(AND(G178="Reel",J178=0),"Add - reel length missing",IF(K178="","Add - no cover image",IF(AND(P178&lt;&gt;"",S178&lt;TargetEngagement),"Review - below your target rate","OK")))))</f>
        <v>0</v>
      </c>
    </row>
    <row r="179" spans="1:24">
      <c r="A179" s="41">
        <f>IF(B179="","","IG-"&amp;TEXT(ROW()-4,"000"))</f>
        <v>0</v>
      </c>
      <c r="C179" s="17">
        <f>IF(B179="","",IFERROR(INDEX('Content Calendar'!$H$5:$H$604,MATCH(B179,'Content Calendar'!$A$5:$A$604,0)),"Not found"))</f>
        <v>0</v>
      </c>
      <c r="D179" s="16">
        <f>IF(B179="","",IFERROR(INDEX('Content Calendar'!$B$5:$B$604,MATCH(B179,'Content Calendar'!$A$5:$A$604,0)),"Not found"))</f>
        <v>0</v>
      </c>
      <c r="E179" s="17">
        <f>IF(B179="","",IFERROR(INDEX('Content Calendar'!$J$5:$J$604,MATCH(B179,'Content Calendar'!$A$5:$A$604,0)),"Not found"))</f>
        <v>0</v>
      </c>
      <c r="F179" s="29">
        <f>IF(B179="","",IFERROR(INDEX('Content Calendar'!$X$5:$X$604,MATCH(B179,'Content Calendar'!$A$5:$A$604,0)),"Not found"))</f>
        <v>0</v>
      </c>
      <c r="P179" s="23">
        <f>IF(B179="","",IF(COUNTIF(Performance!$B$5:$B$404,B179)=0,"",SUMIFS(Performance!$O$5:$O$404,Performance!$B$5:$B$404,B179)))</f>
        <v>0</v>
      </c>
      <c r="Q179" s="23">
        <f>IF(B179="","",IF(COUNTIF(Performance!$B$5:$B$404,B179)=0,"",SUMIFS(Performance!$P$5:$P$404,Performance!$B$5:$B$404,B179)))</f>
        <v>0</v>
      </c>
      <c r="R179" s="23">
        <f>IF(B179="","",IF(COUNTIF(Performance!$B$5:$B$404,B179)=0,"",SUMIFS(Performance!$Z$5:$Z$404,Performance!$B$5:$B$404,B179)))</f>
        <v>0</v>
      </c>
      <c r="S179" s="24">
        <f>IF(OR(P179="",P179=0),"",R179/P179)</f>
        <v>0</v>
      </c>
      <c r="T179" s="23">
        <f>IF(B179="","",IF(COUNTIF(Performance!$B$5:$B$404,B179)=0,"",SUMIFS(Performance!$T$5:$T$404,Performance!$B$5:$B$404,B179)))</f>
        <v>0</v>
      </c>
      <c r="U179" s="23">
        <f>IF(B179="","",IF(COUNTIF(Performance!$B$5:$B$404,B179)=0,"",SUMIFS(Performance!$S$5:$S$404,Performance!$B$5:$B$404,B179)))</f>
        <v>0</v>
      </c>
      <c r="V179" s="23">
        <f>IF(B179="","",IF(COUNTIF(Performance!$B$5:$B$404,B179)=0,"",SUMIFS(Performance!$R$5:$R$404,Performance!$B$5:$B$404,B179)))</f>
        <v>0</v>
      </c>
      <c r="W179" s="23">
        <f>IF(B179="","",IF(COUNTIF(Performance!$B$5:$B$404,B179)=0,"",SUMIFS(Performance!$U$5:$U$404,Performance!$B$5:$B$404,B179)))</f>
        <v>0</v>
      </c>
      <c r="X179" s="29">
        <f>IF(B179="","",IF(C179="Not found","Check - content ID not on the calendar",IF(AND(G179="Reel",J179=0),"Add - reel length missing",IF(K179="","Add - no cover image",IF(AND(P179&lt;&gt;"",S179&lt;TargetEngagement),"Review - below your target rate","OK")))))</f>
        <v>0</v>
      </c>
    </row>
    <row r="180" spans="1:24">
      <c r="A180" s="41">
        <f>IF(B180="","","IG-"&amp;TEXT(ROW()-4,"000"))</f>
        <v>0</v>
      </c>
      <c r="C180" s="17">
        <f>IF(B180="","",IFERROR(INDEX('Content Calendar'!$H$5:$H$604,MATCH(B180,'Content Calendar'!$A$5:$A$604,0)),"Not found"))</f>
        <v>0</v>
      </c>
      <c r="D180" s="16">
        <f>IF(B180="","",IFERROR(INDEX('Content Calendar'!$B$5:$B$604,MATCH(B180,'Content Calendar'!$A$5:$A$604,0)),"Not found"))</f>
        <v>0</v>
      </c>
      <c r="E180" s="17">
        <f>IF(B180="","",IFERROR(INDEX('Content Calendar'!$J$5:$J$604,MATCH(B180,'Content Calendar'!$A$5:$A$604,0)),"Not found"))</f>
        <v>0</v>
      </c>
      <c r="F180" s="29">
        <f>IF(B180="","",IFERROR(INDEX('Content Calendar'!$X$5:$X$604,MATCH(B180,'Content Calendar'!$A$5:$A$604,0)),"Not found"))</f>
        <v>0</v>
      </c>
      <c r="P180" s="23">
        <f>IF(B180="","",IF(COUNTIF(Performance!$B$5:$B$404,B180)=0,"",SUMIFS(Performance!$O$5:$O$404,Performance!$B$5:$B$404,B180)))</f>
        <v>0</v>
      </c>
      <c r="Q180" s="23">
        <f>IF(B180="","",IF(COUNTIF(Performance!$B$5:$B$404,B180)=0,"",SUMIFS(Performance!$P$5:$P$404,Performance!$B$5:$B$404,B180)))</f>
        <v>0</v>
      </c>
      <c r="R180" s="23">
        <f>IF(B180="","",IF(COUNTIF(Performance!$B$5:$B$404,B180)=0,"",SUMIFS(Performance!$Z$5:$Z$404,Performance!$B$5:$B$404,B180)))</f>
        <v>0</v>
      </c>
      <c r="S180" s="24">
        <f>IF(OR(P180="",P180=0),"",R180/P180)</f>
        <v>0</v>
      </c>
      <c r="T180" s="23">
        <f>IF(B180="","",IF(COUNTIF(Performance!$B$5:$B$404,B180)=0,"",SUMIFS(Performance!$T$5:$T$404,Performance!$B$5:$B$404,B180)))</f>
        <v>0</v>
      </c>
      <c r="U180" s="23">
        <f>IF(B180="","",IF(COUNTIF(Performance!$B$5:$B$404,B180)=0,"",SUMIFS(Performance!$S$5:$S$404,Performance!$B$5:$B$404,B180)))</f>
        <v>0</v>
      </c>
      <c r="V180" s="23">
        <f>IF(B180="","",IF(COUNTIF(Performance!$B$5:$B$404,B180)=0,"",SUMIFS(Performance!$R$5:$R$404,Performance!$B$5:$B$404,B180)))</f>
        <v>0</v>
      </c>
      <c r="W180" s="23">
        <f>IF(B180="","",IF(COUNTIF(Performance!$B$5:$B$404,B180)=0,"",SUMIFS(Performance!$U$5:$U$404,Performance!$B$5:$B$404,B180)))</f>
        <v>0</v>
      </c>
      <c r="X180" s="29">
        <f>IF(B180="","",IF(C180="Not found","Check - content ID not on the calendar",IF(AND(G180="Reel",J180=0),"Add - reel length missing",IF(K180="","Add - no cover image",IF(AND(P180&lt;&gt;"",S180&lt;TargetEngagement),"Review - below your target rate","OK")))))</f>
        <v>0</v>
      </c>
    </row>
    <row r="181" spans="1:24">
      <c r="A181" s="41">
        <f>IF(B181="","","IG-"&amp;TEXT(ROW()-4,"000"))</f>
        <v>0</v>
      </c>
      <c r="C181" s="17">
        <f>IF(B181="","",IFERROR(INDEX('Content Calendar'!$H$5:$H$604,MATCH(B181,'Content Calendar'!$A$5:$A$604,0)),"Not found"))</f>
        <v>0</v>
      </c>
      <c r="D181" s="16">
        <f>IF(B181="","",IFERROR(INDEX('Content Calendar'!$B$5:$B$604,MATCH(B181,'Content Calendar'!$A$5:$A$604,0)),"Not found"))</f>
        <v>0</v>
      </c>
      <c r="E181" s="17">
        <f>IF(B181="","",IFERROR(INDEX('Content Calendar'!$J$5:$J$604,MATCH(B181,'Content Calendar'!$A$5:$A$604,0)),"Not found"))</f>
        <v>0</v>
      </c>
      <c r="F181" s="29">
        <f>IF(B181="","",IFERROR(INDEX('Content Calendar'!$X$5:$X$604,MATCH(B181,'Content Calendar'!$A$5:$A$604,0)),"Not found"))</f>
        <v>0</v>
      </c>
      <c r="P181" s="23">
        <f>IF(B181="","",IF(COUNTIF(Performance!$B$5:$B$404,B181)=0,"",SUMIFS(Performance!$O$5:$O$404,Performance!$B$5:$B$404,B181)))</f>
        <v>0</v>
      </c>
      <c r="Q181" s="23">
        <f>IF(B181="","",IF(COUNTIF(Performance!$B$5:$B$404,B181)=0,"",SUMIFS(Performance!$P$5:$P$404,Performance!$B$5:$B$404,B181)))</f>
        <v>0</v>
      </c>
      <c r="R181" s="23">
        <f>IF(B181="","",IF(COUNTIF(Performance!$B$5:$B$404,B181)=0,"",SUMIFS(Performance!$Z$5:$Z$404,Performance!$B$5:$B$404,B181)))</f>
        <v>0</v>
      </c>
      <c r="S181" s="24">
        <f>IF(OR(P181="",P181=0),"",R181/P181)</f>
        <v>0</v>
      </c>
      <c r="T181" s="23">
        <f>IF(B181="","",IF(COUNTIF(Performance!$B$5:$B$404,B181)=0,"",SUMIFS(Performance!$T$5:$T$404,Performance!$B$5:$B$404,B181)))</f>
        <v>0</v>
      </c>
      <c r="U181" s="23">
        <f>IF(B181="","",IF(COUNTIF(Performance!$B$5:$B$404,B181)=0,"",SUMIFS(Performance!$S$5:$S$404,Performance!$B$5:$B$404,B181)))</f>
        <v>0</v>
      </c>
      <c r="V181" s="23">
        <f>IF(B181="","",IF(COUNTIF(Performance!$B$5:$B$404,B181)=0,"",SUMIFS(Performance!$R$5:$R$404,Performance!$B$5:$B$404,B181)))</f>
        <v>0</v>
      </c>
      <c r="W181" s="23">
        <f>IF(B181="","",IF(COUNTIF(Performance!$B$5:$B$404,B181)=0,"",SUMIFS(Performance!$U$5:$U$404,Performance!$B$5:$B$404,B181)))</f>
        <v>0</v>
      </c>
      <c r="X181" s="29">
        <f>IF(B181="","",IF(C181="Not found","Check - content ID not on the calendar",IF(AND(G181="Reel",J181=0),"Add - reel length missing",IF(K181="","Add - no cover image",IF(AND(P181&lt;&gt;"",S181&lt;TargetEngagement),"Review - below your target rate","OK")))))</f>
        <v>0</v>
      </c>
    </row>
    <row r="182" spans="1:24">
      <c r="A182" s="41">
        <f>IF(B182="","","IG-"&amp;TEXT(ROW()-4,"000"))</f>
        <v>0</v>
      </c>
      <c r="C182" s="17">
        <f>IF(B182="","",IFERROR(INDEX('Content Calendar'!$H$5:$H$604,MATCH(B182,'Content Calendar'!$A$5:$A$604,0)),"Not found"))</f>
        <v>0</v>
      </c>
      <c r="D182" s="16">
        <f>IF(B182="","",IFERROR(INDEX('Content Calendar'!$B$5:$B$604,MATCH(B182,'Content Calendar'!$A$5:$A$604,0)),"Not found"))</f>
        <v>0</v>
      </c>
      <c r="E182" s="17">
        <f>IF(B182="","",IFERROR(INDEX('Content Calendar'!$J$5:$J$604,MATCH(B182,'Content Calendar'!$A$5:$A$604,0)),"Not found"))</f>
        <v>0</v>
      </c>
      <c r="F182" s="29">
        <f>IF(B182="","",IFERROR(INDEX('Content Calendar'!$X$5:$X$604,MATCH(B182,'Content Calendar'!$A$5:$A$604,0)),"Not found"))</f>
        <v>0</v>
      </c>
      <c r="P182" s="23">
        <f>IF(B182="","",IF(COUNTIF(Performance!$B$5:$B$404,B182)=0,"",SUMIFS(Performance!$O$5:$O$404,Performance!$B$5:$B$404,B182)))</f>
        <v>0</v>
      </c>
      <c r="Q182" s="23">
        <f>IF(B182="","",IF(COUNTIF(Performance!$B$5:$B$404,B182)=0,"",SUMIFS(Performance!$P$5:$P$404,Performance!$B$5:$B$404,B182)))</f>
        <v>0</v>
      </c>
      <c r="R182" s="23">
        <f>IF(B182="","",IF(COUNTIF(Performance!$B$5:$B$404,B182)=0,"",SUMIFS(Performance!$Z$5:$Z$404,Performance!$B$5:$B$404,B182)))</f>
        <v>0</v>
      </c>
      <c r="S182" s="24">
        <f>IF(OR(P182="",P182=0),"",R182/P182)</f>
        <v>0</v>
      </c>
      <c r="T182" s="23">
        <f>IF(B182="","",IF(COUNTIF(Performance!$B$5:$B$404,B182)=0,"",SUMIFS(Performance!$T$5:$T$404,Performance!$B$5:$B$404,B182)))</f>
        <v>0</v>
      </c>
      <c r="U182" s="23">
        <f>IF(B182="","",IF(COUNTIF(Performance!$B$5:$B$404,B182)=0,"",SUMIFS(Performance!$S$5:$S$404,Performance!$B$5:$B$404,B182)))</f>
        <v>0</v>
      </c>
      <c r="V182" s="23">
        <f>IF(B182="","",IF(COUNTIF(Performance!$B$5:$B$404,B182)=0,"",SUMIFS(Performance!$R$5:$R$404,Performance!$B$5:$B$404,B182)))</f>
        <v>0</v>
      </c>
      <c r="W182" s="23">
        <f>IF(B182="","",IF(COUNTIF(Performance!$B$5:$B$404,B182)=0,"",SUMIFS(Performance!$U$5:$U$404,Performance!$B$5:$B$404,B182)))</f>
        <v>0</v>
      </c>
      <c r="X182" s="29">
        <f>IF(B182="","",IF(C182="Not found","Check - content ID not on the calendar",IF(AND(G182="Reel",J182=0),"Add - reel length missing",IF(K182="","Add - no cover image",IF(AND(P182&lt;&gt;"",S182&lt;TargetEngagement),"Review - below your target rate","OK")))))</f>
        <v>0</v>
      </c>
    </row>
    <row r="183" spans="1:24">
      <c r="A183" s="41">
        <f>IF(B183="","","IG-"&amp;TEXT(ROW()-4,"000"))</f>
        <v>0</v>
      </c>
      <c r="C183" s="17">
        <f>IF(B183="","",IFERROR(INDEX('Content Calendar'!$H$5:$H$604,MATCH(B183,'Content Calendar'!$A$5:$A$604,0)),"Not found"))</f>
        <v>0</v>
      </c>
      <c r="D183" s="16">
        <f>IF(B183="","",IFERROR(INDEX('Content Calendar'!$B$5:$B$604,MATCH(B183,'Content Calendar'!$A$5:$A$604,0)),"Not found"))</f>
        <v>0</v>
      </c>
      <c r="E183" s="17">
        <f>IF(B183="","",IFERROR(INDEX('Content Calendar'!$J$5:$J$604,MATCH(B183,'Content Calendar'!$A$5:$A$604,0)),"Not found"))</f>
        <v>0</v>
      </c>
      <c r="F183" s="29">
        <f>IF(B183="","",IFERROR(INDEX('Content Calendar'!$X$5:$X$604,MATCH(B183,'Content Calendar'!$A$5:$A$604,0)),"Not found"))</f>
        <v>0</v>
      </c>
      <c r="P183" s="23">
        <f>IF(B183="","",IF(COUNTIF(Performance!$B$5:$B$404,B183)=0,"",SUMIFS(Performance!$O$5:$O$404,Performance!$B$5:$B$404,B183)))</f>
        <v>0</v>
      </c>
      <c r="Q183" s="23">
        <f>IF(B183="","",IF(COUNTIF(Performance!$B$5:$B$404,B183)=0,"",SUMIFS(Performance!$P$5:$P$404,Performance!$B$5:$B$404,B183)))</f>
        <v>0</v>
      </c>
      <c r="R183" s="23">
        <f>IF(B183="","",IF(COUNTIF(Performance!$B$5:$B$404,B183)=0,"",SUMIFS(Performance!$Z$5:$Z$404,Performance!$B$5:$B$404,B183)))</f>
        <v>0</v>
      </c>
      <c r="S183" s="24">
        <f>IF(OR(P183="",P183=0),"",R183/P183)</f>
        <v>0</v>
      </c>
      <c r="T183" s="23">
        <f>IF(B183="","",IF(COUNTIF(Performance!$B$5:$B$404,B183)=0,"",SUMIFS(Performance!$T$5:$T$404,Performance!$B$5:$B$404,B183)))</f>
        <v>0</v>
      </c>
      <c r="U183" s="23">
        <f>IF(B183="","",IF(COUNTIF(Performance!$B$5:$B$404,B183)=0,"",SUMIFS(Performance!$S$5:$S$404,Performance!$B$5:$B$404,B183)))</f>
        <v>0</v>
      </c>
      <c r="V183" s="23">
        <f>IF(B183="","",IF(COUNTIF(Performance!$B$5:$B$404,B183)=0,"",SUMIFS(Performance!$R$5:$R$404,Performance!$B$5:$B$404,B183)))</f>
        <v>0</v>
      </c>
      <c r="W183" s="23">
        <f>IF(B183="","",IF(COUNTIF(Performance!$B$5:$B$404,B183)=0,"",SUMIFS(Performance!$U$5:$U$404,Performance!$B$5:$B$404,B183)))</f>
        <v>0</v>
      </c>
      <c r="X183" s="29">
        <f>IF(B183="","",IF(C183="Not found","Check - content ID not on the calendar",IF(AND(G183="Reel",J183=0),"Add - reel length missing",IF(K183="","Add - no cover image",IF(AND(P183&lt;&gt;"",S183&lt;TargetEngagement),"Review - below your target rate","OK")))))</f>
        <v>0</v>
      </c>
    </row>
    <row r="184" spans="1:24">
      <c r="A184" s="41">
        <f>IF(B184="","","IG-"&amp;TEXT(ROW()-4,"000"))</f>
        <v>0</v>
      </c>
      <c r="C184" s="17">
        <f>IF(B184="","",IFERROR(INDEX('Content Calendar'!$H$5:$H$604,MATCH(B184,'Content Calendar'!$A$5:$A$604,0)),"Not found"))</f>
        <v>0</v>
      </c>
      <c r="D184" s="16">
        <f>IF(B184="","",IFERROR(INDEX('Content Calendar'!$B$5:$B$604,MATCH(B184,'Content Calendar'!$A$5:$A$604,0)),"Not found"))</f>
        <v>0</v>
      </c>
      <c r="E184" s="17">
        <f>IF(B184="","",IFERROR(INDEX('Content Calendar'!$J$5:$J$604,MATCH(B184,'Content Calendar'!$A$5:$A$604,0)),"Not found"))</f>
        <v>0</v>
      </c>
      <c r="F184" s="29">
        <f>IF(B184="","",IFERROR(INDEX('Content Calendar'!$X$5:$X$604,MATCH(B184,'Content Calendar'!$A$5:$A$604,0)),"Not found"))</f>
        <v>0</v>
      </c>
      <c r="P184" s="23">
        <f>IF(B184="","",IF(COUNTIF(Performance!$B$5:$B$404,B184)=0,"",SUMIFS(Performance!$O$5:$O$404,Performance!$B$5:$B$404,B184)))</f>
        <v>0</v>
      </c>
      <c r="Q184" s="23">
        <f>IF(B184="","",IF(COUNTIF(Performance!$B$5:$B$404,B184)=0,"",SUMIFS(Performance!$P$5:$P$404,Performance!$B$5:$B$404,B184)))</f>
        <v>0</v>
      </c>
      <c r="R184" s="23">
        <f>IF(B184="","",IF(COUNTIF(Performance!$B$5:$B$404,B184)=0,"",SUMIFS(Performance!$Z$5:$Z$404,Performance!$B$5:$B$404,B184)))</f>
        <v>0</v>
      </c>
      <c r="S184" s="24">
        <f>IF(OR(P184="",P184=0),"",R184/P184)</f>
        <v>0</v>
      </c>
      <c r="T184" s="23">
        <f>IF(B184="","",IF(COUNTIF(Performance!$B$5:$B$404,B184)=0,"",SUMIFS(Performance!$T$5:$T$404,Performance!$B$5:$B$404,B184)))</f>
        <v>0</v>
      </c>
      <c r="U184" s="23">
        <f>IF(B184="","",IF(COUNTIF(Performance!$B$5:$B$404,B184)=0,"",SUMIFS(Performance!$S$5:$S$404,Performance!$B$5:$B$404,B184)))</f>
        <v>0</v>
      </c>
      <c r="V184" s="23">
        <f>IF(B184="","",IF(COUNTIF(Performance!$B$5:$B$404,B184)=0,"",SUMIFS(Performance!$R$5:$R$404,Performance!$B$5:$B$404,B184)))</f>
        <v>0</v>
      </c>
      <c r="W184" s="23">
        <f>IF(B184="","",IF(COUNTIF(Performance!$B$5:$B$404,B184)=0,"",SUMIFS(Performance!$U$5:$U$404,Performance!$B$5:$B$404,B184)))</f>
        <v>0</v>
      </c>
      <c r="X184" s="29">
        <f>IF(B184="","",IF(C184="Not found","Check - content ID not on the calendar",IF(AND(G184="Reel",J184=0),"Add - reel length missing",IF(K184="","Add - no cover image",IF(AND(P184&lt;&gt;"",S184&lt;TargetEngagement),"Review - below your target rate","OK")))))</f>
        <v>0</v>
      </c>
    </row>
    <row r="185" spans="1:24">
      <c r="A185" s="41">
        <f>IF(B185="","","IG-"&amp;TEXT(ROW()-4,"000"))</f>
        <v>0</v>
      </c>
      <c r="C185" s="17">
        <f>IF(B185="","",IFERROR(INDEX('Content Calendar'!$H$5:$H$604,MATCH(B185,'Content Calendar'!$A$5:$A$604,0)),"Not found"))</f>
        <v>0</v>
      </c>
      <c r="D185" s="16">
        <f>IF(B185="","",IFERROR(INDEX('Content Calendar'!$B$5:$B$604,MATCH(B185,'Content Calendar'!$A$5:$A$604,0)),"Not found"))</f>
        <v>0</v>
      </c>
      <c r="E185" s="17">
        <f>IF(B185="","",IFERROR(INDEX('Content Calendar'!$J$5:$J$604,MATCH(B185,'Content Calendar'!$A$5:$A$604,0)),"Not found"))</f>
        <v>0</v>
      </c>
      <c r="F185" s="29">
        <f>IF(B185="","",IFERROR(INDEX('Content Calendar'!$X$5:$X$604,MATCH(B185,'Content Calendar'!$A$5:$A$604,0)),"Not found"))</f>
        <v>0</v>
      </c>
      <c r="P185" s="23">
        <f>IF(B185="","",IF(COUNTIF(Performance!$B$5:$B$404,B185)=0,"",SUMIFS(Performance!$O$5:$O$404,Performance!$B$5:$B$404,B185)))</f>
        <v>0</v>
      </c>
      <c r="Q185" s="23">
        <f>IF(B185="","",IF(COUNTIF(Performance!$B$5:$B$404,B185)=0,"",SUMIFS(Performance!$P$5:$P$404,Performance!$B$5:$B$404,B185)))</f>
        <v>0</v>
      </c>
      <c r="R185" s="23">
        <f>IF(B185="","",IF(COUNTIF(Performance!$B$5:$B$404,B185)=0,"",SUMIFS(Performance!$Z$5:$Z$404,Performance!$B$5:$B$404,B185)))</f>
        <v>0</v>
      </c>
      <c r="S185" s="24">
        <f>IF(OR(P185="",P185=0),"",R185/P185)</f>
        <v>0</v>
      </c>
      <c r="T185" s="23">
        <f>IF(B185="","",IF(COUNTIF(Performance!$B$5:$B$404,B185)=0,"",SUMIFS(Performance!$T$5:$T$404,Performance!$B$5:$B$404,B185)))</f>
        <v>0</v>
      </c>
      <c r="U185" s="23">
        <f>IF(B185="","",IF(COUNTIF(Performance!$B$5:$B$404,B185)=0,"",SUMIFS(Performance!$S$5:$S$404,Performance!$B$5:$B$404,B185)))</f>
        <v>0</v>
      </c>
      <c r="V185" s="23">
        <f>IF(B185="","",IF(COUNTIF(Performance!$B$5:$B$404,B185)=0,"",SUMIFS(Performance!$R$5:$R$404,Performance!$B$5:$B$404,B185)))</f>
        <v>0</v>
      </c>
      <c r="W185" s="23">
        <f>IF(B185="","",IF(COUNTIF(Performance!$B$5:$B$404,B185)=0,"",SUMIFS(Performance!$U$5:$U$404,Performance!$B$5:$B$404,B185)))</f>
        <v>0</v>
      </c>
      <c r="X185" s="29">
        <f>IF(B185="","",IF(C185="Not found","Check - content ID not on the calendar",IF(AND(G185="Reel",J185=0),"Add - reel length missing",IF(K185="","Add - no cover image",IF(AND(P185&lt;&gt;"",S185&lt;TargetEngagement),"Review - below your target rate","OK")))))</f>
        <v>0</v>
      </c>
    </row>
    <row r="186" spans="1:24">
      <c r="A186" s="41">
        <f>IF(B186="","","IG-"&amp;TEXT(ROW()-4,"000"))</f>
        <v>0</v>
      </c>
      <c r="C186" s="17">
        <f>IF(B186="","",IFERROR(INDEX('Content Calendar'!$H$5:$H$604,MATCH(B186,'Content Calendar'!$A$5:$A$604,0)),"Not found"))</f>
        <v>0</v>
      </c>
      <c r="D186" s="16">
        <f>IF(B186="","",IFERROR(INDEX('Content Calendar'!$B$5:$B$604,MATCH(B186,'Content Calendar'!$A$5:$A$604,0)),"Not found"))</f>
        <v>0</v>
      </c>
      <c r="E186" s="17">
        <f>IF(B186="","",IFERROR(INDEX('Content Calendar'!$J$5:$J$604,MATCH(B186,'Content Calendar'!$A$5:$A$604,0)),"Not found"))</f>
        <v>0</v>
      </c>
      <c r="F186" s="29">
        <f>IF(B186="","",IFERROR(INDEX('Content Calendar'!$X$5:$X$604,MATCH(B186,'Content Calendar'!$A$5:$A$604,0)),"Not found"))</f>
        <v>0</v>
      </c>
      <c r="P186" s="23">
        <f>IF(B186="","",IF(COUNTIF(Performance!$B$5:$B$404,B186)=0,"",SUMIFS(Performance!$O$5:$O$404,Performance!$B$5:$B$404,B186)))</f>
        <v>0</v>
      </c>
      <c r="Q186" s="23">
        <f>IF(B186="","",IF(COUNTIF(Performance!$B$5:$B$404,B186)=0,"",SUMIFS(Performance!$P$5:$P$404,Performance!$B$5:$B$404,B186)))</f>
        <v>0</v>
      </c>
      <c r="R186" s="23">
        <f>IF(B186="","",IF(COUNTIF(Performance!$B$5:$B$404,B186)=0,"",SUMIFS(Performance!$Z$5:$Z$404,Performance!$B$5:$B$404,B186)))</f>
        <v>0</v>
      </c>
      <c r="S186" s="24">
        <f>IF(OR(P186="",P186=0),"",R186/P186)</f>
        <v>0</v>
      </c>
      <c r="T186" s="23">
        <f>IF(B186="","",IF(COUNTIF(Performance!$B$5:$B$404,B186)=0,"",SUMIFS(Performance!$T$5:$T$404,Performance!$B$5:$B$404,B186)))</f>
        <v>0</v>
      </c>
      <c r="U186" s="23">
        <f>IF(B186="","",IF(COUNTIF(Performance!$B$5:$B$404,B186)=0,"",SUMIFS(Performance!$S$5:$S$404,Performance!$B$5:$B$404,B186)))</f>
        <v>0</v>
      </c>
      <c r="V186" s="23">
        <f>IF(B186="","",IF(COUNTIF(Performance!$B$5:$B$404,B186)=0,"",SUMIFS(Performance!$R$5:$R$404,Performance!$B$5:$B$404,B186)))</f>
        <v>0</v>
      </c>
      <c r="W186" s="23">
        <f>IF(B186="","",IF(COUNTIF(Performance!$B$5:$B$404,B186)=0,"",SUMIFS(Performance!$U$5:$U$404,Performance!$B$5:$B$404,B186)))</f>
        <v>0</v>
      </c>
      <c r="X186" s="29">
        <f>IF(B186="","",IF(C186="Not found","Check - content ID not on the calendar",IF(AND(G186="Reel",J186=0),"Add - reel length missing",IF(K186="","Add - no cover image",IF(AND(P186&lt;&gt;"",S186&lt;TargetEngagement),"Review - below your target rate","OK")))))</f>
        <v>0</v>
      </c>
    </row>
    <row r="187" spans="1:24">
      <c r="A187" s="41">
        <f>IF(B187="","","IG-"&amp;TEXT(ROW()-4,"000"))</f>
        <v>0</v>
      </c>
      <c r="C187" s="17">
        <f>IF(B187="","",IFERROR(INDEX('Content Calendar'!$H$5:$H$604,MATCH(B187,'Content Calendar'!$A$5:$A$604,0)),"Not found"))</f>
        <v>0</v>
      </c>
      <c r="D187" s="16">
        <f>IF(B187="","",IFERROR(INDEX('Content Calendar'!$B$5:$B$604,MATCH(B187,'Content Calendar'!$A$5:$A$604,0)),"Not found"))</f>
        <v>0</v>
      </c>
      <c r="E187" s="17">
        <f>IF(B187="","",IFERROR(INDEX('Content Calendar'!$J$5:$J$604,MATCH(B187,'Content Calendar'!$A$5:$A$604,0)),"Not found"))</f>
        <v>0</v>
      </c>
      <c r="F187" s="29">
        <f>IF(B187="","",IFERROR(INDEX('Content Calendar'!$X$5:$X$604,MATCH(B187,'Content Calendar'!$A$5:$A$604,0)),"Not found"))</f>
        <v>0</v>
      </c>
      <c r="P187" s="23">
        <f>IF(B187="","",IF(COUNTIF(Performance!$B$5:$B$404,B187)=0,"",SUMIFS(Performance!$O$5:$O$404,Performance!$B$5:$B$404,B187)))</f>
        <v>0</v>
      </c>
      <c r="Q187" s="23">
        <f>IF(B187="","",IF(COUNTIF(Performance!$B$5:$B$404,B187)=0,"",SUMIFS(Performance!$P$5:$P$404,Performance!$B$5:$B$404,B187)))</f>
        <v>0</v>
      </c>
      <c r="R187" s="23">
        <f>IF(B187="","",IF(COUNTIF(Performance!$B$5:$B$404,B187)=0,"",SUMIFS(Performance!$Z$5:$Z$404,Performance!$B$5:$B$404,B187)))</f>
        <v>0</v>
      </c>
      <c r="S187" s="24">
        <f>IF(OR(P187="",P187=0),"",R187/P187)</f>
        <v>0</v>
      </c>
      <c r="T187" s="23">
        <f>IF(B187="","",IF(COUNTIF(Performance!$B$5:$B$404,B187)=0,"",SUMIFS(Performance!$T$5:$T$404,Performance!$B$5:$B$404,B187)))</f>
        <v>0</v>
      </c>
      <c r="U187" s="23">
        <f>IF(B187="","",IF(COUNTIF(Performance!$B$5:$B$404,B187)=0,"",SUMIFS(Performance!$S$5:$S$404,Performance!$B$5:$B$404,B187)))</f>
        <v>0</v>
      </c>
      <c r="V187" s="23">
        <f>IF(B187="","",IF(COUNTIF(Performance!$B$5:$B$404,B187)=0,"",SUMIFS(Performance!$R$5:$R$404,Performance!$B$5:$B$404,B187)))</f>
        <v>0</v>
      </c>
      <c r="W187" s="23">
        <f>IF(B187="","",IF(COUNTIF(Performance!$B$5:$B$404,B187)=0,"",SUMIFS(Performance!$U$5:$U$404,Performance!$B$5:$B$404,B187)))</f>
        <v>0</v>
      </c>
      <c r="X187" s="29">
        <f>IF(B187="","",IF(C187="Not found","Check - content ID not on the calendar",IF(AND(G187="Reel",J187=0),"Add - reel length missing",IF(K187="","Add - no cover image",IF(AND(P187&lt;&gt;"",S187&lt;TargetEngagement),"Review - below your target rate","OK")))))</f>
        <v>0</v>
      </c>
    </row>
    <row r="188" spans="1:24">
      <c r="A188" s="41">
        <f>IF(B188="","","IG-"&amp;TEXT(ROW()-4,"000"))</f>
        <v>0</v>
      </c>
      <c r="C188" s="17">
        <f>IF(B188="","",IFERROR(INDEX('Content Calendar'!$H$5:$H$604,MATCH(B188,'Content Calendar'!$A$5:$A$604,0)),"Not found"))</f>
        <v>0</v>
      </c>
      <c r="D188" s="16">
        <f>IF(B188="","",IFERROR(INDEX('Content Calendar'!$B$5:$B$604,MATCH(B188,'Content Calendar'!$A$5:$A$604,0)),"Not found"))</f>
        <v>0</v>
      </c>
      <c r="E188" s="17">
        <f>IF(B188="","",IFERROR(INDEX('Content Calendar'!$J$5:$J$604,MATCH(B188,'Content Calendar'!$A$5:$A$604,0)),"Not found"))</f>
        <v>0</v>
      </c>
      <c r="F188" s="29">
        <f>IF(B188="","",IFERROR(INDEX('Content Calendar'!$X$5:$X$604,MATCH(B188,'Content Calendar'!$A$5:$A$604,0)),"Not found"))</f>
        <v>0</v>
      </c>
      <c r="P188" s="23">
        <f>IF(B188="","",IF(COUNTIF(Performance!$B$5:$B$404,B188)=0,"",SUMIFS(Performance!$O$5:$O$404,Performance!$B$5:$B$404,B188)))</f>
        <v>0</v>
      </c>
      <c r="Q188" s="23">
        <f>IF(B188="","",IF(COUNTIF(Performance!$B$5:$B$404,B188)=0,"",SUMIFS(Performance!$P$5:$P$404,Performance!$B$5:$B$404,B188)))</f>
        <v>0</v>
      </c>
      <c r="R188" s="23">
        <f>IF(B188="","",IF(COUNTIF(Performance!$B$5:$B$404,B188)=0,"",SUMIFS(Performance!$Z$5:$Z$404,Performance!$B$5:$B$404,B188)))</f>
        <v>0</v>
      </c>
      <c r="S188" s="24">
        <f>IF(OR(P188="",P188=0),"",R188/P188)</f>
        <v>0</v>
      </c>
      <c r="T188" s="23">
        <f>IF(B188="","",IF(COUNTIF(Performance!$B$5:$B$404,B188)=0,"",SUMIFS(Performance!$T$5:$T$404,Performance!$B$5:$B$404,B188)))</f>
        <v>0</v>
      </c>
      <c r="U188" s="23">
        <f>IF(B188="","",IF(COUNTIF(Performance!$B$5:$B$404,B188)=0,"",SUMIFS(Performance!$S$5:$S$404,Performance!$B$5:$B$404,B188)))</f>
        <v>0</v>
      </c>
      <c r="V188" s="23">
        <f>IF(B188="","",IF(COUNTIF(Performance!$B$5:$B$404,B188)=0,"",SUMIFS(Performance!$R$5:$R$404,Performance!$B$5:$B$404,B188)))</f>
        <v>0</v>
      </c>
      <c r="W188" s="23">
        <f>IF(B188="","",IF(COUNTIF(Performance!$B$5:$B$404,B188)=0,"",SUMIFS(Performance!$U$5:$U$404,Performance!$B$5:$B$404,B188)))</f>
        <v>0</v>
      </c>
      <c r="X188" s="29">
        <f>IF(B188="","",IF(C188="Not found","Check - content ID not on the calendar",IF(AND(G188="Reel",J188=0),"Add - reel length missing",IF(K188="","Add - no cover image",IF(AND(P188&lt;&gt;"",S188&lt;TargetEngagement),"Review - below your target rate","OK")))))</f>
        <v>0</v>
      </c>
    </row>
    <row r="189" spans="1:24">
      <c r="A189" s="41">
        <f>IF(B189="","","IG-"&amp;TEXT(ROW()-4,"000"))</f>
        <v>0</v>
      </c>
      <c r="C189" s="17">
        <f>IF(B189="","",IFERROR(INDEX('Content Calendar'!$H$5:$H$604,MATCH(B189,'Content Calendar'!$A$5:$A$604,0)),"Not found"))</f>
        <v>0</v>
      </c>
      <c r="D189" s="16">
        <f>IF(B189="","",IFERROR(INDEX('Content Calendar'!$B$5:$B$604,MATCH(B189,'Content Calendar'!$A$5:$A$604,0)),"Not found"))</f>
        <v>0</v>
      </c>
      <c r="E189" s="17">
        <f>IF(B189="","",IFERROR(INDEX('Content Calendar'!$J$5:$J$604,MATCH(B189,'Content Calendar'!$A$5:$A$604,0)),"Not found"))</f>
        <v>0</v>
      </c>
      <c r="F189" s="29">
        <f>IF(B189="","",IFERROR(INDEX('Content Calendar'!$X$5:$X$604,MATCH(B189,'Content Calendar'!$A$5:$A$604,0)),"Not found"))</f>
        <v>0</v>
      </c>
      <c r="P189" s="23">
        <f>IF(B189="","",IF(COUNTIF(Performance!$B$5:$B$404,B189)=0,"",SUMIFS(Performance!$O$5:$O$404,Performance!$B$5:$B$404,B189)))</f>
        <v>0</v>
      </c>
      <c r="Q189" s="23">
        <f>IF(B189="","",IF(COUNTIF(Performance!$B$5:$B$404,B189)=0,"",SUMIFS(Performance!$P$5:$P$404,Performance!$B$5:$B$404,B189)))</f>
        <v>0</v>
      </c>
      <c r="R189" s="23">
        <f>IF(B189="","",IF(COUNTIF(Performance!$B$5:$B$404,B189)=0,"",SUMIFS(Performance!$Z$5:$Z$404,Performance!$B$5:$B$404,B189)))</f>
        <v>0</v>
      </c>
      <c r="S189" s="24">
        <f>IF(OR(P189="",P189=0),"",R189/P189)</f>
        <v>0</v>
      </c>
      <c r="T189" s="23">
        <f>IF(B189="","",IF(COUNTIF(Performance!$B$5:$B$404,B189)=0,"",SUMIFS(Performance!$T$5:$T$404,Performance!$B$5:$B$404,B189)))</f>
        <v>0</v>
      </c>
      <c r="U189" s="23">
        <f>IF(B189="","",IF(COUNTIF(Performance!$B$5:$B$404,B189)=0,"",SUMIFS(Performance!$S$5:$S$404,Performance!$B$5:$B$404,B189)))</f>
        <v>0</v>
      </c>
      <c r="V189" s="23">
        <f>IF(B189="","",IF(COUNTIF(Performance!$B$5:$B$404,B189)=0,"",SUMIFS(Performance!$R$5:$R$404,Performance!$B$5:$B$404,B189)))</f>
        <v>0</v>
      </c>
      <c r="W189" s="23">
        <f>IF(B189="","",IF(COUNTIF(Performance!$B$5:$B$404,B189)=0,"",SUMIFS(Performance!$U$5:$U$404,Performance!$B$5:$B$404,B189)))</f>
        <v>0</v>
      </c>
      <c r="X189" s="29">
        <f>IF(B189="","",IF(C189="Not found","Check - content ID not on the calendar",IF(AND(G189="Reel",J189=0),"Add - reel length missing",IF(K189="","Add - no cover image",IF(AND(P189&lt;&gt;"",S189&lt;TargetEngagement),"Review - below your target rate","OK")))))</f>
        <v>0</v>
      </c>
    </row>
    <row r="190" spans="1:24">
      <c r="A190" s="41">
        <f>IF(B190="","","IG-"&amp;TEXT(ROW()-4,"000"))</f>
        <v>0</v>
      </c>
      <c r="C190" s="17">
        <f>IF(B190="","",IFERROR(INDEX('Content Calendar'!$H$5:$H$604,MATCH(B190,'Content Calendar'!$A$5:$A$604,0)),"Not found"))</f>
        <v>0</v>
      </c>
      <c r="D190" s="16">
        <f>IF(B190="","",IFERROR(INDEX('Content Calendar'!$B$5:$B$604,MATCH(B190,'Content Calendar'!$A$5:$A$604,0)),"Not found"))</f>
        <v>0</v>
      </c>
      <c r="E190" s="17">
        <f>IF(B190="","",IFERROR(INDEX('Content Calendar'!$J$5:$J$604,MATCH(B190,'Content Calendar'!$A$5:$A$604,0)),"Not found"))</f>
        <v>0</v>
      </c>
      <c r="F190" s="29">
        <f>IF(B190="","",IFERROR(INDEX('Content Calendar'!$X$5:$X$604,MATCH(B190,'Content Calendar'!$A$5:$A$604,0)),"Not found"))</f>
        <v>0</v>
      </c>
      <c r="P190" s="23">
        <f>IF(B190="","",IF(COUNTIF(Performance!$B$5:$B$404,B190)=0,"",SUMIFS(Performance!$O$5:$O$404,Performance!$B$5:$B$404,B190)))</f>
        <v>0</v>
      </c>
      <c r="Q190" s="23">
        <f>IF(B190="","",IF(COUNTIF(Performance!$B$5:$B$404,B190)=0,"",SUMIFS(Performance!$P$5:$P$404,Performance!$B$5:$B$404,B190)))</f>
        <v>0</v>
      </c>
      <c r="R190" s="23">
        <f>IF(B190="","",IF(COUNTIF(Performance!$B$5:$B$404,B190)=0,"",SUMIFS(Performance!$Z$5:$Z$404,Performance!$B$5:$B$404,B190)))</f>
        <v>0</v>
      </c>
      <c r="S190" s="24">
        <f>IF(OR(P190="",P190=0),"",R190/P190)</f>
        <v>0</v>
      </c>
      <c r="T190" s="23">
        <f>IF(B190="","",IF(COUNTIF(Performance!$B$5:$B$404,B190)=0,"",SUMIFS(Performance!$T$5:$T$404,Performance!$B$5:$B$404,B190)))</f>
        <v>0</v>
      </c>
      <c r="U190" s="23">
        <f>IF(B190="","",IF(COUNTIF(Performance!$B$5:$B$404,B190)=0,"",SUMIFS(Performance!$S$5:$S$404,Performance!$B$5:$B$404,B190)))</f>
        <v>0</v>
      </c>
      <c r="V190" s="23">
        <f>IF(B190="","",IF(COUNTIF(Performance!$B$5:$B$404,B190)=0,"",SUMIFS(Performance!$R$5:$R$404,Performance!$B$5:$B$404,B190)))</f>
        <v>0</v>
      </c>
      <c r="W190" s="23">
        <f>IF(B190="","",IF(COUNTIF(Performance!$B$5:$B$404,B190)=0,"",SUMIFS(Performance!$U$5:$U$404,Performance!$B$5:$B$404,B190)))</f>
        <v>0</v>
      </c>
      <c r="X190" s="29">
        <f>IF(B190="","",IF(C190="Not found","Check - content ID not on the calendar",IF(AND(G190="Reel",J190=0),"Add - reel length missing",IF(K190="","Add - no cover image",IF(AND(P190&lt;&gt;"",S190&lt;TargetEngagement),"Review - below your target rate","OK")))))</f>
        <v>0</v>
      </c>
    </row>
    <row r="191" spans="1:24">
      <c r="A191" s="41">
        <f>IF(B191="","","IG-"&amp;TEXT(ROW()-4,"000"))</f>
        <v>0</v>
      </c>
      <c r="C191" s="17">
        <f>IF(B191="","",IFERROR(INDEX('Content Calendar'!$H$5:$H$604,MATCH(B191,'Content Calendar'!$A$5:$A$604,0)),"Not found"))</f>
        <v>0</v>
      </c>
      <c r="D191" s="16">
        <f>IF(B191="","",IFERROR(INDEX('Content Calendar'!$B$5:$B$604,MATCH(B191,'Content Calendar'!$A$5:$A$604,0)),"Not found"))</f>
        <v>0</v>
      </c>
      <c r="E191" s="17">
        <f>IF(B191="","",IFERROR(INDEX('Content Calendar'!$J$5:$J$604,MATCH(B191,'Content Calendar'!$A$5:$A$604,0)),"Not found"))</f>
        <v>0</v>
      </c>
      <c r="F191" s="29">
        <f>IF(B191="","",IFERROR(INDEX('Content Calendar'!$X$5:$X$604,MATCH(B191,'Content Calendar'!$A$5:$A$604,0)),"Not found"))</f>
        <v>0</v>
      </c>
      <c r="P191" s="23">
        <f>IF(B191="","",IF(COUNTIF(Performance!$B$5:$B$404,B191)=0,"",SUMIFS(Performance!$O$5:$O$404,Performance!$B$5:$B$404,B191)))</f>
        <v>0</v>
      </c>
      <c r="Q191" s="23">
        <f>IF(B191="","",IF(COUNTIF(Performance!$B$5:$B$404,B191)=0,"",SUMIFS(Performance!$P$5:$P$404,Performance!$B$5:$B$404,B191)))</f>
        <v>0</v>
      </c>
      <c r="R191" s="23">
        <f>IF(B191="","",IF(COUNTIF(Performance!$B$5:$B$404,B191)=0,"",SUMIFS(Performance!$Z$5:$Z$404,Performance!$B$5:$B$404,B191)))</f>
        <v>0</v>
      </c>
      <c r="S191" s="24">
        <f>IF(OR(P191="",P191=0),"",R191/P191)</f>
        <v>0</v>
      </c>
      <c r="T191" s="23">
        <f>IF(B191="","",IF(COUNTIF(Performance!$B$5:$B$404,B191)=0,"",SUMIFS(Performance!$T$5:$T$404,Performance!$B$5:$B$404,B191)))</f>
        <v>0</v>
      </c>
      <c r="U191" s="23">
        <f>IF(B191="","",IF(COUNTIF(Performance!$B$5:$B$404,B191)=0,"",SUMIFS(Performance!$S$5:$S$404,Performance!$B$5:$B$404,B191)))</f>
        <v>0</v>
      </c>
      <c r="V191" s="23">
        <f>IF(B191="","",IF(COUNTIF(Performance!$B$5:$B$404,B191)=0,"",SUMIFS(Performance!$R$5:$R$404,Performance!$B$5:$B$404,B191)))</f>
        <v>0</v>
      </c>
      <c r="W191" s="23">
        <f>IF(B191="","",IF(COUNTIF(Performance!$B$5:$B$404,B191)=0,"",SUMIFS(Performance!$U$5:$U$404,Performance!$B$5:$B$404,B191)))</f>
        <v>0</v>
      </c>
      <c r="X191" s="29">
        <f>IF(B191="","",IF(C191="Not found","Check - content ID not on the calendar",IF(AND(G191="Reel",J191=0),"Add - reel length missing",IF(K191="","Add - no cover image",IF(AND(P191&lt;&gt;"",S191&lt;TargetEngagement),"Review - below your target rate","OK")))))</f>
        <v>0</v>
      </c>
    </row>
    <row r="192" spans="1:24">
      <c r="A192" s="41">
        <f>IF(B192="","","IG-"&amp;TEXT(ROW()-4,"000"))</f>
        <v>0</v>
      </c>
      <c r="C192" s="17">
        <f>IF(B192="","",IFERROR(INDEX('Content Calendar'!$H$5:$H$604,MATCH(B192,'Content Calendar'!$A$5:$A$604,0)),"Not found"))</f>
        <v>0</v>
      </c>
      <c r="D192" s="16">
        <f>IF(B192="","",IFERROR(INDEX('Content Calendar'!$B$5:$B$604,MATCH(B192,'Content Calendar'!$A$5:$A$604,0)),"Not found"))</f>
        <v>0</v>
      </c>
      <c r="E192" s="17">
        <f>IF(B192="","",IFERROR(INDEX('Content Calendar'!$J$5:$J$604,MATCH(B192,'Content Calendar'!$A$5:$A$604,0)),"Not found"))</f>
        <v>0</v>
      </c>
      <c r="F192" s="29">
        <f>IF(B192="","",IFERROR(INDEX('Content Calendar'!$X$5:$X$604,MATCH(B192,'Content Calendar'!$A$5:$A$604,0)),"Not found"))</f>
        <v>0</v>
      </c>
      <c r="P192" s="23">
        <f>IF(B192="","",IF(COUNTIF(Performance!$B$5:$B$404,B192)=0,"",SUMIFS(Performance!$O$5:$O$404,Performance!$B$5:$B$404,B192)))</f>
        <v>0</v>
      </c>
      <c r="Q192" s="23">
        <f>IF(B192="","",IF(COUNTIF(Performance!$B$5:$B$404,B192)=0,"",SUMIFS(Performance!$P$5:$P$404,Performance!$B$5:$B$404,B192)))</f>
        <v>0</v>
      </c>
      <c r="R192" s="23">
        <f>IF(B192="","",IF(COUNTIF(Performance!$B$5:$B$404,B192)=0,"",SUMIFS(Performance!$Z$5:$Z$404,Performance!$B$5:$B$404,B192)))</f>
        <v>0</v>
      </c>
      <c r="S192" s="24">
        <f>IF(OR(P192="",P192=0),"",R192/P192)</f>
        <v>0</v>
      </c>
      <c r="T192" s="23">
        <f>IF(B192="","",IF(COUNTIF(Performance!$B$5:$B$404,B192)=0,"",SUMIFS(Performance!$T$5:$T$404,Performance!$B$5:$B$404,B192)))</f>
        <v>0</v>
      </c>
      <c r="U192" s="23">
        <f>IF(B192="","",IF(COUNTIF(Performance!$B$5:$B$404,B192)=0,"",SUMIFS(Performance!$S$5:$S$404,Performance!$B$5:$B$404,B192)))</f>
        <v>0</v>
      </c>
      <c r="V192" s="23">
        <f>IF(B192="","",IF(COUNTIF(Performance!$B$5:$B$404,B192)=0,"",SUMIFS(Performance!$R$5:$R$404,Performance!$B$5:$B$404,B192)))</f>
        <v>0</v>
      </c>
      <c r="W192" s="23">
        <f>IF(B192="","",IF(COUNTIF(Performance!$B$5:$B$404,B192)=0,"",SUMIFS(Performance!$U$5:$U$404,Performance!$B$5:$B$404,B192)))</f>
        <v>0</v>
      </c>
      <c r="X192" s="29">
        <f>IF(B192="","",IF(C192="Not found","Check - content ID not on the calendar",IF(AND(G192="Reel",J192=0),"Add - reel length missing",IF(K192="","Add - no cover image",IF(AND(P192&lt;&gt;"",S192&lt;TargetEngagement),"Review - below your target rate","OK")))))</f>
        <v>0</v>
      </c>
    </row>
    <row r="193" spans="1:24">
      <c r="A193" s="41">
        <f>IF(B193="","","IG-"&amp;TEXT(ROW()-4,"000"))</f>
        <v>0</v>
      </c>
      <c r="C193" s="17">
        <f>IF(B193="","",IFERROR(INDEX('Content Calendar'!$H$5:$H$604,MATCH(B193,'Content Calendar'!$A$5:$A$604,0)),"Not found"))</f>
        <v>0</v>
      </c>
      <c r="D193" s="16">
        <f>IF(B193="","",IFERROR(INDEX('Content Calendar'!$B$5:$B$604,MATCH(B193,'Content Calendar'!$A$5:$A$604,0)),"Not found"))</f>
        <v>0</v>
      </c>
      <c r="E193" s="17">
        <f>IF(B193="","",IFERROR(INDEX('Content Calendar'!$J$5:$J$604,MATCH(B193,'Content Calendar'!$A$5:$A$604,0)),"Not found"))</f>
        <v>0</v>
      </c>
      <c r="F193" s="29">
        <f>IF(B193="","",IFERROR(INDEX('Content Calendar'!$X$5:$X$604,MATCH(B193,'Content Calendar'!$A$5:$A$604,0)),"Not found"))</f>
        <v>0</v>
      </c>
      <c r="P193" s="23">
        <f>IF(B193="","",IF(COUNTIF(Performance!$B$5:$B$404,B193)=0,"",SUMIFS(Performance!$O$5:$O$404,Performance!$B$5:$B$404,B193)))</f>
        <v>0</v>
      </c>
      <c r="Q193" s="23">
        <f>IF(B193="","",IF(COUNTIF(Performance!$B$5:$B$404,B193)=0,"",SUMIFS(Performance!$P$5:$P$404,Performance!$B$5:$B$404,B193)))</f>
        <v>0</v>
      </c>
      <c r="R193" s="23">
        <f>IF(B193="","",IF(COUNTIF(Performance!$B$5:$B$404,B193)=0,"",SUMIFS(Performance!$Z$5:$Z$404,Performance!$B$5:$B$404,B193)))</f>
        <v>0</v>
      </c>
      <c r="S193" s="24">
        <f>IF(OR(P193="",P193=0),"",R193/P193)</f>
        <v>0</v>
      </c>
      <c r="T193" s="23">
        <f>IF(B193="","",IF(COUNTIF(Performance!$B$5:$B$404,B193)=0,"",SUMIFS(Performance!$T$5:$T$404,Performance!$B$5:$B$404,B193)))</f>
        <v>0</v>
      </c>
      <c r="U193" s="23">
        <f>IF(B193="","",IF(COUNTIF(Performance!$B$5:$B$404,B193)=0,"",SUMIFS(Performance!$S$5:$S$404,Performance!$B$5:$B$404,B193)))</f>
        <v>0</v>
      </c>
      <c r="V193" s="23">
        <f>IF(B193="","",IF(COUNTIF(Performance!$B$5:$B$404,B193)=0,"",SUMIFS(Performance!$R$5:$R$404,Performance!$B$5:$B$404,B193)))</f>
        <v>0</v>
      </c>
      <c r="W193" s="23">
        <f>IF(B193="","",IF(COUNTIF(Performance!$B$5:$B$404,B193)=0,"",SUMIFS(Performance!$U$5:$U$404,Performance!$B$5:$B$404,B193)))</f>
        <v>0</v>
      </c>
      <c r="X193" s="29">
        <f>IF(B193="","",IF(C193="Not found","Check - content ID not on the calendar",IF(AND(G193="Reel",J193=0),"Add - reel length missing",IF(K193="","Add - no cover image",IF(AND(P193&lt;&gt;"",S193&lt;TargetEngagement),"Review - below your target rate","OK")))))</f>
        <v>0</v>
      </c>
    </row>
    <row r="194" spans="1:24">
      <c r="A194" s="41">
        <f>IF(B194="","","IG-"&amp;TEXT(ROW()-4,"000"))</f>
        <v>0</v>
      </c>
      <c r="C194" s="17">
        <f>IF(B194="","",IFERROR(INDEX('Content Calendar'!$H$5:$H$604,MATCH(B194,'Content Calendar'!$A$5:$A$604,0)),"Not found"))</f>
        <v>0</v>
      </c>
      <c r="D194" s="16">
        <f>IF(B194="","",IFERROR(INDEX('Content Calendar'!$B$5:$B$604,MATCH(B194,'Content Calendar'!$A$5:$A$604,0)),"Not found"))</f>
        <v>0</v>
      </c>
      <c r="E194" s="17">
        <f>IF(B194="","",IFERROR(INDEX('Content Calendar'!$J$5:$J$604,MATCH(B194,'Content Calendar'!$A$5:$A$604,0)),"Not found"))</f>
        <v>0</v>
      </c>
      <c r="F194" s="29">
        <f>IF(B194="","",IFERROR(INDEX('Content Calendar'!$X$5:$X$604,MATCH(B194,'Content Calendar'!$A$5:$A$604,0)),"Not found"))</f>
        <v>0</v>
      </c>
      <c r="P194" s="23">
        <f>IF(B194="","",IF(COUNTIF(Performance!$B$5:$B$404,B194)=0,"",SUMIFS(Performance!$O$5:$O$404,Performance!$B$5:$B$404,B194)))</f>
        <v>0</v>
      </c>
      <c r="Q194" s="23">
        <f>IF(B194="","",IF(COUNTIF(Performance!$B$5:$B$404,B194)=0,"",SUMIFS(Performance!$P$5:$P$404,Performance!$B$5:$B$404,B194)))</f>
        <v>0</v>
      </c>
      <c r="R194" s="23">
        <f>IF(B194="","",IF(COUNTIF(Performance!$B$5:$B$404,B194)=0,"",SUMIFS(Performance!$Z$5:$Z$404,Performance!$B$5:$B$404,B194)))</f>
        <v>0</v>
      </c>
      <c r="S194" s="24">
        <f>IF(OR(P194="",P194=0),"",R194/P194)</f>
        <v>0</v>
      </c>
      <c r="T194" s="23">
        <f>IF(B194="","",IF(COUNTIF(Performance!$B$5:$B$404,B194)=0,"",SUMIFS(Performance!$T$5:$T$404,Performance!$B$5:$B$404,B194)))</f>
        <v>0</v>
      </c>
      <c r="U194" s="23">
        <f>IF(B194="","",IF(COUNTIF(Performance!$B$5:$B$404,B194)=0,"",SUMIFS(Performance!$S$5:$S$404,Performance!$B$5:$B$404,B194)))</f>
        <v>0</v>
      </c>
      <c r="V194" s="23">
        <f>IF(B194="","",IF(COUNTIF(Performance!$B$5:$B$404,B194)=0,"",SUMIFS(Performance!$R$5:$R$404,Performance!$B$5:$B$404,B194)))</f>
        <v>0</v>
      </c>
      <c r="W194" s="23">
        <f>IF(B194="","",IF(COUNTIF(Performance!$B$5:$B$404,B194)=0,"",SUMIFS(Performance!$U$5:$U$404,Performance!$B$5:$B$404,B194)))</f>
        <v>0</v>
      </c>
      <c r="X194" s="29">
        <f>IF(B194="","",IF(C194="Not found","Check - content ID not on the calendar",IF(AND(G194="Reel",J194=0),"Add - reel length missing",IF(K194="","Add - no cover image",IF(AND(P194&lt;&gt;"",S194&lt;TargetEngagement),"Review - below your target rate","OK")))))</f>
        <v>0</v>
      </c>
    </row>
    <row r="195" spans="1:24">
      <c r="A195" s="41">
        <f>IF(B195="","","IG-"&amp;TEXT(ROW()-4,"000"))</f>
        <v>0</v>
      </c>
      <c r="C195" s="17">
        <f>IF(B195="","",IFERROR(INDEX('Content Calendar'!$H$5:$H$604,MATCH(B195,'Content Calendar'!$A$5:$A$604,0)),"Not found"))</f>
        <v>0</v>
      </c>
      <c r="D195" s="16">
        <f>IF(B195="","",IFERROR(INDEX('Content Calendar'!$B$5:$B$604,MATCH(B195,'Content Calendar'!$A$5:$A$604,0)),"Not found"))</f>
        <v>0</v>
      </c>
      <c r="E195" s="17">
        <f>IF(B195="","",IFERROR(INDEX('Content Calendar'!$J$5:$J$604,MATCH(B195,'Content Calendar'!$A$5:$A$604,0)),"Not found"))</f>
        <v>0</v>
      </c>
      <c r="F195" s="29">
        <f>IF(B195="","",IFERROR(INDEX('Content Calendar'!$X$5:$X$604,MATCH(B195,'Content Calendar'!$A$5:$A$604,0)),"Not found"))</f>
        <v>0</v>
      </c>
      <c r="P195" s="23">
        <f>IF(B195="","",IF(COUNTIF(Performance!$B$5:$B$404,B195)=0,"",SUMIFS(Performance!$O$5:$O$404,Performance!$B$5:$B$404,B195)))</f>
        <v>0</v>
      </c>
      <c r="Q195" s="23">
        <f>IF(B195="","",IF(COUNTIF(Performance!$B$5:$B$404,B195)=0,"",SUMIFS(Performance!$P$5:$P$404,Performance!$B$5:$B$404,B195)))</f>
        <v>0</v>
      </c>
      <c r="R195" s="23">
        <f>IF(B195="","",IF(COUNTIF(Performance!$B$5:$B$404,B195)=0,"",SUMIFS(Performance!$Z$5:$Z$404,Performance!$B$5:$B$404,B195)))</f>
        <v>0</v>
      </c>
      <c r="S195" s="24">
        <f>IF(OR(P195="",P195=0),"",R195/P195)</f>
        <v>0</v>
      </c>
      <c r="T195" s="23">
        <f>IF(B195="","",IF(COUNTIF(Performance!$B$5:$B$404,B195)=0,"",SUMIFS(Performance!$T$5:$T$404,Performance!$B$5:$B$404,B195)))</f>
        <v>0</v>
      </c>
      <c r="U195" s="23">
        <f>IF(B195="","",IF(COUNTIF(Performance!$B$5:$B$404,B195)=0,"",SUMIFS(Performance!$S$5:$S$404,Performance!$B$5:$B$404,B195)))</f>
        <v>0</v>
      </c>
      <c r="V195" s="23">
        <f>IF(B195="","",IF(COUNTIF(Performance!$B$5:$B$404,B195)=0,"",SUMIFS(Performance!$R$5:$R$404,Performance!$B$5:$B$404,B195)))</f>
        <v>0</v>
      </c>
      <c r="W195" s="23">
        <f>IF(B195="","",IF(COUNTIF(Performance!$B$5:$B$404,B195)=0,"",SUMIFS(Performance!$U$5:$U$404,Performance!$B$5:$B$404,B195)))</f>
        <v>0</v>
      </c>
      <c r="X195" s="29">
        <f>IF(B195="","",IF(C195="Not found","Check - content ID not on the calendar",IF(AND(G195="Reel",J195=0),"Add - reel length missing",IF(K195="","Add - no cover image",IF(AND(P195&lt;&gt;"",S195&lt;TargetEngagement),"Review - below your target rate","OK")))))</f>
        <v>0</v>
      </c>
    </row>
    <row r="196" spans="1:24">
      <c r="A196" s="41">
        <f>IF(B196="","","IG-"&amp;TEXT(ROW()-4,"000"))</f>
        <v>0</v>
      </c>
      <c r="C196" s="17">
        <f>IF(B196="","",IFERROR(INDEX('Content Calendar'!$H$5:$H$604,MATCH(B196,'Content Calendar'!$A$5:$A$604,0)),"Not found"))</f>
        <v>0</v>
      </c>
      <c r="D196" s="16">
        <f>IF(B196="","",IFERROR(INDEX('Content Calendar'!$B$5:$B$604,MATCH(B196,'Content Calendar'!$A$5:$A$604,0)),"Not found"))</f>
        <v>0</v>
      </c>
      <c r="E196" s="17">
        <f>IF(B196="","",IFERROR(INDEX('Content Calendar'!$J$5:$J$604,MATCH(B196,'Content Calendar'!$A$5:$A$604,0)),"Not found"))</f>
        <v>0</v>
      </c>
      <c r="F196" s="29">
        <f>IF(B196="","",IFERROR(INDEX('Content Calendar'!$X$5:$X$604,MATCH(B196,'Content Calendar'!$A$5:$A$604,0)),"Not found"))</f>
        <v>0</v>
      </c>
      <c r="P196" s="23">
        <f>IF(B196="","",IF(COUNTIF(Performance!$B$5:$B$404,B196)=0,"",SUMIFS(Performance!$O$5:$O$404,Performance!$B$5:$B$404,B196)))</f>
        <v>0</v>
      </c>
      <c r="Q196" s="23">
        <f>IF(B196="","",IF(COUNTIF(Performance!$B$5:$B$404,B196)=0,"",SUMIFS(Performance!$P$5:$P$404,Performance!$B$5:$B$404,B196)))</f>
        <v>0</v>
      </c>
      <c r="R196" s="23">
        <f>IF(B196="","",IF(COUNTIF(Performance!$B$5:$B$404,B196)=0,"",SUMIFS(Performance!$Z$5:$Z$404,Performance!$B$5:$B$404,B196)))</f>
        <v>0</v>
      </c>
      <c r="S196" s="24">
        <f>IF(OR(P196="",P196=0),"",R196/P196)</f>
        <v>0</v>
      </c>
      <c r="T196" s="23">
        <f>IF(B196="","",IF(COUNTIF(Performance!$B$5:$B$404,B196)=0,"",SUMIFS(Performance!$T$5:$T$404,Performance!$B$5:$B$404,B196)))</f>
        <v>0</v>
      </c>
      <c r="U196" s="23">
        <f>IF(B196="","",IF(COUNTIF(Performance!$B$5:$B$404,B196)=0,"",SUMIFS(Performance!$S$5:$S$404,Performance!$B$5:$B$404,B196)))</f>
        <v>0</v>
      </c>
      <c r="V196" s="23">
        <f>IF(B196="","",IF(COUNTIF(Performance!$B$5:$B$404,B196)=0,"",SUMIFS(Performance!$R$5:$R$404,Performance!$B$5:$B$404,B196)))</f>
        <v>0</v>
      </c>
      <c r="W196" s="23">
        <f>IF(B196="","",IF(COUNTIF(Performance!$B$5:$B$404,B196)=0,"",SUMIFS(Performance!$U$5:$U$404,Performance!$B$5:$B$404,B196)))</f>
        <v>0</v>
      </c>
      <c r="X196" s="29">
        <f>IF(B196="","",IF(C196="Not found","Check - content ID not on the calendar",IF(AND(G196="Reel",J196=0),"Add - reel length missing",IF(K196="","Add - no cover image",IF(AND(P196&lt;&gt;"",S196&lt;TargetEngagement),"Review - below your target rate","OK")))))</f>
        <v>0</v>
      </c>
    </row>
    <row r="197" spans="1:24">
      <c r="A197" s="41">
        <f>IF(B197="","","IG-"&amp;TEXT(ROW()-4,"000"))</f>
        <v>0</v>
      </c>
      <c r="C197" s="17">
        <f>IF(B197="","",IFERROR(INDEX('Content Calendar'!$H$5:$H$604,MATCH(B197,'Content Calendar'!$A$5:$A$604,0)),"Not found"))</f>
        <v>0</v>
      </c>
      <c r="D197" s="16">
        <f>IF(B197="","",IFERROR(INDEX('Content Calendar'!$B$5:$B$604,MATCH(B197,'Content Calendar'!$A$5:$A$604,0)),"Not found"))</f>
        <v>0</v>
      </c>
      <c r="E197" s="17">
        <f>IF(B197="","",IFERROR(INDEX('Content Calendar'!$J$5:$J$604,MATCH(B197,'Content Calendar'!$A$5:$A$604,0)),"Not found"))</f>
        <v>0</v>
      </c>
      <c r="F197" s="29">
        <f>IF(B197="","",IFERROR(INDEX('Content Calendar'!$X$5:$X$604,MATCH(B197,'Content Calendar'!$A$5:$A$604,0)),"Not found"))</f>
        <v>0</v>
      </c>
      <c r="P197" s="23">
        <f>IF(B197="","",IF(COUNTIF(Performance!$B$5:$B$404,B197)=0,"",SUMIFS(Performance!$O$5:$O$404,Performance!$B$5:$B$404,B197)))</f>
        <v>0</v>
      </c>
      <c r="Q197" s="23">
        <f>IF(B197="","",IF(COUNTIF(Performance!$B$5:$B$404,B197)=0,"",SUMIFS(Performance!$P$5:$P$404,Performance!$B$5:$B$404,B197)))</f>
        <v>0</v>
      </c>
      <c r="R197" s="23">
        <f>IF(B197="","",IF(COUNTIF(Performance!$B$5:$B$404,B197)=0,"",SUMIFS(Performance!$Z$5:$Z$404,Performance!$B$5:$B$404,B197)))</f>
        <v>0</v>
      </c>
      <c r="S197" s="24">
        <f>IF(OR(P197="",P197=0),"",R197/P197)</f>
        <v>0</v>
      </c>
      <c r="T197" s="23">
        <f>IF(B197="","",IF(COUNTIF(Performance!$B$5:$B$404,B197)=0,"",SUMIFS(Performance!$T$5:$T$404,Performance!$B$5:$B$404,B197)))</f>
        <v>0</v>
      </c>
      <c r="U197" s="23">
        <f>IF(B197="","",IF(COUNTIF(Performance!$B$5:$B$404,B197)=0,"",SUMIFS(Performance!$S$5:$S$404,Performance!$B$5:$B$404,B197)))</f>
        <v>0</v>
      </c>
      <c r="V197" s="23">
        <f>IF(B197="","",IF(COUNTIF(Performance!$B$5:$B$404,B197)=0,"",SUMIFS(Performance!$R$5:$R$404,Performance!$B$5:$B$404,B197)))</f>
        <v>0</v>
      </c>
      <c r="W197" s="23">
        <f>IF(B197="","",IF(COUNTIF(Performance!$B$5:$B$404,B197)=0,"",SUMIFS(Performance!$U$5:$U$404,Performance!$B$5:$B$404,B197)))</f>
        <v>0</v>
      </c>
      <c r="X197" s="29">
        <f>IF(B197="","",IF(C197="Not found","Check - content ID not on the calendar",IF(AND(G197="Reel",J197=0),"Add - reel length missing",IF(K197="","Add - no cover image",IF(AND(P197&lt;&gt;"",S197&lt;TargetEngagement),"Review - below your target rate","OK")))))</f>
        <v>0</v>
      </c>
    </row>
    <row r="198" spans="1:24">
      <c r="A198" s="41">
        <f>IF(B198="","","IG-"&amp;TEXT(ROW()-4,"000"))</f>
        <v>0</v>
      </c>
      <c r="C198" s="17">
        <f>IF(B198="","",IFERROR(INDEX('Content Calendar'!$H$5:$H$604,MATCH(B198,'Content Calendar'!$A$5:$A$604,0)),"Not found"))</f>
        <v>0</v>
      </c>
      <c r="D198" s="16">
        <f>IF(B198="","",IFERROR(INDEX('Content Calendar'!$B$5:$B$604,MATCH(B198,'Content Calendar'!$A$5:$A$604,0)),"Not found"))</f>
        <v>0</v>
      </c>
      <c r="E198" s="17">
        <f>IF(B198="","",IFERROR(INDEX('Content Calendar'!$J$5:$J$604,MATCH(B198,'Content Calendar'!$A$5:$A$604,0)),"Not found"))</f>
        <v>0</v>
      </c>
      <c r="F198" s="29">
        <f>IF(B198="","",IFERROR(INDEX('Content Calendar'!$X$5:$X$604,MATCH(B198,'Content Calendar'!$A$5:$A$604,0)),"Not found"))</f>
        <v>0</v>
      </c>
      <c r="P198" s="23">
        <f>IF(B198="","",IF(COUNTIF(Performance!$B$5:$B$404,B198)=0,"",SUMIFS(Performance!$O$5:$O$404,Performance!$B$5:$B$404,B198)))</f>
        <v>0</v>
      </c>
      <c r="Q198" s="23">
        <f>IF(B198="","",IF(COUNTIF(Performance!$B$5:$B$404,B198)=0,"",SUMIFS(Performance!$P$5:$P$404,Performance!$B$5:$B$404,B198)))</f>
        <v>0</v>
      </c>
      <c r="R198" s="23">
        <f>IF(B198="","",IF(COUNTIF(Performance!$B$5:$B$404,B198)=0,"",SUMIFS(Performance!$Z$5:$Z$404,Performance!$B$5:$B$404,B198)))</f>
        <v>0</v>
      </c>
      <c r="S198" s="24">
        <f>IF(OR(P198="",P198=0),"",R198/P198)</f>
        <v>0</v>
      </c>
      <c r="T198" s="23">
        <f>IF(B198="","",IF(COUNTIF(Performance!$B$5:$B$404,B198)=0,"",SUMIFS(Performance!$T$5:$T$404,Performance!$B$5:$B$404,B198)))</f>
        <v>0</v>
      </c>
      <c r="U198" s="23">
        <f>IF(B198="","",IF(COUNTIF(Performance!$B$5:$B$404,B198)=0,"",SUMIFS(Performance!$S$5:$S$404,Performance!$B$5:$B$404,B198)))</f>
        <v>0</v>
      </c>
      <c r="V198" s="23">
        <f>IF(B198="","",IF(COUNTIF(Performance!$B$5:$B$404,B198)=0,"",SUMIFS(Performance!$R$5:$R$404,Performance!$B$5:$B$404,B198)))</f>
        <v>0</v>
      </c>
      <c r="W198" s="23">
        <f>IF(B198="","",IF(COUNTIF(Performance!$B$5:$B$404,B198)=0,"",SUMIFS(Performance!$U$5:$U$404,Performance!$B$5:$B$404,B198)))</f>
        <v>0</v>
      </c>
      <c r="X198" s="29">
        <f>IF(B198="","",IF(C198="Not found","Check - content ID not on the calendar",IF(AND(G198="Reel",J198=0),"Add - reel length missing",IF(K198="","Add - no cover image",IF(AND(P198&lt;&gt;"",S198&lt;TargetEngagement),"Review - below your target rate","OK")))))</f>
        <v>0</v>
      </c>
    </row>
    <row r="199" spans="1:24">
      <c r="A199" s="41">
        <f>IF(B199="","","IG-"&amp;TEXT(ROW()-4,"000"))</f>
        <v>0</v>
      </c>
      <c r="C199" s="17">
        <f>IF(B199="","",IFERROR(INDEX('Content Calendar'!$H$5:$H$604,MATCH(B199,'Content Calendar'!$A$5:$A$604,0)),"Not found"))</f>
        <v>0</v>
      </c>
      <c r="D199" s="16">
        <f>IF(B199="","",IFERROR(INDEX('Content Calendar'!$B$5:$B$604,MATCH(B199,'Content Calendar'!$A$5:$A$604,0)),"Not found"))</f>
        <v>0</v>
      </c>
      <c r="E199" s="17">
        <f>IF(B199="","",IFERROR(INDEX('Content Calendar'!$J$5:$J$604,MATCH(B199,'Content Calendar'!$A$5:$A$604,0)),"Not found"))</f>
        <v>0</v>
      </c>
      <c r="F199" s="29">
        <f>IF(B199="","",IFERROR(INDEX('Content Calendar'!$X$5:$X$604,MATCH(B199,'Content Calendar'!$A$5:$A$604,0)),"Not found"))</f>
        <v>0</v>
      </c>
      <c r="P199" s="23">
        <f>IF(B199="","",IF(COUNTIF(Performance!$B$5:$B$404,B199)=0,"",SUMIFS(Performance!$O$5:$O$404,Performance!$B$5:$B$404,B199)))</f>
        <v>0</v>
      </c>
      <c r="Q199" s="23">
        <f>IF(B199="","",IF(COUNTIF(Performance!$B$5:$B$404,B199)=0,"",SUMIFS(Performance!$P$5:$P$404,Performance!$B$5:$B$404,B199)))</f>
        <v>0</v>
      </c>
      <c r="R199" s="23">
        <f>IF(B199="","",IF(COUNTIF(Performance!$B$5:$B$404,B199)=0,"",SUMIFS(Performance!$Z$5:$Z$404,Performance!$B$5:$B$404,B199)))</f>
        <v>0</v>
      </c>
      <c r="S199" s="24">
        <f>IF(OR(P199="",P199=0),"",R199/P199)</f>
        <v>0</v>
      </c>
      <c r="T199" s="23">
        <f>IF(B199="","",IF(COUNTIF(Performance!$B$5:$B$404,B199)=0,"",SUMIFS(Performance!$T$5:$T$404,Performance!$B$5:$B$404,B199)))</f>
        <v>0</v>
      </c>
      <c r="U199" s="23">
        <f>IF(B199="","",IF(COUNTIF(Performance!$B$5:$B$404,B199)=0,"",SUMIFS(Performance!$S$5:$S$404,Performance!$B$5:$B$404,B199)))</f>
        <v>0</v>
      </c>
      <c r="V199" s="23">
        <f>IF(B199="","",IF(COUNTIF(Performance!$B$5:$B$404,B199)=0,"",SUMIFS(Performance!$R$5:$R$404,Performance!$B$5:$B$404,B199)))</f>
        <v>0</v>
      </c>
      <c r="W199" s="23">
        <f>IF(B199="","",IF(COUNTIF(Performance!$B$5:$B$404,B199)=0,"",SUMIFS(Performance!$U$5:$U$404,Performance!$B$5:$B$404,B199)))</f>
        <v>0</v>
      </c>
      <c r="X199" s="29">
        <f>IF(B199="","",IF(C199="Not found","Check - content ID not on the calendar",IF(AND(G199="Reel",J199=0),"Add - reel length missing",IF(K199="","Add - no cover image",IF(AND(P199&lt;&gt;"",S199&lt;TargetEngagement),"Review - below your target rate","OK")))))</f>
        <v>0</v>
      </c>
    </row>
    <row r="200" spans="1:24">
      <c r="A200" s="41">
        <f>IF(B200="","","IG-"&amp;TEXT(ROW()-4,"000"))</f>
        <v>0</v>
      </c>
      <c r="C200" s="17">
        <f>IF(B200="","",IFERROR(INDEX('Content Calendar'!$H$5:$H$604,MATCH(B200,'Content Calendar'!$A$5:$A$604,0)),"Not found"))</f>
        <v>0</v>
      </c>
      <c r="D200" s="16">
        <f>IF(B200="","",IFERROR(INDEX('Content Calendar'!$B$5:$B$604,MATCH(B200,'Content Calendar'!$A$5:$A$604,0)),"Not found"))</f>
        <v>0</v>
      </c>
      <c r="E200" s="17">
        <f>IF(B200="","",IFERROR(INDEX('Content Calendar'!$J$5:$J$604,MATCH(B200,'Content Calendar'!$A$5:$A$604,0)),"Not found"))</f>
        <v>0</v>
      </c>
      <c r="F200" s="29">
        <f>IF(B200="","",IFERROR(INDEX('Content Calendar'!$X$5:$X$604,MATCH(B200,'Content Calendar'!$A$5:$A$604,0)),"Not found"))</f>
        <v>0</v>
      </c>
      <c r="P200" s="23">
        <f>IF(B200="","",IF(COUNTIF(Performance!$B$5:$B$404,B200)=0,"",SUMIFS(Performance!$O$5:$O$404,Performance!$B$5:$B$404,B200)))</f>
        <v>0</v>
      </c>
      <c r="Q200" s="23">
        <f>IF(B200="","",IF(COUNTIF(Performance!$B$5:$B$404,B200)=0,"",SUMIFS(Performance!$P$5:$P$404,Performance!$B$5:$B$404,B200)))</f>
        <v>0</v>
      </c>
      <c r="R200" s="23">
        <f>IF(B200="","",IF(COUNTIF(Performance!$B$5:$B$404,B200)=0,"",SUMIFS(Performance!$Z$5:$Z$404,Performance!$B$5:$B$404,B200)))</f>
        <v>0</v>
      </c>
      <c r="S200" s="24">
        <f>IF(OR(P200="",P200=0),"",R200/P200)</f>
        <v>0</v>
      </c>
      <c r="T200" s="23">
        <f>IF(B200="","",IF(COUNTIF(Performance!$B$5:$B$404,B200)=0,"",SUMIFS(Performance!$T$5:$T$404,Performance!$B$5:$B$404,B200)))</f>
        <v>0</v>
      </c>
      <c r="U200" s="23">
        <f>IF(B200="","",IF(COUNTIF(Performance!$B$5:$B$404,B200)=0,"",SUMIFS(Performance!$S$5:$S$404,Performance!$B$5:$B$404,B200)))</f>
        <v>0</v>
      </c>
      <c r="V200" s="23">
        <f>IF(B200="","",IF(COUNTIF(Performance!$B$5:$B$404,B200)=0,"",SUMIFS(Performance!$R$5:$R$404,Performance!$B$5:$B$404,B200)))</f>
        <v>0</v>
      </c>
      <c r="W200" s="23">
        <f>IF(B200="","",IF(COUNTIF(Performance!$B$5:$B$404,B200)=0,"",SUMIFS(Performance!$U$5:$U$404,Performance!$B$5:$B$404,B200)))</f>
        <v>0</v>
      </c>
      <c r="X200" s="29">
        <f>IF(B200="","",IF(C200="Not found","Check - content ID not on the calendar",IF(AND(G200="Reel",J200=0),"Add - reel length missing",IF(K200="","Add - no cover image",IF(AND(P200&lt;&gt;"",S200&lt;TargetEngagement),"Review - below your target rate","OK")))))</f>
        <v>0</v>
      </c>
    </row>
    <row r="201" spans="1:24">
      <c r="A201" s="41">
        <f>IF(B201="","","IG-"&amp;TEXT(ROW()-4,"000"))</f>
        <v>0</v>
      </c>
      <c r="C201" s="17">
        <f>IF(B201="","",IFERROR(INDEX('Content Calendar'!$H$5:$H$604,MATCH(B201,'Content Calendar'!$A$5:$A$604,0)),"Not found"))</f>
        <v>0</v>
      </c>
      <c r="D201" s="16">
        <f>IF(B201="","",IFERROR(INDEX('Content Calendar'!$B$5:$B$604,MATCH(B201,'Content Calendar'!$A$5:$A$604,0)),"Not found"))</f>
        <v>0</v>
      </c>
      <c r="E201" s="17">
        <f>IF(B201="","",IFERROR(INDEX('Content Calendar'!$J$5:$J$604,MATCH(B201,'Content Calendar'!$A$5:$A$604,0)),"Not found"))</f>
        <v>0</v>
      </c>
      <c r="F201" s="29">
        <f>IF(B201="","",IFERROR(INDEX('Content Calendar'!$X$5:$X$604,MATCH(B201,'Content Calendar'!$A$5:$A$604,0)),"Not found"))</f>
        <v>0</v>
      </c>
      <c r="P201" s="23">
        <f>IF(B201="","",IF(COUNTIF(Performance!$B$5:$B$404,B201)=0,"",SUMIFS(Performance!$O$5:$O$404,Performance!$B$5:$B$404,B201)))</f>
        <v>0</v>
      </c>
      <c r="Q201" s="23">
        <f>IF(B201="","",IF(COUNTIF(Performance!$B$5:$B$404,B201)=0,"",SUMIFS(Performance!$P$5:$P$404,Performance!$B$5:$B$404,B201)))</f>
        <v>0</v>
      </c>
      <c r="R201" s="23">
        <f>IF(B201="","",IF(COUNTIF(Performance!$B$5:$B$404,B201)=0,"",SUMIFS(Performance!$Z$5:$Z$404,Performance!$B$5:$B$404,B201)))</f>
        <v>0</v>
      </c>
      <c r="S201" s="24">
        <f>IF(OR(P201="",P201=0),"",R201/P201)</f>
        <v>0</v>
      </c>
      <c r="T201" s="23">
        <f>IF(B201="","",IF(COUNTIF(Performance!$B$5:$B$404,B201)=0,"",SUMIFS(Performance!$T$5:$T$404,Performance!$B$5:$B$404,B201)))</f>
        <v>0</v>
      </c>
      <c r="U201" s="23">
        <f>IF(B201="","",IF(COUNTIF(Performance!$B$5:$B$404,B201)=0,"",SUMIFS(Performance!$S$5:$S$404,Performance!$B$5:$B$404,B201)))</f>
        <v>0</v>
      </c>
      <c r="V201" s="23">
        <f>IF(B201="","",IF(COUNTIF(Performance!$B$5:$B$404,B201)=0,"",SUMIFS(Performance!$R$5:$R$404,Performance!$B$5:$B$404,B201)))</f>
        <v>0</v>
      </c>
      <c r="W201" s="23">
        <f>IF(B201="","",IF(COUNTIF(Performance!$B$5:$B$404,B201)=0,"",SUMIFS(Performance!$U$5:$U$404,Performance!$B$5:$B$404,B201)))</f>
        <v>0</v>
      </c>
      <c r="X201" s="29">
        <f>IF(B201="","",IF(C201="Not found","Check - content ID not on the calendar",IF(AND(G201="Reel",J201=0),"Add - reel length missing",IF(K201="","Add - no cover image",IF(AND(P201&lt;&gt;"",S201&lt;TargetEngagement),"Review - below your target rate","OK")))))</f>
        <v>0</v>
      </c>
    </row>
    <row r="202" spans="1:24">
      <c r="A202" s="41">
        <f>IF(B202="","","IG-"&amp;TEXT(ROW()-4,"000"))</f>
        <v>0</v>
      </c>
      <c r="C202" s="17">
        <f>IF(B202="","",IFERROR(INDEX('Content Calendar'!$H$5:$H$604,MATCH(B202,'Content Calendar'!$A$5:$A$604,0)),"Not found"))</f>
        <v>0</v>
      </c>
      <c r="D202" s="16">
        <f>IF(B202="","",IFERROR(INDEX('Content Calendar'!$B$5:$B$604,MATCH(B202,'Content Calendar'!$A$5:$A$604,0)),"Not found"))</f>
        <v>0</v>
      </c>
      <c r="E202" s="17">
        <f>IF(B202="","",IFERROR(INDEX('Content Calendar'!$J$5:$J$604,MATCH(B202,'Content Calendar'!$A$5:$A$604,0)),"Not found"))</f>
        <v>0</v>
      </c>
      <c r="F202" s="29">
        <f>IF(B202="","",IFERROR(INDEX('Content Calendar'!$X$5:$X$604,MATCH(B202,'Content Calendar'!$A$5:$A$604,0)),"Not found"))</f>
        <v>0</v>
      </c>
      <c r="P202" s="23">
        <f>IF(B202="","",IF(COUNTIF(Performance!$B$5:$B$404,B202)=0,"",SUMIFS(Performance!$O$5:$O$404,Performance!$B$5:$B$404,B202)))</f>
        <v>0</v>
      </c>
      <c r="Q202" s="23">
        <f>IF(B202="","",IF(COUNTIF(Performance!$B$5:$B$404,B202)=0,"",SUMIFS(Performance!$P$5:$P$404,Performance!$B$5:$B$404,B202)))</f>
        <v>0</v>
      </c>
      <c r="R202" s="23">
        <f>IF(B202="","",IF(COUNTIF(Performance!$B$5:$B$404,B202)=0,"",SUMIFS(Performance!$Z$5:$Z$404,Performance!$B$5:$B$404,B202)))</f>
        <v>0</v>
      </c>
      <c r="S202" s="24">
        <f>IF(OR(P202="",P202=0),"",R202/P202)</f>
        <v>0</v>
      </c>
      <c r="T202" s="23">
        <f>IF(B202="","",IF(COUNTIF(Performance!$B$5:$B$404,B202)=0,"",SUMIFS(Performance!$T$5:$T$404,Performance!$B$5:$B$404,B202)))</f>
        <v>0</v>
      </c>
      <c r="U202" s="23">
        <f>IF(B202="","",IF(COUNTIF(Performance!$B$5:$B$404,B202)=0,"",SUMIFS(Performance!$S$5:$S$404,Performance!$B$5:$B$404,B202)))</f>
        <v>0</v>
      </c>
      <c r="V202" s="23">
        <f>IF(B202="","",IF(COUNTIF(Performance!$B$5:$B$404,B202)=0,"",SUMIFS(Performance!$R$5:$R$404,Performance!$B$5:$B$404,B202)))</f>
        <v>0</v>
      </c>
      <c r="W202" s="23">
        <f>IF(B202="","",IF(COUNTIF(Performance!$B$5:$B$404,B202)=0,"",SUMIFS(Performance!$U$5:$U$404,Performance!$B$5:$B$404,B202)))</f>
        <v>0</v>
      </c>
      <c r="X202" s="29">
        <f>IF(B202="","",IF(C202="Not found","Check - content ID not on the calendar",IF(AND(G202="Reel",J202=0),"Add - reel length missing",IF(K202="","Add - no cover image",IF(AND(P202&lt;&gt;"",S202&lt;TargetEngagement),"Review - below your target rate","OK")))))</f>
        <v>0</v>
      </c>
    </row>
    <row r="203" spans="1:24">
      <c r="A203" s="41">
        <f>IF(B203="","","IG-"&amp;TEXT(ROW()-4,"000"))</f>
        <v>0</v>
      </c>
      <c r="C203" s="17">
        <f>IF(B203="","",IFERROR(INDEX('Content Calendar'!$H$5:$H$604,MATCH(B203,'Content Calendar'!$A$5:$A$604,0)),"Not found"))</f>
        <v>0</v>
      </c>
      <c r="D203" s="16">
        <f>IF(B203="","",IFERROR(INDEX('Content Calendar'!$B$5:$B$604,MATCH(B203,'Content Calendar'!$A$5:$A$604,0)),"Not found"))</f>
        <v>0</v>
      </c>
      <c r="E203" s="17">
        <f>IF(B203="","",IFERROR(INDEX('Content Calendar'!$J$5:$J$604,MATCH(B203,'Content Calendar'!$A$5:$A$604,0)),"Not found"))</f>
        <v>0</v>
      </c>
      <c r="F203" s="29">
        <f>IF(B203="","",IFERROR(INDEX('Content Calendar'!$X$5:$X$604,MATCH(B203,'Content Calendar'!$A$5:$A$604,0)),"Not found"))</f>
        <v>0</v>
      </c>
      <c r="P203" s="23">
        <f>IF(B203="","",IF(COUNTIF(Performance!$B$5:$B$404,B203)=0,"",SUMIFS(Performance!$O$5:$O$404,Performance!$B$5:$B$404,B203)))</f>
        <v>0</v>
      </c>
      <c r="Q203" s="23">
        <f>IF(B203="","",IF(COUNTIF(Performance!$B$5:$B$404,B203)=0,"",SUMIFS(Performance!$P$5:$P$404,Performance!$B$5:$B$404,B203)))</f>
        <v>0</v>
      </c>
      <c r="R203" s="23">
        <f>IF(B203="","",IF(COUNTIF(Performance!$B$5:$B$404,B203)=0,"",SUMIFS(Performance!$Z$5:$Z$404,Performance!$B$5:$B$404,B203)))</f>
        <v>0</v>
      </c>
      <c r="S203" s="24">
        <f>IF(OR(P203="",P203=0),"",R203/P203)</f>
        <v>0</v>
      </c>
      <c r="T203" s="23">
        <f>IF(B203="","",IF(COUNTIF(Performance!$B$5:$B$404,B203)=0,"",SUMIFS(Performance!$T$5:$T$404,Performance!$B$5:$B$404,B203)))</f>
        <v>0</v>
      </c>
      <c r="U203" s="23">
        <f>IF(B203="","",IF(COUNTIF(Performance!$B$5:$B$404,B203)=0,"",SUMIFS(Performance!$S$5:$S$404,Performance!$B$5:$B$404,B203)))</f>
        <v>0</v>
      </c>
      <c r="V203" s="23">
        <f>IF(B203="","",IF(COUNTIF(Performance!$B$5:$B$404,B203)=0,"",SUMIFS(Performance!$R$5:$R$404,Performance!$B$5:$B$404,B203)))</f>
        <v>0</v>
      </c>
      <c r="W203" s="23">
        <f>IF(B203="","",IF(COUNTIF(Performance!$B$5:$B$404,B203)=0,"",SUMIFS(Performance!$U$5:$U$404,Performance!$B$5:$B$404,B203)))</f>
        <v>0</v>
      </c>
      <c r="X203" s="29">
        <f>IF(B203="","",IF(C203="Not found","Check - content ID not on the calendar",IF(AND(G203="Reel",J203=0),"Add - reel length missing",IF(K203="","Add - no cover image",IF(AND(P203&lt;&gt;"",S203&lt;TargetEngagement),"Review - below your target rate","OK")))))</f>
        <v>0</v>
      </c>
    </row>
    <row r="204" spans="1:24">
      <c r="A204" s="41">
        <f>IF(B204="","","IG-"&amp;TEXT(ROW()-4,"000"))</f>
        <v>0</v>
      </c>
      <c r="C204" s="17">
        <f>IF(B204="","",IFERROR(INDEX('Content Calendar'!$H$5:$H$604,MATCH(B204,'Content Calendar'!$A$5:$A$604,0)),"Not found"))</f>
        <v>0</v>
      </c>
      <c r="D204" s="16">
        <f>IF(B204="","",IFERROR(INDEX('Content Calendar'!$B$5:$B$604,MATCH(B204,'Content Calendar'!$A$5:$A$604,0)),"Not found"))</f>
        <v>0</v>
      </c>
      <c r="E204" s="17">
        <f>IF(B204="","",IFERROR(INDEX('Content Calendar'!$J$5:$J$604,MATCH(B204,'Content Calendar'!$A$5:$A$604,0)),"Not found"))</f>
        <v>0</v>
      </c>
      <c r="F204" s="29">
        <f>IF(B204="","",IFERROR(INDEX('Content Calendar'!$X$5:$X$604,MATCH(B204,'Content Calendar'!$A$5:$A$604,0)),"Not found"))</f>
        <v>0</v>
      </c>
      <c r="P204" s="23">
        <f>IF(B204="","",IF(COUNTIF(Performance!$B$5:$B$404,B204)=0,"",SUMIFS(Performance!$O$5:$O$404,Performance!$B$5:$B$404,B204)))</f>
        <v>0</v>
      </c>
      <c r="Q204" s="23">
        <f>IF(B204="","",IF(COUNTIF(Performance!$B$5:$B$404,B204)=0,"",SUMIFS(Performance!$P$5:$P$404,Performance!$B$5:$B$404,B204)))</f>
        <v>0</v>
      </c>
      <c r="R204" s="23">
        <f>IF(B204="","",IF(COUNTIF(Performance!$B$5:$B$404,B204)=0,"",SUMIFS(Performance!$Z$5:$Z$404,Performance!$B$5:$B$404,B204)))</f>
        <v>0</v>
      </c>
      <c r="S204" s="24">
        <f>IF(OR(P204="",P204=0),"",R204/P204)</f>
        <v>0</v>
      </c>
      <c r="T204" s="23">
        <f>IF(B204="","",IF(COUNTIF(Performance!$B$5:$B$404,B204)=0,"",SUMIFS(Performance!$T$5:$T$404,Performance!$B$5:$B$404,B204)))</f>
        <v>0</v>
      </c>
      <c r="U204" s="23">
        <f>IF(B204="","",IF(COUNTIF(Performance!$B$5:$B$404,B204)=0,"",SUMIFS(Performance!$S$5:$S$404,Performance!$B$5:$B$404,B204)))</f>
        <v>0</v>
      </c>
      <c r="V204" s="23">
        <f>IF(B204="","",IF(COUNTIF(Performance!$B$5:$B$404,B204)=0,"",SUMIFS(Performance!$R$5:$R$404,Performance!$B$5:$B$404,B204)))</f>
        <v>0</v>
      </c>
      <c r="W204" s="23">
        <f>IF(B204="","",IF(COUNTIF(Performance!$B$5:$B$404,B204)=0,"",SUMIFS(Performance!$U$5:$U$404,Performance!$B$5:$B$404,B204)))</f>
        <v>0</v>
      </c>
      <c r="X204" s="29">
        <f>IF(B204="","",IF(C204="Not found","Check - content ID not on the calendar",IF(AND(G204="Reel",J204=0),"Add - reel length missing",IF(K204="","Add - no cover image",IF(AND(P204&lt;&gt;"",S204&lt;TargetEngagement),"Review - below your target rate","OK")))))</f>
        <v>0</v>
      </c>
    </row>
  </sheetData>
  <sheetProtection password="EC7C" sheet="1" objects="1" scenarios="1" formatCells="0" formatColumns="0" formatRows="0" insertRows="0" insertHyperlinks="0" deleteRows="0" autoFilter="0"/>
  <autoFilter ref="A4:Y204"/>
  <mergeCells count="13">
    <mergeCell ref="A1:V1"/>
    <mergeCell ref="W1:Y1"/>
    <mergeCell ref="A2:Y2"/>
    <mergeCell ref="A3:B3"/>
    <mergeCell ref="C3:D3"/>
    <mergeCell ref="E3:F3"/>
    <mergeCell ref="G3:H3"/>
    <mergeCell ref="I3:J3"/>
    <mergeCell ref="K3:L3"/>
    <mergeCell ref="M3:N3"/>
    <mergeCell ref="O3:P3"/>
    <mergeCell ref="Q3:R3"/>
    <mergeCell ref="S3:Y3"/>
  </mergeCells>
  <conditionalFormatting sqref="P5:P204">
    <cfRule type="dataBar" priority="1">
      <dataBar>
        <cfvo type="min" val="0"/>
        <cfvo type="max" val="0"/>
        <color rgb="FF6350A8"/>
      </dataBar>
    </cfRule>
  </conditionalFormatting>
  <conditionalFormatting sqref="S5:S204">
    <cfRule type="cellIs" dxfId="0" priority="2" operator="greaterThanOrEqual">
      <formula>TargetEngagement</formula>
    </cfRule>
    <cfRule type="cellIs" dxfId="2" priority="3" operator="lessThan">
      <formula>TargetEngagement</formula>
    </cfRule>
  </conditionalFormatting>
  <conditionalFormatting sqref="X5:X204">
    <cfRule type="beginsWith" dxfId="0" priority="4" operator="beginsWith" text="OK">
      <formula>LEFT(X5,2)="OK"</formula>
    </cfRule>
    <cfRule type="containsText" dxfId="1" priority="5" operator="containsText" text="Overdue">
      <formula>NOT(ISERROR(SEARCH("Overdue",X5)))</formula>
    </cfRule>
    <cfRule type="containsText" dxfId="1" priority="6" operator="containsText" text="Late">
      <formula>NOT(ISERROR(SEARCH("Late",X5)))</formula>
    </cfRule>
    <cfRule type="containsText" dxfId="1" priority="7" operator="containsText" text="Missing">
      <formula>NOT(ISERROR(SEARCH("Missing",X5)))</formula>
    </cfRule>
    <cfRule type="containsText" dxfId="1" priority="8" operator="containsText" text="Conflict">
      <formula>NOT(ISERROR(SEARCH("Conflict",X5)))</formula>
    </cfRule>
    <cfRule type="containsText" dxfId="1" priority="9" operator="containsText" text="Expired">
      <formula>NOT(ISERROR(SEARCH("Expired",X5)))</formula>
    </cfRule>
    <cfRule type="containsText" dxfId="1" priority="10" operator="containsText" text="Duplicate">
      <formula>NOT(ISERROR(SEARCH("Duplicate",X5)))</formula>
    </cfRule>
    <cfRule type="containsText" dxfId="2" priority="11" operator="containsText" text="Action">
      <formula>NOT(ISERROR(SEARCH("Action",X5)))</formula>
    </cfRule>
    <cfRule type="containsText" dxfId="2" priority="12" operator="containsText" text="Due">
      <formula>NOT(ISERROR(SEARCH("Due",X5)))</formula>
    </cfRule>
    <cfRule type="containsText" dxfId="2" priority="13" operator="containsText" text="Check">
      <formula>NOT(ISERROR(SEARCH("Check",X5)))</formula>
    </cfRule>
    <cfRule type="containsText" dxfId="2" priority="14" operator="containsText" text="Add">
      <formula>NOT(ISERROR(SEARCH("Add",X5)))</formula>
    </cfRule>
    <cfRule type="containsText" dxfId="3" priority="15" operator="containsText" text="Today">
      <formula>NOT(ISERROR(SEARCH("Today",X5)))</formula>
    </cfRule>
    <cfRule type="containsText" dxfId="3" priority="16" operator="containsText" text="Upcoming">
      <formula>NOT(ISERROR(SEARCH("Upcoming",X5)))</formula>
    </cfRule>
  </conditionalFormatting>
  <dataValidations count="7">
    <dataValidation type="list" allowBlank="1" showInputMessage="1" showErrorMessage="1" promptTitle="Content ID" prompt="Pick the C-0000 ID of the Instagram post from the Content Calendar. Everything grey fills itself in." sqref="B5:B204">
      <formula1>ContentIDs</formula1>
    </dataValidation>
    <dataValidation type="list" allowBlank="1" showInputMessage="1" showErrorMessage="1" sqref="G5:G204">
      <formula1>FormatList</formula1>
    </dataValidation>
    <dataValidation type="whole" allowBlank="1" showInputMessage="1" showErrorMessage="1" errorTitle="Check the value" error="Enter a number between 0 and 20." promptTitle="Carousel slides" prompt="Carousels of 6-10 slides tend to hold attention best." sqref="I5:I204">
      <formula1>0</formula1>
      <formula2>20</formula2>
    </dataValidation>
    <dataValidation type="whole" allowBlank="1" showInputMessage="1" showErrorMessage="1" errorTitle="Check the value" error="Enter a number between 0 and 900." sqref="J5:J204">
      <formula1>0</formula1>
      <formula2>900</formula2>
    </dataValidation>
    <dataValidation type="list" allowBlank="1" showInputMessage="1" showErrorMessage="1" sqref="M5:M204">
      <formula1>"Yes,No"</formula1>
    </dataValidation>
    <dataValidation type="whole" allowBlank="1" showInputMessage="1" showErrorMessage="1" errorTitle="Check the value" error="Enter a number between 0 and 10000000." sqref="N5:N204">
      <formula1>0</formula1>
      <formula2>10000000</formula2>
    </dataValidation>
    <dataValidation type="whole" allowBlank="1" showInputMessage="1" showErrorMessage="1" errorTitle="Check the value" error="Enter a number between -100000 and 10000000." sqref="O5:O204">
      <formula1>-100000</formula1>
      <formula2>10000000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&amp;L&amp;"Calibri,Bold"&amp;12&amp;C&amp;"Calibri,Bold"&amp;11Instagram&amp;R&amp;"Calibri,Italic"&amp;9Social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6350A8"/>
    <pageSetUpPr fitToPage="1"/>
  </sheetPr>
  <dimension ref="A1:AB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5.7109375" style="17" customWidth="1"/>
    <col min="6" max="6" width="14.7109375" style="29" customWidth="1"/>
    <col min="7" max="7" width="30.7109375" style="39" customWidth="1"/>
    <col min="8" max="8" width="24.7109375" style="15" customWidth="1"/>
    <col min="9" max="9" width="32.7109375" style="39" customWidth="1"/>
    <col min="10" max="10" width="28.7109375" style="39" customWidth="1"/>
    <col min="11" max="11" width="11.7109375" style="34" customWidth="1"/>
    <col min="12" max="12" width="24.7109375" style="39" customWidth="1"/>
    <col min="13" max="13" width="20.7109375" style="15" customWidth="1"/>
    <col min="14" max="14" width="18.7109375" style="15" customWidth="1"/>
    <col min="15" max="15" width="13.7109375" style="37" customWidth="1"/>
    <col min="16" max="16" width="12.7109375" style="35" customWidth="1"/>
    <col min="17" max="17" width="11.7109375" style="34" customWidth="1"/>
    <col min="18" max="18" width="13.7109375" style="34" customWidth="1"/>
    <col min="19" max="19" width="11.7109375" style="23" customWidth="1"/>
    <col min="20" max="20" width="11.7109375" style="23" customWidth="1"/>
    <col min="21" max="21" width="11.7109375" style="23" customWidth="1"/>
    <col min="22" max="22" width="12.7109375" style="24" customWidth="1"/>
    <col min="23" max="23" width="9.7109375" style="23" customWidth="1"/>
    <col min="24" max="24" width="9.7109375" style="23" customWidth="1"/>
    <col min="25" max="25" width="10.7109375" style="23" customWidth="1"/>
    <col min="26" max="26" width="9.7109375" style="23" customWidth="1"/>
    <col min="27" max="27" width="28.7109375" style="29" customWidth="1"/>
    <col min="28" max="28" width="24.7109375" style="39" customWidth="1"/>
  </cols>
  <sheetData>
    <row r="1" spans="1:28" ht="34" customHeight="1">
      <c r="A1" s="2" t="s">
        <v>1422</v>
      </c>
      <c r="B1" s="2"/>
      <c r="C1" s="2"/>
      <c r="D1" s="2"/>
      <c r="E1" s="2"/>
      <c r="F1" s="2"/>
      <c r="G1" s="2"/>
      <c r="H1" s="2"/>
      <c r="I1" s="2"/>
      <c r="J1" s="2"/>
      <c r="K1" s="2"/>
      <c r="L1" s="2"/>
      <c r="M1" s="2"/>
      <c r="N1" s="2"/>
      <c r="O1" s="2"/>
      <c r="P1" s="2"/>
      <c r="Q1" s="2"/>
      <c r="R1" s="2"/>
      <c r="S1" s="2"/>
      <c r="T1" s="2"/>
      <c r="U1" s="2"/>
      <c r="V1" s="2"/>
      <c r="W1" s="2"/>
      <c r="X1" s="2"/>
      <c r="Y1" s="2"/>
      <c r="Z1" s="3" t="s">
        <v>1</v>
      </c>
      <c r="AA1" s="3"/>
      <c r="AB1" s="3"/>
    </row>
    <row r="2" spans="1:28" ht="18" customHeight="1">
      <c r="A2" s="4" t="s">
        <v>1423</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1424</v>
      </c>
      <c r="T3" s="38"/>
      <c r="U3" s="38"/>
      <c r="V3" s="38"/>
      <c r="W3" s="38"/>
      <c r="X3" s="38"/>
      <c r="Y3" s="38"/>
      <c r="Z3" s="38"/>
      <c r="AA3" s="38"/>
      <c r="AB3" s="38"/>
    </row>
    <row r="4" spans="1:28" ht="30" customHeight="1">
      <c r="A4" s="8" t="s">
        <v>766</v>
      </c>
      <c r="B4" s="8" t="s">
        <v>1391</v>
      </c>
      <c r="C4" s="9" t="s">
        <v>904</v>
      </c>
      <c r="D4" s="9" t="s">
        <v>902</v>
      </c>
      <c r="E4" s="9" t="s">
        <v>195</v>
      </c>
      <c r="F4" s="9" t="s">
        <v>221</v>
      </c>
      <c r="G4" s="9" t="s">
        <v>1425</v>
      </c>
      <c r="H4" s="9" t="s">
        <v>1426</v>
      </c>
      <c r="I4" s="9" t="s">
        <v>1427</v>
      </c>
      <c r="J4" s="9" t="s">
        <v>1428</v>
      </c>
      <c r="K4" s="9" t="s">
        <v>1429</v>
      </c>
      <c r="L4" s="9" t="s">
        <v>1430</v>
      </c>
      <c r="M4" s="9" t="s">
        <v>1431</v>
      </c>
      <c r="N4" s="9" t="s">
        <v>1432</v>
      </c>
      <c r="O4" s="9" t="s">
        <v>1433</v>
      </c>
      <c r="P4" s="9" t="s">
        <v>1434</v>
      </c>
      <c r="Q4" s="9" t="s">
        <v>1435</v>
      </c>
      <c r="R4" s="9" t="s">
        <v>246</v>
      </c>
      <c r="S4" s="9" t="s">
        <v>149</v>
      </c>
      <c r="T4" s="9" t="s">
        <v>151</v>
      </c>
      <c r="U4" s="9" t="s">
        <v>153</v>
      </c>
      <c r="V4" s="9" t="s">
        <v>155</v>
      </c>
      <c r="W4" s="9" t="s">
        <v>1400</v>
      </c>
      <c r="X4" s="9" t="s">
        <v>1401</v>
      </c>
      <c r="Y4" s="9" t="s">
        <v>1402</v>
      </c>
      <c r="Z4" s="9" t="s">
        <v>188</v>
      </c>
      <c r="AA4" s="9" t="s">
        <v>787</v>
      </c>
      <c r="AB4" s="9" t="s">
        <v>788</v>
      </c>
    </row>
    <row r="5" spans="1:28">
      <c r="A5" s="41">
        <f>IF(B5="","","TT-"&amp;TEXT(ROW()-4,"000"))</f>
        <v>0</v>
      </c>
      <c r="B5" s="15" t="s">
        <v>1212</v>
      </c>
      <c r="C5" s="17">
        <f>IF(B5="","",IFERROR(INDEX('Content Calendar'!$H$5:$H$604,MATCH(B5,'Content Calendar'!$A$5:$A$604,0)),"Not found"))</f>
        <v>0</v>
      </c>
      <c r="D5" s="16">
        <f>IF(B5="","",IFERROR(INDEX('Content Calendar'!$B$5:$B$604,MATCH(B5,'Content Calendar'!$A$5:$A$604,0)),"Not found"))</f>
        <v>0</v>
      </c>
      <c r="E5" s="17">
        <f>IF(B5="","",IFERROR(INDEX('Content Calendar'!$J$5:$J$604,MATCH(B5,'Content Calendar'!$A$5:$A$604,0)),"Not found"))</f>
        <v>0</v>
      </c>
      <c r="F5" s="29">
        <f>IF(B5="","",IFERROR(INDEX('Content Calendar'!$X$5:$X$604,MATCH(B5,'Content Calendar'!$A$5:$A$604,0)),"Not found"))</f>
        <v>0</v>
      </c>
      <c r="G5" s="39" t="s">
        <v>1436</v>
      </c>
      <c r="H5" s="15" t="s">
        <v>1437</v>
      </c>
      <c r="I5" s="39" t="s">
        <v>1438</v>
      </c>
      <c r="J5" s="39" t="s">
        <v>1439</v>
      </c>
      <c r="K5" s="34">
        <v>34</v>
      </c>
      <c r="L5" s="39" t="s">
        <v>1440</v>
      </c>
      <c r="M5" s="15" t="s">
        <v>1441</v>
      </c>
      <c r="N5" s="15" t="s">
        <v>1442</v>
      </c>
      <c r="O5" s="37">
        <v>19.4</v>
      </c>
      <c r="P5" s="35">
        <v>0.499</v>
      </c>
      <c r="Q5" s="34">
        <v>328</v>
      </c>
      <c r="R5" s="34">
        <v>135</v>
      </c>
      <c r="S5" s="23">
        <f>IF(B5="","",IF(COUNTIF(Performance!$B$5:$B$404,B5)=0,"",SUMIFS(Performance!$O$5:$O$404,Performance!$B$5:$B$404,B5)))</f>
        <v>0</v>
      </c>
      <c r="T5" s="23">
        <f>IF(B5="","",IF(COUNTIF(Performance!$B$5:$B$404,B5)=0,"",SUMIFS(Performance!$P$5:$P$404,Performance!$B$5:$B$404,B5)))</f>
        <v>0</v>
      </c>
      <c r="U5" s="23">
        <f>IF(B5="","",IF(COUNTIF(Performance!$B$5:$B$404,B5)=0,"",SUMIFS(Performance!$Z$5:$Z$404,Performance!$B$5:$B$404,B5)))</f>
        <v>0</v>
      </c>
      <c r="V5" s="24">
        <f>IF(OR(S5="",S5=0),"",U5/S5)</f>
        <v>0</v>
      </c>
      <c r="W5" s="23">
        <f>IF(B5="","",IF(COUNTIF(Performance!$B$5:$B$404,B5)=0,"",SUMIFS(Performance!$T$5:$T$404,Performance!$B$5:$B$404,B5)))</f>
        <v>0</v>
      </c>
      <c r="X5" s="23">
        <f>IF(B5="","",IF(COUNTIF(Performance!$B$5:$B$404,B5)=0,"",SUMIFS(Performance!$S$5:$S$404,Performance!$B$5:$B$404,B5)))</f>
        <v>0</v>
      </c>
      <c r="Y5" s="23">
        <f>IF(B5="","",IF(COUNTIF(Performance!$B$5:$B$404,B5)=0,"",SUMIFS(Performance!$R$5:$R$404,Performance!$B$5:$B$404,B5)))</f>
        <v>0</v>
      </c>
      <c r="Z5" s="23">
        <f>IF(B5="","",IF(COUNTIF(Performance!$B$5:$B$404,B5)=0,"",SUMIFS(Performance!$U$5:$U$404,Performance!$B$5:$B$404,B5)))</f>
        <v>0</v>
      </c>
      <c r="AA5" s="29">
        <f>IF(B5="","",IF(C5="Not found","Check - content ID not on the calendar",IF(G5="","Add - no hook written",IF(H5="","Add - no sound chosen",IF(AND(P5&lt;&gt;"",P5&lt;0.25),"Review - most people scroll away early","OK")))))</f>
        <v>0</v>
      </c>
      <c r="AB5" s="39" t="s">
        <v>205</v>
      </c>
    </row>
    <row r="6" spans="1:28">
      <c r="A6" s="41">
        <f>IF(B6="","","TT-"&amp;TEXT(ROW()-4,"000"))</f>
        <v>0</v>
      </c>
      <c r="B6" s="15" t="s">
        <v>1443</v>
      </c>
      <c r="C6" s="17">
        <f>IF(B6="","",IFERROR(INDEX('Content Calendar'!$H$5:$H$604,MATCH(B6,'Content Calendar'!$A$5:$A$604,0)),"Not found"))</f>
        <v>0</v>
      </c>
      <c r="D6" s="16">
        <f>IF(B6="","",IFERROR(INDEX('Content Calendar'!$B$5:$B$604,MATCH(B6,'Content Calendar'!$A$5:$A$604,0)),"Not found"))</f>
        <v>0</v>
      </c>
      <c r="E6" s="17">
        <f>IF(B6="","",IFERROR(INDEX('Content Calendar'!$J$5:$J$604,MATCH(B6,'Content Calendar'!$A$5:$A$604,0)),"Not found"))</f>
        <v>0</v>
      </c>
      <c r="F6" s="29">
        <f>IF(B6="","",IFERROR(INDEX('Content Calendar'!$X$5:$X$604,MATCH(B6,'Content Calendar'!$A$5:$A$604,0)),"Not found"))</f>
        <v>0</v>
      </c>
      <c r="G6" s="39" t="s">
        <v>1436</v>
      </c>
      <c r="H6" s="15" t="s">
        <v>1437</v>
      </c>
      <c r="I6" s="39" t="s">
        <v>1438</v>
      </c>
      <c r="J6" s="39" t="s">
        <v>1439</v>
      </c>
      <c r="K6" s="34">
        <v>28</v>
      </c>
      <c r="L6" s="39" t="s">
        <v>1440</v>
      </c>
      <c r="M6" s="15" t="s">
        <v>1444</v>
      </c>
      <c r="N6" s="15" t="s">
        <v>205</v>
      </c>
      <c r="O6" s="37">
        <v>20.4</v>
      </c>
      <c r="P6" s="35">
        <v>0.298</v>
      </c>
      <c r="Q6" s="34">
        <v>198</v>
      </c>
      <c r="R6" s="34">
        <v>98</v>
      </c>
      <c r="S6" s="23">
        <f>IF(B6="","",IF(COUNTIF(Performance!$B$5:$B$404,B6)=0,"",SUMIFS(Performance!$O$5:$O$404,Performance!$B$5:$B$404,B6)))</f>
        <v>0</v>
      </c>
      <c r="T6" s="23">
        <f>IF(B6="","",IF(COUNTIF(Performance!$B$5:$B$404,B6)=0,"",SUMIFS(Performance!$P$5:$P$404,Performance!$B$5:$B$404,B6)))</f>
        <v>0</v>
      </c>
      <c r="U6" s="23">
        <f>IF(B6="","",IF(COUNTIF(Performance!$B$5:$B$404,B6)=0,"",SUMIFS(Performance!$Z$5:$Z$404,Performance!$B$5:$B$404,B6)))</f>
        <v>0</v>
      </c>
      <c r="V6" s="24">
        <f>IF(OR(S6="",S6=0),"",U6/S6)</f>
        <v>0</v>
      </c>
      <c r="W6" s="23">
        <f>IF(B6="","",IF(COUNTIF(Performance!$B$5:$B$404,B6)=0,"",SUMIFS(Performance!$T$5:$T$404,Performance!$B$5:$B$404,B6)))</f>
        <v>0</v>
      </c>
      <c r="X6" s="23">
        <f>IF(B6="","",IF(COUNTIF(Performance!$B$5:$B$404,B6)=0,"",SUMIFS(Performance!$S$5:$S$404,Performance!$B$5:$B$404,B6)))</f>
        <v>0</v>
      </c>
      <c r="Y6" s="23">
        <f>IF(B6="","",IF(COUNTIF(Performance!$B$5:$B$404,B6)=0,"",SUMIFS(Performance!$R$5:$R$404,Performance!$B$5:$B$404,B6)))</f>
        <v>0</v>
      </c>
      <c r="Z6" s="23">
        <f>IF(B6="","",IF(COUNTIF(Performance!$B$5:$B$404,B6)=0,"",SUMIFS(Performance!$U$5:$U$404,Performance!$B$5:$B$404,B6)))</f>
        <v>0</v>
      </c>
      <c r="AA6" s="29">
        <f>IF(B6="","",IF(C6="Not found","Check - content ID not on the calendar",IF(G6="","Add - no hook written",IF(H6="","Add - no sound chosen",IF(AND(P6&lt;&gt;"",P6&lt;0.25),"Review - most people scroll away early","OK")))))</f>
        <v>0</v>
      </c>
      <c r="AB6" s="39" t="s">
        <v>205</v>
      </c>
    </row>
    <row r="7" spans="1:28">
      <c r="A7" s="41">
        <f>IF(B7="","","TT-"&amp;TEXT(ROW()-4,"000"))</f>
        <v>0</v>
      </c>
      <c r="B7" s="15" t="s">
        <v>1445</v>
      </c>
      <c r="C7" s="17">
        <f>IF(B7="","",IFERROR(INDEX('Content Calendar'!$H$5:$H$604,MATCH(B7,'Content Calendar'!$A$5:$A$604,0)),"Not found"))</f>
        <v>0</v>
      </c>
      <c r="D7" s="16">
        <f>IF(B7="","",IFERROR(INDEX('Content Calendar'!$B$5:$B$604,MATCH(B7,'Content Calendar'!$A$5:$A$604,0)),"Not found"))</f>
        <v>0</v>
      </c>
      <c r="E7" s="17">
        <f>IF(B7="","",IFERROR(INDEX('Content Calendar'!$J$5:$J$604,MATCH(B7,'Content Calendar'!$A$5:$A$604,0)),"Not found"))</f>
        <v>0</v>
      </c>
      <c r="F7" s="29">
        <f>IF(B7="","",IFERROR(INDEX('Content Calendar'!$X$5:$X$604,MATCH(B7,'Content Calendar'!$A$5:$A$604,0)),"Not found"))</f>
        <v>0</v>
      </c>
      <c r="G7" s="39" t="s">
        <v>1436</v>
      </c>
      <c r="H7" s="15" t="s">
        <v>1437</v>
      </c>
      <c r="I7" s="39" t="s">
        <v>1438</v>
      </c>
      <c r="J7" s="39" t="s">
        <v>1439</v>
      </c>
      <c r="K7" s="34">
        <v>28</v>
      </c>
      <c r="L7" s="39" t="s">
        <v>1440</v>
      </c>
      <c r="M7" s="15" t="s">
        <v>1446</v>
      </c>
      <c r="N7" s="15" t="s">
        <v>205</v>
      </c>
      <c r="O7" s="37">
        <v>17.4</v>
      </c>
      <c r="P7" s="35">
        <v>0.457</v>
      </c>
      <c r="Q7" s="34">
        <v>310</v>
      </c>
      <c r="R7" s="34">
        <v>13</v>
      </c>
      <c r="S7" s="23">
        <f>IF(B7="","",IF(COUNTIF(Performance!$B$5:$B$404,B7)=0,"",SUMIFS(Performance!$O$5:$O$404,Performance!$B$5:$B$404,B7)))</f>
        <v>0</v>
      </c>
      <c r="T7" s="23">
        <f>IF(B7="","",IF(COUNTIF(Performance!$B$5:$B$404,B7)=0,"",SUMIFS(Performance!$P$5:$P$404,Performance!$B$5:$B$404,B7)))</f>
        <v>0</v>
      </c>
      <c r="U7" s="23">
        <f>IF(B7="","",IF(COUNTIF(Performance!$B$5:$B$404,B7)=0,"",SUMIFS(Performance!$Z$5:$Z$404,Performance!$B$5:$B$404,B7)))</f>
        <v>0</v>
      </c>
      <c r="V7" s="24">
        <f>IF(OR(S7="",S7=0),"",U7/S7)</f>
        <v>0</v>
      </c>
      <c r="W7" s="23">
        <f>IF(B7="","",IF(COUNTIF(Performance!$B$5:$B$404,B7)=0,"",SUMIFS(Performance!$T$5:$T$404,Performance!$B$5:$B$404,B7)))</f>
        <v>0</v>
      </c>
      <c r="X7" s="23">
        <f>IF(B7="","",IF(COUNTIF(Performance!$B$5:$B$404,B7)=0,"",SUMIFS(Performance!$S$5:$S$404,Performance!$B$5:$B$404,B7)))</f>
        <v>0</v>
      </c>
      <c r="Y7" s="23">
        <f>IF(B7="","",IF(COUNTIF(Performance!$B$5:$B$404,B7)=0,"",SUMIFS(Performance!$R$5:$R$404,Performance!$B$5:$B$404,B7)))</f>
        <v>0</v>
      </c>
      <c r="Z7" s="23">
        <f>IF(B7="","",IF(COUNTIF(Performance!$B$5:$B$404,B7)=0,"",SUMIFS(Performance!$U$5:$U$404,Performance!$B$5:$B$404,B7)))</f>
        <v>0</v>
      </c>
      <c r="AA7" s="29">
        <f>IF(B7="","",IF(C7="Not found","Check - content ID not on the calendar",IF(G7="","Add - no hook written",IF(H7="","Add - no sound chosen",IF(AND(P7&lt;&gt;"",P7&lt;0.25),"Review - most people scroll away early","OK")))))</f>
        <v>0</v>
      </c>
      <c r="AB7" s="39" t="s">
        <v>205</v>
      </c>
    </row>
    <row r="8" spans="1:28">
      <c r="A8" s="41">
        <f>IF(B8="","","TT-"&amp;TEXT(ROW()-4,"000"))</f>
        <v>0</v>
      </c>
      <c r="B8" s="15" t="s">
        <v>1447</v>
      </c>
      <c r="C8" s="17">
        <f>IF(B8="","",IFERROR(INDEX('Content Calendar'!$H$5:$H$604,MATCH(B8,'Content Calendar'!$A$5:$A$604,0)),"Not found"))</f>
        <v>0</v>
      </c>
      <c r="D8" s="16">
        <f>IF(B8="","",IFERROR(INDEX('Content Calendar'!$B$5:$B$604,MATCH(B8,'Content Calendar'!$A$5:$A$604,0)),"Not found"))</f>
        <v>0</v>
      </c>
      <c r="E8" s="17">
        <f>IF(B8="","",IFERROR(INDEX('Content Calendar'!$J$5:$J$604,MATCH(B8,'Content Calendar'!$A$5:$A$604,0)),"Not found"))</f>
        <v>0</v>
      </c>
      <c r="F8" s="29">
        <f>IF(B8="","",IFERROR(INDEX('Content Calendar'!$X$5:$X$604,MATCH(B8,'Content Calendar'!$A$5:$A$604,0)),"Not found"))</f>
        <v>0</v>
      </c>
      <c r="G8" s="39" t="s">
        <v>1436</v>
      </c>
      <c r="H8" s="15" t="s">
        <v>1437</v>
      </c>
      <c r="I8" s="39" t="s">
        <v>1438</v>
      </c>
      <c r="J8" s="39" t="s">
        <v>1439</v>
      </c>
      <c r="K8" s="34">
        <v>15</v>
      </c>
      <c r="L8" s="39" t="s">
        <v>1440</v>
      </c>
      <c r="M8" s="15" t="s">
        <v>1448</v>
      </c>
      <c r="N8" s="15" t="s">
        <v>1442</v>
      </c>
      <c r="O8" s="37">
        <v>10.1</v>
      </c>
      <c r="P8" s="35">
        <v>0.285</v>
      </c>
      <c r="Q8" s="34">
        <v>449</v>
      </c>
      <c r="R8" s="34">
        <v>80</v>
      </c>
      <c r="S8" s="23">
        <f>IF(B8="","",IF(COUNTIF(Performance!$B$5:$B$404,B8)=0,"",SUMIFS(Performance!$O$5:$O$404,Performance!$B$5:$B$404,B8)))</f>
        <v>0</v>
      </c>
      <c r="T8" s="23">
        <f>IF(B8="","",IF(COUNTIF(Performance!$B$5:$B$404,B8)=0,"",SUMIFS(Performance!$P$5:$P$404,Performance!$B$5:$B$404,B8)))</f>
        <v>0</v>
      </c>
      <c r="U8" s="23">
        <f>IF(B8="","",IF(COUNTIF(Performance!$B$5:$B$404,B8)=0,"",SUMIFS(Performance!$Z$5:$Z$404,Performance!$B$5:$B$404,B8)))</f>
        <v>0</v>
      </c>
      <c r="V8" s="24">
        <f>IF(OR(S8="",S8=0),"",U8/S8)</f>
        <v>0</v>
      </c>
      <c r="W8" s="23">
        <f>IF(B8="","",IF(COUNTIF(Performance!$B$5:$B$404,B8)=0,"",SUMIFS(Performance!$T$5:$T$404,Performance!$B$5:$B$404,B8)))</f>
        <v>0</v>
      </c>
      <c r="X8" s="23">
        <f>IF(B8="","",IF(COUNTIF(Performance!$B$5:$B$404,B8)=0,"",SUMIFS(Performance!$S$5:$S$404,Performance!$B$5:$B$404,B8)))</f>
        <v>0</v>
      </c>
      <c r="Y8" s="23">
        <f>IF(B8="","",IF(COUNTIF(Performance!$B$5:$B$404,B8)=0,"",SUMIFS(Performance!$R$5:$R$404,Performance!$B$5:$B$404,B8)))</f>
        <v>0</v>
      </c>
      <c r="Z8" s="23">
        <f>IF(B8="","",IF(COUNTIF(Performance!$B$5:$B$404,B8)=0,"",SUMIFS(Performance!$U$5:$U$404,Performance!$B$5:$B$404,B8)))</f>
        <v>0</v>
      </c>
      <c r="AA8" s="29">
        <f>IF(B8="","",IF(C8="Not found","Check - content ID not on the calendar",IF(G8="","Add - no hook written",IF(H8="","Add - no sound chosen",IF(AND(P8&lt;&gt;"",P8&lt;0.25),"Review - most people scroll away early","OK")))))</f>
        <v>0</v>
      </c>
      <c r="AB8" s="39" t="s">
        <v>205</v>
      </c>
    </row>
    <row r="9" spans="1:28">
      <c r="A9" s="41">
        <f>IF(B9="","","TT-"&amp;TEXT(ROW()-4,"000"))</f>
        <v>0</v>
      </c>
      <c r="B9" s="15" t="s">
        <v>1449</v>
      </c>
      <c r="C9" s="17">
        <f>IF(B9="","",IFERROR(INDEX('Content Calendar'!$H$5:$H$604,MATCH(B9,'Content Calendar'!$A$5:$A$604,0)),"Not found"))</f>
        <v>0</v>
      </c>
      <c r="D9" s="16">
        <f>IF(B9="","",IFERROR(INDEX('Content Calendar'!$B$5:$B$604,MATCH(B9,'Content Calendar'!$A$5:$A$604,0)),"Not found"))</f>
        <v>0</v>
      </c>
      <c r="E9" s="17">
        <f>IF(B9="","",IFERROR(INDEX('Content Calendar'!$J$5:$J$604,MATCH(B9,'Content Calendar'!$A$5:$A$604,0)),"Not found"))</f>
        <v>0</v>
      </c>
      <c r="F9" s="29">
        <f>IF(B9="","",IFERROR(INDEX('Content Calendar'!$X$5:$X$604,MATCH(B9,'Content Calendar'!$A$5:$A$604,0)),"Not found"))</f>
        <v>0</v>
      </c>
      <c r="G9" s="39" t="s">
        <v>1436</v>
      </c>
      <c r="H9" s="15" t="s">
        <v>1437</v>
      </c>
      <c r="I9" s="39" t="s">
        <v>1438</v>
      </c>
      <c r="J9" s="39" t="s">
        <v>1439</v>
      </c>
      <c r="K9" s="34">
        <v>28</v>
      </c>
      <c r="L9" s="39" t="s">
        <v>1440</v>
      </c>
      <c r="M9" s="15" t="s">
        <v>1450</v>
      </c>
      <c r="N9" s="15" t="s">
        <v>1442</v>
      </c>
      <c r="O9" s="37">
        <v>8.4</v>
      </c>
      <c r="P9" s="35">
        <v>0.29</v>
      </c>
      <c r="Q9" s="34">
        <v>231</v>
      </c>
      <c r="R9" s="34">
        <v>81</v>
      </c>
      <c r="S9" s="23">
        <f>IF(B9="","",IF(COUNTIF(Performance!$B$5:$B$404,B9)=0,"",SUMIFS(Performance!$O$5:$O$404,Performance!$B$5:$B$404,B9)))</f>
        <v>0</v>
      </c>
      <c r="T9" s="23">
        <f>IF(B9="","",IF(COUNTIF(Performance!$B$5:$B$404,B9)=0,"",SUMIFS(Performance!$P$5:$P$404,Performance!$B$5:$B$404,B9)))</f>
        <v>0</v>
      </c>
      <c r="U9" s="23">
        <f>IF(B9="","",IF(COUNTIF(Performance!$B$5:$B$404,B9)=0,"",SUMIFS(Performance!$Z$5:$Z$404,Performance!$B$5:$B$404,B9)))</f>
        <v>0</v>
      </c>
      <c r="V9" s="24">
        <f>IF(OR(S9="",S9=0),"",U9/S9)</f>
        <v>0</v>
      </c>
      <c r="W9" s="23">
        <f>IF(B9="","",IF(COUNTIF(Performance!$B$5:$B$404,B9)=0,"",SUMIFS(Performance!$T$5:$T$404,Performance!$B$5:$B$404,B9)))</f>
        <v>0</v>
      </c>
      <c r="X9" s="23">
        <f>IF(B9="","",IF(COUNTIF(Performance!$B$5:$B$404,B9)=0,"",SUMIFS(Performance!$S$5:$S$404,Performance!$B$5:$B$404,B9)))</f>
        <v>0</v>
      </c>
      <c r="Y9" s="23">
        <f>IF(B9="","",IF(COUNTIF(Performance!$B$5:$B$404,B9)=0,"",SUMIFS(Performance!$R$5:$R$404,Performance!$B$5:$B$404,B9)))</f>
        <v>0</v>
      </c>
      <c r="Z9" s="23">
        <f>IF(B9="","",IF(COUNTIF(Performance!$B$5:$B$404,B9)=0,"",SUMIFS(Performance!$U$5:$U$404,Performance!$B$5:$B$404,B9)))</f>
        <v>0</v>
      </c>
      <c r="AA9" s="29">
        <f>IF(B9="","",IF(C9="Not found","Check - content ID not on the calendar",IF(G9="","Add - no hook written",IF(H9="","Add - no sound chosen",IF(AND(P9&lt;&gt;"",P9&lt;0.25),"Review - most people scroll away early","OK")))))</f>
        <v>0</v>
      </c>
      <c r="AB9" s="39" t="s">
        <v>205</v>
      </c>
    </row>
    <row r="10" spans="1:28">
      <c r="A10" s="41">
        <f>IF(B10="","","TT-"&amp;TEXT(ROW()-4,"000"))</f>
        <v>0</v>
      </c>
      <c r="B10" s="15" t="s">
        <v>1451</v>
      </c>
      <c r="C10" s="17">
        <f>IF(B10="","",IFERROR(INDEX('Content Calendar'!$H$5:$H$604,MATCH(B10,'Content Calendar'!$A$5:$A$604,0)),"Not found"))</f>
        <v>0</v>
      </c>
      <c r="D10" s="16">
        <f>IF(B10="","",IFERROR(INDEX('Content Calendar'!$B$5:$B$604,MATCH(B10,'Content Calendar'!$A$5:$A$604,0)),"Not found"))</f>
        <v>0</v>
      </c>
      <c r="E10" s="17">
        <f>IF(B10="","",IFERROR(INDEX('Content Calendar'!$J$5:$J$604,MATCH(B10,'Content Calendar'!$A$5:$A$604,0)),"Not found"))</f>
        <v>0</v>
      </c>
      <c r="F10" s="29">
        <f>IF(B10="","",IFERROR(INDEX('Content Calendar'!$X$5:$X$604,MATCH(B10,'Content Calendar'!$A$5:$A$604,0)),"Not found"))</f>
        <v>0</v>
      </c>
      <c r="G10" s="39" t="s">
        <v>1436</v>
      </c>
      <c r="H10" s="15" t="s">
        <v>1437</v>
      </c>
      <c r="I10" s="39" t="s">
        <v>1438</v>
      </c>
      <c r="J10" s="39" t="s">
        <v>1439</v>
      </c>
      <c r="K10" s="34">
        <v>15</v>
      </c>
      <c r="L10" s="39" t="s">
        <v>1440</v>
      </c>
      <c r="M10" s="15" t="s">
        <v>1452</v>
      </c>
      <c r="N10" s="15" t="s">
        <v>1442</v>
      </c>
      <c r="O10" s="37">
        <v>20.2</v>
      </c>
      <c r="P10" s="35">
        <v>0.572</v>
      </c>
      <c r="Q10" s="34">
        <v>88</v>
      </c>
      <c r="R10" s="34">
        <v>81</v>
      </c>
      <c r="S10" s="23">
        <f>IF(B10="","",IF(COUNTIF(Performance!$B$5:$B$404,B10)=0,"",SUMIFS(Performance!$O$5:$O$404,Performance!$B$5:$B$404,B10)))</f>
        <v>0</v>
      </c>
      <c r="T10" s="23">
        <f>IF(B10="","",IF(COUNTIF(Performance!$B$5:$B$404,B10)=0,"",SUMIFS(Performance!$P$5:$P$404,Performance!$B$5:$B$404,B10)))</f>
        <v>0</v>
      </c>
      <c r="U10" s="23">
        <f>IF(B10="","",IF(COUNTIF(Performance!$B$5:$B$404,B10)=0,"",SUMIFS(Performance!$Z$5:$Z$404,Performance!$B$5:$B$404,B10)))</f>
        <v>0</v>
      </c>
      <c r="V10" s="24">
        <f>IF(OR(S10="",S10=0),"",U10/S10)</f>
        <v>0</v>
      </c>
      <c r="W10" s="23">
        <f>IF(B10="","",IF(COUNTIF(Performance!$B$5:$B$404,B10)=0,"",SUMIFS(Performance!$T$5:$T$404,Performance!$B$5:$B$404,B10)))</f>
        <v>0</v>
      </c>
      <c r="X10" s="23">
        <f>IF(B10="","",IF(COUNTIF(Performance!$B$5:$B$404,B10)=0,"",SUMIFS(Performance!$S$5:$S$404,Performance!$B$5:$B$404,B10)))</f>
        <v>0</v>
      </c>
      <c r="Y10" s="23">
        <f>IF(B10="","",IF(COUNTIF(Performance!$B$5:$B$404,B10)=0,"",SUMIFS(Performance!$R$5:$R$404,Performance!$B$5:$B$404,B10)))</f>
        <v>0</v>
      </c>
      <c r="Z10" s="23">
        <f>IF(B10="","",IF(COUNTIF(Performance!$B$5:$B$404,B10)=0,"",SUMIFS(Performance!$U$5:$U$404,Performance!$B$5:$B$404,B10)))</f>
        <v>0</v>
      </c>
      <c r="AA10" s="29">
        <f>IF(B10="","",IF(C10="Not found","Check - content ID not on the calendar",IF(G10="","Add - no hook written",IF(H10="","Add - no sound chosen",IF(AND(P10&lt;&gt;"",P10&lt;0.25),"Review - most people scroll away early","OK")))))</f>
        <v>0</v>
      </c>
      <c r="AB10" s="39" t="s">
        <v>205</v>
      </c>
    </row>
    <row r="11" spans="1:28">
      <c r="A11" s="41">
        <f>IF(B11="","","TT-"&amp;TEXT(ROW()-4,"000"))</f>
        <v>0</v>
      </c>
      <c r="B11" s="15" t="s">
        <v>1453</v>
      </c>
      <c r="C11" s="17">
        <f>IF(B11="","",IFERROR(INDEX('Content Calendar'!$H$5:$H$604,MATCH(B11,'Content Calendar'!$A$5:$A$604,0)),"Not found"))</f>
        <v>0</v>
      </c>
      <c r="D11" s="16">
        <f>IF(B11="","",IFERROR(INDEX('Content Calendar'!$B$5:$B$604,MATCH(B11,'Content Calendar'!$A$5:$A$604,0)),"Not found"))</f>
        <v>0</v>
      </c>
      <c r="E11" s="17">
        <f>IF(B11="","",IFERROR(INDEX('Content Calendar'!$J$5:$J$604,MATCH(B11,'Content Calendar'!$A$5:$A$604,0)),"Not found"))</f>
        <v>0</v>
      </c>
      <c r="F11" s="29">
        <f>IF(B11="","",IFERROR(INDEX('Content Calendar'!$X$5:$X$604,MATCH(B11,'Content Calendar'!$A$5:$A$604,0)),"Not found"))</f>
        <v>0</v>
      </c>
      <c r="G11" s="39" t="s">
        <v>1436</v>
      </c>
      <c r="H11" s="15" t="s">
        <v>1437</v>
      </c>
      <c r="I11" s="39" t="s">
        <v>1438</v>
      </c>
      <c r="J11" s="39" t="s">
        <v>1439</v>
      </c>
      <c r="K11" s="34">
        <v>15</v>
      </c>
      <c r="L11" s="39" t="s">
        <v>1440</v>
      </c>
      <c r="M11" s="15" t="s">
        <v>1454</v>
      </c>
      <c r="N11" s="15" t="s">
        <v>205</v>
      </c>
      <c r="O11" s="37">
        <v>14.3</v>
      </c>
      <c r="P11" s="35">
        <v>0.35</v>
      </c>
      <c r="Q11" s="34">
        <v>228</v>
      </c>
      <c r="R11" s="34">
        <v>81</v>
      </c>
      <c r="S11" s="23">
        <f>IF(B11="","",IF(COUNTIF(Performance!$B$5:$B$404,B11)=0,"",SUMIFS(Performance!$O$5:$O$404,Performance!$B$5:$B$404,B11)))</f>
        <v>0</v>
      </c>
      <c r="T11" s="23">
        <f>IF(B11="","",IF(COUNTIF(Performance!$B$5:$B$404,B11)=0,"",SUMIFS(Performance!$P$5:$P$404,Performance!$B$5:$B$404,B11)))</f>
        <v>0</v>
      </c>
      <c r="U11" s="23">
        <f>IF(B11="","",IF(COUNTIF(Performance!$B$5:$B$404,B11)=0,"",SUMIFS(Performance!$Z$5:$Z$404,Performance!$B$5:$B$404,B11)))</f>
        <v>0</v>
      </c>
      <c r="V11" s="24">
        <f>IF(OR(S11="",S11=0),"",U11/S11)</f>
        <v>0</v>
      </c>
      <c r="W11" s="23">
        <f>IF(B11="","",IF(COUNTIF(Performance!$B$5:$B$404,B11)=0,"",SUMIFS(Performance!$T$5:$T$404,Performance!$B$5:$B$404,B11)))</f>
        <v>0</v>
      </c>
      <c r="X11" s="23">
        <f>IF(B11="","",IF(COUNTIF(Performance!$B$5:$B$404,B11)=0,"",SUMIFS(Performance!$S$5:$S$404,Performance!$B$5:$B$404,B11)))</f>
        <v>0</v>
      </c>
      <c r="Y11" s="23">
        <f>IF(B11="","",IF(COUNTIF(Performance!$B$5:$B$404,B11)=0,"",SUMIFS(Performance!$R$5:$R$404,Performance!$B$5:$B$404,B11)))</f>
        <v>0</v>
      </c>
      <c r="Z11" s="23">
        <f>IF(B11="","",IF(COUNTIF(Performance!$B$5:$B$404,B11)=0,"",SUMIFS(Performance!$U$5:$U$404,Performance!$B$5:$B$404,B11)))</f>
        <v>0</v>
      </c>
      <c r="AA11" s="29">
        <f>IF(B11="","",IF(C11="Not found","Check - content ID not on the calendar",IF(G11="","Add - no hook written",IF(H11="","Add - no sound chosen",IF(AND(P11&lt;&gt;"",P11&lt;0.25),"Review - most people scroll away early","OK")))))</f>
        <v>0</v>
      </c>
      <c r="AB11" s="39" t="s">
        <v>205</v>
      </c>
    </row>
    <row r="12" spans="1:28">
      <c r="A12" s="41">
        <f>IF(B12="","","TT-"&amp;TEXT(ROW()-4,"000"))</f>
        <v>0</v>
      </c>
      <c r="C12" s="17">
        <f>IF(B12="","",IFERROR(INDEX('Content Calendar'!$H$5:$H$604,MATCH(B12,'Content Calendar'!$A$5:$A$604,0)),"Not found"))</f>
        <v>0</v>
      </c>
      <c r="D12" s="16">
        <f>IF(B12="","",IFERROR(INDEX('Content Calendar'!$B$5:$B$604,MATCH(B12,'Content Calendar'!$A$5:$A$604,0)),"Not found"))</f>
        <v>0</v>
      </c>
      <c r="E12" s="17">
        <f>IF(B12="","",IFERROR(INDEX('Content Calendar'!$J$5:$J$604,MATCH(B12,'Content Calendar'!$A$5:$A$604,0)),"Not found"))</f>
        <v>0</v>
      </c>
      <c r="F12" s="29">
        <f>IF(B12="","",IFERROR(INDEX('Content Calendar'!$X$5:$X$604,MATCH(B12,'Content Calendar'!$A$5:$A$604,0)),"Not found"))</f>
        <v>0</v>
      </c>
      <c r="S12" s="23">
        <f>IF(B12="","",IF(COUNTIF(Performance!$B$5:$B$404,B12)=0,"",SUMIFS(Performance!$O$5:$O$404,Performance!$B$5:$B$404,B12)))</f>
        <v>0</v>
      </c>
      <c r="T12" s="23">
        <f>IF(B12="","",IF(COUNTIF(Performance!$B$5:$B$404,B12)=0,"",SUMIFS(Performance!$P$5:$P$404,Performance!$B$5:$B$404,B12)))</f>
        <v>0</v>
      </c>
      <c r="U12" s="23">
        <f>IF(B12="","",IF(COUNTIF(Performance!$B$5:$B$404,B12)=0,"",SUMIFS(Performance!$Z$5:$Z$404,Performance!$B$5:$B$404,B12)))</f>
        <v>0</v>
      </c>
      <c r="V12" s="24">
        <f>IF(OR(S12="",S12=0),"",U12/S12)</f>
        <v>0</v>
      </c>
      <c r="W12" s="23">
        <f>IF(B12="","",IF(COUNTIF(Performance!$B$5:$B$404,B12)=0,"",SUMIFS(Performance!$T$5:$T$404,Performance!$B$5:$B$404,B12)))</f>
        <v>0</v>
      </c>
      <c r="X12" s="23">
        <f>IF(B12="","",IF(COUNTIF(Performance!$B$5:$B$404,B12)=0,"",SUMIFS(Performance!$S$5:$S$404,Performance!$B$5:$B$404,B12)))</f>
        <v>0</v>
      </c>
      <c r="Y12" s="23">
        <f>IF(B12="","",IF(COUNTIF(Performance!$B$5:$B$404,B12)=0,"",SUMIFS(Performance!$R$5:$R$404,Performance!$B$5:$B$404,B12)))</f>
        <v>0</v>
      </c>
      <c r="Z12" s="23">
        <f>IF(B12="","",IF(COUNTIF(Performance!$B$5:$B$404,B12)=0,"",SUMIFS(Performance!$U$5:$U$404,Performance!$B$5:$B$404,B12)))</f>
        <v>0</v>
      </c>
      <c r="AA12" s="29">
        <f>IF(B12="","",IF(C12="Not found","Check - content ID not on the calendar",IF(G12="","Add - no hook written",IF(H12="","Add - no sound chosen",IF(AND(P12&lt;&gt;"",P12&lt;0.25),"Review - most people scroll away early","OK")))))</f>
        <v>0</v>
      </c>
    </row>
    <row r="13" spans="1:28">
      <c r="A13" s="41">
        <f>IF(B13="","","TT-"&amp;TEXT(ROW()-4,"000"))</f>
        <v>0</v>
      </c>
      <c r="C13" s="17">
        <f>IF(B13="","",IFERROR(INDEX('Content Calendar'!$H$5:$H$604,MATCH(B13,'Content Calendar'!$A$5:$A$604,0)),"Not found"))</f>
        <v>0</v>
      </c>
      <c r="D13" s="16">
        <f>IF(B13="","",IFERROR(INDEX('Content Calendar'!$B$5:$B$604,MATCH(B13,'Content Calendar'!$A$5:$A$604,0)),"Not found"))</f>
        <v>0</v>
      </c>
      <c r="E13" s="17">
        <f>IF(B13="","",IFERROR(INDEX('Content Calendar'!$J$5:$J$604,MATCH(B13,'Content Calendar'!$A$5:$A$604,0)),"Not found"))</f>
        <v>0</v>
      </c>
      <c r="F13" s="29">
        <f>IF(B13="","",IFERROR(INDEX('Content Calendar'!$X$5:$X$604,MATCH(B13,'Content Calendar'!$A$5:$A$604,0)),"Not found"))</f>
        <v>0</v>
      </c>
      <c r="S13" s="23">
        <f>IF(B13="","",IF(COUNTIF(Performance!$B$5:$B$404,B13)=0,"",SUMIFS(Performance!$O$5:$O$404,Performance!$B$5:$B$404,B13)))</f>
        <v>0</v>
      </c>
      <c r="T13" s="23">
        <f>IF(B13="","",IF(COUNTIF(Performance!$B$5:$B$404,B13)=0,"",SUMIFS(Performance!$P$5:$P$404,Performance!$B$5:$B$404,B13)))</f>
        <v>0</v>
      </c>
      <c r="U13" s="23">
        <f>IF(B13="","",IF(COUNTIF(Performance!$B$5:$B$404,B13)=0,"",SUMIFS(Performance!$Z$5:$Z$404,Performance!$B$5:$B$404,B13)))</f>
        <v>0</v>
      </c>
      <c r="V13" s="24">
        <f>IF(OR(S13="",S13=0),"",U13/S13)</f>
        <v>0</v>
      </c>
      <c r="W13" s="23">
        <f>IF(B13="","",IF(COUNTIF(Performance!$B$5:$B$404,B13)=0,"",SUMIFS(Performance!$T$5:$T$404,Performance!$B$5:$B$404,B13)))</f>
        <v>0</v>
      </c>
      <c r="X13" s="23">
        <f>IF(B13="","",IF(COUNTIF(Performance!$B$5:$B$404,B13)=0,"",SUMIFS(Performance!$S$5:$S$404,Performance!$B$5:$B$404,B13)))</f>
        <v>0</v>
      </c>
      <c r="Y13" s="23">
        <f>IF(B13="","",IF(COUNTIF(Performance!$B$5:$B$404,B13)=0,"",SUMIFS(Performance!$R$5:$R$404,Performance!$B$5:$B$404,B13)))</f>
        <v>0</v>
      </c>
      <c r="Z13" s="23">
        <f>IF(B13="","",IF(COUNTIF(Performance!$B$5:$B$404,B13)=0,"",SUMIFS(Performance!$U$5:$U$404,Performance!$B$5:$B$404,B13)))</f>
        <v>0</v>
      </c>
      <c r="AA13" s="29">
        <f>IF(B13="","",IF(C13="Not found","Check - content ID not on the calendar",IF(G13="","Add - no hook written",IF(H13="","Add - no sound chosen",IF(AND(P13&lt;&gt;"",P13&lt;0.25),"Review - most people scroll away early","OK")))))</f>
        <v>0</v>
      </c>
    </row>
    <row r="14" spans="1:28">
      <c r="A14" s="41">
        <f>IF(B14="","","TT-"&amp;TEXT(ROW()-4,"000"))</f>
        <v>0</v>
      </c>
      <c r="C14" s="17">
        <f>IF(B14="","",IFERROR(INDEX('Content Calendar'!$H$5:$H$604,MATCH(B14,'Content Calendar'!$A$5:$A$604,0)),"Not found"))</f>
        <v>0</v>
      </c>
      <c r="D14" s="16">
        <f>IF(B14="","",IFERROR(INDEX('Content Calendar'!$B$5:$B$604,MATCH(B14,'Content Calendar'!$A$5:$A$604,0)),"Not found"))</f>
        <v>0</v>
      </c>
      <c r="E14" s="17">
        <f>IF(B14="","",IFERROR(INDEX('Content Calendar'!$J$5:$J$604,MATCH(B14,'Content Calendar'!$A$5:$A$604,0)),"Not found"))</f>
        <v>0</v>
      </c>
      <c r="F14" s="29">
        <f>IF(B14="","",IFERROR(INDEX('Content Calendar'!$X$5:$X$604,MATCH(B14,'Content Calendar'!$A$5:$A$604,0)),"Not found"))</f>
        <v>0</v>
      </c>
      <c r="S14" s="23">
        <f>IF(B14="","",IF(COUNTIF(Performance!$B$5:$B$404,B14)=0,"",SUMIFS(Performance!$O$5:$O$404,Performance!$B$5:$B$404,B14)))</f>
        <v>0</v>
      </c>
      <c r="T14" s="23">
        <f>IF(B14="","",IF(COUNTIF(Performance!$B$5:$B$404,B14)=0,"",SUMIFS(Performance!$P$5:$P$404,Performance!$B$5:$B$404,B14)))</f>
        <v>0</v>
      </c>
      <c r="U14" s="23">
        <f>IF(B14="","",IF(COUNTIF(Performance!$B$5:$B$404,B14)=0,"",SUMIFS(Performance!$Z$5:$Z$404,Performance!$B$5:$B$404,B14)))</f>
        <v>0</v>
      </c>
      <c r="V14" s="24">
        <f>IF(OR(S14="",S14=0),"",U14/S14)</f>
        <v>0</v>
      </c>
      <c r="W14" s="23">
        <f>IF(B14="","",IF(COUNTIF(Performance!$B$5:$B$404,B14)=0,"",SUMIFS(Performance!$T$5:$T$404,Performance!$B$5:$B$404,B14)))</f>
        <v>0</v>
      </c>
      <c r="X14" s="23">
        <f>IF(B14="","",IF(COUNTIF(Performance!$B$5:$B$404,B14)=0,"",SUMIFS(Performance!$S$5:$S$404,Performance!$B$5:$B$404,B14)))</f>
        <v>0</v>
      </c>
      <c r="Y14" s="23">
        <f>IF(B14="","",IF(COUNTIF(Performance!$B$5:$B$404,B14)=0,"",SUMIFS(Performance!$R$5:$R$404,Performance!$B$5:$B$404,B14)))</f>
        <v>0</v>
      </c>
      <c r="Z14" s="23">
        <f>IF(B14="","",IF(COUNTIF(Performance!$B$5:$B$404,B14)=0,"",SUMIFS(Performance!$U$5:$U$404,Performance!$B$5:$B$404,B14)))</f>
        <v>0</v>
      </c>
      <c r="AA14" s="29">
        <f>IF(B14="","",IF(C14="Not found","Check - content ID not on the calendar",IF(G14="","Add - no hook written",IF(H14="","Add - no sound chosen",IF(AND(P14&lt;&gt;"",P14&lt;0.25),"Review - most people scroll away early","OK")))))</f>
        <v>0</v>
      </c>
    </row>
    <row r="15" spans="1:28">
      <c r="A15" s="41">
        <f>IF(B15="","","TT-"&amp;TEXT(ROW()-4,"000"))</f>
        <v>0</v>
      </c>
      <c r="C15" s="17">
        <f>IF(B15="","",IFERROR(INDEX('Content Calendar'!$H$5:$H$604,MATCH(B15,'Content Calendar'!$A$5:$A$604,0)),"Not found"))</f>
        <v>0</v>
      </c>
      <c r="D15" s="16">
        <f>IF(B15="","",IFERROR(INDEX('Content Calendar'!$B$5:$B$604,MATCH(B15,'Content Calendar'!$A$5:$A$604,0)),"Not found"))</f>
        <v>0</v>
      </c>
      <c r="E15" s="17">
        <f>IF(B15="","",IFERROR(INDEX('Content Calendar'!$J$5:$J$604,MATCH(B15,'Content Calendar'!$A$5:$A$604,0)),"Not found"))</f>
        <v>0</v>
      </c>
      <c r="F15" s="29">
        <f>IF(B15="","",IFERROR(INDEX('Content Calendar'!$X$5:$X$604,MATCH(B15,'Content Calendar'!$A$5:$A$604,0)),"Not found"))</f>
        <v>0</v>
      </c>
      <c r="S15" s="23">
        <f>IF(B15="","",IF(COUNTIF(Performance!$B$5:$B$404,B15)=0,"",SUMIFS(Performance!$O$5:$O$404,Performance!$B$5:$B$404,B15)))</f>
        <v>0</v>
      </c>
      <c r="T15" s="23">
        <f>IF(B15="","",IF(COUNTIF(Performance!$B$5:$B$404,B15)=0,"",SUMIFS(Performance!$P$5:$P$404,Performance!$B$5:$B$404,B15)))</f>
        <v>0</v>
      </c>
      <c r="U15" s="23">
        <f>IF(B15="","",IF(COUNTIF(Performance!$B$5:$B$404,B15)=0,"",SUMIFS(Performance!$Z$5:$Z$404,Performance!$B$5:$B$404,B15)))</f>
        <v>0</v>
      </c>
      <c r="V15" s="24">
        <f>IF(OR(S15="",S15=0),"",U15/S15)</f>
        <v>0</v>
      </c>
      <c r="W15" s="23">
        <f>IF(B15="","",IF(COUNTIF(Performance!$B$5:$B$404,B15)=0,"",SUMIFS(Performance!$T$5:$T$404,Performance!$B$5:$B$404,B15)))</f>
        <v>0</v>
      </c>
      <c r="X15" s="23">
        <f>IF(B15="","",IF(COUNTIF(Performance!$B$5:$B$404,B15)=0,"",SUMIFS(Performance!$S$5:$S$404,Performance!$B$5:$B$404,B15)))</f>
        <v>0</v>
      </c>
      <c r="Y15" s="23">
        <f>IF(B15="","",IF(COUNTIF(Performance!$B$5:$B$404,B15)=0,"",SUMIFS(Performance!$R$5:$R$404,Performance!$B$5:$B$404,B15)))</f>
        <v>0</v>
      </c>
      <c r="Z15" s="23">
        <f>IF(B15="","",IF(COUNTIF(Performance!$B$5:$B$404,B15)=0,"",SUMIFS(Performance!$U$5:$U$404,Performance!$B$5:$B$404,B15)))</f>
        <v>0</v>
      </c>
      <c r="AA15" s="29">
        <f>IF(B15="","",IF(C15="Not found","Check - content ID not on the calendar",IF(G15="","Add - no hook written",IF(H15="","Add - no sound chosen",IF(AND(P15&lt;&gt;"",P15&lt;0.25),"Review - most people scroll away early","OK")))))</f>
        <v>0</v>
      </c>
    </row>
    <row r="16" spans="1:28">
      <c r="A16" s="41">
        <f>IF(B16="","","TT-"&amp;TEXT(ROW()-4,"000"))</f>
        <v>0</v>
      </c>
      <c r="C16" s="17">
        <f>IF(B16="","",IFERROR(INDEX('Content Calendar'!$H$5:$H$604,MATCH(B16,'Content Calendar'!$A$5:$A$604,0)),"Not found"))</f>
        <v>0</v>
      </c>
      <c r="D16" s="16">
        <f>IF(B16="","",IFERROR(INDEX('Content Calendar'!$B$5:$B$604,MATCH(B16,'Content Calendar'!$A$5:$A$604,0)),"Not found"))</f>
        <v>0</v>
      </c>
      <c r="E16" s="17">
        <f>IF(B16="","",IFERROR(INDEX('Content Calendar'!$J$5:$J$604,MATCH(B16,'Content Calendar'!$A$5:$A$604,0)),"Not found"))</f>
        <v>0</v>
      </c>
      <c r="F16" s="29">
        <f>IF(B16="","",IFERROR(INDEX('Content Calendar'!$X$5:$X$604,MATCH(B16,'Content Calendar'!$A$5:$A$604,0)),"Not found"))</f>
        <v>0</v>
      </c>
      <c r="S16" s="23">
        <f>IF(B16="","",IF(COUNTIF(Performance!$B$5:$B$404,B16)=0,"",SUMIFS(Performance!$O$5:$O$404,Performance!$B$5:$B$404,B16)))</f>
        <v>0</v>
      </c>
      <c r="T16" s="23">
        <f>IF(B16="","",IF(COUNTIF(Performance!$B$5:$B$404,B16)=0,"",SUMIFS(Performance!$P$5:$P$404,Performance!$B$5:$B$404,B16)))</f>
        <v>0</v>
      </c>
      <c r="U16" s="23">
        <f>IF(B16="","",IF(COUNTIF(Performance!$B$5:$B$404,B16)=0,"",SUMIFS(Performance!$Z$5:$Z$404,Performance!$B$5:$B$404,B16)))</f>
        <v>0</v>
      </c>
      <c r="V16" s="24">
        <f>IF(OR(S16="",S16=0),"",U16/S16)</f>
        <v>0</v>
      </c>
      <c r="W16" s="23">
        <f>IF(B16="","",IF(COUNTIF(Performance!$B$5:$B$404,B16)=0,"",SUMIFS(Performance!$T$5:$T$404,Performance!$B$5:$B$404,B16)))</f>
        <v>0</v>
      </c>
      <c r="X16" s="23">
        <f>IF(B16="","",IF(COUNTIF(Performance!$B$5:$B$404,B16)=0,"",SUMIFS(Performance!$S$5:$S$404,Performance!$B$5:$B$404,B16)))</f>
        <v>0</v>
      </c>
      <c r="Y16" s="23">
        <f>IF(B16="","",IF(COUNTIF(Performance!$B$5:$B$404,B16)=0,"",SUMIFS(Performance!$R$5:$R$404,Performance!$B$5:$B$404,B16)))</f>
        <v>0</v>
      </c>
      <c r="Z16" s="23">
        <f>IF(B16="","",IF(COUNTIF(Performance!$B$5:$B$404,B16)=0,"",SUMIFS(Performance!$U$5:$U$404,Performance!$B$5:$B$404,B16)))</f>
        <v>0</v>
      </c>
      <c r="AA16" s="29">
        <f>IF(B16="","",IF(C16="Not found","Check - content ID not on the calendar",IF(G16="","Add - no hook written",IF(H16="","Add - no sound chosen",IF(AND(P16&lt;&gt;"",P16&lt;0.25),"Review - most people scroll away early","OK")))))</f>
        <v>0</v>
      </c>
    </row>
    <row r="17" spans="1:27">
      <c r="A17" s="41">
        <f>IF(B17="","","TT-"&amp;TEXT(ROW()-4,"000"))</f>
        <v>0</v>
      </c>
      <c r="C17" s="17">
        <f>IF(B17="","",IFERROR(INDEX('Content Calendar'!$H$5:$H$604,MATCH(B17,'Content Calendar'!$A$5:$A$604,0)),"Not found"))</f>
        <v>0</v>
      </c>
      <c r="D17" s="16">
        <f>IF(B17="","",IFERROR(INDEX('Content Calendar'!$B$5:$B$604,MATCH(B17,'Content Calendar'!$A$5:$A$604,0)),"Not found"))</f>
        <v>0</v>
      </c>
      <c r="E17" s="17">
        <f>IF(B17="","",IFERROR(INDEX('Content Calendar'!$J$5:$J$604,MATCH(B17,'Content Calendar'!$A$5:$A$604,0)),"Not found"))</f>
        <v>0</v>
      </c>
      <c r="F17" s="29">
        <f>IF(B17="","",IFERROR(INDEX('Content Calendar'!$X$5:$X$604,MATCH(B17,'Content Calendar'!$A$5:$A$604,0)),"Not found"))</f>
        <v>0</v>
      </c>
      <c r="S17" s="23">
        <f>IF(B17="","",IF(COUNTIF(Performance!$B$5:$B$404,B17)=0,"",SUMIFS(Performance!$O$5:$O$404,Performance!$B$5:$B$404,B17)))</f>
        <v>0</v>
      </c>
      <c r="T17" s="23">
        <f>IF(B17="","",IF(COUNTIF(Performance!$B$5:$B$404,B17)=0,"",SUMIFS(Performance!$P$5:$P$404,Performance!$B$5:$B$404,B17)))</f>
        <v>0</v>
      </c>
      <c r="U17" s="23">
        <f>IF(B17="","",IF(COUNTIF(Performance!$B$5:$B$404,B17)=0,"",SUMIFS(Performance!$Z$5:$Z$404,Performance!$B$5:$B$404,B17)))</f>
        <v>0</v>
      </c>
      <c r="V17" s="24">
        <f>IF(OR(S17="",S17=0),"",U17/S17)</f>
        <v>0</v>
      </c>
      <c r="W17" s="23">
        <f>IF(B17="","",IF(COUNTIF(Performance!$B$5:$B$404,B17)=0,"",SUMIFS(Performance!$T$5:$T$404,Performance!$B$5:$B$404,B17)))</f>
        <v>0</v>
      </c>
      <c r="X17" s="23">
        <f>IF(B17="","",IF(COUNTIF(Performance!$B$5:$B$404,B17)=0,"",SUMIFS(Performance!$S$5:$S$404,Performance!$B$5:$B$404,B17)))</f>
        <v>0</v>
      </c>
      <c r="Y17" s="23">
        <f>IF(B17="","",IF(COUNTIF(Performance!$B$5:$B$404,B17)=0,"",SUMIFS(Performance!$R$5:$R$404,Performance!$B$5:$B$404,B17)))</f>
        <v>0</v>
      </c>
      <c r="Z17" s="23">
        <f>IF(B17="","",IF(COUNTIF(Performance!$B$5:$B$404,B17)=0,"",SUMIFS(Performance!$U$5:$U$404,Performance!$B$5:$B$404,B17)))</f>
        <v>0</v>
      </c>
      <c r="AA17" s="29">
        <f>IF(B17="","",IF(C17="Not found","Check - content ID not on the calendar",IF(G17="","Add - no hook written",IF(H17="","Add - no sound chosen",IF(AND(P17&lt;&gt;"",P17&lt;0.25),"Review - most people scroll away early","OK")))))</f>
        <v>0</v>
      </c>
    </row>
    <row r="18" spans="1:27">
      <c r="A18" s="41">
        <f>IF(B18="","","TT-"&amp;TEXT(ROW()-4,"000"))</f>
        <v>0</v>
      </c>
      <c r="C18" s="17">
        <f>IF(B18="","",IFERROR(INDEX('Content Calendar'!$H$5:$H$604,MATCH(B18,'Content Calendar'!$A$5:$A$604,0)),"Not found"))</f>
        <v>0</v>
      </c>
      <c r="D18" s="16">
        <f>IF(B18="","",IFERROR(INDEX('Content Calendar'!$B$5:$B$604,MATCH(B18,'Content Calendar'!$A$5:$A$604,0)),"Not found"))</f>
        <v>0</v>
      </c>
      <c r="E18" s="17">
        <f>IF(B18="","",IFERROR(INDEX('Content Calendar'!$J$5:$J$604,MATCH(B18,'Content Calendar'!$A$5:$A$604,0)),"Not found"))</f>
        <v>0</v>
      </c>
      <c r="F18" s="29">
        <f>IF(B18="","",IFERROR(INDEX('Content Calendar'!$X$5:$X$604,MATCH(B18,'Content Calendar'!$A$5:$A$604,0)),"Not found"))</f>
        <v>0</v>
      </c>
      <c r="S18" s="23">
        <f>IF(B18="","",IF(COUNTIF(Performance!$B$5:$B$404,B18)=0,"",SUMIFS(Performance!$O$5:$O$404,Performance!$B$5:$B$404,B18)))</f>
        <v>0</v>
      </c>
      <c r="T18" s="23">
        <f>IF(B18="","",IF(COUNTIF(Performance!$B$5:$B$404,B18)=0,"",SUMIFS(Performance!$P$5:$P$404,Performance!$B$5:$B$404,B18)))</f>
        <v>0</v>
      </c>
      <c r="U18" s="23">
        <f>IF(B18="","",IF(COUNTIF(Performance!$B$5:$B$404,B18)=0,"",SUMIFS(Performance!$Z$5:$Z$404,Performance!$B$5:$B$404,B18)))</f>
        <v>0</v>
      </c>
      <c r="V18" s="24">
        <f>IF(OR(S18="",S18=0),"",U18/S18)</f>
        <v>0</v>
      </c>
      <c r="W18" s="23">
        <f>IF(B18="","",IF(COUNTIF(Performance!$B$5:$B$404,B18)=0,"",SUMIFS(Performance!$T$5:$T$404,Performance!$B$5:$B$404,B18)))</f>
        <v>0</v>
      </c>
      <c r="X18" s="23">
        <f>IF(B18="","",IF(COUNTIF(Performance!$B$5:$B$404,B18)=0,"",SUMIFS(Performance!$S$5:$S$404,Performance!$B$5:$B$404,B18)))</f>
        <v>0</v>
      </c>
      <c r="Y18" s="23">
        <f>IF(B18="","",IF(COUNTIF(Performance!$B$5:$B$404,B18)=0,"",SUMIFS(Performance!$R$5:$R$404,Performance!$B$5:$B$404,B18)))</f>
        <v>0</v>
      </c>
      <c r="Z18" s="23">
        <f>IF(B18="","",IF(COUNTIF(Performance!$B$5:$B$404,B18)=0,"",SUMIFS(Performance!$U$5:$U$404,Performance!$B$5:$B$404,B18)))</f>
        <v>0</v>
      </c>
      <c r="AA18" s="29">
        <f>IF(B18="","",IF(C18="Not found","Check - content ID not on the calendar",IF(G18="","Add - no hook written",IF(H18="","Add - no sound chosen",IF(AND(P18&lt;&gt;"",P18&lt;0.25),"Review - most people scroll away early","OK")))))</f>
        <v>0</v>
      </c>
    </row>
    <row r="19" spans="1:27">
      <c r="A19" s="41">
        <f>IF(B19="","","TT-"&amp;TEXT(ROW()-4,"000"))</f>
        <v>0</v>
      </c>
      <c r="C19" s="17">
        <f>IF(B19="","",IFERROR(INDEX('Content Calendar'!$H$5:$H$604,MATCH(B19,'Content Calendar'!$A$5:$A$604,0)),"Not found"))</f>
        <v>0</v>
      </c>
      <c r="D19" s="16">
        <f>IF(B19="","",IFERROR(INDEX('Content Calendar'!$B$5:$B$604,MATCH(B19,'Content Calendar'!$A$5:$A$604,0)),"Not found"))</f>
        <v>0</v>
      </c>
      <c r="E19" s="17">
        <f>IF(B19="","",IFERROR(INDEX('Content Calendar'!$J$5:$J$604,MATCH(B19,'Content Calendar'!$A$5:$A$604,0)),"Not found"))</f>
        <v>0</v>
      </c>
      <c r="F19" s="29">
        <f>IF(B19="","",IFERROR(INDEX('Content Calendar'!$X$5:$X$604,MATCH(B19,'Content Calendar'!$A$5:$A$604,0)),"Not found"))</f>
        <v>0</v>
      </c>
      <c r="S19" s="23">
        <f>IF(B19="","",IF(COUNTIF(Performance!$B$5:$B$404,B19)=0,"",SUMIFS(Performance!$O$5:$O$404,Performance!$B$5:$B$404,B19)))</f>
        <v>0</v>
      </c>
      <c r="T19" s="23">
        <f>IF(B19="","",IF(COUNTIF(Performance!$B$5:$B$404,B19)=0,"",SUMIFS(Performance!$P$5:$P$404,Performance!$B$5:$B$404,B19)))</f>
        <v>0</v>
      </c>
      <c r="U19" s="23">
        <f>IF(B19="","",IF(COUNTIF(Performance!$B$5:$B$404,B19)=0,"",SUMIFS(Performance!$Z$5:$Z$404,Performance!$B$5:$B$404,B19)))</f>
        <v>0</v>
      </c>
      <c r="V19" s="24">
        <f>IF(OR(S19="",S19=0),"",U19/S19)</f>
        <v>0</v>
      </c>
      <c r="W19" s="23">
        <f>IF(B19="","",IF(COUNTIF(Performance!$B$5:$B$404,B19)=0,"",SUMIFS(Performance!$T$5:$T$404,Performance!$B$5:$B$404,B19)))</f>
        <v>0</v>
      </c>
      <c r="X19" s="23">
        <f>IF(B19="","",IF(COUNTIF(Performance!$B$5:$B$404,B19)=0,"",SUMIFS(Performance!$S$5:$S$404,Performance!$B$5:$B$404,B19)))</f>
        <v>0</v>
      </c>
      <c r="Y19" s="23">
        <f>IF(B19="","",IF(COUNTIF(Performance!$B$5:$B$404,B19)=0,"",SUMIFS(Performance!$R$5:$R$404,Performance!$B$5:$B$404,B19)))</f>
        <v>0</v>
      </c>
      <c r="Z19" s="23">
        <f>IF(B19="","",IF(COUNTIF(Performance!$B$5:$B$404,B19)=0,"",SUMIFS(Performance!$U$5:$U$404,Performance!$B$5:$B$404,B19)))</f>
        <v>0</v>
      </c>
      <c r="AA19" s="29">
        <f>IF(B19="","",IF(C19="Not found","Check - content ID not on the calendar",IF(G19="","Add - no hook written",IF(H19="","Add - no sound chosen",IF(AND(P19&lt;&gt;"",P19&lt;0.25),"Review - most people scroll away early","OK")))))</f>
        <v>0</v>
      </c>
    </row>
    <row r="20" spans="1:27">
      <c r="A20" s="41">
        <f>IF(B20="","","TT-"&amp;TEXT(ROW()-4,"000"))</f>
        <v>0</v>
      </c>
      <c r="C20" s="17">
        <f>IF(B20="","",IFERROR(INDEX('Content Calendar'!$H$5:$H$604,MATCH(B20,'Content Calendar'!$A$5:$A$604,0)),"Not found"))</f>
        <v>0</v>
      </c>
      <c r="D20" s="16">
        <f>IF(B20="","",IFERROR(INDEX('Content Calendar'!$B$5:$B$604,MATCH(B20,'Content Calendar'!$A$5:$A$604,0)),"Not found"))</f>
        <v>0</v>
      </c>
      <c r="E20" s="17">
        <f>IF(B20="","",IFERROR(INDEX('Content Calendar'!$J$5:$J$604,MATCH(B20,'Content Calendar'!$A$5:$A$604,0)),"Not found"))</f>
        <v>0</v>
      </c>
      <c r="F20" s="29">
        <f>IF(B20="","",IFERROR(INDEX('Content Calendar'!$X$5:$X$604,MATCH(B20,'Content Calendar'!$A$5:$A$604,0)),"Not found"))</f>
        <v>0</v>
      </c>
      <c r="S20" s="23">
        <f>IF(B20="","",IF(COUNTIF(Performance!$B$5:$B$404,B20)=0,"",SUMIFS(Performance!$O$5:$O$404,Performance!$B$5:$B$404,B20)))</f>
        <v>0</v>
      </c>
      <c r="T20" s="23">
        <f>IF(B20="","",IF(COUNTIF(Performance!$B$5:$B$404,B20)=0,"",SUMIFS(Performance!$P$5:$P$404,Performance!$B$5:$B$404,B20)))</f>
        <v>0</v>
      </c>
      <c r="U20" s="23">
        <f>IF(B20="","",IF(COUNTIF(Performance!$B$5:$B$404,B20)=0,"",SUMIFS(Performance!$Z$5:$Z$404,Performance!$B$5:$B$404,B20)))</f>
        <v>0</v>
      </c>
      <c r="V20" s="24">
        <f>IF(OR(S20="",S20=0),"",U20/S20)</f>
        <v>0</v>
      </c>
      <c r="W20" s="23">
        <f>IF(B20="","",IF(COUNTIF(Performance!$B$5:$B$404,B20)=0,"",SUMIFS(Performance!$T$5:$T$404,Performance!$B$5:$B$404,B20)))</f>
        <v>0</v>
      </c>
      <c r="X20" s="23">
        <f>IF(B20="","",IF(COUNTIF(Performance!$B$5:$B$404,B20)=0,"",SUMIFS(Performance!$S$5:$S$404,Performance!$B$5:$B$404,B20)))</f>
        <v>0</v>
      </c>
      <c r="Y20" s="23">
        <f>IF(B20="","",IF(COUNTIF(Performance!$B$5:$B$404,B20)=0,"",SUMIFS(Performance!$R$5:$R$404,Performance!$B$5:$B$404,B20)))</f>
        <v>0</v>
      </c>
      <c r="Z20" s="23">
        <f>IF(B20="","",IF(COUNTIF(Performance!$B$5:$B$404,B20)=0,"",SUMIFS(Performance!$U$5:$U$404,Performance!$B$5:$B$404,B20)))</f>
        <v>0</v>
      </c>
      <c r="AA20" s="29">
        <f>IF(B20="","",IF(C20="Not found","Check - content ID not on the calendar",IF(G20="","Add - no hook written",IF(H20="","Add - no sound chosen",IF(AND(P20&lt;&gt;"",P20&lt;0.25),"Review - most people scroll away early","OK")))))</f>
        <v>0</v>
      </c>
    </row>
    <row r="21" spans="1:27">
      <c r="A21" s="41">
        <f>IF(B21="","","TT-"&amp;TEXT(ROW()-4,"000"))</f>
        <v>0</v>
      </c>
      <c r="C21" s="17">
        <f>IF(B21="","",IFERROR(INDEX('Content Calendar'!$H$5:$H$604,MATCH(B21,'Content Calendar'!$A$5:$A$604,0)),"Not found"))</f>
        <v>0</v>
      </c>
      <c r="D21" s="16">
        <f>IF(B21="","",IFERROR(INDEX('Content Calendar'!$B$5:$B$604,MATCH(B21,'Content Calendar'!$A$5:$A$604,0)),"Not found"))</f>
        <v>0</v>
      </c>
      <c r="E21" s="17">
        <f>IF(B21="","",IFERROR(INDEX('Content Calendar'!$J$5:$J$604,MATCH(B21,'Content Calendar'!$A$5:$A$604,0)),"Not found"))</f>
        <v>0</v>
      </c>
      <c r="F21" s="29">
        <f>IF(B21="","",IFERROR(INDEX('Content Calendar'!$X$5:$X$604,MATCH(B21,'Content Calendar'!$A$5:$A$604,0)),"Not found"))</f>
        <v>0</v>
      </c>
      <c r="S21" s="23">
        <f>IF(B21="","",IF(COUNTIF(Performance!$B$5:$B$404,B21)=0,"",SUMIFS(Performance!$O$5:$O$404,Performance!$B$5:$B$404,B21)))</f>
        <v>0</v>
      </c>
      <c r="T21" s="23">
        <f>IF(B21="","",IF(COUNTIF(Performance!$B$5:$B$404,B21)=0,"",SUMIFS(Performance!$P$5:$P$404,Performance!$B$5:$B$404,B21)))</f>
        <v>0</v>
      </c>
      <c r="U21" s="23">
        <f>IF(B21="","",IF(COUNTIF(Performance!$B$5:$B$404,B21)=0,"",SUMIFS(Performance!$Z$5:$Z$404,Performance!$B$5:$B$404,B21)))</f>
        <v>0</v>
      </c>
      <c r="V21" s="24">
        <f>IF(OR(S21="",S21=0),"",U21/S21)</f>
        <v>0</v>
      </c>
      <c r="W21" s="23">
        <f>IF(B21="","",IF(COUNTIF(Performance!$B$5:$B$404,B21)=0,"",SUMIFS(Performance!$T$5:$T$404,Performance!$B$5:$B$404,B21)))</f>
        <v>0</v>
      </c>
      <c r="X21" s="23">
        <f>IF(B21="","",IF(COUNTIF(Performance!$B$5:$B$404,B21)=0,"",SUMIFS(Performance!$S$5:$S$404,Performance!$B$5:$B$404,B21)))</f>
        <v>0</v>
      </c>
      <c r="Y21" s="23">
        <f>IF(B21="","",IF(COUNTIF(Performance!$B$5:$B$404,B21)=0,"",SUMIFS(Performance!$R$5:$R$404,Performance!$B$5:$B$404,B21)))</f>
        <v>0</v>
      </c>
      <c r="Z21" s="23">
        <f>IF(B21="","",IF(COUNTIF(Performance!$B$5:$B$404,B21)=0,"",SUMIFS(Performance!$U$5:$U$404,Performance!$B$5:$B$404,B21)))</f>
        <v>0</v>
      </c>
      <c r="AA21" s="29">
        <f>IF(B21="","",IF(C21="Not found","Check - content ID not on the calendar",IF(G21="","Add - no hook written",IF(H21="","Add - no sound chosen",IF(AND(P21&lt;&gt;"",P21&lt;0.25),"Review - most people scroll away early","OK")))))</f>
        <v>0</v>
      </c>
    </row>
    <row r="22" spans="1:27">
      <c r="A22" s="41">
        <f>IF(B22="","","TT-"&amp;TEXT(ROW()-4,"000"))</f>
        <v>0</v>
      </c>
      <c r="C22" s="17">
        <f>IF(B22="","",IFERROR(INDEX('Content Calendar'!$H$5:$H$604,MATCH(B22,'Content Calendar'!$A$5:$A$604,0)),"Not found"))</f>
        <v>0</v>
      </c>
      <c r="D22" s="16">
        <f>IF(B22="","",IFERROR(INDEX('Content Calendar'!$B$5:$B$604,MATCH(B22,'Content Calendar'!$A$5:$A$604,0)),"Not found"))</f>
        <v>0</v>
      </c>
      <c r="E22" s="17">
        <f>IF(B22="","",IFERROR(INDEX('Content Calendar'!$J$5:$J$604,MATCH(B22,'Content Calendar'!$A$5:$A$604,0)),"Not found"))</f>
        <v>0</v>
      </c>
      <c r="F22" s="29">
        <f>IF(B22="","",IFERROR(INDEX('Content Calendar'!$X$5:$X$604,MATCH(B22,'Content Calendar'!$A$5:$A$604,0)),"Not found"))</f>
        <v>0</v>
      </c>
      <c r="S22" s="23">
        <f>IF(B22="","",IF(COUNTIF(Performance!$B$5:$B$404,B22)=0,"",SUMIFS(Performance!$O$5:$O$404,Performance!$B$5:$B$404,B22)))</f>
        <v>0</v>
      </c>
      <c r="T22" s="23">
        <f>IF(B22="","",IF(COUNTIF(Performance!$B$5:$B$404,B22)=0,"",SUMIFS(Performance!$P$5:$P$404,Performance!$B$5:$B$404,B22)))</f>
        <v>0</v>
      </c>
      <c r="U22" s="23">
        <f>IF(B22="","",IF(COUNTIF(Performance!$B$5:$B$404,B22)=0,"",SUMIFS(Performance!$Z$5:$Z$404,Performance!$B$5:$B$404,B22)))</f>
        <v>0</v>
      </c>
      <c r="V22" s="24">
        <f>IF(OR(S22="",S22=0),"",U22/S22)</f>
        <v>0</v>
      </c>
      <c r="W22" s="23">
        <f>IF(B22="","",IF(COUNTIF(Performance!$B$5:$B$404,B22)=0,"",SUMIFS(Performance!$T$5:$T$404,Performance!$B$5:$B$404,B22)))</f>
        <v>0</v>
      </c>
      <c r="X22" s="23">
        <f>IF(B22="","",IF(COUNTIF(Performance!$B$5:$B$404,B22)=0,"",SUMIFS(Performance!$S$5:$S$404,Performance!$B$5:$B$404,B22)))</f>
        <v>0</v>
      </c>
      <c r="Y22" s="23">
        <f>IF(B22="","",IF(COUNTIF(Performance!$B$5:$B$404,B22)=0,"",SUMIFS(Performance!$R$5:$R$404,Performance!$B$5:$B$404,B22)))</f>
        <v>0</v>
      </c>
      <c r="Z22" s="23">
        <f>IF(B22="","",IF(COUNTIF(Performance!$B$5:$B$404,B22)=0,"",SUMIFS(Performance!$U$5:$U$404,Performance!$B$5:$B$404,B22)))</f>
        <v>0</v>
      </c>
      <c r="AA22" s="29">
        <f>IF(B22="","",IF(C22="Not found","Check - content ID not on the calendar",IF(G22="","Add - no hook written",IF(H22="","Add - no sound chosen",IF(AND(P22&lt;&gt;"",P22&lt;0.25),"Review - most people scroll away early","OK")))))</f>
        <v>0</v>
      </c>
    </row>
    <row r="23" spans="1:27">
      <c r="A23" s="41">
        <f>IF(B23="","","TT-"&amp;TEXT(ROW()-4,"000"))</f>
        <v>0</v>
      </c>
      <c r="C23" s="17">
        <f>IF(B23="","",IFERROR(INDEX('Content Calendar'!$H$5:$H$604,MATCH(B23,'Content Calendar'!$A$5:$A$604,0)),"Not found"))</f>
        <v>0</v>
      </c>
      <c r="D23" s="16">
        <f>IF(B23="","",IFERROR(INDEX('Content Calendar'!$B$5:$B$604,MATCH(B23,'Content Calendar'!$A$5:$A$604,0)),"Not found"))</f>
        <v>0</v>
      </c>
      <c r="E23" s="17">
        <f>IF(B23="","",IFERROR(INDEX('Content Calendar'!$J$5:$J$604,MATCH(B23,'Content Calendar'!$A$5:$A$604,0)),"Not found"))</f>
        <v>0</v>
      </c>
      <c r="F23" s="29">
        <f>IF(B23="","",IFERROR(INDEX('Content Calendar'!$X$5:$X$604,MATCH(B23,'Content Calendar'!$A$5:$A$604,0)),"Not found"))</f>
        <v>0</v>
      </c>
      <c r="S23" s="23">
        <f>IF(B23="","",IF(COUNTIF(Performance!$B$5:$B$404,B23)=0,"",SUMIFS(Performance!$O$5:$O$404,Performance!$B$5:$B$404,B23)))</f>
        <v>0</v>
      </c>
      <c r="T23" s="23">
        <f>IF(B23="","",IF(COUNTIF(Performance!$B$5:$B$404,B23)=0,"",SUMIFS(Performance!$P$5:$P$404,Performance!$B$5:$B$404,B23)))</f>
        <v>0</v>
      </c>
      <c r="U23" s="23">
        <f>IF(B23="","",IF(COUNTIF(Performance!$B$5:$B$404,B23)=0,"",SUMIFS(Performance!$Z$5:$Z$404,Performance!$B$5:$B$404,B23)))</f>
        <v>0</v>
      </c>
      <c r="V23" s="24">
        <f>IF(OR(S23="",S23=0),"",U23/S23)</f>
        <v>0</v>
      </c>
      <c r="W23" s="23">
        <f>IF(B23="","",IF(COUNTIF(Performance!$B$5:$B$404,B23)=0,"",SUMIFS(Performance!$T$5:$T$404,Performance!$B$5:$B$404,B23)))</f>
        <v>0</v>
      </c>
      <c r="X23" s="23">
        <f>IF(B23="","",IF(COUNTIF(Performance!$B$5:$B$404,B23)=0,"",SUMIFS(Performance!$S$5:$S$404,Performance!$B$5:$B$404,B23)))</f>
        <v>0</v>
      </c>
      <c r="Y23" s="23">
        <f>IF(B23="","",IF(COUNTIF(Performance!$B$5:$B$404,B23)=0,"",SUMIFS(Performance!$R$5:$R$404,Performance!$B$5:$B$404,B23)))</f>
        <v>0</v>
      </c>
      <c r="Z23" s="23">
        <f>IF(B23="","",IF(COUNTIF(Performance!$B$5:$B$404,B23)=0,"",SUMIFS(Performance!$U$5:$U$404,Performance!$B$5:$B$404,B23)))</f>
        <v>0</v>
      </c>
      <c r="AA23" s="29">
        <f>IF(B23="","",IF(C23="Not found","Check - content ID not on the calendar",IF(G23="","Add - no hook written",IF(H23="","Add - no sound chosen",IF(AND(P23&lt;&gt;"",P23&lt;0.25),"Review - most people scroll away early","OK")))))</f>
        <v>0</v>
      </c>
    </row>
    <row r="24" spans="1:27">
      <c r="A24" s="41">
        <f>IF(B24="","","TT-"&amp;TEXT(ROW()-4,"000"))</f>
        <v>0</v>
      </c>
      <c r="C24" s="17">
        <f>IF(B24="","",IFERROR(INDEX('Content Calendar'!$H$5:$H$604,MATCH(B24,'Content Calendar'!$A$5:$A$604,0)),"Not found"))</f>
        <v>0</v>
      </c>
      <c r="D24" s="16">
        <f>IF(B24="","",IFERROR(INDEX('Content Calendar'!$B$5:$B$604,MATCH(B24,'Content Calendar'!$A$5:$A$604,0)),"Not found"))</f>
        <v>0</v>
      </c>
      <c r="E24" s="17">
        <f>IF(B24="","",IFERROR(INDEX('Content Calendar'!$J$5:$J$604,MATCH(B24,'Content Calendar'!$A$5:$A$604,0)),"Not found"))</f>
        <v>0</v>
      </c>
      <c r="F24" s="29">
        <f>IF(B24="","",IFERROR(INDEX('Content Calendar'!$X$5:$X$604,MATCH(B24,'Content Calendar'!$A$5:$A$604,0)),"Not found"))</f>
        <v>0</v>
      </c>
      <c r="S24" s="23">
        <f>IF(B24="","",IF(COUNTIF(Performance!$B$5:$B$404,B24)=0,"",SUMIFS(Performance!$O$5:$O$404,Performance!$B$5:$B$404,B24)))</f>
        <v>0</v>
      </c>
      <c r="T24" s="23">
        <f>IF(B24="","",IF(COUNTIF(Performance!$B$5:$B$404,B24)=0,"",SUMIFS(Performance!$P$5:$P$404,Performance!$B$5:$B$404,B24)))</f>
        <v>0</v>
      </c>
      <c r="U24" s="23">
        <f>IF(B24="","",IF(COUNTIF(Performance!$B$5:$B$404,B24)=0,"",SUMIFS(Performance!$Z$5:$Z$404,Performance!$B$5:$B$404,B24)))</f>
        <v>0</v>
      </c>
      <c r="V24" s="24">
        <f>IF(OR(S24="",S24=0),"",U24/S24)</f>
        <v>0</v>
      </c>
      <c r="W24" s="23">
        <f>IF(B24="","",IF(COUNTIF(Performance!$B$5:$B$404,B24)=0,"",SUMIFS(Performance!$T$5:$T$404,Performance!$B$5:$B$404,B24)))</f>
        <v>0</v>
      </c>
      <c r="X24" s="23">
        <f>IF(B24="","",IF(COUNTIF(Performance!$B$5:$B$404,B24)=0,"",SUMIFS(Performance!$S$5:$S$404,Performance!$B$5:$B$404,B24)))</f>
        <v>0</v>
      </c>
      <c r="Y24" s="23">
        <f>IF(B24="","",IF(COUNTIF(Performance!$B$5:$B$404,B24)=0,"",SUMIFS(Performance!$R$5:$R$404,Performance!$B$5:$B$404,B24)))</f>
        <v>0</v>
      </c>
      <c r="Z24" s="23">
        <f>IF(B24="","",IF(COUNTIF(Performance!$B$5:$B$404,B24)=0,"",SUMIFS(Performance!$U$5:$U$404,Performance!$B$5:$B$404,B24)))</f>
        <v>0</v>
      </c>
      <c r="AA24" s="29">
        <f>IF(B24="","",IF(C24="Not found","Check - content ID not on the calendar",IF(G24="","Add - no hook written",IF(H24="","Add - no sound chosen",IF(AND(P24&lt;&gt;"",P24&lt;0.25),"Review - most people scroll away early","OK")))))</f>
        <v>0</v>
      </c>
    </row>
    <row r="25" spans="1:27">
      <c r="A25" s="41">
        <f>IF(B25="","","TT-"&amp;TEXT(ROW()-4,"000"))</f>
        <v>0</v>
      </c>
      <c r="C25" s="17">
        <f>IF(B25="","",IFERROR(INDEX('Content Calendar'!$H$5:$H$604,MATCH(B25,'Content Calendar'!$A$5:$A$604,0)),"Not found"))</f>
        <v>0</v>
      </c>
      <c r="D25" s="16">
        <f>IF(B25="","",IFERROR(INDEX('Content Calendar'!$B$5:$B$604,MATCH(B25,'Content Calendar'!$A$5:$A$604,0)),"Not found"))</f>
        <v>0</v>
      </c>
      <c r="E25" s="17">
        <f>IF(B25="","",IFERROR(INDEX('Content Calendar'!$J$5:$J$604,MATCH(B25,'Content Calendar'!$A$5:$A$604,0)),"Not found"))</f>
        <v>0</v>
      </c>
      <c r="F25" s="29">
        <f>IF(B25="","",IFERROR(INDEX('Content Calendar'!$X$5:$X$604,MATCH(B25,'Content Calendar'!$A$5:$A$604,0)),"Not found"))</f>
        <v>0</v>
      </c>
      <c r="S25" s="23">
        <f>IF(B25="","",IF(COUNTIF(Performance!$B$5:$B$404,B25)=0,"",SUMIFS(Performance!$O$5:$O$404,Performance!$B$5:$B$404,B25)))</f>
        <v>0</v>
      </c>
      <c r="T25" s="23">
        <f>IF(B25="","",IF(COUNTIF(Performance!$B$5:$B$404,B25)=0,"",SUMIFS(Performance!$P$5:$P$404,Performance!$B$5:$B$404,B25)))</f>
        <v>0</v>
      </c>
      <c r="U25" s="23">
        <f>IF(B25="","",IF(COUNTIF(Performance!$B$5:$B$404,B25)=0,"",SUMIFS(Performance!$Z$5:$Z$404,Performance!$B$5:$B$404,B25)))</f>
        <v>0</v>
      </c>
      <c r="V25" s="24">
        <f>IF(OR(S25="",S25=0),"",U25/S25)</f>
        <v>0</v>
      </c>
      <c r="W25" s="23">
        <f>IF(B25="","",IF(COUNTIF(Performance!$B$5:$B$404,B25)=0,"",SUMIFS(Performance!$T$5:$T$404,Performance!$B$5:$B$404,B25)))</f>
        <v>0</v>
      </c>
      <c r="X25" s="23">
        <f>IF(B25="","",IF(COUNTIF(Performance!$B$5:$B$404,B25)=0,"",SUMIFS(Performance!$S$5:$S$404,Performance!$B$5:$B$404,B25)))</f>
        <v>0</v>
      </c>
      <c r="Y25" s="23">
        <f>IF(B25="","",IF(COUNTIF(Performance!$B$5:$B$404,B25)=0,"",SUMIFS(Performance!$R$5:$R$404,Performance!$B$5:$B$404,B25)))</f>
        <v>0</v>
      </c>
      <c r="Z25" s="23">
        <f>IF(B25="","",IF(COUNTIF(Performance!$B$5:$B$404,B25)=0,"",SUMIFS(Performance!$U$5:$U$404,Performance!$B$5:$B$404,B25)))</f>
        <v>0</v>
      </c>
      <c r="AA25" s="29">
        <f>IF(B25="","",IF(C25="Not found","Check - content ID not on the calendar",IF(G25="","Add - no hook written",IF(H25="","Add - no sound chosen",IF(AND(P25&lt;&gt;"",P25&lt;0.25),"Review - most people scroll away early","OK")))))</f>
        <v>0</v>
      </c>
    </row>
    <row r="26" spans="1:27">
      <c r="A26" s="41">
        <f>IF(B26="","","TT-"&amp;TEXT(ROW()-4,"000"))</f>
        <v>0</v>
      </c>
      <c r="C26" s="17">
        <f>IF(B26="","",IFERROR(INDEX('Content Calendar'!$H$5:$H$604,MATCH(B26,'Content Calendar'!$A$5:$A$604,0)),"Not found"))</f>
        <v>0</v>
      </c>
      <c r="D26" s="16">
        <f>IF(B26="","",IFERROR(INDEX('Content Calendar'!$B$5:$B$604,MATCH(B26,'Content Calendar'!$A$5:$A$604,0)),"Not found"))</f>
        <v>0</v>
      </c>
      <c r="E26" s="17">
        <f>IF(B26="","",IFERROR(INDEX('Content Calendar'!$J$5:$J$604,MATCH(B26,'Content Calendar'!$A$5:$A$604,0)),"Not found"))</f>
        <v>0</v>
      </c>
      <c r="F26" s="29">
        <f>IF(B26="","",IFERROR(INDEX('Content Calendar'!$X$5:$X$604,MATCH(B26,'Content Calendar'!$A$5:$A$604,0)),"Not found"))</f>
        <v>0</v>
      </c>
      <c r="S26" s="23">
        <f>IF(B26="","",IF(COUNTIF(Performance!$B$5:$B$404,B26)=0,"",SUMIFS(Performance!$O$5:$O$404,Performance!$B$5:$B$404,B26)))</f>
        <v>0</v>
      </c>
      <c r="T26" s="23">
        <f>IF(B26="","",IF(COUNTIF(Performance!$B$5:$B$404,B26)=0,"",SUMIFS(Performance!$P$5:$P$404,Performance!$B$5:$B$404,B26)))</f>
        <v>0</v>
      </c>
      <c r="U26" s="23">
        <f>IF(B26="","",IF(COUNTIF(Performance!$B$5:$B$404,B26)=0,"",SUMIFS(Performance!$Z$5:$Z$404,Performance!$B$5:$B$404,B26)))</f>
        <v>0</v>
      </c>
      <c r="V26" s="24">
        <f>IF(OR(S26="",S26=0),"",U26/S26)</f>
        <v>0</v>
      </c>
      <c r="W26" s="23">
        <f>IF(B26="","",IF(COUNTIF(Performance!$B$5:$B$404,B26)=0,"",SUMIFS(Performance!$T$5:$T$404,Performance!$B$5:$B$404,B26)))</f>
        <v>0</v>
      </c>
      <c r="X26" s="23">
        <f>IF(B26="","",IF(COUNTIF(Performance!$B$5:$B$404,B26)=0,"",SUMIFS(Performance!$S$5:$S$404,Performance!$B$5:$B$404,B26)))</f>
        <v>0</v>
      </c>
      <c r="Y26" s="23">
        <f>IF(B26="","",IF(COUNTIF(Performance!$B$5:$B$404,B26)=0,"",SUMIFS(Performance!$R$5:$R$404,Performance!$B$5:$B$404,B26)))</f>
        <v>0</v>
      </c>
      <c r="Z26" s="23">
        <f>IF(B26="","",IF(COUNTIF(Performance!$B$5:$B$404,B26)=0,"",SUMIFS(Performance!$U$5:$U$404,Performance!$B$5:$B$404,B26)))</f>
        <v>0</v>
      </c>
      <c r="AA26" s="29">
        <f>IF(B26="","",IF(C26="Not found","Check - content ID not on the calendar",IF(G26="","Add - no hook written",IF(H26="","Add - no sound chosen",IF(AND(P26&lt;&gt;"",P26&lt;0.25),"Review - most people scroll away early","OK")))))</f>
        <v>0</v>
      </c>
    </row>
    <row r="27" spans="1:27">
      <c r="A27" s="41">
        <f>IF(B27="","","TT-"&amp;TEXT(ROW()-4,"000"))</f>
        <v>0</v>
      </c>
      <c r="C27" s="17">
        <f>IF(B27="","",IFERROR(INDEX('Content Calendar'!$H$5:$H$604,MATCH(B27,'Content Calendar'!$A$5:$A$604,0)),"Not found"))</f>
        <v>0</v>
      </c>
      <c r="D27" s="16">
        <f>IF(B27="","",IFERROR(INDEX('Content Calendar'!$B$5:$B$604,MATCH(B27,'Content Calendar'!$A$5:$A$604,0)),"Not found"))</f>
        <v>0</v>
      </c>
      <c r="E27" s="17">
        <f>IF(B27="","",IFERROR(INDEX('Content Calendar'!$J$5:$J$604,MATCH(B27,'Content Calendar'!$A$5:$A$604,0)),"Not found"))</f>
        <v>0</v>
      </c>
      <c r="F27" s="29">
        <f>IF(B27="","",IFERROR(INDEX('Content Calendar'!$X$5:$X$604,MATCH(B27,'Content Calendar'!$A$5:$A$604,0)),"Not found"))</f>
        <v>0</v>
      </c>
      <c r="S27" s="23">
        <f>IF(B27="","",IF(COUNTIF(Performance!$B$5:$B$404,B27)=0,"",SUMIFS(Performance!$O$5:$O$404,Performance!$B$5:$B$404,B27)))</f>
        <v>0</v>
      </c>
      <c r="T27" s="23">
        <f>IF(B27="","",IF(COUNTIF(Performance!$B$5:$B$404,B27)=0,"",SUMIFS(Performance!$P$5:$P$404,Performance!$B$5:$B$404,B27)))</f>
        <v>0</v>
      </c>
      <c r="U27" s="23">
        <f>IF(B27="","",IF(COUNTIF(Performance!$B$5:$B$404,B27)=0,"",SUMIFS(Performance!$Z$5:$Z$404,Performance!$B$5:$B$404,B27)))</f>
        <v>0</v>
      </c>
      <c r="V27" s="24">
        <f>IF(OR(S27="",S27=0),"",U27/S27)</f>
        <v>0</v>
      </c>
      <c r="W27" s="23">
        <f>IF(B27="","",IF(COUNTIF(Performance!$B$5:$B$404,B27)=0,"",SUMIFS(Performance!$T$5:$T$404,Performance!$B$5:$B$404,B27)))</f>
        <v>0</v>
      </c>
      <c r="X27" s="23">
        <f>IF(B27="","",IF(COUNTIF(Performance!$B$5:$B$404,B27)=0,"",SUMIFS(Performance!$S$5:$S$404,Performance!$B$5:$B$404,B27)))</f>
        <v>0</v>
      </c>
      <c r="Y27" s="23">
        <f>IF(B27="","",IF(COUNTIF(Performance!$B$5:$B$404,B27)=0,"",SUMIFS(Performance!$R$5:$R$404,Performance!$B$5:$B$404,B27)))</f>
        <v>0</v>
      </c>
      <c r="Z27" s="23">
        <f>IF(B27="","",IF(COUNTIF(Performance!$B$5:$B$404,B27)=0,"",SUMIFS(Performance!$U$5:$U$404,Performance!$B$5:$B$404,B27)))</f>
        <v>0</v>
      </c>
      <c r="AA27" s="29">
        <f>IF(B27="","",IF(C27="Not found","Check - content ID not on the calendar",IF(G27="","Add - no hook written",IF(H27="","Add - no sound chosen",IF(AND(P27&lt;&gt;"",P27&lt;0.25),"Review - most people scroll away early","OK")))))</f>
        <v>0</v>
      </c>
    </row>
    <row r="28" spans="1:27">
      <c r="A28" s="41">
        <f>IF(B28="","","TT-"&amp;TEXT(ROW()-4,"000"))</f>
        <v>0</v>
      </c>
      <c r="C28" s="17">
        <f>IF(B28="","",IFERROR(INDEX('Content Calendar'!$H$5:$H$604,MATCH(B28,'Content Calendar'!$A$5:$A$604,0)),"Not found"))</f>
        <v>0</v>
      </c>
      <c r="D28" s="16">
        <f>IF(B28="","",IFERROR(INDEX('Content Calendar'!$B$5:$B$604,MATCH(B28,'Content Calendar'!$A$5:$A$604,0)),"Not found"))</f>
        <v>0</v>
      </c>
      <c r="E28" s="17">
        <f>IF(B28="","",IFERROR(INDEX('Content Calendar'!$J$5:$J$604,MATCH(B28,'Content Calendar'!$A$5:$A$604,0)),"Not found"))</f>
        <v>0</v>
      </c>
      <c r="F28" s="29">
        <f>IF(B28="","",IFERROR(INDEX('Content Calendar'!$X$5:$X$604,MATCH(B28,'Content Calendar'!$A$5:$A$604,0)),"Not found"))</f>
        <v>0</v>
      </c>
      <c r="S28" s="23">
        <f>IF(B28="","",IF(COUNTIF(Performance!$B$5:$B$404,B28)=0,"",SUMIFS(Performance!$O$5:$O$404,Performance!$B$5:$B$404,B28)))</f>
        <v>0</v>
      </c>
      <c r="T28" s="23">
        <f>IF(B28="","",IF(COUNTIF(Performance!$B$5:$B$404,B28)=0,"",SUMIFS(Performance!$P$5:$P$404,Performance!$B$5:$B$404,B28)))</f>
        <v>0</v>
      </c>
      <c r="U28" s="23">
        <f>IF(B28="","",IF(COUNTIF(Performance!$B$5:$B$404,B28)=0,"",SUMIFS(Performance!$Z$5:$Z$404,Performance!$B$5:$B$404,B28)))</f>
        <v>0</v>
      </c>
      <c r="V28" s="24">
        <f>IF(OR(S28="",S28=0),"",U28/S28)</f>
        <v>0</v>
      </c>
      <c r="W28" s="23">
        <f>IF(B28="","",IF(COUNTIF(Performance!$B$5:$B$404,B28)=0,"",SUMIFS(Performance!$T$5:$T$404,Performance!$B$5:$B$404,B28)))</f>
        <v>0</v>
      </c>
      <c r="X28" s="23">
        <f>IF(B28="","",IF(COUNTIF(Performance!$B$5:$B$404,B28)=0,"",SUMIFS(Performance!$S$5:$S$404,Performance!$B$5:$B$404,B28)))</f>
        <v>0</v>
      </c>
      <c r="Y28" s="23">
        <f>IF(B28="","",IF(COUNTIF(Performance!$B$5:$B$404,B28)=0,"",SUMIFS(Performance!$R$5:$R$404,Performance!$B$5:$B$404,B28)))</f>
        <v>0</v>
      </c>
      <c r="Z28" s="23">
        <f>IF(B28="","",IF(COUNTIF(Performance!$B$5:$B$404,B28)=0,"",SUMIFS(Performance!$U$5:$U$404,Performance!$B$5:$B$404,B28)))</f>
        <v>0</v>
      </c>
      <c r="AA28" s="29">
        <f>IF(B28="","",IF(C28="Not found","Check - content ID not on the calendar",IF(G28="","Add - no hook written",IF(H28="","Add - no sound chosen",IF(AND(P28&lt;&gt;"",P28&lt;0.25),"Review - most people scroll away early","OK")))))</f>
        <v>0</v>
      </c>
    </row>
    <row r="29" spans="1:27">
      <c r="A29" s="41">
        <f>IF(B29="","","TT-"&amp;TEXT(ROW()-4,"000"))</f>
        <v>0</v>
      </c>
      <c r="C29" s="17">
        <f>IF(B29="","",IFERROR(INDEX('Content Calendar'!$H$5:$H$604,MATCH(B29,'Content Calendar'!$A$5:$A$604,0)),"Not found"))</f>
        <v>0</v>
      </c>
      <c r="D29" s="16">
        <f>IF(B29="","",IFERROR(INDEX('Content Calendar'!$B$5:$B$604,MATCH(B29,'Content Calendar'!$A$5:$A$604,0)),"Not found"))</f>
        <v>0</v>
      </c>
      <c r="E29" s="17">
        <f>IF(B29="","",IFERROR(INDEX('Content Calendar'!$J$5:$J$604,MATCH(B29,'Content Calendar'!$A$5:$A$604,0)),"Not found"))</f>
        <v>0</v>
      </c>
      <c r="F29" s="29">
        <f>IF(B29="","",IFERROR(INDEX('Content Calendar'!$X$5:$X$604,MATCH(B29,'Content Calendar'!$A$5:$A$604,0)),"Not found"))</f>
        <v>0</v>
      </c>
      <c r="S29" s="23">
        <f>IF(B29="","",IF(COUNTIF(Performance!$B$5:$B$404,B29)=0,"",SUMIFS(Performance!$O$5:$O$404,Performance!$B$5:$B$404,B29)))</f>
        <v>0</v>
      </c>
      <c r="T29" s="23">
        <f>IF(B29="","",IF(COUNTIF(Performance!$B$5:$B$404,B29)=0,"",SUMIFS(Performance!$P$5:$P$404,Performance!$B$5:$B$404,B29)))</f>
        <v>0</v>
      </c>
      <c r="U29" s="23">
        <f>IF(B29="","",IF(COUNTIF(Performance!$B$5:$B$404,B29)=0,"",SUMIFS(Performance!$Z$5:$Z$404,Performance!$B$5:$B$404,B29)))</f>
        <v>0</v>
      </c>
      <c r="V29" s="24">
        <f>IF(OR(S29="",S29=0),"",U29/S29)</f>
        <v>0</v>
      </c>
      <c r="W29" s="23">
        <f>IF(B29="","",IF(COUNTIF(Performance!$B$5:$B$404,B29)=0,"",SUMIFS(Performance!$T$5:$T$404,Performance!$B$5:$B$404,B29)))</f>
        <v>0</v>
      </c>
      <c r="X29" s="23">
        <f>IF(B29="","",IF(COUNTIF(Performance!$B$5:$B$404,B29)=0,"",SUMIFS(Performance!$S$5:$S$404,Performance!$B$5:$B$404,B29)))</f>
        <v>0</v>
      </c>
      <c r="Y29" s="23">
        <f>IF(B29="","",IF(COUNTIF(Performance!$B$5:$B$404,B29)=0,"",SUMIFS(Performance!$R$5:$R$404,Performance!$B$5:$B$404,B29)))</f>
        <v>0</v>
      </c>
      <c r="Z29" s="23">
        <f>IF(B29="","",IF(COUNTIF(Performance!$B$5:$B$404,B29)=0,"",SUMIFS(Performance!$U$5:$U$404,Performance!$B$5:$B$404,B29)))</f>
        <v>0</v>
      </c>
      <c r="AA29" s="29">
        <f>IF(B29="","",IF(C29="Not found","Check - content ID not on the calendar",IF(G29="","Add - no hook written",IF(H29="","Add - no sound chosen",IF(AND(P29&lt;&gt;"",P29&lt;0.25),"Review - most people scroll away early","OK")))))</f>
        <v>0</v>
      </c>
    </row>
    <row r="30" spans="1:27">
      <c r="A30" s="41">
        <f>IF(B30="","","TT-"&amp;TEXT(ROW()-4,"000"))</f>
        <v>0</v>
      </c>
      <c r="C30" s="17">
        <f>IF(B30="","",IFERROR(INDEX('Content Calendar'!$H$5:$H$604,MATCH(B30,'Content Calendar'!$A$5:$A$604,0)),"Not found"))</f>
        <v>0</v>
      </c>
      <c r="D30" s="16">
        <f>IF(B30="","",IFERROR(INDEX('Content Calendar'!$B$5:$B$604,MATCH(B30,'Content Calendar'!$A$5:$A$604,0)),"Not found"))</f>
        <v>0</v>
      </c>
      <c r="E30" s="17">
        <f>IF(B30="","",IFERROR(INDEX('Content Calendar'!$J$5:$J$604,MATCH(B30,'Content Calendar'!$A$5:$A$604,0)),"Not found"))</f>
        <v>0</v>
      </c>
      <c r="F30" s="29">
        <f>IF(B30="","",IFERROR(INDEX('Content Calendar'!$X$5:$X$604,MATCH(B30,'Content Calendar'!$A$5:$A$604,0)),"Not found"))</f>
        <v>0</v>
      </c>
      <c r="S30" s="23">
        <f>IF(B30="","",IF(COUNTIF(Performance!$B$5:$B$404,B30)=0,"",SUMIFS(Performance!$O$5:$O$404,Performance!$B$5:$B$404,B30)))</f>
        <v>0</v>
      </c>
      <c r="T30" s="23">
        <f>IF(B30="","",IF(COUNTIF(Performance!$B$5:$B$404,B30)=0,"",SUMIFS(Performance!$P$5:$P$404,Performance!$B$5:$B$404,B30)))</f>
        <v>0</v>
      </c>
      <c r="U30" s="23">
        <f>IF(B30="","",IF(COUNTIF(Performance!$B$5:$B$404,B30)=0,"",SUMIFS(Performance!$Z$5:$Z$404,Performance!$B$5:$B$404,B30)))</f>
        <v>0</v>
      </c>
      <c r="V30" s="24">
        <f>IF(OR(S30="",S30=0),"",U30/S30)</f>
        <v>0</v>
      </c>
      <c r="W30" s="23">
        <f>IF(B30="","",IF(COUNTIF(Performance!$B$5:$B$404,B30)=0,"",SUMIFS(Performance!$T$5:$T$404,Performance!$B$5:$B$404,B30)))</f>
        <v>0</v>
      </c>
      <c r="X30" s="23">
        <f>IF(B30="","",IF(COUNTIF(Performance!$B$5:$B$404,B30)=0,"",SUMIFS(Performance!$S$5:$S$404,Performance!$B$5:$B$404,B30)))</f>
        <v>0</v>
      </c>
      <c r="Y30" s="23">
        <f>IF(B30="","",IF(COUNTIF(Performance!$B$5:$B$404,B30)=0,"",SUMIFS(Performance!$R$5:$R$404,Performance!$B$5:$B$404,B30)))</f>
        <v>0</v>
      </c>
      <c r="Z30" s="23">
        <f>IF(B30="","",IF(COUNTIF(Performance!$B$5:$B$404,B30)=0,"",SUMIFS(Performance!$U$5:$U$404,Performance!$B$5:$B$404,B30)))</f>
        <v>0</v>
      </c>
      <c r="AA30" s="29">
        <f>IF(B30="","",IF(C30="Not found","Check - content ID not on the calendar",IF(G30="","Add - no hook written",IF(H30="","Add - no sound chosen",IF(AND(P30&lt;&gt;"",P30&lt;0.25),"Review - most people scroll away early","OK")))))</f>
        <v>0</v>
      </c>
    </row>
    <row r="31" spans="1:27">
      <c r="A31" s="41">
        <f>IF(B31="","","TT-"&amp;TEXT(ROW()-4,"000"))</f>
        <v>0</v>
      </c>
      <c r="C31" s="17">
        <f>IF(B31="","",IFERROR(INDEX('Content Calendar'!$H$5:$H$604,MATCH(B31,'Content Calendar'!$A$5:$A$604,0)),"Not found"))</f>
        <v>0</v>
      </c>
      <c r="D31" s="16">
        <f>IF(B31="","",IFERROR(INDEX('Content Calendar'!$B$5:$B$604,MATCH(B31,'Content Calendar'!$A$5:$A$604,0)),"Not found"))</f>
        <v>0</v>
      </c>
      <c r="E31" s="17">
        <f>IF(B31="","",IFERROR(INDEX('Content Calendar'!$J$5:$J$604,MATCH(B31,'Content Calendar'!$A$5:$A$604,0)),"Not found"))</f>
        <v>0</v>
      </c>
      <c r="F31" s="29">
        <f>IF(B31="","",IFERROR(INDEX('Content Calendar'!$X$5:$X$604,MATCH(B31,'Content Calendar'!$A$5:$A$604,0)),"Not found"))</f>
        <v>0</v>
      </c>
      <c r="S31" s="23">
        <f>IF(B31="","",IF(COUNTIF(Performance!$B$5:$B$404,B31)=0,"",SUMIFS(Performance!$O$5:$O$404,Performance!$B$5:$B$404,B31)))</f>
        <v>0</v>
      </c>
      <c r="T31" s="23">
        <f>IF(B31="","",IF(COUNTIF(Performance!$B$5:$B$404,B31)=0,"",SUMIFS(Performance!$P$5:$P$404,Performance!$B$5:$B$404,B31)))</f>
        <v>0</v>
      </c>
      <c r="U31" s="23">
        <f>IF(B31="","",IF(COUNTIF(Performance!$B$5:$B$404,B31)=0,"",SUMIFS(Performance!$Z$5:$Z$404,Performance!$B$5:$B$404,B31)))</f>
        <v>0</v>
      </c>
      <c r="V31" s="24">
        <f>IF(OR(S31="",S31=0),"",U31/S31)</f>
        <v>0</v>
      </c>
      <c r="W31" s="23">
        <f>IF(B31="","",IF(COUNTIF(Performance!$B$5:$B$404,B31)=0,"",SUMIFS(Performance!$T$5:$T$404,Performance!$B$5:$B$404,B31)))</f>
        <v>0</v>
      </c>
      <c r="X31" s="23">
        <f>IF(B31="","",IF(COUNTIF(Performance!$B$5:$B$404,B31)=0,"",SUMIFS(Performance!$S$5:$S$404,Performance!$B$5:$B$404,B31)))</f>
        <v>0</v>
      </c>
      <c r="Y31" s="23">
        <f>IF(B31="","",IF(COUNTIF(Performance!$B$5:$B$404,B31)=0,"",SUMIFS(Performance!$R$5:$R$404,Performance!$B$5:$B$404,B31)))</f>
        <v>0</v>
      </c>
      <c r="Z31" s="23">
        <f>IF(B31="","",IF(COUNTIF(Performance!$B$5:$B$404,B31)=0,"",SUMIFS(Performance!$U$5:$U$404,Performance!$B$5:$B$404,B31)))</f>
        <v>0</v>
      </c>
      <c r="AA31" s="29">
        <f>IF(B31="","",IF(C31="Not found","Check - content ID not on the calendar",IF(G31="","Add - no hook written",IF(H31="","Add - no sound chosen",IF(AND(P31&lt;&gt;"",P31&lt;0.25),"Review - most people scroll away early","OK")))))</f>
        <v>0</v>
      </c>
    </row>
    <row r="32" spans="1:27">
      <c r="A32" s="41">
        <f>IF(B32="","","TT-"&amp;TEXT(ROW()-4,"000"))</f>
        <v>0</v>
      </c>
      <c r="C32" s="17">
        <f>IF(B32="","",IFERROR(INDEX('Content Calendar'!$H$5:$H$604,MATCH(B32,'Content Calendar'!$A$5:$A$604,0)),"Not found"))</f>
        <v>0</v>
      </c>
      <c r="D32" s="16">
        <f>IF(B32="","",IFERROR(INDEX('Content Calendar'!$B$5:$B$604,MATCH(B32,'Content Calendar'!$A$5:$A$604,0)),"Not found"))</f>
        <v>0</v>
      </c>
      <c r="E32" s="17">
        <f>IF(B32="","",IFERROR(INDEX('Content Calendar'!$J$5:$J$604,MATCH(B32,'Content Calendar'!$A$5:$A$604,0)),"Not found"))</f>
        <v>0</v>
      </c>
      <c r="F32" s="29">
        <f>IF(B32="","",IFERROR(INDEX('Content Calendar'!$X$5:$X$604,MATCH(B32,'Content Calendar'!$A$5:$A$604,0)),"Not found"))</f>
        <v>0</v>
      </c>
      <c r="S32" s="23">
        <f>IF(B32="","",IF(COUNTIF(Performance!$B$5:$B$404,B32)=0,"",SUMIFS(Performance!$O$5:$O$404,Performance!$B$5:$B$404,B32)))</f>
        <v>0</v>
      </c>
      <c r="T32" s="23">
        <f>IF(B32="","",IF(COUNTIF(Performance!$B$5:$B$404,B32)=0,"",SUMIFS(Performance!$P$5:$P$404,Performance!$B$5:$B$404,B32)))</f>
        <v>0</v>
      </c>
      <c r="U32" s="23">
        <f>IF(B32="","",IF(COUNTIF(Performance!$B$5:$B$404,B32)=0,"",SUMIFS(Performance!$Z$5:$Z$404,Performance!$B$5:$B$404,B32)))</f>
        <v>0</v>
      </c>
      <c r="V32" s="24">
        <f>IF(OR(S32="",S32=0),"",U32/S32)</f>
        <v>0</v>
      </c>
      <c r="W32" s="23">
        <f>IF(B32="","",IF(COUNTIF(Performance!$B$5:$B$404,B32)=0,"",SUMIFS(Performance!$T$5:$T$404,Performance!$B$5:$B$404,B32)))</f>
        <v>0</v>
      </c>
      <c r="X32" s="23">
        <f>IF(B32="","",IF(COUNTIF(Performance!$B$5:$B$404,B32)=0,"",SUMIFS(Performance!$S$5:$S$404,Performance!$B$5:$B$404,B32)))</f>
        <v>0</v>
      </c>
      <c r="Y32" s="23">
        <f>IF(B32="","",IF(COUNTIF(Performance!$B$5:$B$404,B32)=0,"",SUMIFS(Performance!$R$5:$R$404,Performance!$B$5:$B$404,B32)))</f>
        <v>0</v>
      </c>
      <c r="Z32" s="23">
        <f>IF(B32="","",IF(COUNTIF(Performance!$B$5:$B$404,B32)=0,"",SUMIFS(Performance!$U$5:$U$404,Performance!$B$5:$B$404,B32)))</f>
        <v>0</v>
      </c>
      <c r="AA32" s="29">
        <f>IF(B32="","",IF(C32="Not found","Check - content ID not on the calendar",IF(G32="","Add - no hook written",IF(H32="","Add - no sound chosen",IF(AND(P32&lt;&gt;"",P32&lt;0.25),"Review - most people scroll away early","OK")))))</f>
        <v>0</v>
      </c>
    </row>
    <row r="33" spans="1:27">
      <c r="A33" s="41">
        <f>IF(B33="","","TT-"&amp;TEXT(ROW()-4,"000"))</f>
        <v>0</v>
      </c>
      <c r="C33" s="17">
        <f>IF(B33="","",IFERROR(INDEX('Content Calendar'!$H$5:$H$604,MATCH(B33,'Content Calendar'!$A$5:$A$604,0)),"Not found"))</f>
        <v>0</v>
      </c>
      <c r="D33" s="16">
        <f>IF(B33="","",IFERROR(INDEX('Content Calendar'!$B$5:$B$604,MATCH(B33,'Content Calendar'!$A$5:$A$604,0)),"Not found"))</f>
        <v>0</v>
      </c>
      <c r="E33" s="17">
        <f>IF(B33="","",IFERROR(INDEX('Content Calendar'!$J$5:$J$604,MATCH(B33,'Content Calendar'!$A$5:$A$604,0)),"Not found"))</f>
        <v>0</v>
      </c>
      <c r="F33" s="29">
        <f>IF(B33="","",IFERROR(INDEX('Content Calendar'!$X$5:$X$604,MATCH(B33,'Content Calendar'!$A$5:$A$604,0)),"Not found"))</f>
        <v>0</v>
      </c>
      <c r="S33" s="23">
        <f>IF(B33="","",IF(COUNTIF(Performance!$B$5:$B$404,B33)=0,"",SUMIFS(Performance!$O$5:$O$404,Performance!$B$5:$B$404,B33)))</f>
        <v>0</v>
      </c>
      <c r="T33" s="23">
        <f>IF(B33="","",IF(COUNTIF(Performance!$B$5:$B$404,B33)=0,"",SUMIFS(Performance!$P$5:$P$404,Performance!$B$5:$B$404,B33)))</f>
        <v>0</v>
      </c>
      <c r="U33" s="23">
        <f>IF(B33="","",IF(COUNTIF(Performance!$B$5:$B$404,B33)=0,"",SUMIFS(Performance!$Z$5:$Z$404,Performance!$B$5:$B$404,B33)))</f>
        <v>0</v>
      </c>
      <c r="V33" s="24">
        <f>IF(OR(S33="",S33=0),"",U33/S33)</f>
        <v>0</v>
      </c>
      <c r="W33" s="23">
        <f>IF(B33="","",IF(COUNTIF(Performance!$B$5:$B$404,B33)=0,"",SUMIFS(Performance!$T$5:$T$404,Performance!$B$5:$B$404,B33)))</f>
        <v>0</v>
      </c>
      <c r="X33" s="23">
        <f>IF(B33="","",IF(COUNTIF(Performance!$B$5:$B$404,B33)=0,"",SUMIFS(Performance!$S$5:$S$404,Performance!$B$5:$B$404,B33)))</f>
        <v>0</v>
      </c>
      <c r="Y33" s="23">
        <f>IF(B33="","",IF(COUNTIF(Performance!$B$5:$B$404,B33)=0,"",SUMIFS(Performance!$R$5:$R$404,Performance!$B$5:$B$404,B33)))</f>
        <v>0</v>
      </c>
      <c r="Z33" s="23">
        <f>IF(B33="","",IF(COUNTIF(Performance!$B$5:$B$404,B33)=0,"",SUMIFS(Performance!$U$5:$U$404,Performance!$B$5:$B$404,B33)))</f>
        <v>0</v>
      </c>
      <c r="AA33" s="29">
        <f>IF(B33="","",IF(C33="Not found","Check - content ID not on the calendar",IF(G33="","Add - no hook written",IF(H33="","Add - no sound chosen",IF(AND(P33&lt;&gt;"",P33&lt;0.25),"Review - most people scroll away early","OK")))))</f>
        <v>0</v>
      </c>
    </row>
    <row r="34" spans="1:27">
      <c r="A34" s="41">
        <f>IF(B34="","","TT-"&amp;TEXT(ROW()-4,"000"))</f>
        <v>0</v>
      </c>
      <c r="C34" s="17">
        <f>IF(B34="","",IFERROR(INDEX('Content Calendar'!$H$5:$H$604,MATCH(B34,'Content Calendar'!$A$5:$A$604,0)),"Not found"))</f>
        <v>0</v>
      </c>
      <c r="D34" s="16">
        <f>IF(B34="","",IFERROR(INDEX('Content Calendar'!$B$5:$B$604,MATCH(B34,'Content Calendar'!$A$5:$A$604,0)),"Not found"))</f>
        <v>0</v>
      </c>
      <c r="E34" s="17">
        <f>IF(B34="","",IFERROR(INDEX('Content Calendar'!$J$5:$J$604,MATCH(B34,'Content Calendar'!$A$5:$A$604,0)),"Not found"))</f>
        <v>0</v>
      </c>
      <c r="F34" s="29">
        <f>IF(B34="","",IFERROR(INDEX('Content Calendar'!$X$5:$X$604,MATCH(B34,'Content Calendar'!$A$5:$A$604,0)),"Not found"))</f>
        <v>0</v>
      </c>
      <c r="S34" s="23">
        <f>IF(B34="","",IF(COUNTIF(Performance!$B$5:$B$404,B34)=0,"",SUMIFS(Performance!$O$5:$O$404,Performance!$B$5:$B$404,B34)))</f>
        <v>0</v>
      </c>
      <c r="T34" s="23">
        <f>IF(B34="","",IF(COUNTIF(Performance!$B$5:$B$404,B34)=0,"",SUMIFS(Performance!$P$5:$P$404,Performance!$B$5:$B$404,B34)))</f>
        <v>0</v>
      </c>
      <c r="U34" s="23">
        <f>IF(B34="","",IF(COUNTIF(Performance!$B$5:$B$404,B34)=0,"",SUMIFS(Performance!$Z$5:$Z$404,Performance!$B$5:$B$404,B34)))</f>
        <v>0</v>
      </c>
      <c r="V34" s="24">
        <f>IF(OR(S34="",S34=0),"",U34/S34)</f>
        <v>0</v>
      </c>
      <c r="W34" s="23">
        <f>IF(B34="","",IF(COUNTIF(Performance!$B$5:$B$404,B34)=0,"",SUMIFS(Performance!$T$5:$T$404,Performance!$B$5:$B$404,B34)))</f>
        <v>0</v>
      </c>
      <c r="X34" s="23">
        <f>IF(B34="","",IF(COUNTIF(Performance!$B$5:$B$404,B34)=0,"",SUMIFS(Performance!$S$5:$S$404,Performance!$B$5:$B$404,B34)))</f>
        <v>0</v>
      </c>
      <c r="Y34" s="23">
        <f>IF(B34="","",IF(COUNTIF(Performance!$B$5:$B$404,B34)=0,"",SUMIFS(Performance!$R$5:$R$404,Performance!$B$5:$B$404,B34)))</f>
        <v>0</v>
      </c>
      <c r="Z34" s="23">
        <f>IF(B34="","",IF(COUNTIF(Performance!$B$5:$B$404,B34)=0,"",SUMIFS(Performance!$U$5:$U$404,Performance!$B$5:$B$404,B34)))</f>
        <v>0</v>
      </c>
      <c r="AA34" s="29">
        <f>IF(B34="","",IF(C34="Not found","Check - content ID not on the calendar",IF(G34="","Add - no hook written",IF(H34="","Add - no sound chosen",IF(AND(P34&lt;&gt;"",P34&lt;0.25),"Review - most people scroll away early","OK")))))</f>
        <v>0</v>
      </c>
    </row>
    <row r="35" spans="1:27">
      <c r="A35" s="41">
        <f>IF(B35="","","TT-"&amp;TEXT(ROW()-4,"000"))</f>
        <v>0</v>
      </c>
      <c r="C35" s="17">
        <f>IF(B35="","",IFERROR(INDEX('Content Calendar'!$H$5:$H$604,MATCH(B35,'Content Calendar'!$A$5:$A$604,0)),"Not found"))</f>
        <v>0</v>
      </c>
      <c r="D35" s="16">
        <f>IF(B35="","",IFERROR(INDEX('Content Calendar'!$B$5:$B$604,MATCH(B35,'Content Calendar'!$A$5:$A$604,0)),"Not found"))</f>
        <v>0</v>
      </c>
      <c r="E35" s="17">
        <f>IF(B35="","",IFERROR(INDEX('Content Calendar'!$J$5:$J$604,MATCH(B35,'Content Calendar'!$A$5:$A$604,0)),"Not found"))</f>
        <v>0</v>
      </c>
      <c r="F35" s="29">
        <f>IF(B35="","",IFERROR(INDEX('Content Calendar'!$X$5:$X$604,MATCH(B35,'Content Calendar'!$A$5:$A$604,0)),"Not found"))</f>
        <v>0</v>
      </c>
      <c r="S35" s="23">
        <f>IF(B35="","",IF(COUNTIF(Performance!$B$5:$B$404,B35)=0,"",SUMIFS(Performance!$O$5:$O$404,Performance!$B$5:$B$404,B35)))</f>
        <v>0</v>
      </c>
      <c r="T35" s="23">
        <f>IF(B35="","",IF(COUNTIF(Performance!$B$5:$B$404,B35)=0,"",SUMIFS(Performance!$P$5:$P$404,Performance!$B$5:$B$404,B35)))</f>
        <v>0</v>
      </c>
      <c r="U35" s="23">
        <f>IF(B35="","",IF(COUNTIF(Performance!$B$5:$B$404,B35)=0,"",SUMIFS(Performance!$Z$5:$Z$404,Performance!$B$5:$B$404,B35)))</f>
        <v>0</v>
      </c>
      <c r="V35" s="24">
        <f>IF(OR(S35="",S35=0),"",U35/S35)</f>
        <v>0</v>
      </c>
      <c r="W35" s="23">
        <f>IF(B35="","",IF(COUNTIF(Performance!$B$5:$B$404,B35)=0,"",SUMIFS(Performance!$T$5:$T$404,Performance!$B$5:$B$404,B35)))</f>
        <v>0</v>
      </c>
      <c r="X35" s="23">
        <f>IF(B35="","",IF(COUNTIF(Performance!$B$5:$B$404,B35)=0,"",SUMIFS(Performance!$S$5:$S$404,Performance!$B$5:$B$404,B35)))</f>
        <v>0</v>
      </c>
      <c r="Y35" s="23">
        <f>IF(B35="","",IF(COUNTIF(Performance!$B$5:$B$404,B35)=0,"",SUMIFS(Performance!$R$5:$R$404,Performance!$B$5:$B$404,B35)))</f>
        <v>0</v>
      </c>
      <c r="Z35" s="23">
        <f>IF(B35="","",IF(COUNTIF(Performance!$B$5:$B$404,B35)=0,"",SUMIFS(Performance!$U$5:$U$404,Performance!$B$5:$B$404,B35)))</f>
        <v>0</v>
      </c>
      <c r="AA35" s="29">
        <f>IF(B35="","",IF(C35="Not found","Check - content ID not on the calendar",IF(G35="","Add - no hook written",IF(H35="","Add - no sound chosen",IF(AND(P35&lt;&gt;"",P35&lt;0.25),"Review - most people scroll away early","OK")))))</f>
        <v>0</v>
      </c>
    </row>
    <row r="36" spans="1:27">
      <c r="A36" s="41">
        <f>IF(B36="","","TT-"&amp;TEXT(ROW()-4,"000"))</f>
        <v>0</v>
      </c>
      <c r="C36" s="17">
        <f>IF(B36="","",IFERROR(INDEX('Content Calendar'!$H$5:$H$604,MATCH(B36,'Content Calendar'!$A$5:$A$604,0)),"Not found"))</f>
        <v>0</v>
      </c>
      <c r="D36" s="16">
        <f>IF(B36="","",IFERROR(INDEX('Content Calendar'!$B$5:$B$604,MATCH(B36,'Content Calendar'!$A$5:$A$604,0)),"Not found"))</f>
        <v>0</v>
      </c>
      <c r="E36" s="17">
        <f>IF(B36="","",IFERROR(INDEX('Content Calendar'!$J$5:$J$604,MATCH(B36,'Content Calendar'!$A$5:$A$604,0)),"Not found"))</f>
        <v>0</v>
      </c>
      <c r="F36" s="29">
        <f>IF(B36="","",IFERROR(INDEX('Content Calendar'!$X$5:$X$604,MATCH(B36,'Content Calendar'!$A$5:$A$604,0)),"Not found"))</f>
        <v>0</v>
      </c>
      <c r="S36" s="23">
        <f>IF(B36="","",IF(COUNTIF(Performance!$B$5:$B$404,B36)=0,"",SUMIFS(Performance!$O$5:$O$404,Performance!$B$5:$B$404,B36)))</f>
        <v>0</v>
      </c>
      <c r="T36" s="23">
        <f>IF(B36="","",IF(COUNTIF(Performance!$B$5:$B$404,B36)=0,"",SUMIFS(Performance!$P$5:$P$404,Performance!$B$5:$B$404,B36)))</f>
        <v>0</v>
      </c>
      <c r="U36" s="23">
        <f>IF(B36="","",IF(COUNTIF(Performance!$B$5:$B$404,B36)=0,"",SUMIFS(Performance!$Z$5:$Z$404,Performance!$B$5:$B$404,B36)))</f>
        <v>0</v>
      </c>
      <c r="V36" s="24">
        <f>IF(OR(S36="",S36=0),"",U36/S36)</f>
        <v>0</v>
      </c>
      <c r="W36" s="23">
        <f>IF(B36="","",IF(COUNTIF(Performance!$B$5:$B$404,B36)=0,"",SUMIFS(Performance!$T$5:$T$404,Performance!$B$5:$B$404,B36)))</f>
        <v>0</v>
      </c>
      <c r="X36" s="23">
        <f>IF(B36="","",IF(COUNTIF(Performance!$B$5:$B$404,B36)=0,"",SUMIFS(Performance!$S$5:$S$404,Performance!$B$5:$B$404,B36)))</f>
        <v>0</v>
      </c>
      <c r="Y36" s="23">
        <f>IF(B36="","",IF(COUNTIF(Performance!$B$5:$B$404,B36)=0,"",SUMIFS(Performance!$R$5:$R$404,Performance!$B$5:$B$404,B36)))</f>
        <v>0</v>
      </c>
      <c r="Z36" s="23">
        <f>IF(B36="","",IF(COUNTIF(Performance!$B$5:$B$404,B36)=0,"",SUMIFS(Performance!$U$5:$U$404,Performance!$B$5:$B$404,B36)))</f>
        <v>0</v>
      </c>
      <c r="AA36" s="29">
        <f>IF(B36="","",IF(C36="Not found","Check - content ID not on the calendar",IF(G36="","Add - no hook written",IF(H36="","Add - no sound chosen",IF(AND(P36&lt;&gt;"",P36&lt;0.25),"Review - most people scroll away early","OK")))))</f>
        <v>0</v>
      </c>
    </row>
    <row r="37" spans="1:27">
      <c r="A37" s="41">
        <f>IF(B37="","","TT-"&amp;TEXT(ROW()-4,"000"))</f>
        <v>0</v>
      </c>
      <c r="C37" s="17">
        <f>IF(B37="","",IFERROR(INDEX('Content Calendar'!$H$5:$H$604,MATCH(B37,'Content Calendar'!$A$5:$A$604,0)),"Not found"))</f>
        <v>0</v>
      </c>
      <c r="D37" s="16">
        <f>IF(B37="","",IFERROR(INDEX('Content Calendar'!$B$5:$B$604,MATCH(B37,'Content Calendar'!$A$5:$A$604,0)),"Not found"))</f>
        <v>0</v>
      </c>
      <c r="E37" s="17">
        <f>IF(B37="","",IFERROR(INDEX('Content Calendar'!$J$5:$J$604,MATCH(B37,'Content Calendar'!$A$5:$A$604,0)),"Not found"))</f>
        <v>0</v>
      </c>
      <c r="F37" s="29">
        <f>IF(B37="","",IFERROR(INDEX('Content Calendar'!$X$5:$X$604,MATCH(B37,'Content Calendar'!$A$5:$A$604,0)),"Not found"))</f>
        <v>0</v>
      </c>
      <c r="S37" s="23">
        <f>IF(B37="","",IF(COUNTIF(Performance!$B$5:$B$404,B37)=0,"",SUMIFS(Performance!$O$5:$O$404,Performance!$B$5:$B$404,B37)))</f>
        <v>0</v>
      </c>
      <c r="T37" s="23">
        <f>IF(B37="","",IF(COUNTIF(Performance!$B$5:$B$404,B37)=0,"",SUMIFS(Performance!$P$5:$P$404,Performance!$B$5:$B$404,B37)))</f>
        <v>0</v>
      </c>
      <c r="U37" s="23">
        <f>IF(B37="","",IF(COUNTIF(Performance!$B$5:$B$404,B37)=0,"",SUMIFS(Performance!$Z$5:$Z$404,Performance!$B$5:$B$404,B37)))</f>
        <v>0</v>
      </c>
      <c r="V37" s="24">
        <f>IF(OR(S37="",S37=0),"",U37/S37)</f>
        <v>0</v>
      </c>
      <c r="W37" s="23">
        <f>IF(B37="","",IF(COUNTIF(Performance!$B$5:$B$404,B37)=0,"",SUMIFS(Performance!$T$5:$T$404,Performance!$B$5:$B$404,B37)))</f>
        <v>0</v>
      </c>
      <c r="X37" s="23">
        <f>IF(B37="","",IF(COUNTIF(Performance!$B$5:$B$404,B37)=0,"",SUMIFS(Performance!$S$5:$S$404,Performance!$B$5:$B$404,B37)))</f>
        <v>0</v>
      </c>
      <c r="Y37" s="23">
        <f>IF(B37="","",IF(COUNTIF(Performance!$B$5:$B$404,B37)=0,"",SUMIFS(Performance!$R$5:$R$404,Performance!$B$5:$B$404,B37)))</f>
        <v>0</v>
      </c>
      <c r="Z37" s="23">
        <f>IF(B37="","",IF(COUNTIF(Performance!$B$5:$B$404,B37)=0,"",SUMIFS(Performance!$U$5:$U$404,Performance!$B$5:$B$404,B37)))</f>
        <v>0</v>
      </c>
      <c r="AA37" s="29">
        <f>IF(B37="","",IF(C37="Not found","Check - content ID not on the calendar",IF(G37="","Add - no hook written",IF(H37="","Add - no sound chosen",IF(AND(P37&lt;&gt;"",P37&lt;0.25),"Review - most people scroll away early","OK")))))</f>
        <v>0</v>
      </c>
    </row>
    <row r="38" spans="1:27">
      <c r="A38" s="41">
        <f>IF(B38="","","TT-"&amp;TEXT(ROW()-4,"000"))</f>
        <v>0</v>
      </c>
      <c r="C38" s="17">
        <f>IF(B38="","",IFERROR(INDEX('Content Calendar'!$H$5:$H$604,MATCH(B38,'Content Calendar'!$A$5:$A$604,0)),"Not found"))</f>
        <v>0</v>
      </c>
      <c r="D38" s="16">
        <f>IF(B38="","",IFERROR(INDEX('Content Calendar'!$B$5:$B$604,MATCH(B38,'Content Calendar'!$A$5:$A$604,0)),"Not found"))</f>
        <v>0</v>
      </c>
      <c r="E38" s="17">
        <f>IF(B38="","",IFERROR(INDEX('Content Calendar'!$J$5:$J$604,MATCH(B38,'Content Calendar'!$A$5:$A$604,0)),"Not found"))</f>
        <v>0</v>
      </c>
      <c r="F38" s="29">
        <f>IF(B38="","",IFERROR(INDEX('Content Calendar'!$X$5:$X$604,MATCH(B38,'Content Calendar'!$A$5:$A$604,0)),"Not found"))</f>
        <v>0</v>
      </c>
      <c r="S38" s="23">
        <f>IF(B38="","",IF(COUNTIF(Performance!$B$5:$B$404,B38)=0,"",SUMIFS(Performance!$O$5:$O$404,Performance!$B$5:$B$404,B38)))</f>
        <v>0</v>
      </c>
      <c r="T38" s="23">
        <f>IF(B38="","",IF(COUNTIF(Performance!$B$5:$B$404,B38)=0,"",SUMIFS(Performance!$P$5:$P$404,Performance!$B$5:$B$404,B38)))</f>
        <v>0</v>
      </c>
      <c r="U38" s="23">
        <f>IF(B38="","",IF(COUNTIF(Performance!$B$5:$B$404,B38)=0,"",SUMIFS(Performance!$Z$5:$Z$404,Performance!$B$5:$B$404,B38)))</f>
        <v>0</v>
      </c>
      <c r="V38" s="24">
        <f>IF(OR(S38="",S38=0),"",U38/S38)</f>
        <v>0</v>
      </c>
      <c r="W38" s="23">
        <f>IF(B38="","",IF(COUNTIF(Performance!$B$5:$B$404,B38)=0,"",SUMIFS(Performance!$T$5:$T$404,Performance!$B$5:$B$404,B38)))</f>
        <v>0</v>
      </c>
      <c r="X38" s="23">
        <f>IF(B38="","",IF(COUNTIF(Performance!$B$5:$B$404,B38)=0,"",SUMIFS(Performance!$S$5:$S$404,Performance!$B$5:$B$404,B38)))</f>
        <v>0</v>
      </c>
      <c r="Y38" s="23">
        <f>IF(B38="","",IF(COUNTIF(Performance!$B$5:$B$404,B38)=0,"",SUMIFS(Performance!$R$5:$R$404,Performance!$B$5:$B$404,B38)))</f>
        <v>0</v>
      </c>
      <c r="Z38" s="23">
        <f>IF(B38="","",IF(COUNTIF(Performance!$B$5:$B$404,B38)=0,"",SUMIFS(Performance!$U$5:$U$404,Performance!$B$5:$B$404,B38)))</f>
        <v>0</v>
      </c>
      <c r="AA38" s="29">
        <f>IF(B38="","",IF(C38="Not found","Check - content ID not on the calendar",IF(G38="","Add - no hook written",IF(H38="","Add - no sound chosen",IF(AND(P38&lt;&gt;"",P38&lt;0.25),"Review - most people scroll away early","OK")))))</f>
        <v>0</v>
      </c>
    </row>
    <row r="39" spans="1:27">
      <c r="A39" s="41">
        <f>IF(B39="","","TT-"&amp;TEXT(ROW()-4,"000"))</f>
        <v>0</v>
      </c>
      <c r="C39" s="17">
        <f>IF(B39="","",IFERROR(INDEX('Content Calendar'!$H$5:$H$604,MATCH(B39,'Content Calendar'!$A$5:$A$604,0)),"Not found"))</f>
        <v>0</v>
      </c>
      <c r="D39" s="16">
        <f>IF(B39="","",IFERROR(INDEX('Content Calendar'!$B$5:$B$604,MATCH(B39,'Content Calendar'!$A$5:$A$604,0)),"Not found"))</f>
        <v>0</v>
      </c>
      <c r="E39" s="17">
        <f>IF(B39="","",IFERROR(INDEX('Content Calendar'!$J$5:$J$604,MATCH(B39,'Content Calendar'!$A$5:$A$604,0)),"Not found"))</f>
        <v>0</v>
      </c>
      <c r="F39" s="29">
        <f>IF(B39="","",IFERROR(INDEX('Content Calendar'!$X$5:$X$604,MATCH(B39,'Content Calendar'!$A$5:$A$604,0)),"Not found"))</f>
        <v>0</v>
      </c>
      <c r="S39" s="23">
        <f>IF(B39="","",IF(COUNTIF(Performance!$B$5:$B$404,B39)=0,"",SUMIFS(Performance!$O$5:$O$404,Performance!$B$5:$B$404,B39)))</f>
        <v>0</v>
      </c>
      <c r="T39" s="23">
        <f>IF(B39="","",IF(COUNTIF(Performance!$B$5:$B$404,B39)=0,"",SUMIFS(Performance!$P$5:$P$404,Performance!$B$5:$B$404,B39)))</f>
        <v>0</v>
      </c>
      <c r="U39" s="23">
        <f>IF(B39="","",IF(COUNTIF(Performance!$B$5:$B$404,B39)=0,"",SUMIFS(Performance!$Z$5:$Z$404,Performance!$B$5:$B$404,B39)))</f>
        <v>0</v>
      </c>
      <c r="V39" s="24">
        <f>IF(OR(S39="",S39=0),"",U39/S39)</f>
        <v>0</v>
      </c>
      <c r="W39" s="23">
        <f>IF(B39="","",IF(COUNTIF(Performance!$B$5:$B$404,B39)=0,"",SUMIFS(Performance!$T$5:$T$404,Performance!$B$5:$B$404,B39)))</f>
        <v>0</v>
      </c>
      <c r="X39" s="23">
        <f>IF(B39="","",IF(COUNTIF(Performance!$B$5:$B$404,B39)=0,"",SUMIFS(Performance!$S$5:$S$404,Performance!$B$5:$B$404,B39)))</f>
        <v>0</v>
      </c>
      <c r="Y39" s="23">
        <f>IF(B39="","",IF(COUNTIF(Performance!$B$5:$B$404,B39)=0,"",SUMIFS(Performance!$R$5:$R$404,Performance!$B$5:$B$404,B39)))</f>
        <v>0</v>
      </c>
      <c r="Z39" s="23">
        <f>IF(B39="","",IF(COUNTIF(Performance!$B$5:$B$404,B39)=0,"",SUMIFS(Performance!$U$5:$U$404,Performance!$B$5:$B$404,B39)))</f>
        <v>0</v>
      </c>
      <c r="AA39" s="29">
        <f>IF(B39="","",IF(C39="Not found","Check - content ID not on the calendar",IF(G39="","Add - no hook written",IF(H39="","Add - no sound chosen",IF(AND(P39&lt;&gt;"",P39&lt;0.25),"Review - most people scroll away early","OK")))))</f>
        <v>0</v>
      </c>
    </row>
    <row r="40" spans="1:27">
      <c r="A40" s="41">
        <f>IF(B40="","","TT-"&amp;TEXT(ROW()-4,"000"))</f>
        <v>0</v>
      </c>
      <c r="C40" s="17">
        <f>IF(B40="","",IFERROR(INDEX('Content Calendar'!$H$5:$H$604,MATCH(B40,'Content Calendar'!$A$5:$A$604,0)),"Not found"))</f>
        <v>0</v>
      </c>
      <c r="D40" s="16">
        <f>IF(B40="","",IFERROR(INDEX('Content Calendar'!$B$5:$B$604,MATCH(B40,'Content Calendar'!$A$5:$A$604,0)),"Not found"))</f>
        <v>0</v>
      </c>
      <c r="E40" s="17">
        <f>IF(B40="","",IFERROR(INDEX('Content Calendar'!$J$5:$J$604,MATCH(B40,'Content Calendar'!$A$5:$A$604,0)),"Not found"))</f>
        <v>0</v>
      </c>
      <c r="F40" s="29">
        <f>IF(B40="","",IFERROR(INDEX('Content Calendar'!$X$5:$X$604,MATCH(B40,'Content Calendar'!$A$5:$A$604,0)),"Not found"))</f>
        <v>0</v>
      </c>
      <c r="S40" s="23">
        <f>IF(B40="","",IF(COUNTIF(Performance!$B$5:$B$404,B40)=0,"",SUMIFS(Performance!$O$5:$O$404,Performance!$B$5:$B$404,B40)))</f>
        <v>0</v>
      </c>
      <c r="T40" s="23">
        <f>IF(B40="","",IF(COUNTIF(Performance!$B$5:$B$404,B40)=0,"",SUMIFS(Performance!$P$5:$P$404,Performance!$B$5:$B$404,B40)))</f>
        <v>0</v>
      </c>
      <c r="U40" s="23">
        <f>IF(B40="","",IF(COUNTIF(Performance!$B$5:$B$404,B40)=0,"",SUMIFS(Performance!$Z$5:$Z$404,Performance!$B$5:$B$404,B40)))</f>
        <v>0</v>
      </c>
      <c r="V40" s="24">
        <f>IF(OR(S40="",S40=0),"",U40/S40)</f>
        <v>0</v>
      </c>
      <c r="W40" s="23">
        <f>IF(B40="","",IF(COUNTIF(Performance!$B$5:$B$404,B40)=0,"",SUMIFS(Performance!$T$5:$T$404,Performance!$B$5:$B$404,B40)))</f>
        <v>0</v>
      </c>
      <c r="X40" s="23">
        <f>IF(B40="","",IF(COUNTIF(Performance!$B$5:$B$404,B40)=0,"",SUMIFS(Performance!$S$5:$S$404,Performance!$B$5:$B$404,B40)))</f>
        <v>0</v>
      </c>
      <c r="Y40" s="23">
        <f>IF(B40="","",IF(COUNTIF(Performance!$B$5:$B$404,B40)=0,"",SUMIFS(Performance!$R$5:$R$404,Performance!$B$5:$B$404,B40)))</f>
        <v>0</v>
      </c>
      <c r="Z40" s="23">
        <f>IF(B40="","",IF(COUNTIF(Performance!$B$5:$B$404,B40)=0,"",SUMIFS(Performance!$U$5:$U$404,Performance!$B$5:$B$404,B40)))</f>
        <v>0</v>
      </c>
      <c r="AA40" s="29">
        <f>IF(B40="","",IF(C40="Not found","Check - content ID not on the calendar",IF(G40="","Add - no hook written",IF(H40="","Add - no sound chosen",IF(AND(P40&lt;&gt;"",P40&lt;0.25),"Review - most people scroll away early","OK")))))</f>
        <v>0</v>
      </c>
    </row>
    <row r="41" spans="1:27">
      <c r="A41" s="41">
        <f>IF(B41="","","TT-"&amp;TEXT(ROW()-4,"000"))</f>
        <v>0</v>
      </c>
      <c r="C41" s="17">
        <f>IF(B41="","",IFERROR(INDEX('Content Calendar'!$H$5:$H$604,MATCH(B41,'Content Calendar'!$A$5:$A$604,0)),"Not found"))</f>
        <v>0</v>
      </c>
      <c r="D41" s="16">
        <f>IF(B41="","",IFERROR(INDEX('Content Calendar'!$B$5:$B$604,MATCH(B41,'Content Calendar'!$A$5:$A$604,0)),"Not found"))</f>
        <v>0</v>
      </c>
      <c r="E41" s="17">
        <f>IF(B41="","",IFERROR(INDEX('Content Calendar'!$J$5:$J$604,MATCH(B41,'Content Calendar'!$A$5:$A$604,0)),"Not found"))</f>
        <v>0</v>
      </c>
      <c r="F41" s="29">
        <f>IF(B41="","",IFERROR(INDEX('Content Calendar'!$X$5:$X$604,MATCH(B41,'Content Calendar'!$A$5:$A$604,0)),"Not found"))</f>
        <v>0</v>
      </c>
      <c r="S41" s="23">
        <f>IF(B41="","",IF(COUNTIF(Performance!$B$5:$B$404,B41)=0,"",SUMIFS(Performance!$O$5:$O$404,Performance!$B$5:$B$404,B41)))</f>
        <v>0</v>
      </c>
      <c r="T41" s="23">
        <f>IF(B41="","",IF(COUNTIF(Performance!$B$5:$B$404,B41)=0,"",SUMIFS(Performance!$P$5:$P$404,Performance!$B$5:$B$404,B41)))</f>
        <v>0</v>
      </c>
      <c r="U41" s="23">
        <f>IF(B41="","",IF(COUNTIF(Performance!$B$5:$B$404,B41)=0,"",SUMIFS(Performance!$Z$5:$Z$404,Performance!$B$5:$B$404,B41)))</f>
        <v>0</v>
      </c>
      <c r="V41" s="24">
        <f>IF(OR(S41="",S41=0),"",U41/S41)</f>
        <v>0</v>
      </c>
      <c r="W41" s="23">
        <f>IF(B41="","",IF(COUNTIF(Performance!$B$5:$B$404,B41)=0,"",SUMIFS(Performance!$T$5:$T$404,Performance!$B$5:$B$404,B41)))</f>
        <v>0</v>
      </c>
      <c r="X41" s="23">
        <f>IF(B41="","",IF(COUNTIF(Performance!$B$5:$B$404,B41)=0,"",SUMIFS(Performance!$S$5:$S$404,Performance!$B$5:$B$404,B41)))</f>
        <v>0</v>
      </c>
      <c r="Y41" s="23">
        <f>IF(B41="","",IF(COUNTIF(Performance!$B$5:$B$404,B41)=0,"",SUMIFS(Performance!$R$5:$R$404,Performance!$B$5:$B$404,B41)))</f>
        <v>0</v>
      </c>
      <c r="Z41" s="23">
        <f>IF(B41="","",IF(COUNTIF(Performance!$B$5:$B$404,B41)=0,"",SUMIFS(Performance!$U$5:$U$404,Performance!$B$5:$B$404,B41)))</f>
        <v>0</v>
      </c>
      <c r="AA41" s="29">
        <f>IF(B41="","",IF(C41="Not found","Check - content ID not on the calendar",IF(G41="","Add - no hook written",IF(H41="","Add - no sound chosen",IF(AND(P41&lt;&gt;"",P41&lt;0.25),"Review - most people scroll away early","OK")))))</f>
        <v>0</v>
      </c>
    </row>
    <row r="42" spans="1:27">
      <c r="A42" s="41">
        <f>IF(B42="","","TT-"&amp;TEXT(ROW()-4,"000"))</f>
        <v>0</v>
      </c>
      <c r="C42" s="17">
        <f>IF(B42="","",IFERROR(INDEX('Content Calendar'!$H$5:$H$604,MATCH(B42,'Content Calendar'!$A$5:$A$604,0)),"Not found"))</f>
        <v>0</v>
      </c>
      <c r="D42" s="16">
        <f>IF(B42="","",IFERROR(INDEX('Content Calendar'!$B$5:$B$604,MATCH(B42,'Content Calendar'!$A$5:$A$604,0)),"Not found"))</f>
        <v>0</v>
      </c>
      <c r="E42" s="17">
        <f>IF(B42="","",IFERROR(INDEX('Content Calendar'!$J$5:$J$604,MATCH(B42,'Content Calendar'!$A$5:$A$604,0)),"Not found"))</f>
        <v>0</v>
      </c>
      <c r="F42" s="29">
        <f>IF(B42="","",IFERROR(INDEX('Content Calendar'!$X$5:$X$604,MATCH(B42,'Content Calendar'!$A$5:$A$604,0)),"Not found"))</f>
        <v>0</v>
      </c>
      <c r="S42" s="23">
        <f>IF(B42="","",IF(COUNTIF(Performance!$B$5:$B$404,B42)=0,"",SUMIFS(Performance!$O$5:$O$404,Performance!$B$5:$B$404,B42)))</f>
        <v>0</v>
      </c>
      <c r="T42" s="23">
        <f>IF(B42="","",IF(COUNTIF(Performance!$B$5:$B$404,B42)=0,"",SUMIFS(Performance!$P$5:$P$404,Performance!$B$5:$B$404,B42)))</f>
        <v>0</v>
      </c>
      <c r="U42" s="23">
        <f>IF(B42="","",IF(COUNTIF(Performance!$B$5:$B$404,B42)=0,"",SUMIFS(Performance!$Z$5:$Z$404,Performance!$B$5:$B$404,B42)))</f>
        <v>0</v>
      </c>
      <c r="V42" s="24">
        <f>IF(OR(S42="",S42=0),"",U42/S42)</f>
        <v>0</v>
      </c>
      <c r="W42" s="23">
        <f>IF(B42="","",IF(COUNTIF(Performance!$B$5:$B$404,B42)=0,"",SUMIFS(Performance!$T$5:$T$404,Performance!$B$5:$B$404,B42)))</f>
        <v>0</v>
      </c>
      <c r="X42" s="23">
        <f>IF(B42="","",IF(COUNTIF(Performance!$B$5:$B$404,B42)=0,"",SUMIFS(Performance!$S$5:$S$404,Performance!$B$5:$B$404,B42)))</f>
        <v>0</v>
      </c>
      <c r="Y42" s="23">
        <f>IF(B42="","",IF(COUNTIF(Performance!$B$5:$B$404,B42)=0,"",SUMIFS(Performance!$R$5:$R$404,Performance!$B$5:$B$404,B42)))</f>
        <v>0</v>
      </c>
      <c r="Z42" s="23">
        <f>IF(B42="","",IF(COUNTIF(Performance!$B$5:$B$404,B42)=0,"",SUMIFS(Performance!$U$5:$U$404,Performance!$B$5:$B$404,B42)))</f>
        <v>0</v>
      </c>
      <c r="AA42" s="29">
        <f>IF(B42="","",IF(C42="Not found","Check - content ID not on the calendar",IF(G42="","Add - no hook written",IF(H42="","Add - no sound chosen",IF(AND(P42&lt;&gt;"",P42&lt;0.25),"Review - most people scroll away early","OK")))))</f>
        <v>0</v>
      </c>
    </row>
    <row r="43" spans="1:27">
      <c r="A43" s="41">
        <f>IF(B43="","","TT-"&amp;TEXT(ROW()-4,"000"))</f>
        <v>0</v>
      </c>
      <c r="C43" s="17">
        <f>IF(B43="","",IFERROR(INDEX('Content Calendar'!$H$5:$H$604,MATCH(B43,'Content Calendar'!$A$5:$A$604,0)),"Not found"))</f>
        <v>0</v>
      </c>
      <c r="D43" s="16">
        <f>IF(B43="","",IFERROR(INDEX('Content Calendar'!$B$5:$B$604,MATCH(B43,'Content Calendar'!$A$5:$A$604,0)),"Not found"))</f>
        <v>0</v>
      </c>
      <c r="E43" s="17">
        <f>IF(B43="","",IFERROR(INDEX('Content Calendar'!$J$5:$J$604,MATCH(B43,'Content Calendar'!$A$5:$A$604,0)),"Not found"))</f>
        <v>0</v>
      </c>
      <c r="F43" s="29">
        <f>IF(B43="","",IFERROR(INDEX('Content Calendar'!$X$5:$X$604,MATCH(B43,'Content Calendar'!$A$5:$A$604,0)),"Not found"))</f>
        <v>0</v>
      </c>
      <c r="S43" s="23">
        <f>IF(B43="","",IF(COUNTIF(Performance!$B$5:$B$404,B43)=0,"",SUMIFS(Performance!$O$5:$O$404,Performance!$B$5:$B$404,B43)))</f>
        <v>0</v>
      </c>
      <c r="T43" s="23">
        <f>IF(B43="","",IF(COUNTIF(Performance!$B$5:$B$404,B43)=0,"",SUMIFS(Performance!$P$5:$P$404,Performance!$B$5:$B$404,B43)))</f>
        <v>0</v>
      </c>
      <c r="U43" s="23">
        <f>IF(B43="","",IF(COUNTIF(Performance!$B$5:$B$404,B43)=0,"",SUMIFS(Performance!$Z$5:$Z$404,Performance!$B$5:$B$404,B43)))</f>
        <v>0</v>
      </c>
      <c r="V43" s="24">
        <f>IF(OR(S43="",S43=0),"",U43/S43)</f>
        <v>0</v>
      </c>
      <c r="W43" s="23">
        <f>IF(B43="","",IF(COUNTIF(Performance!$B$5:$B$404,B43)=0,"",SUMIFS(Performance!$T$5:$T$404,Performance!$B$5:$B$404,B43)))</f>
        <v>0</v>
      </c>
      <c r="X43" s="23">
        <f>IF(B43="","",IF(COUNTIF(Performance!$B$5:$B$404,B43)=0,"",SUMIFS(Performance!$S$5:$S$404,Performance!$B$5:$B$404,B43)))</f>
        <v>0</v>
      </c>
      <c r="Y43" s="23">
        <f>IF(B43="","",IF(COUNTIF(Performance!$B$5:$B$404,B43)=0,"",SUMIFS(Performance!$R$5:$R$404,Performance!$B$5:$B$404,B43)))</f>
        <v>0</v>
      </c>
      <c r="Z43" s="23">
        <f>IF(B43="","",IF(COUNTIF(Performance!$B$5:$B$404,B43)=0,"",SUMIFS(Performance!$U$5:$U$404,Performance!$B$5:$B$404,B43)))</f>
        <v>0</v>
      </c>
      <c r="AA43" s="29">
        <f>IF(B43="","",IF(C43="Not found","Check - content ID not on the calendar",IF(G43="","Add - no hook written",IF(H43="","Add - no sound chosen",IF(AND(P43&lt;&gt;"",P43&lt;0.25),"Review - most people scroll away early","OK")))))</f>
        <v>0</v>
      </c>
    </row>
    <row r="44" spans="1:27">
      <c r="A44" s="41">
        <f>IF(B44="","","TT-"&amp;TEXT(ROW()-4,"000"))</f>
        <v>0</v>
      </c>
      <c r="C44" s="17">
        <f>IF(B44="","",IFERROR(INDEX('Content Calendar'!$H$5:$H$604,MATCH(B44,'Content Calendar'!$A$5:$A$604,0)),"Not found"))</f>
        <v>0</v>
      </c>
      <c r="D44" s="16">
        <f>IF(B44="","",IFERROR(INDEX('Content Calendar'!$B$5:$B$604,MATCH(B44,'Content Calendar'!$A$5:$A$604,0)),"Not found"))</f>
        <v>0</v>
      </c>
      <c r="E44" s="17">
        <f>IF(B44="","",IFERROR(INDEX('Content Calendar'!$J$5:$J$604,MATCH(B44,'Content Calendar'!$A$5:$A$604,0)),"Not found"))</f>
        <v>0</v>
      </c>
      <c r="F44" s="29">
        <f>IF(B44="","",IFERROR(INDEX('Content Calendar'!$X$5:$X$604,MATCH(B44,'Content Calendar'!$A$5:$A$604,0)),"Not found"))</f>
        <v>0</v>
      </c>
      <c r="S44" s="23">
        <f>IF(B44="","",IF(COUNTIF(Performance!$B$5:$B$404,B44)=0,"",SUMIFS(Performance!$O$5:$O$404,Performance!$B$5:$B$404,B44)))</f>
        <v>0</v>
      </c>
      <c r="T44" s="23">
        <f>IF(B44="","",IF(COUNTIF(Performance!$B$5:$B$404,B44)=0,"",SUMIFS(Performance!$P$5:$P$404,Performance!$B$5:$B$404,B44)))</f>
        <v>0</v>
      </c>
      <c r="U44" s="23">
        <f>IF(B44="","",IF(COUNTIF(Performance!$B$5:$B$404,B44)=0,"",SUMIFS(Performance!$Z$5:$Z$404,Performance!$B$5:$B$404,B44)))</f>
        <v>0</v>
      </c>
      <c r="V44" s="24">
        <f>IF(OR(S44="",S44=0),"",U44/S44)</f>
        <v>0</v>
      </c>
      <c r="W44" s="23">
        <f>IF(B44="","",IF(COUNTIF(Performance!$B$5:$B$404,B44)=0,"",SUMIFS(Performance!$T$5:$T$404,Performance!$B$5:$B$404,B44)))</f>
        <v>0</v>
      </c>
      <c r="X44" s="23">
        <f>IF(B44="","",IF(COUNTIF(Performance!$B$5:$B$404,B44)=0,"",SUMIFS(Performance!$S$5:$S$404,Performance!$B$5:$B$404,B44)))</f>
        <v>0</v>
      </c>
      <c r="Y44" s="23">
        <f>IF(B44="","",IF(COUNTIF(Performance!$B$5:$B$404,B44)=0,"",SUMIFS(Performance!$R$5:$R$404,Performance!$B$5:$B$404,B44)))</f>
        <v>0</v>
      </c>
      <c r="Z44" s="23">
        <f>IF(B44="","",IF(COUNTIF(Performance!$B$5:$B$404,B44)=0,"",SUMIFS(Performance!$U$5:$U$404,Performance!$B$5:$B$404,B44)))</f>
        <v>0</v>
      </c>
      <c r="AA44" s="29">
        <f>IF(B44="","",IF(C44="Not found","Check - content ID not on the calendar",IF(G44="","Add - no hook written",IF(H44="","Add - no sound chosen",IF(AND(P44&lt;&gt;"",P44&lt;0.25),"Review - most people scroll away early","OK")))))</f>
        <v>0</v>
      </c>
    </row>
    <row r="45" spans="1:27">
      <c r="A45" s="41">
        <f>IF(B45="","","TT-"&amp;TEXT(ROW()-4,"000"))</f>
        <v>0</v>
      </c>
      <c r="C45" s="17">
        <f>IF(B45="","",IFERROR(INDEX('Content Calendar'!$H$5:$H$604,MATCH(B45,'Content Calendar'!$A$5:$A$604,0)),"Not found"))</f>
        <v>0</v>
      </c>
      <c r="D45" s="16">
        <f>IF(B45="","",IFERROR(INDEX('Content Calendar'!$B$5:$B$604,MATCH(B45,'Content Calendar'!$A$5:$A$604,0)),"Not found"))</f>
        <v>0</v>
      </c>
      <c r="E45" s="17">
        <f>IF(B45="","",IFERROR(INDEX('Content Calendar'!$J$5:$J$604,MATCH(B45,'Content Calendar'!$A$5:$A$604,0)),"Not found"))</f>
        <v>0</v>
      </c>
      <c r="F45" s="29">
        <f>IF(B45="","",IFERROR(INDEX('Content Calendar'!$X$5:$X$604,MATCH(B45,'Content Calendar'!$A$5:$A$604,0)),"Not found"))</f>
        <v>0</v>
      </c>
      <c r="S45" s="23">
        <f>IF(B45="","",IF(COUNTIF(Performance!$B$5:$B$404,B45)=0,"",SUMIFS(Performance!$O$5:$O$404,Performance!$B$5:$B$404,B45)))</f>
        <v>0</v>
      </c>
      <c r="T45" s="23">
        <f>IF(B45="","",IF(COUNTIF(Performance!$B$5:$B$404,B45)=0,"",SUMIFS(Performance!$P$5:$P$404,Performance!$B$5:$B$404,B45)))</f>
        <v>0</v>
      </c>
      <c r="U45" s="23">
        <f>IF(B45="","",IF(COUNTIF(Performance!$B$5:$B$404,B45)=0,"",SUMIFS(Performance!$Z$5:$Z$404,Performance!$B$5:$B$404,B45)))</f>
        <v>0</v>
      </c>
      <c r="V45" s="24">
        <f>IF(OR(S45="",S45=0),"",U45/S45)</f>
        <v>0</v>
      </c>
      <c r="W45" s="23">
        <f>IF(B45="","",IF(COUNTIF(Performance!$B$5:$B$404,B45)=0,"",SUMIFS(Performance!$T$5:$T$404,Performance!$B$5:$B$404,B45)))</f>
        <v>0</v>
      </c>
      <c r="X45" s="23">
        <f>IF(B45="","",IF(COUNTIF(Performance!$B$5:$B$404,B45)=0,"",SUMIFS(Performance!$S$5:$S$404,Performance!$B$5:$B$404,B45)))</f>
        <v>0</v>
      </c>
      <c r="Y45" s="23">
        <f>IF(B45="","",IF(COUNTIF(Performance!$B$5:$B$404,B45)=0,"",SUMIFS(Performance!$R$5:$R$404,Performance!$B$5:$B$404,B45)))</f>
        <v>0</v>
      </c>
      <c r="Z45" s="23">
        <f>IF(B45="","",IF(COUNTIF(Performance!$B$5:$B$404,B45)=0,"",SUMIFS(Performance!$U$5:$U$404,Performance!$B$5:$B$404,B45)))</f>
        <v>0</v>
      </c>
      <c r="AA45" s="29">
        <f>IF(B45="","",IF(C45="Not found","Check - content ID not on the calendar",IF(G45="","Add - no hook written",IF(H45="","Add - no sound chosen",IF(AND(P45&lt;&gt;"",P45&lt;0.25),"Review - most people scroll away early","OK")))))</f>
        <v>0</v>
      </c>
    </row>
    <row r="46" spans="1:27">
      <c r="A46" s="41">
        <f>IF(B46="","","TT-"&amp;TEXT(ROW()-4,"000"))</f>
        <v>0</v>
      </c>
      <c r="C46" s="17">
        <f>IF(B46="","",IFERROR(INDEX('Content Calendar'!$H$5:$H$604,MATCH(B46,'Content Calendar'!$A$5:$A$604,0)),"Not found"))</f>
        <v>0</v>
      </c>
      <c r="D46" s="16">
        <f>IF(B46="","",IFERROR(INDEX('Content Calendar'!$B$5:$B$604,MATCH(B46,'Content Calendar'!$A$5:$A$604,0)),"Not found"))</f>
        <v>0</v>
      </c>
      <c r="E46" s="17">
        <f>IF(B46="","",IFERROR(INDEX('Content Calendar'!$J$5:$J$604,MATCH(B46,'Content Calendar'!$A$5:$A$604,0)),"Not found"))</f>
        <v>0</v>
      </c>
      <c r="F46" s="29">
        <f>IF(B46="","",IFERROR(INDEX('Content Calendar'!$X$5:$X$604,MATCH(B46,'Content Calendar'!$A$5:$A$604,0)),"Not found"))</f>
        <v>0</v>
      </c>
      <c r="S46" s="23">
        <f>IF(B46="","",IF(COUNTIF(Performance!$B$5:$B$404,B46)=0,"",SUMIFS(Performance!$O$5:$O$404,Performance!$B$5:$B$404,B46)))</f>
        <v>0</v>
      </c>
      <c r="T46" s="23">
        <f>IF(B46="","",IF(COUNTIF(Performance!$B$5:$B$404,B46)=0,"",SUMIFS(Performance!$P$5:$P$404,Performance!$B$5:$B$404,B46)))</f>
        <v>0</v>
      </c>
      <c r="U46" s="23">
        <f>IF(B46="","",IF(COUNTIF(Performance!$B$5:$B$404,B46)=0,"",SUMIFS(Performance!$Z$5:$Z$404,Performance!$B$5:$B$404,B46)))</f>
        <v>0</v>
      </c>
      <c r="V46" s="24">
        <f>IF(OR(S46="",S46=0),"",U46/S46)</f>
        <v>0</v>
      </c>
      <c r="W46" s="23">
        <f>IF(B46="","",IF(COUNTIF(Performance!$B$5:$B$404,B46)=0,"",SUMIFS(Performance!$T$5:$T$404,Performance!$B$5:$B$404,B46)))</f>
        <v>0</v>
      </c>
      <c r="X46" s="23">
        <f>IF(B46="","",IF(COUNTIF(Performance!$B$5:$B$404,B46)=0,"",SUMIFS(Performance!$S$5:$S$404,Performance!$B$5:$B$404,B46)))</f>
        <v>0</v>
      </c>
      <c r="Y46" s="23">
        <f>IF(B46="","",IF(COUNTIF(Performance!$B$5:$B$404,B46)=0,"",SUMIFS(Performance!$R$5:$R$404,Performance!$B$5:$B$404,B46)))</f>
        <v>0</v>
      </c>
      <c r="Z46" s="23">
        <f>IF(B46="","",IF(COUNTIF(Performance!$B$5:$B$404,B46)=0,"",SUMIFS(Performance!$U$5:$U$404,Performance!$B$5:$B$404,B46)))</f>
        <v>0</v>
      </c>
      <c r="AA46" s="29">
        <f>IF(B46="","",IF(C46="Not found","Check - content ID not on the calendar",IF(G46="","Add - no hook written",IF(H46="","Add - no sound chosen",IF(AND(P46&lt;&gt;"",P46&lt;0.25),"Review - most people scroll away early","OK")))))</f>
        <v>0</v>
      </c>
    </row>
    <row r="47" spans="1:27">
      <c r="A47" s="41">
        <f>IF(B47="","","TT-"&amp;TEXT(ROW()-4,"000"))</f>
        <v>0</v>
      </c>
      <c r="C47" s="17">
        <f>IF(B47="","",IFERROR(INDEX('Content Calendar'!$H$5:$H$604,MATCH(B47,'Content Calendar'!$A$5:$A$604,0)),"Not found"))</f>
        <v>0</v>
      </c>
      <c r="D47" s="16">
        <f>IF(B47="","",IFERROR(INDEX('Content Calendar'!$B$5:$B$604,MATCH(B47,'Content Calendar'!$A$5:$A$604,0)),"Not found"))</f>
        <v>0</v>
      </c>
      <c r="E47" s="17">
        <f>IF(B47="","",IFERROR(INDEX('Content Calendar'!$J$5:$J$604,MATCH(B47,'Content Calendar'!$A$5:$A$604,0)),"Not found"))</f>
        <v>0</v>
      </c>
      <c r="F47" s="29">
        <f>IF(B47="","",IFERROR(INDEX('Content Calendar'!$X$5:$X$604,MATCH(B47,'Content Calendar'!$A$5:$A$604,0)),"Not found"))</f>
        <v>0</v>
      </c>
      <c r="S47" s="23">
        <f>IF(B47="","",IF(COUNTIF(Performance!$B$5:$B$404,B47)=0,"",SUMIFS(Performance!$O$5:$O$404,Performance!$B$5:$B$404,B47)))</f>
        <v>0</v>
      </c>
      <c r="T47" s="23">
        <f>IF(B47="","",IF(COUNTIF(Performance!$B$5:$B$404,B47)=0,"",SUMIFS(Performance!$P$5:$P$404,Performance!$B$5:$B$404,B47)))</f>
        <v>0</v>
      </c>
      <c r="U47" s="23">
        <f>IF(B47="","",IF(COUNTIF(Performance!$B$5:$B$404,B47)=0,"",SUMIFS(Performance!$Z$5:$Z$404,Performance!$B$5:$B$404,B47)))</f>
        <v>0</v>
      </c>
      <c r="V47" s="24">
        <f>IF(OR(S47="",S47=0),"",U47/S47)</f>
        <v>0</v>
      </c>
      <c r="W47" s="23">
        <f>IF(B47="","",IF(COUNTIF(Performance!$B$5:$B$404,B47)=0,"",SUMIFS(Performance!$T$5:$T$404,Performance!$B$5:$B$404,B47)))</f>
        <v>0</v>
      </c>
      <c r="X47" s="23">
        <f>IF(B47="","",IF(COUNTIF(Performance!$B$5:$B$404,B47)=0,"",SUMIFS(Performance!$S$5:$S$404,Performance!$B$5:$B$404,B47)))</f>
        <v>0</v>
      </c>
      <c r="Y47" s="23">
        <f>IF(B47="","",IF(COUNTIF(Performance!$B$5:$B$404,B47)=0,"",SUMIFS(Performance!$R$5:$R$404,Performance!$B$5:$B$404,B47)))</f>
        <v>0</v>
      </c>
      <c r="Z47" s="23">
        <f>IF(B47="","",IF(COUNTIF(Performance!$B$5:$B$404,B47)=0,"",SUMIFS(Performance!$U$5:$U$404,Performance!$B$5:$B$404,B47)))</f>
        <v>0</v>
      </c>
      <c r="AA47" s="29">
        <f>IF(B47="","",IF(C47="Not found","Check - content ID not on the calendar",IF(G47="","Add - no hook written",IF(H47="","Add - no sound chosen",IF(AND(P47&lt;&gt;"",P47&lt;0.25),"Review - most people scroll away early","OK")))))</f>
        <v>0</v>
      </c>
    </row>
    <row r="48" spans="1:27">
      <c r="A48" s="41">
        <f>IF(B48="","","TT-"&amp;TEXT(ROW()-4,"000"))</f>
        <v>0</v>
      </c>
      <c r="C48" s="17">
        <f>IF(B48="","",IFERROR(INDEX('Content Calendar'!$H$5:$H$604,MATCH(B48,'Content Calendar'!$A$5:$A$604,0)),"Not found"))</f>
        <v>0</v>
      </c>
      <c r="D48" s="16">
        <f>IF(B48="","",IFERROR(INDEX('Content Calendar'!$B$5:$B$604,MATCH(B48,'Content Calendar'!$A$5:$A$604,0)),"Not found"))</f>
        <v>0</v>
      </c>
      <c r="E48" s="17">
        <f>IF(B48="","",IFERROR(INDEX('Content Calendar'!$J$5:$J$604,MATCH(B48,'Content Calendar'!$A$5:$A$604,0)),"Not found"))</f>
        <v>0</v>
      </c>
      <c r="F48" s="29">
        <f>IF(B48="","",IFERROR(INDEX('Content Calendar'!$X$5:$X$604,MATCH(B48,'Content Calendar'!$A$5:$A$604,0)),"Not found"))</f>
        <v>0</v>
      </c>
      <c r="S48" s="23">
        <f>IF(B48="","",IF(COUNTIF(Performance!$B$5:$B$404,B48)=0,"",SUMIFS(Performance!$O$5:$O$404,Performance!$B$5:$B$404,B48)))</f>
        <v>0</v>
      </c>
      <c r="T48" s="23">
        <f>IF(B48="","",IF(COUNTIF(Performance!$B$5:$B$404,B48)=0,"",SUMIFS(Performance!$P$5:$P$404,Performance!$B$5:$B$404,B48)))</f>
        <v>0</v>
      </c>
      <c r="U48" s="23">
        <f>IF(B48="","",IF(COUNTIF(Performance!$B$5:$B$404,B48)=0,"",SUMIFS(Performance!$Z$5:$Z$404,Performance!$B$5:$B$404,B48)))</f>
        <v>0</v>
      </c>
      <c r="V48" s="24">
        <f>IF(OR(S48="",S48=0),"",U48/S48)</f>
        <v>0</v>
      </c>
      <c r="W48" s="23">
        <f>IF(B48="","",IF(COUNTIF(Performance!$B$5:$B$404,B48)=0,"",SUMIFS(Performance!$T$5:$T$404,Performance!$B$5:$B$404,B48)))</f>
        <v>0</v>
      </c>
      <c r="X48" s="23">
        <f>IF(B48="","",IF(COUNTIF(Performance!$B$5:$B$404,B48)=0,"",SUMIFS(Performance!$S$5:$S$404,Performance!$B$5:$B$404,B48)))</f>
        <v>0</v>
      </c>
      <c r="Y48" s="23">
        <f>IF(B48="","",IF(COUNTIF(Performance!$B$5:$B$404,B48)=0,"",SUMIFS(Performance!$R$5:$R$404,Performance!$B$5:$B$404,B48)))</f>
        <v>0</v>
      </c>
      <c r="Z48" s="23">
        <f>IF(B48="","",IF(COUNTIF(Performance!$B$5:$B$404,B48)=0,"",SUMIFS(Performance!$U$5:$U$404,Performance!$B$5:$B$404,B48)))</f>
        <v>0</v>
      </c>
      <c r="AA48" s="29">
        <f>IF(B48="","",IF(C48="Not found","Check - content ID not on the calendar",IF(G48="","Add - no hook written",IF(H48="","Add - no sound chosen",IF(AND(P48&lt;&gt;"",P48&lt;0.25),"Review - most people scroll away early","OK")))))</f>
        <v>0</v>
      </c>
    </row>
    <row r="49" spans="1:27">
      <c r="A49" s="41">
        <f>IF(B49="","","TT-"&amp;TEXT(ROW()-4,"000"))</f>
        <v>0</v>
      </c>
      <c r="C49" s="17">
        <f>IF(B49="","",IFERROR(INDEX('Content Calendar'!$H$5:$H$604,MATCH(B49,'Content Calendar'!$A$5:$A$604,0)),"Not found"))</f>
        <v>0</v>
      </c>
      <c r="D49" s="16">
        <f>IF(B49="","",IFERROR(INDEX('Content Calendar'!$B$5:$B$604,MATCH(B49,'Content Calendar'!$A$5:$A$604,0)),"Not found"))</f>
        <v>0</v>
      </c>
      <c r="E49" s="17">
        <f>IF(B49="","",IFERROR(INDEX('Content Calendar'!$J$5:$J$604,MATCH(B49,'Content Calendar'!$A$5:$A$604,0)),"Not found"))</f>
        <v>0</v>
      </c>
      <c r="F49" s="29">
        <f>IF(B49="","",IFERROR(INDEX('Content Calendar'!$X$5:$X$604,MATCH(B49,'Content Calendar'!$A$5:$A$604,0)),"Not found"))</f>
        <v>0</v>
      </c>
      <c r="S49" s="23">
        <f>IF(B49="","",IF(COUNTIF(Performance!$B$5:$B$404,B49)=0,"",SUMIFS(Performance!$O$5:$O$404,Performance!$B$5:$B$404,B49)))</f>
        <v>0</v>
      </c>
      <c r="T49" s="23">
        <f>IF(B49="","",IF(COUNTIF(Performance!$B$5:$B$404,B49)=0,"",SUMIFS(Performance!$P$5:$P$404,Performance!$B$5:$B$404,B49)))</f>
        <v>0</v>
      </c>
      <c r="U49" s="23">
        <f>IF(B49="","",IF(COUNTIF(Performance!$B$5:$B$404,B49)=0,"",SUMIFS(Performance!$Z$5:$Z$404,Performance!$B$5:$B$404,B49)))</f>
        <v>0</v>
      </c>
      <c r="V49" s="24">
        <f>IF(OR(S49="",S49=0),"",U49/S49)</f>
        <v>0</v>
      </c>
      <c r="W49" s="23">
        <f>IF(B49="","",IF(COUNTIF(Performance!$B$5:$B$404,B49)=0,"",SUMIFS(Performance!$T$5:$T$404,Performance!$B$5:$B$404,B49)))</f>
        <v>0</v>
      </c>
      <c r="X49" s="23">
        <f>IF(B49="","",IF(COUNTIF(Performance!$B$5:$B$404,B49)=0,"",SUMIFS(Performance!$S$5:$S$404,Performance!$B$5:$B$404,B49)))</f>
        <v>0</v>
      </c>
      <c r="Y49" s="23">
        <f>IF(B49="","",IF(COUNTIF(Performance!$B$5:$B$404,B49)=0,"",SUMIFS(Performance!$R$5:$R$404,Performance!$B$5:$B$404,B49)))</f>
        <v>0</v>
      </c>
      <c r="Z49" s="23">
        <f>IF(B49="","",IF(COUNTIF(Performance!$B$5:$B$404,B49)=0,"",SUMIFS(Performance!$U$5:$U$404,Performance!$B$5:$B$404,B49)))</f>
        <v>0</v>
      </c>
      <c r="AA49" s="29">
        <f>IF(B49="","",IF(C49="Not found","Check - content ID not on the calendar",IF(G49="","Add - no hook written",IF(H49="","Add - no sound chosen",IF(AND(P49&lt;&gt;"",P49&lt;0.25),"Review - most people scroll away early","OK")))))</f>
        <v>0</v>
      </c>
    </row>
    <row r="50" spans="1:27">
      <c r="A50" s="41">
        <f>IF(B50="","","TT-"&amp;TEXT(ROW()-4,"000"))</f>
        <v>0</v>
      </c>
      <c r="C50" s="17">
        <f>IF(B50="","",IFERROR(INDEX('Content Calendar'!$H$5:$H$604,MATCH(B50,'Content Calendar'!$A$5:$A$604,0)),"Not found"))</f>
        <v>0</v>
      </c>
      <c r="D50" s="16">
        <f>IF(B50="","",IFERROR(INDEX('Content Calendar'!$B$5:$B$604,MATCH(B50,'Content Calendar'!$A$5:$A$604,0)),"Not found"))</f>
        <v>0</v>
      </c>
      <c r="E50" s="17">
        <f>IF(B50="","",IFERROR(INDEX('Content Calendar'!$J$5:$J$604,MATCH(B50,'Content Calendar'!$A$5:$A$604,0)),"Not found"))</f>
        <v>0</v>
      </c>
      <c r="F50" s="29">
        <f>IF(B50="","",IFERROR(INDEX('Content Calendar'!$X$5:$X$604,MATCH(B50,'Content Calendar'!$A$5:$A$604,0)),"Not found"))</f>
        <v>0</v>
      </c>
      <c r="S50" s="23">
        <f>IF(B50="","",IF(COUNTIF(Performance!$B$5:$B$404,B50)=0,"",SUMIFS(Performance!$O$5:$O$404,Performance!$B$5:$B$404,B50)))</f>
        <v>0</v>
      </c>
      <c r="T50" s="23">
        <f>IF(B50="","",IF(COUNTIF(Performance!$B$5:$B$404,B50)=0,"",SUMIFS(Performance!$P$5:$P$404,Performance!$B$5:$B$404,B50)))</f>
        <v>0</v>
      </c>
      <c r="U50" s="23">
        <f>IF(B50="","",IF(COUNTIF(Performance!$B$5:$B$404,B50)=0,"",SUMIFS(Performance!$Z$5:$Z$404,Performance!$B$5:$B$404,B50)))</f>
        <v>0</v>
      </c>
      <c r="V50" s="24">
        <f>IF(OR(S50="",S50=0),"",U50/S50)</f>
        <v>0</v>
      </c>
      <c r="W50" s="23">
        <f>IF(B50="","",IF(COUNTIF(Performance!$B$5:$B$404,B50)=0,"",SUMIFS(Performance!$T$5:$T$404,Performance!$B$5:$B$404,B50)))</f>
        <v>0</v>
      </c>
      <c r="X50" s="23">
        <f>IF(B50="","",IF(COUNTIF(Performance!$B$5:$B$404,B50)=0,"",SUMIFS(Performance!$S$5:$S$404,Performance!$B$5:$B$404,B50)))</f>
        <v>0</v>
      </c>
      <c r="Y50" s="23">
        <f>IF(B50="","",IF(COUNTIF(Performance!$B$5:$B$404,B50)=0,"",SUMIFS(Performance!$R$5:$R$404,Performance!$B$5:$B$404,B50)))</f>
        <v>0</v>
      </c>
      <c r="Z50" s="23">
        <f>IF(B50="","",IF(COUNTIF(Performance!$B$5:$B$404,B50)=0,"",SUMIFS(Performance!$U$5:$U$404,Performance!$B$5:$B$404,B50)))</f>
        <v>0</v>
      </c>
      <c r="AA50" s="29">
        <f>IF(B50="","",IF(C50="Not found","Check - content ID not on the calendar",IF(G50="","Add - no hook written",IF(H50="","Add - no sound chosen",IF(AND(P50&lt;&gt;"",P50&lt;0.25),"Review - most people scroll away early","OK")))))</f>
        <v>0</v>
      </c>
    </row>
    <row r="51" spans="1:27">
      <c r="A51" s="41">
        <f>IF(B51="","","TT-"&amp;TEXT(ROW()-4,"000"))</f>
        <v>0</v>
      </c>
      <c r="C51" s="17">
        <f>IF(B51="","",IFERROR(INDEX('Content Calendar'!$H$5:$H$604,MATCH(B51,'Content Calendar'!$A$5:$A$604,0)),"Not found"))</f>
        <v>0</v>
      </c>
      <c r="D51" s="16">
        <f>IF(B51="","",IFERROR(INDEX('Content Calendar'!$B$5:$B$604,MATCH(B51,'Content Calendar'!$A$5:$A$604,0)),"Not found"))</f>
        <v>0</v>
      </c>
      <c r="E51" s="17">
        <f>IF(B51="","",IFERROR(INDEX('Content Calendar'!$J$5:$J$604,MATCH(B51,'Content Calendar'!$A$5:$A$604,0)),"Not found"))</f>
        <v>0</v>
      </c>
      <c r="F51" s="29">
        <f>IF(B51="","",IFERROR(INDEX('Content Calendar'!$X$5:$X$604,MATCH(B51,'Content Calendar'!$A$5:$A$604,0)),"Not found"))</f>
        <v>0</v>
      </c>
      <c r="S51" s="23">
        <f>IF(B51="","",IF(COUNTIF(Performance!$B$5:$B$404,B51)=0,"",SUMIFS(Performance!$O$5:$O$404,Performance!$B$5:$B$404,B51)))</f>
        <v>0</v>
      </c>
      <c r="T51" s="23">
        <f>IF(B51="","",IF(COUNTIF(Performance!$B$5:$B$404,B51)=0,"",SUMIFS(Performance!$P$5:$P$404,Performance!$B$5:$B$404,B51)))</f>
        <v>0</v>
      </c>
      <c r="U51" s="23">
        <f>IF(B51="","",IF(COUNTIF(Performance!$B$5:$B$404,B51)=0,"",SUMIFS(Performance!$Z$5:$Z$404,Performance!$B$5:$B$404,B51)))</f>
        <v>0</v>
      </c>
      <c r="V51" s="24">
        <f>IF(OR(S51="",S51=0),"",U51/S51)</f>
        <v>0</v>
      </c>
      <c r="W51" s="23">
        <f>IF(B51="","",IF(COUNTIF(Performance!$B$5:$B$404,B51)=0,"",SUMIFS(Performance!$T$5:$T$404,Performance!$B$5:$B$404,B51)))</f>
        <v>0</v>
      </c>
      <c r="X51" s="23">
        <f>IF(B51="","",IF(COUNTIF(Performance!$B$5:$B$404,B51)=0,"",SUMIFS(Performance!$S$5:$S$404,Performance!$B$5:$B$404,B51)))</f>
        <v>0</v>
      </c>
      <c r="Y51" s="23">
        <f>IF(B51="","",IF(COUNTIF(Performance!$B$5:$B$404,B51)=0,"",SUMIFS(Performance!$R$5:$R$404,Performance!$B$5:$B$404,B51)))</f>
        <v>0</v>
      </c>
      <c r="Z51" s="23">
        <f>IF(B51="","",IF(COUNTIF(Performance!$B$5:$B$404,B51)=0,"",SUMIFS(Performance!$U$5:$U$404,Performance!$B$5:$B$404,B51)))</f>
        <v>0</v>
      </c>
      <c r="AA51" s="29">
        <f>IF(B51="","",IF(C51="Not found","Check - content ID not on the calendar",IF(G51="","Add - no hook written",IF(H51="","Add - no sound chosen",IF(AND(P51&lt;&gt;"",P51&lt;0.25),"Review - most people scroll away early","OK")))))</f>
        <v>0</v>
      </c>
    </row>
    <row r="52" spans="1:27">
      <c r="A52" s="41">
        <f>IF(B52="","","TT-"&amp;TEXT(ROW()-4,"000"))</f>
        <v>0</v>
      </c>
      <c r="C52" s="17">
        <f>IF(B52="","",IFERROR(INDEX('Content Calendar'!$H$5:$H$604,MATCH(B52,'Content Calendar'!$A$5:$A$604,0)),"Not found"))</f>
        <v>0</v>
      </c>
      <c r="D52" s="16">
        <f>IF(B52="","",IFERROR(INDEX('Content Calendar'!$B$5:$B$604,MATCH(B52,'Content Calendar'!$A$5:$A$604,0)),"Not found"))</f>
        <v>0</v>
      </c>
      <c r="E52" s="17">
        <f>IF(B52="","",IFERROR(INDEX('Content Calendar'!$J$5:$J$604,MATCH(B52,'Content Calendar'!$A$5:$A$604,0)),"Not found"))</f>
        <v>0</v>
      </c>
      <c r="F52" s="29">
        <f>IF(B52="","",IFERROR(INDEX('Content Calendar'!$X$5:$X$604,MATCH(B52,'Content Calendar'!$A$5:$A$604,0)),"Not found"))</f>
        <v>0</v>
      </c>
      <c r="S52" s="23">
        <f>IF(B52="","",IF(COUNTIF(Performance!$B$5:$B$404,B52)=0,"",SUMIFS(Performance!$O$5:$O$404,Performance!$B$5:$B$404,B52)))</f>
        <v>0</v>
      </c>
      <c r="T52" s="23">
        <f>IF(B52="","",IF(COUNTIF(Performance!$B$5:$B$404,B52)=0,"",SUMIFS(Performance!$P$5:$P$404,Performance!$B$5:$B$404,B52)))</f>
        <v>0</v>
      </c>
      <c r="U52" s="23">
        <f>IF(B52="","",IF(COUNTIF(Performance!$B$5:$B$404,B52)=0,"",SUMIFS(Performance!$Z$5:$Z$404,Performance!$B$5:$B$404,B52)))</f>
        <v>0</v>
      </c>
      <c r="V52" s="24">
        <f>IF(OR(S52="",S52=0),"",U52/S52)</f>
        <v>0</v>
      </c>
      <c r="W52" s="23">
        <f>IF(B52="","",IF(COUNTIF(Performance!$B$5:$B$404,B52)=0,"",SUMIFS(Performance!$T$5:$T$404,Performance!$B$5:$B$404,B52)))</f>
        <v>0</v>
      </c>
      <c r="X52" s="23">
        <f>IF(B52="","",IF(COUNTIF(Performance!$B$5:$B$404,B52)=0,"",SUMIFS(Performance!$S$5:$S$404,Performance!$B$5:$B$404,B52)))</f>
        <v>0</v>
      </c>
      <c r="Y52" s="23">
        <f>IF(B52="","",IF(COUNTIF(Performance!$B$5:$B$404,B52)=0,"",SUMIFS(Performance!$R$5:$R$404,Performance!$B$5:$B$404,B52)))</f>
        <v>0</v>
      </c>
      <c r="Z52" s="23">
        <f>IF(B52="","",IF(COUNTIF(Performance!$B$5:$B$404,B52)=0,"",SUMIFS(Performance!$U$5:$U$404,Performance!$B$5:$B$404,B52)))</f>
        <v>0</v>
      </c>
      <c r="AA52" s="29">
        <f>IF(B52="","",IF(C52="Not found","Check - content ID not on the calendar",IF(G52="","Add - no hook written",IF(H52="","Add - no sound chosen",IF(AND(P52&lt;&gt;"",P52&lt;0.25),"Review - most people scroll away early","OK")))))</f>
        <v>0</v>
      </c>
    </row>
    <row r="53" spans="1:27">
      <c r="A53" s="41">
        <f>IF(B53="","","TT-"&amp;TEXT(ROW()-4,"000"))</f>
        <v>0</v>
      </c>
      <c r="C53" s="17">
        <f>IF(B53="","",IFERROR(INDEX('Content Calendar'!$H$5:$H$604,MATCH(B53,'Content Calendar'!$A$5:$A$604,0)),"Not found"))</f>
        <v>0</v>
      </c>
      <c r="D53" s="16">
        <f>IF(B53="","",IFERROR(INDEX('Content Calendar'!$B$5:$B$604,MATCH(B53,'Content Calendar'!$A$5:$A$604,0)),"Not found"))</f>
        <v>0</v>
      </c>
      <c r="E53" s="17">
        <f>IF(B53="","",IFERROR(INDEX('Content Calendar'!$J$5:$J$604,MATCH(B53,'Content Calendar'!$A$5:$A$604,0)),"Not found"))</f>
        <v>0</v>
      </c>
      <c r="F53" s="29">
        <f>IF(B53="","",IFERROR(INDEX('Content Calendar'!$X$5:$X$604,MATCH(B53,'Content Calendar'!$A$5:$A$604,0)),"Not found"))</f>
        <v>0</v>
      </c>
      <c r="S53" s="23">
        <f>IF(B53="","",IF(COUNTIF(Performance!$B$5:$B$404,B53)=0,"",SUMIFS(Performance!$O$5:$O$404,Performance!$B$5:$B$404,B53)))</f>
        <v>0</v>
      </c>
      <c r="T53" s="23">
        <f>IF(B53="","",IF(COUNTIF(Performance!$B$5:$B$404,B53)=0,"",SUMIFS(Performance!$P$5:$P$404,Performance!$B$5:$B$404,B53)))</f>
        <v>0</v>
      </c>
      <c r="U53" s="23">
        <f>IF(B53="","",IF(COUNTIF(Performance!$B$5:$B$404,B53)=0,"",SUMIFS(Performance!$Z$5:$Z$404,Performance!$B$5:$B$404,B53)))</f>
        <v>0</v>
      </c>
      <c r="V53" s="24">
        <f>IF(OR(S53="",S53=0),"",U53/S53)</f>
        <v>0</v>
      </c>
      <c r="W53" s="23">
        <f>IF(B53="","",IF(COUNTIF(Performance!$B$5:$B$404,B53)=0,"",SUMIFS(Performance!$T$5:$T$404,Performance!$B$5:$B$404,B53)))</f>
        <v>0</v>
      </c>
      <c r="X53" s="23">
        <f>IF(B53="","",IF(COUNTIF(Performance!$B$5:$B$404,B53)=0,"",SUMIFS(Performance!$S$5:$S$404,Performance!$B$5:$B$404,B53)))</f>
        <v>0</v>
      </c>
      <c r="Y53" s="23">
        <f>IF(B53="","",IF(COUNTIF(Performance!$B$5:$B$404,B53)=0,"",SUMIFS(Performance!$R$5:$R$404,Performance!$B$5:$B$404,B53)))</f>
        <v>0</v>
      </c>
      <c r="Z53" s="23">
        <f>IF(B53="","",IF(COUNTIF(Performance!$B$5:$B$404,B53)=0,"",SUMIFS(Performance!$U$5:$U$404,Performance!$B$5:$B$404,B53)))</f>
        <v>0</v>
      </c>
      <c r="AA53" s="29">
        <f>IF(B53="","",IF(C53="Not found","Check - content ID not on the calendar",IF(G53="","Add - no hook written",IF(H53="","Add - no sound chosen",IF(AND(P53&lt;&gt;"",P53&lt;0.25),"Review - most people scroll away early","OK")))))</f>
        <v>0</v>
      </c>
    </row>
    <row r="54" spans="1:27">
      <c r="A54" s="41">
        <f>IF(B54="","","TT-"&amp;TEXT(ROW()-4,"000"))</f>
        <v>0</v>
      </c>
      <c r="C54" s="17">
        <f>IF(B54="","",IFERROR(INDEX('Content Calendar'!$H$5:$H$604,MATCH(B54,'Content Calendar'!$A$5:$A$604,0)),"Not found"))</f>
        <v>0</v>
      </c>
      <c r="D54" s="16">
        <f>IF(B54="","",IFERROR(INDEX('Content Calendar'!$B$5:$B$604,MATCH(B54,'Content Calendar'!$A$5:$A$604,0)),"Not found"))</f>
        <v>0</v>
      </c>
      <c r="E54" s="17">
        <f>IF(B54="","",IFERROR(INDEX('Content Calendar'!$J$5:$J$604,MATCH(B54,'Content Calendar'!$A$5:$A$604,0)),"Not found"))</f>
        <v>0</v>
      </c>
      <c r="F54" s="29">
        <f>IF(B54="","",IFERROR(INDEX('Content Calendar'!$X$5:$X$604,MATCH(B54,'Content Calendar'!$A$5:$A$604,0)),"Not found"))</f>
        <v>0</v>
      </c>
      <c r="S54" s="23">
        <f>IF(B54="","",IF(COUNTIF(Performance!$B$5:$B$404,B54)=0,"",SUMIFS(Performance!$O$5:$O$404,Performance!$B$5:$B$404,B54)))</f>
        <v>0</v>
      </c>
      <c r="T54" s="23">
        <f>IF(B54="","",IF(COUNTIF(Performance!$B$5:$B$404,B54)=0,"",SUMIFS(Performance!$P$5:$P$404,Performance!$B$5:$B$404,B54)))</f>
        <v>0</v>
      </c>
      <c r="U54" s="23">
        <f>IF(B54="","",IF(COUNTIF(Performance!$B$5:$B$404,B54)=0,"",SUMIFS(Performance!$Z$5:$Z$404,Performance!$B$5:$B$404,B54)))</f>
        <v>0</v>
      </c>
      <c r="V54" s="24">
        <f>IF(OR(S54="",S54=0),"",U54/S54)</f>
        <v>0</v>
      </c>
      <c r="W54" s="23">
        <f>IF(B54="","",IF(COUNTIF(Performance!$B$5:$B$404,B54)=0,"",SUMIFS(Performance!$T$5:$T$404,Performance!$B$5:$B$404,B54)))</f>
        <v>0</v>
      </c>
      <c r="X54" s="23">
        <f>IF(B54="","",IF(COUNTIF(Performance!$B$5:$B$404,B54)=0,"",SUMIFS(Performance!$S$5:$S$404,Performance!$B$5:$B$404,B54)))</f>
        <v>0</v>
      </c>
      <c r="Y54" s="23">
        <f>IF(B54="","",IF(COUNTIF(Performance!$B$5:$B$404,B54)=0,"",SUMIFS(Performance!$R$5:$R$404,Performance!$B$5:$B$404,B54)))</f>
        <v>0</v>
      </c>
      <c r="Z54" s="23">
        <f>IF(B54="","",IF(COUNTIF(Performance!$B$5:$B$404,B54)=0,"",SUMIFS(Performance!$U$5:$U$404,Performance!$B$5:$B$404,B54)))</f>
        <v>0</v>
      </c>
      <c r="AA54" s="29">
        <f>IF(B54="","",IF(C54="Not found","Check - content ID not on the calendar",IF(G54="","Add - no hook written",IF(H54="","Add - no sound chosen",IF(AND(P54&lt;&gt;"",P54&lt;0.25),"Review - most people scroll away early","OK")))))</f>
        <v>0</v>
      </c>
    </row>
    <row r="55" spans="1:27">
      <c r="A55" s="41">
        <f>IF(B55="","","TT-"&amp;TEXT(ROW()-4,"000"))</f>
        <v>0</v>
      </c>
      <c r="C55" s="17">
        <f>IF(B55="","",IFERROR(INDEX('Content Calendar'!$H$5:$H$604,MATCH(B55,'Content Calendar'!$A$5:$A$604,0)),"Not found"))</f>
        <v>0</v>
      </c>
      <c r="D55" s="16">
        <f>IF(B55="","",IFERROR(INDEX('Content Calendar'!$B$5:$B$604,MATCH(B55,'Content Calendar'!$A$5:$A$604,0)),"Not found"))</f>
        <v>0</v>
      </c>
      <c r="E55" s="17">
        <f>IF(B55="","",IFERROR(INDEX('Content Calendar'!$J$5:$J$604,MATCH(B55,'Content Calendar'!$A$5:$A$604,0)),"Not found"))</f>
        <v>0</v>
      </c>
      <c r="F55" s="29">
        <f>IF(B55="","",IFERROR(INDEX('Content Calendar'!$X$5:$X$604,MATCH(B55,'Content Calendar'!$A$5:$A$604,0)),"Not found"))</f>
        <v>0</v>
      </c>
      <c r="S55" s="23">
        <f>IF(B55="","",IF(COUNTIF(Performance!$B$5:$B$404,B55)=0,"",SUMIFS(Performance!$O$5:$O$404,Performance!$B$5:$B$404,B55)))</f>
        <v>0</v>
      </c>
      <c r="T55" s="23">
        <f>IF(B55="","",IF(COUNTIF(Performance!$B$5:$B$404,B55)=0,"",SUMIFS(Performance!$P$5:$P$404,Performance!$B$5:$B$404,B55)))</f>
        <v>0</v>
      </c>
      <c r="U55" s="23">
        <f>IF(B55="","",IF(COUNTIF(Performance!$B$5:$B$404,B55)=0,"",SUMIFS(Performance!$Z$5:$Z$404,Performance!$B$5:$B$404,B55)))</f>
        <v>0</v>
      </c>
      <c r="V55" s="24">
        <f>IF(OR(S55="",S55=0),"",U55/S55)</f>
        <v>0</v>
      </c>
      <c r="W55" s="23">
        <f>IF(B55="","",IF(COUNTIF(Performance!$B$5:$B$404,B55)=0,"",SUMIFS(Performance!$T$5:$T$404,Performance!$B$5:$B$404,B55)))</f>
        <v>0</v>
      </c>
      <c r="X55" s="23">
        <f>IF(B55="","",IF(COUNTIF(Performance!$B$5:$B$404,B55)=0,"",SUMIFS(Performance!$S$5:$S$404,Performance!$B$5:$B$404,B55)))</f>
        <v>0</v>
      </c>
      <c r="Y55" s="23">
        <f>IF(B55="","",IF(COUNTIF(Performance!$B$5:$B$404,B55)=0,"",SUMIFS(Performance!$R$5:$R$404,Performance!$B$5:$B$404,B55)))</f>
        <v>0</v>
      </c>
      <c r="Z55" s="23">
        <f>IF(B55="","",IF(COUNTIF(Performance!$B$5:$B$404,B55)=0,"",SUMIFS(Performance!$U$5:$U$404,Performance!$B$5:$B$404,B55)))</f>
        <v>0</v>
      </c>
      <c r="AA55" s="29">
        <f>IF(B55="","",IF(C55="Not found","Check - content ID not on the calendar",IF(G55="","Add - no hook written",IF(H55="","Add - no sound chosen",IF(AND(P55&lt;&gt;"",P55&lt;0.25),"Review - most people scroll away early","OK")))))</f>
        <v>0</v>
      </c>
    </row>
    <row r="56" spans="1:27">
      <c r="A56" s="41">
        <f>IF(B56="","","TT-"&amp;TEXT(ROW()-4,"000"))</f>
        <v>0</v>
      </c>
      <c r="C56" s="17">
        <f>IF(B56="","",IFERROR(INDEX('Content Calendar'!$H$5:$H$604,MATCH(B56,'Content Calendar'!$A$5:$A$604,0)),"Not found"))</f>
        <v>0</v>
      </c>
      <c r="D56" s="16">
        <f>IF(B56="","",IFERROR(INDEX('Content Calendar'!$B$5:$B$604,MATCH(B56,'Content Calendar'!$A$5:$A$604,0)),"Not found"))</f>
        <v>0</v>
      </c>
      <c r="E56" s="17">
        <f>IF(B56="","",IFERROR(INDEX('Content Calendar'!$J$5:$J$604,MATCH(B56,'Content Calendar'!$A$5:$A$604,0)),"Not found"))</f>
        <v>0</v>
      </c>
      <c r="F56" s="29">
        <f>IF(B56="","",IFERROR(INDEX('Content Calendar'!$X$5:$X$604,MATCH(B56,'Content Calendar'!$A$5:$A$604,0)),"Not found"))</f>
        <v>0</v>
      </c>
      <c r="S56" s="23">
        <f>IF(B56="","",IF(COUNTIF(Performance!$B$5:$B$404,B56)=0,"",SUMIFS(Performance!$O$5:$O$404,Performance!$B$5:$B$404,B56)))</f>
        <v>0</v>
      </c>
      <c r="T56" s="23">
        <f>IF(B56="","",IF(COUNTIF(Performance!$B$5:$B$404,B56)=0,"",SUMIFS(Performance!$P$5:$P$404,Performance!$B$5:$B$404,B56)))</f>
        <v>0</v>
      </c>
      <c r="U56" s="23">
        <f>IF(B56="","",IF(COUNTIF(Performance!$B$5:$B$404,B56)=0,"",SUMIFS(Performance!$Z$5:$Z$404,Performance!$B$5:$B$404,B56)))</f>
        <v>0</v>
      </c>
      <c r="V56" s="24">
        <f>IF(OR(S56="",S56=0),"",U56/S56)</f>
        <v>0</v>
      </c>
      <c r="W56" s="23">
        <f>IF(B56="","",IF(COUNTIF(Performance!$B$5:$B$404,B56)=0,"",SUMIFS(Performance!$T$5:$T$404,Performance!$B$5:$B$404,B56)))</f>
        <v>0</v>
      </c>
      <c r="X56" s="23">
        <f>IF(B56="","",IF(COUNTIF(Performance!$B$5:$B$404,B56)=0,"",SUMIFS(Performance!$S$5:$S$404,Performance!$B$5:$B$404,B56)))</f>
        <v>0</v>
      </c>
      <c r="Y56" s="23">
        <f>IF(B56="","",IF(COUNTIF(Performance!$B$5:$B$404,B56)=0,"",SUMIFS(Performance!$R$5:$R$404,Performance!$B$5:$B$404,B56)))</f>
        <v>0</v>
      </c>
      <c r="Z56" s="23">
        <f>IF(B56="","",IF(COUNTIF(Performance!$B$5:$B$404,B56)=0,"",SUMIFS(Performance!$U$5:$U$404,Performance!$B$5:$B$404,B56)))</f>
        <v>0</v>
      </c>
      <c r="AA56" s="29">
        <f>IF(B56="","",IF(C56="Not found","Check - content ID not on the calendar",IF(G56="","Add - no hook written",IF(H56="","Add - no sound chosen",IF(AND(P56&lt;&gt;"",P56&lt;0.25),"Review - most people scroll away early","OK")))))</f>
        <v>0</v>
      </c>
    </row>
    <row r="57" spans="1:27">
      <c r="A57" s="41">
        <f>IF(B57="","","TT-"&amp;TEXT(ROW()-4,"000"))</f>
        <v>0</v>
      </c>
      <c r="C57" s="17">
        <f>IF(B57="","",IFERROR(INDEX('Content Calendar'!$H$5:$H$604,MATCH(B57,'Content Calendar'!$A$5:$A$604,0)),"Not found"))</f>
        <v>0</v>
      </c>
      <c r="D57" s="16">
        <f>IF(B57="","",IFERROR(INDEX('Content Calendar'!$B$5:$B$604,MATCH(B57,'Content Calendar'!$A$5:$A$604,0)),"Not found"))</f>
        <v>0</v>
      </c>
      <c r="E57" s="17">
        <f>IF(B57="","",IFERROR(INDEX('Content Calendar'!$J$5:$J$604,MATCH(B57,'Content Calendar'!$A$5:$A$604,0)),"Not found"))</f>
        <v>0</v>
      </c>
      <c r="F57" s="29">
        <f>IF(B57="","",IFERROR(INDEX('Content Calendar'!$X$5:$X$604,MATCH(B57,'Content Calendar'!$A$5:$A$604,0)),"Not found"))</f>
        <v>0</v>
      </c>
      <c r="S57" s="23">
        <f>IF(B57="","",IF(COUNTIF(Performance!$B$5:$B$404,B57)=0,"",SUMIFS(Performance!$O$5:$O$404,Performance!$B$5:$B$404,B57)))</f>
        <v>0</v>
      </c>
      <c r="T57" s="23">
        <f>IF(B57="","",IF(COUNTIF(Performance!$B$5:$B$404,B57)=0,"",SUMIFS(Performance!$P$5:$P$404,Performance!$B$5:$B$404,B57)))</f>
        <v>0</v>
      </c>
      <c r="U57" s="23">
        <f>IF(B57="","",IF(COUNTIF(Performance!$B$5:$B$404,B57)=0,"",SUMIFS(Performance!$Z$5:$Z$404,Performance!$B$5:$B$404,B57)))</f>
        <v>0</v>
      </c>
      <c r="V57" s="24">
        <f>IF(OR(S57="",S57=0),"",U57/S57)</f>
        <v>0</v>
      </c>
      <c r="W57" s="23">
        <f>IF(B57="","",IF(COUNTIF(Performance!$B$5:$B$404,B57)=0,"",SUMIFS(Performance!$T$5:$T$404,Performance!$B$5:$B$404,B57)))</f>
        <v>0</v>
      </c>
      <c r="X57" s="23">
        <f>IF(B57="","",IF(COUNTIF(Performance!$B$5:$B$404,B57)=0,"",SUMIFS(Performance!$S$5:$S$404,Performance!$B$5:$B$404,B57)))</f>
        <v>0</v>
      </c>
      <c r="Y57" s="23">
        <f>IF(B57="","",IF(COUNTIF(Performance!$B$5:$B$404,B57)=0,"",SUMIFS(Performance!$R$5:$R$404,Performance!$B$5:$B$404,B57)))</f>
        <v>0</v>
      </c>
      <c r="Z57" s="23">
        <f>IF(B57="","",IF(COUNTIF(Performance!$B$5:$B$404,B57)=0,"",SUMIFS(Performance!$U$5:$U$404,Performance!$B$5:$B$404,B57)))</f>
        <v>0</v>
      </c>
      <c r="AA57" s="29">
        <f>IF(B57="","",IF(C57="Not found","Check - content ID not on the calendar",IF(G57="","Add - no hook written",IF(H57="","Add - no sound chosen",IF(AND(P57&lt;&gt;"",P57&lt;0.25),"Review - most people scroll away early","OK")))))</f>
        <v>0</v>
      </c>
    </row>
    <row r="58" spans="1:27">
      <c r="A58" s="41">
        <f>IF(B58="","","TT-"&amp;TEXT(ROW()-4,"000"))</f>
        <v>0</v>
      </c>
      <c r="C58" s="17">
        <f>IF(B58="","",IFERROR(INDEX('Content Calendar'!$H$5:$H$604,MATCH(B58,'Content Calendar'!$A$5:$A$604,0)),"Not found"))</f>
        <v>0</v>
      </c>
      <c r="D58" s="16">
        <f>IF(B58="","",IFERROR(INDEX('Content Calendar'!$B$5:$B$604,MATCH(B58,'Content Calendar'!$A$5:$A$604,0)),"Not found"))</f>
        <v>0</v>
      </c>
      <c r="E58" s="17">
        <f>IF(B58="","",IFERROR(INDEX('Content Calendar'!$J$5:$J$604,MATCH(B58,'Content Calendar'!$A$5:$A$604,0)),"Not found"))</f>
        <v>0</v>
      </c>
      <c r="F58" s="29">
        <f>IF(B58="","",IFERROR(INDEX('Content Calendar'!$X$5:$X$604,MATCH(B58,'Content Calendar'!$A$5:$A$604,0)),"Not found"))</f>
        <v>0</v>
      </c>
      <c r="S58" s="23">
        <f>IF(B58="","",IF(COUNTIF(Performance!$B$5:$B$404,B58)=0,"",SUMIFS(Performance!$O$5:$O$404,Performance!$B$5:$B$404,B58)))</f>
        <v>0</v>
      </c>
      <c r="T58" s="23">
        <f>IF(B58="","",IF(COUNTIF(Performance!$B$5:$B$404,B58)=0,"",SUMIFS(Performance!$P$5:$P$404,Performance!$B$5:$B$404,B58)))</f>
        <v>0</v>
      </c>
      <c r="U58" s="23">
        <f>IF(B58="","",IF(COUNTIF(Performance!$B$5:$B$404,B58)=0,"",SUMIFS(Performance!$Z$5:$Z$404,Performance!$B$5:$B$404,B58)))</f>
        <v>0</v>
      </c>
      <c r="V58" s="24">
        <f>IF(OR(S58="",S58=0),"",U58/S58)</f>
        <v>0</v>
      </c>
      <c r="W58" s="23">
        <f>IF(B58="","",IF(COUNTIF(Performance!$B$5:$B$404,B58)=0,"",SUMIFS(Performance!$T$5:$T$404,Performance!$B$5:$B$404,B58)))</f>
        <v>0</v>
      </c>
      <c r="X58" s="23">
        <f>IF(B58="","",IF(COUNTIF(Performance!$B$5:$B$404,B58)=0,"",SUMIFS(Performance!$S$5:$S$404,Performance!$B$5:$B$404,B58)))</f>
        <v>0</v>
      </c>
      <c r="Y58" s="23">
        <f>IF(B58="","",IF(COUNTIF(Performance!$B$5:$B$404,B58)=0,"",SUMIFS(Performance!$R$5:$R$404,Performance!$B$5:$B$404,B58)))</f>
        <v>0</v>
      </c>
      <c r="Z58" s="23">
        <f>IF(B58="","",IF(COUNTIF(Performance!$B$5:$B$404,B58)=0,"",SUMIFS(Performance!$U$5:$U$404,Performance!$B$5:$B$404,B58)))</f>
        <v>0</v>
      </c>
      <c r="AA58" s="29">
        <f>IF(B58="","",IF(C58="Not found","Check - content ID not on the calendar",IF(G58="","Add - no hook written",IF(H58="","Add - no sound chosen",IF(AND(P58&lt;&gt;"",P58&lt;0.25),"Review - most people scroll away early","OK")))))</f>
        <v>0</v>
      </c>
    </row>
    <row r="59" spans="1:27">
      <c r="A59" s="41">
        <f>IF(B59="","","TT-"&amp;TEXT(ROW()-4,"000"))</f>
        <v>0</v>
      </c>
      <c r="C59" s="17">
        <f>IF(B59="","",IFERROR(INDEX('Content Calendar'!$H$5:$H$604,MATCH(B59,'Content Calendar'!$A$5:$A$604,0)),"Not found"))</f>
        <v>0</v>
      </c>
      <c r="D59" s="16">
        <f>IF(B59="","",IFERROR(INDEX('Content Calendar'!$B$5:$B$604,MATCH(B59,'Content Calendar'!$A$5:$A$604,0)),"Not found"))</f>
        <v>0</v>
      </c>
      <c r="E59" s="17">
        <f>IF(B59="","",IFERROR(INDEX('Content Calendar'!$J$5:$J$604,MATCH(B59,'Content Calendar'!$A$5:$A$604,0)),"Not found"))</f>
        <v>0</v>
      </c>
      <c r="F59" s="29">
        <f>IF(B59="","",IFERROR(INDEX('Content Calendar'!$X$5:$X$604,MATCH(B59,'Content Calendar'!$A$5:$A$604,0)),"Not found"))</f>
        <v>0</v>
      </c>
      <c r="S59" s="23">
        <f>IF(B59="","",IF(COUNTIF(Performance!$B$5:$B$404,B59)=0,"",SUMIFS(Performance!$O$5:$O$404,Performance!$B$5:$B$404,B59)))</f>
        <v>0</v>
      </c>
      <c r="T59" s="23">
        <f>IF(B59="","",IF(COUNTIF(Performance!$B$5:$B$404,B59)=0,"",SUMIFS(Performance!$P$5:$P$404,Performance!$B$5:$B$404,B59)))</f>
        <v>0</v>
      </c>
      <c r="U59" s="23">
        <f>IF(B59="","",IF(COUNTIF(Performance!$B$5:$B$404,B59)=0,"",SUMIFS(Performance!$Z$5:$Z$404,Performance!$B$5:$B$404,B59)))</f>
        <v>0</v>
      </c>
      <c r="V59" s="24">
        <f>IF(OR(S59="",S59=0),"",U59/S59)</f>
        <v>0</v>
      </c>
      <c r="W59" s="23">
        <f>IF(B59="","",IF(COUNTIF(Performance!$B$5:$B$404,B59)=0,"",SUMIFS(Performance!$T$5:$T$404,Performance!$B$5:$B$404,B59)))</f>
        <v>0</v>
      </c>
      <c r="X59" s="23">
        <f>IF(B59="","",IF(COUNTIF(Performance!$B$5:$B$404,B59)=0,"",SUMIFS(Performance!$S$5:$S$404,Performance!$B$5:$B$404,B59)))</f>
        <v>0</v>
      </c>
      <c r="Y59" s="23">
        <f>IF(B59="","",IF(COUNTIF(Performance!$B$5:$B$404,B59)=0,"",SUMIFS(Performance!$R$5:$R$404,Performance!$B$5:$B$404,B59)))</f>
        <v>0</v>
      </c>
      <c r="Z59" s="23">
        <f>IF(B59="","",IF(COUNTIF(Performance!$B$5:$B$404,B59)=0,"",SUMIFS(Performance!$U$5:$U$404,Performance!$B$5:$B$404,B59)))</f>
        <v>0</v>
      </c>
      <c r="AA59" s="29">
        <f>IF(B59="","",IF(C59="Not found","Check - content ID not on the calendar",IF(G59="","Add - no hook written",IF(H59="","Add - no sound chosen",IF(AND(P59&lt;&gt;"",P59&lt;0.25),"Review - most people scroll away early","OK")))))</f>
        <v>0</v>
      </c>
    </row>
    <row r="60" spans="1:27">
      <c r="A60" s="41">
        <f>IF(B60="","","TT-"&amp;TEXT(ROW()-4,"000"))</f>
        <v>0</v>
      </c>
      <c r="C60" s="17">
        <f>IF(B60="","",IFERROR(INDEX('Content Calendar'!$H$5:$H$604,MATCH(B60,'Content Calendar'!$A$5:$A$604,0)),"Not found"))</f>
        <v>0</v>
      </c>
      <c r="D60" s="16">
        <f>IF(B60="","",IFERROR(INDEX('Content Calendar'!$B$5:$B$604,MATCH(B60,'Content Calendar'!$A$5:$A$604,0)),"Not found"))</f>
        <v>0</v>
      </c>
      <c r="E60" s="17">
        <f>IF(B60="","",IFERROR(INDEX('Content Calendar'!$J$5:$J$604,MATCH(B60,'Content Calendar'!$A$5:$A$604,0)),"Not found"))</f>
        <v>0</v>
      </c>
      <c r="F60" s="29">
        <f>IF(B60="","",IFERROR(INDEX('Content Calendar'!$X$5:$X$604,MATCH(B60,'Content Calendar'!$A$5:$A$604,0)),"Not found"))</f>
        <v>0</v>
      </c>
      <c r="S60" s="23">
        <f>IF(B60="","",IF(COUNTIF(Performance!$B$5:$B$404,B60)=0,"",SUMIFS(Performance!$O$5:$O$404,Performance!$B$5:$B$404,B60)))</f>
        <v>0</v>
      </c>
      <c r="T60" s="23">
        <f>IF(B60="","",IF(COUNTIF(Performance!$B$5:$B$404,B60)=0,"",SUMIFS(Performance!$P$5:$P$404,Performance!$B$5:$B$404,B60)))</f>
        <v>0</v>
      </c>
      <c r="U60" s="23">
        <f>IF(B60="","",IF(COUNTIF(Performance!$B$5:$B$404,B60)=0,"",SUMIFS(Performance!$Z$5:$Z$404,Performance!$B$5:$B$404,B60)))</f>
        <v>0</v>
      </c>
      <c r="V60" s="24">
        <f>IF(OR(S60="",S60=0),"",U60/S60)</f>
        <v>0</v>
      </c>
      <c r="W60" s="23">
        <f>IF(B60="","",IF(COUNTIF(Performance!$B$5:$B$404,B60)=0,"",SUMIFS(Performance!$T$5:$T$404,Performance!$B$5:$B$404,B60)))</f>
        <v>0</v>
      </c>
      <c r="X60" s="23">
        <f>IF(B60="","",IF(COUNTIF(Performance!$B$5:$B$404,B60)=0,"",SUMIFS(Performance!$S$5:$S$404,Performance!$B$5:$B$404,B60)))</f>
        <v>0</v>
      </c>
      <c r="Y60" s="23">
        <f>IF(B60="","",IF(COUNTIF(Performance!$B$5:$B$404,B60)=0,"",SUMIFS(Performance!$R$5:$R$404,Performance!$B$5:$B$404,B60)))</f>
        <v>0</v>
      </c>
      <c r="Z60" s="23">
        <f>IF(B60="","",IF(COUNTIF(Performance!$B$5:$B$404,B60)=0,"",SUMIFS(Performance!$U$5:$U$404,Performance!$B$5:$B$404,B60)))</f>
        <v>0</v>
      </c>
      <c r="AA60" s="29">
        <f>IF(B60="","",IF(C60="Not found","Check - content ID not on the calendar",IF(G60="","Add - no hook written",IF(H60="","Add - no sound chosen",IF(AND(P60&lt;&gt;"",P60&lt;0.25),"Review - most people scroll away early","OK")))))</f>
        <v>0</v>
      </c>
    </row>
    <row r="61" spans="1:27">
      <c r="A61" s="41">
        <f>IF(B61="","","TT-"&amp;TEXT(ROW()-4,"000"))</f>
        <v>0</v>
      </c>
      <c r="C61" s="17">
        <f>IF(B61="","",IFERROR(INDEX('Content Calendar'!$H$5:$H$604,MATCH(B61,'Content Calendar'!$A$5:$A$604,0)),"Not found"))</f>
        <v>0</v>
      </c>
      <c r="D61" s="16">
        <f>IF(B61="","",IFERROR(INDEX('Content Calendar'!$B$5:$B$604,MATCH(B61,'Content Calendar'!$A$5:$A$604,0)),"Not found"))</f>
        <v>0</v>
      </c>
      <c r="E61" s="17">
        <f>IF(B61="","",IFERROR(INDEX('Content Calendar'!$J$5:$J$604,MATCH(B61,'Content Calendar'!$A$5:$A$604,0)),"Not found"))</f>
        <v>0</v>
      </c>
      <c r="F61" s="29">
        <f>IF(B61="","",IFERROR(INDEX('Content Calendar'!$X$5:$X$604,MATCH(B61,'Content Calendar'!$A$5:$A$604,0)),"Not found"))</f>
        <v>0</v>
      </c>
      <c r="S61" s="23">
        <f>IF(B61="","",IF(COUNTIF(Performance!$B$5:$B$404,B61)=0,"",SUMIFS(Performance!$O$5:$O$404,Performance!$B$5:$B$404,B61)))</f>
        <v>0</v>
      </c>
      <c r="T61" s="23">
        <f>IF(B61="","",IF(COUNTIF(Performance!$B$5:$B$404,B61)=0,"",SUMIFS(Performance!$P$5:$P$404,Performance!$B$5:$B$404,B61)))</f>
        <v>0</v>
      </c>
      <c r="U61" s="23">
        <f>IF(B61="","",IF(COUNTIF(Performance!$B$5:$B$404,B61)=0,"",SUMIFS(Performance!$Z$5:$Z$404,Performance!$B$5:$B$404,B61)))</f>
        <v>0</v>
      </c>
      <c r="V61" s="24">
        <f>IF(OR(S61="",S61=0),"",U61/S61)</f>
        <v>0</v>
      </c>
      <c r="W61" s="23">
        <f>IF(B61="","",IF(COUNTIF(Performance!$B$5:$B$404,B61)=0,"",SUMIFS(Performance!$T$5:$T$404,Performance!$B$5:$B$404,B61)))</f>
        <v>0</v>
      </c>
      <c r="X61" s="23">
        <f>IF(B61="","",IF(COUNTIF(Performance!$B$5:$B$404,B61)=0,"",SUMIFS(Performance!$S$5:$S$404,Performance!$B$5:$B$404,B61)))</f>
        <v>0</v>
      </c>
      <c r="Y61" s="23">
        <f>IF(B61="","",IF(COUNTIF(Performance!$B$5:$B$404,B61)=0,"",SUMIFS(Performance!$R$5:$R$404,Performance!$B$5:$B$404,B61)))</f>
        <v>0</v>
      </c>
      <c r="Z61" s="23">
        <f>IF(B61="","",IF(COUNTIF(Performance!$B$5:$B$404,B61)=0,"",SUMIFS(Performance!$U$5:$U$404,Performance!$B$5:$B$404,B61)))</f>
        <v>0</v>
      </c>
      <c r="AA61" s="29">
        <f>IF(B61="","",IF(C61="Not found","Check - content ID not on the calendar",IF(G61="","Add - no hook written",IF(H61="","Add - no sound chosen",IF(AND(P61&lt;&gt;"",P61&lt;0.25),"Review - most people scroll away early","OK")))))</f>
        <v>0</v>
      </c>
    </row>
    <row r="62" spans="1:27">
      <c r="A62" s="41">
        <f>IF(B62="","","TT-"&amp;TEXT(ROW()-4,"000"))</f>
        <v>0</v>
      </c>
      <c r="C62" s="17">
        <f>IF(B62="","",IFERROR(INDEX('Content Calendar'!$H$5:$H$604,MATCH(B62,'Content Calendar'!$A$5:$A$604,0)),"Not found"))</f>
        <v>0</v>
      </c>
      <c r="D62" s="16">
        <f>IF(B62="","",IFERROR(INDEX('Content Calendar'!$B$5:$B$604,MATCH(B62,'Content Calendar'!$A$5:$A$604,0)),"Not found"))</f>
        <v>0</v>
      </c>
      <c r="E62" s="17">
        <f>IF(B62="","",IFERROR(INDEX('Content Calendar'!$J$5:$J$604,MATCH(B62,'Content Calendar'!$A$5:$A$604,0)),"Not found"))</f>
        <v>0</v>
      </c>
      <c r="F62" s="29">
        <f>IF(B62="","",IFERROR(INDEX('Content Calendar'!$X$5:$X$604,MATCH(B62,'Content Calendar'!$A$5:$A$604,0)),"Not found"))</f>
        <v>0</v>
      </c>
      <c r="S62" s="23">
        <f>IF(B62="","",IF(COUNTIF(Performance!$B$5:$B$404,B62)=0,"",SUMIFS(Performance!$O$5:$O$404,Performance!$B$5:$B$404,B62)))</f>
        <v>0</v>
      </c>
      <c r="T62" s="23">
        <f>IF(B62="","",IF(COUNTIF(Performance!$B$5:$B$404,B62)=0,"",SUMIFS(Performance!$P$5:$P$404,Performance!$B$5:$B$404,B62)))</f>
        <v>0</v>
      </c>
      <c r="U62" s="23">
        <f>IF(B62="","",IF(COUNTIF(Performance!$B$5:$B$404,B62)=0,"",SUMIFS(Performance!$Z$5:$Z$404,Performance!$B$5:$B$404,B62)))</f>
        <v>0</v>
      </c>
      <c r="V62" s="24">
        <f>IF(OR(S62="",S62=0),"",U62/S62)</f>
        <v>0</v>
      </c>
      <c r="W62" s="23">
        <f>IF(B62="","",IF(COUNTIF(Performance!$B$5:$B$404,B62)=0,"",SUMIFS(Performance!$T$5:$T$404,Performance!$B$5:$B$404,B62)))</f>
        <v>0</v>
      </c>
      <c r="X62" s="23">
        <f>IF(B62="","",IF(COUNTIF(Performance!$B$5:$B$404,B62)=0,"",SUMIFS(Performance!$S$5:$S$404,Performance!$B$5:$B$404,B62)))</f>
        <v>0</v>
      </c>
      <c r="Y62" s="23">
        <f>IF(B62="","",IF(COUNTIF(Performance!$B$5:$B$404,B62)=0,"",SUMIFS(Performance!$R$5:$R$404,Performance!$B$5:$B$404,B62)))</f>
        <v>0</v>
      </c>
      <c r="Z62" s="23">
        <f>IF(B62="","",IF(COUNTIF(Performance!$B$5:$B$404,B62)=0,"",SUMIFS(Performance!$U$5:$U$404,Performance!$B$5:$B$404,B62)))</f>
        <v>0</v>
      </c>
      <c r="AA62" s="29">
        <f>IF(B62="","",IF(C62="Not found","Check - content ID not on the calendar",IF(G62="","Add - no hook written",IF(H62="","Add - no sound chosen",IF(AND(P62&lt;&gt;"",P62&lt;0.25),"Review - most people scroll away early","OK")))))</f>
        <v>0</v>
      </c>
    </row>
    <row r="63" spans="1:27">
      <c r="A63" s="41">
        <f>IF(B63="","","TT-"&amp;TEXT(ROW()-4,"000"))</f>
        <v>0</v>
      </c>
      <c r="C63" s="17">
        <f>IF(B63="","",IFERROR(INDEX('Content Calendar'!$H$5:$H$604,MATCH(B63,'Content Calendar'!$A$5:$A$604,0)),"Not found"))</f>
        <v>0</v>
      </c>
      <c r="D63" s="16">
        <f>IF(B63="","",IFERROR(INDEX('Content Calendar'!$B$5:$B$604,MATCH(B63,'Content Calendar'!$A$5:$A$604,0)),"Not found"))</f>
        <v>0</v>
      </c>
      <c r="E63" s="17">
        <f>IF(B63="","",IFERROR(INDEX('Content Calendar'!$J$5:$J$604,MATCH(B63,'Content Calendar'!$A$5:$A$604,0)),"Not found"))</f>
        <v>0</v>
      </c>
      <c r="F63" s="29">
        <f>IF(B63="","",IFERROR(INDEX('Content Calendar'!$X$5:$X$604,MATCH(B63,'Content Calendar'!$A$5:$A$604,0)),"Not found"))</f>
        <v>0</v>
      </c>
      <c r="S63" s="23">
        <f>IF(B63="","",IF(COUNTIF(Performance!$B$5:$B$404,B63)=0,"",SUMIFS(Performance!$O$5:$O$404,Performance!$B$5:$B$404,B63)))</f>
        <v>0</v>
      </c>
      <c r="T63" s="23">
        <f>IF(B63="","",IF(COUNTIF(Performance!$B$5:$B$404,B63)=0,"",SUMIFS(Performance!$P$5:$P$404,Performance!$B$5:$B$404,B63)))</f>
        <v>0</v>
      </c>
      <c r="U63" s="23">
        <f>IF(B63="","",IF(COUNTIF(Performance!$B$5:$B$404,B63)=0,"",SUMIFS(Performance!$Z$5:$Z$404,Performance!$B$5:$B$404,B63)))</f>
        <v>0</v>
      </c>
      <c r="V63" s="24">
        <f>IF(OR(S63="",S63=0),"",U63/S63)</f>
        <v>0</v>
      </c>
      <c r="W63" s="23">
        <f>IF(B63="","",IF(COUNTIF(Performance!$B$5:$B$404,B63)=0,"",SUMIFS(Performance!$T$5:$T$404,Performance!$B$5:$B$404,B63)))</f>
        <v>0</v>
      </c>
      <c r="X63" s="23">
        <f>IF(B63="","",IF(COUNTIF(Performance!$B$5:$B$404,B63)=0,"",SUMIFS(Performance!$S$5:$S$404,Performance!$B$5:$B$404,B63)))</f>
        <v>0</v>
      </c>
      <c r="Y63" s="23">
        <f>IF(B63="","",IF(COUNTIF(Performance!$B$5:$B$404,B63)=0,"",SUMIFS(Performance!$R$5:$R$404,Performance!$B$5:$B$404,B63)))</f>
        <v>0</v>
      </c>
      <c r="Z63" s="23">
        <f>IF(B63="","",IF(COUNTIF(Performance!$B$5:$B$404,B63)=0,"",SUMIFS(Performance!$U$5:$U$404,Performance!$B$5:$B$404,B63)))</f>
        <v>0</v>
      </c>
      <c r="AA63" s="29">
        <f>IF(B63="","",IF(C63="Not found","Check - content ID not on the calendar",IF(G63="","Add - no hook written",IF(H63="","Add - no sound chosen",IF(AND(P63&lt;&gt;"",P63&lt;0.25),"Review - most people scroll away early","OK")))))</f>
        <v>0</v>
      </c>
    </row>
    <row r="64" spans="1:27">
      <c r="A64" s="41">
        <f>IF(B64="","","TT-"&amp;TEXT(ROW()-4,"000"))</f>
        <v>0</v>
      </c>
      <c r="C64" s="17">
        <f>IF(B64="","",IFERROR(INDEX('Content Calendar'!$H$5:$H$604,MATCH(B64,'Content Calendar'!$A$5:$A$604,0)),"Not found"))</f>
        <v>0</v>
      </c>
      <c r="D64" s="16">
        <f>IF(B64="","",IFERROR(INDEX('Content Calendar'!$B$5:$B$604,MATCH(B64,'Content Calendar'!$A$5:$A$604,0)),"Not found"))</f>
        <v>0</v>
      </c>
      <c r="E64" s="17">
        <f>IF(B64="","",IFERROR(INDEX('Content Calendar'!$J$5:$J$604,MATCH(B64,'Content Calendar'!$A$5:$A$604,0)),"Not found"))</f>
        <v>0</v>
      </c>
      <c r="F64" s="29">
        <f>IF(B64="","",IFERROR(INDEX('Content Calendar'!$X$5:$X$604,MATCH(B64,'Content Calendar'!$A$5:$A$604,0)),"Not found"))</f>
        <v>0</v>
      </c>
      <c r="S64" s="23">
        <f>IF(B64="","",IF(COUNTIF(Performance!$B$5:$B$404,B64)=0,"",SUMIFS(Performance!$O$5:$O$404,Performance!$B$5:$B$404,B64)))</f>
        <v>0</v>
      </c>
      <c r="T64" s="23">
        <f>IF(B64="","",IF(COUNTIF(Performance!$B$5:$B$404,B64)=0,"",SUMIFS(Performance!$P$5:$P$404,Performance!$B$5:$B$404,B64)))</f>
        <v>0</v>
      </c>
      <c r="U64" s="23">
        <f>IF(B64="","",IF(COUNTIF(Performance!$B$5:$B$404,B64)=0,"",SUMIFS(Performance!$Z$5:$Z$404,Performance!$B$5:$B$404,B64)))</f>
        <v>0</v>
      </c>
      <c r="V64" s="24">
        <f>IF(OR(S64="",S64=0),"",U64/S64)</f>
        <v>0</v>
      </c>
      <c r="W64" s="23">
        <f>IF(B64="","",IF(COUNTIF(Performance!$B$5:$B$404,B64)=0,"",SUMIFS(Performance!$T$5:$T$404,Performance!$B$5:$B$404,B64)))</f>
        <v>0</v>
      </c>
      <c r="X64" s="23">
        <f>IF(B64="","",IF(COUNTIF(Performance!$B$5:$B$404,B64)=0,"",SUMIFS(Performance!$S$5:$S$404,Performance!$B$5:$B$404,B64)))</f>
        <v>0</v>
      </c>
      <c r="Y64" s="23">
        <f>IF(B64="","",IF(COUNTIF(Performance!$B$5:$B$404,B64)=0,"",SUMIFS(Performance!$R$5:$R$404,Performance!$B$5:$B$404,B64)))</f>
        <v>0</v>
      </c>
      <c r="Z64" s="23">
        <f>IF(B64="","",IF(COUNTIF(Performance!$B$5:$B$404,B64)=0,"",SUMIFS(Performance!$U$5:$U$404,Performance!$B$5:$B$404,B64)))</f>
        <v>0</v>
      </c>
      <c r="AA64" s="29">
        <f>IF(B64="","",IF(C64="Not found","Check - content ID not on the calendar",IF(G64="","Add - no hook written",IF(H64="","Add - no sound chosen",IF(AND(P64&lt;&gt;"",P64&lt;0.25),"Review - most people scroll away early","OK")))))</f>
        <v>0</v>
      </c>
    </row>
    <row r="65" spans="1:27">
      <c r="A65" s="41">
        <f>IF(B65="","","TT-"&amp;TEXT(ROW()-4,"000"))</f>
        <v>0</v>
      </c>
      <c r="C65" s="17">
        <f>IF(B65="","",IFERROR(INDEX('Content Calendar'!$H$5:$H$604,MATCH(B65,'Content Calendar'!$A$5:$A$604,0)),"Not found"))</f>
        <v>0</v>
      </c>
      <c r="D65" s="16">
        <f>IF(B65="","",IFERROR(INDEX('Content Calendar'!$B$5:$B$604,MATCH(B65,'Content Calendar'!$A$5:$A$604,0)),"Not found"))</f>
        <v>0</v>
      </c>
      <c r="E65" s="17">
        <f>IF(B65="","",IFERROR(INDEX('Content Calendar'!$J$5:$J$604,MATCH(B65,'Content Calendar'!$A$5:$A$604,0)),"Not found"))</f>
        <v>0</v>
      </c>
      <c r="F65" s="29">
        <f>IF(B65="","",IFERROR(INDEX('Content Calendar'!$X$5:$X$604,MATCH(B65,'Content Calendar'!$A$5:$A$604,0)),"Not found"))</f>
        <v>0</v>
      </c>
      <c r="S65" s="23">
        <f>IF(B65="","",IF(COUNTIF(Performance!$B$5:$B$404,B65)=0,"",SUMIFS(Performance!$O$5:$O$404,Performance!$B$5:$B$404,B65)))</f>
        <v>0</v>
      </c>
      <c r="T65" s="23">
        <f>IF(B65="","",IF(COUNTIF(Performance!$B$5:$B$404,B65)=0,"",SUMIFS(Performance!$P$5:$P$404,Performance!$B$5:$B$404,B65)))</f>
        <v>0</v>
      </c>
      <c r="U65" s="23">
        <f>IF(B65="","",IF(COUNTIF(Performance!$B$5:$B$404,B65)=0,"",SUMIFS(Performance!$Z$5:$Z$404,Performance!$B$5:$B$404,B65)))</f>
        <v>0</v>
      </c>
      <c r="V65" s="24">
        <f>IF(OR(S65="",S65=0),"",U65/S65)</f>
        <v>0</v>
      </c>
      <c r="W65" s="23">
        <f>IF(B65="","",IF(COUNTIF(Performance!$B$5:$B$404,B65)=0,"",SUMIFS(Performance!$T$5:$T$404,Performance!$B$5:$B$404,B65)))</f>
        <v>0</v>
      </c>
      <c r="X65" s="23">
        <f>IF(B65="","",IF(COUNTIF(Performance!$B$5:$B$404,B65)=0,"",SUMIFS(Performance!$S$5:$S$404,Performance!$B$5:$B$404,B65)))</f>
        <v>0</v>
      </c>
      <c r="Y65" s="23">
        <f>IF(B65="","",IF(COUNTIF(Performance!$B$5:$B$404,B65)=0,"",SUMIFS(Performance!$R$5:$R$404,Performance!$B$5:$B$404,B65)))</f>
        <v>0</v>
      </c>
      <c r="Z65" s="23">
        <f>IF(B65="","",IF(COUNTIF(Performance!$B$5:$B$404,B65)=0,"",SUMIFS(Performance!$U$5:$U$404,Performance!$B$5:$B$404,B65)))</f>
        <v>0</v>
      </c>
      <c r="AA65" s="29">
        <f>IF(B65="","",IF(C65="Not found","Check - content ID not on the calendar",IF(G65="","Add - no hook written",IF(H65="","Add - no sound chosen",IF(AND(P65&lt;&gt;"",P65&lt;0.25),"Review - most people scroll away early","OK")))))</f>
        <v>0</v>
      </c>
    </row>
    <row r="66" spans="1:27">
      <c r="A66" s="41">
        <f>IF(B66="","","TT-"&amp;TEXT(ROW()-4,"000"))</f>
        <v>0</v>
      </c>
      <c r="C66" s="17">
        <f>IF(B66="","",IFERROR(INDEX('Content Calendar'!$H$5:$H$604,MATCH(B66,'Content Calendar'!$A$5:$A$604,0)),"Not found"))</f>
        <v>0</v>
      </c>
      <c r="D66" s="16">
        <f>IF(B66="","",IFERROR(INDEX('Content Calendar'!$B$5:$B$604,MATCH(B66,'Content Calendar'!$A$5:$A$604,0)),"Not found"))</f>
        <v>0</v>
      </c>
      <c r="E66" s="17">
        <f>IF(B66="","",IFERROR(INDEX('Content Calendar'!$J$5:$J$604,MATCH(B66,'Content Calendar'!$A$5:$A$604,0)),"Not found"))</f>
        <v>0</v>
      </c>
      <c r="F66" s="29">
        <f>IF(B66="","",IFERROR(INDEX('Content Calendar'!$X$5:$X$604,MATCH(B66,'Content Calendar'!$A$5:$A$604,0)),"Not found"))</f>
        <v>0</v>
      </c>
      <c r="S66" s="23">
        <f>IF(B66="","",IF(COUNTIF(Performance!$B$5:$B$404,B66)=0,"",SUMIFS(Performance!$O$5:$O$404,Performance!$B$5:$B$404,B66)))</f>
        <v>0</v>
      </c>
      <c r="T66" s="23">
        <f>IF(B66="","",IF(COUNTIF(Performance!$B$5:$B$404,B66)=0,"",SUMIFS(Performance!$P$5:$P$404,Performance!$B$5:$B$404,B66)))</f>
        <v>0</v>
      </c>
      <c r="U66" s="23">
        <f>IF(B66="","",IF(COUNTIF(Performance!$B$5:$B$404,B66)=0,"",SUMIFS(Performance!$Z$5:$Z$404,Performance!$B$5:$B$404,B66)))</f>
        <v>0</v>
      </c>
      <c r="V66" s="24">
        <f>IF(OR(S66="",S66=0),"",U66/S66)</f>
        <v>0</v>
      </c>
      <c r="W66" s="23">
        <f>IF(B66="","",IF(COUNTIF(Performance!$B$5:$B$404,B66)=0,"",SUMIFS(Performance!$T$5:$T$404,Performance!$B$5:$B$404,B66)))</f>
        <v>0</v>
      </c>
      <c r="X66" s="23">
        <f>IF(B66="","",IF(COUNTIF(Performance!$B$5:$B$404,B66)=0,"",SUMIFS(Performance!$S$5:$S$404,Performance!$B$5:$B$404,B66)))</f>
        <v>0</v>
      </c>
      <c r="Y66" s="23">
        <f>IF(B66="","",IF(COUNTIF(Performance!$B$5:$B$404,B66)=0,"",SUMIFS(Performance!$R$5:$R$404,Performance!$B$5:$B$404,B66)))</f>
        <v>0</v>
      </c>
      <c r="Z66" s="23">
        <f>IF(B66="","",IF(COUNTIF(Performance!$B$5:$B$404,B66)=0,"",SUMIFS(Performance!$U$5:$U$404,Performance!$B$5:$B$404,B66)))</f>
        <v>0</v>
      </c>
      <c r="AA66" s="29">
        <f>IF(B66="","",IF(C66="Not found","Check - content ID not on the calendar",IF(G66="","Add - no hook written",IF(H66="","Add - no sound chosen",IF(AND(P66&lt;&gt;"",P66&lt;0.25),"Review - most people scroll away early","OK")))))</f>
        <v>0</v>
      </c>
    </row>
    <row r="67" spans="1:27">
      <c r="A67" s="41">
        <f>IF(B67="","","TT-"&amp;TEXT(ROW()-4,"000"))</f>
        <v>0</v>
      </c>
      <c r="C67" s="17">
        <f>IF(B67="","",IFERROR(INDEX('Content Calendar'!$H$5:$H$604,MATCH(B67,'Content Calendar'!$A$5:$A$604,0)),"Not found"))</f>
        <v>0</v>
      </c>
      <c r="D67" s="16">
        <f>IF(B67="","",IFERROR(INDEX('Content Calendar'!$B$5:$B$604,MATCH(B67,'Content Calendar'!$A$5:$A$604,0)),"Not found"))</f>
        <v>0</v>
      </c>
      <c r="E67" s="17">
        <f>IF(B67="","",IFERROR(INDEX('Content Calendar'!$J$5:$J$604,MATCH(B67,'Content Calendar'!$A$5:$A$604,0)),"Not found"))</f>
        <v>0</v>
      </c>
      <c r="F67" s="29">
        <f>IF(B67="","",IFERROR(INDEX('Content Calendar'!$X$5:$X$604,MATCH(B67,'Content Calendar'!$A$5:$A$604,0)),"Not found"))</f>
        <v>0</v>
      </c>
      <c r="S67" s="23">
        <f>IF(B67="","",IF(COUNTIF(Performance!$B$5:$B$404,B67)=0,"",SUMIFS(Performance!$O$5:$O$404,Performance!$B$5:$B$404,B67)))</f>
        <v>0</v>
      </c>
      <c r="T67" s="23">
        <f>IF(B67="","",IF(COUNTIF(Performance!$B$5:$B$404,B67)=0,"",SUMIFS(Performance!$P$5:$P$404,Performance!$B$5:$B$404,B67)))</f>
        <v>0</v>
      </c>
      <c r="U67" s="23">
        <f>IF(B67="","",IF(COUNTIF(Performance!$B$5:$B$404,B67)=0,"",SUMIFS(Performance!$Z$5:$Z$404,Performance!$B$5:$B$404,B67)))</f>
        <v>0</v>
      </c>
      <c r="V67" s="24">
        <f>IF(OR(S67="",S67=0),"",U67/S67)</f>
        <v>0</v>
      </c>
      <c r="W67" s="23">
        <f>IF(B67="","",IF(COUNTIF(Performance!$B$5:$B$404,B67)=0,"",SUMIFS(Performance!$T$5:$T$404,Performance!$B$5:$B$404,B67)))</f>
        <v>0</v>
      </c>
      <c r="X67" s="23">
        <f>IF(B67="","",IF(COUNTIF(Performance!$B$5:$B$404,B67)=0,"",SUMIFS(Performance!$S$5:$S$404,Performance!$B$5:$B$404,B67)))</f>
        <v>0</v>
      </c>
      <c r="Y67" s="23">
        <f>IF(B67="","",IF(COUNTIF(Performance!$B$5:$B$404,B67)=0,"",SUMIFS(Performance!$R$5:$R$404,Performance!$B$5:$B$404,B67)))</f>
        <v>0</v>
      </c>
      <c r="Z67" s="23">
        <f>IF(B67="","",IF(COUNTIF(Performance!$B$5:$B$404,B67)=0,"",SUMIFS(Performance!$U$5:$U$404,Performance!$B$5:$B$404,B67)))</f>
        <v>0</v>
      </c>
      <c r="AA67" s="29">
        <f>IF(B67="","",IF(C67="Not found","Check - content ID not on the calendar",IF(G67="","Add - no hook written",IF(H67="","Add - no sound chosen",IF(AND(P67&lt;&gt;"",P67&lt;0.25),"Review - most people scroll away early","OK")))))</f>
        <v>0</v>
      </c>
    </row>
    <row r="68" spans="1:27">
      <c r="A68" s="41">
        <f>IF(B68="","","TT-"&amp;TEXT(ROW()-4,"000"))</f>
        <v>0</v>
      </c>
      <c r="C68" s="17">
        <f>IF(B68="","",IFERROR(INDEX('Content Calendar'!$H$5:$H$604,MATCH(B68,'Content Calendar'!$A$5:$A$604,0)),"Not found"))</f>
        <v>0</v>
      </c>
      <c r="D68" s="16">
        <f>IF(B68="","",IFERROR(INDEX('Content Calendar'!$B$5:$B$604,MATCH(B68,'Content Calendar'!$A$5:$A$604,0)),"Not found"))</f>
        <v>0</v>
      </c>
      <c r="E68" s="17">
        <f>IF(B68="","",IFERROR(INDEX('Content Calendar'!$J$5:$J$604,MATCH(B68,'Content Calendar'!$A$5:$A$604,0)),"Not found"))</f>
        <v>0</v>
      </c>
      <c r="F68" s="29">
        <f>IF(B68="","",IFERROR(INDEX('Content Calendar'!$X$5:$X$604,MATCH(B68,'Content Calendar'!$A$5:$A$604,0)),"Not found"))</f>
        <v>0</v>
      </c>
      <c r="S68" s="23">
        <f>IF(B68="","",IF(COUNTIF(Performance!$B$5:$B$404,B68)=0,"",SUMIFS(Performance!$O$5:$O$404,Performance!$B$5:$B$404,B68)))</f>
        <v>0</v>
      </c>
      <c r="T68" s="23">
        <f>IF(B68="","",IF(COUNTIF(Performance!$B$5:$B$404,B68)=0,"",SUMIFS(Performance!$P$5:$P$404,Performance!$B$5:$B$404,B68)))</f>
        <v>0</v>
      </c>
      <c r="U68" s="23">
        <f>IF(B68="","",IF(COUNTIF(Performance!$B$5:$B$404,B68)=0,"",SUMIFS(Performance!$Z$5:$Z$404,Performance!$B$5:$B$404,B68)))</f>
        <v>0</v>
      </c>
      <c r="V68" s="24">
        <f>IF(OR(S68="",S68=0),"",U68/S68)</f>
        <v>0</v>
      </c>
      <c r="W68" s="23">
        <f>IF(B68="","",IF(COUNTIF(Performance!$B$5:$B$404,B68)=0,"",SUMIFS(Performance!$T$5:$T$404,Performance!$B$5:$B$404,B68)))</f>
        <v>0</v>
      </c>
      <c r="X68" s="23">
        <f>IF(B68="","",IF(COUNTIF(Performance!$B$5:$B$404,B68)=0,"",SUMIFS(Performance!$S$5:$S$404,Performance!$B$5:$B$404,B68)))</f>
        <v>0</v>
      </c>
      <c r="Y68" s="23">
        <f>IF(B68="","",IF(COUNTIF(Performance!$B$5:$B$404,B68)=0,"",SUMIFS(Performance!$R$5:$R$404,Performance!$B$5:$B$404,B68)))</f>
        <v>0</v>
      </c>
      <c r="Z68" s="23">
        <f>IF(B68="","",IF(COUNTIF(Performance!$B$5:$B$404,B68)=0,"",SUMIFS(Performance!$U$5:$U$404,Performance!$B$5:$B$404,B68)))</f>
        <v>0</v>
      </c>
      <c r="AA68" s="29">
        <f>IF(B68="","",IF(C68="Not found","Check - content ID not on the calendar",IF(G68="","Add - no hook written",IF(H68="","Add - no sound chosen",IF(AND(P68&lt;&gt;"",P68&lt;0.25),"Review - most people scroll away early","OK")))))</f>
        <v>0</v>
      </c>
    </row>
    <row r="69" spans="1:27">
      <c r="A69" s="41">
        <f>IF(B69="","","TT-"&amp;TEXT(ROW()-4,"000"))</f>
        <v>0</v>
      </c>
      <c r="C69" s="17">
        <f>IF(B69="","",IFERROR(INDEX('Content Calendar'!$H$5:$H$604,MATCH(B69,'Content Calendar'!$A$5:$A$604,0)),"Not found"))</f>
        <v>0</v>
      </c>
      <c r="D69" s="16">
        <f>IF(B69="","",IFERROR(INDEX('Content Calendar'!$B$5:$B$604,MATCH(B69,'Content Calendar'!$A$5:$A$604,0)),"Not found"))</f>
        <v>0</v>
      </c>
      <c r="E69" s="17">
        <f>IF(B69="","",IFERROR(INDEX('Content Calendar'!$J$5:$J$604,MATCH(B69,'Content Calendar'!$A$5:$A$604,0)),"Not found"))</f>
        <v>0</v>
      </c>
      <c r="F69" s="29">
        <f>IF(B69="","",IFERROR(INDEX('Content Calendar'!$X$5:$X$604,MATCH(B69,'Content Calendar'!$A$5:$A$604,0)),"Not found"))</f>
        <v>0</v>
      </c>
      <c r="S69" s="23">
        <f>IF(B69="","",IF(COUNTIF(Performance!$B$5:$B$404,B69)=0,"",SUMIFS(Performance!$O$5:$O$404,Performance!$B$5:$B$404,B69)))</f>
        <v>0</v>
      </c>
      <c r="T69" s="23">
        <f>IF(B69="","",IF(COUNTIF(Performance!$B$5:$B$404,B69)=0,"",SUMIFS(Performance!$P$5:$P$404,Performance!$B$5:$B$404,B69)))</f>
        <v>0</v>
      </c>
      <c r="U69" s="23">
        <f>IF(B69="","",IF(COUNTIF(Performance!$B$5:$B$404,B69)=0,"",SUMIFS(Performance!$Z$5:$Z$404,Performance!$B$5:$B$404,B69)))</f>
        <v>0</v>
      </c>
      <c r="V69" s="24">
        <f>IF(OR(S69="",S69=0),"",U69/S69)</f>
        <v>0</v>
      </c>
      <c r="W69" s="23">
        <f>IF(B69="","",IF(COUNTIF(Performance!$B$5:$B$404,B69)=0,"",SUMIFS(Performance!$T$5:$T$404,Performance!$B$5:$B$404,B69)))</f>
        <v>0</v>
      </c>
      <c r="X69" s="23">
        <f>IF(B69="","",IF(COUNTIF(Performance!$B$5:$B$404,B69)=0,"",SUMIFS(Performance!$S$5:$S$404,Performance!$B$5:$B$404,B69)))</f>
        <v>0</v>
      </c>
      <c r="Y69" s="23">
        <f>IF(B69="","",IF(COUNTIF(Performance!$B$5:$B$404,B69)=0,"",SUMIFS(Performance!$R$5:$R$404,Performance!$B$5:$B$404,B69)))</f>
        <v>0</v>
      </c>
      <c r="Z69" s="23">
        <f>IF(B69="","",IF(COUNTIF(Performance!$B$5:$B$404,B69)=0,"",SUMIFS(Performance!$U$5:$U$404,Performance!$B$5:$B$404,B69)))</f>
        <v>0</v>
      </c>
      <c r="AA69" s="29">
        <f>IF(B69="","",IF(C69="Not found","Check - content ID not on the calendar",IF(G69="","Add - no hook written",IF(H69="","Add - no sound chosen",IF(AND(P69&lt;&gt;"",P69&lt;0.25),"Review - most people scroll away early","OK")))))</f>
        <v>0</v>
      </c>
    </row>
    <row r="70" spans="1:27">
      <c r="A70" s="41">
        <f>IF(B70="","","TT-"&amp;TEXT(ROW()-4,"000"))</f>
        <v>0</v>
      </c>
      <c r="C70" s="17">
        <f>IF(B70="","",IFERROR(INDEX('Content Calendar'!$H$5:$H$604,MATCH(B70,'Content Calendar'!$A$5:$A$604,0)),"Not found"))</f>
        <v>0</v>
      </c>
      <c r="D70" s="16">
        <f>IF(B70="","",IFERROR(INDEX('Content Calendar'!$B$5:$B$604,MATCH(B70,'Content Calendar'!$A$5:$A$604,0)),"Not found"))</f>
        <v>0</v>
      </c>
      <c r="E70" s="17">
        <f>IF(B70="","",IFERROR(INDEX('Content Calendar'!$J$5:$J$604,MATCH(B70,'Content Calendar'!$A$5:$A$604,0)),"Not found"))</f>
        <v>0</v>
      </c>
      <c r="F70" s="29">
        <f>IF(B70="","",IFERROR(INDEX('Content Calendar'!$X$5:$X$604,MATCH(B70,'Content Calendar'!$A$5:$A$604,0)),"Not found"))</f>
        <v>0</v>
      </c>
      <c r="S70" s="23">
        <f>IF(B70="","",IF(COUNTIF(Performance!$B$5:$B$404,B70)=0,"",SUMIFS(Performance!$O$5:$O$404,Performance!$B$5:$B$404,B70)))</f>
        <v>0</v>
      </c>
      <c r="T70" s="23">
        <f>IF(B70="","",IF(COUNTIF(Performance!$B$5:$B$404,B70)=0,"",SUMIFS(Performance!$P$5:$P$404,Performance!$B$5:$B$404,B70)))</f>
        <v>0</v>
      </c>
      <c r="U70" s="23">
        <f>IF(B70="","",IF(COUNTIF(Performance!$B$5:$B$404,B70)=0,"",SUMIFS(Performance!$Z$5:$Z$404,Performance!$B$5:$B$404,B70)))</f>
        <v>0</v>
      </c>
      <c r="V70" s="24">
        <f>IF(OR(S70="",S70=0),"",U70/S70)</f>
        <v>0</v>
      </c>
      <c r="W70" s="23">
        <f>IF(B70="","",IF(COUNTIF(Performance!$B$5:$B$404,B70)=0,"",SUMIFS(Performance!$T$5:$T$404,Performance!$B$5:$B$404,B70)))</f>
        <v>0</v>
      </c>
      <c r="X70" s="23">
        <f>IF(B70="","",IF(COUNTIF(Performance!$B$5:$B$404,B70)=0,"",SUMIFS(Performance!$S$5:$S$404,Performance!$B$5:$B$404,B70)))</f>
        <v>0</v>
      </c>
      <c r="Y70" s="23">
        <f>IF(B70="","",IF(COUNTIF(Performance!$B$5:$B$404,B70)=0,"",SUMIFS(Performance!$R$5:$R$404,Performance!$B$5:$B$404,B70)))</f>
        <v>0</v>
      </c>
      <c r="Z70" s="23">
        <f>IF(B70="","",IF(COUNTIF(Performance!$B$5:$B$404,B70)=0,"",SUMIFS(Performance!$U$5:$U$404,Performance!$B$5:$B$404,B70)))</f>
        <v>0</v>
      </c>
      <c r="AA70" s="29">
        <f>IF(B70="","",IF(C70="Not found","Check - content ID not on the calendar",IF(G70="","Add - no hook written",IF(H70="","Add - no sound chosen",IF(AND(P70&lt;&gt;"",P70&lt;0.25),"Review - most people scroll away early","OK")))))</f>
        <v>0</v>
      </c>
    </row>
    <row r="71" spans="1:27">
      <c r="A71" s="41">
        <f>IF(B71="","","TT-"&amp;TEXT(ROW()-4,"000"))</f>
        <v>0</v>
      </c>
      <c r="C71" s="17">
        <f>IF(B71="","",IFERROR(INDEX('Content Calendar'!$H$5:$H$604,MATCH(B71,'Content Calendar'!$A$5:$A$604,0)),"Not found"))</f>
        <v>0</v>
      </c>
      <c r="D71" s="16">
        <f>IF(B71="","",IFERROR(INDEX('Content Calendar'!$B$5:$B$604,MATCH(B71,'Content Calendar'!$A$5:$A$604,0)),"Not found"))</f>
        <v>0</v>
      </c>
      <c r="E71" s="17">
        <f>IF(B71="","",IFERROR(INDEX('Content Calendar'!$J$5:$J$604,MATCH(B71,'Content Calendar'!$A$5:$A$604,0)),"Not found"))</f>
        <v>0</v>
      </c>
      <c r="F71" s="29">
        <f>IF(B71="","",IFERROR(INDEX('Content Calendar'!$X$5:$X$604,MATCH(B71,'Content Calendar'!$A$5:$A$604,0)),"Not found"))</f>
        <v>0</v>
      </c>
      <c r="S71" s="23">
        <f>IF(B71="","",IF(COUNTIF(Performance!$B$5:$B$404,B71)=0,"",SUMIFS(Performance!$O$5:$O$404,Performance!$B$5:$B$404,B71)))</f>
        <v>0</v>
      </c>
      <c r="T71" s="23">
        <f>IF(B71="","",IF(COUNTIF(Performance!$B$5:$B$404,B71)=0,"",SUMIFS(Performance!$P$5:$P$404,Performance!$B$5:$B$404,B71)))</f>
        <v>0</v>
      </c>
      <c r="U71" s="23">
        <f>IF(B71="","",IF(COUNTIF(Performance!$B$5:$B$404,B71)=0,"",SUMIFS(Performance!$Z$5:$Z$404,Performance!$B$5:$B$404,B71)))</f>
        <v>0</v>
      </c>
      <c r="V71" s="24">
        <f>IF(OR(S71="",S71=0),"",U71/S71)</f>
        <v>0</v>
      </c>
      <c r="W71" s="23">
        <f>IF(B71="","",IF(COUNTIF(Performance!$B$5:$B$404,B71)=0,"",SUMIFS(Performance!$T$5:$T$404,Performance!$B$5:$B$404,B71)))</f>
        <v>0</v>
      </c>
      <c r="X71" s="23">
        <f>IF(B71="","",IF(COUNTIF(Performance!$B$5:$B$404,B71)=0,"",SUMIFS(Performance!$S$5:$S$404,Performance!$B$5:$B$404,B71)))</f>
        <v>0</v>
      </c>
      <c r="Y71" s="23">
        <f>IF(B71="","",IF(COUNTIF(Performance!$B$5:$B$404,B71)=0,"",SUMIFS(Performance!$R$5:$R$404,Performance!$B$5:$B$404,B71)))</f>
        <v>0</v>
      </c>
      <c r="Z71" s="23">
        <f>IF(B71="","",IF(COUNTIF(Performance!$B$5:$B$404,B71)=0,"",SUMIFS(Performance!$U$5:$U$404,Performance!$B$5:$B$404,B71)))</f>
        <v>0</v>
      </c>
      <c r="AA71" s="29">
        <f>IF(B71="","",IF(C71="Not found","Check - content ID not on the calendar",IF(G71="","Add - no hook written",IF(H71="","Add - no sound chosen",IF(AND(P71&lt;&gt;"",P71&lt;0.25),"Review - most people scroll away early","OK")))))</f>
        <v>0</v>
      </c>
    </row>
    <row r="72" spans="1:27">
      <c r="A72" s="41">
        <f>IF(B72="","","TT-"&amp;TEXT(ROW()-4,"000"))</f>
        <v>0</v>
      </c>
      <c r="C72" s="17">
        <f>IF(B72="","",IFERROR(INDEX('Content Calendar'!$H$5:$H$604,MATCH(B72,'Content Calendar'!$A$5:$A$604,0)),"Not found"))</f>
        <v>0</v>
      </c>
      <c r="D72" s="16">
        <f>IF(B72="","",IFERROR(INDEX('Content Calendar'!$B$5:$B$604,MATCH(B72,'Content Calendar'!$A$5:$A$604,0)),"Not found"))</f>
        <v>0</v>
      </c>
      <c r="E72" s="17">
        <f>IF(B72="","",IFERROR(INDEX('Content Calendar'!$J$5:$J$604,MATCH(B72,'Content Calendar'!$A$5:$A$604,0)),"Not found"))</f>
        <v>0</v>
      </c>
      <c r="F72" s="29">
        <f>IF(B72="","",IFERROR(INDEX('Content Calendar'!$X$5:$X$604,MATCH(B72,'Content Calendar'!$A$5:$A$604,0)),"Not found"))</f>
        <v>0</v>
      </c>
      <c r="S72" s="23">
        <f>IF(B72="","",IF(COUNTIF(Performance!$B$5:$B$404,B72)=0,"",SUMIFS(Performance!$O$5:$O$404,Performance!$B$5:$B$404,B72)))</f>
        <v>0</v>
      </c>
      <c r="T72" s="23">
        <f>IF(B72="","",IF(COUNTIF(Performance!$B$5:$B$404,B72)=0,"",SUMIFS(Performance!$P$5:$P$404,Performance!$B$5:$B$404,B72)))</f>
        <v>0</v>
      </c>
      <c r="U72" s="23">
        <f>IF(B72="","",IF(COUNTIF(Performance!$B$5:$B$404,B72)=0,"",SUMIFS(Performance!$Z$5:$Z$404,Performance!$B$5:$B$404,B72)))</f>
        <v>0</v>
      </c>
      <c r="V72" s="24">
        <f>IF(OR(S72="",S72=0),"",U72/S72)</f>
        <v>0</v>
      </c>
      <c r="W72" s="23">
        <f>IF(B72="","",IF(COUNTIF(Performance!$B$5:$B$404,B72)=0,"",SUMIFS(Performance!$T$5:$T$404,Performance!$B$5:$B$404,B72)))</f>
        <v>0</v>
      </c>
      <c r="X72" s="23">
        <f>IF(B72="","",IF(COUNTIF(Performance!$B$5:$B$404,B72)=0,"",SUMIFS(Performance!$S$5:$S$404,Performance!$B$5:$B$404,B72)))</f>
        <v>0</v>
      </c>
      <c r="Y72" s="23">
        <f>IF(B72="","",IF(COUNTIF(Performance!$B$5:$B$404,B72)=0,"",SUMIFS(Performance!$R$5:$R$404,Performance!$B$5:$B$404,B72)))</f>
        <v>0</v>
      </c>
      <c r="Z72" s="23">
        <f>IF(B72="","",IF(COUNTIF(Performance!$B$5:$B$404,B72)=0,"",SUMIFS(Performance!$U$5:$U$404,Performance!$B$5:$B$404,B72)))</f>
        <v>0</v>
      </c>
      <c r="AA72" s="29">
        <f>IF(B72="","",IF(C72="Not found","Check - content ID not on the calendar",IF(G72="","Add - no hook written",IF(H72="","Add - no sound chosen",IF(AND(P72&lt;&gt;"",P72&lt;0.25),"Review - most people scroll away early","OK")))))</f>
        <v>0</v>
      </c>
    </row>
    <row r="73" spans="1:27">
      <c r="A73" s="41">
        <f>IF(B73="","","TT-"&amp;TEXT(ROW()-4,"000"))</f>
        <v>0</v>
      </c>
      <c r="C73" s="17">
        <f>IF(B73="","",IFERROR(INDEX('Content Calendar'!$H$5:$H$604,MATCH(B73,'Content Calendar'!$A$5:$A$604,0)),"Not found"))</f>
        <v>0</v>
      </c>
      <c r="D73" s="16">
        <f>IF(B73="","",IFERROR(INDEX('Content Calendar'!$B$5:$B$604,MATCH(B73,'Content Calendar'!$A$5:$A$604,0)),"Not found"))</f>
        <v>0</v>
      </c>
      <c r="E73" s="17">
        <f>IF(B73="","",IFERROR(INDEX('Content Calendar'!$J$5:$J$604,MATCH(B73,'Content Calendar'!$A$5:$A$604,0)),"Not found"))</f>
        <v>0</v>
      </c>
      <c r="F73" s="29">
        <f>IF(B73="","",IFERROR(INDEX('Content Calendar'!$X$5:$X$604,MATCH(B73,'Content Calendar'!$A$5:$A$604,0)),"Not found"))</f>
        <v>0</v>
      </c>
      <c r="S73" s="23">
        <f>IF(B73="","",IF(COUNTIF(Performance!$B$5:$B$404,B73)=0,"",SUMIFS(Performance!$O$5:$O$404,Performance!$B$5:$B$404,B73)))</f>
        <v>0</v>
      </c>
      <c r="T73" s="23">
        <f>IF(B73="","",IF(COUNTIF(Performance!$B$5:$B$404,B73)=0,"",SUMIFS(Performance!$P$5:$P$404,Performance!$B$5:$B$404,B73)))</f>
        <v>0</v>
      </c>
      <c r="U73" s="23">
        <f>IF(B73="","",IF(COUNTIF(Performance!$B$5:$B$404,B73)=0,"",SUMIFS(Performance!$Z$5:$Z$404,Performance!$B$5:$B$404,B73)))</f>
        <v>0</v>
      </c>
      <c r="V73" s="24">
        <f>IF(OR(S73="",S73=0),"",U73/S73)</f>
        <v>0</v>
      </c>
      <c r="W73" s="23">
        <f>IF(B73="","",IF(COUNTIF(Performance!$B$5:$B$404,B73)=0,"",SUMIFS(Performance!$T$5:$T$404,Performance!$B$5:$B$404,B73)))</f>
        <v>0</v>
      </c>
      <c r="X73" s="23">
        <f>IF(B73="","",IF(COUNTIF(Performance!$B$5:$B$404,B73)=0,"",SUMIFS(Performance!$S$5:$S$404,Performance!$B$5:$B$404,B73)))</f>
        <v>0</v>
      </c>
      <c r="Y73" s="23">
        <f>IF(B73="","",IF(COUNTIF(Performance!$B$5:$B$404,B73)=0,"",SUMIFS(Performance!$R$5:$R$404,Performance!$B$5:$B$404,B73)))</f>
        <v>0</v>
      </c>
      <c r="Z73" s="23">
        <f>IF(B73="","",IF(COUNTIF(Performance!$B$5:$B$404,B73)=0,"",SUMIFS(Performance!$U$5:$U$404,Performance!$B$5:$B$404,B73)))</f>
        <v>0</v>
      </c>
      <c r="AA73" s="29">
        <f>IF(B73="","",IF(C73="Not found","Check - content ID not on the calendar",IF(G73="","Add - no hook written",IF(H73="","Add - no sound chosen",IF(AND(P73&lt;&gt;"",P73&lt;0.25),"Review - most people scroll away early","OK")))))</f>
        <v>0</v>
      </c>
    </row>
    <row r="74" spans="1:27">
      <c r="A74" s="41">
        <f>IF(B74="","","TT-"&amp;TEXT(ROW()-4,"000"))</f>
        <v>0</v>
      </c>
      <c r="C74" s="17">
        <f>IF(B74="","",IFERROR(INDEX('Content Calendar'!$H$5:$H$604,MATCH(B74,'Content Calendar'!$A$5:$A$604,0)),"Not found"))</f>
        <v>0</v>
      </c>
      <c r="D74" s="16">
        <f>IF(B74="","",IFERROR(INDEX('Content Calendar'!$B$5:$B$604,MATCH(B74,'Content Calendar'!$A$5:$A$604,0)),"Not found"))</f>
        <v>0</v>
      </c>
      <c r="E74" s="17">
        <f>IF(B74="","",IFERROR(INDEX('Content Calendar'!$J$5:$J$604,MATCH(B74,'Content Calendar'!$A$5:$A$604,0)),"Not found"))</f>
        <v>0</v>
      </c>
      <c r="F74" s="29">
        <f>IF(B74="","",IFERROR(INDEX('Content Calendar'!$X$5:$X$604,MATCH(B74,'Content Calendar'!$A$5:$A$604,0)),"Not found"))</f>
        <v>0</v>
      </c>
      <c r="S74" s="23">
        <f>IF(B74="","",IF(COUNTIF(Performance!$B$5:$B$404,B74)=0,"",SUMIFS(Performance!$O$5:$O$404,Performance!$B$5:$B$404,B74)))</f>
        <v>0</v>
      </c>
      <c r="T74" s="23">
        <f>IF(B74="","",IF(COUNTIF(Performance!$B$5:$B$404,B74)=0,"",SUMIFS(Performance!$P$5:$P$404,Performance!$B$5:$B$404,B74)))</f>
        <v>0</v>
      </c>
      <c r="U74" s="23">
        <f>IF(B74="","",IF(COUNTIF(Performance!$B$5:$B$404,B74)=0,"",SUMIFS(Performance!$Z$5:$Z$404,Performance!$B$5:$B$404,B74)))</f>
        <v>0</v>
      </c>
      <c r="V74" s="24">
        <f>IF(OR(S74="",S74=0),"",U74/S74)</f>
        <v>0</v>
      </c>
      <c r="W74" s="23">
        <f>IF(B74="","",IF(COUNTIF(Performance!$B$5:$B$404,B74)=0,"",SUMIFS(Performance!$T$5:$T$404,Performance!$B$5:$B$404,B74)))</f>
        <v>0</v>
      </c>
      <c r="X74" s="23">
        <f>IF(B74="","",IF(COUNTIF(Performance!$B$5:$B$404,B74)=0,"",SUMIFS(Performance!$S$5:$S$404,Performance!$B$5:$B$404,B74)))</f>
        <v>0</v>
      </c>
      <c r="Y74" s="23">
        <f>IF(B74="","",IF(COUNTIF(Performance!$B$5:$B$404,B74)=0,"",SUMIFS(Performance!$R$5:$R$404,Performance!$B$5:$B$404,B74)))</f>
        <v>0</v>
      </c>
      <c r="Z74" s="23">
        <f>IF(B74="","",IF(COUNTIF(Performance!$B$5:$B$404,B74)=0,"",SUMIFS(Performance!$U$5:$U$404,Performance!$B$5:$B$404,B74)))</f>
        <v>0</v>
      </c>
      <c r="AA74" s="29">
        <f>IF(B74="","",IF(C74="Not found","Check - content ID not on the calendar",IF(G74="","Add - no hook written",IF(H74="","Add - no sound chosen",IF(AND(P74&lt;&gt;"",P74&lt;0.25),"Review - most people scroll away early","OK")))))</f>
        <v>0</v>
      </c>
    </row>
    <row r="75" spans="1:27">
      <c r="A75" s="41">
        <f>IF(B75="","","TT-"&amp;TEXT(ROW()-4,"000"))</f>
        <v>0</v>
      </c>
      <c r="C75" s="17">
        <f>IF(B75="","",IFERROR(INDEX('Content Calendar'!$H$5:$H$604,MATCH(B75,'Content Calendar'!$A$5:$A$604,0)),"Not found"))</f>
        <v>0</v>
      </c>
      <c r="D75" s="16">
        <f>IF(B75="","",IFERROR(INDEX('Content Calendar'!$B$5:$B$604,MATCH(B75,'Content Calendar'!$A$5:$A$604,0)),"Not found"))</f>
        <v>0</v>
      </c>
      <c r="E75" s="17">
        <f>IF(B75="","",IFERROR(INDEX('Content Calendar'!$J$5:$J$604,MATCH(B75,'Content Calendar'!$A$5:$A$604,0)),"Not found"))</f>
        <v>0</v>
      </c>
      <c r="F75" s="29">
        <f>IF(B75="","",IFERROR(INDEX('Content Calendar'!$X$5:$X$604,MATCH(B75,'Content Calendar'!$A$5:$A$604,0)),"Not found"))</f>
        <v>0</v>
      </c>
      <c r="S75" s="23">
        <f>IF(B75="","",IF(COUNTIF(Performance!$B$5:$B$404,B75)=0,"",SUMIFS(Performance!$O$5:$O$404,Performance!$B$5:$B$404,B75)))</f>
        <v>0</v>
      </c>
      <c r="T75" s="23">
        <f>IF(B75="","",IF(COUNTIF(Performance!$B$5:$B$404,B75)=0,"",SUMIFS(Performance!$P$5:$P$404,Performance!$B$5:$B$404,B75)))</f>
        <v>0</v>
      </c>
      <c r="U75" s="23">
        <f>IF(B75="","",IF(COUNTIF(Performance!$B$5:$B$404,B75)=0,"",SUMIFS(Performance!$Z$5:$Z$404,Performance!$B$5:$B$404,B75)))</f>
        <v>0</v>
      </c>
      <c r="V75" s="24">
        <f>IF(OR(S75="",S75=0),"",U75/S75)</f>
        <v>0</v>
      </c>
      <c r="W75" s="23">
        <f>IF(B75="","",IF(COUNTIF(Performance!$B$5:$B$404,B75)=0,"",SUMIFS(Performance!$T$5:$T$404,Performance!$B$5:$B$404,B75)))</f>
        <v>0</v>
      </c>
      <c r="X75" s="23">
        <f>IF(B75="","",IF(COUNTIF(Performance!$B$5:$B$404,B75)=0,"",SUMIFS(Performance!$S$5:$S$404,Performance!$B$5:$B$404,B75)))</f>
        <v>0</v>
      </c>
      <c r="Y75" s="23">
        <f>IF(B75="","",IF(COUNTIF(Performance!$B$5:$B$404,B75)=0,"",SUMIFS(Performance!$R$5:$R$404,Performance!$B$5:$B$404,B75)))</f>
        <v>0</v>
      </c>
      <c r="Z75" s="23">
        <f>IF(B75="","",IF(COUNTIF(Performance!$B$5:$B$404,B75)=0,"",SUMIFS(Performance!$U$5:$U$404,Performance!$B$5:$B$404,B75)))</f>
        <v>0</v>
      </c>
      <c r="AA75" s="29">
        <f>IF(B75="","",IF(C75="Not found","Check - content ID not on the calendar",IF(G75="","Add - no hook written",IF(H75="","Add - no sound chosen",IF(AND(P75&lt;&gt;"",P75&lt;0.25),"Review - most people scroll away early","OK")))))</f>
        <v>0</v>
      </c>
    </row>
    <row r="76" spans="1:27">
      <c r="A76" s="41">
        <f>IF(B76="","","TT-"&amp;TEXT(ROW()-4,"000"))</f>
        <v>0</v>
      </c>
      <c r="C76" s="17">
        <f>IF(B76="","",IFERROR(INDEX('Content Calendar'!$H$5:$H$604,MATCH(B76,'Content Calendar'!$A$5:$A$604,0)),"Not found"))</f>
        <v>0</v>
      </c>
      <c r="D76" s="16">
        <f>IF(B76="","",IFERROR(INDEX('Content Calendar'!$B$5:$B$604,MATCH(B76,'Content Calendar'!$A$5:$A$604,0)),"Not found"))</f>
        <v>0</v>
      </c>
      <c r="E76" s="17">
        <f>IF(B76="","",IFERROR(INDEX('Content Calendar'!$J$5:$J$604,MATCH(B76,'Content Calendar'!$A$5:$A$604,0)),"Not found"))</f>
        <v>0</v>
      </c>
      <c r="F76" s="29">
        <f>IF(B76="","",IFERROR(INDEX('Content Calendar'!$X$5:$X$604,MATCH(B76,'Content Calendar'!$A$5:$A$604,0)),"Not found"))</f>
        <v>0</v>
      </c>
      <c r="S76" s="23">
        <f>IF(B76="","",IF(COUNTIF(Performance!$B$5:$B$404,B76)=0,"",SUMIFS(Performance!$O$5:$O$404,Performance!$B$5:$B$404,B76)))</f>
        <v>0</v>
      </c>
      <c r="T76" s="23">
        <f>IF(B76="","",IF(COUNTIF(Performance!$B$5:$B$404,B76)=0,"",SUMIFS(Performance!$P$5:$P$404,Performance!$B$5:$B$404,B76)))</f>
        <v>0</v>
      </c>
      <c r="U76" s="23">
        <f>IF(B76="","",IF(COUNTIF(Performance!$B$5:$B$404,B76)=0,"",SUMIFS(Performance!$Z$5:$Z$404,Performance!$B$5:$B$404,B76)))</f>
        <v>0</v>
      </c>
      <c r="V76" s="24">
        <f>IF(OR(S76="",S76=0),"",U76/S76)</f>
        <v>0</v>
      </c>
      <c r="W76" s="23">
        <f>IF(B76="","",IF(COUNTIF(Performance!$B$5:$B$404,B76)=0,"",SUMIFS(Performance!$T$5:$T$404,Performance!$B$5:$B$404,B76)))</f>
        <v>0</v>
      </c>
      <c r="X76" s="23">
        <f>IF(B76="","",IF(COUNTIF(Performance!$B$5:$B$404,B76)=0,"",SUMIFS(Performance!$S$5:$S$404,Performance!$B$5:$B$404,B76)))</f>
        <v>0</v>
      </c>
      <c r="Y76" s="23">
        <f>IF(B76="","",IF(COUNTIF(Performance!$B$5:$B$404,B76)=0,"",SUMIFS(Performance!$R$5:$R$404,Performance!$B$5:$B$404,B76)))</f>
        <v>0</v>
      </c>
      <c r="Z76" s="23">
        <f>IF(B76="","",IF(COUNTIF(Performance!$B$5:$B$404,B76)=0,"",SUMIFS(Performance!$U$5:$U$404,Performance!$B$5:$B$404,B76)))</f>
        <v>0</v>
      </c>
      <c r="AA76" s="29">
        <f>IF(B76="","",IF(C76="Not found","Check - content ID not on the calendar",IF(G76="","Add - no hook written",IF(H76="","Add - no sound chosen",IF(AND(P76&lt;&gt;"",P76&lt;0.25),"Review - most people scroll away early","OK")))))</f>
        <v>0</v>
      </c>
    </row>
    <row r="77" spans="1:27">
      <c r="A77" s="41">
        <f>IF(B77="","","TT-"&amp;TEXT(ROW()-4,"000"))</f>
        <v>0</v>
      </c>
      <c r="C77" s="17">
        <f>IF(B77="","",IFERROR(INDEX('Content Calendar'!$H$5:$H$604,MATCH(B77,'Content Calendar'!$A$5:$A$604,0)),"Not found"))</f>
        <v>0</v>
      </c>
      <c r="D77" s="16">
        <f>IF(B77="","",IFERROR(INDEX('Content Calendar'!$B$5:$B$604,MATCH(B77,'Content Calendar'!$A$5:$A$604,0)),"Not found"))</f>
        <v>0</v>
      </c>
      <c r="E77" s="17">
        <f>IF(B77="","",IFERROR(INDEX('Content Calendar'!$J$5:$J$604,MATCH(B77,'Content Calendar'!$A$5:$A$604,0)),"Not found"))</f>
        <v>0</v>
      </c>
      <c r="F77" s="29">
        <f>IF(B77="","",IFERROR(INDEX('Content Calendar'!$X$5:$X$604,MATCH(B77,'Content Calendar'!$A$5:$A$604,0)),"Not found"))</f>
        <v>0</v>
      </c>
      <c r="S77" s="23">
        <f>IF(B77="","",IF(COUNTIF(Performance!$B$5:$B$404,B77)=0,"",SUMIFS(Performance!$O$5:$O$404,Performance!$B$5:$B$404,B77)))</f>
        <v>0</v>
      </c>
      <c r="T77" s="23">
        <f>IF(B77="","",IF(COUNTIF(Performance!$B$5:$B$404,B77)=0,"",SUMIFS(Performance!$P$5:$P$404,Performance!$B$5:$B$404,B77)))</f>
        <v>0</v>
      </c>
      <c r="U77" s="23">
        <f>IF(B77="","",IF(COUNTIF(Performance!$B$5:$B$404,B77)=0,"",SUMIFS(Performance!$Z$5:$Z$404,Performance!$B$5:$B$404,B77)))</f>
        <v>0</v>
      </c>
      <c r="V77" s="24">
        <f>IF(OR(S77="",S77=0),"",U77/S77)</f>
        <v>0</v>
      </c>
      <c r="W77" s="23">
        <f>IF(B77="","",IF(COUNTIF(Performance!$B$5:$B$404,B77)=0,"",SUMIFS(Performance!$T$5:$T$404,Performance!$B$5:$B$404,B77)))</f>
        <v>0</v>
      </c>
      <c r="X77" s="23">
        <f>IF(B77="","",IF(COUNTIF(Performance!$B$5:$B$404,B77)=0,"",SUMIFS(Performance!$S$5:$S$404,Performance!$B$5:$B$404,B77)))</f>
        <v>0</v>
      </c>
      <c r="Y77" s="23">
        <f>IF(B77="","",IF(COUNTIF(Performance!$B$5:$B$404,B77)=0,"",SUMIFS(Performance!$R$5:$R$404,Performance!$B$5:$B$404,B77)))</f>
        <v>0</v>
      </c>
      <c r="Z77" s="23">
        <f>IF(B77="","",IF(COUNTIF(Performance!$B$5:$B$404,B77)=0,"",SUMIFS(Performance!$U$5:$U$404,Performance!$B$5:$B$404,B77)))</f>
        <v>0</v>
      </c>
      <c r="AA77" s="29">
        <f>IF(B77="","",IF(C77="Not found","Check - content ID not on the calendar",IF(G77="","Add - no hook written",IF(H77="","Add - no sound chosen",IF(AND(P77&lt;&gt;"",P77&lt;0.25),"Review - most people scroll away early","OK")))))</f>
        <v>0</v>
      </c>
    </row>
    <row r="78" spans="1:27">
      <c r="A78" s="41">
        <f>IF(B78="","","TT-"&amp;TEXT(ROW()-4,"000"))</f>
        <v>0</v>
      </c>
      <c r="C78" s="17">
        <f>IF(B78="","",IFERROR(INDEX('Content Calendar'!$H$5:$H$604,MATCH(B78,'Content Calendar'!$A$5:$A$604,0)),"Not found"))</f>
        <v>0</v>
      </c>
      <c r="D78" s="16">
        <f>IF(B78="","",IFERROR(INDEX('Content Calendar'!$B$5:$B$604,MATCH(B78,'Content Calendar'!$A$5:$A$604,0)),"Not found"))</f>
        <v>0</v>
      </c>
      <c r="E78" s="17">
        <f>IF(B78="","",IFERROR(INDEX('Content Calendar'!$J$5:$J$604,MATCH(B78,'Content Calendar'!$A$5:$A$604,0)),"Not found"))</f>
        <v>0</v>
      </c>
      <c r="F78" s="29">
        <f>IF(B78="","",IFERROR(INDEX('Content Calendar'!$X$5:$X$604,MATCH(B78,'Content Calendar'!$A$5:$A$604,0)),"Not found"))</f>
        <v>0</v>
      </c>
      <c r="S78" s="23">
        <f>IF(B78="","",IF(COUNTIF(Performance!$B$5:$B$404,B78)=0,"",SUMIFS(Performance!$O$5:$O$404,Performance!$B$5:$B$404,B78)))</f>
        <v>0</v>
      </c>
      <c r="T78" s="23">
        <f>IF(B78="","",IF(COUNTIF(Performance!$B$5:$B$404,B78)=0,"",SUMIFS(Performance!$P$5:$P$404,Performance!$B$5:$B$404,B78)))</f>
        <v>0</v>
      </c>
      <c r="U78" s="23">
        <f>IF(B78="","",IF(COUNTIF(Performance!$B$5:$B$404,B78)=0,"",SUMIFS(Performance!$Z$5:$Z$404,Performance!$B$5:$B$404,B78)))</f>
        <v>0</v>
      </c>
      <c r="V78" s="24">
        <f>IF(OR(S78="",S78=0),"",U78/S78)</f>
        <v>0</v>
      </c>
      <c r="W78" s="23">
        <f>IF(B78="","",IF(COUNTIF(Performance!$B$5:$B$404,B78)=0,"",SUMIFS(Performance!$T$5:$T$404,Performance!$B$5:$B$404,B78)))</f>
        <v>0</v>
      </c>
      <c r="X78" s="23">
        <f>IF(B78="","",IF(COUNTIF(Performance!$B$5:$B$404,B78)=0,"",SUMIFS(Performance!$S$5:$S$404,Performance!$B$5:$B$404,B78)))</f>
        <v>0</v>
      </c>
      <c r="Y78" s="23">
        <f>IF(B78="","",IF(COUNTIF(Performance!$B$5:$B$404,B78)=0,"",SUMIFS(Performance!$R$5:$R$404,Performance!$B$5:$B$404,B78)))</f>
        <v>0</v>
      </c>
      <c r="Z78" s="23">
        <f>IF(B78="","",IF(COUNTIF(Performance!$B$5:$B$404,B78)=0,"",SUMIFS(Performance!$U$5:$U$404,Performance!$B$5:$B$404,B78)))</f>
        <v>0</v>
      </c>
      <c r="AA78" s="29">
        <f>IF(B78="","",IF(C78="Not found","Check - content ID not on the calendar",IF(G78="","Add - no hook written",IF(H78="","Add - no sound chosen",IF(AND(P78&lt;&gt;"",P78&lt;0.25),"Review - most people scroll away early","OK")))))</f>
        <v>0</v>
      </c>
    </row>
    <row r="79" spans="1:27">
      <c r="A79" s="41">
        <f>IF(B79="","","TT-"&amp;TEXT(ROW()-4,"000"))</f>
        <v>0</v>
      </c>
      <c r="C79" s="17">
        <f>IF(B79="","",IFERROR(INDEX('Content Calendar'!$H$5:$H$604,MATCH(B79,'Content Calendar'!$A$5:$A$604,0)),"Not found"))</f>
        <v>0</v>
      </c>
      <c r="D79" s="16">
        <f>IF(B79="","",IFERROR(INDEX('Content Calendar'!$B$5:$B$604,MATCH(B79,'Content Calendar'!$A$5:$A$604,0)),"Not found"))</f>
        <v>0</v>
      </c>
      <c r="E79" s="17">
        <f>IF(B79="","",IFERROR(INDEX('Content Calendar'!$J$5:$J$604,MATCH(B79,'Content Calendar'!$A$5:$A$604,0)),"Not found"))</f>
        <v>0</v>
      </c>
      <c r="F79" s="29">
        <f>IF(B79="","",IFERROR(INDEX('Content Calendar'!$X$5:$X$604,MATCH(B79,'Content Calendar'!$A$5:$A$604,0)),"Not found"))</f>
        <v>0</v>
      </c>
      <c r="S79" s="23">
        <f>IF(B79="","",IF(COUNTIF(Performance!$B$5:$B$404,B79)=0,"",SUMIFS(Performance!$O$5:$O$404,Performance!$B$5:$B$404,B79)))</f>
        <v>0</v>
      </c>
      <c r="T79" s="23">
        <f>IF(B79="","",IF(COUNTIF(Performance!$B$5:$B$404,B79)=0,"",SUMIFS(Performance!$P$5:$P$404,Performance!$B$5:$B$404,B79)))</f>
        <v>0</v>
      </c>
      <c r="U79" s="23">
        <f>IF(B79="","",IF(COUNTIF(Performance!$B$5:$B$404,B79)=0,"",SUMIFS(Performance!$Z$5:$Z$404,Performance!$B$5:$B$404,B79)))</f>
        <v>0</v>
      </c>
      <c r="V79" s="24">
        <f>IF(OR(S79="",S79=0),"",U79/S79)</f>
        <v>0</v>
      </c>
      <c r="W79" s="23">
        <f>IF(B79="","",IF(COUNTIF(Performance!$B$5:$B$404,B79)=0,"",SUMIFS(Performance!$T$5:$T$404,Performance!$B$5:$B$404,B79)))</f>
        <v>0</v>
      </c>
      <c r="X79" s="23">
        <f>IF(B79="","",IF(COUNTIF(Performance!$B$5:$B$404,B79)=0,"",SUMIFS(Performance!$S$5:$S$404,Performance!$B$5:$B$404,B79)))</f>
        <v>0</v>
      </c>
      <c r="Y79" s="23">
        <f>IF(B79="","",IF(COUNTIF(Performance!$B$5:$B$404,B79)=0,"",SUMIFS(Performance!$R$5:$R$404,Performance!$B$5:$B$404,B79)))</f>
        <v>0</v>
      </c>
      <c r="Z79" s="23">
        <f>IF(B79="","",IF(COUNTIF(Performance!$B$5:$B$404,B79)=0,"",SUMIFS(Performance!$U$5:$U$404,Performance!$B$5:$B$404,B79)))</f>
        <v>0</v>
      </c>
      <c r="AA79" s="29">
        <f>IF(B79="","",IF(C79="Not found","Check - content ID not on the calendar",IF(G79="","Add - no hook written",IF(H79="","Add - no sound chosen",IF(AND(P79&lt;&gt;"",P79&lt;0.25),"Review - most people scroll away early","OK")))))</f>
        <v>0</v>
      </c>
    </row>
    <row r="80" spans="1:27">
      <c r="A80" s="41">
        <f>IF(B80="","","TT-"&amp;TEXT(ROW()-4,"000"))</f>
        <v>0</v>
      </c>
      <c r="C80" s="17">
        <f>IF(B80="","",IFERROR(INDEX('Content Calendar'!$H$5:$H$604,MATCH(B80,'Content Calendar'!$A$5:$A$604,0)),"Not found"))</f>
        <v>0</v>
      </c>
      <c r="D80" s="16">
        <f>IF(B80="","",IFERROR(INDEX('Content Calendar'!$B$5:$B$604,MATCH(B80,'Content Calendar'!$A$5:$A$604,0)),"Not found"))</f>
        <v>0</v>
      </c>
      <c r="E80" s="17">
        <f>IF(B80="","",IFERROR(INDEX('Content Calendar'!$J$5:$J$604,MATCH(B80,'Content Calendar'!$A$5:$A$604,0)),"Not found"))</f>
        <v>0</v>
      </c>
      <c r="F80" s="29">
        <f>IF(B80="","",IFERROR(INDEX('Content Calendar'!$X$5:$X$604,MATCH(B80,'Content Calendar'!$A$5:$A$604,0)),"Not found"))</f>
        <v>0</v>
      </c>
      <c r="S80" s="23">
        <f>IF(B80="","",IF(COUNTIF(Performance!$B$5:$B$404,B80)=0,"",SUMIFS(Performance!$O$5:$O$404,Performance!$B$5:$B$404,B80)))</f>
        <v>0</v>
      </c>
      <c r="T80" s="23">
        <f>IF(B80="","",IF(COUNTIF(Performance!$B$5:$B$404,B80)=0,"",SUMIFS(Performance!$P$5:$P$404,Performance!$B$5:$B$404,B80)))</f>
        <v>0</v>
      </c>
      <c r="U80" s="23">
        <f>IF(B80="","",IF(COUNTIF(Performance!$B$5:$B$404,B80)=0,"",SUMIFS(Performance!$Z$5:$Z$404,Performance!$B$5:$B$404,B80)))</f>
        <v>0</v>
      </c>
      <c r="V80" s="24">
        <f>IF(OR(S80="",S80=0),"",U80/S80)</f>
        <v>0</v>
      </c>
      <c r="W80" s="23">
        <f>IF(B80="","",IF(COUNTIF(Performance!$B$5:$B$404,B80)=0,"",SUMIFS(Performance!$T$5:$T$404,Performance!$B$5:$B$404,B80)))</f>
        <v>0</v>
      </c>
      <c r="X80" s="23">
        <f>IF(B80="","",IF(COUNTIF(Performance!$B$5:$B$404,B80)=0,"",SUMIFS(Performance!$S$5:$S$404,Performance!$B$5:$B$404,B80)))</f>
        <v>0</v>
      </c>
      <c r="Y80" s="23">
        <f>IF(B80="","",IF(COUNTIF(Performance!$B$5:$B$404,B80)=0,"",SUMIFS(Performance!$R$5:$R$404,Performance!$B$5:$B$404,B80)))</f>
        <v>0</v>
      </c>
      <c r="Z80" s="23">
        <f>IF(B80="","",IF(COUNTIF(Performance!$B$5:$B$404,B80)=0,"",SUMIFS(Performance!$U$5:$U$404,Performance!$B$5:$B$404,B80)))</f>
        <v>0</v>
      </c>
      <c r="AA80" s="29">
        <f>IF(B80="","",IF(C80="Not found","Check - content ID not on the calendar",IF(G80="","Add - no hook written",IF(H80="","Add - no sound chosen",IF(AND(P80&lt;&gt;"",P80&lt;0.25),"Review - most people scroll away early","OK")))))</f>
        <v>0</v>
      </c>
    </row>
    <row r="81" spans="1:27">
      <c r="A81" s="41">
        <f>IF(B81="","","TT-"&amp;TEXT(ROW()-4,"000"))</f>
        <v>0</v>
      </c>
      <c r="C81" s="17">
        <f>IF(B81="","",IFERROR(INDEX('Content Calendar'!$H$5:$H$604,MATCH(B81,'Content Calendar'!$A$5:$A$604,0)),"Not found"))</f>
        <v>0</v>
      </c>
      <c r="D81" s="16">
        <f>IF(B81="","",IFERROR(INDEX('Content Calendar'!$B$5:$B$604,MATCH(B81,'Content Calendar'!$A$5:$A$604,0)),"Not found"))</f>
        <v>0</v>
      </c>
      <c r="E81" s="17">
        <f>IF(B81="","",IFERROR(INDEX('Content Calendar'!$J$5:$J$604,MATCH(B81,'Content Calendar'!$A$5:$A$604,0)),"Not found"))</f>
        <v>0</v>
      </c>
      <c r="F81" s="29">
        <f>IF(B81="","",IFERROR(INDEX('Content Calendar'!$X$5:$X$604,MATCH(B81,'Content Calendar'!$A$5:$A$604,0)),"Not found"))</f>
        <v>0</v>
      </c>
      <c r="S81" s="23">
        <f>IF(B81="","",IF(COUNTIF(Performance!$B$5:$B$404,B81)=0,"",SUMIFS(Performance!$O$5:$O$404,Performance!$B$5:$B$404,B81)))</f>
        <v>0</v>
      </c>
      <c r="T81" s="23">
        <f>IF(B81="","",IF(COUNTIF(Performance!$B$5:$B$404,B81)=0,"",SUMIFS(Performance!$P$5:$P$404,Performance!$B$5:$B$404,B81)))</f>
        <v>0</v>
      </c>
      <c r="U81" s="23">
        <f>IF(B81="","",IF(COUNTIF(Performance!$B$5:$B$404,B81)=0,"",SUMIFS(Performance!$Z$5:$Z$404,Performance!$B$5:$B$404,B81)))</f>
        <v>0</v>
      </c>
      <c r="V81" s="24">
        <f>IF(OR(S81="",S81=0),"",U81/S81)</f>
        <v>0</v>
      </c>
      <c r="W81" s="23">
        <f>IF(B81="","",IF(COUNTIF(Performance!$B$5:$B$404,B81)=0,"",SUMIFS(Performance!$T$5:$T$404,Performance!$B$5:$B$404,B81)))</f>
        <v>0</v>
      </c>
      <c r="X81" s="23">
        <f>IF(B81="","",IF(COUNTIF(Performance!$B$5:$B$404,B81)=0,"",SUMIFS(Performance!$S$5:$S$404,Performance!$B$5:$B$404,B81)))</f>
        <v>0</v>
      </c>
      <c r="Y81" s="23">
        <f>IF(B81="","",IF(COUNTIF(Performance!$B$5:$B$404,B81)=0,"",SUMIFS(Performance!$R$5:$R$404,Performance!$B$5:$B$404,B81)))</f>
        <v>0</v>
      </c>
      <c r="Z81" s="23">
        <f>IF(B81="","",IF(COUNTIF(Performance!$B$5:$B$404,B81)=0,"",SUMIFS(Performance!$U$5:$U$404,Performance!$B$5:$B$404,B81)))</f>
        <v>0</v>
      </c>
      <c r="AA81" s="29">
        <f>IF(B81="","",IF(C81="Not found","Check - content ID not on the calendar",IF(G81="","Add - no hook written",IF(H81="","Add - no sound chosen",IF(AND(P81&lt;&gt;"",P81&lt;0.25),"Review - most people scroll away early","OK")))))</f>
        <v>0</v>
      </c>
    </row>
    <row r="82" spans="1:27">
      <c r="A82" s="41">
        <f>IF(B82="","","TT-"&amp;TEXT(ROW()-4,"000"))</f>
        <v>0</v>
      </c>
      <c r="C82" s="17">
        <f>IF(B82="","",IFERROR(INDEX('Content Calendar'!$H$5:$H$604,MATCH(B82,'Content Calendar'!$A$5:$A$604,0)),"Not found"))</f>
        <v>0</v>
      </c>
      <c r="D82" s="16">
        <f>IF(B82="","",IFERROR(INDEX('Content Calendar'!$B$5:$B$604,MATCH(B82,'Content Calendar'!$A$5:$A$604,0)),"Not found"))</f>
        <v>0</v>
      </c>
      <c r="E82" s="17">
        <f>IF(B82="","",IFERROR(INDEX('Content Calendar'!$J$5:$J$604,MATCH(B82,'Content Calendar'!$A$5:$A$604,0)),"Not found"))</f>
        <v>0</v>
      </c>
      <c r="F82" s="29">
        <f>IF(B82="","",IFERROR(INDEX('Content Calendar'!$X$5:$X$604,MATCH(B82,'Content Calendar'!$A$5:$A$604,0)),"Not found"))</f>
        <v>0</v>
      </c>
      <c r="S82" s="23">
        <f>IF(B82="","",IF(COUNTIF(Performance!$B$5:$B$404,B82)=0,"",SUMIFS(Performance!$O$5:$O$404,Performance!$B$5:$B$404,B82)))</f>
        <v>0</v>
      </c>
      <c r="T82" s="23">
        <f>IF(B82="","",IF(COUNTIF(Performance!$B$5:$B$404,B82)=0,"",SUMIFS(Performance!$P$5:$P$404,Performance!$B$5:$B$404,B82)))</f>
        <v>0</v>
      </c>
      <c r="U82" s="23">
        <f>IF(B82="","",IF(COUNTIF(Performance!$B$5:$B$404,B82)=0,"",SUMIFS(Performance!$Z$5:$Z$404,Performance!$B$5:$B$404,B82)))</f>
        <v>0</v>
      </c>
      <c r="V82" s="24">
        <f>IF(OR(S82="",S82=0),"",U82/S82)</f>
        <v>0</v>
      </c>
      <c r="W82" s="23">
        <f>IF(B82="","",IF(COUNTIF(Performance!$B$5:$B$404,B82)=0,"",SUMIFS(Performance!$T$5:$T$404,Performance!$B$5:$B$404,B82)))</f>
        <v>0</v>
      </c>
      <c r="X82" s="23">
        <f>IF(B82="","",IF(COUNTIF(Performance!$B$5:$B$404,B82)=0,"",SUMIFS(Performance!$S$5:$S$404,Performance!$B$5:$B$404,B82)))</f>
        <v>0</v>
      </c>
      <c r="Y82" s="23">
        <f>IF(B82="","",IF(COUNTIF(Performance!$B$5:$B$404,B82)=0,"",SUMIFS(Performance!$R$5:$R$404,Performance!$B$5:$B$404,B82)))</f>
        <v>0</v>
      </c>
      <c r="Z82" s="23">
        <f>IF(B82="","",IF(COUNTIF(Performance!$B$5:$B$404,B82)=0,"",SUMIFS(Performance!$U$5:$U$404,Performance!$B$5:$B$404,B82)))</f>
        <v>0</v>
      </c>
      <c r="AA82" s="29">
        <f>IF(B82="","",IF(C82="Not found","Check - content ID not on the calendar",IF(G82="","Add - no hook written",IF(H82="","Add - no sound chosen",IF(AND(P82&lt;&gt;"",P82&lt;0.25),"Review - most people scroll away early","OK")))))</f>
        <v>0</v>
      </c>
    </row>
    <row r="83" spans="1:27">
      <c r="A83" s="41">
        <f>IF(B83="","","TT-"&amp;TEXT(ROW()-4,"000"))</f>
        <v>0</v>
      </c>
      <c r="C83" s="17">
        <f>IF(B83="","",IFERROR(INDEX('Content Calendar'!$H$5:$H$604,MATCH(B83,'Content Calendar'!$A$5:$A$604,0)),"Not found"))</f>
        <v>0</v>
      </c>
      <c r="D83" s="16">
        <f>IF(B83="","",IFERROR(INDEX('Content Calendar'!$B$5:$B$604,MATCH(B83,'Content Calendar'!$A$5:$A$604,0)),"Not found"))</f>
        <v>0</v>
      </c>
      <c r="E83" s="17">
        <f>IF(B83="","",IFERROR(INDEX('Content Calendar'!$J$5:$J$604,MATCH(B83,'Content Calendar'!$A$5:$A$604,0)),"Not found"))</f>
        <v>0</v>
      </c>
      <c r="F83" s="29">
        <f>IF(B83="","",IFERROR(INDEX('Content Calendar'!$X$5:$X$604,MATCH(B83,'Content Calendar'!$A$5:$A$604,0)),"Not found"))</f>
        <v>0</v>
      </c>
      <c r="S83" s="23">
        <f>IF(B83="","",IF(COUNTIF(Performance!$B$5:$B$404,B83)=0,"",SUMIFS(Performance!$O$5:$O$404,Performance!$B$5:$B$404,B83)))</f>
        <v>0</v>
      </c>
      <c r="T83" s="23">
        <f>IF(B83="","",IF(COUNTIF(Performance!$B$5:$B$404,B83)=0,"",SUMIFS(Performance!$P$5:$P$404,Performance!$B$5:$B$404,B83)))</f>
        <v>0</v>
      </c>
      <c r="U83" s="23">
        <f>IF(B83="","",IF(COUNTIF(Performance!$B$5:$B$404,B83)=0,"",SUMIFS(Performance!$Z$5:$Z$404,Performance!$B$5:$B$404,B83)))</f>
        <v>0</v>
      </c>
      <c r="V83" s="24">
        <f>IF(OR(S83="",S83=0),"",U83/S83)</f>
        <v>0</v>
      </c>
      <c r="W83" s="23">
        <f>IF(B83="","",IF(COUNTIF(Performance!$B$5:$B$404,B83)=0,"",SUMIFS(Performance!$T$5:$T$404,Performance!$B$5:$B$404,B83)))</f>
        <v>0</v>
      </c>
      <c r="X83" s="23">
        <f>IF(B83="","",IF(COUNTIF(Performance!$B$5:$B$404,B83)=0,"",SUMIFS(Performance!$S$5:$S$404,Performance!$B$5:$B$404,B83)))</f>
        <v>0</v>
      </c>
      <c r="Y83" s="23">
        <f>IF(B83="","",IF(COUNTIF(Performance!$B$5:$B$404,B83)=0,"",SUMIFS(Performance!$R$5:$R$404,Performance!$B$5:$B$404,B83)))</f>
        <v>0</v>
      </c>
      <c r="Z83" s="23">
        <f>IF(B83="","",IF(COUNTIF(Performance!$B$5:$B$404,B83)=0,"",SUMIFS(Performance!$U$5:$U$404,Performance!$B$5:$B$404,B83)))</f>
        <v>0</v>
      </c>
      <c r="AA83" s="29">
        <f>IF(B83="","",IF(C83="Not found","Check - content ID not on the calendar",IF(G83="","Add - no hook written",IF(H83="","Add - no sound chosen",IF(AND(P83&lt;&gt;"",P83&lt;0.25),"Review - most people scroll away early","OK")))))</f>
        <v>0</v>
      </c>
    </row>
    <row r="84" spans="1:27">
      <c r="A84" s="41">
        <f>IF(B84="","","TT-"&amp;TEXT(ROW()-4,"000"))</f>
        <v>0</v>
      </c>
      <c r="C84" s="17">
        <f>IF(B84="","",IFERROR(INDEX('Content Calendar'!$H$5:$H$604,MATCH(B84,'Content Calendar'!$A$5:$A$604,0)),"Not found"))</f>
        <v>0</v>
      </c>
      <c r="D84" s="16">
        <f>IF(B84="","",IFERROR(INDEX('Content Calendar'!$B$5:$B$604,MATCH(B84,'Content Calendar'!$A$5:$A$604,0)),"Not found"))</f>
        <v>0</v>
      </c>
      <c r="E84" s="17">
        <f>IF(B84="","",IFERROR(INDEX('Content Calendar'!$J$5:$J$604,MATCH(B84,'Content Calendar'!$A$5:$A$604,0)),"Not found"))</f>
        <v>0</v>
      </c>
      <c r="F84" s="29">
        <f>IF(B84="","",IFERROR(INDEX('Content Calendar'!$X$5:$X$604,MATCH(B84,'Content Calendar'!$A$5:$A$604,0)),"Not found"))</f>
        <v>0</v>
      </c>
      <c r="S84" s="23">
        <f>IF(B84="","",IF(COUNTIF(Performance!$B$5:$B$404,B84)=0,"",SUMIFS(Performance!$O$5:$O$404,Performance!$B$5:$B$404,B84)))</f>
        <v>0</v>
      </c>
      <c r="T84" s="23">
        <f>IF(B84="","",IF(COUNTIF(Performance!$B$5:$B$404,B84)=0,"",SUMIFS(Performance!$P$5:$P$404,Performance!$B$5:$B$404,B84)))</f>
        <v>0</v>
      </c>
      <c r="U84" s="23">
        <f>IF(B84="","",IF(COUNTIF(Performance!$B$5:$B$404,B84)=0,"",SUMIFS(Performance!$Z$5:$Z$404,Performance!$B$5:$B$404,B84)))</f>
        <v>0</v>
      </c>
      <c r="V84" s="24">
        <f>IF(OR(S84="",S84=0),"",U84/S84)</f>
        <v>0</v>
      </c>
      <c r="W84" s="23">
        <f>IF(B84="","",IF(COUNTIF(Performance!$B$5:$B$404,B84)=0,"",SUMIFS(Performance!$T$5:$T$404,Performance!$B$5:$B$404,B84)))</f>
        <v>0</v>
      </c>
      <c r="X84" s="23">
        <f>IF(B84="","",IF(COUNTIF(Performance!$B$5:$B$404,B84)=0,"",SUMIFS(Performance!$S$5:$S$404,Performance!$B$5:$B$404,B84)))</f>
        <v>0</v>
      </c>
      <c r="Y84" s="23">
        <f>IF(B84="","",IF(COUNTIF(Performance!$B$5:$B$404,B84)=0,"",SUMIFS(Performance!$R$5:$R$404,Performance!$B$5:$B$404,B84)))</f>
        <v>0</v>
      </c>
      <c r="Z84" s="23">
        <f>IF(B84="","",IF(COUNTIF(Performance!$B$5:$B$404,B84)=0,"",SUMIFS(Performance!$U$5:$U$404,Performance!$B$5:$B$404,B84)))</f>
        <v>0</v>
      </c>
      <c r="AA84" s="29">
        <f>IF(B84="","",IF(C84="Not found","Check - content ID not on the calendar",IF(G84="","Add - no hook written",IF(H84="","Add - no sound chosen",IF(AND(P84&lt;&gt;"",P84&lt;0.25),"Review - most people scroll away early","OK")))))</f>
        <v>0</v>
      </c>
    </row>
    <row r="85" spans="1:27">
      <c r="A85" s="41">
        <f>IF(B85="","","TT-"&amp;TEXT(ROW()-4,"000"))</f>
        <v>0</v>
      </c>
      <c r="C85" s="17">
        <f>IF(B85="","",IFERROR(INDEX('Content Calendar'!$H$5:$H$604,MATCH(B85,'Content Calendar'!$A$5:$A$604,0)),"Not found"))</f>
        <v>0</v>
      </c>
      <c r="D85" s="16">
        <f>IF(B85="","",IFERROR(INDEX('Content Calendar'!$B$5:$B$604,MATCH(B85,'Content Calendar'!$A$5:$A$604,0)),"Not found"))</f>
        <v>0</v>
      </c>
      <c r="E85" s="17">
        <f>IF(B85="","",IFERROR(INDEX('Content Calendar'!$J$5:$J$604,MATCH(B85,'Content Calendar'!$A$5:$A$604,0)),"Not found"))</f>
        <v>0</v>
      </c>
      <c r="F85" s="29">
        <f>IF(B85="","",IFERROR(INDEX('Content Calendar'!$X$5:$X$604,MATCH(B85,'Content Calendar'!$A$5:$A$604,0)),"Not found"))</f>
        <v>0</v>
      </c>
      <c r="S85" s="23">
        <f>IF(B85="","",IF(COUNTIF(Performance!$B$5:$B$404,B85)=0,"",SUMIFS(Performance!$O$5:$O$404,Performance!$B$5:$B$404,B85)))</f>
        <v>0</v>
      </c>
      <c r="T85" s="23">
        <f>IF(B85="","",IF(COUNTIF(Performance!$B$5:$B$404,B85)=0,"",SUMIFS(Performance!$P$5:$P$404,Performance!$B$5:$B$404,B85)))</f>
        <v>0</v>
      </c>
      <c r="U85" s="23">
        <f>IF(B85="","",IF(COUNTIF(Performance!$B$5:$B$404,B85)=0,"",SUMIFS(Performance!$Z$5:$Z$404,Performance!$B$5:$B$404,B85)))</f>
        <v>0</v>
      </c>
      <c r="V85" s="24">
        <f>IF(OR(S85="",S85=0),"",U85/S85)</f>
        <v>0</v>
      </c>
      <c r="W85" s="23">
        <f>IF(B85="","",IF(COUNTIF(Performance!$B$5:$B$404,B85)=0,"",SUMIFS(Performance!$T$5:$T$404,Performance!$B$5:$B$404,B85)))</f>
        <v>0</v>
      </c>
      <c r="X85" s="23">
        <f>IF(B85="","",IF(COUNTIF(Performance!$B$5:$B$404,B85)=0,"",SUMIFS(Performance!$S$5:$S$404,Performance!$B$5:$B$404,B85)))</f>
        <v>0</v>
      </c>
      <c r="Y85" s="23">
        <f>IF(B85="","",IF(COUNTIF(Performance!$B$5:$B$404,B85)=0,"",SUMIFS(Performance!$R$5:$R$404,Performance!$B$5:$B$404,B85)))</f>
        <v>0</v>
      </c>
      <c r="Z85" s="23">
        <f>IF(B85="","",IF(COUNTIF(Performance!$B$5:$B$404,B85)=0,"",SUMIFS(Performance!$U$5:$U$404,Performance!$B$5:$B$404,B85)))</f>
        <v>0</v>
      </c>
      <c r="AA85" s="29">
        <f>IF(B85="","",IF(C85="Not found","Check - content ID not on the calendar",IF(G85="","Add - no hook written",IF(H85="","Add - no sound chosen",IF(AND(P85&lt;&gt;"",P85&lt;0.25),"Review - most people scroll away early","OK")))))</f>
        <v>0</v>
      </c>
    </row>
    <row r="86" spans="1:27">
      <c r="A86" s="41">
        <f>IF(B86="","","TT-"&amp;TEXT(ROW()-4,"000"))</f>
        <v>0</v>
      </c>
      <c r="C86" s="17">
        <f>IF(B86="","",IFERROR(INDEX('Content Calendar'!$H$5:$H$604,MATCH(B86,'Content Calendar'!$A$5:$A$604,0)),"Not found"))</f>
        <v>0</v>
      </c>
      <c r="D86" s="16">
        <f>IF(B86="","",IFERROR(INDEX('Content Calendar'!$B$5:$B$604,MATCH(B86,'Content Calendar'!$A$5:$A$604,0)),"Not found"))</f>
        <v>0</v>
      </c>
      <c r="E86" s="17">
        <f>IF(B86="","",IFERROR(INDEX('Content Calendar'!$J$5:$J$604,MATCH(B86,'Content Calendar'!$A$5:$A$604,0)),"Not found"))</f>
        <v>0</v>
      </c>
      <c r="F86" s="29">
        <f>IF(B86="","",IFERROR(INDEX('Content Calendar'!$X$5:$X$604,MATCH(B86,'Content Calendar'!$A$5:$A$604,0)),"Not found"))</f>
        <v>0</v>
      </c>
      <c r="S86" s="23">
        <f>IF(B86="","",IF(COUNTIF(Performance!$B$5:$B$404,B86)=0,"",SUMIFS(Performance!$O$5:$O$404,Performance!$B$5:$B$404,B86)))</f>
        <v>0</v>
      </c>
      <c r="T86" s="23">
        <f>IF(B86="","",IF(COUNTIF(Performance!$B$5:$B$404,B86)=0,"",SUMIFS(Performance!$P$5:$P$404,Performance!$B$5:$B$404,B86)))</f>
        <v>0</v>
      </c>
      <c r="U86" s="23">
        <f>IF(B86="","",IF(COUNTIF(Performance!$B$5:$B$404,B86)=0,"",SUMIFS(Performance!$Z$5:$Z$404,Performance!$B$5:$B$404,B86)))</f>
        <v>0</v>
      </c>
      <c r="V86" s="24">
        <f>IF(OR(S86="",S86=0),"",U86/S86)</f>
        <v>0</v>
      </c>
      <c r="W86" s="23">
        <f>IF(B86="","",IF(COUNTIF(Performance!$B$5:$B$404,B86)=0,"",SUMIFS(Performance!$T$5:$T$404,Performance!$B$5:$B$404,B86)))</f>
        <v>0</v>
      </c>
      <c r="X86" s="23">
        <f>IF(B86="","",IF(COUNTIF(Performance!$B$5:$B$404,B86)=0,"",SUMIFS(Performance!$S$5:$S$404,Performance!$B$5:$B$404,B86)))</f>
        <v>0</v>
      </c>
      <c r="Y86" s="23">
        <f>IF(B86="","",IF(COUNTIF(Performance!$B$5:$B$404,B86)=0,"",SUMIFS(Performance!$R$5:$R$404,Performance!$B$5:$B$404,B86)))</f>
        <v>0</v>
      </c>
      <c r="Z86" s="23">
        <f>IF(B86="","",IF(COUNTIF(Performance!$B$5:$B$404,B86)=0,"",SUMIFS(Performance!$U$5:$U$404,Performance!$B$5:$B$404,B86)))</f>
        <v>0</v>
      </c>
      <c r="AA86" s="29">
        <f>IF(B86="","",IF(C86="Not found","Check - content ID not on the calendar",IF(G86="","Add - no hook written",IF(H86="","Add - no sound chosen",IF(AND(P86&lt;&gt;"",P86&lt;0.25),"Review - most people scroll away early","OK")))))</f>
        <v>0</v>
      </c>
    </row>
    <row r="87" spans="1:27">
      <c r="A87" s="41">
        <f>IF(B87="","","TT-"&amp;TEXT(ROW()-4,"000"))</f>
        <v>0</v>
      </c>
      <c r="C87" s="17">
        <f>IF(B87="","",IFERROR(INDEX('Content Calendar'!$H$5:$H$604,MATCH(B87,'Content Calendar'!$A$5:$A$604,0)),"Not found"))</f>
        <v>0</v>
      </c>
      <c r="D87" s="16">
        <f>IF(B87="","",IFERROR(INDEX('Content Calendar'!$B$5:$B$604,MATCH(B87,'Content Calendar'!$A$5:$A$604,0)),"Not found"))</f>
        <v>0</v>
      </c>
      <c r="E87" s="17">
        <f>IF(B87="","",IFERROR(INDEX('Content Calendar'!$J$5:$J$604,MATCH(B87,'Content Calendar'!$A$5:$A$604,0)),"Not found"))</f>
        <v>0</v>
      </c>
      <c r="F87" s="29">
        <f>IF(B87="","",IFERROR(INDEX('Content Calendar'!$X$5:$X$604,MATCH(B87,'Content Calendar'!$A$5:$A$604,0)),"Not found"))</f>
        <v>0</v>
      </c>
      <c r="S87" s="23">
        <f>IF(B87="","",IF(COUNTIF(Performance!$B$5:$B$404,B87)=0,"",SUMIFS(Performance!$O$5:$O$404,Performance!$B$5:$B$404,B87)))</f>
        <v>0</v>
      </c>
      <c r="T87" s="23">
        <f>IF(B87="","",IF(COUNTIF(Performance!$B$5:$B$404,B87)=0,"",SUMIFS(Performance!$P$5:$P$404,Performance!$B$5:$B$404,B87)))</f>
        <v>0</v>
      </c>
      <c r="U87" s="23">
        <f>IF(B87="","",IF(COUNTIF(Performance!$B$5:$B$404,B87)=0,"",SUMIFS(Performance!$Z$5:$Z$404,Performance!$B$5:$B$404,B87)))</f>
        <v>0</v>
      </c>
      <c r="V87" s="24">
        <f>IF(OR(S87="",S87=0),"",U87/S87)</f>
        <v>0</v>
      </c>
      <c r="W87" s="23">
        <f>IF(B87="","",IF(COUNTIF(Performance!$B$5:$B$404,B87)=0,"",SUMIFS(Performance!$T$5:$T$404,Performance!$B$5:$B$404,B87)))</f>
        <v>0</v>
      </c>
      <c r="X87" s="23">
        <f>IF(B87="","",IF(COUNTIF(Performance!$B$5:$B$404,B87)=0,"",SUMIFS(Performance!$S$5:$S$404,Performance!$B$5:$B$404,B87)))</f>
        <v>0</v>
      </c>
      <c r="Y87" s="23">
        <f>IF(B87="","",IF(COUNTIF(Performance!$B$5:$B$404,B87)=0,"",SUMIFS(Performance!$R$5:$R$404,Performance!$B$5:$B$404,B87)))</f>
        <v>0</v>
      </c>
      <c r="Z87" s="23">
        <f>IF(B87="","",IF(COUNTIF(Performance!$B$5:$B$404,B87)=0,"",SUMIFS(Performance!$U$5:$U$404,Performance!$B$5:$B$404,B87)))</f>
        <v>0</v>
      </c>
      <c r="AA87" s="29">
        <f>IF(B87="","",IF(C87="Not found","Check - content ID not on the calendar",IF(G87="","Add - no hook written",IF(H87="","Add - no sound chosen",IF(AND(P87&lt;&gt;"",P87&lt;0.25),"Review - most people scroll away early","OK")))))</f>
        <v>0</v>
      </c>
    </row>
    <row r="88" spans="1:27">
      <c r="A88" s="41">
        <f>IF(B88="","","TT-"&amp;TEXT(ROW()-4,"000"))</f>
        <v>0</v>
      </c>
      <c r="C88" s="17">
        <f>IF(B88="","",IFERROR(INDEX('Content Calendar'!$H$5:$H$604,MATCH(B88,'Content Calendar'!$A$5:$A$604,0)),"Not found"))</f>
        <v>0</v>
      </c>
      <c r="D88" s="16">
        <f>IF(B88="","",IFERROR(INDEX('Content Calendar'!$B$5:$B$604,MATCH(B88,'Content Calendar'!$A$5:$A$604,0)),"Not found"))</f>
        <v>0</v>
      </c>
      <c r="E88" s="17">
        <f>IF(B88="","",IFERROR(INDEX('Content Calendar'!$J$5:$J$604,MATCH(B88,'Content Calendar'!$A$5:$A$604,0)),"Not found"))</f>
        <v>0</v>
      </c>
      <c r="F88" s="29">
        <f>IF(B88="","",IFERROR(INDEX('Content Calendar'!$X$5:$X$604,MATCH(B88,'Content Calendar'!$A$5:$A$604,0)),"Not found"))</f>
        <v>0</v>
      </c>
      <c r="S88" s="23">
        <f>IF(B88="","",IF(COUNTIF(Performance!$B$5:$B$404,B88)=0,"",SUMIFS(Performance!$O$5:$O$404,Performance!$B$5:$B$404,B88)))</f>
        <v>0</v>
      </c>
      <c r="T88" s="23">
        <f>IF(B88="","",IF(COUNTIF(Performance!$B$5:$B$404,B88)=0,"",SUMIFS(Performance!$P$5:$P$404,Performance!$B$5:$B$404,B88)))</f>
        <v>0</v>
      </c>
      <c r="U88" s="23">
        <f>IF(B88="","",IF(COUNTIF(Performance!$B$5:$B$404,B88)=0,"",SUMIFS(Performance!$Z$5:$Z$404,Performance!$B$5:$B$404,B88)))</f>
        <v>0</v>
      </c>
      <c r="V88" s="24">
        <f>IF(OR(S88="",S88=0),"",U88/S88)</f>
        <v>0</v>
      </c>
      <c r="W88" s="23">
        <f>IF(B88="","",IF(COUNTIF(Performance!$B$5:$B$404,B88)=0,"",SUMIFS(Performance!$T$5:$T$404,Performance!$B$5:$B$404,B88)))</f>
        <v>0</v>
      </c>
      <c r="X88" s="23">
        <f>IF(B88="","",IF(COUNTIF(Performance!$B$5:$B$404,B88)=0,"",SUMIFS(Performance!$S$5:$S$404,Performance!$B$5:$B$404,B88)))</f>
        <v>0</v>
      </c>
      <c r="Y88" s="23">
        <f>IF(B88="","",IF(COUNTIF(Performance!$B$5:$B$404,B88)=0,"",SUMIFS(Performance!$R$5:$R$404,Performance!$B$5:$B$404,B88)))</f>
        <v>0</v>
      </c>
      <c r="Z88" s="23">
        <f>IF(B88="","",IF(COUNTIF(Performance!$B$5:$B$404,B88)=0,"",SUMIFS(Performance!$U$5:$U$404,Performance!$B$5:$B$404,B88)))</f>
        <v>0</v>
      </c>
      <c r="AA88" s="29">
        <f>IF(B88="","",IF(C88="Not found","Check - content ID not on the calendar",IF(G88="","Add - no hook written",IF(H88="","Add - no sound chosen",IF(AND(P88&lt;&gt;"",P88&lt;0.25),"Review - most people scroll away early","OK")))))</f>
        <v>0</v>
      </c>
    </row>
    <row r="89" spans="1:27">
      <c r="A89" s="41">
        <f>IF(B89="","","TT-"&amp;TEXT(ROW()-4,"000"))</f>
        <v>0</v>
      </c>
      <c r="C89" s="17">
        <f>IF(B89="","",IFERROR(INDEX('Content Calendar'!$H$5:$H$604,MATCH(B89,'Content Calendar'!$A$5:$A$604,0)),"Not found"))</f>
        <v>0</v>
      </c>
      <c r="D89" s="16">
        <f>IF(B89="","",IFERROR(INDEX('Content Calendar'!$B$5:$B$604,MATCH(B89,'Content Calendar'!$A$5:$A$604,0)),"Not found"))</f>
        <v>0</v>
      </c>
      <c r="E89" s="17">
        <f>IF(B89="","",IFERROR(INDEX('Content Calendar'!$J$5:$J$604,MATCH(B89,'Content Calendar'!$A$5:$A$604,0)),"Not found"))</f>
        <v>0</v>
      </c>
      <c r="F89" s="29">
        <f>IF(B89="","",IFERROR(INDEX('Content Calendar'!$X$5:$X$604,MATCH(B89,'Content Calendar'!$A$5:$A$604,0)),"Not found"))</f>
        <v>0</v>
      </c>
      <c r="S89" s="23">
        <f>IF(B89="","",IF(COUNTIF(Performance!$B$5:$B$404,B89)=0,"",SUMIFS(Performance!$O$5:$O$404,Performance!$B$5:$B$404,B89)))</f>
        <v>0</v>
      </c>
      <c r="T89" s="23">
        <f>IF(B89="","",IF(COUNTIF(Performance!$B$5:$B$404,B89)=0,"",SUMIFS(Performance!$P$5:$P$404,Performance!$B$5:$B$404,B89)))</f>
        <v>0</v>
      </c>
      <c r="U89" s="23">
        <f>IF(B89="","",IF(COUNTIF(Performance!$B$5:$B$404,B89)=0,"",SUMIFS(Performance!$Z$5:$Z$404,Performance!$B$5:$B$404,B89)))</f>
        <v>0</v>
      </c>
      <c r="V89" s="24">
        <f>IF(OR(S89="",S89=0),"",U89/S89)</f>
        <v>0</v>
      </c>
      <c r="W89" s="23">
        <f>IF(B89="","",IF(COUNTIF(Performance!$B$5:$B$404,B89)=0,"",SUMIFS(Performance!$T$5:$T$404,Performance!$B$5:$B$404,B89)))</f>
        <v>0</v>
      </c>
      <c r="X89" s="23">
        <f>IF(B89="","",IF(COUNTIF(Performance!$B$5:$B$404,B89)=0,"",SUMIFS(Performance!$S$5:$S$404,Performance!$B$5:$B$404,B89)))</f>
        <v>0</v>
      </c>
      <c r="Y89" s="23">
        <f>IF(B89="","",IF(COUNTIF(Performance!$B$5:$B$404,B89)=0,"",SUMIFS(Performance!$R$5:$R$404,Performance!$B$5:$B$404,B89)))</f>
        <v>0</v>
      </c>
      <c r="Z89" s="23">
        <f>IF(B89="","",IF(COUNTIF(Performance!$B$5:$B$404,B89)=0,"",SUMIFS(Performance!$U$5:$U$404,Performance!$B$5:$B$404,B89)))</f>
        <v>0</v>
      </c>
      <c r="AA89" s="29">
        <f>IF(B89="","",IF(C89="Not found","Check - content ID not on the calendar",IF(G89="","Add - no hook written",IF(H89="","Add - no sound chosen",IF(AND(P89&lt;&gt;"",P89&lt;0.25),"Review - most people scroll away early","OK")))))</f>
        <v>0</v>
      </c>
    </row>
    <row r="90" spans="1:27">
      <c r="A90" s="41">
        <f>IF(B90="","","TT-"&amp;TEXT(ROW()-4,"000"))</f>
        <v>0</v>
      </c>
      <c r="C90" s="17">
        <f>IF(B90="","",IFERROR(INDEX('Content Calendar'!$H$5:$H$604,MATCH(B90,'Content Calendar'!$A$5:$A$604,0)),"Not found"))</f>
        <v>0</v>
      </c>
      <c r="D90" s="16">
        <f>IF(B90="","",IFERROR(INDEX('Content Calendar'!$B$5:$B$604,MATCH(B90,'Content Calendar'!$A$5:$A$604,0)),"Not found"))</f>
        <v>0</v>
      </c>
      <c r="E90" s="17">
        <f>IF(B90="","",IFERROR(INDEX('Content Calendar'!$J$5:$J$604,MATCH(B90,'Content Calendar'!$A$5:$A$604,0)),"Not found"))</f>
        <v>0</v>
      </c>
      <c r="F90" s="29">
        <f>IF(B90="","",IFERROR(INDEX('Content Calendar'!$X$5:$X$604,MATCH(B90,'Content Calendar'!$A$5:$A$604,0)),"Not found"))</f>
        <v>0</v>
      </c>
      <c r="S90" s="23">
        <f>IF(B90="","",IF(COUNTIF(Performance!$B$5:$B$404,B90)=0,"",SUMIFS(Performance!$O$5:$O$404,Performance!$B$5:$B$404,B90)))</f>
        <v>0</v>
      </c>
      <c r="T90" s="23">
        <f>IF(B90="","",IF(COUNTIF(Performance!$B$5:$B$404,B90)=0,"",SUMIFS(Performance!$P$5:$P$404,Performance!$B$5:$B$404,B90)))</f>
        <v>0</v>
      </c>
      <c r="U90" s="23">
        <f>IF(B90="","",IF(COUNTIF(Performance!$B$5:$B$404,B90)=0,"",SUMIFS(Performance!$Z$5:$Z$404,Performance!$B$5:$B$404,B90)))</f>
        <v>0</v>
      </c>
      <c r="V90" s="24">
        <f>IF(OR(S90="",S90=0),"",U90/S90)</f>
        <v>0</v>
      </c>
      <c r="W90" s="23">
        <f>IF(B90="","",IF(COUNTIF(Performance!$B$5:$B$404,B90)=0,"",SUMIFS(Performance!$T$5:$T$404,Performance!$B$5:$B$404,B90)))</f>
        <v>0</v>
      </c>
      <c r="X90" s="23">
        <f>IF(B90="","",IF(COUNTIF(Performance!$B$5:$B$404,B90)=0,"",SUMIFS(Performance!$S$5:$S$404,Performance!$B$5:$B$404,B90)))</f>
        <v>0</v>
      </c>
      <c r="Y90" s="23">
        <f>IF(B90="","",IF(COUNTIF(Performance!$B$5:$B$404,B90)=0,"",SUMIFS(Performance!$R$5:$R$404,Performance!$B$5:$B$404,B90)))</f>
        <v>0</v>
      </c>
      <c r="Z90" s="23">
        <f>IF(B90="","",IF(COUNTIF(Performance!$B$5:$B$404,B90)=0,"",SUMIFS(Performance!$U$5:$U$404,Performance!$B$5:$B$404,B90)))</f>
        <v>0</v>
      </c>
      <c r="AA90" s="29">
        <f>IF(B90="","",IF(C90="Not found","Check - content ID not on the calendar",IF(G90="","Add - no hook written",IF(H90="","Add - no sound chosen",IF(AND(P90&lt;&gt;"",P90&lt;0.25),"Review - most people scroll away early","OK")))))</f>
        <v>0</v>
      </c>
    </row>
    <row r="91" spans="1:27">
      <c r="A91" s="41">
        <f>IF(B91="","","TT-"&amp;TEXT(ROW()-4,"000"))</f>
        <v>0</v>
      </c>
      <c r="C91" s="17">
        <f>IF(B91="","",IFERROR(INDEX('Content Calendar'!$H$5:$H$604,MATCH(B91,'Content Calendar'!$A$5:$A$604,0)),"Not found"))</f>
        <v>0</v>
      </c>
      <c r="D91" s="16">
        <f>IF(B91="","",IFERROR(INDEX('Content Calendar'!$B$5:$B$604,MATCH(B91,'Content Calendar'!$A$5:$A$604,0)),"Not found"))</f>
        <v>0</v>
      </c>
      <c r="E91" s="17">
        <f>IF(B91="","",IFERROR(INDEX('Content Calendar'!$J$5:$J$604,MATCH(B91,'Content Calendar'!$A$5:$A$604,0)),"Not found"))</f>
        <v>0</v>
      </c>
      <c r="F91" s="29">
        <f>IF(B91="","",IFERROR(INDEX('Content Calendar'!$X$5:$X$604,MATCH(B91,'Content Calendar'!$A$5:$A$604,0)),"Not found"))</f>
        <v>0</v>
      </c>
      <c r="S91" s="23">
        <f>IF(B91="","",IF(COUNTIF(Performance!$B$5:$B$404,B91)=0,"",SUMIFS(Performance!$O$5:$O$404,Performance!$B$5:$B$404,B91)))</f>
        <v>0</v>
      </c>
      <c r="T91" s="23">
        <f>IF(B91="","",IF(COUNTIF(Performance!$B$5:$B$404,B91)=0,"",SUMIFS(Performance!$P$5:$P$404,Performance!$B$5:$B$404,B91)))</f>
        <v>0</v>
      </c>
      <c r="U91" s="23">
        <f>IF(B91="","",IF(COUNTIF(Performance!$B$5:$B$404,B91)=0,"",SUMIFS(Performance!$Z$5:$Z$404,Performance!$B$5:$B$404,B91)))</f>
        <v>0</v>
      </c>
      <c r="V91" s="24">
        <f>IF(OR(S91="",S91=0),"",U91/S91)</f>
        <v>0</v>
      </c>
      <c r="W91" s="23">
        <f>IF(B91="","",IF(COUNTIF(Performance!$B$5:$B$404,B91)=0,"",SUMIFS(Performance!$T$5:$T$404,Performance!$B$5:$B$404,B91)))</f>
        <v>0</v>
      </c>
      <c r="X91" s="23">
        <f>IF(B91="","",IF(COUNTIF(Performance!$B$5:$B$404,B91)=0,"",SUMIFS(Performance!$S$5:$S$404,Performance!$B$5:$B$404,B91)))</f>
        <v>0</v>
      </c>
      <c r="Y91" s="23">
        <f>IF(B91="","",IF(COUNTIF(Performance!$B$5:$B$404,B91)=0,"",SUMIFS(Performance!$R$5:$R$404,Performance!$B$5:$B$404,B91)))</f>
        <v>0</v>
      </c>
      <c r="Z91" s="23">
        <f>IF(B91="","",IF(COUNTIF(Performance!$B$5:$B$404,B91)=0,"",SUMIFS(Performance!$U$5:$U$404,Performance!$B$5:$B$404,B91)))</f>
        <v>0</v>
      </c>
      <c r="AA91" s="29">
        <f>IF(B91="","",IF(C91="Not found","Check - content ID not on the calendar",IF(G91="","Add - no hook written",IF(H91="","Add - no sound chosen",IF(AND(P91&lt;&gt;"",P91&lt;0.25),"Review - most people scroll away early","OK")))))</f>
        <v>0</v>
      </c>
    </row>
    <row r="92" spans="1:27">
      <c r="A92" s="41">
        <f>IF(B92="","","TT-"&amp;TEXT(ROW()-4,"000"))</f>
        <v>0</v>
      </c>
      <c r="C92" s="17">
        <f>IF(B92="","",IFERROR(INDEX('Content Calendar'!$H$5:$H$604,MATCH(B92,'Content Calendar'!$A$5:$A$604,0)),"Not found"))</f>
        <v>0</v>
      </c>
      <c r="D92" s="16">
        <f>IF(B92="","",IFERROR(INDEX('Content Calendar'!$B$5:$B$604,MATCH(B92,'Content Calendar'!$A$5:$A$604,0)),"Not found"))</f>
        <v>0</v>
      </c>
      <c r="E92" s="17">
        <f>IF(B92="","",IFERROR(INDEX('Content Calendar'!$J$5:$J$604,MATCH(B92,'Content Calendar'!$A$5:$A$604,0)),"Not found"))</f>
        <v>0</v>
      </c>
      <c r="F92" s="29">
        <f>IF(B92="","",IFERROR(INDEX('Content Calendar'!$X$5:$X$604,MATCH(B92,'Content Calendar'!$A$5:$A$604,0)),"Not found"))</f>
        <v>0</v>
      </c>
      <c r="S92" s="23">
        <f>IF(B92="","",IF(COUNTIF(Performance!$B$5:$B$404,B92)=0,"",SUMIFS(Performance!$O$5:$O$404,Performance!$B$5:$B$404,B92)))</f>
        <v>0</v>
      </c>
      <c r="T92" s="23">
        <f>IF(B92="","",IF(COUNTIF(Performance!$B$5:$B$404,B92)=0,"",SUMIFS(Performance!$P$5:$P$404,Performance!$B$5:$B$404,B92)))</f>
        <v>0</v>
      </c>
      <c r="U92" s="23">
        <f>IF(B92="","",IF(COUNTIF(Performance!$B$5:$B$404,B92)=0,"",SUMIFS(Performance!$Z$5:$Z$404,Performance!$B$5:$B$404,B92)))</f>
        <v>0</v>
      </c>
      <c r="V92" s="24">
        <f>IF(OR(S92="",S92=0),"",U92/S92)</f>
        <v>0</v>
      </c>
      <c r="W92" s="23">
        <f>IF(B92="","",IF(COUNTIF(Performance!$B$5:$B$404,B92)=0,"",SUMIFS(Performance!$T$5:$T$404,Performance!$B$5:$B$404,B92)))</f>
        <v>0</v>
      </c>
      <c r="X92" s="23">
        <f>IF(B92="","",IF(COUNTIF(Performance!$B$5:$B$404,B92)=0,"",SUMIFS(Performance!$S$5:$S$404,Performance!$B$5:$B$404,B92)))</f>
        <v>0</v>
      </c>
      <c r="Y92" s="23">
        <f>IF(B92="","",IF(COUNTIF(Performance!$B$5:$B$404,B92)=0,"",SUMIFS(Performance!$R$5:$R$404,Performance!$B$5:$B$404,B92)))</f>
        <v>0</v>
      </c>
      <c r="Z92" s="23">
        <f>IF(B92="","",IF(COUNTIF(Performance!$B$5:$B$404,B92)=0,"",SUMIFS(Performance!$U$5:$U$404,Performance!$B$5:$B$404,B92)))</f>
        <v>0</v>
      </c>
      <c r="AA92" s="29">
        <f>IF(B92="","",IF(C92="Not found","Check - content ID not on the calendar",IF(G92="","Add - no hook written",IF(H92="","Add - no sound chosen",IF(AND(P92&lt;&gt;"",P92&lt;0.25),"Review - most people scroll away early","OK")))))</f>
        <v>0</v>
      </c>
    </row>
    <row r="93" spans="1:27">
      <c r="A93" s="41">
        <f>IF(B93="","","TT-"&amp;TEXT(ROW()-4,"000"))</f>
        <v>0</v>
      </c>
      <c r="C93" s="17">
        <f>IF(B93="","",IFERROR(INDEX('Content Calendar'!$H$5:$H$604,MATCH(B93,'Content Calendar'!$A$5:$A$604,0)),"Not found"))</f>
        <v>0</v>
      </c>
      <c r="D93" s="16">
        <f>IF(B93="","",IFERROR(INDEX('Content Calendar'!$B$5:$B$604,MATCH(B93,'Content Calendar'!$A$5:$A$604,0)),"Not found"))</f>
        <v>0</v>
      </c>
      <c r="E93" s="17">
        <f>IF(B93="","",IFERROR(INDEX('Content Calendar'!$J$5:$J$604,MATCH(B93,'Content Calendar'!$A$5:$A$604,0)),"Not found"))</f>
        <v>0</v>
      </c>
      <c r="F93" s="29">
        <f>IF(B93="","",IFERROR(INDEX('Content Calendar'!$X$5:$X$604,MATCH(B93,'Content Calendar'!$A$5:$A$604,0)),"Not found"))</f>
        <v>0</v>
      </c>
      <c r="S93" s="23">
        <f>IF(B93="","",IF(COUNTIF(Performance!$B$5:$B$404,B93)=0,"",SUMIFS(Performance!$O$5:$O$404,Performance!$B$5:$B$404,B93)))</f>
        <v>0</v>
      </c>
      <c r="T93" s="23">
        <f>IF(B93="","",IF(COUNTIF(Performance!$B$5:$B$404,B93)=0,"",SUMIFS(Performance!$P$5:$P$404,Performance!$B$5:$B$404,B93)))</f>
        <v>0</v>
      </c>
      <c r="U93" s="23">
        <f>IF(B93="","",IF(COUNTIF(Performance!$B$5:$B$404,B93)=0,"",SUMIFS(Performance!$Z$5:$Z$404,Performance!$B$5:$B$404,B93)))</f>
        <v>0</v>
      </c>
      <c r="V93" s="24">
        <f>IF(OR(S93="",S93=0),"",U93/S93)</f>
        <v>0</v>
      </c>
      <c r="W93" s="23">
        <f>IF(B93="","",IF(COUNTIF(Performance!$B$5:$B$404,B93)=0,"",SUMIFS(Performance!$T$5:$T$404,Performance!$B$5:$B$404,B93)))</f>
        <v>0</v>
      </c>
      <c r="X93" s="23">
        <f>IF(B93="","",IF(COUNTIF(Performance!$B$5:$B$404,B93)=0,"",SUMIFS(Performance!$S$5:$S$404,Performance!$B$5:$B$404,B93)))</f>
        <v>0</v>
      </c>
      <c r="Y93" s="23">
        <f>IF(B93="","",IF(COUNTIF(Performance!$B$5:$B$404,B93)=0,"",SUMIFS(Performance!$R$5:$R$404,Performance!$B$5:$B$404,B93)))</f>
        <v>0</v>
      </c>
      <c r="Z93" s="23">
        <f>IF(B93="","",IF(COUNTIF(Performance!$B$5:$B$404,B93)=0,"",SUMIFS(Performance!$U$5:$U$404,Performance!$B$5:$B$404,B93)))</f>
        <v>0</v>
      </c>
      <c r="AA93" s="29">
        <f>IF(B93="","",IF(C93="Not found","Check - content ID not on the calendar",IF(G93="","Add - no hook written",IF(H93="","Add - no sound chosen",IF(AND(P93&lt;&gt;"",P93&lt;0.25),"Review - most people scroll away early","OK")))))</f>
        <v>0</v>
      </c>
    </row>
    <row r="94" spans="1:27">
      <c r="A94" s="41">
        <f>IF(B94="","","TT-"&amp;TEXT(ROW()-4,"000"))</f>
        <v>0</v>
      </c>
      <c r="C94" s="17">
        <f>IF(B94="","",IFERROR(INDEX('Content Calendar'!$H$5:$H$604,MATCH(B94,'Content Calendar'!$A$5:$A$604,0)),"Not found"))</f>
        <v>0</v>
      </c>
      <c r="D94" s="16">
        <f>IF(B94="","",IFERROR(INDEX('Content Calendar'!$B$5:$B$604,MATCH(B94,'Content Calendar'!$A$5:$A$604,0)),"Not found"))</f>
        <v>0</v>
      </c>
      <c r="E94" s="17">
        <f>IF(B94="","",IFERROR(INDEX('Content Calendar'!$J$5:$J$604,MATCH(B94,'Content Calendar'!$A$5:$A$604,0)),"Not found"))</f>
        <v>0</v>
      </c>
      <c r="F94" s="29">
        <f>IF(B94="","",IFERROR(INDEX('Content Calendar'!$X$5:$X$604,MATCH(B94,'Content Calendar'!$A$5:$A$604,0)),"Not found"))</f>
        <v>0</v>
      </c>
      <c r="S94" s="23">
        <f>IF(B94="","",IF(COUNTIF(Performance!$B$5:$B$404,B94)=0,"",SUMIFS(Performance!$O$5:$O$404,Performance!$B$5:$B$404,B94)))</f>
        <v>0</v>
      </c>
      <c r="T94" s="23">
        <f>IF(B94="","",IF(COUNTIF(Performance!$B$5:$B$404,B94)=0,"",SUMIFS(Performance!$P$5:$P$404,Performance!$B$5:$B$404,B94)))</f>
        <v>0</v>
      </c>
      <c r="U94" s="23">
        <f>IF(B94="","",IF(COUNTIF(Performance!$B$5:$B$404,B94)=0,"",SUMIFS(Performance!$Z$5:$Z$404,Performance!$B$5:$B$404,B94)))</f>
        <v>0</v>
      </c>
      <c r="V94" s="24">
        <f>IF(OR(S94="",S94=0),"",U94/S94)</f>
        <v>0</v>
      </c>
      <c r="W94" s="23">
        <f>IF(B94="","",IF(COUNTIF(Performance!$B$5:$B$404,B94)=0,"",SUMIFS(Performance!$T$5:$T$404,Performance!$B$5:$B$404,B94)))</f>
        <v>0</v>
      </c>
      <c r="X94" s="23">
        <f>IF(B94="","",IF(COUNTIF(Performance!$B$5:$B$404,B94)=0,"",SUMIFS(Performance!$S$5:$S$404,Performance!$B$5:$B$404,B94)))</f>
        <v>0</v>
      </c>
      <c r="Y94" s="23">
        <f>IF(B94="","",IF(COUNTIF(Performance!$B$5:$B$404,B94)=0,"",SUMIFS(Performance!$R$5:$R$404,Performance!$B$5:$B$404,B94)))</f>
        <v>0</v>
      </c>
      <c r="Z94" s="23">
        <f>IF(B94="","",IF(COUNTIF(Performance!$B$5:$B$404,B94)=0,"",SUMIFS(Performance!$U$5:$U$404,Performance!$B$5:$B$404,B94)))</f>
        <v>0</v>
      </c>
      <c r="AA94" s="29">
        <f>IF(B94="","",IF(C94="Not found","Check - content ID not on the calendar",IF(G94="","Add - no hook written",IF(H94="","Add - no sound chosen",IF(AND(P94&lt;&gt;"",P94&lt;0.25),"Review - most people scroll away early","OK")))))</f>
        <v>0</v>
      </c>
    </row>
    <row r="95" spans="1:27">
      <c r="A95" s="41">
        <f>IF(B95="","","TT-"&amp;TEXT(ROW()-4,"000"))</f>
        <v>0</v>
      </c>
      <c r="C95" s="17">
        <f>IF(B95="","",IFERROR(INDEX('Content Calendar'!$H$5:$H$604,MATCH(B95,'Content Calendar'!$A$5:$A$604,0)),"Not found"))</f>
        <v>0</v>
      </c>
      <c r="D95" s="16">
        <f>IF(B95="","",IFERROR(INDEX('Content Calendar'!$B$5:$B$604,MATCH(B95,'Content Calendar'!$A$5:$A$604,0)),"Not found"))</f>
        <v>0</v>
      </c>
      <c r="E95" s="17">
        <f>IF(B95="","",IFERROR(INDEX('Content Calendar'!$J$5:$J$604,MATCH(B95,'Content Calendar'!$A$5:$A$604,0)),"Not found"))</f>
        <v>0</v>
      </c>
      <c r="F95" s="29">
        <f>IF(B95="","",IFERROR(INDEX('Content Calendar'!$X$5:$X$604,MATCH(B95,'Content Calendar'!$A$5:$A$604,0)),"Not found"))</f>
        <v>0</v>
      </c>
      <c r="S95" s="23">
        <f>IF(B95="","",IF(COUNTIF(Performance!$B$5:$B$404,B95)=0,"",SUMIFS(Performance!$O$5:$O$404,Performance!$B$5:$B$404,B95)))</f>
        <v>0</v>
      </c>
      <c r="T95" s="23">
        <f>IF(B95="","",IF(COUNTIF(Performance!$B$5:$B$404,B95)=0,"",SUMIFS(Performance!$P$5:$P$404,Performance!$B$5:$B$404,B95)))</f>
        <v>0</v>
      </c>
      <c r="U95" s="23">
        <f>IF(B95="","",IF(COUNTIF(Performance!$B$5:$B$404,B95)=0,"",SUMIFS(Performance!$Z$5:$Z$404,Performance!$B$5:$B$404,B95)))</f>
        <v>0</v>
      </c>
      <c r="V95" s="24">
        <f>IF(OR(S95="",S95=0),"",U95/S95)</f>
        <v>0</v>
      </c>
      <c r="W95" s="23">
        <f>IF(B95="","",IF(COUNTIF(Performance!$B$5:$B$404,B95)=0,"",SUMIFS(Performance!$T$5:$T$404,Performance!$B$5:$B$404,B95)))</f>
        <v>0</v>
      </c>
      <c r="X95" s="23">
        <f>IF(B95="","",IF(COUNTIF(Performance!$B$5:$B$404,B95)=0,"",SUMIFS(Performance!$S$5:$S$404,Performance!$B$5:$B$404,B95)))</f>
        <v>0</v>
      </c>
      <c r="Y95" s="23">
        <f>IF(B95="","",IF(COUNTIF(Performance!$B$5:$B$404,B95)=0,"",SUMIFS(Performance!$R$5:$R$404,Performance!$B$5:$B$404,B95)))</f>
        <v>0</v>
      </c>
      <c r="Z95" s="23">
        <f>IF(B95="","",IF(COUNTIF(Performance!$B$5:$B$404,B95)=0,"",SUMIFS(Performance!$U$5:$U$404,Performance!$B$5:$B$404,B95)))</f>
        <v>0</v>
      </c>
      <c r="AA95" s="29">
        <f>IF(B95="","",IF(C95="Not found","Check - content ID not on the calendar",IF(G95="","Add - no hook written",IF(H95="","Add - no sound chosen",IF(AND(P95&lt;&gt;"",P95&lt;0.25),"Review - most people scroll away early","OK")))))</f>
        <v>0</v>
      </c>
    </row>
    <row r="96" spans="1:27">
      <c r="A96" s="41">
        <f>IF(B96="","","TT-"&amp;TEXT(ROW()-4,"000"))</f>
        <v>0</v>
      </c>
      <c r="C96" s="17">
        <f>IF(B96="","",IFERROR(INDEX('Content Calendar'!$H$5:$H$604,MATCH(B96,'Content Calendar'!$A$5:$A$604,0)),"Not found"))</f>
        <v>0</v>
      </c>
      <c r="D96" s="16">
        <f>IF(B96="","",IFERROR(INDEX('Content Calendar'!$B$5:$B$604,MATCH(B96,'Content Calendar'!$A$5:$A$604,0)),"Not found"))</f>
        <v>0</v>
      </c>
      <c r="E96" s="17">
        <f>IF(B96="","",IFERROR(INDEX('Content Calendar'!$J$5:$J$604,MATCH(B96,'Content Calendar'!$A$5:$A$604,0)),"Not found"))</f>
        <v>0</v>
      </c>
      <c r="F96" s="29">
        <f>IF(B96="","",IFERROR(INDEX('Content Calendar'!$X$5:$X$604,MATCH(B96,'Content Calendar'!$A$5:$A$604,0)),"Not found"))</f>
        <v>0</v>
      </c>
      <c r="S96" s="23">
        <f>IF(B96="","",IF(COUNTIF(Performance!$B$5:$B$404,B96)=0,"",SUMIFS(Performance!$O$5:$O$404,Performance!$B$5:$B$404,B96)))</f>
        <v>0</v>
      </c>
      <c r="T96" s="23">
        <f>IF(B96="","",IF(COUNTIF(Performance!$B$5:$B$404,B96)=0,"",SUMIFS(Performance!$P$5:$P$404,Performance!$B$5:$B$404,B96)))</f>
        <v>0</v>
      </c>
      <c r="U96" s="23">
        <f>IF(B96="","",IF(COUNTIF(Performance!$B$5:$B$404,B96)=0,"",SUMIFS(Performance!$Z$5:$Z$404,Performance!$B$5:$B$404,B96)))</f>
        <v>0</v>
      </c>
      <c r="V96" s="24">
        <f>IF(OR(S96="",S96=0),"",U96/S96)</f>
        <v>0</v>
      </c>
      <c r="W96" s="23">
        <f>IF(B96="","",IF(COUNTIF(Performance!$B$5:$B$404,B96)=0,"",SUMIFS(Performance!$T$5:$T$404,Performance!$B$5:$B$404,B96)))</f>
        <v>0</v>
      </c>
      <c r="X96" s="23">
        <f>IF(B96="","",IF(COUNTIF(Performance!$B$5:$B$404,B96)=0,"",SUMIFS(Performance!$S$5:$S$404,Performance!$B$5:$B$404,B96)))</f>
        <v>0</v>
      </c>
      <c r="Y96" s="23">
        <f>IF(B96="","",IF(COUNTIF(Performance!$B$5:$B$404,B96)=0,"",SUMIFS(Performance!$R$5:$R$404,Performance!$B$5:$B$404,B96)))</f>
        <v>0</v>
      </c>
      <c r="Z96" s="23">
        <f>IF(B96="","",IF(COUNTIF(Performance!$B$5:$B$404,B96)=0,"",SUMIFS(Performance!$U$5:$U$404,Performance!$B$5:$B$404,B96)))</f>
        <v>0</v>
      </c>
      <c r="AA96" s="29">
        <f>IF(B96="","",IF(C96="Not found","Check - content ID not on the calendar",IF(G96="","Add - no hook written",IF(H96="","Add - no sound chosen",IF(AND(P96&lt;&gt;"",P96&lt;0.25),"Review - most people scroll away early","OK")))))</f>
        <v>0</v>
      </c>
    </row>
    <row r="97" spans="1:27">
      <c r="A97" s="41">
        <f>IF(B97="","","TT-"&amp;TEXT(ROW()-4,"000"))</f>
        <v>0</v>
      </c>
      <c r="C97" s="17">
        <f>IF(B97="","",IFERROR(INDEX('Content Calendar'!$H$5:$H$604,MATCH(B97,'Content Calendar'!$A$5:$A$604,0)),"Not found"))</f>
        <v>0</v>
      </c>
      <c r="D97" s="16">
        <f>IF(B97="","",IFERROR(INDEX('Content Calendar'!$B$5:$B$604,MATCH(B97,'Content Calendar'!$A$5:$A$604,0)),"Not found"))</f>
        <v>0</v>
      </c>
      <c r="E97" s="17">
        <f>IF(B97="","",IFERROR(INDEX('Content Calendar'!$J$5:$J$604,MATCH(B97,'Content Calendar'!$A$5:$A$604,0)),"Not found"))</f>
        <v>0</v>
      </c>
      <c r="F97" s="29">
        <f>IF(B97="","",IFERROR(INDEX('Content Calendar'!$X$5:$X$604,MATCH(B97,'Content Calendar'!$A$5:$A$604,0)),"Not found"))</f>
        <v>0</v>
      </c>
      <c r="S97" s="23">
        <f>IF(B97="","",IF(COUNTIF(Performance!$B$5:$B$404,B97)=0,"",SUMIFS(Performance!$O$5:$O$404,Performance!$B$5:$B$404,B97)))</f>
        <v>0</v>
      </c>
      <c r="T97" s="23">
        <f>IF(B97="","",IF(COUNTIF(Performance!$B$5:$B$404,B97)=0,"",SUMIFS(Performance!$P$5:$P$404,Performance!$B$5:$B$404,B97)))</f>
        <v>0</v>
      </c>
      <c r="U97" s="23">
        <f>IF(B97="","",IF(COUNTIF(Performance!$B$5:$B$404,B97)=0,"",SUMIFS(Performance!$Z$5:$Z$404,Performance!$B$5:$B$404,B97)))</f>
        <v>0</v>
      </c>
      <c r="V97" s="24">
        <f>IF(OR(S97="",S97=0),"",U97/S97)</f>
        <v>0</v>
      </c>
      <c r="W97" s="23">
        <f>IF(B97="","",IF(COUNTIF(Performance!$B$5:$B$404,B97)=0,"",SUMIFS(Performance!$T$5:$T$404,Performance!$B$5:$B$404,B97)))</f>
        <v>0</v>
      </c>
      <c r="X97" s="23">
        <f>IF(B97="","",IF(COUNTIF(Performance!$B$5:$B$404,B97)=0,"",SUMIFS(Performance!$S$5:$S$404,Performance!$B$5:$B$404,B97)))</f>
        <v>0</v>
      </c>
      <c r="Y97" s="23">
        <f>IF(B97="","",IF(COUNTIF(Performance!$B$5:$B$404,B97)=0,"",SUMIFS(Performance!$R$5:$R$404,Performance!$B$5:$B$404,B97)))</f>
        <v>0</v>
      </c>
      <c r="Z97" s="23">
        <f>IF(B97="","",IF(COUNTIF(Performance!$B$5:$B$404,B97)=0,"",SUMIFS(Performance!$U$5:$U$404,Performance!$B$5:$B$404,B97)))</f>
        <v>0</v>
      </c>
      <c r="AA97" s="29">
        <f>IF(B97="","",IF(C97="Not found","Check - content ID not on the calendar",IF(G97="","Add - no hook written",IF(H97="","Add - no sound chosen",IF(AND(P97&lt;&gt;"",P97&lt;0.25),"Review - most people scroll away early","OK")))))</f>
        <v>0</v>
      </c>
    </row>
    <row r="98" spans="1:27">
      <c r="A98" s="41">
        <f>IF(B98="","","TT-"&amp;TEXT(ROW()-4,"000"))</f>
        <v>0</v>
      </c>
      <c r="C98" s="17">
        <f>IF(B98="","",IFERROR(INDEX('Content Calendar'!$H$5:$H$604,MATCH(B98,'Content Calendar'!$A$5:$A$604,0)),"Not found"))</f>
        <v>0</v>
      </c>
      <c r="D98" s="16">
        <f>IF(B98="","",IFERROR(INDEX('Content Calendar'!$B$5:$B$604,MATCH(B98,'Content Calendar'!$A$5:$A$604,0)),"Not found"))</f>
        <v>0</v>
      </c>
      <c r="E98" s="17">
        <f>IF(B98="","",IFERROR(INDEX('Content Calendar'!$J$5:$J$604,MATCH(B98,'Content Calendar'!$A$5:$A$604,0)),"Not found"))</f>
        <v>0</v>
      </c>
      <c r="F98" s="29">
        <f>IF(B98="","",IFERROR(INDEX('Content Calendar'!$X$5:$X$604,MATCH(B98,'Content Calendar'!$A$5:$A$604,0)),"Not found"))</f>
        <v>0</v>
      </c>
      <c r="S98" s="23">
        <f>IF(B98="","",IF(COUNTIF(Performance!$B$5:$B$404,B98)=0,"",SUMIFS(Performance!$O$5:$O$404,Performance!$B$5:$B$404,B98)))</f>
        <v>0</v>
      </c>
      <c r="T98" s="23">
        <f>IF(B98="","",IF(COUNTIF(Performance!$B$5:$B$404,B98)=0,"",SUMIFS(Performance!$P$5:$P$404,Performance!$B$5:$B$404,B98)))</f>
        <v>0</v>
      </c>
      <c r="U98" s="23">
        <f>IF(B98="","",IF(COUNTIF(Performance!$B$5:$B$404,B98)=0,"",SUMIFS(Performance!$Z$5:$Z$404,Performance!$B$5:$B$404,B98)))</f>
        <v>0</v>
      </c>
      <c r="V98" s="24">
        <f>IF(OR(S98="",S98=0),"",U98/S98)</f>
        <v>0</v>
      </c>
      <c r="W98" s="23">
        <f>IF(B98="","",IF(COUNTIF(Performance!$B$5:$B$404,B98)=0,"",SUMIFS(Performance!$T$5:$T$404,Performance!$B$5:$B$404,B98)))</f>
        <v>0</v>
      </c>
      <c r="X98" s="23">
        <f>IF(B98="","",IF(COUNTIF(Performance!$B$5:$B$404,B98)=0,"",SUMIFS(Performance!$S$5:$S$404,Performance!$B$5:$B$404,B98)))</f>
        <v>0</v>
      </c>
      <c r="Y98" s="23">
        <f>IF(B98="","",IF(COUNTIF(Performance!$B$5:$B$404,B98)=0,"",SUMIFS(Performance!$R$5:$R$404,Performance!$B$5:$B$404,B98)))</f>
        <v>0</v>
      </c>
      <c r="Z98" s="23">
        <f>IF(B98="","",IF(COUNTIF(Performance!$B$5:$B$404,B98)=0,"",SUMIFS(Performance!$U$5:$U$404,Performance!$B$5:$B$404,B98)))</f>
        <v>0</v>
      </c>
      <c r="AA98" s="29">
        <f>IF(B98="","",IF(C98="Not found","Check - content ID not on the calendar",IF(G98="","Add - no hook written",IF(H98="","Add - no sound chosen",IF(AND(P98&lt;&gt;"",P98&lt;0.25),"Review - most people scroll away early","OK")))))</f>
        <v>0</v>
      </c>
    </row>
    <row r="99" spans="1:27">
      <c r="A99" s="41">
        <f>IF(B99="","","TT-"&amp;TEXT(ROW()-4,"000"))</f>
        <v>0</v>
      </c>
      <c r="C99" s="17">
        <f>IF(B99="","",IFERROR(INDEX('Content Calendar'!$H$5:$H$604,MATCH(B99,'Content Calendar'!$A$5:$A$604,0)),"Not found"))</f>
        <v>0</v>
      </c>
      <c r="D99" s="16">
        <f>IF(B99="","",IFERROR(INDEX('Content Calendar'!$B$5:$B$604,MATCH(B99,'Content Calendar'!$A$5:$A$604,0)),"Not found"))</f>
        <v>0</v>
      </c>
      <c r="E99" s="17">
        <f>IF(B99="","",IFERROR(INDEX('Content Calendar'!$J$5:$J$604,MATCH(B99,'Content Calendar'!$A$5:$A$604,0)),"Not found"))</f>
        <v>0</v>
      </c>
      <c r="F99" s="29">
        <f>IF(B99="","",IFERROR(INDEX('Content Calendar'!$X$5:$X$604,MATCH(B99,'Content Calendar'!$A$5:$A$604,0)),"Not found"))</f>
        <v>0</v>
      </c>
      <c r="S99" s="23">
        <f>IF(B99="","",IF(COUNTIF(Performance!$B$5:$B$404,B99)=0,"",SUMIFS(Performance!$O$5:$O$404,Performance!$B$5:$B$404,B99)))</f>
        <v>0</v>
      </c>
      <c r="T99" s="23">
        <f>IF(B99="","",IF(COUNTIF(Performance!$B$5:$B$404,B99)=0,"",SUMIFS(Performance!$P$5:$P$404,Performance!$B$5:$B$404,B99)))</f>
        <v>0</v>
      </c>
      <c r="U99" s="23">
        <f>IF(B99="","",IF(COUNTIF(Performance!$B$5:$B$404,B99)=0,"",SUMIFS(Performance!$Z$5:$Z$404,Performance!$B$5:$B$404,B99)))</f>
        <v>0</v>
      </c>
      <c r="V99" s="24">
        <f>IF(OR(S99="",S99=0),"",U99/S99)</f>
        <v>0</v>
      </c>
      <c r="W99" s="23">
        <f>IF(B99="","",IF(COUNTIF(Performance!$B$5:$B$404,B99)=0,"",SUMIFS(Performance!$T$5:$T$404,Performance!$B$5:$B$404,B99)))</f>
        <v>0</v>
      </c>
      <c r="X99" s="23">
        <f>IF(B99="","",IF(COUNTIF(Performance!$B$5:$B$404,B99)=0,"",SUMIFS(Performance!$S$5:$S$404,Performance!$B$5:$B$404,B99)))</f>
        <v>0</v>
      </c>
      <c r="Y99" s="23">
        <f>IF(B99="","",IF(COUNTIF(Performance!$B$5:$B$404,B99)=0,"",SUMIFS(Performance!$R$5:$R$404,Performance!$B$5:$B$404,B99)))</f>
        <v>0</v>
      </c>
      <c r="Z99" s="23">
        <f>IF(B99="","",IF(COUNTIF(Performance!$B$5:$B$404,B99)=0,"",SUMIFS(Performance!$U$5:$U$404,Performance!$B$5:$B$404,B99)))</f>
        <v>0</v>
      </c>
      <c r="AA99" s="29">
        <f>IF(B99="","",IF(C99="Not found","Check - content ID not on the calendar",IF(G99="","Add - no hook written",IF(H99="","Add - no sound chosen",IF(AND(P99&lt;&gt;"",P99&lt;0.25),"Review - most people scroll away early","OK")))))</f>
        <v>0</v>
      </c>
    </row>
    <row r="100" spans="1:27">
      <c r="A100" s="41">
        <f>IF(B100="","","TT-"&amp;TEXT(ROW()-4,"000"))</f>
        <v>0</v>
      </c>
      <c r="C100" s="17">
        <f>IF(B100="","",IFERROR(INDEX('Content Calendar'!$H$5:$H$604,MATCH(B100,'Content Calendar'!$A$5:$A$604,0)),"Not found"))</f>
        <v>0</v>
      </c>
      <c r="D100" s="16">
        <f>IF(B100="","",IFERROR(INDEX('Content Calendar'!$B$5:$B$604,MATCH(B100,'Content Calendar'!$A$5:$A$604,0)),"Not found"))</f>
        <v>0</v>
      </c>
      <c r="E100" s="17">
        <f>IF(B100="","",IFERROR(INDEX('Content Calendar'!$J$5:$J$604,MATCH(B100,'Content Calendar'!$A$5:$A$604,0)),"Not found"))</f>
        <v>0</v>
      </c>
      <c r="F100" s="29">
        <f>IF(B100="","",IFERROR(INDEX('Content Calendar'!$X$5:$X$604,MATCH(B100,'Content Calendar'!$A$5:$A$604,0)),"Not found"))</f>
        <v>0</v>
      </c>
      <c r="S100" s="23">
        <f>IF(B100="","",IF(COUNTIF(Performance!$B$5:$B$404,B100)=0,"",SUMIFS(Performance!$O$5:$O$404,Performance!$B$5:$B$404,B100)))</f>
        <v>0</v>
      </c>
      <c r="T100" s="23">
        <f>IF(B100="","",IF(COUNTIF(Performance!$B$5:$B$404,B100)=0,"",SUMIFS(Performance!$P$5:$P$404,Performance!$B$5:$B$404,B100)))</f>
        <v>0</v>
      </c>
      <c r="U100" s="23">
        <f>IF(B100="","",IF(COUNTIF(Performance!$B$5:$B$404,B100)=0,"",SUMIFS(Performance!$Z$5:$Z$404,Performance!$B$5:$B$404,B100)))</f>
        <v>0</v>
      </c>
      <c r="V100" s="24">
        <f>IF(OR(S100="",S100=0),"",U100/S100)</f>
        <v>0</v>
      </c>
      <c r="W100" s="23">
        <f>IF(B100="","",IF(COUNTIF(Performance!$B$5:$B$404,B100)=0,"",SUMIFS(Performance!$T$5:$T$404,Performance!$B$5:$B$404,B100)))</f>
        <v>0</v>
      </c>
      <c r="X100" s="23">
        <f>IF(B100="","",IF(COUNTIF(Performance!$B$5:$B$404,B100)=0,"",SUMIFS(Performance!$S$5:$S$404,Performance!$B$5:$B$404,B100)))</f>
        <v>0</v>
      </c>
      <c r="Y100" s="23">
        <f>IF(B100="","",IF(COUNTIF(Performance!$B$5:$B$404,B100)=0,"",SUMIFS(Performance!$R$5:$R$404,Performance!$B$5:$B$404,B100)))</f>
        <v>0</v>
      </c>
      <c r="Z100" s="23">
        <f>IF(B100="","",IF(COUNTIF(Performance!$B$5:$B$404,B100)=0,"",SUMIFS(Performance!$U$5:$U$404,Performance!$B$5:$B$404,B100)))</f>
        <v>0</v>
      </c>
      <c r="AA100" s="29">
        <f>IF(B100="","",IF(C100="Not found","Check - content ID not on the calendar",IF(G100="","Add - no hook written",IF(H100="","Add - no sound chosen",IF(AND(P100&lt;&gt;"",P100&lt;0.25),"Review - most people scroll away early","OK")))))</f>
        <v>0</v>
      </c>
    </row>
    <row r="101" spans="1:27">
      <c r="A101" s="41">
        <f>IF(B101="","","TT-"&amp;TEXT(ROW()-4,"000"))</f>
        <v>0</v>
      </c>
      <c r="C101" s="17">
        <f>IF(B101="","",IFERROR(INDEX('Content Calendar'!$H$5:$H$604,MATCH(B101,'Content Calendar'!$A$5:$A$604,0)),"Not found"))</f>
        <v>0</v>
      </c>
      <c r="D101" s="16">
        <f>IF(B101="","",IFERROR(INDEX('Content Calendar'!$B$5:$B$604,MATCH(B101,'Content Calendar'!$A$5:$A$604,0)),"Not found"))</f>
        <v>0</v>
      </c>
      <c r="E101" s="17">
        <f>IF(B101="","",IFERROR(INDEX('Content Calendar'!$J$5:$J$604,MATCH(B101,'Content Calendar'!$A$5:$A$604,0)),"Not found"))</f>
        <v>0</v>
      </c>
      <c r="F101" s="29">
        <f>IF(B101="","",IFERROR(INDEX('Content Calendar'!$X$5:$X$604,MATCH(B101,'Content Calendar'!$A$5:$A$604,0)),"Not found"))</f>
        <v>0</v>
      </c>
      <c r="S101" s="23">
        <f>IF(B101="","",IF(COUNTIF(Performance!$B$5:$B$404,B101)=0,"",SUMIFS(Performance!$O$5:$O$404,Performance!$B$5:$B$404,B101)))</f>
        <v>0</v>
      </c>
      <c r="T101" s="23">
        <f>IF(B101="","",IF(COUNTIF(Performance!$B$5:$B$404,B101)=0,"",SUMIFS(Performance!$P$5:$P$404,Performance!$B$5:$B$404,B101)))</f>
        <v>0</v>
      </c>
      <c r="U101" s="23">
        <f>IF(B101="","",IF(COUNTIF(Performance!$B$5:$B$404,B101)=0,"",SUMIFS(Performance!$Z$5:$Z$404,Performance!$B$5:$B$404,B101)))</f>
        <v>0</v>
      </c>
      <c r="V101" s="24">
        <f>IF(OR(S101="",S101=0),"",U101/S101)</f>
        <v>0</v>
      </c>
      <c r="W101" s="23">
        <f>IF(B101="","",IF(COUNTIF(Performance!$B$5:$B$404,B101)=0,"",SUMIFS(Performance!$T$5:$T$404,Performance!$B$5:$B$404,B101)))</f>
        <v>0</v>
      </c>
      <c r="X101" s="23">
        <f>IF(B101="","",IF(COUNTIF(Performance!$B$5:$B$404,B101)=0,"",SUMIFS(Performance!$S$5:$S$404,Performance!$B$5:$B$404,B101)))</f>
        <v>0</v>
      </c>
      <c r="Y101" s="23">
        <f>IF(B101="","",IF(COUNTIF(Performance!$B$5:$B$404,B101)=0,"",SUMIFS(Performance!$R$5:$R$404,Performance!$B$5:$B$404,B101)))</f>
        <v>0</v>
      </c>
      <c r="Z101" s="23">
        <f>IF(B101="","",IF(COUNTIF(Performance!$B$5:$B$404,B101)=0,"",SUMIFS(Performance!$U$5:$U$404,Performance!$B$5:$B$404,B101)))</f>
        <v>0</v>
      </c>
      <c r="AA101" s="29">
        <f>IF(B101="","",IF(C101="Not found","Check - content ID not on the calendar",IF(G101="","Add - no hook written",IF(H101="","Add - no sound chosen",IF(AND(P101&lt;&gt;"",P101&lt;0.25),"Review - most people scroll away early","OK")))))</f>
        <v>0</v>
      </c>
    </row>
    <row r="102" spans="1:27">
      <c r="A102" s="41">
        <f>IF(B102="","","TT-"&amp;TEXT(ROW()-4,"000"))</f>
        <v>0</v>
      </c>
      <c r="C102" s="17">
        <f>IF(B102="","",IFERROR(INDEX('Content Calendar'!$H$5:$H$604,MATCH(B102,'Content Calendar'!$A$5:$A$604,0)),"Not found"))</f>
        <v>0</v>
      </c>
      <c r="D102" s="16">
        <f>IF(B102="","",IFERROR(INDEX('Content Calendar'!$B$5:$B$604,MATCH(B102,'Content Calendar'!$A$5:$A$604,0)),"Not found"))</f>
        <v>0</v>
      </c>
      <c r="E102" s="17">
        <f>IF(B102="","",IFERROR(INDEX('Content Calendar'!$J$5:$J$604,MATCH(B102,'Content Calendar'!$A$5:$A$604,0)),"Not found"))</f>
        <v>0</v>
      </c>
      <c r="F102" s="29">
        <f>IF(B102="","",IFERROR(INDEX('Content Calendar'!$X$5:$X$604,MATCH(B102,'Content Calendar'!$A$5:$A$604,0)),"Not found"))</f>
        <v>0</v>
      </c>
      <c r="S102" s="23">
        <f>IF(B102="","",IF(COUNTIF(Performance!$B$5:$B$404,B102)=0,"",SUMIFS(Performance!$O$5:$O$404,Performance!$B$5:$B$404,B102)))</f>
        <v>0</v>
      </c>
      <c r="T102" s="23">
        <f>IF(B102="","",IF(COUNTIF(Performance!$B$5:$B$404,B102)=0,"",SUMIFS(Performance!$P$5:$P$404,Performance!$B$5:$B$404,B102)))</f>
        <v>0</v>
      </c>
      <c r="U102" s="23">
        <f>IF(B102="","",IF(COUNTIF(Performance!$B$5:$B$404,B102)=0,"",SUMIFS(Performance!$Z$5:$Z$404,Performance!$B$5:$B$404,B102)))</f>
        <v>0</v>
      </c>
      <c r="V102" s="24">
        <f>IF(OR(S102="",S102=0),"",U102/S102)</f>
        <v>0</v>
      </c>
      <c r="W102" s="23">
        <f>IF(B102="","",IF(COUNTIF(Performance!$B$5:$B$404,B102)=0,"",SUMIFS(Performance!$T$5:$T$404,Performance!$B$5:$B$404,B102)))</f>
        <v>0</v>
      </c>
      <c r="X102" s="23">
        <f>IF(B102="","",IF(COUNTIF(Performance!$B$5:$B$404,B102)=0,"",SUMIFS(Performance!$S$5:$S$404,Performance!$B$5:$B$404,B102)))</f>
        <v>0</v>
      </c>
      <c r="Y102" s="23">
        <f>IF(B102="","",IF(COUNTIF(Performance!$B$5:$B$404,B102)=0,"",SUMIFS(Performance!$R$5:$R$404,Performance!$B$5:$B$404,B102)))</f>
        <v>0</v>
      </c>
      <c r="Z102" s="23">
        <f>IF(B102="","",IF(COUNTIF(Performance!$B$5:$B$404,B102)=0,"",SUMIFS(Performance!$U$5:$U$404,Performance!$B$5:$B$404,B102)))</f>
        <v>0</v>
      </c>
      <c r="AA102" s="29">
        <f>IF(B102="","",IF(C102="Not found","Check - content ID not on the calendar",IF(G102="","Add - no hook written",IF(H102="","Add - no sound chosen",IF(AND(P102&lt;&gt;"",P102&lt;0.25),"Review - most people scroll away early","OK")))))</f>
        <v>0</v>
      </c>
    </row>
    <row r="103" spans="1:27">
      <c r="A103" s="41">
        <f>IF(B103="","","TT-"&amp;TEXT(ROW()-4,"000"))</f>
        <v>0</v>
      </c>
      <c r="C103" s="17">
        <f>IF(B103="","",IFERROR(INDEX('Content Calendar'!$H$5:$H$604,MATCH(B103,'Content Calendar'!$A$5:$A$604,0)),"Not found"))</f>
        <v>0</v>
      </c>
      <c r="D103" s="16">
        <f>IF(B103="","",IFERROR(INDEX('Content Calendar'!$B$5:$B$604,MATCH(B103,'Content Calendar'!$A$5:$A$604,0)),"Not found"))</f>
        <v>0</v>
      </c>
      <c r="E103" s="17">
        <f>IF(B103="","",IFERROR(INDEX('Content Calendar'!$J$5:$J$604,MATCH(B103,'Content Calendar'!$A$5:$A$604,0)),"Not found"))</f>
        <v>0</v>
      </c>
      <c r="F103" s="29">
        <f>IF(B103="","",IFERROR(INDEX('Content Calendar'!$X$5:$X$604,MATCH(B103,'Content Calendar'!$A$5:$A$604,0)),"Not found"))</f>
        <v>0</v>
      </c>
      <c r="S103" s="23">
        <f>IF(B103="","",IF(COUNTIF(Performance!$B$5:$B$404,B103)=0,"",SUMIFS(Performance!$O$5:$O$404,Performance!$B$5:$B$404,B103)))</f>
        <v>0</v>
      </c>
      <c r="T103" s="23">
        <f>IF(B103="","",IF(COUNTIF(Performance!$B$5:$B$404,B103)=0,"",SUMIFS(Performance!$P$5:$P$404,Performance!$B$5:$B$404,B103)))</f>
        <v>0</v>
      </c>
      <c r="U103" s="23">
        <f>IF(B103="","",IF(COUNTIF(Performance!$B$5:$B$404,B103)=0,"",SUMIFS(Performance!$Z$5:$Z$404,Performance!$B$5:$B$404,B103)))</f>
        <v>0</v>
      </c>
      <c r="V103" s="24">
        <f>IF(OR(S103="",S103=0),"",U103/S103)</f>
        <v>0</v>
      </c>
      <c r="W103" s="23">
        <f>IF(B103="","",IF(COUNTIF(Performance!$B$5:$B$404,B103)=0,"",SUMIFS(Performance!$T$5:$T$404,Performance!$B$5:$B$404,B103)))</f>
        <v>0</v>
      </c>
      <c r="X103" s="23">
        <f>IF(B103="","",IF(COUNTIF(Performance!$B$5:$B$404,B103)=0,"",SUMIFS(Performance!$S$5:$S$404,Performance!$B$5:$B$404,B103)))</f>
        <v>0</v>
      </c>
      <c r="Y103" s="23">
        <f>IF(B103="","",IF(COUNTIF(Performance!$B$5:$B$404,B103)=0,"",SUMIFS(Performance!$R$5:$R$404,Performance!$B$5:$B$404,B103)))</f>
        <v>0</v>
      </c>
      <c r="Z103" s="23">
        <f>IF(B103="","",IF(COUNTIF(Performance!$B$5:$B$404,B103)=0,"",SUMIFS(Performance!$U$5:$U$404,Performance!$B$5:$B$404,B103)))</f>
        <v>0</v>
      </c>
      <c r="AA103" s="29">
        <f>IF(B103="","",IF(C103="Not found","Check - content ID not on the calendar",IF(G103="","Add - no hook written",IF(H103="","Add - no sound chosen",IF(AND(P103&lt;&gt;"",P103&lt;0.25),"Review - most people scroll away early","OK")))))</f>
        <v>0</v>
      </c>
    </row>
    <row r="104" spans="1:27">
      <c r="A104" s="41">
        <f>IF(B104="","","TT-"&amp;TEXT(ROW()-4,"000"))</f>
        <v>0</v>
      </c>
      <c r="C104" s="17">
        <f>IF(B104="","",IFERROR(INDEX('Content Calendar'!$H$5:$H$604,MATCH(B104,'Content Calendar'!$A$5:$A$604,0)),"Not found"))</f>
        <v>0</v>
      </c>
      <c r="D104" s="16">
        <f>IF(B104="","",IFERROR(INDEX('Content Calendar'!$B$5:$B$604,MATCH(B104,'Content Calendar'!$A$5:$A$604,0)),"Not found"))</f>
        <v>0</v>
      </c>
      <c r="E104" s="17">
        <f>IF(B104="","",IFERROR(INDEX('Content Calendar'!$J$5:$J$604,MATCH(B104,'Content Calendar'!$A$5:$A$604,0)),"Not found"))</f>
        <v>0</v>
      </c>
      <c r="F104" s="29">
        <f>IF(B104="","",IFERROR(INDEX('Content Calendar'!$X$5:$X$604,MATCH(B104,'Content Calendar'!$A$5:$A$604,0)),"Not found"))</f>
        <v>0</v>
      </c>
      <c r="S104" s="23">
        <f>IF(B104="","",IF(COUNTIF(Performance!$B$5:$B$404,B104)=0,"",SUMIFS(Performance!$O$5:$O$404,Performance!$B$5:$B$404,B104)))</f>
        <v>0</v>
      </c>
      <c r="T104" s="23">
        <f>IF(B104="","",IF(COUNTIF(Performance!$B$5:$B$404,B104)=0,"",SUMIFS(Performance!$P$5:$P$404,Performance!$B$5:$B$404,B104)))</f>
        <v>0</v>
      </c>
      <c r="U104" s="23">
        <f>IF(B104="","",IF(COUNTIF(Performance!$B$5:$B$404,B104)=0,"",SUMIFS(Performance!$Z$5:$Z$404,Performance!$B$5:$B$404,B104)))</f>
        <v>0</v>
      </c>
      <c r="V104" s="24">
        <f>IF(OR(S104="",S104=0),"",U104/S104)</f>
        <v>0</v>
      </c>
      <c r="W104" s="23">
        <f>IF(B104="","",IF(COUNTIF(Performance!$B$5:$B$404,B104)=0,"",SUMIFS(Performance!$T$5:$T$404,Performance!$B$5:$B$404,B104)))</f>
        <v>0</v>
      </c>
      <c r="X104" s="23">
        <f>IF(B104="","",IF(COUNTIF(Performance!$B$5:$B$404,B104)=0,"",SUMIFS(Performance!$S$5:$S$404,Performance!$B$5:$B$404,B104)))</f>
        <v>0</v>
      </c>
      <c r="Y104" s="23">
        <f>IF(B104="","",IF(COUNTIF(Performance!$B$5:$B$404,B104)=0,"",SUMIFS(Performance!$R$5:$R$404,Performance!$B$5:$B$404,B104)))</f>
        <v>0</v>
      </c>
      <c r="Z104" s="23">
        <f>IF(B104="","",IF(COUNTIF(Performance!$B$5:$B$404,B104)=0,"",SUMIFS(Performance!$U$5:$U$404,Performance!$B$5:$B$404,B104)))</f>
        <v>0</v>
      </c>
      <c r="AA104" s="29">
        <f>IF(B104="","",IF(C104="Not found","Check - content ID not on the calendar",IF(G104="","Add - no hook written",IF(H104="","Add - no sound chosen",IF(AND(P104&lt;&gt;"",P104&lt;0.25),"Review - most people scroll away early","OK")))))</f>
        <v>0</v>
      </c>
    </row>
    <row r="105" spans="1:27">
      <c r="A105" s="41">
        <f>IF(B105="","","TT-"&amp;TEXT(ROW()-4,"000"))</f>
        <v>0</v>
      </c>
      <c r="C105" s="17">
        <f>IF(B105="","",IFERROR(INDEX('Content Calendar'!$H$5:$H$604,MATCH(B105,'Content Calendar'!$A$5:$A$604,0)),"Not found"))</f>
        <v>0</v>
      </c>
      <c r="D105" s="16">
        <f>IF(B105="","",IFERROR(INDEX('Content Calendar'!$B$5:$B$604,MATCH(B105,'Content Calendar'!$A$5:$A$604,0)),"Not found"))</f>
        <v>0</v>
      </c>
      <c r="E105" s="17">
        <f>IF(B105="","",IFERROR(INDEX('Content Calendar'!$J$5:$J$604,MATCH(B105,'Content Calendar'!$A$5:$A$604,0)),"Not found"))</f>
        <v>0</v>
      </c>
      <c r="F105" s="29">
        <f>IF(B105="","",IFERROR(INDEX('Content Calendar'!$X$5:$X$604,MATCH(B105,'Content Calendar'!$A$5:$A$604,0)),"Not found"))</f>
        <v>0</v>
      </c>
      <c r="S105" s="23">
        <f>IF(B105="","",IF(COUNTIF(Performance!$B$5:$B$404,B105)=0,"",SUMIFS(Performance!$O$5:$O$404,Performance!$B$5:$B$404,B105)))</f>
        <v>0</v>
      </c>
      <c r="T105" s="23">
        <f>IF(B105="","",IF(COUNTIF(Performance!$B$5:$B$404,B105)=0,"",SUMIFS(Performance!$P$5:$P$404,Performance!$B$5:$B$404,B105)))</f>
        <v>0</v>
      </c>
      <c r="U105" s="23">
        <f>IF(B105="","",IF(COUNTIF(Performance!$B$5:$B$404,B105)=0,"",SUMIFS(Performance!$Z$5:$Z$404,Performance!$B$5:$B$404,B105)))</f>
        <v>0</v>
      </c>
      <c r="V105" s="24">
        <f>IF(OR(S105="",S105=0),"",U105/S105)</f>
        <v>0</v>
      </c>
      <c r="W105" s="23">
        <f>IF(B105="","",IF(COUNTIF(Performance!$B$5:$B$404,B105)=0,"",SUMIFS(Performance!$T$5:$T$404,Performance!$B$5:$B$404,B105)))</f>
        <v>0</v>
      </c>
      <c r="X105" s="23">
        <f>IF(B105="","",IF(COUNTIF(Performance!$B$5:$B$404,B105)=0,"",SUMIFS(Performance!$S$5:$S$404,Performance!$B$5:$B$404,B105)))</f>
        <v>0</v>
      </c>
      <c r="Y105" s="23">
        <f>IF(B105="","",IF(COUNTIF(Performance!$B$5:$B$404,B105)=0,"",SUMIFS(Performance!$R$5:$R$404,Performance!$B$5:$B$404,B105)))</f>
        <v>0</v>
      </c>
      <c r="Z105" s="23">
        <f>IF(B105="","",IF(COUNTIF(Performance!$B$5:$B$404,B105)=0,"",SUMIFS(Performance!$U$5:$U$404,Performance!$B$5:$B$404,B105)))</f>
        <v>0</v>
      </c>
      <c r="AA105" s="29">
        <f>IF(B105="","",IF(C105="Not found","Check - content ID not on the calendar",IF(G105="","Add - no hook written",IF(H105="","Add - no sound chosen",IF(AND(P105&lt;&gt;"",P105&lt;0.25),"Review - most people scroll away early","OK")))))</f>
        <v>0</v>
      </c>
    </row>
    <row r="106" spans="1:27">
      <c r="A106" s="41">
        <f>IF(B106="","","TT-"&amp;TEXT(ROW()-4,"000"))</f>
        <v>0</v>
      </c>
      <c r="C106" s="17">
        <f>IF(B106="","",IFERROR(INDEX('Content Calendar'!$H$5:$H$604,MATCH(B106,'Content Calendar'!$A$5:$A$604,0)),"Not found"))</f>
        <v>0</v>
      </c>
      <c r="D106" s="16">
        <f>IF(B106="","",IFERROR(INDEX('Content Calendar'!$B$5:$B$604,MATCH(B106,'Content Calendar'!$A$5:$A$604,0)),"Not found"))</f>
        <v>0</v>
      </c>
      <c r="E106" s="17">
        <f>IF(B106="","",IFERROR(INDEX('Content Calendar'!$J$5:$J$604,MATCH(B106,'Content Calendar'!$A$5:$A$604,0)),"Not found"))</f>
        <v>0</v>
      </c>
      <c r="F106" s="29">
        <f>IF(B106="","",IFERROR(INDEX('Content Calendar'!$X$5:$X$604,MATCH(B106,'Content Calendar'!$A$5:$A$604,0)),"Not found"))</f>
        <v>0</v>
      </c>
      <c r="S106" s="23">
        <f>IF(B106="","",IF(COUNTIF(Performance!$B$5:$B$404,B106)=0,"",SUMIFS(Performance!$O$5:$O$404,Performance!$B$5:$B$404,B106)))</f>
        <v>0</v>
      </c>
      <c r="T106" s="23">
        <f>IF(B106="","",IF(COUNTIF(Performance!$B$5:$B$404,B106)=0,"",SUMIFS(Performance!$P$5:$P$404,Performance!$B$5:$B$404,B106)))</f>
        <v>0</v>
      </c>
      <c r="U106" s="23">
        <f>IF(B106="","",IF(COUNTIF(Performance!$B$5:$B$404,B106)=0,"",SUMIFS(Performance!$Z$5:$Z$404,Performance!$B$5:$B$404,B106)))</f>
        <v>0</v>
      </c>
      <c r="V106" s="24">
        <f>IF(OR(S106="",S106=0),"",U106/S106)</f>
        <v>0</v>
      </c>
      <c r="W106" s="23">
        <f>IF(B106="","",IF(COUNTIF(Performance!$B$5:$B$404,B106)=0,"",SUMIFS(Performance!$T$5:$T$404,Performance!$B$5:$B$404,B106)))</f>
        <v>0</v>
      </c>
      <c r="X106" s="23">
        <f>IF(B106="","",IF(COUNTIF(Performance!$B$5:$B$404,B106)=0,"",SUMIFS(Performance!$S$5:$S$404,Performance!$B$5:$B$404,B106)))</f>
        <v>0</v>
      </c>
      <c r="Y106" s="23">
        <f>IF(B106="","",IF(COUNTIF(Performance!$B$5:$B$404,B106)=0,"",SUMIFS(Performance!$R$5:$R$404,Performance!$B$5:$B$404,B106)))</f>
        <v>0</v>
      </c>
      <c r="Z106" s="23">
        <f>IF(B106="","",IF(COUNTIF(Performance!$B$5:$B$404,B106)=0,"",SUMIFS(Performance!$U$5:$U$404,Performance!$B$5:$B$404,B106)))</f>
        <v>0</v>
      </c>
      <c r="AA106" s="29">
        <f>IF(B106="","",IF(C106="Not found","Check - content ID not on the calendar",IF(G106="","Add - no hook written",IF(H106="","Add - no sound chosen",IF(AND(P106&lt;&gt;"",P106&lt;0.25),"Review - most people scroll away early","OK")))))</f>
        <v>0</v>
      </c>
    </row>
    <row r="107" spans="1:27">
      <c r="A107" s="41">
        <f>IF(B107="","","TT-"&amp;TEXT(ROW()-4,"000"))</f>
        <v>0</v>
      </c>
      <c r="C107" s="17">
        <f>IF(B107="","",IFERROR(INDEX('Content Calendar'!$H$5:$H$604,MATCH(B107,'Content Calendar'!$A$5:$A$604,0)),"Not found"))</f>
        <v>0</v>
      </c>
      <c r="D107" s="16">
        <f>IF(B107="","",IFERROR(INDEX('Content Calendar'!$B$5:$B$604,MATCH(B107,'Content Calendar'!$A$5:$A$604,0)),"Not found"))</f>
        <v>0</v>
      </c>
      <c r="E107" s="17">
        <f>IF(B107="","",IFERROR(INDEX('Content Calendar'!$J$5:$J$604,MATCH(B107,'Content Calendar'!$A$5:$A$604,0)),"Not found"))</f>
        <v>0</v>
      </c>
      <c r="F107" s="29">
        <f>IF(B107="","",IFERROR(INDEX('Content Calendar'!$X$5:$X$604,MATCH(B107,'Content Calendar'!$A$5:$A$604,0)),"Not found"))</f>
        <v>0</v>
      </c>
      <c r="S107" s="23">
        <f>IF(B107="","",IF(COUNTIF(Performance!$B$5:$B$404,B107)=0,"",SUMIFS(Performance!$O$5:$O$404,Performance!$B$5:$B$404,B107)))</f>
        <v>0</v>
      </c>
      <c r="T107" s="23">
        <f>IF(B107="","",IF(COUNTIF(Performance!$B$5:$B$404,B107)=0,"",SUMIFS(Performance!$P$5:$P$404,Performance!$B$5:$B$404,B107)))</f>
        <v>0</v>
      </c>
      <c r="U107" s="23">
        <f>IF(B107="","",IF(COUNTIF(Performance!$B$5:$B$404,B107)=0,"",SUMIFS(Performance!$Z$5:$Z$404,Performance!$B$5:$B$404,B107)))</f>
        <v>0</v>
      </c>
      <c r="V107" s="24">
        <f>IF(OR(S107="",S107=0),"",U107/S107)</f>
        <v>0</v>
      </c>
      <c r="W107" s="23">
        <f>IF(B107="","",IF(COUNTIF(Performance!$B$5:$B$404,B107)=0,"",SUMIFS(Performance!$T$5:$T$404,Performance!$B$5:$B$404,B107)))</f>
        <v>0</v>
      </c>
      <c r="X107" s="23">
        <f>IF(B107="","",IF(COUNTIF(Performance!$B$5:$B$404,B107)=0,"",SUMIFS(Performance!$S$5:$S$404,Performance!$B$5:$B$404,B107)))</f>
        <v>0</v>
      </c>
      <c r="Y107" s="23">
        <f>IF(B107="","",IF(COUNTIF(Performance!$B$5:$B$404,B107)=0,"",SUMIFS(Performance!$R$5:$R$404,Performance!$B$5:$B$404,B107)))</f>
        <v>0</v>
      </c>
      <c r="Z107" s="23">
        <f>IF(B107="","",IF(COUNTIF(Performance!$B$5:$B$404,B107)=0,"",SUMIFS(Performance!$U$5:$U$404,Performance!$B$5:$B$404,B107)))</f>
        <v>0</v>
      </c>
      <c r="AA107" s="29">
        <f>IF(B107="","",IF(C107="Not found","Check - content ID not on the calendar",IF(G107="","Add - no hook written",IF(H107="","Add - no sound chosen",IF(AND(P107&lt;&gt;"",P107&lt;0.25),"Review - most people scroll away early","OK")))))</f>
        <v>0</v>
      </c>
    </row>
    <row r="108" spans="1:27">
      <c r="A108" s="41">
        <f>IF(B108="","","TT-"&amp;TEXT(ROW()-4,"000"))</f>
        <v>0</v>
      </c>
      <c r="C108" s="17">
        <f>IF(B108="","",IFERROR(INDEX('Content Calendar'!$H$5:$H$604,MATCH(B108,'Content Calendar'!$A$5:$A$604,0)),"Not found"))</f>
        <v>0</v>
      </c>
      <c r="D108" s="16">
        <f>IF(B108="","",IFERROR(INDEX('Content Calendar'!$B$5:$B$604,MATCH(B108,'Content Calendar'!$A$5:$A$604,0)),"Not found"))</f>
        <v>0</v>
      </c>
      <c r="E108" s="17">
        <f>IF(B108="","",IFERROR(INDEX('Content Calendar'!$J$5:$J$604,MATCH(B108,'Content Calendar'!$A$5:$A$604,0)),"Not found"))</f>
        <v>0</v>
      </c>
      <c r="F108" s="29">
        <f>IF(B108="","",IFERROR(INDEX('Content Calendar'!$X$5:$X$604,MATCH(B108,'Content Calendar'!$A$5:$A$604,0)),"Not found"))</f>
        <v>0</v>
      </c>
      <c r="S108" s="23">
        <f>IF(B108="","",IF(COUNTIF(Performance!$B$5:$B$404,B108)=0,"",SUMIFS(Performance!$O$5:$O$404,Performance!$B$5:$B$404,B108)))</f>
        <v>0</v>
      </c>
      <c r="T108" s="23">
        <f>IF(B108="","",IF(COUNTIF(Performance!$B$5:$B$404,B108)=0,"",SUMIFS(Performance!$P$5:$P$404,Performance!$B$5:$B$404,B108)))</f>
        <v>0</v>
      </c>
      <c r="U108" s="23">
        <f>IF(B108="","",IF(COUNTIF(Performance!$B$5:$B$404,B108)=0,"",SUMIFS(Performance!$Z$5:$Z$404,Performance!$B$5:$B$404,B108)))</f>
        <v>0</v>
      </c>
      <c r="V108" s="24">
        <f>IF(OR(S108="",S108=0),"",U108/S108)</f>
        <v>0</v>
      </c>
      <c r="W108" s="23">
        <f>IF(B108="","",IF(COUNTIF(Performance!$B$5:$B$404,B108)=0,"",SUMIFS(Performance!$T$5:$T$404,Performance!$B$5:$B$404,B108)))</f>
        <v>0</v>
      </c>
      <c r="X108" s="23">
        <f>IF(B108="","",IF(COUNTIF(Performance!$B$5:$B$404,B108)=0,"",SUMIFS(Performance!$S$5:$S$404,Performance!$B$5:$B$404,B108)))</f>
        <v>0</v>
      </c>
      <c r="Y108" s="23">
        <f>IF(B108="","",IF(COUNTIF(Performance!$B$5:$B$404,B108)=0,"",SUMIFS(Performance!$R$5:$R$404,Performance!$B$5:$B$404,B108)))</f>
        <v>0</v>
      </c>
      <c r="Z108" s="23">
        <f>IF(B108="","",IF(COUNTIF(Performance!$B$5:$B$404,B108)=0,"",SUMIFS(Performance!$U$5:$U$404,Performance!$B$5:$B$404,B108)))</f>
        <v>0</v>
      </c>
      <c r="AA108" s="29">
        <f>IF(B108="","",IF(C108="Not found","Check - content ID not on the calendar",IF(G108="","Add - no hook written",IF(H108="","Add - no sound chosen",IF(AND(P108&lt;&gt;"",P108&lt;0.25),"Review - most people scroll away early","OK")))))</f>
        <v>0</v>
      </c>
    </row>
    <row r="109" spans="1:27">
      <c r="A109" s="41">
        <f>IF(B109="","","TT-"&amp;TEXT(ROW()-4,"000"))</f>
        <v>0</v>
      </c>
      <c r="C109" s="17">
        <f>IF(B109="","",IFERROR(INDEX('Content Calendar'!$H$5:$H$604,MATCH(B109,'Content Calendar'!$A$5:$A$604,0)),"Not found"))</f>
        <v>0</v>
      </c>
      <c r="D109" s="16">
        <f>IF(B109="","",IFERROR(INDEX('Content Calendar'!$B$5:$B$604,MATCH(B109,'Content Calendar'!$A$5:$A$604,0)),"Not found"))</f>
        <v>0</v>
      </c>
      <c r="E109" s="17">
        <f>IF(B109="","",IFERROR(INDEX('Content Calendar'!$J$5:$J$604,MATCH(B109,'Content Calendar'!$A$5:$A$604,0)),"Not found"))</f>
        <v>0</v>
      </c>
      <c r="F109" s="29">
        <f>IF(B109="","",IFERROR(INDEX('Content Calendar'!$X$5:$X$604,MATCH(B109,'Content Calendar'!$A$5:$A$604,0)),"Not found"))</f>
        <v>0</v>
      </c>
      <c r="S109" s="23">
        <f>IF(B109="","",IF(COUNTIF(Performance!$B$5:$B$404,B109)=0,"",SUMIFS(Performance!$O$5:$O$404,Performance!$B$5:$B$404,B109)))</f>
        <v>0</v>
      </c>
      <c r="T109" s="23">
        <f>IF(B109="","",IF(COUNTIF(Performance!$B$5:$B$404,B109)=0,"",SUMIFS(Performance!$P$5:$P$404,Performance!$B$5:$B$404,B109)))</f>
        <v>0</v>
      </c>
      <c r="U109" s="23">
        <f>IF(B109="","",IF(COUNTIF(Performance!$B$5:$B$404,B109)=0,"",SUMIFS(Performance!$Z$5:$Z$404,Performance!$B$5:$B$404,B109)))</f>
        <v>0</v>
      </c>
      <c r="V109" s="24">
        <f>IF(OR(S109="",S109=0),"",U109/S109)</f>
        <v>0</v>
      </c>
      <c r="W109" s="23">
        <f>IF(B109="","",IF(COUNTIF(Performance!$B$5:$B$404,B109)=0,"",SUMIFS(Performance!$T$5:$T$404,Performance!$B$5:$B$404,B109)))</f>
        <v>0</v>
      </c>
      <c r="X109" s="23">
        <f>IF(B109="","",IF(COUNTIF(Performance!$B$5:$B$404,B109)=0,"",SUMIFS(Performance!$S$5:$S$404,Performance!$B$5:$B$404,B109)))</f>
        <v>0</v>
      </c>
      <c r="Y109" s="23">
        <f>IF(B109="","",IF(COUNTIF(Performance!$B$5:$B$404,B109)=0,"",SUMIFS(Performance!$R$5:$R$404,Performance!$B$5:$B$404,B109)))</f>
        <v>0</v>
      </c>
      <c r="Z109" s="23">
        <f>IF(B109="","",IF(COUNTIF(Performance!$B$5:$B$404,B109)=0,"",SUMIFS(Performance!$U$5:$U$404,Performance!$B$5:$B$404,B109)))</f>
        <v>0</v>
      </c>
      <c r="AA109" s="29">
        <f>IF(B109="","",IF(C109="Not found","Check - content ID not on the calendar",IF(G109="","Add - no hook written",IF(H109="","Add - no sound chosen",IF(AND(P109&lt;&gt;"",P109&lt;0.25),"Review - most people scroll away early","OK")))))</f>
        <v>0</v>
      </c>
    </row>
    <row r="110" spans="1:27">
      <c r="A110" s="41">
        <f>IF(B110="","","TT-"&amp;TEXT(ROW()-4,"000"))</f>
        <v>0</v>
      </c>
      <c r="C110" s="17">
        <f>IF(B110="","",IFERROR(INDEX('Content Calendar'!$H$5:$H$604,MATCH(B110,'Content Calendar'!$A$5:$A$604,0)),"Not found"))</f>
        <v>0</v>
      </c>
      <c r="D110" s="16">
        <f>IF(B110="","",IFERROR(INDEX('Content Calendar'!$B$5:$B$604,MATCH(B110,'Content Calendar'!$A$5:$A$604,0)),"Not found"))</f>
        <v>0</v>
      </c>
      <c r="E110" s="17">
        <f>IF(B110="","",IFERROR(INDEX('Content Calendar'!$J$5:$J$604,MATCH(B110,'Content Calendar'!$A$5:$A$604,0)),"Not found"))</f>
        <v>0</v>
      </c>
      <c r="F110" s="29">
        <f>IF(B110="","",IFERROR(INDEX('Content Calendar'!$X$5:$X$604,MATCH(B110,'Content Calendar'!$A$5:$A$604,0)),"Not found"))</f>
        <v>0</v>
      </c>
      <c r="S110" s="23">
        <f>IF(B110="","",IF(COUNTIF(Performance!$B$5:$B$404,B110)=0,"",SUMIFS(Performance!$O$5:$O$404,Performance!$B$5:$B$404,B110)))</f>
        <v>0</v>
      </c>
      <c r="T110" s="23">
        <f>IF(B110="","",IF(COUNTIF(Performance!$B$5:$B$404,B110)=0,"",SUMIFS(Performance!$P$5:$P$404,Performance!$B$5:$B$404,B110)))</f>
        <v>0</v>
      </c>
      <c r="U110" s="23">
        <f>IF(B110="","",IF(COUNTIF(Performance!$B$5:$B$404,B110)=0,"",SUMIFS(Performance!$Z$5:$Z$404,Performance!$B$5:$B$404,B110)))</f>
        <v>0</v>
      </c>
      <c r="V110" s="24">
        <f>IF(OR(S110="",S110=0),"",U110/S110)</f>
        <v>0</v>
      </c>
      <c r="W110" s="23">
        <f>IF(B110="","",IF(COUNTIF(Performance!$B$5:$B$404,B110)=0,"",SUMIFS(Performance!$T$5:$T$404,Performance!$B$5:$B$404,B110)))</f>
        <v>0</v>
      </c>
      <c r="X110" s="23">
        <f>IF(B110="","",IF(COUNTIF(Performance!$B$5:$B$404,B110)=0,"",SUMIFS(Performance!$S$5:$S$404,Performance!$B$5:$B$404,B110)))</f>
        <v>0</v>
      </c>
      <c r="Y110" s="23">
        <f>IF(B110="","",IF(COUNTIF(Performance!$B$5:$B$404,B110)=0,"",SUMIFS(Performance!$R$5:$R$404,Performance!$B$5:$B$404,B110)))</f>
        <v>0</v>
      </c>
      <c r="Z110" s="23">
        <f>IF(B110="","",IF(COUNTIF(Performance!$B$5:$B$404,B110)=0,"",SUMIFS(Performance!$U$5:$U$404,Performance!$B$5:$B$404,B110)))</f>
        <v>0</v>
      </c>
      <c r="AA110" s="29">
        <f>IF(B110="","",IF(C110="Not found","Check - content ID not on the calendar",IF(G110="","Add - no hook written",IF(H110="","Add - no sound chosen",IF(AND(P110&lt;&gt;"",P110&lt;0.25),"Review - most people scroll away early","OK")))))</f>
        <v>0</v>
      </c>
    </row>
    <row r="111" spans="1:27">
      <c r="A111" s="41">
        <f>IF(B111="","","TT-"&amp;TEXT(ROW()-4,"000"))</f>
        <v>0</v>
      </c>
      <c r="C111" s="17">
        <f>IF(B111="","",IFERROR(INDEX('Content Calendar'!$H$5:$H$604,MATCH(B111,'Content Calendar'!$A$5:$A$604,0)),"Not found"))</f>
        <v>0</v>
      </c>
      <c r="D111" s="16">
        <f>IF(B111="","",IFERROR(INDEX('Content Calendar'!$B$5:$B$604,MATCH(B111,'Content Calendar'!$A$5:$A$604,0)),"Not found"))</f>
        <v>0</v>
      </c>
      <c r="E111" s="17">
        <f>IF(B111="","",IFERROR(INDEX('Content Calendar'!$J$5:$J$604,MATCH(B111,'Content Calendar'!$A$5:$A$604,0)),"Not found"))</f>
        <v>0</v>
      </c>
      <c r="F111" s="29">
        <f>IF(B111="","",IFERROR(INDEX('Content Calendar'!$X$5:$X$604,MATCH(B111,'Content Calendar'!$A$5:$A$604,0)),"Not found"))</f>
        <v>0</v>
      </c>
      <c r="S111" s="23">
        <f>IF(B111="","",IF(COUNTIF(Performance!$B$5:$B$404,B111)=0,"",SUMIFS(Performance!$O$5:$O$404,Performance!$B$5:$B$404,B111)))</f>
        <v>0</v>
      </c>
      <c r="T111" s="23">
        <f>IF(B111="","",IF(COUNTIF(Performance!$B$5:$B$404,B111)=0,"",SUMIFS(Performance!$P$5:$P$404,Performance!$B$5:$B$404,B111)))</f>
        <v>0</v>
      </c>
      <c r="U111" s="23">
        <f>IF(B111="","",IF(COUNTIF(Performance!$B$5:$B$404,B111)=0,"",SUMIFS(Performance!$Z$5:$Z$404,Performance!$B$5:$B$404,B111)))</f>
        <v>0</v>
      </c>
      <c r="V111" s="24">
        <f>IF(OR(S111="",S111=0),"",U111/S111)</f>
        <v>0</v>
      </c>
      <c r="W111" s="23">
        <f>IF(B111="","",IF(COUNTIF(Performance!$B$5:$B$404,B111)=0,"",SUMIFS(Performance!$T$5:$T$404,Performance!$B$5:$B$404,B111)))</f>
        <v>0</v>
      </c>
      <c r="X111" s="23">
        <f>IF(B111="","",IF(COUNTIF(Performance!$B$5:$B$404,B111)=0,"",SUMIFS(Performance!$S$5:$S$404,Performance!$B$5:$B$404,B111)))</f>
        <v>0</v>
      </c>
      <c r="Y111" s="23">
        <f>IF(B111="","",IF(COUNTIF(Performance!$B$5:$B$404,B111)=0,"",SUMIFS(Performance!$R$5:$R$404,Performance!$B$5:$B$404,B111)))</f>
        <v>0</v>
      </c>
      <c r="Z111" s="23">
        <f>IF(B111="","",IF(COUNTIF(Performance!$B$5:$B$404,B111)=0,"",SUMIFS(Performance!$U$5:$U$404,Performance!$B$5:$B$404,B111)))</f>
        <v>0</v>
      </c>
      <c r="AA111" s="29">
        <f>IF(B111="","",IF(C111="Not found","Check - content ID not on the calendar",IF(G111="","Add - no hook written",IF(H111="","Add - no sound chosen",IF(AND(P111&lt;&gt;"",P111&lt;0.25),"Review - most people scroll away early","OK")))))</f>
        <v>0</v>
      </c>
    </row>
    <row r="112" spans="1:27">
      <c r="A112" s="41">
        <f>IF(B112="","","TT-"&amp;TEXT(ROW()-4,"000"))</f>
        <v>0</v>
      </c>
      <c r="C112" s="17">
        <f>IF(B112="","",IFERROR(INDEX('Content Calendar'!$H$5:$H$604,MATCH(B112,'Content Calendar'!$A$5:$A$604,0)),"Not found"))</f>
        <v>0</v>
      </c>
      <c r="D112" s="16">
        <f>IF(B112="","",IFERROR(INDEX('Content Calendar'!$B$5:$B$604,MATCH(B112,'Content Calendar'!$A$5:$A$604,0)),"Not found"))</f>
        <v>0</v>
      </c>
      <c r="E112" s="17">
        <f>IF(B112="","",IFERROR(INDEX('Content Calendar'!$J$5:$J$604,MATCH(B112,'Content Calendar'!$A$5:$A$604,0)),"Not found"))</f>
        <v>0</v>
      </c>
      <c r="F112" s="29">
        <f>IF(B112="","",IFERROR(INDEX('Content Calendar'!$X$5:$X$604,MATCH(B112,'Content Calendar'!$A$5:$A$604,0)),"Not found"))</f>
        <v>0</v>
      </c>
      <c r="S112" s="23">
        <f>IF(B112="","",IF(COUNTIF(Performance!$B$5:$B$404,B112)=0,"",SUMIFS(Performance!$O$5:$O$404,Performance!$B$5:$B$404,B112)))</f>
        <v>0</v>
      </c>
      <c r="T112" s="23">
        <f>IF(B112="","",IF(COUNTIF(Performance!$B$5:$B$404,B112)=0,"",SUMIFS(Performance!$P$5:$P$404,Performance!$B$5:$B$404,B112)))</f>
        <v>0</v>
      </c>
      <c r="U112" s="23">
        <f>IF(B112="","",IF(COUNTIF(Performance!$B$5:$B$404,B112)=0,"",SUMIFS(Performance!$Z$5:$Z$404,Performance!$B$5:$B$404,B112)))</f>
        <v>0</v>
      </c>
      <c r="V112" s="24">
        <f>IF(OR(S112="",S112=0),"",U112/S112)</f>
        <v>0</v>
      </c>
      <c r="W112" s="23">
        <f>IF(B112="","",IF(COUNTIF(Performance!$B$5:$B$404,B112)=0,"",SUMIFS(Performance!$T$5:$T$404,Performance!$B$5:$B$404,B112)))</f>
        <v>0</v>
      </c>
      <c r="X112" s="23">
        <f>IF(B112="","",IF(COUNTIF(Performance!$B$5:$B$404,B112)=0,"",SUMIFS(Performance!$S$5:$S$404,Performance!$B$5:$B$404,B112)))</f>
        <v>0</v>
      </c>
      <c r="Y112" s="23">
        <f>IF(B112="","",IF(COUNTIF(Performance!$B$5:$B$404,B112)=0,"",SUMIFS(Performance!$R$5:$R$404,Performance!$B$5:$B$404,B112)))</f>
        <v>0</v>
      </c>
      <c r="Z112" s="23">
        <f>IF(B112="","",IF(COUNTIF(Performance!$B$5:$B$404,B112)=0,"",SUMIFS(Performance!$U$5:$U$404,Performance!$B$5:$B$404,B112)))</f>
        <v>0</v>
      </c>
      <c r="AA112" s="29">
        <f>IF(B112="","",IF(C112="Not found","Check - content ID not on the calendar",IF(G112="","Add - no hook written",IF(H112="","Add - no sound chosen",IF(AND(P112&lt;&gt;"",P112&lt;0.25),"Review - most people scroll away early","OK")))))</f>
        <v>0</v>
      </c>
    </row>
    <row r="113" spans="1:27">
      <c r="A113" s="41">
        <f>IF(B113="","","TT-"&amp;TEXT(ROW()-4,"000"))</f>
        <v>0</v>
      </c>
      <c r="C113" s="17">
        <f>IF(B113="","",IFERROR(INDEX('Content Calendar'!$H$5:$H$604,MATCH(B113,'Content Calendar'!$A$5:$A$604,0)),"Not found"))</f>
        <v>0</v>
      </c>
      <c r="D113" s="16">
        <f>IF(B113="","",IFERROR(INDEX('Content Calendar'!$B$5:$B$604,MATCH(B113,'Content Calendar'!$A$5:$A$604,0)),"Not found"))</f>
        <v>0</v>
      </c>
      <c r="E113" s="17">
        <f>IF(B113="","",IFERROR(INDEX('Content Calendar'!$J$5:$J$604,MATCH(B113,'Content Calendar'!$A$5:$A$604,0)),"Not found"))</f>
        <v>0</v>
      </c>
      <c r="F113" s="29">
        <f>IF(B113="","",IFERROR(INDEX('Content Calendar'!$X$5:$X$604,MATCH(B113,'Content Calendar'!$A$5:$A$604,0)),"Not found"))</f>
        <v>0</v>
      </c>
      <c r="S113" s="23">
        <f>IF(B113="","",IF(COUNTIF(Performance!$B$5:$B$404,B113)=0,"",SUMIFS(Performance!$O$5:$O$404,Performance!$B$5:$B$404,B113)))</f>
        <v>0</v>
      </c>
      <c r="T113" s="23">
        <f>IF(B113="","",IF(COUNTIF(Performance!$B$5:$B$404,B113)=0,"",SUMIFS(Performance!$P$5:$P$404,Performance!$B$5:$B$404,B113)))</f>
        <v>0</v>
      </c>
      <c r="U113" s="23">
        <f>IF(B113="","",IF(COUNTIF(Performance!$B$5:$B$404,B113)=0,"",SUMIFS(Performance!$Z$5:$Z$404,Performance!$B$5:$B$404,B113)))</f>
        <v>0</v>
      </c>
      <c r="V113" s="24">
        <f>IF(OR(S113="",S113=0),"",U113/S113)</f>
        <v>0</v>
      </c>
      <c r="W113" s="23">
        <f>IF(B113="","",IF(COUNTIF(Performance!$B$5:$B$404,B113)=0,"",SUMIFS(Performance!$T$5:$T$404,Performance!$B$5:$B$404,B113)))</f>
        <v>0</v>
      </c>
      <c r="X113" s="23">
        <f>IF(B113="","",IF(COUNTIF(Performance!$B$5:$B$404,B113)=0,"",SUMIFS(Performance!$S$5:$S$404,Performance!$B$5:$B$404,B113)))</f>
        <v>0</v>
      </c>
      <c r="Y113" s="23">
        <f>IF(B113="","",IF(COUNTIF(Performance!$B$5:$B$404,B113)=0,"",SUMIFS(Performance!$R$5:$R$404,Performance!$B$5:$B$404,B113)))</f>
        <v>0</v>
      </c>
      <c r="Z113" s="23">
        <f>IF(B113="","",IF(COUNTIF(Performance!$B$5:$B$404,B113)=0,"",SUMIFS(Performance!$U$5:$U$404,Performance!$B$5:$B$404,B113)))</f>
        <v>0</v>
      </c>
      <c r="AA113" s="29">
        <f>IF(B113="","",IF(C113="Not found","Check - content ID not on the calendar",IF(G113="","Add - no hook written",IF(H113="","Add - no sound chosen",IF(AND(P113&lt;&gt;"",P113&lt;0.25),"Review - most people scroll away early","OK")))))</f>
        <v>0</v>
      </c>
    </row>
    <row r="114" spans="1:27">
      <c r="A114" s="41">
        <f>IF(B114="","","TT-"&amp;TEXT(ROW()-4,"000"))</f>
        <v>0</v>
      </c>
      <c r="C114" s="17">
        <f>IF(B114="","",IFERROR(INDEX('Content Calendar'!$H$5:$H$604,MATCH(B114,'Content Calendar'!$A$5:$A$604,0)),"Not found"))</f>
        <v>0</v>
      </c>
      <c r="D114" s="16">
        <f>IF(B114="","",IFERROR(INDEX('Content Calendar'!$B$5:$B$604,MATCH(B114,'Content Calendar'!$A$5:$A$604,0)),"Not found"))</f>
        <v>0</v>
      </c>
      <c r="E114" s="17">
        <f>IF(B114="","",IFERROR(INDEX('Content Calendar'!$J$5:$J$604,MATCH(B114,'Content Calendar'!$A$5:$A$604,0)),"Not found"))</f>
        <v>0</v>
      </c>
      <c r="F114" s="29">
        <f>IF(B114="","",IFERROR(INDEX('Content Calendar'!$X$5:$X$604,MATCH(B114,'Content Calendar'!$A$5:$A$604,0)),"Not found"))</f>
        <v>0</v>
      </c>
      <c r="S114" s="23">
        <f>IF(B114="","",IF(COUNTIF(Performance!$B$5:$B$404,B114)=0,"",SUMIFS(Performance!$O$5:$O$404,Performance!$B$5:$B$404,B114)))</f>
        <v>0</v>
      </c>
      <c r="T114" s="23">
        <f>IF(B114="","",IF(COUNTIF(Performance!$B$5:$B$404,B114)=0,"",SUMIFS(Performance!$P$5:$P$404,Performance!$B$5:$B$404,B114)))</f>
        <v>0</v>
      </c>
      <c r="U114" s="23">
        <f>IF(B114="","",IF(COUNTIF(Performance!$B$5:$B$404,B114)=0,"",SUMIFS(Performance!$Z$5:$Z$404,Performance!$B$5:$B$404,B114)))</f>
        <v>0</v>
      </c>
      <c r="V114" s="24">
        <f>IF(OR(S114="",S114=0),"",U114/S114)</f>
        <v>0</v>
      </c>
      <c r="W114" s="23">
        <f>IF(B114="","",IF(COUNTIF(Performance!$B$5:$B$404,B114)=0,"",SUMIFS(Performance!$T$5:$T$404,Performance!$B$5:$B$404,B114)))</f>
        <v>0</v>
      </c>
      <c r="X114" s="23">
        <f>IF(B114="","",IF(COUNTIF(Performance!$B$5:$B$404,B114)=0,"",SUMIFS(Performance!$S$5:$S$404,Performance!$B$5:$B$404,B114)))</f>
        <v>0</v>
      </c>
      <c r="Y114" s="23">
        <f>IF(B114="","",IF(COUNTIF(Performance!$B$5:$B$404,B114)=0,"",SUMIFS(Performance!$R$5:$R$404,Performance!$B$5:$B$404,B114)))</f>
        <v>0</v>
      </c>
      <c r="Z114" s="23">
        <f>IF(B114="","",IF(COUNTIF(Performance!$B$5:$B$404,B114)=0,"",SUMIFS(Performance!$U$5:$U$404,Performance!$B$5:$B$404,B114)))</f>
        <v>0</v>
      </c>
      <c r="AA114" s="29">
        <f>IF(B114="","",IF(C114="Not found","Check - content ID not on the calendar",IF(G114="","Add - no hook written",IF(H114="","Add - no sound chosen",IF(AND(P114&lt;&gt;"",P114&lt;0.25),"Review - most people scroll away early","OK")))))</f>
        <v>0</v>
      </c>
    </row>
    <row r="115" spans="1:27">
      <c r="A115" s="41">
        <f>IF(B115="","","TT-"&amp;TEXT(ROW()-4,"000"))</f>
        <v>0</v>
      </c>
      <c r="C115" s="17">
        <f>IF(B115="","",IFERROR(INDEX('Content Calendar'!$H$5:$H$604,MATCH(B115,'Content Calendar'!$A$5:$A$604,0)),"Not found"))</f>
        <v>0</v>
      </c>
      <c r="D115" s="16">
        <f>IF(B115="","",IFERROR(INDEX('Content Calendar'!$B$5:$B$604,MATCH(B115,'Content Calendar'!$A$5:$A$604,0)),"Not found"))</f>
        <v>0</v>
      </c>
      <c r="E115" s="17">
        <f>IF(B115="","",IFERROR(INDEX('Content Calendar'!$J$5:$J$604,MATCH(B115,'Content Calendar'!$A$5:$A$604,0)),"Not found"))</f>
        <v>0</v>
      </c>
      <c r="F115" s="29">
        <f>IF(B115="","",IFERROR(INDEX('Content Calendar'!$X$5:$X$604,MATCH(B115,'Content Calendar'!$A$5:$A$604,0)),"Not found"))</f>
        <v>0</v>
      </c>
      <c r="S115" s="23">
        <f>IF(B115="","",IF(COUNTIF(Performance!$B$5:$B$404,B115)=0,"",SUMIFS(Performance!$O$5:$O$404,Performance!$B$5:$B$404,B115)))</f>
        <v>0</v>
      </c>
      <c r="T115" s="23">
        <f>IF(B115="","",IF(COUNTIF(Performance!$B$5:$B$404,B115)=0,"",SUMIFS(Performance!$P$5:$P$404,Performance!$B$5:$B$404,B115)))</f>
        <v>0</v>
      </c>
      <c r="U115" s="23">
        <f>IF(B115="","",IF(COUNTIF(Performance!$B$5:$B$404,B115)=0,"",SUMIFS(Performance!$Z$5:$Z$404,Performance!$B$5:$B$404,B115)))</f>
        <v>0</v>
      </c>
      <c r="V115" s="24">
        <f>IF(OR(S115="",S115=0),"",U115/S115)</f>
        <v>0</v>
      </c>
      <c r="W115" s="23">
        <f>IF(B115="","",IF(COUNTIF(Performance!$B$5:$B$404,B115)=0,"",SUMIFS(Performance!$T$5:$T$404,Performance!$B$5:$B$404,B115)))</f>
        <v>0</v>
      </c>
      <c r="X115" s="23">
        <f>IF(B115="","",IF(COUNTIF(Performance!$B$5:$B$404,B115)=0,"",SUMIFS(Performance!$S$5:$S$404,Performance!$B$5:$B$404,B115)))</f>
        <v>0</v>
      </c>
      <c r="Y115" s="23">
        <f>IF(B115="","",IF(COUNTIF(Performance!$B$5:$B$404,B115)=0,"",SUMIFS(Performance!$R$5:$R$404,Performance!$B$5:$B$404,B115)))</f>
        <v>0</v>
      </c>
      <c r="Z115" s="23">
        <f>IF(B115="","",IF(COUNTIF(Performance!$B$5:$B$404,B115)=0,"",SUMIFS(Performance!$U$5:$U$404,Performance!$B$5:$B$404,B115)))</f>
        <v>0</v>
      </c>
      <c r="AA115" s="29">
        <f>IF(B115="","",IF(C115="Not found","Check - content ID not on the calendar",IF(G115="","Add - no hook written",IF(H115="","Add - no sound chosen",IF(AND(P115&lt;&gt;"",P115&lt;0.25),"Review - most people scroll away early","OK")))))</f>
        <v>0</v>
      </c>
    </row>
    <row r="116" spans="1:27">
      <c r="A116" s="41">
        <f>IF(B116="","","TT-"&amp;TEXT(ROW()-4,"000"))</f>
        <v>0</v>
      </c>
      <c r="C116" s="17">
        <f>IF(B116="","",IFERROR(INDEX('Content Calendar'!$H$5:$H$604,MATCH(B116,'Content Calendar'!$A$5:$A$604,0)),"Not found"))</f>
        <v>0</v>
      </c>
      <c r="D116" s="16">
        <f>IF(B116="","",IFERROR(INDEX('Content Calendar'!$B$5:$B$604,MATCH(B116,'Content Calendar'!$A$5:$A$604,0)),"Not found"))</f>
        <v>0</v>
      </c>
      <c r="E116" s="17">
        <f>IF(B116="","",IFERROR(INDEX('Content Calendar'!$J$5:$J$604,MATCH(B116,'Content Calendar'!$A$5:$A$604,0)),"Not found"))</f>
        <v>0</v>
      </c>
      <c r="F116" s="29">
        <f>IF(B116="","",IFERROR(INDEX('Content Calendar'!$X$5:$X$604,MATCH(B116,'Content Calendar'!$A$5:$A$604,0)),"Not found"))</f>
        <v>0</v>
      </c>
      <c r="S116" s="23">
        <f>IF(B116="","",IF(COUNTIF(Performance!$B$5:$B$404,B116)=0,"",SUMIFS(Performance!$O$5:$O$404,Performance!$B$5:$B$404,B116)))</f>
        <v>0</v>
      </c>
      <c r="T116" s="23">
        <f>IF(B116="","",IF(COUNTIF(Performance!$B$5:$B$404,B116)=0,"",SUMIFS(Performance!$P$5:$P$404,Performance!$B$5:$B$404,B116)))</f>
        <v>0</v>
      </c>
      <c r="U116" s="23">
        <f>IF(B116="","",IF(COUNTIF(Performance!$B$5:$B$404,B116)=0,"",SUMIFS(Performance!$Z$5:$Z$404,Performance!$B$5:$B$404,B116)))</f>
        <v>0</v>
      </c>
      <c r="V116" s="24">
        <f>IF(OR(S116="",S116=0),"",U116/S116)</f>
        <v>0</v>
      </c>
      <c r="W116" s="23">
        <f>IF(B116="","",IF(COUNTIF(Performance!$B$5:$B$404,B116)=0,"",SUMIFS(Performance!$T$5:$T$404,Performance!$B$5:$B$404,B116)))</f>
        <v>0</v>
      </c>
      <c r="X116" s="23">
        <f>IF(B116="","",IF(COUNTIF(Performance!$B$5:$B$404,B116)=0,"",SUMIFS(Performance!$S$5:$S$404,Performance!$B$5:$B$404,B116)))</f>
        <v>0</v>
      </c>
      <c r="Y116" s="23">
        <f>IF(B116="","",IF(COUNTIF(Performance!$B$5:$B$404,B116)=0,"",SUMIFS(Performance!$R$5:$R$404,Performance!$B$5:$B$404,B116)))</f>
        <v>0</v>
      </c>
      <c r="Z116" s="23">
        <f>IF(B116="","",IF(COUNTIF(Performance!$B$5:$B$404,B116)=0,"",SUMIFS(Performance!$U$5:$U$404,Performance!$B$5:$B$404,B116)))</f>
        <v>0</v>
      </c>
      <c r="AA116" s="29">
        <f>IF(B116="","",IF(C116="Not found","Check - content ID not on the calendar",IF(G116="","Add - no hook written",IF(H116="","Add - no sound chosen",IF(AND(P116&lt;&gt;"",P116&lt;0.25),"Review - most people scroll away early","OK")))))</f>
        <v>0</v>
      </c>
    </row>
    <row r="117" spans="1:27">
      <c r="A117" s="41">
        <f>IF(B117="","","TT-"&amp;TEXT(ROW()-4,"000"))</f>
        <v>0</v>
      </c>
      <c r="C117" s="17">
        <f>IF(B117="","",IFERROR(INDEX('Content Calendar'!$H$5:$H$604,MATCH(B117,'Content Calendar'!$A$5:$A$604,0)),"Not found"))</f>
        <v>0</v>
      </c>
      <c r="D117" s="16">
        <f>IF(B117="","",IFERROR(INDEX('Content Calendar'!$B$5:$B$604,MATCH(B117,'Content Calendar'!$A$5:$A$604,0)),"Not found"))</f>
        <v>0</v>
      </c>
      <c r="E117" s="17">
        <f>IF(B117="","",IFERROR(INDEX('Content Calendar'!$J$5:$J$604,MATCH(B117,'Content Calendar'!$A$5:$A$604,0)),"Not found"))</f>
        <v>0</v>
      </c>
      <c r="F117" s="29">
        <f>IF(B117="","",IFERROR(INDEX('Content Calendar'!$X$5:$X$604,MATCH(B117,'Content Calendar'!$A$5:$A$604,0)),"Not found"))</f>
        <v>0</v>
      </c>
      <c r="S117" s="23">
        <f>IF(B117="","",IF(COUNTIF(Performance!$B$5:$B$404,B117)=0,"",SUMIFS(Performance!$O$5:$O$404,Performance!$B$5:$B$404,B117)))</f>
        <v>0</v>
      </c>
      <c r="T117" s="23">
        <f>IF(B117="","",IF(COUNTIF(Performance!$B$5:$B$404,B117)=0,"",SUMIFS(Performance!$P$5:$P$404,Performance!$B$5:$B$404,B117)))</f>
        <v>0</v>
      </c>
      <c r="U117" s="23">
        <f>IF(B117="","",IF(COUNTIF(Performance!$B$5:$B$404,B117)=0,"",SUMIFS(Performance!$Z$5:$Z$404,Performance!$B$5:$B$404,B117)))</f>
        <v>0</v>
      </c>
      <c r="V117" s="24">
        <f>IF(OR(S117="",S117=0),"",U117/S117)</f>
        <v>0</v>
      </c>
      <c r="W117" s="23">
        <f>IF(B117="","",IF(COUNTIF(Performance!$B$5:$B$404,B117)=0,"",SUMIFS(Performance!$T$5:$T$404,Performance!$B$5:$B$404,B117)))</f>
        <v>0</v>
      </c>
      <c r="X117" s="23">
        <f>IF(B117="","",IF(COUNTIF(Performance!$B$5:$B$404,B117)=0,"",SUMIFS(Performance!$S$5:$S$404,Performance!$B$5:$B$404,B117)))</f>
        <v>0</v>
      </c>
      <c r="Y117" s="23">
        <f>IF(B117="","",IF(COUNTIF(Performance!$B$5:$B$404,B117)=0,"",SUMIFS(Performance!$R$5:$R$404,Performance!$B$5:$B$404,B117)))</f>
        <v>0</v>
      </c>
      <c r="Z117" s="23">
        <f>IF(B117="","",IF(COUNTIF(Performance!$B$5:$B$404,B117)=0,"",SUMIFS(Performance!$U$5:$U$404,Performance!$B$5:$B$404,B117)))</f>
        <v>0</v>
      </c>
      <c r="AA117" s="29">
        <f>IF(B117="","",IF(C117="Not found","Check - content ID not on the calendar",IF(G117="","Add - no hook written",IF(H117="","Add - no sound chosen",IF(AND(P117&lt;&gt;"",P117&lt;0.25),"Review - most people scroll away early","OK")))))</f>
        <v>0</v>
      </c>
    </row>
    <row r="118" spans="1:27">
      <c r="A118" s="41">
        <f>IF(B118="","","TT-"&amp;TEXT(ROW()-4,"000"))</f>
        <v>0</v>
      </c>
      <c r="C118" s="17">
        <f>IF(B118="","",IFERROR(INDEX('Content Calendar'!$H$5:$H$604,MATCH(B118,'Content Calendar'!$A$5:$A$604,0)),"Not found"))</f>
        <v>0</v>
      </c>
      <c r="D118" s="16">
        <f>IF(B118="","",IFERROR(INDEX('Content Calendar'!$B$5:$B$604,MATCH(B118,'Content Calendar'!$A$5:$A$604,0)),"Not found"))</f>
        <v>0</v>
      </c>
      <c r="E118" s="17">
        <f>IF(B118="","",IFERROR(INDEX('Content Calendar'!$J$5:$J$604,MATCH(B118,'Content Calendar'!$A$5:$A$604,0)),"Not found"))</f>
        <v>0</v>
      </c>
      <c r="F118" s="29">
        <f>IF(B118="","",IFERROR(INDEX('Content Calendar'!$X$5:$X$604,MATCH(B118,'Content Calendar'!$A$5:$A$604,0)),"Not found"))</f>
        <v>0</v>
      </c>
      <c r="S118" s="23">
        <f>IF(B118="","",IF(COUNTIF(Performance!$B$5:$B$404,B118)=0,"",SUMIFS(Performance!$O$5:$O$404,Performance!$B$5:$B$404,B118)))</f>
        <v>0</v>
      </c>
      <c r="T118" s="23">
        <f>IF(B118="","",IF(COUNTIF(Performance!$B$5:$B$404,B118)=0,"",SUMIFS(Performance!$P$5:$P$404,Performance!$B$5:$B$404,B118)))</f>
        <v>0</v>
      </c>
      <c r="U118" s="23">
        <f>IF(B118="","",IF(COUNTIF(Performance!$B$5:$B$404,B118)=0,"",SUMIFS(Performance!$Z$5:$Z$404,Performance!$B$5:$B$404,B118)))</f>
        <v>0</v>
      </c>
      <c r="V118" s="24">
        <f>IF(OR(S118="",S118=0),"",U118/S118)</f>
        <v>0</v>
      </c>
      <c r="W118" s="23">
        <f>IF(B118="","",IF(COUNTIF(Performance!$B$5:$B$404,B118)=0,"",SUMIFS(Performance!$T$5:$T$404,Performance!$B$5:$B$404,B118)))</f>
        <v>0</v>
      </c>
      <c r="X118" s="23">
        <f>IF(B118="","",IF(COUNTIF(Performance!$B$5:$B$404,B118)=0,"",SUMIFS(Performance!$S$5:$S$404,Performance!$B$5:$B$404,B118)))</f>
        <v>0</v>
      </c>
      <c r="Y118" s="23">
        <f>IF(B118="","",IF(COUNTIF(Performance!$B$5:$B$404,B118)=0,"",SUMIFS(Performance!$R$5:$R$404,Performance!$B$5:$B$404,B118)))</f>
        <v>0</v>
      </c>
      <c r="Z118" s="23">
        <f>IF(B118="","",IF(COUNTIF(Performance!$B$5:$B$404,B118)=0,"",SUMIFS(Performance!$U$5:$U$404,Performance!$B$5:$B$404,B118)))</f>
        <v>0</v>
      </c>
      <c r="AA118" s="29">
        <f>IF(B118="","",IF(C118="Not found","Check - content ID not on the calendar",IF(G118="","Add - no hook written",IF(H118="","Add - no sound chosen",IF(AND(P118&lt;&gt;"",P118&lt;0.25),"Review - most people scroll away early","OK")))))</f>
        <v>0</v>
      </c>
    </row>
    <row r="119" spans="1:27">
      <c r="A119" s="41">
        <f>IF(B119="","","TT-"&amp;TEXT(ROW()-4,"000"))</f>
        <v>0</v>
      </c>
      <c r="C119" s="17">
        <f>IF(B119="","",IFERROR(INDEX('Content Calendar'!$H$5:$H$604,MATCH(B119,'Content Calendar'!$A$5:$A$604,0)),"Not found"))</f>
        <v>0</v>
      </c>
      <c r="D119" s="16">
        <f>IF(B119="","",IFERROR(INDEX('Content Calendar'!$B$5:$B$604,MATCH(B119,'Content Calendar'!$A$5:$A$604,0)),"Not found"))</f>
        <v>0</v>
      </c>
      <c r="E119" s="17">
        <f>IF(B119="","",IFERROR(INDEX('Content Calendar'!$J$5:$J$604,MATCH(B119,'Content Calendar'!$A$5:$A$604,0)),"Not found"))</f>
        <v>0</v>
      </c>
      <c r="F119" s="29">
        <f>IF(B119="","",IFERROR(INDEX('Content Calendar'!$X$5:$X$604,MATCH(B119,'Content Calendar'!$A$5:$A$604,0)),"Not found"))</f>
        <v>0</v>
      </c>
      <c r="S119" s="23">
        <f>IF(B119="","",IF(COUNTIF(Performance!$B$5:$B$404,B119)=0,"",SUMIFS(Performance!$O$5:$O$404,Performance!$B$5:$B$404,B119)))</f>
        <v>0</v>
      </c>
      <c r="T119" s="23">
        <f>IF(B119="","",IF(COUNTIF(Performance!$B$5:$B$404,B119)=0,"",SUMIFS(Performance!$P$5:$P$404,Performance!$B$5:$B$404,B119)))</f>
        <v>0</v>
      </c>
      <c r="U119" s="23">
        <f>IF(B119="","",IF(COUNTIF(Performance!$B$5:$B$404,B119)=0,"",SUMIFS(Performance!$Z$5:$Z$404,Performance!$B$5:$B$404,B119)))</f>
        <v>0</v>
      </c>
      <c r="V119" s="24">
        <f>IF(OR(S119="",S119=0),"",U119/S119)</f>
        <v>0</v>
      </c>
      <c r="W119" s="23">
        <f>IF(B119="","",IF(COUNTIF(Performance!$B$5:$B$404,B119)=0,"",SUMIFS(Performance!$T$5:$T$404,Performance!$B$5:$B$404,B119)))</f>
        <v>0</v>
      </c>
      <c r="X119" s="23">
        <f>IF(B119="","",IF(COUNTIF(Performance!$B$5:$B$404,B119)=0,"",SUMIFS(Performance!$S$5:$S$404,Performance!$B$5:$B$404,B119)))</f>
        <v>0</v>
      </c>
      <c r="Y119" s="23">
        <f>IF(B119="","",IF(COUNTIF(Performance!$B$5:$B$404,B119)=0,"",SUMIFS(Performance!$R$5:$R$404,Performance!$B$5:$B$404,B119)))</f>
        <v>0</v>
      </c>
      <c r="Z119" s="23">
        <f>IF(B119="","",IF(COUNTIF(Performance!$B$5:$B$404,B119)=0,"",SUMIFS(Performance!$U$5:$U$404,Performance!$B$5:$B$404,B119)))</f>
        <v>0</v>
      </c>
      <c r="AA119" s="29">
        <f>IF(B119="","",IF(C119="Not found","Check - content ID not on the calendar",IF(G119="","Add - no hook written",IF(H119="","Add - no sound chosen",IF(AND(P119&lt;&gt;"",P119&lt;0.25),"Review - most people scroll away early","OK")))))</f>
        <v>0</v>
      </c>
    </row>
    <row r="120" spans="1:27">
      <c r="A120" s="41">
        <f>IF(B120="","","TT-"&amp;TEXT(ROW()-4,"000"))</f>
        <v>0</v>
      </c>
      <c r="C120" s="17">
        <f>IF(B120="","",IFERROR(INDEX('Content Calendar'!$H$5:$H$604,MATCH(B120,'Content Calendar'!$A$5:$A$604,0)),"Not found"))</f>
        <v>0</v>
      </c>
      <c r="D120" s="16">
        <f>IF(B120="","",IFERROR(INDEX('Content Calendar'!$B$5:$B$604,MATCH(B120,'Content Calendar'!$A$5:$A$604,0)),"Not found"))</f>
        <v>0</v>
      </c>
      <c r="E120" s="17">
        <f>IF(B120="","",IFERROR(INDEX('Content Calendar'!$J$5:$J$604,MATCH(B120,'Content Calendar'!$A$5:$A$604,0)),"Not found"))</f>
        <v>0</v>
      </c>
      <c r="F120" s="29">
        <f>IF(B120="","",IFERROR(INDEX('Content Calendar'!$X$5:$X$604,MATCH(B120,'Content Calendar'!$A$5:$A$604,0)),"Not found"))</f>
        <v>0</v>
      </c>
      <c r="S120" s="23">
        <f>IF(B120="","",IF(COUNTIF(Performance!$B$5:$B$404,B120)=0,"",SUMIFS(Performance!$O$5:$O$404,Performance!$B$5:$B$404,B120)))</f>
        <v>0</v>
      </c>
      <c r="T120" s="23">
        <f>IF(B120="","",IF(COUNTIF(Performance!$B$5:$B$404,B120)=0,"",SUMIFS(Performance!$P$5:$P$404,Performance!$B$5:$B$404,B120)))</f>
        <v>0</v>
      </c>
      <c r="U120" s="23">
        <f>IF(B120="","",IF(COUNTIF(Performance!$B$5:$B$404,B120)=0,"",SUMIFS(Performance!$Z$5:$Z$404,Performance!$B$5:$B$404,B120)))</f>
        <v>0</v>
      </c>
      <c r="V120" s="24">
        <f>IF(OR(S120="",S120=0),"",U120/S120)</f>
        <v>0</v>
      </c>
      <c r="W120" s="23">
        <f>IF(B120="","",IF(COUNTIF(Performance!$B$5:$B$404,B120)=0,"",SUMIFS(Performance!$T$5:$T$404,Performance!$B$5:$B$404,B120)))</f>
        <v>0</v>
      </c>
      <c r="X120" s="23">
        <f>IF(B120="","",IF(COUNTIF(Performance!$B$5:$B$404,B120)=0,"",SUMIFS(Performance!$S$5:$S$404,Performance!$B$5:$B$404,B120)))</f>
        <v>0</v>
      </c>
      <c r="Y120" s="23">
        <f>IF(B120="","",IF(COUNTIF(Performance!$B$5:$B$404,B120)=0,"",SUMIFS(Performance!$R$5:$R$404,Performance!$B$5:$B$404,B120)))</f>
        <v>0</v>
      </c>
      <c r="Z120" s="23">
        <f>IF(B120="","",IF(COUNTIF(Performance!$B$5:$B$404,B120)=0,"",SUMIFS(Performance!$U$5:$U$404,Performance!$B$5:$B$404,B120)))</f>
        <v>0</v>
      </c>
      <c r="AA120" s="29">
        <f>IF(B120="","",IF(C120="Not found","Check - content ID not on the calendar",IF(G120="","Add - no hook written",IF(H120="","Add - no sound chosen",IF(AND(P120&lt;&gt;"",P120&lt;0.25),"Review - most people scroll away early","OK")))))</f>
        <v>0</v>
      </c>
    </row>
    <row r="121" spans="1:27">
      <c r="A121" s="41">
        <f>IF(B121="","","TT-"&amp;TEXT(ROW()-4,"000"))</f>
        <v>0</v>
      </c>
      <c r="C121" s="17">
        <f>IF(B121="","",IFERROR(INDEX('Content Calendar'!$H$5:$H$604,MATCH(B121,'Content Calendar'!$A$5:$A$604,0)),"Not found"))</f>
        <v>0</v>
      </c>
      <c r="D121" s="16">
        <f>IF(B121="","",IFERROR(INDEX('Content Calendar'!$B$5:$B$604,MATCH(B121,'Content Calendar'!$A$5:$A$604,0)),"Not found"))</f>
        <v>0</v>
      </c>
      <c r="E121" s="17">
        <f>IF(B121="","",IFERROR(INDEX('Content Calendar'!$J$5:$J$604,MATCH(B121,'Content Calendar'!$A$5:$A$604,0)),"Not found"))</f>
        <v>0</v>
      </c>
      <c r="F121" s="29">
        <f>IF(B121="","",IFERROR(INDEX('Content Calendar'!$X$5:$X$604,MATCH(B121,'Content Calendar'!$A$5:$A$604,0)),"Not found"))</f>
        <v>0</v>
      </c>
      <c r="S121" s="23">
        <f>IF(B121="","",IF(COUNTIF(Performance!$B$5:$B$404,B121)=0,"",SUMIFS(Performance!$O$5:$O$404,Performance!$B$5:$B$404,B121)))</f>
        <v>0</v>
      </c>
      <c r="T121" s="23">
        <f>IF(B121="","",IF(COUNTIF(Performance!$B$5:$B$404,B121)=0,"",SUMIFS(Performance!$P$5:$P$404,Performance!$B$5:$B$404,B121)))</f>
        <v>0</v>
      </c>
      <c r="U121" s="23">
        <f>IF(B121="","",IF(COUNTIF(Performance!$B$5:$B$404,B121)=0,"",SUMIFS(Performance!$Z$5:$Z$404,Performance!$B$5:$B$404,B121)))</f>
        <v>0</v>
      </c>
      <c r="V121" s="24">
        <f>IF(OR(S121="",S121=0),"",U121/S121)</f>
        <v>0</v>
      </c>
      <c r="W121" s="23">
        <f>IF(B121="","",IF(COUNTIF(Performance!$B$5:$B$404,B121)=0,"",SUMIFS(Performance!$T$5:$T$404,Performance!$B$5:$B$404,B121)))</f>
        <v>0</v>
      </c>
      <c r="X121" s="23">
        <f>IF(B121="","",IF(COUNTIF(Performance!$B$5:$B$404,B121)=0,"",SUMIFS(Performance!$S$5:$S$404,Performance!$B$5:$B$404,B121)))</f>
        <v>0</v>
      </c>
      <c r="Y121" s="23">
        <f>IF(B121="","",IF(COUNTIF(Performance!$B$5:$B$404,B121)=0,"",SUMIFS(Performance!$R$5:$R$404,Performance!$B$5:$B$404,B121)))</f>
        <v>0</v>
      </c>
      <c r="Z121" s="23">
        <f>IF(B121="","",IF(COUNTIF(Performance!$B$5:$B$404,B121)=0,"",SUMIFS(Performance!$U$5:$U$404,Performance!$B$5:$B$404,B121)))</f>
        <v>0</v>
      </c>
      <c r="AA121" s="29">
        <f>IF(B121="","",IF(C121="Not found","Check - content ID not on the calendar",IF(G121="","Add - no hook written",IF(H121="","Add - no sound chosen",IF(AND(P121&lt;&gt;"",P121&lt;0.25),"Review - most people scroll away early","OK")))))</f>
        <v>0</v>
      </c>
    </row>
    <row r="122" spans="1:27">
      <c r="A122" s="41">
        <f>IF(B122="","","TT-"&amp;TEXT(ROW()-4,"000"))</f>
        <v>0</v>
      </c>
      <c r="C122" s="17">
        <f>IF(B122="","",IFERROR(INDEX('Content Calendar'!$H$5:$H$604,MATCH(B122,'Content Calendar'!$A$5:$A$604,0)),"Not found"))</f>
        <v>0</v>
      </c>
      <c r="D122" s="16">
        <f>IF(B122="","",IFERROR(INDEX('Content Calendar'!$B$5:$B$604,MATCH(B122,'Content Calendar'!$A$5:$A$604,0)),"Not found"))</f>
        <v>0</v>
      </c>
      <c r="E122" s="17">
        <f>IF(B122="","",IFERROR(INDEX('Content Calendar'!$J$5:$J$604,MATCH(B122,'Content Calendar'!$A$5:$A$604,0)),"Not found"))</f>
        <v>0</v>
      </c>
      <c r="F122" s="29">
        <f>IF(B122="","",IFERROR(INDEX('Content Calendar'!$X$5:$X$604,MATCH(B122,'Content Calendar'!$A$5:$A$604,0)),"Not found"))</f>
        <v>0</v>
      </c>
      <c r="S122" s="23">
        <f>IF(B122="","",IF(COUNTIF(Performance!$B$5:$B$404,B122)=0,"",SUMIFS(Performance!$O$5:$O$404,Performance!$B$5:$B$404,B122)))</f>
        <v>0</v>
      </c>
      <c r="T122" s="23">
        <f>IF(B122="","",IF(COUNTIF(Performance!$B$5:$B$404,B122)=0,"",SUMIFS(Performance!$P$5:$P$404,Performance!$B$5:$B$404,B122)))</f>
        <v>0</v>
      </c>
      <c r="U122" s="23">
        <f>IF(B122="","",IF(COUNTIF(Performance!$B$5:$B$404,B122)=0,"",SUMIFS(Performance!$Z$5:$Z$404,Performance!$B$5:$B$404,B122)))</f>
        <v>0</v>
      </c>
      <c r="V122" s="24">
        <f>IF(OR(S122="",S122=0),"",U122/S122)</f>
        <v>0</v>
      </c>
      <c r="W122" s="23">
        <f>IF(B122="","",IF(COUNTIF(Performance!$B$5:$B$404,B122)=0,"",SUMIFS(Performance!$T$5:$T$404,Performance!$B$5:$B$404,B122)))</f>
        <v>0</v>
      </c>
      <c r="X122" s="23">
        <f>IF(B122="","",IF(COUNTIF(Performance!$B$5:$B$404,B122)=0,"",SUMIFS(Performance!$S$5:$S$404,Performance!$B$5:$B$404,B122)))</f>
        <v>0</v>
      </c>
      <c r="Y122" s="23">
        <f>IF(B122="","",IF(COUNTIF(Performance!$B$5:$B$404,B122)=0,"",SUMIFS(Performance!$R$5:$R$404,Performance!$B$5:$B$404,B122)))</f>
        <v>0</v>
      </c>
      <c r="Z122" s="23">
        <f>IF(B122="","",IF(COUNTIF(Performance!$B$5:$B$404,B122)=0,"",SUMIFS(Performance!$U$5:$U$404,Performance!$B$5:$B$404,B122)))</f>
        <v>0</v>
      </c>
      <c r="AA122" s="29">
        <f>IF(B122="","",IF(C122="Not found","Check - content ID not on the calendar",IF(G122="","Add - no hook written",IF(H122="","Add - no sound chosen",IF(AND(P122&lt;&gt;"",P122&lt;0.25),"Review - most people scroll away early","OK")))))</f>
        <v>0</v>
      </c>
    </row>
    <row r="123" spans="1:27">
      <c r="A123" s="41">
        <f>IF(B123="","","TT-"&amp;TEXT(ROW()-4,"000"))</f>
        <v>0</v>
      </c>
      <c r="C123" s="17">
        <f>IF(B123="","",IFERROR(INDEX('Content Calendar'!$H$5:$H$604,MATCH(B123,'Content Calendar'!$A$5:$A$604,0)),"Not found"))</f>
        <v>0</v>
      </c>
      <c r="D123" s="16">
        <f>IF(B123="","",IFERROR(INDEX('Content Calendar'!$B$5:$B$604,MATCH(B123,'Content Calendar'!$A$5:$A$604,0)),"Not found"))</f>
        <v>0</v>
      </c>
      <c r="E123" s="17">
        <f>IF(B123="","",IFERROR(INDEX('Content Calendar'!$J$5:$J$604,MATCH(B123,'Content Calendar'!$A$5:$A$604,0)),"Not found"))</f>
        <v>0</v>
      </c>
      <c r="F123" s="29">
        <f>IF(B123="","",IFERROR(INDEX('Content Calendar'!$X$5:$X$604,MATCH(B123,'Content Calendar'!$A$5:$A$604,0)),"Not found"))</f>
        <v>0</v>
      </c>
      <c r="S123" s="23">
        <f>IF(B123="","",IF(COUNTIF(Performance!$B$5:$B$404,B123)=0,"",SUMIFS(Performance!$O$5:$O$404,Performance!$B$5:$B$404,B123)))</f>
        <v>0</v>
      </c>
      <c r="T123" s="23">
        <f>IF(B123="","",IF(COUNTIF(Performance!$B$5:$B$404,B123)=0,"",SUMIFS(Performance!$P$5:$P$404,Performance!$B$5:$B$404,B123)))</f>
        <v>0</v>
      </c>
      <c r="U123" s="23">
        <f>IF(B123="","",IF(COUNTIF(Performance!$B$5:$B$404,B123)=0,"",SUMIFS(Performance!$Z$5:$Z$404,Performance!$B$5:$B$404,B123)))</f>
        <v>0</v>
      </c>
      <c r="V123" s="24">
        <f>IF(OR(S123="",S123=0),"",U123/S123)</f>
        <v>0</v>
      </c>
      <c r="W123" s="23">
        <f>IF(B123="","",IF(COUNTIF(Performance!$B$5:$B$404,B123)=0,"",SUMIFS(Performance!$T$5:$T$404,Performance!$B$5:$B$404,B123)))</f>
        <v>0</v>
      </c>
      <c r="X123" s="23">
        <f>IF(B123="","",IF(COUNTIF(Performance!$B$5:$B$404,B123)=0,"",SUMIFS(Performance!$S$5:$S$404,Performance!$B$5:$B$404,B123)))</f>
        <v>0</v>
      </c>
      <c r="Y123" s="23">
        <f>IF(B123="","",IF(COUNTIF(Performance!$B$5:$B$404,B123)=0,"",SUMIFS(Performance!$R$5:$R$404,Performance!$B$5:$B$404,B123)))</f>
        <v>0</v>
      </c>
      <c r="Z123" s="23">
        <f>IF(B123="","",IF(COUNTIF(Performance!$B$5:$B$404,B123)=0,"",SUMIFS(Performance!$U$5:$U$404,Performance!$B$5:$B$404,B123)))</f>
        <v>0</v>
      </c>
      <c r="AA123" s="29">
        <f>IF(B123="","",IF(C123="Not found","Check - content ID not on the calendar",IF(G123="","Add - no hook written",IF(H123="","Add - no sound chosen",IF(AND(P123&lt;&gt;"",P123&lt;0.25),"Review - most people scroll away early","OK")))))</f>
        <v>0</v>
      </c>
    </row>
    <row r="124" spans="1:27">
      <c r="A124" s="41">
        <f>IF(B124="","","TT-"&amp;TEXT(ROW()-4,"000"))</f>
        <v>0</v>
      </c>
      <c r="C124" s="17">
        <f>IF(B124="","",IFERROR(INDEX('Content Calendar'!$H$5:$H$604,MATCH(B124,'Content Calendar'!$A$5:$A$604,0)),"Not found"))</f>
        <v>0</v>
      </c>
      <c r="D124" s="16">
        <f>IF(B124="","",IFERROR(INDEX('Content Calendar'!$B$5:$B$604,MATCH(B124,'Content Calendar'!$A$5:$A$604,0)),"Not found"))</f>
        <v>0</v>
      </c>
      <c r="E124" s="17">
        <f>IF(B124="","",IFERROR(INDEX('Content Calendar'!$J$5:$J$604,MATCH(B124,'Content Calendar'!$A$5:$A$604,0)),"Not found"))</f>
        <v>0</v>
      </c>
      <c r="F124" s="29">
        <f>IF(B124="","",IFERROR(INDEX('Content Calendar'!$X$5:$X$604,MATCH(B124,'Content Calendar'!$A$5:$A$604,0)),"Not found"))</f>
        <v>0</v>
      </c>
      <c r="S124" s="23">
        <f>IF(B124="","",IF(COUNTIF(Performance!$B$5:$B$404,B124)=0,"",SUMIFS(Performance!$O$5:$O$404,Performance!$B$5:$B$404,B124)))</f>
        <v>0</v>
      </c>
      <c r="T124" s="23">
        <f>IF(B124="","",IF(COUNTIF(Performance!$B$5:$B$404,B124)=0,"",SUMIFS(Performance!$P$5:$P$404,Performance!$B$5:$B$404,B124)))</f>
        <v>0</v>
      </c>
      <c r="U124" s="23">
        <f>IF(B124="","",IF(COUNTIF(Performance!$B$5:$B$404,B124)=0,"",SUMIFS(Performance!$Z$5:$Z$404,Performance!$B$5:$B$404,B124)))</f>
        <v>0</v>
      </c>
      <c r="V124" s="24">
        <f>IF(OR(S124="",S124=0),"",U124/S124)</f>
        <v>0</v>
      </c>
      <c r="W124" s="23">
        <f>IF(B124="","",IF(COUNTIF(Performance!$B$5:$B$404,B124)=0,"",SUMIFS(Performance!$T$5:$T$404,Performance!$B$5:$B$404,B124)))</f>
        <v>0</v>
      </c>
      <c r="X124" s="23">
        <f>IF(B124="","",IF(COUNTIF(Performance!$B$5:$B$404,B124)=0,"",SUMIFS(Performance!$S$5:$S$404,Performance!$B$5:$B$404,B124)))</f>
        <v>0</v>
      </c>
      <c r="Y124" s="23">
        <f>IF(B124="","",IF(COUNTIF(Performance!$B$5:$B$404,B124)=0,"",SUMIFS(Performance!$R$5:$R$404,Performance!$B$5:$B$404,B124)))</f>
        <v>0</v>
      </c>
      <c r="Z124" s="23">
        <f>IF(B124="","",IF(COUNTIF(Performance!$B$5:$B$404,B124)=0,"",SUMIFS(Performance!$U$5:$U$404,Performance!$B$5:$B$404,B124)))</f>
        <v>0</v>
      </c>
      <c r="AA124" s="29">
        <f>IF(B124="","",IF(C124="Not found","Check - content ID not on the calendar",IF(G124="","Add - no hook written",IF(H124="","Add - no sound chosen",IF(AND(P124&lt;&gt;"",P124&lt;0.25),"Review - most people scroll away early","OK")))))</f>
        <v>0</v>
      </c>
    </row>
    <row r="125" spans="1:27">
      <c r="A125" s="41">
        <f>IF(B125="","","TT-"&amp;TEXT(ROW()-4,"000"))</f>
        <v>0</v>
      </c>
      <c r="C125" s="17">
        <f>IF(B125="","",IFERROR(INDEX('Content Calendar'!$H$5:$H$604,MATCH(B125,'Content Calendar'!$A$5:$A$604,0)),"Not found"))</f>
        <v>0</v>
      </c>
      <c r="D125" s="16">
        <f>IF(B125="","",IFERROR(INDEX('Content Calendar'!$B$5:$B$604,MATCH(B125,'Content Calendar'!$A$5:$A$604,0)),"Not found"))</f>
        <v>0</v>
      </c>
      <c r="E125" s="17">
        <f>IF(B125="","",IFERROR(INDEX('Content Calendar'!$J$5:$J$604,MATCH(B125,'Content Calendar'!$A$5:$A$604,0)),"Not found"))</f>
        <v>0</v>
      </c>
      <c r="F125" s="29">
        <f>IF(B125="","",IFERROR(INDEX('Content Calendar'!$X$5:$X$604,MATCH(B125,'Content Calendar'!$A$5:$A$604,0)),"Not found"))</f>
        <v>0</v>
      </c>
      <c r="S125" s="23">
        <f>IF(B125="","",IF(COUNTIF(Performance!$B$5:$B$404,B125)=0,"",SUMIFS(Performance!$O$5:$O$404,Performance!$B$5:$B$404,B125)))</f>
        <v>0</v>
      </c>
      <c r="T125" s="23">
        <f>IF(B125="","",IF(COUNTIF(Performance!$B$5:$B$404,B125)=0,"",SUMIFS(Performance!$P$5:$P$404,Performance!$B$5:$B$404,B125)))</f>
        <v>0</v>
      </c>
      <c r="U125" s="23">
        <f>IF(B125="","",IF(COUNTIF(Performance!$B$5:$B$404,B125)=0,"",SUMIFS(Performance!$Z$5:$Z$404,Performance!$B$5:$B$404,B125)))</f>
        <v>0</v>
      </c>
      <c r="V125" s="24">
        <f>IF(OR(S125="",S125=0),"",U125/S125)</f>
        <v>0</v>
      </c>
      <c r="W125" s="23">
        <f>IF(B125="","",IF(COUNTIF(Performance!$B$5:$B$404,B125)=0,"",SUMIFS(Performance!$T$5:$T$404,Performance!$B$5:$B$404,B125)))</f>
        <v>0</v>
      </c>
      <c r="X125" s="23">
        <f>IF(B125="","",IF(COUNTIF(Performance!$B$5:$B$404,B125)=0,"",SUMIFS(Performance!$S$5:$S$404,Performance!$B$5:$B$404,B125)))</f>
        <v>0</v>
      </c>
      <c r="Y125" s="23">
        <f>IF(B125="","",IF(COUNTIF(Performance!$B$5:$B$404,B125)=0,"",SUMIFS(Performance!$R$5:$R$404,Performance!$B$5:$B$404,B125)))</f>
        <v>0</v>
      </c>
      <c r="Z125" s="23">
        <f>IF(B125="","",IF(COUNTIF(Performance!$B$5:$B$404,B125)=0,"",SUMIFS(Performance!$U$5:$U$404,Performance!$B$5:$B$404,B125)))</f>
        <v>0</v>
      </c>
      <c r="AA125" s="29">
        <f>IF(B125="","",IF(C125="Not found","Check - content ID not on the calendar",IF(G125="","Add - no hook written",IF(H125="","Add - no sound chosen",IF(AND(P125&lt;&gt;"",P125&lt;0.25),"Review - most people scroll away early","OK")))))</f>
        <v>0</v>
      </c>
    </row>
    <row r="126" spans="1:27">
      <c r="A126" s="41">
        <f>IF(B126="","","TT-"&amp;TEXT(ROW()-4,"000"))</f>
        <v>0</v>
      </c>
      <c r="C126" s="17">
        <f>IF(B126="","",IFERROR(INDEX('Content Calendar'!$H$5:$H$604,MATCH(B126,'Content Calendar'!$A$5:$A$604,0)),"Not found"))</f>
        <v>0</v>
      </c>
      <c r="D126" s="16">
        <f>IF(B126="","",IFERROR(INDEX('Content Calendar'!$B$5:$B$604,MATCH(B126,'Content Calendar'!$A$5:$A$604,0)),"Not found"))</f>
        <v>0</v>
      </c>
      <c r="E126" s="17">
        <f>IF(B126="","",IFERROR(INDEX('Content Calendar'!$J$5:$J$604,MATCH(B126,'Content Calendar'!$A$5:$A$604,0)),"Not found"))</f>
        <v>0</v>
      </c>
      <c r="F126" s="29">
        <f>IF(B126="","",IFERROR(INDEX('Content Calendar'!$X$5:$X$604,MATCH(B126,'Content Calendar'!$A$5:$A$604,0)),"Not found"))</f>
        <v>0</v>
      </c>
      <c r="S126" s="23">
        <f>IF(B126="","",IF(COUNTIF(Performance!$B$5:$B$404,B126)=0,"",SUMIFS(Performance!$O$5:$O$404,Performance!$B$5:$B$404,B126)))</f>
        <v>0</v>
      </c>
      <c r="T126" s="23">
        <f>IF(B126="","",IF(COUNTIF(Performance!$B$5:$B$404,B126)=0,"",SUMIFS(Performance!$P$5:$P$404,Performance!$B$5:$B$404,B126)))</f>
        <v>0</v>
      </c>
      <c r="U126" s="23">
        <f>IF(B126="","",IF(COUNTIF(Performance!$B$5:$B$404,B126)=0,"",SUMIFS(Performance!$Z$5:$Z$404,Performance!$B$5:$B$404,B126)))</f>
        <v>0</v>
      </c>
      <c r="V126" s="24">
        <f>IF(OR(S126="",S126=0),"",U126/S126)</f>
        <v>0</v>
      </c>
      <c r="W126" s="23">
        <f>IF(B126="","",IF(COUNTIF(Performance!$B$5:$B$404,B126)=0,"",SUMIFS(Performance!$T$5:$T$404,Performance!$B$5:$B$404,B126)))</f>
        <v>0</v>
      </c>
      <c r="X126" s="23">
        <f>IF(B126="","",IF(COUNTIF(Performance!$B$5:$B$404,B126)=0,"",SUMIFS(Performance!$S$5:$S$404,Performance!$B$5:$B$404,B126)))</f>
        <v>0</v>
      </c>
      <c r="Y126" s="23">
        <f>IF(B126="","",IF(COUNTIF(Performance!$B$5:$B$404,B126)=0,"",SUMIFS(Performance!$R$5:$R$404,Performance!$B$5:$B$404,B126)))</f>
        <v>0</v>
      </c>
      <c r="Z126" s="23">
        <f>IF(B126="","",IF(COUNTIF(Performance!$B$5:$B$404,B126)=0,"",SUMIFS(Performance!$U$5:$U$404,Performance!$B$5:$B$404,B126)))</f>
        <v>0</v>
      </c>
      <c r="AA126" s="29">
        <f>IF(B126="","",IF(C126="Not found","Check - content ID not on the calendar",IF(G126="","Add - no hook written",IF(H126="","Add - no sound chosen",IF(AND(P126&lt;&gt;"",P126&lt;0.25),"Review - most people scroll away early","OK")))))</f>
        <v>0</v>
      </c>
    </row>
    <row r="127" spans="1:27">
      <c r="A127" s="41">
        <f>IF(B127="","","TT-"&amp;TEXT(ROW()-4,"000"))</f>
        <v>0</v>
      </c>
      <c r="C127" s="17">
        <f>IF(B127="","",IFERROR(INDEX('Content Calendar'!$H$5:$H$604,MATCH(B127,'Content Calendar'!$A$5:$A$604,0)),"Not found"))</f>
        <v>0</v>
      </c>
      <c r="D127" s="16">
        <f>IF(B127="","",IFERROR(INDEX('Content Calendar'!$B$5:$B$604,MATCH(B127,'Content Calendar'!$A$5:$A$604,0)),"Not found"))</f>
        <v>0</v>
      </c>
      <c r="E127" s="17">
        <f>IF(B127="","",IFERROR(INDEX('Content Calendar'!$J$5:$J$604,MATCH(B127,'Content Calendar'!$A$5:$A$604,0)),"Not found"))</f>
        <v>0</v>
      </c>
      <c r="F127" s="29">
        <f>IF(B127="","",IFERROR(INDEX('Content Calendar'!$X$5:$X$604,MATCH(B127,'Content Calendar'!$A$5:$A$604,0)),"Not found"))</f>
        <v>0</v>
      </c>
      <c r="S127" s="23">
        <f>IF(B127="","",IF(COUNTIF(Performance!$B$5:$B$404,B127)=0,"",SUMIFS(Performance!$O$5:$O$404,Performance!$B$5:$B$404,B127)))</f>
        <v>0</v>
      </c>
      <c r="T127" s="23">
        <f>IF(B127="","",IF(COUNTIF(Performance!$B$5:$B$404,B127)=0,"",SUMIFS(Performance!$P$5:$P$404,Performance!$B$5:$B$404,B127)))</f>
        <v>0</v>
      </c>
      <c r="U127" s="23">
        <f>IF(B127="","",IF(COUNTIF(Performance!$B$5:$B$404,B127)=0,"",SUMIFS(Performance!$Z$5:$Z$404,Performance!$B$5:$B$404,B127)))</f>
        <v>0</v>
      </c>
      <c r="V127" s="24">
        <f>IF(OR(S127="",S127=0),"",U127/S127)</f>
        <v>0</v>
      </c>
      <c r="W127" s="23">
        <f>IF(B127="","",IF(COUNTIF(Performance!$B$5:$B$404,B127)=0,"",SUMIFS(Performance!$T$5:$T$404,Performance!$B$5:$B$404,B127)))</f>
        <v>0</v>
      </c>
      <c r="X127" s="23">
        <f>IF(B127="","",IF(COUNTIF(Performance!$B$5:$B$404,B127)=0,"",SUMIFS(Performance!$S$5:$S$404,Performance!$B$5:$B$404,B127)))</f>
        <v>0</v>
      </c>
      <c r="Y127" s="23">
        <f>IF(B127="","",IF(COUNTIF(Performance!$B$5:$B$404,B127)=0,"",SUMIFS(Performance!$R$5:$R$404,Performance!$B$5:$B$404,B127)))</f>
        <v>0</v>
      </c>
      <c r="Z127" s="23">
        <f>IF(B127="","",IF(COUNTIF(Performance!$B$5:$B$404,B127)=0,"",SUMIFS(Performance!$U$5:$U$404,Performance!$B$5:$B$404,B127)))</f>
        <v>0</v>
      </c>
      <c r="AA127" s="29">
        <f>IF(B127="","",IF(C127="Not found","Check - content ID not on the calendar",IF(G127="","Add - no hook written",IF(H127="","Add - no sound chosen",IF(AND(P127&lt;&gt;"",P127&lt;0.25),"Review - most people scroll away early","OK")))))</f>
        <v>0</v>
      </c>
    </row>
    <row r="128" spans="1:27">
      <c r="A128" s="41">
        <f>IF(B128="","","TT-"&amp;TEXT(ROW()-4,"000"))</f>
        <v>0</v>
      </c>
      <c r="C128" s="17">
        <f>IF(B128="","",IFERROR(INDEX('Content Calendar'!$H$5:$H$604,MATCH(B128,'Content Calendar'!$A$5:$A$604,0)),"Not found"))</f>
        <v>0</v>
      </c>
      <c r="D128" s="16">
        <f>IF(B128="","",IFERROR(INDEX('Content Calendar'!$B$5:$B$604,MATCH(B128,'Content Calendar'!$A$5:$A$604,0)),"Not found"))</f>
        <v>0</v>
      </c>
      <c r="E128" s="17">
        <f>IF(B128="","",IFERROR(INDEX('Content Calendar'!$J$5:$J$604,MATCH(B128,'Content Calendar'!$A$5:$A$604,0)),"Not found"))</f>
        <v>0</v>
      </c>
      <c r="F128" s="29">
        <f>IF(B128="","",IFERROR(INDEX('Content Calendar'!$X$5:$X$604,MATCH(B128,'Content Calendar'!$A$5:$A$604,0)),"Not found"))</f>
        <v>0</v>
      </c>
      <c r="S128" s="23">
        <f>IF(B128="","",IF(COUNTIF(Performance!$B$5:$B$404,B128)=0,"",SUMIFS(Performance!$O$5:$O$404,Performance!$B$5:$B$404,B128)))</f>
        <v>0</v>
      </c>
      <c r="T128" s="23">
        <f>IF(B128="","",IF(COUNTIF(Performance!$B$5:$B$404,B128)=0,"",SUMIFS(Performance!$P$5:$P$404,Performance!$B$5:$B$404,B128)))</f>
        <v>0</v>
      </c>
      <c r="U128" s="23">
        <f>IF(B128="","",IF(COUNTIF(Performance!$B$5:$B$404,B128)=0,"",SUMIFS(Performance!$Z$5:$Z$404,Performance!$B$5:$B$404,B128)))</f>
        <v>0</v>
      </c>
      <c r="V128" s="24">
        <f>IF(OR(S128="",S128=0),"",U128/S128)</f>
        <v>0</v>
      </c>
      <c r="W128" s="23">
        <f>IF(B128="","",IF(COUNTIF(Performance!$B$5:$B$404,B128)=0,"",SUMIFS(Performance!$T$5:$T$404,Performance!$B$5:$B$404,B128)))</f>
        <v>0</v>
      </c>
      <c r="X128" s="23">
        <f>IF(B128="","",IF(COUNTIF(Performance!$B$5:$B$404,B128)=0,"",SUMIFS(Performance!$S$5:$S$404,Performance!$B$5:$B$404,B128)))</f>
        <v>0</v>
      </c>
      <c r="Y128" s="23">
        <f>IF(B128="","",IF(COUNTIF(Performance!$B$5:$B$404,B128)=0,"",SUMIFS(Performance!$R$5:$R$404,Performance!$B$5:$B$404,B128)))</f>
        <v>0</v>
      </c>
      <c r="Z128" s="23">
        <f>IF(B128="","",IF(COUNTIF(Performance!$B$5:$B$404,B128)=0,"",SUMIFS(Performance!$U$5:$U$404,Performance!$B$5:$B$404,B128)))</f>
        <v>0</v>
      </c>
      <c r="AA128" s="29">
        <f>IF(B128="","",IF(C128="Not found","Check - content ID not on the calendar",IF(G128="","Add - no hook written",IF(H128="","Add - no sound chosen",IF(AND(P128&lt;&gt;"",P128&lt;0.25),"Review - most people scroll away early","OK")))))</f>
        <v>0</v>
      </c>
    </row>
    <row r="129" spans="1:27">
      <c r="A129" s="41">
        <f>IF(B129="","","TT-"&amp;TEXT(ROW()-4,"000"))</f>
        <v>0</v>
      </c>
      <c r="C129" s="17">
        <f>IF(B129="","",IFERROR(INDEX('Content Calendar'!$H$5:$H$604,MATCH(B129,'Content Calendar'!$A$5:$A$604,0)),"Not found"))</f>
        <v>0</v>
      </c>
      <c r="D129" s="16">
        <f>IF(B129="","",IFERROR(INDEX('Content Calendar'!$B$5:$B$604,MATCH(B129,'Content Calendar'!$A$5:$A$604,0)),"Not found"))</f>
        <v>0</v>
      </c>
      <c r="E129" s="17">
        <f>IF(B129="","",IFERROR(INDEX('Content Calendar'!$J$5:$J$604,MATCH(B129,'Content Calendar'!$A$5:$A$604,0)),"Not found"))</f>
        <v>0</v>
      </c>
      <c r="F129" s="29">
        <f>IF(B129="","",IFERROR(INDEX('Content Calendar'!$X$5:$X$604,MATCH(B129,'Content Calendar'!$A$5:$A$604,0)),"Not found"))</f>
        <v>0</v>
      </c>
      <c r="S129" s="23">
        <f>IF(B129="","",IF(COUNTIF(Performance!$B$5:$B$404,B129)=0,"",SUMIFS(Performance!$O$5:$O$404,Performance!$B$5:$B$404,B129)))</f>
        <v>0</v>
      </c>
      <c r="T129" s="23">
        <f>IF(B129="","",IF(COUNTIF(Performance!$B$5:$B$404,B129)=0,"",SUMIFS(Performance!$P$5:$P$404,Performance!$B$5:$B$404,B129)))</f>
        <v>0</v>
      </c>
      <c r="U129" s="23">
        <f>IF(B129="","",IF(COUNTIF(Performance!$B$5:$B$404,B129)=0,"",SUMIFS(Performance!$Z$5:$Z$404,Performance!$B$5:$B$404,B129)))</f>
        <v>0</v>
      </c>
      <c r="V129" s="24">
        <f>IF(OR(S129="",S129=0),"",U129/S129)</f>
        <v>0</v>
      </c>
      <c r="W129" s="23">
        <f>IF(B129="","",IF(COUNTIF(Performance!$B$5:$B$404,B129)=0,"",SUMIFS(Performance!$T$5:$T$404,Performance!$B$5:$B$404,B129)))</f>
        <v>0</v>
      </c>
      <c r="X129" s="23">
        <f>IF(B129="","",IF(COUNTIF(Performance!$B$5:$B$404,B129)=0,"",SUMIFS(Performance!$S$5:$S$404,Performance!$B$5:$B$404,B129)))</f>
        <v>0</v>
      </c>
      <c r="Y129" s="23">
        <f>IF(B129="","",IF(COUNTIF(Performance!$B$5:$B$404,B129)=0,"",SUMIFS(Performance!$R$5:$R$404,Performance!$B$5:$B$404,B129)))</f>
        <v>0</v>
      </c>
      <c r="Z129" s="23">
        <f>IF(B129="","",IF(COUNTIF(Performance!$B$5:$B$404,B129)=0,"",SUMIFS(Performance!$U$5:$U$404,Performance!$B$5:$B$404,B129)))</f>
        <v>0</v>
      </c>
      <c r="AA129" s="29">
        <f>IF(B129="","",IF(C129="Not found","Check - content ID not on the calendar",IF(G129="","Add - no hook written",IF(H129="","Add - no sound chosen",IF(AND(P129&lt;&gt;"",P129&lt;0.25),"Review - most people scroll away early","OK")))))</f>
        <v>0</v>
      </c>
    </row>
    <row r="130" spans="1:27">
      <c r="A130" s="41">
        <f>IF(B130="","","TT-"&amp;TEXT(ROW()-4,"000"))</f>
        <v>0</v>
      </c>
      <c r="C130" s="17">
        <f>IF(B130="","",IFERROR(INDEX('Content Calendar'!$H$5:$H$604,MATCH(B130,'Content Calendar'!$A$5:$A$604,0)),"Not found"))</f>
        <v>0</v>
      </c>
      <c r="D130" s="16">
        <f>IF(B130="","",IFERROR(INDEX('Content Calendar'!$B$5:$B$604,MATCH(B130,'Content Calendar'!$A$5:$A$604,0)),"Not found"))</f>
        <v>0</v>
      </c>
      <c r="E130" s="17">
        <f>IF(B130="","",IFERROR(INDEX('Content Calendar'!$J$5:$J$604,MATCH(B130,'Content Calendar'!$A$5:$A$604,0)),"Not found"))</f>
        <v>0</v>
      </c>
      <c r="F130" s="29">
        <f>IF(B130="","",IFERROR(INDEX('Content Calendar'!$X$5:$X$604,MATCH(B130,'Content Calendar'!$A$5:$A$604,0)),"Not found"))</f>
        <v>0</v>
      </c>
      <c r="S130" s="23">
        <f>IF(B130="","",IF(COUNTIF(Performance!$B$5:$B$404,B130)=0,"",SUMIFS(Performance!$O$5:$O$404,Performance!$B$5:$B$404,B130)))</f>
        <v>0</v>
      </c>
      <c r="T130" s="23">
        <f>IF(B130="","",IF(COUNTIF(Performance!$B$5:$B$404,B130)=0,"",SUMIFS(Performance!$P$5:$P$404,Performance!$B$5:$B$404,B130)))</f>
        <v>0</v>
      </c>
      <c r="U130" s="23">
        <f>IF(B130="","",IF(COUNTIF(Performance!$B$5:$B$404,B130)=0,"",SUMIFS(Performance!$Z$5:$Z$404,Performance!$B$5:$B$404,B130)))</f>
        <v>0</v>
      </c>
      <c r="V130" s="24">
        <f>IF(OR(S130="",S130=0),"",U130/S130)</f>
        <v>0</v>
      </c>
      <c r="W130" s="23">
        <f>IF(B130="","",IF(COUNTIF(Performance!$B$5:$B$404,B130)=0,"",SUMIFS(Performance!$T$5:$T$404,Performance!$B$5:$B$404,B130)))</f>
        <v>0</v>
      </c>
      <c r="X130" s="23">
        <f>IF(B130="","",IF(COUNTIF(Performance!$B$5:$B$404,B130)=0,"",SUMIFS(Performance!$S$5:$S$404,Performance!$B$5:$B$404,B130)))</f>
        <v>0</v>
      </c>
      <c r="Y130" s="23">
        <f>IF(B130="","",IF(COUNTIF(Performance!$B$5:$B$404,B130)=0,"",SUMIFS(Performance!$R$5:$R$404,Performance!$B$5:$B$404,B130)))</f>
        <v>0</v>
      </c>
      <c r="Z130" s="23">
        <f>IF(B130="","",IF(COUNTIF(Performance!$B$5:$B$404,B130)=0,"",SUMIFS(Performance!$U$5:$U$404,Performance!$B$5:$B$404,B130)))</f>
        <v>0</v>
      </c>
      <c r="AA130" s="29">
        <f>IF(B130="","",IF(C130="Not found","Check - content ID not on the calendar",IF(G130="","Add - no hook written",IF(H130="","Add - no sound chosen",IF(AND(P130&lt;&gt;"",P130&lt;0.25),"Review - most people scroll away early","OK")))))</f>
        <v>0</v>
      </c>
    </row>
    <row r="131" spans="1:27">
      <c r="A131" s="41">
        <f>IF(B131="","","TT-"&amp;TEXT(ROW()-4,"000"))</f>
        <v>0</v>
      </c>
      <c r="C131" s="17">
        <f>IF(B131="","",IFERROR(INDEX('Content Calendar'!$H$5:$H$604,MATCH(B131,'Content Calendar'!$A$5:$A$604,0)),"Not found"))</f>
        <v>0</v>
      </c>
      <c r="D131" s="16">
        <f>IF(B131="","",IFERROR(INDEX('Content Calendar'!$B$5:$B$604,MATCH(B131,'Content Calendar'!$A$5:$A$604,0)),"Not found"))</f>
        <v>0</v>
      </c>
      <c r="E131" s="17">
        <f>IF(B131="","",IFERROR(INDEX('Content Calendar'!$J$5:$J$604,MATCH(B131,'Content Calendar'!$A$5:$A$604,0)),"Not found"))</f>
        <v>0</v>
      </c>
      <c r="F131" s="29">
        <f>IF(B131="","",IFERROR(INDEX('Content Calendar'!$X$5:$X$604,MATCH(B131,'Content Calendar'!$A$5:$A$604,0)),"Not found"))</f>
        <v>0</v>
      </c>
      <c r="S131" s="23">
        <f>IF(B131="","",IF(COUNTIF(Performance!$B$5:$B$404,B131)=0,"",SUMIFS(Performance!$O$5:$O$404,Performance!$B$5:$B$404,B131)))</f>
        <v>0</v>
      </c>
      <c r="T131" s="23">
        <f>IF(B131="","",IF(COUNTIF(Performance!$B$5:$B$404,B131)=0,"",SUMIFS(Performance!$P$5:$P$404,Performance!$B$5:$B$404,B131)))</f>
        <v>0</v>
      </c>
      <c r="U131" s="23">
        <f>IF(B131="","",IF(COUNTIF(Performance!$B$5:$B$404,B131)=0,"",SUMIFS(Performance!$Z$5:$Z$404,Performance!$B$5:$B$404,B131)))</f>
        <v>0</v>
      </c>
      <c r="V131" s="24">
        <f>IF(OR(S131="",S131=0),"",U131/S131)</f>
        <v>0</v>
      </c>
      <c r="W131" s="23">
        <f>IF(B131="","",IF(COUNTIF(Performance!$B$5:$B$404,B131)=0,"",SUMIFS(Performance!$T$5:$T$404,Performance!$B$5:$B$404,B131)))</f>
        <v>0</v>
      </c>
      <c r="X131" s="23">
        <f>IF(B131="","",IF(COUNTIF(Performance!$B$5:$B$404,B131)=0,"",SUMIFS(Performance!$S$5:$S$404,Performance!$B$5:$B$404,B131)))</f>
        <v>0</v>
      </c>
      <c r="Y131" s="23">
        <f>IF(B131="","",IF(COUNTIF(Performance!$B$5:$B$404,B131)=0,"",SUMIFS(Performance!$R$5:$R$404,Performance!$B$5:$B$404,B131)))</f>
        <v>0</v>
      </c>
      <c r="Z131" s="23">
        <f>IF(B131="","",IF(COUNTIF(Performance!$B$5:$B$404,B131)=0,"",SUMIFS(Performance!$U$5:$U$404,Performance!$B$5:$B$404,B131)))</f>
        <v>0</v>
      </c>
      <c r="AA131" s="29">
        <f>IF(B131="","",IF(C131="Not found","Check - content ID not on the calendar",IF(G131="","Add - no hook written",IF(H131="","Add - no sound chosen",IF(AND(P131&lt;&gt;"",P131&lt;0.25),"Review - most people scroll away early","OK")))))</f>
        <v>0</v>
      </c>
    </row>
    <row r="132" spans="1:27">
      <c r="A132" s="41">
        <f>IF(B132="","","TT-"&amp;TEXT(ROW()-4,"000"))</f>
        <v>0</v>
      </c>
      <c r="C132" s="17">
        <f>IF(B132="","",IFERROR(INDEX('Content Calendar'!$H$5:$H$604,MATCH(B132,'Content Calendar'!$A$5:$A$604,0)),"Not found"))</f>
        <v>0</v>
      </c>
      <c r="D132" s="16">
        <f>IF(B132="","",IFERROR(INDEX('Content Calendar'!$B$5:$B$604,MATCH(B132,'Content Calendar'!$A$5:$A$604,0)),"Not found"))</f>
        <v>0</v>
      </c>
      <c r="E132" s="17">
        <f>IF(B132="","",IFERROR(INDEX('Content Calendar'!$J$5:$J$604,MATCH(B132,'Content Calendar'!$A$5:$A$604,0)),"Not found"))</f>
        <v>0</v>
      </c>
      <c r="F132" s="29">
        <f>IF(B132="","",IFERROR(INDEX('Content Calendar'!$X$5:$X$604,MATCH(B132,'Content Calendar'!$A$5:$A$604,0)),"Not found"))</f>
        <v>0</v>
      </c>
      <c r="S132" s="23">
        <f>IF(B132="","",IF(COUNTIF(Performance!$B$5:$B$404,B132)=0,"",SUMIFS(Performance!$O$5:$O$404,Performance!$B$5:$B$404,B132)))</f>
        <v>0</v>
      </c>
      <c r="T132" s="23">
        <f>IF(B132="","",IF(COUNTIF(Performance!$B$5:$B$404,B132)=0,"",SUMIFS(Performance!$P$5:$P$404,Performance!$B$5:$B$404,B132)))</f>
        <v>0</v>
      </c>
      <c r="U132" s="23">
        <f>IF(B132="","",IF(COUNTIF(Performance!$B$5:$B$404,B132)=0,"",SUMIFS(Performance!$Z$5:$Z$404,Performance!$B$5:$B$404,B132)))</f>
        <v>0</v>
      </c>
      <c r="V132" s="24">
        <f>IF(OR(S132="",S132=0),"",U132/S132)</f>
        <v>0</v>
      </c>
      <c r="W132" s="23">
        <f>IF(B132="","",IF(COUNTIF(Performance!$B$5:$B$404,B132)=0,"",SUMIFS(Performance!$T$5:$T$404,Performance!$B$5:$B$404,B132)))</f>
        <v>0</v>
      </c>
      <c r="X132" s="23">
        <f>IF(B132="","",IF(COUNTIF(Performance!$B$5:$B$404,B132)=0,"",SUMIFS(Performance!$S$5:$S$404,Performance!$B$5:$B$404,B132)))</f>
        <v>0</v>
      </c>
      <c r="Y132" s="23">
        <f>IF(B132="","",IF(COUNTIF(Performance!$B$5:$B$404,B132)=0,"",SUMIFS(Performance!$R$5:$R$404,Performance!$B$5:$B$404,B132)))</f>
        <v>0</v>
      </c>
      <c r="Z132" s="23">
        <f>IF(B132="","",IF(COUNTIF(Performance!$B$5:$B$404,B132)=0,"",SUMIFS(Performance!$U$5:$U$404,Performance!$B$5:$B$404,B132)))</f>
        <v>0</v>
      </c>
      <c r="AA132" s="29">
        <f>IF(B132="","",IF(C132="Not found","Check - content ID not on the calendar",IF(G132="","Add - no hook written",IF(H132="","Add - no sound chosen",IF(AND(P132&lt;&gt;"",P132&lt;0.25),"Review - most people scroll away early","OK")))))</f>
        <v>0</v>
      </c>
    </row>
    <row r="133" spans="1:27">
      <c r="A133" s="41">
        <f>IF(B133="","","TT-"&amp;TEXT(ROW()-4,"000"))</f>
        <v>0</v>
      </c>
      <c r="C133" s="17">
        <f>IF(B133="","",IFERROR(INDEX('Content Calendar'!$H$5:$H$604,MATCH(B133,'Content Calendar'!$A$5:$A$604,0)),"Not found"))</f>
        <v>0</v>
      </c>
      <c r="D133" s="16">
        <f>IF(B133="","",IFERROR(INDEX('Content Calendar'!$B$5:$B$604,MATCH(B133,'Content Calendar'!$A$5:$A$604,0)),"Not found"))</f>
        <v>0</v>
      </c>
      <c r="E133" s="17">
        <f>IF(B133="","",IFERROR(INDEX('Content Calendar'!$J$5:$J$604,MATCH(B133,'Content Calendar'!$A$5:$A$604,0)),"Not found"))</f>
        <v>0</v>
      </c>
      <c r="F133" s="29">
        <f>IF(B133="","",IFERROR(INDEX('Content Calendar'!$X$5:$X$604,MATCH(B133,'Content Calendar'!$A$5:$A$604,0)),"Not found"))</f>
        <v>0</v>
      </c>
      <c r="S133" s="23">
        <f>IF(B133="","",IF(COUNTIF(Performance!$B$5:$B$404,B133)=0,"",SUMIFS(Performance!$O$5:$O$404,Performance!$B$5:$B$404,B133)))</f>
        <v>0</v>
      </c>
      <c r="T133" s="23">
        <f>IF(B133="","",IF(COUNTIF(Performance!$B$5:$B$404,B133)=0,"",SUMIFS(Performance!$P$5:$P$404,Performance!$B$5:$B$404,B133)))</f>
        <v>0</v>
      </c>
      <c r="U133" s="23">
        <f>IF(B133="","",IF(COUNTIF(Performance!$B$5:$B$404,B133)=0,"",SUMIFS(Performance!$Z$5:$Z$404,Performance!$B$5:$B$404,B133)))</f>
        <v>0</v>
      </c>
      <c r="V133" s="24">
        <f>IF(OR(S133="",S133=0),"",U133/S133)</f>
        <v>0</v>
      </c>
      <c r="W133" s="23">
        <f>IF(B133="","",IF(COUNTIF(Performance!$B$5:$B$404,B133)=0,"",SUMIFS(Performance!$T$5:$T$404,Performance!$B$5:$B$404,B133)))</f>
        <v>0</v>
      </c>
      <c r="X133" s="23">
        <f>IF(B133="","",IF(COUNTIF(Performance!$B$5:$B$404,B133)=0,"",SUMIFS(Performance!$S$5:$S$404,Performance!$B$5:$B$404,B133)))</f>
        <v>0</v>
      </c>
      <c r="Y133" s="23">
        <f>IF(B133="","",IF(COUNTIF(Performance!$B$5:$B$404,B133)=0,"",SUMIFS(Performance!$R$5:$R$404,Performance!$B$5:$B$404,B133)))</f>
        <v>0</v>
      </c>
      <c r="Z133" s="23">
        <f>IF(B133="","",IF(COUNTIF(Performance!$B$5:$B$404,B133)=0,"",SUMIFS(Performance!$U$5:$U$404,Performance!$B$5:$B$404,B133)))</f>
        <v>0</v>
      </c>
      <c r="AA133" s="29">
        <f>IF(B133="","",IF(C133="Not found","Check - content ID not on the calendar",IF(G133="","Add - no hook written",IF(H133="","Add - no sound chosen",IF(AND(P133&lt;&gt;"",P133&lt;0.25),"Review - most people scroll away early","OK")))))</f>
        <v>0</v>
      </c>
    </row>
    <row r="134" spans="1:27">
      <c r="A134" s="41">
        <f>IF(B134="","","TT-"&amp;TEXT(ROW()-4,"000"))</f>
        <v>0</v>
      </c>
      <c r="C134" s="17">
        <f>IF(B134="","",IFERROR(INDEX('Content Calendar'!$H$5:$H$604,MATCH(B134,'Content Calendar'!$A$5:$A$604,0)),"Not found"))</f>
        <v>0</v>
      </c>
      <c r="D134" s="16">
        <f>IF(B134="","",IFERROR(INDEX('Content Calendar'!$B$5:$B$604,MATCH(B134,'Content Calendar'!$A$5:$A$604,0)),"Not found"))</f>
        <v>0</v>
      </c>
      <c r="E134" s="17">
        <f>IF(B134="","",IFERROR(INDEX('Content Calendar'!$J$5:$J$604,MATCH(B134,'Content Calendar'!$A$5:$A$604,0)),"Not found"))</f>
        <v>0</v>
      </c>
      <c r="F134" s="29">
        <f>IF(B134="","",IFERROR(INDEX('Content Calendar'!$X$5:$X$604,MATCH(B134,'Content Calendar'!$A$5:$A$604,0)),"Not found"))</f>
        <v>0</v>
      </c>
      <c r="S134" s="23">
        <f>IF(B134="","",IF(COUNTIF(Performance!$B$5:$B$404,B134)=0,"",SUMIFS(Performance!$O$5:$O$404,Performance!$B$5:$B$404,B134)))</f>
        <v>0</v>
      </c>
      <c r="T134" s="23">
        <f>IF(B134="","",IF(COUNTIF(Performance!$B$5:$B$404,B134)=0,"",SUMIFS(Performance!$P$5:$P$404,Performance!$B$5:$B$404,B134)))</f>
        <v>0</v>
      </c>
      <c r="U134" s="23">
        <f>IF(B134="","",IF(COUNTIF(Performance!$B$5:$B$404,B134)=0,"",SUMIFS(Performance!$Z$5:$Z$404,Performance!$B$5:$B$404,B134)))</f>
        <v>0</v>
      </c>
      <c r="V134" s="24">
        <f>IF(OR(S134="",S134=0),"",U134/S134)</f>
        <v>0</v>
      </c>
      <c r="W134" s="23">
        <f>IF(B134="","",IF(COUNTIF(Performance!$B$5:$B$404,B134)=0,"",SUMIFS(Performance!$T$5:$T$404,Performance!$B$5:$B$404,B134)))</f>
        <v>0</v>
      </c>
      <c r="X134" s="23">
        <f>IF(B134="","",IF(COUNTIF(Performance!$B$5:$B$404,B134)=0,"",SUMIFS(Performance!$S$5:$S$404,Performance!$B$5:$B$404,B134)))</f>
        <v>0</v>
      </c>
      <c r="Y134" s="23">
        <f>IF(B134="","",IF(COUNTIF(Performance!$B$5:$B$404,B134)=0,"",SUMIFS(Performance!$R$5:$R$404,Performance!$B$5:$B$404,B134)))</f>
        <v>0</v>
      </c>
      <c r="Z134" s="23">
        <f>IF(B134="","",IF(COUNTIF(Performance!$B$5:$B$404,B134)=0,"",SUMIFS(Performance!$U$5:$U$404,Performance!$B$5:$B$404,B134)))</f>
        <v>0</v>
      </c>
      <c r="AA134" s="29">
        <f>IF(B134="","",IF(C134="Not found","Check - content ID not on the calendar",IF(G134="","Add - no hook written",IF(H134="","Add - no sound chosen",IF(AND(P134&lt;&gt;"",P134&lt;0.25),"Review - most people scroll away early","OK")))))</f>
        <v>0</v>
      </c>
    </row>
    <row r="135" spans="1:27">
      <c r="A135" s="41">
        <f>IF(B135="","","TT-"&amp;TEXT(ROW()-4,"000"))</f>
        <v>0</v>
      </c>
      <c r="C135" s="17">
        <f>IF(B135="","",IFERROR(INDEX('Content Calendar'!$H$5:$H$604,MATCH(B135,'Content Calendar'!$A$5:$A$604,0)),"Not found"))</f>
        <v>0</v>
      </c>
      <c r="D135" s="16">
        <f>IF(B135="","",IFERROR(INDEX('Content Calendar'!$B$5:$B$604,MATCH(B135,'Content Calendar'!$A$5:$A$604,0)),"Not found"))</f>
        <v>0</v>
      </c>
      <c r="E135" s="17">
        <f>IF(B135="","",IFERROR(INDEX('Content Calendar'!$J$5:$J$604,MATCH(B135,'Content Calendar'!$A$5:$A$604,0)),"Not found"))</f>
        <v>0</v>
      </c>
      <c r="F135" s="29">
        <f>IF(B135="","",IFERROR(INDEX('Content Calendar'!$X$5:$X$604,MATCH(B135,'Content Calendar'!$A$5:$A$604,0)),"Not found"))</f>
        <v>0</v>
      </c>
      <c r="S135" s="23">
        <f>IF(B135="","",IF(COUNTIF(Performance!$B$5:$B$404,B135)=0,"",SUMIFS(Performance!$O$5:$O$404,Performance!$B$5:$B$404,B135)))</f>
        <v>0</v>
      </c>
      <c r="T135" s="23">
        <f>IF(B135="","",IF(COUNTIF(Performance!$B$5:$B$404,B135)=0,"",SUMIFS(Performance!$P$5:$P$404,Performance!$B$5:$B$404,B135)))</f>
        <v>0</v>
      </c>
      <c r="U135" s="23">
        <f>IF(B135="","",IF(COUNTIF(Performance!$B$5:$B$404,B135)=0,"",SUMIFS(Performance!$Z$5:$Z$404,Performance!$B$5:$B$404,B135)))</f>
        <v>0</v>
      </c>
      <c r="V135" s="24">
        <f>IF(OR(S135="",S135=0),"",U135/S135)</f>
        <v>0</v>
      </c>
      <c r="W135" s="23">
        <f>IF(B135="","",IF(COUNTIF(Performance!$B$5:$B$404,B135)=0,"",SUMIFS(Performance!$T$5:$T$404,Performance!$B$5:$B$404,B135)))</f>
        <v>0</v>
      </c>
      <c r="X135" s="23">
        <f>IF(B135="","",IF(COUNTIF(Performance!$B$5:$B$404,B135)=0,"",SUMIFS(Performance!$S$5:$S$404,Performance!$B$5:$B$404,B135)))</f>
        <v>0</v>
      </c>
      <c r="Y135" s="23">
        <f>IF(B135="","",IF(COUNTIF(Performance!$B$5:$B$404,B135)=0,"",SUMIFS(Performance!$R$5:$R$404,Performance!$B$5:$B$404,B135)))</f>
        <v>0</v>
      </c>
      <c r="Z135" s="23">
        <f>IF(B135="","",IF(COUNTIF(Performance!$B$5:$B$404,B135)=0,"",SUMIFS(Performance!$U$5:$U$404,Performance!$B$5:$B$404,B135)))</f>
        <v>0</v>
      </c>
      <c r="AA135" s="29">
        <f>IF(B135="","",IF(C135="Not found","Check - content ID not on the calendar",IF(G135="","Add - no hook written",IF(H135="","Add - no sound chosen",IF(AND(P135&lt;&gt;"",P135&lt;0.25),"Review - most people scroll away early","OK")))))</f>
        <v>0</v>
      </c>
    </row>
    <row r="136" spans="1:27">
      <c r="A136" s="41">
        <f>IF(B136="","","TT-"&amp;TEXT(ROW()-4,"000"))</f>
        <v>0</v>
      </c>
      <c r="C136" s="17">
        <f>IF(B136="","",IFERROR(INDEX('Content Calendar'!$H$5:$H$604,MATCH(B136,'Content Calendar'!$A$5:$A$604,0)),"Not found"))</f>
        <v>0</v>
      </c>
      <c r="D136" s="16">
        <f>IF(B136="","",IFERROR(INDEX('Content Calendar'!$B$5:$B$604,MATCH(B136,'Content Calendar'!$A$5:$A$604,0)),"Not found"))</f>
        <v>0</v>
      </c>
      <c r="E136" s="17">
        <f>IF(B136="","",IFERROR(INDEX('Content Calendar'!$J$5:$J$604,MATCH(B136,'Content Calendar'!$A$5:$A$604,0)),"Not found"))</f>
        <v>0</v>
      </c>
      <c r="F136" s="29">
        <f>IF(B136="","",IFERROR(INDEX('Content Calendar'!$X$5:$X$604,MATCH(B136,'Content Calendar'!$A$5:$A$604,0)),"Not found"))</f>
        <v>0</v>
      </c>
      <c r="S136" s="23">
        <f>IF(B136="","",IF(COUNTIF(Performance!$B$5:$B$404,B136)=0,"",SUMIFS(Performance!$O$5:$O$404,Performance!$B$5:$B$404,B136)))</f>
        <v>0</v>
      </c>
      <c r="T136" s="23">
        <f>IF(B136="","",IF(COUNTIF(Performance!$B$5:$B$404,B136)=0,"",SUMIFS(Performance!$P$5:$P$404,Performance!$B$5:$B$404,B136)))</f>
        <v>0</v>
      </c>
      <c r="U136" s="23">
        <f>IF(B136="","",IF(COUNTIF(Performance!$B$5:$B$404,B136)=0,"",SUMIFS(Performance!$Z$5:$Z$404,Performance!$B$5:$B$404,B136)))</f>
        <v>0</v>
      </c>
      <c r="V136" s="24">
        <f>IF(OR(S136="",S136=0),"",U136/S136)</f>
        <v>0</v>
      </c>
      <c r="W136" s="23">
        <f>IF(B136="","",IF(COUNTIF(Performance!$B$5:$B$404,B136)=0,"",SUMIFS(Performance!$T$5:$T$404,Performance!$B$5:$B$404,B136)))</f>
        <v>0</v>
      </c>
      <c r="X136" s="23">
        <f>IF(B136="","",IF(COUNTIF(Performance!$B$5:$B$404,B136)=0,"",SUMIFS(Performance!$S$5:$S$404,Performance!$B$5:$B$404,B136)))</f>
        <v>0</v>
      </c>
      <c r="Y136" s="23">
        <f>IF(B136="","",IF(COUNTIF(Performance!$B$5:$B$404,B136)=0,"",SUMIFS(Performance!$R$5:$R$404,Performance!$B$5:$B$404,B136)))</f>
        <v>0</v>
      </c>
      <c r="Z136" s="23">
        <f>IF(B136="","",IF(COUNTIF(Performance!$B$5:$B$404,B136)=0,"",SUMIFS(Performance!$U$5:$U$404,Performance!$B$5:$B$404,B136)))</f>
        <v>0</v>
      </c>
      <c r="AA136" s="29">
        <f>IF(B136="","",IF(C136="Not found","Check - content ID not on the calendar",IF(G136="","Add - no hook written",IF(H136="","Add - no sound chosen",IF(AND(P136&lt;&gt;"",P136&lt;0.25),"Review - most people scroll away early","OK")))))</f>
        <v>0</v>
      </c>
    </row>
    <row r="137" spans="1:27">
      <c r="A137" s="41">
        <f>IF(B137="","","TT-"&amp;TEXT(ROW()-4,"000"))</f>
        <v>0</v>
      </c>
      <c r="C137" s="17">
        <f>IF(B137="","",IFERROR(INDEX('Content Calendar'!$H$5:$H$604,MATCH(B137,'Content Calendar'!$A$5:$A$604,0)),"Not found"))</f>
        <v>0</v>
      </c>
      <c r="D137" s="16">
        <f>IF(B137="","",IFERROR(INDEX('Content Calendar'!$B$5:$B$604,MATCH(B137,'Content Calendar'!$A$5:$A$604,0)),"Not found"))</f>
        <v>0</v>
      </c>
      <c r="E137" s="17">
        <f>IF(B137="","",IFERROR(INDEX('Content Calendar'!$J$5:$J$604,MATCH(B137,'Content Calendar'!$A$5:$A$604,0)),"Not found"))</f>
        <v>0</v>
      </c>
      <c r="F137" s="29">
        <f>IF(B137="","",IFERROR(INDEX('Content Calendar'!$X$5:$X$604,MATCH(B137,'Content Calendar'!$A$5:$A$604,0)),"Not found"))</f>
        <v>0</v>
      </c>
      <c r="S137" s="23">
        <f>IF(B137="","",IF(COUNTIF(Performance!$B$5:$B$404,B137)=0,"",SUMIFS(Performance!$O$5:$O$404,Performance!$B$5:$B$404,B137)))</f>
        <v>0</v>
      </c>
      <c r="T137" s="23">
        <f>IF(B137="","",IF(COUNTIF(Performance!$B$5:$B$404,B137)=0,"",SUMIFS(Performance!$P$5:$P$404,Performance!$B$5:$B$404,B137)))</f>
        <v>0</v>
      </c>
      <c r="U137" s="23">
        <f>IF(B137="","",IF(COUNTIF(Performance!$B$5:$B$404,B137)=0,"",SUMIFS(Performance!$Z$5:$Z$404,Performance!$B$5:$B$404,B137)))</f>
        <v>0</v>
      </c>
      <c r="V137" s="24">
        <f>IF(OR(S137="",S137=0),"",U137/S137)</f>
        <v>0</v>
      </c>
      <c r="W137" s="23">
        <f>IF(B137="","",IF(COUNTIF(Performance!$B$5:$B$404,B137)=0,"",SUMIFS(Performance!$T$5:$T$404,Performance!$B$5:$B$404,B137)))</f>
        <v>0</v>
      </c>
      <c r="X137" s="23">
        <f>IF(B137="","",IF(COUNTIF(Performance!$B$5:$B$404,B137)=0,"",SUMIFS(Performance!$S$5:$S$404,Performance!$B$5:$B$404,B137)))</f>
        <v>0</v>
      </c>
      <c r="Y137" s="23">
        <f>IF(B137="","",IF(COUNTIF(Performance!$B$5:$B$404,B137)=0,"",SUMIFS(Performance!$R$5:$R$404,Performance!$B$5:$B$404,B137)))</f>
        <v>0</v>
      </c>
      <c r="Z137" s="23">
        <f>IF(B137="","",IF(COUNTIF(Performance!$B$5:$B$404,B137)=0,"",SUMIFS(Performance!$U$5:$U$404,Performance!$B$5:$B$404,B137)))</f>
        <v>0</v>
      </c>
      <c r="AA137" s="29">
        <f>IF(B137="","",IF(C137="Not found","Check - content ID not on the calendar",IF(G137="","Add - no hook written",IF(H137="","Add - no sound chosen",IF(AND(P137&lt;&gt;"",P137&lt;0.25),"Review - most people scroll away early","OK")))))</f>
        <v>0</v>
      </c>
    </row>
    <row r="138" spans="1:27">
      <c r="A138" s="41">
        <f>IF(B138="","","TT-"&amp;TEXT(ROW()-4,"000"))</f>
        <v>0</v>
      </c>
      <c r="C138" s="17">
        <f>IF(B138="","",IFERROR(INDEX('Content Calendar'!$H$5:$H$604,MATCH(B138,'Content Calendar'!$A$5:$A$604,0)),"Not found"))</f>
        <v>0</v>
      </c>
      <c r="D138" s="16">
        <f>IF(B138="","",IFERROR(INDEX('Content Calendar'!$B$5:$B$604,MATCH(B138,'Content Calendar'!$A$5:$A$604,0)),"Not found"))</f>
        <v>0</v>
      </c>
      <c r="E138" s="17">
        <f>IF(B138="","",IFERROR(INDEX('Content Calendar'!$J$5:$J$604,MATCH(B138,'Content Calendar'!$A$5:$A$604,0)),"Not found"))</f>
        <v>0</v>
      </c>
      <c r="F138" s="29">
        <f>IF(B138="","",IFERROR(INDEX('Content Calendar'!$X$5:$X$604,MATCH(B138,'Content Calendar'!$A$5:$A$604,0)),"Not found"))</f>
        <v>0</v>
      </c>
      <c r="S138" s="23">
        <f>IF(B138="","",IF(COUNTIF(Performance!$B$5:$B$404,B138)=0,"",SUMIFS(Performance!$O$5:$O$404,Performance!$B$5:$B$404,B138)))</f>
        <v>0</v>
      </c>
      <c r="T138" s="23">
        <f>IF(B138="","",IF(COUNTIF(Performance!$B$5:$B$404,B138)=0,"",SUMIFS(Performance!$P$5:$P$404,Performance!$B$5:$B$404,B138)))</f>
        <v>0</v>
      </c>
      <c r="U138" s="23">
        <f>IF(B138="","",IF(COUNTIF(Performance!$B$5:$B$404,B138)=0,"",SUMIFS(Performance!$Z$5:$Z$404,Performance!$B$5:$B$404,B138)))</f>
        <v>0</v>
      </c>
      <c r="V138" s="24">
        <f>IF(OR(S138="",S138=0),"",U138/S138)</f>
        <v>0</v>
      </c>
      <c r="W138" s="23">
        <f>IF(B138="","",IF(COUNTIF(Performance!$B$5:$B$404,B138)=0,"",SUMIFS(Performance!$T$5:$T$404,Performance!$B$5:$B$404,B138)))</f>
        <v>0</v>
      </c>
      <c r="X138" s="23">
        <f>IF(B138="","",IF(COUNTIF(Performance!$B$5:$B$404,B138)=0,"",SUMIFS(Performance!$S$5:$S$404,Performance!$B$5:$B$404,B138)))</f>
        <v>0</v>
      </c>
      <c r="Y138" s="23">
        <f>IF(B138="","",IF(COUNTIF(Performance!$B$5:$B$404,B138)=0,"",SUMIFS(Performance!$R$5:$R$404,Performance!$B$5:$B$404,B138)))</f>
        <v>0</v>
      </c>
      <c r="Z138" s="23">
        <f>IF(B138="","",IF(COUNTIF(Performance!$B$5:$B$404,B138)=0,"",SUMIFS(Performance!$U$5:$U$404,Performance!$B$5:$B$404,B138)))</f>
        <v>0</v>
      </c>
      <c r="AA138" s="29">
        <f>IF(B138="","",IF(C138="Not found","Check - content ID not on the calendar",IF(G138="","Add - no hook written",IF(H138="","Add - no sound chosen",IF(AND(P138&lt;&gt;"",P138&lt;0.25),"Review - most people scroll away early","OK")))))</f>
        <v>0</v>
      </c>
    </row>
    <row r="139" spans="1:27">
      <c r="A139" s="41">
        <f>IF(B139="","","TT-"&amp;TEXT(ROW()-4,"000"))</f>
        <v>0</v>
      </c>
      <c r="C139" s="17">
        <f>IF(B139="","",IFERROR(INDEX('Content Calendar'!$H$5:$H$604,MATCH(B139,'Content Calendar'!$A$5:$A$604,0)),"Not found"))</f>
        <v>0</v>
      </c>
      <c r="D139" s="16">
        <f>IF(B139="","",IFERROR(INDEX('Content Calendar'!$B$5:$B$604,MATCH(B139,'Content Calendar'!$A$5:$A$604,0)),"Not found"))</f>
        <v>0</v>
      </c>
      <c r="E139" s="17">
        <f>IF(B139="","",IFERROR(INDEX('Content Calendar'!$J$5:$J$604,MATCH(B139,'Content Calendar'!$A$5:$A$604,0)),"Not found"))</f>
        <v>0</v>
      </c>
      <c r="F139" s="29">
        <f>IF(B139="","",IFERROR(INDEX('Content Calendar'!$X$5:$X$604,MATCH(B139,'Content Calendar'!$A$5:$A$604,0)),"Not found"))</f>
        <v>0</v>
      </c>
      <c r="S139" s="23">
        <f>IF(B139="","",IF(COUNTIF(Performance!$B$5:$B$404,B139)=0,"",SUMIFS(Performance!$O$5:$O$404,Performance!$B$5:$B$404,B139)))</f>
        <v>0</v>
      </c>
      <c r="T139" s="23">
        <f>IF(B139="","",IF(COUNTIF(Performance!$B$5:$B$404,B139)=0,"",SUMIFS(Performance!$P$5:$P$404,Performance!$B$5:$B$404,B139)))</f>
        <v>0</v>
      </c>
      <c r="U139" s="23">
        <f>IF(B139="","",IF(COUNTIF(Performance!$B$5:$B$404,B139)=0,"",SUMIFS(Performance!$Z$5:$Z$404,Performance!$B$5:$B$404,B139)))</f>
        <v>0</v>
      </c>
      <c r="V139" s="24">
        <f>IF(OR(S139="",S139=0),"",U139/S139)</f>
        <v>0</v>
      </c>
      <c r="W139" s="23">
        <f>IF(B139="","",IF(COUNTIF(Performance!$B$5:$B$404,B139)=0,"",SUMIFS(Performance!$T$5:$T$404,Performance!$B$5:$B$404,B139)))</f>
        <v>0</v>
      </c>
      <c r="X139" s="23">
        <f>IF(B139="","",IF(COUNTIF(Performance!$B$5:$B$404,B139)=0,"",SUMIFS(Performance!$S$5:$S$404,Performance!$B$5:$B$404,B139)))</f>
        <v>0</v>
      </c>
      <c r="Y139" s="23">
        <f>IF(B139="","",IF(COUNTIF(Performance!$B$5:$B$404,B139)=0,"",SUMIFS(Performance!$R$5:$R$404,Performance!$B$5:$B$404,B139)))</f>
        <v>0</v>
      </c>
      <c r="Z139" s="23">
        <f>IF(B139="","",IF(COUNTIF(Performance!$B$5:$B$404,B139)=0,"",SUMIFS(Performance!$U$5:$U$404,Performance!$B$5:$B$404,B139)))</f>
        <v>0</v>
      </c>
      <c r="AA139" s="29">
        <f>IF(B139="","",IF(C139="Not found","Check - content ID not on the calendar",IF(G139="","Add - no hook written",IF(H139="","Add - no sound chosen",IF(AND(P139&lt;&gt;"",P139&lt;0.25),"Review - most people scroll away early","OK")))))</f>
        <v>0</v>
      </c>
    </row>
    <row r="140" spans="1:27">
      <c r="A140" s="41">
        <f>IF(B140="","","TT-"&amp;TEXT(ROW()-4,"000"))</f>
        <v>0</v>
      </c>
      <c r="C140" s="17">
        <f>IF(B140="","",IFERROR(INDEX('Content Calendar'!$H$5:$H$604,MATCH(B140,'Content Calendar'!$A$5:$A$604,0)),"Not found"))</f>
        <v>0</v>
      </c>
      <c r="D140" s="16">
        <f>IF(B140="","",IFERROR(INDEX('Content Calendar'!$B$5:$B$604,MATCH(B140,'Content Calendar'!$A$5:$A$604,0)),"Not found"))</f>
        <v>0</v>
      </c>
      <c r="E140" s="17">
        <f>IF(B140="","",IFERROR(INDEX('Content Calendar'!$J$5:$J$604,MATCH(B140,'Content Calendar'!$A$5:$A$604,0)),"Not found"))</f>
        <v>0</v>
      </c>
      <c r="F140" s="29">
        <f>IF(B140="","",IFERROR(INDEX('Content Calendar'!$X$5:$X$604,MATCH(B140,'Content Calendar'!$A$5:$A$604,0)),"Not found"))</f>
        <v>0</v>
      </c>
      <c r="S140" s="23">
        <f>IF(B140="","",IF(COUNTIF(Performance!$B$5:$B$404,B140)=0,"",SUMIFS(Performance!$O$5:$O$404,Performance!$B$5:$B$404,B140)))</f>
        <v>0</v>
      </c>
      <c r="T140" s="23">
        <f>IF(B140="","",IF(COUNTIF(Performance!$B$5:$B$404,B140)=0,"",SUMIFS(Performance!$P$5:$P$404,Performance!$B$5:$B$404,B140)))</f>
        <v>0</v>
      </c>
      <c r="U140" s="23">
        <f>IF(B140="","",IF(COUNTIF(Performance!$B$5:$B$404,B140)=0,"",SUMIFS(Performance!$Z$5:$Z$404,Performance!$B$5:$B$404,B140)))</f>
        <v>0</v>
      </c>
      <c r="V140" s="24">
        <f>IF(OR(S140="",S140=0),"",U140/S140)</f>
        <v>0</v>
      </c>
      <c r="W140" s="23">
        <f>IF(B140="","",IF(COUNTIF(Performance!$B$5:$B$404,B140)=0,"",SUMIFS(Performance!$T$5:$T$404,Performance!$B$5:$B$404,B140)))</f>
        <v>0</v>
      </c>
      <c r="X140" s="23">
        <f>IF(B140="","",IF(COUNTIF(Performance!$B$5:$B$404,B140)=0,"",SUMIFS(Performance!$S$5:$S$404,Performance!$B$5:$B$404,B140)))</f>
        <v>0</v>
      </c>
      <c r="Y140" s="23">
        <f>IF(B140="","",IF(COUNTIF(Performance!$B$5:$B$404,B140)=0,"",SUMIFS(Performance!$R$5:$R$404,Performance!$B$5:$B$404,B140)))</f>
        <v>0</v>
      </c>
      <c r="Z140" s="23">
        <f>IF(B140="","",IF(COUNTIF(Performance!$B$5:$B$404,B140)=0,"",SUMIFS(Performance!$U$5:$U$404,Performance!$B$5:$B$404,B140)))</f>
        <v>0</v>
      </c>
      <c r="AA140" s="29">
        <f>IF(B140="","",IF(C140="Not found","Check - content ID not on the calendar",IF(G140="","Add - no hook written",IF(H140="","Add - no sound chosen",IF(AND(P140&lt;&gt;"",P140&lt;0.25),"Review - most people scroll away early","OK")))))</f>
        <v>0</v>
      </c>
    </row>
    <row r="141" spans="1:27">
      <c r="A141" s="41">
        <f>IF(B141="","","TT-"&amp;TEXT(ROW()-4,"000"))</f>
        <v>0</v>
      </c>
      <c r="C141" s="17">
        <f>IF(B141="","",IFERROR(INDEX('Content Calendar'!$H$5:$H$604,MATCH(B141,'Content Calendar'!$A$5:$A$604,0)),"Not found"))</f>
        <v>0</v>
      </c>
      <c r="D141" s="16">
        <f>IF(B141="","",IFERROR(INDEX('Content Calendar'!$B$5:$B$604,MATCH(B141,'Content Calendar'!$A$5:$A$604,0)),"Not found"))</f>
        <v>0</v>
      </c>
      <c r="E141" s="17">
        <f>IF(B141="","",IFERROR(INDEX('Content Calendar'!$J$5:$J$604,MATCH(B141,'Content Calendar'!$A$5:$A$604,0)),"Not found"))</f>
        <v>0</v>
      </c>
      <c r="F141" s="29">
        <f>IF(B141="","",IFERROR(INDEX('Content Calendar'!$X$5:$X$604,MATCH(B141,'Content Calendar'!$A$5:$A$604,0)),"Not found"))</f>
        <v>0</v>
      </c>
      <c r="S141" s="23">
        <f>IF(B141="","",IF(COUNTIF(Performance!$B$5:$B$404,B141)=0,"",SUMIFS(Performance!$O$5:$O$404,Performance!$B$5:$B$404,B141)))</f>
        <v>0</v>
      </c>
      <c r="T141" s="23">
        <f>IF(B141="","",IF(COUNTIF(Performance!$B$5:$B$404,B141)=0,"",SUMIFS(Performance!$P$5:$P$404,Performance!$B$5:$B$404,B141)))</f>
        <v>0</v>
      </c>
      <c r="U141" s="23">
        <f>IF(B141="","",IF(COUNTIF(Performance!$B$5:$B$404,B141)=0,"",SUMIFS(Performance!$Z$5:$Z$404,Performance!$B$5:$B$404,B141)))</f>
        <v>0</v>
      </c>
      <c r="V141" s="24">
        <f>IF(OR(S141="",S141=0),"",U141/S141)</f>
        <v>0</v>
      </c>
      <c r="W141" s="23">
        <f>IF(B141="","",IF(COUNTIF(Performance!$B$5:$B$404,B141)=0,"",SUMIFS(Performance!$T$5:$T$404,Performance!$B$5:$B$404,B141)))</f>
        <v>0</v>
      </c>
      <c r="X141" s="23">
        <f>IF(B141="","",IF(COUNTIF(Performance!$B$5:$B$404,B141)=0,"",SUMIFS(Performance!$S$5:$S$404,Performance!$B$5:$B$404,B141)))</f>
        <v>0</v>
      </c>
      <c r="Y141" s="23">
        <f>IF(B141="","",IF(COUNTIF(Performance!$B$5:$B$404,B141)=0,"",SUMIFS(Performance!$R$5:$R$404,Performance!$B$5:$B$404,B141)))</f>
        <v>0</v>
      </c>
      <c r="Z141" s="23">
        <f>IF(B141="","",IF(COUNTIF(Performance!$B$5:$B$404,B141)=0,"",SUMIFS(Performance!$U$5:$U$404,Performance!$B$5:$B$404,B141)))</f>
        <v>0</v>
      </c>
      <c r="AA141" s="29">
        <f>IF(B141="","",IF(C141="Not found","Check - content ID not on the calendar",IF(G141="","Add - no hook written",IF(H141="","Add - no sound chosen",IF(AND(P141&lt;&gt;"",P141&lt;0.25),"Review - most people scroll away early","OK")))))</f>
        <v>0</v>
      </c>
    </row>
    <row r="142" spans="1:27">
      <c r="A142" s="41">
        <f>IF(B142="","","TT-"&amp;TEXT(ROW()-4,"000"))</f>
        <v>0</v>
      </c>
      <c r="C142" s="17">
        <f>IF(B142="","",IFERROR(INDEX('Content Calendar'!$H$5:$H$604,MATCH(B142,'Content Calendar'!$A$5:$A$604,0)),"Not found"))</f>
        <v>0</v>
      </c>
      <c r="D142" s="16">
        <f>IF(B142="","",IFERROR(INDEX('Content Calendar'!$B$5:$B$604,MATCH(B142,'Content Calendar'!$A$5:$A$604,0)),"Not found"))</f>
        <v>0</v>
      </c>
      <c r="E142" s="17">
        <f>IF(B142="","",IFERROR(INDEX('Content Calendar'!$J$5:$J$604,MATCH(B142,'Content Calendar'!$A$5:$A$604,0)),"Not found"))</f>
        <v>0</v>
      </c>
      <c r="F142" s="29">
        <f>IF(B142="","",IFERROR(INDEX('Content Calendar'!$X$5:$X$604,MATCH(B142,'Content Calendar'!$A$5:$A$604,0)),"Not found"))</f>
        <v>0</v>
      </c>
      <c r="S142" s="23">
        <f>IF(B142="","",IF(COUNTIF(Performance!$B$5:$B$404,B142)=0,"",SUMIFS(Performance!$O$5:$O$404,Performance!$B$5:$B$404,B142)))</f>
        <v>0</v>
      </c>
      <c r="T142" s="23">
        <f>IF(B142="","",IF(COUNTIF(Performance!$B$5:$B$404,B142)=0,"",SUMIFS(Performance!$P$5:$P$404,Performance!$B$5:$B$404,B142)))</f>
        <v>0</v>
      </c>
      <c r="U142" s="23">
        <f>IF(B142="","",IF(COUNTIF(Performance!$B$5:$B$404,B142)=0,"",SUMIFS(Performance!$Z$5:$Z$404,Performance!$B$5:$B$404,B142)))</f>
        <v>0</v>
      </c>
      <c r="V142" s="24">
        <f>IF(OR(S142="",S142=0),"",U142/S142)</f>
        <v>0</v>
      </c>
      <c r="W142" s="23">
        <f>IF(B142="","",IF(COUNTIF(Performance!$B$5:$B$404,B142)=0,"",SUMIFS(Performance!$T$5:$T$404,Performance!$B$5:$B$404,B142)))</f>
        <v>0</v>
      </c>
      <c r="X142" s="23">
        <f>IF(B142="","",IF(COUNTIF(Performance!$B$5:$B$404,B142)=0,"",SUMIFS(Performance!$S$5:$S$404,Performance!$B$5:$B$404,B142)))</f>
        <v>0</v>
      </c>
      <c r="Y142" s="23">
        <f>IF(B142="","",IF(COUNTIF(Performance!$B$5:$B$404,B142)=0,"",SUMIFS(Performance!$R$5:$R$404,Performance!$B$5:$B$404,B142)))</f>
        <v>0</v>
      </c>
      <c r="Z142" s="23">
        <f>IF(B142="","",IF(COUNTIF(Performance!$B$5:$B$404,B142)=0,"",SUMIFS(Performance!$U$5:$U$404,Performance!$B$5:$B$404,B142)))</f>
        <v>0</v>
      </c>
      <c r="AA142" s="29">
        <f>IF(B142="","",IF(C142="Not found","Check - content ID not on the calendar",IF(G142="","Add - no hook written",IF(H142="","Add - no sound chosen",IF(AND(P142&lt;&gt;"",P142&lt;0.25),"Review - most people scroll away early","OK")))))</f>
        <v>0</v>
      </c>
    </row>
    <row r="143" spans="1:27">
      <c r="A143" s="41">
        <f>IF(B143="","","TT-"&amp;TEXT(ROW()-4,"000"))</f>
        <v>0</v>
      </c>
      <c r="C143" s="17">
        <f>IF(B143="","",IFERROR(INDEX('Content Calendar'!$H$5:$H$604,MATCH(B143,'Content Calendar'!$A$5:$A$604,0)),"Not found"))</f>
        <v>0</v>
      </c>
      <c r="D143" s="16">
        <f>IF(B143="","",IFERROR(INDEX('Content Calendar'!$B$5:$B$604,MATCH(B143,'Content Calendar'!$A$5:$A$604,0)),"Not found"))</f>
        <v>0</v>
      </c>
      <c r="E143" s="17">
        <f>IF(B143="","",IFERROR(INDEX('Content Calendar'!$J$5:$J$604,MATCH(B143,'Content Calendar'!$A$5:$A$604,0)),"Not found"))</f>
        <v>0</v>
      </c>
      <c r="F143" s="29">
        <f>IF(B143="","",IFERROR(INDEX('Content Calendar'!$X$5:$X$604,MATCH(B143,'Content Calendar'!$A$5:$A$604,0)),"Not found"))</f>
        <v>0</v>
      </c>
      <c r="S143" s="23">
        <f>IF(B143="","",IF(COUNTIF(Performance!$B$5:$B$404,B143)=0,"",SUMIFS(Performance!$O$5:$O$404,Performance!$B$5:$B$404,B143)))</f>
        <v>0</v>
      </c>
      <c r="T143" s="23">
        <f>IF(B143="","",IF(COUNTIF(Performance!$B$5:$B$404,B143)=0,"",SUMIFS(Performance!$P$5:$P$404,Performance!$B$5:$B$404,B143)))</f>
        <v>0</v>
      </c>
      <c r="U143" s="23">
        <f>IF(B143="","",IF(COUNTIF(Performance!$B$5:$B$404,B143)=0,"",SUMIFS(Performance!$Z$5:$Z$404,Performance!$B$5:$B$404,B143)))</f>
        <v>0</v>
      </c>
      <c r="V143" s="24">
        <f>IF(OR(S143="",S143=0),"",U143/S143)</f>
        <v>0</v>
      </c>
      <c r="W143" s="23">
        <f>IF(B143="","",IF(COUNTIF(Performance!$B$5:$B$404,B143)=0,"",SUMIFS(Performance!$T$5:$T$404,Performance!$B$5:$B$404,B143)))</f>
        <v>0</v>
      </c>
      <c r="X143" s="23">
        <f>IF(B143="","",IF(COUNTIF(Performance!$B$5:$B$404,B143)=0,"",SUMIFS(Performance!$S$5:$S$404,Performance!$B$5:$B$404,B143)))</f>
        <v>0</v>
      </c>
      <c r="Y143" s="23">
        <f>IF(B143="","",IF(COUNTIF(Performance!$B$5:$B$404,B143)=0,"",SUMIFS(Performance!$R$5:$R$404,Performance!$B$5:$B$404,B143)))</f>
        <v>0</v>
      </c>
      <c r="Z143" s="23">
        <f>IF(B143="","",IF(COUNTIF(Performance!$B$5:$B$404,B143)=0,"",SUMIFS(Performance!$U$5:$U$404,Performance!$B$5:$B$404,B143)))</f>
        <v>0</v>
      </c>
      <c r="AA143" s="29">
        <f>IF(B143="","",IF(C143="Not found","Check - content ID not on the calendar",IF(G143="","Add - no hook written",IF(H143="","Add - no sound chosen",IF(AND(P143&lt;&gt;"",P143&lt;0.25),"Review - most people scroll away early","OK")))))</f>
        <v>0</v>
      </c>
    </row>
    <row r="144" spans="1:27">
      <c r="A144" s="41">
        <f>IF(B144="","","TT-"&amp;TEXT(ROW()-4,"000"))</f>
        <v>0</v>
      </c>
      <c r="C144" s="17">
        <f>IF(B144="","",IFERROR(INDEX('Content Calendar'!$H$5:$H$604,MATCH(B144,'Content Calendar'!$A$5:$A$604,0)),"Not found"))</f>
        <v>0</v>
      </c>
      <c r="D144" s="16">
        <f>IF(B144="","",IFERROR(INDEX('Content Calendar'!$B$5:$B$604,MATCH(B144,'Content Calendar'!$A$5:$A$604,0)),"Not found"))</f>
        <v>0</v>
      </c>
      <c r="E144" s="17">
        <f>IF(B144="","",IFERROR(INDEX('Content Calendar'!$J$5:$J$604,MATCH(B144,'Content Calendar'!$A$5:$A$604,0)),"Not found"))</f>
        <v>0</v>
      </c>
      <c r="F144" s="29">
        <f>IF(B144="","",IFERROR(INDEX('Content Calendar'!$X$5:$X$604,MATCH(B144,'Content Calendar'!$A$5:$A$604,0)),"Not found"))</f>
        <v>0</v>
      </c>
      <c r="S144" s="23">
        <f>IF(B144="","",IF(COUNTIF(Performance!$B$5:$B$404,B144)=0,"",SUMIFS(Performance!$O$5:$O$404,Performance!$B$5:$B$404,B144)))</f>
        <v>0</v>
      </c>
      <c r="T144" s="23">
        <f>IF(B144="","",IF(COUNTIF(Performance!$B$5:$B$404,B144)=0,"",SUMIFS(Performance!$P$5:$P$404,Performance!$B$5:$B$404,B144)))</f>
        <v>0</v>
      </c>
      <c r="U144" s="23">
        <f>IF(B144="","",IF(COUNTIF(Performance!$B$5:$B$404,B144)=0,"",SUMIFS(Performance!$Z$5:$Z$404,Performance!$B$5:$B$404,B144)))</f>
        <v>0</v>
      </c>
      <c r="V144" s="24">
        <f>IF(OR(S144="",S144=0),"",U144/S144)</f>
        <v>0</v>
      </c>
      <c r="W144" s="23">
        <f>IF(B144="","",IF(COUNTIF(Performance!$B$5:$B$404,B144)=0,"",SUMIFS(Performance!$T$5:$T$404,Performance!$B$5:$B$404,B144)))</f>
        <v>0</v>
      </c>
      <c r="X144" s="23">
        <f>IF(B144="","",IF(COUNTIF(Performance!$B$5:$B$404,B144)=0,"",SUMIFS(Performance!$S$5:$S$404,Performance!$B$5:$B$404,B144)))</f>
        <v>0</v>
      </c>
      <c r="Y144" s="23">
        <f>IF(B144="","",IF(COUNTIF(Performance!$B$5:$B$404,B144)=0,"",SUMIFS(Performance!$R$5:$R$404,Performance!$B$5:$B$404,B144)))</f>
        <v>0</v>
      </c>
      <c r="Z144" s="23">
        <f>IF(B144="","",IF(COUNTIF(Performance!$B$5:$B$404,B144)=0,"",SUMIFS(Performance!$U$5:$U$404,Performance!$B$5:$B$404,B144)))</f>
        <v>0</v>
      </c>
      <c r="AA144" s="29">
        <f>IF(B144="","",IF(C144="Not found","Check - content ID not on the calendar",IF(G144="","Add - no hook written",IF(H144="","Add - no sound chosen",IF(AND(P144&lt;&gt;"",P144&lt;0.25),"Review - most people scroll away early","OK")))))</f>
        <v>0</v>
      </c>
    </row>
    <row r="145" spans="1:27">
      <c r="A145" s="41">
        <f>IF(B145="","","TT-"&amp;TEXT(ROW()-4,"000"))</f>
        <v>0</v>
      </c>
      <c r="C145" s="17">
        <f>IF(B145="","",IFERROR(INDEX('Content Calendar'!$H$5:$H$604,MATCH(B145,'Content Calendar'!$A$5:$A$604,0)),"Not found"))</f>
        <v>0</v>
      </c>
      <c r="D145" s="16">
        <f>IF(B145="","",IFERROR(INDEX('Content Calendar'!$B$5:$B$604,MATCH(B145,'Content Calendar'!$A$5:$A$604,0)),"Not found"))</f>
        <v>0</v>
      </c>
      <c r="E145" s="17">
        <f>IF(B145="","",IFERROR(INDEX('Content Calendar'!$J$5:$J$604,MATCH(B145,'Content Calendar'!$A$5:$A$604,0)),"Not found"))</f>
        <v>0</v>
      </c>
      <c r="F145" s="29">
        <f>IF(B145="","",IFERROR(INDEX('Content Calendar'!$X$5:$X$604,MATCH(B145,'Content Calendar'!$A$5:$A$604,0)),"Not found"))</f>
        <v>0</v>
      </c>
      <c r="S145" s="23">
        <f>IF(B145="","",IF(COUNTIF(Performance!$B$5:$B$404,B145)=0,"",SUMIFS(Performance!$O$5:$O$404,Performance!$B$5:$B$404,B145)))</f>
        <v>0</v>
      </c>
      <c r="T145" s="23">
        <f>IF(B145="","",IF(COUNTIF(Performance!$B$5:$B$404,B145)=0,"",SUMIFS(Performance!$P$5:$P$404,Performance!$B$5:$B$404,B145)))</f>
        <v>0</v>
      </c>
      <c r="U145" s="23">
        <f>IF(B145="","",IF(COUNTIF(Performance!$B$5:$B$404,B145)=0,"",SUMIFS(Performance!$Z$5:$Z$404,Performance!$B$5:$B$404,B145)))</f>
        <v>0</v>
      </c>
      <c r="V145" s="24">
        <f>IF(OR(S145="",S145=0),"",U145/S145)</f>
        <v>0</v>
      </c>
      <c r="W145" s="23">
        <f>IF(B145="","",IF(COUNTIF(Performance!$B$5:$B$404,B145)=0,"",SUMIFS(Performance!$T$5:$T$404,Performance!$B$5:$B$404,B145)))</f>
        <v>0</v>
      </c>
      <c r="X145" s="23">
        <f>IF(B145="","",IF(COUNTIF(Performance!$B$5:$B$404,B145)=0,"",SUMIFS(Performance!$S$5:$S$404,Performance!$B$5:$B$404,B145)))</f>
        <v>0</v>
      </c>
      <c r="Y145" s="23">
        <f>IF(B145="","",IF(COUNTIF(Performance!$B$5:$B$404,B145)=0,"",SUMIFS(Performance!$R$5:$R$404,Performance!$B$5:$B$404,B145)))</f>
        <v>0</v>
      </c>
      <c r="Z145" s="23">
        <f>IF(B145="","",IF(COUNTIF(Performance!$B$5:$B$404,B145)=0,"",SUMIFS(Performance!$U$5:$U$404,Performance!$B$5:$B$404,B145)))</f>
        <v>0</v>
      </c>
      <c r="AA145" s="29">
        <f>IF(B145="","",IF(C145="Not found","Check - content ID not on the calendar",IF(G145="","Add - no hook written",IF(H145="","Add - no sound chosen",IF(AND(P145&lt;&gt;"",P145&lt;0.25),"Review - most people scroll away early","OK")))))</f>
        <v>0</v>
      </c>
    </row>
    <row r="146" spans="1:27">
      <c r="A146" s="41">
        <f>IF(B146="","","TT-"&amp;TEXT(ROW()-4,"000"))</f>
        <v>0</v>
      </c>
      <c r="C146" s="17">
        <f>IF(B146="","",IFERROR(INDEX('Content Calendar'!$H$5:$H$604,MATCH(B146,'Content Calendar'!$A$5:$A$604,0)),"Not found"))</f>
        <v>0</v>
      </c>
      <c r="D146" s="16">
        <f>IF(B146="","",IFERROR(INDEX('Content Calendar'!$B$5:$B$604,MATCH(B146,'Content Calendar'!$A$5:$A$604,0)),"Not found"))</f>
        <v>0</v>
      </c>
      <c r="E146" s="17">
        <f>IF(B146="","",IFERROR(INDEX('Content Calendar'!$J$5:$J$604,MATCH(B146,'Content Calendar'!$A$5:$A$604,0)),"Not found"))</f>
        <v>0</v>
      </c>
      <c r="F146" s="29">
        <f>IF(B146="","",IFERROR(INDEX('Content Calendar'!$X$5:$X$604,MATCH(B146,'Content Calendar'!$A$5:$A$604,0)),"Not found"))</f>
        <v>0</v>
      </c>
      <c r="S146" s="23">
        <f>IF(B146="","",IF(COUNTIF(Performance!$B$5:$B$404,B146)=0,"",SUMIFS(Performance!$O$5:$O$404,Performance!$B$5:$B$404,B146)))</f>
        <v>0</v>
      </c>
      <c r="T146" s="23">
        <f>IF(B146="","",IF(COUNTIF(Performance!$B$5:$B$404,B146)=0,"",SUMIFS(Performance!$P$5:$P$404,Performance!$B$5:$B$404,B146)))</f>
        <v>0</v>
      </c>
      <c r="U146" s="23">
        <f>IF(B146="","",IF(COUNTIF(Performance!$B$5:$B$404,B146)=0,"",SUMIFS(Performance!$Z$5:$Z$404,Performance!$B$5:$B$404,B146)))</f>
        <v>0</v>
      </c>
      <c r="V146" s="24">
        <f>IF(OR(S146="",S146=0),"",U146/S146)</f>
        <v>0</v>
      </c>
      <c r="W146" s="23">
        <f>IF(B146="","",IF(COUNTIF(Performance!$B$5:$B$404,B146)=0,"",SUMIFS(Performance!$T$5:$T$404,Performance!$B$5:$B$404,B146)))</f>
        <v>0</v>
      </c>
      <c r="X146" s="23">
        <f>IF(B146="","",IF(COUNTIF(Performance!$B$5:$B$404,B146)=0,"",SUMIFS(Performance!$S$5:$S$404,Performance!$B$5:$B$404,B146)))</f>
        <v>0</v>
      </c>
      <c r="Y146" s="23">
        <f>IF(B146="","",IF(COUNTIF(Performance!$B$5:$B$404,B146)=0,"",SUMIFS(Performance!$R$5:$R$404,Performance!$B$5:$B$404,B146)))</f>
        <v>0</v>
      </c>
      <c r="Z146" s="23">
        <f>IF(B146="","",IF(COUNTIF(Performance!$B$5:$B$404,B146)=0,"",SUMIFS(Performance!$U$5:$U$404,Performance!$B$5:$B$404,B146)))</f>
        <v>0</v>
      </c>
      <c r="AA146" s="29">
        <f>IF(B146="","",IF(C146="Not found","Check - content ID not on the calendar",IF(G146="","Add - no hook written",IF(H146="","Add - no sound chosen",IF(AND(P146&lt;&gt;"",P146&lt;0.25),"Review - most people scroll away early","OK")))))</f>
        <v>0</v>
      </c>
    </row>
    <row r="147" spans="1:27">
      <c r="A147" s="41">
        <f>IF(B147="","","TT-"&amp;TEXT(ROW()-4,"000"))</f>
        <v>0</v>
      </c>
      <c r="C147" s="17">
        <f>IF(B147="","",IFERROR(INDEX('Content Calendar'!$H$5:$H$604,MATCH(B147,'Content Calendar'!$A$5:$A$604,0)),"Not found"))</f>
        <v>0</v>
      </c>
      <c r="D147" s="16">
        <f>IF(B147="","",IFERROR(INDEX('Content Calendar'!$B$5:$B$604,MATCH(B147,'Content Calendar'!$A$5:$A$604,0)),"Not found"))</f>
        <v>0</v>
      </c>
      <c r="E147" s="17">
        <f>IF(B147="","",IFERROR(INDEX('Content Calendar'!$J$5:$J$604,MATCH(B147,'Content Calendar'!$A$5:$A$604,0)),"Not found"))</f>
        <v>0</v>
      </c>
      <c r="F147" s="29">
        <f>IF(B147="","",IFERROR(INDEX('Content Calendar'!$X$5:$X$604,MATCH(B147,'Content Calendar'!$A$5:$A$604,0)),"Not found"))</f>
        <v>0</v>
      </c>
      <c r="S147" s="23">
        <f>IF(B147="","",IF(COUNTIF(Performance!$B$5:$B$404,B147)=0,"",SUMIFS(Performance!$O$5:$O$404,Performance!$B$5:$B$404,B147)))</f>
        <v>0</v>
      </c>
      <c r="T147" s="23">
        <f>IF(B147="","",IF(COUNTIF(Performance!$B$5:$B$404,B147)=0,"",SUMIFS(Performance!$P$5:$P$404,Performance!$B$5:$B$404,B147)))</f>
        <v>0</v>
      </c>
      <c r="U147" s="23">
        <f>IF(B147="","",IF(COUNTIF(Performance!$B$5:$B$404,B147)=0,"",SUMIFS(Performance!$Z$5:$Z$404,Performance!$B$5:$B$404,B147)))</f>
        <v>0</v>
      </c>
      <c r="V147" s="24">
        <f>IF(OR(S147="",S147=0),"",U147/S147)</f>
        <v>0</v>
      </c>
      <c r="W147" s="23">
        <f>IF(B147="","",IF(COUNTIF(Performance!$B$5:$B$404,B147)=0,"",SUMIFS(Performance!$T$5:$T$404,Performance!$B$5:$B$404,B147)))</f>
        <v>0</v>
      </c>
      <c r="X147" s="23">
        <f>IF(B147="","",IF(COUNTIF(Performance!$B$5:$B$404,B147)=0,"",SUMIFS(Performance!$S$5:$S$404,Performance!$B$5:$B$404,B147)))</f>
        <v>0</v>
      </c>
      <c r="Y147" s="23">
        <f>IF(B147="","",IF(COUNTIF(Performance!$B$5:$B$404,B147)=0,"",SUMIFS(Performance!$R$5:$R$404,Performance!$B$5:$B$404,B147)))</f>
        <v>0</v>
      </c>
      <c r="Z147" s="23">
        <f>IF(B147="","",IF(COUNTIF(Performance!$B$5:$B$404,B147)=0,"",SUMIFS(Performance!$U$5:$U$404,Performance!$B$5:$B$404,B147)))</f>
        <v>0</v>
      </c>
      <c r="AA147" s="29">
        <f>IF(B147="","",IF(C147="Not found","Check - content ID not on the calendar",IF(G147="","Add - no hook written",IF(H147="","Add - no sound chosen",IF(AND(P147&lt;&gt;"",P147&lt;0.25),"Review - most people scroll away early","OK")))))</f>
        <v>0</v>
      </c>
    </row>
    <row r="148" spans="1:27">
      <c r="A148" s="41">
        <f>IF(B148="","","TT-"&amp;TEXT(ROW()-4,"000"))</f>
        <v>0</v>
      </c>
      <c r="C148" s="17">
        <f>IF(B148="","",IFERROR(INDEX('Content Calendar'!$H$5:$H$604,MATCH(B148,'Content Calendar'!$A$5:$A$604,0)),"Not found"))</f>
        <v>0</v>
      </c>
      <c r="D148" s="16">
        <f>IF(B148="","",IFERROR(INDEX('Content Calendar'!$B$5:$B$604,MATCH(B148,'Content Calendar'!$A$5:$A$604,0)),"Not found"))</f>
        <v>0</v>
      </c>
      <c r="E148" s="17">
        <f>IF(B148="","",IFERROR(INDEX('Content Calendar'!$J$5:$J$604,MATCH(B148,'Content Calendar'!$A$5:$A$604,0)),"Not found"))</f>
        <v>0</v>
      </c>
      <c r="F148" s="29">
        <f>IF(B148="","",IFERROR(INDEX('Content Calendar'!$X$5:$X$604,MATCH(B148,'Content Calendar'!$A$5:$A$604,0)),"Not found"))</f>
        <v>0</v>
      </c>
      <c r="S148" s="23">
        <f>IF(B148="","",IF(COUNTIF(Performance!$B$5:$B$404,B148)=0,"",SUMIFS(Performance!$O$5:$O$404,Performance!$B$5:$B$404,B148)))</f>
        <v>0</v>
      </c>
      <c r="T148" s="23">
        <f>IF(B148="","",IF(COUNTIF(Performance!$B$5:$B$404,B148)=0,"",SUMIFS(Performance!$P$5:$P$404,Performance!$B$5:$B$404,B148)))</f>
        <v>0</v>
      </c>
      <c r="U148" s="23">
        <f>IF(B148="","",IF(COUNTIF(Performance!$B$5:$B$404,B148)=0,"",SUMIFS(Performance!$Z$5:$Z$404,Performance!$B$5:$B$404,B148)))</f>
        <v>0</v>
      </c>
      <c r="V148" s="24">
        <f>IF(OR(S148="",S148=0),"",U148/S148)</f>
        <v>0</v>
      </c>
      <c r="W148" s="23">
        <f>IF(B148="","",IF(COUNTIF(Performance!$B$5:$B$404,B148)=0,"",SUMIFS(Performance!$T$5:$T$404,Performance!$B$5:$B$404,B148)))</f>
        <v>0</v>
      </c>
      <c r="X148" s="23">
        <f>IF(B148="","",IF(COUNTIF(Performance!$B$5:$B$404,B148)=0,"",SUMIFS(Performance!$S$5:$S$404,Performance!$B$5:$B$404,B148)))</f>
        <v>0</v>
      </c>
      <c r="Y148" s="23">
        <f>IF(B148="","",IF(COUNTIF(Performance!$B$5:$B$404,B148)=0,"",SUMIFS(Performance!$R$5:$R$404,Performance!$B$5:$B$404,B148)))</f>
        <v>0</v>
      </c>
      <c r="Z148" s="23">
        <f>IF(B148="","",IF(COUNTIF(Performance!$B$5:$B$404,B148)=0,"",SUMIFS(Performance!$U$5:$U$404,Performance!$B$5:$B$404,B148)))</f>
        <v>0</v>
      </c>
      <c r="AA148" s="29">
        <f>IF(B148="","",IF(C148="Not found","Check - content ID not on the calendar",IF(G148="","Add - no hook written",IF(H148="","Add - no sound chosen",IF(AND(P148&lt;&gt;"",P148&lt;0.25),"Review - most people scroll away early","OK")))))</f>
        <v>0</v>
      </c>
    </row>
    <row r="149" spans="1:27">
      <c r="A149" s="41">
        <f>IF(B149="","","TT-"&amp;TEXT(ROW()-4,"000"))</f>
        <v>0</v>
      </c>
      <c r="C149" s="17">
        <f>IF(B149="","",IFERROR(INDEX('Content Calendar'!$H$5:$H$604,MATCH(B149,'Content Calendar'!$A$5:$A$604,0)),"Not found"))</f>
        <v>0</v>
      </c>
      <c r="D149" s="16">
        <f>IF(B149="","",IFERROR(INDEX('Content Calendar'!$B$5:$B$604,MATCH(B149,'Content Calendar'!$A$5:$A$604,0)),"Not found"))</f>
        <v>0</v>
      </c>
      <c r="E149" s="17">
        <f>IF(B149="","",IFERROR(INDEX('Content Calendar'!$J$5:$J$604,MATCH(B149,'Content Calendar'!$A$5:$A$604,0)),"Not found"))</f>
        <v>0</v>
      </c>
      <c r="F149" s="29">
        <f>IF(B149="","",IFERROR(INDEX('Content Calendar'!$X$5:$X$604,MATCH(B149,'Content Calendar'!$A$5:$A$604,0)),"Not found"))</f>
        <v>0</v>
      </c>
      <c r="S149" s="23">
        <f>IF(B149="","",IF(COUNTIF(Performance!$B$5:$B$404,B149)=0,"",SUMIFS(Performance!$O$5:$O$404,Performance!$B$5:$B$404,B149)))</f>
        <v>0</v>
      </c>
      <c r="T149" s="23">
        <f>IF(B149="","",IF(COUNTIF(Performance!$B$5:$B$404,B149)=0,"",SUMIFS(Performance!$P$5:$P$404,Performance!$B$5:$B$404,B149)))</f>
        <v>0</v>
      </c>
      <c r="U149" s="23">
        <f>IF(B149="","",IF(COUNTIF(Performance!$B$5:$B$404,B149)=0,"",SUMIFS(Performance!$Z$5:$Z$404,Performance!$B$5:$B$404,B149)))</f>
        <v>0</v>
      </c>
      <c r="V149" s="24">
        <f>IF(OR(S149="",S149=0),"",U149/S149)</f>
        <v>0</v>
      </c>
      <c r="W149" s="23">
        <f>IF(B149="","",IF(COUNTIF(Performance!$B$5:$B$404,B149)=0,"",SUMIFS(Performance!$T$5:$T$404,Performance!$B$5:$B$404,B149)))</f>
        <v>0</v>
      </c>
      <c r="X149" s="23">
        <f>IF(B149="","",IF(COUNTIF(Performance!$B$5:$B$404,B149)=0,"",SUMIFS(Performance!$S$5:$S$404,Performance!$B$5:$B$404,B149)))</f>
        <v>0</v>
      </c>
      <c r="Y149" s="23">
        <f>IF(B149="","",IF(COUNTIF(Performance!$B$5:$B$404,B149)=0,"",SUMIFS(Performance!$R$5:$R$404,Performance!$B$5:$B$404,B149)))</f>
        <v>0</v>
      </c>
      <c r="Z149" s="23">
        <f>IF(B149="","",IF(COUNTIF(Performance!$B$5:$B$404,B149)=0,"",SUMIFS(Performance!$U$5:$U$404,Performance!$B$5:$B$404,B149)))</f>
        <v>0</v>
      </c>
      <c r="AA149" s="29">
        <f>IF(B149="","",IF(C149="Not found","Check - content ID not on the calendar",IF(G149="","Add - no hook written",IF(H149="","Add - no sound chosen",IF(AND(P149&lt;&gt;"",P149&lt;0.25),"Review - most people scroll away early","OK")))))</f>
        <v>0</v>
      </c>
    </row>
    <row r="150" spans="1:27">
      <c r="A150" s="41">
        <f>IF(B150="","","TT-"&amp;TEXT(ROW()-4,"000"))</f>
        <v>0</v>
      </c>
      <c r="C150" s="17">
        <f>IF(B150="","",IFERROR(INDEX('Content Calendar'!$H$5:$H$604,MATCH(B150,'Content Calendar'!$A$5:$A$604,0)),"Not found"))</f>
        <v>0</v>
      </c>
      <c r="D150" s="16">
        <f>IF(B150="","",IFERROR(INDEX('Content Calendar'!$B$5:$B$604,MATCH(B150,'Content Calendar'!$A$5:$A$604,0)),"Not found"))</f>
        <v>0</v>
      </c>
      <c r="E150" s="17">
        <f>IF(B150="","",IFERROR(INDEX('Content Calendar'!$J$5:$J$604,MATCH(B150,'Content Calendar'!$A$5:$A$604,0)),"Not found"))</f>
        <v>0</v>
      </c>
      <c r="F150" s="29">
        <f>IF(B150="","",IFERROR(INDEX('Content Calendar'!$X$5:$X$604,MATCH(B150,'Content Calendar'!$A$5:$A$604,0)),"Not found"))</f>
        <v>0</v>
      </c>
      <c r="S150" s="23">
        <f>IF(B150="","",IF(COUNTIF(Performance!$B$5:$B$404,B150)=0,"",SUMIFS(Performance!$O$5:$O$404,Performance!$B$5:$B$404,B150)))</f>
        <v>0</v>
      </c>
      <c r="T150" s="23">
        <f>IF(B150="","",IF(COUNTIF(Performance!$B$5:$B$404,B150)=0,"",SUMIFS(Performance!$P$5:$P$404,Performance!$B$5:$B$404,B150)))</f>
        <v>0</v>
      </c>
      <c r="U150" s="23">
        <f>IF(B150="","",IF(COUNTIF(Performance!$B$5:$B$404,B150)=0,"",SUMIFS(Performance!$Z$5:$Z$404,Performance!$B$5:$B$404,B150)))</f>
        <v>0</v>
      </c>
      <c r="V150" s="24">
        <f>IF(OR(S150="",S150=0),"",U150/S150)</f>
        <v>0</v>
      </c>
      <c r="W150" s="23">
        <f>IF(B150="","",IF(COUNTIF(Performance!$B$5:$B$404,B150)=0,"",SUMIFS(Performance!$T$5:$T$404,Performance!$B$5:$B$404,B150)))</f>
        <v>0</v>
      </c>
      <c r="X150" s="23">
        <f>IF(B150="","",IF(COUNTIF(Performance!$B$5:$B$404,B150)=0,"",SUMIFS(Performance!$S$5:$S$404,Performance!$B$5:$B$404,B150)))</f>
        <v>0</v>
      </c>
      <c r="Y150" s="23">
        <f>IF(B150="","",IF(COUNTIF(Performance!$B$5:$B$404,B150)=0,"",SUMIFS(Performance!$R$5:$R$404,Performance!$B$5:$B$404,B150)))</f>
        <v>0</v>
      </c>
      <c r="Z150" s="23">
        <f>IF(B150="","",IF(COUNTIF(Performance!$B$5:$B$404,B150)=0,"",SUMIFS(Performance!$U$5:$U$404,Performance!$B$5:$B$404,B150)))</f>
        <v>0</v>
      </c>
      <c r="AA150" s="29">
        <f>IF(B150="","",IF(C150="Not found","Check - content ID not on the calendar",IF(G150="","Add - no hook written",IF(H150="","Add - no sound chosen",IF(AND(P150&lt;&gt;"",P150&lt;0.25),"Review - most people scroll away early","OK")))))</f>
        <v>0</v>
      </c>
    </row>
    <row r="151" spans="1:27">
      <c r="A151" s="41">
        <f>IF(B151="","","TT-"&amp;TEXT(ROW()-4,"000"))</f>
        <v>0</v>
      </c>
      <c r="C151" s="17">
        <f>IF(B151="","",IFERROR(INDEX('Content Calendar'!$H$5:$H$604,MATCH(B151,'Content Calendar'!$A$5:$A$604,0)),"Not found"))</f>
        <v>0</v>
      </c>
      <c r="D151" s="16">
        <f>IF(B151="","",IFERROR(INDEX('Content Calendar'!$B$5:$B$604,MATCH(B151,'Content Calendar'!$A$5:$A$604,0)),"Not found"))</f>
        <v>0</v>
      </c>
      <c r="E151" s="17">
        <f>IF(B151="","",IFERROR(INDEX('Content Calendar'!$J$5:$J$604,MATCH(B151,'Content Calendar'!$A$5:$A$604,0)),"Not found"))</f>
        <v>0</v>
      </c>
      <c r="F151" s="29">
        <f>IF(B151="","",IFERROR(INDEX('Content Calendar'!$X$5:$X$604,MATCH(B151,'Content Calendar'!$A$5:$A$604,0)),"Not found"))</f>
        <v>0</v>
      </c>
      <c r="S151" s="23">
        <f>IF(B151="","",IF(COUNTIF(Performance!$B$5:$B$404,B151)=0,"",SUMIFS(Performance!$O$5:$O$404,Performance!$B$5:$B$404,B151)))</f>
        <v>0</v>
      </c>
      <c r="T151" s="23">
        <f>IF(B151="","",IF(COUNTIF(Performance!$B$5:$B$404,B151)=0,"",SUMIFS(Performance!$P$5:$P$404,Performance!$B$5:$B$404,B151)))</f>
        <v>0</v>
      </c>
      <c r="U151" s="23">
        <f>IF(B151="","",IF(COUNTIF(Performance!$B$5:$B$404,B151)=0,"",SUMIFS(Performance!$Z$5:$Z$404,Performance!$B$5:$B$404,B151)))</f>
        <v>0</v>
      </c>
      <c r="V151" s="24">
        <f>IF(OR(S151="",S151=0),"",U151/S151)</f>
        <v>0</v>
      </c>
      <c r="W151" s="23">
        <f>IF(B151="","",IF(COUNTIF(Performance!$B$5:$B$404,B151)=0,"",SUMIFS(Performance!$T$5:$T$404,Performance!$B$5:$B$404,B151)))</f>
        <v>0</v>
      </c>
      <c r="X151" s="23">
        <f>IF(B151="","",IF(COUNTIF(Performance!$B$5:$B$404,B151)=0,"",SUMIFS(Performance!$S$5:$S$404,Performance!$B$5:$B$404,B151)))</f>
        <v>0</v>
      </c>
      <c r="Y151" s="23">
        <f>IF(B151="","",IF(COUNTIF(Performance!$B$5:$B$404,B151)=0,"",SUMIFS(Performance!$R$5:$R$404,Performance!$B$5:$B$404,B151)))</f>
        <v>0</v>
      </c>
      <c r="Z151" s="23">
        <f>IF(B151="","",IF(COUNTIF(Performance!$B$5:$B$404,B151)=0,"",SUMIFS(Performance!$U$5:$U$404,Performance!$B$5:$B$404,B151)))</f>
        <v>0</v>
      </c>
      <c r="AA151" s="29">
        <f>IF(B151="","",IF(C151="Not found","Check - content ID not on the calendar",IF(G151="","Add - no hook written",IF(H151="","Add - no sound chosen",IF(AND(P151&lt;&gt;"",P151&lt;0.25),"Review - most people scroll away early","OK")))))</f>
        <v>0</v>
      </c>
    </row>
    <row r="152" spans="1:27">
      <c r="A152" s="41">
        <f>IF(B152="","","TT-"&amp;TEXT(ROW()-4,"000"))</f>
        <v>0</v>
      </c>
      <c r="C152" s="17">
        <f>IF(B152="","",IFERROR(INDEX('Content Calendar'!$H$5:$H$604,MATCH(B152,'Content Calendar'!$A$5:$A$604,0)),"Not found"))</f>
        <v>0</v>
      </c>
      <c r="D152" s="16">
        <f>IF(B152="","",IFERROR(INDEX('Content Calendar'!$B$5:$B$604,MATCH(B152,'Content Calendar'!$A$5:$A$604,0)),"Not found"))</f>
        <v>0</v>
      </c>
      <c r="E152" s="17">
        <f>IF(B152="","",IFERROR(INDEX('Content Calendar'!$J$5:$J$604,MATCH(B152,'Content Calendar'!$A$5:$A$604,0)),"Not found"))</f>
        <v>0</v>
      </c>
      <c r="F152" s="29">
        <f>IF(B152="","",IFERROR(INDEX('Content Calendar'!$X$5:$X$604,MATCH(B152,'Content Calendar'!$A$5:$A$604,0)),"Not found"))</f>
        <v>0</v>
      </c>
      <c r="S152" s="23">
        <f>IF(B152="","",IF(COUNTIF(Performance!$B$5:$B$404,B152)=0,"",SUMIFS(Performance!$O$5:$O$404,Performance!$B$5:$B$404,B152)))</f>
        <v>0</v>
      </c>
      <c r="T152" s="23">
        <f>IF(B152="","",IF(COUNTIF(Performance!$B$5:$B$404,B152)=0,"",SUMIFS(Performance!$P$5:$P$404,Performance!$B$5:$B$404,B152)))</f>
        <v>0</v>
      </c>
      <c r="U152" s="23">
        <f>IF(B152="","",IF(COUNTIF(Performance!$B$5:$B$404,B152)=0,"",SUMIFS(Performance!$Z$5:$Z$404,Performance!$B$5:$B$404,B152)))</f>
        <v>0</v>
      </c>
      <c r="V152" s="24">
        <f>IF(OR(S152="",S152=0),"",U152/S152)</f>
        <v>0</v>
      </c>
      <c r="W152" s="23">
        <f>IF(B152="","",IF(COUNTIF(Performance!$B$5:$B$404,B152)=0,"",SUMIFS(Performance!$T$5:$T$404,Performance!$B$5:$B$404,B152)))</f>
        <v>0</v>
      </c>
      <c r="X152" s="23">
        <f>IF(B152="","",IF(COUNTIF(Performance!$B$5:$B$404,B152)=0,"",SUMIFS(Performance!$S$5:$S$404,Performance!$B$5:$B$404,B152)))</f>
        <v>0</v>
      </c>
      <c r="Y152" s="23">
        <f>IF(B152="","",IF(COUNTIF(Performance!$B$5:$B$404,B152)=0,"",SUMIFS(Performance!$R$5:$R$404,Performance!$B$5:$B$404,B152)))</f>
        <v>0</v>
      </c>
      <c r="Z152" s="23">
        <f>IF(B152="","",IF(COUNTIF(Performance!$B$5:$B$404,B152)=0,"",SUMIFS(Performance!$U$5:$U$404,Performance!$B$5:$B$404,B152)))</f>
        <v>0</v>
      </c>
      <c r="AA152" s="29">
        <f>IF(B152="","",IF(C152="Not found","Check - content ID not on the calendar",IF(G152="","Add - no hook written",IF(H152="","Add - no sound chosen",IF(AND(P152&lt;&gt;"",P152&lt;0.25),"Review - most people scroll away early","OK")))))</f>
        <v>0</v>
      </c>
    </row>
    <row r="153" spans="1:27">
      <c r="A153" s="41">
        <f>IF(B153="","","TT-"&amp;TEXT(ROW()-4,"000"))</f>
        <v>0</v>
      </c>
      <c r="C153" s="17">
        <f>IF(B153="","",IFERROR(INDEX('Content Calendar'!$H$5:$H$604,MATCH(B153,'Content Calendar'!$A$5:$A$604,0)),"Not found"))</f>
        <v>0</v>
      </c>
      <c r="D153" s="16">
        <f>IF(B153="","",IFERROR(INDEX('Content Calendar'!$B$5:$B$604,MATCH(B153,'Content Calendar'!$A$5:$A$604,0)),"Not found"))</f>
        <v>0</v>
      </c>
      <c r="E153" s="17">
        <f>IF(B153="","",IFERROR(INDEX('Content Calendar'!$J$5:$J$604,MATCH(B153,'Content Calendar'!$A$5:$A$604,0)),"Not found"))</f>
        <v>0</v>
      </c>
      <c r="F153" s="29">
        <f>IF(B153="","",IFERROR(INDEX('Content Calendar'!$X$5:$X$604,MATCH(B153,'Content Calendar'!$A$5:$A$604,0)),"Not found"))</f>
        <v>0</v>
      </c>
      <c r="S153" s="23">
        <f>IF(B153="","",IF(COUNTIF(Performance!$B$5:$B$404,B153)=0,"",SUMIFS(Performance!$O$5:$O$404,Performance!$B$5:$B$404,B153)))</f>
        <v>0</v>
      </c>
      <c r="T153" s="23">
        <f>IF(B153="","",IF(COUNTIF(Performance!$B$5:$B$404,B153)=0,"",SUMIFS(Performance!$P$5:$P$404,Performance!$B$5:$B$404,B153)))</f>
        <v>0</v>
      </c>
      <c r="U153" s="23">
        <f>IF(B153="","",IF(COUNTIF(Performance!$B$5:$B$404,B153)=0,"",SUMIFS(Performance!$Z$5:$Z$404,Performance!$B$5:$B$404,B153)))</f>
        <v>0</v>
      </c>
      <c r="V153" s="24">
        <f>IF(OR(S153="",S153=0),"",U153/S153)</f>
        <v>0</v>
      </c>
      <c r="W153" s="23">
        <f>IF(B153="","",IF(COUNTIF(Performance!$B$5:$B$404,B153)=0,"",SUMIFS(Performance!$T$5:$T$404,Performance!$B$5:$B$404,B153)))</f>
        <v>0</v>
      </c>
      <c r="X153" s="23">
        <f>IF(B153="","",IF(COUNTIF(Performance!$B$5:$B$404,B153)=0,"",SUMIFS(Performance!$S$5:$S$404,Performance!$B$5:$B$404,B153)))</f>
        <v>0</v>
      </c>
      <c r="Y153" s="23">
        <f>IF(B153="","",IF(COUNTIF(Performance!$B$5:$B$404,B153)=0,"",SUMIFS(Performance!$R$5:$R$404,Performance!$B$5:$B$404,B153)))</f>
        <v>0</v>
      </c>
      <c r="Z153" s="23">
        <f>IF(B153="","",IF(COUNTIF(Performance!$B$5:$B$404,B153)=0,"",SUMIFS(Performance!$U$5:$U$404,Performance!$B$5:$B$404,B153)))</f>
        <v>0</v>
      </c>
      <c r="AA153" s="29">
        <f>IF(B153="","",IF(C153="Not found","Check - content ID not on the calendar",IF(G153="","Add - no hook written",IF(H153="","Add - no sound chosen",IF(AND(P153&lt;&gt;"",P153&lt;0.25),"Review - most people scroll away early","OK")))))</f>
        <v>0</v>
      </c>
    </row>
    <row r="154" spans="1:27">
      <c r="A154" s="41">
        <f>IF(B154="","","TT-"&amp;TEXT(ROW()-4,"000"))</f>
        <v>0</v>
      </c>
      <c r="C154" s="17">
        <f>IF(B154="","",IFERROR(INDEX('Content Calendar'!$H$5:$H$604,MATCH(B154,'Content Calendar'!$A$5:$A$604,0)),"Not found"))</f>
        <v>0</v>
      </c>
      <c r="D154" s="16">
        <f>IF(B154="","",IFERROR(INDEX('Content Calendar'!$B$5:$B$604,MATCH(B154,'Content Calendar'!$A$5:$A$604,0)),"Not found"))</f>
        <v>0</v>
      </c>
      <c r="E154" s="17">
        <f>IF(B154="","",IFERROR(INDEX('Content Calendar'!$J$5:$J$604,MATCH(B154,'Content Calendar'!$A$5:$A$604,0)),"Not found"))</f>
        <v>0</v>
      </c>
      <c r="F154" s="29">
        <f>IF(B154="","",IFERROR(INDEX('Content Calendar'!$X$5:$X$604,MATCH(B154,'Content Calendar'!$A$5:$A$604,0)),"Not found"))</f>
        <v>0</v>
      </c>
      <c r="S154" s="23">
        <f>IF(B154="","",IF(COUNTIF(Performance!$B$5:$B$404,B154)=0,"",SUMIFS(Performance!$O$5:$O$404,Performance!$B$5:$B$404,B154)))</f>
        <v>0</v>
      </c>
      <c r="T154" s="23">
        <f>IF(B154="","",IF(COUNTIF(Performance!$B$5:$B$404,B154)=0,"",SUMIFS(Performance!$P$5:$P$404,Performance!$B$5:$B$404,B154)))</f>
        <v>0</v>
      </c>
      <c r="U154" s="23">
        <f>IF(B154="","",IF(COUNTIF(Performance!$B$5:$B$404,B154)=0,"",SUMIFS(Performance!$Z$5:$Z$404,Performance!$B$5:$B$404,B154)))</f>
        <v>0</v>
      </c>
      <c r="V154" s="24">
        <f>IF(OR(S154="",S154=0),"",U154/S154)</f>
        <v>0</v>
      </c>
      <c r="W154" s="23">
        <f>IF(B154="","",IF(COUNTIF(Performance!$B$5:$B$404,B154)=0,"",SUMIFS(Performance!$T$5:$T$404,Performance!$B$5:$B$404,B154)))</f>
        <v>0</v>
      </c>
      <c r="X154" s="23">
        <f>IF(B154="","",IF(COUNTIF(Performance!$B$5:$B$404,B154)=0,"",SUMIFS(Performance!$S$5:$S$404,Performance!$B$5:$B$404,B154)))</f>
        <v>0</v>
      </c>
      <c r="Y154" s="23">
        <f>IF(B154="","",IF(COUNTIF(Performance!$B$5:$B$404,B154)=0,"",SUMIFS(Performance!$R$5:$R$404,Performance!$B$5:$B$404,B154)))</f>
        <v>0</v>
      </c>
      <c r="Z154" s="23">
        <f>IF(B154="","",IF(COUNTIF(Performance!$B$5:$B$404,B154)=0,"",SUMIFS(Performance!$U$5:$U$404,Performance!$B$5:$B$404,B154)))</f>
        <v>0</v>
      </c>
      <c r="AA154" s="29">
        <f>IF(B154="","",IF(C154="Not found","Check - content ID not on the calendar",IF(G154="","Add - no hook written",IF(H154="","Add - no sound chosen",IF(AND(P154&lt;&gt;"",P154&lt;0.25),"Review - most people scroll away early","OK")))))</f>
        <v>0</v>
      </c>
    </row>
    <row r="155" spans="1:27">
      <c r="A155" s="41">
        <f>IF(B155="","","TT-"&amp;TEXT(ROW()-4,"000"))</f>
        <v>0</v>
      </c>
      <c r="C155" s="17">
        <f>IF(B155="","",IFERROR(INDEX('Content Calendar'!$H$5:$H$604,MATCH(B155,'Content Calendar'!$A$5:$A$604,0)),"Not found"))</f>
        <v>0</v>
      </c>
      <c r="D155" s="16">
        <f>IF(B155="","",IFERROR(INDEX('Content Calendar'!$B$5:$B$604,MATCH(B155,'Content Calendar'!$A$5:$A$604,0)),"Not found"))</f>
        <v>0</v>
      </c>
      <c r="E155" s="17">
        <f>IF(B155="","",IFERROR(INDEX('Content Calendar'!$J$5:$J$604,MATCH(B155,'Content Calendar'!$A$5:$A$604,0)),"Not found"))</f>
        <v>0</v>
      </c>
      <c r="F155" s="29">
        <f>IF(B155="","",IFERROR(INDEX('Content Calendar'!$X$5:$X$604,MATCH(B155,'Content Calendar'!$A$5:$A$604,0)),"Not found"))</f>
        <v>0</v>
      </c>
      <c r="S155" s="23">
        <f>IF(B155="","",IF(COUNTIF(Performance!$B$5:$B$404,B155)=0,"",SUMIFS(Performance!$O$5:$O$404,Performance!$B$5:$B$404,B155)))</f>
        <v>0</v>
      </c>
      <c r="T155" s="23">
        <f>IF(B155="","",IF(COUNTIF(Performance!$B$5:$B$404,B155)=0,"",SUMIFS(Performance!$P$5:$P$404,Performance!$B$5:$B$404,B155)))</f>
        <v>0</v>
      </c>
      <c r="U155" s="23">
        <f>IF(B155="","",IF(COUNTIF(Performance!$B$5:$B$404,B155)=0,"",SUMIFS(Performance!$Z$5:$Z$404,Performance!$B$5:$B$404,B155)))</f>
        <v>0</v>
      </c>
      <c r="V155" s="24">
        <f>IF(OR(S155="",S155=0),"",U155/S155)</f>
        <v>0</v>
      </c>
      <c r="W155" s="23">
        <f>IF(B155="","",IF(COUNTIF(Performance!$B$5:$B$404,B155)=0,"",SUMIFS(Performance!$T$5:$T$404,Performance!$B$5:$B$404,B155)))</f>
        <v>0</v>
      </c>
      <c r="X155" s="23">
        <f>IF(B155="","",IF(COUNTIF(Performance!$B$5:$B$404,B155)=0,"",SUMIFS(Performance!$S$5:$S$404,Performance!$B$5:$B$404,B155)))</f>
        <v>0</v>
      </c>
      <c r="Y155" s="23">
        <f>IF(B155="","",IF(COUNTIF(Performance!$B$5:$B$404,B155)=0,"",SUMIFS(Performance!$R$5:$R$404,Performance!$B$5:$B$404,B155)))</f>
        <v>0</v>
      </c>
      <c r="Z155" s="23">
        <f>IF(B155="","",IF(COUNTIF(Performance!$B$5:$B$404,B155)=0,"",SUMIFS(Performance!$U$5:$U$404,Performance!$B$5:$B$404,B155)))</f>
        <v>0</v>
      </c>
      <c r="AA155" s="29">
        <f>IF(B155="","",IF(C155="Not found","Check - content ID not on the calendar",IF(G155="","Add - no hook written",IF(H155="","Add - no sound chosen",IF(AND(P155&lt;&gt;"",P155&lt;0.25),"Review - most people scroll away early","OK")))))</f>
        <v>0</v>
      </c>
    </row>
    <row r="156" spans="1:27">
      <c r="A156" s="41">
        <f>IF(B156="","","TT-"&amp;TEXT(ROW()-4,"000"))</f>
        <v>0</v>
      </c>
      <c r="C156" s="17">
        <f>IF(B156="","",IFERROR(INDEX('Content Calendar'!$H$5:$H$604,MATCH(B156,'Content Calendar'!$A$5:$A$604,0)),"Not found"))</f>
        <v>0</v>
      </c>
      <c r="D156" s="16">
        <f>IF(B156="","",IFERROR(INDEX('Content Calendar'!$B$5:$B$604,MATCH(B156,'Content Calendar'!$A$5:$A$604,0)),"Not found"))</f>
        <v>0</v>
      </c>
      <c r="E156" s="17">
        <f>IF(B156="","",IFERROR(INDEX('Content Calendar'!$J$5:$J$604,MATCH(B156,'Content Calendar'!$A$5:$A$604,0)),"Not found"))</f>
        <v>0</v>
      </c>
      <c r="F156" s="29">
        <f>IF(B156="","",IFERROR(INDEX('Content Calendar'!$X$5:$X$604,MATCH(B156,'Content Calendar'!$A$5:$A$604,0)),"Not found"))</f>
        <v>0</v>
      </c>
      <c r="S156" s="23">
        <f>IF(B156="","",IF(COUNTIF(Performance!$B$5:$B$404,B156)=0,"",SUMIFS(Performance!$O$5:$O$404,Performance!$B$5:$B$404,B156)))</f>
        <v>0</v>
      </c>
      <c r="T156" s="23">
        <f>IF(B156="","",IF(COUNTIF(Performance!$B$5:$B$404,B156)=0,"",SUMIFS(Performance!$P$5:$P$404,Performance!$B$5:$B$404,B156)))</f>
        <v>0</v>
      </c>
      <c r="U156" s="23">
        <f>IF(B156="","",IF(COUNTIF(Performance!$B$5:$B$404,B156)=0,"",SUMIFS(Performance!$Z$5:$Z$404,Performance!$B$5:$B$404,B156)))</f>
        <v>0</v>
      </c>
      <c r="V156" s="24">
        <f>IF(OR(S156="",S156=0),"",U156/S156)</f>
        <v>0</v>
      </c>
      <c r="W156" s="23">
        <f>IF(B156="","",IF(COUNTIF(Performance!$B$5:$B$404,B156)=0,"",SUMIFS(Performance!$T$5:$T$404,Performance!$B$5:$B$404,B156)))</f>
        <v>0</v>
      </c>
      <c r="X156" s="23">
        <f>IF(B156="","",IF(COUNTIF(Performance!$B$5:$B$404,B156)=0,"",SUMIFS(Performance!$S$5:$S$404,Performance!$B$5:$B$404,B156)))</f>
        <v>0</v>
      </c>
      <c r="Y156" s="23">
        <f>IF(B156="","",IF(COUNTIF(Performance!$B$5:$B$404,B156)=0,"",SUMIFS(Performance!$R$5:$R$404,Performance!$B$5:$B$404,B156)))</f>
        <v>0</v>
      </c>
      <c r="Z156" s="23">
        <f>IF(B156="","",IF(COUNTIF(Performance!$B$5:$B$404,B156)=0,"",SUMIFS(Performance!$U$5:$U$404,Performance!$B$5:$B$404,B156)))</f>
        <v>0</v>
      </c>
      <c r="AA156" s="29">
        <f>IF(B156="","",IF(C156="Not found","Check - content ID not on the calendar",IF(G156="","Add - no hook written",IF(H156="","Add - no sound chosen",IF(AND(P156&lt;&gt;"",P156&lt;0.25),"Review - most people scroll away early","OK")))))</f>
        <v>0</v>
      </c>
    </row>
    <row r="157" spans="1:27">
      <c r="A157" s="41">
        <f>IF(B157="","","TT-"&amp;TEXT(ROW()-4,"000"))</f>
        <v>0</v>
      </c>
      <c r="C157" s="17">
        <f>IF(B157="","",IFERROR(INDEX('Content Calendar'!$H$5:$H$604,MATCH(B157,'Content Calendar'!$A$5:$A$604,0)),"Not found"))</f>
        <v>0</v>
      </c>
      <c r="D157" s="16">
        <f>IF(B157="","",IFERROR(INDEX('Content Calendar'!$B$5:$B$604,MATCH(B157,'Content Calendar'!$A$5:$A$604,0)),"Not found"))</f>
        <v>0</v>
      </c>
      <c r="E157" s="17">
        <f>IF(B157="","",IFERROR(INDEX('Content Calendar'!$J$5:$J$604,MATCH(B157,'Content Calendar'!$A$5:$A$604,0)),"Not found"))</f>
        <v>0</v>
      </c>
      <c r="F157" s="29">
        <f>IF(B157="","",IFERROR(INDEX('Content Calendar'!$X$5:$X$604,MATCH(B157,'Content Calendar'!$A$5:$A$604,0)),"Not found"))</f>
        <v>0</v>
      </c>
      <c r="S157" s="23">
        <f>IF(B157="","",IF(COUNTIF(Performance!$B$5:$B$404,B157)=0,"",SUMIFS(Performance!$O$5:$O$404,Performance!$B$5:$B$404,B157)))</f>
        <v>0</v>
      </c>
      <c r="T157" s="23">
        <f>IF(B157="","",IF(COUNTIF(Performance!$B$5:$B$404,B157)=0,"",SUMIFS(Performance!$P$5:$P$404,Performance!$B$5:$B$404,B157)))</f>
        <v>0</v>
      </c>
      <c r="U157" s="23">
        <f>IF(B157="","",IF(COUNTIF(Performance!$B$5:$B$404,B157)=0,"",SUMIFS(Performance!$Z$5:$Z$404,Performance!$B$5:$B$404,B157)))</f>
        <v>0</v>
      </c>
      <c r="V157" s="24">
        <f>IF(OR(S157="",S157=0),"",U157/S157)</f>
        <v>0</v>
      </c>
      <c r="W157" s="23">
        <f>IF(B157="","",IF(COUNTIF(Performance!$B$5:$B$404,B157)=0,"",SUMIFS(Performance!$T$5:$T$404,Performance!$B$5:$B$404,B157)))</f>
        <v>0</v>
      </c>
      <c r="X157" s="23">
        <f>IF(B157="","",IF(COUNTIF(Performance!$B$5:$B$404,B157)=0,"",SUMIFS(Performance!$S$5:$S$404,Performance!$B$5:$B$404,B157)))</f>
        <v>0</v>
      </c>
      <c r="Y157" s="23">
        <f>IF(B157="","",IF(COUNTIF(Performance!$B$5:$B$404,B157)=0,"",SUMIFS(Performance!$R$5:$R$404,Performance!$B$5:$B$404,B157)))</f>
        <v>0</v>
      </c>
      <c r="Z157" s="23">
        <f>IF(B157="","",IF(COUNTIF(Performance!$B$5:$B$404,B157)=0,"",SUMIFS(Performance!$U$5:$U$404,Performance!$B$5:$B$404,B157)))</f>
        <v>0</v>
      </c>
      <c r="AA157" s="29">
        <f>IF(B157="","",IF(C157="Not found","Check - content ID not on the calendar",IF(G157="","Add - no hook written",IF(H157="","Add - no sound chosen",IF(AND(P157&lt;&gt;"",P157&lt;0.25),"Review - most people scroll away early","OK")))))</f>
        <v>0</v>
      </c>
    </row>
    <row r="158" spans="1:27">
      <c r="A158" s="41">
        <f>IF(B158="","","TT-"&amp;TEXT(ROW()-4,"000"))</f>
        <v>0</v>
      </c>
      <c r="C158" s="17">
        <f>IF(B158="","",IFERROR(INDEX('Content Calendar'!$H$5:$H$604,MATCH(B158,'Content Calendar'!$A$5:$A$604,0)),"Not found"))</f>
        <v>0</v>
      </c>
      <c r="D158" s="16">
        <f>IF(B158="","",IFERROR(INDEX('Content Calendar'!$B$5:$B$604,MATCH(B158,'Content Calendar'!$A$5:$A$604,0)),"Not found"))</f>
        <v>0</v>
      </c>
      <c r="E158" s="17">
        <f>IF(B158="","",IFERROR(INDEX('Content Calendar'!$J$5:$J$604,MATCH(B158,'Content Calendar'!$A$5:$A$604,0)),"Not found"))</f>
        <v>0</v>
      </c>
      <c r="F158" s="29">
        <f>IF(B158="","",IFERROR(INDEX('Content Calendar'!$X$5:$X$604,MATCH(B158,'Content Calendar'!$A$5:$A$604,0)),"Not found"))</f>
        <v>0</v>
      </c>
      <c r="S158" s="23">
        <f>IF(B158="","",IF(COUNTIF(Performance!$B$5:$B$404,B158)=0,"",SUMIFS(Performance!$O$5:$O$404,Performance!$B$5:$B$404,B158)))</f>
        <v>0</v>
      </c>
      <c r="T158" s="23">
        <f>IF(B158="","",IF(COUNTIF(Performance!$B$5:$B$404,B158)=0,"",SUMIFS(Performance!$P$5:$P$404,Performance!$B$5:$B$404,B158)))</f>
        <v>0</v>
      </c>
      <c r="U158" s="23">
        <f>IF(B158="","",IF(COUNTIF(Performance!$B$5:$B$404,B158)=0,"",SUMIFS(Performance!$Z$5:$Z$404,Performance!$B$5:$B$404,B158)))</f>
        <v>0</v>
      </c>
      <c r="V158" s="24">
        <f>IF(OR(S158="",S158=0),"",U158/S158)</f>
        <v>0</v>
      </c>
      <c r="W158" s="23">
        <f>IF(B158="","",IF(COUNTIF(Performance!$B$5:$B$404,B158)=0,"",SUMIFS(Performance!$T$5:$T$404,Performance!$B$5:$B$404,B158)))</f>
        <v>0</v>
      </c>
      <c r="X158" s="23">
        <f>IF(B158="","",IF(COUNTIF(Performance!$B$5:$B$404,B158)=0,"",SUMIFS(Performance!$S$5:$S$404,Performance!$B$5:$B$404,B158)))</f>
        <v>0</v>
      </c>
      <c r="Y158" s="23">
        <f>IF(B158="","",IF(COUNTIF(Performance!$B$5:$B$404,B158)=0,"",SUMIFS(Performance!$R$5:$R$404,Performance!$B$5:$B$404,B158)))</f>
        <v>0</v>
      </c>
      <c r="Z158" s="23">
        <f>IF(B158="","",IF(COUNTIF(Performance!$B$5:$B$404,B158)=0,"",SUMIFS(Performance!$U$5:$U$404,Performance!$B$5:$B$404,B158)))</f>
        <v>0</v>
      </c>
      <c r="AA158" s="29">
        <f>IF(B158="","",IF(C158="Not found","Check - content ID not on the calendar",IF(G158="","Add - no hook written",IF(H158="","Add - no sound chosen",IF(AND(P158&lt;&gt;"",P158&lt;0.25),"Review - most people scroll away early","OK")))))</f>
        <v>0</v>
      </c>
    </row>
    <row r="159" spans="1:27">
      <c r="A159" s="41">
        <f>IF(B159="","","TT-"&amp;TEXT(ROW()-4,"000"))</f>
        <v>0</v>
      </c>
      <c r="C159" s="17">
        <f>IF(B159="","",IFERROR(INDEX('Content Calendar'!$H$5:$H$604,MATCH(B159,'Content Calendar'!$A$5:$A$604,0)),"Not found"))</f>
        <v>0</v>
      </c>
      <c r="D159" s="16">
        <f>IF(B159="","",IFERROR(INDEX('Content Calendar'!$B$5:$B$604,MATCH(B159,'Content Calendar'!$A$5:$A$604,0)),"Not found"))</f>
        <v>0</v>
      </c>
      <c r="E159" s="17">
        <f>IF(B159="","",IFERROR(INDEX('Content Calendar'!$J$5:$J$604,MATCH(B159,'Content Calendar'!$A$5:$A$604,0)),"Not found"))</f>
        <v>0</v>
      </c>
      <c r="F159" s="29">
        <f>IF(B159="","",IFERROR(INDEX('Content Calendar'!$X$5:$X$604,MATCH(B159,'Content Calendar'!$A$5:$A$604,0)),"Not found"))</f>
        <v>0</v>
      </c>
      <c r="S159" s="23">
        <f>IF(B159="","",IF(COUNTIF(Performance!$B$5:$B$404,B159)=0,"",SUMIFS(Performance!$O$5:$O$404,Performance!$B$5:$B$404,B159)))</f>
        <v>0</v>
      </c>
      <c r="T159" s="23">
        <f>IF(B159="","",IF(COUNTIF(Performance!$B$5:$B$404,B159)=0,"",SUMIFS(Performance!$P$5:$P$404,Performance!$B$5:$B$404,B159)))</f>
        <v>0</v>
      </c>
      <c r="U159" s="23">
        <f>IF(B159="","",IF(COUNTIF(Performance!$B$5:$B$404,B159)=0,"",SUMIFS(Performance!$Z$5:$Z$404,Performance!$B$5:$B$404,B159)))</f>
        <v>0</v>
      </c>
      <c r="V159" s="24">
        <f>IF(OR(S159="",S159=0),"",U159/S159)</f>
        <v>0</v>
      </c>
      <c r="W159" s="23">
        <f>IF(B159="","",IF(COUNTIF(Performance!$B$5:$B$404,B159)=0,"",SUMIFS(Performance!$T$5:$T$404,Performance!$B$5:$B$404,B159)))</f>
        <v>0</v>
      </c>
      <c r="X159" s="23">
        <f>IF(B159="","",IF(COUNTIF(Performance!$B$5:$B$404,B159)=0,"",SUMIFS(Performance!$S$5:$S$404,Performance!$B$5:$B$404,B159)))</f>
        <v>0</v>
      </c>
      <c r="Y159" s="23">
        <f>IF(B159="","",IF(COUNTIF(Performance!$B$5:$B$404,B159)=0,"",SUMIFS(Performance!$R$5:$R$404,Performance!$B$5:$B$404,B159)))</f>
        <v>0</v>
      </c>
      <c r="Z159" s="23">
        <f>IF(B159="","",IF(COUNTIF(Performance!$B$5:$B$404,B159)=0,"",SUMIFS(Performance!$U$5:$U$404,Performance!$B$5:$B$404,B159)))</f>
        <v>0</v>
      </c>
      <c r="AA159" s="29">
        <f>IF(B159="","",IF(C159="Not found","Check - content ID not on the calendar",IF(G159="","Add - no hook written",IF(H159="","Add - no sound chosen",IF(AND(P159&lt;&gt;"",P159&lt;0.25),"Review - most people scroll away early","OK")))))</f>
        <v>0</v>
      </c>
    </row>
    <row r="160" spans="1:27">
      <c r="A160" s="41">
        <f>IF(B160="","","TT-"&amp;TEXT(ROW()-4,"000"))</f>
        <v>0</v>
      </c>
      <c r="C160" s="17">
        <f>IF(B160="","",IFERROR(INDEX('Content Calendar'!$H$5:$H$604,MATCH(B160,'Content Calendar'!$A$5:$A$604,0)),"Not found"))</f>
        <v>0</v>
      </c>
      <c r="D160" s="16">
        <f>IF(B160="","",IFERROR(INDEX('Content Calendar'!$B$5:$B$604,MATCH(B160,'Content Calendar'!$A$5:$A$604,0)),"Not found"))</f>
        <v>0</v>
      </c>
      <c r="E160" s="17">
        <f>IF(B160="","",IFERROR(INDEX('Content Calendar'!$J$5:$J$604,MATCH(B160,'Content Calendar'!$A$5:$A$604,0)),"Not found"))</f>
        <v>0</v>
      </c>
      <c r="F160" s="29">
        <f>IF(B160="","",IFERROR(INDEX('Content Calendar'!$X$5:$X$604,MATCH(B160,'Content Calendar'!$A$5:$A$604,0)),"Not found"))</f>
        <v>0</v>
      </c>
      <c r="S160" s="23">
        <f>IF(B160="","",IF(COUNTIF(Performance!$B$5:$B$404,B160)=0,"",SUMIFS(Performance!$O$5:$O$404,Performance!$B$5:$B$404,B160)))</f>
        <v>0</v>
      </c>
      <c r="T160" s="23">
        <f>IF(B160="","",IF(COUNTIF(Performance!$B$5:$B$404,B160)=0,"",SUMIFS(Performance!$P$5:$P$404,Performance!$B$5:$B$404,B160)))</f>
        <v>0</v>
      </c>
      <c r="U160" s="23">
        <f>IF(B160="","",IF(COUNTIF(Performance!$B$5:$B$404,B160)=0,"",SUMIFS(Performance!$Z$5:$Z$404,Performance!$B$5:$B$404,B160)))</f>
        <v>0</v>
      </c>
      <c r="V160" s="24">
        <f>IF(OR(S160="",S160=0),"",U160/S160)</f>
        <v>0</v>
      </c>
      <c r="W160" s="23">
        <f>IF(B160="","",IF(COUNTIF(Performance!$B$5:$B$404,B160)=0,"",SUMIFS(Performance!$T$5:$T$404,Performance!$B$5:$B$404,B160)))</f>
        <v>0</v>
      </c>
      <c r="X160" s="23">
        <f>IF(B160="","",IF(COUNTIF(Performance!$B$5:$B$404,B160)=0,"",SUMIFS(Performance!$S$5:$S$404,Performance!$B$5:$B$404,B160)))</f>
        <v>0</v>
      </c>
      <c r="Y160" s="23">
        <f>IF(B160="","",IF(COUNTIF(Performance!$B$5:$B$404,B160)=0,"",SUMIFS(Performance!$R$5:$R$404,Performance!$B$5:$B$404,B160)))</f>
        <v>0</v>
      </c>
      <c r="Z160" s="23">
        <f>IF(B160="","",IF(COUNTIF(Performance!$B$5:$B$404,B160)=0,"",SUMIFS(Performance!$U$5:$U$404,Performance!$B$5:$B$404,B160)))</f>
        <v>0</v>
      </c>
      <c r="AA160" s="29">
        <f>IF(B160="","",IF(C160="Not found","Check - content ID not on the calendar",IF(G160="","Add - no hook written",IF(H160="","Add - no sound chosen",IF(AND(P160&lt;&gt;"",P160&lt;0.25),"Review - most people scroll away early","OK")))))</f>
        <v>0</v>
      </c>
    </row>
    <row r="161" spans="1:27">
      <c r="A161" s="41">
        <f>IF(B161="","","TT-"&amp;TEXT(ROW()-4,"000"))</f>
        <v>0</v>
      </c>
      <c r="C161" s="17">
        <f>IF(B161="","",IFERROR(INDEX('Content Calendar'!$H$5:$H$604,MATCH(B161,'Content Calendar'!$A$5:$A$604,0)),"Not found"))</f>
        <v>0</v>
      </c>
      <c r="D161" s="16">
        <f>IF(B161="","",IFERROR(INDEX('Content Calendar'!$B$5:$B$604,MATCH(B161,'Content Calendar'!$A$5:$A$604,0)),"Not found"))</f>
        <v>0</v>
      </c>
      <c r="E161" s="17">
        <f>IF(B161="","",IFERROR(INDEX('Content Calendar'!$J$5:$J$604,MATCH(B161,'Content Calendar'!$A$5:$A$604,0)),"Not found"))</f>
        <v>0</v>
      </c>
      <c r="F161" s="29">
        <f>IF(B161="","",IFERROR(INDEX('Content Calendar'!$X$5:$X$604,MATCH(B161,'Content Calendar'!$A$5:$A$604,0)),"Not found"))</f>
        <v>0</v>
      </c>
      <c r="S161" s="23">
        <f>IF(B161="","",IF(COUNTIF(Performance!$B$5:$B$404,B161)=0,"",SUMIFS(Performance!$O$5:$O$404,Performance!$B$5:$B$404,B161)))</f>
        <v>0</v>
      </c>
      <c r="T161" s="23">
        <f>IF(B161="","",IF(COUNTIF(Performance!$B$5:$B$404,B161)=0,"",SUMIFS(Performance!$P$5:$P$404,Performance!$B$5:$B$404,B161)))</f>
        <v>0</v>
      </c>
      <c r="U161" s="23">
        <f>IF(B161="","",IF(COUNTIF(Performance!$B$5:$B$404,B161)=0,"",SUMIFS(Performance!$Z$5:$Z$404,Performance!$B$5:$B$404,B161)))</f>
        <v>0</v>
      </c>
      <c r="V161" s="24">
        <f>IF(OR(S161="",S161=0),"",U161/S161)</f>
        <v>0</v>
      </c>
      <c r="W161" s="23">
        <f>IF(B161="","",IF(COUNTIF(Performance!$B$5:$B$404,B161)=0,"",SUMIFS(Performance!$T$5:$T$404,Performance!$B$5:$B$404,B161)))</f>
        <v>0</v>
      </c>
      <c r="X161" s="23">
        <f>IF(B161="","",IF(COUNTIF(Performance!$B$5:$B$404,B161)=0,"",SUMIFS(Performance!$S$5:$S$404,Performance!$B$5:$B$404,B161)))</f>
        <v>0</v>
      </c>
      <c r="Y161" s="23">
        <f>IF(B161="","",IF(COUNTIF(Performance!$B$5:$B$404,B161)=0,"",SUMIFS(Performance!$R$5:$R$404,Performance!$B$5:$B$404,B161)))</f>
        <v>0</v>
      </c>
      <c r="Z161" s="23">
        <f>IF(B161="","",IF(COUNTIF(Performance!$B$5:$B$404,B161)=0,"",SUMIFS(Performance!$U$5:$U$404,Performance!$B$5:$B$404,B161)))</f>
        <v>0</v>
      </c>
      <c r="AA161" s="29">
        <f>IF(B161="","",IF(C161="Not found","Check - content ID not on the calendar",IF(G161="","Add - no hook written",IF(H161="","Add - no sound chosen",IF(AND(P161&lt;&gt;"",P161&lt;0.25),"Review - most people scroll away early","OK")))))</f>
        <v>0</v>
      </c>
    </row>
    <row r="162" spans="1:27">
      <c r="A162" s="41">
        <f>IF(B162="","","TT-"&amp;TEXT(ROW()-4,"000"))</f>
        <v>0</v>
      </c>
      <c r="C162" s="17">
        <f>IF(B162="","",IFERROR(INDEX('Content Calendar'!$H$5:$H$604,MATCH(B162,'Content Calendar'!$A$5:$A$604,0)),"Not found"))</f>
        <v>0</v>
      </c>
      <c r="D162" s="16">
        <f>IF(B162="","",IFERROR(INDEX('Content Calendar'!$B$5:$B$604,MATCH(B162,'Content Calendar'!$A$5:$A$604,0)),"Not found"))</f>
        <v>0</v>
      </c>
      <c r="E162" s="17">
        <f>IF(B162="","",IFERROR(INDEX('Content Calendar'!$J$5:$J$604,MATCH(B162,'Content Calendar'!$A$5:$A$604,0)),"Not found"))</f>
        <v>0</v>
      </c>
      <c r="F162" s="29">
        <f>IF(B162="","",IFERROR(INDEX('Content Calendar'!$X$5:$X$604,MATCH(B162,'Content Calendar'!$A$5:$A$604,0)),"Not found"))</f>
        <v>0</v>
      </c>
      <c r="S162" s="23">
        <f>IF(B162="","",IF(COUNTIF(Performance!$B$5:$B$404,B162)=0,"",SUMIFS(Performance!$O$5:$O$404,Performance!$B$5:$B$404,B162)))</f>
        <v>0</v>
      </c>
      <c r="T162" s="23">
        <f>IF(B162="","",IF(COUNTIF(Performance!$B$5:$B$404,B162)=0,"",SUMIFS(Performance!$P$5:$P$404,Performance!$B$5:$B$404,B162)))</f>
        <v>0</v>
      </c>
      <c r="U162" s="23">
        <f>IF(B162="","",IF(COUNTIF(Performance!$B$5:$B$404,B162)=0,"",SUMIFS(Performance!$Z$5:$Z$404,Performance!$B$5:$B$404,B162)))</f>
        <v>0</v>
      </c>
      <c r="V162" s="24">
        <f>IF(OR(S162="",S162=0),"",U162/S162)</f>
        <v>0</v>
      </c>
      <c r="W162" s="23">
        <f>IF(B162="","",IF(COUNTIF(Performance!$B$5:$B$404,B162)=0,"",SUMIFS(Performance!$T$5:$T$404,Performance!$B$5:$B$404,B162)))</f>
        <v>0</v>
      </c>
      <c r="X162" s="23">
        <f>IF(B162="","",IF(COUNTIF(Performance!$B$5:$B$404,B162)=0,"",SUMIFS(Performance!$S$5:$S$404,Performance!$B$5:$B$404,B162)))</f>
        <v>0</v>
      </c>
      <c r="Y162" s="23">
        <f>IF(B162="","",IF(COUNTIF(Performance!$B$5:$B$404,B162)=0,"",SUMIFS(Performance!$R$5:$R$404,Performance!$B$5:$B$404,B162)))</f>
        <v>0</v>
      </c>
      <c r="Z162" s="23">
        <f>IF(B162="","",IF(COUNTIF(Performance!$B$5:$B$404,B162)=0,"",SUMIFS(Performance!$U$5:$U$404,Performance!$B$5:$B$404,B162)))</f>
        <v>0</v>
      </c>
      <c r="AA162" s="29">
        <f>IF(B162="","",IF(C162="Not found","Check - content ID not on the calendar",IF(G162="","Add - no hook written",IF(H162="","Add - no sound chosen",IF(AND(P162&lt;&gt;"",P162&lt;0.25),"Review - most people scroll away early","OK")))))</f>
        <v>0</v>
      </c>
    </row>
    <row r="163" spans="1:27">
      <c r="A163" s="41">
        <f>IF(B163="","","TT-"&amp;TEXT(ROW()-4,"000"))</f>
        <v>0</v>
      </c>
      <c r="C163" s="17">
        <f>IF(B163="","",IFERROR(INDEX('Content Calendar'!$H$5:$H$604,MATCH(B163,'Content Calendar'!$A$5:$A$604,0)),"Not found"))</f>
        <v>0</v>
      </c>
      <c r="D163" s="16">
        <f>IF(B163="","",IFERROR(INDEX('Content Calendar'!$B$5:$B$604,MATCH(B163,'Content Calendar'!$A$5:$A$604,0)),"Not found"))</f>
        <v>0</v>
      </c>
      <c r="E163" s="17">
        <f>IF(B163="","",IFERROR(INDEX('Content Calendar'!$J$5:$J$604,MATCH(B163,'Content Calendar'!$A$5:$A$604,0)),"Not found"))</f>
        <v>0</v>
      </c>
      <c r="F163" s="29">
        <f>IF(B163="","",IFERROR(INDEX('Content Calendar'!$X$5:$X$604,MATCH(B163,'Content Calendar'!$A$5:$A$604,0)),"Not found"))</f>
        <v>0</v>
      </c>
      <c r="S163" s="23">
        <f>IF(B163="","",IF(COUNTIF(Performance!$B$5:$B$404,B163)=0,"",SUMIFS(Performance!$O$5:$O$404,Performance!$B$5:$B$404,B163)))</f>
        <v>0</v>
      </c>
      <c r="T163" s="23">
        <f>IF(B163="","",IF(COUNTIF(Performance!$B$5:$B$404,B163)=0,"",SUMIFS(Performance!$P$5:$P$404,Performance!$B$5:$B$404,B163)))</f>
        <v>0</v>
      </c>
      <c r="U163" s="23">
        <f>IF(B163="","",IF(COUNTIF(Performance!$B$5:$B$404,B163)=0,"",SUMIFS(Performance!$Z$5:$Z$404,Performance!$B$5:$B$404,B163)))</f>
        <v>0</v>
      </c>
      <c r="V163" s="24">
        <f>IF(OR(S163="",S163=0),"",U163/S163)</f>
        <v>0</v>
      </c>
      <c r="W163" s="23">
        <f>IF(B163="","",IF(COUNTIF(Performance!$B$5:$B$404,B163)=0,"",SUMIFS(Performance!$T$5:$T$404,Performance!$B$5:$B$404,B163)))</f>
        <v>0</v>
      </c>
      <c r="X163" s="23">
        <f>IF(B163="","",IF(COUNTIF(Performance!$B$5:$B$404,B163)=0,"",SUMIFS(Performance!$S$5:$S$404,Performance!$B$5:$B$404,B163)))</f>
        <v>0</v>
      </c>
      <c r="Y163" s="23">
        <f>IF(B163="","",IF(COUNTIF(Performance!$B$5:$B$404,B163)=0,"",SUMIFS(Performance!$R$5:$R$404,Performance!$B$5:$B$404,B163)))</f>
        <v>0</v>
      </c>
      <c r="Z163" s="23">
        <f>IF(B163="","",IF(COUNTIF(Performance!$B$5:$B$404,B163)=0,"",SUMIFS(Performance!$U$5:$U$404,Performance!$B$5:$B$404,B163)))</f>
        <v>0</v>
      </c>
      <c r="AA163" s="29">
        <f>IF(B163="","",IF(C163="Not found","Check - content ID not on the calendar",IF(G163="","Add - no hook written",IF(H163="","Add - no sound chosen",IF(AND(P163&lt;&gt;"",P163&lt;0.25),"Review - most people scroll away early","OK")))))</f>
        <v>0</v>
      </c>
    </row>
    <row r="164" spans="1:27">
      <c r="A164" s="41">
        <f>IF(B164="","","TT-"&amp;TEXT(ROW()-4,"000"))</f>
        <v>0</v>
      </c>
      <c r="C164" s="17">
        <f>IF(B164="","",IFERROR(INDEX('Content Calendar'!$H$5:$H$604,MATCH(B164,'Content Calendar'!$A$5:$A$604,0)),"Not found"))</f>
        <v>0</v>
      </c>
      <c r="D164" s="16">
        <f>IF(B164="","",IFERROR(INDEX('Content Calendar'!$B$5:$B$604,MATCH(B164,'Content Calendar'!$A$5:$A$604,0)),"Not found"))</f>
        <v>0</v>
      </c>
      <c r="E164" s="17">
        <f>IF(B164="","",IFERROR(INDEX('Content Calendar'!$J$5:$J$604,MATCH(B164,'Content Calendar'!$A$5:$A$604,0)),"Not found"))</f>
        <v>0</v>
      </c>
      <c r="F164" s="29">
        <f>IF(B164="","",IFERROR(INDEX('Content Calendar'!$X$5:$X$604,MATCH(B164,'Content Calendar'!$A$5:$A$604,0)),"Not found"))</f>
        <v>0</v>
      </c>
      <c r="S164" s="23">
        <f>IF(B164="","",IF(COUNTIF(Performance!$B$5:$B$404,B164)=0,"",SUMIFS(Performance!$O$5:$O$404,Performance!$B$5:$B$404,B164)))</f>
        <v>0</v>
      </c>
      <c r="T164" s="23">
        <f>IF(B164="","",IF(COUNTIF(Performance!$B$5:$B$404,B164)=0,"",SUMIFS(Performance!$P$5:$P$404,Performance!$B$5:$B$404,B164)))</f>
        <v>0</v>
      </c>
      <c r="U164" s="23">
        <f>IF(B164="","",IF(COUNTIF(Performance!$B$5:$B$404,B164)=0,"",SUMIFS(Performance!$Z$5:$Z$404,Performance!$B$5:$B$404,B164)))</f>
        <v>0</v>
      </c>
      <c r="V164" s="24">
        <f>IF(OR(S164="",S164=0),"",U164/S164)</f>
        <v>0</v>
      </c>
      <c r="W164" s="23">
        <f>IF(B164="","",IF(COUNTIF(Performance!$B$5:$B$404,B164)=0,"",SUMIFS(Performance!$T$5:$T$404,Performance!$B$5:$B$404,B164)))</f>
        <v>0</v>
      </c>
      <c r="X164" s="23">
        <f>IF(B164="","",IF(COUNTIF(Performance!$B$5:$B$404,B164)=0,"",SUMIFS(Performance!$S$5:$S$404,Performance!$B$5:$B$404,B164)))</f>
        <v>0</v>
      </c>
      <c r="Y164" s="23">
        <f>IF(B164="","",IF(COUNTIF(Performance!$B$5:$B$404,B164)=0,"",SUMIFS(Performance!$R$5:$R$404,Performance!$B$5:$B$404,B164)))</f>
        <v>0</v>
      </c>
      <c r="Z164" s="23">
        <f>IF(B164="","",IF(COUNTIF(Performance!$B$5:$B$404,B164)=0,"",SUMIFS(Performance!$U$5:$U$404,Performance!$B$5:$B$404,B164)))</f>
        <v>0</v>
      </c>
      <c r="AA164" s="29">
        <f>IF(B164="","",IF(C164="Not found","Check - content ID not on the calendar",IF(G164="","Add - no hook written",IF(H164="","Add - no sound chosen",IF(AND(P164&lt;&gt;"",P164&lt;0.25),"Review - most people scroll away early","OK")))))</f>
        <v>0</v>
      </c>
    </row>
    <row r="165" spans="1:27">
      <c r="A165" s="41">
        <f>IF(B165="","","TT-"&amp;TEXT(ROW()-4,"000"))</f>
        <v>0</v>
      </c>
      <c r="C165" s="17">
        <f>IF(B165="","",IFERROR(INDEX('Content Calendar'!$H$5:$H$604,MATCH(B165,'Content Calendar'!$A$5:$A$604,0)),"Not found"))</f>
        <v>0</v>
      </c>
      <c r="D165" s="16">
        <f>IF(B165="","",IFERROR(INDEX('Content Calendar'!$B$5:$B$604,MATCH(B165,'Content Calendar'!$A$5:$A$604,0)),"Not found"))</f>
        <v>0</v>
      </c>
      <c r="E165" s="17">
        <f>IF(B165="","",IFERROR(INDEX('Content Calendar'!$J$5:$J$604,MATCH(B165,'Content Calendar'!$A$5:$A$604,0)),"Not found"))</f>
        <v>0</v>
      </c>
      <c r="F165" s="29">
        <f>IF(B165="","",IFERROR(INDEX('Content Calendar'!$X$5:$X$604,MATCH(B165,'Content Calendar'!$A$5:$A$604,0)),"Not found"))</f>
        <v>0</v>
      </c>
      <c r="S165" s="23">
        <f>IF(B165="","",IF(COUNTIF(Performance!$B$5:$B$404,B165)=0,"",SUMIFS(Performance!$O$5:$O$404,Performance!$B$5:$B$404,B165)))</f>
        <v>0</v>
      </c>
      <c r="T165" s="23">
        <f>IF(B165="","",IF(COUNTIF(Performance!$B$5:$B$404,B165)=0,"",SUMIFS(Performance!$P$5:$P$404,Performance!$B$5:$B$404,B165)))</f>
        <v>0</v>
      </c>
      <c r="U165" s="23">
        <f>IF(B165="","",IF(COUNTIF(Performance!$B$5:$B$404,B165)=0,"",SUMIFS(Performance!$Z$5:$Z$404,Performance!$B$5:$B$404,B165)))</f>
        <v>0</v>
      </c>
      <c r="V165" s="24">
        <f>IF(OR(S165="",S165=0),"",U165/S165)</f>
        <v>0</v>
      </c>
      <c r="W165" s="23">
        <f>IF(B165="","",IF(COUNTIF(Performance!$B$5:$B$404,B165)=0,"",SUMIFS(Performance!$T$5:$T$404,Performance!$B$5:$B$404,B165)))</f>
        <v>0</v>
      </c>
      <c r="X165" s="23">
        <f>IF(B165="","",IF(COUNTIF(Performance!$B$5:$B$404,B165)=0,"",SUMIFS(Performance!$S$5:$S$404,Performance!$B$5:$B$404,B165)))</f>
        <v>0</v>
      </c>
      <c r="Y165" s="23">
        <f>IF(B165="","",IF(COUNTIF(Performance!$B$5:$B$404,B165)=0,"",SUMIFS(Performance!$R$5:$R$404,Performance!$B$5:$B$404,B165)))</f>
        <v>0</v>
      </c>
      <c r="Z165" s="23">
        <f>IF(B165="","",IF(COUNTIF(Performance!$B$5:$B$404,B165)=0,"",SUMIFS(Performance!$U$5:$U$404,Performance!$B$5:$B$404,B165)))</f>
        <v>0</v>
      </c>
      <c r="AA165" s="29">
        <f>IF(B165="","",IF(C165="Not found","Check - content ID not on the calendar",IF(G165="","Add - no hook written",IF(H165="","Add - no sound chosen",IF(AND(P165&lt;&gt;"",P165&lt;0.25),"Review - most people scroll away early","OK")))))</f>
        <v>0</v>
      </c>
    </row>
    <row r="166" spans="1:27">
      <c r="A166" s="41">
        <f>IF(B166="","","TT-"&amp;TEXT(ROW()-4,"000"))</f>
        <v>0</v>
      </c>
      <c r="C166" s="17">
        <f>IF(B166="","",IFERROR(INDEX('Content Calendar'!$H$5:$H$604,MATCH(B166,'Content Calendar'!$A$5:$A$604,0)),"Not found"))</f>
        <v>0</v>
      </c>
      <c r="D166" s="16">
        <f>IF(B166="","",IFERROR(INDEX('Content Calendar'!$B$5:$B$604,MATCH(B166,'Content Calendar'!$A$5:$A$604,0)),"Not found"))</f>
        <v>0</v>
      </c>
      <c r="E166" s="17">
        <f>IF(B166="","",IFERROR(INDEX('Content Calendar'!$J$5:$J$604,MATCH(B166,'Content Calendar'!$A$5:$A$604,0)),"Not found"))</f>
        <v>0</v>
      </c>
      <c r="F166" s="29">
        <f>IF(B166="","",IFERROR(INDEX('Content Calendar'!$X$5:$X$604,MATCH(B166,'Content Calendar'!$A$5:$A$604,0)),"Not found"))</f>
        <v>0</v>
      </c>
      <c r="S166" s="23">
        <f>IF(B166="","",IF(COUNTIF(Performance!$B$5:$B$404,B166)=0,"",SUMIFS(Performance!$O$5:$O$404,Performance!$B$5:$B$404,B166)))</f>
        <v>0</v>
      </c>
      <c r="T166" s="23">
        <f>IF(B166="","",IF(COUNTIF(Performance!$B$5:$B$404,B166)=0,"",SUMIFS(Performance!$P$5:$P$404,Performance!$B$5:$B$404,B166)))</f>
        <v>0</v>
      </c>
      <c r="U166" s="23">
        <f>IF(B166="","",IF(COUNTIF(Performance!$B$5:$B$404,B166)=0,"",SUMIFS(Performance!$Z$5:$Z$404,Performance!$B$5:$B$404,B166)))</f>
        <v>0</v>
      </c>
      <c r="V166" s="24">
        <f>IF(OR(S166="",S166=0),"",U166/S166)</f>
        <v>0</v>
      </c>
      <c r="W166" s="23">
        <f>IF(B166="","",IF(COUNTIF(Performance!$B$5:$B$404,B166)=0,"",SUMIFS(Performance!$T$5:$T$404,Performance!$B$5:$B$404,B166)))</f>
        <v>0</v>
      </c>
      <c r="X166" s="23">
        <f>IF(B166="","",IF(COUNTIF(Performance!$B$5:$B$404,B166)=0,"",SUMIFS(Performance!$S$5:$S$404,Performance!$B$5:$B$404,B166)))</f>
        <v>0</v>
      </c>
      <c r="Y166" s="23">
        <f>IF(B166="","",IF(COUNTIF(Performance!$B$5:$B$404,B166)=0,"",SUMIFS(Performance!$R$5:$R$404,Performance!$B$5:$B$404,B166)))</f>
        <v>0</v>
      </c>
      <c r="Z166" s="23">
        <f>IF(B166="","",IF(COUNTIF(Performance!$B$5:$B$404,B166)=0,"",SUMIFS(Performance!$U$5:$U$404,Performance!$B$5:$B$404,B166)))</f>
        <v>0</v>
      </c>
      <c r="AA166" s="29">
        <f>IF(B166="","",IF(C166="Not found","Check - content ID not on the calendar",IF(G166="","Add - no hook written",IF(H166="","Add - no sound chosen",IF(AND(P166&lt;&gt;"",P166&lt;0.25),"Review - most people scroll away early","OK")))))</f>
        <v>0</v>
      </c>
    </row>
    <row r="167" spans="1:27">
      <c r="A167" s="41">
        <f>IF(B167="","","TT-"&amp;TEXT(ROW()-4,"000"))</f>
        <v>0</v>
      </c>
      <c r="C167" s="17">
        <f>IF(B167="","",IFERROR(INDEX('Content Calendar'!$H$5:$H$604,MATCH(B167,'Content Calendar'!$A$5:$A$604,0)),"Not found"))</f>
        <v>0</v>
      </c>
      <c r="D167" s="16">
        <f>IF(B167="","",IFERROR(INDEX('Content Calendar'!$B$5:$B$604,MATCH(B167,'Content Calendar'!$A$5:$A$604,0)),"Not found"))</f>
        <v>0</v>
      </c>
      <c r="E167" s="17">
        <f>IF(B167="","",IFERROR(INDEX('Content Calendar'!$J$5:$J$604,MATCH(B167,'Content Calendar'!$A$5:$A$604,0)),"Not found"))</f>
        <v>0</v>
      </c>
      <c r="F167" s="29">
        <f>IF(B167="","",IFERROR(INDEX('Content Calendar'!$X$5:$X$604,MATCH(B167,'Content Calendar'!$A$5:$A$604,0)),"Not found"))</f>
        <v>0</v>
      </c>
      <c r="S167" s="23">
        <f>IF(B167="","",IF(COUNTIF(Performance!$B$5:$B$404,B167)=0,"",SUMIFS(Performance!$O$5:$O$404,Performance!$B$5:$B$404,B167)))</f>
        <v>0</v>
      </c>
      <c r="T167" s="23">
        <f>IF(B167="","",IF(COUNTIF(Performance!$B$5:$B$404,B167)=0,"",SUMIFS(Performance!$P$5:$P$404,Performance!$B$5:$B$404,B167)))</f>
        <v>0</v>
      </c>
      <c r="U167" s="23">
        <f>IF(B167="","",IF(COUNTIF(Performance!$B$5:$B$404,B167)=0,"",SUMIFS(Performance!$Z$5:$Z$404,Performance!$B$5:$B$404,B167)))</f>
        <v>0</v>
      </c>
      <c r="V167" s="24">
        <f>IF(OR(S167="",S167=0),"",U167/S167)</f>
        <v>0</v>
      </c>
      <c r="W167" s="23">
        <f>IF(B167="","",IF(COUNTIF(Performance!$B$5:$B$404,B167)=0,"",SUMIFS(Performance!$T$5:$T$404,Performance!$B$5:$B$404,B167)))</f>
        <v>0</v>
      </c>
      <c r="X167" s="23">
        <f>IF(B167="","",IF(COUNTIF(Performance!$B$5:$B$404,B167)=0,"",SUMIFS(Performance!$S$5:$S$404,Performance!$B$5:$B$404,B167)))</f>
        <v>0</v>
      </c>
      <c r="Y167" s="23">
        <f>IF(B167="","",IF(COUNTIF(Performance!$B$5:$B$404,B167)=0,"",SUMIFS(Performance!$R$5:$R$404,Performance!$B$5:$B$404,B167)))</f>
        <v>0</v>
      </c>
      <c r="Z167" s="23">
        <f>IF(B167="","",IF(COUNTIF(Performance!$B$5:$B$404,B167)=0,"",SUMIFS(Performance!$U$5:$U$404,Performance!$B$5:$B$404,B167)))</f>
        <v>0</v>
      </c>
      <c r="AA167" s="29">
        <f>IF(B167="","",IF(C167="Not found","Check - content ID not on the calendar",IF(G167="","Add - no hook written",IF(H167="","Add - no sound chosen",IF(AND(P167&lt;&gt;"",P167&lt;0.25),"Review - most people scroll away early","OK")))))</f>
        <v>0</v>
      </c>
    </row>
    <row r="168" spans="1:27">
      <c r="A168" s="41">
        <f>IF(B168="","","TT-"&amp;TEXT(ROW()-4,"000"))</f>
        <v>0</v>
      </c>
      <c r="C168" s="17">
        <f>IF(B168="","",IFERROR(INDEX('Content Calendar'!$H$5:$H$604,MATCH(B168,'Content Calendar'!$A$5:$A$604,0)),"Not found"))</f>
        <v>0</v>
      </c>
      <c r="D168" s="16">
        <f>IF(B168="","",IFERROR(INDEX('Content Calendar'!$B$5:$B$604,MATCH(B168,'Content Calendar'!$A$5:$A$604,0)),"Not found"))</f>
        <v>0</v>
      </c>
      <c r="E168" s="17">
        <f>IF(B168="","",IFERROR(INDEX('Content Calendar'!$J$5:$J$604,MATCH(B168,'Content Calendar'!$A$5:$A$604,0)),"Not found"))</f>
        <v>0</v>
      </c>
      <c r="F168" s="29">
        <f>IF(B168="","",IFERROR(INDEX('Content Calendar'!$X$5:$X$604,MATCH(B168,'Content Calendar'!$A$5:$A$604,0)),"Not found"))</f>
        <v>0</v>
      </c>
      <c r="S168" s="23">
        <f>IF(B168="","",IF(COUNTIF(Performance!$B$5:$B$404,B168)=0,"",SUMIFS(Performance!$O$5:$O$404,Performance!$B$5:$B$404,B168)))</f>
        <v>0</v>
      </c>
      <c r="T168" s="23">
        <f>IF(B168="","",IF(COUNTIF(Performance!$B$5:$B$404,B168)=0,"",SUMIFS(Performance!$P$5:$P$404,Performance!$B$5:$B$404,B168)))</f>
        <v>0</v>
      </c>
      <c r="U168" s="23">
        <f>IF(B168="","",IF(COUNTIF(Performance!$B$5:$B$404,B168)=0,"",SUMIFS(Performance!$Z$5:$Z$404,Performance!$B$5:$B$404,B168)))</f>
        <v>0</v>
      </c>
      <c r="V168" s="24">
        <f>IF(OR(S168="",S168=0),"",U168/S168)</f>
        <v>0</v>
      </c>
      <c r="W168" s="23">
        <f>IF(B168="","",IF(COUNTIF(Performance!$B$5:$B$404,B168)=0,"",SUMIFS(Performance!$T$5:$T$404,Performance!$B$5:$B$404,B168)))</f>
        <v>0</v>
      </c>
      <c r="X168" s="23">
        <f>IF(B168="","",IF(COUNTIF(Performance!$B$5:$B$404,B168)=0,"",SUMIFS(Performance!$S$5:$S$404,Performance!$B$5:$B$404,B168)))</f>
        <v>0</v>
      </c>
      <c r="Y168" s="23">
        <f>IF(B168="","",IF(COUNTIF(Performance!$B$5:$B$404,B168)=0,"",SUMIFS(Performance!$R$5:$R$404,Performance!$B$5:$B$404,B168)))</f>
        <v>0</v>
      </c>
      <c r="Z168" s="23">
        <f>IF(B168="","",IF(COUNTIF(Performance!$B$5:$B$404,B168)=0,"",SUMIFS(Performance!$U$5:$U$404,Performance!$B$5:$B$404,B168)))</f>
        <v>0</v>
      </c>
      <c r="AA168" s="29">
        <f>IF(B168="","",IF(C168="Not found","Check - content ID not on the calendar",IF(G168="","Add - no hook written",IF(H168="","Add - no sound chosen",IF(AND(P168&lt;&gt;"",P168&lt;0.25),"Review - most people scroll away early","OK")))))</f>
        <v>0</v>
      </c>
    </row>
    <row r="169" spans="1:27">
      <c r="A169" s="41">
        <f>IF(B169="","","TT-"&amp;TEXT(ROW()-4,"000"))</f>
        <v>0</v>
      </c>
      <c r="C169" s="17">
        <f>IF(B169="","",IFERROR(INDEX('Content Calendar'!$H$5:$H$604,MATCH(B169,'Content Calendar'!$A$5:$A$604,0)),"Not found"))</f>
        <v>0</v>
      </c>
      <c r="D169" s="16">
        <f>IF(B169="","",IFERROR(INDEX('Content Calendar'!$B$5:$B$604,MATCH(B169,'Content Calendar'!$A$5:$A$604,0)),"Not found"))</f>
        <v>0</v>
      </c>
      <c r="E169" s="17">
        <f>IF(B169="","",IFERROR(INDEX('Content Calendar'!$J$5:$J$604,MATCH(B169,'Content Calendar'!$A$5:$A$604,0)),"Not found"))</f>
        <v>0</v>
      </c>
      <c r="F169" s="29">
        <f>IF(B169="","",IFERROR(INDEX('Content Calendar'!$X$5:$X$604,MATCH(B169,'Content Calendar'!$A$5:$A$604,0)),"Not found"))</f>
        <v>0</v>
      </c>
      <c r="S169" s="23">
        <f>IF(B169="","",IF(COUNTIF(Performance!$B$5:$B$404,B169)=0,"",SUMIFS(Performance!$O$5:$O$404,Performance!$B$5:$B$404,B169)))</f>
        <v>0</v>
      </c>
      <c r="T169" s="23">
        <f>IF(B169="","",IF(COUNTIF(Performance!$B$5:$B$404,B169)=0,"",SUMIFS(Performance!$P$5:$P$404,Performance!$B$5:$B$404,B169)))</f>
        <v>0</v>
      </c>
      <c r="U169" s="23">
        <f>IF(B169="","",IF(COUNTIF(Performance!$B$5:$B$404,B169)=0,"",SUMIFS(Performance!$Z$5:$Z$404,Performance!$B$5:$B$404,B169)))</f>
        <v>0</v>
      </c>
      <c r="V169" s="24">
        <f>IF(OR(S169="",S169=0),"",U169/S169)</f>
        <v>0</v>
      </c>
      <c r="W169" s="23">
        <f>IF(B169="","",IF(COUNTIF(Performance!$B$5:$B$404,B169)=0,"",SUMIFS(Performance!$T$5:$T$404,Performance!$B$5:$B$404,B169)))</f>
        <v>0</v>
      </c>
      <c r="X169" s="23">
        <f>IF(B169="","",IF(COUNTIF(Performance!$B$5:$B$404,B169)=0,"",SUMIFS(Performance!$S$5:$S$404,Performance!$B$5:$B$404,B169)))</f>
        <v>0</v>
      </c>
      <c r="Y169" s="23">
        <f>IF(B169="","",IF(COUNTIF(Performance!$B$5:$B$404,B169)=0,"",SUMIFS(Performance!$R$5:$R$404,Performance!$B$5:$B$404,B169)))</f>
        <v>0</v>
      </c>
      <c r="Z169" s="23">
        <f>IF(B169="","",IF(COUNTIF(Performance!$B$5:$B$404,B169)=0,"",SUMIFS(Performance!$U$5:$U$404,Performance!$B$5:$B$404,B169)))</f>
        <v>0</v>
      </c>
      <c r="AA169" s="29">
        <f>IF(B169="","",IF(C169="Not found","Check - content ID not on the calendar",IF(G169="","Add - no hook written",IF(H169="","Add - no sound chosen",IF(AND(P169&lt;&gt;"",P169&lt;0.25),"Review - most people scroll away early","OK")))))</f>
        <v>0</v>
      </c>
    </row>
    <row r="170" spans="1:27">
      <c r="A170" s="41">
        <f>IF(B170="","","TT-"&amp;TEXT(ROW()-4,"000"))</f>
        <v>0</v>
      </c>
      <c r="C170" s="17">
        <f>IF(B170="","",IFERROR(INDEX('Content Calendar'!$H$5:$H$604,MATCH(B170,'Content Calendar'!$A$5:$A$604,0)),"Not found"))</f>
        <v>0</v>
      </c>
      <c r="D170" s="16">
        <f>IF(B170="","",IFERROR(INDEX('Content Calendar'!$B$5:$B$604,MATCH(B170,'Content Calendar'!$A$5:$A$604,0)),"Not found"))</f>
        <v>0</v>
      </c>
      <c r="E170" s="17">
        <f>IF(B170="","",IFERROR(INDEX('Content Calendar'!$J$5:$J$604,MATCH(B170,'Content Calendar'!$A$5:$A$604,0)),"Not found"))</f>
        <v>0</v>
      </c>
      <c r="F170" s="29">
        <f>IF(B170="","",IFERROR(INDEX('Content Calendar'!$X$5:$X$604,MATCH(B170,'Content Calendar'!$A$5:$A$604,0)),"Not found"))</f>
        <v>0</v>
      </c>
      <c r="S170" s="23">
        <f>IF(B170="","",IF(COUNTIF(Performance!$B$5:$B$404,B170)=0,"",SUMIFS(Performance!$O$5:$O$404,Performance!$B$5:$B$404,B170)))</f>
        <v>0</v>
      </c>
      <c r="T170" s="23">
        <f>IF(B170="","",IF(COUNTIF(Performance!$B$5:$B$404,B170)=0,"",SUMIFS(Performance!$P$5:$P$404,Performance!$B$5:$B$404,B170)))</f>
        <v>0</v>
      </c>
      <c r="U170" s="23">
        <f>IF(B170="","",IF(COUNTIF(Performance!$B$5:$B$404,B170)=0,"",SUMIFS(Performance!$Z$5:$Z$404,Performance!$B$5:$B$404,B170)))</f>
        <v>0</v>
      </c>
      <c r="V170" s="24">
        <f>IF(OR(S170="",S170=0),"",U170/S170)</f>
        <v>0</v>
      </c>
      <c r="W170" s="23">
        <f>IF(B170="","",IF(COUNTIF(Performance!$B$5:$B$404,B170)=0,"",SUMIFS(Performance!$T$5:$T$404,Performance!$B$5:$B$404,B170)))</f>
        <v>0</v>
      </c>
      <c r="X170" s="23">
        <f>IF(B170="","",IF(COUNTIF(Performance!$B$5:$B$404,B170)=0,"",SUMIFS(Performance!$S$5:$S$404,Performance!$B$5:$B$404,B170)))</f>
        <v>0</v>
      </c>
      <c r="Y170" s="23">
        <f>IF(B170="","",IF(COUNTIF(Performance!$B$5:$B$404,B170)=0,"",SUMIFS(Performance!$R$5:$R$404,Performance!$B$5:$B$404,B170)))</f>
        <v>0</v>
      </c>
      <c r="Z170" s="23">
        <f>IF(B170="","",IF(COUNTIF(Performance!$B$5:$B$404,B170)=0,"",SUMIFS(Performance!$U$5:$U$404,Performance!$B$5:$B$404,B170)))</f>
        <v>0</v>
      </c>
      <c r="AA170" s="29">
        <f>IF(B170="","",IF(C170="Not found","Check - content ID not on the calendar",IF(G170="","Add - no hook written",IF(H170="","Add - no sound chosen",IF(AND(P170&lt;&gt;"",P170&lt;0.25),"Review - most people scroll away early","OK")))))</f>
        <v>0</v>
      </c>
    </row>
    <row r="171" spans="1:27">
      <c r="A171" s="41">
        <f>IF(B171="","","TT-"&amp;TEXT(ROW()-4,"000"))</f>
        <v>0</v>
      </c>
      <c r="C171" s="17">
        <f>IF(B171="","",IFERROR(INDEX('Content Calendar'!$H$5:$H$604,MATCH(B171,'Content Calendar'!$A$5:$A$604,0)),"Not found"))</f>
        <v>0</v>
      </c>
      <c r="D171" s="16">
        <f>IF(B171="","",IFERROR(INDEX('Content Calendar'!$B$5:$B$604,MATCH(B171,'Content Calendar'!$A$5:$A$604,0)),"Not found"))</f>
        <v>0</v>
      </c>
      <c r="E171" s="17">
        <f>IF(B171="","",IFERROR(INDEX('Content Calendar'!$J$5:$J$604,MATCH(B171,'Content Calendar'!$A$5:$A$604,0)),"Not found"))</f>
        <v>0</v>
      </c>
      <c r="F171" s="29">
        <f>IF(B171="","",IFERROR(INDEX('Content Calendar'!$X$5:$X$604,MATCH(B171,'Content Calendar'!$A$5:$A$604,0)),"Not found"))</f>
        <v>0</v>
      </c>
      <c r="S171" s="23">
        <f>IF(B171="","",IF(COUNTIF(Performance!$B$5:$B$404,B171)=0,"",SUMIFS(Performance!$O$5:$O$404,Performance!$B$5:$B$404,B171)))</f>
        <v>0</v>
      </c>
      <c r="T171" s="23">
        <f>IF(B171="","",IF(COUNTIF(Performance!$B$5:$B$404,B171)=0,"",SUMIFS(Performance!$P$5:$P$404,Performance!$B$5:$B$404,B171)))</f>
        <v>0</v>
      </c>
      <c r="U171" s="23">
        <f>IF(B171="","",IF(COUNTIF(Performance!$B$5:$B$404,B171)=0,"",SUMIFS(Performance!$Z$5:$Z$404,Performance!$B$5:$B$404,B171)))</f>
        <v>0</v>
      </c>
      <c r="V171" s="24">
        <f>IF(OR(S171="",S171=0),"",U171/S171)</f>
        <v>0</v>
      </c>
      <c r="W171" s="23">
        <f>IF(B171="","",IF(COUNTIF(Performance!$B$5:$B$404,B171)=0,"",SUMIFS(Performance!$T$5:$T$404,Performance!$B$5:$B$404,B171)))</f>
        <v>0</v>
      </c>
      <c r="X171" s="23">
        <f>IF(B171="","",IF(COUNTIF(Performance!$B$5:$B$404,B171)=0,"",SUMIFS(Performance!$S$5:$S$404,Performance!$B$5:$B$404,B171)))</f>
        <v>0</v>
      </c>
      <c r="Y171" s="23">
        <f>IF(B171="","",IF(COUNTIF(Performance!$B$5:$B$404,B171)=0,"",SUMIFS(Performance!$R$5:$R$404,Performance!$B$5:$B$404,B171)))</f>
        <v>0</v>
      </c>
      <c r="Z171" s="23">
        <f>IF(B171="","",IF(COUNTIF(Performance!$B$5:$B$404,B171)=0,"",SUMIFS(Performance!$U$5:$U$404,Performance!$B$5:$B$404,B171)))</f>
        <v>0</v>
      </c>
      <c r="AA171" s="29">
        <f>IF(B171="","",IF(C171="Not found","Check - content ID not on the calendar",IF(G171="","Add - no hook written",IF(H171="","Add - no sound chosen",IF(AND(P171&lt;&gt;"",P171&lt;0.25),"Review - most people scroll away early","OK")))))</f>
        <v>0</v>
      </c>
    </row>
    <row r="172" spans="1:27">
      <c r="A172" s="41">
        <f>IF(B172="","","TT-"&amp;TEXT(ROW()-4,"000"))</f>
        <v>0</v>
      </c>
      <c r="C172" s="17">
        <f>IF(B172="","",IFERROR(INDEX('Content Calendar'!$H$5:$H$604,MATCH(B172,'Content Calendar'!$A$5:$A$604,0)),"Not found"))</f>
        <v>0</v>
      </c>
      <c r="D172" s="16">
        <f>IF(B172="","",IFERROR(INDEX('Content Calendar'!$B$5:$B$604,MATCH(B172,'Content Calendar'!$A$5:$A$604,0)),"Not found"))</f>
        <v>0</v>
      </c>
      <c r="E172" s="17">
        <f>IF(B172="","",IFERROR(INDEX('Content Calendar'!$J$5:$J$604,MATCH(B172,'Content Calendar'!$A$5:$A$604,0)),"Not found"))</f>
        <v>0</v>
      </c>
      <c r="F172" s="29">
        <f>IF(B172="","",IFERROR(INDEX('Content Calendar'!$X$5:$X$604,MATCH(B172,'Content Calendar'!$A$5:$A$604,0)),"Not found"))</f>
        <v>0</v>
      </c>
      <c r="S172" s="23">
        <f>IF(B172="","",IF(COUNTIF(Performance!$B$5:$B$404,B172)=0,"",SUMIFS(Performance!$O$5:$O$404,Performance!$B$5:$B$404,B172)))</f>
        <v>0</v>
      </c>
      <c r="T172" s="23">
        <f>IF(B172="","",IF(COUNTIF(Performance!$B$5:$B$404,B172)=0,"",SUMIFS(Performance!$P$5:$P$404,Performance!$B$5:$B$404,B172)))</f>
        <v>0</v>
      </c>
      <c r="U172" s="23">
        <f>IF(B172="","",IF(COUNTIF(Performance!$B$5:$B$404,B172)=0,"",SUMIFS(Performance!$Z$5:$Z$404,Performance!$B$5:$B$404,B172)))</f>
        <v>0</v>
      </c>
      <c r="V172" s="24">
        <f>IF(OR(S172="",S172=0),"",U172/S172)</f>
        <v>0</v>
      </c>
      <c r="W172" s="23">
        <f>IF(B172="","",IF(COUNTIF(Performance!$B$5:$B$404,B172)=0,"",SUMIFS(Performance!$T$5:$T$404,Performance!$B$5:$B$404,B172)))</f>
        <v>0</v>
      </c>
      <c r="X172" s="23">
        <f>IF(B172="","",IF(COUNTIF(Performance!$B$5:$B$404,B172)=0,"",SUMIFS(Performance!$S$5:$S$404,Performance!$B$5:$B$404,B172)))</f>
        <v>0</v>
      </c>
      <c r="Y172" s="23">
        <f>IF(B172="","",IF(COUNTIF(Performance!$B$5:$B$404,B172)=0,"",SUMIFS(Performance!$R$5:$R$404,Performance!$B$5:$B$404,B172)))</f>
        <v>0</v>
      </c>
      <c r="Z172" s="23">
        <f>IF(B172="","",IF(COUNTIF(Performance!$B$5:$B$404,B172)=0,"",SUMIFS(Performance!$U$5:$U$404,Performance!$B$5:$B$404,B172)))</f>
        <v>0</v>
      </c>
      <c r="AA172" s="29">
        <f>IF(B172="","",IF(C172="Not found","Check - content ID not on the calendar",IF(G172="","Add - no hook written",IF(H172="","Add - no sound chosen",IF(AND(P172&lt;&gt;"",P172&lt;0.25),"Review - most people scroll away early","OK")))))</f>
        <v>0</v>
      </c>
    </row>
    <row r="173" spans="1:27">
      <c r="A173" s="41">
        <f>IF(B173="","","TT-"&amp;TEXT(ROW()-4,"000"))</f>
        <v>0</v>
      </c>
      <c r="C173" s="17">
        <f>IF(B173="","",IFERROR(INDEX('Content Calendar'!$H$5:$H$604,MATCH(B173,'Content Calendar'!$A$5:$A$604,0)),"Not found"))</f>
        <v>0</v>
      </c>
      <c r="D173" s="16">
        <f>IF(B173="","",IFERROR(INDEX('Content Calendar'!$B$5:$B$604,MATCH(B173,'Content Calendar'!$A$5:$A$604,0)),"Not found"))</f>
        <v>0</v>
      </c>
      <c r="E173" s="17">
        <f>IF(B173="","",IFERROR(INDEX('Content Calendar'!$J$5:$J$604,MATCH(B173,'Content Calendar'!$A$5:$A$604,0)),"Not found"))</f>
        <v>0</v>
      </c>
      <c r="F173" s="29">
        <f>IF(B173="","",IFERROR(INDEX('Content Calendar'!$X$5:$X$604,MATCH(B173,'Content Calendar'!$A$5:$A$604,0)),"Not found"))</f>
        <v>0</v>
      </c>
      <c r="S173" s="23">
        <f>IF(B173="","",IF(COUNTIF(Performance!$B$5:$B$404,B173)=0,"",SUMIFS(Performance!$O$5:$O$404,Performance!$B$5:$B$404,B173)))</f>
        <v>0</v>
      </c>
      <c r="T173" s="23">
        <f>IF(B173="","",IF(COUNTIF(Performance!$B$5:$B$404,B173)=0,"",SUMIFS(Performance!$P$5:$P$404,Performance!$B$5:$B$404,B173)))</f>
        <v>0</v>
      </c>
      <c r="U173" s="23">
        <f>IF(B173="","",IF(COUNTIF(Performance!$B$5:$B$404,B173)=0,"",SUMIFS(Performance!$Z$5:$Z$404,Performance!$B$5:$B$404,B173)))</f>
        <v>0</v>
      </c>
      <c r="V173" s="24">
        <f>IF(OR(S173="",S173=0),"",U173/S173)</f>
        <v>0</v>
      </c>
      <c r="W173" s="23">
        <f>IF(B173="","",IF(COUNTIF(Performance!$B$5:$B$404,B173)=0,"",SUMIFS(Performance!$T$5:$T$404,Performance!$B$5:$B$404,B173)))</f>
        <v>0</v>
      </c>
      <c r="X173" s="23">
        <f>IF(B173="","",IF(COUNTIF(Performance!$B$5:$B$404,B173)=0,"",SUMIFS(Performance!$S$5:$S$404,Performance!$B$5:$B$404,B173)))</f>
        <v>0</v>
      </c>
      <c r="Y173" s="23">
        <f>IF(B173="","",IF(COUNTIF(Performance!$B$5:$B$404,B173)=0,"",SUMIFS(Performance!$R$5:$R$404,Performance!$B$5:$B$404,B173)))</f>
        <v>0</v>
      </c>
      <c r="Z173" s="23">
        <f>IF(B173="","",IF(COUNTIF(Performance!$B$5:$B$404,B173)=0,"",SUMIFS(Performance!$U$5:$U$404,Performance!$B$5:$B$404,B173)))</f>
        <v>0</v>
      </c>
      <c r="AA173" s="29">
        <f>IF(B173="","",IF(C173="Not found","Check - content ID not on the calendar",IF(G173="","Add - no hook written",IF(H173="","Add - no sound chosen",IF(AND(P173&lt;&gt;"",P173&lt;0.25),"Review - most people scroll away early","OK")))))</f>
        <v>0</v>
      </c>
    </row>
    <row r="174" spans="1:27">
      <c r="A174" s="41">
        <f>IF(B174="","","TT-"&amp;TEXT(ROW()-4,"000"))</f>
        <v>0</v>
      </c>
      <c r="C174" s="17">
        <f>IF(B174="","",IFERROR(INDEX('Content Calendar'!$H$5:$H$604,MATCH(B174,'Content Calendar'!$A$5:$A$604,0)),"Not found"))</f>
        <v>0</v>
      </c>
      <c r="D174" s="16">
        <f>IF(B174="","",IFERROR(INDEX('Content Calendar'!$B$5:$B$604,MATCH(B174,'Content Calendar'!$A$5:$A$604,0)),"Not found"))</f>
        <v>0</v>
      </c>
      <c r="E174" s="17">
        <f>IF(B174="","",IFERROR(INDEX('Content Calendar'!$J$5:$J$604,MATCH(B174,'Content Calendar'!$A$5:$A$604,0)),"Not found"))</f>
        <v>0</v>
      </c>
      <c r="F174" s="29">
        <f>IF(B174="","",IFERROR(INDEX('Content Calendar'!$X$5:$X$604,MATCH(B174,'Content Calendar'!$A$5:$A$604,0)),"Not found"))</f>
        <v>0</v>
      </c>
      <c r="S174" s="23">
        <f>IF(B174="","",IF(COUNTIF(Performance!$B$5:$B$404,B174)=0,"",SUMIFS(Performance!$O$5:$O$404,Performance!$B$5:$B$404,B174)))</f>
        <v>0</v>
      </c>
      <c r="T174" s="23">
        <f>IF(B174="","",IF(COUNTIF(Performance!$B$5:$B$404,B174)=0,"",SUMIFS(Performance!$P$5:$P$404,Performance!$B$5:$B$404,B174)))</f>
        <v>0</v>
      </c>
      <c r="U174" s="23">
        <f>IF(B174="","",IF(COUNTIF(Performance!$B$5:$B$404,B174)=0,"",SUMIFS(Performance!$Z$5:$Z$404,Performance!$B$5:$B$404,B174)))</f>
        <v>0</v>
      </c>
      <c r="V174" s="24">
        <f>IF(OR(S174="",S174=0),"",U174/S174)</f>
        <v>0</v>
      </c>
      <c r="W174" s="23">
        <f>IF(B174="","",IF(COUNTIF(Performance!$B$5:$B$404,B174)=0,"",SUMIFS(Performance!$T$5:$T$404,Performance!$B$5:$B$404,B174)))</f>
        <v>0</v>
      </c>
      <c r="X174" s="23">
        <f>IF(B174="","",IF(COUNTIF(Performance!$B$5:$B$404,B174)=0,"",SUMIFS(Performance!$S$5:$S$404,Performance!$B$5:$B$404,B174)))</f>
        <v>0</v>
      </c>
      <c r="Y174" s="23">
        <f>IF(B174="","",IF(COUNTIF(Performance!$B$5:$B$404,B174)=0,"",SUMIFS(Performance!$R$5:$R$404,Performance!$B$5:$B$404,B174)))</f>
        <v>0</v>
      </c>
      <c r="Z174" s="23">
        <f>IF(B174="","",IF(COUNTIF(Performance!$B$5:$B$404,B174)=0,"",SUMIFS(Performance!$U$5:$U$404,Performance!$B$5:$B$404,B174)))</f>
        <v>0</v>
      </c>
      <c r="AA174" s="29">
        <f>IF(B174="","",IF(C174="Not found","Check - content ID not on the calendar",IF(G174="","Add - no hook written",IF(H174="","Add - no sound chosen",IF(AND(P174&lt;&gt;"",P174&lt;0.25),"Review - most people scroll away early","OK")))))</f>
        <v>0</v>
      </c>
    </row>
    <row r="175" spans="1:27">
      <c r="A175" s="41">
        <f>IF(B175="","","TT-"&amp;TEXT(ROW()-4,"000"))</f>
        <v>0</v>
      </c>
      <c r="C175" s="17">
        <f>IF(B175="","",IFERROR(INDEX('Content Calendar'!$H$5:$H$604,MATCH(B175,'Content Calendar'!$A$5:$A$604,0)),"Not found"))</f>
        <v>0</v>
      </c>
      <c r="D175" s="16">
        <f>IF(B175="","",IFERROR(INDEX('Content Calendar'!$B$5:$B$604,MATCH(B175,'Content Calendar'!$A$5:$A$604,0)),"Not found"))</f>
        <v>0</v>
      </c>
      <c r="E175" s="17">
        <f>IF(B175="","",IFERROR(INDEX('Content Calendar'!$J$5:$J$604,MATCH(B175,'Content Calendar'!$A$5:$A$604,0)),"Not found"))</f>
        <v>0</v>
      </c>
      <c r="F175" s="29">
        <f>IF(B175="","",IFERROR(INDEX('Content Calendar'!$X$5:$X$604,MATCH(B175,'Content Calendar'!$A$5:$A$604,0)),"Not found"))</f>
        <v>0</v>
      </c>
      <c r="S175" s="23">
        <f>IF(B175="","",IF(COUNTIF(Performance!$B$5:$B$404,B175)=0,"",SUMIFS(Performance!$O$5:$O$404,Performance!$B$5:$B$404,B175)))</f>
        <v>0</v>
      </c>
      <c r="T175" s="23">
        <f>IF(B175="","",IF(COUNTIF(Performance!$B$5:$B$404,B175)=0,"",SUMIFS(Performance!$P$5:$P$404,Performance!$B$5:$B$404,B175)))</f>
        <v>0</v>
      </c>
      <c r="U175" s="23">
        <f>IF(B175="","",IF(COUNTIF(Performance!$B$5:$B$404,B175)=0,"",SUMIFS(Performance!$Z$5:$Z$404,Performance!$B$5:$B$404,B175)))</f>
        <v>0</v>
      </c>
      <c r="V175" s="24">
        <f>IF(OR(S175="",S175=0),"",U175/S175)</f>
        <v>0</v>
      </c>
      <c r="W175" s="23">
        <f>IF(B175="","",IF(COUNTIF(Performance!$B$5:$B$404,B175)=0,"",SUMIFS(Performance!$T$5:$T$404,Performance!$B$5:$B$404,B175)))</f>
        <v>0</v>
      </c>
      <c r="X175" s="23">
        <f>IF(B175="","",IF(COUNTIF(Performance!$B$5:$B$404,B175)=0,"",SUMIFS(Performance!$S$5:$S$404,Performance!$B$5:$B$404,B175)))</f>
        <v>0</v>
      </c>
      <c r="Y175" s="23">
        <f>IF(B175="","",IF(COUNTIF(Performance!$B$5:$B$404,B175)=0,"",SUMIFS(Performance!$R$5:$R$404,Performance!$B$5:$B$404,B175)))</f>
        <v>0</v>
      </c>
      <c r="Z175" s="23">
        <f>IF(B175="","",IF(COUNTIF(Performance!$B$5:$B$404,B175)=0,"",SUMIFS(Performance!$U$5:$U$404,Performance!$B$5:$B$404,B175)))</f>
        <v>0</v>
      </c>
      <c r="AA175" s="29">
        <f>IF(B175="","",IF(C175="Not found","Check - content ID not on the calendar",IF(G175="","Add - no hook written",IF(H175="","Add - no sound chosen",IF(AND(P175&lt;&gt;"",P175&lt;0.25),"Review - most people scroll away early","OK")))))</f>
        <v>0</v>
      </c>
    </row>
    <row r="176" spans="1:27">
      <c r="A176" s="41">
        <f>IF(B176="","","TT-"&amp;TEXT(ROW()-4,"000"))</f>
        <v>0</v>
      </c>
      <c r="C176" s="17">
        <f>IF(B176="","",IFERROR(INDEX('Content Calendar'!$H$5:$H$604,MATCH(B176,'Content Calendar'!$A$5:$A$604,0)),"Not found"))</f>
        <v>0</v>
      </c>
      <c r="D176" s="16">
        <f>IF(B176="","",IFERROR(INDEX('Content Calendar'!$B$5:$B$604,MATCH(B176,'Content Calendar'!$A$5:$A$604,0)),"Not found"))</f>
        <v>0</v>
      </c>
      <c r="E176" s="17">
        <f>IF(B176="","",IFERROR(INDEX('Content Calendar'!$J$5:$J$604,MATCH(B176,'Content Calendar'!$A$5:$A$604,0)),"Not found"))</f>
        <v>0</v>
      </c>
      <c r="F176" s="29">
        <f>IF(B176="","",IFERROR(INDEX('Content Calendar'!$X$5:$X$604,MATCH(B176,'Content Calendar'!$A$5:$A$604,0)),"Not found"))</f>
        <v>0</v>
      </c>
      <c r="S176" s="23">
        <f>IF(B176="","",IF(COUNTIF(Performance!$B$5:$B$404,B176)=0,"",SUMIFS(Performance!$O$5:$O$404,Performance!$B$5:$B$404,B176)))</f>
        <v>0</v>
      </c>
      <c r="T176" s="23">
        <f>IF(B176="","",IF(COUNTIF(Performance!$B$5:$B$404,B176)=0,"",SUMIFS(Performance!$P$5:$P$404,Performance!$B$5:$B$404,B176)))</f>
        <v>0</v>
      </c>
      <c r="U176" s="23">
        <f>IF(B176="","",IF(COUNTIF(Performance!$B$5:$B$404,B176)=0,"",SUMIFS(Performance!$Z$5:$Z$404,Performance!$B$5:$B$404,B176)))</f>
        <v>0</v>
      </c>
      <c r="V176" s="24">
        <f>IF(OR(S176="",S176=0),"",U176/S176)</f>
        <v>0</v>
      </c>
      <c r="W176" s="23">
        <f>IF(B176="","",IF(COUNTIF(Performance!$B$5:$B$404,B176)=0,"",SUMIFS(Performance!$T$5:$T$404,Performance!$B$5:$B$404,B176)))</f>
        <v>0</v>
      </c>
      <c r="X176" s="23">
        <f>IF(B176="","",IF(COUNTIF(Performance!$B$5:$B$404,B176)=0,"",SUMIFS(Performance!$S$5:$S$404,Performance!$B$5:$B$404,B176)))</f>
        <v>0</v>
      </c>
      <c r="Y176" s="23">
        <f>IF(B176="","",IF(COUNTIF(Performance!$B$5:$B$404,B176)=0,"",SUMIFS(Performance!$R$5:$R$404,Performance!$B$5:$B$404,B176)))</f>
        <v>0</v>
      </c>
      <c r="Z176" s="23">
        <f>IF(B176="","",IF(COUNTIF(Performance!$B$5:$B$404,B176)=0,"",SUMIFS(Performance!$U$5:$U$404,Performance!$B$5:$B$404,B176)))</f>
        <v>0</v>
      </c>
      <c r="AA176" s="29">
        <f>IF(B176="","",IF(C176="Not found","Check - content ID not on the calendar",IF(G176="","Add - no hook written",IF(H176="","Add - no sound chosen",IF(AND(P176&lt;&gt;"",P176&lt;0.25),"Review - most people scroll away early","OK")))))</f>
        <v>0</v>
      </c>
    </row>
    <row r="177" spans="1:27">
      <c r="A177" s="41">
        <f>IF(B177="","","TT-"&amp;TEXT(ROW()-4,"000"))</f>
        <v>0</v>
      </c>
      <c r="C177" s="17">
        <f>IF(B177="","",IFERROR(INDEX('Content Calendar'!$H$5:$H$604,MATCH(B177,'Content Calendar'!$A$5:$A$604,0)),"Not found"))</f>
        <v>0</v>
      </c>
      <c r="D177" s="16">
        <f>IF(B177="","",IFERROR(INDEX('Content Calendar'!$B$5:$B$604,MATCH(B177,'Content Calendar'!$A$5:$A$604,0)),"Not found"))</f>
        <v>0</v>
      </c>
      <c r="E177" s="17">
        <f>IF(B177="","",IFERROR(INDEX('Content Calendar'!$J$5:$J$604,MATCH(B177,'Content Calendar'!$A$5:$A$604,0)),"Not found"))</f>
        <v>0</v>
      </c>
      <c r="F177" s="29">
        <f>IF(B177="","",IFERROR(INDEX('Content Calendar'!$X$5:$X$604,MATCH(B177,'Content Calendar'!$A$5:$A$604,0)),"Not found"))</f>
        <v>0</v>
      </c>
      <c r="S177" s="23">
        <f>IF(B177="","",IF(COUNTIF(Performance!$B$5:$B$404,B177)=0,"",SUMIFS(Performance!$O$5:$O$404,Performance!$B$5:$B$404,B177)))</f>
        <v>0</v>
      </c>
      <c r="T177" s="23">
        <f>IF(B177="","",IF(COUNTIF(Performance!$B$5:$B$404,B177)=0,"",SUMIFS(Performance!$P$5:$P$404,Performance!$B$5:$B$404,B177)))</f>
        <v>0</v>
      </c>
      <c r="U177" s="23">
        <f>IF(B177="","",IF(COUNTIF(Performance!$B$5:$B$404,B177)=0,"",SUMIFS(Performance!$Z$5:$Z$404,Performance!$B$5:$B$404,B177)))</f>
        <v>0</v>
      </c>
      <c r="V177" s="24">
        <f>IF(OR(S177="",S177=0),"",U177/S177)</f>
        <v>0</v>
      </c>
      <c r="W177" s="23">
        <f>IF(B177="","",IF(COUNTIF(Performance!$B$5:$B$404,B177)=0,"",SUMIFS(Performance!$T$5:$T$404,Performance!$B$5:$B$404,B177)))</f>
        <v>0</v>
      </c>
      <c r="X177" s="23">
        <f>IF(B177="","",IF(COUNTIF(Performance!$B$5:$B$404,B177)=0,"",SUMIFS(Performance!$S$5:$S$404,Performance!$B$5:$B$404,B177)))</f>
        <v>0</v>
      </c>
      <c r="Y177" s="23">
        <f>IF(B177="","",IF(COUNTIF(Performance!$B$5:$B$404,B177)=0,"",SUMIFS(Performance!$R$5:$R$404,Performance!$B$5:$B$404,B177)))</f>
        <v>0</v>
      </c>
      <c r="Z177" s="23">
        <f>IF(B177="","",IF(COUNTIF(Performance!$B$5:$B$404,B177)=0,"",SUMIFS(Performance!$U$5:$U$404,Performance!$B$5:$B$404,B177)))</f>
        <v>0</v>
      </c>
      <c r="AA177" s="29">
        <f>IF(B177="","",IF(C177="Not found","Check - content ID not on the calendar",IF(G177="","Add - no hook written",IF(H177="","Add - no sound chosen",IF(AND(P177&lt;&gt;"",P177&lt;0.25),"Review - most people scroll away early","OK")))))</f>
        <v>0</v>
      </c>
    </row>
    <row r="178" spans="1:27">
      <c r="A178" s="41">
        <f>IF(B178="","","TT-"&amp;TEXT(ROW()-4,"000"))</f>
        <v>0</v>
      </c>
      <c r="C178" s="17">
        <f>IF(B178="","",IFERROR(INDEX('Content Calendar'!$H$5:$H$604,MATCH(B178,'Content Calendar'!$A$5:$A$604,0)),"Not found"))</f>
        <v>0</v>
      </c>
      <c r="D178" s="16">
        <f>IF(B178="","",IFERROR(INDEX('Content Calendar'!$B$5:$B$604,MATCH(B178,'Content Calendar'!$A$5:$A$604,0)),"Not found"))</f>
        <v>0</v>
      </c>
      <c r="E178" s="17">
        <f>IF(B178="","",IFERROR(INDEX('Content Calendar'!$J$5:$J$604,MATCH(B178,'Content Calendar'!$A$5:$A$604,0)),"Not found"))</f>
        <v>0</v>
      </c>
      <c r="F178" s="29">
        <f>IF(B178="","",IFERROR(INDEX('Content Calendar'!$X$5:$X$604,MATCH(B178,'Content Calendar'!$A$5:$A$604,0)),"Not found"))</f>
        <v>0</v>
      </c>
      <c r="S178" s="23">
        <f>IF(B178="","",IF(COUNTIF(Performance!$B$5:$B$404,B178)=0,"",SUMIFS(Performance!$O$5:$O$404,Performance!$B$5:$B$404,B178)))</f>
        <v>0</v>
      </c>
      <c r="T178" s="23">
        <f>IF(B178="","",IF(COUNTIF(Performance!$B$5:$B$404,B178)=0,"",SUMIFS(Performance!$P$5:$P$404,Performance!$B$5:$B$404,B178)))</f>
        <v>0</v>
      </c>
      <c r="U178" s="23">
        <f>IF(B178="","",IF(COUNTIF(Performance!$B$5:$B$404,B178)=0,"",SUMIFS(Performance!$Z$5:$Z$404,Performance!$B$5:$B$404,B178)))</f>
        <v>0</v>
      </c>
      <c r="V178" s="24">
        <f>IF(OR(S178="",S178=0),"",U178/S178)</f>
        <v>0</v>
      </c>
      <c r="W178" s="23">
        <f>IF(B178="","",IF(COUNTIF(Performance!$B$5:$B$404,B178)=0,"",SUMIFS(Performance!$T$5:$T$404,Performance!$B$5:$B$404,B178)))</f>
        <v>0</v>
      </c>
      <c r="X178" s="23">
        <f>IF(B178="","",IF(COUNTIF(Performance!$B$5:$B$404,B178)=0,"",SUMIFS(Performance!$S$5:$S$404,Performance!$B$5:$B$404,B178)))</f>
        <v>0</v>
      </c>
      <c r="Y178" s="23">
        <f>IF(B178="","",IF(COUNTIF(Performance!$B$5:$B$404,B178)=0,"",SUMIFS(Performance!$R$5:$R$404,Performance!$B$5:$B$404,B178)))</f>
        <v>0</v>
      </c>
      <c r="Z178" s="23">
        <f>IF(B178="","",IF(COUNTIF(Performance!$B$5:$B$404,B178)=0,"",SUMIFS(Performance!$U$5:$U$404,Performance!$B$5:$B$404,B178)))</f>
        <v>0</v>
      </c>
      <c r="AA178" s="29">
        <f>IF(B178="","",IF(C178="Not found","Check - content ID not on the calendar",IF(G178="","Add - no hook written",IF(H178="","Add - no sound chosen",IF(AND(P178&lt;&gt;"",P178&lt;0.25),"Review - most people scroll away early","OK")))))</f>
        <v>0</v>
      </c>
    </row>
    <row r="179" spans="1:27">
      <c r="A179" s="41">
        <f>IF(B179="","","TT-"&amp;TEXT(ROW()-4,"000"))</f>
        <v>0</v>
      </c>
      <c r="C179" s="17">
        <f>IF(B179="","",IFERROR(INDEX('Content Calendar'!$H$5:$H$604,MATCH(B179,'Content Calendar'!$A$5:$A$604,0)),"Not found"))</f>
        <v>0</v>
      </c>
      <c r="D179" s="16">
        <f>IF(B179="","",IFERROR(INDEX('Content Calendar'!$B$5:$B$604,MATCH(B179,'Content Calendar'!$A$5:$A$604,0)),"Not found"))</f>
        <v>0</v>
      </c>
      <c r="E179" s="17">
        <f>IF(B179="","",IFERROR(INDEX('Content Calendar'!$J$5:$J$604,MATCH(B179,'Content Calendar'!$A$5:$A$604,0)),"Not found"))</f>
        <v>0</v>
      </c>
      <c r="F179" s="29">
        <f>IF(B179="","",IFERROR(INDEX('Content Calendar'!$X$5:$X$604,MATCH(B179,'Content Calendar'!$A$5:$A$604,0)),"Not found"))</f>
        <v>0</v>
      </c>
      <c r="S179" s="23">
        <f>IF(B179="","",IF(COUNTIF(Performance!$B$5:$B$404,B179)=0,"",SUMIFS(Performance!$O$5:$O$404,Performance!$B$5:$B$404,B179)))</f>
        <v>0</v>
      </c>
      <c r="T179" s="23">
        <f>IF(B179="","",IF(COUNTIF(Performance!$B$5:$B$404,B179)=0,"",SUMIFS(Performance!$P$5:$P$404,Performance!$B$5:$B$404,B179)))</f>
        <v>0</v>
      </c>
      <c r="U179" s="23">
        <f>IF(B179="","",IF(COUNTIF(Performance!$B$5:$B$404,B179)=0,"",SUMIFS(Performance!$Z$5:$Z$404,Performance!$B$5:$B$404,B179)))</f>
        <v>0</v>
      </c>
      <c r="V179" s="24">
        <f>IF(OR(S179="",S179=0),"",U179/S179)</f>
        <v>0</v>
      </c>
      <c r="W179" s="23">
        <f>IF(B179="","",IF(COUNTIF(Performance!$B$5:$B$404,B179)=0,"",SUMIFS(Performance!$T$5:$T$404,Performance!$B$5:$B$404,B179)))</f>
        <v>0</v>
      </c>
      <c r="X179" s="23">
        <f>IF(B179="","",IF(COUNTIF(Performance!$B$5:$B$404,B179)=0,"",SUMIFS(Performance!$S$5:$S$404,Performance!$B$5:$B$404,B179)))</f>
        <v>0</v>
      </c>
      <c r="Y179" s="23">
        <f>IF(B179="","",IF(COUNTIF(Performance!$B$5:$B$404,B179)=0,"",SUMIFS(Performance!$R$5:$R$404,Performance!$B$5:$B$404,B179)))</f>
        <v>0</v>
      </c>
      <c r="Z179" s="23">
        <f>IF(B179="","",IF(COUNTIF(Performance!$B$5:$B$404,B179)=0,"",SUMIFS(Performance!$U$5:$U$404,Performance!$B$5:$B$404,B179)))</f>
        <v>0</v>
      </c>
      <c r="AA179" s="29">
        <f>IF(B179="","",IF(C179="Not found","Check - content ID not on the calendar",IF(G179="","Add - no hook written",IF(H179="","Add - no sound chosen",IF(AND(P179&lt;&gt;"",P179&lt;0.25),"Review - most people scroll away early","OK")))))</f>
        <v>0</v>
      </c>
    </row>
    <row r="180" spans="1:27">
      <c r="A180" s="41">
        <f>IF(B180="","","TT-"&amp;TEXT(ROW()-4,"000"))</f>
        <v>0</v>
      </c>
      <c r="C180" s="17">
        <f>IF(B180="","",IFERROR(INDEX('Content Calendar'!$H$5:$H$604,MATCH(B180,'Content Calendar'!$A$5:$A$604,0)),"Not found"))</f>
        <v>0</v>
      </c>
      <c r="D180" s="16">
        <f>IF(B180="","",IFERROR(INDEX('Content Calendar'!$B$5:$B$604,MATCH(B180,'Content Calendar'!$A$5:$A$604,0)),"Not found"))</f>
        <v>0</v>
      </c>
      <c r="E180" s="17">
        <f>IF(B180="","",IFERROR(INDEX('Content Calendar'!$J$5:$J$604,MATCH(B180,'Content Calendar'!$A$5:$A$604,0)),"Not found"))</f>
        <v>0</v>
      </c>
      <c r="F180" s="29">
        <f>IF(B180="","",IFERROR(INDEX('Content Calendar'!$X$5:$X$604,MATCH(B180,'Content Calendar'!$A$5:$A$604,0)),"Not found"))</f>
        <v>0</v>
      </c>
      <c r="S180" s="23">
        <f>IF(B180="","",IF(COUNTIF(Performance!$B$5:$B$404,B180)=0,"",SUMIFS(Performance!$O$5:$O$404,Performance!$B$5:$B$404,B180)))</f>
        <v>0</v>
      </c>
      <c r="T180" s="23">
        <f>IF(B180="","",IF(COUNTIF(Performance!$B$5:$B$404,B180)=0,"",SUMIFS(Performance!$P$5:$P$404,Performance!$B$5:$B$404,B180)))</f>
        <v>0</v>
      </c>
      <c r="U180" s="23">
        <f>IF(B180="","",IF(COUNTIF(Performance!$B$5:$B$404,B180)=0,"",SUMIFS(Performance!$Z$5:$Z$404,Performance!$B$5:$B$404,B180)))</f>
        <v>0</v>
      </c>
      <c r="V180" s="24">
        <f>IF(OR(S180="",S180=0),"",U180/S180)</f>
        <v>0</v>
      </c>
      <c r="W180" s="23">
        <f>IF(B180="","",IF(COUNTIF(Performance!$B$5:$B$404,B180)=0,"",SUMIFS(Performance!$T$5:$T$404,Performance!$B$5:$B$404,B180)))</f>
        <v>0</v>
      </c>
      <c r="X180" s="23">
        <f>IF(B180="","",IF(COUNTIF(Performance!$B$5:$B$404,B180)=0,"",SUMIFS(Performance!$S$5:$S$404,Performance!$B$5:$B$404,B180)))</f>
        <v>0</v>
      </c>
      <c r="Y180" s="23">
        <f>IF(B180="","",IF(COUNTIF(Performance!$B$5:$B$404,B180)=0,"",SUMIFS(Performance!$R$5:$R$404,Performance!$B$5:$B$404,B180)))</f>
        <v>0</v>
      </c>
      <c r="Z180" s="23">
        <f>IF(B180="","",IF(COUNTIF(Performance!$B$5:$B$404,B180)=0,"",SUMIFS(Performance!$U$5:$U$404,Performance!$B$5:$B$404,B180)))</f>
        <v>0</v>
      </c>
      <c r="AA180" s="29">
        <f>IF(B180="","",IF(C180="Not found","Check - content ID not on the calendar",IF(G180="","Add - no hook written",IF(H180="","Add - no sound chosen",IF(AND(P180&lt;&gt;"",P180&lt;0.25),"Review - most people scroll away early","OK")))))</f>
        <v>0</v>
      </c>
    </row>
    <row r="181" spans="1:27">
      <c r="A181" s="41">
        <f>IF(B181="","","TT-"&amp;TEXT(ROW()-4,"000"))</f>
        <v>0</v>
      </c>
      <c r="C181" s="17">
        <f>IF(B181="","",IFERROR(INDEX('Content Calendar'!$H$5:$H$604,MATCH(B181,'Content Calendar'!$A$5:$A$604,0)),"Not found"))</f>
        <v>0</v>
      </c>
      <c r="D181" s="16">
        <f>IF(B181="","",IFERROR(INDEX('Content Calendar'!$B$5:$B$604,MATCH(B181,'Content Calendar'!$A$5:$A$604,0)),"Not found"))</f>
        <v>0</v>
      </c>
      <c r="E181" s="17">
        <f>IF(B181="","",IFERROR(INDEX('Content Calendar'!$J$5:$J$604,MATCH(B181,'Content Calendar'!$A$5:$A$604,0)),"Not found"))</f>
        <v>0</v>
      </c>
      <c r="F181" s="29">
        <f>IF(B181="","",IFERROR(INDEX('Content Calendar'!$X$5:$X$604,MATCH(B181,'Content Calendar'!$A$5:$A$604,0)),"Not found"))</f>
        <v>0</v>
      </c>
      <c r="S181" s="23">
        <f>IF(B181="","",IF(COUNTIF(Performance!$B$5:$B$404,B181)=0,"",SUMIFS(Performance!$O$5:$O$404,Performance!$B$5:$B$404,B181)))</f>
        <v>0</v>
      </c>
      <c r="T181" s="23">
        <f>IF(B181="","",IF(COUNTIF(Performance!$B$5:$B$404,B181)=0,"",SUMIFS(Performance!$P$5:$P$404,Performance!$B$5:$B$404,B181)))</f>
        <v>0</v>
      </c>
      <c r="U181" s="23">
        <f>IF(B181="","",IF(COUNTIF(Performance!$B$5:$B$404,B181)=0,"",SUMIFS(Performance!$Z$5:$Z$404,Performance!$B$5:$B$404,B181)))</f>
        <v>0</v>
      </c>
      <c r="V181" s="24">
        <f>IF(OR(S181="",S181=0),"",U181/S181)</f>
        <v>0</v>
      </c>
      <c r="W181" s="23">
        <f>IF(B181="","",IF(COUNTIF(Performance!$B$5:$B$404,B181)=0,"",SUMIFS(Performance!$T$5:$T$404,Performance!$B$5:$B$404,B181)))</f>
        <v>0</v>
      </c>
      <c r="X181" s="23">
        <f>IF(B181="","",IF(COUNTIF(Performance!$B$5:$B$404,B181)=0,"",SUMIFS(Performance!$S$5:$S$404,Performance!$B$5:$B$404,B181)))</f>
        <v>0</v>
      </c>
      <c r="Y181" s="23">
        <f>IF(B181="","",IF(COUNTIF(Performance!$B$5:$B$404,B181)=0,"",SUMIFS(Performance!$R$5:$R$404,Performance!$B$5:$B$404,B181)))</f>
        <v>0</v>
      </c>
      <c r="Z181" s="23">
        <f>IF(B181="","",IF(COUNTIF(Performance!$B$5:$B$404,B181)=0,"",SUMIFS(Performance!$U$5:$U$404,Performance!$B$5:$B$404,B181)))</f>
        <v>0</v>
      </c>
      <c r="AA181" s="29">
        <f>IF(B181="","",IF(C181="Not found","Check - content ID not on the calendar",IF(G181="","Add - no hook written",IF(H181="","Add - no sound chosen",IF(AND(P181&lt;&gt;"",P181&lt;0.25),"Review - most people scroll away early","OK")))))</f>
        <v>0</v>
      </c>
    </row>
    <row r="182" spans="1:27">
      <c r="A182" s="41">
        <f>IF(B182="","","TT-"&amp;TEXT(ROW()-4,"000"))</f>
        <v>0</v>
      </c>
      <c r="C182" s="17">
        <f>IF(B182="","",IFERROR(INDEX('Content Calendar'!$H$5:$H$604,MATCH(B182,'Content Calendar'!$A$5:$A$604,0)),"Not found"))</f>
        <v>0</v>
      </c>
      <c r="D182" s="16">
        <f>IF(B182="","",IFERROR(INDEX('Content Calendar'!$B$5:$B$604,MATCH(B182,'Content Calendar'!$A$5:$A$604,0)),"Not found"))</f>
        <v>0</v>
      </c>
      <c r="E182" s="17">
        <f>IF(B182="","",IFERROR(INDEX('Content Calendar'!$J$5:$J$604,MATCH(B182,'Content Calendar'!$A$5:$A$604,0)),"Not found"))</f>
        <v>0</v>
      </c>
      <c r="F182" s="29">
        <f>IF(B182="","",IFERROR(INDEX('Content Calendar'!$X$5:$X$604,MATCH(B182,'Content Calendar'!$A$5:$A$604,0)),"Not found"))</f>
        <v>0</v>
      </c>
      <c r="S182" s="23">
        <f>IF(B182="","",IF(COUNTIF(Performance!$B$5:$B$404,B182)=0,"",SUMIFS(Performance!$O$5:$O$404,Performance!$B$5:$B$404,B182)))</f>
        <v>0</v>
      </c>
      <c r="T182" s="23">
        <f>IF(B182="","",IF(COUNTIF(Performance!$B$5:$B$404,B182)=0,"",SUMIFS(Performance!$P$5:$P$404,Performance!$B$5:$B$404,B182)))</f>
        <v>0</v>
      </c>
      <c r="U182" s="23">
        <f>IF(B182="","",IF(COUNTIF(Performance!$B$5:$B$404,B182)=0,"",SUMIFS(Performance!$Z$5:$Z$404,Performance!$B$5:$B$404,B182)))</f>
        <v>0</v>
      </c>
      <c r="V182" s="24">
        <f>IF(OR(S182="",S182=0),"",U182/S182)</f>
        <v>0</v>
      </c>
      <c r="W182" s="23">
        <f>IF(B182="","",IF(COUNTIF(Performance!$B$5:$B$404,B182)=0,"",SUMIFS(Performance!$T$5:$T$404,Performance!$B$5:$B$404,B182)))</f>
        <v>0</v>
      </c>
      <c r="X182" s="23">
        <f>IF(B182="","",IF(COUNTIF(Performance!$B$5:$B$404,B182)=0,"",SUMIFS(Performance!$S$5:$S$404,Performance!$B$5:$B$404,B182)))</f>
        <v>0</v>
      </c>
      <c r="Y182" s="23">
        <f>IF(B182="","",IF(COUNTIF(Performance!$B$5:$B$404,B182)=0,"",SUMIFS(Performance!$R$5:$R$404,Performance!$B$5:$B$404,B182)))</f>
        <v>0</v>
      </c>
      <c r="Z182" s="23">
        <f>IF(B182="","",IF(COUNTIF(Performance!$B$5:$B$404,B182)=0,"",SUMIFS(Performance!$U$5:$U$404,Performance!$B$5:$B$404,B182)))</f>
        <v>0</v>
      </c>
      <c r="AA182" s="29">
        <f>IF(B182="","",IF(C182="Not found","Check - content ID not on the calendar",IF(G182="","Add - no hook written",IF(H182="","Add - no sound chosen",IF(AND(P182&lt;&gt;"",P182&lt;0.25),"Review - most people scroll away early","OK")))))</f>
        <v>0</v>
      </c>
    </row>
    <row r="183" spans="1:27">
      <c r="A183" s="41">
        <f>IF(B183="","","TT-"&amp;TEXT(ROW()-4,"000"))</f>
        <v>0</v>
      </c>
      <c r="C183" s="17">
        <f>IF(B183="","",IFERROR(INDEX('Content Calendar'!$H$5:$H$604,MATCH(B183,'Content Calendar'!$A$5:$A$604,0)),"Not found"))</f>
        <v>0</v>
      </c>
      <c r="D183" s="16">
        <f>IF(B183="","",IFERROR(INDEX('Content Calendar'!$B$5:$B$604,MATCH(B183,'Content Calendar'!$A$5:$A$604,0)),"Not found"))</f>
        <v>0</v>
      </c>
      <c r="E183" s="17">
        <f>IF(B183="","",IFERROR(INDEX('Content Calendar'!$J$5:$J$604,MATCH(B183,'Content Calendar'!$A$5:$A$604,0)),"Not found"))</f>
        <v>0</v>
      </c>
      <c r="F183" s="29">
        <f>IF(B183="","",IFERROR(INDEX('Content Calendar'!$X$5:$X$604,MATCH(B183,'Content Calendar'!$A$5:$A$604,0)),"Not found"))</f>
        <v>0</v>
      </c>
      <c r="S183" s="23">
        <f>IF(B183="","",IF(COUNTIF(Performance!$B$5:$B$404,B183)=0,"",SUMIFS(Performance!$O$5:$O$404,Performance!$B$5:$B$404,B183)))</f>
        <v>0</v>
      </c>
      <c r="T183" s="23">
        <f>IF(B183="","",IF(COUNTIF(Performance!$B$5:$B$404,B183)=0,"",SUMIFS(Performance!$P$5:$P$404,Performance!$B$5:$B$404,B183)))</f>
        <v>0</v>
      </c>
      <c r="U183" s="23">
        <f>IF(B183="","",IF(COUNTIF(Performance!$B$5:$B$404,B183)=0,"",SUMIFS(Performance!$Z$5:$Z$404,Performance!$B$5:$B$404,B183)))</f>
        <v>0</v>
      </c>
      <c r="V183" s="24">
        <f>IF(OR(S183="",S183=0),"",U183/S183)</f>
        <v>0</v>
      </c>
      <c r="W183" s="23">
        <f>IF(B183="","",IF(COUNTIF(Performance!$B$5:$B$404,B183)=0,"",SUMIFS(Performance!$T$5:$T$404,Performance!$B$5:$B$404,B183)))</f>
        <v>0</v>
      </c>
      <c r="X183" s="23">
        <f>IF(B183="","",IF(COUNTIF(Performance!$B$5:$B$404,B183)=0,"",SUMIFS(Performance!$S$5:$S$404,Performance!$B$5:$B$404,B183)))</f>
        <v>0</v>
      </c>
      <c r="Y183" s="23">
        <f>IF(B183="","",IF(COUNTIF(Performance!$B$5:$B$404,B183)=0,"",SUMIFS(Performance!$R$5:$R$404,Performance!$B$5:$B$404,B183)))</f>
        <v>0</v>
      </c>
      <c r="Z183" s="23">
        <f>IF(B183="","",IF(COUNTIF(Performance!$B$5:$B$404,B183)=0,"",SUMIFS(Performance!$U$5:$U$404,Performance!$B$5:$B$404,B183)))</f>
        <v>0</v>
      </c>
      <c r="AA183" s="29">
        <f>IF(B183="","",IF(C183="Not found","Check - content ID not on the calendar",IF(G183="","Add - no hook written",IF(H183="","Add - no sound chosen",IF(AND(P183&lt;&gt;"",P183&lt;0.25),"Review - most people scroll away early","OK")))))</f>
        <v>0</v>
      </c>
    </row>
    <row r="184" spans="1:27">
      <c r="A184" s="41">
        <f>IF(B184="","","TT-"&amp;TEXT(ROW()-4,"000"))</f>
        <v>0</v>
      </c>
      <c r="C184" s="17">
        <f>IF(B184="","",IFERROR(INDEX('Content Calendar'!$H$5:$H$604,MATCH(B184,'Content Calendar'!$A$5:$A$604,0)),"Not found"))</f>
        <v>0</v>
      </c>
      <c r="D184" s="16">
        <f>IF(B184="","",IFERROR(INDEX('Content Calendar'!$B$5:$B$604,MATCH(B184,'Content Calendar'!$A$5:$A$604,0)),"Not found"))</f>
        <v>0</v>
      </c>
      <c r="E184" s="17">
        <f>IF(B184="","",IFERROR(INDEX('Content Calendar'!$J$5:$J$604,MATCH(B184,'Content Calendar'!$A$5:$A$604,0)),"Not found"))</f>
        <v>0</v>
      </c>
      <c r="F184" s="29">
        <f>IF(B184="","",IFERROR(INDEX('Content Calendar'!$X$5:$X$604,MATCH(B184,'Content Calendar'!$A$5:$A$604,0)),"Not found"))</f>
        <v>0</v>
      </c>
      <c r="S184" s="23">
        <f>IF(B184="","",IF(COUNTIF(Performance!$B$5:$B$404,B184)=0,"",SUMIFS(Performance!$O$5:$O$404,Performance!$B$5:$B$404,B184)))</f>
        <v>0</v>
      </c>
      <c r="T184" s="23">
        <f>IF(B184="","",IF(COUNTIF(Performance!$B$5:$B$404,B184)=0,"",SUMIFS(Performance!$P$5:$P$404,Performance!$B$5:$B$404,B184)))</f>
        <v>0</v>
      </c>
      <c r="U184" s="23">
        <f>IF(B184="","",IF(COUNTIF(Performance!$B$5:$B$404,B184)=0,"",SUMIFS(Performance!$Z$5:$Z$404,Performance!$B$5:$B$404,B184)))</f>
        <v>0</v>
      </c>
      <c r="V184" s="24">
        <f>IF(OR(S184="",S184=0),"",U184/S184)</f>
        <v>0</v>
      </c>
      <c r="W184" s="23">
        <f>IF(B184="","",IF(COUNTIF(Performance!$B$5:$B$404,B184)=0,"",SUMIFS(Performance!$T$5:$T$404,Performance!$B$5:$B$404,B184)))</f>
        <v>0</v>
      </c>
      <c r="X184" s="23">
        <f>IF(B184="","",IF(COUNTIF(Performance!$B$5:$B$404,B184)=0,"",SUMIFS(Performance!$S$5:$S$404,Performance!$B$5:$B$404,B184)))</f>
        <v>0</v>
      </c>
      <c r="Y184" s="23">
        <f>IF(B184="","",IF(COUNTIF(Performance!$B$5:$B$404,B184)=0,"",SUMIFS(Performance!$R$5:$R$404,Performance!$B$5:$B$404,B184)))</f>
        <v>0</v>
      </c>
      <c r="Z184" s="23">
        <f>IF(B184="","",IF(COUNTIF(Performance!$B$5:$B$404,B184)=0,"",SUMIFS(Performance!$U$5:$U$404,Performance!$B$5:$B$404,B184)))</f>
        <v>0</v>
      </c>
      <c r="AA184" s="29">
        <f>IF(B184="","",IF(C184="Not found","Check - content ID not on the calendar",IF(G184="","Add - no hook written",IF(H184="","Add - no sound chosen",IF(AND(P184&lt;&gt;"",P184&lt;0.25),"Review - most people scroll away early","OK")))))</f>
        <v>0</v>
      </c>
    </row>
    <row r="185" spans="1:27">
      <c r="A185" s="41">
        <f>IF(B185="","","TT-"&amp;TEXT(ROW()-4,"000"))</f>
        <v>0</v>
      </c>
      <c r="C185" s="17">
        <f>IF(B185="","",IFERROR(INDEX('Content Calendar'!$H$5:$H$604,MATCH(B185,'Content Calendar'!$A$5:$A$604,0)),"Not found"))</f>
        <v>0</v>
      </c>
      <c r="D185" s="16">
        <f>IF(B185="","",IFERROR(INDEX('Content Calendar'!$B$5:$B$604,MATCH(B185,'Content Calendar'!$A$5:$A$604,0)),"Not found"))</f>
        <v>0</v>
      </c>
      <c r="E185" s="17">
        <f>IF(B185="","",IFERROR(INDEX('Content Calendar'!$J$5:$J$604,MATCH(B185,'Content Calendar'!$A$5:$A$604,0)),"Not found"))</f>
        <v>0</v>
      </c>
      <c r="F185" s="29">
        <f>IF(B185="","",IFERROR(INDEX('Content Calendar'!$X$5:$X$604,MATCH(B185,'Content Calendar'!$A$5:$A$604,0)),"Not found"))</f>
        <v>0</v>
      </c>
      <c r="S185" s="23">
        <f>IF(B185="","",IF(COUNTIF(Performance!$B$5:$B$404,B185)=0,"",SUMIFS(Performance!$O$5:$O$404,Performance!$B$5:$B$404,B185)))</f>
        <v>0</v>
      </c>
      <c r="T185" s="23">
        <f>IF(B185="","",IF(COUNTIF(Performance!$B$5:$B$404,B185)=0,"",SUMIFS(Performance!$P$5:$P$404,Performance!$B$5:$B$404,B185)))</f>
        <v>0</v>
      </c>
      <c r="U185" s="23">
        <f>IF(B185="","",IF(COUNTIF(Performance!$B$5:$B$404,B185)=0,"",SUMIFS(Performance!$Z$5:$Z$404,Performance!$B$5:$B$404,B185)))</f>
        <v>0</v>
      </c>
      <c r="V185" s="24">
        <f>IF(OR(S185="",S185=0),"",U185/S185)</f>
        <v>0</v>
      </c>
      <c r="W185" s="23">
        <f>IF(B185="","",IF(COUNTIF(Performance!$B$5:$B$404,B185)=0,"",SUMIFS(Performance!$T$5:$T$404,Performance!$B$5:$B$404,B185)))</f>
        <v>0</v>
      </c>
      <c r="X185" s="23">
        <f>IF(B185="","",IF(COUNTIF(Performance!$B$5:$B$404,B185)=0,"",SUMIFS(Performance!$S$5:$S$404,Performance!$B$5:$B$404,B185)))</f>
        <v>0</v>
      </c>
      <c r="Y185" s="23">
        <f>IF(B185="","",IF(COUNTIF(Performance!$B$5:$B$404,B185)=0,"",SUMIFS(Performance!$R$5:$R$404,Performance!$B$5:$B$404,B185)))</f>
        <v>0</v>
      </c>
      <c r="Z185" s="23">
        <f>IF(B185="","",IF(COUNTIF(Performance!$B$5:$B$404,B185)=0,"",SUMIFS(Performance!$U$5:$U$404,Performance!$B$5:$B$404,B185)))</f>
        <v>0</v>
      </c>
      <c r="AA185" s="29">
        <f>IF(B185="","",IF(C185="Not found","Check - content ID not on the calendar",IF(G185="","Add - no hook written",IF(H185="","Add - no sound chosen",IF(AND(P185&lt;&gt;"",P185&lt;0.25),"Review - most people scroll away early","OK")))))</f>
        <v>0</v>
      </c>
    </row>
    <row r="186" spans="1:27">
      <c r="A186" s="41">
        <f>IF(B186="","","TT-"&amp;TEXT(ROW()-4,"000"))</f>
        <v>0</v>
      </c>
      <c r="C186" s="17">
        <f>IF(B186="","",IFERROR(INDEX('Content Calendar'!$H$5:$H$604,MATCH(B186,'Content Calendar'!$A$5:$A$604,0)),"Not found"))</f>
        <v>0</v>
      </c>
      <c r="D186" s="16">
        <f>IF(B186="","",IFERROR(INDEX('Content Calendar'!$B$5:$B$604,MATCH(B186,'Content Calendar'!$A$5:$A$604,0)),"Not found"))</f>
        <v>0</v>
      </c>
      <c r="E186" s="17">
        <f>IF(B186="","",IFERROR(INDEX('Content Calendar'!$J$5:$J$604,MATCH(B186,'Content Calendar'!$A$5:$A$604,0)),"Not found"))</f>
        <v>0</v>
      </c>
      <c r="F186" s="29">
        <f>IF(B186="","",IFERROR(INDEX('Content Calendar'!$X$5:$X$604,MATCH(B186,'Content Calendar'!$A$5:$A$604,0)),"Not found"))</f>
        <v>0</v>
      </c>
      <c r="S186" s="23">
        <f>IF(B186="","",IF(COUNTIF(Performance!$B$5:$B$404,B186)=0,"",SUMIFS(Performance!$O$5:$O$404,Performance!$B$5:$B$404,B186)))</f>
        <v>0</v>
      </c>
      <c r="T186" s="23">
        <f>IF(B186="","",IF(COUNTIF(Performance!$B$5:$B$404,B186)=0,"",SUMIFS(Performance!$P$5:$P$404,Performance!$B$5:$B$404,B186)))</f>
        <v>0</v>
      </c>
      <c r="U186" s="23">
        <f>IF(B186="","",IF(COUNTIF(Performance!$B$5:$B$404,B186)=0,"",SUMIFS(Performance!$Z$5:$Z$404,Performance!$B$5:$B$404,B186)))</f>
        <v>0</v>
      </c>
      <c r="V186" s="24">
        <f>IF(OR(S186="",S186=0),"",U186/S186)</f>
        <v>0</v>
      </c>
      <c r="W186" s="23">
        <f>IF(B186="","",IF(COUNTIF(Performance!$B$5:$B$404,B186)=0,"",SUMIFS(Performance!$T$5:$T$404,Performance!$B$5:$B$404,B186)))</f>
        <v>0</v>
      </c>
      <c r="X186" s="23">
        <f>IF(B186="","",IF(COUNTIF(Performance!$B$5:$B$404,B186)=0,"",SUMIFS(Performance!$S$5:$S$404,Performance!$B$5:$B$404,B186)))</f>
        <v>0</v>
      </c>
      <c r="Y186" s="23">
        <f>IF(B186="","",IF(COUNTIF(Performance!$B$5:$B$404,B186)=0,"",SUMIFS(Performance!$R$5:$R$404,Performance!$B$5:$B$404,B186)))</f>
        <v>0</v>
      </c>
      <c r="Z186" s="23">
        <f>IF(B186="","",IF(COUNTIF(Performance!$B$5:$B$404,B186)=0,"",SUMIFS(Performance!$U$5:$U$404,Performance!$B$5:$B$404,B186)))</f>
        <v>0</v>
      </c>
      <c r="AA186" s="29">
        <f>IF(B186="","",IF(C186="Not found","Check - content ID not on the calendar",IF(G186="","Add - no hook written",IF(H186="","Add - no sound chosen",IF(AND(P186&lt;&gt;"",P186&lt;0.25),"Review - most people scroll away early","OK")))))</f>
        <v>0</v>
      </c>
    </row>
    <row r="187" spans="1:27">
      <c r="A187" s="41">
        <f>IF(B187="","","TT-"&amp;TEXT(ROW()-4,"000"))</f>
        <v>0</v>
      </c>
      <c r="C187" s="17">
        <f>IF(B187="","",IFERROR(INDEX('Content Calendar'!$H$5:$H$604,MATCH(B187,'Content Calendar'!$A$5:$A$604,0)),"Not found"))</f>
        <v>0</v>
      </c>
      <c r="D187" s="16">
        <f>IF(B187="","",IFERROR(INDEX('Content Calendar'!$B$5:$B$604,MATCH(B187,'Content Calendar'!$A$5:$A$604,0)),"Not found"))</f>
        <v>0</v>
      </c>
      <c r="E187" s="17">
        <f>IF(B187="","",IFERROR(INDEX('Content Calendar'!$J$5:$J$604,MATCH(B187,'Content Calendar'!$A$5:$A$604,0)),"Not found"))</f>
        <v>0</v>
      </c>
      <c r="F187" s="29">
        <f>IF(B187="","",IFERROR(INDEX('Content Calendar'!$X$5:$X$604,MATCH(B187,'Content Calendar'!$A$5:$A$604,0)),"Not found"))</f>
        <v>0</v>
      </c>
      <c r="S187" s="23">
        <f>IF(B187="","",IF(COUNTIF(Performance!$B$5:$B$404,B187)=0,"",SUMIFS(Performance!$O$5:$O$404,Performance!$B$5:$B$404,B187)))</f>
        <v>0</v>
      </c>
      <c r="T187" s="23">
        <f>IF(B187="","",IF(COUNTIF(Performance!$B$5:$B$404,B187)=0,"",SUMIFS(Performance!$P$5:$P$404,Performance!$B$5:$B$404,B187)))</f>
        <v>0</v>
      </c>
      <c r="U187" s="23">
        <f>IF(B187="","",IF(COUNTIF(Performance!$B$5:$B$404,B187)=0,"",SUMIFS(Performance!$Z$5:$Z$404,Performance!$B$5:$B$404,B187)))</f>
        <v>0</v>
      </c>
      <c r="V187" s="24">
        <f>IF(OR(S187="",S187=0),"",U187/S187)</f>
        <v>0</v>
      </c>
      <c r="W187" s="23">
        <f>IF(B187="","",IF(COUNTIF(Performance!$B$5:$B$404,B187)=0,"",SUMIFS(Performance!$T$5:$T$404,Performance!$B$5:$B$404,B187)))</f>
        <v>0</v>
      </c>
      <c r="X187" s="23">
        <f>IF(B187="","",IF(COUNTIF(Performance!$B$5:$B$404,B187)=0,"",SUMIFS(Performance!$S$5:$S$404,Performance!$B$5:$B$404,B187)))</f>
        <v>0</v>
      </c>
      <c r="Y187" s="23">
        <f>IF(B187="","",IF(COUNTIF(Performance!$B$5:$B$404,B187)=0,"",SUMIFS(Performance!$R$5:$R$404,Performance!$B$5:$B$404,B187)))</f>
        <v>0</v>
      </c>
      <c r="Z187" s="23">
        <f>IF(B187="","",IF(COUNTIF(Performance!$B$5:$B$404,B187)=0,"",SUMIFS(Performance!$U$5:$U$404,Performance!$B$5:$B$404,B187)))</f>
        <v>0</v>
      </c>
      <c r="AA187" s="29">
        <f>IF(B187="","",IF(C187="Not found","Check - content ID not on the calendar",IF(G187="","Add - no hook written",IF(H187="","Add - no sound chosen",IF(AND(P187&lt;&gt;"",P187&lt;0.25),"Review - most people scroll away early","OK")))))</f>
        <v>0</v>
      </c>
    </row>
    <row r="188" spans="1:27">
      <c r="A188" s="41">
        <f>IF(B188="","","TT-"&amp;TEXT(ROW()-4,"000"))</f>
        <v>0</v>
      </c>
      <c r="C188" s="17">
        <f>IF(B188="","",IFERROR(INDEX('Content Calendar'!$H$5:$H$604,MATCH(B188,'Content Calendar'!$A$5:$A$604,0)),"Not found"))</f>
        <v>0</v>
      </c>
      <c r="D188" s="16">
        <f>IF(B188="","",IFERROR(INDEX('Content Calendar'!$B$5:$B$604,MATCH(B188,'Content Calendar'!$A$5:$A$604,0)),"Not found"))</f>
        <v>0</v>
      </c>
      <c r="E188" s="17">
        <f>IF(B188="","",IFERROR(INDEX('Content Calendar'!$J$5:$J$604,MATCH(B188,'Content Calendar'!$A$5:$A$604,0)),"Not found"))</f>
        <v>0</v>
      </c>
      <c r="F188" s="29">
        <f>IF(B188="","",IFERROR(INDEX('Content Calendar'!$X$5:$X$604,MATCH(B188,'Content Calendar'!$A$5:$A$604,0)),"Not found"))</f>
        <v>0</v>
      </c>
      <c r="S188" s="23">
        <f>IF(B188="","",IF(COUNTIF(Performance!$B$5:$B$404,B188)=0,"",SUMIFS(Performance!$O$5:$O$404,Performance!$B$5:$B$404,B188)))</f>
        <v>0</v>
      </c>
      <c r="T188" s="23">
        <f>IF(B188="","",IF(COUNTIF(Performance!$B$5:$B$404,B188)=0,"",SUMIFS(Performance!$P$5:$P$404,Performance!$B$5:$B$404,B188)))</f>
        <v>0</v>
      </c>
      <c r="U188" s="23">
        <f>IF(B188="","",IF(COUNTIF(Performance!$B$5:$B$404,B188)=0,"",SUMIFS(Performance!$Z$5:$Z$404,Performance!$B$5:$B$404,B188)))</f>
        <v>0</v>
      </c>
      <c r="V188" s="24">
        <f>IF(OR(S188="",S188=0),"",U188/S188)</f>
        <v>0</v>
      </c>
      <c r="W188" s="23">
        <f>IF(B188="","",IF(COUNTIF(Performance!$B$5:$B$404,B188)=0,"",SUMIFS(Performance!$T$5:$T$404,Performance!$B$5:$B$404,B188)))</f>
        <v>0</v>
      </c>
      <c r="X188" s="23">
        <f>IF(B188="","",IF(COUNTIF(Performance!$B$5:$B$404,B188)=0,"",SUMIFS(Performance!$S$5:$S$404,Performance!$B$5:$B$404,B188)))</f>
        <v>0</v>
      </c>
      <c r="Y188" s="23">
        <f>IF(B188="","",IF(COUNTIF(Performance!$B$5:$B$404,B188)=0,"",SUMIFS(Performance!$R$5:$R$404,Performance!$B$5:$B$404,B188)))</f>
        <v>0</v>
      </c>
      <c r="Z188" s="23">
        <f>IF(B188="","",IF(COUNTIF(Performance!$B$5:$B$404,B188)=0,"",SUMIFS(Performance!$U$5:$U$404,Performance!$B$5:$B$404,B188)))</f>
        <v>0</v>
      </c>
      <c r="AA188" s="29">
        <f>IF(B188="","",IF(C188="Not found","Check - content ID not on the calendar",IF(G188="","Add - no hook written",IF(H188="","Add - no sound chosen",IF(AND(P188&lt;&gt;"",P188&lt;0.25),"Review - most people scroll away early","OK")))))</f>
        <v>0</v>
      </c>
    </row>
    <row r="189" spans="1:27">
      <c r="A189" s="41">
        <f>IF(B189="","","TT-"&amp;TEXT(ROW()-4,"000"))</f>
        <v>0</v>
      </c>
      <c r="C189" s="17">
        <f>IF(B189="","",IFERROR(INDEX('Content Calendar'!$H$5:$H$604,MATCH(B189,'Content Calendar'!$A$5:$A$604,0)),"Not found"))</f>
        <v>0</v>
      </c>
      <c r="D189" s="16">
        <f>IF(B189="","",IFERROR(INDEX('Content Calendar'!$B$5:$B$604,MATCH(B189,'Content Calendar'!$A$5:$A$604,0)),"Not found"))</f>
        <v>0</v>
      </c>
      <c r="E189" s="17">
        <f>IF(B189="","",IFERROR(INDEX('Content Calendar'!$J$5:$J$604,MATCH(B189,'Content Calendar'!$A$5:$A$604,0)),"Not found"))</f>
        <v>0</v>
      </c>
      <c r="F189" s="29">
        <f>IF(B189="","",IFERROR(INDEX('Content Calendar'!$X$5:$X$604,MATCH(B189,'Content Calendar'!$A$5:$A$604,0)),"Not found"))</f>
        <v>0</v>
      </c>
      <c r="S189" s="23">
        <f>IF(B189="","",IF(COUNTIF(Performance!$B$5:$B$404,B189)=0,"",SUMIFS(Performance!$O$5:$O$404,Performance!$B$5:$B$404,B189)))</f>
        <v>0</v>
      </c>
      <c r="T189" s="23">
        <f>IF(B189="","",IF(COUNTIF(Performance!$B$5:$B$404,B189)=0,"",SUMIFS(Performance!$P$5:$P$404,Performance!$B$5:$B$404,B189)))</f>
        <v>0</v>
      </c>
      <c r="U189" s="23">
        <f>IF(B189="","",IF(COUNTIF(Performance!$B$5:$B$404,B189)=0,"",SUMIFS(Performance!$Z$5:$Z$404,Performance!$B$5:$B$404,B189)))</f>
        <v>0</v>
      </c>
      <c r="V189" s="24">
        <f>IF(OR(S189="",S189=0),"",U189/S189)</f>
        <v>0</v>
      </c>
      <c r="W189" s="23">
        <f>IF(B189="","",IF(COUNTIF(Performance!$B$5:$B$404,B189)=0,"",SUMIFS(Performance!$T$5:$T$404,Performance!$B$5:$B$404,B189)))</f>
        <v>0</v>
      </c>
      <c r="X189" s="23">
        <f>IF(B189="","",IF(COUNTIF(Performance!$B$5:$B$404,B189)=0,"",SUMIFS(Performance!$S$5:$S$404,Performance!$B$5:$B$404,B189)))</f>
        <v>0</v>
      </c>
      <c r="Y189" s="23">
        <f>IF(B189="","",IF(COUNTIF(Performance!$B$5:$B$404,B189)=0,"",SUMIFS(Performance!$R$5:$R$404,Performance!$B$5:$B$404,B189)))</f>
        <v>0</v>
      </c>
      <c r="Z189" s="23">
        <f>IF(B189="","",IF(COUNTIF(Performance!$B$5:$B$404,B189)=0,"",SUMIFS(Performance!$U$5:$U$404,Performance!$B$5:$B$404,B189)))</f>
        <v>0</v>
      </c>
      <c r="AA189" s="29">
        <f>IF(B189="","",IF(C189="Not found","Check - content ID not on the calendar",IF(G189="","Add - no hook written",IF(H189="","Add - no sound chosen",IF(AND(P189&lt;&gt;"",P189&lt;0.25),"Review - most people scroll away early","OK")))))</f>
        <v>0</v>
      </c>
    </row>
    <row r="190" spans="1:27">
      <c r="A190" s="41">
        <f>IF(B190="","","TT-"&amp;TEXT(ROW()-4,"000"))</f>
        <v>0</v>
      </c>
      <c r="C190" s="17">
        <f>IF(B190="","",IFERROR(INDEX('Content Calendar'!$H$5:$H$604,MATCH(B190,'Content Calendar'!$A$5:$A$604,0)),"Not found"))</f>
        <v>0</v>
      </c>
      <c r="D190" s="16">
        <f>IF(B190="","",IFERROR(INDEX('Content Calendar'!$B$5:$B$604,MATCH(B190,'Content Calendar'!$A$5:$A$604,0)),"Not found"))</f>
        <v>0</v>
      </c>
      <c r="E190" s="17">
        <f>IF(B190="","",IFERROR(INDEX('Content Calendar'!$J$5:$J$604,MATCH(B190,'Content Calendar'!$A$5:$A$604,0)),"Not found"))</f>
        <v>0</v>
      </c>
      <c r="F190" s="29">
        <f>IF(B190="","",IFERROR(INDEX('Content Calendar'!$X$5:$X$604,MATCH(B190,'Content Calendar'!$A$5:$A$604,0)),"Not found"))</f>
        <v>0</v>
      </c>
      <c r="S190" s="23">
        <f>IF(B190="","",IF(COUNTIF(Performance!$B$5:$B$404,B190)=0,"",SUMIFS(Performance!$O$5:$O$404,Performance!$B$5:$B$404,B190)))</f>
        <v>0</v>
      </c>
      <c r="T190" s="23">
        <f>IF(B190="","",IF(COUNTIF(Performance!$B$5:$B$404,B190)=0,"",SUMIFS(Performance!$P$5:$P$404,Performance!$B$5:$B$404,B190)))</f>
        <v>0</v>
      </c>
      <c r="U190" s="23">
        <f>IF(B190="","",IF(COUNTIF(Performance!$B$5:$B$404,B190)=0,"",SUMIFS(Performance!$Z$5:$Z$404,Performance!$B$5:$B$404,B190)))</f>
        <v>0</v>
      </c>
      <c r="V190" s="24">
        <f>IF(OR(S190="",S190=0),"",U190/S190)</f>
        <v>0</v>
      </c>
      <c r="W190" s="23">
        <f>IF(B190="","",IF(COUNTIF(Performance!$B$5:$B$404,B190)=0,"",SUMIFS(Performance!$T$5:$T$404,Performance!$B$5:$B$404,B190)))</f>
        <v>0</v>
      </c>
      <c r="X190" s="23">
        <f>IF(B190="","",IF(COUNTIF(Performance!$B$5:$B$404,B190)=0,"",SUMIFS(Performance!$S$5:$S$404,Performance!$B$5:$B$404,B190)))</f>
        <v>0</v>
      </c>
      <c r="Y190" s="23">
        <f>IF(B190="","",IF(COUNTIF(Performance!$B$5:$B$404,B190)=0,"",SUMIFS(Performance!$R$5:$R$404,Performance!$B$5:$B$404,B190)))</f>
        <v>0</v>
      </c>
      <c r="Z190" s="23">
        <f>IF(B190="","",IF(COUNTIF(Performance!$B$5:$B$404,B190)=0,"",SUMIFS(Performance!$U$5:$U$404,Performance!$B$5:$B$404,B190)))</f>
        <v>0</v>
      </c>
      <c r="AA190" s="29">
        <f>IF(B190="","",IF(C190="Not found","Check - content ID not on the calendar",IF(G190="","Add - no hook written",IF(H190="","Add - no sound chosen",IF(AND(P190&lt;&gt;"",P190&lt;0.25),"Review - most people scroll away early","OK")))))</f>
        <v>0</v>
      </c>
    </row>
    <row r="191" spans="1:27">
      <c r="A191" s="41">
        <f>IF(B191="","","TT-"&amp;TEXT(ROW()-4,"000"))</f>
        <v>0</v>
      </c>
      <c r="C191" s="17">
        <f>IF(B191="","",IFERROR(INDEX('Content Calendar'!$H$5:$H$604,MATCH(B191,'Content Calendar'!$A$5:$A$604,0)),"Not found"))</f>
        <v>0</v>
      </c>
      <c r="D191" s="16">
        <f>IF(B191="","",IFERROR(INDEX('Content Calendar'!$B$5:$B$604,MATCH(B191,'Content Calendar'!$A$5:$A$604,0)),"Not found"))</f>
        <v>0</v>
      </c>
      <c r="E191" s="17">
        <f>IF(B191="","",IFERROR(INDEX('Content Calendar'!$J$5:$J$604,MATCH(B191,'Content Calendar'!$A$5:$A$604,0)),"Not found"))</f>
        <v>0</v>
      </c>
      <c r="F191" s="29">
        <f>IF(B191="","",IFERROR(INDEX('Content Calendar'!$X$5:$X$604,MATCH(B191,'Content Calendar'!$A$5:$A$604,0)),"Not found"))</f>
        <v>0</v>
      </c>
      <c r="S191" s="23">
        <f>IF(B191="","",IF(COUNTIF(Performance!$B$5:$B$404,B191)=0,"",SUMIFS(Performance!$O$5:$O$404,Performance!$B$5:$B$404,B191)))</f>
        <v>0</v>
      </c>
      <c r="T191" s="23">
        <f>IF(B191="","",IF(COUNTIF(Performance!$B$5:$B$404,B191)=0,"",SUMIFS(Performance!$P$5:$P$404,Performance!$B$5:$B$404,B191)))</f>
        <v>0</v>
      </c>
      <c r="U191" s="23">
        <f>IF(B191="","",IF(COUNTIF(Performance!$B$5:$B$404,B191)=0,"",SUMIFS(Performance!$Z$5:$Z$404,Performance!$B$5:$B$404,B191)))</f>
        <v>0</v>
      </c>
      <c r="V191" s="24">
        <f>IF(OR(S191="",S191=0),"",U191/S191)</f>
        <v>0</v>
      </c>
      <c r="W191" s="23">
        <f>IF(B191="","",IF(COUNTIF(Performance!$B$5:$B$404,B191)=0,"",SUMIFS(Performance!$T$5:$T$404,Performance!$B$5:$B$404,B191)))</f>
        <v>0</v>
      </c>
      <c r="X191" s="23">
        <f>IF(B191="","",IF(COUNTIF(Performance!$B$5:$B$404,B191)=0,"",SUMIFS(Performance!$S$5:$S$404,Performance!$B$5:$B$404,B191)))</f>
        <v>0</v>
      </c>
      <c r="Y191" s="23">
        <f>IF(B191="","",IF(COUNTIF(Performance!$B$5:$B$404,B191)=0,"",SUMIFS(Performance!$R$5:$R$404,Performance!$B$5:$B$404,B191)))</f>
        <v>0</v>
      </c>
      <c r="Z191" s="23">
        <f>IF(B191="","",IF(COUNTIF(Performance!$B$5:$B$404,B191)=0,"",SUMIFS(Performance!$U$5:$U$404,Performance!$B$5:$B$404,B191)))</f>
        <v>0</v>
      </c>
      <c r="AA191" s="29">
        <f>IF(B191="","",IF(C191="Not found","Check - content ID not on the calendar",IF(G191="","Add - no hook written",IF(H191="","Add - no sound chosen",IF(AND(P191&lt;&gt;"",P191&lt;0.25),"Review - most people scroll away early","OK")))))</f>
        <v>0</v>
      </c>
    </row>
    <row r="192" spans="1:27">
      <c r="A192" s="41">
        <f>IF(B192="","","TT-"&amp;TEXT(ROW()-4,"000"))</f>
        <v>0</v>
      </c>
      <c r="C192" s="17">
        <f>IF(B192="","",IFERROR(INDEX('Content Calendar'!$H$5:$H$604,MATCH(B192,'Content Calendar'!$A$5:$A$604,0)),"Not found"))</f>
        <v>0</v>
      </c>
      <c r="D192" s="16">
        <f>IF(B192="","",IFERROR(INDEX('Content Calendar'!$B$5:$B$604,MATCH(B192,'Content Calendar'!$A$5:$A$604,0)),"Not found"))</f>
        <v>0</v>
      </c>
      <c r="E192" s="17">
        <f>IF(B192="","",IFERROR(INDEX('Content Calendar'!$J$5:$J$604,MATCH(B192,'Content Calendar'!$A$5:$A$604,0)),"Not found"))</f>
        <v>0</v>
      </c>
      <c r="F192" s="29">
        <f>IF(B192="","",IFERROR(INDEX('Content Calendar'!$X$5:$X$604,MATCH(B192,'Content Calendar'!$A$5:$A$604,0)),"Not found"))</f>
        <v>0</v>
      </c>
      <c r="S192" s="23">
        <f>IF(B192="","",IF(COUNTIF(Performance!$B$5:$B$404,B192)=0,"",SUMIFS(Performance!$O$5:$O$404,Performance!$B$5:$B$404,B192)))</f>
        <v>0</v>
      </c>
      <c r="T192" s="23">
        <f>IF(B192="","",IF(COUNTIF(Performance!$B$5:$B$404,B192)=0,"",SUMIFS(Performance!$P$5:$P$404,Performance!$B$5:$B$404,B192)))</f>
        <v>0</v>
      </c>
      <c r="U192" s="23">
        <f>IF(B192="","",IF(COUNTIF(Performance!$B$5:$B$404,B192)=0,"",SUMIFS(Performance!$Z$5:$Z$404,Performance!$B$5:$B$404,B192)))</f>
        <v>0</v>
      </c>
      <c r="V192" s="24">
        <f>IF(OR(S192="",S192=0),"",U192/S192)</f>
        <v>0</v>
      </c>
      <c r="W192" s="23">
        <f>IF(B192="","",IF(COUNTIF(Performance!$B$5:$B$404,B192)=0,"",SUMIFS(Performance!$T$5:$T$404,Performance!$B$5:$B$404,B192)))</f>
        <v>0</v>
      </c>
      <c r="X192" s="23">
        <f>IF(B192="","",IF(COUNTIF(Performance!$B$5:$B$404,B192)=0,"",SUMIFS(Performance!$S$5:$S$404,Performance!$B$5:$B$404,B192)))</f>
        <v>0</v>
      </c>
      <c r="Y192" s="23">
        <f>IF(B192="","",IF(COUNTIF(Performance!$B$5:$B$404,B192)=0,"",SUMIFS(Performance!$R$5:$R$404,Performance!$B$5:$B$404,B192)))</f>
        <v>0</v>
      </c>
      <c r="Z192" s="23">
        <f>IF(B192="","",IF(COUNTIF(Performance!$B$5:$B$404,B192)=0,"",SUMIFS(Performance!$U$5:$U$404,Performance!$B$5:$B$404,B192)))</f>
        <v>0</v>
      </c>
      <c r="AA192" s="29">
        <f>IF(B192="","",IF(C192="Not found","Check - content ID not on the calendar",IF(G192="","Add - no hook written",IF(H192="","Add - no sound chosen",IF(AND(P192&lt;&gt;"",P192&lt;0.25),"Review - most people scroll away early","OK")))))</f>
        <v>0</v>
      </c>
    </row>
    <row r="193" spans="1:27">
      <c r="A193" s="41">
        <f>IF(B193="","","TT-"&amp;TEXT(ROW()-4,"000"))</f>
        <v>0</v>
      </c>
      <c r="C193" s="17">
        <f>IF(B193="","",IFERROR(INDEX('Content Calendar'!$H$5:$H$604,MATCH(B193,'Content Calendar'!$A$5:$A$604,0)),"Not found"))</f>
        <v>0</v>
      </c>
      <c r="D193" s="16">
        <f>IF(B193="","",IFERROR(INDEX('Content Calendar'!$B$5:$B$604,MATCH(B193,'Content Calendar'!$A$5:$A$604,0)),"Not found"))</f>
        <v>0</v>
      </c>
      <c r="E193" s="17">
        <f>IF(B193="","",IFERROR(INDEX('Content Calendar'!$J$5:$J$604,MATCH(B193,'Content Calendar'!$A$5:$A$604,0)),"Not found"))</f>
        <v>0</v>
      </c>
      <c r="F193" s="29">
        <f>IF(B193="","",IFERROR(INDEX('Content Calendar'!$X$5:$X$604,MATCH(B193,'Content Calendar'!$A$5:$A$604,0)),"Not found"))</f>
        <v>0</v>
      </c>
      <c r="S193" s="23">
        <f>IF(B193="","",IF(COUNTIF(Performance!$B$5:$B$404,B193)=0,"",SUMIFS(Performance!$O$5:$O$404,Performance!$B$5:$B$404,B193)))</f>
        <v>0</v>
      </c>
      <c r="T193" s="23">
        <f>IF(B193="","",IF(COUNTIF(Performance!$B$5:$B$404,B193)=0,"",SUMIFS(Performance!$P$5:$P$404,Performance!$B$5:$B$404,B193)))</f>
        <v>0</v>
      </c>
      <c r="U193" s="23">
        <f>IF(B193="","",IF(COUNTIF(Performance!$B$5:$B$404,B193)=0,"",SUMIFS(Performance!$Z$5:$Z$404,Performance!$B$5:$B$404,B193)))</f>
        <v>0</v>
      </c>
      <c r="V193" s="24">
        <f>IF(OR(S193="",S193=0),"",U193/S193)</f>
        <v>0</v>
      </c>
      <c r="W193" s="23">
        <f>IF(B193="","",IF(COUNTIF(Performance!$B$5:$B$404,B193)=0,"",SUMIFS(Performance!$T$5:$T$404,Performance!$B$5:$B$404,B193)))</f>
        <v>0</v>
      </c>
      <c r="X193" s="23">
        <f>IF(B193="","",IF(COUNTIF(Performance!$B$5:$B$404,B193)=0,"",SUMIFS(Performance!$S$5:$S$404,Performance!$B$5:$B$404,B193)))</f>
        <v>0</v>
      </c>
      <c r="Y193" s="23">
        <f>IF(B193="","",IF(COUNTIF(Performance!$B$5:$B$404,B193)=0,"",SUMIFS(Performance!$R$5:$R$404,Performance!$B$5:$B$404,B193)))</f>
        <v>0</v>
      </c>
      <c r="Z193" s="23">
        <f>IF(B193="","",IF(COUNTIF(Performance!$B$5:$B$404,B193)=0,"",SUMIFS(Performance!$U$5:$U$404,Performance!$B$5:$B$404,B193)))</f>
        <v>0</v>
      </c>
      <c r="AA193" s="29">
        <f>IF(B193="","",IF(C193="Not found","Check - content ID not on the calendar",IF(G193="","Add - no hook written",IF(H193="","Add - no sound chosen",IF(AND(P193&lt;&gt;"",P193&lt;0.25),"Review - most people scroll away early","OK")))))</f>
        <v>0</v>
      </c>
    </row>
    <row r="194" spans="1:27">
      <c r="A194" s="41">
        <f>IF(B194="","","TT-"&amp;TEXT(ROW()-4,"000"))</f>
        <v>0</v>
      </c>
      <c r="C194" s="17">
        <f>IF(B194="","",IFERROR(INDEX('Content Calendar'!$H$5:$H$604,MATCH(B194,'Content Calendar'!$A$5:$A$604,0)),"Not found"))</f>
        <v>0</v>
      </c>
      <c r="D194" s="16">
        <f>IF(B194="","",IFERROR(INDEX('Content Calendar'!$B$5:$B$604,MATCH(B194,'Content Calendar'!$A$5:$A$604,0)),"Not found"))</f>
        <v>0</v>
      </c>
      <c r="E194" s="17">
        <f>IF(B194="","",IFERROR(INDEX('Content Calendar'!$J$5:$J$604,MATCH(B194,'Content Calendar'!$A$5:$A$604,0)),"Not found"))</f>
        <v>0</v>
      </c>
      <c r="F194" s="29">
        <f>IF(B194="","",IFERROR(INDEX('Content Calendar'!$X$5:$X$604,MATCH(B194,'Content Calendar'!$A$5:$A$604,0)),"Not found"))</f>
        <v>0</v>
      </c>
      <c r="S194" s="23">
        <f>IF(B194="","",IF(COUNTIF(Performance!$B$5:$B$404,B194)=0,"",SUMIFS(Performance!$O$5:$O$404,Performance!$B$5:$B$404,B194)))</f>
        <v>0</v>
      </c>
      <c r="T194" s="23">
        <f>IF(B194="","",IF(COUNTIF(Performance!$B$5:$B$404,B194)=0,"",SUMIFS(Performance!$P$5:$P$404,Performance!$B$5:$B$404,B194)))</f>
        <v>0</v>
      </c>
      <c r="U194" s="23">
        <f>IF(B194="","",IF(COUNTIF(Performance!$B$5:$B$404,B194)=0,"",SUMIFS(Performance!$Z$5:$Z$404,Performance!$B$5:$B$404,B194)))</f>
        <v>0</v>
      </c>
      <c r="V194" s="24">
        <f>IF(OR(S194="",S194=0),"",U194/S194)</f>
        <v>0</v>
      </c>
      <c r="W194" s="23">
        <f>IF(B194="","",IF(COUNTIF(Performance!$B$5:$B$404,B194)=0,"",SUMIFS(Performance!$T$5:$T$404,Performance!$B$5:$B$404,B194)))</f>
        <v>0</v>
      </c>
      <c r="X194" s="23">
        <f>IF(B194="","",IF(COUNTIF(Performance!$B$5:$B$404,B194)=0,"",SUMIFS(Performance!$S$5:$S$404,Performance!$B$5:$B$404,B194)))</f>
        <v>0</v>
      </c>
      <c r="Y194" s="23">
        <f>IF(B194="","",IF(COUNTIF(Performance!$B$5:$B$404,B194)=0,"",SUMIFS(Performance!$R$5:$R$404,Performance!$B$5:$B$404,B194)))</f>
        <v>0</v>
      </c>
      <c r="Z194" s="23">
        <f>IF(B194="","",IF(COUNTIF(Performance!$B$5:$B$404,B194)=0,"",SUMIFS(Performance!$U$5:$U$404,Performance!$B$5:$B$404,B194)))</f>
        <v>0</v>
      </c>
      <c r="AA194" s="29">
        <f>IF(B194="","",IF(C194="Not found","Check - content ID not on the calendar",IF(G194="","Add - no hook written",IF(H194="","Add - no sound chosen",IF(AND(P194&lt;&gt;"",P194&lt;0.25),"Review - most people scroll away early","OK")))))</f>
        <v>0</v>
      </c>
    </row>
    <row r="195" spans="1:27">
      <c r="A195" s="41">
        <f>IF(B195="","","TT-"&amp;TEXT(ROW()-4,"000"))</f>
        <v>0</v>
      </c>
      <c r="C195" s="17">
        <f>IF(B195="","",IFERROR(INDEX('Content Calendar'!$H$5:$H$604,MATCH(B195,'Content Calendar'!$A$5:$A$604,0)),"Not found"))</f>
        <v>0</v>
      </c>
      <c r="D195" s="16">
        <f>IF(B195="","",IFERROR(INDEX('Content Calendar'!$B$5:$B$604,MATCH(B195,'Content Calendar'!$A$5:$A$604,0)),"Not found"))</f>
        <v>0</v>
      </c>
      <c r="E195" s="17">
        <f>IF(B195="","",IFERROR(INDEX('Content Calendar'!$J$5:$J$604,MATCH(B195,'Content Calendar'!$A$5:$A$604,0)),"Not found"))</f>
        <v>0</v>
      </c>
      <c r="F195" s="29">
        <f>IF(B195="","",IFERROR(INDEX('Content Calendar'!$X$5:$X$604,MATCH(B195,'Content Calendar'!$A$5:$A$604,0)),"Not found"))</f>
        <v>0</v>
      </c>
      <c r="S195" s="23">
        <f>IF(B195="","",IF(COUNTIF(Performance!$B$5:$B$404,B195)=0,"",SUMIFS(Performance!$O$5:$O$404,Performance!$B$5:$B$404,B195)))</f>
        <v>0</v>
      </c>
      <c r="T195" s="23">
        <f>IF(B195="","",IF(COUNTIF(Performance!$B$5:$B$404,B195)=0,"",SUMIFS(Performance!$P$5:$P$404,Performance!$B$5:$B$404,B195)))</f>
        <v>0</v>
      </c>
      <c r="U195" s="23">
        <f>IF(B195="","",IF(COUNTIF(Performance!$B$5:$B$404,B195)=0,"",SUMIFS(Performance!$Z$5:$Z$404,Performance!$B$5:$B$404,B195)))</f>
        <v>0</v>
      </c>
      <c r="V195" s="24">
        <f>IF(OR(S195="",S195=0),"",U195/S195)</f>
        <v>0</v>
      </c>
      <c r="W195" s="23">
        <f>IF(B195="","",IF(COUNTIF(Performance!$B$5:$B$404,B195)=0,"",SUMIFS(Performance!$T$5:$T$404,Performance!$B$5:$B$404,B195)))</f>
        <v>0</v>
      </c>
      <c r="X195" s="23">
        <f>IF(B195="","",IF(COUNTIF(Performance!$B$5:$B$404,B195)=0,"",SUMIFS(Performance!$S$5:$S$404,Performance!$B$5:$B$404,B195)))</f>
        <v>0</v>
      </c>
      <c r="Y195" s="23">
        <f>IF(B195="","",IF(COUNTIF(Performance!$B$5:$B$404,B195)=0,"",SUMIFS(Performance!$R$5:$R$404,Performance!$B$5:$B$404,B195)))</f>
        <v>0</v>
      </c>
      <c r="Z195" s="23">
        <f>IF(B195="","",IF(COUNTIF(Performance!$B$5:$B$404,B195)=0,"",SUMIFS(Performance!$U$5:$U$404,Performance!$B$5:$B$404,B195)))</f>
        <v>0</v>
      </c>
      <c r="AA195" s="29">
        <f>IF(B195="","",IF(C195="Not found","Check - content ID not on the calendar",IF(G195="","Add - no hook written",IF(H195="","Add - no sound chosen",IF(AND(P195&lt;&gt;"",P195&lt;0.25),"Review - most people scroll away early","OK")))))</f>
        <v>0</v>
      </c>
    </row>
    <row r="196" spans="1:27">
      <c r="A196" s="41">
        <f>IF(B196="","","TT-"&amp;TEXT(ROW()-4,"000"))</f>
        <v>0</v>
      </c>
      <c r="C196" s="17">
        <f>IF(B196="","",IFERROR(INDEX('Content Calendar'!$H$5:$H$604,MATCH(B196,'Content Calendar'!$A$5:$A$604,0)),"Not found"))</f>
        <v>0</v>
      </c>
      <c r="D196" s="16">
        <f>IF(B196="","",IFERROR(INDEX('Content Calendar'!$B$5:$B$604,MATCH(B196,'Content Calendar'!$A$5:$A$604,0)),"Not found"))</f>
        <v>0</v>
      </c>
      <c r="E196" s="17">
        <f>IF(B196="","",IFERROR(INDEX('Content Calendar'!$J$5:$J$604,MATCH(B196,'Content Calendar'!$A$5:$A$604,0)),"Not found"))</f>
        <v>0</v>
      </c>
      <c r="F196" s="29">
        <f>IF(B196="","",IFERROR(INDEX('Content Calendar'!$X$5:$X$604,MATCH(B196,'Content Calendar'!$A$5:$A$604,0)),"Not found"))</f>
        <v>0</v>
      </c>
      <c r="S196" s="23">
        <f>IF(B196="","",IF(COUNTIF(Performance!$B$5:$B$404,B196)=0,"",SUMIFS(Performance!$O$5:$O$404,Performance!$B$5:$B$404,B196)))</f>
        <v>0</v>
      </c>
      <c r="T196" s="23">
        <f>IF(B196="","",IF(COUNTIF(Performance!$B$5:$B$404,B196)=0,"",SUMIFS(Performance!$P$5:$P$404,Performance!$B$5:$B$404,B196)))</f>
        <v>0</v>
      </c>
      <c r="U196" s="23">
        <f>IF(B196="","",IF(COUNTIF(Performance!$B$5:$B$404,B196)=0,"",SUMIFS(Performance!$Z$5:$Z$404,Performance!$B$5:$B$404,B196)))</f>
        <v>0</v>
      </c>
      <c r="V196" s="24">
        <f>IF(OR(S196="",S196=0),"",U196/S196)</f>
        <v>0</v>
      </c>
      <c r="W196" s="23">
        <f>IF(B196="","",IF(COUNTIF(Performance!$B$5:$B$404,B196)=0,"",SUMIFS(Performance!$T$5:$T$404,Performance!$B$5:$B$404,B196)))</f>
        <v>0</v>
      </c>
      <c r="X196" s="23">
        <f>IF(B196="","",IF(COUNTIF(Performance!$B$5:$B$404,B196)=0,"",SUMIFS(Performance!$S$5:$S$404,Performance!$B$5:$B$404,B196)))</f>
        <v>0</v>
      </c>
      <c r="Y196" s="23">
        <f>IF(B196="","",IF(COUNTIF(Performance!$B$5:$B$404,B196)=0,"",SUMIFS(Performance!$R$5:$R$404,Performance!$B$5:$B$404,B196)))</f>
        <v>0</v>
      </c>
      <c r="Z196" s="23">
        <f>IF(B196="","",IF(COUNTIF(Performance!$B$5:$B$404,B196)=0,"",SUMIFS(Performance!$U$5:$U$404,Performance!$B$5:$B$404,B196)))</f>
        <v>0</v>
      </c>
      <c r="AA196" s="29">
        <f>IF(B196="","",IF(C196="Not found","Check - content ID not on the calendar",IF(G196="","Add - no hook written",IF(H196="","Add - no sound chosen",IF(AND(P196&lt;&gt;"",P196&lt;0.25),"Review - most people scroll away early","OK")))))</f>
        <v>0</v>
      </c>
    </row>
    <row r="197" spans="1:27">
      <c r="A197" s="41">
        <f>IF(B197="","","TT-"&amp;TEXT(ROW()-4,"000"))</f>
        <v>0</v>
      </c>
      <c r="C197" s="17">
        <f>IF(B197="","",IFERROR(INDEX('Content Calendar'!$H$5:$H$604,MATCH(B197,'Content Calendar'!$A$5:$A$604,0)),"Not found"))</f>
        <v>0</v>
      </c>
      <c r="D197" s="16">
        <f>IF(B197="","",IFERROR(INDEX('Content Calendar'!$B$5:$B$604,MATCH(B197,'Content Calendar'!$A$5:$A$604,0)),"Not found"))</f>
        <v>0</v>
      </c>
      <c r="E197" s="17">
        <f>IF(B197="","",IFERROR(INDEX('Content Calendar'!$J$5:$J$604,MATCH(B197,'Content Calendar'!$A$5:$A$604,0)),"Not found"))</f>
        <v>0</v>
      </c>
      <c r="F197" s="29">
        <f>IF(B197="","",IFERROR(INDEX('Content Calendar'!$X$5:$X$604,MATCH(B197,'Content Calendar'!$A$5:$A$604,0)),"Not found"))</f>
        <v>0</v>
      </c>
      <c r="S197" s="23">
        <f>IF(B197="","",IF(COUNTIF(Performance!$B$5:$B$404,B197)=0,"",SUMIFS(Performance!$O$5:$O$404,Performance!$B$5:$B$404,B197)))</f>
        <v>0</v>
      </c>
      <c r="T197" s="23">
        <f>IF(B197="","",IF(COUNTIF(Performance!$B$5:$B$404,B197)=0,"",SUMIFS(Performance!$P$5:$P$404,Performance!$B$5:$B$404,B197)))</f>
        <v>0</v>
      </c>
      <c r="U197" s="23">
        <f>IF(B197="","",IF(COUNTIF(Performance!$B$5:$B$404,B197)=0,"",SUMIFS(Performance!$Z$5:$Z$404,Performance!$B$5:$B$404,B197)))</f>
        <v>0</v>
      </c>
      <c r="V197" s="24">
        <f>IF(OR(S197="",S197=0),"",U197/S197)</f>
        <v>0</v>
      </c>
      <c r="W197" s="23">
        <f>IF(B197="","",IF(COUNTIF(Performance!$B$5:$B$404,B197)=0,"",SUMIFS(Performance!$T$5:$T$404,Performance!$B$5:$B$404,B197)))</f>
        <v>0</v>
      </c>
      <c r="X197" s="23">
        <f>IF(B197="","",IF(COUNTIF(Performance!$B$5:$B$404,B197)=0,"",SUMIFS(Performance!$S$5:$S$404,Performance!$B$5:$B$404,B197)))</f>
        <v>0</v>
      </c>
      <c r="Y197" s="23">
        <f>IF(B197="","",IF(COUNTIF(Performance!$B$5:$B$404,B197)=0,"",SUMIFS(Performance!$R$5:$R$404,Performance!$B$5:$B$404,B197)))</f>
        <v>0</v>
      </c>
      <c r="Z197" s="23">
        <f>IF(B197="","",IF(COUNTIF(Performance!$B$5:$B$404,B197)=0,"",SUMIFS(Performance!$U$5:$U$404,Performance!$B$5:$B$404,B197)))</f>
        <v>0</v>
      </c>
      <c r="AA197" s="29">
        <f>IF(B197="","",IF(C197="Not found","Check - content ID not on the calendar",IF(G197="","Add - no hook written",IF(H197="","Add - no sound chosen",IF(AND(P197&lt;&gt;"",P197&lt;0.25),"Review - most people scroll away early","OK")))))</f>
        <v>0</v>
      </c>
    </row>
    <row r="198" spans="1:27">
      <c r="A198" s="41">
        <f>IF(B198="","","TT-"&amp;TEXT(ROW()-4,"000"))</f>
        <v>0</v>
      </c>
      <c r="C198" s="17">
        <f>IF(B198="","",IFERROR(INDEX('Content Calendar'!$H$5:$H$604,MATCH(B198,'Content Calendar'!$A$5:$A$604,0)),"Not found"))</f>
        <v>0</v>
      </c>
      <c r="D198" s="16">
        <f>IF(B198="","",IFERROR(INDEX('Content Calendar'!$B$5:$B$604,MATCH(B198,'Content Calendar'!$A$5:$A$604,0)),"Not found"))</f>
        <v>0</v>
      </c>
      <c r="E198" s="17">
        <f>IF(B198="","",IFERROR(INDEX('Content Calendar'!$J$5:$J$604,MATCH(B198,'Content Calendar'!$A$5:$A$604,0)),"Not found"))</f>
        <v>0</v>
      </c>
      <c r="F198" s="29">
        <f>IF(B198="","",IFERROR(INDEX('Content Calendar'!$X$5:$X$604,MATCH(B198,'Content Calendar'!$A$5:$A$604,0)),"Not found"))</f>
        <v>0</v>
      </c>
      <c r="S198" s="23">
        <f>IF(B198="","",IF(COUNTIF(Performance!$B$5:$B$404,B198)=0,"",SUMIFS(Performance!$O$5:$O$404,Performance!$B$5:$B$404,B198)))</f>
        <v>0</v>
      </c>
      <c r="T198" s="23">
        <f>IF(B198="","",IF(COUNTIF(Performance!$B$5:$B$404,B198)=0,"",SUMIFS(Performance!$P$5:$P$404,Performance!$B$5:$B$404,B198)))</f>
        <v>0</v>
      </c>
      <c r="U198" s="23">
        <f>IF(B198="","",IF(COUNTIF(Performance!$B$5:$B$404,B198)=0,"",SUMIFS(Performance!$Z$5:$Z$404,Performance!$B$5:$B$404,B198)))</f>
        <v>0</v>
      </c>
      <c r="V198" s="24">
        <f>IF(OR(S198="",S198=0),"",U198/S198)</f>
        <v>0</v>
      </c>
      <c r="W198" s="23">
        <f>IF(B198="","",IF(COUNTIF(Performance!$B$5:$B$404,B198)=0,"",SUMIFS(Performance!$T$5:$T$404,Performance!$B$5:$B$404,B198)))</f>
        <v>0</v>
      </c>
      <c r="X198" s="23">
        <f>IF(B198="","",IF(COUNTIF(Performance!$B$5:$B$404,B198)=0,"",SUMIFS(Performance!$S$5:$S$404,Performance!$B$5:$B$404,B198)))</f>
        <v>0</v>
      </c>
      <c r="Y198" s="23">
        <f>IF(B198="","",IF(COUNTIF(Performance!$B$5:$B$404,B198)=0,"",SUMIFS(Performance!$R$5:$R$404,Performance!$B$5:$B$404,B198)))</f>
        <v>0</v>
      </c>
      <c r="Z198" s="23">
        <f>IF(B198="","",IF(COUNTIF(Performance!$B$5:$B$404,B198)=0,"",SUMIFS(Performance!$U$5:$U$404,Performance!$B$5:$B$404,B198)))</f>
        <v>0</v>
      </c>
      <c r="AA198" s="29">
        <f>IF(B198="","",IF(C198="Not found","Check - content ID not on the calendar",IF(G198="","Add - no hook written",IF(H198="","Add - no sound chosen",IF(AND(P198&lt;&gt;"",P198&lt;0.25),"Review - most people scroll away early","OK")))))</f>
        <v>0</v>
      </c>
    </row>
    <row r="199" spans="1:27">
      <c r="A199" s="41">
        <f>IF(B199="","","TT-"&amp;TEXT(ROW()-4,"000"))</f>
        <v>0</v>
      </c>
      <c r="C199" s="17">
        <f>IF(B199="","",IFERROR(INDEX('Content Calendar'!$H$5:$H$604,MATCH(B199,'Content Calendar'!$A$5:$A$604,0)),"Not found"))</f>
        <v>0</v>
      </c>
      <c r="D199" s="16">
        <f>IF(B199="","",IFERROR(INDEX('Content Calendar'!$B$5:$B$604,MATCH(B199,'Content Calendar'!$A$5:$A$604,0)),"Not found"))</f>
        <v>0</v>
      </c>
      <c r="E199" s="17">
        <f>IF(B199="","",IFERROR(INDEX('Content Calendar'!$J$5:$J$604,MATCH(B199,'Content Calendar'!$A$5:$A$604,0)),"Not found"))</f>
        <v>0</v>
      </c>
      <c r="F199" s="29">
        <f>IF(B199="","",IFERROR(INDEX('Content Calendar'!$X$5:$X$604,MATCH(B199,'Content Calendar'!$A$5:$A$604,0)),"Not found"))</f>
        <v>0</v>
      </c>
      <c r="S199" s="23">
        <f>IF(B199="","",IF(COUNTIF(Performance!$B$5:$B$404,B199)=0,"",SUMIFS(Performance!$O$5:$O$404,Performance!$B$5:$B$404,B199)))</f>
        <v>0</v>
      </c>
      <c r="T199" s="23">
        <f>IF(B199="","",IF(COUNTIF(Performance!$B$5:$B$404,B199)=0,"",SUMIFS(Performance!$P$5:$P$404,Performance!$B$5:$B$404,B199)))</f>
        <v>0</v>
      </c>
      <c r="U199" s="23">
        <f>IF(B199="","",IF(COUNTIF(Performance!$B$5:$B$404,B199)=0,"",SUMIFS(Performance!$Z$5:$Z$404,Performance!$B$5:$B$404,B199)))</f>
        <v>0</v>
      </c>
      <c r="V199" s="24">
        <f>IF(OR(S199="",S199=0),"",U199/S199)</f>
        <v>0</v>
      </c>
      <c r="W199" s="23">
        <f>IF(B199="","",IF(COUNTIF(Performance!$B$5:$B$404,B199)=0,"",SUMIFS(Performance!$T$5:$T$404,Performance!$B$5:$B$404,B199)))</f>
        <v>0</v>
      </c>
      <c r="X199" s="23">
        <f>IF(B199="","",IF(COUNTIF(Performance!$B$5:$B$404,B199)=0,"",SUMIFS(Performance!$S$5:$S$404,Performance!$B$5:$B$404,B199)))</f>
        <v>0</v>
      </c>
      <c r="Y199" s="23">
        <f>IF(B199="","",IF(COUNTIF(Performance!$B$5:$B$404,B199)=0,"",SUMIFS(Performance!$R$5:$R$404,Performance!$B$5:$B$404,B199)))</f>
        <v>0</v>
      </c>
      <c r="Z199" s="23">
        <f>IF(B199="","",IF(COUNTIF(Performance!$B$5:$B$404,B199)=0,"",SUMIFS(Performance!$U$5:$U$404,Performance!$B$5:$B$404,B199)))</f>
        <v>0</v>
      </c>
      <c r="AA199" s="29">
        <f>IF(B199="","",IF(C199="Not found","Check - content ID not on the calendar",IF(G199="","Add - no hook written",IF(H199="","Add - no sound chosen",IF(AND(P199&lt;&gt;"",P199&lt;0.25),"Review - most people scroll away early","OK")))))</f>
        <v>0</v>
      </c>
    </row>
    <row r="200" spans="1:27">
      <c r="A200" s="41">
        <f>IF(B200="","","TT-"&amp;TEXT(ROW()-4,"000"))</f>
        <v>0</v>
      </c>
      <c r="C200" s="17">
        <f>IF(B200="","",IFERROR(INDEX('Content Calendar'!$H$5:$H$604,MATCH(B200,'Content Calendar'!$A$5:$A$604,0)),"Not found"))</f>
        <v>0</v>
      </c>
      <c r="D200" s="16">
        <f>IF(B200="","",IFERROR(INDEX('Content Calendar'!$B$5:$B$604,MATCH(B200,'Content Calendar'!$A$5:$A$604,0)),"Not found"))</f>
        <v>0</v>
      </c>
      <c r="E200" s="17">
        <f>IF(B200="","",IFERROR(INDEX('Content Calendar'!$J$5:$J$604,MATCH(B200,'Content Calendar'!$A$5:$A$604,0)),"Not found"))</f>
        <v>0</v>
      </c>
      <c r="F200" s="29">
        <f>IF(B200="","",IFERROR(INDEX('Content Calendar'!$X$5:$X$604,MATCH(B200,'Content Calendar'!$A$5:$A$604,0)),"Not found"))</f>
        <v>0</v>
      </c>
      <c r="S200" s="23">
        <f>IF(B200="","",IF(COUNTIF(Performance!$B$5:$B$404,B200)=0,"",SUMIFS(Performance!$O$5:$O$404,Performance!$B$5:$B$404,B200)))</f>
        <v>0</v>
      </c>
      <c r="T200" s="23">
        <f>IF(B200="","",IF(COUNTIF(Performance!$B$5:$B$404,B200)=0,"",SUMIFS(Performance!$P$5:$P$404,Performance!$B$5:$B$404,B200)))</f>
        <v>0</v>
      </c>
      <c r="U200" s="23">
        <f>IF(B200="","",IF(COUNTIF(Performance!$B$5:$B$404,B200)=0,"",SUMIFS(Performance!$Z$5:$Z$404,Performance!$B$5:$B$404,B200)))</f>
        <v>0</v>
      </c>
      <c r="V200" s="24">
        <f>IF(OR(S200="",S200=0),"",U200/S200)</f>
        <v>0</v>
      </c>
      <c r="W200" s="23">
        <f>IF(B200="","",IF(COUNTIF(Performance!$B$5:$B$404,B200)=0,"",SUMIFS(Performance!$T$5:$T$404,Performance!$B$5:$B$404,B200)))</f>
        <v>0</v>
      </c>
      <c r="X200" s="23">
        <f>IF(B200="","",IF(COUNTIF(Performance!$B$5:$B$404,B200)=0,"",SUMIFS(Performance!$S$5:$S$404,Performance!$B$5:$B$404,B200)))</f>
        <v>0</v>
      </c>
      <c r="Y200" s="23">
        <f>IF(B200="","",IF(COUNTIF(Performance!$B$5:$B$404,B200)=0,"",SUMIFS(Performance!$R$5:$R$404,Performance!$B$5:$B$404,B200)))</f>
        <v>0</v>
      </c>
      <c r="Z200" s="23">
        <f>IF(B200="","",IF(COUNTIF(Performance!$B$5:$B$404,B200)=0,"",SUMIFS(Performance!$U$5:$U$404,Performance!$B$5:$B$404,B200)))</f>
        <v>0</v>
      </c>
      <c r="AA200" s="29">
        <f>IF(B200="","",IF(C200="Not found","Check - content ID not on the calendar",IF(G200="","Add - no hook written",IF(H200="","Add - no sound chosen",IF(AND(P200&lt;&gt;"",P200&lt;0.25),"Review - most people scroll away early","OK")))))</f>
        <v>0</v>
      </c>
    </row>
    <row r="201" spans="1:27">
      <c r="A201" s="41">
        <f>IF(B201="","","TT-"&amp;TEXT(ROW()-4,"000"))</f>
        <v>0</v>
      </c>
      <c r="C201" s="17">
        <f>IF(B201="","",IFERROR(INDEX('Content Calendar'!$H$5:$H$604,MATCH(B201,'Content Calendar'!$A$5:$A$604,0)),"Not found"))</f>
        <v>0</v>
      </c>
      <c r="D201" s="16">
        <f>IF(B201="","",IFERROR(INDEX('Content Calendar'!$B$5:$B$604,MATCH(B201,'Content Calendar'!$A$5:$A$604,0)),"Not found"))</f>
        <v>0</v>
      </c>
      <c r="E201" s="17">
        <f>IF(B201="","",IFERROR(INDEX('Content Calendar'!$J$5:$J$604,MATCH(B201,'Content Calendar'!$A$5:$A$604,0)),"Not found"))</f>
        <v>0</v>
      </c>
      <c r="F201" s="29">
        <f>IF(B201="","",IFERROR(INDEX('Content Calendar'!$X$5:$X$604,MATCH(B201,'Content Calendar'!$A$5:$A$604,0)),"Not found"))</f>
        <v>0</v>
      </c>
      <c r="S201" s="23">
        <f>IF(B201="","",IF(COUNTIF(Performance!$B$5:$B$404,B201)=0,"",SUMIFS(Performance!$O$5:$O$404,Performance!$B$5:$B$404,B201)))</f>
        <v>0</v>
      </c>
      <c r="T201" s="23">
        <f>IF(B201="","",IF(COUNTIF(Performance!$B$5:$B$404,B201)=0,"",SUMIFS(Performance!$P$5:$P$404,Performance!$B$5:$B$404,B201)))</f>
        <v>0</v>
      </c>
      <c r="U201" s="23">
        <f>IF(B201="","",IF(COUNTIF(Performance!$B$5:$B$404,B201)=0,"",SUMIFS(Performance!$Z$5:$Z$404,Performance!$B$5:$B$404,B201)))</f>
        <v>0</v>
      </c>
      <c r="V201" s="24">
        <f>IF(OR(S201="",S201=0),"",U201/S201)</f>
        <v>0</v>
      </c>
      <c r="W201" s="23">
        <f>IF(B201="","",IF(COUNTIF(Performance!$B$5:$B$404,B201)=0,"",SUMIFS(Performance!$T$5:$T$404,Performance!$B$5:$B$404,B201)))</f>
        <v>0</v>
      </c>
      <c r="X201" s="23">
        <f>IF(B201="","",IF(COUNTIF(Performance!$B$5:$B$404,B201)=0,"",SUMIFS(Performance!$S$5:$S$404,Performance!$B$5:$B$404,B201)))</f>
        <v>0</v>
      </c>
      <c r="Y201" s="23">
        <f>IF(B201="","",IF(COUNTIF(Performance!$B$5:$B$404,B201)=0,"",SUMIFS(Performance!$R$5:$R$404,Performance!$B$5:$B$404,B201)))</f>
        <v>0</v>
      </c>
      <c r="Z201" s="23">
        <f>IF(B201="","",IF(COUNTIF(Performance!$B$5:$B$404,B201)=0,"",SUMIFS(Performance!$U$5:$U$404,Performance!$B$5:$B$404,B201)))</f>
        <v>0</v>
      </c>
      <c r="AA201" s="29">
        <f>IF(B201="","",IF(C201="Not found","Check - content ID not on the calendar",IF(G201="","Add - no hook written",IF(H201="","Add - no sound chosen",IF(AND(P201&lt;&gt;"",P201&lt;0.25),"Review - most people scroll away early","OK")))))</f>
        <v>0</v>
      </c>
    </row>
    <row r="202" spans="1:27">
      <c r="A202" s="41">
        <f>IF(B202="","","TT-"&amp;TEXT(ROW()-4,"000"))</f>
        <v>0</v>
      </c>
      <c r="C202" s="17">
        <f>IF(B202="","",IFERROR(INDEX('Content Calendar'!$H$5:$H$604,MATCH(B202,'Content Calendar'!$A$5:$A$604,0)),"Not found"))</f>
        <v>0</v>
      </c>
      <c r="D202" s="16">
        <f>IF(B202="","",IFERROR(INDEX('Content Calendar'!$B$5:$B$604,MATCH(B202,'Content Calendar'!$A$5:$A$604,0)),"Not found"))</f>
        <v>0</v>
      </c>
      <c r="E202" s="17">
        <f>IF(B202="","",IFERROR(INDEX('Content Calendar'!$J$5:$J$604,MATCH(B202,'Content Calendar'!$A$5:$A$604,0)),"Not found"))</f>
        <v>0</v>
      </c>
      <c r="F202" s="29">
        <f>IF(B202="","",IFERROR(INDEX('Content Calendar'!$X$5:$X$604,MATCH(B202,'Content Calendar'!$A$5:$A$604,0)),"Not found"))</f>
        <v>0</v>
      </c>
      <c r="S202" s="23">
        <f>IF(B202="","",IF(COUNTIF(Performance!$B$5:$B$404,B202)=0,"",SUMIFS(Performance!$O$5:$O$404,Performance!$B$5:$B$404,B202)))</f>
        <v>0</v>
      </c>
      <c r="T202" s="23">
        <f>IF(B202="","",IF(COUNTIF(Performance!$B$5:$B$404,B202)=0,"",SUMIFS(Performance!$P$5:$P$404,Performance!$B$5:$B$404,B202)))</f>
        <v>0</v>
      </c>
      <c r="U202" s="23">
        <f>IF(B202="","",IF(COUNTIF(Performance!$B$5:$B$404,B202)=0,"",SUMIFS(Performance!$Z$5:$Z$404,Performance!$B$5:$B$404,B202)))</f>
        <v>0</v>
      </c>
      <c r="V202" s="24">
        <f>IF(OR(S202="",S202=0),"",U202/S202)</f>
        <v>0</v>
      </c>
      <c r="W202" s="23">
        <f>IF(B202="","",IF(COUNTIF(Performance!$B$5:$B$404,B202)=0,"",SUMIFS(Performance!$T$5:$T$404,Performance!$B$5:$B$404,B202)))</f>
        <v>0</v>
      </c>
      <c r="X202" s="23">
        <f>IF(B202="","",IF(COUNTIF(Performance!$B$5:$B$404,B202)=0,"",SUMIFS(Performance!$S$5:$S$404,Performance!$B$5:$B$404,B202)))</f>
        <v>0</v>
      </c>
      <c r="Y202" s="23">
        <f>IF(B202="","",IF(COUNTIF(Performance!$B$5:$B$404,B202)=0,"",SUMIFS(Performance!$R$5:$R$404,Performance!$B$5:$B$404,B202)))</f>
        <v>0</v>
      </c>
      <c r="Z202" s="23">
        <f>IF(B202="","",IF(COUNTIF(Performance!$B$5:$B$404,B202)=0,"",SUMIFS(Performance!$U$5:$U$404,Performance!$B$5:$B$404,B202)))</f>
        <v>0</v>
      </c>
      <c r="AA202" s="29">
        <f>IF(B202="","",IF(C202="Not found","Check - content ID not on the calendar",IF(G202="","Add - no hook written",IF(H202="","Add - no sound chosen",IF(AND(P202&lt;&gt;"",P202&lt;0.25),"Review - most people scroll away early","OK")))))</f>
        <v>0</v>
      </c>
    </row>
    <row r="203" spans="1:27">
      <c r="A203" s="41">
        <f>IF(B203="","","TT-"&amp;TEXT(ROW()-4,"000"))</f>
        <v>0</v>
      </c>
      <c r="C203" s="17">
        <f>IF(B203="","",IFERROR(INDEX('Content Calendar'!$H$5:$H$604,MATCH(B203,'Content Calendar'!$A$5:$A$604,0)),"Not found"))</f>
        <v>0</v>
      </c>
      <c r="D203" s="16">
        <f>IF(B203="","",IFERROR(INDEX('Content Calendar'!$B$5:$B$604,MATCH(B203,'Content Calendar'!$A$5:$A$604,0)),"Not found"))</f>
        <v>0</v>
      </c>
      <c r="E203" s="17">
        <f>IF(B203="","",IFERROR(INDEX('Content Calendar'!$J$5:$J$604,MATCH(B203,'Content Calendar'!$A$5:$A$604,0)),"Not found"))</f>
        <v>0</v>
      </c>
      <c r="F203" s="29">
        <f>IF(B203="","",IFERROR(INDEX('Content Calendar'!$X$5:$X$604,MATCH(B203,'Content Calendar'!$A$5:$A$604,0)),"Not found"))</f>
        <v>0</v>
      </c>
      <c r="S203" s="23">
        <f>IF(B203="","",IF(COUNTIF(Performance!$B$5:$B$404,B203)=0,"",SUMIFS(Performance!$O$5:$O$404,Performance!$B$5:$B$404,B203)))</f>
        <v>0</v>
      </c>
      <c r="T203" s="23">
        <f>IF(B203="","",IF(COUNTIF(Performance!$B$5:$B$404,B203)=0,"",SUMIFS(Performance!$P$5:$P$404,Performance!$B$5:$B$404,B203)))</f>
        <v>0</v>
      </c>
      <c r="U203" s="23">
        <f>IF(B203="","",IF(COUNTIF(Performance!$B$5:$B$404,B203)=0,"",SUMIFS(Performance!$Z$5:$Z$404,Performance!$B$5:$B$404,B203)))</f>
        <v>0</v>
      </c>
      <c r="V203" s="24">
        <f>IF(OR(S203="",S203=0),"",U203/S203)</f>
        <v>0</v>
      </c>
      <c r="W203" s="23">
        <f>IF(B203="","",IF(COUNTIF(Performance!$B$5:$B$404,B203)=0,"",SUMIFS(Performance!$T$5:$T$404,Performance!$B$5:$B$404,B203)))</f>
        <v>0</v>
      </c>
      <c r="X203" s="23">
        <f>IF(B203="","",IF(COUNTIF(Performance!$B$5:$B$404,B203)=0,"",SUMIFS(Performance!$S$5:$S$404,Performance!$B$5:$B$404,B203)))</f>
        <v>0</v>
      </c>
      <c r="Y203" s="23">
        <f>IF(B203="","",IF(COUNTIF(Performance!$B$5:$B$404,B203)=0,"",SUMIFS(Performance!$R$5:$R$404,Performance!$B$5:$B$404,B203)))</f>
        <v>0</v>
      </c>
      <c r="Z203" s="23">
        <f>IF(B203="","",IF(COUNTIF(Performance!$B$5:$B$404,B203)=0,"",SUMIFS(Performance!$U$5:$U$404,Performance!$B$5:$B$404,B203)))</f>
        <v>0</v>
      </c>
      <c r="AA203" s="29">
        <f>IF(B203="","",IF(C203="Not found","Check - content ID not on the calendar",IF(G203="","Add - no hook written",IF(H203="","Add - no sound chosen",IF(AND(P203&lt;&gt;"",P203&lt;0.25),"Review - most people scroll away early","OK")))))</f>
        <v>0</v>
      </c>
    </row>
    <row r="204" spans="1:27">
      <c r="A204" s="41">
        <f>IF(B204="","","TT-"&amp;TEXT(ROW()-4,"000"))</f>
        <v>0</v>
      </c>
      <c r="C204" s="17">
        <f>IF(B204="","",IFERROR(INDEX('Content Calendar'!$H$5:$H$604,MATCH(B204,'Content Calendar'!$A$5:$A$604,0)),"Not found"))</f>
        <v>0</v>
      </c>
      <c r="D204" s="16">
        <f>IF(B204="","",IFERROR(INDEX('Content Calendar'!$B$5:$B$604,MATCH(B204,'Content Calendar'!$A$5:$A$604,0)),"Not found"))</f>
        <v>0</v>
      </c>
      <c r="E204" s="17">
        <f>IF(B204="","",IFERROR(INDEX('Content Calendar'!$J$5:$J$604,MATCH(B204,'Content Calendar'!$A$5:$A$604,0)),"Not found"))</f>
        <v>0</v>
      </c>
      <c r="F204" s="29">
        <f>IF(B204="","",IFERROR(INDEX('Content Calendar'!$X$5:$X$604,MATCH(B204,'Content Calendar'!$A$5:$A$604,0)),"Not found"))</f>
        <v>0</v>
      </c>
      <c r="S204" s="23">
        <f>IF(B204="","",IF(COUNTIF(Performance!$B$5:$B$404,B204)=0,"",SUMIFS(Performance!$O$5:$O$404,Performance!$B$5:$B$404,B204)))</f>
        <v>0</v>
      </c>
      <c r="T204" s="23">
        <f>IF(B204="","",IF(COUNTIF(Performance!$B$5:$B$404,B204)=0,"",SUMIFS(Performance!$P$5:$P$404,Performance!$B$5:$B$404,B204)))</f>
        <v>0</v>
      </c>
      <c r="U204" s="23">
        <f>IF(B204="","",IF(COUNTIF(Performance!$B$5:$B$404,B204)=0,"",SUMIFS(Performance!$Z$5:$Z$404,Performance!$B$5:$B$404,B204)))</f>
        <v>0</v>
      </c>
      <c r="V204" s="24">
        <f>IF(OR(S204="",S204=0),"",U204/S204)</f>
        <v>0</v>
      </c>
      <c r="W204" s="23">
        <f>IF(B204="","",IF(COUNTIF(Performance!$B$5:$B$404,B204)=0,"",SUMIFS(Performance!$T$5:$T$404,Performance!$B$5:$B$404,B204)))</f>
        <v>0</v>
      </c>
      <c r="X204" s="23">
        <f>IF(B204="","",IF(COUNTIF(Performance!$B$5:$B$404,B204)=0,"",SUMIFS(Performance!$S$5:$S$404,Performance!$B$5:$B$404,B204)))</f>
        <v>0</v>
      </c>
      <c r="Y204" s="23">
        <f>IF(B204="","",IF(COUNTIF(Performance!$B$5:$B$404,B204)=0,"",SUMIFS(Performance!$R$5:$R$404,Performance!$B$5:$B$404,B204)))</f>
        <v>0</v>
      </c>
      <c r="Z204" s="23">
        <f>IF(B204="","",IF(COUNTIF(Performance!$B$5:$B$404,B204)=0,"",SUMIFS(Performance!$U$5:$U$404,Performance!$B$5:$B$404,B204)))</f>
        <v>0</v>
      </c>
      <c r="AA204" s="29">
        <f>IF(B204="","",IF(C204="Not found","Check - content ID not on the calendar",IF(G204="","Add - no hook written",IF(H204="","Add - no sound chosen",IF(AND(P204&lt;&gt;"",P204&lt;0.25),"Review - most people scroll away early","OK")))))</f>
        <v>0</v>
      </c>
    </row>
  </sheetData>
  <sheetProtection password="EC7C" sheet="1" objects="1" scenarios="1" formatCells="0" formatColumns="0" formatRows="0" insertRows="0" insertHyperlinks="0" deleteRows="0" autoFilter="0"/>
  <autoFilter ref="A4:AB20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A5:AA204">
    <cfRule type="beginsWith" dxfId="0" priority="6" operator="beginsWith" text="OK">
      <formula>LEFT(AA5,2)="OK"</formula>
    </cfRule>
    <cfRule type="containsText" dxfId="1" priority="7" operator="containsText" text="Overdue">
      <formula>NOT(ISERROR(SEARCH("Overdue",AA5)))</formula>
    </cfRule>
    <cfRule type="containsText" dxfId="1" priority="8" operator="containsText" text="Late">
      <formula>NOT(ISERROR(SEARCH("Late",AA5)))</formula>
    </cfRule>
    <cfRule type="containsText" dxfId="1" priority="9" operator="containsText" text="Missing">
      <formula>NOT(ISERROR(SEARCH("Missing",AA5)))</formula>
    </cfRule>
    <cfRule type="containsText" dxfId="1" priority="10" operator="containsText" text="Conflict">
      <formula>NOT(ISERROR(SEARCH("Conflict",AA5)))</formula>
    </cfRule>
    <cfRule type="containsText" dxfId="1" priority="11" operator="containsText" text="Expired">
      <formula>NOT(ISERROR(SEARCH("Expired",AA5)))</formula>
    </cfRule>
    <cfRule type="containsText" dxfId="1" priority="12" operator="containsText" text="Duplicate">
      <formula>NOT(ISERROR(SEARCH("Duplicate",AA5)))</formula>
    </cfRule>
    <cfRule type="containsText" dxfId="2" priority="13" operator="containsText" text="Action">
      <formula>NOT(ISERROR(SEARCH("Action",AA5)))</formula>
    </cfRule>
    <cfRule type="containsText" dxfId="2" priority="14" operator="containsText" text="Due">
      <formula>NOT(ISERROR(SEARCH("Due",AA5)))</formula>
    </cfRule>
    <cfRule type="containsText" dxfId="2" priority="15" operator="containsText" text="Check">
      <formula>NOT(ISERROR(SEARCH("Check",AA5)))</formula>
    </cfRule>
    <cfRule type="containsText" dxfId="2" priority="16" operator="containsText" text="Add">
      <formula>NOT(ISERROR(SEARCH("Add",AA5)))</formula>
    </cfRule>
    <cfRule type="containsText" dxfId="3" priority="17" operator="containsText" text="Today">
      <formula>NOT(ISERROR(SEARCH("Today",AA5)))</formula>
    </cfRule>
    <cfRule type="containsText" dxfId="3" priority="18" operator="containsText" text="Upcoming">
      <formula>NOT(ISERROR(SEARCH("Upcoming",AA5)))</formula>
    </cfRule>
  </conditionalFormatting>
  <conditionalFormatting sqref="P5:P204">
    <cfRule type="cellIs" dxfId="0" priority="1" operator="greaterThanOrEqual">
      <formula>0.5</formula>
    </cfRule>
    <cfRule type="cellIs" dxfId="2" priority="2" operator="lessThan">
      <formula>0.25</formula>
    </cfRule>
  </conditionalFormatting>
  <conditionalFormatting sqref="S5:S204">
    <cfRule type="dataBar" priority="3">
      <dataBar>
        <cfvo type="min" val="0"/>
        <cfvo type="max" val="0"/>
        <color rgb="FF6350A8"/>
      </dataBar>
    </cfRule>
  </conditionalFormatting>
  <conditionalFormatting sqref="V5:V204">
    <cfRule type="cellIs" dxfId="0" priority="4" operator="greaterThanOrEqual">
      <formula>TargetEngagement</formula>
    </cfRule>
    <cfRule type="cellIs" dxfId="2" priority="5" operator="lessThan">
      <formula>TargetEngagement</formula>
    </cfRule>
  </conditionalFormatting>
  <dataValidations count="6">
    <dataValidation type="list" allowBlank="1" showInputMessage="1" showErrorMessage="1" promptTitle="Content ID" prompt="Pick the C-0000 ID of the TikTok post from the Content Calendar. Everything grey fills itself in." sqref="B5:B204">
      <formula1>ContentIDs</formula1>
    </dataValidation>
    <dataValidation type="whole" allowBlank="1" showInputMessage="1" showErrorMessage="1" errorTitle="Check the value" error="Enter a number between 0 and 1800." sqref="K5:K204">
      <formula1>0</formula1>
      <formula2>1800</formula2>
    </dataValidation>
    <dataValidation type="decimal" allowBlank="1" showInputMessage="1" showErrorMessage="1" errorTitle="Check the value" error="Enter a number between 0 and 100000." sqref="O5:O204">
      <formula1>0</formula1>
      <formula2>100000</formula2>
    </dataValidation>
    <dataValidation type="decimal" allowBlank="1" showInputMessage="1" showErrorMessage="1" errorTitle="Check the value" error="Enter a number between 0 and 1." sqref="P5:P204">
      <formula1>0</formula1>
      <formula2>1</formula2>
    </dataValidation>
    <dataValidation type="whole" allowBlank="1" showInputMessage="1" showErrorMessage="1" errorTitle="Check the value" error="Enter a number between 0 and 10000000." sqref="Q5:Q204">
      <formula1>0</formula1>
      <formula2>10000000</formula2>
    </dataValidation>
    <dataValidation type="whole" allowBlank="1" showInputMessage="1" showErrorMessage="1" errorTitle="Check the value" error="Enter a number between -100000 and 10000000." sqref="R5:R204">
      <formula1>-100000</formula1>
      <formula2>10000000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&amp;L&amp;"Calibri,Bold"&amp;12&amp;C&amp;"Calibri,Bold"&amp;11TikTok&amp;R&amp;"Calibri,Italic"&amp;9Social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6350A8"/>
    <pageSetUpPr fitToPage="1"/>
  </sheetPr>
  <dimension ref="A1:AC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5.7109375" style="17" customWidth="1"/>
    <col min="6" max="6" width="14.7109375" style="29" customWidth="1"/>
    <col min="7" max="7" width="22.7109375" style="15" customWidth="1"/>
    <col min="8" max="8" width="26.7109375" style="42" customWidth="1"/>
    <col min="9" max="9" width="30.7109375" style="15" customWidth="1"/>
    <col min="10" max="10" width="38.7109375" style="39" customWidth="1"/>
    <col min="11" max="11" width="28.7109375" style="42" customWidth="1"/>
    <col min="12" max="12" width="20.7109375" style="15" customWidth="1"/>
    <col min="13" max="13" width="13.7109375" style="15" customWidth="1"/>
    <col min="14" max="14" width="24.7109375" style="15" customWidth="1"/>
    <col min="15" max="15" width="14.7109375" style="15" customWidth="1"/>
    <col min="16" max="16" width="11.7109375" style="40" customWidth="1"/>
    <col min="17" max="17" width="12.7109375" style="34" customWidth="1"/>
    <col min="18" max="18" width="12.7109375" style="34" customWidth="1"/>
    <col min="19" max="19" width="13.7109375" style="43" customWidth="1"/>
    <col min="20" max="20" width="11.7109375" style="23" customWidth="1"/>
    <col min="21" max="21" width="11.7109375" style="23" customWidth="1"/>
    <col min="22" max="22" width="11.7109375" style="23" customWidth="1"/>
    <col min="23" max="23" width="12.7109375" style="24" customWidth="1"/>
    <col min="24" max="24" width="9.7109375" style="23" customWidth="1"/>
    <col min="25" max="25" width="9.7109375" style="23" customWidth="1"/>
    <col min="26" max="26" width="10.7109375" style="23" customWidth="1"/>
    <col min="27" max="27" width="9.7109375" style="23" customWidth="1"/>
    <col min="28" max="28" width="28.7109375" style="29" customWidth="1"/>
    <col min="29" max="29" width="24.7109375" style="39" customWidth="1"/>
  </cols>
  <sheetData>
    <row r="1" spans="1:29" ht="34" customHeight="1">
      <c r="A1" s="2" t="s">
        <v>1455</v>
      </c>
      <c r="B1" s="2"/>
      <c r="C1" s="2"/>
      <c r="D1" s="2"/>
      <c r="E1" s="2"/>
      <c r="F1" s="2"/>
      <c r="G1" s="2"/>
      <c r="H1" s="2"/>
      <c r="I1" s="2"/>
      <c r="J1" s="2"/>
      <c r="K1" s="2"/>
      <c r="L1" s="2"/>
      <c r="M1" s="2"/>
      <c r="N1" s="2"/>
      <c r="O1" s="2"/>
      <c r="P1" s="2"/>
      <c r="Q1" s="2"/>
      <c r="R1" s="2"/>
      <c r="S1" s="2"/>
      <c r="T1" s="2"/>
      <c r="U1" s="2"/>
      <c r="V1" s="2"/>
      <c r="W1" s="2"/>
      <c r="X1" s="2"/>
      <c r="Y1" s="2"/>
      <c r="Z1" s="2"/>
      <c r="AA1" s="3" t="s">
        <v>1</v>
      </c>
      <c r="AB1" s="3"/>
      <c r="AC1" s="3"/>
    </row>
    <row r="2" spans="1:29" ht="18" customHeight="1">
      <c r="A2" s="4" t="s">
        <v>1456</v>
      </c>
      <c r="B2" s="4"/>
      <c r="C2" s="4"/>
      <c r="D2" s="4"/>
      <c r="E2" s="4"/>
      <c r="F2" s="4"/>
      <c r="G2" s="4"/>
      <c r="H2" s="4"/>
      <c r="I2" s="4"/>
      <c r="J2" s="4"/>
      <c r="K2" s="4"/>
      <c r="L2" s="4"/>
      <c r="M2" s="4"/>
      <c r="N2" s="4"/>
      <c r="O2" s="4"/>
      <c r="P2" s="4"/>
      <c r="Q2" s="4"/>
      <c r="R2" s="4"/>
      <c r="S2" s="4"/>
      <c r="T2" s="4"/>
      <c r="U2" s="4"/>
      <c r="V2" s="4"/>
      <c r="W2" s="4"/>
      <c r="X2" s="4"/>
      <c r="Y2" s="4"/>
      <c r="Z2" s="4"/>
      <c r="AA2" s="4"/>
      <c r="AB2" s="4"/>
      <c r="AC2" s="4"/>
    </row>
    <row r="3" spans="1:29"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1457</v>
      </c>
      <c r="T3" s="38"/>
      <c r="U3" s="38"/>
      <c r="V3" s="38"/>
      <c r="W3" s="38"/>
      <c r="X3" s="38"/>
      <c r="Y3" s="38"/>
      <c r="Z3" s="38"/>
      <c r="AA3" s="38"/>
      <c r="AB3" s="38"/>
      <c r="AC3" s="38"/>
    </row>
    <row r="4" spans="1:29" ht="30" customHeight="1">
      <c r="A4" s="8" t="s">
        <v>766</v>
      </c>
      <c r="B4" s="8" t="s">
        <v>1391</v>
      </c>
      <c r="C4" s="9" t="s">
        <v>904</v>
      </c>
      <c r="D4" s="9" t="s">
        <v>902</v>
      </c>
      <c r="E4" s="9" t="s">
        <v>195</v>
      </c>
      <c r="F4" s="9" t="s">
        <v>221</v>
      </c>
      <c r="G4" s="9" t="s">
        <v>1458</v>
      </c>
      <c r="H4" s="9" t="s">
        <v>1459</v>
      </c>
      <c r="I4" s="9" t="s">
        <v>1460</v>
      </c>
      <c r="J4" s="9" t="s">
        <v>1461</v>
      </c>
      <c r="K4" s="9" t="s">
        <v>1462</v>
      </c>
      <c r="L4" s="9" t="s">
        <v>1463</v>
      </c>
      <c r="M4" s="9" t="s">
        <v>1464</v>
      </c>
      <c r="N4" s="9" t="s">
        <v>1465</v>
      </c>
      <c r="O4" s="9" t="s">
        <v>513</v>
      </c>
      <c r="P4" s="9" t="s">
        <v>1466</v>
      </c>
      <c r="Q4" s="9" t="s">
        <v>1467</v>
      </c>
      <c r="R4" s="9" t="s">
        <v>1468</v>
      </c>
      <c r="S4" s="9" t="s">
        <v>1469</v>
      </c>
      <c r="T4" s="9" t="s">
        <v>149</v>
      </c>
      <c r="U4" s="9" t="s">
        <v>151</v>
      </c>
      <c r="V4" s="9" t="s">
        <v>153</v>
      </c>
      <c r="W4" s="9" t="s">
        <v>155</v>
      </c>
      <c r="X4" s="9" t="s">
        <v>1400</v>
      </c>
      <c r="Y4" s="9" t="s">
        <v>1401</v>
      </c>
      <c r="Z4" s="9" t="s">
        <v>1402</v>
      </c>
      <c r="AA4" s="9" t="s">
        <v>188</v>
      </c>
      <c r="AB4" s="9" t="s">
        <v>787</v>
      </c>
      <c r="AC4" s="9" t="s">
        <v>788</v>
      </c>
    </row>
    <row r="5" spans="1:29">
      <c r="A5" s="41">
        <f>IF(B5="","","PN-"&amp;TEXT(ROW()-4,"000"))</f>
        <v>0</v>
      </c>
      <c r="B5" s="15" t="s">
        <v>1208</v>
      </c>
      <c r="C5" s="17">
        <f>IF(B5="","",IFERROR(INDEX('Content Calendar'!$H$5:$H$604,MATCH(B5,'Content Calendar'!$A$5:$A$604,0)),"Not found"))</f>
        <v>0</v>
      </c>
      <c r="D5" s="16">
        <f>IF(B5="","",IFERROR(INDEX('Content Calendar'!$B$5:$B$604,MATCH(B5,'Content Calendar'!$A$5:$A$604,0)),"Not found"))</f>
        <v>0</v>
      </c>
      <c r="E5" s="17">
        <f>IF(B5="","",IFERROR(INDEX('Content Calendar'!$J$5:$J$604,MATCH(B5,'Content Calendar'!$A$5:$A$604,0)),"Not found"))</f>
        <v>0</v>
      </c>
      <c r="F5" s="29">
        <f>IF(B5="","",IFERROR(INDEX('Content Calendar'!$X$5:$X$604,MATCH(B5,'Content Calendar'!$A$5:$A$604,0)),"Not found"))</f>
        <v>0</v>
      </c>
      <c r="G5" s="15" t="s">
        <v>1470</v>
      </c>
      <c r="H5" s="42" t="s">
        <v>1471</v>
      </c>
      <c r="I5" s="15" t="s">
        <v>930</v>
      </c>
      <c r="J5" s="39" t="s">
        <v>1472</v>
      </c>
      <c r="K5" s="42" t="s">
        <v>1473</v>
      </c>
      <c r="L5" s="15" t="s">
        <v>1474</v>
      </c>
      <c r="M5" s="15" t="s">
        <v>1475</v>
      </c>
      <c r="N5" s="15" t="s">
        <v>1352</v>
      </c>
      <c r="O5" s="15" t="s">
        <v>515</v>
      </c>
      <c r="P5" s="40" t="s">
        <v>373</v>
      </c>
      <c r="Q5" s="34">
        <v>36</v>
      </c>
      <c r="R5" s="34">
        <v>39</v>
      </c>
      <c r="S5" s="43">
        <v>46423</v>
      </c>
      <c r="T5" s="23">
        <f>IF(B5="","",IF(COUNTIF(Performance!$B$5:$B$404,B5)=0,"",SUMIFS(Performance!$O$5:$O$404,Performance!$B$5:$B$404,B5)))</f>
        <v>0</v>
      </c>
      <c r="U5" s="23">
        <f>IF(B5="","",IF(COUNTIF(Performance!$B$5:$B$404,B5)=0,"",SUMIFS(Performance!$P$5:$P$404,Performance!$B$5:$B$404,B5)))</f>
        <v>0</v>
      </c>
      <c r="V5" s="23">
        <f>IF(B5="","",IF(COUNTIF(Performance!$B$5:$B$404,B5)=0,"",SUMIFS(Performance!$Z$5:$Z$404,Performance!$B$5:$B$404,B5)))</f>
        <v>0</v>
      </c>
      <c r="W5" s="24">
        <f>IF(OR(T5="",T5=0),"",V5/T5)</f>
        <v>0</v>
      </c>
      <c r="X5" s="23">
        <f>IF(B5="","",IF(COUNTIF(Performance!$B$5:$B$404,B5)=0,"",SUMIFS(Performance!$T$5:$T$404,Performance!$B$5:$B$404,B5)))</f>
        <v>0</v>
      </c>
      <c r="Y5" s="23">
        <f>IF(B5="","",IF(COUNTIF(Performance!$B$5:$B$404,B5)=0,"",SUMIFS(Performance!$S$5:$S$404,Performance!$B$5:$B$404,B5)))</f>
        <v>0</v>
      </c>
      <c r="Z5" s="23">
        <f>IF(B5="","",IF(COUNTIF(Performance!$B$5:$B$404,B5)=0,"",SUMIFS(Performance!$R$5:$R$404,Performance!$B$5:$B$404,B5)))</f>
        <v>0</v>
      </c>
      <c r="AA5" s="23">
        <f>IF(B5="","",IF(COUNTIF(Performance!$B$5:$B$404,B5)=0,"",SUMIFS(Performance!$U$5:$U$404,Performance!$B$5:$B$404,B5)))</f>
        <v>0</v>
      </c>
      <c r="AB5" s="29">
        <f>IF(B5="","",IF(C5="Not found","Check - content ID not on the calendar",IF(N5="","Add - no target keyword",IF(K5="","Add - no destination link",IF(AND(S5&lt;&gt;"",S5&lt;TODAY()),"Due - time to refresh this pin","OK")))))</f>
        <v>0</v>
      </c>
      <c r="AC5" s="39" t="s">
        <v>205</v>
      </c>
    </row>
    <row r="6" spans="1:29">
      <c r="A6" s="41">
        <f>IF(B6="","","PN-"&amp;TEXT(ROW()-4,"000"))</f>
        <v>0</v>
      </c>
      <c r="B6" s="15" t="s">
        <v>1476</v>
      </c>
      <c r="C6" s="17">
        <f>IF(B6="","",IFERROR(INDEX('Content Calendar'!$H$5:$H$604,MATCH(B6,'Content Calendar'!$A$5:$A$604,0)),"Not found"))</f>
        <v>0</v>
      </c>
      <c r="D6" s="16">
        <f>IF(B6="","",IFERROR(INDEX('Content Calendar'!$B$5:$B$604,MATCH(B6,'Content Calendar'!$A$5:$A$604,0)),"Not found"))</f>
        <v>0</v>
      </c>
      <c r="E6" s="17">
        <f>IF(B6="","",IFERROR(INDEX('Content Calendar'!$J$5:$J$604,MATCH(B6,'Content Calendar'!$A$5:$A$604,0)),"Not found"))</f>
        <v>0</v>
      </c>
      <c r="F6" s="29">
        <f>IF(B6="","",IFERROR(INDEX('Content Calendar'!$X$5:$X$604,MATCH(B6,'Content Calendar'!$A$5:$A$604,0)),"Not found"))</f>
        <v>0</v>
      </c>
      <c r="G6" s="15" t="s">
        <v>1470</v>
      </c>
      <c r="H6" s="42" t="s">
        <v>1471</v>
      </c>
      <c r="I6" s="15" t="s">
        <v>964</v>
      </c>
      <c r="J6" s="39" t="s">
        <v>1477</v>
      </c>
      <c r="K6" s="42" t="s">
        <v>1473</v>
      </c>
      <c r="L6" s="15" t="s">
        <v>1478</v>
      </c>
      <c r="M6" s="15" t="s">
        <v>1475</v>
      </c>
      <c r="N6" s="15" t="s">
        <v>1352</v>
      </c>
      <c r="O6" s="15" t="s">
        <v>515</v>
      </c>
      <c r="P6" s="40" t="s">
        <v>373</v>
      </c>
      <c r="Q6" s="34">
        <v>128</v>
      </c>
      <c r="R6" s="34">
        <v>48</v>
      </c>
      <c r="S6" s="43">
        <v>46336</v>
      </c>
      <c r="T6" s="23">
        <f>IF(B6="","",IF(COUNTIF(Performance!$B$5:$B$404,B6)=0,"",SUMIFS(Performance!$O$5:$O$404,Performance!$B$5:$B$404,B6)))</f>
        <v>0</v>
      </c>
      <c r="U6" s="23">
        <f>IF(B6="","",IF(COUNTIF(Performance!$B$5:$B$404,B6)=0,"",SUMIFS(Performance!$P$5:$P$404,Performance!$B$5:$B$404,B6)))</f>
        <v>0</v>
      </c>
      <c r="V6" s="23">
        <f>IF(B6="","",IF(COUNTIF(Performance!$B$5:$B$404,B6)=0,"",SUMIFS(Performance!$Z$5:$Z$404,Performance!$B$5:$B$404,B6)))</f>
        <v>0</v>
      </c>
      <c r="W6" s="24">
        <f>IF(OR(T6="",T6=0),"",V6/T6)</f>
        <v>0</v>
      </c>
      <c r="X6" s="23">
        <f>IF(B6="","",IF(COUNTIF(Performance!$B$5:$B$404,B6)=0,"",SUMIFS(Performance!$T$5:$T$404,Performance!$B$5:$B$404,B6)))</f>
        <v>0</v>
      </c>
      <c r="Y6" s="23">
        <f>IF(B6="","",IF(COUNTIF(Performance!$B$5:$B$404,B6)=0,"",SUMIFS(Performance!$S$5:$S$404,Performance!$B$5:$B$404,B6)))</f>
        <v>0</v>
      </c>
      <c r="Z6" s="23">
        <f>IF(B6="","",IF(COUNTIF(Performance!$B$5:$B$404,B6)=0,"",SUMIFS(Performance!$R$5:$R$404,Performance!$B$5:$B$404,B6)))</f>
        <v>0</v>
      </c>
      <c r="AA6" s="23">
        <f>IF(B6="","",IF(COUNTIF(Performance!$B$5:$B$404,B6)=0,"",SUMIFS(Performance!$U$5:$U$404,Performance!$B$5:$B$404,B6)))</f>
        <v>0</v>
      </c>
      <c r="AB6" s="29">
        <f>IF(B6="","",IF(C6="Not found","Check - content ID not on the calendar",IF(N6="","Add - no target keyword",IF(K6="","Add - no destination link",IF(AND(S6&lt;&gt;"",S6&lt;TODAY()),"Due - time to refresh this pin","OK")))))</f>
        <v>0</v>
      </c>
      <c r="AC6" s="39" t="s">
        <v>205</v>
      </c>
    </row>
    <row r="7" spans="1:29">
      <c r="A7" s="41">
        <f>IF(B7="","","PN-"&amp;TEXT(ROW()-4,"000"))</f>
        <v>0</v>
      </c>
      <c r="B7" s="15" t="s">
        <v>1479</v>
      </c>
      <c r="C7" s="17">
        <f>IF(B7="","",IFERROR(INDEX('Content Calendar'!$H$5:$H$604,MATCH(B7,'Content Calendar'!$A$5:$A$604,0)),"Not found"))</f>
        <v>0</v>
      </c>
      <c r="D7" s="16">
        <f>IF(B7="","",IFERROR(INDEX('Content Calendar'!$B$5:$B$604,MATCH(B7,'Content Calendar'!$A$5:$A$604,0)),"Not found"))</f>
        <v>0</v>
      </c>
      <c r="E7" s="17">
        <f>IF(B7="","",IFERROR(INDEX('Content Calendar'!$J$5:$J$604,MATCH(B7,'Content Calendar'!$A$5:$A$604,0)),"Not found"))</f>
        <v>0</v>
      </c>
      <c r="F7" s="29">
        <f>IF(B7="","",IFERROR(INDEX('Content Calendar'!$X$5:$X$604,MATCH(B7,'Content Calendar'!$A$5:$A$604,0)),"Not found"))</f>
        <v>0</v>
      </c>
      <c r="G7" s="15" t="s">
        <v>1470</v>
      </c>
      <c r="H7" s="42" t="s">
        <v>1471</v>
      </c>
      <c r="I7" s="15" t="s">
        <v>989</v>
      </c>
      <c r="J7" s="39" t="s">
        <v>1480</v>
      </c>
      <c r="K7" s="42" t="s">
        <v>1473</v>
      </c>
      <c r="L7" s="15" t="s">
        <v>1481</v>
      </c>
      <c r="M7" s="15" t="s">
        <v>1475</v>
      </c>
      <c r="N7" s="15" t="s">
        <v>1352</v>
      </c>
      <c r="O7" s="15" t="s">
        <v>515</v>
      </c>
      <c r="P7" s="40" t="s">
        <v>373</v>
      </c>
      <c r="Q7" s="34">
        <v>53</v>
      </c>
      <c r="R7" s="34">
        <v>26</v>
      </c>
      <c r="S7" s="43">
        <v>46363</v>
      </c>
      <c r="T7" s="23">
        <f>IF(B7="","",IF(COUNTIF(Performance!$B$5:$B$404,B7)=0,"",SUMIFS(Performance!$O$5:$O$404,Performance!$B$5:$B$404,B7)))</f>
        <v>0</v>
      </c>
      <c r="U7" s="23">
        <f>IF(B7="","",IF(COUNTIF(Performance!$B$5:$B$404,B7)=0,"",SUMIFS(Performance!$P$5:$P$404,Performance!$B$5:$B$404,B7)))</f>
        <v>0</v>
      </c>
      <c r="V7" s="23">
        <f>IF(B7="","",IF(COUNTIF(Performance!$B$5:$B$404,B7)=0,"",SUMIFS(Performance!$Z$5:$Z$404,Performance!$B$5:$B$404,B7)))</f>
        <v>0</v>
      </c>
      <c r="W7" s="24">
        <f>IF(OR(T7="",T7=0),"",V7/T7)</f>
        <v>0</v>
      </c>
      <c r="X7" s="23">
        <f>IF(B7="","",IF(COUNTIF(Performance!$B$5:$B$404,B7)=0,"",SUMIFS(Performance!$T$5:$T$404,Performance!$B$5:$B$404,B7)))</f>
        <v>0</v>
      </c>
      <c r="Y7" s="23">
        <f>IF(B7="","",IF(COUNTIF(Performance!$B$5:$B$404,B7)=0,"",SUMIFS(Performance!$S$5:$S$404,Performance!$B$5:$B$404,B7)))</f>
        <v>0</v>
      </c>
      <c r="Z7" s="23">
        <f>IF(B7="","",IF(COUNTIF(Performance!$B$5:$B$404,B7)=0,"",SUMIFS(Performance!$R$5:$R$404,Performance!$B$5:$B$404,B7)))</f>
        <v>0</v>
      </c>
      <c r="AA7" s="23">
        <f>IF(B7="","",IF(COUNTIF(Performance!$B$5:$B$404,B7)=0,"",SUMIFS(Performance!$U$5:$U$404,Performance!$B$5:$B$404,B7)))</f>
        <v>0</v>
      </c>
      <c r="AB7" s="29">
        <f>IF(B7="","",IF(C7="Not found","Check - content ID not on the calendar",IF(N7="","Add - no target keyword",IF(K7="","Add - no destination link",IF(AND(S7&lt;&gt;"",S7&lt;TODAY()),"Due - time to refresh this pin","OK")))))</f>
        <v>0</v>
      </c>
      <c r="AC7" s="39" t="s">
        <v>205</v>
      </c>
    </row>
    <row r="8" spans="1:29">
      <c r="A8" s="41">
        <f>IF(B8="","","PN-"&amp;TEXT(ROW()-4,"000"))</f>
        <v>0</v>
      </c>
      <c r="B8" s="15" t="s">
        <v>1482</v>
      </c>
      <c r="C8" s="17">
        <f>IF(B8="","",IFERROR(INDEX('Content Calendar'!$H$5:$H$604,MATCH(B8,'Content Calendar'!$A$5:$A$604,0)),"Not found"))</f>
        <v>0</v>
      </c>
      <c r="D8" s="16">
        <f>IF(B8="","",IFERROR(INDEX('Content Calendar'!$B$5:$B$604,MATCH(B8,'Content Calendar'!$A$5:$A$604,0)),"Not found"))</f>
        <v>0</v>
      </c>
      <c r="E8" s="17">
        <f>IF(B8="","",IFERROR(INDEX('Content Calendar'!$J$5:$J$604,MATCH(B8,'Content Calendar'!$A$5:$A$604,0)),"Not found"))</f>
        <v>0</v>
      </c>
      <c r="F8" s="29">
        <f>IF(B8="","",IFERROR(INDEX('Content Calendar'!$X$5:$X$604,MATCH(B8,'Content Calendar'!$A$5:$A$604,0)),"Not found"))</f>
        <v>0</v>
      </c>
      <c r="G8" s="15" t="s">
        <v>1470</v>
      </c>
      <c r="H8" s="42" t="s">
        <v>1471</v>
      </c>
      <c r="I8" s="15" t="s">
        <v>1006</v>
      </c>
      <c r="J8" s="39" t="s">
        <v>1483</v>
      </c>
      <c r="K8" s="42" t="s">
        <v>1473</v>
      </c>
      <c r="L8" s="15" t="s">
        <v>1484</v>
      </c>
      <c r="M8" s="15" t="s">
        <v>1475</v>
      </c>
      <c r="N8" s="15" t="s">
        <v>1352</v>
      </c>
      <c r="O8" s="15" t="s">
        <v>515</v>
      </c>
      <c r="P8" s="40" t="s">
        <v>372</v>
      </c>
      <c r="Q8" s="34">
        <v>90</v>
      </c>
      <c r="R8" s="34">
        <v>23</v>
      </c>
      <c r="S8" s="43">
        <v>46441</v>
      </c>
      <c r="T8" s="23">
        <f>IF(B8="","",IF(COUNTIF(Performance!$B$5:$B$404,B8)=0,"",SUMIFS(Performance!$O$5:$O$404,Performance!$B$5:$B$404,B8)))</f>
        <v>0</v>
      </c>
      <c r="U8" s="23">
        <f>IF(B8="","",IF(COUNTIF(Performance!$B$5:$B$404,B8)=0,"",SUMIFS(Performance!$P$5:$P$404,Performance!$B$5:$B$404,B8)))</f>
        <v>0</v>
      </c>
      <c r="V8" s="23">
        <f>IF(B8="","",IF(COUNTIF(Performance!$B$5:$B$404,B8)=0,"",SUMIFS(Performance!$Z$5:$Z$404,Performance!$B$5:$B$404,B8)))</f>
        <v>0</v>
      </c>
      <c r="W8" s="24">
        <f>IF(OR(T8="",T8=0),"",V8/T8)</f>
        <v>0</v>
      </c>
      <c r="X8" s="23">
        <f>IF(B8="","",IF(COUNTIF(Performance!$B$5:$B$404,B8)=0,"",SUMIFS(Performance!$T$5:$T$404,Performance!$B$5:$B$404,B8)))</f>
        <v>0</v>
      </c>
      <c r="Y8" s="23">
        <f>IF(B8="","",IF(COUNTIF(Performance!$B$5:$B$404,B8)=0,"",SUMIFS(Performance!$S$5:$S$404,Performance!$B$5:$B$404,B8)))</f>
        <v>0</v>
      </c>
      <c r="Z8" s="23">
        <f>IF(B8="","",IF(COUNTIF(Performance!$B$5:$B$404,B8)=0,"",SUMIFS(Performance!$R$5:$R$404,Performance!$B$5:$B$404,B8)))</f>
        <v>0</v>
      </c>
      <c r="AA8" s="23">
        <f>IF(B8="","",IF(COUNTIF(Performance!$B$5:$B$404,B8)=0,"",SUMIFS(Performance!$U$5:$U$404,Performance!$B$5:$B$404,B8)))</f>
        <v>0</v>
      </c>
      <c r="AB8" s="29">
        <f>IF(B8="","",IF(C8="Not found","Check - content ID not on the calendar",IF(N8="","Add - no target keyword",IF(K8="","Add - no destination link",IF(AND(S8&lt;&gt;"",S8&lt;TODAY()),"Due - time to refresh this pin","OK")))))</f>
        <v>0</v>
      </c>
      <c r="AC8" s="39" t="s">
        <v>205</v>
      </c>
    </row>
    <row r="9" spans="1:29">
      <c r="A9" s="41">
        <f>IF(B9="","","PN-"&amp;TEXT(ROW()-4,"000"))</f>
        <v>0</v>
      </c>
      <c r="B9" s="15" t="s">
        <v>1485</v>
      </c>
      <c r="C9" s="17">
        <f>IF(B9="","",IFERROR(INDEX('Content Calendar'!$H$5:$H$604,MATCH(B9,'Content Calendar'!$A$5:$A$604,0)),"Not found"))</f>
        <v>0</v>
      </c>
      <c r="D9" s="16">
        <f>IF(B9="","",IFERROR(INDEX('Content Calendar'!$B$5:$B$604,MATCH(B9,'Content Calendar'!$A$5:$A$604,0)),"Not found"))</f>
        <v>0</v>
      </c>
      <c r="E9" s="17">
        <f>IF(B9="","",IFERROR(INDEX('Content Calendar'!$J$5:$J$604,MATCH(B9,'Content Calendar'!$A$5:$A$604,0)),"Not found"))</f>
        <v>0</v>
      </c>
      <c r="F9" s="29">
        <f>IF(B9="","",IFERROR(INDEX('Content Calendar'!$X$5:$X$604,MATCH(B9,'Content Calendar'!$A$5:$A$604,0)),"Not found"))</f>
        <v>0</v>
      </c>
      <c r="G9" s="15" t="s">
        <v>1470</v>
      </c>
      <c r="H9" s="42" t="s">
        <v>1471</v>
      </c>
      <c r="I9" s="15" t="s">
        <v>1022</v>
      </c>
      <c r="J9" s="39" t="s">
        <v>1486</v>
      </c>
      <c r="K9" s="42" t="s">
        <v>1473</v>
      </c>
      <c r="L9" s="15" t="s">
        <v>1487</v>
      </c>
      <c r="M9" s="15" t="s">
        <v>1475</v>
      </c>
      <c r="N9" s="15" t="s">
        <v>1352</v>
      </c>
      <c r="O9" s="15" t="s">
        <v>515</v>
      </c>
      <c r="P9" s="40" t="s">
        <v>373</v>
      </c>
      <c r="Q9" s="34">
        <v>146</v>
      </c>
      <c r="R9" s="34">
        <v>49</v>
      </c>
      <c r="S9" s="43">
        <v>46380</v>
      </c>
      <c r="T9" s="23">
        <f>IF(B9="","",IF(COUNTIF(Performance!$B$5:$B$404,B9)=0,"",SUMIFS(Performance!$O$5:$O$404,Performance!$B$5:$B$404,B9)))</f>
        <v>0</v>
      </c>
      <c r="U9" s="23">
        <f>IF(B9="","",IF(COUNTIF(Performance!$B$5:$B$404,B9)=0,"",SUMIFS(Performance!$P$5:$P$404,Performance!$B$5:$B$404,B9)))</f>
        <v>0</v>
      </c>
      <c r="V9" s="23">
        <f>IF(B9="","",IF(COUNTIF(Performance!$B$5:$B$404,B9)=0,"",SUMIFS(Performance!$Z$5:$Z$404,Performance!$B$5:$B$404,B9)))</f>
        <v>0</v>
      </c>
      <c r="W9" s="24">
        <f>IF(OR(T9="",T9=0),"",V9/T9)</f>
        <v>0</v>
      </c>
      <c r="X9" s="23">
        <f>IF(B9="","",IF(COUNTIF(Performance!$B$5:$B$404,B9)=0,"",SUMIFS(Performance!$T$5:$T$404,Performance!$B$5:$B$404,B9)))</f>
        <v>0</v>
      </c>
      <c r="Y9" s="23">
        <f>IF(B9="","",IF(COUNTIF(Performance!$B$5:$B$404,B9)=0,"",SUMIFS(Performance!$S$5:$S$404,Performance!$B$5:$B$404,B9)))</f>
        <v>0</v>
      </c>
      <c r="Z9" s="23">
        <f>IF(B9="","",IF(COUNTIF(Performance!$B$5:$B$404,B9)=0,"",SUMIFS(Performance!$R$5:$R$404,Performance!$B$5:$B$404,B9)))</f>
        <v>0</v>
      </c>
      <c r="AA9" s="23">
        <f>IF(B9="","",IF(COUNTIF(Performance!$B$5:$B$404,B9)=0,"",SUMIFS(Performance!$U$5:$U$404,Performance!$B$5:$B$404,B9)))</f>
        <v>0</v>
      </c>
      <c r="AB9" s="29">
        <f>IF(B9="","",IF(C9="Not found","Check - content ID not on the calendar",IF(N9="","Add - no target keyword",IF(K9="","Add - no destination link",IF(AND(S9&lt;&gt;"",S9&lt;TODAY()),"Due - time to refresh this pin","OK")))))</f>
        <v>0</v>
      </c>
      <c r="AC9" s="39" t="s">
        <v>205</v>
      </c>
    </row>
    <row r="10" spans="1:29">
      <c r="A10" s="41">
        <f>IF(B10="","","PN-"&amp;TEXT(ROW()-4,"000"))</f>
        <v>0</v>
      </c>
      <c r="B10" s="15" t="s">
        <v>1488</v>
      </c>
      <c r="C10" s="17">
        <f>IF(B10="","",IFERROR(INDEX('Content Calendar'!$H$5:$H$604,MATCH(B10,'Content Calendar'!$A$5:$A$604,0)),"Not found"))</f>
        <v>0</v>
      </c>
      <c r="D10" s="16">
        <f>IF(B10="","",IFERROR(INDEX('Content Calendar'!$B$5:$B$604,MATCH(B10,'Content Calendar'!$A$5:$A$604,0)),"Not found"))</f>
        <v>0</v>
      </c>
      <c r="E10" s="17">
        <f>IF(B10="","",IFERROR(INDEX('Content Calendar'!$J$5:$J$604,MATCH(B10,'Content Calendar'!$A$5:$A$604,0)),"Not found"))</f>
        <v>0</v>
      </c>
      <c r="F10" s="29">
        <f>IF(B10="","",IFERROR(INDEX('Content Calendar'!$X$5:$X$604,MATCH(B10,'Content Calendar'!$A$5:$A$604,0)),"Not found"))</f>
        <v>0</v>
      </c>
      <c r="G10" s="15" t="s">
        <v>1470</v>
      </c>
      <c r="H10" s="42" t="s">
        <v>1471</v>
      </c>
      <c r="I10" s="15" t="s">
        <v>1044</v>
      </c>
      <c r="J10" s="39" t="s">
        <v>1489</v>
      </c>
      <c r="K10" s="42" t="s">
        <v>1473</v>
      </c>
      <c r="L10" s="15" t="s">
        <v>1490</v>
      </c>
      <c r="M10" s="15" t="s">
        <v>1475</v>
      </c>
      <c r="N10" s="15" t="s">
        <v>1352</v>
      </c>
      <c r="O10" s="15" t="s">
        <v>515</v>
      </c>
      <c r="P10" s="40" t="s">
        <v>373</v>
      </c>
      <c r="Q10" s="34">
        <v>14</v>
      </c>
      <c r="R10" s="34">
        <v>24</v>
      </c>
      <c r="S10" s="43">
        <v>46385</v>
      </c>
      <c r="T10" s="23">
        <f>IF(B10="","",IF(COUNTIF(Performance!$B$5:$B$404,B10)=0,"",SUMIFS(Performance!$O$5:$O$404,Performance!$B$5:$B$404,B10)))</f>
        <v>0</v>
      </c>
      <c r="U10" s="23">
        <f>IF(B10="","",IF(COUNTIF(Performance!$B$5:$B$404,B10)=0,"",SUMIFS(Performance!$P$5:$P$404,Performance!$B$5:$B$404,B10)))</f>
        <v>0</v>
      </c>
      <c r="V10" s="23">
        <f>IF(B10="","",IF(COUNTIF(Performance!$B$5:$B$404,B10)=0,"",SUMIFS(Performance!$Z$5:$Z$404,Performance!$B$5:$B$404,B10)))</f>
        <v>0</v>
      </c>
      <c r="W10" s="24">
        <f>IF(OR(T10="",T10=0),"",V10/T10)</f>
        <v>0</v>
      </c>
      <c r="X10" s="23">
        <f>IF(B10="","",IF(COUNTIF(Performance!$B$5:$B$404,B10)=0,"",SUMIFS(Performance!$T$5:$T$404,Performance!$B$5:$B$404,B10)))</f>
        <v>0</v>
      </c>
      <c r="Y10" s="23">
        <f>IF(B10="","",IF(COUNTIF(Performance!$B$5:$B$404,B10)=0,"",SUMIFS(Performance!$S$5:$S$404,Performance!$B$5:$B$404,B10)))</f>
        <v>0</v>
      </c>
      <c r="Z10" s="23">
        <f>IF(B10="","",IF(COUNTIF(Performance!$B$5:$B$404,B10)=0,"",SUMIFS(Performance!$R$5:$R$404,Performance!$B$5:$B$404,B10)))</f>
        <v>0</v>
      </c>
      <c r="AA10" s="23">
        <f>IF(B10="","",IF(COUNTIF(Performance!$B$5:$B$404,B10)=0,"",SUMIFS(Performance!$U$5:$U$404,Performance!$B$5:$B$404,B10)))</f>
        <v>0</v>
      </c>
      <c r="AB10" s="29">
        <f>IF(B10="","",IF(C10="Not found","Check - content ID not on the calendar",IF(N10="","Add - no target keyword",IF(K10="","Add - no destination link",IF(AND(S10&lt;&gt;"",S10&lt;TODAY()),"Due - time to refresh this pin","OK")))))</f>
        <v>0</v>
      </c>
      <c r="AC10" s="39" t="s">
        <v>205</v>
      </c>
    </row>
    <row r="11" spans="1:29">
      <c r="A11" s="41">
        <f>IF(B11="","","PN-"&amp;TEXT(ROW()-4,"000"))</f>
        <v>0</v>
      </c>
      <c r="B11" s="15" t="s">
        <v>1491</v>
      </c>
      <c r="C11" s="17">
        <f>IF(B11="","",IFERROR(INDEX('Content Calendar'!$H$5:$H$604,MATCH(B11,'Content Calendar'!$A$5:$A$604,0)),"Not found"))</f>
        <v>0</v>
      </c>
      <c r="D11" s="16">
        <f>IF(B11="","",IFERROR(INDEX('Content Calendar'!$B$5:$B$604,MATCH(B11,'Content Calendar'!$A$5:$A$604,0)),"Not found"))</f>
        <v>0</v>
      </c>
      <c r="E11" s="17">
        <f>IF(B11="","",IFERROR(INDEX('Content Calendar'!$J$5:$J$604,MATCH(B11,'Content Calendar'!$A$5:$A$604,0)),"Not found"))</f>
        <v>0</v>
      </c>
      <c r="F11" s="29">
        <f>IF(B11="","",IFERROR(INDEX('Content Calendar'!$X$5:$X$604,MATCH(B11,'Content Calendar'!$A$5:$A$604,0)),"Not found"))</f>
        <v>0</v>
      </c>
      <c r="G11" s="15" t="s">
        <v>1470</v>
      </c>
      <c r="H11" s="42" t="s">
        <v>1471</v>
      </c>
      <c r="I11" s="15" t="s">
        <v>1066</v>
      </c>
      <c r="J11" s="39" t="s">
        <v>1492</v>
      </c>
      <c r="K11" s="42" t="s">
        <v>1473</v>
      </c>
      <c r="L11" s="15" t="s">
        <v>1493</v>
      </c>
      <c r="M11" s="15" t="s">
        <v>1475</v>
      </c>
      <c r="N11" s="15" t="s">
        <v>1352</v>
      </c>
      <c r="O11" s="15" t="s">
        <v>515</v>
      </c>
      <c r="P11" s="40" t="s">
        <v>373</v>
      </c>
      <c r="Q11" s="34">
        <v>43</v>
      </c>
      <c r="R11" s="34">
        <v>10</v>
      </c>
      <c r="S11" s="43">
        <v>46347</v>
      </c>
      <c r="T11" s="23">
        <f>IF(B11="","",IF(COUNTIF(Performance!$B$5:$B$404,B11)=0,"",SUMIFS(Performance!$O$5:$O$404,Performance!$B$5:$B$404,B11)))</f>
        <v>0</v>
      </c>
      <c r="U11" s="23">
        <f>IF(B11="","",IF(COUNTIF(Performance!$B$5:$B$404,B11)=0,"",SUMIFS(Performance!$P$5:$P$404,Performance!$B$5:$B$404,B11)))</f>
        <v>0</v>
      </c>
      <c r="V11" s="23">
        <f>IF(B11="","",IF(COUNTIF(Performance!$B$5:$B$404,B11)=0,"",SUMIFS(Performance!$Z$5:$Z$404,Performance!$B$5:$B$404,B11)))</f>
        <v>0</v>
      </c>
      <c r="W11" s="24">
        <f>IF(OR(T11="",T11=0),"",V11/T11)</f>
        <v>0</v>
      </c>
      <c r="X11" s="23">
        <f>IF(B11="","",IF(COUNTIF(Performance!$B$5:$B$404,B11)=0,"",SUMIFS(Performance!$T$5:$T$404,Performance!$B$5:$B$404,B11)))</f>
        <v>0</v>
      </c>
      <c r="Y11" s="23">
        <f>IF(B11="","",IF(COUNTIF(Performance!$B$5:$B$404,B11)=0,"",SUMIFS(Performance!$S$5:$S$404,Performance!$B$5:$B$404,B11)))</f>
        <v>0</v>
      </c>
      <c r="Z11" s="23">
        <f>IF(B11="","",IF(COUNTIF(Performance!$B$5:$B$404,B11)=0,"",SUMIFS(Performance!$R$5:$R$404,Performance!$B$5:$B$404,B11)))</f>
        <v>0</v>
      </c>
      <c r="AA11" s="23">
        <f>IF(B11="","",IF(COUNTIF(Performance!$B$5:$B$404,B11)=0,"",SUMIFS(Performance!$U$5:$U$404,Performance!$B$5:$B$404,B11)))</f>
        <v>0</v>
      </c>
      <c r="AB11" s="29">
        <f>IF(B11="","",IF(C11="Not found","Check - content ID not on the calendar",IF(N11="","Add - no target keyword",IF(K11="","Add - no destination link",IF(AND(S11&lt;&gt;"",S11&lt;TODAY()),"Due - time to refresh this pin","OK")))))</f>
        <v>0</v>
      </c>
      <c r="AC11" s="39" t="s">
        <v>205</v>
      </c>
    </row>
    <row r="12" spans="1:29">
      <c r="A12" s="41">
        <f>IF(B12="","","PN-"&amp;TEXT(ROW()-4,"000"))</f>
        <v>0</v>
      </c>
      <c r="C12" s="17">
        <f>IF(B12="","",IFERROR(INDEX('Content Calendar'!$H$5:$H$604,MATCH(B12,'Content Calendar'!$A$5:$A$604,0)),"Not found"))</f>
        <v>0</v>
      </c>
      <c r="D12" s="16">
        <f>IF(B12="","",IFERROR(INDEX('Content Calendar'!$B$5:$B$604,MATCH(B12,'Content Calendar'!$A$5:$A$604,0)),"Not found"))</f>
        <v>0</v>
      </c>
      <c r="E12" s="17">
        <f>IF(B12="","",IFERROR(INDEX('Content Calendar'!$J$5:$J$604,MATCH(B12,'Content Calendar'!$A$5:$A$604,0)),"Not found"))</f>
        <v>0</v>
      </c>
      <c r="F12" s="29">
        <f>IF(B12="","",IFERROR(INDEX('Content Calendar'!$X$5:$X$604,MATCH(B12,'Content Calendar'!$A$5:$A$604,0)),"Not found"))</f>
        <v>0</v>
      </c>
      <c r="T12" s="23">
        <f>IF(B12="","",IF(COUNTIF(Performance!$B$5:$B$404,B12)=0,"",SUMIFS(Performance!$O$5:$O$404,Performance!$B$5:$B$404,B12)))</f>
        <v>0</v>
      </c>
      <c r="U12" s="23">
        <f>IF(B12="","",IF(COUNTIF(Performance!$B$5:$B$404,B12)=0,"",SUMIFS(Performance!$P$5:$P$404,Performance!$B$5:$B$404,B12)))</f>
        <v>0</v>
      </c>
      <c r="V12" s="23">
        <f>IF(B12="","",IF(COUNTIF(Performance!$B$5:$B$404,B12)=0,"",SUMIFS(Performance!$Z$5:$Z$404,Performance!$B$5:$B$404,B12)))</f>
        <v>0</v>
      </c>
      <c r="W12" s="24">
        <f>IF(OR(T12="",T12=0),"",V12/T12)</f>
        <v>0</v>
      </c>
      <c r="X12" s="23">
        <f>IF(B12="","",IF(COUNTIF(Performance!$B$5:$B$404,B12)=0,"",SUMIFS(Performance!$T$5:$T$404,Performance!$B$5:$B$404,B12)))</f>
        <v>0</v>
      </c>
      <c r="Y12" s="23">
        <f>IF(B12="","",IF(COUNTIF(Performance!$B$5:$B$404,B12)=0,"",SUMIFS(Performance!$S$5:$S$404,Performance!$B$5:$B$404,B12)))</f>
        <v>0</v>
      </c>
      <c r="Z12" s="23">
        <f>IF(B12="","",IF(COUNTIF(Performance!$B$5:$B$404,B12)=0,"",SUMIFS(Performance!$R$5:$R$404,Performance!$B$5:$B$404,B12)))</f>
        <v>0</v>
      </c>
      <c r="AA12" s="23">
        <f>IF(B12="","",IF(COUNTIF(Performance!$B$5:$B$404,B12)=0,"",SUMIFS(Performance!$U$5:$U$404,Performance!$B$5:$B$404,B12)))</f>
        <v>0</v>
      </c>
      <c r="AB12" s="29">
        <f>IF(B12="","",IF(C12="Not found","Check - content ID not on the calendar",IF(N12="","Add - no target keyword",IF(K12="","Add - no destination link",IF(AND(S12&lt;&gt;"",S12&lt;TODAY()),"Due - time to refresh this pin","OK")))))</f>
        <v>0</v>
      </c>
    </row>
    <row r="13" spans="1:29">
      <c r="A13" s="41">
        <f>IF(B13="","","PN-"&amp;TEXT(ROW()-4,"000"))</f>
        <v>0</v>
      </c>
      <c r="C13" s="17">
        <f>IF(B13="","",IFERROR(INDEX('Content Calendar'!$H$5:$H$604,MATCH(B13,'Content Calendar'!$A$5:$A$604,0)),"Not found"))</f>
        <v>0</v>
      </c>
      <c r="D13" s="16">
        <f>IF(B13="","",IFERROR(INDEX('Content Calendar'!$B$5:$B$604,MATCH(B13,'Content Calendar'!$A$5:$A$604,0)),"Not found"))</f>
        <v>0</v>
      </c>
      <c r="E13" s="17">
        <f>IF(B13="","",IFERROR(INDEX('Content Calendar'!$J$5:$J$604,MATCH(B13,'Content Calendar'!$A$5:$A$604,0)),"Not found"))</f>
        <v>0</v>
      </c>
      <c r="F13" s="29">
        <f>IF(B13="","",IFERROR(INDEX('Content Calendar'!$X$5:$X$604,MATCH(B13,'Content Calendar'!$A$5:$A$604,0)),"Not found"))</f>
        <v>0</v>
      </c>
      <c r="T13" s="23">
        <f>IF(B13="","",IF(COUNTIF(Performance!$B$5:$B$404,B13)=0,"",SUMIFS(Performance!$O$5:$O$404,Performance!$B$5:$B$404,B13)))</f>
        <v>0</v>
      </c>
      <c r="U13" s="23">
        <f>IF(B13="","",IF(COUNTIF(Performance!$B$5:$B$404,B13)=0,"",SUMIFS(Performance!$P$5:$P$404,Performance!$B$5:$B$404,B13)))</f>
        <v>0</v>
      </c>
      <c r="V13" s="23">
        <f>IF(B13="","",IF(COUNTIF(Performance!$B$5:$B$404,B13)=0,"",SUMIFS(Performance!$Z$5:$Z$404,Performance!$B$5:$B$404,B13)))</f>
        <v>0</v>
      </c>
      <c r="W13" s="24">
        <f>IF(OR(T13="",T13=0),"",V13/T13)</f>
        <v>0</v>
      </c>
      <c r="X13" s="23">
        <f>IF(B13="","",IF(COUNTIF(Performance!$B$5:$B$404,B13)=0,"",SUMIFS(Performance!$T$5:$T$404,Performance!$B$5:$B$404,B13)))</f>
        <v>0</v>
      </c>
      <c r="Y13" s="23">
        <f>IF(B13="","",IF(COUNTIF(Performance!$B$5:$B$404,B13)=0,"",SUMIFS(Performance!$S$5:$S$404,Performance!$B$5:$B$404,B13)))</f>
        <v>0</v>
      </c>
      <c r="Z13" s="23">
        <f>IF(B13="","",IF(COUNTIF(Performance!$B$5:$B$404,B13)=0,"",SUMIFS(Performance!$R$5:$R$404,Performance!$B$5:$B$404,B13)))</f>
        <v>0</v>
      </c>
      <c r="AA13" s="23">
        <f>IF(B13="","",IF(COUNTIF(Performance!$B$5:$B$404,B13)=0,"",SUMIFS(Performance!$U$5:$U$404,Performance!$B$5:$B$404,B13)))</f>
        <v>0</v>
      </c>
      <c r="AB13" s="29">
        <f>IF(B13="","",IF(C13="Not found","Check - content ID not on the calendar",IF(N13="","Add - no target keyword",IF(K13="","Add - no destination link",IF(AND(S13&lt;&gt;"",S13&lt;TODAY()),"Due - time to refresh this pin","OK")))))</f>
        <v>0</v>
      </c>
    </row>
    <row r="14" spans="1:29">
      <c r="A14" s="41">
        <f>IF(B14="","","PN-"&amp;TEXT(ROW()-4,"000"))</f>
        <v>0</v>
      </c>
      <c r="C14" s="17">
        <f>IF(B14="","",IFERROR(INDEX('Content Calendar'!$H$5:$H$604,MATCH(B14,'Content Calendar'!$A$5:$A$604,0)),"Not found"))</f>
        <v>0</v>
      </c>
      <c r="D14" s="16">
        <f>IF(B14="","",IFERROR(INDEX('Content Calendar'!$B$5:$B$604,MATCH(B14,'Content Calendar'!$A$5:$A$604,0)),"Not found"))</f>
        <v>0</v>
      </c>
      <c r="E14" s="17">
        <f>IF(B14="","",IFERROR(INDEX('Content Calendar'!$J$5:$J$604,MATCH(B14,'Content Calendar'!$A$5:$A$604,0)),"Not found"))</f>
        <v>0</v>
      </c>
      <c r="F14" s="29">
        <f>IF(B14="","",IFERROR(INDEX('Content Calendar'!$X$5:$X$604,MATCH(B14,'Content Calendar'!$A$5:$A$604,0)),"Not found"))</f>
        <v>0</v>
      </c>
      <c r="T14" s="23">
        <f>IF(B14="","",IF(COUNTIF(Performance!$B$5:$B$404,B14)=0,"",SUMIFS(Performance!$O$5:$O$404,Performance!$B$5:$B$404,B14)))</f>
        <v>0</v>
      </c>
      <c r="U14" s="23">
        <f>IF(B14="","",IF(COUNTIF(Performance!$B$5:$B$404,B14)=0,"",SUMIFS(Performance!$P$5:$P$404,Performance!$B$5:$B$404,B14)))</f>
        <v>0</v>
      </c>
      <c r="V14" s="23">
        <f>IF(B14="","",IF(COUNTIF(Performance!$B$5:$B$404,B14)=0,"",SUMIFS(Performance!$Z$5:$Z$404,Performance!$B$5:$B$404,B14)))</f>
        <v>0</v>
      </c>
      <c r="W14" s="24">
        <f>IF(OR(T14="",T14=0),"",V14/T14)</f>
        <v>0</v>
      </c>
      <c r="X14" s="23">
        <f>IF(B14="","",IF(COUNTIF(Performance!$B$5:$B$404,B14)=0,"",SUMIFS(Performance!$T$5:$T$404,Performance!$B$5:$B$404,B14)))</f>
        <v>0</v>
      </c>
      <c r="Y14" s="23">
        <f>IF(B14="","",IF(COUNTIF(Performance!$B$5:$B$404,B14)=0,"",SUMIFS(Performance!$S$5:$S$404,Performance!$B$5:$B$404,B14)))</f>
        <v>0</v>
      </c>
      <c r="Z14" s="23">
        <f>IF(B14="","",IF(COUNTIF(Performance!$B$5:$B$404,B14)=0,"",SUMIFS(Performance!$R$5:$R$404,Performance!$B$5:$B$404,B14)))</f>
        <v>0</v>
      </c>
      <c r="AA14" s="23">
        <f>IF(B14="","",IF(COUNTIF(Performance!$B$5:$B$404,B14)=0,"",SUMIFS(Performance!$U$5:$U$404,Performance!$B$5:$B$404,B14)))</f>
        <v>0</v>
      </c>
      <c r="AB14" s="29">
        <f>IF(B14="","",IF(C14="Not found","Check - content ID not on the calendar",IF(N14="","Add - no target keyword",IF(K14="","Add - no destination link",IF(AND(S14&lt;&gt;"",S14&lt;TODAY()),"Due - time to refresh this pin","OK")))))</f>
        <v>0</v>
      </c>
    </row>
    <row r="15" spans="1:29">
      <c r="A15" s="41">
        <f>IF(B15="","","PN-"&amp;TEXT(ROW()-4,"000"))</f>
        <v>0</v>
      </c>
      <c r="C15" s="17">
        <f>IF(B15="","",IFERROR(INDEX('Content Calendar'!$H$5:$H$604,MATCH(B15,'Content Calendar'!$A$5:$A$604,0)),"Not found"))</f>
        <v>0</v>
      </c>
      <c r="D15" s="16">
        <f>IF(B15="","",IFERROR(INDEX('Content Calendar'!$B$5:$B$604,MATCH(B15,'Content Calendar'!$A$5:$A$604,0)),"Not found"))</f>
        <v>0</v>
      </c>
      <c r="E15" s="17">
        <f>IF(B15="","",IFERROR(INDEX('Content Calendar'!$J$5:$J$604,MATCH(B15,'Content Calendar'!$A$5:$A$604,0)),"Not found"))</f>
        <v>0</v>
      </c>
      <c r="F15" s="29">
        <f>IF(B15="","",IFERROR(INDEX('Content Calendar'!$X$5:$X$604,MATCH(B15,'Content Calendar'!$A$5:$A$604,0)),"Not found"))</f>
        <v>0</v>
      </c>
      <c r="T15" s="23">
        <f>IF(B15="","",IF(COUNTIF(Performance!$B$5:$B$404,B15)=0,"",SUMIFS(Performance!$O$5:$O$404,Performance!$B$5:$B$404,B15)))</f>
        <v>0</v>
      </c>
      <c r="U15" s="23">
        <f>IF(B15="","",IF(COUNTIF(Performance!$B$5:$B$404,B15)=0,"",SUMIFS(Performance!$P$5:$P$404,Performance!$B$5:$B$404,B15)))</f>
        <v>0</v>
      </c>
      <c r="V15" s="23">
        <f>IF(B15="","",IF(COUNTIF(Performance!$B$5:$B$404,B15)=0,"",SUMIFS(Performance!$Z$5:$Z$404,Performance!$B$5:$B$404,B15)))</f>
        <v>0</v>
      </c>
      <c r="W15" s="24">
        <f>IF(OR(T15="",T15=0),"",V15/T15)</f>
        <v>0</v>
      </c>
      <c r="X15" s="23">
        <f>IF(B15="","",IF(COUNTIF(Performance!$B$5:$B$404,B15)=0,"",SUMIFS(Performance!$T$5:$T$404,Performance!$B$5:$B$404,B15)))</f>
        <v>0</v>
      </c>
      <c r="Y15" s="23">
        <f>IF(B15="","",IF(COUNTIF(Performance!$B$5:$B$404,B15)=0,"",SUMIFS(Performance!$S$5:$S$404,Performance!$B$5:$B$404,B15)))</f>
        <v>0</v>
      </c>
      <c r="Z15" s="23">
        <f>IF(B15="","",IF(COUNTIF(Performance!$B$5:$B$404,B15)=0,"",SUMIFS(Performance!$R$5:$R$404,Performance!$B$5:$B$404,B15)))</f>
        <v>0</v>
      </c>
      <c r="AA15" s="23">
        <f>IF(B15="","",IF(COUNTIF(Performance!$B$5:$B$404,B15)=0,"",SUMIFS(Performance!$U$5:$U$404,Performance!$B$5:$B$404,B15)))</f>
        <v>0</v>
      </c>
      <c r="AB15" s="29">
        <f>IF(B15="","",IF(C15="Not found","Check - content ID not on the calendar",IF(N15="","Add - no target keyword",IF(K15="","Add - no destination link",IF(AND(S15&lt;&gt;"",S15&lt;TODAY()),"Due - time to refresh this pin","OK")))))</f>
        <v>0</v>
      </c>
    </row>
    <row r="16" spans="1:29">
      <c r="A16" s="41">
        <f>IF(B16="","","PN-"&amp;TEXT(ROW()-4,"000"))</f>
        <v>0</v>
      </c>
      <c r="C16" s="17">
        <f>IF(B16="","",IFERROR(INDEX('Content Calendar'!$H$5:$H$604,MATCH(B16,'Content Calendar'!$A$5:$A$604,0)),"Not found"))</f>
        <v>0</v>
      </c>
      <c r="D16" s="16">
        <f>IF(B16="","",IFERROR(INDEX('Content Calendar'!$B$5:$B$604,MATCH(B16,'Content Calendar'!$A$5:$A$604,0)),"Not found"))</f>
        <v>0</v>
      </c>
      <c r="E16" s="17">
        <f>IF(B16="","",IFERROR(INDEX('Content Calendar'!$J$5:$J$604,MATCH(B16,'Content Calendar'!$A$5:$A$604,0)),"Not found"))</f>
        <v>0</v>
      </c>
      <c r="F16" s="29">
        <f>IF(B16="","",IFERROR(INDEX('Content Calendar'!$X$5:$X$604,MATCH(B16,'Content Calendar'!$A$5:$A$604,0)),"Not found"))</f>
        <v>0</v>
      </c>
      <c r="T16" s="23">
        <f>IF(B16="","",IF(COUNTIF(Performance!$B$5:$B$404,B16)=0,"",SUMIFS(Performance!$O$5:$O$404,Performance!$B$5:$B$404,B16)))</f>
        <v>0</v>
      </c>
      <c r="U16" s="23">
        <f>IF(B16="","",IF(COUNTIF(Performance!$B$5:$B$404,B16)=0,"",SUMIFS(Performance!$P$5:$P$404,Performance!$B$5:$B$404,B16)))</f>
        <v>0</v>
      </c>
      <c r="V16" s="23">
        <f>IF(B16="","",IF(COUNTIF(Performance!$B$5:$B$404,B16)=0,"",SUMIFS(Performance!$Z$5:$Z$404,Performance!$B$5:$B$404,B16)))</f>
        <v>0</v>
      </c>
      <c r="W16" s="24">
        <f>IF(OR(T16="",T16=0),"",V16/T16)</f>
        <v>0</v>
      </c>
      <c r="X16" s="23">
        <f>IF(B16="","",IF(COUNTIF(Performance!$B$5:$B$404,B16)=0,"",SUMIFS(Performance!$T$5:$T$404,Performance!$B$5:$B$404,B16)))</f>
        <v>0</v>
      </c>
      <c r="Y16" s="23">
        <f>IF(B16="","",IF(COUNTIF(Performance!$B$5:$B$404,B16)=0,"",SUMIFS(Performance!$S$5:$S$404,Performance!$B$5:$B$404,B16)))</f>
        <v>0</v>
      </c>
      <c r="Z16" s="23">
        <f>IF(B16="","",IF(COUNTIF(Performance!$B$5:$B$404,B16)=0,"",SUMIFS(Performance!$R$5:$R$404,Performance!$B$5:$B$404,B16)))</f>
        <v>0</v>
      </c>
      <c r="AA16" s="23">
        <f>IF(B16="","",IF(COUNTIF(Performance!$B$5:$B$404,B16)=0,"",SUMIFS(Performance!$U$5:$U$404,Performance!$B$5:$B$404,B16)))</f>
        <v>0</v>
      </c>
      <c r="AB16" s="29">
        <f>IF(B16="","",IF(C16="Not found","Check - content ID not on the calendar",IF(N16="","Add - no target keyword",IF(K16="","Add - no destination link",IF(AND(S16&lt;&gt;"",S16&lt;TODAY()),"Due - time to refresh this pin","OK")))))</f>
        <v>0</v>
      </c>
    </row>
    <row r="17" spans="1:28">
      <c r="A17" s="41">
        <f>IF(B17="","","PN-"&amp;TEXT(ROW()-4,"000"))</f>
        <v>0</v>
      </c>
      <c r="C17" s="17">
        <f>IF(B17="","",IFERROR(INDEX('Content Calendar'!$H$5:$H$604,MATCH(B17,'Content Calendar'!$A$5:$A$604,0)),"Not found"))</f>
        <v>0</v>
      </c>
      <c r="D17" s="16">
        <f>IF(B17="","",IFERROR(INDEX('Content Calendar'!$B$5:$B$604,MATCH(B17,'Content Calendar'!$A$5:$A$604,0)),"Not found"))</f>
        <v>0</v>
      </c>
      <c r="E17" s="17">
        <f>IF(B17="","",IFERROR(INDEX('Content Calendar'!$J$5:$J$604,MATCH(B17,'Content Calendar'!$A$5:$A$604,0)),"Not found"))</f>
        <v>0</v>
      </c>
      <c r="F17" s="29">
        <f>IF(B17="","",IFERROR(INDEX('Content Calendar'!$X$5:$X$604,MATCH(B17,'Content Calendar'!$A$5:$A$604,0)),"Not found"))</f>
        <v>0</v>
      </c>
      <c r="T17" s="23">
        <f>IF(B17="","",IF(COUNTIF(Performance!$B$5:$B$404,B17)=0,"",SUMIFS(Performance!$O$5:$O$404,Performance!$B$5:$B$404,B17)))</f>
        <v>0</v>
      </c>
      <c r="U17" s="23">
        <f>IF(B17="","",IF(COUNTIF(Performance!$B$5:$B$404,B17)=0,"",SUMIFS(Performance!$P$5:$P$404,Performance!$B$5:$B$404,B17)))</f>
        <v>0</v>
      </c>
      <c r="V17" s="23">
        <f>IF(B17="","",IF(COUNTIF(Performance!$B$5:$B$404,B17)=0,"",SUMIFS(Performance!$Z$5:$Z$404,Performance!$B$5:$B$404,B17)))</f>
        <v>0</v>
      </c>
      <c r="W17" s="24">
        <f>IF(OR(T17="",T17=0),"",V17/T17)</f>
        <v>0</v>
      </c>
      <c r="X17" s="23">
        <f>IF(B17="","",IF(COUNTIF(Performance!$B$5:$B$404,B17)=0,"",SUMIFS(Performance!$T$5:$T$404,Performance!$B$5:$B$404,B17)))</f>
        <v>0</v>
      </c>
      <c r="Y17" s="23">
        <f>IF(B17="","",IF(COUNTIF(Performance!$B$5:$B$404,B17)=0,"",SUMIFS(Performance!$S$5:$S$404,Performance!$B$5:$B$404,B17)))</f>
        <v>0</v>
      </c>
      <c r="Z17" s="23">
        <f>IF(B17="","",IF(COUNTIF(Performance!$B$5:$B$404,B17)=0,"",SUMIFS(Performance!$R$5:$R$404,Performance!$B$5:$B$404,B17)))</f>
        <v>0</v>
      </c>
      <c r="AA17" s="23">
        <f>IF(B17="","",IF(COUNTIF(Performance!$B$5:$B$404,B17)=0,"",SUMIFS(Performance!$U$5:$U$404,Performance!$B$5:$B$404,B17)))</f>
        <v>0</v>
      </c>
      <c r="AB17" s="29">
        <f>IF(B17="","",IF(C17="Not found","Check - content ID not on the calendar",IF(N17="","Add - no target keyword",IF(K17="","Add - no destination link",IF(AND(S17&lt;&gt;"",S17&lt;TODAY()),"Due - time to refresh this pin","OK")))))</f>
        <v>0</v>
      </c>
    </row>
    <row r="18" spans="1:28">
      <c r="A18" s="41">
        <f>IF(B18="","","PN-"&amp;TEXT(ROW()-4,"000"))</f>
        <v>0</v>
      </c>
      <c r="C18" s="17">
        <f>IF(B18="","",IFERROR(INDEX('Content Calendar'!$H$5:$H$604,MATCH(B18,'Content Calendar'!$A$5:$A$604,0)),"Not found"))</f>
        <v>0</v>
      </c>
      <c r="D18" s="16">
        <f>IF(B18="","",IFERROR(INDEX('Content Calendar'!$B$5:$B$604,MATCH(B18,'Content Calendar'!$A$5:$A$604,0)),"Not found"))</f>
        <v>0</v>
      </c>
      <c r="E18" s="17">
        <f>IF(B18="","",IFERROR(INDEX('Content Calendar'!$J$5:$J$604,MATCH(B18,'Content Calendar'!$A$5:$A$604,0)),"Not found"))</f>
        <v>0</v>
      </c>
      <c r="F18" s="29">
        <f>IF(B18="","",IFERROR(INDEX('Content Calendar'!$X$5:$X$604,MATCH(B18,'Content Calendar'!$A$5:$A$604,0)),"Not found"))</f>
        <v>0</v>
      </c>
      <c r="T18" s="23">
        <f>IF(B18="","",IF(COUNTIF(Performance!$B$5:$B$404,B18)=0,"",SUMIFS(Performance!$O$5:$O$404,Performance!$B$5:$B$404,B18)))</f>
        <v>0</v>
      </c>
      <c r="U18" s="23">
        <f>IF(B18="","",IF(COUNTIF(Performance!$B$5:$B$404,B18)=0,"",SUMIFS(Performance!$P$5:$P$404,Performance!$B$5:$B$404,B18)))</f>
        <v>0</v>
      </c>
      <c r="V18" s="23">
        <f>IF(B18="","",IF(COUNTIF(Performance!$B$5:$B$404,B18)=0,"",SUMIFS(Performance!$Z$5:$Z$404,Performance!$B$5:$B$404,B18)))</f>
        <v>0</v>
      </c>
      <c r="W18" s="24">
        <f>IF(OR(T18="",T18=0),"",V18/T18)</f>
        <v>0</v>
      </c>
      <c r="X18" s="23">
        <f>IF(B18="","",IF(COUNTIF(Performance!$B$5:$B$404,B18)=0,"",SUMIFS(Performance!$T$5:$T$404,Performance!$B$5:$B$404,B18)))</f>
        <v>0</v>
      </c>
      <c r="Y18" s="23">
        <f>IF(B18="","",IF(COUNTIF(Performance!$B$5:$B$404,B18)=0,"",SUMIFS(Performance!$S$5:$S$404,Performance!$B$5:$B$404,B18)))</f>
        <v>0</v>
      </c>
      <c r="Z18" s="23">
        <f>IF(B18="","",IF(COUNTIF(Performance!$B$5:$B$404,B18)=0,"",SUMIFS(Performance!$R$5:$R$404,Performance!$B$5:$B$404,B18)))</f>
        <v>0</v>
      </c>
      <c r="AA18" s="23">
        <f>IF(B18="","",IF(COUNTIF(Performance!$B$5:$B$404,B18)=0,"",SUMIFS(Performance!$U$5:$U$404,Performance!$B$5:$B$404,B18)))</f>
        <v>0</v>
      </c>
      <c r="AB18" s="29">
        <f>IF(B18="","",IF(C18="Not found","Check - content ID not on the calendar",IF(N18="","Add - no target keyword",IF(K18="","Add - no destination link",IF(AND(S18&lt;&gt;"",S18&lt;TODAY()),"Due - time to refresh this pin","OK")))))</f>
        <v>0</v>
      </c>
    </row>
    <row r="19" spans="1:28">
      <c r="A19" s="41">
        <f>IF(B19="","","PN-"&amp;TEXT(ROW()-4,"000"))</f>
        <v>0</v>
      </c>
      <c r="C19" s="17">
        <f>IF(B19="","",IFERROR(INDEX('Content Calendar'!$H$5:$H$604,MATCH(B19,'Content Calendar'!$A$5:$A$604,0)),"Not found"))</f>
        <v>0</v>
      </c>
      <c r="D19" s="16">
        <f>IF(B19="","",IFERROR(INDEX('Content Calendar'!$B$5:$B$604,MATCH(B19,'Content Calendar'!$A$5:$A$604,0)),"Not found"))</f>
        <v>0</v>
      </c>
      <c r="E19" s="17">
        <f>IF(B19="","",IFERROR(INDEX('Content Calendar'!$J$5:$J$604,MATCH(B19,'Content Calendar'!$A$5:$A$604,0)),"Not found"))</f>
        <v>0</v>
      </c>
      <c r="F19" s="29">
        <f>IF(B19="","",IFERROR(INDEX('Content Calendar'!$X$5:$X$604,MATCH(B19,'Content Calendar'!$A$5:$A$604,0)),"Not found"))</f>
        <v>0</v>
      </c>
      <c r="T19" s="23">
        <f>IF(B19="","",IF(COUNTIF(Performance!$B$5:$B$404,B19)=0,"",SUMIFS(Performance!$O$5:$O$404,Performance!$B$5:$B$404,B19)))</f>
        <v>0</v>
      </c>
      <c r="U19" s="23">
        <f>IF(B19="","",IF(COUNTIF(Performance!$B$5:$B$404,B19)=0,"",SUMIFS(Performance!$P$5:$P$404,Performance!$B$5:$B$404,B19)))</f>
        <v>0</v>
      </c>
      <c r="V19" s="23">
        <f>IF(B19="","",IF(COUNTIF(Performance!$B$5:$B$404,B19)=0,"",SUMIFS(Performance!$Z$5:$Z$404,Performance!$B$5:$B$404,B19)))</f>
        <v>0</v>
      </c>
      <c r="W19" s="24">
        <f>IF(OR(T19="",T19=0),"",V19/T19)</f>
        <v>0</v>
      </c>
      <c r="X19" s="23">
        <f>IF(B19="","",IF(COUNTIF(Performance!$B$5:$B$404,B19)=0,"",SUMIFS(Performance!$T$5:$T$404,Performance!$B$5:$B$404,B19)))</f>
        <v>0</v>
      </c>
      <c r="Y19" s="23">
        <f>IF(B19="","",IF(COUNTIF(Performance!$B$5:$B$404,B19)=0,"",SUMIFS(Performance!$S$5:$S$404,Performance!$B$5:$B$404,B19)))</f>
        <v>0</v>
      </c>
      <c r="Z19" s="23">
        <f>IF(B19="","",IF(COUNTIF(Performance!$B$5:$B$404,B19)=0,"",SUMIFS(Performance!$R$5:$R$404,Performance!$B$5:$B$404,B19)))</f>
        <v>0</v>
      </c>
      <c r="AA19" s="23">
        <f>IF(B19="","",IF(COUNTIF(Performance!$B$5:$B$404,B19)=0,"",SUMIFS(Performance!$U$5:$U$404,Performance!$B$5:$B$404,B19)))</f>
        <v>0</v>
      </c>
      <c r="AB19" s="29">
        <f>IF(B19="","",IF(C19="Not found","Check - content ID not on the calendar",IF(N19="","Add - no target keyword",IF(K19="","Add - no destination link",IF(AND(S19&lt;&gt;"",S19&lt;TODAY()),"Due - time to refresh this pin","OK")))))</f>
        <v>0</v>
      </c>
    </row>
    <row r="20" spans="1:28">
      <c r="A20" s="41">
        <f>IF(B20="","","PN-"&amp;TEXT(ROW()-4,"000"))</f>
        <v>0</v>
      </c>
      <c r="C20" s="17">
        <f>IF(B20="","",IFERROR(INDEX('Content Calendar'!$H$5:$H$604,MATCH(B20,'Content Calendar'!$A$5:$A$604,0)),"Not found"))</f>
        <v>0</v>
      </c>
      <c r="D20" s="16">
        <f>IF(B20="","",IFERROR(INDEX('Content Calendar'!$B$5:$B$604,MATCH(B20,'Content Calendar'!$A$5:$A$604,0)),"Not found"))</f>
        <v>0</v>
      </c>
      <c r="E20" s="17">
        <f>IF(B20="","",IFERROR(INDEX('Content Calendar'!$J$5:$J$604,MATCH(B20,'Content Calendar'!$A$5:$A$604,0)),"Not found"))</f>
        <v>0</v>
      </c>
      <c r="F20" s="29">
        <f>IF(B20="","",IFERROR(INDEX('Content Calendar'!$X$5:$X$604,MATCH(B20,'Content Calendar'!$A$5:$A$604,0)),"Not found"))</f>
        <v>0</v>
      </c>
      <c r="T20" s="23">
        <f>IF(B20="","",IF(COUNTIF(Performance!$B$5:$B$404,B20)=0,"",SUMIFS(Performance!$O$5:$O$404,Performance!$B$5:$B$404,B20)))</f>
        <v>0</v>
      </c>
      <c r="U20" s="23">
        <f>IF(B20="","",IF(COUNTIF(Performance!$B$5:$B$404,B20)=0,"",SUMIFS(Performance!$P$5:$P$404,Performance!$B$5:$B$404,B20)))</f>
        <v>0</v>
      </c>
      <c r="V20" s="23">
        <f>IF(B20="","",IF(COUNTIF(Performance!$B$5:$B$404,B20)=0,"",SUMIFS(Performance!$Z$5:$Z$404,Performance!$B$5:$B$404,B20)))</f>
        <v>0</v>
      </c>
      <c r="W20" s="24">
        <f>IF(OR(T20="",T20=0),"",V20/T20)</f>
        <v>0</v>
      </c>
      <c r="X20" s="23">
        <f>IF(B20="","",IF(COUNTIF(Performance!$B$5:$B$404,B20)=0,"",SUMIFS(Performance!$T$5:$T$404,Performance!$B$5:$B$404,B20)))</f>
        <v>0</v>
      </c>
      <c r="Y20" s="23">
        <f>IF(B20="","",IF(COUNTIF(Performance!$B$5:$B$404,B20)=0,"",SUMIFS(Performance!$S$5:$S$404,Performance!$B$5:$B$404,B20)))</f>
        <v>0</v>
      </c>
      <c r="Z20" s="23">
        <f>IF(B20="","",IF(COUNTIF(Performance!$B$5:$B$404,B20)=0,"",SUMIFS(Performance!$R$5:$R$404,Performance!$B$5:$B$404,B20)))</f>
        <v>0</v>
      </c>
      <c r="AA20" s="23">
        <f>IF(B20="","",IF(COUNTIF(Performance!$B$5:$B$404,B20)=0,"",SUMIFS(Performance!$U$5:$U$404,Performance!$B$5:$B$404,B20)))</f>
        <v>0</v>
      </c>
      <c r="AB20" s="29">
        <f>IF(B20="","",IF(C20="Not found","Check - content ID not on the calendar",IF(N20="","Add - no target keyword",IF(K20="","Add - no destination link",IF(AND(S20&lt;&gt;"",S20&lt;TODAY()),"Due - time to refresh this pin","OK")))))</f>
        <v>0</v>
      </c>
    </row>
    <row r="21" spans="1:28">
      <c r="A21" s="41">
        <f>IF(B21="","","PN-"&amp;TEXT(ROW()-4,"000"))</f>
        <v>0</v>
      </c>
      <c r="C21" s="17">
        <f>IF(B21="","",IFERROR(INDEX('Content Calendar'!$H$5:$H$604,MATCH(B21,'Content Calendar'!$A$5:$A$604,0)),"Not found"))</f>
        <v>0</v>
      </c>
      <c r="D21" s="16">
        <f>IF(B21="","",IFERROR(INDEX('Content Calendar'!$B$5:$B$604,MATCH(B21,'Content Calendar'!$A$5:$A$604,0)),"Not found"))</f>
        <v>0</v>
      </c>
      <c r="E21" s="17">
        <f>IF(B21="","",IFERROR(INDEX('Content Calendar'!$J$5:$J$604,MATCH(B21,'Content Calendar'!$A$5:$A$604,0)),"Not found"))</f>
        <v>0</v>
      </c>
      <c r="F21" s="29">
        <f>IF(B21="","",IFERROR(INDEX('Content Calendar'!$X$5:$X$604,MATCH(B21,'Content Calendar'!$A$5:$A$604,0)),"Not found"))</f>
        <v>0</v>
      </c>
      <c r="T21" s="23">
        <f>IF(B21="","",IF(COUNTIF(Performance!$B$5:$B$404,B21)=0,"",SUMIFS(Performance!$O$5:$O$404,Performance!$B$5:$B$404,B21)))</f>
        <v>0</v>
      </c>
      <c r="U21" s="23">
        <f>IF(B21="","",IF(COUNTIF(Performance!$B$5:$B$404,B21)=0,"",SUMIFS(Performance!$P$5:$P$404,Performance!$B$5:$B$404,B21)))</f>
        <v>0</v>
      </c>
      <c r="V21" s="23">
        <f>IF(B21="","",IF(COUNTIF(Performance!$B$5:$B$404,B21)=0,"",SUMIFS(Performance!$Z$5:$Z$404,Performance!$B$5:$B$404,B21)))</f>
        <v>0</v>
      </c>
      <c r="W21" s="24">
        <f>IF(OR(T21="",T21=0),"",V21/T21)</f>
        <v>0</v>
      </c>
      <c r="X21" s="23">
        <f>IF(B21="","",IF(COUNTIF(Performance!$B$5:$B$404,B21)=0,"",SUMIFS(Performance!$T$5:$T$404,Performance!$B$5:$B$404,B21)))</f>
        <v>0</v>
      </c>
      <c r="Y21" s="23">
        <f>IF(B21="","",IF(COUNTIF(Performance!$B$5:$B$404,B21)=0,"",SUMIFS(Performance!$S$5:$S$404,Performance!$B$5:$B$404,B21)))</f>
        <v>0</v>
      </c>
      <c r="Z21" s="23">
        <f>IF(B21="","",IF(COUNTIF(Performance!$B$5:$B$404,B21)=0,"",SUMIFS(Performance!$R$5:$R$404,Performance!$B$5:$B$404,B21)))</f>
        <v>0</v>
      </c>
      <c r="AA21" s="23">
        <f>IF(B21="","",IF(COUNTIF(Performance!$B$5:$B$404,B21)=0,"",SUMIFS(Performance!$U$5:$U$404,Performance!$B$5:$B$404,B21)))</f>
        <v>0</v>
      </c>
      <c r="AB21" s="29">
        <f>IF(B21="","",IF(C21="Not found","Check - content ID not on the calendar",IF(N21="","Add - no target keyword",IF(K21="","Add - no destination link",IF(AND(S21&lt;&gt;"",S21&lt;TODAY()),"Due - time to refresh this pin","OK")))))</f>
        <v>0</v>
      </c>
    </row>
    <row r="22" spans="1:28">
      <c r="A22" s="41">
        <f>IF(B22="","","PN-"&amp;TEXT(ROW()-4,"000"))</f>
        <v>0</v>
      </c>
      <c r="C22" s="17">
        <f>IF(B22="","",IFERROR(INDEX('Content Calendar'!$H$5:$H$604,MATCH(B22,'Content Calendar'!$A$5:$A$604,0)),"Not found"))</f>
        <v>0</v>
      </c>
      <c r="D22" s="16">
        <f>IF(B22="","",IFERROR(INDEX('Content Calendar'!$B$5:$B$604,MATCH(B22,'Content Calendar'!$A$5:$A$604,0)),"Not found"))</f>
        <v>0</v>
      </c>
      <c r="E22" s="17">
        <f>IF(B22="","",IFERROR(INDEX('Content Calendar'!$J$5:$J$604,MATCH(B22,'Content Calendar'!$A$5:$A$604,0)),"Not found"))</f>
        <v>0</v>
      </c>
      <c r="F22" s="29">
        <f>IF(B22="","",IFERROR(INDEX('Content Calendar'!$X$5:$X$604,MATCH(B22,'Content Calendar'!$A$5:$A$604,0)),"Not found"))</f>
        <v>0</v>
      </c>
      <c r="T22" s="23">
        <f>IF(B22="","",IF(COUNTIF(Performance!$B$5:$B$404,B22)=0,"",SUMIFS(Performance!$O$5:$O$404,Performance!$B$5:$B$404,B22)))</f>
        <v>0</v>
      </c>
      <c r="U22" s="23">
        <f>IF(B22="","",IF(COUNTIF(Performance!$B$5:$B$404,B22)=0,"",SUMIFS(Performance!$P$5:$P$404,Performance!$B$5:$B$404,B22)))</f>
        <v>0</v>
      </c>
      <c r="V22" s="23">
        <f>IF(B22="","",IF(COUNTIF(Performance!$B$5:$B$404,B22)=0,"",SUMIFS(Performance!$Z$5:$Z$404,Performance!$B$5:$B$404,B22)))</f>
        <v>0</v>
      </c>
      <c r="W22" s="24">
        <f>IF(OR(T22="",T22=0),"",V22/T22)</f>
        <v>0</v>
      </c>
      <c r="X22" s="23">
        <f>IF(B22="","",IF(COUNTIF(Performance!$B$5:$B$404,B22)=0,"",SUMIFS(Performance!$T$5:$T$404,Performance!$B$5:$B$404,B22)))</f>
        <v>0</v>
      </c>
      <c r="Y22" s="23">
        <f>IF(B22="","",IF(COUNTIF(Performance!$B$5:$B$404,B22)=0,"",SUMIFS(Performance!$S$5:$S$404,Performance!$B$5:$B$404,B22)))</f>
        <v>0</v>
      </c>
      <c r="Z22" s="23">
        <f>IF(B22="","",IF(COUNTIF(Performance!$B$5:$B$404,B22)=0,"",SUMIFS(Performance!$R$5:$R$404,Performance!$B$5:$B$404,B22)))</f>
        <v>0</v>
      </c>
      <c r="AA22" s="23">
        <f>IF(B22="","",IF(COUNTIF(Performance!$B$5:$B$404,B22)=0,"",SUMIFS(Performance!$U$5:$U$404,Performance!$B$5:$B$404,B22)))</f>
        <v>0</v>
      </c>
      <c r="AB22" s="29">
        <f>IF(B22="","",IF(C22="Not found","Check - content ID not on the calendar",IF(N22="","Add - no target keyword",IF(K22="","Add - no destination link",IF(AND(S22&lt;&gt;"",S22&lt;TODAY()),"Due - time to refresh this pin","OK")))))</f>
        <v>0</v>
      </c>
    </row>
    <row r="23" spans="1:28">
      <c r="A23" s="41">
        <f>IF(B23="","","PN-"&amp;TEXT(ROW()-4,"000"))</f>
        <v>0</v>
      </c>
      <c r="C23" s="17">
        <f>IF(B23="","",IFERROR(INDEX('Content Calendar'!$H$5:$H$604,MATCH(B23,'Content Calendar'!$A$5:$A$604,0)),"Not found"))</f>
        <v>0</v>
      </c>
      <c r="D23" s="16">
        <f>IF(B23="","",IFERROR(INDEX('Content Calendar'!$B$5:$B$604,MATCH(B23,'Content Calendar'!$A$5:$A$604,0)),"Not found"))</f>
        <v>0</v>
      </c>
      <c r="E23" s="17">
        <f>IF(B23="","",IFERROR(INDEX('Content Calendar'!$J$5:$J$604,MATCH(B23,'Content Calendar'!$A$5:$A$604,0)),"Not found"))</f>
        <v>0</v>
      </c>
      <c r="F23" s="29">
        <f>IF(B23="","",IFERROR(INDEX('Content Calendar'!$X$5:$X$604,MATCH(B23,'Content Calendar'!$A$5:$A$604,0)),"Not found"))</f>
        <v>0</v>
      </c>
      <c r="T23" s="23">
        <f>IF(B23="","",IF(COUNTIF(Performance!$B$5:$B$404,B23)=0,"",SUMIFS(Performance!$O$5:$O$404,Performance!$B$5:$B$404,B23)))</f>
        <v>0</v>
      </c>
      <c r="U23" s="23">
        <f>IF(B23="","",IF(COUNTIF(Performance!$B$5:$B$404,B23)=0,"",SUMIFS(Performance!$P$5:$P$404,Performance!$B$5:$B$404,B23)))</f>
        <v>0</v>
      </c>
      <c r="V23" s="23">
        <f>IF(B23="","",IF(COUNTIF(Performance!$B$5:$B$404,B23)=0,"",SUMIFS(Performance!$Z$5:$Z$404,Performance!$B$5:$B$404,B23)))</f>
        <v>0</v>
      </c>
      <c r="W23" s="24">
        <f>IF(OR(T23="",T23=0),"",V23/T23)</f>
        <v>0</v>
      </c>
      <c r="X23" s="23">
        <f>IF(B23="","",IF(COUNTIF(Performance!$B$5:$B$404,B23)=0,"",SUMIFS(Performance!$T$5:$T$404,Performance!$B$5:$B$404,B23)))</f>
        <v>0</v>
      </c>
      <c r="Y23" s="23">
        <f>IF(B23="","",IF(COUNTIF(Performance!$B$5:$B$404,B23)=0,"",SUMIFS(Performance!$S$5:$S$404,Performance!$B$5:$B$404,B23)))</f>
        <v>0</v>
      </c>
      <c r="Z23" s="23">
        <f>IF(B23="","",IF(COUNTIF(Performance!$B$5:$B$404,B23)=0,"",SUMIFS(Performance!$R$5:$R$404,Performance!$B$5:$B$404,B23)))</f>
        <v>0</v>
      </c>
      <c r="AA23" s="23">
        <f>IF(B23="","",IF(COUNTIF(Performance!$B$5:$B$404,B23)=0,"",SUMIFS(Performance!$U$5:$U$404,Performance!$B$5:$B$404,B23)))</f>
        <v>0</v>
      </c>
      <c r="AB23" s="29">
        <f>IF(B23="","",IF(C23="Not found","Check - content ID not on the calendar",IF(N23="","Add - no target keyword",IF(K23="","Add - no destination link",IF(AND(S23&lt;&gt;"",S23&lt;TODAY()),"Due - time to refresh this pin","OK")))))</f>
        <v>0</v>
      </c>
    </row>
    <row r="24" spans="1:28">
      <c r="A24" s="41">
        <f>IF(B24="","","PN-"&amp;TEXT(ROW()-4,"000"))</f>
        <v>0</v>
      </c>
      <c r="C24" s="17">
        <f>IF(B24="","",IFERROR(INDEX('Content Calendar'!$H$5:$H$604,MATCH(B24,'Content Calendar'!$A$5:$A$604,0)),"Not found"))</f>
        <v>0</v>
      </c>
      <c r="D24" s="16">
        <f>IF(B24="","",IFERROR(INDEX('Content Calendar'!$B$5:$B$604,MATCH(B24,'Content Calendar'!$A$5:$A$604,0)),"Not found"))</f>
        <v>0</v>
      </c>
      <c r="E24" s="17">
        <f>IF(B24="","",IFERROR(INDEX('Content Calendar'!$J$5:$J$604,MATCH(B24,'Content Calendar'!$A$5:$A$604,0)),"Not found"))</f>
        <v>0</v>
      </c>
      <c r="F24" s="29">
        <f>IF(B24="","",IFERROR(INDEX('Content Calendar'!$X$5:$X$604,MATCH(B24,'Content Calendar'!$A$5:$A$604,0)),"Not found"))</f>
        <v>0</v>
      </c>
      <c r="T24" s="23">
        <f>IF(B24="","",IF(COUNTIF(Performance!$B$5:$B$404,B24)=0,"",SUMIFS(Performance!$O$5:$O$404,Performance!$B$5:$B$404,B24)))</f>
        <v>0</v>
      </c>
      <c r="U24" s="23">
        <f>IF(B24="","",IF(COUNTIF(Performance!$B$5:$B$404,B24)=0,"",SUMIFS(Performance!$P$5:$P$404,Performance!$B$5:$B$404,B24)))</f>
        <v>0</v>
      </c>
      <c r="V24" s="23">
        <f>IF(B24="","",IF(COUNTIF(Performance!$B$5:$B$404,B24)=0,"",SUMIFS(Performance!$Z$5:$Z$404,Performance!$B$5:$B$404,B24)))</f>
        <v>0</v>
      </c>
      <c r="W24" s="24">
        <f>IF(OR(T24="",T24=0),"",V24/T24)</f>
        <v>0</v>
      </c>
      <c r="X24" s="23">
        <f>IF(B24="","",IF(COUNTIF(Performance!$B$5:$B$404,B24)=0,"",SUMIFS(Performance!$T$5:$T$404,Performance!$B$5:$B$404,B24)))</f>
        <v>0</v>
      </c>
      <c r="Y24" s="23">
        <f>IF(B24="","",IF(COUNTIF(Performance!$B$5:$B$404,B24)=0,"",SUMIFS(Performance!$S$5:$S$404,Performance!$B$5:$B$404,B24)))</f>
        <v>0</v>
      </c>
      <c r="Z24" s="23">
        <f>IF(B24="","",IF(COUNTIF(Performance!$B$5:$B$404,B24)=0,"",SUMIFS(Performance!$R$5:$R$404,Performance!$B$5:$B$404,B24)))</f>
        <v>0</v>
      </c>
      <c r="AA24" s="23">
        <f>IF(B24="","",IF(COUNTIF(Performance!$B$5:$B$404,B24)=0,"",SUMIFS(Performance!$U$5:$U$404,Performance!$B$5:$B$404,B24)))</f>
        <v>0</v>
      </c>
      <c r="AB24" s="29">
        <f>IF(B24="","",IF(C24="Not found","Check - content ID not on the calendar",IF(N24="","Add - no target keyword",IF(K24="","Add - no destination link",IF(AND(S24&lt;&gt;"",S24&lt;TODAY()),"Due - time to refresh this pin","OK")))))</f>
        <v>0</v>
      </c>
    </row>
    <row r="25" spans="1:28">
      <c r="A25" s="41">
        <f>IF(B25="","","PN-"&amp;TEXT(ROW()-4,"000"))</f>
        <v>0</v>
      </c>
      <c r="C25" s="17">
        <f>IF(B25="","",IFERROR(INDEX('Content Calendar'!$H$5:$H$604,MATCH(B25,'Content Calendar'!$A$5:$A$604,0)),"Not found"))</f>
        <v>0</v>
      </c>
      <c r="D25" s="16">
        <f>IF(B25="","",IFERROR(INDEX('Content Calendar'!$B$5:$B$604,MATCH(B25,'Content Calendar'!$A$5:$A$604,0)),"Not found"))</f>
        <v>0</v>
      </c>
      <c r="E25" s="17">
        <f>IF(B25="","",IFERROR(INDEX('Content Calendar'!$J$5:$J$604,MATCH(B25,'Content Calendar'!$A$5:$A$604,0)),"Not found"))</f>
        <v>0</v>
      </c>
      <c r="F25" s="29">
        <f>IF(B25="","",IFERROR(INDEX('Content Calendar'!$X$5:$X$604,MATCH(B25,'Content Calendar'!$A$5:$A$604,0)),"Not found"))</f>
        <v>0</v>
      </c>
      <c r="T25" s="23">
        <f>IF(B25="","",IF(COUNTIF(Performance!$B$5:$B$404,B25)=0,"",SUMIFS(Performance!$O$5:$O$404,Performance!$B$5:$B$404,B25)))</f>
        <v>0</v>
      </c>
      <c r="U25" s="23">
        <f>IF(B25="","",IF(COUNTIF(Performance!$B$5:$B$404,B25)=0,"",SUMIFS(Performance!$P$5:$P$404,Performance!$B$5:$B$404,B25)))</f>
        <v>0</v>
      </c>
      <c r="V25" s="23">
        <f>IF(B25="","",IF(COUNTIF(Performance!$B$5:$B$404,B25)=0,"",SUMIFS(Performance!$Z$5:$Z$404,Performance!$B$5:$B$404,B25)))</f>
        <v>0</v>
      </c>
      <c r="W25" s="24">
        <f>IF(OR(T25="",T25=0),"",V25/T25)</f>
        <v>0</v>
      </c>
      <c r="X25" s="23">
        <f>IF(B25="","",IF(COUNTIF(Performance!$B$5:$B$404,B25)=0,"",SUMIFS(Performance!$T$5:$T$404,Performance!$B$5:$B$404,B25)))</f>
        <v>0</v>
      </c>
      <c r="Y25" s="23">
        <f>IF(B25="","",IF(COUNTIF(Performance!$B$5:$B$404,B25)=0,"",SUMIFS(Performance!$S$5:$S$404,Performance!$B$5:$B$404,B25)))</f>
        <v>0</v>
      </c>
      <c r="Z25" s="23">
        <f>IF(B25="","",IF(COUNTIF(Performance!$B$5:$B$404,B25)=0,"",SUMIFS(Performance!$R$5:$R$404,Performance!$B$5:$B$404,B25)))</f>
        <v>0</v>
      </c>
      <c r="AA25" s="23">
        <f>IF(B25="","",IF(COUNTIF(Performance!$B$5:$B$404,B25)=0,"",SUMIFS(Performance!$U$5:$U$404,Performance!$B$5:$B$404,B25)))</f>
        <v>0</v>
      </c>
      <c r="AB25" s="29">
        <f>IF(B25="","",IF(C25="Not found","Check - content ID not on the calendar",IF(N25="","Add - no target keyword",IF(K25="","Add - no destination link",IF(AND(S25&lt;&gt;"",S25&lt;TODAY()),"Due - time to refresh this pin","OK")))))</f>
        <v>0</v>
      </c>
    </row>
    <row r="26" spans="1:28">
      <c r="A26" s="41">
        <f>IF(B26="","","PN-"&amp;TEXT(ROW()-4,"000"))</f>
        <v>0</v>
      </c>
      <c r="C26" s="17">
        <f>IF(B26="","",IFERROR(INDEX('Content Calendar'!$H$5:$H$604,MATCH(B26,'Content Calendar'!$A$5:$A$604,0)),"Not found"))</f>
        <v>0</v>
      </c>
      <c r="D26" s="16">
        <f>IF(B26="","",IFERROR(INDEX('Content Calendar'!$B$5:$B$604,MATCH(B26,'Content Calendar'!$A$5:$A$604,0)),"Not found"))</f>
        <v>0</v>
      </c>
      <c r="E26" s="17">
        <f>IF(B26="","",IFERROR(INDEX('Content Calendar'!$J$5:$J$604,MATCH(B26,'Content Calendar'!$A$5:$A$604,0)),"Not found"))</f>
        <v>0</v>
      </c>
      <c r="F26" s="29">
        <f>IF(B26="","",IFERROR(INDEX('Content Calendar'!$X$5:$X$604,MATCH(B26,'Content Calendar'!$A$5:$A$604,0)),"Not found"))</f>
        <v>0</v>
      </c>
      <c r="T26" s="23">
        <f>IF(B26="","",IF(COUNTIF(Performance!$B$5:$B$404,B26)=0,"",SUMIFS(Performance!$O$5:$O$404,Performance!$B$5:$B$404,B26)))</f>
        <v>0</v>
      </c>
      <c r="U26" s="23">
        <f>IF(B26="","",IF(COUNTIF(Performance!$B$5:$B$404,B26)=0,"",SUMIFS(Performance!$P$5:$P$404,Performance!$B$5:$B$404,B26)))</f>
        <v>0</v>
      </c>
      <c r="V26" s="23">
        <f>IF(B26="","",IF(COUNTIF(Performance!$B$5:$B$404,B26)=0,"",SUMIFS(Performance!$Z$5:$Z$404,Performance!$B$5:$B$404,B26)))</f>
        <v>0</v>
      </c>
      <c r="W26" s="24">
        <f>IF(OR(T26="",T26=0),"",V26/T26)</f>
        <v>0</v>
      </c>
      <c r="X26" s="23">
        <f>IF(B26="","",IF(COUNTIF(Performance!$B$5:$B$404,B26)=0,"",SUMIFS(Performance!$T$5:$T$404,Performance!$B$5:$B$404,B26)))</f>
        <v>0</v>
      </c>
      <c r="Y26" s="23">
        <f>IF(B26="","",IF(COUNTIF(Performance!$B$5:$B$404,B26)=0,"",SUMIFS(Performance!$S$5:$S$404,Performance!$B$5:$B$404,B26)))</f>
        <v>0</v>
      </c>
      <c r="Z26" s="23">
        <f>IF(B26="","",IF(COUNTIF(Performance!$B$5:$B$404,B26)=0,"",SUMIFS(Performance!$R$5:$R$404,Performance!$B$5:$B$404,B26)))</f>
        <v>0</v>
      </c>
      <c r="AA26" s="23">
        <f>IF(B26="","",IF(COUNTIF(Performance!$B$5:$B$404,B26)=0,"",SUMIFS(Performance!$U$5:$U$404,Performance!$B$5:$B$404,B26)))</f>
        <v>0</v>
      </c>
      <c r="AB26" s="29">
        <f>IF(B26="","",IF(C26="Not found","Check - content ID not on the calendar",IF(N26="","Add - no target keyword",IF(K26="","Add - no destination link",IF(AND(S26&lt;&gt;"",S26&lt;TODAY()),"Due - time to refresh this pin","OK")))))</f>
        <v>0</v>
      </c>
    </row>
    <row r="27" spans="1:28">
      <c r="A27" s="41">
        <f>IF(B27="","","PN-"&amp;TEXT(ROW()-4,"000"))</f>
        <v>0</v>
      </c>
      <c r="C27" s="17">
        <f>IF(B27="","",IFERROR(INDEX('Content Calendar'!$H$5:$H$604,MATCH(B27,'Content Calendar'!$A$5:$A$604,0)),"Not found"))</f>
        <v>0</v>
      </c>
      <c r="D27" s="16">
        <f>IF(B27="","",IFERROR(INDEX('Content Calendar'!$B$5:$B$604,MATCH(B27,'Content Calendar'!$A$5:$A$604,0)),"Not found"))</f>
        <v>0</v>
      </c>
      <c r="E27" s="17">
        <f>IF(B27="","",IFERROR(INDEX('Content Calendar'!$J$5:$J$604,MATCH(B27,'Content Calendar'!$A$5:$A$604,0)),"Not found"))</f>
        <v>0</v>
      </c>
      <c r="F27" s="29">
        <f>IF(B27="","",IFERROR(INDEX('Content Calendar'!$X$5:$X$604,MATCH(B27,'Content Calendar'!$A$5:$A$604,0)),"Not found"))</f>
        <v>0</v>
      </c>
      <c r="T27" s="23">
        <f>IF(B27="","",IF(COUNTIF(Performance!$B$5:$B$404,B27)=0,"",SUMIFS(Performance!$O$5:$O$404,Performance!$B$5:$B$404,B27)))</f>
        <v>0</v>
      </c>
      <c r="U27" s="23">
        <f>IF(B27="","",IF(COUNTIF(Performance!$B$5:$B$404,B27)=0,"",SUMIFS(Performance!$P$5:$P$404,Performance!$B$5:$B$404,B27)))</f>
        <v>0</v>
      </c>
      <c r="V27" s="23">
        <f>IF(B27="","",IF(COUNTIF(Performance!$B$5:$B$404,B27)=0,"",SUMIFS(Performance!$Z$5:$Z$404,Performance!$B$5:$B$404,B27)))</f>
        <v>0</v>
      </c>
      <c r="W27" s="24">
        <f>IF(OR(T27="",T27=0),"",V27/T27)</f>
        <v>0</v>
      </c>
      <c r="X27" s="23">
        <f>IF(B27="","",IF(COUNTIF(Performance!$B$5:$B$404,B27)=0,"",SUMIFS(Performance!$T$5:$T$404,Performance!$B$5:$B$404,B27)))</f>
        <v>0</v>
      </c>
      <c r="Y27" s="23">
        <f>IF(B27="","",IF(COUNTIF(Performance!$B$5:$B$404,B27)=0,"",SUMIFS(Performance!$S$5:$S$404,Performance!$B$5:$B$404,B27)))</f>
        <v>0</v>
      </c>
      <c r="Z27" s="23">
        <f>IF(B27="","",IF(COUNTIF(Performance!$B$5:$B$404,B27)=0,"",SUMIFS(Performance!$R$5:$R$404,Performance!$B$5:$B$404,B27)))</f>
        <v>0</v>
      </c>
      <c r="AA27" s="23">
        <f>IF(B27="","",IF(COUNTIF(Performance!$B$5:$B$404,B27)=0,"",SUMIFS(Performance!$U$5:$U$404,Performance!$B$5:$B$404,B27)))</f>
        <v>0</v>
      </c>
      <c r="AB27" s="29">
        <f>IF(B27="","",IF(C27="Not found","Check - content ID not on the calendar",IF(N27="","Add - no target keyword",IF(K27="","Add - no destination link",IF(AND(S27&lt;&gt;"",S27&lt;TODAY()),"Due - time to refresh this pin","OK")))))</f>
        <v>0</v>
      </c>
    </row>
    <row r="28" spans="1:28">
      <c r="A28" s="41">
        <f>IF(B28="","","PN-"&amp;TEXT(ROW()-4,"000"))</f>
        <v>0</v>
      </c>
      <c r="C28" s="17">
        <f>IF(B28="","",IFERROR(INDEX('Content Calendar'!$H$5:$H$604,MATCH(B28,'Content Calendar'!$A$5:$A$604,0)),"Not found"))</f>
        <v>0</v>
      </c>
      <c r="D28" s="16">
        <f>IF(B28="","",IFERROR(INDEX('Content Calendar'!$B$5:$B$604,MATCH(B28,'Content Calendar'!$A$5:$A$604,0)),"Not found"))</f>
        <v>0</v>
      </c>
      <c r="E28" s="17">
        <f>IF(B28="","",IFERROR(INDEX('Content Calendar'!$J$5:$J$604,MATCH(B28,'Content Calendar'!$A$5:$A$604,0)),"Not found"))</f>
        <v>0</v>
      </c>
      <c r="F28" s="29">
        <f>IF(B28="","",IFERROR(INDEX('Content Calendar'!$X$5:$X$604,MATCH(B28,'Content Calendar'!$A$5:$A$604,0)),"Not found"))</f>
        <v>0</v>
      </c>
      <c r="T28" s="23">
        <f>IF(B28="","",IF(COUNTIF(Performance!$B$5:$B$404,B28)=0,"",SUMIFS(Performance!$O$5:$O$404,Performance!$B$5:$B$404,B28)))</f>
        <v>0</v>
      </c>
      <c r="U28" s="23">
        <f>IF(B28="","",IF(COUNTIF(Performance!$B$5:$B$404,B28)=0,"",SUMIFS(Performance!$P$5:$P$404,Performance!$B$5:$B$404,B28)))</f>
        <v>0</v>
      </c>
      <c r="V28" s="23">
        <f>IF(B28="","",IF(COUNTIF(Performance!$B$5:$B$404,B28)=0,"",SUMIFS(Performance!$Z$5:$Z$404,Performance!$B$5:$B$404,B28)))</f>
        <v>0</v>
      </c>
      <c r="W28" s="24">
        <f>IF(OR(T28="",T28=0),"",V28/T28)</f>
        <v>0</v>
      </c>
      <c r="X28" s="23">
        <f>IF(B28="","",IF(COUNTIF(Performance!$B$5:$B$404,B28)=0,"",SUMIFS(Performance!$T$5:$T$404,Performance!$B$5:$B$404,B28)))</f>
        <v>0</v>
      </c>
      <c r="Y28" s="23">
        <f>IF(B28="","",IF(COUNTIF(Performance!$B$5:$B$404,B28)=0,"",SUMIFS(Performance!$S$5:$S$404,Performance!$B$5:$B$404,B28)))</f>
        <v>0</v>
      </c>
      <c r="Z28" s="23">
        <f>IF(B28="","",IF(COUNTIF(Performance!$B$5:$B$404,B28)=0,"",SUMIFS(Performance!$R$5:$R$404,Performance!$B$5:$B$404,B28)))</f>
        <v>0</v>
      </c>
      <c r="AA28" s="23">
        <f>IF(B28="","",IF(COUNTIF(Performance!$B$5:$B$404,B28)=0,"",SUMIFS(Performance!$U$5:$U$404,Performance!$B$5:$B$404,B28)))</f>
        <v>0</v>
      </c>
      <c r="AB28" s="29">
        <f>IF(B28="","",IF(C28="Not found","Check - content ID not on the calendar",IF(N28="","Add - no target keyword",IF(K28="","Add - no destination link",IF(AND(S28&lt;&gt;"",S28&lt;TODAY()),"Due - time to refresh this pin","OK")))))</f>
        <v>0</v>
      </c>
    </row>
    <row r="29" spans="1:28">
      <c r="A29" s="41">
        <f>IF(B29="","","PN-"&amp;TEXT(ROW()-4,"000"))</f>
        <v>0</v>
      </c>
      <c r="C29" s="17">
        <f>IF(B29="","",IFERROR(INDEX('Content Calendar'!$H$5:$H$604,MATCH(B29,'Content Calendar'!$A$5:$A$604,0)),"Not found"))</f>
        <v>0</v>
      </c>
      <c r="D29" s="16">
        <f>IF(B29="","",IFERROR(INDEX('Content Calendar'!$B$5:$B$604,MATCH(B29,'Content Calendar'!$A$5:$A$604,0)),"Not found"))</f>
        <v>0</v>
      </c>
      <c r="E29" s="17">
        <f>IF(B29="","",IFERROR(INDEX('Content Calendar'!$J$5:$J$604,MATCH(B29,'Content Calendar'!$A$5:$A$604,0)),"Not found"))</f>
        <v>0</v>
      </c>
      <c r="F29" s="29">
        <f>IF(B29="","",IFERROR(INDEX('Content Calendar'!$X$5:$X$604,MATCH(B29,'Content Calendar'!$A$5:$A$604,0)),"Not found"))</f>
        <v>0</v>
      </c>
      <c r="T29" s="23">
        <f>IF(B29="","",IF(COUNTIF(Performance!$B$5:$B$404,B29)=0,"",SUMIFS(Performance!$O$5:$O$404,Performance!$B$5:$B$404,B29)))</f>
        <v>0</v>
      </c>
      <c r="U29" s="23">
        <f>IF(B29="","",IF(COUNTIF(Performance!$B$5:$B$404,B29)=0,"",SUMIFS(Performance!$P$5:$P$404,Performance!$B$5:$B$404,B29)))</f>
        <v>0</v>
      </c>
      <c r="V29" s="23">
        <f>IF(B29="","",IF(COUNTIF(Performance!$B$5:$B$404,B29)=0,"",SUMIFS(Performance!$Z$5:$Z$404,Performance!$B$5:$B$404,B29)))</f>
        <v>0</v>
      </c>
      <c r="W29" s="24">
        <f>IF(OR(T29="",T29=0),"",V29/T29)</f>
        <v>0</v>
      </c>
      <c r="X29" s="23">
        <f>IF(B29="","",IF(COUNTIF(Performance!$B$5:$B$404,B29)=0,"",SUMIFS(Performance!$T$5:$T$404,Performance!$B$5:$B$404,B29)))</f>
        <v>0</v>
      </c>
      <c r="Y29" s="23">
        <f>IF(B29="","",IF(COUNTIF(Performance!$B$5:$B$404,B29)=0,"",SUMIFS(Performance!$S$5:$S$404,Performance!$B$5:$B$404,B29)))</f>
        <v>0</v>
      </c>
      <c r="Z29" s="23">
        <f>IF(B29="","",IF(COUNTIF(Performance!$B$5:$B$404,B29)=0,"",SUMIFS(Performance!$R$5:$R$404,Performance!$B$5:$B$404,B29)))</f>
        <v>0</v>
      </c>
      <c r="AA29" s="23">
        <f>IF(B29="","",IF(COUNTIF(Performance!$B$5:$B$404,B29)=0,"",SUMIFS(Performance!$U$5:$U$404,Performance!$B$5:$B$404,B29)))</f>
        <v>0</v>
      </c>
      <c r="AB29" s="29">
        <f>IF(B29="","",IF(C29="Not found","Check - content ID not on the calendar",IF(N29="","Add - no target keyword",IF(K29="","Add - no destination link",IF(AND(S29&lt;&gt;"",S29&lt;TODAY()),"Due - time to refresh this pin","OK")))))</f>
        <v>0</v>
      </c>
    </row>
    <row r="30" spans="1:28">
      <c r="A30" s="41">
        <f>IF(B30="","","PN-"&amp;TEXT(ROW()-4,"000"))</f>
        <v>0</v>
      </c>
      <c r="C30" s="17">
        <f>IF(B30="","",IFERROR(INDEX('Content Calendar'!$H$5:$H$604,MATCH(B30,'Content Calendar'!$A$5:$A$604,0)),"Not found"))</f>
        <v>0</v>
      </c>
      <c r="D30" s="16">
        <f>IF(B30="","",IFERROR(INDEX('Content Calendar'!$B$5:$B$604,MATCH(B30,'Content Calendar'!$A$5:$A$604,0)),"Not found"))</f>
        <v>0</v>
      </c>
      <c r="E30" s="17">
        <f>IF(B30="","",IFERROR(INDEX('Content Calendar'!$J$5:$J$604,MATCH(B30,'Content Calendar'!$A$5:$A$604,0)),"Not found"))</f>
        <v>0</v>
      </c>
      <c r="F30" s="29">
        <f>IF(B30="","",IFERROR(INDEX('Content Calendar'!$X$5:$X$604,MATCH(B30,'Content Calendar'!$A$5:$A$604,0)),"Not found"))</f>
        <v>0</v>
      </c>
      <c r="T30" s="23">
        <f>IF(B30="","",IF(COUNTIF(Performance!$B$5:$B$404,B30)=0,"",SUMIFS(Performance!$O$5:$O$404,Performance!$B$5:$B$404,B30)))</f>
        <v>0</v>
      </c>
      <c r="U30" s="23">
        <f>IF(B30="","",IF(COUNTIF(Performance!$B$5:$B$404,B30)=0,"",SUMIFS(Performance!$P$5:$P$404,Performance!$B$5:$B$404,B30)))</f>
        <v>0</v>
      </c>
      <c r="V30" s="23">
        <f>IF(B30="","",IF(COUNTIF(Performance!$B$5:$B$404,B30)=0,"",SUMIFS(Performance!$Z$5:$Z$404,Performance!$B$5:$B$404,B30)))</f>
        <v>0</v>
      </c>
      <c r="W30" s="24">
        <f>IF(OR(T30="",T30=0),"",V30/T30)</f>
        <v>0</v>
      </c>
      <c r="X30" s="23">
        <f>IF(B30="","",IF(COUNTIF(Performance!$B$5:$B$404,B30)=0,"",SUMIFS(Performance!$T$5:$T$404,Performance!$B$5:$B$404,B30)))</f>
        <v>0</v>
      </c>
      <c r="Y30" s="23">
        <f>IF(B30="","",IF(COUNTIF(Performance!$B$5:$B$404,B30)=0,"",SUMIFS(Performance!$S$5:$S$404,Performance!$B$5:$B$404,B30)))</f>
        <v>0</v>
      </c>
      <c r="Z30" s="23">
        <f>IF(B30="","",IF(COUNTIF(Performance!$B$5:$B$404,B30)=0,"",SUMIFS(Performance!$R$5:$R$404,Performance!$B$5:$B$404,B30)))</f>
        <v>0</v>
      </c>
      <c r="AA30" s="23">
        <f>IF(B30="","",IF(COUNTIF(Performance!$B$5:$B$404,B30)=0,"",SUMIFS(Performance!$U$5:$U$404,Performance!$B$5:$B$404,B30)))</f>
        <v>0</v>
      </c>
      <c r="AB30" s="29">
        <f>IF(B30="","",IF(C30="Not found","Check - content ID not on the calendar",IF(N30="","Add - no target keyword",IF(K30="","Add - no destination link",IF(AND(S30&lt;&gt;"",S30&lt;TODAY()),"Due - time to refresh this pin","OK")))))</f>
        <v>0</v>
      </c>
    </row>
    <row r="31" spans="1:28">
      <c r="A31" s="41">
        <f>IF(B31="","","PN-"&amp;TEXT(ROW()-4,"000"))</f>
        <v>0</v>
      </c>
      <c r="C31" s="17">
        <f>IF(B31="","",IFERROR(INDEX('Content Calendar'!$H$5:$H$604,MATCH(B31,'Content Calendar'!$A$5:$A$604,0)),"Not found"))</f>
        <v>0</v>
      </c>
      <c r="D31" s="16">
        <f>IF(B31="","",IFERROR(INDEX('Content Calendar'!$B$5:$B$604,MATCH(B31,'Content Calendar'!$A$5:$A$604,0)),"Not found"))</f>
        <v>0</v>
      </c>
      <c r="E31" s="17">
        <f>IF(B31="","",IFERROR(INDEX('Content Calendar'!$J$5:$J$604,MATCH(B31,'Content Calendar'!$A$5:$A$604,0)),"Not found"))</f>
        <v>0</v>
      </c>
      <c r="F31" s="29">
        <f>IF(B31="","",IFERROR(INDEX('Content Calendar'!$X$5:$X$604,MATCH(B31,'Content Calendar'!$A$5:$A$604,0)),"Not found"))</f>
        <v>0</v>
      </c>
      <c r="T31" s="23">
        <f>IF(B31="","",IF(COUNTIF(Performance!$B$5:$B$404,B31)=0,"",SUMIFS(Performance!$O$5:$O$404,Performance!$B$5:$B$404,B31)))</f>
        <v>0</v>
      </c>
      <c r="U31" s="23">
        <f>IF(B31="","",IF(COUNTIF(Performance!$B$5:$B$404,B31)=0,"",SUMIFS(Performance!$P$5:$P$404,Performance!$B$5:$B$404,B31)))</f>
        <v>0</v>
      </c>
      <c r="V31" s="23">
        <f>IF(B31="","",IF(COUNTIF(Performance!$B$5:$B$404,B31)=0,"",SUMIFS(Performance!$Z$5:$Z$404,Performance!$B$5:$B$404,B31)))</f>
        <v>0</v>
      </c>
      <c r="W31" s="24">
        <f>IF(OR(T31="",T31=0),"",V31/T31)</f>
        <v>0</v>
      </c>
      <c r="X31" s="23">
        <f>IF(B31="","",IF(COUNTIF(Performance!$B$5:$B$404,B31)=0,"",SUMIFS(Performance!$T$5:$T$404,Performance!$B$5:$B$404,B31)))</f>
        <v>0</v>
      </c>
      <c r="Y31" s="23">
        <f>IF(B31="","",IF(COUNTIF(Performance!$B$5:$B$404,B31)=0,"",SUMIFS(Performance!$S$5:$S$404,Performance!$B$5:$B$404,B31)))</f>
        <v>0</v>
      </c>
      <c r="Z31" s="23">
        <f>IF(B31="","",IF(COUNTIF(Performance!$B$5:$B$404,B31)=0,"",SUMIFS(Performance!$R$5:$R$404,Performance!$B$5:$B$404,B31)))</f>
        <v>0</v>
      </c>
      <c r="AA31" s="23">
        <f>IF(B31="","",IF(COUNTIF(Performance!$B$5:$B$404,B31)=0,"",SUMIFS(Performance!$U$5:$U$404,Performance!$B$5:$B$404,B31)))</f>
        <v>0</v>
      </c>
      <c r="AB31" s="29">
        <f>IF(B31="","",IF(C31="Not found","Check - content ID not on the calendar",IF(N31="","Add - no target keyword",IF(K31="","Add - no destination link",IF(AND(S31&lt;&gt;"",S31&lt;TODAY()),"Due - time to refresh this pin","OK")))))</f>
        <v>0</v>
      </c>
    </row>
    <row r="32" spans="1:28">
      <c r="A32" s="41">
        <f>IF(B32="","","PN-"&amp;TEXT(ROW()-4,"000"))</f>
        <v>0</v>
      </c>
      <c r="C32" s="17">
        <f>IF(B32="","",IFERROR(INDEX('Content Calendar'!$H$5:$H$604,MATCH(B32,'Content Calendar'!$A$5:$A$604,0)),"Not found"))</f>
        <v>0</v>
      </c>
      <c r="D32" s="16">
        <f>IF(B32="","",IFERROR(INDEX('Content Calendar'!$B$5:$B$604,MATCH(B32,'Content Calendar'!$A$5:$A$604,0)),"Not found"))</f>
        <v>0</v>
      </c>
      <c r="E32" s="17">
        <f>IF(B32="","",IFERROR(INDEX('Content Calendar'!$J$5:$J$604,MATCH(B32,'Content Calendar'!$A$5:$A$604,0)),"Not found"))</f>
        <v>0</v>
      </c>
      <c r="F32" s="29">
        <f>IF(B32="","",IFERROR(INDEX('Content Calendar'!$X$5:$X$604,MATCH(B32,'Content Calendar'!$A$5:$A$604,0)),"Not found"))</f>
        <v>0</v>
      </c>
      <c r="T32" s="23">
        <f>IF(B32="","",IF(COUNTIF(Performance!$B$5:$B$404,B32)=0,"",SUMIFS(Performance!$O$5:$O$404,Performance!$B$5:$B$404,B32)))</f>
        <v>0</v>
      </c>
      <c r="U32" s="23">
        <f>IF(B32="","",IF(COUNTIF(Performance!$B$5:$B$404,B32)=0,"",SUMIFS(Performance!$P$5:$P$404,Performance!$B$5:$B$404,B32)))</f>
        <v>0</v>
      </c>
      <c r="V32" s="23">
        <f>IF(B32="","",IF(COUNTIF(Performance!$B$5:$B$404,B32)=0,"",SUMIFS(Performance!$Z$5:$Z$404,Performance!$B$5:$B$404,B32)))</f>
        <v>0</v>
      </c>
      <c r="W32" s="24">
        <f>IF(OR(T32="",T32=0),"",V32/T32)</f>
        <v>0</v>
      </c>
      <c r="X32" s="23">
        <f>IF(B32="","",IF(COUNTIF(Performance!$B$5:$B$404,B32)=0,"",SUMIFS(Performance!$T$5:$T$404,Performance!$B$5:$B$404,B32)))</f>
        <v>0</v>
      </c>
      <c r="Y32" s="23">
        <f>IF(B32="","",IF(COUNTIF(Performance!$B$5:$B$404,B32)=0,"",SUMIFS(Performance!$S$5:$S$404,Performance!$B$5:$B$404,B32)))</f>
        <v>0</v>
      </c>
      <c r="Z32" s="23">
        <f>IF(B32="","",IF(COUNTIF(Performance!$B$5:$B$404,B32)=0,"",SUMIFS(Performance!$R$5:$R$404,Performance!$B$5:$B$404,B32)))</f>
        <v>0</v>
      </c>
      <c r="AA32" s="23">
        <f>IF(B32="","",IF(COUNTIF(Performance!$B$5:$B$404,B32)=0,"",SUMIFS(Performance!$U$5:$U$404,Performance!$B$5:$B$404,B32)))</f>
        <v>0</v>
      </c>
      <c r="AB32" s="29">
        <f>IF(B32="","",IF(C32="Not found","Check - content ID not on the calendar",IF(N32="","Add - no target keyword",IF(K32="","Add - no destination link",IF(AND(S32&lt;&gt;"",S32&lt;TODAY()),"Due - time to refresh this pin","OK")))))</f>
        <v>0</v>
      </c>
    </row>
    <row r="33" spans="1:28">
      <c r="A33" s="41">
        <f>IF(B33="","","PN-"&amp;TEXT(ROW()-4,"000"))</f>
        <v>0</v>
      </c>
      <c r="C33" s="17">
        <f>IF(B33="","",IFERROR(INDEX('Content Calendar'!$H$5:$H$604,MATCH(B33,'Content Calendar'!$A$5:$A$604,0)),"Not found"))</f>
        <v>0</v>
      </c>
      <c r="D33" s="16">
        <f>IF(B33="","",IFERROR(INDEX('Content Calendar'!$B$5:$B$604,MATCH(B33,'Content Calendar'!$A$5:$A$604,0)),"Not found"))</f>
        <v>0</v>
      </c>
      <c r="E33" s="17">
        <f>IF(B33="","",IFERROR(INDEX('Content Calendar'!$J$5:$J$604,MATCH(B33,'Content Calendar'!$A$5:$A$604,0)),"Not found"))</f>
        <v>0</v>
      </c>
      <c r="F33" s="29">
        <f>IF(B33="","",IFERROR(INDEX('Content Calendar'!$X$5:$X$604,MATCH(B33,'Content Calendar'!$A$5:$A$604,0)),"Not found"))</f>
        <v>0</v>
      </c>
      <c r="T33" s="23">
        <f>IF(B33="","",IF(COUNTIF(Performance!$B$5:$B$404,B33)=0,"",SUMIFS(Performance!$O$5:$O$404,Performance!$B$5:$B$404,B33)))</f>
        <v>0</v>
      </c>
      <c r="U33" s="23">
        <f>IF(B33="","",IF(COUNTIF(Performance!$B$5:$B$404,B33)=0,"",SUMIFS(Performance!$P$5:$P$404,Performance!$B$5:$B$404,B33)))</f>
        <v>0</v>
      </c>
      <c r="V33" s="23">
        <f>IF(B33="","",IF(COUNTIF(Performance!$B$5:$B$404,B33)=0,"",SUMIFS(Performance!$Z$5:$Z$404,Performance!$B$5:$B$404,B33)))</f>
        <v>0</v>
      </c>
      <c r="W33" s="24">
        <f>IF(OR(T33="",T33=0),"",V33/T33)</f>
        <v>0</v>
      </c>
      <c r="X33" s="23">
        <f>IF(B33="","",IF(COUNTIF(Performance!$B$5:$B$404,B33)=0,"",SUMIFS(Performance!$T$5:$T$404,Performance!$B$5:$B$404,B33)))</f>
        <v>0</v>
      </c>
      <c r="Y33" s="23">
        <f>IF(B33="","",IF(COUNTIF(Performance!$B$5:$B$404,B33)=0,"",SUMIFS(Performance!$S$5:$S$404,Performance!$B$5:$B$404,B33)))</f>
        <v>0</v>
      </c>
      <c r="Z33" s="23">
        <f>IF(B33="","",IF(COUNTIF(Performance!$B$5:$B$404,B33)=0,"",SUMIFS(Performance!$R$5:$R$404,Performance!$B$5:$B$404,B33)))</f>
        <v>0</v>
      </c>
      <c r="AA33" s="23">
        <f>IF(B33="","",IF(COUNTIF(Performance!$B$5:$B$404,B33)=0,"",SUMIFS(Performance!$U$5:$U$404,Performance!$B$5:$B$404,B33)))</f>
        <v>0</v>
      </c>
      <c r="AB33" s="29">
        <f>IF(B33="","",IF(C33="Not found","Check - content ID not on the calendar",IF(N33="","Add - no target keyword",IF(K33="","Add - no destination link",IF(AND(S33&lt;&gt;"",S33&lt;TODAY()),"Due - time to refresh this pin","OK")))))</f>
        <v>0</v>
      </c>
    </row>
    <row r="34" spans="1:28">
      <c r="A34" s="41">
        <f>IF(B34="","","PN-"&amp;TEXT(ROW()-4,"000"))</f>
        <v>0</v>
      </c>
      <c r="C34" s="17">
        <f>IF(B34="","",IFERROR(INDEX('Content Calendar'!$H$5:$H$604,MATCH(B34,'Content Calendar'!$A$5:$A$604,0)),"Not found"))</f>
        <v>0</v>
      </c>
      <c r="D34" s="16">
        <f>IF(B34="","",IFERROR(INDEX('Content Calendar'!$B$5:$B$604,MATCH(B34,'Content Calendar'!$A$5:$A$604,0)),"Not found"))</f>
        <v>0</v>
      </c>
      <c r="E34" s="17">
        <f>IF(B34="","",IFERROR(INDEX('Content Calendar'!$J$5:$J$604,MATCH(B34,'Content Calendar'!$A$5:$A$604,0)),"Not found"))</f>
        <v>0</v>
      </c>
      <c r="F34" s="29">
        <f>IF(B34="","",IFERROR(INDEX('Content Calendar'!$X$5:$X$604,MATCH(B34,'Content Calendar'!$A$5:$A$604,0)),"Not found"))</f>
        <v>0</v>
      </c>
      <c r="T34" s="23">
        <f>IF(B34="","",IF(COUNTIF(Performance!$B$5:$B$404,B34)=0,"",SUMIFS(Performance!$O$5:$O$404,Performance!$B$5:$B$404,B34)))</f>
        <v>0</v>
      </c>
      <c r="U34" s="23">
        <f>IF(B34="","",IF(COUNTIF(Performance!$B$5:$B$404,B34)=0,"",SUMIFS(Performance!$P$5:$P$404,Performance!$B$5:$B$404,B34)))</f>
        <v>0</v>
      </c>
      <c r="V34" s="23">
        <f>IF(B34="","",IF(COUNTIF(Performance!$B$5:$B$404,B34)=0,"",SUMIFS(Performance!$Z$5:$Z$404,Performance!$B$5:$B$404,B34)))</f>
        <v>0</v>
      </c>
      <c r="W34" s="24">
        <f>IF(OR(T34="",T34=0),"",V34/T34)</f>
        <v>0</v>
      </c>
      <c r="X34" s="23">
        <f>IF(B34="","",IF(COUNTIF(Performance!$B$5:$B$404,B34)=0,"",SUMIFS(Performance!$T$5:$T$404,Performance!$B$5:$B$404,B34)))</f>
        <v>0</v>
      </c>
      <c r="Y34" s="23">
        <f>IF(B34="","",IF(COUNTIF(Performance!$B$5:$B$404,B34)=0,"",SUMIFS(Performance!$S$5:$S$404,Performance!$B$5:$B$404,B34)))</f>
        <v>0</v>
      </c>
      <c r="Z34" s="23">
        <f>IF(B34="","",IF(COUNTIF(Performance!$B$5:$B$404,B34)=0,"",SUMIFS(Performance!$R$5:$R$404,Performance!$B$5:$B$404,B34)))</f>
        <v>0</v>
      </c>
      <c r="AA34" s="23">
        <f>IF(B34="","",IF(COUNTIF(Performance!$B$5:$B$404,B34)=0,"",SUMIFS(Performance!$U$5:$U$404,Performance!$B$5:$B$404,B34)))</f>
        <v>0</v>
      </c>
      <c r="AB34" s="29">
        <f>IF(B34="","",IF(C34="Not found","Check - content ID not on the calendar",IF(N34="","Add - no target keyword",IF(K34="","Add - no destination link",IF(AND(S34&lt;&gt;"",S34&lt;TODAY()),"Due - time to refresh this pin","OK")))))</f>
        <v>0</v>
      </c>
    </row>
    <row r="35" spans="1:28">
      <c r="A35" s="41">
        <f>IF(B35="","","PN-"&amp;TEXT(ROW()-4,"000"))</f>
        <v>0</v>
      </c>
      <c r="C35" s="17">
        <f>IF(B35="","",IFERROR(INDEX('Content Calendar'!$H$5:$H$604,MATCH(B35,'Content Calendar'!$A$5:$A$604,0)),"Not found"))</f>
        <v>0</v>
      </c>
      <c r="D35" s="16">
        <f>IF(B35="","",IFERROR(INDEX('Content Calendar'!$B$5:$B$604,MATCH(B35,'Content Calendar'!$A$5:$A$604,0)),"Not found"))</f>
        <v>0</v>
      </c>
      <c r="E35" s="17">
        <f>IF(B35="","",IFERROR(INDEX('Content Calendar'!$J$5:$J$604,MATCH(B35,'Content Calendar'!$A$5:$A$604,0)),"Not found"))</f>
        <v>0</v>
      </c>
      <c r="F35" s="29">
        <f>IF(B35="","",IFERROR(INDEX('Content Calendar'!$X$5:$X$604,MATCH(B35,'Content Calendar'!$A$5:$A$604,0)),"Not found"))</f>
        <v>0</v>
      </c>
      <c r="T35" s="23">
        <f>IF(B35="","",IF(COUNTIF(Performance!$B$5:$B$404,B35)=0,"",SUMIFS(Performance!$O$5:$O$404,Performance!$B$5:$B$404,B35)))</f>
        <v>0</v>
      </c>
      <c r="U35" s="23">
        <f>IF(B35="","",IF(COUNTIF(Performance!$B$5:$B$404,B35)=0,"",SUMIFS(Performance!$P$5:$P$404,Performance!$B$5:$B$404,B35)))</f>
        <v>0</v>
      </c>
      <c r="V35" s="23">
        <f>IF(B35="","",IF(COUNTIF(Performance!$B$5:$B$404,B35)=0,"",SUMIFS(Performance!$Z$5:$Z$404,Performance!$B$5:$B$404,B35)))</f>
        <v>0</v>
      </c>
      <c r="W35" s="24">
        <f>IF(OR(T35="",T35=0),"",V35/T35)</f>
        <v>0</v>
      </c>
      <c r="X35" s="23">
        <f>IF(B35="","",IF(COUNTIF(Performance!$B$5:$B$404,B35)=0,"",SUMIFS(Performance!$T$5:$T$404,Performance!$B$5:$B$404,B35)))</f>
        <v>0</v>
      </c>
      <c r="Y35" s="23">
        <f>IF(B35="","",IF(COUNTIF(Performance!$B$5:$B$404,B35)=0,"",SUMIFS(Performance!$S$5:$S$404,Performance!$B$5:$B$404,B35)))</f>
        <v>0</v>
      </c>
      <c r="Z35" s="23">
        <f>IF(B35="","",IF(COUNTIF(Performance!$B$5:$B$404,B35)=0,"",SUMIFS(Performance!$R$5:$R$404,Performance!$B$5:$B$404,B35)))</f>
        <v>0</v>
      </c>
      <c r="AA35" s="23">
        <f>IF(B35="","",IF(COUNTIF(Performance!$B$5:$B$404,B35)=0,"",SUMIFS(Performance!$U$5:$U$404,Performance!$B$5:$B$404,B35)))</f>
        <v>0</v>
      </c>
      <c r="AB35" s="29">
        <f>IF(B35="","",IF(C35="Not found","Check - content ID not on the calendar",IF(N35="","Add - no target keyword",IF(K35="","Add - no destination link",IF(AND(S35&lt;&gt;"",S35&lt;TODAY()),"Due - time to refresh this pin","OK")))))</f>
        <v>0</v>
      </c>
    </row>
    <row r="36" spans="1:28">
      <c r="A36" s="41">
        <f>IF(B36="","","PN-"&amp;TEXT(ROW()-4,"000"))</f>
        <v>0</v>
      </c>
      <c r="C36" s="17">
        <f>IF(B36="","",IFERROR(INDEX('Content Calendar'!$H$5:$H$604,MATCH(B36,'Content Calendar'!$A$5:$A$604,0)),"Not found"))</f>
        <v>0</v>
      </c>
      <c r="D36" s="16">
        <f>IF(B36="","",IFERROR(INDEX('Content Calendar'!$B$5:$B$604,MATCH(B36,'Content Calendar'!$A$5:$A$604,0)),"Not found"))</f>
        <v>0</v>
      </c>
      <c r="E36" s="17">
        <f>IF(B36="","",IFERROR(INDEX('Content Calendar'!$J$5:$J$604,MATCH(B36,'Content Calendar'!$A$5:$A$604,0)),"Not found"))</f>
        <v>0</v>
      </c>
      <c r="F36" s="29">
        <f>IF(B36="","",IFERROR(INDEX('Content Calendar'!$X$5:$X$604,MATCH(B36,'Content Calendar'!$A$5:$A$604,0)),"Not found"))</f>
        <v>0</v>
      </c>
      <c r="T36" s="23">
        <f>IF(B36="","",IF(COUNTIF(Performance!$B$5:$B$404,B36)=0,"",SUMIFS(Performance!$O$5:$O$404,Performance!$B$5:$B$404,B36)))</f>
        <v>0</v>
      </c>
      <c r="U36" s="23">
        <f>IF(B36="","",IF(COUNTIF(Performance!$B$5:$B$404,B36)=0,"",SUMIFS(Performance!$P$5:$P$404,Performance!$B$5:$B$404,B36)))</f>
        <v>0</v>
      </c>
      <c r="V36" s="23">
        <f>IF(B36="","",IF(COUNTIF(Performance!$B$5:$B$404,B36)=0,"",SUMIFS(Performance!$Z$5:$Z$404,Performance!$B$5:$B$404,B36)))</f>
        <v>0</v>
      </c>
      <c r="W36" s="24">
        <f>IF(OR(T36="",T36=0),"",V36/T36)</f>
        <v>0</v>
      </c>
      <c r="X36" s="23">
        <f>IF(B36="","",IF(COUNTIF(Performance!$B$5:$B$404,B36)=0,"",SUMIFS(Performance!$T$5:$T$404,Performance!$B$5:$B$404,B36)))</f>
        <v>0</v>
      </c>
      <c r="Y36" s="23">
        <f>IF(B36="","",IF(COUNTIF(Performance!$B$5:$B$404,B36)=0,"",SUMIFS(Performance!$S$5:$S$404,Performance!$B$5:$B$404,B36)))</f>
        <v>0</v>
      </c>
      <c r="Z36" s="23">
        <f>IF(B36="","",IF(COUNTIF(Performance!$B$5:$B$404,B36)=0,"",SUMIFS(Performance!$R$5:$R$404,Performance!$B$5:$B$404,B36)))</f>
        <v>0</v>
      </c>
      <c r="AA36" s="23">
        <f>IF(B36="","",IF(COUNTIF(Performance!$B$5:$B$404,B36)=0,"",SUMIFS(Performance!$U$5:$U$404,Performance!$B$5:$B$404,B36)))</f>
        <v>0</v>
      </c>
      <c r="AB36" s="29">
        <f>IF(B36="","",IF(C36="Not found","Check - content ID not on the calendar",IF(N36="","Add - no target keyword",IF(K36="","Add - no destination link",IF(AND(S36&lt;&gt;"",S36&lt;TODAY()),"Due - time to refresh this pin","OK")))))</f>
        <v>0</v>
      </c>
    </row>
    <row r="37" spans="1:28">
      <c r="A37" s="41">
        <f>IF(B37="","","PN-"&amp;TEXT(ROW()-4,"000"))</f>
        <v>0</v>
      </c>
      <c r="C37" s="17">
        <f>IF(B37="","",IFERROR(INDEX('Content Calendar'!$H$5:$H$604,MATCH(B37,'Content Calendar'!$A$5:$A$604,0)),"Not found"))</f>
        <v>0</v>
      </c>
      <c r="D37" s="16">
        <f>IF(B37="","",IFERROR(INDEX('Content Calendar'!$B$5:$B$604,MATCH(B37,'Content Calendar'!$A$5:$A$604,0)),"Not found"))</f>
        <v>0</v>
      </c>
      <c r="E37" s="17">
        <f>IF(B37="","",IFERROR(INDEX('Content Calendar'!$J$5:$J$604,MATCH(B37,'Content Calendar'!$A$5:$A$604,0)),"Not found"))</f>
        <v>0</v>
      </c>
      <c r="F37" s="29">
        <f>IF(B37="","",IFERROR(INDEX('Content Calendar'!$X$5:$X$604,MATCH(B37,'Content Calendar'!$A$5:$A$604,0)),"Not found"))</f>
        <v>0</v>
      </c>
      <c r="T37" s="23">
        <f>IF(B37="","",IF(COUNTIF(Performance!$B$5:$B$404,B37)=0,"",SUMIFS(Performance!$O$5:$O$404,Performance!$B$5:$B$404,B37)))</f>
        <v>0</v>
      </c>
      <c r="U37" s="23">
        <f>IF(B37="","",IF(COUNTIF(Performance!$B$5:$B$404,B37)=0,"",SUMIFS(Performance!$P$5:$P$404,Performance!$B$5:$B$404,B37)))</f>
        <v>0</v>
      </c>
      <c r="V37" s="23">
        <f>IF(B37="","",IF(COUNTIF(Performance!$B$5:$B$404,B37)=0,"",SUMIFS(Performance!$Z$5:$Z$404,Performance!$B$5:$B$404,B37)))</f>
        <v>0</v>
      </c>
      <c r="W37" s="24">
        <f>IF(OR(T37="",T37=0),"",V37/T37)</f>
        <v>0</v>
      </c>
      <c r="X37" s="23">
        <f>IF(B37="","",IF(COUNTIF(Performance!$B$5:$B$404,B37)=0,"",SUMIFS(Performance!$T$5:$T$404,Performance!$B$5:$B$404,B37)))</f>
        <v>0</v>
      </c>
      <c r="Y37" s="23">
        <f>IF(B37="","",IF(COUNTIF(Performance!$B$5:$B$404,B37)=0,"",SUMIFS(Performance!$S$5:$S$404,Performance!$B$5:$B$404,B37)))</f>
        <v>0</v>
      </c>
      <c r="Z37" s="23">
        <f>IF(B37="","",IF(COUNTIF(Performance!$B$5:$B$404,B37)=0,"",SUMIFS(Performance!$R$5:$R$404,Performance!$B$5:$B$404,B37)))</f>
        <v>0</v>
      </c>
      <c r="AA37" s="23">
        <f>IF(B37="","",IF(COUNTIF(Performance!$B$5:$B$404,B37)=0,"",SUMIFS(Performance!$U$5:$U$404,Performance!$B$5:$B$404,B37)))</f>
        <v>0</v>
      </c>
      <c r="AB37" s="29">
        <f>IF(B37="","",IF(C37="Not found","Check - content ID not on the calendar",IF(N37="","Add - no target keyword",IF(K37="","Add - no destination link",IF(AND(S37&lt;&gt;"",S37&lt;TODAY()),"Due - time to refresh this pin","OK")))))</f>
        <v>0</v>
      </c>
    </row>
    <row r="38" spans="1:28">
      <c r="A38" s="41">
        <f>IF(B38="","","PN-"&amp;TEXT(ROW()-4,"000"))</f>
        <v>0</v>
      </c>
      <c r="C38" s="17">
        <f>IF(B38="","",IFERROR(INDEX('Content Calendar'!$H$5:$H$604,MATCH(B38,'Content Calendar'!$A$5:$A$604,0)),"Not found"))</f>
        <v>0</v>
      </c>
      <c r="D38" s="16">
        <f>IF(B38="","",IFERROR(INDEX('Content Calendar'!$B$5:$B$604,MATCH(B38,'Content Calendar'!$A$5:$A$604,0)),"Not found"))</f>
        <v>0</v>
      </c>
      <c r="E38" s="17">
        <f>IF(B38="","",IFERROR(INDEX('Content Calendar'!$J$5:$J$604,MATCH(B38,'Content Calendar'!$A$5:$A$604,0)),"Not found"))</f>
        <v>0</v>
      </c>
      <c r="F38" s="29">
        <f>IF(B38="","",IFERROR(INDEX('Content Calendar'!$X$5:$X$604,MATCH(B38,'Content Calendar'!$A$5:$A$604,0)),"Not found"))</f>
        <v>0</v>
      </c>
      <c r="T38" s="23">
        <f>IF(B38="","",IF(COUNTIF(Performance!$B$5:$B$404,B38)=0,"",SUMIFS(Performance!$O$5:$O$404,Performance!$B$5:$B$404,B38)))</f>
        <v>0</v>
      </c>
      <c r="U38" s="23">
        <f>IF(B38="","",IF(COUNTIF(Performance!$B$5:$B$404,B38)=0,"",SUMIFS(Performance!$P$5:$P$404,Performance!$B$5:$B$404,B38)))</f>
        <v>0</v>
      </c>
      <c r="V38" s="23">
        <f>IF(B38="","",IF(COUNTIF(Performance!$B$5:$B$404,B38)=0,"",SUMIFS(Performance!$Z$5:$Z$404,Performance!$B$5:$B$404,B38)))</f>
        <v>0</v>
      </c>
      <c r="W38" s="24">
        <f>IF(OR(T38="",T38=0),"",V38/T38)</f>
        <v>0</v>
      </c>
      <c r="X38" s="23">
        <f>IF(B38="","",IF(COUNTIF(Performance!$B$5:$B$404,B38)=0,"",SUMIFS(Performance!$T$5:$T$404,Performance!$B$5:$B$404,B38)))</f>
        <v>0</v>
      </c>
      <c r="Y38" s="23">
        <f>IF(B38="","",IF(COUNTIF(Performance!$B$5:$B$404,B38)=0,"",SUMIFS(Performance!$S$5:$S$404,Performance!$B$5:$B$404,B38)))</f>
        <v>0</v>
      </c>
      <c r="Z38" s="23">
        <f>IF(B38="","",IF(COUNTIF(Performance!$B$5:$B$404,B38)=0,"",SUMIFS(Performance!$R$5:$R$404,Performance!$B$5:$B$404,B38)))</f>
        <v>0</v>
      </c>
      <c r="AA38" s="23">
        <f>IF(B38="","",IF(COUNTIF(Performance!$B$5:$B$404,B38)=0,"",SUMIFS(Performance!$U$5:$U$404,Performance!$B$5:$B$404,B38)))</f>
        <v>0</v>
      </c>
      <c r="AB38" s="29">
        <f>IF(B38="","",IF(C38="Not found","Check - content ID not on the calendar",IF(N38="","Add - no target keyword",IF(K38="","Add - no destination link",IF(AND(S38&lt;&gt;"",S38&lt;TODAY()),"Due - time to refresh this pin","OK")))))</f>
        <v>0</v>
      </c>
    </row>
    <row r="39" spans="1:28">
      <c r="A39" s="41">
        <f>IF(B39="","","PN-"&amp;TEXT(ROW()-4,"000"))</f>
        <v>0</v>
      </c>
      <c r="C39" s="17">
        <f>IF(B39="","",IFERROR(INDEX('Content Calendar'!$H$5:$H$604,MATCH(B39,'Content Calendar'!$A$5:$A$604,0)),"Not found"))</f>
        <v>0</v>
      </c>
      <c r="D39" s="16">
        <f>IF(B39="","",IFERROR(INDEX('Content Calendar'!$B$5:$B$604,MATCH(B39,'Content Calendar'!$A$5:$A$604,0)),"Not found"))</f>
        <v>0</v>
      </c>
      <c r="E39" s="17">
        <f>IF(B39="","",IFERROR(INDEX('Content Calendar'!$J$5:$J$604,MATCH(B39,'Content Calendar'!$A$5:$A$604,0)),"Not found"))</f>
        <v>0</v>
      </c>
      <c r="F39" s="29">
        <f>IF(B39="","",IFERROR(INDEX('Content Calendar'!$X$5:$X$604,MATCH(B39,'Content Calendar'!$A$5:$A$604,0)),"Not found"))</f>
        <v>0</v>
      </c>
      <c r="T39" s="23">
        <f>IF(B39="","",IF(COUNTIF(Performance!$B$5:$B$404,B39)=0,"",SUMIFS(Performance!$O$5:$O$404,Performance!$B$5:$B$404,B39)))</f>
        <v>0</v>
      </c>
      <c r="U39" s="23">
        <f>IF(B39="","",IF(COUNTIF(Performance!$B$5:$B$404,B39)=0,"",SUMIFS(Performance!$P$5:$P$404,Performance!$B$5:$B$404,B39)))</f>
        <v>0</v>
      </c>
      <c r="V39" s="23">
        <f>IF(B39="","",IF(COUNTIF(Performance!$B$5:$B$404,B39)=0,"",SUMIFS(Performance!$Z$5:$Z$404,Performance!$B$5:$B$404,B39)))</f>
        <v>0</v>
      </c>
      <c r="W39" s="24">
        <f>IF(OR(T39="",T39=0),"",V39/T39)</f>
        <v>0</v>
      </c>
      <c r="X39" s="23">
        <f>IF(B39="","",IF(COUNTIF(Performance!$B$5:$B$404,B39)=0,"",SUMIFS(Performance!$T$5:$T$404,Performance!$B$5:$B$404,B39)))</f>
        <v>0</v>
      </c>
      <c r="Y39" s="23">
        <f>IF(B39="","",IF(COUNTIF(Performance!$B$5:$B$404,B39)=0,"",SUMIFS(Performance!$S$5:$S$404,Performance!$B$5:$B$404,B39)))</f>
        <v>0</v>
      </c>
      <c r="Z39" s="23">
        <f>IF(B39="","",IF(COUNTIF(Performance!$B$5:$B$404,B39)=0,"",SUMIFS(Performance!$R$5:$R$404,Performance!$B$5:$B$404,B39)))</f>
        <v>0</v>
      </c>
      <c r="AA39" s="23">
        <f>IF(B39="","",IF(COUNTIF(Performance!$B$5:$B$404,B39)=0,"",SUMIFS(Performance!$U$5:$U$404,Performance!$B$5:$B$404,B39)))</f>
        <v>0</v>
      </c>
      <c r="AB39" s="29">
        <f>IF(B39="","",IF(C39="Not found","Check - content ID not on the calendar",IF(N39="","Add - no target keyword",IF(K39="","Add - no destination link",IF(AND(S39&lt;&gt;"",S39&lt;TODAY()),"Due - time to refresh this pin","OK")))))</f>
        <v>0</v>
      </c>
    </row>
    <row r="40" spans="1:28">
      <c r="A40" s="41">
        <f>IF(B40="","","PN-"&amp;TEXT(ROW()-4,"000"))</f>
        <v>0</v>
      </c>
      <c r="C40" s="17">
        <f>IF(B40="","",IFERROR(INDEX('Content Calendar'!$H$5:$H$604,MATCH(B40,'Content Calendar'!$A$5:$A$604,0)),"Not found"))</f>
        <v>0</v>
      </c>
      <c r="D40" s="16">
        <f>IF(B40="","",IFERROR(INDEX('Content Calendar'!$B$5:$B$604,MATCH(B40,'Content Calendar'!$A$5:$A$604,0)),"Not found"))</f>
        <v>0</v>
      </c>
      <c r="E40" s="17">
        <f>IF(B40="","",IFERROR(INDEX('Content Calendar'!$J$5:$J$604,MATCH(B40,'Content Calendar'!$A$5:$A$604,0)),"Not found"))</f>
        <v>0</v>
      </c>
      <c r="F40" s="29">
        <f>IF(B40="","",IFERROR(INDEX('Content Calendar'!$X$5:$X$604,MATCH(B40,'Content Calendar'!$A$5:$A$604,0)),"Not found"))</f>
        <v>0</v>
      </c>
      <c r="T40" s="23">
        <f>IF(B40="","",IF(COUNTIF(Performance!$B$5:$B$404,B40)=0,"",SUMIFS(Performance!$O$5:$O$404,Performance!$B$5:$B$404,B40)))</f>
        <v>0</v>
      </c>
      <c r="U40" s="23">
        <f>IF(B40="","",IF(COUNTIF(Performance!$B$5:$B$404,B40)=0,"",SUMIFS(Performance!$P$5:$P$404,Performance!$B$5:$B$404,B40)))</f>
        <v>0</v>
      </c>
      <c r="V40" s="23">
        <f>IF(B40="","",IF(COUNTIF(Performance!$B$5:$B$404,B40)=0,"",SUMIFS(Performance!$Z$5:$Z$404,Performance!$B$5:$B$404,B40)))</f>
        <v>0</v>
      </c>
      <c r="W40" s="24">
        <f>IF(OR(T40="",T40=0),"",V40/T40)</f>
        <v>0</v>
      </c>
      <c r="X40" s="23">
        <f>IF(B40="","",IF(COUNTIF(Performance!$B$5:$B$404,B40)=0,"",SUMIFS(Performance!$T$5:$T$404,Performance!$B$5:$B$404,B40)))</f>
        <v>0</v>
      </c>
      <c r="Y40" s="23">
        <f>IF(B40="","",IF(COUNTIF(Performance!$B$5:$B$404,B40)=0,"",SUMIFS(Performance!$S$5:$S$404,Performance!$B$5:$B$404,B40)))</f>
        <v>0</v>
      </c>
      <c r="Z40" s="23">
        <f>IF(B40="","",IF(COUNTIF(Performance!$B$5:$B$404,B40)=0,"",SUMIFS(Performance!$R$5:$R$404,Performance!$B$5:$B$404,B40)))</f>
        <v>0</v>
      </c>
      <c r="AA40" s="23">
        <f>IF(B40="","",IF(COUNTIF(Performance!$B$5:$B$404,B40)=0,"",SUMIFS(Performance!$U$5:$U$404,Performance!$B$5:$B$404,B40)))</f>
        <v>0</v>
      </c>
      <c r="AB40" s="29">
        <f>IF(B40="","",IF(C40="Not found","Check - content ID not on the calendar",IF(N40="","Add - no target keyword",IF(K40="","Add - no destination link",IF(AND(S40&lt;&gt;"",S40&lt;TODAY()),"Due - time to refresh this pin","OK")))))</f>
        <v>0</v>
      </c>
    </row>
    <row r="41" spans="1:28">
      <c r="A41" s="41">
        <f>IF(B41="","","PN-"&amp;TEXT(ROW()-4,"000"))</f>
        <v>0</v>
      </c>
      <c r="C41" s="17">
        <f>IF(B41="","",IFERROR(INDEX('Content Calendar'!$H$5:$H$604,MATCH(B41,'Content Calendar'!$A$5:$A$604,0)),"Not found"))</f>
        <v>0</v>
      </c>
      <c r="D41" s="16">
        <f>IF(B41="","",IFERROR(INDEX('Content Calendar'!$B$5:$B$604,MATCH(B41,'Content Calendar'!$A$5:$A$604,0)),"Not found"))</f>
        <v>0</v>
      </c>
      <c r="E41" s="17">
        <f>IF(B41="","",IFERROR(INDEX('Content Calendar'!$J$5:$J$604,MATCH(B41,'Content Calendar'!$A$5:$A$604,0)),"Not found"))</f>
        <v>0</v>
      </c>
      <c r="F41" s="29">
        <f>IF(B41="","",IFERROR(INDEX('Content Calendar'!$X$5:$X$604,MATCH(B41,'Content Calendar'!$A$5:$A$604,0)),"Not found"))</f>
        <v>0</v>
      </c>
      <c r="T41" s="23">
        <f>IF(B41="","",IF(COUNTIF(Performance!$B$5:$B$404,B41)=0,"",SUMIFS(Performance!$O$5:$O$404,Performance!$B$5:$B$404,B41)))</f>
        <v>0</v>
      </c>
      <c r="U41" s="23">
        <f>IF(B41="","",IF(COUNTIF(Performance!$B$5:$B$404,B41)=0,"",SUMIFS(Performance!$P$5:$P$404,Performance!$B$5:$B$404,B41)))</f>
        <v>0</v>
      </c>
      <c r="V41" s="23">
        <f>IF(B41="","",IF(COUNTIF(Performance!$B$5:$B$404,B41)=0,"",SUMIFS(Performance!$Z$5:$Z$404,Performance!$B$5:$B$404,B41)))</f>
        <v>0</v>
      </c>
      <c r="W41" s="24">
        <f>IF(OR(T41="",T41=0),"",V41/T41)</f>
        <v>0</v>
      </c>
      <c r="X41" s="23">
        <f>IF(B41="","",IF(COUNTIF(Performance!$B$5:$B$404,B41)=0,"",SUMIFS(Performance!$T$5:$T$404,Performance!$B$5:$B$404,B41)))</f>
        <v>0</v>
      </c>
      <c r="Y41" s="23">
        <f>IF(B41="","",IF(COUNTIF(Performance!$B$5:$B$404,B41)=0,"",SUMIFS(Performance!$S$5:$S$404,Performance!$B$5:$B$404,B41)))</f>
        <v>0</v>
      </c>
      <c r="Z41" s="23">
        <f>IF(B41="","",IF(COUNTIF(Performance!$B$5:$B$404,B41)=0,"",SUMIFS(Performance!$R$5:$R$404,Performance!$B$5:$B$404,B41)))</f>
        <v>0</v>
      </c>
      <c r="AA41" s="23">
        <f>IF(B41="","",IF(COUNTIF(Performance!$B$5:$B$404,B41)=0,"",SUMIFS(Performance!$U$5:$U$404,Performance!$B$5:$B$404,B41)))</f>
        <v>0</v>
      </c>
      <c r="AB41" s="29">
        <f>IF(B41="","",IF(C41="Not found","Check - content ID not on the calendar",IF(N41="","Add - no target keyword",IF(K41="","Add - no destination link",IF(AND(S41&lt;&gt;"",S41&lt;TODAY()),"Due - time to refresh this pin","OK")))))</f>
        <v>0</v>
      </c>
    </row>
    <row r="42" spans="1:28">
      <c r="A42" s="41">
        <f>IF(B42="","","PN-"&amp;TEXT(ROW()-4,"000"))</f>
        <v>0</v>
      </c>
      <c r="C42" s="17">
        <f>IF(B42="","",IFERROR(INDEX('Content Calendar'!$H$5:$H$604,MATCH(B42,'Content Calendar'!$A$5:$A$604,0)),"Not found"))</f>
        <v>0</v>
      </c>
      <c r="D42" s="16">
        <f>IF(B42="","",IFERROR(INDEX('Content Calendar'!$B$5:$B$604,MATCH(B42,'Content Calendar'!$A$5:$A$604,0)),"Not found"))</f>
        <v>0</v>
      </c>
      <c r="E42" s="17">
        <f>IF(B42="","",IFERROR(INDEX('Content Calendar'!$J$5:$J$604,MATCH(B42,'Content Calendar'!$A$5:$A$604,0)),"Not found"))</f>
        <v>0</v>
      </c>
      <c r="F42" s="29">
        <f>IF(B42="","",IFERROR(INDEX('Content Calendar'!$X$5:$X$604,MATCH(B42,'Content Calendar'!$A$5:$A$604,0)),"Not found"))</f>
        <v>0</v>
      </c>
      <c r="T42" s="23">
        <f>IF(B42="","",IF(COUNTIF(Performance!$B$5:$B$404,B42)=0,"",SUMIFS(Performance!$O$5:$O$404,Performance!$B$5:$B$404,B42)))</f>
        <v>0</v>
      </c>
      <c r="U42" s="23">
        <f>IF(B42="","",IF(COUNTIF(Performance!$B$5:$B$404,B42)=0,"",SUMIFS(Performance!$P$5:$P$404,Performance!$B$5:$B$404,B42)))</f>
        <v>0</v>
      </c>
      <c r="V42" s="23">
        <f>IF(B42="","",IF(COUNTIF(Performance!$B$5:$B$404,B42)=0,"",SUMIFS(Performance!$Z$5:$Z$404,Performance!$B$5:$B$404,B42)))</f>
        <v>0</v>
      </c>
      <c r="W42" s="24">
        <f>IF(OR(T42="",T42=0),"",V42/T42)</f>
        <v>0</v>
      </c>
      <c r="X42" s="23">
        <f>IF(B42="","",IF(COUNTIF(Performance!$B$5:$B$404,B42)=0,"",SUMIFS(Performance!$T$5:$T$404,Performance!$B$5:$B$404,B42)))</f>
        <v>0</v>
      </c>
      <c r="Y42" s="23">
        <f>IF(B42="","",IF(COUNTIF(Performance!$B$5:$B$404,B42)=0,"",SUMIFS(Performance!$S$5:$S$404,Performance!$B$5:$B$404,B42)))</f>
        <v>0</v>
      </c>
      <c r="Z42" s="23">
        <f>IF(B42="","",IF(COUNTIF(Performance!$B$5:$B$404,B42)=0,"",SUMIFS(Performance!$R$5:$R$404,Performance!$B$5:$B$404,B42)))</f>
        <v>0</v>
      </c>
      <c r="AA42" s="23">
        <f>IF(B42="","",IF(COUNTIF(Performance!$B$5:$B$404,B42)=0,"",SUMIFS(Performance!$U$5:$U$404,Performance!$B$5:$B$404,B42)))</f>
        <v>0</v>
      </c>
      <c r="AB42" s="29">
        <f>IF(B42="","",IF(C42="Not found","Check - content ID not on the calendar",IF(N42="","Add - no target keyword",IF(K42="","Add - no destination link",IF(AND(S42&lt;&gt;"",S42&lt;TODAY()),"Due - time to refresh this pin","OK")))))</f>
        <v>0</v>
      </c>
    </row>
    <row r="43" spans="1:28">
      <c r="A43" s="41">
        <f>IF(B43="","","PN-"&amp;TEXT(ROW()-4,"000"))</f>
        <v>0</v>
      </c>
      <c r="C43" s="17">
        <f>IF(B43="","",IFERROR(INDEX('Content Calendar'!$H$5:$H$604,MATCH(B43,'Content Calendar'!$A$5:$A$604,0)),"Not found"))</f>
        <v>0</v>
      </c>
      <c r="D43" s="16">
        <f>IF(B43="","",IFERROR(INDEX('Content Calendar'!$B$5:$B$604,MATCH(B43,'Content Calendar'!$A$5:$A$604,0)),"Not found"))</f>
        <v>0</v>
      </c>
      <c r="E43" s="17">
        <f>IF(B43="","",IFERROR(INDEX('Content Calendar'!$J$5:$J$604,MATCH(B43,'Content Calendar'!$A$5:$A$604,0)),"Not found"))</f>
        <v>0</v>
      </c>
      <c r="F43" s="29">
        <f>IF(B43="","",IFERROR(INDEX('Content Calendar'!$X$5:$X$604,MATCH(B43,'Content Calendar'!$A$5:$A$604,0)),"Not found"))</f>
        <v>0</v>
      </c>
      <c r="T43" s="23">
        <f>IF(B43="","",IF(COUNTIF(Performance!$B$5:$B$404,B43)=0,"",SUMIFS(Performance!$O$5:$O$404,Performance!$B$5:$B$404,B43)))</f>
        <v>0</v>
      </c>
      <c r="U43" s="23">
        <f>IF(B43="","",IF(COUNTIF(Performance!$B$5:$B$404,B43)=0,"",SUMIFS(Performance!$P$5:$P$404,Performance!$B$5:$B$404,B43)))</f>
        <v>0</v>
      </c>
      <c r="V43" s="23">
        <f>IF(B43="","",IF(COUNTIF(Performance!$B$5:$B$404,B43)=0,"",SUMIFS(Performance!$Z$5:$Z$404,Performance!$B$5:$B$404,B43)))</f>
        <v>0</v>
      </c>
      <c r="W43" s="24">
        <f>IF(OR(T43="",T43=0),"",V43/T43)</f>
        <v>0</v>
      </c>
      <c r="X43" s="23">
        <f>IF(B43="","",IF(COUNTIF(Performance!$B$5:$B$404,B43)=0,"",SUMIFS(Performance!$T$5:$T$404,Performance!$B$5:$B$404,B43)))</f>
        <v>0</v>
      </c>
      <c r="Y43" s="23">
        <f>IF(B43="","",IF(COUNTIF(Performance!$B$5:$B$404,B43)=0,"",SUMIFS(Performance!$S$5:$S$404,Performance!$B$5:$B$404,B43)))</f>
        <v>0</v>
      </c>
      <c r="Z43" s="23">
        <f>IF(B43="","",IF(COUNTIF(Performance!$B$5:$B$404,B43)=0,"",SUMIFS(Performance!$R$5:$R$404,Performance!$B$5:$B$404,B43)))</f>
        <v>0</v>
      </c>
      <c r="AA43" s="23">
        <f>IF(B43="","",IF(COUNTIF(Performance!$B$5:$B$404,B43)=0,"",SUMIFS(Performance!$U$5:$U$404,Performance!$B$5:$B$404,B43)))</f>
        <v>0</v>
      </c>
      <c r="AB43" s="29">
        <f>IF(B43="","",IF(C43="Not found","Check - content ID not on the calendar",IF(N43="","Add - no target keyword",IF(K43="","Add - no destination link",IF(AND(S43&lt;&gt;"",S43&lt;TODAY()),"Due - time to refresh this pin","OK")))))</f>
        <v>0</v>
      </c>
    </row>
    <row r="44" spans="1:28">
      <c r="A44" s="41">
        <f>IF(B44="","","PN-"&amp;TEXT(ROW()-4,"000"))</f>
        <v>0</v>
      </c>
      <c r="C44" s="17">
        <f>IF(B44="","",IFERROR(INDEX('Content Calendar'!$H$5:$H$604,MATCH(B44,'Content Calendar'!$A$5:$A$604,0)),"Not found"))</f>
        <v>0</v>
      </c>
      <c r="D44" s="16">
        <f>IF(B44="","",IFERROR(INDEX('Content Calendar'!$B$5:$B$604,MATCH(B44,'Content Calendar'!$A$5:$A$604,0)),"Not found"))</f>
        <v>0</v>
      </c>
      <c r="E44" s="17">
        <f>IF(B44="","",IFERROR(INDEX('Content Calendar'!$J$5:$J$604,MATCH(B44,'Content Calendar'!$A$5:$A$604,0)),"Not found"))</f>
        <v>0</v>
      </c>
      <c r="F44" s="29">
        <f>IF(B44="","",IFERROR(INDEX('Content Calendar'!$X$5:$X$604,MATCH(B44,'Content Calendar'!$A$5:$A$604,0)),"Not found"))</f>
        <v>0</v>
      </c>
      <c r="T44" s="23">
        <f>IF(B44="","",IF(COUNTIF(Performance!$B$5:$B$404,B44)=0,"",SUMIFS(Performance!$O$5:$O$404,Performance!$B$5:$B$404,B44)))</f>
        <v>0</v>
      </c>
      <c r="U44" s="23">
        <f>IF(B44="","",IF(COUNTIF(Performance!$B$5:$B$404,B44)=0,"",SUMIFS(Performance!$P$5:$P$404,Performance!$B$5:$B$404,B44)))</f>
        <v>0</v>
      </c>
      <c r="V44" s="23">
        <f>IF(B44="","",IF(COUNTIF(Performance!$B$5:$B$404,B44)=0,"",SUMIFS(Performance!$Z$5:$Z$404,Performance!$B$5:$B$404,B44)))</f>
        <v>0</v>
      </c>
      <c r="W44" s="24">
        <f>IF(OR(T44="",T44=0),"",V44/T44)</f>
        <v>0</v>
      </c>
      <c r="X44" s="23">
        <f>IF(B44="","",IF(COUNTIF(Performance!$B$5:$B$404,B44)=0,"",SUMIFS(Performance!$T$5:$T$404,Performance!$B$5:$B$404,B44)))</f>
        <v>0</v>
      </c>
      <c r="Y44" s="23">
        <f>IF(B44="","",IF(COUNTIF(Performance!$B$5:$B$404,B44)=0,"",SUMIFS(Performance!$S$5:$S$404,Performance!$B$5:$B$404,B44)))</f>
        <v>0</v>
      </c>
      <c r="Z44" s="23">
        <f>IF(B44="","",IF(COUNTIF(Performance!$B$5:$B$404,B44)=0,"",SUMIFS(Performance!$R$5:$R$404,Performance!$B$5:$B$404,B44)))</f>
        <v>0</v>
      </c>
      <c r="AA44" s="23">
        <f>IF(B44="","",IF(COUNTIF(Performance!$B$5:$B$404,B44)=0,"",SUMIFS(Performance!$U$5:$U$404,Performance!$B$5:$B$404,B44)))</f>
        <v>0</v>
      </c>
      <c r="AB44" s="29">
        <f>IF(B44="","",IF(C44="Not found","Check - content ID not on the calendar",IF(N44="","Add - no target keyword",IF(K44="","Add - no destination link",IF(AND(S44&lt;&gt;"",S44&lt;TODAY()),"Due - time to refresh this pin","OK")))))</f>
        <v>0</v>
      </c>
    </row>
    <row r="45" spans="1:28">
      <c r="A45" s="41">
        <f>IF(B45="","","PN-"&amp;TEXT(ROW()-4,"000"))</f>
        <v>0</v>
      </c>
      <c r="C45" s="17">
        <f>IF(B45="","",IFERROR(INDEX('Content Calendar'!$H$5:$H$604,MATCH(B45,'Content Calendar'!$A$5:$A$604,0)),"Not found"))</f>
        <v>0</v>
      </c>
      <c r="D45" s="16">
        <f>IF(B45="","",IFERROR(INDEX('Content Calendar'!$B$5:$B$604,MATCH(B45,'Content Calendar'!$A$5:$A$604,0)),"Not found"))</f>
        <v>0</v>
      </c>
      <c r="E45" s="17">
        <f>IF(B45="","",IFERROR(INDEX('Content Calendar'!$J$5:$J$604,MATCH(B45,'Content Calendar'!$A$5:$A$604,0)),"Not found"))</f>
        <v>0</v>
      </c>
      <c r="F45" s="29">
        <f>IF(B45="","",IFERROR(INDEX('Content Calendar'!$X$5:$X$604,MATCH(B45,'Content Calendar'!$A$5:$A$604,0)),"Not found"))</f>
        <v>0</v>
      </c>
      <c r="T45" s="23">
        <f>IF(B45="","",IF(COUNTIF(Performance!$B$5:$B$404,B45)=0,"",SUMIFS(Performance!$O$5:$O$404,Performance!$B$5:$B$404,B45)))</f>
        <v>0</v>
      </c>
      <c r="U45" s="23">
        <f>IF(B45="","",IF(COUNTIF(Performance!$B$5:$B$404,B45)=0,"",SUMIFS(Performance!$P$5:$P$404,Performance!$B$5:$B$404,B45)))</f>
        <v>0</v>
      </c>
      <c r="V45" s="23">
        <f>IF(B45="","",IF(COUNTIF(Performance!$B$5:$B$404,B45)=0,"",SUMIFS(Performance!$Z$5:$Z$404,Performance!$B$5:$B$404,B45)))</f>
        <v>0</v>
      </c>
      <c r="W45" s="24">
        <f>IF(OR(T45="",T45=0),"",V45/T45)</f>
        <v>0</v>
      </c>
      <c r="X45" s="23">
        <f>IF(B45="","",IF(COUNTIF(Performance!$B$5:$B$404,B45)=0,"",SUMIFS(Performance!$T$5:$T$404,Performance!$B$5:$B$404,B45)))</f>
        <v>0</v>
      </c>
      <c r="Y45" s="23">
        <f>IF(B45="","",IF(COUNTIF(Performance!$B$5:$B$404,B45)=0,"",SUMIFS(Performance!$S$5:$S$404,Performance!$B$5:$B$404,B45)))</f>
        <v>0</v>
      </c>
      <c r="Z45" s="23">
        <f>IF(B45="","",IF(COUNTIF(Performance!$B$5:$B$404,B45)=0,"",SUMIFS(Performance!$R$5:$R$404,Performance!$B$5:$B$404,B45)))</f>
        <v>0</v>
      </c>
      <c r="AA45" s="23">
        <f>IF(B45="","",IF(COUNTIF(Performance!$B$5:$B$404,B45)=0,"",SUMIFS(Performance!$U$5:$U$404,Performance!$B$5:$B$404,B45)))</f>
        <v>0</v>
      </c>
      <c r="AB45" s="29">
        <f>IF(B45="","",IF(C45="Not found","Check - content ID not on the calendar",IF(N45="","Add - no target keyword",IF(K45="","Add - no destination link",IF(AND(S45&lt;&gt;"",S45&lt;TODAY()),"Due - time to refresh this pin","OK")))))</f>
        <v>0</v>
      </c>
    </row>
    <row r="46" spans="1:28">
      <c r="A46" s="41">
        <f>IF(B46="","","PN-"&amp;TEXT(ROW()-4,"000"))</f>
        <v>0</v>
      </c>
      <c r="C46" s="17">
        <f>IF(B46="","",IFERROR(INDEX('Content Calendar'!$H$5:$H$604,MATCH(B46,'Content Calendar'!$A$5:$A$604,0)),"Not found"))</f>
        <v>0</v>
      </c>
      <c r="D46" s="16">
        <f>IF(B46="","",IFERROR(INDEX('Content Calendar'!$B$5:$B$604,MATCH(B46,'Content Calendar'!$A$5:$A$604,0)),"Not found"))</f>
        <v>0</v>
      </c>
      <c r="E46" s="17">
        <f>IF(B46="","",IFERROR(INDEX('Content Calendar'!$J$5:$J$604,MATCH(B46,'Content Calendar'!$A$5:$A$604,0)),"Not found"))</f>
        <v>0</v>
      </c>
      <c r="F46" s="29">
        <f>IF(B46="","",IFERROR(INDEX('Content Calendar'!$X$5:$X$604,MATCH(B46,'Content Calendar'!$A$5:$A$604,0)),"Not found"))</f>
        <v>0</v>
      </c>
      <c r="T46" s="23">
        <f>IF(B46="","",IF(COUNTIF(Performance!$B$5:$B$404,B46)=0,"",SUMIFS(Performance!$O$5:$O$404,Performance!$B$5:$B$404,B46)))</f>
        <v>0</v>
      </c>
      <c r="U46" s="23">
        <f>IF(B46="","",IF(COUNTIF(Performance!$B$5:$B$404,B46)=0,"",SUMIFS(Performance!$P$5:$P$404,Performance!$B$5:$B$404,B46)))</f>
        <v>0</v>
      </c>
      <c r="V46" s="23">
        <f>IF(B46="","",IF(COUNTIF(Performance!$B$5:$B$404,B46)=0,"",SUMIFS(Performance!$Z$5:$Z$404,Performance!$B$5:$B$404,B46)))</f>
        <v>0</v>
      </c>
      <c r="W46" s="24">
        <f>IF(OR(T46="",T46=0),"",V46/T46)</f>
        <v>0</v>
      </c>
      <c r="X46" s="23">
        <f>IF(B46="","",IF(COUNTIF(Performance!$B$5:$B$404,B46)=0,"",SUMIFS(Performance!$T$5:$T$404,Performance!$B$5:$B$404,B46)))</f>
        <v>0</v>
      </c>
      <c r="Y46" s="23">
        <f>IF(B46="","",IF(COUNTIF(Performance!$B$5:$B$404,B46)=0,"",SUMIFS(Performance!$S$5:$S$404,Performance!$B$5:$B$404,B46)))</f>
        <v>0</v>
      </c>
      <c r="Z46" s="23">
        <f>IF(B46="","",IF(COUNTIF(Performance!$B$5:$B$404,B46)=0,"",SUMIFS(Performance!$R$5:$R$404,Performance!$B$5:$B$404,B46)))</f>
        <v>0</v>
      </c>
      <c r="AA46" s="23">
        <f>IF(B46="","",IF(COUNTIF(Performance!$B$5:$B$404,B46)=0,"",SUMIFS(Performance!$U$5:$U$404,Performance!$B$5:$B$404,B46)))</f>
        <v>0</v>
      </c>
      <c r="AB46" s="29">
        <f>IF(B46="","",IF(C46="Not found","Check - content ID not on the calendar",IF(N46="","Add - no target keyword",IF(K46="","Add - no destination link",IF(AND(S46&lt;&gt;"",S46&lt;TODAY()),"Due - time to refresh this pin","OK")))))</f>
        <v>0</v>
      </c>
    </row>
    <row r="47" spans="1:28">
      <c r="A47" s="41">
        <f>IF(B47="","","PN-"&amp;TEXT(ROW()-4,"000"))</f>
        <v>0</v>
      </c>
      <c r="C47" s="17">
        <f>IF(B47="","",IFERROR(INDEX('Content Calendar'!$H$5:$H$604,MATCH(B47,'Content Calendar'!$A$5:$A$604,0)),"Not found"))</f>
        <v>0</v>
      </c>
      <c r="D47" s="16">
        <f>IF(B47="","",IFERROR(INDEX('Content Calendar'!$B$5:$B$604,MATCH(B47,'Content Calendar'!$A$5:$A$604,0)),"Not found"))</f>
        <v>0</v>
      </c>
      <c r="E47" s="17">
        <f>IF(B47="","",IFERROR(INDEX('Content Calendar'!$J$5:$J$604,MATCH(B47,'Content Calendar'!$A$5:$A$604,0)),"Not found"))</f>
        <v>0</v>
      </c>
      <c r="F47" s="29">
        <f>IF(B47="","",IFERROR(INDEX('Content Calendar'!$X$5:$X$604,MATCH(B47,'Content Calendar'!$A$5:$A$604,0)),"Not found"))</f>
        <v>0</v>
      </c>
      <c r="T47" s="23">
        <f>IF(B47="","",IF(COUNTIF(Performance!$B$5:$B$404,B47)=0,"",SUMIFS(Performance!$O$5:$O$404,Performance!$B$5:$B$404,B47)))</f>
        <v>0</v>
      </c>
      <c r="U47" s="23">
        <f>IF(B47="","",IF(COUNTIF(Performance!$B$5:$B$404,B47)=0,"",SUMIFS(Performance!$P$5:$P$404,Performance!$B$5:$B$404,B47)))</f>
        <v>0</v>
      </c>
      <c r="V47" s="23">
        <f>IF(B47="","",IF(COUNTIF(Performance!$B$5:$B$404,B47)=0,"",SUMIFS(Performance!$Z$5:$Z$404,Performance!$B$5:$B$404,B47)))</f>
        <v>0</v>
      </c>
      <c r="W47" s="24">
        <f>IF(OR(T47="",T47=0),"",V47/T47)</f>
        <v>0</v>
      </c>
      <c r="X47" s="23">
        <f>IF(B47="","",IF(COUNTIF(Performance!$B$5:$B$404,B47)=0,"",SUMIFS(Performance!$T$5:$T$404,Performance!$B$5:$B$404,B47)))</f>
        <v>0</v>
      </c>
      <c r="Y47" s="23">
        <f>IF(B47="","",IF(COUNTIF(Performance!$B$5:$B$404,B47)=0,"",SUMIFS(Performance!$S$5:$S$404,Performance!$B$5:$B$404,B47)))</f>
        <v>0</v>
      </c>
      <c r="Z47" s="23">
        <f>IF(B47="","",IF(COUNTIF(Performance!$B$5:$B$404,B47)=0,"",SUMIFS(Performance!$R$5:$R$404,Performance!$B$5:$B$404,B47)))</f>
        <v>0</v>
      </c>
      <c r="AA47" s="23">
        <f>IF(B47="","",IF(COUNTIF(Performance!$B$5:$B$404,B47)=0,"",SUMIFS(Performance!$U$5:$U$404,Performance!$B$5:$B$404,B47)))</f>
        <v>0</v>
      </c>
      <c r="AB47" s="29">
        <f>IF(B47="","",IF(C47="Not found","Check - content ID not on the calendar",IF(N47="","Add - no target keyword",IF(K47="","Add - no destination link",IF(AND(S47&lt;&gt;"",S47&lt;TODAY()),"Due - time to refresh this pin","OK")))))</f>
        <v>0</v>
      </c>
    </row>
    <row r="48" spans="1:28">
      <c r="A48" s="41">
        <f>IF(B48="","","PN-"&amp;TEXT(ROW()-4,"000"))</f>
        <v>0</v>
      </c>
      <c r="C48" s="17">
        <f>IF(B48="","",IFERROR(INDEX('Content Calendar'!$H$5:$H$604,MATCH(B48,'Content Calendar'!$A$5:$A$604,0)),"Not found"))</f>
        <v>0</v>
      </c>
      <c r="D48" s="16">
        <f>IF(B48="","",IFERROR(INDEX('Content Calendar'!$B$5:$B$604,MATCH(B48,'Content Calendar'!$A$5:$A$604,0)),"Not found"))</f>
        <v>0</v>
      </c>
      <c r="E48" s="17">
        <f>IF(B48="","",IFERROR(INDEX('Content Calendar'!$J$5:$J$604,MATCH(B48,'Content Calendar'!$A$5:$A$604,0)),"Not found"))</f>
        <v>0</v>
      </c>
      <c r="F48" s="29">
        <f>IF(B48="","",IFERROR(INDEX('Content Calendar'!$X$5:$X$604,MATCH(B48,'Content Calendar'!$A$5:$A$604,0)),"Not found"))</f>
        <v>0</v>
      </c>
      <c r="T48" s="23">
        <f>IF(B48="","",IF(COUNTIF(Performance!$B$5:$B$404,B48)=0,"",SUMIFS(Performance!$O$5:$O$404,Performance!$B$5:$B$404,B48)))</f>
        <v>0</v>
      </c>
      <c r="U48" s="23">
        <f>IF(B48="","",IF(COUNTIF(Performance!$B$5:$B$404,B48)=0,"",SUMIFS(Performance!$P$5:$P$404,Performance!$B$5:$B$404,B48)))</f>
        <v>0</v>
      </c>
      <c r="V48" s="23">
        <f>IF(B48="","",IF(COUNTIF(Performance!$B$5:$B$404,B48)=0,"",SUMIFS(Performance!$Z$5:$Z$404,Performance!$B$5:$B$404,B48)))</f>
        <v>0</v>
      </c>
      <c r="W48" s="24">
        <f>IF(OR(T48="",T48=0),"",V48/T48)</f>
        <v>0</v>
      </c>
      <c r="X48" s="23">
        <f>IF(B48="","",IF(COUNTIF(Performance!$B$5:$B$404,B48)=0,"",SUMIFS(Performance!$T$5:$T$404,Performance!$B$5:$B$404,B48)))</f>
        <v>0</v>
      </c>
      <c r="Y48" s="23">
        <f>IF(B48="","",IF(COUNTIF(Performance!$B$5:$B$404,B48)=0,"",SUMIFS(Performance!$S$5:$S$404,Performance!$B$5:$B$404,B48)))</f>
        <v>0</v>
      </c>
      <c r="Z48" s="23">
        <f>IF(B48="","",IF(COUNTIF(Performance!$B$5:$B$404,B48)=0,"",SUMIFS(Performance!$R$5:$R$404,Performance!$B$5:$B$404,B48)))</f>
        <v>0</v>
      </c>
      <c r="AA48" s="23">
        <f>IF(B48="","",IF(COUNTIF(Performance!$B$5:$B$404,B48)=0,"",SUMIFS(Performance!$U$5:$U$404,Performance!$B$5:$B$404,B48)))</f>
        <v>0</v>
      </c>
      <c r="AB48" s="29">
        <f>IF(B48="","",IF(C48="Not found","Check - content ID not on the calendar",IF(N48="","Add - no target keyword",IF(K48="","Add - no destination link",IF(AND(S48&lt;&gt;"",S48&lt;TODAY()),"Due - time to refresh this pin","OK")))))</f>
        <v>0</v>
      </c>
    </row>
    <row r="49" spans="1:28">
      <c r="A49" s="41">
        <f>IF(B49="","","PN-"&amp;TEXT(ROW()-4,"000"))</f>
        <v>0</v>
      </c>
      <c r="C49" s="17">
        <f>IF(B49="","",IFERROR(INDEX('Content Calendar'!$H$5:$H$604,MATCH(B49,'Content Calendar'!$A$5:$A$604,0)),"Not found"))</f>
        <v>0</v>
      </c>
      <c r="D49" s="16">
        <f>IF(B49="","",IFERROR(INDEX('Content Calendar'!$B$5:$B$604,MATCH(B49,'Content Calendar'!$A$5:$A$604,0)),"Not found"))</f>
        <v>0</v>
      </c>
      <c r="E49" s="17">
        <f>IF(B49="","",IFERROR(INDEX('Content Calendar'!$J$5:$J$604,MATCH(B49,'Content Calendar'!$A$5:$A$604,0)),"Not found"))</f>
        <v>0</v>
      </c>
      <c r="F49" s="29">
        <f>IF(B49="","",IFERROR(INDEX('Content Calendar'!$X$5:$X$604,MATCH(B49,'Content Calendar'!$A$5:$A$604,0)),"Not found"))</f>
        <v>0</v>
      </c>
      <c r="T49" s="23">
        <f>IF(B49="","",IF(COUNTIF(Performance!$B$5:$B$404,B49)=0,"",SUMIFS(Performance!$O$5:$O$404,Performance!$B$5:$B$404,B49)))</f>
        <v>0</v>
      </c>
      <c r="U49" s="23">
        <f>IF(B49="","",IF(COUNTIF(Performance!$B$5:$B$404,B49)=0,"",SUMIFS(Performance!$P$5:$P$404,Performance!$B$5:$B$404,B49)))</f>
        <v>0</v>
      </c>
      <c r="V49" s="23">
        <f>IF(B49="","",IF(COUNTIF(Performance!$B$5:$B$404,B49)=0,"",SUMIFS(Performance!$Z$5:$Z$404,Performance!$B$5:$B$404,B49)))</f>
        <v>0</v>
      </c>
      <c r="W49" s="24">
        <f>IF(OR(T49="",T49=0),"",V49/T49)</f>
        <v>0</v>
      </c>
      <c r="X49" s="23">
        <f>IF(B49="","",IF(COUNTIF(Performance!$B$5:$B$404,B49)=0,"",SUMIFS(Performance!$T$5:$T$404,Performance!$B$5:$B$404,B49)))</f>
        <v>0</v>
      </c>
      <c r="Y49" s="23">
        <f>IF(B49="","",IF(COUNTIF(Performance!$B$5:$B$404,B49)=0,"",SUMIFS(Performance!$S$5:$S$404,Performance!$B$5:$B$404,B49)))</f>
        <v>0</v>
      </c>
      <c r="Z49" s="23">
        <f>IF(B49="","",IF(COUNTIF(Performance!$B$5:$B$404,B49)=0,"",SUMIFS(Performance!$R$5:$R$404,Performance!$B$5:$B$404,B49)))</f>
        <v>0</v>
      </c>
      <c r="AA49" s="23">
        <f>IF(B49="","",IF(COUNTIF(Performance!$B$5:$B$404,B49)=0,"",SUMIFS(Performance!$U$5:$U$404,Performance!$B$5:$B$404,B49)))</f>
        <v>0</v>
      </c>
      <c r="AB49" s="29">
        <f>IF(B49="","",IF(C49="Not found","Check - content ID not on the calendar",IF(N49="","Add - no target keyword",IF(K49="","Add - no destination link",IF(AND(S49&lt;&gt;"",S49&lt;TODAY()),"Due - time to refresh this pin","OK")))))</f>
        <v>0</v>
      </c>
    </row>
    <row r="50" spans="1:28">
      <c r="A50" s="41">
        <f>IF(B50="","","PN-"&amp;TEXT(ROW()-4,"000"))</f>
        <v>0</v>
      </c>
      <c r="C50" s="17">
        <f>IF(B50="","",IFERROR(INDEX('Content Calendar'!$H$5:$H$604,MATCH(B50,'Content Calendar'!$A$5:$A$604,0)),"Not found"))</f>
        <v>0</v>
      </c>
      <c r="D50" s="16">
        <f>IF(B50="","",IFERROR(INDEX('Content Calendar'!$B$5:$B$604,MATCH(B50,'Content Calendar'!$A$5:$A$604,0)),"Not found"))</f>
        <v>0</v>
      </c>
      <c r="E50" s="17">
        <f>IF(B50="","",IFERROR(INDEX('Content Calendar'!$J$5:$J$604,MATCH(B50,'Content Calendar'!$A$5:$A$604,0)),"Not found"))</f>
        <v>0</v>
      </c>
      <c r="F50" s="29">
        <f>IF(B50="","",IFERROR(INDEX('Content Calendar'!$X$5:$X$604,MATCH(B50,'Content Calendar'!$A$5:$A$604,0)),"Not found"))</f>
        <v>0</v>
      </c>
      <c r="T50" s="23">
        <f>IF(B50="","",IF(COUNTIF(Performance!$B$5:$B$404,B50)=0,"",SUMIFS(Performance!$O$5:$O$404,Performance!$B$5:$B$404,B50)))</f>
        <v>0</v>
      </c>
      <c r="U50" s="23">
        <f>IF(B50="","",IF(COUNTIF(Performance!$B$5:$B$404,B50)=0,"",SUMIFS(Performance!$P$5:$P$404,Performance!$B$5:$B$404,B50)))</f>
        <v>0</v>
      </c>
      <c r="V50" s="23">
        <f>IF(B50="","",IF(COUNTIF(Performance!$B$5:$B$404,B50)=0,"",SUMIFS(Performance!$Z$5:$Z$404,Performance!$B$5:$B$404,B50)))</f>
        <v>0</v>
      </c>
      <c r="W50" s="24">
        <f>IF(OR(T50="",T50=0),"",V50/T50)</f>
        <v>0</v>
      </c>
      <c r="X50" s="23">
        <f>IF(B50="","",IF(COUNTIF(Performance!$B$5:$B$404,B50)=0,"",SUMIFS(Performance!$T$5:$T$404,Performance!$B$5:$B$404,B50)))</f>
        <v>0</v>
      </c>
      <c r="Y50" s="23">
        <f>IF(B50="","",IF(COUNTIF(Performance!$B$5:$B$404,B50)=0,"",SUMIFS(Performance!$S$5:$S$404,Performance!$B$5:$B$404,B50)))</f>
        <v>0</v>
      </c>
      <c r="Z50" s="23">
        <f>IF(B50="","",IF(COUNTIF(Performance!$B$5:$B$404,B50)=0,"",SUMIFS(Performance!$R$5:$R$404,Performance!$B$5:$B$404,B50)))</f>
        <v>0</v>
      </c>
      <c r="AA50" s="23">
        <f>IF(B50="","",IF(COUNTIF(Performance!$B$5:$B$404,B50)=0,"",SUMIFS(Performance!$U$5:$U$404,Performance!$B$5:$B$404,B50)))</f>
        <v>0</v>
      </c>
      <c r="AB50" s="29">
        <f>IF(B50="","",IF(C50="Not found","Check - content ID not on the calendar",IF(N50="","Add - no target keyword",IF(K50="","Add - no destination link",IF(AND(S50&lt;&gt;"",S50&lt;TODAY()),"Due - time to refresh this pin","OK")))))</f>
        <v>0</v>
      </c>
    </row>
    <row r="51" spans="1:28">
      <c r="A51" s="41">
        <f>IF(B51="","","PN-"&amp;TEXT(ROW()-4,"000"))</f>
        <v>0</v>
      </c>
      <c r="C51" s="17">
        <f>IF(B51="","",IFERROR(INDEX('Content Calendar'!$H$5:$H$604,MATCH(B51,'Content Calendar'!$A$5:$A$604,0)),"Not found"))</f>
        <v>0</v>
      </c>
      <c r="D51" s="16">
        <f>IF(B51="","",IFERROR(INDEX('Content Calendar'!$B$5:$B$604,MATCH(B51,'Content Calendar'!$A$5:$A$604,0)),"Not found"))</f>
        <v>0</v>
      </c>
      <c r="E51" s="17">
        <f>IF(B51="","",IFERROR(INDEX('Content Calendar'!$J$5:$J$604,MATCH(B51,'Content Calendar'!$A$5:$A$604,0)),"Not found"))</f>
        <v>0</v>
      </c>
      <c r="F51" s="29">
        <f>IF(B51="","",IFERROR(INDEX('Content Calendar'!$X$5:$X$604,MATCH(B51,'Content Calendar'!$A$5:$A$604,0)),"Not found"))</f>
        <v>0</v>
      </c>
      <c r="T51" s="23">
        <f>IF(B51="","",IF(COUNTIF(Performance!$B$5:$B$404,B51)=0,"",SUMIFS(Performance!$O$5:$O$404,Performance!$B$5:$B$404,B51)))</f>
        <v>0</v>
      </c>
      <c r="U51" s="23">
        <f>IF(B51="","",IF(COUNTIF(Performance!$B$5:$B$404,B51)=0,"",SUMIFS(Performance!$P$5:$P$404,Performance!$B$5:$B$404,B51)))</f>
        <v>0</v>
      </c>
      <c r="V51" s="23">
        <f>IF(B51="","",IF(COUNTIF(Performance!$B$5:$B$404,B51)=0,"",SUMIFS(Performance!$Z$5:$Z$404,Performance!$B$5:$B$404,B51)))</f>
        <v>0</v>
      </c>
      <c r="W51" s="24">
        <f>IF(OR(T51="",T51=0),"",V51/T51)</f>
        <v>0</v>
      </c>
      <c r="X51" s="23">
        <f>IF(B51="","",IF(COUNTIF(Performance!$B$5:$B$404,B51)=0,"",SUMIFS(Performance!$T$5:$T$404,Performance!$B$5:$B$404,B51)))</f>
        <v>0</v>
      </c>
      <c r="Y51" s="23">
        <f>IF(B51="","",IF(COUNTIF(Performance!$B$5:$B$404,B51)=0,"",SUMIFS(Performance!$S$5:$S$404,Performance!$B$5:$B$404,B51)))</f>
        <v>0</v>
      </c>
      <c r="Z51" s="23">
        <f>IF(B51="","",IF(COUNTIF(Performance!$B$5:$B$404,B51)=0,"",SUMIFS(Performance!$R$5:$R$404,Performance!$B$5:$B$404,B51)))</f>
        <v>0</v>
      </c>
      <c r="AA51" s="23">
        <f>IF(B51="","",IF(COUNTIF(Performance!$B$5:$B$404,B51)=0,"",SUMIFS(Performance!$U$5:$U$404,Performance!$B$5:$B$404,B51)))</f>
        <v>0</v>
      </c>
      <c r="AB51" s="29">
        <f>IF(B51="","",IF(C51="Not found","Check - content ID not on the calendar",IF(N51="","Add - no target keyword",IF(K51="","Add - no destination link",IF(AND(S51&lt;&gt;"",S51&lt;TODAY()),"Due - time to refresh this pin","OK")))))</f>
        <v>0</v>
      </c>
    </row>
    <row r="52" spans="1:28">
      <c r="A52" s="41">
        <f>IF(B52="","","PN-"&amp;TEXT(ROW()-4,"000"))</f>
        <v>0</v>
      </c>
      <c r="C52" s="17">
        <f>IF(B52="","",IFERROR(INDEX('Content Calendar'!$H$5:$H$604,MATCH(B52,'Content Calendar'!$A$5:$A$604,0)),"Not found"))</f>
        <v>0</v>
      </c>
      <c r="D52" s="16">
        <f>IF(B52="","",IFERROR(INDEX('Content Calendar'!$B$5:$B$604,MATCH(B52,'Content Calendar'!$A$5:$A$604,0)),"Not found"))</f>
        <v>0</v>
      </c>
      <c r="E52" s="17">
        <f>IF(B52="","",IFERROR(INDEX('Content Calendar'!$J$5:$J$604,MATCH(B52,'Content Calendar'!$A$5:$A$604,0)),"Not found"))</f>
        <v>0</v>
      </c>
      <c r="F52" s="29">
        <f>IF(B52="","",IFERROR(INDEX('Content Calendar'!$X$5:$X$604,MATCH(B52,'Content Calendar'!$A$5:$A$604,0)),"Not found"))</f>
        <v>0</v>
      </c>
      <c r="T52" s="23">
        <f>IF(B52="","",IF(COUNTIF(Performance!$B$5:$B$404,B52)=0,"",SUMIFS(Performance!$O$5:$O$404,Performance!$B$5:$B$404,B52)))</f>
        <v>0</v>
      </c>
      <c r="U52" s="23">
        <f>IF(B52="","",IF(COUNTIF(Performance!$B$5:$B$404,B52)=0,"",SUMIFS(Performance!$P$5:$P$404,Performance!$B$5:$B$404,B52)))</f>
        <v>0</v>
      </c>
      <c r="V52" s="23">
        <f>IF(B52="","",IF(COUNTIF(Performance!$B$5:$B$404,B52)=0,"",SUMIFS(Performance!$Z$5:$Z$404,Performance!$B$5:$B$404,B52)))</f>
        <v>0</v>
      </c>
      <c r="W52" s="24">
        <f>IF(OR(T52="",T52=0),"",V52/T52)</f>
        <v>0</v>
      </c>
      <c r="X52" s="23">
        <f>IF(B52="","",IF(COUNTIF(Performance!$B$5:$B$404,B52)=0,"",SUMIFS(Performance!$T$5:$T$404,Performance!$B$5:$B$404,B52)))</f>
        <v>0</v>
      </c>
      <c r="Y52" s="23">
        <f>IF(B52="","",IF(COUNTIF(Performance!$B$5:$B$404,B52)=0,"",SUMIFS(Performance!$S$5:$S$404,Performance!$B$5:$B$404,B52)))</f>
        <v>0</v>
      </c>
      <c r="Z52" s="23">
        <f>IF(B52="","",IF(COUNTIF(Performance!$B$5:$B$404,B52)=0,"",SUMIFS(Performance!$R$5:$R$404,Performance!$B$5:$B$404,B52)))</f>
        <v>0</v>
      </c>
      <c r="AA52" s="23">
        <f>IF(B52="","",IF(COUNTIF(Performance!$B$5:$B$404,B52)=0,"",SUMIFS(Performance!$U$5:$U$404,Performance!$B$5:$B$404,B52)))</f>
        <v>0</v>
      </c>
      <c r="AB52" s="29">
        <f>IF(B52="","",IF(C52="Not found","Check - content ID not on the calendar",IF(N52="","Add - no target keyword",IF(K52="","Add - no destination link",IF(AND(S52&lt;&gt;"",S52&lt;TODAY()),"Due - time to refresh this pin","OK")))))</f>
        <v>0</v>
      </c>
    </row>
    <row r="53" spans="1:28">
      <c r="A53" s="41">
        <f>IF(B53="","","PN-"&amp;TEXT(ROW()-4,"000"))</f>
        <v>0</v>
      </c>
      <c r="C53" s="17">
        <f>IF(B53="","",IFERROR(INDEX('Content Calendar'!$H$5:$H$604,MATCH(B53,'Content Calendar'!$A$5:$A$604,0)),"Not found"))</f>
        <v>0</v>
      </c>
      <c r="D53" s="16">
        <f>IF(B53="","",IFERROR(INDEX('Content Calendar'!$B$5:$B$604,MATCH(B53,'Content Calendar'!$A$5:$A$604,0)),"Not found"))</f>
        <v>0</v>
      </c>
      <c r="E53" s="17">
        <f>IF(B53="","",IFERROR(INDEX('Content Calendar'!$J$5:$J$604,MATCH(B53,'Content Calendar'!$A$5:$A$604,0)),"Not found"))</f>
        <v>0</v>
      </c>
      <c r="F53" s="29">
        <f>IF(B53="","",IFERROR(INDEX('Content Calendar'!$X$5:$X$604,MATCH(B53,'Content Calendar'!$A$5:$A$604,0)),"Not found"))</f>
        <v>0</v>
      </c>
      <c r="T53" s="23">
        <f>IF(B53="","",IF(COUNTIF(Performance!$B$5:$B$404,B53)=0,"",SUMIFS(Performance!$O$5:$O$404,Performance!$B$5:$B$404,B53)))</f>
        <v>0</v>
      </c>
      <c r="U53" s="23">
        <f>IF(B53="","",IF(COUNTIF(Performance!$B$5:$B$404,B53)=0,"",SUMIFS(Performance!$P$5:$P$404,Performance!$B$5:$B$404,B53)))</f>
        <v>0</v>
      </c>
      <c r="V53" s="23">
        <f>IF(B53="","",IF(COUNTIF(Performance!$B$5:$B$404,B53)=0,"",SUMIFS(Performance!$Z$5:$Z$404,Performance!$B$5:$B$404,B53)))</f>
        <v>0</v>
      </c>
      <c r="W53" s="24">
        <f>IF(OR(T53="",T53=0),"",V53/T53)</f>
        <v>0</v>
      </c>
      <c r="X53" s="23">
        <f>IF(B53="","",IF(COUNTIF(Performance!$B$5:$B$404,B53)=0,"",SUMIFS(Performance!$T$5:$T$404,Performance!$B$5:$B$404,B53)))</f>
        <v>0</v>
      </c>
      <c r="Y53" s="23">
        <f>IF(B53="","",IF(COUNTIF(Performance!$B$5:$B$404,B53)=0,"",SUMIFS(Performance!$S$5:$S$404,Performance!$B$5:$B$404,B53)))</f>
        <v>0</v>
      </c>
      <c r="Z53" s="23">
        <f>IF(B53="","",IF(COUNTIF(Performance!$B$5:$B$404,B53)=0,"",SUMIFS(Performance!$R$5:$R$404,Performance!$B$5:$B$404,B53)))</f>
        <v>0</v>
      </c>
      <c r="AA53" s="23">
        <f>IF(B53="","",IF(COUNTIF(Performance!$B$5:$B$404,B53)=0,"",SUMIFS(Performance!$U$5:$U$404,Performance!$B$5:$B$404,B53)))</f>
        <v>0</v>
      </c>
      <c r="AB53" s="29">
        <f>IF(B53="","",IF(C53="Not found","Check - content ID not on the calendar",IF(N53="","Add - no target keyword",IF(K53="","Add - no destination link",IF(AND(S53&lt;&gt;"",S53&lt;TODAY()),"Due - time to refresh this pin","OK")))))</f>
        <v>0</v>
      </c>
    </row>
    <row r="54" spans="1:28">
      <c r="A54" s="41">
        <f>IF(B54="","","PN-"&amp;TEXT(ROW()-4,"000"))</f>
        <v>0</v>
      </c>
      <c r="C54" s="17">
        <f>IF(B54="","",IFERROR(INDEX('Content Calendar'!$H$5:$H$604,MATCH(B54,'Content Calendar'!$A$5:$A$604,0)),"Not found"))</f>
        <v>0</v>
      </c>
      <c r="D54" s="16">
        <f>IF(B54="","",IFERROR(INDEX('Content Calendar'!$B$5:$B$604,MATCH(B54,'Content Calendar'!$A$5:$A$604,0)),"Not found"))</f>
        <v>0</v>
      </c>
      <c r="E54" s="17">
        <f>IF(B54="","",IFERROR(INDEX('Content Calendar'!$J$5:$J$604,MATCH(B54,'Content Calendar'!$A$5:$A$604,0)),"Not found"))</f>
        <v>0</v>
      </c>
      <c r="F54" s="29">
        <f>IF(B54="","",IFERROR(INDEX('Content Calendar'!$X$5:$X$604,MATCH(B54,'Content Calendar'!$A$5:$A$604,0)),"Not found"))</f>
        <v>0</v>
      </c>
      <c r="T54" s="23">
        <f>IF(B54="","",IF(COUNTIF(Performance!$B$5:$B$404,B54)=0,"",SUMIFS(Performance!$O$5:$O$404,Performance!$B$5:$B$404,B54)))</f>
        <v>0</v>
      </c>
      <c r="U54" s="23">
        <f>IF(B54="","",IF(COUNTIF(Performance!$B$5:$B$404,B54)=0,"",SUMIFS(Performance!$P$5:$P$404,Performance!$B$5:$B$404,B54)))</f>
        <v>0</v>
      </c>
      <c r="V54" s="23">
        <f>IF(B54="","",IF(COUNTIF(Performance!$B$5:$B$404,B54)=0,"",SUMIFS(Performance!$Z$5:$Z$404,Performance!$B$5:$B$404,B54)))</f>
        <v>0</v>
      </c>
      <c r="W54" s="24">
        <f>IF(OR(T54="",T54=0),"",V54/T54)</f>
        <v>0</v>
      </c>
      <c r="X54" s="23">
        <f>IF(B54="","",IF(COUNTIF(Performance!$B$5:$B$404,B54)=0,"",SUMIFS(Performance!$T$5:$T$404,Performance!$B$5:$B$404,B54)))</f>
        <v>0</v>
      </c>
      <c r="Y54" s="23">
        <f>IF(B54="","",IF(COUNTIF(Performance!$B$5:$B$404,B54)=0,"",SUMIFS(Performance!$S$5:$S$404,Performance!$B$5:$B$404,B54)))</f>
        <v>0</v>
      </c>
      <c r="Z54" s="23">
        <f>IF(B54="","",IF(COUNTIF(Performance!$B$5:$B$404,B54)=0,"",SUMIFS(Performance!$R$5:$R$404,Performance!$B$5:$B$404,B54)))</f>
        <v>0</v>
      </c>
      <c r="AA54" s="23">
        <f>IF(B54="","",IF(COUNTIF(Performance!$B$5:$B$404,B54)=0,"",SUMIFS(Performance!$U$5:$U$404,Performance!$B$5:$B$404,B54)))</f>
        <v>0</v>
      </c>
      <c r="AB54" s="29">
        <f>IF(B54="","",IF(C54="Not found","Check - content ID not on the calendar",IF(N54="","Add - no target keyword",IF(K54="","Add - no destination link",IF(AND(S54&lt;&gt;"",S54&lt;TODAY()),"Due - time to refresh this pin","OK")))))</f>
        <v>0</v>
      </c>
    </row>
    <row r="55" spans="1:28">
      <c r="A55" s="41">
        <f>IF(B55="","","PN-"&amp;TEXT(ROW()-4,"000"))</f>
        <v>0</v>
      </c>
      <c r="C55" s="17">
        <f>IF(B55="","",IFERROR(INDEX('Content Calendar'!$H$5:$H$604,MATCH(B55,'Content Calendar'!$A$5:$A$604,0)),"Not found"))</f>
        <v>0</v>
      </c>
      <c r="D55" s="16">
        <f>IF(B55="","",IFERROR(INDEX('Content Calendar'!$B$5:$B$604,MATCH(B55,'Content Calendar'!$A$5:$A$604,0)),"Not found"))</f>
        <v>0</v>
      </c>
      <c r="E55" s="17">
        <f>IF(B55="","",IFERROR(INDEX('Content Calendar'!$J$5:$J$604,MATCH(B55,'Content Calendar'!$A$5:$A$604,0)),"Not found"))</f>
        <v>0</v>
      </c>
      <c r="F55" s="29">
        <f>IF(B55="","",IFERROR(INDEX('Content Calendar'!$X$5:$X$604,MATCH(B55,'Content Calendar'!$A$5:$A$604,0)),"Not found"))</f>
        <v>0</v>
      </c>
      <c r="T55" s="23">
        <f>IF(B55="","",IF(COUNTIF(Performance!$B$5:$B$404,B55)=0,"",SUMIFS(Performance!$O$5:$O$404,Performance!$B$5:$B$404,B55)))</f>
        <v>0</v>
      </c>
      <c r="U55" s="23">
        <f>IF(B55="","",IF(COUNTIF(Performance!$B$5:$B$404,B55)=0,"",SUMIFS(Performance!$P$5:$P$404,Performance!$B$5:$B$404,B55)))</f>
        <v>0</v>
      </c>
      <c r="V55" s="23">
        <f>IF(B55="","",IF(COUNTIF(Performance!$B$5:$B$404,B55)=0,"",SUMIFS(Performance!$Z$5:$Z$404,Performance!$B$5:$B$404,B55)))</f>
        <v>0</v>
      </c>
      <c r="W55" s="24">
        <f>IF(OR(T55="",T55=0),"",V55/T55)</f>
        <v>0</v>
      </c>
      <c r="X55" s="23">
        <f>IF(B55="","",IF(COUNTIF(Performance!$B$5:$B$404,B55)=0,"",SUMIFS(Performance!$T$5:$T$404,Performance!$B$5:$B$404,B55)))</f>
        <v>0</v>
      </c>
      <c r="Y55" s="23">
        <f>IF(B55="","",IF(COUNTIF(Performance!$B$5:$B$404,B55)=0,"",SUMIFS(Performance!$S$5:$S$404,Performance!$B$5:$B$404,B55)))</f>
        <v>0</v>
      </c>
      <c r="Z55" s="23">
        <f>IF(B55="","",IF(COUNTIF(Performance!$B$5:$B$404,B55)=0,"",SUMIFS(Performance!$R$5:$R$404,Performance!$B$5:$B$404,B55)))</f>
        <v>0</v>
      </c>
      <c r="AA55" s="23">
        <f>IF(B55="","",IF(COUNTIF(Performance!$B$5:$B$404,B55)=0,"",SUMIFS(Performance!$U$5:$U$404,Performance!$B$5:$B$404,B55)))</f>
        <v>0</v>
      </c>
      <c r="AB55" s="29">
        <f>IF(B55="","",IF(C55="Not found","Check - content ID not on the calendar",IF(N55="","Add - no target keyword",IF(K55="","Add - no destination link",IF(AND(S55&lt;&gt;"",S55&lt;TODAY()),"Due - time to refresh this pin","OK")))))</f>
        <v>0</v>
      </c>
    </row>
    <row r="56" spans="1:28">
      <c r="A56" s="41">
        <f>IF(B56="","","PN-"&amp;TEXT(ROW()-4,"000"))</f>
        <v>0</v>
      </c>
      <c r="C56" s="17">
        <f>IF(B56="","",IFERROR(INDEX('Content Calendar'!$H$5:$H$604,MATCH(B56,'Content Calendar'!$A$5:$A$604,0)),"Not found"))</f>
        <v>0</v>
      </c>
      <c r="D56" s="16">
        <f>IF(B56="","",IFERROR(INDEX('Content Calendar'!$B$5:$B$604,MATCH(B56,'Content Calendar'!$A$5:$A$604,0)),"Not found"))</f>
        <v>0</v>
      </c>
      <c r="E56" s="17">
        <f>IF(B56="","",IFERROR(INDEX('Content Calendar'!$J$5:$J$604,MATCH(B56,'Content Calendar'!$A$5:$A$604,0)),"Not found"))</f>
        <v>0</v>
      </c>
      <c r="F56" s="29">
        <f>IF(B56="","",IFERROR(INDEX('Content Calendar'!$X$5:$X$604,MATCH(B56,'Content Calendar'!$A$5:$A$604,0)),"Not found"))</f>
        <v>0</v>
      </c>
      <c r="T56" s="23">
        <f>IF(B56="","",IF(COUNTIF(Performance!$B$5:$B$404,B56)=0,"",SUMIFS(Performance!$O$5:$O$404,Performance!$B$5:$B$404,B56)))</f>
        <v>0</v>
      </c>
      <c r="U56" s="23">
        <f>IF(B56="","",IF(COUNTIF(Performance!$B$5:$B$404,B56)=0,"",SUMIFS(Performance!$P$5:$P$404,Performance!$B$5:$B$404,B56)))</f>
        <v>0</v>
      </c>
      <c r="V56" s="23">
        <f>IF(B56="","",IF(COUNTIF(Performance!$B$5:$B$404,B56)=0,"",SUMIFS(Performance!$Z$5:$Z$404,Performance!$B$5:$B$404,B56)))</f>
        <v>0</v>
      </c>
      <c r="W56" s="24">
        <f>IF(OR(T56="",T56=0),"",V56/T56)</f>
        <v>0</v>
      </c>
      <c r="X56" s="23">
        <f>IF(B56="","",IF(COUNTIF(Performance!$B$5:$B$404,B56)=0,"",SUMIFS(Performance!$T$5:$T$404,Performance!$B$5:$B$404,B56)))</f>
        <v>0</v>
      </c>
      <c r="Y56" s="23">
        <f>IF(B56="","",IF(COUNTIF(Performance!$B$5:$B$404,B56)=0,"",SUMIFS(Performance!$S$5:$S$404,Performance!$B$5:$B$404,B56)))</f>
        <v>0</v>
      </c>
      <c r="Z56" s="23">
        <f>IF(B56="","",IF(COUNTIF(Performance!$B$5:$B$404,B56)=0,"",SUMIFS(Performance!$R$5:$R$404,Performance!$B$5:$B$404,B56)))</f>
        <v>0</v>
      </c>
      <c r="AA56" s="23">
        <f>IF(B56="","",IF(COUNTIF(Performance!$B$5:$B$404,B56)=0,"",SUMIFS(Performance!$U$5:$U$404,Performance!$B$5:$B$404,B56)))</f>
        <v>0</v>
      </c>
      <c r="AB56" s="29">
        <f>IF(B56="","",IF(C56="Not found","Check - content ID not on the calendar",IF(N56="","Add - no target keyword",IF(K56="","Add - no destination link",IF(AND(S56&lt;&gt;"",S56&lt;TODAY()),"Due - time to refresh this pin","OK")))))</f>
        <v>0</v>
      </c>
    </row>
    <row r="57" spans="1:28">
      <c r="A57" s="41">
        <f>IF(B57="","","PN-"&amp;TEXT(ROW()-4,"000"))</f>
        <v>0</v>
      </c>
      <c r="C57" s="17">
        <f>IF(B57="","",IFERROR(INDEX('Content Calendar'!$H$5:$H$604,MATCH(B57,'Content Calendar'!$A$5:$A$604,0)),"Not found"))</f>
        <v>0</v>
      </c>
      <c r="D57" s="16">
        <f>IF(B57="","",IFERROR(INDEX('Content Calendar'!$B$5:$B$604,MATCH(B57,'Content Calendar'!$A$5:$A$604,0)),"Not found"))</f>
        <v>0</v>
      </c>
      <c r="E57" s="17">
        <f>IF(B57="","",IFERROR(INDEX('Content Calendar'!$J$5:$J$604,MATCH(B57,'Content Calendar'!$A$5:$A$604,0)),"Not found"))</f>
        <v>0</v>
      </c>
      <c r="F57" s="29">
        <f>IF(B57="","",IFERROR(INDEX('Content Calendar'!$X$5:$X$604,MATCH(B57,'Content Calendar'!$A$5:$A$604,0)),"Not found"))</f>
        <v>0</v>
      </c>
      <c r="T57" s="23">
        <f>IF(B57="","",IF(COUNTIF(Performance!$B$5:$B$404,B57)=0,"",SUMIFS(Performance!$O$5:$O$404,Performance!$B$5:$B$404,B57)))</f>
        <v>0</v>
      </c>
      <c r="U57" s="23">
        <f>IF(B57="","",IF(COUNTIF(Performance!$B$5:$B$404,B57)=0,"",SUMIFS(Performance!$P$5:$P$404,Performance!$B$5:$B$404,B57)))</f>
        <v>0</v>
      </c>
      <c r="V57" s="23">
        <f>IF(B57="","",IF(COUNTIF(Performance!$B$5:$B$404,B57)=0,"",SUMIFS(Performance!$Z$5:$Z$404,Performance!$B$5:$B$404,B57)))</f>
        <v>0</v>
      </c>
      <c r="W57" s="24">
        <f>IF(OR(T57="",T57=0),"",V57/T57)</f>
        <v>0</v>
      </c>
      <c r="X57" s="23">
        <f>IF(B57="","",IF(COUNTIF(Performance!$B$5:$B$404,B57)=0,"",SUMIFS(Performance!$T$5:$T$404,Performance!$B$5:$B$404,B57)))</f>
        <v>0</v>
      </c>
      <c r="Y57" s="23">
        <f>IF(B57="","",IF(COUNTIF(Performance!$B$5:$B$404,B57)=0,"",SUMIFS(Performance!$S$5:$S$404,Performance!$B$5:$B$404,B57)))</f>
        <v>0</v>
      </c>
      <c r="Z57" s="23">
        <f>IF(B57="","",IF(COUNTIF(Performance!$B$5:$B$404,B57)=0,"",SUMIFS(Performance!$R$5:$R$404,Performance!$B$5:$B$404,B57)))</f>
        <v>0</v>
      </c>
      <c r="AA57" s="23">
        <f>IF(B57="","",IF(COUNTIF(Performance!$B$5:$B$404,B57)=0,"",SUMIFS(Performance!$U$5:$U$404,Performance!$B$5:$B$404,B57)))</f>
        <v>0</v>
      </c>
      <c r="AB57" s="29">
        <f>IF(B57="","",IF(C57="Not found","Check - content ID not on the calendar",IF(N57="","Add - no target keyword",IF(K57="","Add - no destination link",IF(AND(S57&lt;&gt;"",S57&lt;TODAY()),"Due - time to refresh this pin","OK")))))</f>
        <v>0</v>
      </c>
    </row>
    <row r="58" spans="1:28">
      <c r="A58" s="41">
        <f>IF(B58="","","PN-"&amp;TEXT(ROW()-4,"000"))</f>
        <v>0</v>
      </c>
      <c r="C58" s="17">
        <f>IF(B58="","",IFERROR(INDEX('Content Calendar'!$H$5:$H$604,MATCH(B58,'Content Calendar'!$A$5:$A$604,0)),"Not found"))</f>
        <v>0</v>
      </c>
      <c r="D58" s="16">
        <f>IF(B58="","",IFERROR(INDEX('Content Calendar'!$B$5:$B$604,MATCH(B58,'Content Calendar'!$A$5:$A$604,0)),"Not found"))</f>
        <v>0</v>
      </c>
      <c r="E58" s="17">
        <f>IF(B58="","",IFERROR(INDEX('Content Calendar'!$J$5:$J$604,MATCH(B58,'Content Calendar'!$A$5:$A$604,0)),"Not found"))</f>
        <v>0</v>
      </c>
      <c r="F58" s="29">
        <f>IF(B58="","",IFERROR(INDEX('Content Calendar'!$X$5:$X$604,MATCH(B58,'Content Calendar'!$A$5:$A$604,0)),"Not found"))</f>
        <v>0</v>
      </c>
      <c r="T58" s="23">
        <f>IF(B58="","",IF(COUNTIF(Performance!$B$5:$B$404,B58)=0,"",SUMIFS(Performance!$O$5:$O$404,Performance!$B$5:$B$404,B58)))</f>
        <v>0</v>
      </c>
      <c r="U58" s="23">
        <f>IF(B58="","",IF(COUNTIF(Performance!$B$5:$B$404,B58)=0,"",SUMIFS(Performance!$P$5:$P$404,Performance!$B$5:$B$404,B58)))</f>
        <v>0</v>
      </c>
      <c r="V58" s="23">
        <f>IF(B58="","",IF(COUNTIF(Performance!$B$5:$B$404,B58)=0,"",SUMIFS(Performance!$Z$5:$Z$404,Performance!$B$5:$B$404,B58)))</f>
        <v>0</v>
      </c>
      <c r="W58" s="24">
        <f>IF(OR(T58="",T58=0),"",V58/T58)</f>
        <v>0</v>
      </c>
      <c r="X58" s="23">
        <f>IF(B58="","",IF(COUNTIF(Performance!$B$5:$B$404,B58)=0,"",SUMIFS(Performance!$T$5:$T$404,Performance!$B$5:$B$404,B58)))</f>
        <v>0</v>
      </c>
      <c r="Y58" s="23">
        <f>IF(B58="","",IF(COUNTIF(Performance!$B$5:$B$404,B58)=0,"",SUMIFS(Performance!$S$5:$S$404,Performance!$B$5:$B$404,B58)))</f>
        <v>0</v>
      </c>
      <c r="Z58" s="23">
        <f>IF(B58="","",IF(COUNTIF(Performance!$B$5:$B$404,B58)=0,"",SUMIFS(Performance!$R$5:$R$404,Performance!$B$5:$B$404,B58)))</f>
        <v>0</v>
      </c>
      <c r="AA58" s="23">
        <f>IF(B58="","",IF(COUNTIF(Performance!$B$5:$B$404,B58)=0,"",SUMIFS(Performance!$U$5:$U$404,Performance!$B$5:$B$404,B58)))</f>
        <v>0</v>
      </c>
      <c r="AB58" s="29">
        <f>IF(B58="","",IF(C58="Not found","Check - content ID not on the calendar",IF(N58="","Add - no target keyword",IF(K58="","Add - no destination link",IF(AND(S58&lt;&gt;"",S58&lt;TODAY()),"Due - time to refresh this pin","OK")))))</f>
        <v>0</v>
      </c>
    </row>
    <row r="59" spans="1:28">
      <c r="A59" s="41">
        <f>IF(B59="","","PN-"&amp;TEXT(ROW()-4,"000"))</f>
        <v>0</v>
      </c>
      <c r="C59" s="17">
        <f>IF(B59="","",IFERROR(INDEX('Content Calendar'!$H$5:$H$604,MATCH(B59,'Content Calendar'!$A$5:$A$604,0)),"Not found"))</f>
        <v>0</v>
      </c>
      <c r="D59" s="16">
        <f>IF(B59="","",IFERROR(INDEX('Content Calendar'!$B$5:$B$604,MATCH(B59,'Content Calendar'!$A$5:$A$604,0)),"Not found"))</f>
        <v>0</v>
      </c>
      <c r="E59" s="17">
        <f>IF(B59="","",IFERROR(INDEX('Content Calendar'!$J$5:$J$604,MATCH(B59,'Content Calendar'!$A$5:$A$604,0)),"Not found"))</f>
        <v>0</v>
      </c>
      <c r="F59" s="29">
        <f>IF(B59="","",IFERROR(INDEX('Content Calendar'!$X$5:$X$604,MATCH(B59,'Content Calendar'!$A$5:$A$604,0)),"Not found"))</f>
        <v>0</v>
      </c>
      <c r="T59" s="23">
        <f>IF(B59="","",IF(COUNTIF(Performance!$B$5:$B$404,B59)=0,"",SUMIFS(Performance!$O$5:$O$404,Performance!$B$5:$B$404,B59)))</f>
        <v>0</v>
      </c>
      <c r="U59" s="23">
        <f>IF(B59="","",IF(COUNTIF(Performance!$B$5:$B$404,B59)=0,"",SUMIFS(Performance!$P$5:$P$404,Performance!$B$5:$B$404,B59)))</f>
        <v>0</v>
      </c>
      <c r="V59" s="23">
        <f>IF(B59="","",IF(COUNTIF(Performance!$B$5:$B$404,B59)=0,"",SUMIFS(Performance!$Z$5:$Z$404,Performance!$B$5:$B$404,B59)))</f>
        <v>0</v>
      </c>
      <c r="W59" s="24">
        <f>IF(OR(T59="",T59=0),"",V59/T59)</f>
        <v>0</v>
      </c>
      <c r="X59" s="23">
        <f>IF(B59="","",IF(COUNTIF(Performance!$B$5:$B$404,B59)=0,"",SUMIFS(Performance!$T$5:$T$404,Performance!$B$5:$B$404,B59)))</f>
        <v>0</v>
      </c>
      <c r="Y59" s="23">
        <f>IF(B59="","",IF(COUNTIF(Performance!$B$5:$B$404,B59)=0,"",SUMIFS(Performance!$S$5:$S$404,Performance!$B$5:$B$404,B59)))</f>
        <v>0</v>
      </c>
      <c r="Z59" s="23">
        <f>IF(B59="","",IF(COUNTIF(Performance!$B$5:$B$404,B59)=0,"",SUMIFS(Performance!$R$5:$R$404,Performance!$B$5:$B$404,B59)))</f>
        <v>0</v>
      </c>
      <c r="AA59" s="23">
        <f>IF(B59="","",IF(COUNTIF(Performance!$B$5:$B$404,B59)=0,"",SUMIFS(Performance!$U$5:$U$404,Performance!$B$5:$B$404,B59)))</f>
        <v>0</v>
      </c>
      <c r="AB59" s="29">
        <f>IF(B59="","",IF(C59="Not found","Check - content ID not on the calendar",IF(N59="","Add - no target keyword",IF(K59="","Add - no destination link",IF(AND(S59&lt;&gt;"",S59&lt;TODAY()),"Due - time to refresh this pin","OK")))))</f>
        <v>0</v>
      </c>
    </row>
    <row r="60" spans="1:28">
      <c r="A60" s="41">
        <f>IF(B60="","","PN-"&amp;TEXT(ROW()-4,"000"))</f>
        <v>0</v>
      </c>
      <c r="C60" s="17">
        <f>IF(B60="","",IFERROR(INDEX('Content Calendar'!$H$5:$H$604,MATCH(B60,'Content Calendar'!$A$5:$A$604,0)),"Not found"))</f>
        <v>0</v>
      </c>
      <c r="D60" s="16">
        <f>IF(B60="","",IFERROR(INDEX('Content Calendar'!$B$5:$B$604,MATCH(B60,'Content Calendar'!$A$5:$A$604,0)),"Not found"))</f>
        <v>0</v>
      </c>
      <c r="E60" s="17">
        <f>IF(B60="","",IFERROR(INDEX('Content Calendar'!$J$5:$J$604,MATCH(B60,'Content Calendar'!$A$5:$A$604,0)),"Not found"))</f>
        <v>0</v>
      </c>
      <c r="F60" s="29">
        <f>IF(B60="","",IFERROR(INDEX('Content Calendar'!$X$5:$X$604,MATCH(B60,'Content Calendar'!$A$5:$A$604,0)),"Not found"))</f>
        <v>0</v>
      </c>
      <c r="T60" s="23">
        <f>IF(B60="","",IF(COUNTIF(Performance!$B$5:$B$404,B60)=0,"",SUMIFS(Performance!$O$5:$O$404,Performance!$B$5:$B$404,B60)))</f>
        <v>0</v>
      </c>
      <c r="U60" s="23">
        <f>IF(B60="","",IF(COUNTIF(Performance!$B$5:$B$404,B60)=0,"",SUMIFS(Performance!$P$5:$P$404,Performance!$B$5:$B$404,B60)))</f>
        <v>0</v>
      </c>
      <c r="V60" s="23">
        <f>IF(B60="","",IF(COUNTIF(Performance!$B$5:$B$404,B60)=0,"",SUMIFS(Performance!$Z$5:$Z$404,Performance!$B$5:$B$404,B60)))</f>
        <v>0</v>
      </c>
      <c r="W60" s="24">
        <f>IF(OR(T60="",T60=0),"",V60/T60)</f>
        <v>0</v>
      </c>
      <c r="X60" s="23">
        <f>IF(B60="","",IF(COUNTIF(Performance!$B$5:$B$404,B60)=0,"",SUMIFS(Performance!$T$5:$T$404,Performance!$B$5:$B$404,B60)))</f>
        <v>0</v>
      </c>
      <c r="Y60" s="23">
        <f>IF(B60="","",IF(COUNTIF(Performance!$B$5:$B$404,B60)=0,"",SUMIFS(Performance!$S$5:$S$404,Performance!$B$5:$B$404,B60)))</f>
        <v>0</v>
      </c>
      <c r="Z60" s="23">
        <f>IF(B60="","",IF(COUNTIF(Performance!$B$5:$B$404,B60)=0,"",SUMIFS(Performance!$R$5:$R$404,Performance!$B$5:$B$404,B60)))</f>
        <v>0</v>
      </c>
      <c r="AA60" s="23">
        <f>IF(B60="","",IF(COUNTIF(Performance!$B$5:$B$404,B60)=0,"",SUMIFS(Performance!$U$5:$U$404,Performance!$B$5:$B$404,B60)))</f>
        <v>0</v>
      </c>
      <c r="AB60" s="29">
        <f>IF(B60="","",IF(C60="Not found","Check - content ID not on the calendar",IF(N60="","Add - no target keyword",IF(K60="","Add - no destination link",IF(AND(S60&lt;&gt;"",S60&lt;TODAY()),"Due - time to refresh this pin","OK")))))</f>
        <v>0</v>
      </c>
    </row>
    <row r="61" spans="1:28">
      <c r="A61" s="41">
        <f>IF(B61="","","PN-"&amp;TEXT(ROW()-4,"000"))</f>
        <v>0</v>
      </c>
      <c r="C61" s="17">
        <f>IF(B61="","",IFERROR(INDEX('Content Calendar'!$H$5:$H$604,MATCH(B61,'Content Calendar'!$A$5:$A$604,0)),"Not found"))</f>
        <v>0</v>
      </c>
      <c r="D61" s="16">
        <f>IF(B61="","",IFERROR(INDEX('Content Calendar'!$B$5:$B$604,MATCH(B61,'Content Calendar'!$A$5:$A$604,0)),"Not found"))</f>
        <v>0</v>
      </c>
      <c r="E61" s="17">
        <f>IF(B61="","",IFERROR(INDEX('Content Calendar'!$J$5:$J$604,MATCH(B61,'Content Calendar'!$A$5:$A$604,0)),"Not found"))</f>
        <v>0</v>
      </c>
      <c r="F61" s="29">
        <f>IF(B61="","",IFERROR(INDEX('Content Calendar'!$X$5:$X$604,MATCH(B61,'Content Calendar'!$A$5:$A$604,0)),"Not found"))</f>
        <v>0</v>
      </c>
      <c r="T61" s="23">
        <f>IF(B61="","",IF(COUNTIF(Performance!$B$5:$B$404,B61)=0,"",SUMIFS(Performance!$O$5:$O$404,Performance!$B$5:$B$404,B61)))</f>
        <v>0</v>
      </c>
      <c r="U61" s="23">
        <f>IF(B61="","",IF(COUNTIF(Performance!$B$5:$B$404,B61)=0,"",SUMIFS(Performance!$P$5:$P$404,Performance!$B$5:$B$404,B61)))</f>
        <v>0</v>
      </c>
      <c r="V61" s="23">
        <f>IF(B61="","",IF(COUNTIF(Performance!$B$5:$B$404,B61)=0,"",SUMIFS(Performance!$Z$5:$Z$404,Performance!$B$5:$B$404,B61)))</f>
        <v>0</v>
      </c>
      <c r="W61" s="24">
        <f>IF(OR(T61="",T61=0),"",V61/T61)</f>
        <v>0</v>
      </c>
      <c r="X61" s="23">
        <f>IF(B61="","",IF(COUNTIF(Performance!$B$5:$B$404,B61)=0,"",SUMIFS(Performance!$T$5:$T$404,Performance!$B$5:$B$404,B61)))</f>
        <v>0</v>
      </c>
      <c r="Y61" s="23">
        <f>IF(B61="","",IF(COUNTIF(Performance!$B$5:$B$404,B61)=0,"",SUMIFS(Performance!$S$5:$S$404,Performance!$B$5:$B$404,B61)))</f>
        <v>0</v>
      </c>
      <c r="Z61" s="23">
        <f>IF(B61="","",IF(COUNTIF(Performance!$B$5:$B$404,B61)=0,"",SUMIFS(Performance!$R$5:$R$404,Performance!$B$5:$B$404,B61)))</f>
        <v>0</v>
      </c>
      <c r="AA61" s="23">
        <f>IF(B61="","",IF(COUNTIF(Performance!$B$5:$B$404,B61)=0,"",SUMIFS(Performance!$U$5:$U$404,Performance!$B$5:$B$404,B61)))</f>
        <v>0</v>
      </c>
      <c r="AB61" s="29">
        <f>IF(B61="","",IF(C61="Not found","Check - content ID not on the calendar",IF(N61="","Add - no target keyword",IF(K61="","Add - no destination link",IF(AND(S61&lt;&gt;"",S61&lt;TODAY()),"Due - time to refresh this pin","OK")))))</f>
        <v>0</v>
      </c>
    </row>
    <row r="62" spans="1:28">
      <c r="A62" s="41">
        <f>IF(B62="","","PN-"&amp;TEXT(ROW()-4,"000"))</f>
        <v>0</v>
      </c>
      <c r="C62" s="17">
        <f>IF(B62="","",IFERROR(INDEX('Content Calendar'!$H$5:$H$604,MATCH(B62,'Content Calendar'!$A$5:$A$604,0)),"Not found"))</f>
        <v>0</v>
      </c>
      <c r="D62" s="16">
        <f>IF(B62="","",IFERROR(INDEX('Content Calendar'!$B$5:$B$604,MATCH(B62,'Content Calendar'!$A$5:$A$604,0)),"Not found"))</f>
        <v>0</v>
      </c>
      <c r="E62" s="17">
        <f>IF(B62="","",IFERROR(INDEX('Content Calendar'!$J$5:$J$604,MATCH(B62,'Content Calendar'!$A$5:$A$604,0)),"Not found"))</f>
        <v>0</v>
      </c>
      <c r="F62" s="29">
        <f>IF(B62="","",IFERROR(INDEX('Content Calendar'!$X$5:$X$604,MATCH(B62,'Content Calendar'!$A$5:$A$604,0)),"Not found"))</f>
        <v>0</v>
      </c>
      <c r="T62" s="23">
        <f>IF(B62="","",IF(COUNTIF(Performance!$B$5:$B$404,B62)=0,"",SUMIFS(Performance!$O$5:$O$404,Performance!$B$5:$B$404,B62)))</f>
        <v>0</v>
      </c>
      <c r="U62" s="23">
        <f>IF(B62="","",IF(COUNTIF(Performance!$B$5:$B$404,B62)=0,"",SUMIFS(Performance!$P$5:$P$404,Performance!$B$5:$B$404,B62)))</f>
        <v>0</v>
      </c>
      <c r="V62" s="23">
        <f>IF(B62="","",IF(COUNTIF(Performance!$B$5:$B$404,B62)=0,"",SUMIFS(Performance!$Z$5:$Z$404,Performance!$B$5:$B$404,B62)))</f>
        <v>0</v>
      </c>
      <c r="W62" s="24">
        <f>IF(OR(T62="",T62=0),"",V62/T62)</f>
        <v>0</v>
      </c>
      <c r="X62" s="23">
        <f>IF(B62="","",IF(COUNTIF(Performance!$B$5:$B$404,B62)=0,"",SUMIFS(Performance!$T$5:$T$404,Performance!$B$5:$B$404,B62)))</f>
        <v>0</v>
      </c>
      <c r="Y62" s="23">
        <f>IF(B62="","",IF(COUNTIF(Performance!$B$5:$B$404,B62)=0,"",SUMIFS(Performance!$S$5:$S$404,Performance!$B$5:$B$404,B62)))</f>
        <v>0</v>
      </c>
      <c r="Z62" s="23">
        <f>IF(B62="","",IF(COUNTIF(Performance!$B$5:$B$404,B62)=0,"",SUMIFS(Performance!$R$5:$R$404,Performance!$B$5:$B$404,B62)))</f>
        <v>0</v>
      </c>
      <c r="AA62" s="23">
        <f>IF(B62="","",IF(COUNTIF(Performance!$B$5:$B$404,B62)=0,"",SUMIFS(Performance!$U$5:$U$404,Performance!$B$5:$B$404,B62)))</f>
        <v>0</v>
      </c>
      <c r="AB62" s="29">
        <f>IF(B62="","",IF(C62="Not found","Check - content ID not on the calendar",IF(N62="","Add - no target keyword",IF(K62="","Add - no destination link",IF(AND(S62&lt;&gt;"",S62&lt;TODAY()),"Due - time to refresh this pin","OK")))))</f>
        <v>0</v>
      </c>
    </row>
    <row r="63" spans="1:28">
      <c r="A63" s="41">
        <f>IF(B63="","","PN-"&amp;TEXT(ROW()-4,"000"))</f>
        <v>0</v>
      </c>
      <c r="C63" s="17">
        <f>IF(B63="","",IFERROR(INDEX('Content Calendar'!$H$5:$H$604,MATCH(B63,'Content Calendar'!$A$5:$A$604,0)),"Not found"))</f>
        <v>0</v>
      </c>
      <c r="D63" s="16">
        <f>IF(B63="","",IFERROR(INDEX('Content Calendar'!$B$5:$B$604,MATCH(B63,'Content Calendar'!$A$5:$A$604,0)),"Not found"))</f>
        <v>0</v>
      </c>
      <c r="E63" s="17">
        <f>IF(B63="","",IFERROR(INDEX('Content Calendar'!$J$5:$J$604,MATCH(B63,'Content Calendar'!$A$5:$A$604,0)),"Not found"))</f>
        <v>0</v>
      </c>
      <c r="F63" s="29">
        <f>IF(B63="","",IFERROR(INDEX('Content Calendar'!$X$5:$X$604,MATCH(B63,'Content Calendar'!$A$5:$A$604,0)),"Not found"))</f>
        <v>0</v>
      </c>
      <c r="T63" s="23">
        <f>IF(B63="","",IF(COUNTIF(Performance!$B$5:$B$404,B63)=0,"",SUMIFS(Performance!$O$5:$O$404,Performance!$B$5:$B$404,B63)))</f>
        <v>0</v>
      </c>
      <c r="U63" s="23">
        <f>IF(B63="","",IF(COUNTIF(Performance!$B$5:$B$404,B63)=0,"",SUMIFS(Performance!$P$5:$P$404,Performance!$B$5:$B$404,B63)))</f>
        <v>0</v>
      </c>
      <c r="V63" s="23">
        <f>IF(B63="","",IF(COUNTIF(Performance!$B$5:$B$404,B63)=0,"",SUMIFS(Performance!$Z$5:$Z$404,Performance!$B$5:$B$404,B63)))</f>
        <v>0</v>
      </c>
      <c r="W63" s="24">
        <f>IF(OR(T63="",T63=0),"",V63/T63)</f>
        <v>0</v>
      </c>
      <c r="X63" s="23">
        <f>IF(B63="","",IF(COUNTIF(Performance!$B$5:$B$404,B63)=0,"",SUMIFS(Performance!$T$5:$T$404,Performance!$B$5:$B$404,B63)))</f>
        <v>0</v>
      </c>
      <c r="Y63" s="23">
        <f>IF(B63="","",IF(COUNTIF(Performance!$B$5:$B$404,B63)=0,"",SUMIFS(Performance!$S$5:$S$404,Performance!$B$5:$B$404,B63)))</f>
        <v>0</v>
      </c>
      <c r="Z63" s="23">
        <f>IF(B63="","",IF(COUNTIF(Performance!$B$5:$B$404,B63)=0,"",SUMIFS(Performance!$R$5:$R$404,Performance!$B$5:$B$404,B63)))</f>
        <v>0</v>
      </c>
      <c r="AA63" s="23">
        <f>IF(B63="","",IF(COUNTIF(Performance!$B$5:$B$404,B63)=0,"",SUMIFS(Performance!$U$5:$U$404,Performance!$B$5:$B$404,B63)))</f>
        <v>0</v>
      </c>
      <c r="AB63" s="29">
        <f>IF(B63="","",IF(C63="Not found","Check - content ID not on the calendar",IF(N63="","Add - no target keyword",IF(K63="","Add - no destination link",IF(AND(S63&lt;&gt;"",S63&lt;TODAY()),"Due - time to refresh this pin","OK")))))</f>
        <v>0</v>
      </c>
    </row>
    <row r="64" spans="1:28">
      <c r="A64" s="41">
        <f>IF(B64="","","PN-"&amp;TEXT(ROW()-4,"000"))</f>
        <v>0</v>
      </c>
      <c r="C64" s="17">
        <f>IF(B64="","",IFERROR(INDEX('Content Calendar'!$H$5:$H$604,MATCH(B64,'Content Calendar'!$A$5:$A$604,0)),"Not found"))</f>
        <v>0</v>
      </c>
      <c r="D64" s="16">
        <f>IF(B64="","",IFERROR(INDEX('Content Calendar'!$B$5:$B$604,MATCH(B64,'Content Calendar'!$A$5:$A$604,0)),"Not found"))</f>
        <v>0</v>
      </c>
      <c r="E64" s="17">
        <f>IF(B64="","",IFERROR(INDEX('Content Calendar'!$J$5:$J$604,MATCH(B64,'Content Calendar'!$A$5:$A$604,0)),"Not found"))</f>
        <v>0</v>
      </c>
      <c r="F64" s="29">
        <f>IF(B64="","",IFERROR(INDEX('Content Calendar'!$X$5:$X$604,MATCH(B64,'Content Calendar'!$A$5:$A$604,0)),"Not found"))</f>
        <v>0</v>
      </c>
      <c r="T64" s="23">
        <f>IF(B64="","",IF(COUNTIF(Performance!$B$5:$B$404,B64)=0,"",SUMIFS(Performance!$O$5:$O$404,Performance!$B$5:$B$404,B64)))</f>
        <v>0</v>
      </c>
      <c r="U64" s="23">
        <f>IF(B64="","",IF(COUNTIF(Performance!$B$5:$B$404,B64)=0,"",SUMIFS(Performance!$P$5:$P$404,Performance!$B$5:$B$404,B64)))</f>
        <v>0</v>
      </c>
      <c r="V64" s="23">
        <f>IF(B64="","",IF(COUNTIF(Performance!$B$5:$B$404,B64)=0,"",SUMIFS(Performance!$Z$5:$Z$404,Performance!$B$5:$B$404,B64)))</f>
        <v>0</v>
      </c>
      <c r="W64" s="24">
        <f>IF(OR(T64="",T64=0),"",V64/T64)</f>
        <v>0</v>
      </c>
      <c r="X64" s="23">
        <f>IF(B64="","",IF(COUNTIF(Performance!$B$5:$B$404,B64)=0,"",SUMIFS(Performance!$T$5:$T$404,Performance!$B$5:$B$404,B64)))</f>
        <v>0</v>
      </c>
      <c r="Y64" s="23">
        <f>IF(B64="","",IF(COUNTIF(Performance!$B$5:$B$404,B64)=0,"",SUMIFS(Performance!$S$5:$S$404,Performance!$B$5:$B$404,B64)))</f>
        <v>0</v>
      </c>
      <c r="Z64" s="23">
        <f>IF(B64="","",IF(COUNTIF(Performance!$B$5:$B$404,B64)=0,"",SUMIFS(Performance!$R$5:$R$404,Performance!$B$5:$B$404,B64)))</f>
        <v>0</v>
      </c>
      <c r="AA64" s="23">
        <f>IF(B64="","",IF(COUNTIF(Performance!$B$5:$B$404,B64)=0,"",SUMIFS(Performance!$U$5:$U$404,Performance!$B$5:$B$404,B64)))</f>
        <v>0</v>
      </c>
      <c r="AB64" s="29">
        <f>IF(B64="","",IF(C64="Not found","Check - content ID not on the calendar",IF(N64="","Add - no target keyword",IF(K64="","Add - no destination link",IF(AND(S64&lt;&gt;"",S64&lt;TODAY()),"Due - time to refresh this pin","OK")))))</f>
        <v>0</v>
      </c>
    </row>
    <row r="65" spans="1:28">
      <c r="A65" s="41">
        <f>IF(B65="","","PN-"&amp;TEXT(ROW()-4,"000"))</f>
        <v>0</v>
      </c>
      <c r="C65" s="17">
        <f>IF(B65="","",IFERROR(INDEX('Content Calendar'!$H$5:$H$604,MATCH(B65,'Content Calendar'!$A$5:$A$604,0)),"Not found"))</f>
        <v>0</v>
      </c>
      <c r="D65" s="16">
        <f>IF(B65="","",IFERROR(INDEX('Content Calendar'!$B$5:$B$604,MATCH(B65,'Content Calendar'!$A$5:$A$604,0)),"Not found"))</f>
        <v>0</v>
      </c>
      <c r="E65" s="17">
        <f>IF(B65="","",IFERROR(INDEX('Content Calendar'!$J$5:$J$604,MATCH(B65,'Content Calendar'!$A$5:$A$604,0)),"Not found"))</f>
        <v>0</v>
      </c>
      <c r="F65" s="29">
        <f>IF(B65="","",IFERROR(INDEX('Content Calendar'!$X$5:$X$604,MATCH(B65,'Content Calendar'!$A$5:$A$604,0)),"Not found"))</f>
        <v>0</v>
      </c>
      <c r="T65" s="23">
        <f>IF(B65="","",IF(COUNTIF(Performance!$B$5:$B$404,B65)=0,"",SUMIFS(Performance!$O$5:$O$404,Performance!$B$5:$B$404,B65)))</f>
        <v>0</v>
      </c>
      <c r="U65" s="23">
        <f>IF(B65="","",IF(COUNTIF(Performance!$B$5:$B$404,B65)=0,"",SUMIFS(Performance!$P$5:$P$404,Performance!$B$5:$B$404,B65)))</f>
        <v>0</v>
      </c>
      <c r="V65" s="23">
        <f>IF(B65="","",IF(COUNTIF(Performance!$B$5:$B$404,B65)=0,"",SUMIFS(Performance!$Z$5:$Z$404,Performance!$B$5:$B$404,B65)))</f>
        <v>0</v>
      </c>
      <c r="W65" s="24">
        <f>IF(OR(T65="",T65=0),"",V65/T65)</f>
        <v>0</v>
      </c>
      <c r="X65" s="23">
        <f>IF(B65="","",IF(COUNTIF(Performance!$B$5:$B$404,B65)=0,"",SUMIFS(Performance!$T$5:$T$404,Performance!$B$5:$B$404,B65)))</f>
        <v>0</v>
      </c>
      <c r="Y65" s="23">
        <f>IF(B65="","",IF(COUNTIF(Performance!$B$5:$B$404,B65)=0,"",SUMIFS(Performance!$S$5:$S$404,Performance!$B$5:$B$404,B65)))</f>
        <v>0</v>
      </c>
      <c r="Z65" s="23">
        <f>IF(B65="","",IF(COUNTIF(Performance!$B$5:$B$404,B65)=0,"",SUMIFS(Performance!$R$5:$R$404,Performance!$B$5:$B$404,B65)))</f>
        <v>0</v>
      </c>
      <c r="AA65" s="23">
        <f>IF(B65="","",IF(COUNTIF(Performance!$B$5:$B$404,B65)=0,"",SUMIFS(Performance!$U$5:$U$404,Performance!$B$5:$B$404,B65)))</f>
        <v>0</v>
      </c>
      <c r="AB65" s="29">
        <f>IF(B65="","",IF(C65="Not found","Check - content ID not on the calendar",IF(N65="","Add - no target keyword",IF(K65="","Add - no destination link",IF(AND(S65&lt;&gt;"",S65&lt;TODAY()),"Due - time to refresh this pin","OK")))))</f>
        <v>0</v>
      </c>
    </row>
    <row r="66" spans="1:28">
      <c r="A66" s="41">
        <f>IF(B66="","","PN-"&amp;TEXT(ROW()-4,"000"))</f>
        <v>0</v>
      </c>
      <c r="C66" s="17">
        <f>IF(B66="","",IFERROR(INDEX('Content Calendar'!$H$5:$H$604,MATCH(B66,'Content Calendar'!$A$5:$A$604,0)),"Not found"))</f>
        <v>0</v>
      </c>
      <c r="D66" s="16">
        <f>IF(B66="","",IFERROR(INDEX('Content Calendar'!$B$5:$B$604,MATCH(B66,'Content Calendar'!$A$5:$A$604,0)),"Not found"))</f>
        <v>0</v>
      </c>
      <c r="E66" s="17">
        <f>IF(B66="","",IFERROR(INDEX('Content Calendar'!$J$5:$J$604,MATCH(B66,'Content Calendar'!$A$5:$A$604,0)),"Not found"))</f>
        <v>0</v>
      </c>
      <c r="F66" s="29">
        <f>IF(B66="","",IFERROR(INDEX('Content Calendar'!$X$5:$X$604,MATCH(B66,'Content Calendar'!$A$5:$A$604,0)),"Not found"))</f>
        <v>0</v>
      </c>
      <c r="T66" s="23">
        <f>IF(B66="","",IF(COUNTIF(Performance!$B$5:$B$404,B66)=0,"",SUMIFS(Performance!$O$5:$O$404,Performance!$B$5:$B$404,B66)))</f>
        <v>0</v>
      </c>
      <c r="U66" s="23">
        <f>IF(B66="","",IF(COUNTIF(Performance!$B$5:$B$404,B66)=0,"",SUMIFS(Performance!$P$5:$P$404,Performance!$B$5:$B$404,B66)))</f>
        <v>0</v>
      </c>
      <c r="V66" s="23">
        <f>IF(B66="","",IF(COUNTIF(Performance!$B$5:$B$404,B66)=0,"",SUMIFS(Performance!$Z$5:$Z$404,Performance!$B$5:$B$404,B66)))</f>
        <v>0</v>
      </c>
      <c r="W66" s="24">
        <f>IF(OR(T66="",T66=0),"",V66/T66)</f>
        <v>0</v>
      </c>
      <c r="X66" s="23">
        <f>IF(B66="","",IF(COUNTIF(Performance!$B$5:$B$404,B66)=0,"",SUMIFS(Performance!$T$5:$T$404,Performance!$B$5:$B$404,B66)))</f>
        <v>0</v>
      </c>
      <c r="Y66" s="23">
        <f>IF(B66="","",IF(COUNTIF(Performance!$B$5:$B$404,B66)=0,"",SUMIFS(Performance!$S$5:$S$404,Performance!$B$5:$B$404,B66)))</f>
        <v>0</v>
      </c>
      <c r="Z66" s="23">
        <f>IF(B66="","",IF(COUNTIF(Performance!$B$5:$B$404,B66)=0,"",SUMIFS(Performance!$R$5:$R$404,Performance!$B$5:$B$404,B66)))</f>
        <v>0</v>
      </c>
      <c r="AA66" s="23">
        <f>IF(B66="","",IF(COUNTIF(Performance!$B$5:$B$404,B66)=0,"",SUMIFS(Performance!$U$5:$U$404,Performance!$B$5:$B$404,B66)))</f>
        <v>0</v>
      </c>
      <c r="AB66" s="29">
        <f>IF(B66="","",IF(C66="Not found","Check - content ID not on the calendar",IF(N66="","Add - no target keyword",IF(K66="","Add - no destination link",IF(AND(S66&lt;&gt;"",S66&lt;TODAY()),"Due - time to refresh this pin","OK")))))</f>
        <v>0</v>
      </c>
    </row>
    <row r="67" spans="1:28">
      <c r="A67" s="41">
        <f>IF(B67="","","PN-"&amp;TEXT(ROW()-4,"000"))</f>
        <v>0</v>
      </c>
      <c r="C67" s="17">
        <f>IF(B67="","",IFERROR(INDEX('Content Calendar'!$H$5:$H$604,MATCH(B67,'Content Calendar'!$A$5:$A$604,0)),"Not found"))</f>
        <v>0</v>
      </c>
      <c r="D67" s="16">
        <f>IF(B67="","",IFERROR(INDEX('Content Calendar'!$B$5:$B$604,MATCH(B67,'Content Calendar'!$A$5:$A$604,0)),"Not found"))</f>
        <v>0</v>
      </c>
      <c r="E67" s="17">
        <f>IF(B67="","",IFERROR(INDEX('Content Calendar'!$J$5:$J$604,MATCH(B67,'Content Calendar'!$A$5:$A$604,0)),"Not found"))</f>
        <v>0</v>
      </c>
      <c r="F67" s="29">
        <f>IF(B67="","",IFERROR(INDEX('Content Calendar'!$X$5:$X$604,MATCH(B67,'Content Calendar'!$A$5:$A$604,0)),"Not found"))</f>
        <v>0</v>
      </c>
      <c r="T67" s="23">
        <f>IF(B67="","",IF(COUNTIF(Performance!$B$5:$B$404,B67)=0,"",SUMIFS(Performance!$O$5:$O$404,Performance!$B$5:$B$404,B67)))</f>
        <v>0</v>
      </c>
      <c r="U67" s="23">
        <f>IF(B67="","",IF(COUNTIF(Performance!$B$5:$B$404,B67)=0,"",SUMIFS(Performance!$P$5:$P$404,Performance!$B$5:$B$404,B67)))</f>
        <v>0</v>
      </c>
      <c r="V67" s="23">
        <f>IF(B67="","",IF(COUNTIF(Performance!$B$5:$B$404,B67)=0,"",SUMIFS(Performance!$Z$5:$Z$404,Performance!$B$5:$B$404,B67)))</f>
        <v>0</v>
      </c>
      <c r="W67" s="24">
        <f>IF(OR(T67="",T67=0),"",V67/T67)</f>
        <v>0</v>
      </c>
      <c r="X67" s="23">
        <f>IF(B67="","",IF(COUNTIF(Performance!$B$5:$B$404,B67)=0,"",SUMIFS(Performance!$T$5:$T$404,Performance!$B$5:$B$404,B67)))</f>
        <v>0</v>
      </c>
      <c r="Y67" s="23">
        <f>IF(B67="","",IF(COUNTIF(Performance!$B$5:$B$404,B67)=0,"",SUMIFS(Performance!$S$5:$S$404,Performance!$B$5:$B$404,B67)))</f>
        <v>0</v>
      </c>
      <c r="Z67" s="23">
        <f>IF(B67="","",IF(COUNTIF(Performance!$B$5:$B$404,B67)=0,"",SUMIFS(Performance!$R$5:$R$404,Performance!$B$5:$B$404,B67)))</f>
        <v>0</v>
      </c>
      <c r="AA67" s="23">
        <f>IF(B67="","",IF(COUNTIF(Performance!$B$5:$B$404,B67)=0,"",SUMIFS(Performance!$U$5:$U$404,Performance!$B$5:$B$404,B67)))</f>
        <v>0</v>
      </c>
      <c r="AB67" s="29">
        <f>IF(B67="","",IF(C67="Not found","Check - content ID not on the calendar",IF(N67="","Add - no target keyword",IF(K67="","Add - no destination link",IF(AND(S67&lt;&gt;"",S67&lt;TODAY()),"Due - time to refresh this pin","OK")))))</f>
        <v>0</v>
      </c>
    </row>
    <row r="68" spans="1:28">
      <c r="A68" s="41">
        <f>IF(B68="","","PN-"&amp;TEXT(ROW()-4,"000"))</f>
        <v>0</v>
      </c>
      <c r="C68" s="17">
        <f>IF(B68="","",IFERROR(INDEX('Content Calendar'!$H$5:$H$604,MATCH(B68,'Content Calendar'!$A$5:$A$604,0)),"Not found"))</f>
        <v>0</v>
      </c>
      <c r="D68" s="16">
        <f>IF(B68="","",IFERROR(INDEX('Content Calendar'!$B$5:$B$604,MATCH(B68,'Content Calendar'!$A$5:$A$604,0)),"Not found"))</f>
        <v>0</v>
      </c>
      <c r="E68" s="17">
        <f>IF(B68="","",IFERROR(INDEX('Content Calendar'!$J$5:$J$604,MATCH(B68,'Content Calendar'!$A$5:$A$604,0)),"Not found"))</f>
        <v>0</v>
      </c>
      <c r="F68" s="29">
        <f>IF(B68="","",IFERROR(INDEX('Content Calendar'!$X$5:$X$604,MATCH(B68,'Content Calendar'!$A$5:$A$604,0)),"Not found"))</f>
        <v>0</v>
      </c>
      <c r="T68" s="23">
        <f>IF(B68="","",IF(COUNTIF(Performance!$B$5:$B$404,B68)=0,"",SUMIFS(Performance!$O$5:$O$404,Performance!$B$5:$B$404,B68)))</f>
        <v>0</v>
      </c>
      <c r="U68" s="23">
        <f>IF(B68="","",IF(COUNTIF(Performance!$B$5:$B$404,B68)=0,"",SUMIFS(Performance!$P$5:$P$404,Performance!$B$5:$B$404,B68)))</f>
        <v>0</v>
      </c>
      <c r="V68" s="23">
        <f>IF(B68="","",IF(COUNTIF(Performance!$B$5:$B$404,B68)=0,"",SUMIFS(Performance!$Z$5:$Z$404,Performance!$B$5:$B$404,B68)))</f>
        <v>0</v>
      </c>
      <c r="W68" s="24">
        <f>IF(OR(T68="",T68=0),"",V68/T68)</f>
        <v>0</v>
      </c>
      <c r="X68" s="23">
        <f>IF(B68="","",IF(COUNTIF(Performance!$B$5:$B$404,B68)=0,"",SUMIFS(Performance!$T$5:$T$404,Performance!$B$5:$B$404,B68)))</f>
        <v>0</v>
      </c>
      <c r="Y68" s="23">
        <f>IF(B68="","",IF(COUNTIF(Performance!$B$5:$B$404,B68)=0,"",SUMIFS(Performance!$S$5:$S$404,Performance!$B$5:$B$404,B68)))</f>
        <v>0</v>
      </c>
      <c r="Z68" s="23">
        <f>IF(B68="","",IF(COUNTIF(Performance!$B$5:$B$404,B68)=0,"",SUMIFS(Performance!$R$5:$R$404,Performance!$B$5:$B$404,B68)))</f>
        <v>0</v>
      </c>
      <c r="AA68" s="23">
        <f>IF(B68="","",IF(COUNTIF(Performance!$B$5:$B$404,B68)=0,"",SUMIFS(Performance!$U$5:$U$404,Performance!$B$5:$B$404,B68)))</f>
        <v>0</v>
      </c>
      <c r="AB68" s="29">
        <f>IF(B68="","",IF(C68="Not found","Check - content ID not on the calendar",IF(N68="","Add - no target keyword",IF(K68="","Add - no destination link",IF(AND(S68&lt;&gt;"",S68&lt;TODAY()),"Due - time to refresh this pin","OK")))))</f>
        <v>0</v>
      </c>
    </row>
    <row r="69" spans="1:28">
      <c r="A69" s="41">
        <f>IF(B69="","","PN-"&amp;TEXT(ROW()-4,"000"))</f>
        <v>0</v>
      </c>
      <c r="C69" s="17">
        <f>IF(B69="","",IFERROR(INDEX('Content Calendar'!$H$5:$H$604,MATCH(B69,'Content Calendar'!$A$5:$A$604,0)),"Not found"))</f>
        <v>0</v>
      </c>
      <c r="D69" s="16">
        <f>IF(B69="","",IFERROR(INDEX('Content Calendar'!$B$5:$B$604,MATCH(B69,'Content Calendar'!$A$5:$A$604,0)),"Not found"))</f>
        <v>0</v>
      </c>
      <c r="E69" s="17">
        <f>IF(B69="","",IFERROR(INDEX('Content Calendar'!$J$5:$J$604,MATCH(B69,'Content Calendar'!$A$5:$A$604,0)),"Not found"))</f>
        <v>0</v>
      </c>
      <c r="F69" s="29">
        <f>IF(B69="","",IFERROR(INDEX('Content Calendar'!$X$5:$X$604,MATCH(B69,'Content Calendar'!$A$5:$A$604,0)),"Not found"))</f>
        <v>0</v>
      </c>
      <c r="T69" s="23">
        <f>IF(B69="","",IF(COUNTIF(Performance!$B$5:$B$404,B69)=0,"",SUMIFS(Performance!$O$5:$O$404,Performance!$B$5:$B$404,B69)))</f>
        <v>0</v>
      </c>
      <c r="U69" s="23">
        <f>IF(B69="","",IF(COUNTIF(Performance!$B$5:$B$404,B69)=0,"",SUMIFS(Performance!$P$5:$P$404,Performance!$B$5:$B$404,B69)))</f>
        <v>0</v>
      </c>
      <c r="V69" s="23">
        <f>IF(B69="","",IF(COUNTIF(Performance!$B$5:$B$404,B69)=0,"",SUMIFS(Performance!$Z$5:$Z$404,Performance!$B$5:$B$404,B69)))</f>
        <v>0</v>
      </c>
      <c r="W69" s="24">
        <f>IF(OR(T69="",T69=0),"",V69/T69)</f>
        <v>0</v>
      </c>
      <c r="X69" s="23">
        <f>IF(B69="","",IF(COUNTIF(Performance!$B$5:$B$404,B69)=0,"",SUMIFS(Performance!$T$5:$T$404,Performance!$B$5:$B$404,B69)))</f>
        <v>0</v>
      </c>
      <c r="Y69" s="23">
        <f>IF(B69="","",IF(COUNTIF(Performance!$B$5:$B$404,B69)=0,"",SUMIFS(Performance!$S$5:$S$404,Performance!$B$5:$B$404,B69)))</f>
        <v>0</v>
      </c>
      <c r="Z69" s="23">
        <f>IF(B69="","",IF(COUNTIF(Performance!$B$5:$B$404,B69)=0,"",SUMIFS(Performance!$R$5:$R$404,Performance!$B$5:$B$404,B69)))</f>
        <v>0</v>
      </c>
      <c r="AA69" s="23">
        <f>IF(B69="","",IF(COUNTIF(Performance!$B$5:$B$404,B69)=0,"",SUMIFS(Performance!$U$5:$U$404,Performance!$B$5:$B$404,B69)))</f>
        <v>0</v>
      </c>
      <c r="AB69" s="29">
        <f>IF(B69="","",IF(C69="Not found","Check - content ID not on the calendar",IF(N69="","Add - no target keyword",IF(K69="","Add - no destination link",IF(AND(S69&lt;&gt;"",S69&lt;TODAY()),"Due - time to refresh this pin","OK")))))</f>
        <v>0</v>
      </c>
    </row>
    <row r="70" spans="1:28">
      <c r="A70" s="41">
        <f>IF(B70="","","PN-"&amp;TEXT(ROW()-4,"000"))</f>
        <v>0</v>
      </c>
      <c r="C70" s="17">
        <f>IF(B70="","",IFERROR(INDEX('Content Calendar'!$H$5:$H$604,MATCH(B70,'Content Calendar'!$A$5:$A$604,0)),"Not found"))</f>
        <v>0</v>
      </c>
      <c r="D70" s="16">
        <f>IF(B70="","",IFERROR(INDEX('Content Calendar'!$B$5:$B$604,MATCH(B70,'Content Calendar'!$A$5:$A$604,0)),"Not found"))</f>
        <v>0</v>
      </c>
      <c r="E70" s="17">
        <f>IF(B70="","",IFERROR(INDEX('Content Calendar'!$J$5:$J$604,MATCH(B70,'Content Calendar'!$A$5:$A$604,0)),"Not found"))</f>
        <v>0</v>
      </c>
      <c r="F70" s="29">
        <f>IF(B70="","",IFERROR(INDEX('Content Calendar'!$X$5:$X$604,MATCH(B70,'Content Calendar'!$A$5:$A$604,0)),"Not found"))</f>
        <v>0</v>
      </c>
      <c r="T70" s="23">
        <f>IF(B70="","",IF(COUNTIF(Performance!$B$5:$B$404,B70)=0,"",SUMIFS(Performance!$O$5:$O$404,Performance!$B$5:$B$404,B70)))</f>
        <v>0</v>
      </c>
      <c r="U70" s="23">
        <f>IF(B70="","",IF(COUNTIF(Performance!$B$5:$B$404,B70)=0,"",SUMIFS(Performance!$P$5:$P$404,Performance!$B$5:$B$404,B70)))</f>
        <v>0</v>
      </c>
      <c r="V70" s="23">
        <f>IF(B70="","",IF(COUNTIF(Performance!$B$5:$B$404,B70)=0,"",SUMIFS(Performance!$Z$5:$Z$404,Performance!$B$5:$B$404,B70)))</f>
        <v>0</v>
      </c>
      <c r="W70" s="24">
        <f>IF(OR(T70="",T70=0),"",V70/T70)</f>
        <v>0</v>
      </c>
      <c r="X70" s="23">
        <f>IF(B70="","",IF(COUNTIF(Performance!$B$5:$B$404,B70)=0,"",SUMIFS(Performance!$T$5:$T$404,Performance!$B$5:$B$404,B70)))</f>
        <v>0</v>
      </c>
      <c r="Y70" s="23">
        <f>IF(B70="","",IF(COUNTIF(Performance!$B$5:$B$404,B70)=0,"",SUMIFS(Performance!$S$5:$S$404,Performance!$B$5:$B$404,B70)))</f>
        <v>0</v>
      </c>
      <c r="Z70" s="23">
        <f>IF(B70="","",IF(COUNTIF(Performance!$B$5:$B$404,B70)=0,"",SUMIFS(Performance!$R$5:$R$404,Performance!$B$5:$B$404,B70)))</f>
        <v>0</v>
      </c>
      <c r="AA70" s="23">
        <f>IF(B70="","",IF(COUNTIF(Performance!$B$5:$B$404,B70)=0,"",SUMIFS(Performance!$U$5:$U$404,Performance!$B$5:$B$404,B70)))</f>
        <v>0</v>
      </c>
      <c r="AB70" s="29">
        <f>IF(B70="","",IF(C70="Not found","Check - content ID not on the calendar",IF(N70="","Add - no target keyword",IF(K70="","Add - no destination link",IF(AND(S70&lt;&gt;"",S70&lt;TODAY()),"Due - time to refresh this pin","OK")))))</f>
        <v>0</v>
      </c>
    </row>
    <row r="71" spans="1:28">
      <c r="A71" s="41">
        <f>IF(B71="","","PN-"&amp;TEXT(ROW()-4,"000"))</f>
        <v>0</v>
      </c>
      <c r="C71" s="17">
        <f>IF(B71="","",IFERROR(INDEX('Content Calendar'!$H$5:$H$604,MATCH(B71,'Content Calendar'!$A$5:$A$604,0)),"Not found"))</f>
        <v>0</v>
      </c>
      <c r="D71" s="16">
        <f>IF(B71="","",IFERROR(INDEX('Content Calendar'!$B$5:$B$604,MATCH(B71,'Content Calendar'!$A$5:$A$604,0)),"Not found"))</f>
        <v>0</v>
      </c>
      <c r="E71" s="17">
        <f>IF(B71="","",IFERROR(INDEX('Content Calendar'!$J$5:$J$604,MATCH(B71,'Content Calendar'!$A$5:$A$604,0)),"Not found"))</f>
        <v>0</v>
      </c>
      <c r="F71" s="29">
        <f>IF(B71="","",IFERROR(INDEX('Content Calendar'!$X$5:$X$604,MATCH(B71,'Content Calendar'!$A$5:$A$604,0)),"Not found"))</f>
        <v>0</v>
      </c>
      <c r="T71" s="23">
        <f>IF(B71="","",IF(COUNTIF(Performance!$B$5:$B$404,B71)=0,"",SUMIFS(Performance!$O$5:$O$404,Performance!$B$5:$B$404,B71)))</f>
        <v>0</v>
      </c>
      <c r="U71" s="23">
        <f>IF(B71="","",IF(COUNTIF(Performance!$B$5:$B$404,B71)=0,"",SUMIFS(Performance!$P$5:$P$404,Performance!$B$5:$B$404,B71)))</f>
        <v>0</v>
      </c>
      <c r="V71" s="23">
        <f>IF(B71="","",IF(COUNTIF(Performance!$B$5:$B$404,B71)=0,"",SUMIFS(Performance!$Z$5:$Z$404,Performance!$B$5:$B$404,B71)))</f>
        <v>0</v>
      </c>
      <c r="W71" s="24">
        <f>IF(OR(T71="",T71=0),"",V71/T71)</f>
        <v>0</v>
      </c>
      <c r="X71" s="23">
        <f>IF(B71="","",IF(COUNTIF(Performance!$B$5:$B$404,B71)=0,"",SUMIFS(Performance!$T$5:$T$404,Performance!$B$5:$B$404,B71)))</f>
        <v>0</v>
      </c>
      <c r="Y71" s="23">
        <f>IF(B71="","",IF(COUNTIF(Performance!$B$5:$B$404,B71)=0,"",SUMIFS(Performance!$S$5:$S$404,Performance!$B$5:$B$404,B71)))</f>
        <v>0</v>
      </c>
      <c r="Z71" s="23">
        <f>IF(B71="","",IF(COUNTIF(Performance!$B$5:$B$404,B71)=0,"",SUMIFS(Performance!$R$5:$R$404,Performance!$B$5:$B$404,B71)))</f>
        <v>0</v>
      </c>
      <c r="AA71" s="23">
        <f>IF(B71="","",IF(COUNTIF(Performance!$B$5:$B$404,B71)=0,"",SUMIFS(Performance!$U$5:$U$404,Performance!$B$5:$B$404,B71)))</f>
        <v>0</v>
      </c>
      <c r="AB71" s="29">
        <f>IF(B71="","",IF(C71="Not found","Check - content ID not on the calendar",IF(N71="","Add - no target keyword",IF(K71="","Add - no destination link",IF(AND(S71&lt;&gt;"",S71&lt;TODAY()),"Due - time to refresh this pin","OK")))))</f>
        <v>0</v>
      </c>
    </row>
    <row r="72" spans="1:28">
      <c r="A72" s="41">
        <f>IF(B72="","","PN-"&amp;TEXT(ROW()-4,"000"))</f>
        <v>0</v>
      </c>
      <c r="C72" s="17">
        <f>IF(B72="","",IFERROR(INDEX('Content Calendar'!$H$5:$H$604,MATCH(B72,'Content Calendar'!$A$5:$A$604,0)),"Not found"))</f>
        <v>0</v>
      </c>
      <c r="D72" s="16">
        <f>IF(B72="","",IFERROR(INDEX('Content Calendar'!$B$5:$B$604,MATCH(B72,'Content Calendar'!$A$5:$A$604,0)),"Not found"))</f>
        <v>0</v>
      </c>
      <c r="E72" s="17">
        <f>IF(B72="","",IFERROR(INDEX('Content Calendar'!$J$5:$J$604,MATCH(B72,'Content Calendar'!$A$5:$A$604,0)),"Not found"))</f>
        <v>0</v>
      </c>
      <c r="F72" s="29">
        <f>IF(B72="","",IFERROR(INDEX('Content Calendar'!$X$5:$X$604,MATCH(B72,'Content Calendar'!$A$5:$A$604,0)),"Not found"))</f>
        <v>0</v>
      </c>
      <c r="T72" s="23">
        <f>IF(B72="","",IF(COUNTIF(Performance!$B$5:$B$404,B72)=0,"",SUMIFS(Performance!$O$5:$O$404,Performance!$B$5:$B$404,B72)))</f>
        <v>0</v>
      </c>
      <c r="U72" s="23">
        <f>IF(B72="","",IF(COUNTIF(Performance!$B$5:$B$404,B72)=0,"",SUMIFS(Performance!$P$5:$P$404,Performance!$B$5:$B$404,B72)))</f>
        <v>0</v>
      </c>
      <c r="V72" s="23">
        <f>IF(B72="","",IF(COUNTIF(Performance!$B$5:$B$404,B72)=0,"",SUMIFS(Performance!$Z$5:$Z$404,Performance!$B$5:$B$404,B72)))</f>
        <v>0</v>
      </c>
      <c r="W72" s="24">
        <f>IF(OR(T72="",T72=0),"",V72/T72)</f>
        <v>0</v>
      </c>
      <c r="X72" s="23">
        <f>IF(B72="","",IF(COUNTIF(Performance!$B$5:$B$404,B72)=0,"",SUMIFS(Performance!$T$5:$T$404,Performance!$B$5:$B$404,B72)))</f>
        <v>0</v>
      </c>
      <c r="Y72" s="23">
        <f>IF(B72="","",IF(COUNTIF(Performance!$B$5:$B$404,B72)=0,"",SUMIFS(Performance!$S$5:$S$404,Performance!$B$5:$B$404,B72)))</f>
        <v>0</v>
      </c>
      <c r="Z72" s="23">
        <f>IF(B72="","",IF(COUNTIF(Performance!$B$5:$B$404,B72)=0,"",SUMIFS(Performance!$R$5:$R$404,Performance!$B$5:$B$404,B72)))</f>
        <v>0</v>
      </c>
      <c r="AA72" s="23">
        <f>IF(B72="","",IF(COUNTIF(Performance!$B$5:$B$404,B72)=0,"",SUMIFS(Performance!$U$5:$U$404,Performance!$B$5:$B$404,B72)))</f>
        <v>0</v>
      </c>
      <c r="AB72" s="29">
        <f>IF(B72="","",IF(C72="Not found","Check - content ID not on the calendar",IF(N72="","Add - no target keyword",IF(K72="","Add - no destination link",IF(AND(S72&lt;&gt;"",S72&lt;TODAY()),"Due - time to refresh this pin","OK")))))</f>
        <v>0</v>
      </c>
    </row>
    <row r="73" spans="1:28">
      <c r="A73" s="41">
        <f>IF(B73="","","PN-"&amp;TEXT(ROW()-4,"000"))</f>
        <v>0</v>
      </c>
      <c r="C73" s="17">
        <f>IF(B73="","",IFERROR(INDEX('Content Calendar'!$H$5:$H$604,MATCH(B73,'Content Calendar'!$A$5:$A$604,0)),"Not found"))</f>
        <v>0</v>
      </c>
      <c r="D73" s="16">
        <f>IF(B73="","",IFERROR(INDEX('Content Calendar'!$B$5:$B$604,MATCH(B73,'Content Calendar'!$A$5:$A$604,0)),"Not found"))</f>
        <v>0</v>
      </c>
      <c r="E73" s="17">
        <f>IF(B73="","",IFERROR(INDEX('Content Calendar'!$J$5:$J$604,MATCH(B73,'Content Calendar'!$A$5:$A$604,0)),"Not found"))</f>
        <v>0</v>
      </c>
      <c r="F73" s="29">
        <f>IF(B73="","",IFERROR(INDEX('Content Calendar'!$X$5:$X$604,MATCH(B73,'Content Calendar'!$A$5:$A$604,0)),"Not found"))</f>
        <v>0</v>
      </c>
      <c r="T73" s="23">
        <f>IF(B73="","",IF(COUNTIF(Performance!$B$5:$B$404,B73)=0,"",SUMIFS(Performance!$O$5:$O$404,Performance!$B$5:$B$404,B73)))</f>
        <v>0</v>
      </c>
      <c r="U73" s="23">
        <f>IF(B73="","",IF(COUNTIF(Performance!$B$5:$B$404,B73)=0,"",SUMIFS(Performance!$P$5:$P$404,Performance!$B$5:$B$404,B73)))</f>
        <v>0</v>
      </c>
      <c r="V73" s="23">
        <f>IF(B73="","",IF(COUNTIF(Performance!$B$5:$B$404,B73)=0,"",SUMIFS(Performance!$Z$5:$Z$404,Performance!$B$5:$B$404,B73)))</f>
        <v>0</v>
      </c>
      <c r="W73" s="24">
        <f>IF(OR(T73="",T73=0),"",V73/T73)</f>
        <v>0</v>
      </c>
      <c r="X73" s="23">
        <f>IF(B73="","",IF(COUNTIF(Performance!$B$5:$B$404,B73)=0,"",SUMIFS(Performance!$T$5:$T$404,Performance!$B$5:$B$404,B73)))</f>
        <v>0</v>
      </c>
      <c r="Y73" s="23">
        <f>IF(B73="","",IF(COUNTIF(Performance!$B$5:$B$404,B73)=0,"",SUMIFS(Performance!$S$5:$S$404,Performance!$B$5:$B$404,B73)))</f>
        <v>0</v>
      </c>
      <c r="Z73" s="23">
        <f>IF(B73="","",IF(COUNTIF(Performance!$B$5:$B$404,B73)=0,"",SUMIFS(Performance!$R$5:$R$404,Performance!$B$5:$B$404,B73)))</f>
        <v>0</v>
      </c>
      <c r="AA73" s="23">
        <f>IF(B73="","",IF(COUNTIF(Performance!$B$5:$B$404,B73)=0,"",SUMIFS(Performance!$U$5:$U$404,Performance!$B$5:$B$404,B73)))</f>
        <v>0</v>
      </c>
      <c r="AB73" s="29">
        <f>IF(B73="","",IF(C73="Not found","Check - content ID not on the calendar",IF(N73="","Add - no target keyword",IF(K73="","Add - no destination link",IF(AND(S73&lt;&gt;"",S73&lt;TODAY()),"Due - time to refresh this pin","OK")))))</f>
        <v>0</v>
      </c>
    </row>
    <row r="74" spans="1:28">
      <c r="A74" s="41">
        <f>IF(B74="","","PN-"&amp;TEXT(ROW()-4,"000"))</f>
        <v>0</v>
      </c>
      <c r="C74" s="17">
        <f>IF(B74="","",IFERROR(INDEX('Content Calendar'!$H$5:$H$604,MATCH(B74,'Content Calendar'!$A$5:$A$604,0)),"Not found"))</f>
        <v>0</v>
      </c>
      <c r="D74" s="16">
        <f>IF(B74="","",IFERROR(INDEX('Content Calendar'!$B$5:$B$604,MATCH(B74,'Content Calendar'!$A$5:$A$604,0)),"Not found"))</f>
        <v>0</v>
      </c>
      <c r="E74" s="17">
        <f>IF(B74="","",IFERROR(INDEX('Content Calendar'!$J$5:$J$604,MATCH(B74,'Content Calendar'!$A$5:$A$604,0)),"Not found"))</f>
        <v>0</v>
      </c>
      <c r="F74" s="29">
        <f>IF(B74="","",IFERROR(INDEX('Content Calendar'!$X$5:$X$604,MATCH(B74,'Content Calendar'!$A$5:$A$604,0)),"Not found"))</f>
        <v>0</v>
      </c>
      <c r="T74" s="23">
        <f>IF(B74="","",IF(COUNTIF(Performance!$B$5:$B$404,B74)=0,"",SUMIFS(Performance!$O$5:$O$404,Performance!$B$5:$B$404,B74)))</f>
        <v>0</v>
      </c>
      <c r="U74" s="23">
        <f>IF(B74="","",IF(COUNTIF(Performance!$B$5:$B$404,B74)=0,"",SUMIFS(Performance!$P$5:$P$404,Performance!$B$5:$B$404,B74)))</f>
        <v>0</v>
      </c>
      <c r="V74" s="23">
        <f>IF(B74="","",IF(COUNTIF(Performance!$B$5:$B$404,B74)=0,"",SUMIFS(Performance!$Z$5:$Z$404,Performance!$B$5:$B$404,B74)))</f>
        <v>0</v>
      </c>
      <c r="W74" s="24">
        <f>IF(OR(T74="",T74=0),"",V74/T74)</f>
        <v>0</v>
      </c>
      <c r="X74" s="23">
        <f>IF(B74="","",IF(COUNTIF(Performance!$B$5:$B$404,B74)=0,"",SUMIFS(Performance!$T$5:$T$404,Performance!$B$5:$B$404,B74)))</f>
        <v>0</v>
      </c>
      <c r="Y74" s="23">
        <f>IF(B74="","",IF(COUNTIF(Performance!$B$5:$B$404,B74)=0,"",SUMIFS(Performance!$S$5:$S$404,Performance!$B$5:$B$404,B74)))</f>
        <v>0</v>
      </c>
      <c r="Z74" s="23">
        <f>IF(B74="","",IF(COUNTIF(Performance!$B$5:$B$404,B74)=0,"",SUMIFS(Performance!$R$5:$R$404,Performance!$B$5:$B$404,B74)))</f>
        <v>0</v>
      </c>
      <c r="AA74" s="23">
        <f>IF(B74="","",IF(COUNTIF(Performance!$B$5:$B$404,B74)=0,"",SUMIFS(Performance!$U$5:$U$404,Performance!$B$5:$B$404,B74)))</f>
        <v>0</v>
      </c>
      <c r="AB74" s="29">
        <f>IF(B74="","",IF(C74="Not found","Check - content ID not on the calendar",IF(N74="","Add - no target keyword",IF(K74="","Add - no destination link",IF(AND(S74&lt;&gt;"",S74&lt;TODAY()),"Due - time to refresh this pin","OK")))))</f>
        <v>0</v>
      </c>
    </row>
    <row r="75" spans="1:28">
      <c r="A75" s="41">
        <f>IF(B75="","","PN-"&amp;TEXT(ROW()-4,"000"))</f>
        <v>0</v>
      </c>
      <c r="C75" s="17">
        <f>IF(B75="","",IFERROR(INDEX('Content Calendar'!$H$5:$H$604,MATCH(B75,'Content Calendar'!$A$5:$A$604,0)),"Not found"))</f>
        <v>0</v>
      </c>
      <c r="D75" s="16">
        <f>IF(B75="","",IFERROR(INDEX('Content Calendar'!$B$5:$B$604,MATCH(B75,'Content Calendar'!$A$5:$A$604,0)),"Not found"))</f>
        <v>0</v>
      </c>
      <c r="E75" s="17">
        <f>IF(B75="","",IFERROR(INDEX('Content Calendar'!$J$5:$J$604,MATCH(B75,'Content Calendar'!$A$5:$A$604,0)),"Not found"))</f>
        <v>0</v>
      </c>
      <c r="F75" s="29">
        <f>IF(B75="","",IFERROR(INDEX('Content Calendar'!$X$5:$X$604,MATCH(B75,'Content Calendar'!$A$5:$A$604,0)),"Not found"))</f>
        <v>0</v>
      </c>
      <c r="T75" s="23">
        <f>IF(B75="","",IF(COUNTIF(Performance!$B$5:$B$404,B75)=0,"",SUMIFS(Performance!$O$5:$O$404,Performance!$B$5:$B$404,B75)))</f>
        <v>0</v>
      </c>
      <c r="U75" s="23">
        <f>IF(B75="","",IF(COUNTIF(Performance!$B$5:$B$404,B75)=0,"",SUMIFS(Performance!$P$5:$P$404,Performance!$B$5:$B$404,B75)))</f>
        <v>0</v>
      </c>
      <c r="V75" s="23">
        <f>IF(B75="","",IF(COUNTIF(Performance!$B$5:$B$404,B75)=0,"",SUMIFS(Performance!$Z$5:$Z$404,Performance!$B$5:$B$404,B75)))</f>
        <v>0</v>
      </c>
      <c r="W75" s="24">
        <f>IF(OR(T75="",T75=0),"",V75/T75)</f>
        <v>0</v>
      </c>
      <c r="X75" s="23">
        <f>IF(B75="","",IF(COUNTIF(Performance!$B$5:$B$404,B75)=0,"",SUMIFS(Performance!$T$5:$T$404,Performance!$B$5:$B$404,B75)))</f>
        <v>0</v>
      </c>
      <c r="Y75" s="23">
        <f>IF(B75="","",IF(COUNTIF(Performance!$B$5:$B$404,B75)=0,"",SUMIFS(Performance!$S$5:$S$404,Performance!$B$5:$B$404,B75)))</f>
        <v>0</v>
      </c>
      <c r="Z75" s="23">
        <f>IF(B75="","",IF(COUNTIF(Performance!$B$5:$B$404,B75)=0,"",SUMIFS(Performance!$R$5:$R$404,Performance!$B$5:$B$404,B75)))</f>
        <v>0</v>
      </c>
      <c r="AA75" s="23">
        <f>IF(B75="","",IF(COUNTIF(Performance!$B$5:$B$404,B75)=0,"",SUMIFS(Performance!$U$5:$U$404,Performance!$B$5:$B$404,B75)))</f>
        <v>0</v>
      </c>
      <c r="AB75" s="29">
        <f>IF(B75="","",IF(C75="Not found","Check - content ID not on the calendar",IF(N75="","Add - no target keyword",IF(K75="","Add - no destination link",IF(AND(S75&lt;&gt;"",S75&lt;TODAY()),"Due - time to refresh this pin","OK")))))</f>
        <v>0</v>
      </c>
    </row>
    <row r="76" spans="1:28">
      <c r="A76" s="41">
        <f>IF(B76="","","PN-"&amp;TEXT(ROW()-4,"000"))</f>
        <v>0</v>
      </c>
      <c r="C76" s="17">
        <f>IF(B76="","",IFERROR(INDEX('Content Calendar'!$H$5:$H$604,MATCH(B76,'Content Calendar'!$A$5:$A$604,0)),"Not found"))</f>
        <v>0</v>
      </c>
      <c r="D76" s="16">
        <f>IF(B76="","",IFERROR(INDEX('Content Calendar'!$B$5:$B$604,MATCH(B76,'Content Calendar'!$A$5:$A$604,0)),"Not found"))</f>
        <v>0</v>
      </c>
      <c r="E76" s="17">
        <f>IF(B76="","",IFERROR(INDEX('Content Calendar'!$J$5:$J$604,MATCH(B76,'Content Calendar'!$A$5:$A$604,0)),"Not found"))</f>
        <v>0</v>
      </c>
      <c r="F76" s="29">
        <f>IF(B76="","",IFERROR(INDEX('Content Calendar'!$X$5:$X$604,MATCH(B76,'Content Calendar'!$A$5:$A$604,0)),"Not found"))</f>
        <v>0</v>
      </c>
      <c r="T76" s="23">
        <f>IF(B76="","",IF(COUNTIF(Performance!$B$5:$B$404,B76)=0,"",SUMIFS(Performance!$O$5:$O$404,Performance!$B$5:$B$404,B76)))</f>
        <v>0</v>
      </c>
      <c r="U76" s="23">
        <f>IF(B76="","",IF(COUNTIF(Performance!$B$5:$B$404,B76)=0,"",SUMIFS(Performance!$P$5:$P$404,Performance!$B$5:$B$404,B76)))</f>
        <v>0</v>
      </c>
      <c r="V76" s="23">
        <f>IF(B76="","",IF(COUNTIF(Performance!$B$5:$B$404,B76)=0,"",SUMIFS(Performance!$Z$5:$Z$404,Performance!$B$5:$B$404,B76)))</f>
        <v>0</v>
      </c>
      <c r="W76" s="24">
        <f>IF(OR(T76="",T76=0),"",V76/T76)</f>
        <v>0</v>
      </c>
      <c r="X76" s="23">
        <f>IF(B76="","",IF(COUNTIF(Performance!$B$5:$B$404,B76)=0,"",SUMIFS(Performance!$T$5:$T$404,Performance!$B$5:$B$404,B76)))</f>
        <v>0</v>
      </c>
      <c r="Y76" s="23">
        <f>IF(B76="","",IF(COUNTIF(Performance!$B$5:$B$404,B76)=0,"",SUMIFS(Performance!$S$5:$S$404,Performance!$B$5:$B$404,B76)))</f>
        <v>0</v>
      </c>
      <c r="Z76" s="23">
        <f>IF(B76="","",IF(COUNTIF(Performance!$B$5:$B$404,B76)=0,"",SUMIFS(Performance!$R$5:$R$404,Performance!$B$5:$B$404,B76)))</f>
        <v>0</v>
      </c>
      <c r="AA76" s="23">
        <f>IF(B76="","",IF(COUNTIF(Performance!$B$5:$B$404,B76)=0,"",SUMIFS(Performance!$U$5:$U$404,Performance!$B$5:$B$404,B76)))</f>
        <v>0</v>
      </c>
      <c r="AB76" s="29">
        <f>IF(B76="","",IF(C76="Not found","Check - content ID not on the calendar",IF(N76="","Add - no target keyword",IF(K76="","Add - no destination link",IF(AND(S76&lt;&gt;"",S76&lt;TODAY()),"Due - time to refresh this pin","OK")))))</f>
        <v>0</v>
      </c>
    </row>
    <row r="77" spans="1:28">
      <c r="A77" s="41">
        <f>IF(B77="","","PN-"&amp;TEXT(ROW()-4,"000"))</f>
        <v>0</v>
      </c>
      <c r="C77" s="17">
        <f>IF(B77="","",IFERROR(INDEX('Content Calendar'!$H$5:$H$604,MATCH(B77,'Content Calendar'!$A$5:$A$604,0)),"Not found"))</f>
        <v>0</v>
      </c>
      <c r="D77" s="16">
        <f>IF(B77="","",IFERROR(INDEX('Content Calendar'!$B$5:$B$604,MATCH(B77,'Content Calendar'!$A$5:$A$604,0)),"Not found"))</f>
        <v>0</v>
      </c>
      <c r="E77" s="17">
        <f>IF(B77="","",IFERROR(INDEX('Content Calendar'!$J$5:$J$604,MATCH(B77,'Content Calendar'!$A$5:$A$604,0)),"Not found"))</f>
        <v>0</v>
      </c>
      <c r="F77" s="29">
        <f>IF(B77="","",IFERROR(INDEX('Content Calendar'!$X$5:$X$604,MATCH(B77,'Content Calendar'!$A$5:$A$604,0)),"Not found"))</f>
        <v>0</v>
      </c>
      <c r="T77" s="23">
        <f>IF(B77="","",IF(COUNTIF(Performance!$B$5:$B$404,B77)=0,"",SUMIFS(Performance!$O$5:$O$404,Performance!$B$5:$B$404,B77)))</f>
        <v>0</v>
      </c>
      <c r="U77" s="23">
        <f>IF(B77="","",IF(COUNTIF(Performance!$B$5:$B$404,B77)=0,"",SUMIFS(Performance!$P$5:$P$404,Performance!$B$5:$B$404,B77)))</f>
        <v>0</v>
      </c>
      <c r="V77" s="23">
        <f>IF(B77="","",IF(COUNTIF(Performance!$B$5:$B$404,B77)=0,"",SUMIFS(Performance!$Z$5:$Z$404,Performance!$B$5:$B$404,B77)))</f>
        <v>0</v>
      </c>
      <c r="W77" s="24">
        <f>IF(OR(T77="",T77=0),"",V77/T77)</f>
        <v>0</v>
      </c>
      <c r="X77" s="23">
        <f>IF(B77="","",IF(COUNTIF(Performance!$B$5:$B$404,B77)=0,"",SUMIFS(Performance!$T$5:$T$404,Performance!$B$5:$B$404,B77)))</f>
        <v>0</v>
      </c>
      <c r="Y77" s="23">
        <f>IF(B77="","",IF(COUNTIF(Performance!$B$5:$B$404,B77)=0,"",SUMIFS(Performance!$S$5:$S$404,Performance!$B$5:$B$404,B77)))</f>
        <v>0</v>
      </c>
      <c r="Z77" s="23">
        <f>IF(B77="","",IF(COUNTIF(Performance!$B$5:$B$404,B77)=0,"",SUMIFS(Performance!$R$5:$R$404,Performance!$B$5:$B$404,B77)))</f>
        <v>0</v>
      </c>
      <c r="AA77" s="23">
        <f>IF(B77="","",IF(COUNTIF(Performance!$B$5:$B$404,B77)=0,"",SUMIFS(Performance!$U$5:$U$404,Performance!$B$5:$B$404,B77)))</f>
        <v>0</v>
      </c>
      <c r="AB77" s="29">
        <f>IF(B77="","",IF(C77="Not found","Check - content ID not on the calendar",IF(N77="","Add - no target keyword",IF(K77="","Add - no destination link",IF(AND(S77&lt;&gt;"",S77&lt;TODAY()),"Due - time to refresh this pin","OK")))))</f>
        <v>0</v>
      </c>
    </row>
    <row r="78" spans="1:28">
      <c r="A78" s="41">
        <f>IF(B78="","","PN-"&amp;TEXT(ROW()-4,"000"))</f>
        <v>0</v>
      </c>
      <c r="C78" s="17">
        <f>IF(B78="","",IFERROR(INDEX('Content Calendar'!$H$5:$H$604,MATCH(B78,'Content Calendar'!$A$5:$A$604,0)),"Not found"))</f>
        <v>0</v>
      </c>
      <c r="D78" s="16">
        <f>IF(B78="","",IFERROR(INDEX('Content Calendar'!$B$5:$B$604,MATCH(B78,'Content Calendar'!$A$5:$A$604,0)),"Not found"))</f>
        <v>0</v>
      </c>
      <c r="E78" s="17">
        <f>IF(B78="","",IFERROR(INDEX('Content Calendar'!$J$5:$J$604,MATCH(B78,'Content Calendar'!$A$5:$A$604,0)),"Not found"))</f>
        <v>0</v>
      </c>
      <c r="F78" s="29">
        <f>IF(B78="","",IFERROR(INDEX('Content Calendar'!$X$5:$X$604,MATCH(B78,'Content Calendar'!$A$5:$A$604,0)),"Not found"))</f>
        <v>0</v>
      </c>
      <c r="T78" s="23">
        <f>IF(B78="","",IF(COUNTIF(Performance!$B$5:$B$404,B78)=0,"",SUMIFS(Performance!$O$5:$O$404,Performance!$B$5:$B$404,B78)))</f>
        <v>0</v>
      </c>
      <c r="U78" s="23">
        <f>IF(B78="","",IF(COUNTIF(Performance!$B$5:$B$404,B78)=0,"",SUMIFS(Performance!$P$5:$P$404,Performance!$B$5:$B$404,B78)))</f>
        <v>0</v>
      </c>
      <c r="V78" s="23">
        <f>IF(B78="","",IF(COUNTIF(Performance!$B$5:$B$404,B78)=0,"",SUMIFS(Performance!$Z$5:$Z$404,Performance!$B$5:$B$404,B78)))</f>
        <v>0</v>
      </c>
      <c r="W78" s="24">
        <f>IF(OR(T78="",T78=0),"",V78/T78)</f>
        <v>0</v>
      </c>
      <c r="X78" s="23">
        <f>IF(B78="","",IF(COUNTIF(Performance!$B$5:$B$404,B78)=0,"",SUMIFS(Performance!$T$5:$T$404,Performance!$B$5:$B$404,B78)))</f>
        <v>0</v>
      </c>
      <c r="Y78" s="23">
        <f>IF(B78="","",IF(COUNTIF(Performance!$B$5:$B$404,B78)=0,"",SUMIFS(Performance!$S$5:$S$404,Performance!$B$5:$B$404,B78)))</f>
        <v>0</v>
      </c>
      <c r="Z78" s="23">
        <f>IF(B78="","",IF(COUNTIF(Performance!$B$5:$B$404,B78)=0,"",SUMIFS(Performance!$R$5:$R$404,Performance!$B$5:$B$404,B78)))</f>
        <v>0</v>
      </c>
      <c r="AA78" s="23">
        <f>IF(B78="","",IF(COUNTIF(Performance!$B$5:$B$404,B78)=0,"",SUMIFS(Performance!$U$5:$U$404,Performance!$B$5:$B$404,B78)))</f>
        <v>0</v>
      </c>
      <c r="AB78" s="29">
        <f>IF(B78="","",IF(C78="Not found","Check - content ID not on the calendar",IF(N78="","Add - no target keyword",IF(K78="","Add - no destination link",IF(AND(S78&lt;&gt;"",S78&lt;TODAY()),"Due - time to refresh this pin","OK")))))</f>
        <v>0</v>
      </c>
    </row>
    <row r="79" spans="1:28">
      <c r="A79" s="41">
        <f>IF(B79="","","PN-"&amp;TEXT(ROW()-4,"000"))</f>
        <v>0</v>
      </c>
      <c r="C79" s="17">
        <f>IF(B79="","",IFERROR(INDEX('Content Calendar'!$H$5:$H$604,MATCH(B79,'Content Calendar'!$A$5:$A$604,0)),"Not found"))</f>
        <v>0</v>
      </c>
      <c r="D79" s="16">
        <f>IF(B79="","",IFERROR(INDEX('Content Calendar'!$B$5:$B$604,MATCH(B79,'Content Calendar'!$A$5:$A$604,0)),"Not found"))</f>
        <v>0</v>
      </c>
      <c r="E79" s="17">
        <f>IF(B79="","",IFERROR(INDEX('Content Calendar'!$J$5:$J$604,MATCH(B79,'Content Calendar'!$A$5:$A$604,0)),"Not found"))</f>
        <v>0</v>
      </c>
      <c r="F79" s="29">
        <f>IF(B79="","",IFERROR(INDEX('Content Calendar'!$X$5:$X$604,MATCH(B79,'Content Calendar'!$A$5:$A$604,0)),"Not found"))</f>
        <v>0</v>
      </c>
      <c r="T79" s="23">
        <f>IF(B79="","",IF(COUNTIF(Performance!$B$5:$B$404,B79)=0,"",SUMIFS(Performance!$O$5:$O$404,Performance!$B$5:$B$404,B79)))</f>
        <v>0</v>
      </c>
      <c r="U79" s="23">
        <f>IF(B79="","",IF(COUNTIF(Performance!$B$5:$B$404,B79)=0,"",SUMIFS(Performance!$P$5:$P$404,Performance!$B$5:$B$404,B79)))</f>
        <v>0</v>
      </c>
      <c r="V79" s="23">
        <f>IF(B79="","",IF(COUNTIF(Performance!$B$5:$B$404,B79)=0,"",SUMIFS(Performance!$Z$5:$Z$404,Performance!$B$5:$B$404,B79)))</f>
        <v>0</v>
      </c>
      <c r="W79" s="24">
        <f>IF(OR(T79="",T79=0),"",V79/T79)</f>
        <v>0</v>
      </c>
      <c r="X79" s="23">
        <f>IF(B79="","",IF(COUNTIF(Performance!$B$5:$B$404,B79)=0,"",SUMIFS(Performance!$T$5:$T$404,Performance!$B$5:$B$404,B79)))</f>
        <v>0</v>
      </c>
      <c r="Y79" s="23">
        <f>IF(B79="","",IF(COUNTIF(Performance!$B$5:$B$404,B79)=0,"",SUMIFS(Performance!$S$5:$S$404,Performance!$B$5:$B$404,B79)))</f>
        <v>0</v>
      </c>
      <c r="Z79" s="23">
        <f>IF(B79="","",IF(COUNTIF(Performance!$B$5:$B$404,B79)=0,"",SUMIFS(Performance!$R$5:$R$404,Performance!$B$5:$B$404,B79)))</f>
        <v>0</v>
      </c>
      <c r="AA79" s="23">
        <f>IF(B79="","",IF(COUNTIF(Performance!$B$5:$B$404,B79)=0,"",SUMIFS(Performance!$U$5:$U$404,Performance!$B$5:$B$404,B79)))</f>
        <v>0</v>
      </c>
      <c r="AB79" s="29">
        <f>IF(B79="","",IF(C79="Not found","Check - content ID not on the calendar",IF(N79="","Add - no target keyword",IF(K79="","Add - no destination link",IF(AND(S79&lt;&gt;"",S79&lt;TODAY()),"Due - time to refresh this pin","OK")))))</f>
        <v>0</v>
      </c>
    </row>
    <row r="80" spans="1:28">
      <c r="A80" s="41">
        <f>IF(B80="","","PN-"&amp;TEXT(ROW()-4,"000"))</f>
        <v>0</v>
      </c>
      <c r="C80" s="17">
        <f>IF(B80="","",IFERROR(INDEX('Content Calendar'!$H$5:$H$604,MATCH(B80,'Content Calendar'!$A$5:$A$604,0)),"Not found"))</f>
        <v>0</v>
      </c>
      <c r="D80" s="16">
        <f>IF(B80="","",IFERROR(INDEX('Content Calendar'!$B$5:$B$604,MATCH(B80,'Content Calendar'!$A$5:$A$604,0)),"Not found"))</f>
        <v>0</v>
      </c>
      <c r="E80" s="17">
        <f>IF(B80="","",IFERROR(INDEX('Content Calendar'!$J$5:$J$604,MATCH(B80,'Content Calendar'!$A$5:$A$604,0)),"Not found"))</f>
        <v>0</v>
      </c>
      <c r="F80" s="29">
        <f>IF(B80="","",IFERROR(INDEX('Content Calendar'!$X$5:$X$604,MATCH(B80,'Content Calendar'!$A$5:$A$604,0)),"Not found"))</f>
        <v>0</v>
      </c>
      <c r="T80" s="23">
        <f>IF(B80="","",IF(COUNTIF(Performance!$B$5:$B$404,B80)=0,"",SUMIFS(Performance!$O$5:$O$404,Performance!$B$5:$B$404,B80)))</f>
        <v>0</v>
      </c>
      <c r="U80" s="23">
        <f>IF(B80="","",IF(COUNTIF(Performance!$B$5:$B$404,B80)=0,"",SUMIFS(Performance!$P$5:$P$404,Performance!$B$5:$B$404,B80)))</f>
        <v>0</v>
      </c>
      <c r="V80" s="23">
        <f>IF(B80="","",IF(COUNTIF(Performance!$B$5:$B$404,B80)=0,"",SUMIFS(Performance!$Z$5:$Z$404,Performance!$B$5:$B$404,B80)))</f>
        <v>0</v>
      </c>
      <c r="W80" s="24">
        <f>IF(OR(T80="",T80=0),"",V80/T80)</f>
        <v>0</v>
      </c>
      <c r="X80" s="23">
        <f>IF(B80="","",IF(COUNTIF(Performance!$B$5:$B$404,B80)=0,"",SUMIFS(Performance!$T$5:$T$404,Performance!$B$5:$B$404,B80)))</f>
        <v>0</v>
      </c>
      <c r="Y80" s="23">
        <f>IF(B80="","",IF(COUNTIF(Performance!$B$5:$B$404,B80)=0,"",SUMIFS(Performance!$S$5:$S$404,Performance!$B$5:$B$404,B80)))</f>
        <v>0</v>
      </c>
      <c r="Z80" s="23">
        <f>IF(B80="","",IF(COUNTIF(Performance!$B$5:$B$404,B80)=0,"",SUMIFS(Performance!$R$5:$R$404,Performance!$B$5:$B$404,B80)))</f>
        <v>0</v>
      </c>
      <c r="AA80" s="23">
        <f>IF(B80="","",IF(COUNTIF(Performance!$B$5:$B$404,B80)=0,"",SUMIFS(Performance!$U$5:$U$404,Performance!$B$5:$B$404,B80)))</f>
        <v>0</v>
      </c>
      <c r="AB80" s="29">
        <f>IF(B80="","",IF(C80="Not found","Check - content ID not on the calendar",IF(N80="","Add - no target keyword",IF(K80="","Add - no destination link",IF(AND(S80&lt;&gt;"",S80&lt;TODAY()),"Due - time to refresh this pin","OK")))))</f>
        <v>0</v>
      </c>
    </row>
    <row r="81" spans="1:28">
      <c r="A81" s="41">
        <f>IF(B81="","","PN-"&amp;TEXT(ROW()-4,"000"))</f>
        <v>0</v>
      </c>
      <c r="C81" s="17">
        <f>IF(B81="","",IFERROR(INDEX('Content Calendar'!$H$5:$H$604,MATCH(B81,'Content Calendar'!$A$5:$A$604,0)),"Not found"))</f>
        <v>0</v>
      </c>
      <c r="D81" s="16">
        <f>IF(B81="","",IFERROR(INDEX('Content Calendar'!$B$5:$B$604,MATCH(B81,'Content Calendar'!$A$5:$A$604,0)),"Not found"))</f>
        <v>0</v>
      </c>
      <c r="E81" s="17">
        <f>IF(B81="","",IFERROR(INDEX('Content Calendar'!$J$5:$J$604,MATCH(B81,'Content Calendar'!$A$5:$A$604,0)),"Not found"))</f>
        <v>0</v>
      </c>
      <c r="F81" s="29">
        <f>IF(B81="","",IFERROR(INDEX('Content Calendar'!$X$5:$X$604,MATCH(B81,'Content Calendar'!$A$5:$A$604,0)),"Not found"))</f>
        <v>0</v>
      </c>
      <c r="T81" s="23">
        <f>IF(B81="","",IF(COUNTIF(Performance!$B$5:$B$404,B81)=0,"",SUMIFS(Performance!$O$5:$O$404,Performance!$B$5:$B$404,B81)))</f>
        <v>0</v>
      </c>
      <c r="U81" s="23">
        <f>IF(B81="","",IF(COUNTIF(Performance!$B$5:$B$404,B81)=0,"",SUMIFS(Performance!$P$5:$P$404,Performance!$B$5:$B$404,B81)))</f>
        <v>0</v>
      </c>
      <c r="V81" s="23">
        <f>IF(B81="","",IF(COUNTIF(Performance!$B$5:$B$404,B81)=0,"",SUMIFS(Performance!$Z$5:$Z$404,Performance!$B$5:$B$404,B81)))</f>
        <v>0</v>
      </c>
      <c r="W81" s="24">
        <f>IF(OR(T81="",T81=0),"",V81/T81)</f>
        <v>0</v>
      </c>
      <c r="X81" s="23">
        <f>IF(B81="","",IF(COUNTIF(Performance!$B$5:$B$404,B81)=0,"",SUMIFS(Performance!$T$5:$T$404,Performance!$B$5:$B$404,B81)))</f>
        <v>0</v>
      </c>
      <c r="Y81" s="23">
        <f>IF(B81="","",IF(COUNTIF(Performance!$B$5:$B$404,B81)=0,"",SUMIFS(Performance!$S$5:$S$404,Performance!$B$5:$B$404,B81)))</f>
        <v>0</v>
      </c>
      <c r="Z81" s="23">
        <f>IF(B81="","",IF(COUNTIF(Performance!$B$5:$B$404,B81)=0,"",SUMIFS(Performance!$R$5:$R$404,Performance!$B$5:$B$404,B81)))</f>
        <v>0</v>
      </c>
      <c r="AA81" s="23">
        <f>IF(B81="","",IF(COUNTIF(Performance!$B$5:$B$404,B81)=0,"",SUMIFS(Performance!$U$5:$U$404,Performance!$B$5:$B$404,B81)))</f>
        <v>0</v>
      </c>
      <c r="AB81" s="29">
        <f>IF(B81="","",IF(C81="Not found","Check - content ID not on the calendar",IF(N81="","Add - no target keyword",IF(K81="","Add - no destination link",IF(AND(S81&lt;&gt;"",S81&lt;TODAY()),"Due - time to refresh this pin","OK")))))</f>
        <v>0</v>
      </c>
    </row>
    <row r="82" spans="1:28">
      <c r="A82" s="41">
        <f>IF(B82="","","PN-"&amp;TEXT(ROW()-4,"000"))</f>
        <v>0</v>
      </c>
      <c r="C82" s="17">
        <f>IF(B82="","",IFERROR(INDEX('Content Calendar'!$H$5:$H$604,MATCH(B82,'Content Calendar'!$A$5:$A$604,0)),"Not found"))</f>
        <v>0</v>
      </c>
      <c r="D82" s="16">
        <f>IF(B82="","",IFERROR(INDEX('Content Calendar'!$B$5:$B$604,MATCH(B82,'Content Calendar'!$A$5:$A$604,0)),"Not found"))</f>
        <v>0</v>
      </c>
      <c r="E82" s="17">
        <f>IF(B82="","",IFERROR(INDEX('Content Calendar'!$J$5:$J$604,MATCH(B82,'Content Calendar'!$A$5:$A$604,0)),"Not found"))</f>
        <v>0</v>
      </c>
      <c r="F82" s="29">
        <f>IF(B82="","",IFERROR(INDEX('Content Calendar'!$X$5:$X$604,MATCH(B82,'Content Calendar'!$A$5:$A$604,0)),"Not found"))</f>
        <v>0</v>
      </c>
      <c r="T82" s="23">
        <f>IF(B82="","",IF(COUNTIF(Performance!$B$5:$B$404,B82)=0,"",SUMIFS(Performance!$O$5:$O$404,Performance!$B$5:$B$404,B82)))</f>
        <v>0</v>
      </c>
      <c r="U82" s="23">
        <f>IF(B82="","",IF(COUNTIF(Performance!$B$5:$B$404,B82)=0,"",SUMIFS(Performance!$P$5:$P$404,Performance!$B$5:$B$404,B82)))</f>
        <v>0</v>
      </c>
      <c r="V82" s="23">
        <f>IF(B82="","",IF(COUNTIF(Performance!$B$5:$B$404,B82)=0,"",SUMIFS(Performance!$Z$5:$Z$404,Performance!$B$5:$B$404,B82)))</f>
        <v>0</v>
      </c>
      <c r="W82" s="24">
        <f>IF(OR(T82="",T82=0),"",V82/T82)</f>
        <v>0</v>
      </c>
      <c r="X82" s="23">
        <f>IF(B82="","",IF(COUNTIF(Performance!$B$5:$B$404,B82)=0,"",SUMIFS(Performance!$T$5:$T$404,Performance!$B$5:$B$404,B82)))</f>
        <v>0</v>
      </c>
      <c r="Y82" s="23">
        <f>IF(B82="","",IF(COUNTIF(Performance!$B$5:$B$404,B82)=0,"",SUMIFS(Performance!$S$5:$S$404,Performance!$B$5:$B$404,B82)))</f>
        <v>0</v>
      </c>
      <c r="Z82" s="23">
        <f>IF(B82="","",IF(COUNTIF(Performance!$B$5:$B$404,B82)=0,"",SUMIFS(Performance!$R$5:$R$404,Performance!$B$5:$B$404,B82)))</f>
        <v>0</v>
      </c>
      <c r="AA82" s="23">
        <f>IF(B82="","",IF(COUNTIF(Performance!$B$5:$B$404,B82)=0,"",SUMIFS(Performance!$U$5:$U$404,Performance!$B$5:$B$404,B82)))</f>
        <v>0</v>
      </c>
      <c r="AB82" s="29">
        <f>IF(B82="","",IF(C82="Not found","Check - content ID not on the calendar",IF(N82="","Add - no target keyword",IF(K82="","Add - no destination link",IF(AND(S82&lt;&gt;"",S82&lt;TODAY()),"Due - time to refresh this pin","OK")))))</f>
        <v>0</v>
      </c>
    </row>
    <row r="83" spans="1:28">
      <c r="A83" s="41">
        <f>IF(B83="","","PN-"&amp;TEXT(ROW()-4,"000"))</f>
        <v>0</v>
      </c>
      <c r="C83" s="17">
        <f>IF(B83="","",IFERROR(INDEX('Content Calendar'!$H$5:$H$604,MATCH(B83,'Content Calendar'!$A$5:$A$604,0)),"Not found"))</f>
        <v>0</v>
      </c>
      <c r="D83" s="16">
        <f>IF(B83="","",IFERROR(INDEX('Content Calendar'!$B$5:$B$604,MATCH(B83,'Content Calendar'!$A$5:$A$604,0)),"Not found"))</f>
        <v>0</v>
      </c>
      <c r="E83" s="17">
        <f>IF(B83="","",IFERROR(INDEX('Content Calendar'!$J$5:$J$604,MATCH(B83,'Content Calendar'!$A$5:$A$604,0)),"Not found"))</f>
        <v>0</v>
      </c>
      <c r="F83" s="29">
        <f>IF(B83="","",IFERROR(INDEX('Content Calendar'!$X$5:$X$604,MATCH(B83,'Content Calendar'!$A$5:$A$604,0)),"Not found"))</f>
        <v>0</v>
      </c>
      <c r="T83" s="23">
        <f>IF(B83="","",IF(COUNTIF(Performance!$B$5:$B$404,B83)=0,"",SUMIFS(Performance!$O$5:$O$404,Performance!$B$5:$B$404,B83)))</f>
        <v>0</v>
      </c>
      <c r="U83" s="23">
        <f>IF(B83="","",IF(COUNTIF(Performance!$B$5:$B$404,B83)=0,"",SUMIFS(Performance!$P$5:$P$404,Performance!$B$5:$B$404,B83)))</f>
        <v>0</v>
      </c>
      <c r="V83" s="23">
        <f>IF(B83="","",IF(COUNTIF(Performance!$B$5:$B$404,B83)=0,"",SUMIFS(Performance!$Z$5:$Z$404,Performance!$B$5:$B$404,B83)))</f>
        <v>0</v>
      </c>
      <c r="W83" s="24">
        <f>IF(OR(T83="",T83=0),"",V83/T83)</f>
        <v>0</v>
      </c>
      <c r="X83" s="23">
        <f>IF(B83="","",IF(COUNTIF(Performance!$B$5:$B$404,B83)=0,"",SUMIFS(Performance!$T$5:$T$404,Performance!$B$5:$B$404,B83)))</f>
        <v>0</v>
      </c>
      <c r="Y83" s="23">
        <f>IF(B83="","",IF(COUNTIF(Performance!$B$5:$B$404,B83)=0,"",SUMIFS(Performance!$S$5:$S$404,Performance!$B$5:$B$404,B83)))</f>
        <v>0</v>
      </c>
      <c r="Z83" s="23">
        <f>IF(B83="","",IF(COUNTIF(Performance!$B$5:$B$404,B83)=0,"",SUMIFS(Performance!$R$5:$R$404,Performance!$B$5:$B$404,B83)))</f>
        <v>0</v>
      </c>
      <c r="AA83" s="23">
        <f>IF(B83="","",IF(COUNTIF(Performance!$B$5:$B$404,B83)=0,"",SUMIFS(Performance!$U$5:$U$404,Performance!$B$5:$B$404,B83)))</f>
        <v>0</v>
      </c>
      <c r="AB83" s="29">
        <f>IF(B83="","",IF(C83="Not found","Check - content ID not on the calendar",IF(N83="","Add - no target keyword",IF(K83="","Add - no destination link",IF(AND(S83&lt;&gt;"",S83&lt;TODAY()),"Due - time to refresh this pin","OK")))))</f>
        <v>0</v>
      </c>
    </row>
    <row r="84" spans="1:28">
      <c r="A84" s="41">
        <f>IF(B84="","","PN-"&amp;TEXT(ROW()-4,"000"))</f>
        <v>0</v>
      </c>
      <c r="C84" s="17">
        <f>IF(B84="","",IFERROR(INDEX('Content Calendar'!$H$5:$H$604,MATCH(B84,'Content Calendar'!$A$5:$A$604,0)),"Not found"))</f>
        <v>0</v>
      </c>
      <c r="D84" s="16">
        <f>IF(B84="","",IFERROR(INDEX('Content Calendar'!$B$5:$B$604,MATCH(B84,'Content Calendar'!$A$5:$A$604,0)),"Not found"))</f>
        <v>0</v>
      </c>
      <c r="E84" s="17">
        <f>IF(B84="","",IFERROR(INDEX('Content Calendar'!$J$5:$J$604,MATCH(B84,'Content Calendar'!$A$5:$A$604,0)),"Not found"))</f>
        <v>0</v>
      </c>
      <c r="F84" s="29">
        <f>IF(B84="","",IFERROR(INDEX('Content Calendar'!$X$5:$X$604,MATCH(B84,'Content Calendar'!$A$5:$A$604,0)),"Not found"))</f>
        <v>0</v>
      </c>
      <c r="T84" s="23">
        <f>IF(B84="","",IF(COUNTIF(Performance!$B$5:$B$404,B84)=0,"",SUMIFS(Performance!$O$5:$O$404,Performance!$B$5:$B$404,B84)))</f>
        <v>0</v>
      </c>
      <c r="U84" s="23">
        <f>IF(B84="","",IF(COUNTIF(Performance!$B$5:$B$404,B84)=0,"",SUMIFS(Performance!$P$5:$P$404,Performance!$B$5:$B$404,B84)))</f>
        <v>0</v>
      </c>
      <c r="V84" s="23">
        <f>IF(B84="","",IF(COUNTIF(Performance!$B$5:$B$404,B84)=0,"",SUMIFS(Performance!$Z$5:$Z$404,Performance!$B$5:$B$404,B84)))</f>
        <v>0</v>
      </c>
      <c r="W84" s="24">
        <f>IF(OR(T84="",T84=0),"",V84/T84)</f>
        <v>0</v>
      </c>
      <c r="X84" s="23">
        <f>IF(B84="","",IF(COUNTIF(Performance!$B$5:$B$404,B84)=0,"",SUMIFS(Performance!$T$5:$T$404,Performance!$B$5:$B$404,B84)))</f>
        <v>0</v>
      </c>
      <c r="Y84" s="23">
        <f>IF(B84="","",IF(COUNTIF(Performance!$B$5:$B$404,B84)=0,"",SUMIFS(Performance!$S$5:$S$404,Performance!$B$5:$B$404,B84)))</f>
        <v>0</v>
      </c>
      <c r="Z84" s="23">
        <f>IF(B84="","",IF(COUNTIF(Performance!$B$5:$B$404,B84)=0,"",SUMIFS(Performance!$R$5:$R$404,Performance!$B$5:$B$404,B84)))</f>
        <v>0</v>
      </c>
      <c r="AA84" s="23">
        <f>IF(B84="","",IF(COUNTIF(Performance!$B$5:$B$404,B84)=0,"",SUMIFS(Performance!$U$5:$U$404,Performance!$B$5:$B$404,B84)))</f>
        <v>0</v>
      </c>
      <c r="AB84" s="29">
        <f>IF(B84="","",IF(C84="Not found","Check - content ID not on the calendar",IF(N84="","Add - no target keyword",IF(K84="","Add - no destination link",IF(AND(S84&lt;&gt;"",S84&lt;TODAY()),"Due - time to refresh this pin","OK")))))</f>
        <v>0</v>
      </c>
    </row>
    <row r="85" spans="1:28">
      <c r="A85" s="41">
        <f>IF(B85="","","PN-"&amp;TEXT(ROW()-4,"000"))</f>
        <v>0</v>
      </c>
      <c r="C85" s="17">
        <f>IF(B85="","",IFERROR(INDEX('Content Calendar'!$H$5:$H$604,MATCH(B85,'Content Calendar'!$A$5:$A$604,0)),"Not found"))</f>
        <v>0</v>
      </c>
      <c r="D85" s="16">
        <f>IF(B85="","",IFERROR(INDEX('Content Calendar'!$B$5:$B$604,MATCH(B85,'Content Calendar'!$A$5:$A$604,0)),"Not found"))</f>
        <v>0</v>
      </c>
      <c r="E85" s="17">
        <f>IF(B85="","",IFERROR(INDEX('Content Calendar'!$J$5:$J$604,MATCH(B85,'Content Calendar'!$A$5:$A$604,0)),"Not found"))</f>
        <v>0</v>
      </c>
      <c r="F85" s="29">
        <f>IF(B85="","",IFERROR(INDEX('Content Calendar'!$X$5:$X$604,MATCH(B85,'Content Calendar'!$A$5:$A$604,0)),"Not found"))</f>
        <v>0</v>
      </c>
      <c r="T85" s="23">
        <f>IF(B85="","",IF(COUNTIF(Performance!$B$5:$B$404,B85)=0,"",SUMIFS(Performance!$O$5:$O$404,Performance!$B$5:$B$404,B85)))</f>
        <v>0</v>
      </c>
      <c r="U85" s="23">
        <f>IF(B85="","",IF(COUNTIF(Performance!$B$5:$B$404,B85)=0,"",SUMIFS(Performance!$P$5:$P$404,Performance!$B$5:$B$404,B85)))</f>
        <v>0</v>
      </c>
      <c r="V85" s="23">
        <f>IF(B85="","",IF(COUNTIF(Performance!$B$5:$B$404,B85)=0,"",SUMIFS(Performance!$Z$5:$Z$404,Performance!$B$5:$B$404,B85)))</f>
        <v>0</v>
      </c>
      <c r="W85" s="24">
        <f>IF(OR(T85="",T85=0),"",V85/T85)</f>
        <v>0</v>
      </c>
      <c r="X85" s="23">
        <f>IF(B85="","",IF(COUNTIF(Performance!$B$5:$B$404,B85)=0,"",SUMIFS(Performance!$T$5:$T$404,Performance!$B$5:$B$404,B85)))</f>
        <v>0</v>
      </c>
      <c r="Y85" s="23">
        <f>IF(B85="","",IF(COUNTIF(Performance!$B$5:$B$404,B85)=0,"",SUMIFS(Performance!$S$5:$S$404,Performance!$B$5:$B$404,B85)))</f>
        <v>0</v>
      </c>
      <c r="Z85" s="23">
        <f>IF(B85="","",IF(COUNTIF(Performance!$B$5:$B$404,B85)=0,"",SUMIFS(Performance!$R$5:$R$404,Performance!$B$5:$B$404,B85)))</f>
        <v>0</v>
      </c>
      <c r="AA85" s="23">
        <f>IF(B85="","",IF(COUNTIF(Performance!$B$5:$B$404,B85)=0,"",SUMIFS(Performance!$U$5:$U$404,Performance!$B$5:$B$404,B85)))</f>
        <v>0</v>
      </c>
      <c r="AB85" s="29">
        <f>IF(B85="","",IF(C85="Not found","Check - content ID not on the calendar",IF(N85="","Add - no target keyword",IF(K85="","Add - no destination link",IF(AND(S85&lt;&gt;"",S85&lt;TODAY()),"Due - time to refresh this pin","OK")))))</f>
        <v>0</v>
      </c>
    </row>
    <row r="86" spans="1:28">
      <c r="A86" s="41">
        <f>IF(B86="","","PN-"&amp;TEXT(ROW()-4,"000"))</f>
        <v>0</v>
      </c>
      <c r="C86" s="17">
        <f>IF(B86="","",IFERROR(INDEX('Content Calendar'!$H$5:$H$604,MATCH(B86,'Content Calendar'!$A$5:$A$604,0)),"Not found"))</f>
        <v>0</v>
      </c>
      <c r="D86" s="16">
        <f>IF(B86="","",IFERROR(INDEX('Content Calendar'!$B$5:$B$604,MATCH(B86,'Content Calendar'!$A$5:$A$604,0)),"Not found"))</f>
        <v>0</v>
      </c>
      <c r="E86" s="17">
        <f>IF(B86="","",IFERROR(INDEX('Content Calendar'!$J$5:$J$604,MATCH(B86,'Content Calendar'!$A$5:$A$604,0)),"Not found"))</f>
        <v>0</v>
      </c>
      <c r="F86" s="29">
        <f>IF(B86="","",IFERROR(INDEX('Content Calendar'!$X$5:$X$604,MATCH(B86,'Content Calendar'!$A$5:$A$604,0)),"Not found"))</f>
        <v>0</v>
      </c>
      <c r="T86" s="23">
        <f>IF(B86="","",IF(COUNTIF(Performance!$B$5:$B$404,B86)=0,"",SUMIFS(Performance!$O$5:$O$404,Performance!$B$5:$B$404,B86)))</f>
        <v>0</v>
      </c>
      <c r="U86" s="23">
        <f>IF(B86="","",IF(COUNTIF(Performance!$B$5:$B$404,B86)=0,"",SUMIFS(Performance!$P$5:$P$404,Performance!$B$5:$B$404,B86)))</f>
        <v>0</v>
      </c>
      <c r="V86" s="23">
        <f>IF(B86="","",IF(COUNTIF(Performance!$B$5:$B$404,B86)=0,"",SUMIFS(Performance!$Z$5:$Z$404,Performance!$B$5:$B$404,B86)))</f>
        <v>0</v>
      </c>
      <c r="W86" s="24">
        <f>IF(OR(T86="",T86=0),"",V86/T86)</f>
        <v>0</v>
      </c>
      <c r="X86" s="23">
        <f>IF(B86="","",IF(COUNTIF(Performance!$B$5:$B$404,B86)=0,"",SUMIFS(Performance!$T$5:$T$404,Performance!$B$5:$B$404,B86)))</f>
        <v>0</v>
      </c>
      <c r="Y86" s="23">
        <f>IF(B86="","",IF(COUNTIF(Performance!$B$5:$B$404,B86)=0,"",SUMIFS(Performance!$S$5:$S$404,Performance!$B$5:$B$404,B86)))</f>
        <v>0</v>
      </c>
      <c r="Z86" s="23">
        <f>IF(B86="","",IF(COUNTIF(Performance!$B$5:$B$404,B86)=0,"",SUMIFS(Performance!$R$5:$R$404,Performance!$B$5:$B$404,B86)))</f>
        <v>0</v>
      </c>
      <c r="AA86" s="23">
        <f>IF(B86="","",IF(COUNTIF(Performance!$B$5:$B$404,B86)=0,"",SUMIFS(Performance!$U$5:$U$404,Performance!$B$5:$B$404,B86)))</f>
        <v>0</v>
      </c>
      <c r="AB86" s="29">
        <f>IF(B86="","",IF(C86="Not found","Check - content ID not on the calendar",IF(N86="","Add - no target keyword",IF(K86="","Add - no destination link",IF(AND(S86&lt;&gt;"",S86&lt;TODAY()),"Due - time to refresh this pin","OK")))))</f>
        <v>0</v>
      </c>
    </row>
    <row r="87" spans="1:28">
      <c r="A87" s="41">
        <f>IF(B87="","","PN-"&amp;TEXT(ROW()-4,"000"))</f>
        <v>0</v>
      </c>
      <c r="C87" s="17">
        <f>IF(B87="","",IFERROR(INDEX('Content Calendar'!$H$5:$H$604,MATCH(B87,'Content Calendar'!$A$5:$A$604,0)),"Not found"))</f>
        <v>0</v>
      </c>
      <c r="D87" s="16">
        <f>IF(B87="","",IFERROR(INDEX('Content Calendar'!$B$5:$B$604,MATCH(B87,'Content Calendar'!$A$5:$A$604,0)),"Not found"))</f>
        <v>0</v>
      </c>
      <c r="E87" s="17">
        <f>IF(B87="","",IFERROR(INDEX('Content Calendar'!$J$5:$J$604,MATCH(B87,'Content Calendar'!$A$5:$A$604,0)),"Not found"))</f>
        <v>0</v>
      </c>
      <c r="F87" s="29">
        <f>IF(B87="","",IFERROR(INDEX('Content Calendar'!$X$5:$X$604,MATCH(B87,'Content Calendar'!$A$5:$A$604,0)),"Not found"))</f>
        <v>0</v>
      </c>
      <c r="T87" s="23">
        <f>IF(B87="","",IF(COUNTIF(Performance!$B$5:$B$404,B87)=0,"",SUMIFS(Performance!$O$5:$O$404,Performance!$B$5:$B$404,B87)))</f>
        <v>0</v>
      </c>
      <c r="U87" s="23">
        <f>IF(B87="","",IF(COUNTIF(Performance!$B$5:$B$404,B87)=0,"",SUMIFS(Performance!$P$5:$P$404,Performance!$B$5:$B$404,B87)))</f>
        <v>0</v>
      </c>
      <c r="V87" s="23">
        <f>IF(B87="","",IF(COUNTIF(Performance!$B$5:$B$404,B87)=0,"",SUMIFS(Performance!$Z$5:$Z$404,Performance!$B$5:$B$404,B87)))</f>
        <v>0</v>
      </c>
      <c r="W87" s="24">
        <f>IF(OR(T87="",T87=0),"",V87/T87)</f>
        <v>0</v>
      </c>
      <c r="X87" s="23">
        <f>IF(B87="","",IF(COUNTIF(Performance!$B$5:$B$404,B87)=0,"",SUMIFS(Performance!$T$5:$T$404,Performance!$B$5:$B$404,B87)))</f>
        <v>0</v>
      </c>
      <c r="Y87" s="23">
        <f>IF(B87="","",IF(COUNTIF(Performance!$B$5:$B$404,B87)=0,"",SUMIFS(Performance!$S$5:$S$404,Performance!$B$5:$B$404,B87)))</f>
        <v>0</v>
      </c>
      <c r="Z87" s="23">
        <f>IF(B87="","",IF(COUNTIF(Performance!$B$5:$B$404,B87)=0,"",SUMIFS(Performance!$R$5:$R$404,Performance!$B$5:$B$404,B87)))</f>
        <v>0</v>
      </c>
      <c r="AA87" s="23">
        <f>IF(B87="","",IF(COUNTIF(Performance!$B$5:$B$404,B87)=0,"",SUMIFS(Performance!$U$5:$U$404,Performance!$B$5:$B$404,B87)))</f>
        <v>0</v>
      </c>
      <c r="AB87" s="29">
        <f>IF(B87="","",IF(C87="Not found","Check - content ID not on the calendar",IF(N87="","Add - no target keyword",IF(K87="","Add - no destination link",IF(AND(S87&lt;&gt;"",S87&lt;TODAY()),"Due - time to refresh this pin","OK")))))</f>
        <v>0</v>
      </c>
    </row>
    <row r="88" spans="1:28">
      <c r="A88" s="41">
        <f>IF(B88="","","PN-"&amp;TEXT(ROW()-4,"000"))</f>
        <v>0</v>
      </c>
      <c r="C88" s="17">
        <f>IF(B88="","",IFERROR(INDEX('Content Calendar'!$H$5:$H$604,MATCH(B88,'Content Calendar'!$A$5:$A$604,0)),"Not found"))</f>
        <v>0</v>
      </c>
      <c r="D88" s="16">
        <f>IF(B88="","",IFERROR(INDEX('Content Calendar'!$B$5:$B$604,MATCH(B88,'Content Calendar'!$A$5:$A$604,0)),"Not found"))</f>
        <v>0</v>
      </c>
      <c r="E88" s="17">
        <f>IF(B88="","",IFERROR(INDEX('Content Calendar'!$J$5:$J$604,MATCH(B88,'Content Calendar'!$A$5:$A$604,0)),"Not found"))</f>
        <v>0</v>
      </c>
      <c r="F88" s="29">
        <f>IF(B88="","",IFERROR(INDEX('Content Calendar'!$X$5:$X$604,MATCH(B88,'Content Calendar'!$A$5:$A$604,0)),"Not found"))</f>
        <v>0</v>
      </c>
      <c r="T88" s="23">
        <f>IF(B88="","",IF(COUNTIF(Performance!$B$5:$B$404,B88)=0,"",SUMIFS(Performance!$O$5:$O$404,Performance!$B$5:$B$404,B88)))</f>
        <v>0</v>
      </c>
      <c r="U88" s="23">
        <f>IF(B88="","",IF(COUNTIF(Performance!$B$5:$B$404,B88)=0,"",SUMIFS(Performance!$P$5:$P$404,Performance!$B$5:$B$404,B88)))</f>
        <v>0</v>
      </c>
      <c r="V88" s="23">
        <f>IF(B88="","",IF(COUNTIF(Performance!$B$5:$B$404,B88)=0,"",SUMIFS(Performance!$Z$5:$Z$404,Performance!$B$5:$B$404,B88)))</f>
        <v>0</v>
      </c>
      <c r="W88" s="24">
        <f>IF(OR(T88="",T88=0),"",V88/T88)</f>
        <v>0</v>
      </c>
      <c r="X88" s="23">
        <f>IF(B88="","",IF(COUNTIF(Performance!$B$5:$B$404,B88)=0,"",SUMIFS(Performance!$T$5:$T$404,Performance!$B$5:$B$404,B88)))</f>
        <v>0</v>
      </c>
      <c r="Y88" s="23">
        <f>IF(B88="","",IF(COUNTIF(Performance!$B$5:$B$404,B88)=0,"",SUMIFS(Performance!$S$5:$S$404,Performance!$B$5:$B$404,B88)))</f>
        <v>0</v>
      </c>
      <c r="Z88" s="23">
        <f>IF(B88="","",IF(COUNTIF(Performance!$B$5:$B$404,B88)=0,"",SUMIFS(Performance!$R$5:$R$404,Performance!$B$5:$B$404,B88)))</f>
        <v>0</v>
      </c>
      <c r="AA88" s="23">
        <f>IF(B88="","",IF(COUNTIF(Performance!$B$5:$B$404,B88)=0,"",SUMIFS(Performance!$U$5:$U$404,Performance!$B$5:$B$404,B88)))</f>
        <v>0</v>
      </c>
      <c r="AB88" s="29">
        <f>IF(B88="","",IF(C88="Not found","Check - content ID not on the calendar",IF(N88="","Add - no target keyword",IF(K88="","Add - no destination link",IF(AND(S88&lt;&gt;"",S88&lt;TODAY()),"Due - time to refresh this pin","OK")))))</f>
        <v>0</v>
      </c>
    </row>
    <row r="89" spans="1:28">
      <c r="A89" s="41">
        <f>IF(B89="","","PN-"&amp;TEXT(ROW()-4,"000"))</f>
        <v>0</v>
      </c>
      <c r="C89" s="17">
        <f>IF(B89="","",IFERROR(INDEX('Content Calendar'!$H$5:$H$604,MATCH(B89,'Content Calendar'!$A$5:$A$604,0)),"Not found"))</f>
        <v>0</v>
      </c>
      <c r="D89" s="16">
        <f>IF(B89="","",IFERROR(INDEX('Content Calendar'!$B$5:$B$604,MATCH(B89,'Content Calendar'!$A$5:$A$604,0)),"Not found"))</f>
        <v>0</v>
      </c>
      <c r="E89" s="17">
        <f>IF(B89="","",IFERROR(INDEX('Content Calendar'!$J$5:$J$604,MATCH(B89,'Content Calendar'!$A$5:$A$604,0)),"Not found"))</f>
        <v>0</v>
      </c>
      <c r="F89" s="29">
        <f>IF(B89="","",IFERROR(INDEX('Content Calendar'!$X$5:$X$604,MATCH(B89,'Content Calendar'!$A$5:$A$604,0)),"Not found"))</f>
        <v>0</v>
      </c>
      <c r="T89" s="23">
        <f>IF(B89="","",IF(COUNTIF(Performance!$B$5:$B$404,B89)=0,"",SUMIFS(Performance!$O$5:$O$404,Performance!$B$5:$B$404,B89)))</f>
        <v>0</v>
      </c>
      <c r="U89" s="23">
        <f>IF(B89="","",IF(COUNTIF(Performance!$B$5:$B$404,B89)=0,"",SUMIFS(Performance!$P$5:$P$404,Performance!$B$5:$B$404,B89)))</f>
        <v>0</v>
      </c>
      <c r="V89" s="23">
        <f>IF(B89="","",IF(COUNTIF(Performance!$B$5:$B$404,B89)=0,"",SUMIFS(Performance!$Z$5:$Z$404,Performance!$B$5:$B$404,B89)))</f>
        <v>0</v>
      </c>
      <c r="W89" s="24">
        <f>IF(OR(T89="",T89=0),"",V89/T89)</f>
        <v>0</v>
      </c>
      <c r="X89" s="23">
        <f>IF(B89="","",IF(COUNTIF(Performance!$B$5:$B$404,B89)=0,"",SUMIFS(Performance!$T$5:$T$404,Performance!$B$5:$B$404,B89)))</f>
        <v>0</v>
      </c>
      <c r="Y89" s="23">
        <f>IF(B89="","",IF(COUNTIF(Performance!$B$5:$B$404,B89)=0,"",SUMIFS(Performance!$S$5:$S$404,Performance!$B$5:$B$404,B89)))</f>
        <v>0</v>
      </c>
      <c r="Z89" s="23">
        <f>IF(B89="","",IF(COUNTIF(Performance!$B$5:$B$404,B89)=0,"",SUMIFS(Performance!$R$5:$R$404,Performance!$B$5:$B$404,B89)))</f>
        <v>0</v>
      </c>
      <c r="AA89" s="23">
        <f>IF(B89="","",IF(COUNTIF(Performance!$B$5:$B$404,B89)=0,"",SUMIFS(Performance!$U$5:$U$404,Performance!$B$5:$B$404,B89)))</f>
        <v>0</v>
      </c>
      <c r="AB89" s="29">
        <f>IF(B89="","",IF(C89="Not found","Check - content ID not on the calendar",IF(N89="","Add - no target keyword",IF(K89="","Add - no destination link",IF(AND(S89&lt;&gt;"",S89&lt;TODAY()),"Due - time to refresh this pin","OK")))))</f>
        <v>0</v>
      </c>
    </row>
    <row r="90" spans="1:28">
      <c r="A90" s="41">
        <f>IF(B90="","","PN-"&amp;TEXT(ROW()-4,"000"))</f>
        <v>0</v>
      </c>
      <c r="C90" s="17">
        <f>IF(B90="","",IFERROR(INDEX('Content Calendar'!$H$5:$H$604,MATCH(B90,'Content Calendar'!$A$5:$A$604,0)),"Not found"))</f>
        <v>0</v>
      </c>
      <c r="D90" s="16">
        <f>IF(B90="","",IFERROR(INDEX('Content Calendar'!$B$5:$B$604,MATCH(B90,'Content Calendar'!$A$5:$A$604,0)),"Not found"))</f>
        <v>0</v>
      </c>
      <c r="E90" s="17">
        <f>IF(B90="","",IFERROR(INDEX('Content Calendar'!$J$5:$J$604,MATCH(B90,'Content Calendar'!$A$5:$A$604,0)),"Not found"))</f>
        <v>0</v>
      </c>
      <c r="F90" s="29">
        <f>IF(B90="","",IFERROR(INDEX('Content Calendar'!$X$5:$X$604,MATCH(B90,'Content Calendar'!$A$5:$A$604,0)),"Not found"))</f>
        <v>0</v>
      </c>
      <c r="T90" s="23">
        <f>IF(B90="","",IF(COUNTIF(Performance!$B$5:$B$404,B90)=0,"",SUMIFS(Performance!$O$5:$O$404,Performance!$B$5:$B$404,B90)))</f>
        <v>0</v>
      </c>
      <c r="U90" s="23">
        <f>IF(B90="","",IF(COUNTIF(Performance!$B$5:$B$404,B90)=0,"",SUMIFS(Performance!$P$5:$P$404,Performance!$B$5:$B$404,B90)))</f>
        <v>0</v>
      </c>
      <c r="V90" s="23">
        <f>IF(B90="","",IF(COUNTIF(Performance!$B$5:$B$404,B90)=0,"",SUMIFS(Performance!$Z$5:$Z$404,Performance!$B$5:$B$404,B90)))</f>
        <v>0</v>
      </c>
      <c r="W90" s="24">
        <f>IF(OR(T90="",T90=0),"",V90/T90)</f>
        <v>0</v>
      </c>
      <c r="X90" s="23">
        <f>IF(B90="","",IF(COUNTIF(Performance!$B$5:$B$404,B90)=0,"",SUMIFS(Performance!$T$5:$T$404,Performance!$B$5:$B$404,B90)))</f>
        <v>0</v>
      </c>
      <c r="Y90" s="23">
        <f>IF(B90="","",IF(COUNTIF(Performance!$B$5:$B$404,B90)=0,"",SUMIFS(Performance!$S$5:$S$404,Performance!$B$5:$B$404,B90)))</f>
        <v>0</v>
      </c>
      <c r="Z90" s="23">
        <f>IF(B90="","",IF(COUNTIF(Performance!$B$5:$B$404,B90)=0,"",SUMIFS(Performance!$R$5:$R$404,Performance!$B$5:$B$404,B90)))</f>
        <v>0</v>
      </c>
      <c r="AA90" s="23">
        <f>IF(B90="","",IF(COUNTIF(Performance!$B$5:$B$404,B90)=0,"",SUMIFS(Performance!$U$5:$U$404,Performance!$B$5:$B$404,B90)))</f>
        <v>0</v>
      </c>
      <c r="AB90" s="29">
        <f>IF(B90="","",IF(C90="Not found","Check - content ID not on the calendar",IF(N90="","Add - no target keyword",IF(K90="","Add - no destination link",IF(AND(S90&lt;&gt;"",S90&lt;TODAY()),"Due - time to refresh this pin","OK")))))</f>
        <v>0</v>
      </c>
    </row>
    <row r="91" spans="1:28">
      <c r="A91" s="41">
        <f>IF(B91="","","PN-"&amp;TEXT(ROW()-4,"000"))</f>
        <v>0</v>
      </c>
      <c r="C91" s="17">
        <f>IF(B91="","",IFERROR(INDEX('Content Calendar'!$H$5:$H$604,MATCH(B91,'Content Calendar'!$A$5:$A$604,0)),"Not found"))</f>
        <v>0</v>
      </c>
      <c r="D91" s="16">
        <f>IF(B91="","",IFERROR(INDEX('Content Calendar'!$B$5:$B$604,MATCH(B91,'Content Calendar'!$A$5:$A$604,0)),"Not found"))</f>
        <v>0</v>
      </c>
      <c r="E91" s="17">
        <f>IF(B91="","",IFERROR(INDEX('Content Calendar'!$J$5:$J$604,MATCH(B91,'Content Calendar'!$A$5:$A$604,0)),"Not found"))</f>
        <v>0</v>
      </c>
      <c r="F91" s="29">
        <f>IF(B91="","",IFERROR(INDEX('Content Calendar'!$X$5:$X$604,MATCH(B91,'Content Calendar'!$A$5:$A$604,0)),"Not found"))</f>
        <v>0</v>
      </c>
      <c r="T91" s="23">
        <f>IF(B91="","",IF(COUNTIF(Performance!$B$5:$B$404,B91)=0,"",SUMIFS(Performance!$O$5:$O$404,Performance!$B$5:$B$404,B91)))</f>
        <v>0</v>
      </c>
      <c r="U91" s="23">
        <f>IF(B91="","",IF(COUNTIF(Performance!$B$5:$B$404,B91)=0,"",SUMIFS(Performance!$P$5:$P$404,Performance!$B$5:$B$404,B91)))</f>
        <v>0</v>
      </c>
      <c r="V91" s="23">
        <f>IF(B91="","",IF(COUNTIF(Performance!$B$5:$B$404,B91)=0,"",SUMIFS(Performance!$Z$5:$Z$404,Performance!$B$5:$B$404,B91)))</f>
        <v>0</v>
      </c>
      <c r="W91" s="24">
        <f>IF(OR(T91="",T91=0),"",V91/T91)</f>
        <v>0</v>
      </c>
      <c r="X91" s="23">
        <f>IF(B91="","",IF(COUNTIF(Performance!$B$5:$B$404,B91)=0,"",SUMIFS(Performance!$T$5:$T$404,Performance!$B$5:$B$404,B91)))</f>
        <v>0</v>
      </c>
      <c r="Y91" s="23">
        <f>IF(B91="","",IF(COUNTIF(Performance!$B$5:$B$404,B91)=0,"",SUMIFS(Performance!$S$5:$S$404,Performance!$B$5:$B$404,B91)))</f>
        <v>0</v>
      </c>
      <c r="Z91" s="23">
        <f>IF(B91="","",IF(COUNTIF(Performance!$B$5:$B$404,B91)=0,"",SUMIFS(Performance!$R$5:$R$404,Performance!$B$5:$B$404,B91)))</f>
        <v>0</v>
      </c>
      <c r="AA91" s="23">
        <f>IF(B91="","",IF(COUNTIF(Performance!$B$5:$B$404,B91)=0,"",SUMIFS(Performance!$U$5:$U$404,Performance!$B$5:$B$404,B91)))</f>
        <v>0</v>
      </c>
      <c r="AB91" s="29">
        <f>IF(B91="","",IF(C91="Not found","Check - content ID not on the calendar",IF(N91="","Add - no target keyword",IF(K91="","Add - no destination link",IF(AND(S91&lt;&gt;"",S91&lt;TODAY()),"Due - time to refresh this pin","OK")))))</f>
        <v>0</v>
      </c>
    </row>
    <row r="92" spans="1:28">
      <c r="A92" s="41">
        <f>IF(B92="","","PN-"&amp;TEXT(ROW()-4,"000"))</f>
        <v>0</v>
      </c>
      <c r="C92" s="17">
        <f>IF(B92="","",IFERROR(INDEX('Content Calendar'!$H$5:$H$604,MATCH(B92,'Content Calendar'!$A$5:$A$604,0)),"Not found"))</f>
        <v>0</v>
      </c>
      <c r="D92" s="16">
        <f>IF(B92="","",IFERROR(INDEX('Content Calendar'!$B$5:$B$604,MATCH(B92,'Content Calendar'!$A$5:$A$604,0)),"Not found"))</f>
        <v>0</v>
      </c>
      <c r="E92" s="17">
        <f>IF(B92="","",IFERROR(INDEX('Content Calendar'!$J$5:$J$604,MATCH(B92,'Content Calendar'!$A$5:$A$604,0)),"Not found"))</f>
        <v>0</v>
      </c>
      <c r="F92" s="29">
        <f>IF(B92="","",IFERROR(INDEX('Content Calendar'!$X$5:$X$604,MATCH(B92,'Content Calendar'!$A$5:$A$604,0)),"Not found"))</f>
        <v>0</v>
      </c>
      <c r="T92" s="23">
        <f>IF(B92="","",IF(COUNTIF(Performance!$B$5:$B$404,B92)=0,"",SUMIFS(Performance!$O$5:$O$404,Performance!$B$5:$B$404,B92)))</f>
        <v>0</v>
      </c>
      <c r="U92" s="23">
        <f>IF(B92="","",IF(COUNTIF(Performance!$B$5:$B$404,B92)=0,"",SUMIFS(Performance!$P$5:$P$404,Performance!$B$5:$B$404,B92)))</f>
        <v>0</v>
      </c>
      <c r="V92" s="23">
        <f>IF(B92="","",IF(COUNTIF(Performance!$B$5:$B$404,B92)=0,"",SUMIFS(Performance!$Z$5:$Z$404,Performance!$B$5:$B$404,B92)))</f>
        <v>0</v>
      </c>
      <c r="W92" s="24">
        <f>IF(OR(T92="",T92=0),"",V92/T92)</f>
        <v>0</v>
      </c>
      <c r="X92" s="23">
        <f>IF(B92="","",IF(COUNTIF(Performance!$B$5:$B$404,B92)=0,"",SUMIFS(Performance!$T$5:$T$404,Performance!$B$5:$B$404,B92)))</f>
        <v>0</v>
      </c>
      <c r="Y92" s="23">
        <f>IF(B92="","",IF(COUNTIF(Performance!$B$5:$B$404,B92)=0,"",SUMIFS(Performance!$S$5:$S$404,Performance!$B$5:$B$404,B92)))</f>
        <v>0</v>
      </c>
      <c r="Z92" s="23">
        <f>IF(B92="","",IF(COUNTIF(Performance!$B$5:$B$404,B92)=0,"",SUMIFS(Performance!$R$5:$R$404,Performance!$B$5:$B$404,B92)))</f>
        <v>0</v>
      </c>
      <c r="AA92" s="23">
        <f>IF(B92="","",IF(COUNTIF(Performance!$B$5:$B$404,B92)=0,"",SUMIFS(Performance!$U$5:$U$404,Performance!$B$5:$B$404,B92)))</f>
        <v>0</v>
      </c>
      <c r="AB92" s="29">
        <f>IF(B92="","",IF(C92="Not found","Check - content ID not on the calendar",IF(N92="","Add - no target keyword",IF(K92="","Add - no destination link",IF(AND(S92&lt;&gt;"",S92&lt;TODAY()),"Due - time to refresh this pin","OK")))))</f>
        <v>0</v>
      </c>
    </row>
    <row r="93" spans="1:28">
      <c r="A93" s="41">
        <f>IF(B93="","","PN-"&amp;TEXT(ROW()-4,"000"))</f>
        <v>0</v>
      </c>
      <c r="C93" s="17">
        <f>IF(B93="","",IFERROR(INDEX('Content Calendar'!$H$5:$H$604,MATCH(B93,'Content Calendar'!$A$5:$A$604,0)),"Not found"))</f>
        <v>0</v>
      </c>
      <c r="D93" s="16">
        <f>IF(B93="","",IFERROR(INDEX('Content Calendar'!$B$5:$B$604,MATCH(B93,'Content Calendar'!$A$5:$A$604,0)),"Not found"))</f>
        <v>0</v>
      </c>
      <c r="E93" s="17">
        <f>IF(B93="","",IFERROR(INDEX('Content Calendar'!$J$5:$J$604,MATCH(B93,'Content Calendar'!$A$5:$A$604,0)),"Not found"))</f>
        <v>0</v>
      </c>
      <c r="F93" s="29">
        <f>IF(B93="","",IFERROR(INDEX('Content Calendar'!$X$5:$X$604,MATCH(B93,'Content Calendar'!$A$5:$A$604,0)),"Not found"))</f>
        <v>0</v>
      </c>
      <c r="T93" s="23">
        <f>IF(B93="","",IF(COUNTIF(Performance!$B$5:$B$404,B93)=0,"",SUMIFS(Performance!$O$5:$O$404,Performance!$B$5:$B$404,B93)))</f>
        <v>0</v>
      </c>
      <c r="U93" s="23">
        <f>IF(B93="","",IF(COUNTIF(Performance!$B$5:$B$404,B93)=0,"",SUMIFS(Performance!$P$5:$P$404,Performance!$B$5:$B$404,B93)))</f>
        <v>0</v>
      </c>
      <c r="V93" s="23">
        <f>IF(B93="","",IF(COUNTIF(Performance!$B$5:$B$404,B93)=0,"",SUMIFS(Performance!$Z$5:$Z$404,Performance!$B$5:$B$404,B93)))</f>
        <v>0</v>
      </c>
      <c r="W93" s="24">
        <f>IF(OR(T93="",T93=0),"",V93/T93)</f>
        <v>0</v>
      </c>
      <c r="X93" s="23">
        <f>IF(B93="","",IF(COUNTIF(Performance!$B$5:$B$404,B93)=0,"",SUMIFS(Performance!$T$5:$T$404,Performance!$B$5:$B$404,B93)))</f>
        <v>0</v>
      </c>
      <c r="Y93" s="23">
        <f>IF(B93="","",IF(COUNTIF(Performance!$B$5:$B$404,B93)=0,"",SUMIFS(Performance!$S$5:$S$404,Performance!$B$5:$B$404,B93)))</f>
        <v>0</v>
      </c>
      <c r="Z93" s="23">
        <f>IF(B93="","",IF(COUNTIF(Performance!$B$5:$B$404,B93)=0,"",SUMIFS(Performance!$R$5:$R$404,Performance!$B$5:$B$404,B93)))</f>
        <v>0</v>
      </c>
      <c r="AA93" s="23">
        <f>IF(B93="","",IF(COUNTIF(Performance!$B$5:$B$404,B93)=0,"",SUMIFS(Performance!$U$5:$U$404,Performance!$B$5:$B$404,B93)))</f>
        <v>0</v>
      </c>
      <c r="AB93" s="29">
        <f>IF(B93="","",IF(C93="Not found","Check - content ID not on the calendar",IF(N93="","Add - no target keyword",IF(K93="","Add - no destination link",IF(AND(S93&lt;&gt;"",S93&lt;TODAY()),"Due - time to refresh this pin","OK")))))</f>
        <v>0</v>
      </c>
    </row>
    <row r="94" spans="1:28">
      <c r="A94" s="41">
        <f>IF(B94="","","PN-"&amp;TEXT(ROW()-4,"000"))</f>
        <v>0</v>
      </c>
      <c r="C94" s="17">
        <f>IF(B94="","",IFERROR(INDEX('Content Calendar'!$H$5:$H$604,MATCH(B94,'Content Calendar'!$A$5:$A$604,0)),"Not found"))</f>
        <v>0</v>
      </c>
      <c r="D94" s="16">
        <f>IF(B94="","",IFERROR(INDEX('Content Calendar'!$B$5:$B$604,MATCH(B94,'Content Calendar'!$A$5:$A$604,0)),"Not found"))</f>
        <v>0</v>
      </c>
      <c r="E94" s="17">
        <f>IF(B94="","",IFERROR(INDEX('Content Calendar'!$J$5:$J$604,MATCH(B94,'Content Calendar'!$A$5:$A$604,0)),"Not found"))</f>
        <v>0</v>
      </c>
      <c r="F94" s="29">
        <f>IF(B94="","",IFERROR(INDEX('Content Calendar'!$X$5:$X$604,MATCH(B94,'Content Calendar'!$A$5:$A$604,0)),"Not found"))</f>
        <v>0</v>
      </c>
      <c r="T94" s="23">
        <f>IF(B94="","",IF(COUNTIF(Performance!$B$5:$B$404,B94)=0,"",SUMIFS(Performance!$O$5:$O$404,Performance!$B$5:$B$404,B94)))</f>
        <v>0</v>
      </c>
      <c r="U94" s="23">
        <f>IF(B94="","",IF(COUNTIF(Performance!$B$5:$B$404,B94)=0,"",SUMIFS(Performance!$P$5:$P$404,Performance!$B$5:$B$404,B94)))</f>
        <v>0</v>
      </c>
      <c r="V94" s="23">
        <f>IF(B94="","",IF(COUNTIF(Performance!$B$5:$B$404,B94)=0,"",SUMIFS(Performance!$Z$5:$Z$404,Performance!$B$5:$B$404,B94)))</f>
        <v>0</v>
      </c>
      <c r="W94" s="24">
        <f>IF(OR(T94="",T94=0),"",V94/T94)</f>
        <v>0</v>
      </c>
      <c r="X94" s="23">
        <f>IF(B94="","",IF(COUNTIF(Performance!$B$5:$B$404,B94)=0,"",SUMIFS(Performance!$T$5:$T$404,Performance!$B$5:$B$404,B94)))</f>
        <v>0</v>
      </c>
      <c r="Y94" s="23">
        <f>IF(B94="","",IF(COUNTIF(Performance!$B$5:$B$404,B94)=0,"",SUMIFS(Performance!$S$5:$S$404,Performance!$B$5:$B$404,B94)))</f>
        <v>0</v>
      </c>
      <c r="Z94" s="23">
        <f>IF(B94="","",IF(COUNTIF(Performance!$B$5:$B$404,B94)=0,"",SUMIFS(Performance!$R$5:$R$404,Performance!$B$5:$B$404,B94)))</f>
        <v>0</v>
      </c>
      <c r="AA94" s="23">
        <f>IF(B94="","",IF(COUNTIF(Performance!$B$5:$B$404,B94)=0,"",SUMIFS(Performance!$U$5:$U$404,Performance!$B$5:$B$404,B94)))</f>
        <v>0</v>
      </c>
      <c r="AB94" s="29">
        <f>IF(B94="","",IF(C94="Not found","Check - content ID not on the calendar",IF(N94="","Add - no target keyword",IF(K94="","Add - no destination link",IF(AND(S94&lt;&gt;"",S94&lt;TODAY()),"Due - time to refresh this pin","OK")))))</f>
        <v>0</v>
      </c>
    </row>
    <row r="95" spans="1:28">
      <c r="A95" s="41">
        <f>IF(B95="","","PN-"&amp;TEXT(ROW()-4,"000"))</f>
        <v>0</v>
      </c>
      <c r="C95" s="17">
        <f>IF(B95="","",IFERROR(INDEX('Content Calendar'!$H$5:$H$604,MATCH(B95,'Content Calendar'!$A$5:$A$604,0)),"Not found"))</f>
        <v>0</v>
      </c>
      <c r="D95" s="16">
        <f>IF(B95="","",IFERROR(INDEX('Content Calendar'!$B$5:$B$604,MATCH(B95,'Content Calendar'!$A$5:$A$604,0)),"Not found"))</f>
        <v>0</v>
      </c>
      <c r="E95" s="17">
        <f>IF(B95="","",IFERROR(INDEX('Content Calendar'!$J$5:$J$604,MATCH(B95,'Content Calendar'!$A$5:$A$604,0)),"Not found"))</f>
        <v>0</v>
      </c>
      <c r="F95" s="29">
        <f>IF(B95="","",IFERROR(INDEX('Content Calendar'!$X$5:$X$604,MATCH(B95,'Content Calendar'!$A$5:$A$604,0)),"Not found"))</f>
        <v>0</v>
      </c>
      <c r="T95" s="23">
        <f>IF(B95="","",IF(COUNTIF(Performance!$B$5:$B$404,B95)=0,"",SUMIFS(Performance!$O$5:$O$404,Performance!$B$5:$B$404,B95)))</f>
        <v>0</v>
      </c>
      <c r="U95" s="23">
        <f>IF(B95="","",IF(COUNTIF(Performance!$B$5:$B$404,B95)=0,"",SUMIFS(Performance!$P$5:$P$404,Performance!$B$5:$B$404,B95)))</f>
        <v>0</v>
      </c>
      <c r="V95" s="23">
        <f>IF(B95="","",IF(COUNTIF(Performance!$B$5:$B$404,B95)=0,"",SUMIFS(Performance!$Z$5:$Z$404,Performance!$B$5:$B$404,B95)))</f>
        <v>0</v>
      </c>
      <c r="W95" s="24">
        <f>IF(OR(T95="",T95=0),"",V95/T95)</f>
        <v>0</v>
      </c>
      <c r="X95" s="23">
        <f>IF(B95="","",IF(COUNTIF(Performance!$B$5:$B$404,B95)=0,"",SUMIFS(Performance!$T$5:$T$404,Performance!$B$5:$B$404,B95)))</f>
        <v>0</v>
      </c>
      <c r="Y95" s="23">
        <f>IF(B95="","",IF(COUNTIF(Performance!$B$5:$B$404,B95)=0,"",SUMIFS(Performance!$S$5:$S$404,Performance!$B$5:$B$404,B95)))</f>
        <v>0</v>
      </c>
      <c r="Z95" s="23">
        <f>IF(B95="","",IF(COUNTIF(Performance!$B$5:$B$404,B95)=0,"",SUMIFS(Performance!$R$5:$R$404,Performance!$B$5:$B$404,B95)))</f>
        <v>0</v>
      </c>
      <c r="AA95" s="23">
        <f>IF(B95="","",IF(COUNTIF(Performance!$B$5:$B$404,B95)=0,"",SUMIFS(Performance!$U$5:$U$404,Performance!$B$5:$B$404,B95)))</f>
        <v>0</v>
      </c>
      <c r="AB95" s="29">
        <f>IF(B95="","",IF(C95="Not found","Check - content ID not on the calendar",IF(N95="","Add - no target keyword",IF(K95="","Add - no destination link",IF(AND(S95&lt;&gt;"",S95&lt;TODAY()),"Due - time to refresh this pin","OK")))))</f>
        <v>0</v>
      </c>
    </row>
    <row r="96" spans="1:28">
      <c r="A96" s="41">
        <f>IF(B96="","","PN-"&amp;TEXT(ROW()-4,"000"))</f>
        <v>0</v>
      </c>
      <c r="C96" s="17">
        <f>IF(B96="","",IFERROR(INDEX('Content Calendar'!$H$5:$H$604,MATCH(B96,'Content Calendar'!$A$5:$A$604,0)),"Not found"))</f>
        <v>0</v>
      </c>
      <c r="D96" s="16">
        <f>IF(B96="","",IFERROR(INDEX('Content Calendar'!$B$5:$B$604,MATCH(B96,'Content Calendar'!$A$5:$A$604,0)),"Not found"))</f>
        <v>0</v>
      </c>
      <c r="E96" s="17">
        <f>IF(B96="","",IFERROR(INDEX('Content Calendar'!$J$5:$J$604,MATCH(B96,'Content Calendar'!$A$5:$A$604,0)),"Not found"))</f>
        <v>0</v>
      </c>
      <c r="F96" s="29">
        <f>IF(B96="","",IFERROR(INDEX('Content Calendar'!$X$5:$X$604,MATCH(B96,'Content Calendar'!$A$5:$A$604,0)),"Not found"))</f>
        <v>0</v>
      </c>
      <c r="T96" s="23">
        <f>IF(B96="","",IF(COUNTIF(Performance!$B$5:$B$404,B96)=0,"",SUMIFS(Performance!$O$5:$O$404,Performance!$B$5:$B$404,B96)))</f>
        <v>0</v>
      </c>
      <c r="U96" s="23">
        <f>IF(B96="","",IF(COUNTIF(Performance!$B$5:$B$404,B96)=0,"",SUMIFS(Performance!$P$5:$P$404,Performance!$B$5:$B$404,B96)))</f>
        <v>0</v>
      </c>
      <c r="V96" s="23">
        <f>IF(B96="","",IF(COUNTIF(Performance!$B$5:$B$404,B96)=0,"",SUMIFS(Performance!$Z$5:$Z$404,Performance!$B$5:$B$404,B96)))</f>
        <v>0</v>
      </c>
      <c r="W96" s="24">
        <f>IF(OR(T96="",T96=0),"",V96/T96)</f>
        <v>0</v>
      </c>
      <c r="X96" s="23">
        <f>IF(B96="","",IF(COUNTIF(Performance!$B$5:$B$404,B96)=0,"",SUMIFS(Performance!$T$5:$T$404,Performance!$B$5:$B$404,B96)))</f>
        <v>0</v>
      </c>
      <c r="Y96" s="23">
        <f>IF(B96="","",IF(COUNTIF(Performance!$B$5:$B$404,B96)=0,"",SUMIFS(Performance!$S$5:$S$404,Performance!$B$5:$B$404,B96)))</f>
        <v>0</v>
      </c>
      <c r="Z96" s="23">
        <f>IF(B96="","",IF(COUNTIF(Performance!$B$5:$B$404,B96)=0,"",SUMIFS(Performance!$R$5:$R$404,Performance!$B$5:$B$404,B96)))</f>
        <v>0</v>
      </c>
      <c r="AA96" s="23">
        <f>IF(B96="","",IF(COUNTIF(Performance!$B$5:$B$404,B96)=0,"",SUMIFS(Performance!$U$5:$U$404,Performance!$B$5:$B$404,B96)))</f>
        <v>0</v>
      </c>
      <c r="AB96" s="29">
        <f>IF(B96="","",IF(C96="Not found","Check - content ID not on the calendar",IF(N96="","Add - no target keyword",IF(K96="","Add - no destination link",IF(AND(S96&lt;&gt;"",S96&lt;TODAY()),"Due - time to refresh this pin","OK")))))</f>
        <v>0</v>
      </c>
    </row>
    <row r="97" spans="1:28">
      <c r="A97" s="41">
        <f>IF(B97="","","PN-"&amp;TEXT(ROW()-4,"000"))</f>
        <v>0</v>
      </c>
      <c r="C97" s="17">
        <f>IF(B97="","",IFERROR(INDEX('Content Calendar'!$H$5:$H$604,MATCH(B97,'Content Calendar'!$A$5:$A$604,0)),"Not found"))</f>
        <v>0</v>
      </c>
      <c r="D97" s="16">
        <f>IF(B97="","",IFERROR(INDEX('Content Calendar'!$B$5:$B$604,MATCH(B97,'Content Calendar'!$A$5:$A$604,0)),"Not found"))</f>
        <v>0</v>
      </c>
      <c r="E97" s="17">
        <f>IF(B97="","",IFERROR(INDEX('Content Calendar'!$J$5:$J$604,MATCH(B97,'Content Calendar'!$A$5:$A$604,0)),"Not found"))</f>
        <v>0</v>
      </c>
      <c r="F97" s="29">
        <f>IF(B97="","",IFERROR(INDEX('Content Calendar'!$X$5:$X$604,MATCH(B97,'Content Calendar'!$A$5:$A$604,0)),"Not found"))</f>
        <v>0</v>
      </c>
      <c r="T97" s="23">
        <f>IF(B97="","",IF(COUNTIF(Performance!$B$5:$B$404,B97)=0,"",SUMIFS(Performance!$O$5:$O$404,Performance!$B$5:$B$404,B97)))</f>
        <v>0</v>
      </c>
      <c r="U97" s="23">
        <f>IF(B97="","",IF(COUNTIF(Performance!$B$5:$B$404,B97)=0,"",SUMIFS(Performance!$P$5:$P$404,Performance!$B$5:$B$404,B97)))</f>
        <v>0</v>
      </c>
      <c r="V97" s="23">
        <f>IF(B97="","",IF(COUNTIF(Performance!$B$5:$B$404,B97)=0,"",SUMIFS(Performance!$Z$5:$Z$404,Performance!$B$5:$B$404,B97)))</f>
        <v>0</v>
      </c>
      <c r="W97" s="24">
        <f>IF(OR(T97="",T97=0),"",V97/T97)</f>
        <v>0</v>
      </c>
      <c r="X97" s="23">
        <f>IF(B97="","",IF(COUNTIF(Performance!$B$5:$B$404,B97)=0,"",SUMIFS(Performance!$T$5:$T$404,Performance!$B$5:$B$404,B97)))</f>
        <v>0</v>
      </c>
      <c r="Y97" s="23">
        <f>IF(B97="","",IF(COUNTIF(Performance!$B$5:$B$404,B97)=0,"",SUMIFS(Performance!$S$5:$S$404,Performance!$B$5:$B$404,B97)))</f>
        <v>0</v>
      </c>
      <c r="Z97" s="23">
        <f>IF(B97="","",IF(COUNTIF(Performance!$B$5:$B$404,B97)=0,"",SUMIFS(Performance!$R$5:$R$404,Performance!$B$5:$B$404,B97)))</f>
        <v>0</v>
      </c>
      <c r="AA97" s="23">
        <f>IF(B97="","",IF(COUNTIF(Performance!$B$5:$B$404,B97)=0,"",SUMIFS(Performance!$U$5:$U$404,Performance!$B$5:$B$404,B97)))</f>
        <v>0</v>
      </c>
      <c r="AB97" s="29">
        <f>IF(B97="","",IF(C97="Not found","Check - content ID not on the calendar",IF(N97="","Add - no target keyword",IF(K97="","Add - no destination link",IF(AND(S97&lt;&gt;"",S97&lt;TODAY()),"Due - time to refresh this pin","OK")))))</f>
        <v>0</v>
      </c>
    </row>
    <row r="98" spans="1:28">
      <c r="A98" s="41">
        <f>IF(B98="","","PN-"&amp;TEXT(ROW()-4,"000"))</f>
        <v>0</v>
      </c>
      <c r="C98" s="17">
        <f>IF(B98="","",IFERROR(INDEX('Content Calendar'!$H$5:$H$604,MATCH(B98,'Content Calendar'!$A$5:$A$604,0)),"Not found"))</f>
        <v>0</v>
      </c>
      <c r="D98" s="16">
        <f>IF(B98="","",IFERROR(INDEX('Content Calendar'!$B$5:$B$604,MATCH(B98,'Content Calendar'!$A$5:$A$604,0)),"Not found"))</f>
        <v>0</v>
      </c>
      <c r="E98" s="17">
        <f>IF(B98="","",IFERROR(INDEX('Content Calendar'!$J$5:$J$604,MATCH(B98,'Content Calendar'!$A$5:$A$604,0)),"Not found"))</f>
        <v>0</v>
      </c>
      <c r="F98" s="29">
        <f>IF(B98="","",IFERROR(INDEX('Content Calendar'!$X$5:$X$604,MATCH(B98,'Content Calendar'!$A$5:$A$604,0)),"Not found"))</f>
        <v>0</v>
      </c>
      <c r="T98" s="23">
        <f>IF(B98="","",IF(COUNTIF(Performance!$B$5:$B$404,B98)=0,"",SUMIFS(Performance!$O$5:$O$404,Performance!$B$5:$B$404,B98)))</f>
        <v>0</v>
      </c>
      <c r="U98" s="23">
        <f>IF(B98="","",IF(COUNTIF(Performance!$B$5:$B$404,B98)=0,"",SUMIFS(Performance!$P$5:$P$404,Performance!$B$5:$B$404,B98)))</f>
        <v>0</v>
      </c>
      <c r="V98" s="23">
        <f>IF(B98="","",IF(COUNTIF(Performance!$B$5:$B$404,B98)=0,"",SUMIFS(Performance!$Z$5:$Z$404,Performance!$B$5:$B$404,B98)))</f>
        <v>0</v>
      </c>
      <c r="W98" s="24">
        <f>IF(OR(T98="",T98=0),"",V98/T98)</f>
        <v>0</v>
      </c>
      <c r="X98" s="23">
        <f>IF(B98="","",IF(COUNTIF(Performance!$B$5:$B$404,B98)=0,"",SUMIFS(Performance!$T$5:$T$404,Performance!$B$5:$B$404,B98)))</f>
        <v>0</v>
      </c>
      <c r="Y98" s="23">
        <f>IF(B98="","",IF(COUNTIF(Performance!$B$5:$B$404,B98)=0,"",SUMIFS(Performance!$S$5:$S$404,Performance!$B$5:$B$404,B98)))</f>
        <v>0</v>
      </c>
      <c r="Z98" s="23">
        <f>IF(B98="","",IF(COUNTIF(Performance!$B$5:$B$404,B98)=0,"",SUMIFS(Performance!$R$5:$R$404,Performance!$B$5:$B$404,B98)))</f>
        <v>0</v>
      </c>
      <c r="AA98" s="23">
        <f>IF(B98="","",IF(COUNTIF(Performance!$B$5:$B$404,B98)=0,"",SUMIFS(Performance!$U$5:$U$404,Performance!$B$5:$B$404,B98)))</f>
        <v>0</v>
      </c>
      <c r="AB98" s="29">
        <f>IF(B98="","",IF(C98="Not found","Check - content ID not on the calendar",IF(N98="","Add - no target keyword",IF(K98="","Add - no destination link",IF(AND(S98&lt;&gt;"",S98&lt;TODAY()),"Due - time to refresh this pin","OK")))))</f>
        <v>0</v>
      </c>
    </row>
    <row r="99" spans="1:28">
      <c r="A99" s="41">
        <f>IF(B99="","","PN-"&amp;TEXT(ROW()-4,"000"))</f>
        <v>0</v>
      </c>
      <c r="C99" s="17">
        <f>IF(B99="","",IFERROR(INDEX('Content Calendar'!$H$5:$H$604,MATCH(B99,'Content Calendar'!$A$5:$A$604,0)),"Not found"))</f>
        <v>0</v>
      </c>
      <c r="D99" s="16">
        <f>IF(B99="","",IFERROR(INDEX('Content Calendar'!$B$5:$B$604,MATCH(B99,'Content Calendar'!$A$5:$A$604,0)),"Not found"))</f>
        <v>0</v>
      </c>
      <c r="E99" s="17">
        <f>IF(B99="","",IFERROR(INDEX('Content Calendar'!$J$5:$J$604,MATCH(B99,'Content Calendar'!$A$5:$A$604,0)),"Not found"))</f>
        <v>0</v>
      </c>
      <c r="F99" s="29">
        <f>IF(B99="","",IFERROR(INDEX('Content Calendar'!$X$5:$X$604,MATCH(B99,'Content Calendar'!$A$5:$A$604,0)),"Not found"))</f>
        <v>0</v>
      </c>
      <c r="T99" s="23">
        <f>IF(B99="","",IF(COUNTIF(Performance!$B$5:$B$404,B99)=0,"",SUMIFS(Performance!$O$5:$O$404,Performance!$B$5:$B$404,B99)))</f>
        <v>0</v>
      </c>
      <c r="U99" s="23">
        <f>IF(B99="","",IF(COUNTIF(Performance!$B$5:$B$404,B99)=0,"",SUMIFS(Performance!$P$5:$P$404,Performance!$B$5:$B$404,B99)))</f>
        <v>0</v>
      </c>
      <c r="V99" s="23">
        <f>IF(B99="","",IF(COUNTIF(Performance!$B$5:$B$404,B99)=0,"",SUMIFS(Performance!$Z$5:$Z$404,Performance!$B$5:$B$404,B99)))</f>
        <v>0</v>
      </c>
      <c r="W99" s="24">
        <f>IF(OR(T99="",T99=0),"",V99/T99)</f>
        <v>0</v>
      </c>
      <c r="X99" s="23">
        <f>IF(B99="","",IF(COUNTIF(Performance!$B$5:$B$404,B99)=0,"",SUMIFS(Performance!$T$5:$T$404,Performance!$B$5:$B$404,B99)))</f>
        <v>0</v>
      </c>
      <c r="Y99" s="23">
        <f>IF(B99="","",IF(COUNTIF(Performance!$B$5:$B$404,B99)=0,"",SUMIFS(Performance!$S$5:$S$404,Performance!$B$5:$B$404,B99)))</f>
        <v>0</v>
      </c>
      <c r="Z99" s="23">
        <f>IF(B99="","",IF(COUNTIF(Performance!$B$5:$B$404,B99)=0,"",SUMIFS(Performance!$R$5:$R$404,Performance!$B$5:$B$404,B99)))</f>
        <v>0</v>
      </c>
      <c r="AA99" s="23">
        <f>IF(B99="","",IF(COUNTIF(Performance!$B$5:$B$404,B99)=0,"",SUMIFS(Performance!$U$5:$U$404,Performance!$B$5:$B$404,B99)))</f>
        <v>0</v>
      </c>
      <c r="AB99" s="29">
        <f>IF(B99="","",IF(C99="Not found","Check - content ID not on the calendar",IF(N99="","Add - no target keyword",IF(K99="","Add - no destination link",IF(AND(S99&lt;&gt;"",S99&lt;TODAY()),"Due - time to refresh this pin","OK")))))</f>
        <v>0</v>
      </c>
    </row>
    <row r="100" spans="1:28">
      <c r="A100" s="41">
        <f>IF(B100="","","PN-"&amp;TEXT(ROW()-4,"000"))</f>
        <v>0</v>
      </c>
      <c r="C100" s="17">
        <f>IF(B100="","",IFERROR(INDEX('Content Calendar'!$H$5:$H$604,MATCH(B100,'Content Calendar'!$A$5:$A$604,0)),"Not found"))</f>
        <v>0</v>
      </c>
      <c r="D100" s="16">
        <f>IF(B100="","",IFERROR(INDEX('Content Calendar'!$B$5:$B$604,MATCH(B100,'Content Calendar'!$A$5:$A$604,0)),"Not found"))</f>
        <v>0</v>
      </c>
      <c r="E100" s="17">
        <f>IF(B100="","",IFERROR(INDEX('Content Calendar'!$J$5:$J$604,MATCH(B100,'Content Calendar'!$A$5:$A$604,0)),"Not found"))</f>
        <v>0</v>
      </c>
      <c r="F100" s="29">
        <f>IF(B100="","",IFERROR(INDEX('Content Calendar'!$X$5:$X$604,MATCH(B100,'Content Calendar'!$A$5:$A$604,0)),"Not found"))</f>
        <v>0</v>
      </c>
      <c r="T100" s="23">
        <f>IF(B100="","",IF(COUNTIF(Performance!$B$5:$B$404,B100)=0,"",SUMIFS(Performance!$O$5:$O$404,Performance!$B$5:$B$404,B100)))</f>
        <v>0</v>
      </c>
      <c r="U100" s="23">
        <f>IF(B100="","",IF(COUNTIF(Performance!$B$5:$B$404,B100)=0,"",SUMIFS(Performance!$P$5:$P$404,Performance!$B$5:$B$404,B100)))</f>
        <v>0</v>
      </c>
      <c r="V100" s="23">
        <f>IF(B100="","",IF(COUNTIF(Performance!$B$5:$B$404,B100)=0,"",SUMIFS(Performance!$Z$5:$Z$404,Performance!$B$5:$B$404,B100)))</f>
        <v>0</v>
      </c>
      <c r="W100" s="24">
        <f>IF(OR(T100="",T100=0),"",V100/T100)</f>
        <v>0</v>
      </c>
      <c r="X100" s="23">
        <f>IF(B100="","",IF(COUNTIF(Performance!$B$5:$B$404,B100)=0,"",SUMIFS(Performance!$T$5:$T$404,Performance!$B$5:$B$404,B100)))</f>
        <v>0</v>
      </c>
      <c r="Y100" s="23">
        <f>IF(B100="","",IF(COUNTIF(Performance!$B$5:$B$404,B100)=0,"",SUMIFS(Performance!$S$5:$S$404,Performance!$B$5:$B$404,B100)))</f>
        <v>0</v>
      </c>
      <c r="Z100" s="23">
        <f>IF(B100="","",IF(COUNTIF(Performance!$B$5:$B$404,B100)=0,"",SUMIFS(Performance!$R$5:$R$404,Performance!$B$5:$B$404,B100)))</f>
        <v>0</v>
      </c>
      <c r="AA100" s="23">
        <f>IF(B100="","",IF(COUNTIF(Performance!$B$5:$B$404,B100)=0,"",SUMIFS(Performance!$U$5:$U$404,Performance!$B$5:$B$404,B100)))</f>
        <v>0</v>
      </c>
      <c r="AB100" s="29">
        <f>IF(B100="","",IF(C100="Not found","Check - content ID not on the calendar",IF(N100="","Add - no target keyword",IF(K100="","Add - no destination link",IF(AND(S100&lt;&gt;"",S100&lt;TODAY()),"Due - time to refresh this pin","OK")))))</f>
        <v>0</v>
      </c>
    </row>
    <row r="101" spans="1:28">
      <c r="A101" s="41">
        <f>IF(B101="","","PN-"&amp;TEXT(ROW()-4,"000"))</f>
        <v>0</v>
      </c>
      <c r="C101" s="17">
        <f>IF(B101="","",IFERROR(INDEX('Content Calendar'!$H$5:$H$604,MATCH(B101,'Content Calendar'!$A$5:$A$604,0)),"Not found"))</f>
        <v>0</v>
      </c>
      <c r="D101" s="16">
        <f>IF(B101="","",IFERROR(INDEX('Content Calendar'!$B$5:$B$604,MATCH(B101,'Content Calendar'!$A$5:$A$604,0)),"Not found"))</f>
        <v>0</v>
      </c>
      <c r="E101" s="17">
        <f>IF(B101="","",IFERROR(INDEX('Content Calendar'!$J$5:$J$604,MATCH(B101,'Content Calendar'!$A$5:$A$604,0)),"Not found"))</f>
        <v>0</v>
      </c>
      <c r="F101" s="29">
        <f>IF(B101="","",IFERROR(INDEX('Content Calendar'!$X$5:$X$604,MATCH(B101,'Content Calendar'!$A$5:$A$604,0)),"Not found"))</f>
        <v>0</v>
      </c>
      <c r="T101" s="23">
        <f>IF(B101="","",IF(COUNTIF(Performance!$B$5:$B$404,B101)=0,"",SUMIFS(Performance!$O$5:$O$404,Performance!$B$5:$B$404,B101)))</f>
        <v>0</v>
      </c>
      <c r="U101" s="23">
        <f>IF(B101="","",IF(COUNTIF(Performance!$B$5:$B$404,B101)=0,"",SUMIFS(Performance!$P$5:$P$404,Performance!$B$5:$B$404,B101)))</f>
        <v>0</v>
      </c>
      <c r="V101" s="23">
        <f>IF(B101="","",IF(COUNTIF(Performance!$B$5:$B$404,B101)=0,"",SUMIFS(Performance!$Z$5:$Z$404,Performance!$B$5:$B$404,B101)))</f>
        <v>0</v>
      </c>
      <c r="W101" s="24">
        <f>IF(OR(T101="",T101=0),"",V101/T101)</f>
        <v>0</v>
      </c>
      <c r="X101" s="23">
        <f>IF(B101="","",IF(COUNTIF(Performance!$B$5:$B$404,B101)=0,"",SUMIFS(Performance!$T$5:$T$404,Performance!$B$5:$B$404,B101)))</f>
        <v>0</v>
      </c>
      <c r="Y101" s="23">
        <f>IF(B101="","",IF(COUNTIF(Performance!$B$5:$B$404,B101)=0,"",SUMIFS(Performance!$S$5:$S$404,Performance!$B$5:$B$404,B101)))</f>
        <v>0</v>
      </c>
      <c r="Z101" s="23">
        <f>IF(B101="","",IF(COUNTIF(Performance!$B$5:$B$404,B101)=0,"",SUMIFS(Performance!$R$5:$R$404,Performance!$B$5:$B$404,B101)))</f>
        <v>0</v>
      </c>
      <c r="AA101" s="23">
        <f>IF(B101="","",IF(COUNTIF(Performance!$B$5:$B$404,B101)=0,"",SUMIFS(Performance!$U$5:$U$404,Performance!$B$5:$B$404,B101)))</f>
        <v>0</v>
      </c>
      <c r="AB101" s="29">
        <f>IF(B101="","",IF(C101="Not found","Check - content ID not on the calendar",IF(N101="","Add - no target keyword",IF(K101="","Add - no destination link",IF(AND(S101&lt;&gt;"",S101&lt;TODAY()),"Due - time to refresh this pin","OK")))))</f>
        <v>0</v>
      </c>
    </row>
    <row r="102" spans="1:28">
      <c r="A102" s="41">
        <f>IF(B102="","","PN-"&amp;TEXT(ROW()-4,"000"))</f>
        <v>0</v>
      </c>
      <c r="C102" s="17">
        <f>IF(B102="","",IFERROR(INDEX('Content Calendar'!$H$5:$H$604,MATCH(B102,'Content Calendar'!$A$5:$A$604,0)),"Not found"))</f>
        <v>0</v>
      </c>
      <c r="D102" s="16">
        <f>IF(B102="","",IFERROR(INDEX('Content Calendar'!$B$5:$B$604,MATCH(B102,'Content Calendar'!$A$5:$A$604,0)),"Not found"))</f>
        <v>0</v>
      </c>
      <c r="E102" s="17">
        <f>IF(B102="","",IFERROR(INDEX('Content Calendar'!$J$5:$J$604,MATCH(B102,'Content Calendar'!$A$5:$A$604,0)),"Not found"))</f>
        <v>0</v>
      </c>
      <c r="F102" s="29">
        <f>IF(B102="","",IFERROR(INDEX('Content Calendar'!$X$5:$X$604,MATCH(B102,'Content Calendar'!$A$5:$A$604,0)),"Not found"))</f>
        <v>0</v>
      </c>
      <c r="T102" s="23">
        <f>IF(B102="","",IF(COUNTIF(Performance!$B$5:$B$404,B102)=0,"",SUMIFS(Performance!$O$5:$O$404,Performance!$B$5:$B$404,B102)))</f>
        <v>0</v>
      </c>
      <c r="U102" s="23">
        <f>IF(B102="","",IF(COUNTIF(Performance!$B$5:$B$404,B102)=0,"",SUMIFS(Performance!$P$5:$P$404,Performance!$B$5:$B$404,B102)))</f>
        <v>0</v>
      </c>
      <c r="V102" s="23">
        <f>IF(B102="","",IF(COUNTIF(Performance!$B$5:$B$404,B102)=0,"",SUMIFS(Performance!$Z$5:$Z$404,Performance!$B$5:$B$404,B102)))</f>
        <v>0</v>
      </c>
      <c r="W102" s="24">
        <f>IF(OR(T102="",T102=0),"",V102/T102)</f>
        <v>0</v>
      </c>
      <c r="X102" s="23">
        <f>IF(B102="","",IF(COUNTIF(Performance!$B$5:$B$404,B102)=0,"",SUMIFS(Performance!$T$5:$T$404,Performance!$B$5:$B$404,B102)))</f>
        <v>0</v>
      </c>
      <c r="Y102" s="23">
        <f>IF(B102="","",IF(COUNTIF(Performance!$B$5:$B$404,B102)=0,"",SUMIFS(Performance!$S$5:$S$404,Performance!$B$5:$B$404,B102)))</f>
        <v>0</v>
      </c>
      <c r="Z102" s="23">
        <f>IF(B102="","",IF(COUNTIF(Performance!$B$5:$B$404,B102)=0,"",SUMIFS(Performance!$R$5:$R$404,Performance!$B$5:$B$404,B102)))</f>
        <v>0</v>
      </c>
      <c r="AA102" s="23">
        <f>IF(B102="","",IF(COUNTIF(Performance!$B$5:$B$404,B102)=0,"",SUMIFS(Performance!$U$5:$U$404,Performance!$B$5:$B$404,B102)))</f>
        <v>0</v>
      </c>
      <c r="AB102" s="29">
        <f>IF(B102="","",IF(C102="Not found","Check - content ID not on the calendar",IF(N102="","Add - no target keyword",IF(K102="","Add - no destination link",IF(AND(S102&lt;&gt;"",S102&lt;TODAY()),"Due - time to refresh this pin","OK")))))</f>
        <v>0</v>
      </c>
    </row>
    <row r="103" spans="1:28">
      <c r="A103" s="41">
        <f>IF(B103="","","PN-"&amp;TEXT(ROW()-4,"000"))</f>
        <v>0</v>
      </c>
      <c r="C103" s="17">
        <f>IF(B103="","",IFERROR(INDEX('Content Calendar'!$H$5:$H$604,MATCH(B103,'Content Calendar'!$A$5:$A$604,0)),"Not found"))</f>
        <v>0</v>
      </c>
      <c r="D103" s="16">
        <f>IF(B103="","",IFERROR(INDEX('Content Calendar'!$B$5:$B$604,MATCH(B103,'Content Calendar'!$A$5:$A$604,0)),"Not found"))</f>
        <v>0</v>
      </c>
      <c r="E103" s="17">
        <f>IF(B103="","",IFERROR(INDEX('Content Calendar'!$J$5:$J$604,MATCH(B103,'Content Calendar'!$A$5:$A$604,0)),"Not found"))</f>
        <v>0</v>
      </c>
      <c r="F103" s="29">
        <f>IF(B103="","",IFERROR(INDEX('Content Calendar'!$X$5:$X$604,MATCH(B103,'Content Calendar'!$A$5:$A$604,0)),"Not found"))</f>
        <v>0</v>
      </c>
      <c r="T103" s="23">
        <f>IF(B103="","",IF(COUNTIF(Performance!$B$5:$B$404,B103)=0,"",SUMIFS(Performance!$O$5:$O$404,Performance!$B$5:$B$404,B103)))</f>
        <v>0</v>
      </c>
      <c r="U103" s="23">
        <f>IF(B103="","",IF(COUNTIF(Performance!$B$5:$B$404,B103)=0,"",SUMIFS(Performance!$P$5:$P$404,Performance!$B$5:$B$404,B103)))</f>
        <v>0</v>
      </c>
      <c r="V103" s="23">
        <f>IF(B103="","",IF(COUNTIF(Performance!$B$5:$B$404,B103)=0,"",SUMIFS(Performance!$Z$5:$Z$404,Performance!$B$5:$B$404,B103)))</f>
        <v>0</v>
      </c>
      <c r="W103" s="24">
        <f>IF(OR(T103="",T103=0),"",V103/T103)</f>
        <v>0</v>
      </c>
      <c r="X103" s="23">
        <f>IF(B103="","",IF(COUNTIF(Performance!$B$5:$B$404,B103)=0,"",SUMIFS(Performance!$T$5:$T$404,Performance!$B$5:$B$404,B103)))</f>
        <v>0</v>
      </c>
      <c r="Y103" s="23">
        <f>IF(B103="","",IF(COUNTIF(Performance!$B$5:$B$404,B103)=0,"",SUMIFS(Performance!$S$5:$S$404,Performance!$B$5:$B$404,B103)))</f>
        <v>0</v>
      </c>
      <c r="Z103" s="23">
        <f>IF(B103="","",IF(COUNTIF(Performance!$B$5:$B$404,B103)=0,"",SUMIFS(Performance!$R$5:$R$404,Performance!$B$5:$B$404,B103)))</f>
        <v>0</v>
      </c>
      <c r="AA103" s="23">
        <f>IF(B103="","",IF(COUNTIF(Performance!$B$5:$B$404,B103)=0,"",SUMIFS(Performance!$U$5:$U$404,Performance!$B$5:$B$404,B103)))</f>
        <v>0</v>
      </c>
      <c r="AB103" s="29">
        <f>IF(B103="","",IF(C103="Not found","Check - content ID not on the calendar",IF(N103="","Add - no target keyword",IF(K103="","Add - no destination link",IF(AND(S103&lt;&gt;"",S103&lt;TODAY()),"Due - time to refresh this pin","OK")))))</f>
        <v>0</v>
      </c>
    </row>
    <row r="104" spans="1:28">
      <c r="A104" s="41">
        <f>IF(B104="","","PN-"&amp;TEXT(ROW()-4,"000"))</f>
        <v>0</v>
      </c>
      <c r="C104" s="17">
        <f>IF(B104="","",IFERROR(INDEX('Content Calendar'!$H$5:$H$604,MATCH(B104,'Content Calendar'!$A$5:$A$604,0)),"Not found"))</f>
        <v>0</v>
      </c>
      <c r="D104" s="16">
        <f>IF(B104="","",IFERROR(INDEX('Content Calendar'!$B$5:$B$604,MATCH(B104,'Content Calendar'!$A$5:$A$604,0)),"Not found"))</f>
        <v>0</v>
      </c>
      <c r="E104" s="17">
        <f>IF(B104="","",IFERROR(INDEX('Content Calendar'!$J$5:$J$604,MATCH(B104,'Content Calendar'!$A$5:$A$604,0)),"Not found"))</f>
        <v>0</v>
      </c>
      <c r="F104" s="29">
        <f>IF(B104="","",IFERROR(INDEX('Content Calendar'!$X$5:$X$604,MATCH(B104,'Content Calendar'!$A$5:$A$604,0)),"Not found"))</f>
        <v>0</v>
      </c>
      <c r="T104" s="23">
        <f>IF(B104="","",IF(COUNTIF(Performance!$B$5:$B$404,B104)=0,"",SUMIFS(Performance!$O$5:$O$404,Performance!$B$5:$B$404,B104)))</f>
        <v>0</v>
      </c>
      <c r="U104" s="23">
        <f>IF(B104="","",IF(COUNTIF(Performance!$B$5:$B$404,B104)=0,"",SUMIFS(Performance!$P$5:$P$404,Performance!$B$5:$B$404,B104)))</f>
        <v>0</v>
      </c>
      <c r="V104" s="23">
        <f>IF(B104="","",IF(COUNTIF(Performance!$B$5:$B$404,B104)=0,"",SUMIFS(Performance!$Z$5:$Z$404,Performance!$B$5:$B$404,B104)))</f>
        <v>0</v>
      </c>
      <c r="W104" s="24">
        <f>IF(OR(T104="",T104=0),"",V104/T104)</f>
        <v>0</v>
      </c>
      <c r="X104" s="23">
        <f>IF(B104="","",IF(COUNTIF(Performance!$B$5:$B$404,B104)=0,"",SUMIFS(Performance!$T$5:$T$404,Performance!$B$5:$B$404,B104)))</f>
        <v>0</v>
      </c>
      <c r="Y104" s="23">
        <f>IF(B104="","",IF(COUNTIF(Performance!$B$5:$B$404,B104)=0,"",SUMIFS(Performance!$S$5:$S$404,Performance!$B$5:$B$404,B104)))</f>
        <v>0</v>
      </c>
      <c r="Z104" s="23">
        <f>IF(B104="","",IF(COUNTIF(Performance!$B$5:$B$404,B104)=0,"",SUMIFS(Performance!$R$5:$R$404,Performance!$B$5:$B$404,B104)))</f>
        <v>0</v>
      </c>
      <c r="AA104" s="23">
        <f>IF(B104="","",IF(COUNTIF(Performance!$B$5:$B$404,B104)=0,"",SUMIFS(Performance!$U$5:$U$404,Performance!$B$5:$B$404,B104)))</f>
        <v>0</v>
      </c>
      <c r="AB104" s="29">
        <f>IF(B104="","",IF(C104="Not found","Check - content ID not on the calendar",IF(N104="","Add - no target keyword",IF(K104="","Add - no destination link",IF(AND(S104&lt;&gt;"",S104&lt;TODAY()),"Due - time to refresh this pin","OK")))))</f>
        <v>0</v>
      </c>
    </row>
    <row r="105" spans="1:28">
      <c r="A105" s="41">
        <f>IF(B105="","","PN-"&amp;TEXT(ROW()-4,"000"))</f>
        <v>0</v>
      </c>
      <c r="C105" s="17">
        <f>IF(B105="","",IFERROR(INDEX('Content Calendar'!$H$5:$H$604,MATCH(B105,'Content Calendar'!$A$5:$A$604,0)),"Not found"))</f>
        <v>0</v>
      </c>
      <c r="D105" s="16">
        <f>IF(B105="","",IFERROR(INDEX('Content Calendar'!$B$5:$B$604,MATCH(B105,'Content Calendar'!$A$5:$A$604,0)),"Not found"))</f>
        <v>0</v>
      </c>
      <c r="E105" s="17">
        <f>IF(B105="","",IFERROR(INDEX('Content Calendar'!$J$5:$J$604,MATCH(B105,'Content Calendar'!$A$5:$A$604,0)),"Not found"))</f>
        <v>0</v>
      </c>
      <c r="F105" s="29">
        <f>IF(B105="","",IFERROR(INDEX('Content Calendar'!$X$5:$X$604,MATCH(B105,'Content Calendar'!$A$5:$A$604,0)),"Not found"))</f>
        <v>0</v>
      </c>
      <c r="T105" s="23">
        <f>IF(B105="","",IF(COUNTIF(Performance!$B$5:$B$404,B105)=0,"",SUMIFS(Performance!$O$5:$O$404,Performance!$B$5:$B$404,B105)))</f>
        <v>0</v>
      </c>
      <c r="U105" s="23">
        <f>IF(B105="","",IF(COUNTIF(Performance!$B$5:$B$404,B105)=0,"",SUMIFS(Performance!$P$5:$P$404,Performance!$B$5:$B$404,B105)))</f>
        <v>0</v>
      </c>
      <c r="V105" s="23">
        <f>IF(B105="","",IF(COUNTIF(Performance!$B$5:$B$404,B105)=0,"",SUMIFS(Performance!$Z$5:$Z$404,Performance!$B$5:$B$404,B105)))</f>
        <v>0</v>
      </c>
      <c r="W105" s="24">
        <f>IF(OR(T105="",T105=0),"",V105/T105)</f>
        <v>0</v>
      </c>
      <c r="X105" s="23">
        <f>IF(B105="","",IF(COUNTIF(Performance!$B$5:$B$404,B105)=0,"",SUMIFS(Performance!$T$5:$T$404,Performance!$B$5:$B$404,B105)))</f>
        <v>0</v>
      </c>
      <c r="Y105" s="23">
        <f>IF(B105="","",IF(COUNTIF(Performance!$B$5:$B$404,B105)=0,"",SUMIFS(Performance!$S$5:$S$404,Performance!$B$5:$B$404,B105)))</f>
        <v>0</v>
      </c>
      <c r="Z105" s="23">
        <f>IF(B105="","",IF(COUNTIF(Performance!$B$5:$B$404,B105)=0,"",SUMIFS(Performance!$R$5:$R$404,Performance!$B$5:$B$404,B105)))</f>
        <v>0</v>
      </c>
      <c r="AA105" s="23">
        <f>IF(B105="","",IF(COUNTIF(Performance!$B$5:$B$404,B105)=0,"",SUMIFS(Performance!$U$5:$U$404,Performance!$B$5:$B$404,B105)))</f>
        <v>0</v>
      </c>
      <c r="AB105" s="29">
        <f>IF(B105="","",IF(C105="Not found","Check - content ID not on the calendar",IF(N105="","Add - no target keyword",IF(K105="","Add - no destination link",IF(AND(S105&lt;&gt;"",S105&lt;TODAY()),"Due - time to refresh this pin","OK")))))</f>
        <v>0</v>
      </c>
    </row>
    <row r="106" spans="1:28">
      <c r="A106" s="41">
        <f>IF(B106="","","PN-"&amp;TEXT(ROW()-4,"000"))</f>
        <v>0</v>
      </c>
      <c r="C106" s="17">
        <f>IF(B106="","",IFERROR(INDEX('Content Calendar'!$H$5:$H$604,MATCH(B106,'Content Calendar'!$A$5:$A$604,0)),"Not found"))</f>
        <v>0</v>
      </c>
      <c r="D106" s="16">
        <f>IF(B106="","",IFERROR(INDEX('Content Calendar'!$B$5:$B$604,MATCH(B106,'Content Calendar'!$A$5:$A$604,0)),"Not found"))</f>
        <v>0</v>
      </c>
      <c r="E106" s="17">
        <f>IF(B106="","",IFERROR(INDEX('Content Calendar'!$J$5:$J$604,MATCH(B106,'Content Calendar'!$A$5:$A$604,0)),"Not found"))</f>
        <v>0</v>
      </c>
      <c r="F106" s="29">
        <f>IF(B106="","",IFERROR(INDEX('Content Calendar'!$X$5:$X$604,MATCH(B106,'Content Calendar'!$A$5:$A$604,0)),"Not found"))</f>
        <v>0</v>
      </c>
      <c r="T106" s="23">
        <f>IF(B106="","",IF(COUNTIF(Performance!$B$5:$B$404,B106)=0,"",SUMIFS(Performance!$O$5:$O$404,Performance!$B$5:$B$404,B106)))</f>
        <v>0</v>
      </c>
      <c r="U106" s="23">
        <f>IF(B106="","",IF(COUNTIF(Performance!$B$5:$B$404,B106)=0,"",SUMIFS(Performance!$P$5:$P$404,Performance!$B$5:$B$404,B106)))</f>
        <v>0</v>
      </c>
      <c r="V106" s="23">
        <f>IF(B106="","",IF(COUNTIF(Performance!$B$5:$B$404,B106)=0,"",SUMIFS(Performance!$Z$5:$Z$404,Performance!$B$5:$B$404,B106)))</f>
        <v>0</v>
      </c>
      <c r="W106" s="24">
        <f>IF(OR(T106="",T106=0),"",V106/T106)</f>
        <v>0</v>
      </c>
      <c r="X106" s="23">
        <f>IF(B106="","",IF(COUNTIF(Performance!$B$5:$B$404,B106)=0,"",SUMIFS(Performance!$T$5:$T$404,Performance!$B$5:$B$404,B106)))</f>
        <v>0</v>
      </c>
      <c r="Y106" s="23">
        <f>IF(B106="","",IF(COUNTIF(Performance!$B$5:$B$404,B106)=0,"",SUMIFS(Performance!$S$5:$S$404,Performance!$B$5:$B$404,B106)))</f>
        <v>0</v>
      </c>
      <c r="Z106" s="23">
        <f>IF(B106="","",IF(COUNTIF(Performance!$B$5:$B$404,B106)=0,"",SUMIFS(Performance!$R$5:$R$404,Performance!$B$5:$B$404,B106)))</f>
        <v>0</v>
      </c>
      <c r="AA106" s="23">
        <f>IF(B106="","",IF(COUNTIF(Performance!$B$5:$B$404,B106)=0,"",SUMIFS(Performance!$U$5:$U$404,Performance!$B$5:$B$404,B106)))</f>
        <v>0</v>
      </c>
      <c r="AB106" s="29">
        <f>IF(B106="","",IF(C106="Not found","Check - content ID not on the calendar",IF(N106="","Add - no target keyword",IF(K106="","Add - no destination link",IF(AND(S106&lt;&gt;"",S106&lt;TODAY()),"Due - time to refresh this pin","OK")))))</f>
        <v>0</v>
      </c>
    </row>
    <row r="107" spans="1:28">
      <c r="A107" s="41">
        <f>IF(B107="","","PN-"&amp;TEXT(ROW()-4,"000"))</f>
        <v>0</v>
      </c>
      <c r="C107" s="17">
        <f>IF(B107="","",IFERROR(INDEX('Content Calendar'!$H$5:$H$604,MATCH(B107,'Content Calendar'!$A$5:$A$604,0)),"Not found"))</f>
        <v>0</v>
      </c>
      <c r="D107" s="16">
        <f>IF(B107="","",IFERROR(INDEX('Content Calendar'!$B$5:$B$604,MATCH(B107,'Content Calendar'!$A$5:$A$604,0)),"Not found"))</f>
        <v>0</v>
      </c>
      <c r="E107" s="17">
        <f>IF(B107="","",IFERROR(INDEX('Content Calendar'!$J$5:$J$604,MATCH(B107,'Content Calendar'!$A$5:$A$604,0)),"Not found"))</f>
        <v>0</v>
      </c>
      <c r="F107" s="29">
        <f>IF(B107="","",IFERROR(INDEX('Content Calendar'!$X$5:$X$604,MATCH(B107,'Content Calendar'!$A$5:$A$604,0)),"Not found"))</f>
        <v>0</v>
      </c>
      <c r="T107" s="23">
        <f>IF(B107="","",IF(COUNTIF(Performance!$B$5:$B$404,B107)=0,"",SUMIFS(Performance!$O$5:$O$404,Performance!$B$5:$B$404,B107)))</f>
        <v>0</v>
      </c>
      <c r="U107" s="23">
        <f>IF(B107="","",IF(COUNTIF(Performance!$B$5:$B$404,B107)=0,"",SUMIFS(Performance!$P$5:$P$404,Performance!$B$5:$B$404,B107)))</f>
        <v>0</v>
      </c>
      <c r="V107" s="23">
        <f>IF(B107="","",IF(COUNTIF(Performance!$B$5:$B$404,B107)=0,"",SUMIFS(Performance!$Z$5:$Z$404,Performance!$B$5:$B$404,B107)))</f>
        <v>0</v>
      </c>
      <c r="W107" s="24">
        <f>IF(OR(T107="",T107=0),"",V107/T107)</f>
        <v>0</v>
      </c>
      <c r="X107" s="23">
        <f>IF(B107="","",IF(COUNTIF(Performance!$B$5:$B$404,B107)=0,"",SUMIFS(Performance!$T$5:$T$404,Performance!$B$5:$B$404,B107)))</f>
        <v>0</v>
      </c>
      <c r="Y107" s="23">
        <f>IF(B107="","",IF(COUNTIF(Performance!$B$5:$B$404,B107)=0,"",SUMIFS(Performance!$S$5:$S$404,Performance!$B$5:$B$404,B107)))</f>
        <v>0</v>
      </c>
      <c r="Z107" s="23">
        <f>IF(B107="","",IF(COUNTIF(Performance!$B$5:$B$404,B107)=0,"",SUMIFS(Performance!$R$5:$R$404,Performance!$B$5:$B$404,B107)))</f>
        <v>0</v>
      </c>
      <c r="AA107" s="23">
        <f>IF(B107="","",IF(COUNTIF(Performance!$B$5:$B$404,B107)=0,"",SUMIFS(Performance!$U$5:$U$404,Performance!$B$5:$B$404,B107)))</f>
        <v>0</v>
      </c>
      <c r="AB107" s="29">
        <f>IF(B107="","",IF(C107="Not found","Check - content ID not on the calendar",IF(N107="","Add - no target keyword",IF(K107="","Add - no destination link",IF(AND(S107&lt;&gt;"",S107&lt;TODAY()),"Due - time to refresh this pin","OK")))))</f>
        <v>0</v>
      </c>
    </row>
    <row r="108" spans="1:28">
      <c r="A108" s="41">
        <f>IF(B108="","","PN-"&amp;TEXT(ROW()-4,"000"))</f>
        <v>0</v>
      </c>
      <c r="C108" s="17">
        <f>IF(B108="","",IFERROR(INDEX('Content Calendar'!$H$5:$H$604,MATCH(B108,'Content Calendar'!$A$5:$A$604,0)),"Not found"))</f>
        <v>0</v>
      </c>
      <c r="D108" s="16">
        <f>IF(B108="","",IFERROR(INDEX('Content Calendar'!$B$5:$B$604,MATCH(B108,'Content Calendar'!$A$5:$A$604,0)),"Not found"))</f>
        <v>0</v>
      </c>
      <c r="E108" s="17">
        <f>IF(B108="","",IFERROR(INDEX('Content Calendar'!$J$5:$J$604,MATCH(B108,'Content Calendar'!$A$5:$A$604,0)),"Not found"))</f>
        <v>0</v>
      </c>
      <c r="F108" s="29">
        <f>IF(B108="","",IFERROR(INDEX('Content Calendar'!$X$5:$X$604,MATCH(B108,'Content Calendar'!$A$5:$A$604,0)),"Not found"))</f>
        <v>0</v>
      </c>
      <c r="T108" s="23">
        <f>IF(B108="","",IF(COUNTIF(Performance!$B$5:$B$404,B108)=0,"",SUMIFS(Performance!$O$5:$O$404,Performance!$B$5:$B$404,B108)))</f>
        <v>0</v>
      </c>
      <c r="U108" s="23">
        <f>IF(B108="","",IF(COUNTIF(Performance!$B$5:$B$404,B108)=0,"",SUMIFS(Performance!$P$5:$P$404,Performance!$B$5:$B$404,B108)))</f>
        <v>0</v>
      </c>
      <c r="V108" s="23">
        <f>IF(B108="","",IF(COUNTIF(Performance!$B$5:$B$404,B108)=0,"",SUMIFS(Performance!$Z$5:$Z$404,Performance!$B$5:$B$404,B108)))</f>
        <v>0</v>
      </c>
      <c r="W108" s="24">
        <f>IF(OR(T108="",T108=0),"",V108/T108)</f>
        <v>0</v>
      </c>
      <c r="X108" s="23">
        <f>IF(B108="","",IF(COUNTIF(Performance!$B$5:$B$404,B108)=0,"",SUMIFS(Performance!$T$5:$T$404,Performance!$B$5:$B$404,B108)))</f>
        <v>0</v>
      </c>
      <c r="Y108" s="23">
        <f>IF(B108="","",IF(COUNTIF(Performance!$B$5:$B$404,B108)=0,"",SUMIFS(Performance!$S$5:$S$404,Performance!$B$5:$B$404,B108)))</f>
        <v>0</v>
      </c>
      <c r="Z108" s="23">
        <f>IF(B108="","",IF(COUNTIF(Performance!$B$5:$B$404,B108)=0,"",SUMIFS(Performance!$R$5:$R$404,Performance!$B$5:$B$404,B108)))</f>
        <v>0</v>
      </c>
      <c r="AA108" s="23">
        <f>IF(B108="","",IF(COUNTIF(Performance!$B$5:$B$404,B108)=0,"",SUMIFS(Performance!$U$5:$U$404,Performance!$B$5:$B$404,B108)))</f>
        <v>0</v>
      </c>
      <c r="AB108" s="29">
        <f>IF(B108="","",IF(C108="Not found","Check - content ID not on the calendar",IF(N108="","Add - no target keyword",IF(K108="","Add - no destination link",IF(AND(S108&lt;&gt;"",S108&lt;TODAY()),"Due - time to refresh this pin","OK")))))</f>
        <v>0</v>
      </c>
    </row>
    <row r="109" spans="1:28">
      <c r="A109" s="41">
        <f>IF(B109="","","PN-"&amp;TEXT(ROW()-4,"000"))</f>
        <v>0</v>
      </c>
      <c r="C109" s="17">
        <f>IF(B109="","",IFERROR(INDEX('Content Calendar'!$H$5:$H$604,MATCH(B109,'Content Calendar'!$A$5:$A$604,0)),"Not found"))</f>
        <v>0</v>
      </c>
      <c r="D109" s="16">
        <f>IF(B109="","",IFERROR(INDEX('Content Calendar'!$B$5:$B$604,MATCH(B109,'Content Calendar'!$A$5:$A$604,0)),"Not found"))</f>
        <v>0</v>
      </c>
      <c r="E109" s="17">
        <f>IF(B109="","",IFERROR(INDEX('Content Calendar'!$J$5:$J$604,MATCH(B109,'Content Calendar'!$A$5:$A$604,0)),"Not found"))</f>
        <v>0</v>
      </c>
      <c r="F109" s="29">
        <f>IF(B109="","",IFERROR(INDEX('Content Calendar'!$X$5:$X$604,MATCH(B109,'Content Calendar'!$A$5:$A$604,0)),"Not found"))</f>
        <v>0</v>
      </c>
      <c r="T109" s="23">
        <f>IF(B109="","",IF(COUNTIF(Performance!$B$5:$B$404,B109)=0,"",SUMIFS(Performance!$O$5:$O$404,Performance!$B$5:$B$404,B109)))</f>
        <v>0</v>
      </c>
      <c r="U109" s="23">
        <f>IF(B109="","",IF(COUNTIF(Performance!$B$5:$B$404,B109)=0,"",SUMIFS(Performance!$P$5:$P$404,Performance!$B$5:$B$404,B109)))</f>
        <v>0</v>
      </c>
      <c r="V109" s="23">
        <f>IF(B109="","",IF(COUNTIF(Performance!$B$5:$B$404,B109)=0,"",SUMIFS(Performance!$Z$5:$Z$404,Performance!$B$5:$B$404,B109)))</f>
        <v>0</v>
      </c>
      <c r="W109" s="24">
        <f>IF(OR(T109="",T109=0),"",V109/T109)</f>
        <v>0</v>
      </c>
      <c r="X109" s="23">
        <f>IF(B109="","",IF(COUNTIF(Performance!$B$5:$B$404,B109)=0,"",SUMIFS(Performance!$T$5:$T$404,Performance!$B$5:$B$404,B109)))</f>
        <v>0</v>
      </c>
      <c r="Y109" s="23">
        <f>IF(B109="","",IF(COUNTIF(Performance!$B$5:$B$404,B109)=0,"",SUMIFS(Performance!$S$5:$S$404,Performance!$B$5:$B$404,B109)))</f>
        <v>0</v>
      </c>
      <c r="Z109" s="23">
        <f>IF(B109="","",IF(COUNTIF(Performance!$B$5:$B$404,B109)=0,"",SUMIFS(Performance!$R$5:$R$404,Performance!$B$5:$B$404,B109)))</f>
        <v>0</v>
      </c>
      <c r="AA109" s="23">
        <f>IF(B109="","",IF(COUNTIF(Performance!$B$5:$B$404,B109)=0,"",SUMIFS(Performance!$U$5:$U$404,Performance!$B$5:$B$404,B109)))</f>
        <v>0</v>
      </c>
      <c r="AB109" s="29">
        <f>IF(B109="","",IF(C109="Not found","Check - content ID not on the calendar",IF(N109="","Add - no target keyword",IF(K109="","Add - no destination link",IF(AND(S109&lt;&gt;"",S109&lt;TODAY()),"Due - time to refresh this pin","OK")))))</f>
        <v>0</v>
      </c>
    </row>
    <row r="110" spans="1:28">
      <c r="A110" s="41">
        <f>IF(B110="","","PN-"&amp;TEXT(ROW()-4,"000"))</f>
        <v>0</v>
      </c>
      <c r="C110" s="17">
        <f>IF(B110="","",IFERROR(INDEX('Content Calendar'!$H$5:$H$604,MATCH(B110,'Content Calendar'!$A$5:$A$604,0)),"Not found"))</f>
        <v>0</v>
      </c>
      <c r="D110" s="16">
        <f>IF(B110="","",IFERROR(INDEX('Content Calendar'!$B$5:$B$604,MATCH(B110,'Content Calendar'!$A$5:$A$604,0)),"Not found"))</f>
        <v>0</v>
      </c>
      <c r="E110" s="17">
        <f>IF(B110="","",IFERROR(INDEX('Content Calendar'!$J$5:$J$604,MATCH(B110,'Content Calendar'!$A$5:$A$604,0)),"Not found"))</f>
        <v>0</v>
      </c>
      <c r="F110" s="29">
        <f>IF(B110="","",IFERROR(INDEX('Content Calendar'!$X$5:$X$604,MATCH(B110,'Content Calendar'!$A$5:$A$604,0)),"Not found"))</f>
        <v>0</v>
      </c>
      <c r="T110" s="23">
        <f>IF(B110="","",IF(COUNTIF(Performance!$B$5:$B$404,B110)=0,"",SUMIFS(Performance!$O$5:$O$404,Performance!$B$5:$B$404,B110)))</f>
        <v>0</v>
      </c>
      <c r="U110" s="23">
        <f>IF(B110="","",IF(COUNTIF(Performance!$B$5:$B$404,B110)=0,"",SUMIFS(Performance!$P$5:$P$404,Performance!$B$5:$B$404,B110)))</f>
        <v>0</v>
      </c>
      <c r="V110" s="23">
        <f>IF(B110="","",IF(COUNTIF(Performance!$B$5:$B$404,B110)=0,"",SUMIFS(Performance!$Z$5:$Z$404,Performance!$B$5:$B$404,B110)))</f>
        <v>0</v>
      </c>
      <c r="W110" s="24">
        <f>IF(OR(T110="",T110=0),"",V110/T110)</f>
        <v>0</v>
      </c>
      <c r="X110" s="23">
        <f>IF(B110="","",IF(COUNTIF(Performance!$B$5:$B$404,B110)=0,"",SUMIFS(Performance!$T$5:$T$404,Performance!$B$5:$B$404,B110)))</f>
        <v>0</v>
      </c>
      <c r="Y110" s="23">
        <f>IF(B110="","",IF(COUNTIF(Performance!$B$5:$B$404,B110)=0,"",SUMIFS(Performance!$S$5:$S$404,Performance!$B$5:$B$404,B110)))</f>
        <v>0</v>
      </c>
      <c r="Z110" s="23">
        <f>IF(B110="","",IF(COUNTIF(Performance!$B$5:$B$404,B110)=0,"",SUMIFS(Performance!$R$5:$R$404,Performance!$B$5:$B$404,B110)))</f>
        <v>0</v>
      </c>
      <c r="AA110" s="23">
        <f>IF(B110="","",IF(COUNTIF(Performance!$B$5:$B$404,B110)=0,"",SUMIFS(Performance!$U$5:$U$404,Performance!$B$5:$B$404,B110)))</f>
        <v>0</v>
      </c>
      <c r="AB110" s="29">
        <f>IF(B110="","",IF(C110="Not found","Check - content ID not on the calendar",IF(N110="","Add - no target keyword",IF(K110="","Add - no destination link",IF(AND(S110&lt;&gt;"",S110&lt;TODAY()),"Due - time to refresh this pin","OK")))))</f>
        <v>0</v>
      </c>
    </row>
    <row r="111" spans="1:28">
      <c r="A111" s="41">
        <f>IF(B111="","","PN-"&amp;TEXT(ROW()-4,"000"))</f>
        <v>0</v>
      </c>
      <c r="C111" s="17">
        <f>IF(B111="","",IFERROR(INDEX('Content Calendar'!$H$5:$H$604,MATCH(B111,'Content Calendar'!$A$5:$A$604,0)),"Not found"))</f>
        <v>0</v>
      </c>
      <c r="D111" s="16">
        <f>IF(B111="","",IFERROR(INDEX('Content Calendar'!$B$5:$B$604,MATCH(B111,'Content Calendar'!$A$5:$A$604,0)),"Not found"))</f>
        <v>0</v>
      </c>
      <c r="E111" s="17">
        <f>IF(B111="","",IFERROR(INDEX('Content Calendar'!$J$5:$J$604,MATCH(B111,'Content Calendar'!$A$5:$A$604,0)),"Not found"))</f>
        <v>0</v>
      </c>
      <c r="F111" s="29">
        <f>IF(B111="","",IFERROR(INDEX('Content Calendar'!$X$5:$X$604,MATCH(B111,'Content Calendar'!$A$5:$A$604,0)),"Not found"))</f>
        <v>0</v>
      </c>
      <c r="T111" s="23">
        <f>IF(B111="","",IF(COUNTIF(Performance!$B$5:$B$404,B111)=0,"",SUMIFS(Performance!$O$5:$O$404,Performance!$B$5:$B$404,B111)))</f>
        <v>0</v>
      </c>
      <c r="U111" s="23">
        <f>IF(B111="","",IF(COUNTIF(Performance!$B$5:$B$404,B111)=0,"",SUMIFS(Performance!$P$5:$P$404,Performance!$B$5:$B$404,B111)))</f>
        <v>0</v>
      </c>
      <c r="V111" s="23">
        <f>IF(B111="","",IF(COUNTIF(Performance!$B$5:$B$404,B111)=0,"",SUMIFS(Performance!$Z$5:$Z$404,Performance!$B$5:$B$404,B111)))</f>
        <v>0</v>
      </c>
      <c r="W111" s="24">
        <f>IF(OR(T111="",T111=0),"",V111/T111)</f>
        <v>0</v>
      </c>
      <c r="X111" s="23">
        <f>IF(B111="","",IF(COUNTIF(Performance!$B$5:$B$404,B111)=0,"",SUMIFS(Performance!$T$5:$T$404,Performance!$B$5:$B$404,B111)))</f>
        <v>0</v>
      </c>
      <c r="Y111" s="23">
        <f>IF(B111="","",IF(COUNTIF(Performance!$B$5:$B$404,B111)=0,"",SUMIFS(Performance!$S$5:$S$404,Performance!$B$5:$B$404,B111)))</f>
        <v>0</v>
      </c>
      <c r="Z111" s="23">
        <f>IF(B111="","",IF(COUNTIF(Performance!$B$5:$B$404,B111)=0,"",SUMIFS(Performance!$R$5:$R$404,Performance!$B$5:$B$404,B111)))</f>
        <v>0</v>
      </c>
      <c r="AA111" s="23">
        <f>IF(B111="","",IF(COUNTIF(Performance!$B$5:$B$404,B111)=0,"",SUMIFS(Performance!$U$5:$U$404,Performance!$B$5:$B$404,B111)))</f>
        <v>0</v>
      </c>
      <c r="AB111" s="29">
        <f>IF(B111="","",IF(C111="Not found","Check - content ID not on the calendar",IF(N111="","Add - no target keyword",IF(K111="","Add - no destination link",IF(AND(S111&lt;&gt;"",S111&lt;TODAY()),"Due - time to refresh this pin","OK")))))</f>
        <v>0</v>
      </c>
    </row>
    <row r="112" spans="1:28">
      <c r="A112" s="41">
        <f>IF(B112="","","PN-"&amp;TEXT(ROW()-4,"000"))</f>
        <v>0</v>
      </c>
      <c r="C112" s="17">
        <f>IF(B112="","",IFERROR(INDEX('Content Calendar'!$H$5:$H$604,MATCH(B112,'Content Calendar'!$A$5:$A$604,0)),"Not found"))</f>
        <v>0</v>
      </c>
      <c r="D112" s="16">
        <f>IF(B112="","",IFERROR(INDEX('Content Calendar'!$B$5:$B$604,MATCH(B112,'Content Calendar'!$A$5:$A$604,0)),"Not found"))</f>
        <v>0</v>
      </c>
      <c r="E112" s="17">
        <f>IF(B112="","",IFERROR(INDEX('Content Calendar'!$J$5:$J$604,MATCH(B112,'Content Calendar'!$A$5:$A$604,0)),"Not found"))</f>
        <v>0</v>
      </c>
      <c r="F112" s="29">
        <f>IF(B112="","",IFERROR(INDEX('Content Calendar'!$X$5:$X$604,MATCH(B112,'Content Calendar'!$A$5:$A$604,0)),"Not found"))</f>
        <v>0</v>
      </c>
      <c r="T112" s="23">
        <f>IF(B112="","",IF(COUNTIF(Performance!$B$5:$B$404,B112)=0,"",SUMIFS(Performance!$O$5:$O$404,Performance!$B$5:$B$404,B112)))</f>
        <v>0</v>
      </c>
      <c r="U112" s="23">
        <f>IF(B112="","",IF(COUNTIF(Performance!$B$5:$B$404,B112)=0,"",SUMIFS(Performance!$P$5:$P$404,Performance!$B$5:$B$404,B112)))</f>
        <v>0</v>
      </c>
      <c r="V112" s="23">
        <f>IF(B112="","",IF(COUNTIF(Performance!$B$5:$B$404,B112)=0,"",SUMIFS(Performance!$Z$5:$Z$404,Performance!$B$5:$B$404,B112)))</f>
        <v>0</v>
      </c>
      <c r="W112" s="24">
        <f>IF(OR(T112="",T112=0),"",V112/T112)</f>
        <v>0</v>
      </c>
      <c r="X112" s="23">
        <f>IF(B112="","",IF(COUNTIF(Performance!$B$5:$B$404,B112)=0,"",SUMIFS(Performance!$T$5:$T$404,Performance!$B$5:$B$404,B112)))</f>
        <v>0</v>
      </c>
      <c r="Y112" s="23">
        <f>IF(B112="","",IF(COUNTIF(Performance!$B$5:$B$404,B112)=0,"",SUMIFS(Performance!$S$5:$S$404,Performance!$B$5:$B$404,B112)))</f>
        <v>0</v>
      </c>
      <c r="Z112" s="23">
        <f>IF(B112="","",IF(COUNTIF(Performance!$B$5:$B$404,B112)=0,"",SUMIFS(Performance!$R$5:$R$404,Performance!$B$5:$B$404,B112)))</f>
        <v>0</v>
      </c>
      <c r="AA112" s="23">
        <f>IF(B112="","",IF(COUNTIF(Performance!$B$5:$B$404,B112)=0,"",SUMIFS(Performance!$U$5:$U$404,Performance!$B$5:$B$404,B112)))</f>
        <v>0</v>
      </c>
      <c r="AB112" s="29">
        <f>IF(B112="","",IF(C112="Not found","Check - content ID not on the calendar",IF(N112="","Add - no target keyword",IF(K112="","Add - no destination link",IF(AND(S112&lt;&gt;"",S112&lt;TODAY()),"Due - time to refresh this pin","OK")))))</f>
        <v>0</v>
      </c>
    </row>
    <row r="113" spans="1:28">
      <c r="A113" s="41">
        <f>IF(B113="","","PN-"&amp;TEXT(ROW()-4,"000"))</f>
        <v>0</v>
      </c>
      <c r="C113" s="17">
        <f>IF(B113="","",IFERROR(INDEX('Content Calendar'!$H$5:$H$604,MATCH(B113,'Content Calendar'!$A$5:$A$604,0)),"Not found"))</f>
        <v>0</v>
      </c>
      <c r="D113" s="16">
        <f>IF(B113="","",IFERROR(INDEX('Content Calendar'!$B$5:$B$604,MATCH(B113,'Content Calendar'!$A$5:$A$604,0)),"Not found"))</f>
        <v>0</v>
      </c>
      <c r="E113" s="17">
        <f>IF(B113="","",IFERROR(INDEX('Content Calendar'!$J$5:$J$604,MATCH(B113,'Content Calendar'!$A$5:$A$604,0)),"Not found"))</f>
        <v>0</v>
      </c>
      <c r="F113" s="29">
        <f>IF(B113="","",IFERROR(INDEX('Content Calendar'!$X$5:$X$604,MATCH(B113,'Content Calendar'!$A$5:$A$604,0)),"Not found"))</f>
        <v>0</v>
      </c>
      <c r="T113" s="23">
        <f>IF(B113="","",IF(COUNTIF(Performance!$B$5:$B$404,B113)=0,"",SUMIFS(Performance!$O$5:$O$404,Performance!$B$5:$B$404,B113)))</f>
        <v>0</v>
      </c>
      <c r="U113" s="23">
        <f>IF(B113="","",IF(COUNTIF(Performance!$B$5:$B$404,B113)=0,"",SUMIFS(Performance!$P$5:$P$404,Performance!$B$5:$B$404,B113)))</f>
        <v>0</v>
      </c>
      <c r="V113" s="23">
        <f>IF(B113="","",IF(COUNTIF(Performance!$B$5:$B$404,B113)=0,"",SUMIFS(Performance!$Z$5:$Z$404,Performance!$B$5:$B$404,B113)))</f>
        <v>0</v>
      </c>
      <c r="W113" s="24">
        <f>IF(OR(T113="",T113=0),"",V113/T113)</f>
        <v>0</v>
      </c>
      <c r="X113" s="23">
        <f>IF(B113="","",IF(COUNTIF(Performance!$B$5:$B$404,B113)=0,"",SUMIFS(Performance!$T$5:$T$404,Performance!$B$5:$B$404,B113)))</f>
        <v>0</v>
      </c>
      <c r="Y113" s="23">
        <f>IF(B113="","",IF(COUNTIF(Performance!$B$5:$B$404,B113)=0,"",SUMIFS(Performance!$S$5:$S$404,Performance!$B$5:$B$404,B113)))</f>
        <v>0</v>
      </c>
      <c r="Z113" s="23">
        <f>IF(B113="","",IF(COUNTIF(Performance!$B$5:$B$404,B113)=0,"",SUMIFS(Performance!$R$5:$R$404,Performance!$B$5:$B$404,B113)))</f>
        <v>0</v>
      </c>
      <c r="AA113" s="23">
        <f>IF(B113="","",IF(COUNTIF(Performance!$B$5:$B$404,B113)=0,"",SUMIFS(Performance!$U$5:$U$404,Performance!$B$5:$B$404,B113)))</f>
        <v>0</v>
      </c>
      <c r="AB113" s="29">
        <f>IF(B113="","",IF(C113="Not found","Check - content ID not on the calendar",IF(N113="","Add - no target keyword",IF(K113="","Add - no destination link",IF(AND(S113&lt;&gt;"",S113&lt;TODAY()),"Due - time to refresh this pin","OK")))))</f>
        <v>0</v>
      </c>
    </row>
    <row r="114" spans="1:28">
      <c r="A114" s="41">
        <f>IF(B114="","","PN-"&amp;TEXT(ROW()-4,"000"))</f>
        <v>0</v>
      </c>
      <c r="C114" s="17">
        <f>IF(B114="","",IFERROR(INDEX('Content Calendar'!$H$5:$H$604,MATCH(B114,'Content Calendar'!$A$5:$A$604,0)),"Not found"))</f>
        <v>0</v>
      </c>
      <c r="D114" s="16">
        <f>IF(B114="","",IFERROR(INDEX('Content Calendar'!$B$5:$B$604,MATCH(B114,'Content Calendar'!$A$5:$A$604,0)),"Not found"))</f>
        <v>0</v>
      </c>
      <c r="E114" s="17">
        <f>IF(B114="","",IFERROR(INDEX('Content Calendar'!$J$5:$J$604,MATCH(B114,'Content Calendar'!$A$5:$A$604,0)),"Not found"))</f>
        <v>0</v>
      </c>
      <c r="F114" s="29">
        <f>IF(B114="","",IFERROR(INDEX('Content Calendar'!$X$5:$X$604,MATCH(B114,'Content Calendar'!$A$5:$A$604,0)),"Not found"))</f>
        <v>0</v>
      </c>
      <c r="T114" s="23">
        <f>IF(B114="","",IF(COUNTIF(Performance!$B$5:$B$404,B114)=0,"",SUMIFS(Performance!$O$5:$O$404,Performance!$B$5:$B$404,B114)))</f>
        <v>0</v>
      </c>
      <c r="U114" s="23">
        <f>IF(B114="","",IF(COUNTIF(Performance!$B$5:$B$404,B114)=0,"",SUMIFS(Performance!$P$5:$P$404,Performance!$B$5:$B$404,B114)))</f>
        <v>0</v>
      </c>
      <c r="V114" s="23">
        <f>IF(B114="","",IF(COUNTIF(Performance!$B$5:$B$404,B114)=0,"",SUMIFS(Performance!$Z$5:$Z$404,Performance!$B$5:$B$404,B114)))</f>
        <v>0</v>
      </c>
      <c r="W114" s="24">
        <f>IF(OR(T114="",T114=0),"",V114/T114)</f>
        <v>0</v>
      </c>
      <c r="X114" s="23">
        <f>IF(B114="","",IF(COUNTIF(Performance!$B$5:$B$404,B114)=0,"",SUMIFS(Performance!$T$5:$T$404,Performance!$B$5:$B$404,B114)))</f>
        <v>0</v>
      </c>
      <c r="Y114" s="23">
        <f>IF(B114="","",IF(COUNTIF(Performance!$B$5:$B$404,B114)=0,"",SUMIFS(Performance!$S$5:$S$404,Performance!$B$5:$B$404,B114)))</f>
        <v>0</v>
      </c>
      <c r="Z114" s="23">
        <f>IF(B114="","",IF(COUNTIF(Performance!$B$5:$B$404,B114)=0,"",SUMIFS(Performance!$R$5:$R$404,Performance!$B$5:$B$404,B114)))</f>
        <v>0</v>
      </c>
      <c r="AA114" s="23">
        <f>IF(B114="","",IF(COUNTIF(Performance!$B$5:$B$404,B114)=0,"",SUMIFS(Performance!$U$5:$U$404,Performance!$B$5:$B$404,B114)))</f>
        <v>0</v>
      </c>
      <c r="AB114" s="29">
        <f>IF(B114="","",IF(C114="Not found","Check - content ID not on the calendar",IF(N114="","Add - no target keyword",IF(K114="","Add - no destination link",IF(AND(S114&lt;&gt;"",S114&lt;TODAY()),"Due - time to refresh this pin","OK")))))</f>
        <v>0</v>
      </c>
    </row>
    <row r="115" spans="1:28">
      <c r="A115" s="41">
        <f>IF(B115="","","PN-"&amp;TEXT(ROW()-4,"000"))</f>
        <v>0</v>
      </c>
      <c r="C115" s="17">
        <f>IF(B115="","",IFERROR(INDEX('Content Calendar'!$H$5:$H$604,MATCH(B115,'Content Calendar'!$A$5:$A$604,0)),"Not found"))</f>
        <v>0</v>
      </c>
      <c r="D115" s="16">
        <f>IF(B115="","",IFERROR(INDEX('Content Calendar'!$B$5:$B$604,MATCH(B115,'Content Calendar'!$A$5:$A$604,0)),"Not found"))</f>
        <v>0</v>
      </c>
      <c r="E115" s="17">
        <f>IF(B115="","",IFERROR(INDEX('Content Calendar'!$J$5:$J$604,MATCH(B115,'Content Calendar'!$A$5:$A$604,0)),"Not found"))</f>
        <v>0</v>
      </c>
      <c r="F115" s="29">
        <f>IF(B115="","",IFERROR(INDEX('Content Calendar'!$X$5:$X$604,MATCH(B115,'Content Calendar'!$A$5:$A$604,0)),"Not found"))</f>
        <v>0</v>
      </c>
      <c r="T115" s="23">
        <f>IF(B115="","",IF(COUNTIF(Performance!$B$5:$B$404,B115)=0,"",SUMIFS(Performance!$O$5:$O$404,Performance!$B$5:$B$404,B115)))</f>
        <v>0</v>
      </c>
      <c r="U115" s="23">
        <f>IF(B115="","",IF(COUNTIF(Performance!$B$5:$B$404,B115)=0,"",SUMIFS(Performance!$P$5:$P$404,Performance!$B$5:$B$404,B115)))</f>
        <v>0</v>
      </c>
      <c r="V115" s="23">
        <f>IF(B115="","",IF(COUNTIF(Performance!$B$5:$B$404,B115)=0,"",SUMIFS(Performance!$Z$5:$Z$404,Performance!$B$5:$B$404,B115)))</f>
        <v>0</v>
      </c>
      <c r="W115" s="24">
        <f>IF(OR(T115="",T115=0),"",V115/T115)</f>
        <v>0</v>
      </c>
      <c r="X115" s="23">
        <f>IF(B115="","",IF(COUNTIF(Performance!$B$5:$B$404,B115)=0,"",SUMIFS(Performance!$T$5:$T$404,Performance!$B$5:$B$404,B115)))</f>
        <v>0</v>
      </c>
      <c r="Y115" s="23">
        <f>IF(B115="","",IF(COUNTIF(Performance!$B$5:$B$404,B115)=0,"",SUMIFS(Performance!$S$5:$S$404,Performance!$B$5:$B$404,B115)))</f>
        <v>0</v>
      </c>
      <c r="Z115" s="23">
        <f>IF(B115="","",IF(COUNTIF(Performance!$B$5:$B$404,B115)=0,"",SUMIFS(Performance!$R$5:$R$404,Performance!$B$5:$B$404,B115)))</f>
        <v>0</v>
      </c>
      <c r="AA115" s="23">
        <f>IF(B115="","",IF(COUNTIF(Performance!$B$5:$B$404,B115)=0,"",SUMIFS(Performance!$U$5:$U$404,Performance!$B$5:$B$404,B115)))</f>
        <v>0</v>
      </c>
      <c r="AB115" s="29">
        <f>IF(B115="","",IF(C115="Not found","Check - content ID not on the calendar",IF(N115="","Add - no target keyword",IF(K115="","Add - no destination link",IF(AND(S115&lt;&gt;"",S115&lt;TODAY()),"Due - time to refresh this pin","OK")))))</f>
        <v>0</v>
      </c>
    </row>
    <row r="116" spans="1:28">
      <c r="A116" s="41">
        <f>IF(B116="","","PN-"&amp;TEXT(ROW()-4,"000"))</f>
        <v>0</v>
      </c>
      <c r="C116" s="17">
        <f>IF(B116="","",IFERROR(INDEX('Content Calendar'!$H$5:$H$604,MATCH(B116,'Content Calendar'!$A$5:$A$604,0)),"Not found"))</f>
        <v>0</v>
      </c>
      <c r="D116" s="16">
        <f>IF(B116="","",IFERROR(INDEX('Content Calendar'!$B$5:$B$604,MATCH(B116,'Content Calendar'!$A$5:$A$604,0)),"Not found"))</f>
        <v>0</v>
      </c>
      <c r="E116" s="17">
        <f>IF(B116="","",IFERROR(INDEX('Content Calendar'!$J$5:$J$604,MATCH(B116,'Content Calendar'!$A$5:$A$604,0)),"Not found"))</f>
        <v>0</v>
      </c>
      <c r="F116" s="29">
        <f>IF(B116="","",IFERROR(INDEX('Content Calendar'!$X$5:$X$604,MATCH(B116,'Content Calendar'!$A$5:$A$604,0)),"Not found"))</f>
        <v>0</v>
      </c>
      <c r="T116" s="23">
        <f>IF(B116="","",IF(COUNTIF(Performance!$B$5:$B$404,B116)=0,"",SUMIFS(Performance!$O$5:$O$404,Performance!$B$5:$B$404,B116)))</f>
        <v>0</v>
      </c>
      <c r="U116" s="23">
        <f>IF(B116="","",IF(COUNTIF(Performance!$B$5:$B$404,B116)=0,"",SUMIFS(Performance!$P$5:$P$404,Performance!$B$5:$B$404,B116)))</f>
        <v>0</v>
      </c>
      <c r="V116" s="23">
        <f>IF(B116="","",IF(COUNTIF(Performance!$B$5:$B$404,B116)=0,"",SUMIFS(Performance!$Z$5:$Z$404,Performance!$B$5:$B$404,B116)))</f>
        <v>0</v>
      </c>
      <c r="W116" s="24">
        <f>IF(OR(T116="",T116=0),"",V116/T116)</f>
        <v>0</v>
      </c>
      <c r="X116" s="23">
        <f>IF(B116="","",IF(COUNTIF(Performance!$B$5:$B$404,B116)=0,"",SUMIFS(Performance!$T$5:$T$404,Performance!$B$5:$B$404,B116)))</f>
        <v>0</v>
      </c>
      <c r="Y116" s="23">
        <f>IF(B116="","",IF(COUNTIF(Performance!$B$5:$B$404,B116)=0,"",SUMIFS(Performance!$S$5:$S$404,Performance!$B$5:$B$404,B116)))</f>
        <v>0</v>
      </c>
      <c r="Z116" s="23">
        <f>IF(B116="","",IF(COUNTIF(Performance!$B$5:$B$404,B116)=0,"",SUMIFS(Performance!$R$5:$R$404,Performance!$B$5:$B$404,B116)))</f>
        <v>0</v>
      </c>
      <c r="AA116" s="23">
        <f>IF(B116="","",IF(COUNTIF(Performance!$B$5:$B$404,B116)=0,"",SUMIFS(Performance!$U$5:$U$404,Performance!$B$5:$B$404,B116)))</f>
        <v>0</v>
      </c>
      <c r="AB116" s="29">
        <f>IF(B116="","",IF(C116="Not found","Check - content ID not on the calendar",IF(N116="","Add - no target keyword",IF(K116="","Add - no destination link",IF(AND(S116&lt;&gt;"",S116&lt;TODAY()),"Due - time to refresh this pin","OK")))))</f>
        <v>0</v>
      </c>
    </row>
    <row r="117" spans="1:28">
      <c r="A117" s="41">
        <f>IF(B117="","","PN-"&amp;TEXT(ROW()-4,"000"))</f>
        <v>0</v>
      </c>
      <c r="C117" s="17">
        <f>IF(B117="","",IFERROR(INDEX('Content Calendar'!$H$5:$H$604,MATCH(B117,'Content Calendar'!$A$5:$A$604,0)),"Not found"))</f>
        <v>0</v>
      </c>
      <c r="D117" s="16">
        <f>IF(B117="","",IFERROR(INDEX('Content Calendar'!$B$5:$B$604,MATCH(B117,'Content Calendar'!$A$5:$A$604,0)),"Not found"))</f>
        <v>0</v>
      </c>
      <c r="E117" s="17">
        <f>IF(B117="","",IFERROR(INDEX('Content Calendar'!$J$5:$J$604,MATCH(B117,'Content Calendar'!$A$5:$A$604,0)),"Not found"))</f>
        <v>0</v>
      </c>
      <c r="F117" s="29">
        <f>IF(B117="","",IFERROR(INDEX('Content Calendar'!$X$5:$X$604,MATCH(B117,'Content Calendar'!$A$5:$A$604,0)),"Not found"))</f>
        <v>0</v>
      </c>
      <c r="T117" s="23">
        <f>IF(B117="","",IF(COUNTIF(Performance!$B$5:$B$404,B117)=0,"",SUMIFS(Performance!$O$5:$O$404,Performance!$B$5:$B$404,B117)))</f>
        <v>0</v>
      </c>
      <c r="U117" s="23">
        <f>IF(B117="","",IF(COUNTIF(Performance!$B$5:$B$404,B117)=0,"",SUMIFS(Performance!$P$5:$P$404,Performance!$B$5:$B$404,B117)))</f>
        <v>0</v>
      </c>
      <c r="V117" s="23">
        <f>IF(B117="","",IF(COUNTIF(Performance!$B$5:$B$404,B117)=0,"",SUMIFS(Performance!$Z$5:$Z$404,Performance!$B$5:$B$404,B117)))</f>
        <v>0</v>
      </c>
      <c r="W117" s="24">
        <f>IF(OR(T117="",T117=0),"",V117/T117)</f>
        <v>0</v>
      </c>
      <c r="X117" s="23">
        <f>IF(B117="","",IF(COUNTIF(Performance!$B$5:$B$404,B117)=0,"",SUMIFS(Performance!$T$5:$T$404,Performance!$B$5:$B$404,B117)))</f>
        <v>0</v>
      </c>
      <c r="Y117" s="23">
        <f>IF(B117="","",IF(COUNTIF(Performance!$B$5:$B$404,B117)=0,"",SUMIFS(Performance!$S$5:$S$404,Performance!$B$5:$B$404,B117)))</f>
        <v>0</v>
      </c>
      <c r="Z117" s="23">
        <f>IF(B117="","",IF(COUNTIF(Performance!$B$5:$B$404,B117)=0,"",SUMIFS(Performance!$R$5:$R$404,Performance!$B$5:$B$404,B117)))</f>
        <v>0</v>
      </c>
      <c r="AA117" s="23">
        <f>IF(B117="","",IF(COUNTIF(Performance!$B$5:$B$404,B117)=0,"",SUMIFS(Performance!$U$5:$U$404,Performance!$B$5:$B$404,B117)))</f>
        <v>0</v>
      </c>
      <c r="AB117" s="29">
        <f>IF(B117="","",IF(C117="Not found","Check - content ID not on the calendar",IF(N117="","Add - no target keyword",IF(K117="","Add - no destination link",IF(AND(S117&lt;&gt;"",S117&lt;TODAY()),"Due - time to refresh this pin","OK")))))</f>
        <v>0</v>
      </c>
    </row>
    <row r="118" spans="1:28">
      <c r="A118" s="41">
        <f>IF(B118="","","PN-"&amp;TEXT(ROW()-4,"000"))</f>
        <v>0</v>
      </c>
      <c r="C118" s="17">
        <f>IF(B118="","",IFERROR(INDEX('Content Calendar'!$H$5:$H$604,MATCH(B118,'Content Calendar'!$A$5:$A$604,0)),"Not found"))</f>
        <v>0</v>
      </c>
      <c r="D118" s="16">
        <f>IF(B118="","",IFERROR(INDEX('Content Calendar'!$B$5:$B$604,MATCH(B118,'Content Calendar'!$A$5:$A$604,0)),"Not found"))</f>
        <v>0</v>
      </c>
      <c r="E118" s="17">
        <f>IF(B118="","",IFERROR(INDEX('Content Calendar'!$J$5:$J$604,MATCH(B118,'Content Calendar'!$A$5:$A$604,0)),"Not found"))</f>
        <v>0</v>
      </c>
      <c r="F118" s="29">
        <f>IF(B118="","",IFERROR(INDEX('Content Calendar'!$X$5:$X$604,MATCH(B118,'Content Calendar'!$A$5:$A$604,0)),"Not found"))</f>
        <v>0</v>
      </c>
      <c r="T118" s="23">
        <f>IF(B118="","",IF(COUNTIF(Performance!$B$5:$B$404,B118)=0,"",SUMIFS(Performance!$O$5:$O$404,Performance!$B$5:$B$404,B118)))</f>
        <v>0</v>
      </c>
      <c r="U118" s="23">
        <f>IF(B118="","",IF(COUNTIF(Performance!$B$5:$B$404,B118)=0,"",SUMIFS(Performance!$P$5:$P$404,Performance!$B$5:$B$404,B118)))</f>
        <v>0</v>
      </c>
      <c r="V118" s="23">
        <f>IF(B118="","",IF(COUNTIF(Performance!$B$5:$B$404,B118)=0,"",SUMIFS(Performance!$Z$5:$Z$404,Performance!$B$5:$B$404,B118)))</f>
        <v>0</v>
      </c>
      <c r="W118" s="24">
        <f>IF(OR(T118="",T118=0),"",V118/T118)</f>
        <v>0</v>
      </c>
      <c r="X118" s="23">
        <f>IF(B118="","",IF(COUNTIF(Performance!$B$5:$B$404,B118)=0,"",SUMIFS(Performance!$T$5:$T$404,Performance!$B$5:$B$404,B118)))</f>
        <v>0</v>
      </c>
      <c r="Y118" s="23">
        <f>IF(B118="","",IF(COUNTIF(Performance!$B$5:$B$404,B118)=0,"",SUMIFS(Performance!$S$5:$S$404,Performance!$B$5:$B$404,B118)))</f>
        <v>0</v>
      </c>
      <c r="Z118" s="23">
        <f>IF(B118="","",IF(COUNTIF(Performance!$B$5:$B$404,B118)=0,"",SUMIFS(Performance!$R$5:$R$404,Performance!$B$5:$B$404,B118)))</f>
        <v>0</v>
      </c>
      <c r="AA118" s="23">
        <f>IF(B118="","",IF(COUNTIF(Performance!$B$5:$B$404,B118)=0,"",SUMIFS(Performance!$U$5:$U$404,Performance!$B$5:$B$404,B118)))</f>
        <v>0</v>
      </c>
      <c r="AB118" s="29">
        <f>IF(B118="","",IF(C118="Not found","Check - content ID not on the calendar",IF(N118="","Add - no target keyword",IF(K118="","Add - no destination link",IF(AND(S118&lt;&gt;"",S118&lt;TODAY()),"Due - time to refresh this pin","OK")))))</f>
        <v>0</v>
      </c>
    </row>
    <row r="119" spans="1:28">
      <c r="A119" s="41">
        <f>IF(B119="","","PN-"&amp;TEXT(ROW()-4,"000"))</f>
        <v>0</v>
      </c>
      <c r="C119" s="17">
        <f>IF(B119="","",IFERROR(INDEX('Content Calendar'!$H$5:$H$604,MATCH(B119,'Content Calendar'!$A$5:$A$604,0)),"Not found"))</f>
        <v>0</v>
      </c>
      <c r="D119" s="16">
        <f>IF(B119="","",IFERROR(INDEX('Content Calendar'!$B$5:$B$604,MATCH(B119,'Content Calendar'!$A$5:$A$604,0)),"Not found"))</f>
        <v>0</v>
      </c>
      <c r="E119" s="17">
        <f>IF(B119="","",IFERROR(INDEX('Content Calendar'!$J$5:$J$604,MATCH(B119,'Content Calendar'!$A$5:$A$604,0)),"Not found"))</f>
        <v>0</v>
      </c>
      <c r="F119" s="29">
        <f>IF(B119="","",IFERROR(INDEX('Content Calendar'!$X$5:$X$604,MATCH(B119,'Content Calendar'!$A$5:$A$604,0)),"Not found"))</f>
        <v>0</v>
      </c>
      <c r="T119" s="23">
        <f>IF(B119="","",IF(COUNTIF(Performance!$B$5:$B$404,B119)=0,"",SUMIFS(Performance!$O$5:$O$404,Performance!$B$5:$B$404,B119)))</f>
        <v>0</v>
      </c>
      <c r="U119" s="23">
        <f>IF(B119="","",IF(COUNTIF(Performance!$B$5:$B$404,B119)=0,"",SUMIFS(Performance!$P$5:$P$404,Performance!$B$5:$B$404,B119)))</f>
        <v>0</v>
      </c>
      <c r="V119" s="23">
        <f>IF(B119="","",IF(COUNTIF(Performance!$B$5:$B$404,B119)=0,"",SUMIFS(Performance!$Z$5:$Z$404,Performance!$B$5:$B$404,B119)))</f>
        <v>0</v>
      </c>
      <c r="W119" s="24">
        <f>IF(OR(T119="",T119=0),"",V119/T119)</f>
        <v>0</v>
      </c>
      <c r="X119" s="23">
        <f>IF(B119="","",IF(COUNTIF(Performance!$B$5:$B$404,B119)=0,"",SUMIFS(Performance!$T$5:$T$404,Performance!$B$5:$B$404,B119)))</f>
        <v>0</v>
      </c>
      <c r="Y119" s="23">
        <f>IF(B119="","",IF(COUNTIF(Performance!$B$5:$B$404,B119)=0,"",SUMIFS(Performance!$S$5:$S$404,Performance!$B$5:$B$404,B119)))</f>
        <v>0</v>
      </c>
      <c r="Z119" s="23">
        <f>IF(B119="","",IF(COUNTIF(Performance!$B$5:$B$404,B119)=0,"",SUMIFS(Performance!$R$5:$R$404,Performance!$B$5:$B$404,B119)))</f>
        <v>0</v>
      </c>
      <c r="AA119" s="23">
        <f>IF(B119="","",IF(COUNTIF(Performance!$B$5:$B$404,B119)=0,"",SUMIFS(Performance!$U$5:$U$404,Performance!$B$5:$B$404,B119)))</f>
        <v>0</v>
      </c>
      <c r="AB119" s="29">
        <f>IF(B119="","",IF(C119="Not found","Check - content ID not on the calendar",IF(N119="","Add - no target keyword",IF(K119="","Add - no destination link",IF(AND(S119&lt;&gt;"",S119&lt;TODAY()),"Due - time to refresh this pin","OK")))))</f>
        <v>0</v>
      </c>
    </row>
    <row r="120" spans="1:28">
      <c r="A120" s="41">
        <f>IF(B120="","","PN-"&amp;TEXT(ROW()-4,"000"))</f>
        <v>0</v>
      </c>
      <c r="C120" s="17">
        <f>IF(B120="","",IFERROR(INDEX('Content Calendar'!$H$5:$H$604,MATCH(B120,'Content Calendar'!$A$5:$A$604,0)),"Not found"))</f>
        <v>0</v>
      </c>
      <c r="D120" s="16">
        <f>IF(B120="","",IFERROR(INDEX('Content Calendar'!$B$5:$B$604,MATCH(B120,'Content Calendar'!$A$5:$A$604,0)),"Not found"))</f>
        <v>0</v>
      </c>
      <c r="E120" s="17">
        <f>IF(B120="","",IFERROR(INDEX('Content Calendar'!$J$5:$J$604,MATCH(B120,'Content Calendar'!$A$5:$A$604,0)),"Not found"))</f>
        <v>0</v>
      </c>
      <c r="F120" s="29">
        <f>IF(B120="","",IFERROR(INDEX('Content Calendar'!$X$5:$X$604,MATCH(B120,'Content Calendar'!$A$5:$A$604,0)),"Not found"))</f>
        <v>0</v>
      </c>
      <c r="T120" s="23">
        <f>IF(B120="","",IF(COUNTIF(Performance!$B$5:$B$404,B120)=0,"",SUMIFS(Performance!$O$5:$O$404,Performance!$B$5:$B$404,B120)))</f>
        <v>0</v>
      </c>
      <c r="U120" s="23">
        <f>IF(B120="","",IF(COUNTIF(Performance!$B$5:$B$404,B120)=0,"",SUMIFS(Performance!$P$5:$P$404,Performance!$B$5:$B$404,B120)))</f>
        <v>0</v>
      </c>
      <c r="V120" s="23">
        <f>IF(B120="","",IF(COUNTIF(Performance!$B$5:$B$404,B120)=0,"",SUMIFS(Performance!$Z$5:$Z$404,Performance!$B$5:$B$404,B120)))</f>
        <v>0</v>
      </c>
      <c r="W120" s="24">
        <f>IF(OR(T120="",T120=0),"",V120/T120)</f>
        <v>0</v>
      </c>
      <c r="X120" s="23">
        <f>IF(B120="","",IF(COUNTIF(Performance!$B$5:$B$404,B120)=0,"",SUMIFS(Performance!$T$5:$T$404,Performance!$B$5:$B$404,B120)))</f>
        <v>0</v>
      </c>
      <c r="Y120" s="23">
        <f>IF(B120="","",IF(COUNTIF(Performance!$B$5:$B$404,B120)=0,"",SUMIFS(Performance!$S$5:$S$404,Performance!$B$5:$B$404,B120)))</f>
        <v>0</v>
      </c>
      <c r="Z120" s="23">
        <f>IF(B120="","",IF(COUNTIF(Performance!$B$5:$B$404,B120)=0,"",SUMIFS(Performance!$R$5:$R$404,Performance!$B$5:$B$404,B120)))</f>
        <v>0</v>
      </c>
      <c r="AA120" s="23">
        <f>IF(B120="","",IF(COUNTIF(Performance!$B$5:$B$404,B120)=0,"",SUMIFS(Performance!$U$5:$U$404,Performance!$B$5:$B$404,B120)))</f>
        <v>0</v>
      </c>
      <c r="AB120" s="29">
        <f>IF(B120="","",IF(C120="Not found","Check - content ID not on the calendar",IF(N120="","Add - no target keyword",IF(K120="","Add - no destination link",IF(AND(S120&lt;&gt;"",S120&lt;TODAY()),"Due - time to refresh this pin","OK")))))</f>
        <v>0</v>
      </c>
    </row>
    <row r="121" spans="1:28">
      <c r="A121" s="41">
        <f>IF(B121="","","PN-"&amp;TEXT(ROW()-4,"000"))</f>
        <v>0</v>
      </c>
      <c r="C121" s="17">
        <f>IF(B121="","",IFERROR(INDEX('Content Calendar'!$H$5:$H$604,MATCH(B121,'Content Calendar'!$A$5:$A$604,0)),"Not found"))</f>
        <v>0</v>
      </c>
      <c r="D121" s="16">
        <f>IF(B121="","",IFERROR(INDEX('Content Calendar'!$B$5:$B$604,MATCH(B121,'Content Calendar'!$A$5:$A$604,0)),"Not found"))</f>
        <v>0</v>
      </c>
      <c r="E121" s="17">
        <f>IF(B121="","",IFERROR(INDEX('Content Calendar'!$J$5:$J$604,MATCH(B121,'Content Calendar'!$A$5:$A$604,0)),"Not found"))</f>
        <v>0</v>
      </c>
      <c r="F121" s="29">
        <f>IF(B121="","",IFERROR(INDEX('Content Calendar'!$X$5:$X$604,MATCH(B121,'Content Calendar'!$A$5:$A$604,0)),"Not found"))</f>
        <v>0</v>
      </c>
      <c r="T121" s="23">
        <f>IF(B121="","",IF(COUNTIF(Performance!$B$5:$B$404,B121)=0,"",SUMIFS(Performance!$O$5:$O$404,Performance!$B$5:$B$404,B121)))</f>
        <v>0</v>
      </c>
      <c r="U121" s="23">
        <f>IF(B121="","",IF(COUNTIF(Performance!$B$5:$B$404,B121)=0,"",SUMIFS(Performance!$P$5:$P$404,Performance!$B$5:$B$404,B121)))</f>
        <v>0</v>
      </c>
      <c r="V121" s="23">
        <f>IF(B121="","",IF(COUNTIF(Performance!$B$5:$B$404,B121)=0,"",SUMIFS(Performance!$Z$5:$Z$404,Performance!$B$5:$B$404,B121)))</f>
        <v>0</v>
      </c>
      <c r="W121" s="24">
        <f>IF(OR(T121="",T121=0),"",V121/T121)</f>
        <v>0</v>
      </c>
      <c r="X121" s="23">
        <f>IF(B121="","",IF(COUNTIF(Performance!$B$5:$B$404,B121)=0,"",SUMIFS(Performance!$T$5:$T$404,Performance!$B$5:$B$404,B121)))</f>
        <v>0</v>
      </c>
      <c r="Y121" s="23">
        <f>IF(B121="","",IF(COUNTIF(Performance!$B$5:$B$404,B121)=0,"",SUMIFS(Performance!$S$5:$S$404,Performance!$B$5:$B$404,B121)))</f>
        <v>0</v>
      </c>
      <c r="Z121" s="23">
        <f>IF(B121="","",IF(COUNTIF(Performance!$B$5:$B$404,B121)=0,"",SUMIFS(Performance!$R$5:$R$404,Performance!$B$5:$B$404,B121)))</f>
        <v>0</v>
      </c>
      <c r="AA121" s="23">
        <f>IF(B121="","",IF(COUNTIF(Performance!$B$5:$B$404,B121)=0,"",SUMIFS(Performance!$U$5:$U$404,Performance!$B$5:$B$404,B121)))</f>
        <v>0</v>
      </c>
      <c r="AB121" s="29">
        <f>IF(B121="","",IF(C121="Not found","Check - content ID not on the calendar",IF(N121="","Add - no target keyword",IF(K121="","Add - no destination link",IF(AND(S121&lt;&gt;"",S121&lt;TODAY()),"Due - time to refresh this pin","OK")))))</f>
        <v>0</v>
      </c>
    </row>
    <row r="122" spans="1:28">
      <c r="A122" s="41">
        <f>IF(B122="","","PN-"&amp;TEXT(ROW()-4,"000"))</f>
        <v>0</v>
      </c>
      <c r="C122" s="17">
        <f>IF(B122="","",IFERROR(INDEX('Content Calendar'!$H$5:$H$604,MATCH(B122,'Content Calendar'!$A$5:$A$604,0)),"Not found"))</f>
        <v>0</v>
      </c>
      <c r="D122" s="16">
        <f>IF(B122="","",IFERROR(INDEX('Content Calendar'!$B$5:$B$604,MATCH(B122,'Content Calendar'!$A$5:$A$604,0)),"Not found"))</f>
        <v>0</v>
      </c>
      <c r="E122" s="17">
        <f>IF(B122="","",IFERROR(INDEX('Content Calendar'!$J$5:$J$604,MATCH(B122,'Content Calendar'!$A$5:$A$604,0)),"Not found"))</f>
        <v>0</v>
      </c>
      <c r="F122" s="29">
        <f>IF(B122="","",IFERROR(INDEX('Content Calendar'!$X$5:$X$604,MATCH(B122,'Content Calendar'!$A$5:$A$604,0)),"Not found"))</f>
        <v>0</v>
      </c>
      <c r="T122" s="23">
        <f>IF(B122="","",IF(COUNTIF(Performance!$B$5:$B$404,B122)=0,"",SUMIFS(Performance!$O$5:$O$404,Performance!$B$5:$B$404,B122)))</f>
        <v>0</v>
      </c>
      <c r="U122" s="23">
        <f>IF(B122="","",IF(COUNTIF(Performance!$B$5:$B$404,B122)=0,"",SUMIFS(Performance!$P$5:$P$404,Performance!$B$5:$B$404,B122)))</f>
        <v>0</v>
      </c>
      <c r="V122" s="23">
        <f>IF(B122="","",IF(COUNTIF(Performance!$B$5:$B$404,B122)=0,"",SUMIFS(Performance!$Z$5:$Z$404,Performance!$B$5:$B$404,B122)))</f>
        <v>0</v>
      </c>
      <c r="W122" s="24">
        <f>IF(OR(T122="",T122=0),"",V122/T122)</f>
        <v>0</v>
      </c>
      <c r="X122" s="23">
        <f>IF(B122="","",IF(COUNTIF(Performance!$B$5:$B$404,B122)=0,"",SUMIFS(Performance!$T$5:$T$404,Performance!$B$5:$B$404,B122)))</f>
        <v>0</v>
      </c>
      <c r="Y122" s="23">
        <f>IF(B122="","",IF(COUNTIF(Performance!$B$5:$B$404,B122)=0,"",SUMIFS(Performance!$S$5:$S$404,Performance!$B$5:$B$404,B122)))</f>
        <v>0</v>
      </c>
      <c r="Z122" s="23">
        <f>IF(B122="","",IF(COUNTIF(Performance!$B$5:$B$404,B122)=0,"",SUMIFS(Performance!$R$5:$R$404,Performance!$B$5:$B$404,B122)))</f>
        <v>0</v>
      </c>
      <c r="AA122" s="23">
        <f>IF(B122="","",IF(COUNTIF(Performance!$B$5:$B$404,B122)=0,"",SUMIFS(Performance!$U$5:$U$404,Performance!$B$5:$B$404,B122)))</f>
        <v>0</v>
      </c>
      <c r="AB122" s="29">
        <f>IF(B122="","",IF(C122="Not found","Check - content ID not on the calendar",IF(N122="","Add - no target keyword",IF(K122="","Add - no destination link",IF(AND(S122&lt;&gt;"",S122&lt;TODAY()),"Due - time to refresh this pin","OK")))))</f>
        <v>0</v>
      </c>
    </row>
    <row r="123" spans="1:28">
      <c r="A123" s="41">
        <f>IF(B123="","","PN-"&amp;TEXT(ROW()-4,"000"))</f>
        <v>0</v>
      </c>
      <c r="C123" s="17">
        <f>IF(B123="","",IFERROR(INDEX('Content Calendar'!$H$5:$H$604,MATCH(B123,'Content Calendar'!$A$5:$A$604,0)),"Not found"))</f>
        <v>0</v>
      </c>
      <c r="D123" s="16">
        <f>IF(B123="","",IFERROR(INDEX('Content Calendar'!$B$5:$B$604,MATCH(B123,'Content Calendar'!$A$5:$A$604,0)),"Not found"))</f>
        <v>0</v>
      </c>
      <c r="E123" s="17">
        <f>IF(B123="","",IFERROR(INDEX('Content Calendar'!$J$5:$J$604,MATCH(B123,'Content Calendar'!$A$5:$A$604,0)),"Not found"))</f>
        <v>0</v>
      </c>
      <c r="F123" s="29">
        <f>IF(B123="","",IFERROR(INDEX('Content Calendar'!$X$5:$X$604,MATCH(B123,'Content Calendar'!$A$5:$A$604,0)),"Not found"))</f>
        <v>0</v>
      </c>
      <c r="T123" s="23">
        <f>IF(B123="","",IF(COUNTIF(Performance!$B$5:$B$404,B123)=0,"",SUMIFS(Performance!$O$5:$O$404,Performance!$B$5:$B$404,B123)))</f>
        <v>0</v>
      </c>
      <c r="U123" s="23">
        <f>IF(B123="","",IF(COUNTIF(Performance!$B$5:$B$404,B123)=0,"",SUMIFS(Performance!$P$5:$P$404,Performance!$B$5:$B$404,B123)))</f>
        <v>0</v>
      </c>
      <c r="V123" s="23">
        <f>IF(B123="","",IF(COUNTIF(Performance!$B$5:$B$404,B123)=0,"",SUMIFS(Performance!$Z$5:$Z$404,Performance!$B$5:$B$404,B123)))</f>
        <v>0</v>
      </c>
      <c r="W123" s="24">
        <f>IF(OR(T123="",T123=0),"",V123/T123)</f>
        <v>0</v>
      </c>
      <c r="X123" s="23">
        <f>IF(B123="","",IF(COUNTIF(Performance!$B$5:$B$404,B123)=0,"",SUMIFS(Performance!$T$5:$T$404,Performance!$B$5:$B$404,B123)))</f>
        <v>0</v>
      </c>
      <c r="Y123" s="23">
        <f>IF(B123="","",IF(COUNTIF(Performance!$B$5:$B$404,B123)=0,"",SUMIFS(Performance!$S$5:$S$404,Performance!$B$5:$B$404,B123)))</f>
        <v>0</v>
      </c>
      <c r="Z123" s="23">
        <f>IF(B123="","",IF(COUNTIF(Performance!$B$5:$B$404,B123)=0,"",SUMIFS(Performance!$R$5:$R$404,Performance!$B$5:$B$404,B123)))</f>
        <v>0</v>
      </c>
      <c r="AA123" s="23">
        <f>IF(B123="","",IF(COUNTIF(Performance!$B$5:$B$404,B123)=0,"",SUMIFS(Performance!$U$5:$U$404,Performance!$B$5:$B$404,B123)))</f>
        <v>0</v>
      </c>
      <c r="AB123" s="29">
        <f>IF(B123="","",IF(C123="Not found","Check - content ID not on the calendar",IF(N123="","Add - no target keyword",IF(K123="","Add - no destination link",IF(AND(S123&lt;&gt;"",S123&lt;TODAY()),"Due - time to refresh this pin","OK")))))</f>
        <v>0</v>
      </c>
    </row>
    <row r="124" spans="1:28">
      <c r="A124" s="41">
        <f>IF(B124="","","PN-"&amp;TEXT(ROW()-4,"000"))</f>
        <v>0</v>
      </c>
      <c r="C124" s="17">
        <f>IF(B124="","",IFERROR(INDEX('Content Calendar'!$H$5:$H$604,MATCH(B124,'Content Calendar'!$A$5:$A$604,0)),"Not found"))</f>
        <v>0</v>
      </c>
      <c r="D124" s="16">
        <f>IF(B124="","",IFERROR(INDEX('Content Calendar'!$B$5:$B$604,MATCH(B124,'Content Calendar'!$A$5:$A$604,0)),"Not found"))</f>
        <v>0</v>
      </c>
      <c r="E124" s="17">
        <f>IF(B124="","",IFERROR(INDEX('Content Calendar'!$J$5:$J$604,MATCH(B124,'Content Calendar'!$A$5:$A$604,0)),"Not found"))</f>
        <v>0</v>
      </c>
      <c r="F124" s="29">
        <f>IF(B124="","",IFERROR(INDEX('Content Calendar'!$X$5:$X$604,MATCH(B124,'Content Calendar'!$A$5:$A$604,0)),"Not found"))</f>
        <v>0</v>
      </c>
      <c r="T124" s="23">
        <f>IF(B124="","",IF(COUNTIF(Performance!$B$5:$B$404,B124)=0,"",SUMIFS(Performance!$O$5:$O$404,Performance!$B$5:$B$404,B124)))</f>
        <v>0</v>
      </c>
      <c r="U124" s="23">
        <f>IF(B124="","",IF(COUNTIF(Performance!$B$5:$B$404,B124)=0,"",SUMIFS(Performance!$P$5:$P$404,Performance!$B$5:$B$404,B124)))</f>
        <v>0</v>
      </c>
      <c r="V124" s="23">
        <f>IF(B124="","",IF(COUNTIF(Performance!$B$5:$B$404,B124)=0,"",SUMIFS(Performance!$Z$5:$Z$404,Performance!$B$5:$B$404,B124)))</f>
        <v>0</v>
      </c>
      <c r="W124" s="24">
        <f>IF(OR(T124="",T124=0),"",V124/T124)</f>
        <v>0</v>
      </c>
      <c r="X124" s="23">
        <f>IF(B124="","",IF(COUNTIF(Performance!$B$5:$B$404,B124)=0,"",SUMIFS(Performance!$T$5:$T$404,Performance!$B$5:$B$404,B124)))</f>
        <v>0</v>
      </c>
      <c r="Y124" s="23">
        <f>IF(B124="","",IF(COUNTIF(Performance!$B$5:$B$404,B124)=0,"",SUMIFS(Performance!$S$5:$S$404,Performance!$B$5:$B$404,B124)))</f>
        <v>0</v>
      </c>
      <c r="Z124" s="23">
        <f>IF(B124="","",IF(COUNTIF(Performance!$B$5:$B$404,B124)=0,"",SUMIFS(Performance!$R$5:$R$404,Performance!$B$5:$B$404,B124)))</f>
        <v>0</v>
      </c>
      <c r="AA124" s="23">
        <f>IF(B124="","",IF(COUNTIF(Performance!$B$5:$B$404,B124)=0,"",SUMIFS(Performance!$U$5:$U$404,Performance!$B$5:$B$404,B124)))</f>
        <v>0</v>
      </c>
      <c r="AB124" s="29">
        <f>IF(B124="","",IF(C124="Not found","Check - content ID not on the calendar",IF(N124="","Add - no target keyword",IF(K124="","Add - no destination link",IF(AND(S124&lt;&gt;"",S124&lt;TODAY()),"Due - time to refresh this pin","OK")))))</f>
        <v>0</v>
      </c>
    </row>
    <row r="125" spans="1:28">
      <c r="A125" s="41">
        <f>IF(B125="","","PN-"&amp;TEXT(ROW()-4,"000"))</f>
        <v>0</v>
      </c>
      <c r="C125" s="17">
        <f>IF(B125="","",IFERROR(INDEX('Content Calendar'!$H$5:$H$604,MATCH(B125,'Content Calendar'!$A$5:$A$604,0)),"Not found"))</f>
        <v>0</v>
      </c>
      <c r="D125" s="16">
        <f>IF(B125="","",IFERROR(INDEX('Content Calendar'!$B$5:$B$604,MATCH(B125,'Content Calendar'!$A$5:$A$604,0)),"Not found"))</f>
        <v>0</v>
      </c>
      <c r="E125" s="17">
        <f>IF(B125="","",IFERROR(INDEX('Content Calendar'!$J$5:$J$604,MATCH(B125,'Content Calendar'!$A$5:$A$604,0)),"Not found"))</f>
        <v>0</v>
      </c>
      <c r="F125" s="29">
        <f>IF(B125="","",IFERROR(INDEX('Content Calendar'!$X$5:$X$604,MATCH(B125,'Content Calendar'!$A$5:$A$604,0)),"Not found"))</f>
        <v>0</v>
      </c>
      <c r="T125" s="23">
        <f>IF(B125="","",IF(COUNTIF(Performance!$B$5:$B$404,B125)=0,"",SUMIFS(Performance!$O$5:$O$404,Performance!$B$5:$B$404,B125)))</f>
        <v>0</v>
      </c>
      <c r="U125" s="23">
        <f>IF(B125="","",IF(COUNTIF(Performance!$B$5:$B$404,B125)=0,"",SUMIFS(Performance!$P$5:$P$404,Performance!$B$5:$B$404,B125)))</f>
        <v>0</v>
      </c>
      <c r="V125" s="23">
        <f>IF(B125="","",IF(COUNTIF(Performance!$B$5:$B$404,B125)=0,"",SUMIFS(Performance!$Z$5:$Z$404,Performance!$B$5:$B$404,B125)))</f>
        <v>0</v>
      </c>
      <c r="W125" s="24">
        <f>IF(OR(T125="",T125=0),"",V125/T125)</f>
        <v>0</v>
      </c>
      <c r="X125" s="23">
        <f>IF(B125="","",IF(COUNTIF(Performance!$B$5:$B$404,B125)=0,"",SUMIFS(Performance!$T$5:$T$404,Performance!$B$5:$B$404,B125)))</f>
        <v>0</v>
      </c>
      <c r="Y125" s="23">
        <f>IF(B125="","",IF(COUNTIF(Performance!$B$5:$B$404,B125)=0,"",SUMIFS(Performance!$S$5:$S$404,Performance!$B$5:$B$404,B125)))</f>
        <v>0</v>
      </c>
      <c r="Z125" s="23">
        <f>IF(B125="","",IF(COUNTIF(Performance!$B$5:$B$404,B125)=0,"",SUMIFS(Performance!$R$5:$R$404,Performance!$B$5:$B$404,B125)))</f>
        <v>0</v>
      </c>
      <c r="AA125" s="23">
        <f>IF(B125="","",IF(COUNTIF(Performance!$B$5:$B$404,B125)=0,"",SUMIFS(Performance!$U$5:$U$404,Performance!$B$5:$B$404,B125)))</f>
        <v>0</v>
      </c>
      <c r="AB125" s="29">
        <f>IF(B125="","",IF(C125="Not found","Check - content ID not on the calendar",IF(N125="","Add - no target keyword",IF(K125="","Add - no destination link",IF(AND(S125&lt;&gt;"",S125&lt;TODAY()),"Due - time to refresh this pin","OK")))))</f>
        <v>0</v>
      </c>
    </row>
    <row r="126" spans="1:28">
      <c r="A126" s="41">
        <f>IF(B126="","","PN-"&amp;TEXT(ROW()-4,"000"))</f>
        <v>0</v>
      </c>
      <c r="C126" s="17">
        <f>IF(B126="","",IFERROR(INDEX('Content Calendar'!$H$5:$H$604,MATCH(B126,'Content Calendar'!$A$5:$A$604,0)),"Not found"))</f>
        <v>0</v>
      </c>
      <c r="D126" s="16">
        <f>IF(B126="","",IFERROR(INDEX('Content Calendar'!$B$5:$B$604,MATCH(B126,'Content Calendar'!$A$5:$A$604,0)),"Not found"))</f>
        <v>0</v>
      </c>
      <c r="E126" s="17">
        <f>IF(B126="","",IFERROR(INDEX('Content Calendar'!$J$5:$J$604,MATCH(B126,'Content Calendar'!$A$5:$A$604,0)),"Not found"))</f>
        <v>0</v>
      </c>
      <c r="F126" s="29">
        <f>IF(B126="","",IFERROR(INDEX('Content Calendar'!$X$5:$X$604,MATCH(B126,'Content Calendar'!$A$5:$A$604,0)),"Not found"))</f>
        <v>0</v>
      </c>
      <c r="T126" s="23">
        <f>IF(B126="","",IF(COUNTIF(Performance!$B$5:$B$404,B126)=0,"",SUMIFS(Performance!$O$5:$O$404,Performance!$B$5:$B$404,B126)))</f>
        <v>0</v>
      </c>
      <c r="U126" s="23">
        <f>IF(B126="","",IF(COUNTIF(Performance!$B$5:$B$404,B126)=0,"",SUMIFS(Performance!$P$5:$P$404,Performance!$B$5:$B$404,B126)))</f>
        <v>0</v>
      </c>
      <c r="V126" s="23">
        <f>IF(B126="","",IF(COUNTIF(Performance!$B$5:$B$404,B126)=0,"",SUMIFS(Performance!$Z$5:$Z$404,Performance!$B$5:$B$404,B126)))</f>
        <v>0</v>
      </c>
      <c r="W126" s="24">
        <f>IF(OR(T126="",T126=0),"",V126/T126)</f>
        <v>0</v>
      </c>
      <c r="X126" s="23">
        <f>IF(B126="","",IF(COUNTIF(Performance!$B$5:$B$404,B126)=0,"",SUMIFS(Performance!$T$5:$T$404,Performance!$B$5:$B$404,B126)))</f>
        <v>0</v>
      </c>
      <c r="Y126" s="23">
        <f>IF(B126="","",IF(COUNTIF(Performance!$B$5:$B$404,B126)=0,"",SUMIFS(Performance!$S$5:$S$404,Performance!$B$5:$B$404,B126)))</f>
        <v>0</v>
      </c>
      <c r="Z126" s="23">
        <f>IF(B126="","",IF(COUNTIF(Performance!$B$5:$B$404,B126)=0,"",SUMIFS(Performance!$R$5:$R$404,Performance!$B$5:$B$404,B126)))</f>
        <v>0</v>
      </c>
      <c r="AA126" s="23">
        <f>IF(B126="","",IF(COUNTIF(Performance!$B$5:$B$404,B126)=0,"",SUMIFS(Performance!$U$5:$U$404,Performance!$B$5:$B$404,B126)))</f>
        <v>0</v>
      </c>
      <c r="AB126" s="29">
        <f>IF(B126="","",IF(C126="Not found","Check - content ID not on the calendar",IF(N126="","Add - no target keyword",IF(K126="","Add - no destination link",IF(AND(S126&lt;&gt;"",S126&lt;TODAY()),"Due - time to refresh this pin","OK")))))</f>
        <v>0</v>
      </c>
    </row>
    <row r="127" spans="1:28">
      <c r="A127" s="41">
        <f>IF(B127="","","PN-"&amp;TEXT(ROW()-4,"000"))</f>
        <v>0</v>
      </c>
      <c r="C127" s="17">
        <f>IF(B127="","",IFERROR(INDEX('Content Calendar'!$H$5:$H$604,MATCH(B127,'Content Calendar'!$A$5:$A$604,0)),"Not found"))</f>
        <v>0</v>
      </c>
      <c r="D127" s="16">
        <f>IF(B127="","",IFERROR(INDEX('Content Calendar'!$B$5:$B$604,MATCH(B127,'Content Calendar'!$A$5:$A$604,0)),"Not found"))</f>
        <v>0</v>
      </c>
      <c r="E127" s="17">
        <f>IF(B127="","",IFERROR(INDEX('Content Calendar'!$J$5:$J$604,MATCH(B127,'Content Calendar'!$A$5:$A$604,0)),"Not found"))</f>
        <v>0</v>
      </c>
      <c r="F127" s="29">
        <f>IF(B127="","",IFERROR(INDEX('Content Calendar'!$X$5:$X$604,MATCH(B127,'Content Calendar'!$A$5:$A$604,0)),"Not found"))</f>
        <v>0</v>
      </c>
      <c r="T127" s="23">
        <f>IF(B127="","",IF(COUNTIF(Performance!$B$5:$B$404,B127)=0,"",SUMIFS(Performance!$O$5:$O$404,Performance!$B$5:$B$404,B127)))</f>
        <v>0</v>
      </c>
      <c r="U127" s="23">
        <f>IF(B127="","",IF(COUNTIF(Performance!$B$5:$B$404,B127)=0,"",SUMIFS(Performance!$P$5:$P$404,Performance!$B$5:$B$404,B127)))</f>
        <v>0</v>
      </c>
      <c r="V127" s="23">
        <f>IF(B127="","",IF(COUNTIF(Performance!$B$5:$B$404,B127)=0,"",SUMIFS(Performance!$Z$5:$Z$404,Performance!$B$5:$B$404,B127)))</f>
        <v>0</v>
      </c>
      <c r="W127" s="24">
        <f>IF(OR(T127="",T127=0),"",V127/T127)</f>
        <v>0</v>
      </c>
      <c r="X127" s="23">
        <f>IF(B127="","",IF(COUNTIF(Performance!$B$5:$B$404,B127)=0,"",SUMIFS(Performance!$T$5:$T$404,Performance!$B$5:$B$404,B127)))</f>
        <v>0</v>
      </c>
      <c r="Y127" s="23">
        <f>IF(B127="","",IF(COUNTIF(Performance!$B$5:$B$404,B127)=0,"",SUMIFS(Performance!$S$5:$S$404,Performance!$B$5:$B$404,B127)))</f>
        <v>0</v>
      </c>
      <c r="Z127" s="23">
        <f>IF(B127="","",IF(COUNTIF(Performance!$B$5:$B$404,B127)=0,"",SUMIFS(Performance!$R$5:$R$404,Performance!$B$5:$B$404,B127)))</f>
        <v>0</v>
      </c>
      <c r="AA127" s="23">
        <f>IF(B127="","",IF(COUNTIF(Performance!$B$5:$B$404,B127)=0,"",SUMIFS(Performance!$U$5:$U$404,Performance!$B$5:$B$404,B127)))</f>
        <v>0</v>
      </c>
      <c r="AB127" s="29">
        <f>IF(B127="","",IF(C127="Not found","Check - content ID not on the calendar",IF(N127="","Add - no target keyword",IF(K127="","Add - no destination link",IF(AND(S127&lt;&gt;"",S127&lt;TODAY()),"Due - time to refresh this pin","OK")))))</f>
        <v>0</v>
      </c>
    </row>
    <row r="128" spans="1:28">
      <c r="A128" s="41">
        <f>IF(B128="","","PN-"&amp;TEXT(ROW()-4,"000"))</f>
        <v>0</v>
      </c>
      <c r="C128" s="17">
        <f>IF(B128="","",IFERROR(INDEX('Content Calendar'!$H$5:$H$604,MATCH(B128,'Content Calendar'!$A$5:$A$604,0)),"Not found"))</f>
        <v>0</v>
      </c>
      <c r="D128" s="16">
        <f>IF(B128="","",IFERROR(INDEX('Content Calendar'!$B$5:$B$604,MATCH(B128,'Content Calendar'!$A$5:$A$604,0)),"Not found"))</f>
        <v>0</v>
      </c>
      <c r="E128" s="17">
        <f>IF(B128="","",IFERROR(INDEX('Content Calendar'!$J$5:$J$604,MATCH(B128,'Content Calendar'!$A$5:$A$604,0)),"Not found"))</f>
        <v>0</v>
      </c>
      <c r="F128" s="29">
        <f>IF(B128="","",IFERROR(INDEX('Content Calendar'!$X$5:$X$604,MATCH(B128,'Content Calendar'!$A$5:$A$604,0)),"Not found"))</f>
        <v>0</v>
      </c>
      <c r="T128" s="23">
        <f>IF(B128="","",IF(COUNTIF(Performance!$B$5:$B$404,B128)=0,"",SUMIFS(Performance!$O$5:$O$404,Performance!$B$5:$B$404,B128)))</f>
        <v>0</v>
      </c>
      <c r="U128" s="23">
        <f>IF(B128="","",IF(COUNTIF(Performance!$B$5:$B$404,B128)=0,"",SUMIFS(Performance!$P$5:$P$404,Performance!$B$5:$B$404,B128)))</f>
        <v>0</v>
      </c>
      <c r="V128" s="23">
        <f>IF(B128="","",IF(COUNTIF(Performance!$B$5:$B$404,B128)=0,"",SUMIFS(Performance!$Z$5:$Z$404,Performance!$B$5:$B$404,B128)))</f>
        <v>0</v>
      </c>
      <c r="W128" s="24">
        <f>IF(OR(T128="",T128=0),"",V128/T128)</f>
        <v>0</v>
      </c>
      <c r="X128" s="23">
        <f>IF(B128="","",IF(COUNTIF(Performance!$B$5:$B$404,B128)=0,"",SUMIFS(Performance!$T$5:$T$404,Performance!$B$5:$B$404,B128)))</f>
        <v>0</v>
      </c>
      <c r="Y128" s="23">
        <f>IF(B128="","",IF(COUNTIF(Performance!$B$5:$B$404,B128)=0,"",SUMIFS(Performance!$S$5:$S$404,Performance!$B$5:$B$404,B128)))</f>
        <v>0</v>
      </c>
      <c r="Z128" s="23">
        <f>IF(B128="","",IF(COUNTIF(Performance!$B$5:$B$404,B128)=0,"",SUMIFS(Performance!$R$5:$R$404,Performance!$B$5:$B$404,B128)))</f>
        <v>0</v>
      </c>
      <c r="AA128" s="23">
        <f>IF(B128="","",IF(COUNTIF(Performance!$B$5:$B$404,B128)=0,"",SUMIFS(Performance!$U$5:$U$404,Performance!$B$5:$B$404,B128)))</f>
        <v>0</v>
      </c>
      <c r="AB128" s="29">
        <f>IF(B128="","",IF(C128="Not found","Check - content ID not on the calendar",IF(N128="","Add - no target keyword",IF(K128="","Add - no destination link",IF(AND(S128&lt;&gt;"",S128&lt;TODAY()),"Due - time to refresh this pin","OK")))))</f>
        <v>0</v>
      </c>
    </row>
    <row r="129" spans="1:28">
      <c r="A129" s="41">
        <f>IF(B129="","","PN-"&amp;TEXT(ROW()-4,"000"))</f>
        <v>0</v>
      </c>
      <c r="C129" s="17">
        <f>IF(B129="","",IFERROR(INDEX('Content Calendar'!$H$5:$H$604,MATCH(B129,'Content Calendar'!$A$5:$A$604,0)),"Not found"))</f>
        <v>0</v>
      </c>
      <c r="D129" s="16">
        <f>IF(B129="","",IFERROR(INDEX('Content Calendar'!$B$5:$B$604,MATCH(B129,'Content Calendar'!$A$5:$A$604,0)),"Not found"))</f>
        <v>0</v>
      </c>
      <c r="E129" s="17">
        <f>IF(B129="","",IFERROR(INDEX('Content Calendar'!$J$5:$J$604,MATCH(B129,'Content Calendar'!$A$5:$A$604,0)),"Not found"))</f>
        <v>0</v>
      </c>
      <c r="F129" s="29">
        <f>IF(B129="","",IFERROR(INDEX('Content Calendar'!$X$5:$X$604,MATCH(B129,'Content Calendar'!$A$5:$A$604,0)),"Not found"))</f>
        <v>0</v>
      </c>
      <c r="T129" s="23">
        <f>IF(B129="","",IF(COUNTIF(Performance!$B$5:$B$404,B129)=0,"",SUMIFS(Performance!$O$5:$O$404,Performance!$B$5:$B$404,B129)))</f>
        <v>0</v>
      </c>
      <c r="U129" s="23">
        <f>IF(B129="","",IF(COUNTIF(Performance!$B$5:$B$404,B129)=0,"",SUMIFS(Performance!$P$5:$P$404,Performance!$B$5:$B$404,B129)))</f>
        <v>0</v>
      </c>
      <c r="V129" s="23">
        <f>IF(B129="","",IF(COUNTIF(Performance!$B$5:$B$404,B129)=0,"",SUMIFS(Performance!$Z$5:$Z$404,Performance!$B$5:$B$404,B129)))</f>
        <v>0</v>
      </c>
      <c r="W129" s="24">
        <f>IF(OR(T129="",T129=0),"",V129/T129)</f>
        <v>0</v>
      </c>
      <c r="X129" s="23">
        <f>IF(B129="","",IF(COUNTIF(Performance!$B$5:$B$404,B129)=0,"",SUMIFS(Performance!$T$5:$T$404,Performance!$B$5:$B$404,B129)))</f>
        <v>0</v>
      </c>
      <c r="Y129" s="23">
        <f>IF(B129="","",IF(COUNTIF(Performance!$B$5:$B$404,B129)=0,"",SUMIFS(Performance!$S$5:$S$404,Performance!$B$5:$B$404,B129)))</f>
        <v>0</v>
      </c>
      <c r="Z129" s="23">
        <f>IF(B129="","",IF(COUNTIF(Performance!$B$5:$B$404,B129)=0,"",SUMIFS(Performance!$R$5:$R$404,Performance!$B$5:$B$404,B129)))</f>
        <v>0</v>
      </c>
      <c r="AA129" s="23">
        <f>IF(B129="","",IF(COUNTIF(Performance!$B$5:$B$404,B129)=0,"",SUMIFS(Performance!$U$5:$U$404,Performance!$B$5:$B$404,B129)))</f>
        <v>0</v>
      </c>
      <c r="AB129" s="29">
        <f>IF(B129="","",IF(C129="Not found","Check - content ID not on the calendar",IF(N129="","Add - no target keyword",IF(K129="","Add - no destination link",IF(AND(S129&lt;&gt;"",S129&lt;TODAY()),"Due - time to refresh this pin","OK")))))</f>
        <v>0</v>
      </c>
    </row>
    <row r="130" spans="1:28">
      <c r="A130" s="41">
        <f>IF(B130="","","PN-"&amp;TEXT(ROW()-4,"000"))</f>
        <v>0</v>
      </c>
      <c r="C130" s="17">
        <f>IF(B130="","",IFERROR(INDEX('Content Calendar'!$H$5:$H$604,MATCH(B130,'Content Calendar'!$A$5:$A$604,0)),"Not found"))</f>
        <v>0</v>
      </c>
      <c r="D130" s="16">
        <f>IF(B130="","",IFERROR(INDEX('Content Calendar'!$B$5:$B$604,MATCH(B130,'Content Calendar'!$A$5:$A$604,0)),"Not found"))</f>
        <v>0</v>
      </c>
      <c r="E130" s="17">
        <f>IF(B130="","",IFERROR(INDEX('Content Calendar'!$J$5:$J$604,MATCH(B130,'Content Calendar'!$A$5:$A$604,0)),"Not found"))</f>
        <v>0</v>
      </c>
      <c r="F130" s="29">
        <f>IF(B130="","",IFERROR(INDEX('Content Calendar'!$X$5:$X$604,MATCH(B130,'Content Calendar'!$A$5:$A$604,0)),"Not found"))</f>
        <v>0</v>
      </c>
      <c r="T130" s="23">
        <f>IF(B130="","",IF(COUNTIF(Performance!$B$5:$B$404,B130)=0,"",SUMIFS(Performance!$O$5:$O$404,Performance!$B$5:$B$404,B130)))</f>
        <v>0</v>
      </c>
      <c r="U130" s="23">
        <f>IF(B130="","",IF(COUNTIF(Performance!$B$5:$B$404,B130)=0,"",SUMIFS(Performance!$P$5:$P$404,Performance!$B$5:$B$404,B130)))</f>
        <v>0</v>
      </c>
      <c r="V130" s="23">
        <f>IF(B130="","",IF(COUNTIF(Performance!$B$5:$B$404,B130)=0,"",SUMIFS(Performance!$Z$5:$Z$404,Performance!$B$5:$B$404,B130)))</f>
        <v>0</v>
      </c>
      <c r="W130" s="24">
        <f>IF(OR(T130="",T130=0),"",V130/T130)</f>
        <v>0</v>
      </c>
      <c r="X130" s="23">
        <f>IF(B130="","",IF(COUNTIF(Performance!$B$5:$B$404,B130)=0,"",SUMIFS(Performance!$T$5:$T$404,Performance!$B$5:$B$404,B130)))</f>
        <v>0</v>
      </c>
      <c r="Y130" s="23">
        <f>IF(B130="","",IF(COUNTIF(Performance!$B$5:$B$404,B130)=0,"",SUMIFS(Performance!$S$5:$S$404,Performance!$B$5:$B$404,B130)))</f>
        <v>0</v>
      </c>
      <c r="Z130" s="23">
        <f>IF(B130="","",IF(COUNTIF(Performance!$B$5:$B$404,B130)=0,"",SUMIFS(Performance!$R$5:$R$404,Performance!$B$5:$B$404,B130)))</f>
        <v>0</v>
      </c>
      <c r="AA130" s="23">
        <f>IF(B130="","",IF(COUNTIF(Performance!$B$5:$B$404,B130)=0,"",SUMIFS(Performance!$U$5:$U$404,Performance!$B$5:$B$404,B130)))</f>
        <v>0</v>
      </c>
      <c r="AB130" s="29">
        <f>IF(B130="","",IF(C130="Not found","Check - content ID not on the calendar",IF(N130="","Add - no target keyword",IF(K130="","Add - no destination link",IF(AND(S130&lt;&gt;"",S130&lt;TODAY()),"Due - time to refresh this pin","OK")))))</f>
        <v>0</v>
      </c>
    </row>
    <row r="131" spans="1:28">
      <c r="A131" s="41">
        <f>IF(B131="","","PN-"&amp;TEXT(ROW()-4,"000"))</f>
        <v>0</v>
      </c>
      <c r="C131" s="17">
        <f>IF(B131="","",IFERROR(INDEX('Content Calendar'!$H$5:$H$604,MATCH(B131,'Content Calendar'!$A$5:$A$604,0)),"Not found"))</f>
        <v>0</v>
      </c>
      <c r="D131" s="16">
        <f>IF(B131="","",IFERROR(INDEX('Content Calendar'!$B$5:$B$604,MATCH(B131,'Content Calendar'!$A$5:$A$604,0)),"Not found"))</f>
        <v>0</v>
      </c>
      <c r="E131" s="17">
        <f>IF(B131="","",IFERROR(INDEX('Content Calendar'!$J$5:$J$604,MATCH(B131,'Content Calendar'!$A$5:$A$604,0)),"Not found"))</f>
        <v>0</v>
      </c>
      <c r="F131" s="29">
        <f>IF(B131="","",IFERROR(INDEX('Content Calendar'!$X$5:$X$604,MATCH(B131,'Content Calendar'!$A$5:$A$604,0)),"Not found"))</f>
        <v>0</v>
      </c>
      <c r="T131" s="23">
        <f>IF(B131="","",IF(COUNTIF(Performance!$B$5:$B$404,B131)=0,"",SUMIFS(Performance!$O$5:$O$404,Performance!$B$5:$B$404,B131)))</f>
        <v>0</v>
      </c>
      <c r="U131" s="23">
        <f>IF(B131="","",IF(COUNTIF(Performance!$B$5:$B$404,B131)=0,"",SUMIFS(Performance!$P$5:$P$404,Performance!$B$5:$B$404,B131)))</f>
        <v>0</v>
      </c>
      <c r="V131" s="23">
        <f>IF(B131="","",IF(COUNTIF(Performance!$B$5:$B$404,B131)=0,"",SUMIFS(Performance!$Z$5:$Z$404,Performance!$B$5:$B$404,B131)))</f>
        <v>0</v>
      </c>
      <c r="W131" s="24">
        <f>IF(OR(T131="",T131=0),"",V131/T131)</f>
        <v>0</v>
      </c>
      <c r="X131" s="23">
        <f>IF(B131="","",IF(COUNTIF(Performance!$B$5:$B$404,B131)=0,"",SUMIFS(Performance!$T$5:$T$404,Performance!$B$5:$B$404,B131)))</f>
        <v>0</v>
      </c>
      <c r="Y131" s="23">
        <f>IF(B131="","",IF(COUNTIF(Performance!$B$5:$B$404,B131)=0,"",SUMIFS(Performance!$S$5:$S$404,Performance!$B$5:$B$404,B131)))</f>
        <v>0</v>
      </c>
      <c r="Z131" s="23">
        <f>IF(B131="","",IF(COUNTIF(Performance!$B$5:$B$404,B131)=0,"",SUMIFS(Performance!$R$5:$R$404,Performance!$B$5:$B$404,B131)))</f>
        <v>0</v>
      </c>
      <c r="AA131" s="23">
        <f>IF(B131="","",IF(COUNTIF(Performance!$B$5:$B$404,B131)=0,"",SUMIFS(Performance!$U$5:$U$404,Performance!$B$5:$B$404,B131)))</f>
        <v>0</v>
      </c>
      <c r="AB131" s="29">
        <f>IF(B131="","",IF(C131="Not found","Check - content ID not on the calendar",IF(N131="","Add - no target keyword",IF(K131="","Add - no destination link",IF(AND(S131&lt;&gt;"",S131&lt;TODAY()),"Due - time to refresh this pin","OK")))))</f>
        <v>0</v>
      </c>
    </row>
    <row r="132" spans="1:28">
      <c r="A132" s="41">
        <f>IF(B132="","","PN-"&amp;TEXT(ROW()-4,"000"))</f>
        <v>0</v>
      </c>
      <c r="C132" s="17">
        <f>IF(B132="","",IFERROR(INDEX('Content Calendar'!$H$5:$H$604,MATCH(B132,'Content Calendar'!$A$5:$A$604,0)),"Not found"))</f>
        <v>0</v>
      </c>
      <c r="D132" s="16">
        <f>IF(B132="","",IFERROR(INDEX('Content Calendar'!$B$5:$B$604,MATCH(B132,'Content Calendar'!$A$5:$A$604,0)),"Not found"))</f>
        <v>0</v>
      </c>
      <c r="E132" s="17">
        <f>IF(B132="","",IFERROR(INDEX('Content Calendar'!$J$5:$J$604,MATCH(B132,'Content Calendar'!$A$5:$A$604,0)),"Not found"))</f>
        <v>0</v>
      </c>
      <c r="F132" s="29">
        <f>IF(B132="","",IFERROR(INDEX('Content Calendar'!$X$5:$X$604,MATCH(B132,'Content Calendar'!$A$5:$A$604,0)),"Not found"))</f>
        <v>0</v>
      </c>
      <c r="T132" s="23">
        <f>IF(B132="","",IF(COUNTIF(Performance!$B$5:$B$404,B132)=0,"",SUMIFS(Performance!$O$5:$O$404,Performance!$B$5:$B$404,B132)))</f>
        <v>0</v>
      </c>
      <c r="U132" s="23">
        <f>IF(B132="","",IF(COUNTIF(Performance!$B$5:$B$404,B132)=0,"",SUMIFS(Performance!$P$5:$P$404,Performance!$B$5:$B$404,B132)))</f>
        <v>0</v>
      </c>
      <c r="V132" s="23">
        <f>IF(B132="","",IF(COUNTIF(Performance!$B$5:$B$404,B132)=0,"",SUMIFS(Performance!$Z$5:$Z$404,Performance!$B$5:$B$404,B132)))</f>
        <v>0</v>
      </c>
      <c r="W132" s="24">
        <f>IF(OR(T132="",T132=0),"",V132/T132)</f>
        <v>0</v>
      </c>
      <c r="X132" s="23">
        <f>IF(B132="","",IF(COUNTIF(Performance!$B$5:$B$404,B132)=0,"",SUMIFS(Performance!$T$5:$T$404,Performance!$B$5:$B$404,B132)))</f>
        <v>0</v>
      </c>
      <c r="Y132" s="23">
        <f>IF(B132="","",IF(COUNTIF(Performance!$B$5:$B$404,B132)=0,"",SUMIFS(Performance!$S$5:$S$404,Performance!$B$5:$B$404,B132)))</f>
        <v>0</v>
      </c>
      <c r="Z132" s="23">
        <f>IF(B132="","",IF(COUNTIF(Performance!$B$5:$B$404,B132)=0,"",SUMIFS(Performance!$R$5:$R$404,Performance!$B$5:$B$404,B132)))</f>
        <v>0</v>
      </c>
      <c r="AA132" s="23">
        <f>IF(B132="","",IF(COUNTIF(Performance!$B$5:$B$404,B132)=0,"",SUMIFS(Performance!$U$5:$U$404,Performance!$B$5:$B$404,B132)))</f>
        <v>0</v>
      </c>
      <c r="AB132" s="29">
        <f>IF(B132="","",IF(C132="Not found","Check - content ID not on the calendar",IF(N132="","Add - no target keyword",IF(K132="","Add - no destination link",IF(AND(S132&lt;&gt;"",S132&lt;TODAY()),"Due - time to refresh this pin","OK")))))</f>
        <v>0</v>
      </c>
    </row>
    <row r="133" spans="1:28">
      <c r="A133" s="41">
        <f>IF(B133="","","PN-"&amp;TEXT(ROW()-4,"000"))</f>
        <v>0</v>
      </c>
      <c r="C133" s="17">
        <f>IF(B133="","",IFERROR(INDEX('Content Calendar'!$H$5:$H$604,MATCH(B133,'Content Calendar'!$A$5:$A$604,0)),"Not found"))</f>
        <v>0</v>
      </c>
      <c r="D133" s="16">
        <f>IF(B133="","",IFERROR(INDEX('Content Calendar'!$B$5:$B$604,MATCH(B133,'Content Calendar'!$A$5:$A$604,0)),"Not found"))</f>
        <v>0</v>
      </c>
      <c r="E133" s="17">
        <f>IF(B133="","",IFERROR(INDEX('Content Calendar'!$J$5:$J$604,MATCH(B133,'Content Calendar'!$A$5:$A$604,0)),"Not found"))</f>
        <v>0</v>
      </c>
      <c r="F133" s="29">
        <f>IF(B133="","",IFERROR(INDEX('Content Calendar'!$X$5:$X$604,MATCH(B133,'Content Calendar'!$A$5:$A$604,0)),"Not found"))</f>
        <v>0</v>
      </c>
      <c r="T133" s="23">
        <f>IF(B133="","",IF(COUNTIF(Performance!$B$5:$B$404,B133)=0,"",SUMIFS(Performance!$O$5:$O$404,Performance!$B$5:$B$404,B133)))</f>
        <v>0</v>
      </c>
      <c r="U133" s="23">
        <f>IF(B133="","",IF(COUNTIF(Performance!$B$5:$B$404,B133)=0,"",SUMIFS(Performance!$P$5:$P$404,Performance!$B$5:$B$404,B133)))</f>
        <v>0</v>
      </c>
      <c r="V133" s="23">
        <f>IF(B133="","",IF(COUNTIF(Performance!$B$5:$B$404,B133)=0,"",SUMIFS(Performance!$Z$5:$Z$404,Performance!$B$5:$B$404,B133)))</f>
        <v>0</v>
      </c>
      <c r="W133" s="24">
        <f>IF(OR(T133="",T133=0),"",V133/T133)</f>
        <v>0</v>
      </c>
      <c r="X133" s="23">
        <f>IF(B133="","",IF(COUNTIF(Performance!$B$5:$B$404,B133)=0,"",SUMIFS(Performance!$T$5:$T$404,Performance!$B$5:$B$404,B133)))</f>
        <v>0</v>
      </c>
      <c r="Y133" s="23">
        <f>IF(B133="","",IF(COUNTIF(Performance!$B$5:$B$404,B133)=0,"",SUMIFS(Performance!$S$5:$S$404,Performance!$B$5:$B$404,B133)))</f>
        <v>0</v>
      </c>
      <c r="Z133" s="23">
        <f>IF(B133="","",IF(COUNTIF(Performance!$B$5:$B$404,B133)=0,"",SUMIFS(Performance!$R$5:$R$404,Performance!$B$5:$B$404,B133)))</f>
        <v>0</v>
      </c>
      <c r="AA133" s="23">
        <f>IF(B133="","",IF(COUNTIF(Performance!$B$5:$B$404,B133)=0,"",SUMIFS(Performance!$U$5:$U$404,Performance!$B$5:$B$404,B133)))</f>
        <v>0</v>
      </c>
      <c r="AB133" s="29">
        <f>IF(B133="","",IF(C133="Not found","Check - content ID not on the calendar",IF(N133="","Add - no target keyword",IF(K133="","Add - no destination link",IF(AND(S133&lt;&gt;"",S133&lt;TODAY()),"Due - time to refresh this pin","OK")))))</f>
        <v>0</v>
      </c>
    </row>
    <row r="134" spans="1:28">
      <c r="A134" s="41">
        <f>IF(B134="","","PN-"&amp;TEXT(ROW()-4,"000"))</f>
        <v>0</v>
      </c>
      <c r="C134" s="17">
        <f>IF(B134="","",IFERROR(INDEX('Content Calendar'!$H$5:$H$604,MATCH(B134,'Content Calendar'!$A$5:$A$604,0)),"Not found"))</f>
        <v>0</v>
      </c>
      <c r="D134" s="16">
        <f>IF(B134="","",IFERROR(INDEX('Content Calendar'!$B$5:$B$604,MATCH(B134,'Content Calendar'!$A$5:$A$604,0)),"Not found"))</f>
        <v>0</v>
      </c>
      <c r="E134" s="17">
        <f>IF(B134="","",IFERROR(INDEX('Content Calendar'!$J$5:$J$604,MATCH(B134,'Content Calendar'!$A$5:$A$604,0)),"Not found"))</f>
        <v>0</v>
      </c>
      <c r="F134" s="29">
        <f>IF(B134="","",IFERROR(INDEX('Content Calendar'!$X$5:$X$604,MATCH(B134,'Content Calendar'!$A$5:$A$604,0)),"Not found"))</f>
        <v>0</v>
      </c>
      <c r="T134" s="23">
        <f>IF(B134="","",IF(COUNTIF(Performance!$B$5:$B$404,B134)=0,"",SUMIFS(Performance!$O$5:$O$404,Performance!$B$5:$B$404,B134)))</f>
        <v>0</v>
      </c>
      <c r="U134" s="23">
        <f>IF(B134="","",IF(COUNTIF(Performance!$B$5:$B$404,B134)=0,"",SUMIFS(Performance!$P$5:$P$404,Performance!$B$5:$B$404,B134)))</f>
        <v>0</v>
      </c>
      <c r="V134" s="23">
        <f>IF(B134="","",IF(COUNTIF(Performance!$B$5:$B$404,B134)=0,"",SUMIFS(Performance!$Z$5:$Z$404,Performance!$B$5:$B$404,B134)))</f>
        <v>0</v>
      </c>
      <c r="W134" s="24">
        <f>IF(OR(T134="",T134=0),"",V134/T134)</f>
        <v>0</v>
      </c>
      <c r="X134" s="23">
        <f>IF(B134="","",IF(COUNTIF(Performance!$B$5:$B$404,B134)=0,"",SUMIFS(Performance!$T$5:$T$404,Performance!$B$5:$B$404,B134)))</f>
        <v>0</v>
      </c>
      <c r="Y134" s="23">
        <f>IF(B134="","",IF(COUNTIF(Performance!$B$5:$B$404,B134)=0,"",SUMIFS(Performance!$S$5:$S$404,Performance!$B$5:$B$404,B134)))</f>
        <v>0</v>
      </c>
      <c r="Z134" s="23">
        <f>IF(B134="","",IF(COUNTIF(Performance!$B$5:$B$404,B134)=0,"",SUMIFS(Performance!$R$5:$R$404,Performance!$B$5:$B$404,B134)))</f>
        <v>0</v>
      </c>
      <c r="AA134" s="23">
        <f>IF(B134="","",IF(COUNTIF(Performance!$B$5:$B$404,B134)=0,"",SUMIFS(Performance!$U$5:$U$404,Performance!$B$5:$B$404,B134)))</f>
        <v>0</v>
      </c>
      <c r="AB134" s="29">
        <f>IF(B134="","",IF(C134="Not found","Check - content ID not on the calendar",IF(N134="","Add - no target keyword",IF(K134="","Add - no destination link",IF(AND(S134&lt;&gt;"",S134&lt;TODAY()),"Due - time to refresh this pin","OK")))))</f>
        <v>0</v>
      </c>
    </row>
    <row r="135" spans="1:28">
      <c r="A135" s="41">
        <f>IF(B135="","","PN-"&amp;TEXT(ROW()-4,"000"))</f>
        <v>0</v>
      </c>
      <c r="C135" s="17">
        <f>IF(B135="","",IFERROR(INDEX('Content Calendar'!$H$5:$H$604,MATCH(B135,'Content Calendar'!$A$5:$A$604,0)),"Not found"))</f>
        <v>0</v>
      </c>
      <c r="D135" s="16">
        <f>IF(B135="","",IFERROR(INDEX('Content Calendar'!$B$5:$B$604,MATCH(B135,'Content Calendar'!$A$5:$A$604,0)),"Not found"))</f>
        <v>0</v>
      </c>
      <c r="E135" s="17">
        <f>IF(B135="","",IFERROR(INDEX('Content Calendar'!$J$5:$J$604,MATCH(B135,'Content Calendar'!$A$5:$A$604,0)),"Not found"))</f>
        <v>0</v>
      </c>
      <c r="F135" s="29">
        <f>IF(B135="","",IFERROR(INDEX('Content Calendar'!$X$5:$X$604,MATCH(B135,'Content Calendar'!$A$5:$A$604,0)),"Not found"))</f>
        <v>0</v>
      </c>
      <c r="T135" s="23">
        <f>IF(B135="","",IF(COUNTIF(Performance!$B$5:$B$404,B135)=0,"",SUMIFS(Performance!$O$5:$O$404,Performance!$B$5:$B$404,B135)))</f>
        <v>0</v>
      </c>
      <c r="U135" s="23">
        <f>IF(B135="","",IF(COUNTIF(Performance!$B$5:$B$404,B135)=0,"",SUMIFS(Performance!$P$5:$P$404,Performance!$B$5:$B$404,B135)))</f>
        <v>0</v>
      </c>
      <c r="V135" s="23">
        <f>IF(B135="","",IF(COUNTIF(Performance!$B$5:$B$404,B135)=0,"",SUMIFS(Performance!$Z$5:$Z$404,Performance!$B$5:$B$404,B135)))</f>
        <v>0</v>
      </c>
      <c r="W135" s="24">
        <f>IF(OR(T135="",T135=0),"",V135/T135)</f>
        <v>0</v>
      </c>
      <c r="X135" s="23">
        <f>IF(B135="","",IF(COUNTIF(Performance!$B$5:$B$404,B135)=0,"",SUMIFS(Performance!$T$5:$T$404,Performance!$B$5:$B$404,B135)))</f>
        <v>0</v>
      </c>
      <c r="Y135" s="23">
        <f>IF(B135="","",IF(COUNTIF(Performance!$B$5:$B$404,B135)=0,"",SUMIFS(Performance!$S$5:$S$404,Performance!$B$5:$B$404,B135)))</f>
        <v>0</v>
      </c>
      <c r="Z135" s="23">
        <f>IF(B135="","",IF(COUNTIF(Performance!$B$5:$B$404,B135)=0,"",SUMIFS(Performance!$R$5:$R$404,Performance!$B$5:$B$404,B135)))</f>
        <v>0</v>
      </c>
      <c r="AA135" s="23">
        <f>IF(B135="","",IF(COUNTIF(Performance!$B$5:$B$404,B135)=0,"",SUMIFS(Performance!$U$5:$U$404,Performance!$B$5:$B$404,B135)))</f>
        <v>0</v>
      </c>
      <c r="AB135" s="29">
        <f>IF(B135="","",IF(C135="Not found","Check - content ID not on the calendar",IF(N135="","Add - no target keyword",IF(K135="","Add - no destination link",IF(AND(S135&lt;&gt;"",S135&lt;TODAY()),"Due - time to refresh this pin","OK")))))</f>
        <v>0</v>
      </c>
    </row>
    <row r="136" spans="1:28">
      <c r="A136" s="41">
        <f>IF(B136="","","PN-"&amp;TEXT(ROW()-4,"000"))</f>
        <v>0</v>
      </c>
      <c r="C136" s="17">
        <f>IF(B136="","",IFERROR(INDEX('Content Calendar'!$H$5:$H$604,MATCH(B136,'Content Calendar'!$A$5:$A$604,0)),"Not found"))</f>
        <v>0</v>
      </c>
      <c r="D136" s="16">
        <f>IF(B136="","",IFERROR(INDEX('Content Calendar'!$B$5:$B$604,MATCH(B136,'Content Calendar'!$A$5:$A$604,0)),"Not found"))</f>
        <v>0</v>
      </c>
      <c r="E136" s="17">
        <f>IF(B136="","",IFERROR(INDEX('Content Calendar'!$J$5:$J$604,MATCH(B136,'Content Calendar'!$A$5:$A$604,0)),"Not found"))</f>
        <v>0</v>
      </c>
      <c r="F136" s="29">
        <f>IF(B136="","",IFERROR(INDEX('Content Calendar'!$X$5:$X$604,MATCH(B136,'Content Calendar'!$A$5:$A$604,0)),"Not found"))</f>
        <v>0</v>
      </c>
      <c r="T136" s="23">
        <f>IF(B136="","",IF(COUNTIF(Performance!$B$5:$B$404,B136)=0,"",SUMIFS(Performance!$O$5:$O$404,Performance!$B$5:$B$404,B136)))</f>
        <v>0</v>
      </c>
      <c r="U136" s="23">
        <f>IF(B136="","",IF(COUNTIF(Performance!$B$5:$B$404,B136)=0,"",SUMIFS(Performance!$P$5:$P$404,Performance!$B$5:$B$404,B136)))</f>
        <v>0</v>
      </c>
      <c r="V136" s="23">
        <f>IF(B136="","",IF(COUNTIF(Performance!$B$5:$B$404,B136)=0,"",SUMIFS(Performance!$Z$5:$Z$404,Performance!$B$5:$B$404,B136)))</f>
        <v>0</v>
      </c>
      <c r="W136" s="24">
        <f>IF(OR(T136="",T136=0),"",V136/T136)</f>
        <v>0</v>
      </c>
      <c r="X136" s="23">
        <f>IF(B136="","",IF(COUNTIF(Performance!$B$5:$B$404,B136)=0,"",SUMIFS(Performance!$T$5:$T$404,Performance!$B$5:$B$404,B136)))</f>
        <v>0</v>
      </c>
      <c r="Y136" s="23">
        <f>IF(B136="","",IF(COUNTIF(Performance!$B$5:$B$404,B136)=0,"",SUMIFS(Performance!$S$5:$S$404,Performance!$B$5:$B$404,B136)))</f>
        <v>0</v>
      </c>
      <c r="Z136" s="23">
        <f>IF(B136="","",IF(COUNTIF(Performance!$B$5:$B$404,B136)=0,"",SUMIFS(Performance!$R$5:$R$404,Performance!$B$5:$B$404,B136)))</f>
        <v>0</v>
      </c>
      <c r="AA136" s="23">
        <f>IF(B136="","",IF(COUNTIF(Performance!$B$5:$B$404,B136)=0,"",SUMIFS(Performance!$U$5:$U$404,Performance!$B$5:$B$404,B136)))</f>
        <v>0</v>
      </c>
      <c r="AB136" s="29">
        <f>IF(B136="","",IF(C136="Not found","Check - content ID not on the calendar",IF(N136="","Add - no target keyword",IF(K136="","Add - no destination link",IF(AND(S136&lt;&gt;"",S136&lt;TODAY()),"Due - time to refresh this pin","OK")))))</f>
        <v>0</v>
      </c>
    </row>
    <row r="137" spans="1:28">
      <c r="A137" s="41">
        <f>IF(B137="","","PN-"&amp;TEXT(ROW()-4,"000"))</f>
        <v>0</v>
      </c>
      <c r="C137" s="17">
        <f>IF(B137="","",IFERROR(INDEX('Content Calendar'!$H$5:$H$604,MATCH(B137,'Content Calendar'!$A$5:$A$604,0)),"Not found"))</f>
        <v>0</v>
      </c>
      <c r="D137" s="16">
        <f>IF(B137="","",IFERROR(INDEX('Content Calendar'!$B$5:$B$604,MATCH(B137,'Content Calendar'!$A$5:$A$604,0)),"Not found"))</f>
        <v>0</v>
      </c>
      <c r="E137" s="17">
        <f>IF(B137="","",IFERROR(INDEX('Content Calendar'!$J$5:$J$604,MATCH(B137,'Content Calendar'!$A$5:$A$604,0)),"Not found"))</f>
        <v>0</v>
      </c>
      <c r="F137" s="29">
        <f>IF(B137="","",IFERROR(INDEX('Content Calendar'!$X$5:$X$604,MATCH(B137,'Content Calendar'!$A$5:$A$604,0)),"Not found"))</f>
        <v>0</v>
      </c>
      <c r="T137" s="23">
        <f>IF(B137="","",IF(COUNTIF(Performance!$B$5:$B$404,B137)=0,"",SUMIFS(Performance!$O$5:$O$404,Performance!$B$5:$B$404,B137)))</f>
        <v>0</v>
      </c>
      <c r="U137" s="23">
        <f>IF(B137="","",IF(COUNTIF(Performance!$B$5:$B$404,B137)=0,"",SUMIFS(Performance!$P$5:$P$404,Performance!$B$5:$B$404,B137)))</f>
        <v>0</v>
      </c>
      <c r="V137" s="23">
        <f>IF(B137="","",IF(COUNTIF(Performance!$B$5:$B$404,B137)=0,"",SUMIFS(Performance!$Z$5:$Z$404,Performance!$B$5:$B$404,B137)))</f>
        <v>0</v>
      </c>
      <c r="W137" s="24">
        <f>IF(OR(T137="",T137=0),"",V137/T137)</f>
        <v>0</v>
      </c>
      <c r="X137" s="23">
        <f>IF(B137="","",IF(COUNTIF(Performance!$B$5:$B$404,B137)=0,"",SUMIFS(Performance!$T$5:$T$404,Performance!$B$5:$B$404,B137)))</f>
        <v>0</v>
      </c>
      <c r="Y137" s="23">
        <f>IF(B137="","",IF(COUNTIF(Performance!$B$5:$B$404,B137)=0,"",SUMIFS(Performance!$S$5:$S$404,Performance!$B$5:$B$404,B137)))</f>
        <v>0</v>
      </c>
      <c r="Z137" s="23">
        <f>IF(B137="","",IF(COUNTIF(Performance!$B$5:$B$404,B137)=0,"",SUMIFS(Performance!$R$5:$R$404,Performance!$B$5:$B$404,B137)))</f>
        <v>0</v>
      </c>
      <c r="AA137" s="23">
        <f>IF(B137="","",IF(COUNTIF(Performance!$B$5:$B$404,B137)=0,"",SUMIFS(Performance!$U$5:$U$404,Performance!$B$5:$B$404,B137)))</f>
        <v>0</v>
      </c>
      <c r="AB137" s="29">
        <f>IF(B137="","",IF(C137="Not found","Check - content ID not on the calendar",IF(N137="","Add - no target keyword",IF(K137="","Add - no destination link",IF(AND(S137&lt;&gt;"",S137&lt;TODAY()),"Due - time to refresh this pin","OK")))))</f>
        <v>0</v>
      </c>
    </row>
    <row r="138" spans="1:28">
      <c r="A138" s="41">
        <f>IF(B138="","","PN-"&amp;TEXT(ROW()-4,"000"))</f>
        <v>0</v>
      </c>
      <c r="C138" s="17">
        <f>IF(B138="","",IFERROR(INDEX('Content Calendar'!$H$5:$H$604,MATCH(B138,'Content Calendar'!$A$5:$A$604,0)),"Not found"))</f>
        <v>0</v>
      </c>
      <c r="D138" s="16">
        <f>IF(B138="","",IFERROR(INDEX('Content Calendar'!$B$5:$B$604,MATCH(B138,'Content Calendar'!$A$5:$A$604,0)),"Not found"))</f>
        <v>0</v>
      </c>
      <c r="E138" s="17">
        <f>IF(B138="","",IFERROR(INDEX('Content Calendar'!$J$5:$J$604,MATCH(B138,'Content Calendar'!$A$5:$A$604,0)),"Not found"))</f>
        <v>0</v>
      </c>
      <c r="F138" s="29">
        <f>IF(B138="","",IFERROR(INDEX('Content Calendar'!$X$5:$X$604,MATCH(B138,'Content Calendar'!$A$5:$A$604,0)),"Not found"))</f>
        <v>0</v>
      </c>
      <c r="T138" s="23">
        <f>IF(B138="","",IF(COUNTIF(Performance!$B$5:$B$404,B138)=0,"",SUMIFS(Performance!$O$5:$O$404,Performance!$B$5:$B$404,B138)))</f>
        <v>0</v>
      </c>
      <c r="U138" s="23">
        <f>IF(B138="","",IF(COUNTIF(Performance!$B$5:$B$404,B138)=0,"",SUMIFS(Performance!$P$5:$P$404,Performance!$B$5:$B$404,B138)))</f>
        <v>0</v>
      </c>
      <c r="V138" s="23">
        <f>IF(B138="","",IF(COUNTIF(Performance!$B$5:$B$404,B138)=0,"",SUMIFS(Performance!$Z$5:$Z$404,Performance!$B$5:$B$404,B138)))</f>
        <v>0</v>
      </c>
      <c r="W138" s="24">
        <f>IF(OR(T138="",T138=0),"",V138/T138)</f>
        <v>0</v>
      </c>
      <c r="X138" s="23">
        <f>IF(B138="","",IF(COUNTIF(Performance!$B$5:$B$404,B138)=0,"",SUMIFS(Performance!$T$5:$T$404,Performance!$B$5:$B$404,B138)))</f>
        <v>0</v>
      </c>
      <c r="Y138" s="23">
        <f>IF(B138="","",IF(COUNTIF(Performance!$B$5:$B$404,B138)=0,"",SUMIFS(Performance!$S$5:$S$404,Performance!$B$5:$B$404,B138)))</f>
        <v>0</v>
      </c>
      <c r="Z138" s="23">
        <f>IF(B138="","",IF(COUNTIF(Performance!$B$5:$B$404,B138)=0,"",SUMIFS(Performance!$R$5:$R$404,Performance!$B$5:$B$404,B138)))</f>
        <v>0</v>
      </c>
      <c r="AA138" s="23">
        <f>IF(B138="","",IF(COUNTIF(Performance!$B$5:$B$404,B138)=0,"",SUMIFS(Performance!$U$5:$U$404,Performance!$B$5:$B$404,B138)))</f>
        <v>0</v>
      </c>
      <c r="AB138" s="29">
        <f>IF(B138="","",IF(C138="Not found","Check - content ID not on the calendar",IF(N138="","Add - no target keyword",IF(K138="","Add - no destination link",IF(AND(S138&lt;&gt;"",S138&lt;TODAY()),"Due - time to refresh this pin","OK")))))</f>
        <v>0</v>
      </c>
    </row>
    <row r="139" spans="1:28">
      <c r="A139" s="41">
        <f>IF(B139="","","PN-"&amp;TEXT(ROW()-4,"000"))</f>
        <v>0</v>
      </c>
      <c r="C139" s="17">
        <f>IF(B139="","",IFERROR(INDEX('Content Calendar'!$H$5:$H$604,MATCH(B139,'Content Calendar'!$A$5:$A$604,0)),"Not found"))</f>
        <v>0</v>
      </c>
      <c r="D139" s="16">
        <f>IF(B139="","",IFERROR(INDEX('Content Calendar'!$B$5:$B$604,MATCH(B139,'Content Calendar'!$A$5:$A$604,0)),"Not found"))</f>
        <v>0</v>
      </c>
      <c r="E139" s="17">
        <f>IF(B139="","",IFERROR(INDEX('Content Calendar'!$J$5:$J$604,MATCH(B139,'Content Calendar'!$A$5:$A$604,0)),"Not found"))</f>
        <v>0</v>
      </c>
      <c r="F139" s="29">
        <f>IF(B139="","",IFERROR(INDEX('Content Calendar'!$X$5:$X$604,MATCH(B139,'Content Calendar'!$A$5:$A$604,0)),"Not found"))</f>
        <v>0</v>
      </c>
      <c r="T139" s="23">
        <f>IF(B139="","",IF(COUNTIF(Performance!$B$5:$B$404,B139)=0,"",SUMIFS(Performance!$O$5:$O$404,Performance!$B$5:$B$404,B139)))</f>
        <v>0</v>
      </c>
      <c r="U139" s="23">
        <f>IF(B139="","",IF(COUNTIF(Performance!$B$5:$B$404,B139)=0,"",SUMIFS(Performance!$P$5:$P$404,Performance!$B$5:$B$404,B139)))</f>
        <v>0</v>
      </c>
      <c r="V139" s="23">
        <f>IF(B139="","",IF(COUNTIF(Performance!$B$5:$B$404,B139)=0,"",SUMIFS(Performance!$Z$5:$Z$404,Performance!$B$5:$B$404,B139)))</f>
        <v>0</v>
      </c>
      <c r="W139" s="24">
        <f>IF(OR(T139="",T139=0),"",V139/T139)</f>
        <v>0</v>
      </c>
      <c r="X139" s="23">
        <f>IF(B139="","",IF(COUNTIF(Performance!$B$5:$B$404,B139)=0,"",SUMIFS(Performance!$T$5:$T$404,Performance!$B$5:$B$404,B139)))</f>
        <v>0</v>
      </c>
      <c r="Y139" s="23">
        <f>IF(B139="","",IF(COUNTIF(Performance!$B$5:$B$404,B139)=0,"",SUMIFS(Performance!$S$5:$S$404,Performance!$B$5:$B$404,B139)))</f>
        <v>0</v>
      </c>
      <c r="Z139" s="23">
        <f>IF(B139="","",IF(COUNTIF(Performance!$B$5:$B$404,B139)=0,"",SUMIFS(Performance!$R$5:$R$404,Performance!$B$5:$B$404,B139)))</f>
        <v>0</v>
      </c>
      <c r="AA139" s="23">
        <f>IF(B139="","",IF(COUNTIF(Performance!$B$5:$B$404,B139)=0,"",SUMIFS(Performance!$U$5:$U$404,Performance!$B$5:$B$404,B139)))</f>
        <v>0</v>
      </c>
      <c r="AB139" s="29">
        <f>IF(B139="","",IF(C139="Not found","Check - content ID not on the calendar",IF(N139="","Add - no target keyword",IF(K139="","Add - no destination link",IF(AND(S139&lt;&gt;"",S139&lt;TODAY()),"Due - time to refresh this pin","OK")))))</f>
        <v>0</v>
      </c>
    </row>
    <row r="140" spans="1:28">
      <c r="A140" s="41">
        <f>IF(B140="","","PN-"&amp;TEXT(ROW()-4,"000"))</f>
        <v>0</v>
      </c>
      <c r="C140" s="17">
        <f>IF(B140="","",IFERROR(INDEX('Content Calendar'!$H$5:$H$604,MATCH(B140,'Content Calendar'!$A$5:$A$604,0)),"Not found"))</f>
        <v>0</v>
      </c>
      <c r="D140" s="16">
        <f>IF(B140="","",IFERROR(INDEX('Content Calendar'!$B$5:$B$604,MATCH(B140,'Content Calendar'!$A$5:$A$604,0)),"Not found"))</f>
        <v>0</v>
      </c>
      <c r="E140" s="17">
        <f>IF(B140="","",IFERROR(INDEX('Content Calendar'!$J$5:$J$604,MATCH(B140,'Content Calendar'!$A$5:$A$604,0)),"Not found"))</f>
        <v>0</v>
      </c>
      <c r="F140" s="29">
        <f>IF(B140="","",IFERROR(INDEX('Content Calendar'!$X$5:$X$604,MATCH(B140,'Content Calendar'!$A$5:$A$604,0)),"Not found"))</f>
        <v>0</v>
      </c>
      <c r="T140" s="23">
        <f>IF(B140="","",IF(COUNTIF(Performance!$B$5:$B$404,B140)=0,"",SUMIFS(Performance!$O$5:$O$404,Performance!$B$5:$B$404,B140)))</f>
        <v>0</v>
      </c>
      <c r="U140" s="23">
        <f>IF(B140="","",IF(COUNTIF(Performance!$B$5:$B$404,B140)=0,"",SUMIFS(Performance!$P$5:$P$404,Performance!$B$5:$B$404,B140)))</f>
        <v>0</v>
      </c>
      <c r="V140" s="23">
        <f>IF(B140="","",IF(COUNTIF(Performance!$B$5:$B$404,B140)=0,"",SUMIFS(Performance!$Z$5:$Z$404,Performance!$B$5:$B$404,B140)))</f>
        <v>0</v>
      </c>
      <c r="W140" s="24">
        <f>IF(OR(T140="",T140=0),"",V140/T140)</f>
        <v>0</v>
      </c>
      <c r="X140" s="23">
        <f>IF(B140="","",IF(COUNTIF(Performance!$B$5:$B$404,B140)=0,"",SUMIFS(Performance!$T$5:$T$404,Performance!$B$5:$B$404,B140)))</f>
        <v>0</v>
      </c>
      <c r="Y140" s="23">
        <f>IF(B140="","",IF(COUNTIF(Performance!$B$5:$B$404,B140)=0,"",SUMIFS(Performance!$S$5:$S$404,Performance!$B$5:$B$404,B140)))</f>
        <v>0</v>
      </c>
      <c r="Z140" s="23">
        <f>IF(B140="","",IF(COUNTIF(Performance!$B$5:$B$404,B140)=0,"",SUMIFS(Performance!$R$5:$R$404,Performance!$B$5:$B$404,B140)))</f>
        <v>0</v>
      </c>
      <c r="AA140" s="23">
        <f>IF(B140="","",IF(COUNTIF(Performance!$B$5:$B$404,B140)=0,"",SUMIFS(Performance!$U$5:$U$404,Performance!$B$5:$B$404,B140)))</f>
        <v>0</v>
      </c>
      <c r="AB140" s="29">
        <f>IF(B140="","",IF(C140="Not found","Check - content ID not on the calendar",IF(N140="","Add - no target keyword",IF(K140="","Add - no destination link",IF(AND(S140&lt;&gt;"",S140&lt;TODAY()),"Due - time to refresh this pin","OK")))))</f>
        <v>0</v>
      </c>
    </row>
    <row r="141" spans="1:28">
      <c r="A141" s="41">
        <f>IF(B141="","","PN-"&amp;TEXT(ROW()-4,"000"))</f>
        <v>0</v>
      </c>
      <c r="C141" s="17">
        <f>IF(B141="","",IFERROR(INDEX('Content Calendar'!$H$5:$H$604,MATCH(B141,'Content Calendar'!$A$5:$A$604,0)),"Not found"))</f>
        <v>0</v>
      </c>
      <c r="D141" s="16">
        <f>IF(B141="","",IFERROR(INDEX('Content Calendar'!$B$5:$B$604,MATCH(B141,'Content Calendar'!$A$5:$A$604,0)),"Not found"))</f>
        <v>0</v>
      </c>
      <c r="E141" s="17">
        <f>IF(B141="","",IFERROR(INDEX('Content Calendar'!$J$5:$J$604,MATCH(B141,'Content Calendar'!$A$5:$A$604,0)),"Not found"))</f>
        <v>0</v>
      </c>
      <c r="F141" s="29">
        <f>IF(B141="","",IFERROR(INDEX('Content Calendar'!$X$5:$X$604,MATCH(B141,'Content Calendar'!$A$5:$A$604,0)),"Not found"))</f>
        <v>0</v>
      </c>
      <c r="T141" s="23">
        <f>IF(B141="","",IF(COUNTIF(Performance!$B$5:$B$404,B141)=0,"",SUMIFS(Performance!$O$5:$O$404,Performance!$B$5:$B$404,B141)))</f>
        <v>0</v>
      </c>
      <c r="U141" s="23">
        <f>IF(B141="","",IF(COUNTIF(Performance!$B$5:$B$404,B141)=0,"",SUMIFS(Performance!$P$5:$P$404,Performance!$B$5:$B$404,B141)))</f>
        <v>0</v>
      </c>
      <c r="V141" s="23">
        <f>IF(B141="","",IF(COUNTIF(Performance!$B$5:$B$404,B141)=0,"",SUMIFS(Performance!$Z$5:$Z$404,Performance!$B$5:$B$404,B141)))</f>
        <v>0</v>
      </c>
      <c r="W141" s="24">
        <f>IF(OR(T141="",T141=0),"",V141/T141)</f>
        <v>0</v>
      </c>
      <c r="X141" s="23">
        <f>IF(B141="","",IF(COUNTIF(Performance!$B$5:$B$404,B141)=0,"",SUMIFS(Performance!$T$5:$T$404,Performance!$B$5:$B$404,B141)))</f>
        <v>0</v>
      </c>
      <c r="Y141" s="23">
        <f>IF(B141="","",IF(COUNTIF(Performance!$B$5:$B$404,B141)=0,"",SUMIFS(Performance!$S$5:$S$404,Performance!$B$5:$B$404,B141)))</f>
        <v>0</v>
      </c>
      <c r="Z141" s="23">
        <f>IF(B141="","",IF(COUNTIF(Performance!$B$5:$B$404,B141)=0,"",SUMIFS(Performance!$R$5:$R$404,Performance!$B$5:$B$404,B141)))</f>
        <v>0</v>
      </c>
      <c r="AA141" s="23">
        <f>IF(B141="","",IF(COUNTIF(Performance!$B$5:$B$404,B141)=0,"",SUMIFS(Performance!$U$5:$U$404,Performance!$B$5:$B$404,B141)))</f>
        <v>0</v>
      </c>
      <c r="AB141" s="29">
        <f>IF(B141="","",IF(C141="Not found","Check - content ID not on the calendar",IF(N141="","Add - no target keyword",IF(K141="","Add - no destination link",IF(AND(S141&lt;&gt;"",S141&lt;TODAY()),"Due - time to refresh this pin","OK")))))</f>
        <v>0</v>
      </c>
    </row>
    <row r="142" spans="1:28">
      <c r="A142" s="41">
        <f>IF(B142="","","PN-"&amp;TEXT(ROW()-4,"000"))</f>
        <v>0</v>
      </c>
      <c r="C142" s="17">
        <f>IF(B142="","",IFERROR(INDEX('Content Calendar'!$H$5:$H$604,MATCH(B142,'Content Calendar'!$A$5:$A$604,0)),"Not found"))</f>
        <v>0</v>
      </c>
      <c r="D142" s="16">
        <f>IF(B142="","",IFERROR(INDEX('Content Calendar'!$B$5:$B$604,MATCH(B142,'Content Calendar'!$A$5:$A$604,0)),"Not found"))</f>
        <v>0</v>
      </c>
      <c r="E142" s="17">
        <f>IF(B142="","",IFERROR(INDEX('Content Calendar'!$J$5:$J$604,MATCH(B142,'Content Calendar'!$A$5:$A$604,0)),"Not found"))</f>
        <v>0</v>
      </c>
      <c r="F142" s="29">
        <f>IF(B142="","",IFERROR(INDEX('Content Calendar'!$X$5:$X$604,MATCH(B142,'Content Calendar'!$A$5:$A$604,0)),"Not found"))</f>
        <v>0</v>
      </c>
      <c r="T142" s="23">
        <f>IF(B142="","",IF(COUNTIF(Performance!$B$5:$B$404,B142)=0,"",SUMIFS(Performance!$O$5:$O$404,Performance!$B$5:$B$404,B142)))</f>
        <v>0</v>
      </c>
      <c r="U142" s="23">
        <f>IF(B142="","",IF(COUNTIF(Performance!$B$5:$B$404,B142)=0,"",SUMIFS(Performance!$P$5:$P$404,Performance!$B$5:$B$404,B142)))</f>
        <v>0</v>
      </c>
      <c r="V142" s="23">
        <f>IF(B142="","",IF(COUNTIF(Performance!$B$5:$B$404,B142)=0,"",SUMIFS(Performance!$Z$5:$Z$404,Performance!$B$5:$B$404,B142)))</f>
        <v>0</v>
      </c>
      <c r="W142" s="24">
        <f>IF(OR(T142="",T142=0),"",V142/T142)</f>
        <v>0</v>
      </c>
      <c r="X142" s="23">
        <f>IF(B142="","",IF(COUNTIF(Performance!$B$5:$B$404,B142)=0,"",SUMIFS(Performance!$T$5:$T$404,Performance!$B$5:$B$404,B142)))</f>
        <v>0</v>
      </c>
      <c r="Y142" s="23">
        <f>IF(B142="","",IF(COUNTIF(Performance!$B$5:$B$404,B142)=0,"",SUMIFS(Performance!$S$5:$S$404,Performance!$B$5:$B$404,B142)))</f>
        <v>0</v>
      </c>
      <c r="Z142" s="23">
        <f>IF(B142="","",IF(COUNTIF(Performance!$B$5:$B$404,B142)=0,"",SUMIFS(Performance!$R$5:$R$404,Performance!$B$5:$B$404,B142)))</f>
        <v>0</v>
      </c>
      <c r="AA142" s="23">
        <f>IF(B142="","",IF(COUNTIF(Performance!$B$5:$B$404,B142)=0,"",SUMIFS(Performance!$U$5:$U$404,Performance!$B$5:$B$404,B142)))</f>
        <v>0</v>
      </c>
      <c r="AB142" s="29">
        <f>IF(B142="","",IF(C142="Not found","Check - content ID not on the calendar",IF(N142="","Add - no target keyword",IF(K142="","Add - no destination link",IF(AND(S142&lt;&gt;"",S142&lt;TODAY()),"Due - time to refresh this pin","OK")))))</f>
        <v>0</v>
      </c>
    </row>
    <row r="143" spans="1:28">
      <c r="A143" s="41">
        <f>IF(B143="","","PN-"&amp;TEXT(ROW()-4,"000"))</f>
        <v>0</v>
      </c>
      <c r="C143" s="17">
        <f>IF(B143="","",IFERROR(INDEX('Content Calendar'!$H$5:$H$604,MATCH(B143,'Content Calendar'!$A$5:$A$604,0)),"Not found"))</f>
        <v>0</v>
      </c>
      <c r="D143" s="16">
        <f>IF(B143="","",IFERROR(INDEX('Content Calendar'!$B$5:$B$604,MATCH(B143,'Content Calendar'!$A$5:$A$604,0)),"Not found"))</f>
        <v>0</v>
      </c>
      <c r="E143" s="17">
        <f>IF(B143="","",IFERROR(INDEX('Content Calendar'!$J$5:$J$604,MATCH(B143,'Content Calendar'!$A$5:$A$604,0)),"Not found"))</f>
        <v>0</v>
      </c>
      <c r="F143" s="29">
        <f>IF(B143="","",IFERROR(INDEX('Content Calendar'!$X$5:$X$604,MATCH(B143,'Content Calendar'!$A$5:$A$604,0)),"Not found"))</f>
        <v>0</v>
      </c>
      <c r="T143" s="23">
        <f>IF(B143="","",IF(COUNTIF(Performance!$B$5:$B$404,B143)=0,"",SUMIFS(Performance!$O$5:$O$404,Performance!$B$5:$B$404,B143)))</f>
        <v>0</v>
      </c>
      <c r="U143" s="23">
        <f>IF(B143="","",IF(COUNTIF(Performance!$B$5:$B$404,B143)=0,"",SUMIFS(Performance!$P$5:$P$404,Performance!$B$5:$B$404,B143)))</f>
        <v>0</v>
      </c>
      <c r="V143" s="23">
        <f>IF(B143="","",IF(COUNTIF(Performance!$B$5:$B$404,B143)=0,"",SUMIFS(Performance!$Z$5:$Z$404,Performance!$B$5:$B$404,B143)))</f>
        <v>0</v>
      </c>
      <c r="W143" s="24">
        <f>IF(OR(T143="",T143=0),"",V143/T143)</f>
        <v>0</v>
      </c>
      <c r="X143" s="23">
        <f>IF(B143="","",IF(COUNTIF(Performance!$B$5:$B$404,B143)=0,"",SUMIFS(Performance!$T$5:$T$404,Performance!$B$5:$B$404,B143)))</f>
        <v>0</v>
      </c>
      <c r="Y143" s="23">
        <f>IF(B143="","",IF(COUNTIF(Performance!$B$5:$B$404,B143)=0,"",SUMIFS(Performance!$S$5:$S$404,Performance!$B$5:$B$404,B143)))</f>
        <v>0</v>
      </c>
      <c r="Z143" s="23">
        <f>IF(B143="","",IF(COUNTIF(Performance!$B$5:$B$404,B143)=0,"",SUMIFS(Performance!$R$5:$R$404,Performance!$B$5:$B$404,B143)))</f>
        <v>0</v>
      </c>
      <c r="AA143" s="23">
        <f>IF(B143="","",IF(COUNTIF(Performance!$B$5:$B$404,B143)=0,"",SUMIFS(Performance!$U$5:$U$404,Performance!$B$5:$B$404,B143)))</f>
        <v>0</v>
      </c>
      <c r="AB143" s="29">
        <f>IF(B143="","",IF(C143="Not found","Check - content ID not on the calendar",IF(N143="","Add - no target keyword",IF(K143="","Add - no destination link",IF(AND(S143&lt;&gt;"",S143&lt;TODAY()),"Due - time to refresh this pin","OK")))))</f>
        <v>0</v>
      </c>
    </row>
    <row r="144" spans="1:28">
      <c r="A144" s="41">
        <f>IF(B144="","","PN-"&amp;TEXT(ROW()-4,"000"))</f>
        <v>0</v>
      </c>
      <c r="C144" s="17">
        <f>IF(B144="","",IFERROR(INDEX('Content Calendar'!$H$5:$H$604,MATCH(B144,'Content Calendar'!$A$5:$A$604,0)),"Not found"))</f>
        <v>0</v>
      </c>
      <c r="D144" s="16">
        <f>IF(B144="","",IFERROR(INDEX('Content Calendar'!$B$5:$B$604,MATCH(B144,'Content Calendar'!$A$5:$A$604,0)),"Not found"))</f>
        <v>0</v>
      </c>
      <c r="E144" s="17">
        <f>IF(B144="","",IFERROR(INDEX('Content Calendar'!$J$5:$J$604,MATCH(B144,'Content Calendar'!$A$5:$A$604,0)),"Not found"))</f>
        <v>0</v>
      </c>
      <c r="F144" s="29">
        <f>IF(B144="","",IFERROR(INDEX('Content Calendar'!$X$5:$X$604,MATCH(B144,'Content Calendar'!$A$5:$A$604,0)),"Not found"))</f>
        <v>0</v>
      </c>
      <c r="T144" s="23">
        <f>IF(B144="","",IF(COUNTIF(Performance!$B$5:$B$404,B144)=0,"",SUMIFS(Performance!$O$5:$O$404,Performance!$B$5:$B$404,B144)))</f>
        <v>0</v>
      </c>
      <c r="U144" s="23">
        <f>IF(B144="","",IF(COUNTIF(Performance!$B$5:$B$404,B144)=0,"",SUMIFS(Performance!$P$5:$P$404,Performance!$B$5:$B$404,B144)))</f>
        <v>0</v>
      </c>
      <c r="V144" s="23">
        <f>IF(B144="","",IF(COUNTIF(Performance!$B$5:$B$404,B144)=0,"",SUMIFS(Performance!$Z$5:$Z$404,Performance!$B$5:$B$404,B144)))</f>
        <v>0</v>
      </c>
      <c r="W144" s="24">
        <f>IF(OR(T144="",T144=0),"",V144/T144)</f>
        <v>0</v>
      </c>
      <c r="X144" s="23">
        <f>IF(B144="","",IF(COUNTIF(Performance!$B$5:$B$404,B144)=0,"",SUMIFS(Performance!$T$5:$T$404,Performance!$B$5:$B$404,B144)))</f>
        <v>0</v>
      </c>
      <c r="Y144" s="23">
        <f>IF(B144="","",IF(COUNTIF(Performance!$B$5:$B$404,B144)=0,"",SUMIFS(Performance!$S$5:$S$404,Performance!$B$5:$B$404,B144)))</f>
        <v>0</v>
      </c>
      <c r="Z144" s="23">
        <f>IF(B144="","",IF(COUNTIF(Performance!$B$5:$B$404,B144)=0,"",SUMIFS(Performance!$R$5:$R$404,Performance!$B$5:$B$404,B144)))</f>
        <v>0</v>
      </c>
      <c r="AA144" s="23">
        <f>IF(B144="","",IF(COUNTIF(Performance!$B$5:$B$404,B144)=0,"",SUMIFS(Performance!$U$5:$U$404,Performance!$B$5:$B$404,B144)))</f>
        <v>0</v>
      </c>
      <c r="AB144" s="29">
        <f>IF(B144="","",IF(C144="Not found","Check - content ID not on the calendar",IF(N144="","Add - no target keyword",IF(K144="","Add - no destination link",IF(AND(S144&lt;&gt;"",S144&lt;TODAY()),"Due - time to refresh this pin","OK")))))</f>
        <v>0</v>
      </c>
    </row>
    <row r="145" spans="1:28">
      <c r="A145" s="41">
        <f>IF(B145="","","PN-"&amp;TEXT(ROW()-4,"000"))</f>
        <v>0</v>
      </c>
      <c r="C145" s="17">
        <f>IF(B145="","",IFERROR(INDEX('Content Calendar'!$H$5:$H$604,MATCH(B145,'Content Calendar'!$A$5:$A$604,0)),"Not found"))</f>
        <v>0</v>
      </c>
      <c r="D145" s="16">
        <f>IF(B145="","",IFERROR(INDEX('Content Calendar'!$B$5:$B$604,MATCH(B145,'Content Calendar'!$A$5:$A$604,0)),"Not found"))</f>
        <v>0</v>
      </c>
      <c r="E145" s="17">
        <f>IF(B145="","",IFERROR(INDEX('Content Calendar'!$J$5:$J$604,MATCH(B145,'Content Calendar'!$A$5:$A$604,0)),"Not found"))</f>
        <v>0</v>
      </c>
      <c r="F145" s="29">
        <f>IF(B145="","",IFERROR(INDEX('Content Calendar'!$X$5:$X$604,MATCH(B145,'Content Calendar'!$A$5:$A$604,0)),"Not found"))</f>
        <v>0</v>
      </c>
      <c r="T145" s="23">
        <f>IF(B145="","",IF(COUNTIF(Performance!$B$5:$B$404,B145)=0,"",SUMIFS(Performance!$O$5:$O$404,Performance!$B$5:$B$404,B145)))</f>
        <v>0</v>
      </c>
      <c r="U145" s="23">
        <f>IF(B145="","",IF(COUNTIF(Performance!$B$5:$B$404,B145)=0,"",SUMIFS(Performance!$P$5:$P$404,Performance!$B$5:$B$404,B145)))</f>
        <v>0</v>
      </c>
      <c r="V145" s="23">
        <f>IF(B145="","",IF(COUNTIF(Performance!$B$5:$B$404,B145)=0,"",SUMIFS(Performance!$Z$5:$Z$404,Performance!$B$5:$B$404,B145)))</f>
        <v>0</v>
      </c>
      <c r="W145" s="24">
        <f>IF(OR(T145="",T145=0),"",V145/T145)</f>
        <v>0</v>
      </c>
      <c r="X145" s="23">
        <f>IF(B145="","",IF(COUNTIF(Performance!$B$5:$B$404,B145)=0,"",SUMIFS(Performance!$T$5:$T$404,Performance!$B$5:$B$404,B145)))</f>
        <v>0</v>
      </c>
      <c r="Y145" s="23">
        <f>IF(B145="","",IF(COUNTIF(Performance!$B$5:$B$404,B145)=0,"",SUMIFS(Performance!$S$5:$S$404,Performance!$B$5:$B$404,B145)))</f>
        <v>0</v>
      </c>
      <c r="Z145" s="23">
        <f>IF(B145="","",IF(COUNTIF(Performance!$B$5:$B$404,B145)=0,"",SUMIFS(Performance!$R$5:$R$404,Performance!$B$5:$B$404,B145)))</f>
        <v>0</v>
      </c>
      <c r="AA145" s="23">
        <f>IF(B145="","",IF(COUNTIF(Performance!$B$5:$B$404,B145)=0,"",SUMIFS(Performance!$U$5:$U$404,Performance!$B$5:$B$404,B145)))</f>
        <v>0</v>
      </c>
      <c r="AB145" s="29">
        <f>IF(B145="","",IF(C145="Not found","Check - content ID not on the calendar",IF(N145="","Add - no target keyword",IF(K145="","Add - no destination link",IF(AND(S145&lt;&gt;"",S145&lt;TODAY()),"Due - time to refresh this pin","OK")))))</f>
        <v>0</v>
      </c>
    </row>
    <row r="146" spans="1:28">
      <c r="A146" s="41">
        <f>IF(B146="","","PN-"&amp;TEXT(ROW()-4,"000"))</f>
        <v>0</v>
      </c>
      <c r="C146" s="17">
        <f>IF(B146="","",IFERROR(INDEX('Content Calendar'!$H$5:$H$604,MATCH(B146,'Content Calendar'!$A$5:$A$604,0)),"Not found"))</f>
        <v>0</v>
      </c>
      <c r="D146" s="16">
        <f>IF(B146="","",IFERROR(INDEX('Content Calendar'!$B$5:$B$604,MATCH(B146,'Content Calendar'!$A$5:$A$604,0)),"Not found"))</f>
        <v>0</v>
      </c>
      <c r="E146" s="17">
        <f>IF(B146="","",IFERROR(INDEX('Content Calendar'!$J$5:$J$604,MATCH(B146,'Content Calendar'!$A$5:$A$604,0)),"Not found"))</f>
        <v>0</v>
      </c>
      <c r="F146" s="29">
        <f>IF(B146="","",IFERROR(INDEX('Content Calendar'!$X$5:$X$604,MATCH(B146,'Content Calendar'!$A$5:$A$604,0)),"Not found"))</f>
        <v>0</v>
      </c>
      <c r="T146" s="23">
        <f>IF(B146="","",IF(COUNTIF(Performance!$B$5:$B$404,B146)=0,"",SUMIFS(Performance!$O$5:$O$404,Performance!$B$5:$B$404,B146)))</f>
        <v>0</v>
      </c>
      <c r="U146" s="23">
        <f>IF(B146="","",IF(COUNTIF(Performance!$B$5:$B$404,B146)=0,"",SUMIFS(Performance!$P$5:$P$404,Performance!$B$5:$B$404,B146)))</f>
        <v>0</v>
      </c>
      <c r="V146" s="23">
        <f>IF(B146="","",IF(COUNTIF(Performance!$B$5:$B$404,B146)=0,"",SUMIFS(Performance!$Z$5:$Z$404,Performance!$B$5:$B$404,B146)))</f>
        <v>0</v>
      </c>
      <c r="W146" s="24">
        <f>IF(OR(T146="",T146=0),"",V146/T146)</f>
        <v>0</v>
      </c>
      <c r="X146" s="23">
        <f>IF(B146="","",IF(COUNTIF(Performance!$B$5:$B$404,B146)=0,"",SUMIFS(Performance!$T$5:$T$404,Performance!$B$5:$B$404,B146)))</f>
        <v>0</v>
      </c>
      <c r="Y146" s="23">
        <f>IF(B146="","",IF(COUNTIF(Performance!$B$5:$B$404,B146)=0,"",SUMIFS(Performance!$S$5:$S$404,Performance!$B$5:$B$404,B146)))</f>
        <v>0</v>
      </c>
      <c r="Z146" s="23">
        <f>IF(B146="","",IF(COUNTIF(Performance!$B$5:$B$404,B146)=0,"",SUMIFS(Performance!$R$5:$R$404,Performance!$B$5:$B$404,B146)))</f>
        <v>0</v>
      </c>
      <c r="AA146" s="23">
        <f>IF(B146="","",IF(COUNTIF(Performance!$B$5:$B$404,B146)=0,"",SUMIFS(Performance!$U$5:$U$404,Performance!$B$5:$B$404,B146)))</f>
        <v>0</v>
      </c>
      <c r="AB146" s="29">
        <f>IF(B146="","",IF(C146="Not found","Check - content ID not on the calendar",IF(N146="","Add - no target keyword",IF(K146="","Add - no destination link",IF(AND(S146&lt;&gt;"",S146&lt;TODAY()),"Due - time to refresh this pin","OK")))))</f>
        <v>0</v>
      </c>
    </row>
    <row r="147" spans="1:28">
      <c r="A147" s="41">
        <f>IF(B147="","","PN-"&amp;TEXT(ROW()-4,"000"))</f>
        <v>0</v>
      </c>
      <c r="C147" s="17">
        <f>IF(B147="","",IFERROR(INDEX('Content Calendar'!$H$5:$H$604,MATCH(B147,'Content Calendar'!$A$5:$A$604,0)),"Not found"))</f>
        <v>0</v>
      </c>
      <c r="D147" s="16">
        <f>IF(B147="","",IFERROR(INDEX('Content Calendar'!$B$5:$B$604,MATCH(B147,'Content Calendar'!$A$5:$A$604,0)),"Not found"))</f>
        <v>0</v>
      </c>
      <c r="E147" s="17">
        <f>IF(B147="","",IFERROR(INDEX('Content Calendar'!$J$5:$J$604,MATCH(B147,'Content Calendar'!$A$5:$A$604,0)),"Not found"))</f>
        <v>0</v>
      </c>
      <c r="F147" s="29">
        <f>IF(B147="","",IFERROR(INDEX('Content Calendar'!$X$5:$X$604,MATCH(B147,'Content Calendar'!$A$5:$A$604,0)),"Not found"))</f>
        <v>0</v>
      </c>
      <c r="T147" s="23">
        <f>IF(B147="","",IF(COUNTIF(Performance!$B$5:$B$404,B147)=0,"",SUMIFS(Performance!$O$5:$O$404,Performance!$B$5:$B$404,B147)))</f>
        <v>0</v>
      </c>
      <c r="U147" s="23">
        <f>IF(B147="","",IF(COUNTIF(Performance!$B$5:$B$404,B147)=0,"",SUMIFS(Performance!$P$5:$P$404,Performance!$B$5:$B$404,B147)))</f>
        <v>0</v>
      </c>
      <c r="V147" s="23">
        <f>IF(B147="","",IF(COUNTIF(Performance!$B$5:$B$404,B147)=0,"",SUMIFS(Performance!$Z$5:$Z$404,Performance!$B$5:$B$404,B147)))</f>
        <v>0</v>
      </c>
      <c r="W147" s="24">
        <f>IF(OR(T147="",T147=0),"",V147/T147)</f>
        <v>0</v>
      </c>
      <c r="X147" s="23">
        <f>IF(B147="","",IF(COUNTIF(Performance!$B$5:$B$404,B147)=0,"",SUMIFS(Performance!$T$5:$T$404,Performance!$B$5:$B$404,B147)))</f>
        <v>0</v>
      </c>
      <c r="Y147" s="23">
        <f>IF(B147="","",IF(COUNTIF(Performance!$B$5:$B$404,B147)=0,"",SUMIFS(Performance!$S$5:$S$404,Performance!$B$5:$B$404,B147)))</f>
        <v>0</v>
      </c>
      <c r="Z147" s="23">
        <f>IF(B147="","",IF(COUNTIF(Performance!$B$5:$B$404,B147)=0,"",SUMIFS(Performance!$R$5:$R$404,Performance!$B$5:$B$404,B147)))</f>
        <v>0</v>
      </c>
      <c r="AA147" s="23">
        <f>IF(B147="","",IF(COUNTIF(Performance!$B$5:$B$404,B147)=0,"",SUMIFS(Performance!$U$5:$U$404,Performance!$B$5:$B$404,B147)))</f>
        <v>0</v>
      </c>
      <c r="AB147" s="29">
        <f>IF(B147="","",IF(C147="Not found","Check - content ID not on the calendar",IF(N147="","Add - no target keyword",IF(K147="","Add - no destination link",IF(AND(S147&lt;&gt;"",S147&lt;TODAY()),"Due - time to refresh this pin","OK")))))</f>
        <v>0</v>
      </c>
    </row>
    <row r="148" spans="1:28">
      <c r="A148" s="41">
        <f>IF(B148="","","PN-"&amp;TEXT(ROW()-4,"000"))</f>
        <v>0</v>
      </c>
      <c r="C148" s="17">
        <f>IF(B148="","",IFERROR(INDEX('Content Calendar'!$H$5:$H$604,MATCH(B148,'Content Calendar'!$A$5:$A$604,0)),"Not found"))</f>
        <v>0</v>
      </c>
      <c r="D148" s="16">
        <f>IF(B148="","",IFERROR(INDEX('Content Calendar'!$B$5:$B$604,MATCH(B148,'Content Calendar'!$A$5:$A$604,0)),"Not found"))</f>
        <v>0</v>
      </c>
      <c r="E148" s="17">
        <f>IF(B148="","",IFERROR(INDEX('Content Calendar'!$J$5:$J$604,MATCH(B148,'Content Calendar'!$A$5:$A$604,0)),"Not found"))</f>
        <v>0</v>
      </c>
      <c r="F148" s="29">
        <f>IF(B148="","",IFERROR(INDEX('Content Calendar'!$X$5:$X$604,MATCH(B148,'Content Calendar'!$A$5:$A$604,0)),"Not found"))</f>
        <v>0</v>
      </c>
      <c r="T148" s="23">
        <f>IF(B148="","",IF(COUNTIF(Performance!$B$5:$B$404,B148)=0,"",SUMIFS(Performance!$O$5:$O$404,Performance!$B$5:$B$404,B148)))</f>
        <v>0</v>
      </c>
      <c r="U148" s="23">
        <f>IF(B148="","",IF(COUNTIF(Performance!$B$5:$B$404,B148)=0,"",SUMIFS(Performance!$P$5:$P$404,Performance!$B$5:$B$404,B148)))</f>
        <v>0</v>
      </c>
      <c r="V148" s="23">
        <f>IF(B148="","",IF(COUNTIF(Performance!$B$5:$B$404,B148)=0,"",SUMIFS(Performance!$Z$5:$Z$404,Performance!$B$5:$B$404,B148)))</f>
        <v>0</v>
      </c>
      <c r="W148" s="24">
        <f>IF(OR(T148="",T148=0),"",V148/T148)</f>
        <v>0</v>
      </c>
      <c r="X148" s="23">
        <f>IF(B148="","",IF(COUNTIF(Performance!$B$5:$B$404,B148)=0,"",SUMIFS(Performance!$T$5:$T$404,Performance!$B$5:$B$404,B148)))</f>
        <v>0</v>
      </c>
      <c r="Y148" s="23">
        <f>IF(B148="","",IF(COUNTIF(Performance!$B$5:$B$404,B148)=0,"",SUMIFS(Performance!$S$5:$S$404,Performance!$B$5:$B$404,B148)))</f>
        <v>0</v>
      </c>
      <c r="Z148" s="23">
        <f>IF(B148="","",IF(COUNTIF(Performance!$B$5:$B$404,B148)=0,"",SUMIFS(Performance!$R$5:$R$404,Performance!$B$5:$B$404,B148)))</f>
        <v>0</v>
      </c>
      <c r="AA148" s="23">
        <f>IF(B148="","",IF(COUNTIF(Performance!$B$5:$B$404,B148)=0,"",SUMIFS(Performance!$U$5:$U$404,Performance!$B$5:$B$404,B148)))</f>
        <v>0</v>
      </c>
      <c r="AB148" s="29">
        <f>IF(B148="","",IF(C148="Not found","Check - content ID not on the calendar",IF(N148="","Add - no target keyword",IF(K148="","Add - no destination link",IF(AND(S148&lt;&gt;"",S148&lt;TODAY()),"Due - time to refresh this pin","OK")))))</f>
        <v>0</v>
      </c>
    </row>
    <row r="149" spans="1:28">
      <c r="A149" s="41">
        <f>IF(B149="","","PN-"&amp;TEXT(ROW()-4,"000"))</f>
        <v>0</v>
      </c>
      <c r="C149" s="17">
        <f>IF(B149="","",IFERROR(INDEX('Content Calendar'!$H$5:$H$604,MATCH(B149,'Content Calendar'!$A$5:$A$604,0)),"Not found"))</f>
        <v>0</v>
      </c>
      <c r="D149" s="16">
        <f>IF(B149="","",IFERROR(INDEX('Content Calendar'!$B$5:$B$604,MATCH(B149,'Content Calendar'!$A$5:$A$604,0)),"Not found"))</f>
        <v>0</v>
      </c>
      <c r="E149" s="17">
        <f>IF(B149="","",IFERROR(INDEX('Content Calendar'!$J$5:$J$604,MATCH(B149,'Content Calendar'!$A$5:$A$604,0)),"Not found"))</f>
        <v>0</v>
      </c>
      <c r="F149" s="29">
        <f>IF(B149="","",IFERROR(INDEX('Content Calendar'!$X$5:$X$604,MATCH(B149,'Content Calendar'!$A$5:$A$604,0)),"Not found"))</f>
        <v>0</v>
      </c>
      <c r="T149" s="23">
        <f>IF(B149="","",IF(COUNTIF(Performance!$B$5:$B$404,B149)=0,"",SUMIFS(Performance!$O$5:$O$404,Performance!$B$5:$B$404,B149)))</f>
        <v>0</v>
      </c>
      <c r="U149" s="23">
        <f>IF(B149="","",IF(COUNTIF(Performance!$B$5:$B$404,B149)=0,"",SUMIFS(Performance!$P$5:$P$404,Performance!$B$5:$B$404,B149)))</f>
        <v>0</v>
      </c>
      <c r="V149" s="23">
        <f>IF(B149="","",IF(COUNTIF(Performance!$B$5:$B$404,B149)=0,"",SUMIFS(Performance!$Z$5:$Z$404,Performance!$B$5:$B$404,B149)))</f>
        <v>0</v>
      </c>
      <c r="W149" s="24">
        <f>IF(OR(T149="",T149=0),"",V149/T149)</f>
        <v>0</v>
      </c>
      <c r="X149" s="23">
        <f>IF(B149="","",IF(COUNTIF(Performance!$B$5:$B$404,B149)=0,"",SUMIFS(Performance!$T$5:$T$404,Performance!$B$5:$B$404,B149)))</f>
        <v>0</v>
      </c>
      <c r="Y149" s="23">
        <f>IF(B149="","",IF(COUNTIF(Performance!$B$5:$B$404,B149)=0,"",SUMIFS(Performance!$S$5:$S$404,Performance!$B$5:$B$404,B149)))</f>
        <v>0</v>
      </c>
      <c r="Z149" s="23">
        <f>IF(B149="","",IF(COUNTIF(Performance!$B$5:$B$404,B149)=0,"",SUMIFS(Performance!$R$5:$R$404,Performance!$B$5:$B$404,B149)))</f>
        <v>0</v>
      </c>
      <c r="AA149" s="23">
        <f>IF(B149="","",IF(COUNTIF(Performance!$B$5:$B$404,B149)=0,"",SUMIFS(Performance!$U$5:$U$404,Performance!$B$5:$B$404,B149)))</f>
        <v>0</v>
      </c>
      <c r="AB149" s="29">
        <f>IF(B149="","",IF(C149="Not found","Check - content ID not on the calendar",IF(N149="","Add - no target keyword",IF(K149="","Add - no destination link",IF(AND(S149&lt;&gt;"",S149&lt;TODAY()),"Due - time to refresh this pin","OK")))))</f>
        <v>0</v>
      </c>
    </row>
    <row r="150" spans="1:28">
      <c r="A150" s="41">
        <f>IF(B150="","","PN-"&amp;TEXT(ROW()-4,"000"))</f>
        <v>0</v>
      </c>
      <c r="C150" s="17">
        <f>IF(B150="","",IFERROR(INDEX('Content Calendar'!$H$5:$H$604,MATCH(B150,'Content Calendar'!$A$5:$A$604,0)),"Not found"))</f>
        <v>0</v>
      </c>
      <c r="D150" s="16">
        <f>IF(B150="","",IFERROR(INDEX('Content Calendar'!$B$5:$B$604,MATCH(B150,'Content Calendar'!$A$5:$A$604,0)),"Not found"))</f>
        <v>0</v>
      </c>
      <c r="E150" s="17">
        <f>IF(B150="","",IFERROR(INDEX('Content Calendar'!$J$5:$J$604,MATCH(B150,'Content Calendar'!$A$5:$A$604,0)),"Not found"))</f>
        <v>0</v>
      </c>
      <c r="F150" s="29">
        <f>IF(B150="","",IFERROR(INDEX('Content Calendar'!$X$5:$X$604,MATCH(B150,'Content Calendar'!$A$5:$A$604,0)),"Not found"))</f>
        <v>0</v>
      </c>
      <c r="T150" s="23">
        <f>IF(B150="","",IF(COUNTIF(Performance!$B$5:$B$404,B150)=0,"",SUMIFS(Performance!$O$5:$O$404,Performance!$B$5:$B$404,B150)))</f>
        <v>0</v>
      </c>
      <c r="U150" s="23">
        <f>IF(B150="","",IF(COUNTIF(Performance!$B$5:$B$404,B150)=0,"",SUMIFS(Performance!$P$5:$P$404,Performance!$B$5:$B$404,B150)))</f>
        <v>0</v>
      </c>
      <c r="V150" s="23">
        <f>IF(B150="","",IF(COUNTIF(Performance!$B$5:$B$404,B150)=0,"",SUMIFS(Performance!$Z$5:$Z$404,Performance!$B$5:$B$404,B150)))</f>
        <v>0</v>
      </c>
      <c r="W150" s="24">
        <f>IF(OR(T150="",T150=0),"",V150/T150)</f>
        <v>0</v>
      </c>
      <c r="X150" s="23">
        <f>IF(B150="","",IF(COUNTIF(Performance!$B$5:$B$404,B150)=0,"",SUMIFS(Performance!$T$5:$T$404,Performance!$B$5:$B$404,B150)))</f>
        <v>0</v>
      </c>
      <c r="Y150" s="23">
        <f>IF(B150="","",IF(COUNTIF(Performance!$B$5:$B$404,B150)=0,"",SUMIFS(Performance!$S$5:$S$404,Performance!$B$5:$B$404,B150)))</f>
        <v>0</v>
      </c>
      <c r="Z150" s="23">
        <f>IF(B150="","",IF(COUNTIF(Performance!$B$5:$B$404,B150)=0,"",SUMIFS(Performance!$R$5:$R$404,Performance!$B$5:$B$404,B150)))</f>
        <v>0</v>
      </c>
      <c r="AA150" s="23">
        <f>IF(B150="","",IF(COUNTIF(Performance!$B$5:$B$404,B150)=0,"",SUMIFS(Performance!$U$5:$U$404,Performance!$B$5:$B$404,B150)))</f>
        <v>0</v>
      </c>
      <c r="AB150" s="29">
        <f>IF(B150="","",IF(C150="Not found","Check - content ID not on the calendar",IF(N150="","Add - no target keyword",IF(K150="","Add - no destination link",IF(AND(S150&lt;&gt;"",S150&lt;TODAY()),"Due - time to refresh this pin","OK")))))</f>
        <v>0</v>
      </c>
    </row>
    <row r="151" spans="1:28">
      <c r="A151" s="41">
        <f>IF(B151="","","PN-"&amp;TEXT(ROW()-4,"000"))</f>
        <v>0</v>
      </c>
      <c r="C151" s="17">
        <f>IF(B151="","",IFERROR(INDEX('Content Calendar'!$H$5:$H$604,MATCH(B151,'Content Calendar'!$A$5:$A$604,0)),"Not found"))</f>
        <v>0</v>
      </c>
      <c r="D151" s="16">
        <f>IF(B151="","",IFERROR(INDEX('Content Calendar'!$B$5:$B$604,MATCH(B151,'Content Calendar'!$A$5:$A$604,0)),"Not found"))</f>
        <v>0</v>
      </c>
      <c r="E151" s="17">
        <f>IF(B151="","",IFERROR(INDEX('Content Calendar'!$J$5:$J$604,MATCH(B151,'Content Calendar'!$A$5:$A$604,0)),"Not found"))</f>
        <v>0</v>
      </c>
      <c r="F151" s="29">
        <f>IF(B151="","",IFERROR(INDEX('Content Calendar'!$X$5:$X$604,MATCH(B151,'Content Calendar'!$A$5:$A$604,0)),"Not found"))</f>
        <v>0</v>
      </c>
      <c r="T151" s="23">
        <f>IF(B151="","",IF(COUNTIF(Performance!$B$5:$B$404,B151)=0,"",SUMIFS(Performance!$O$5:$O$404,Performance!$B$5:$B$404,B151)))</f>
        <v>0</v>
      </c>
      <c r="U151" s="23">
        <f>IF(B151="","",IF(COUNTIF(Performance!$B$5:$B$404,B151)=0,"",SUMIFS(Performance!$P$5:$P$404,Performance!$B$5:$B$404,B151)))</f>
        <v>0</v>
      </c>
      <c r="V151" s="23">
        <f>IF(B151="","",IF(COUNTIF(Performance!$B$5:$B$404,B151)=0,"",SUMIFS(Performance!$Z$5:$Z$404,Performance!$B$5:$B$404,B151)))</f>
        <v>0</v>
      </c>
      <c r="W151" s="24">
        <f>IF(OR(T151="",T151=0),"",V151/T151)</f>
        <v>0</v>
      </c>
      <c r="X151" s="23">
        <f>IF(B151="","",IF(COUNTIF(Performance!$B$5:$B$404,B151)=0,"",SUMIFS(Performance!$T$5:$T$404,Performance!$B$5:$B$404,B151)))</f>
        <v>0</v>
      </c>
      <c r="Y151" s="23">
        <f>IF(B151="","",IF(COUNTIF(Performance!$B$5:$B$404,B151)=0,"",SUMIFS(Performance!$S$5:$S$404,Performance!$B$5:$B$404,B151)))</f>
        <v>0</v>
      </c>
      <c r="Z151" s="23">
        <f>IF(B151="","",IF(COUNTIF(Performance!$B$5:$B$404,B151)=0,"",SUMIFS(Performance!$R$5:$R$404,Performance!$B$5:$B$404,B151)))</f>
        <v>0</v>
      </c>
      <c r="AA151" s="23">
        <f>IF(B151="","",IF(COUNTIF(Performance!$B$5:$B$404,B151)=0,"",SUMIFS(Performance!$U$5:$U$404,Performance!$B$5:$B$404,B151)))</f>
        <v>0</v>
      </c>
      <c r="AB151" s="29">
        <f>IF(B151="","",IF(C151="Not found","Check - content ID not on the calendar",IF(N151="","Add - no target keyword",IF(K151="","Add - no destination link",IF(AND(S151&lt;&gt;"",S151&lt;TODAY()),"Due - time to refresh this pin","OK")))))</f>
        <v>0</v>
      </c>
    </row>
    <row r="152" spans="1:28">
      <c r="A152" s="41">
        <f>IF(B152="","","PN-"&amp;TEXT(ROW()-4,"000"))</f>
        <v>0</v>
      </c>
      <c r="C152" s="17">
        <f>IF(B152="","",IFERROR(INDEX('Content Calendar'!$H$5:$H$604,MATCH(B152,'Content Calendar'!$A$5:$A$604,0)),"Not found"))</f>
        <v>0</v>
      </c>
      <c r="D152" s="16">
        <f>IF(B152="","",IFERROR(INDEX('Content Calendar'!$B$5:$B$604,MATCH(B152,'Content Calendar'!$A$5:$A$604,0)),"Not found"))</f>
        <v>0</v>
      </c>
      <c r="E152" s="17">
        <f>IF(B152="","",IFERROR(INDEX('Content Calendar'!$J$5:$J$604,MATCH(B152,'Content Calendar'!$A$5:$A$604,0)),"Not found"))</f>
        <v>0</v>
      </c>
      <c r="F152" s="29">
        <f>IF(B152="","",IFERROR(INDEX('Content Calendar'!$X$5:$X$604,MATCH(B152,'Content Calendar'!$A$5:$A$604,0)),"Not found"))</f>
        <v>0</v>
      </c>
      <c r="T152" s="23">
        <f>IF(B152="","",IF(COUNTIF(Performance!$B$5:$B$404,B152)=0,"",SUMIFS(Performance!$O$5:$O$404,Performance!$B$5:$B$404,B152)))</f>
        <v>0</v>
      </c>
      <c r="U152" s="23">
        <f>IF(B152="","",IF(COUNTIF(Performance!$B$5:$B$404,B152)=0,"",SUMIFS(Performance!$P$5:$P$404,Performance!$B$5:$B$404,B152)))</f>
        <v>0</v>
      </c>
      <c r="V152" s="23">
        <f>IF(B152="","",IF(COUNTIF(Performance!$B$5:$B$404,B152)=0,"",SUMIFS(Performance!$Z$5:$Z$404,Performance!$B$5:$B$404,B152)))</f>
        <v>0</v>
      </c>
      <c r="W152" s="24">
        <f>IF(OR(T152="",T152=0),"",V152/T152)</f>
        <v>0</v>
      </c>
      <c r="X152" s="23">
        <f>IF(B152="","",IF(COUNTIF(Performance!$B$5:$B$404,B152)=0,"",SUMIFS(Performance!$T$5:$T$404,Performance!$B$5:$B$404,B152)))</f>
        <v>0</v>
      </c>
      <c r="Y152" s="23">
        <f>IF(B152="","",IF(COUNTIF(Performance!$B$5:$B$404,B152)=0,"",SUMIFS(Performance!$S$5:$S$404,Performance!$B$5:$B$404,B152)))</f>
        <v>0</v>
      </c>
      <c r="Z152" s="23">
        <f>IF(B152="","",IF(COUNTIF(Performance!$B$5:$B$404,B152)=0,"",SUMIFS(Performance!$R$5:$R$404,Performance!$B$5:$B$404,B152)))</f>
        <v>0</v>
      </c>
      <c r="AA152" s="23">
        <f>IF(B152="","",IF(COUNTIF(Performance!$B$5:$B$404,B152)=0,"",SUMIFS(Performance!$U$5:$U$404,Performance!$B$5:$B$404,B152)))</f>
        <v>0</v>
      </c>
      <c r="AB152" s="29">
        <f>IF(B152="","",IF(C152="Not found","Check - content ID not on the calendar",IF(N152="","Add - no target keyword",IF(K152="","Add - no destination link",IF(AND(S152&lt;&gt;"",S152&lt;TODAY()),"Due - time to refresh this pin","OK")))))</f>
        <v>0</v>
      </c>
    </row>
    <row r="153" spans="1:28">
      <c r="A153" s="41">
        <f>IF(B153="","","PN-"&amp;TEXT(ROW()-4,"000"))</f>
        <v>0</v>
      </c>
      <c r="C153" s="17">
        <f>IF(B153="","",IFERROR(INDEX('Content Calendar'!$H$5:$H$604,MATCH(B153,'Content Calendar'!$A$5:$A$604,0)),"Not found"))</f>
        <v>0</v>
      </c>
      <c r="D153" s="16">
        <f>IF(B153="","",IFERROR(INDEX('Content Calendar'!$B$5:$B$604,MATCH(B153,'Content Calendar'!$A$5:$A$604,0)),"Not found"))</f>
        <v>0</v>
      </c>
      <c r="E153" s="17">
        <f>IF(B153="","",IFERROR(INDEX('Content Calendar'!$J$5:$J$604,MATCH(B153,'Content Calendar'!$A$5:$A$604,0)),"Not found"))</f>
        <v>0</v>
      </c>
      <c r="F153" s="29">
        <f>IF(B153="","",IFERROR(INDEX('Content Calendar'!$X$5:$X$604,MATCH(B153,'Content Calendar'!$A$5:$A$604,0)),"Not found"))</f>
        <v>0</v>
      </c>
      <c r="T153" s="23">
        <f>IF(B153="","",IF(COUNTIF(Performance!$B$5:$B$404,B153)=0,"",SUMIFS(Performance!$O$5:$O$404,Performance!$B$5:$B$404,B153)))</f>
        <v>0</v>
      </c>
      <c r="U153" s="23">
        <f>IF(B153="","",IF(COUNTIF(Performance!$B$5:$B$404,B153)=0,"",SUMIFS(Performance!$P$5:$P$404,Performance!$B$5:$B$404,B153)))</f>
        <v>0</v>
      </c>
      <c r="V153" s="23">
        <f>IF(B153="","",IF(COUNTIF(Performance!$B$5:$B$404,B153)=0,"",SUMIFS(Performance!$Z$5:$Z$404,Performance!$B$5:$B$404,B153)))</f>
        <v>0</v>
      </c>
      <c r="W153" s="24">
        <f>IF(OR(T153="",T153=0),"",V153/T153)</f>
        <v>0</v>
      </c>
      <c r="X153" s="23">
        <f>IF(B153="","",IF(COUNTIF(Performance!$B$5:$B$404,B153)=0,"",SUMIFS(Performance!$T$5:$T$404,Performance!$B$5:$B$404,B153)))</f>
        <v>0</v>
      </c>
      <c r="Y153" s="23">
        <f>IF(B153="","",IF(COUNTIF(Performance!$B$5:$B$404,B153)=0,"",SUMIFS(Performance!$S$5:$S$404,Performance!$B$5:$B$404,B153)))</f>
        <v>0</v>
      </c>
      <c r="Z153" s="23">
        <f>IF(B153="","",IF(COUNTIF(Performance!$B$5:$B$404,B153)=0,"",SUMIFS(Performance!$R$5:$R$404,Performance!$B$5:$B$404,B153)))</f>
        <v>0</v>
      </c>
      <c r="AA153" s="23">
        <f>IF(B153="","",IF(COUNTIF(Performance!$B$5:$B$404,B153)=0,"",SUMIFS(Performance!$U$5:$U$404,Performance!$B$5:$B$404,B153)))</f>
        <v>0</v>
      </c>
      <c r="AB153" s="29">
        <f>IF(B153="","",IF(C153="Not found","Check - content ID not on the calendar",IF(N153="","Add - no target keyword",IF(K153="","Add - no destination link",IF(AND(S153&lt;&gt;"",S153&lt;TODAY()),"Due - time to refresh this pin","OK")))))</f>
        <v>0</v>
      </c>
    </row>
    <row r="154" spans="1:28">
      <c r="A154" s="41">
        <f>IF(B154="","","PN-"&amp;TEXT(ROW()-4,"000"))</f>
        <v>0</v>
      </c>
      <c r="C154" s="17">
        <f>IF(B154="","",IFERROR(INDEX('Content Calendar'!$H$5:$H$604,MATCH(B154,'Content Calendar'!$A$5:$A$604,0)),"Not found"))</f>
        <v>0</v>
      </c>
      <c r="D154" s="16">
        <f>IF(B154="","",IFERROR(INDEX('Content Calendar'!$B$5:$B$604,MATCH(B154,'Content Calendar'!$A$5:$A$604,0)),"Not found"))</f>
        <v>0</v>
      </c>
      <c r="E154" s="17">
        <f>IF(B154="","",IFERROR(INDEX('Content Calendar'!$J$5:$J$604,MATCH(B154,'Content Calendar'!$A$5:$A$604,0)),"Not found"))</f>
        <v>0</v>
      </c>
      <c r="F154" s="29">
        <f>IF(B154="","",IFERROR(INDEX('Content Calendar'!$X$5:$X$604,MATCH(B154,'Content Calendar'!$A$5:$A$604,0)),"Not found"))</f>
        <v>0</v>
      </c>
      <c r="T154" s="23">
        <f>IF(B154="","",IF(COUNTIF(Performance!$B$5:$B$404,B154)=0,"",SUMIFS(Performance!$O$5:$O$404,Performance!$B$5:$B$404,B154)))</f>
        <v>0</v>
      </c>
      <c r="U154" s="23">
        <f>IF(B154="","",IF(COUNTIF(Performance!$B$5:$B$404,B154)=0,"",SUMIFS(Performance!$P$5:$P$404,Performance!$B$5:$B$404,B154)))</f>
        <v>0</v>
      </c>
      <c r="V154" s="23">
        <f>IF(B154="","",IF(COUNTIF(Performance!$B$5:$B$404,B154)=0,"",SUMIFS(Performance!$Z$5:$Z$404,Performance!$B$5:$B$404,B154)))</f>
        <v>0</v>
      </c>
      <c r="W154" s="24">
        <f>IF(OR(T154="",T154=0),"",V154/T154)</f>
        <v>0</v>
      </c>
      <c r="X154" s="23">
        <f>IF(B154="","",IF(COUNTIF(Performance!$B$5:$B$404,B154)=0,"",SUMIFS(Performance!$T$5:$T$404,Performance!$B$5:$B$404,B154)))</f>
        <v>0</v>
      </c>
      <c r="Y154" s="23">
        <f>IF(B154="","",IF(COUNTIF(Performance!$B$5:$B$404,B154)=0,"",SUMIFS(Performance!$S$5:$S$404,Performance!$B$5:$B$404,B154)))</f>
        <v>0</v>
      </c>
      <c r="Z154" s="23">
        <f>IF(B154="","",IF(COUNTIF(Performance!$B$5:$B$404,B154)=0,"",SUMIFS(Performance!$R$5:$R$404,Performance!$B$5:$B$404,B154)))</f>
        <v>0</v>
      </c>
      <c r="AA154" s="23">
        <f>IF(B154="","",IF(COUNTIF(Performance!$B$5:$B$404,B154)=0,"",SUMIFS(Performance!$U$5:$U$404,Performance!$B$5:$B$404,B154)))</f>
        <v>0</v>
      </c>
      <c r="AB154" s="29">
        <f>IF(B154="","",IF(C154="Not found","Check - content ID not on the calendar",IF(N154="","Add - no target keyword",IF(K154="","Add - no destination link",IF(AND(S154&lt;&gt;"",S154&lt;TODAY()),"Due - time to refresh this pin","OK")))))</f>
        <v>0</v>
      </c>
    </row>
    <row r="155" spans="1:28">
      <c r="A155" s="41">
        <f>IF(B155="","","PN-"&amp;TEXT(ROW()-4,"000"))</f>
        <v>0</v>
      </c>
      <c r="C155" s="17">
        <f>IF(B155="","",IFERROR(INDEX('Content Calendar'!$H$5:$H$604,MATCH(B155,'Content Calendar'!$A$5:$A$604,0)),"Not found"))</f>
        <v>0</v>
      </c>
      <c r="D155" s="16">
        <f>IF(B155="","",IFERROR(INDEX('Content Calendar'!$B$5:$B$604,MATCH(B155,'Content Calendar'!$A$5:$A$604,0)),"Not found"))</f>
        <v>0</v>
      </c>
      <c r="E155" s="17">
        <f>IF(B155="","",IFERROR(INDEX('Content Calendar'!$J$5:$J$604,MATCH(B155,'Content Calendar'!$A$5:$A$604,0)),"Not found"))</f>
        <v>0</v>
      </c>
      <c r="F155" s="29">
        <f>IF(B155="","",IFERROR(INDEX('Content Calendar'!$X$5:$X$604,MATCH(B155,'Content Calendar'!$A$5:$A$604,0)),"Not found"))</f>
        <v>0</v>
      </c>
      <c r="T155" s="23">
        <f>IF(B155="","",IF(COUNTIF(Performance!$B$5:$B$404,B155)=0,"",SUMIFS(Performance!$O$5:$O$404,Performance!$B$5:$B$404,B155)))</f>
        <v>0</v>
      </c>
      <c r="U155" s="23">
        <f>IF(B155="","",IF(COUNTIF(Performance!$B$5:$B$404,B155)=0,"",SUMIFS(Performance!$P$5:$P$404,Performance!$B$5:$B$404,B155)))</f>
        <v>0</v>
      </c>
      <c r="V155" s="23">
        <f>IF(B155="","",IF(COUNTIF(Performance!$B$5:$B$404,B155)=0,"",SUMIFS(Performance!$Z$5:$Z$404,Performance!$B$5:$B$404,B155)))</f>
        <v>0</v>
      </c>
      <c r="W155" s="24">
        <f>IF(OR(T155="",T155=0),"",V155/T155)</f>
        <v>0</v>
      </c>
      <c r="X155" s="23">
        <f>IF(B155="","",IF(COUNTIF(Performance!$B$5:$B$404,B155)=0,"",SUMIFS(Performance!$T$5:$T$404,Performance!$B$5:$B$404,B155)))</f>
        <v>0</v>
      </c>
      <c r="Y155" s="23">
        <f>IF(B155="","",IF(COUNTIF(Performance!$B$5:$B$404,B155)=0,"",SUMIFS(Performance!$S$5:$S$404,Performance!$B$5:$B$404,B155)))</f>
        <v>0</v>
      </c>
      <c r="Z155" s="23">
        <f>IF(B155="","",IF(COUNTIF(Performance!$B$5:$B$404,B155)=0,"",SUMIFS(Performance!$R$5:$R$404,Performance!$B$5:$B$404,B155)))</f>
        <v>0</v>
      </c>
      <c r="AA155" s="23">
        <f>IF(B155="","",IF(COUNTIF(Performance!$B$5:$B$404,B155)=0,"",SUMIFS(Performance!$U$5:$U$404,Performance!$B$5:$B$404,B155)))</f>
        <v>0</v>
      </c>
      <c r="AB155" s="29">
        <f>IF(B155="","",IF(C155="Not found","Check - content ID not on the calendar",IF(N155="","Add - no target keyword",IF(K155="","Add - no destination link",IF(AND(S155&lt;&gt;"",S155&lt;TODAY()),"Due - time to refresh this pin","OK")))))</f>
        <v>0</v>
      </c>
    </row>
    <row r="156" spans="1:28">
      <c r="A156" s="41">
        <f>IF(B156="","","PN-"&amp;TEXT(ROW()-4,"000"))</f>
        <v>0</v>
      </c>
      <c r="C156" s="17">
        <f>IF(B156="","",IFERROR(INDEX('Content Calendar'!$H$5:$H$604,MATCH(B156,'Content Calendar'!$A$5:$A$604,0)),"Not found"))</f>
        <v>0</v>
      </c>
      <c r="D156" s="16">
        <f>IF(B156="","",IFERROR(INDEX('Content Calendar'!$B$5:$B$604,MATCH(B156,'Content Calendar'!$A$5:$A$604,0)),"Not found"))</f>
        <v>0</v>
      </c>
      <c r="E156" s="17">
        <f>IF(B156="","",IFERROR(INDEX('Content Calendar'!$J$5:$J$604,MATCH(B156,'Content Calendar'!$A$5:$A$604,0)),"Not found"))</f>
        <v>0</v>
      </c>
      <c r="F156" s="29">
        <f>IF(B156="","",IFERROR(INDEX('Content Calendar'!$X$5:$X$604,MATCH(B156,'Content Calendar'!$A$5:$A$604,0)),"Not found"))</f>
        <v>0</v>
      </c>
      <c r="T156" s="23">
        <f>IF(B156="","",IF(COUNTIF(Performance!$B$5:$B$404,B156)=0,"",SUMIFS(Performance!$O$5:$O$404,Performance!$B$5:$B$404,B156)))</f>
        <v>0</v>
      </c>
      <c r="U156" s="23">
        <f>IF(B156="","",IF(COUNTIF(Performance!$B$5:$B$404,B156)=0,"",SUMIFS(Performance!$P$5:$P$404,Performance!$B$5:$B$404,B156)))</f>
        <v>0</v>
      </c>
      <c r="V156" s="23">
        <f>IF(B156="","",IF(COUNTIF(Performance!$B$5:$B$404,B156)=0,"",SUMIFS(Performance!$Z$5:$Z$404,Performance!$B$5:$B$404,B156)))</f>
        <v>0</v>
      </c>
      <c r="W156" s="24">
        <f>IF(OR(T156="",T156=0),"",V156/T156)</f>
        <v>0</v>
      </c>
      <c r="X156" s="23">
        <f>IF(B156="","",IF(COUNTIF(Performance!$B$5:$B$404,B156)=0,"",SUMIFS(Performance!$T$5:$T$404,Performance!$B$5:$B$404,B156)))</f>
        <v>0</v>
      </c>
      <c r="Y156" s="23">
        <f>IF(B156="","",IF(COUNTIF(Performance!$B$5:$B$404,B156)=0,"",SUMIFS(Performance!$S$5:$S$404,Performance!$B$5:$B$404,B156)))</f>
        <v>0</v>
      </c>
      <c r="Z156" s="23">
        <f>IF(B156="","",IF(COUNTIF(Performance!$B$5:$B$404,B156)=0,"",SUMIFS(Performance!$R$5:$R$404,Performance!$B$5:$B$404,B156)))</f>
        <v>0</v>
      </c>
      <c r="AA156" s="23">
        <f>IF(B156="","",IF(COUNTIF(Performance!$B$5:$B$404,B156)=0,"",SUMIFS(Performance!$U$5:$U$404,Performance!$B$5:$B$404,B156)))</f>
        <v>0</v>
      </c>
      <c r="AB156" s="29">
        <f>IF(B156="","",IF(C156="Not found","Check - content ID not on the calendar",IF(N156="","Add - no target keyword",IF(K156="","Add - no destination link",IF(AND(S156&lt;&gt;"",S156&lt;TODAY()),"Due - time to refresh this pin","OK")))))</f>
        <v>0</v>
      </c>
    </row>
    <row r="157" spans="1:28">
      <c r="A157" s="41">
        <f>IF(B157="","","PN-"&amp;TEXT(ROW()-4,"000"))</f>
        <v>0</v>
      </c>
      <c r="C157" s="17">
        <f>IF(B157="","",IFERROR(INDEX('Content Calendar'!$H$5:$H$604,MATCH(B157,'Content Calendar'!$A$5:$A$604,0)),"Not found"))</f>
        <v>0</v>
      </c>
      <c r="D157" s="16">
        <f>IF(B157="","",IFERROR(INDEX('Content Calendar'!$B$5:$B$604,MATCH(B157,'Content Calendar'!$A$5:$A$604,0)),"Not found"))</f>
        <v>0</v>
      </c>
      <c r="E157" s="17">
        <f>IF(B157="","",IFERROR(INDEX('Content Calendar'!$J$5:$J$604,MATCH(B157,'Content Calendar'!$A$5:$A$604,0)),"Not found"))</f>
        <v>0</v>
      </c>
      <c r="F157" s="29">
        <f>IF(B157="","",IFERROR(INDEX('Content Calendar'!$X$5:$X$604,MATCH(B157,'Content Calendar'!$A$5:$A$604,0)),"Not found"))</f>
        <v>0</v>
      </c>
      <c r="T157" s="23">
        <f>IF(B157="","",IF(COUNTIF(Performance!$B$5:$B$404,B157)=0,"",SUMIFS(Performance!$O$5:$O$404,Performance!$B$5:$B$404,B157)))</f>
        <v>0</v>
      </c>
      <c r="U157" s="23">
        <f>IF(B157="","",IF(COUNTIF(Performance!$B$5:$B$404,B157)=0,"",SUMIFS(Performance!$P$5:$P$404,Performance!$B$5:$B$404,B157)))</f>
        <v>0</v>
      </c>
      <c r="V157" s="23">
        <f>IF(B157="","",IF(COUNTIF(Performance!$B$5:$B$404,B157)=0,"",SUMIFS(Performance!$Z$5:$Z$404,Performance!$B$5:$B$404,B157)))</f>
        <v>0</v>
      </c>
      <c r="W157" s="24">
        <f>IF(OR(T157="",T157=0),"",V157/T157)</f>
        <v>0</v>
      </c>
      <c r="X157" s="23">
        <f>IF(B157="","",IF(COUNTIF(Performance!$B$5:$B$404,B157)=0,"",SUMIFS(Performance!$T$5:$T$404,Performance!$B$5:$B$404,B157)))</f>
        <v>0</v>
      </c>
      <c r="Y157" s="23">
        <f>IF(B157="","",IF(COUNTIF(Performance!$B$5:$B$404,B157)=0,"",SUMIFS(Performance!$S$5:$S$404,Performance!$B$5:$B$404,B157)))</f>
        <v>0</v>
      </c>
      <c r="Z157" s="23">
        <f>IF(B157="","",IF(COUNTIF(Performance!$B$5:$B$404,B157)=0,"",SUMIFS(Performance!$R$5:$R$404,Performance!$B$5:$B$404,B157)))</f>
        <v>0</v>
      </c>
      <c r="AA157" s="23">
        <f>IF(B157="","",IF(COUNTIF(Performance!$B$5:$B$404,B157)=0,"",SUMIFS(Performance!$U$5:$U$404,Performance!$B$5:$B$404,B157)))</f>
        <v>0</v>
      </c>
      <c r="AB157" s="29">
        <f>IF(B157="","",IF(C157="Not found","Check - content ID not on the calendar",IF(N157="","Add - no target keyword",IF(K157="","Add - no destination link",IF(AND(S157&lt;&gt;"",S157&lt;TODAY()),"Due - time to refresh this pin","OK")))))</f>
        <v>0</v>
      </c>
    </row>
    <row r="158" spans="1:28">
      <c r="A158" s="41">
        <f>IF(B158="","","PN-"&amp;TEXT(ROW()-4,"000"))</f>
        <v>0</v>
      </c>
      <c r="C158" s="17">
        <f>IF(B158="","",IFERROR(INDEX('Content Calendar'!$H$5:$H$604,MATCH(B158,'Content Calendar'!$A$5:$A$604,0)),"Not found"))</f>
        <v>0</v>
      </c>
      <c r="D158" s="16">
        <f>IF(B158="","",IFERROR(INDEX('Content Calendar'!$B$5:$B$604,MATCH(B158,'Content Calendar'!$A$5:$A$604,0)),"Not found"))</f>
        <v>0</v>
      </c>
      <c r="E158" s="17">
        <f>IF(B158="","",IFERROR(INDEX('Content Calendar'!$J$5:$J$604,MATCH(B158,'Content Calendar'!$A$5:$A$604,0)),"Not found"))</f>
        <v>0</v>
      </c>
      <c r="F158" s="29">
        <f>IF(B158="","",IFERROR(INDEX('Content Calendar'!$X$5:$X$604,MATCH(B158,'Content Calendar'!$A$5:$A$604,0)),"Not found"))</f>
        <v>0</v>
      </c>
      <c r="T158" s="23">
        <f>IF(B158="","",IF(COUNTIF(Performance!$B$5:$B$404,B158)=0,"",SUMIFS(Performance!$O$5:$O$404,Performance!$B$5:$B$404,B158)))</f>
        <v>0</v>
      </c>
      <c r="U158" s="23">
        <f>IF(B158="","",IF(COUNTIF(Performance!$B$5:$B$404,B158)=0,"",SUMIFS(Performance!$P$5:$P$404,Performance!$B$5:$B$404,B158)))</f>
        <v>0</v>
      </c>
      <c r="V158" s="23">
        <f>IF(B158="","",IF(COUNTIF(Performance!$B$5:$B$404,B158)=0,"",SUMIFS(Performance!$Z$5:$Z$404,Performance!$B$5:$B$404,B158)))</f>
        <v>0</v>
      </c>
      <c r="W158" s="24">
        <f>IF(OR(T158="",T158=0),"",V158/T158)</f>
        <v>0</v>
      </c>
      <c r="X158" s="23">
        <f>IF(B158="","",IF(COUNTIF(Performance!$B$5:$B$404,B158)=0,"",SUMIFS(Performance!$T$5:$T$404,Performance!$B$5:$B$404,B158)))</f>
        <v>0</v>
      </c>
      <c r="Y158" s="23">
        <f>IF(B158="","",IF(COUNTIF(Performance!$B$5:$B$404,B158)=0,"",SUMIFS(Performance!$S$5:$S$404,Performance!$B$5:$B$404,B158)))</f>
        <v>0</v>
      </c>
      <c r="Z158" s="23">
        <f>IF(B158="","",IF(COUNTIF(Performance!$B$5:$B$404,B158)=0,"",SUMIFS(Performance!$R$5:$R$404,Performance!$B$5:$B$404,B158)))</f>
        <v>0</v>
      </c>
      <c r="AA158" s="23">
        <f>IF(B158="","",IF(COUNTIF(Performance!$B$5:$B$404,B158)=0,"",SUMIFS(Performance!$U$5:$U$404,Performance!$B$5:$B$404,B158)))</f>
        <v>0</v>
      </c>
      <c r="AB158" s="29">
        <f>IF(B158="","",IF(C158="Not found","Check - content ID not on the calendar",IF(N158="","Add - no target keyword",IF(K158="","Add - no destination link",IF(AND(S158&lt;&gt;"",S158&lt;TODAY()),"Due - time to refresh this pin","OK")))))</f>
        <v>0</v>
      </c>
    </row>
    <row r="159" spans="1:28">
      <c r="A159" s="41">
        <f>IF(B159="","","PN-"&amp;TEXT(ROW()-4,"000"))</f>
        <v>0</v>
      </c>
      <c r="C159" s="17">
        <f>IF(B159="","",IFERROR(INDEX('Content Calendar'!$H$5:$H$604,MATCH(B159,'Content Calendar'!$A$5:$A$604,0)),"Not found"))</f>
        <v>0</v>
      </c>
      <c r="D159" s="16">
        <f>IF(B159="","",IFERROR(INDEX('Content Calendar'!$B$5:$B$604,MATCH(B159,'Content Calendar'!$A$5:$A$604,0)),"Not found"))</f>
        <v>0</v>
      </c>
      <c r="E159" s="17">
        <f>IF(B159="","",IFERROR(INDEX('Content Calendar'!$J$5:$J$604,MATCH(B159,'Content Calendar'!$A$5:$A$604,0)),"Not found"))</f>
        <v>0</v>
      </c>
      <c r="F159" s="29">
        <f>IF(B159="","",IFERROR(INDEX('Content Calendar'!$X$5:$X$604,MATCH(B159,'Content Calendar'!$A$5:$A$604,0)),"Not found"))</f>
        <v>0</v>
      </c>
      <c r="T159" s="23">
        <f>IF(B159="","",IF(COUNTIF(Performance!$B$5:$B$404,B159)=0,"",SUMIFS(Performance!$O$5:$O$404,Performance!$B$5:$B$404,B159)))</f>
        <v>0</v>
      </c>
      <c r="U159" s="23">
        <f>IF(B159="","",IF(COUNTIF(Performance!$B$5:$B$404,B159)=0,"",SUMIFS(Performance!$P$5:$P$404,Performance!$B$5:$B$404,B159)))</f>
        <v>0</v>
      </c>
      <c r="V159" s="23">
        <f>IF(B159="","",IF(COUNTIF(Performance!$B$5:$B$404,B159)=0,"",SUMIFS(Performance!$Z$5:$Z$404,Performance!$B$5:$B$404,B159)))</f>
        <v>0</v>
      </c>
      <c r="W159" s="24">
        <f>IF(OR(T159="",T159=0),"",V159/T159)</f>
        <v>0</v>
      </c>
      <c r="X159" s="23">
        <f>IF(B159="","",IF(COUNTIF(Performance!$B$5:$B$404,B159)=0,"",SUMIFS(Performance!$T$5:$T$404,Performance!$B$5:$B$404,B159)))</f>
        <v>0</v>
      </c>
      <c r="Y159" s="23">
        <f>IF(B159="","",IF(COUNTIF(Performance!$B$5:$B$404,B159)=0,"",SUMIFS(Performance!$S$5:$S$404,Performance!$B$5:$B$404,B159)))</f>
        <v>0</v>
      </c>
      <c r="Z159" s="23">
        <f>IF(B159="","",IF(COUNTIF(Performance!$B$5:$B$404,B159)=0,"",SUMIFS(Performance!$R$5:$R$404,Performance!$B$5:$B$404,B159)))</f>
        <v>0</v>
      </c>
      <c r="AA159" s="23">
        <f>IF(B159="","",IF(COUNTIF(Performance!$B$5:$B$404,B159)=0,"",SUMIFS(Performance!$U$5:$U$404,Performance!$B$5:$B$404,B159)))</f>
        <v>0</v>
      </c>
      <c r="AB159" s="29">
        <f>IF(B159="","",IF(C159="Not found","Check - content ID not on the calendar",IF(N159="","Add - no target keyword",IF(K159="","Add - no destination link",IF(AND(S159&lt;&gt;"",S159&lt;TODAY()),"Due - time to refresh this pin","OK")))))</f>
        <v>0</v>
      </c>
    </row>
    <row r="160" spans="1:28">
      <c r="A160" s="41">
        <f>IF(B160="","","PN-"&amp;TEXT(ROW()-4,"000"))</f>
        <v>0</v>
      </c>
      <c r="C160" s="17">
        <f>IF(B160="","",IFERROR(INDEX('Content Calendar'!$H$5:$H$604,MATCH(B160,'Content Calendar'!$A$5:$A$604,0)),"Not found"))</f>
        <v>0</v>
      </c>
      <c r="D160" s="16">
        <f>IF(B160="","",IFERROR(INDEX('Content Calendar'!$B$5:$B$604,MATCH(B160,'Content Calendar'!$A$5:$A$604,0)),"Not found"))</f>
        <v>0</v>
      </c>
      <c r="E160" s="17">
        <f>IF(B160="","",IFERROR(INDEX('Content Calendar'!$J$5:$J$604,MATCH(B160,'Content Calendar'!$A$5:$A$604,0)),"Not found"))</f>
        <v>0</v>
      </c>
      <c r="F160" s="29">
        <f>IF(B160="","",IFERROR(INDEX('Content Calendar'!$X$5:$X$604,MATCH(B160,'Content Calendar'!$A$5:$A$604,0)),"Not found"))</f>
        <v>0</v>
      </c>
      <c r="T160" s="23">
        <f>IF(B160="","",IF(COUNTIF(Performance!$B$5:$B$404,B160)=0,"",SUMIFS(Performance!$O$5:$O$404,Performance!$B$5:$B$404,B160)))</f>
        <v>0</v>
      </c>
      <c r="U160" s="23">
        <f>IF(B160="","",IF(COUNTIF(Performance!$B$5:$B$404,B160)=0,"",SUMIFS(Performance!$P$5:$P$404,Performance!$B$5:$B$404,B160)))</f>
        <v>0</v>
      </c>
      <c r="V160" s="23">
        <f>IF(B160="","",IF(COUNTIF(Performance!$B$5:$B$404,B160)=0,"",SUMIFS(Performance!$Z$5:$Z$404,Performance!$B$5:$B$404,B160)))</f>
        <v>0</v>
      </c>
      <c r="W160" s="24">
        <f>IF(OR(T160="",T160=0),"",V160/T160)</f>
        <v>0</v>
      </c>
      <c r="X160" s="23">
        <f>IF(B160="","",IF(COUNTIF(Performance!$B$5:$B$404,B160)=0,"",SUMIFS(Performance!$T$5:$T$404,Performance!$B$5:$B$404,B160)))</f>
        <v>0</v>
      </c>
      <c r="Y160" s="23">
        <f>IF(B160="","",IF(COUNTIF(Performance!$B$5:$B$404,B160)=0,"",SUMIFS(Performance!$S$5:$S$404,Performance!$B$5:$B$404,B160)))</f>
        <v>0</v>
      </c>
      <c r="Z160" s="23">
        <f>IF(B160="","",IF(COUNTIF(Performance!$B$5:$B$404,B160)=0,"",SUMIFS(Performance!$R$5:$R$404,Performance!$B$5:$B$404,B160)))</f>
        <v>0</v>
      </c>
      <c r="AA160" s="23">
        <f>IF(B160="","",IF(COUNTIF(Performance!$B$5:$B$404,B160)=0,"",SUMIFS(Performance!$U$5:$U$404,Performance!$B$5:$B$404,B160)))</f>
        <v>0</v>
      </c>
      <c r="AB160" s="29">
        <f>IF(B160="","",IF(C160="Not found","Check - content ID not on the calendar",IF(N160="","Add - no target keyword",IF(K160="","Add - no destination link",IF(AND(S160&lt;&gt;"",S160&lt;TODAY()),"Due - time to refresh this pin","OK")))))</f>
        <v>0</v>
      </c>
    </row>
    <row r="161" spans="1:28">
      <c r="A161" s="41">
        <f>IF(B161="","","PN-"&amp;TEXT(ROW()-4,"000"))</f>
        <v>0</v>
      </c>
      <c r="C161" s="17">
        <f>IF(B161="","",IFERROR(INDEX('Content Calendar'!$H$5:$H$604,MATCH(B161,'Content Calendar'!$A$5:$A$604,0)),"Not found"))</f>
        <v>0</v>
      </c>
      <c r="D161" s="16">
        <f>IF(B161="","",IFERROR(INDEX('Content Calendar'!$B$5:$B$604,MATCH(B161,'Content Calendar'!$A$5:$A$604,0)),"Not found"))</f>
        <v>0</v>
      </c>
      <c r="E161" s="17">
        <f>IF(B161="","",IFERROR(INDEX('Content Calendar'!$J$5:$J$604,MATCH(B161,'Content Calendar'!$A$5:$A$604,0)),"Not found"))</f>
        <v>0</v>
      </c>
      <c r="F161" s="29">
        <f>IF(B161="","",IFERROR(INDEX('Content Calendar'!$X$5:$X$604,MATCH(B161,'Content Calendar'!$A$5:$A$604,0)),"Not found"))</f>
        <v>0</v>
      </c>
      <c r="T161" s="23">
        <f>IF(B161="","",IF(COUNTIF(Performance!$B$5:$B$404,B161)=0,"",SUMIFS(Performance!$O$5:$O$404,Performance!$B$5:$B$404,B161)))</f>
        <v>0</v>
      </c>
      <c r="U161" s="23">
        <f>IF(B161="","",IF(COUNTIF(Performance!$B$5:$B$404,B161)=0,"",SUMIFS(Performance!$P$5:$P$404,Performance!$B$5:$B$404,B161)))</f>
        <v>0</v>
      </c>
      <c r="V161" s="23">
        <f>IF(B161="","",IF(COUNTIF(Performance!$B$5:$B$404,B161)=0,"",SUMIFS(Performance!$Z$5:$Z$404,Performance!$B$5:$B$404,B161)))</f>
        <v>0</v>
      </c>
      <c r="W161" s="24">
        <f>IF(OR(T161="",T161=0),"",V161/T161)</f>
        <v>0</v>
      </c>
      <c r="X161" s="23">
        <f>IF(B161="","",IF(COUNTIF(Performance!$B$5:$B$404,B161)=0,"",SUMIFS(Performance!$T$5:$T$404,Performance!$B$5:$B$404,B161)))</f>
        <v>0</v>
      </c>
      <c r="Y161" s="23">
        <f>IF(B161="","",IF(COUNTIF(Performance!$B$5:$B$404,B161)=0,"",SUMIFS(Performance!$S$5:$S$404,Performance!$B$5:$B$404,B161)))</f>
        <v>0</v>
      </c>
      <c r="Z161" s="23">
        <f>IF(B161="","",IF(COUNTIF(Performance!$B$5:$B$404,B161)=0,"",SUMIFS(Performance!$R$5:$R$404,Performance!$B$5:$B$404,B161)))</f>
        <v>0</v>
      </c>
      <c r="AA161" s="23">
        <f>IF(B161="","",IF(COUNTIF(Performance!$B$5:$B$404,B161)=0,"",SUMIFS(Performance!$U$5:$U$404,Performance!$B$5:$B$404,B161)))</f>
        <v>0</v>
      </c>
      <c r="AB161" s="29">
        <f>IF(B161="","",IF(C161="Not found","Check - content ID not on the calendar",IF(N161="","Add - no target keyword",IF(K161="","Add - no destination link",IF(AND(S161&lt;&gt;"",S161&lt;TODAY()),"Due - time to refresh this pin","OK")))))</f>
        <v>0</v>
      </c>
    </row>
    <row r="162" spans="1:28">
      <c r="A162" s="41">
        <f>IF(B162="","","PN-"&amp;TEXT(ROW()-4,"000"))</f>
        <v>0</v>
      </c>
      <c r="C162" s="17">
        <f>IF(B162="","",IFERROR(INDEX('Content Calendar'!$H$5:$H$604,MATCH(B162,'Content Calendar'!$A$5:$A$604,0)),"Not found"))</f>
        <v>0</v>
      </c>
      <c r="D162" s="16">
        <f>IF(B162="","",IFERROR(INDEX('Content Calendar'!$B$5:$B$604,MATCH(B162,'Content Calendar'!$A$5:$A$604,0)),"Not found"))</f>
        <v>0</v>
      </c>
      <c r="E162" s="17">
        <f>IF(B162="","",IFERROR(INDEX('Content Calendar'!$J$5:$J$604,MATCH(B162,'Content Calendar'!$A$5:$A$604,0)),"Not found"))</f>
        <v>0</v>
      </c>
      <c r="F162" s="29">
        <f>IF(B162="","",IFERROR(INDEX('Content Calendar'!$X$5:$X$604,MATCH(B162,'Content Calendar'!$A$5:$A$604,0)),"Not found"))</f>
        <v>0</v>
      </c>
      <c r="T162" s="23">
        <f>IF(B162="","",IF(COUNTIF(Performance!$B$5:$B$404,B162)=0,"",SUMIFS(Performance!$O$5:$O$404,Performance!$B$5:$B$404,B162)))</f>
        <v>0</v>
      </c>
      <c r="U162" s="23">
        <f>IF(B162="","",IF(COUNTIF(Performance!$B$5:$B$404,B162)=0,"",SUMIFS(Performance!$P$5:$P$404,Performance!$B$5:$B$404,B162)))</f>
        <v>0</v>
      </c>
      <c r="V162" s="23">
        <f>IF(B162="","",IF(COUNTIF(Performance!$B$5:$B$404,B162)=0,"",SUMIFS(Performance!$Z$5:$Z$404,Performance!$B$5:$B$404,B162)))</f>
        <v>0</v>
      </c>
      <c r="W162" s="24">
        <f>IF(OR(T162="",T162=0),"",V162/T162)</f>
        <v>0</v>
      </c>
      <c r="X162" s="23">
        <f>IF(B162="","",IF(COUNTIF(Performance!$B$5:$B$404,B162)=0,"",SUMIFS(Performance!$T$5:$T$404,Performance!$B$5:$B$404,B162)))</f>
        <v>0</v>
      </c>
      <c r="Y162" s="23">
        <f>IF(B162="","",IF(COUNTIF(Performance!$B$5:$B$404,B162)=0,"",SUMIFS(Performance!$S$5:$S$404,Performance!$B$5:$B$404,B162)))</f>
        <v>0</v>
      </c>
      <c r="Z162" s="23">
        <f>IF(B162="","",IF(COUNTIF(Performance!$B$5:$B$404,B162)=0,"",SUMIFS(Performance!$R$5:$R$404,Performance!$B$5:$B$404,B162)))</f>
        <v>0</v>
      </c>
      <c r="AA162" s="23">
        <f>IF(B162="","",IF(COUNTIF(Performance!$B$5:$B$404,B162)=0,"",SUMIFS(Performance!$U$5:$U$404,Performance!$B$5:$B$404,B162)))</f>
        <v>0</v>
      </c>
      <c r="AB162" s="29">
        <f>IF(B162="","",IF(C162="Not found","Check - content ID not on the calendar",IF(N162="","Add - no target keyword",IF(K162="","Add - no destination link",IF(AND(S162&lt;&gt;"",S162&lt;TODAY()),"Due - time to refresh this pin","OK")))))</f>
        <v>0</v>
      </c>
    </row>
    <row r="163" spans="1:28">
      <c r="A163" s="41">
        <f>IF(B163="","","PN-"&amp;TEXT(ROW()-4,"000"))</f>
        <v>0</v>
      </c>
      <c r="C163" s="17">
        <f>IF(B163="","",IFERROR(INDEX('Content Calendar'!$H$5:$H$604,MATCH(B163,'Content Calendar'!$A$5:$A$604,0)),"Not found"))</f>
        <v>0</v>
      </c>
      <c r="D163" s="16">
        <f>IF(B163="","",IFERROR(INDEX('Content Calendar'!$B$5:$B$604,MATCH(B163,'Content Calendar'!$A$5:$A$604,0)),"Not found"))</f>
        <v>0</v>
      </c>
      <c r="E163" s="17">
        <f>IF(B163="","",IFERROR(INDEX('Content Calendar'!$J$5:$J$604,MATCH(B163,'Content Calendar'!$A$5:$A$604,0)),"Not found"))</f>
        <v>0</v>
      </c>
      <c r="F163" s="29">
        <f>IF(B163="","",IFERROR(INDEX('Content Calendar'!$X$5:$X$604,MATCH(B163,'Content Calendar'!$A$5:$A$604,0)),"Not found"))</f>
        <v>0</v>
      </c>
      <c r="T163" s="23">
        <f>IF(B163="","",IF(COUNTIF(Performance!$B$5:$B$404,B163)=0,"",SUMIFS(Performance!$O$5:$O$404,Performance!$B$5:$B$404,B163)))</f>
        <v>0</v>
      </c>
      <c r="U163" s="23">
        <f>IF(B163="","",IF(COUNTIF(Performance!$B$5:$B$404,B163)=0,"",SUMIFS(Performance!$P$5:$P$404,Performance!$B$5:$B$404,B163)))</f>
        <v>0</v>
      </c>
      <c r="V163" s="23">
        <f>IF(B163="","",IF(COUNTIF(Performance!$B$5:$B$404,B163)=0,"",SUMIFS(Performance!$Z$5:$Z$404,Performance!$B$5:$B$404,B163)))</f>
        <v>0</v>
      </c>
      <c r="W163" s="24">
        <f>IF(OR(T163="",T163=0),"",V163/T163)</f>
        <v>0</v>
      </c>
      <c r="X163" s="23">
        <f>IF(B163="","",IF(COUNTIF(Performance!$B$5:$B$404,B163)=0,"",SUMIFS(Performance!$T$5:$T$404,Performance!$B$5:$B$404,B163)))</f>
        <v>0</v>
      </c>
      <c r="Y163" s="23">
        <f>IF(B163="","",IF(COUNTIF(Performance!$B$5:$B$404,B163)=0,"",SUMIFS(Performance!$S$5:$S$404,Performance!$B$5:$B$404,B163)))</f>
        <v>0</v>
      </c>
      <c r="Z163" s="23">
        <f>IF(B163="","",IF(COUNTIF(Performance!$B$5:$B$404,B163)=0,"",SUMIFS(Performance!$R$5:$R$404,Performance!$B$5:$B$404,B163)))</f>
        <v>0</v>
      </c>
      <c r="AA163" s="23">
        <f>IF(B163="","",IF(COUNTIF(Performance!$B$5:$B$404,B163)=0,"",SUMIFS(Performance!$U$5:$U$404,Performance!$B$5:$B$404,B163)))</f>
        <v>0</v>
      </c>
      <c r="AB163" s="29">
        <f>IF(B163="","",IF(C163="Not found","Check - content ID not on the calendar",IF(N163="","Add - no target keyword",IF(K163="","Add - no destination link",IF(AND(S163&lt;&gt;"",S163&lt;TODAY()),"Due - time to refresh this pin","OK")))))</f>
        <v>0</v>
      </c>
    </row>
    <row r="164" spans="1:28">
      <c r="A164" s="41">
        <f>IF(B164="","","PN-"&amp;TEXT(ROW()-4,"000"))</f>
        <v>0</v>
      </c>
      <c r="C164" s="17">
        <f>IF(B164="","",IFERROR(INDEX('Content Calendar'!$H$5:$H$604,MATCH(B164,'Content Calendar'!$A$5:$A$604,0)),"Not found"))</f>
        <v>0</v>
      </c>
      <c r="D164" s="16">
        <f>IF(B164="","",IFERROR(INDEX('Content Calendar'!$B$5:$B$604,MATCH(B164,'Content Calendar'!$A$5:$A$604,0)),"Not found"))</f>
        <v>0</v>
      </c>
      <c r="E164" s="17">
        <f>IF(B164="","",IFERROR(INDEX('Content Calendar'!$J$5:$J$604,MATCH(B164,'Content Calendar'!$A$5:$A$604,0)),"Not found"))</f>
        <v>0</v>
      </c>
      <c r="F164" s="29">
        <f>IF(B164="","",IFERROR(INDEX('Content Calendar'!$X$5:$X$604,MATCH(B164,'Content Calendar'!$A$5:$A$604,0)),"Not found"))</f>
        <v>0</v>
      </c>
      <c r="T164" s="23">
        <f>IF(B164="","",IF(COUNTIF(Performance!$B$5:$B$404,B164)=0,"",SUMIFS(Performance!$O$5:$O$404,Performance!$B$5:$B$404,B164)))</f>
        <v>0</v>
      </c>
      <c r="U164" s="23">
        <f>IF(B164="","",IF(COUNTIF(Performance!$B$5:$B$404,B164)=0,"",SUMIFS(Performance!$P$5:$P$404,Performance!$B$5:$B$404,B164)))</f>
        <v>0</v>
      </c>
      <c r="V164" s="23">
        <f>IF(B164="","",IF(COUNTIF(Performance!$B$5:$B$404,B164)=0,"",SUMIFS(Performance!$Z$5:$Z$404,Performance!$B$5:$B$404,B164)))</f>
        <v>0</v>
      </c>
      <c r="W164" s="24">
        <f>IF(OR(T164="",T164=0),"",V164/T164)</f>
        <v>0</v>
      </c>
      <c r="X164" s="23">
        <f>IF(B164="","",IF(COUNTIF(Performance!$B$5:$B$404,B164)=0,"",SUMIFS(Performance!$T$5:$T$404,Performance!$B$5:$B$404,B164)))</f>
        <v>0</v>
      </c>
      <c r="Y164" s="23">
        <f>IF(B164="","",IF(COUNTIF(Performance!$B$5:$B$404,B164)=0,"",SUMIFS(Performance!$S$5:$S$404,Performance!$B$5:$B$404,B164)))</f>
        <v>0</v>
      </c>
      <c r="Z164" s="23">
        <f>IF(B164="","",IF(COUNTIF(Performance!$B$5:$B$404,B164)=0,"",SUMIFS(Performance!$R$5:$R$404,Performance!$B$5:$B$404,B164)))</f>
        <v>0</v>
      </c>
      <c r="AA164" s="23">
        <f>IF(B164="","",IF(COUNTIF(Performance!$B$5:$B$404,B164)=0,"",SUMIFS(Performance!$U$5:$U$404,Performance!$B$5:$B$404,B164)))</f>
        <v>0</v>
      </c>
      <c r="AB164" s="29">
        <f>IF(B164="","",IF(C164="Not found","Check - content ID not on the calendar",IF(N164="","Add - no target keyword",IF(K164="","Add - no destination link",IF(AND(S164&lt;&gt;"",S164&lt;TODAY()),"Due - time to refresh this pin","OK")))))</f>
        <v>0</v>
      </c>
    </row>
    <row r="165" spans="1:28">
      <c r="A165" s="41">
        <f>IF(B165="","","PN-"&amp;TEXT(ROW()-4,"000"))</f>
        <v>0</v>
      </c>
      <c r="C165" s="17">
        <f>IF(B165="","",IFERROR(INDEX('Content Calendar'!$H$5:$H$604,MATCH(B165,'Content Calendar'!$A$5:$A$604,0)),"Not found"))</f>
        <v>0</v>
      </c>
      <c r="D165" s="16">
        <f>IF(B165="","",IFERROR(INDEX('Content Calendar'!$B$5:$B$604,MATCH(B165,'Content Calendar'!$A$5:$A$604,0)),"Not found"))</f>
        <v>0</v>
      </c>
      <c r="E165" s="17">
        <f>IF(B165="","",IFERROR(INDEX('Content Calendar'!$J$5:$J$604,MATCH(B165,'Content Calendar'!$A$5:$A$604,0)),"Not found"))</f>
        <v>0</v>
      </c>
      <c r="F165" s="29">
        <f>IF(B165="","",IFERROR(INDEX('Content Calendar'!$X$5:$X$604,MATCH(B165,'Content Calendar'!$A$5:$A$604,0)),"Not found"))</f>
        <v>0</v>
      </c>
      <c r="T165" s="23">
        <f>IF(B165="","",IF(COUNTIF(Performance!$B$5:$B$404,B165)=0,"",SUMIFS(Performance!$O$5:$O$404,Performance!$B$5:$B$404,B165)))</f>
        <v>0</v>
      </c>
      <c r="U165" s="23">
        <f>IF(B165="","",IF(COUNTIF(Performance!$B$5:$B$404,B165)=0,"",SUMIFS(Performance!$P$5:$P$404,Performance!$B$5:$B$404,B165)))</f>
        <v>0</v>
      </c>
      <c r="V165" s="23">
        <f>IF(B165="","",IF(COUNTIF(Performance!$B$5:$B$404,B165)=0,"",SUMIFS(Performance!$Z$5:$Z$404,Performance!$B$5:$B$404,B165)))</f>
        <v>0</v>
      </c>
      <c r="W165" s="24">
        <f>IF(OR(T165="",T165=0),"",V165/T165)</f>
        <v>0</v>
      </c>
      <c r="X165" s="23">
        <f>IF(B165="","",IF(COUNTIF(Performance!$B$5:$B$404,B165)=0,"",SUMIFS(Performance!$T$5:$T$404,Performance!$B$5:$B$404,B165)))</f>
        <v>0</v>
      </c>
      <c r="Y165" s="23">
        <f>IF(B165="","",IF(COUNTIF(Performance!$B$5:$B$404,B165)=0,"",SUMIFS(Performance!$S$5:$S$404,Performance!$B$5:$B$404,B165)))</f>
        <v>0</v>
      </c>
      <c r="Z165" s="23">
        <f>IF(B165="","",IF(COUNTIF(Performance!$B$5:$B$404,B165)=0,"",SUMIFS(Performance!$R$5:$R$404,Performance!$B$5:$B$404,B165)))</f>
        <v>0</v>
      </c>
      <c r="AA165" s="23">
        <f>IF(B165="","",IF(COUNTIF(Performance!$B$5:$B$404,B165)=0,"",SUMIFS(Performance!$U$5:$U$404,Performance!$B$5:$B$404,B165)))</f>
        <v>0</v>
      </c>
      <c r="AB165" s="29">
        <f>IF(B165="","",IF(C165="Not found","Check - content ID not on the calendar",IF(N165="","Add - no target keyword",IF(K165="","Add - no destination link",IF(AND(S165&lt;&gt;"",S165&lt;TODAY()),"Due - time to refresh this pin","OK")))))</f>
        <v>0</v>
      </c>
    </row>
    <row r="166" spans="1:28">
      <c r="A166" s="41">
        <f>IF(B166="","","PN-"&amp;TEXT(ROW()-4,"000"))</f>
        <v>0</v>
      </c>
      <c r="C166" s="17">
        <f>IF(B166="","",IFERROR(INDEX('Content Calendar'!$H$5:$H$604,MATCH(B166,'Content Calendar'!$A$5:$A$604,0)),"Not found"))</f>
        <v>0</v>
      </c>
      <c r="D166" s="16">
        <f>IF(B166="","",IFERROR(INDEX('Content Calendar'!$B$5:$B$604,MATCH(B166,'Content Calendar'!$A$5:$A$604,0)),"Not found"))</f>
        <v>0</v>
      </c>
      <c r="E166" s="17">
        <f>IF(B166="","",IFERROR(INDEX('Content Calendar'!$J$5:$J$604,MATCH(B166,'Content Calendar'!$A$5:$A$604,0)),"Not found"))</f>
        <v>0</v>
      </c>
      <c r="F166" s="29">
        <f>IF(B166="","",IFERROR(INDEX('Content Calendar'!$X$5:$X$604,MATCH(B166,'Content Calendar'!$A$5:$A$604,0)),"Not found"))</f>
        <v>0</v>
      </c>
      <c r="T166" s="23">
        <f>IF(B166="","",IF(COUNTIF(Performance!$B$5:$B$404,B166)=0,"",SUMIFS(Performance!$O$5:$O$404,Performance!$B$5:$B$404,B166)))</f>
        <v>0</v>
      </c>
      <c r="U166" s="23">
        <f>IF(B166="","",IF(COUNTIF(Performance!$B$5:$B$404,B166)=0,"",SUMIFS(Performance!$P$5:$P$404,Performance!$B$5:$B$404,B166)))</f>
        <v>0</v>
      </c>
      <c r="V166" s="23">
        <f>IF(B166="","",IF(COUNTIF(Performance!$B$5:$B$404,B166)=0,"",SUMIFS(Performance!$Z$5:$Z$404,Performance!$B$5:$B$404,B166)))</f>
        <v>0</v>
      </c>
      <c r="W166" s="24">
        <f>IF(OR(T166="",T166=0),"",V166/T166)</f>
        <v>0</v>
      </c>
      <c r="X166" s="23">
        <f>IF(B166="","",IF(COUNTIF(Performance!$B$5:$B$404,B166)=0,"",SUMIFS(Performance!$T$5:$T$404,Performance!$B$5:$B$404,B166)))</f>
        <v>0</v>
      </c>
      <c r="Y166" s="23">
        <f>IF(B166="","",IF(COUNTIF(Performance!$B$5:$B$404,B166)=0,"",SUMIFS(Performance!$S$5:$S$404,Performance!$B$5:$B$404,B166)))</f>
        <v>0</v>
      </c>
      <c r="Z166" s="23">
        <f>IF(B166="","",IF(COUNTIF(Performance!$B$5:$B$404,B166)=0,"",SUMIFS(Performance!$R$5:$R$404,Performance!$B$5:$B$404,B166)))</f>
        <v>0</v>
      </c>
      <c r="AA166" s="23">
        <f>IF(B166="","",IF(COUNTIF(Performance!$B$5:$B$404,B166)=0,"",SUMIFS(Performance!$U$5:$U$404,Performance!$B$5:$B$404,B166)))</f>
        <v>0</v>
      </c>
      <c r="AB166" s="29">
        <f>IF(B166="","",IF(C166="Not found","Check - content ID not on the calendar",IF(N166="","Add - no target keyword",IF(K166="","Add - no destination link",IF(AND(S166&lt;&gt;"",S166&lt;TODAY()),"Due - time to refresh this pin","OK")))))</f>
        <v>0</v>
      </c>
    </row>
    <row r="167" spans="1:28">
      <c r="A167" s="41">
        <f>IF(B167="","","PN-"&amp;TEXT(ROW()-4,"000"))</f>
        <v>0</v>
      </c>
      <c r="C167" s="17">
        <f>IF(B167="","",IFERROR(INDEX('Content Calendar'!$H$5:$H$604,MATCH(B167,'Content Calendar'!$A$5:$A$604,0)),"Not found"))</f>
        <v>0</v>
      </c>
      <c r="D167" s="16">
        <f>IF(B167="","",IFERROR(INDEX('Content Calendar'!$B$5:$B$604,MATCH(B167,'Content Calendar'!$A$5:$A$604,0)),"Not found"))</f>
        <v>0</v>
      </c>
      <c r="E167" s="17">
        <f>IF(B167="","",IFERROR(INDEX('Content Calendar'!$J$5:$J$604,MATCH(B167,'Content Calendar'!$A$5:$A$604,0)),"Not found"))</f>
        <v>0</v>
      </c>
      <c r="F167" s="29">
        <f>IF(B167="","",IFERROR(INDEX('Content Calendar'!$X$5:$X$604,MATCH(B167,'Content Calendar'!$A$5:$A$604,0)),"Not found"))</f>
        <v>0</v>
      </c>
      <c r="T167" s="23">
        <f>IF(B167="","",IF(COUNTIF(Performance!$B$5:$B$404,B167)=0,"",SUMIFS(Performance!$O$5:$O$404,Performance!$B$5:$B$404,B167)))</f>
        <v>0</v>
      </c>
      <c r="U167" s="23">
        <f>IF(B167="","",IF(COUNTIF(Performance!$B$5:$B$404,B167)=0,"",SUMIFS(Performance!$P$5:$P$404,Performance!$B$5:$B$404,B167)))</f>
        <v>0</v>
      </c>
      <c r="V167" s="23">
        <f>IF(B167="","",IF(COUNTIF(Performance!$B$5:$B$404,B167)=0,"",SUMIFS(Performance!$Z$5:$Z$404,Performance!$B$5:$B$404,B167)))</f>
        <v>0</v>
      </c>
      <c r="W167" s="24">
        <f>IF(OR(T167="",T167=0),"",V167/T167)</f>
        <v>0</v>
      </c>
      <c r="X167" s="23">
        <f>IF(B167="","",IF(COUNTIF(Performance!$B$5:$B$404,B167)=0,"",SUMIFS(Performance!$T$5:$T$404,Performance!$B$5:$B$404,B167)))</f>
        <v>0</v>
      </c>
      <c r="Y167" s="23">
        <f>IF(B167="","",IF(COUNTIF(Performance!$B$5:$B$404,B167)=0,"",SUMIFS(Performance!$S$5:$S$404,Performance!$B$5:$B$404,B167)))</f>
        <v>0</v>
      </c>
      <c r="Z167" s="23">
        <f>IF(B167="","",IF(COUNTIF(Performance!$B$5:$B$404,B167)=0,"",SUMIFS(Performance!$R$5:$R$404,Performance!$B$5:$B$404,B167)))</f>
        <v>0</v>
      </c>
      <c r="AA167" s="23">
        <f>IF(B167="","",IF(COUNTIF(Performance!$B$5:$B$404,B167)=0,"",SUMIFS(Performance!$U$5:$U$404,Performance!$B$5:$B$404,B167)))</f>
        <v>0</v>
      </c>
      <c r="AB167" s="29">
        <f>IF(B167="","",IF(C167="Not found","Check - content ID not on the calendar",IF(N167="","Add - no target keyword",IF(K167="","Add - no destination link",IF(AND(S167&lt;&gt;"",S167&lt;TODAY()),"Due - time to refresh this pin","OK")))))</f>
        <v>0</v>
      </c>
    </row>
    <row r="168" spans="1:28">
      <c r="A168" s="41">
        <f>IF(B168="","","PN-"&amp;TEXT(ROW()-4,"000"))</f>
        <v>0</v>
      </c>
      <c r="C168" s="17">
        <f>IF(B168="","",IFERROR(INDEX('Content Calendar'!$H$5:$H$604,MATCH(B168,'Content Calendar'!$A$5:$A$604,0)),"Not found"))</f>
        <v>0</v>
      </c>
      <c r="D168" s="16">
        <f>IF(B168="","",IFERROR(INDEX('Content Calendar'!$B$5:$B$604,MATCH(B168,'Content Calendar'!$A$5:$A$604,0)),"Not found"))</f>
        <v>0</v>
      </c>
      <c r="E168" s="17">
        <f>IF(B168="","",IFERROR(INDEX('Content Calendar'!$J$5:$J$604,MATCH(B168,'Content Calendar'!$A$5:$A$604,0)),"Not found"))</f>
        <v>0</v>
      </c>
      <c r="F168" s="29">
        <f>IF(B168="","",IFERROR(INDEX('Content Calendar'!$X$5:$X$604,MATCH(B168,'Content Calendar'!$A$5:$A$604,0)),"Not found"))</f>
        <v>0</v>
      </c>
      <c r="T168" s="23">
        <f>IF(B168="","",IF(COUNTIF(Performance!$B$5:$B$404,B168)=0,"",SUMIFS(Performance!$O$5:$O$404,Performance!$B$5:$B$404,B168)))</f>
        <v>0</v>
      </c>
      <c r="U168" s="23">
        <f>IF(B168="","",IF(COUNTIF(Performance!$B$5:$B$404,B168)=0,"",SUMIFS(Performance!$P$5:$P$404,Performance!$B$5:$B$404,B168)))</f>
        <v>0</v>
      </c>
      <c r="V168" s="23">
        <f>IF(B168="","",IF(COUNTIF(Performance!$B$5:$B$404,B168)=0,"",SUMIFS(Performance!$Z$5:$Z$404,Performance!$B$5:$B$404,B168)))</f>
        <v>0</v>
      </c>
      <c r="W168" s="24">
        <f>IF(OR(T168="",T168=0),"",V168/T168)</f>
        <v>0</v>
      </c>
      <c r="X168" s="23">
        <f>IF(B168="","",IF(COUNTIF(Performance!$B$5:$B$404,B168)=0,"",SUMIFS(Performance!$T$5:$T$404,Performance!$B$5:$B$404,B168)))</f>
        <v>0</v>
      </c>
      <c r="Y168" s="23">
        <f>IF(B168="","",IF(COUNTIF(Performance!$B$5:$B$404,B168)=0,"",SUMIFS(Performance!$S$5:$S$404,Performance!$B$5:$B$404,B168)))</f>
        <v>0</v>
      </c>
      <c r="Z168" s="23">
        <f>IF(B168="","",IF(COUNTIF(Performance!$B$5:$B$404,B168)=0,"",SUMIFS(Performance!$R$5:$R$404,Performance!$B$5:$B$404,B168)))</f>
        <v>0</v>
      </c>
      <c r="AA168" s="23">
        <f>IF(B168="","",IF(COUNTIF(Performance!$B$5:$B$404,B168)=0,"",SUMIFS(Performance!$U$5:$U$404,Performance!$B$5:$B$404,B168)))</f>
        <v>0</v>
      </c>
      <c r="AB168" s="29">
        <f>IF(B168="","",IF(C168="Not found","Check - content ID not on the calendar",IF(N168="","Add - no target keyword",IF(K168="","Add - no destination link",IF(AND(S168&lt;&gt;"",S168&lt;TODAY()),"Due - time to refresh this pin","OK")))))</f>
        <v>0</v>
      </c>
    </row>
    <row r="169" spans="1:28">
      <c r="A169" s="41">
        <f>IF(B169="","","PN-"&amp;TEXT(ROW()-4,"000"))</f>
        <v>0</v>
      </c>
      <c r="C169" s="17">
        <f>IF(B169="","",IFERROR(INDEX('Content Calendar'!$H$5:$H$604,MATCH(B169,'Content Calendar'!$A$5:$A$604,0)),"Not found"))</f>
        <v>0</v>
      </c>
      <c r="D169" s="16">
        <f>IF(B169="","",IFERROR(INDEX('Content Calendar'!$B$5:$B$604,MATCH(B169,'Content Calendar'!$A$5:$A$604,0)),"Not found"))</f>
        <v>0</v>
      </c>
      <c r="E169" s="17">
        <f>IF(B169="","",IFERROR(INDEX('Content Calendar'!$J$5:$J$604,MATCH(B169,'Content Calendar'!$A$5:$A$604,0)),"Not found"))</f>
        <v>0</v>
      </c>
      <c r="F169" s="29">
        <f>IF(B169="","",IFERROR(INDEX('Content Calendar'!$X$5:$X$604,MATCH(B169,'Content Calendar'!$A$5:$A$604,0)),"Not found"))</f>
        <v>0</v>
      </c>
      <c r="T169" s="23">
        <f>IF(B169="","",IF(COUNTIF(Performance!$B$5:$B$404,B169)=0,"",SUMIFS(Performance!$O$5:$O$404,Performance!$B$5:$B$404,B169)))</f>
        <v>0</v>
      </c>
      <c r="U169" s="23">
        <f>IF(B169="","",IF(COUNTIF(Performance!$B$5:$B$404,B169)=0,"",SUMIFS(Performance!$P$5:$P$404,Performance!$B$5:$B$404,B169)))</f>
        <v>0</v>
      </c>
      <c r="V169" s="23">
        <f>IF(B169="","",IF(COUNTIF(Performance!$B$5:$B$404,B169)=0,"",SUMIFS(Performance!$Z$5:$Z$404,Performance!$B$5:$B$404,B169)))</f>
        <v>0</v>
      </c>
      <c r="W169" s="24">
        <f>IF(OR(T169="",T169=0),"",V169/T169)</f>
        <v>0</v>
      </c>
      <c r="X169" s="23">
        <f>IF(B169="","",IF(COUNTIF(Performance!$B$5:$B$404,B169)=0,"",SUMIFS(Performance!$T$5:$T$404,Performance!$B$5:$B$404,B169)))</f>
        <v>0</v>
      </c>
      <c r="Y169" s="23">
        <f>IF(B169="","",IF(COUNTIF(Performance!$B$5:$B$404,B169)=0,"",SUMIFS(Performance!$S$5:$S$404,Performance!$B$5:$B$404,B169)))</f>
        <v>0</v>
      </c>
      <c r="Z169" s="23">
        <f>IF(B169="","",IF(COUNTIF(Performance!$B$5:$B$404,B169)=0,"",SUMIFS(Performance!$R$5:$R$404,Performance!$B$5:$B$404,B169)))</f>
        <v>0</v>
      </c>
      <c r="AA169" s="23">
        <f>IF(B169="","",IF(COUNTIF(Performance!$B$5:$B$404,B169)=0,"",SUMIFS(Performance!$U$5:$U$404,Performance!$B$5:$B$404,B169)))</f>
        <v>0</v>
      </c>
      <c r="AB169" s="29">
        <f>IF(B169="","",IF(C169="Not found","Check - content ID not on the calendar",IF(N169="","Add - no target keyword",IF(K169="","Add - no destination link",IF(AND(S169&lt;&gt;"",S169&lt;TODAY()),"Due - time to refresh this pin","OK")))))</f>
        <v>0</v>
      </c>
    </row>
    <row r="170" spans="1:28">
      <c r="A170" s="41">
        <f>IF(B170="","","PN-"&amp;TEXT(ROW()-4,"000"))</f>
        <v>0</v>
      </c>
      <c r="C170" s="17">
        <f>IF(B170="","",IFERROR(INDEX('Content Calendar'!$H$5:$H$604,MATCH(B170,'Content Calendar'!$A$5:$A$604,0)),"Not found"))</f>
        <v>0</v>
      </c>
      <c r="D170" s="16">
        <f>IF(B170="","",IFERROR(INDEX('Content Calendar'!$B$5:$B$604,MATCH(B170,'Content Calendar'!$A$5:$A$604,0)),"Not found"))</f>
        <v>0</v>
      </c>
      <c r="E170" s="17">
        <f>IF(B170="","",IFERROR(INDEX('Content Calendar'!$J$5:$J$604,MATCH(B170,'Content Calendar'!$A$5:$A$604,0)),"Not found"))</f>
        <v>0</v>
      </c>
      <c r="F170" s="29">
        <f>IF(B170="","",IFERROR(INDEX('Content Calendar'!$X$5:$X$604,MATCH(B170,'Content Calendar'!$A$5:$A$604,0)),"Not found"))</f>
        <v>0</v>
      </c>
      <c r="T170" s="23">
        <f>IF(B170="","",IF(COUNTIF(Performance!$B$5:$B$404,B170)=0,"",SUMIFS(Performance!$O$5:$O$404,Performance!$B$5:$B$404,B170)))</f>
        <v>0</v>
      </c>
      <c r="U170" s="23">
        <f>IF(B170="","",IF(COUNTIF(Performance!$B$5:$B$404,B170)=0,"",SUMIFS(Performance!$P$5:$P$404,Performance!$B$5:$B$404,B170)))</f>
        <v>0</v>
      </c>
      <c r="V170" s="23">
        <f>IF(B170="","",IF(COUNTIF(Performance!$B$5:$B$404,B170)=0,"",SUMIFS(Performance!$Z$5:$Z$404,Performance!$B$5:$B$404,B170)))</f>
        <v>0</v>
      </c>
      <c r="W170" s="24">
        <f>IF(OR(T170="",T170=0),"",V170/T170)</f>
        <v>0</v>
      </c>
      <c r="X170" s="23">
        <f>IF(B170="","",IF(COUNTIF(Performance!$B$5:$B$404,B170)=0,"",SUMIFS(Performance!$T$5:$T$404,Performance!$B$5:$B$404,B170)))</f>
        <v>0</v>
      </c>
      <c r="Y170" s="23">
        <f>IF(B170="","",IF(COUNTIF(Performance!$B$5:$B$404,B170)=0,"",SUMIFS(Performance!$S$5:$S$404,Performance!$B$5:$B$404,B170)))</f>
        <v>0</v>
      </c>
      <c r="Z170" s="23">
        <f>IF(B170="","",IF(COUNTIF(Performance!$B$5:$B$404,B170)=0,"",SUMIFS(Performance!$R$5:$R$404,Performance!$B$5:$B$404,B170)))</f>
        <v>0</v>
      </c>
      <c r="AA170" s="23">
        <f>IF(B170="","",IF(COUNTIF(Performance!$B$5:$B$404,B170)=0,"",SUMIFS(Performance!$U$5:$U$404,Performance!$B$5:$B$404,B170)))</f>
        <v>0</v>
      </c>
      <c r="AB170" s="29">
        <f>IF(B170="","",IF(C170="Not found","Check - content ID not on the calendar",IF(N170="","Add - no target keyword",IF(K170="","Add - no destination link",IF(AND(S170&lt;&gt;"",S170&lt;TODAY()),"Due - time to refresh this pin","OK")))))</f>
        <v>0</v>
      </c>
    </row>
    <row r="171" spans="1:28">
      <c r="A171" s="41">
        <f>IF(B171="","","PN-"&amp;TEXT(ROW()-4,"000"))</f>
        <v>0</v>
      </c>
      <c r="C171" s="17">
        <f>IF(B171="","",IFERROR(INDEX('Content Calendar'!$H$5:$H$604,MATCH(B171,'Content Calendar'!$A$5:$A$604,0)),"Not found"))</f>
        <v>0</v>
      </c>
      <c r="D171" s="16">
        <f>IF(B171="","",IFERROR(INDEX('Content Calendar'!$B$5:$B$604,MATCH(B171,'Content Calendar'!$A$5:$A$604,0)),"Not found"))</f>
        <v>0</v>
      </c>
      <c r="E171" s="17">
        <f>IF(B171="","",IFERROR(INDEX('Content Calendar'!$J$5:$J$604,MATCH(B171,'Content Calendar'!$A$5:$A$604,0)),"Not found"))</f>
        <v>0</v>
      </c>
      <c r="F171" s="29">
        <f>IF(B171="","",IFERROR(INDEX('Content Calendar'!$X$5:$X$604,MATCH(B171,'Content Calendar'!$A$5:$A$604,0)),"Not found"))</f>
        <v>0</v>
      </c>
      <c r="T171" s="23">
        <f>IF(B171="","",IF(COUNTIF(Performance!$B$5:$B$404,B171)=0,"",SUMIFS(Performance!$O$5:$O$404,Performance!$B$5:$B$404,B171)))</f>
        <v>0</v>
      </c>
      <c r="U171" s="23">
        <f>IF(B171="","",IF(COUNTIF(Performance!$B$5:$B$404,B171)=0,"",SUMIFS(Performance!$P$5:$P$404,Performance!$B$5:$B$404,B171)))</f>
        <v>0</v>
      </c>
      <c r="V171" s="23">
        <f>IF(B171="","",IF(COUNTIF(Performance!$B$5:$B$404,B171)=0,"",SUMIFS(Performance!$Z$5:$Z$404,Performance!$B$5:$B$404,B171)))</f>
        <v>0</v>
      </c>
      <c r="W171" s="24">
        <f>IF(OR(T171="",T171=0),"",V171/T171)</f>
        <v>0</v>
      </c>
      <c r="X171" s="23">
        <f>IF(B171="","",IF(COUNTIF(Performance!$B$5:$B$404,B171)=0,"",SUMIFS(Performance!$T$5:$T$404,Performance!$B$5:$B$404,B171)))</f>
        <v>0</v>
      </c>
      <c r="Y171" s="23">
        <f>IF(B171="","",IF(COUNTIF(Performance!$B$5:$B$404,B171)=0,"",SUMIFS(Performance!$S$5:$S$404,Performance!$B$5:$B$404,B171)))</f>
        <v>0</v>
      </c>
      <c r="Z171" s="23">
        <f>IF(B171="","",IF(COUNTIF(Performance!$B$5:$B$404,B171)=0,"",SUMIFS(Performance!$R$5:$R$404,Performance!$B$5:$B$404,B171)))</f>
        <v>0</v>
      </c>
      <c r="AA171" s="23">
        <f>IF(B171="","",IF(COUNTIF(Performance!$B$5:$B$404,B171)=0,"",SUMIFS(Performance!$U$5:$U$404,Performance!$B$5:$B$404,B171)))</f>
        <v>0</v>
      </c>
      <c r="AB171" s="29">
        <f>IF(B171="","",IF(C171="Not found","Check - content ID not on the calendar",IF(N171="","Add - no target keyword",IF(K171="","Add - no destination link",IF(AND(S171&lt;&gt;"",S171&lt;TODAY()),"Due - time to refresh this pin","OK")))))</f>
        <v>0</v>
      </c>
    </row>
    <row r="172" spans="1:28">
      <c r="A172" s="41">
        <f>IF(B172="","","PN-"&amp;TEXT(ROW()-4,"000"))</f>
        <v>0</v>
      </c>
      <c r="C172" s="17">
        <f>IF(B172="","",IFERROR(INDEX('Content Calendar'!$H$5:$H$604,MATCH(B172,'Content Calendar'!$A$5:$A$604,0)),"Not found"))</f>
        <v>0</v>
      </c>
      <c r="D172" s="16">
        <f>IF(B172="","",IFERROR(INDEX('Content Calendar'!$B$5:$B$604,MATCH(B172,'Content Calendar'!$A$5:$A$604,0)),"Not found"))</f>
        <v>0</v>
      </c>
      <c r="E172" s="17">
        <f>IF(B172="","",IFERROR(INDEX('Content Calendar'!$J$5:$J$604,MATCH(B172,'Content Calendar'!$A$5:$A$604,0)),"Not found"))</f>
        <v>0</v>
      </c>
      <c r="F172" s="29">
        <f>IF(B172="","",IFERROR(INDEX('Content Calendar'!$X$5:$X$604,MATCH(B172,'Content Calendar'!$A$5:$A$604,0)),"Not found"))</f>
        <v>0</v>
      </c>
      <c r="T172" s="23">
        <f>IF(B172="","",IF(COUNTIF(Performance!$B$5:$B$404,B172)=0,"",SUMIFS(Performance!$O$5:$O$404,Performance!$B$5:$B$404,B172)))</f>
        <v>0</v>
      </c>
      <c r="U172" s="23">
        <f>IF(B172="","",IF(COUNTIF(Performance!$B$5:$B$404,B172)=0,"",SUMIFS(Performance!$P$5:$P$404,Performance!$B$5:$B$404,B172)))</f>
        <v>0</v>
      </c>
      <c r="V172" s="23">
        <f>IF(B172="","",IF(COUNTIF(Performance!$B$5:$B$404,B172)=0,"",SUMIFS(Performance!$Z$5:$Z$404,Performance!$B$5:$B$404,B172)))</f>
        <v>0</v>
      </c>
      <c r="W172" s="24">
        <f>IF(OR(T172="",T172=0),"",V172/T172)</f>
        <v>0</v>
      </c>
      <c r="X172" s="23">
        <f>IF(B172="","",IF(COUNTIF(Performance!$B$5:$B$404,B172)=0,"",SUMIFS(Performance!$T$5:$T$404,Performance!$B$5:$B$404,B172)))</f>
        <v>0</v>
      </c>
      <c r="Y172" s="23">
        <f>IF(B172="","",IF(COUNTIF(Performance!$B$5:$B$404,B172)=0,"",SUMIFS(Performance!$S$5:$S$404,Performance!$B$5:$B$404,B172)))</f>
        <v>0</v>
      </c>
      <c r="Z172" s="23">
        <f>IF(B172="","",IF(COUNTIF(Performance!$B$5:$B$404,B172)=0,"",SUMIFS(Performance!$R$5:$R$404,Performance!$B$5:$B$404,B172)))</f>
        <v>0</v>
      </c>
      <c r="AA172" s="23">
        <f>IF(B172="","",IF(COUNTIF(Performance!$B$5:$B$404,B172)=0,"",SUMIFS(Performance!$U$5:$U$404,Performance!$B$5:$B$404,B172)))</f>
        <v>0</v>
      </c>
      <c r="AB172" s="29">
        <f>IF(B172="","",IF(C172="Not found","Check - content ID not on the calendar",IF(N172="","Add - no target keyword",IF(K172="","Add - no destination link",IF(AND(S172&lt;&gt;"",S172&lt;TODAY()),"Due - time to refresh this pin","OK")))))</f>
        <v>0</v>
      </c>
    </row>
    <row r="173" spans="1:28">
      <c r="A173" s="41">
        <f>IF(B173="","","PN-"&amp;TEXT(ROW()-4,"000"))</f>
        <v>0</v>
      </c>
      <c r="C173" s="17">
        <f>IF(B173="","",IFERROR(INDEX('Content Calendar'!$H$5:$H$604,MATCH(B173,'Content Calendar'!$A$5:$A$604,0)),"Not found"))</f>
        <v>0</v>
      </c>
      <c r="D173" s="16">
        <f>IF(B173="","",IFERROR(INDEX('Content Calendar'!$B$5:$B$604,MATCH(B173,'Content Calendar'!$A$5:$A$604,0)),"Not found"))</f>
        <v>0</v>
      </c>
      <c r="E173" s="17">
        <f>IF(B173="","",IFERROR(INDEX('Content Calendar'!$J$5:$J$604,MATCH(B173,'Content Calendar'!$A$5:$A$604,0)),"Not found"))</f>
        <v>0</v>
      </c>
      <c r="F173" s="29">
        <f>IF(B173="","",IFERROR(INDEX('Content Calendar'!$X$5:$X$604,MATCH(B173,'Content Calendar'!$A$5:$A$604,0)),"Not found"))</f>
        <v>0</v>
      </c>
      <c r="T173" s="23">
        <f>IF(B173="","",IF(COUNTIF(Performance!$B$5:$B$404,B173)=0,"",SUMIFS(Performance!$O$5:$O$404,Performance!$B$5:$B$404,B173)))</f>
        <v>0</v>
      </c>
      <c r="U173" s="23">
        <f>IF(B173="","",IF(COUNTIF(Performance!$B$5:$B$404,B173)=0,"",SUMIFS(Performance!$P$5:$P$404,Performance!$B$5:$B$404,B173)))</f>
        <v>0</v>
      </c>
      <c r="V173" s="23">
        <f>IF(B173="","",IF(COUNTIF(Performance!$B$5:$B$404,B173)=0,"",SUMIFS(Performance!$Z$5:$Z$404,Performance!$B$5:$B$404,B173)))</f>
        <v>0</v>
      </c>
      <c r="W173" s="24">
        <f>IF(OR(T173="",T173=0),"",V173/T173)</f>
        <v>0</v>
      </c>
      <c r="X173" s="23">
        <f>IF(B173="","",IF(COUNTIF(Performance!$B$5:$B$404,B173)=0,"",SUMIFS(Performance!$T$5:$T$404,Performance!$B$5:$B$404,B173)))</f>
        <v>0</v>
      </c>
      <c r="Y173" s="23">
        <f>IF(B173="","",IF(COUNTIF(Performance!$B$5:$B$404,B173)=0,"",SUMIFS(Performance!$S$5:$S$404,Performance!$B$5:$B$404,B173)))</f>
        <v>0</v>
      </c>
      <c r="Z173" s="23">
        <f>IF(B173="","",IF(COUNTIF(Performance!$B$5:$B$404,B173)=0,"",SUMIFS(Performance!$R$5:$R$404,Performance!$B$5:$B$404,B173)))</f>
        <v>0</v>
      </c>
      <c r="AA173" s="23">
        <f>IF(B173="","",IF(COUNTIF(Performance!$B$5:$B$404,B173)=0,"",SUMIFS(Performance!$U$5:$U$404,Performance!$B$5:$B$404,B173)))</f>
        <v>0</v>
      </c>
      <c r="AB173" s="29">
        <f>IF(B173="","",IF(C173="Not found","Check - content ID not on the calendar",IF(N173="","Add - no target keyword",IF(K173="","Add - no destination link",IF(AND(S173&lt;&gt;"",S173&lt;TODAY()),"Due - time to refresh this pin","OK")))))</f>
        <v>0</v>
      </c>
    </row>
    <row r="174" spans="1:28">
      <c r="A174" s="41">
        <f>IF(B174="","","PN-"&amp;TEXT(ROW()-4,"000"))</f>
        <v>0</v>
      </c>
      <c r="C174" s="17">
        <f>IF(B174="","",IFERROR(INDEX('Content Calendar'!$H$5:$H$604,MATCH(B174,'Content Calendar'!$A$5:$A$604,0)),"Not found"))</f>
        <v>0</v>
      </c>
      <c r="D174" s="16">
        <f>IF(B174="","",IFERROR(INDEX('Content Calendar'!$B$5:$B$604,MATCH(B174,'Content Calendar'!$A$5:$A$604,0)),"Not found"))</f>
        <v>0</v>
      </c>
      <c r="E174" s="17">
        <f>IF(B174="","",IFERROR(INDEX('Content Calendar'!$J$5:$J$604,MATCH(B174,'Content Calendar'!$A$5:$A$604,0)),"Not found"))</f>
        <v>0</v>
      </c>
      <c r="F174" s="29">
        <f>IF(B174="","",IFERROR(INDEX('Content Calendar'!$X$5:$X$604,MATCH(B174,'Content Calendar'!$A$5:$A$604,0)),"Not found"))</f>
        <v>0</v>
      </c>
      <c r="T174" s="23">
        <f>IF(B174="","",IF(COUNTIF(Performance!$B$5:$B$404,B174)=0,"",SUMIFS(Performance!$O$5:$O$404,Performance!$B$5:$B$404,B174)))</f>
        <v>0</v>
      </c>
      <c r="U174" s="23">
        <f>IF(B174="","",IF(COUNTIF(Performance!$B$5:$B$404,B174)=0,"",SUMIFS(Performance!$P$5:$P$404,Performance!$B$5:$B$404,B174)))</f>
        <v>0</v>
      </c>
      <c r="V174" s="23">
        <f>IF(B174="","",IF(COUNTIF(Performance!$B$5:$B$404,B174)=0,"",SUMIFS(Performance!$Z$5:$Z$404,Performance!$B$5:$B$404,B174)))</f>
        <v>0</v>
      </c>
      <c r="W174" s="24">
        <f>IF(OR(T174="",T174=0),"",V174/T174)</f>
        <v>0</v>
      </c>
      <c r="X174" s="23">
        <f>IF(B174="","",IF(COUNTIF(Performance!$B$5:$B$404,B174)=0,"",SUMIFS(Performance!$T$5:$T$404,Performance!$B$5:$B$404,B174)))</f>
        <v>0</v>
      </c>
      <c r="Y174" s="23">
        <f>IF(B174="","",IF(COUNTIF(Performance!$B$5:$B$404,B174)=0,"",SUMIFS(Performance!$S$5:$S$404,Performance!$B$5:$B$404,B174)))</f>
        <v>0</v>
      </c>
      <c r="Z174" s="23">
        <f>IF(B174="","",IF(COUNTIF(Performance!$B$5:$B$404,B174)=0,"",SUMIFS(Performance!$R$5:$R$404,Performance!$B$5:$B$404,B174)))</f>
        <v>0</v>
      </c>
      <c r="AA174" s="23">
        <f>IF(B174="","",IF(COUNTIF(Performance!$B$5:$B$404,B174)=0,"",SUMIFS(Performance!$U$5:$U$404,Performance!$B$5:$B$404,B174)))</f>
        <v>0</v>
      </c>
      <c r="AB174" s="29">
        <f>IF(B174="","",IF(C174="Not found","Check - content ID not on the calendar",IF(N174="","Add - no target keyword",IF(K174="","Add - no destination link",IF(AND(S174&lt;&gt;"",S174&lt;TODAY()),"Due - time to refresh this pin","OK")))))</f>
        <v>0</v>
      </c>
    </row>
    <row r="175" spans="1:28">
      <c r="A175" s="41">
        <f>IF(B175="","","PN-"&amp;TEXT(ROW()-4,"000"))</f>
        <v>0</v>
      </c>
      <c r="C175" s="17">
        <f>IF(B175="","",IFERROR(INDEX('Content Calendar'!$H$5:$H$604,MATCH(B175,'Content Calendar'!$A$5:$A$604,0)),"Not found"))</f>
        <v>0</v>
      </c>
      <c r="D175" s="16">
        <f>IF(B175="","",IFERROR(INDEX('Content Calendar'!$B$5:$B$604,MATCH(B175,'Content Calendar'!$A$5:$A$604,0)),"Not found"))</f>
        <v>0</v>
      </c>
      <c r="E175" s="17">
        <f>IF(B175="","",IFERROR(INDEX('Content Calendar'!$J$5:$J$604,MATCH(B175,'Content Calendar'!$A$5:$A$604,0)),"Not found"))</f>
        <v>0</v>
      </c>
      <c r="F175" s="29">
        <f>IF(B175="","",IFERROR(INDEX('Content Calendar'!$X$5:$X$604,MATCH(B175,'Content Calendar'!$A$5:$A$604,0)),"Not found"))</f>
        <v>0</v>
      </c>
      <c r="T175" s="23">
        <f>IF(B175="","",IF(COUNTIF(Performance!$B$5:$B$404,B175)=0,"",SUMIFS(Performance!$O$5:$O$404,Performance!$B$5:$B$404,B175)))</f>
        <v>0</v>
      </c>
      <c r="U175" s="23">
        <f>IF(B175="","",IF(COUNTIF(Performance!$B$5:$B$404,B175)=0,"",SUMIFS(Performance!$P$5:$P$404,Performance!$B$5:$B$404,B175)))</f>
        <v>0</v>
      </c>
      <c r="V175" s="23">
        <f>IF(B175="","",IF(COUNTIF(Performance!$B$5:$B$404,B175)=0,"",SUMIFS(Performance!$Z$5:$Z$404,Performance!$B$5:$B$404,B175)))</f>
        <v>0</v>
      </c>
      <c r="W175" s="24">
        <f>IF(OR(T175="",T175=0),"",V175/T175)</f>
        <v>0</v>
      </c>
      <c r="X175" s="23">
        <f>IF(B175="","",IF(COUNTIF(Performance!$B$5:$B$404,B175)=0,"",SUMIFS(Performance!$T$5:$T$404,Performance!$B$5:$B$404,B175)))</f>
        <v>0</v>
      </c>
      <c r="Y175" s="23">
        <f>IF(B175="","",IF(COUNTIF(Performance!$B$5:$B$404,B175)=0,"",SUMIFS(Performance!$S$5:$S$404,Performance!$B$5:$B$404,B175)))</f>
        <v>0</v>
      </c>
      <c r="Z175" s="23">
        <f>IF(B175="","",IF(COUNTIF(Performance!$B$5:$B$404,B175)=0,"",SUMIFS(Performance!$R$5:$R$404,Performance!$B$5:$B$404,B175)))</f>
        <v>0</v>
      </c>
      <c r="AA175" s="23">
        <f>IF(B175="","",IF(COUNTIF(Performance!$B$5:$B$404,B175)=0,"",SUMIFS(Performance!$U$5:$U$404,Performance!$B$5:$B$404,B175)))</f>
        <v>0</v>
      </c>
      <c r="AB175" s="29">
        <f>IF(B175="","",IF(C175="Not found","Check - content ID not on the calendar",IF(N175="","Add - no target keyword",IF(K175="","Add - no destination link",IF(AND(S175&lt;&gt;"",S175&lt;TODAY()),"Due - time to refresh this pin","OK")))))</f>
        <v>0</v>
      </c>
    </row>
    <row r="176" spans="1:28">
      <c r="A176" s="41">
        <f>IF(B176="","","PN-"&amp;TEXT(ROW()-4,"000"))</f>
        <v>0</v>
      </c>
      <c r="C176" s="17">
        <f>IF(B176="","",IFERROR(INDEX('Content Calendar'!$H$5:$H$604,MATCH(B176,'Content Calendar'!$A$5:$A$604,0)),"Not found"))</f>
        <v>0</v>
      </c>
      <c r="D176" s="16">
        <f>IF(B176="","",IFERROR(INDEX('Content Calendar'!$B$5:$B$604,MATCH(B176,'Content Calendar'!$A$5:$A$604,0)),"Not found"))</f>
        <v>0</v>
      </c>
      <c r="E176" s="17">
        <f>IF(B176="","",IFERROR(INDEX('Content Calendar'!$J$5:$J$604,MATCH(B176,'Content Calendar'!$A$5:$A$604,0)),"Not found"))</f>
        <v>0</v>
      </c>
      <c r="F176" s="29">
        <f>IF(B176="","",IFERROR(INDEX('Content Calendar'!$X$5:$X$604,MATCH(B176,'Content Calendar'!$A$5:$A$604,0)),"Not found"))</f>
        <v>0</v>
      </c>
      <c r="T176" s="23">
        <f>IF(B176="","",IF(COUNTIF(Performance!$B$5:$B$404,B176)=0,"",SUMIFS(Performance!$O$5:$O$404,Performance!$B$5:$B$404,B176)))</f>
        <v>0</v>
      </c>
      <c r="U176" s="23">
        <f>IF(B176="","",IF(COUNTIF(Performance!$B$5:$B$404,B176)=0,"",SUMIFS(Performance!$P$5:$P$404,Performance!$B$5:$B$404,B176)))</f>
        <v>0</v>
      </c>
      <c r="V176" s="23">
        <f>IF(B176="","",IF(COUNTIF(Performance!$B$5:$B$404,B176)=0,"",SUMIFS(Performance!$Z$5:$Z$404,Performance!$B$5:$B$404,B176)))</f>
        <v>0</v>
      </c>
      <c r="W176" s="24">
        <f>IF(OR(T176="",T176=0),"",V176/T176)</f>
        <v>0</v>
      </c>
      <c r="X176" s="23">
        <f>IF(B176="","",IF(COUNTIF(Performance!$B$5:$B$404,B176)=0,"",SUMIFS(Performance!$T$5:$T$404,Performance!$B$5:$B$404,B176)))</f>
        <v>0</v>
      </c>
      <c r="Y176" s="23">
        <f>IF(B176="","",IF(COUNTIF(Performance!$B$5:$B$404,B176)=0,"",SUMIFS(Performance!$S$5:$S$404,Performance!$B$5:$B$404,B176)))</f>
        <v>0</v>
      </c>
      <c r="Z176" s="23">
        <f>IF(B176="","",IF(COUNTIF(Performance!$B$5:$B$404,B176)=0,"",SUMIFS(Performance!$R$5:$R$404,Performance!$B$5:$B$404,B176)))</f>
        <v>0</v>
      </c>
      <c r="AA176" s="23">
        <f>IF(B176="","",IF(COUNTIF(Performance!$B$5:$B$404,B176)=0,"",SUMIFS(Performance!$U$5:$U$404,Performance!$B$5:$B$404,B176)))</f>
        <v>0</v>
      </c>
      <c r="AB176" s="29">
        <f>IF(B176="","",IF(C176="Not found","Check - content ID not on the calendar",IF(N176="","Add - no target keyword",IF(K176="","Add - no destination link",IF(AND(S176&lt;&gt;"",S176&lt;TODAY()),"Due - time to refresh this pin","OK")))))</f>
        <v>0</v>
      </c>
    </row>
    <row r="177" spans="1:28">
      <c r="A177" s="41">
        <f>IF(B177="","","PN-"&amp;TEXT(ROW()-4,"000"))</f>
        <v>0</v>
      </c>
      <c r="C177" s="17">
        <f>IF(B177="","",IFERROR(INDEX('Content Calendar'!$H$5:$H$604,MATCH(B177,'Content Calendar'!$A$5:$A$604,0)),"Not found"))</f>
        <v>0</v>
      </c>
      <c r="D177" s="16">
        <f>IF(B177="","",IFERROR(INDEX('Content Calendar'!$B$5:$B$604,MATCH(B177,'Content Calendar'!$A$5:$A$604,0)),"Not found"))</f>
        <v>0</v>
      </c>
      <c r="E177" s="17">
        <f>IF(B177="","",IFERROR(INDEX('Content Calendar'!$J$5:$J$604,MATCH(B177,'Content Calendar'!$A$5:$A$604,0)),"Not found"))</f>
        <v>0</v>
      </c>
      <c r="F177" s="29">
        <f>IF(B177="","",IFERROR(INDEX('Content Calendar'!$X$5:$X$604,MATCH(B177,'Content Calendar'!$A$5:$A$604,0)),"Not found"))</f>
        <v>0</v>
      </c>
      <c r="T177" s="23">
        <f>IF(B177="","",IF(COUNTIF(Performance!$B$5:$B$404,B177)=0,"",SUMIFS(Performance!$O$5:$O$404,Performance!$B$5:$B$404,B177)))</f>
        <v>0</v>
      </c>
      <c r="U177" s="23">
        <f>IF(B177="","",IF(COUNTIF(Performance!$B$5:$B$404,B177)=0,"",SUMIFS(Performance!$P$5:$P$404,Performance!$B$5:$B$404,B177)))</f>
        <v>0</v>
      </c>
      <c r="V177" s="23">
        <f>IF(B177="","",IF(COUNTIF(Performance!$B$5:$B$404,B177)=0,"",SUMIFS(Performance!$Z$5:$Z$404,Performance!$B$5:$B$404,B177)))</f>
        <v>0</v>
      </c>
      <c r="W177" s="24">
        <f>IF(OR(T177="",T177=0),"",V177/T177)</f>
        <v>0</v>
      </c>
      <c r="X177" s="23">
        <f>IF(B177="","",IF(COUNTIF(Performance!$B$5:$B$404,B177)=0,"",SUMIFS(Performance!$T$5:$T$404,Performance!$B$5:$B$404,B177)))</f>
        <v>0</v>
      </c>
      <c r="Y177" s="23">
        <f>IF(B177="","",IF(COUNTIF(Performance!$B$5:$B$404,B177)=0,"",SUMIFS(Performance!$S$5:$S$404,Performance!$B$5:$B$404,B177)))</f>
        <v>0</v>
      </c>
      <c r="Z177" s="23">
        <f>IF(B177="","",IF(COUNTIF(Performance!$B$5:$B$404,B177)=0,"",SUMIFS(Performance!$R$5:$R$404,Performance!$B$5:$B$404,B177)))</f>
        <v>0</v>
      </c>
      <c r="AA177" s="23">
        <f>IF(B177="","",IF(COUNTIF(Performance!$B$5:$B$404,B177)=0,"",SUMIFS(Performance!$U$5:$U$404,Performance!$B$5:$B$404,B177)))</f>
        <v>0</v>
      </c>
      <c r="AB177" s="29">
        <f>IF(B177="","",IF(C177="Not found","Check - content ID not on the calendar",IF(N177="","Add - no target keyword",IF(K177="","Add - no destination link",IF(AND(S177&lt;&gt;"",S177&lt;TODAY()),"Due - time to refresh this pin","OK")))))</f>
        <v>0</v>
      </c>
    </row>
    <row r="178" spans="1:28">
      <c r="A178" s="41">
        <f>IF(B178="","","PN-"&amp;TEXT(ROW()-4,"000"))</f>
        <v>0</v>
      </c>
      <c r="C178" s="17">
        <f>IF(B178="","",IFERROR(INDEX('Content Calendar'!$H$5:$H$604,MATCH(B178,'Content Calendar'!$A$5:$A$604,0)),"Not found"))</f>
        <v>0</v>
      </c>
      <c r="D178" s="16">
        <f>IF(B178="","",IFERROR(INDEX('Content Calendar'!$B$5:$B$604,MATCH(B178,'Content Calendar'!$A$5:$A$604,0)),"Not found"))</f>
        <v>0</v>
      </c>
      <c r="E178" s="17">
        <f>IF(B178="","",IFERROR(INDEX('Content Calendar'!$J$5:$J$604,MATCH(B178,'Content Calendar'!$A$5:$A$604,0)),"Not found"))</f>
        <v>0</v>
      </c>
      <c r="F178" s="29">
        <f>IF(B178="","",IFERROR(INDEX('Content Calendar'!$X$5:$X$604,MATCH(B178,'Content Calendar'!$A$5:$A$604,0)),"Not found"))</f>
        <v>0</v>
      </c>
      <c r="T178" s="23">
        <f>IF(B178="","",IF(COUNTIF(Performance!$B$5:$B$404,B178)=0,"",SUMIFS(Performance!$O$5:$O$404,Performance!$B$5:$B$404,B178)))</f>
        <v>0</v>
      </c>
      <c r="U178" s="23">
        <f>IF(B178="","",IF(COUNTIF(Performance!$B$5:$B$404,B178)=0,"",SUMIFS(Performance!$P$5:$P$404,Performance!$B$5:$B$404,B178)))</f>
        <v>0</v>
      </c>
      <c r="V178" s="23">
        <f>IF(B178="","",IF(COUNTIF(Performance!$B$5:$B$404,B178)=0,"",SUMIFS(Performance!$Z$5:$Z$404,Performance!$B$5:$B$404,B178)))</f>
        <v>0</v>
      </c>
      <c r="W178" s="24">
        <f>IF(OR(T178="",T178=0),"",V178/T178)</f>
        <v>0</v>
      </c>
      <c r="X178" s="23">
        <f>IF(B178="","",IF(COUNTIF(Performance!$B$5:$B$404,B178)=0,"",SUMIFS(Performance!$T$5:$T$404,Performance!$B$5:$B$404,B178)))</f>
        <v>0</v>
      </c>
      <c r="Y178" s="23">
        <f>IF(B178="","",IF(COUNTIF(Performance!$B$5:$B$404,B178)=0,"",SUMIFS(Performance!$S$5:$S$404,Performance!$B$5:$B$404,B178)))</f>
        <v>0</v>
      </c>
      <c r="Z178" s="23">
        <f>IF(B178="","",IF(COUNTIF(Performance!$B$5:$B$404,B178)=0,"",SUMIFS(Performance!$R$5:$R$404,Performance!$B$5:$B$404,B178)))</f>
        <v>0</v>
      </c>
      <c r="AA178" s="23">
        <f>IF(B178="","",IF(COUNTIF(Performance!$B$5:$B$404,B178)=0,"",SUMIFS(Performance!$U$5:$U$404,Performance!$B$5:$B$404,B178)))</f>
        <v>0</v>
      </c>
      <c r="AB178" s="29">
        <f>IF(B178="","",IF(C178="Not found","Check - content ID not on the calendar",IF(N178="","Add - no target keyword",IF(K178="","Add - no destination link",IF(AND(S178&lt;&gt;"",S178&lt;TODAY()),"Due - time to refresh this pin","OK")))))</f>
        <v>0</v>
      </c>
    </row>
    <row r="179" spans="1:28">
      <c r="A179" s="41">
        <f>IF(B179="","","PN-"&amp;TEXT(ROW()-4,"000"))</f>
        <v>0</v>
      </c>
      <c r="C179" s="17">
        <f>IF(B179="","",IFERROR(INDEX('Content Calendar'!$H$5:$H$604,MATCH(B179,'Content Calendar'!$A$5:$A$604,0)),"Not found"))</f>
        <v>0</v>
      </c>
      <c r="D179" s="16">
        <f>IF(B179="","",IFERROR(INDEX('Content Calendar'!$B$5:$B$604,MATCH(B179,'Content Calendar'!$A$5:$A$604,0)),"Not found"))</f>
        <v>0</v>
      </c>
      <c r="E179" s="17">
        <f>IF(B179="","",IFERROR(INDEX('Content Calendar'!$J$5:$J$604,MATCH(B179,'Content Calendar'!$A$5:$A$604,0)),"Not found"))</f>
        <v>0</v>
      </c>
      <c r="F179" s="29">
        <f>IF(B179="","",IFERROR(INDEX('Content Calendar'!$X$5:$X$604,MATCH(B179,'Content Calendar'!$A$5:$A$604,0)),"Not found"))</f>
        <v>0</v>
      </c>
      <c r="T179" s="23">
        <f>IF(B179="","",IF(COUNTIF(Performance!$B$5:$B$404,B179)=0,"",SUMIFS(Performance!$O$5:$O$404,Performance!$B$5:$B$404,B179)))</f>
        <v>0</v>
      </c>
      <c r="U179" s="23">
        <f>IF(B179="","",IF(COUNTIF(Performance!$B$5:$B$404,B179)=0,"",SUMIFS(Performance!$P$5:$P$404,Performance!$B$5:$B$404,B179)))</f>
        <v>0</v>
      </c>
      <c r="V179" s="23">
        <f>IF(B179="","",IF(COUNTIF(Performance!$B$5:$B$404,B179)=0,"",SUMIFS(Performance!$Z$5:$Z$404,Performance!$B$5:$B$404,B179)))</f>
        <v>0</v>
      </c>
      <c r="W179" s="24">
        <f>IF(OR(T179="",T179=0),"",V179/T179)</f>
        <v>0</v>
      </c>
      <c r="X179" s="23">
        <f>IF(B179="","",IF(COUNTIF(Performance!$B$5:$B$404,B179)=0,"",SUMIFS(Performance!$T$5:$T$404,Performance!$B$5:$B$404,B179)))</f>
        <v>0</v>
      </c>
      <c r="Y179" s="23">
        <f>IF(B179="","",IF(COUNTIF(Performance!$B$5:$B$404,B179)=0,"",SUMIFS(Performance!$S$5:$S$404,Performance!$B$5:$B$404,B179)))</f>
        <v>0</v>
      </c>
      <c r="Z179" s="23">
        <f>IF(B179="","",IF(COUNTIF(Performance!$B$5:$B$404,B179)=0,"",SUMIFS(Performance!$R$5:$R$404,Performance!$B$5:$B$404,B179)))</f>
        <v>0</v>
      </c>
      <c r="AA179" s="23">
        <f>IF(B179="","",IF(COUNTIF(Performance!$B$5:$B$404,B179)=0,"",SUMIFS(Performance!$U$5:$U$404,Performance!$B$5:$B$404,B179)))</f>
        <v>0</v>
      </c>
      <c r="AB179" s="29">
        <f>IF(B179="","",IF(C179="Not found","Check - content ID not on the calendar",IF(N179="","Add - no target keyword",IF(K179="","Add - no destination link",IF(AND(S179&lt;&gt;"",S179&lt;TODAY()),"Due - time to refresh this pin","OK")))))</f>
        <v>0</v>
      </c>
    </row>
    <row r="180" spans="1:28">
      <c r="A180" s="41">
        <f>IF(B180="","","PN-"&amp;TEXT(ROW()-4,"000"))</f>
        <v>0</v>
      </c>
      <c r="C180" s="17">
        <f>IF(B180="","",IFERROR(INDEX('Content Calendar'!$H$5:$H$604,MATCH(B180,'Content Calendar'!$A$5:$A$604,0)),"Not found"))</f>
        <v>0</v>
      </c>
      <c r="D180" s="16">
        <f>IF(B180="","",IFERROR(INDEX('Content Calendar'!$B$5:$B$604,MATCH(B180,'Content Calendar'!$A$5:$A$604,0)),"Not found"))</f>
        <v>0</v>
      </c>
      <c r="E180" s="17">
        <f>IF(B180="","",IFERROR(INDEX('Content Calendar'!$J$5:$J$604,MATCH(B180,'Content Calendar'!$A$5:$A$604,0)),"Not found"))</f>
        <v>0</v>
      </c>
      <c r="F180" s="29">
        <f>IF(B180="","",IFERROR(INDEX('Content Calendar'!$X$5:$X$604,MATCH(B180,'Content Calendar'!$A$5:$A$604,0)),"Not found"))</f>
        <v>0</v>
      </c>
      <c r="T180" s="23">
        <f>IF(B180="","",IF(COUNTIF(Performance!$B$5:$B$404,B180)=0,"",SUMIFS(Performance!$O$5:$O$404,Performance!$B$5:$B$404,B180)))</f>
        <v>0</v>
      </c>
      <c r="U180" s="23">
        <f>IF(B180="","",IF(COUNTIF(Performance!$B$5:$B$404,B180)=0,"",SUMIFS(Performance!$P$5:$P$404,Performance!$B$5:$B$404,B180)))</f>
        <v>0</v>
      </c>
      <c r="V180" s="23">
        <f>IF(B180="","",IF(COUNTIF(Performance!$B$5:$B$404,B180)=0,"",SUMIFS(Performance!$Z$5:$Z$404,Performance!$B$5:$B$404,B180)))</f>
        <v>0</v>
      </c>
      <c r="W180" s="24">
        <f>IF(OR(T180="",T180=0),"",V180/T180)</f>
        <v>0</v>
      </c>
      <c r="X180" s="23">
        <f>IF(B180="","",IF(COUNTIF(Performance!$B$5:$B$404,B180)=0,"",SUMIFS(Performance!$T$5:$T$404,Performance!$B$5:$B$404,B180)))</f>
        <v>0</v>
      </c>
      <c r="Y180" s="23">
        <f>IF(B180="","",IF(COUNTIF(Performance!$B$5:$B$404,B180)=0,"",SUMIFS(Performance!$S$5:$S$404,Performance!$B$5:$B$404,B180)))</f>
        <v>0</v>
      </c>
      <c r="Z180" s="23">
        <f>IF(B180="","",IF(COUNTIF(Performance!$B$5:$B$404,B180)=0,"",SUMIFS(Performance!$R$5:$R$404,Performance!$B$5:$B$404,B180)))</f>
        <v>0</v>
      </c>
      <c r="AA180" s="23">
        <f>IF(B180="","",IF(COUNTIF(Performance!$B$5:$B$404,B180)=0,"",SUMIFS(Performance!$U$5:$U$404,Performance!$B$5:$B$404,B180)))</f>
        <v>0</v>
      </c>
      <c r="AB180" s="29">
        <f>IF(B180="","",IF(C180="Not found","Check - content ID not on the calendar",IF(N180="","Add - no target keyword",IF(K180="","Add - no destination link",IF(AND(S180&lt;&gt;"",S180&lt;TODAY()),"Due - time to refresh this pin","OK")))))</f>
        <v>0</v>
      </c>
    </row>
    <row r="181" spans="1:28">
      <c r="A181" s="41">
        <f>IF(B181="","","PN-"&amp;TEXT(ROW()-4,"000"))</f>
        <v>0</v>
      </c>
      <c r="C181" s="17">
        <f>IF(B181="","",IFERROR(INDEX('Content Calendar'!$H$5:$H$604,MATCH(B181,'Content Calendar'!$A$5:$A$604,0)),"Not found"))</f>
        <v>0</v>
      </c>
      <c r="D181" s="16">
        <f>IF(B181="","",IFERROR(INDEX('Content Calendar'!$B$5:$B$604,MATCH(B181,'Content Calendar'!$A$5:$A$604,0)),"Not found"))</f>
        <v>0</v>
      </c>
      <c r="E181" s="17">
        <f>IF(B181="","",IFERROR(INDEX('Content Calendar'!$J$5:$J$604,MATCH(B181,'Content Calendar'!$A$5:$A$604,0)),"Not found"))</f>
        <v>0</v>
      </c>
      <c r="F181" s="29">
        <f>IF(B181="","",IFERROR(INDEX('Content Calendar'!$X$5:$X$604,MATCH(B181,'Content Calendar'!$A$5:$A$604,0)),"Not found"))</f>
        <v>0</v>
      </c>
      <c r="T181" s="23">
        <f>IF(B181="","",IF(COUNTIF(Performance!$B$5:$B$404,B181)=0,"",SUMIFS(Performance!$O$5:$O$404,Performance!$B$5:$B$404,B181)))</f>
        <v>0</v>
      </c>
      <c r="U181" s="23">
        <f>IF(B181="","",IF(COUNTIF(Performance!$B$5:$B$404,B181)=0,"",SUMIFS(Performance!$P$5:$P$404,Performance!$B$5:$B$404,B181)))</f>
        <v>0</v>
      </c>
      <c r="V181" s="23">
        <f>IF(B181="","",IF(COUNTIF(Performance!$B$5:$B$404,B181)=0,"",SUMIFS(Performance!$Z$5:$Z$404,Performance!$B$5:$B$404,B181)))</f>
        <v>0</v>
      </c>
      <c r="W181" s="24">
        <f>IF(OR(T181="",T181=0),"",V181/T181)</f>
        <v>0</v>
      </c>
      <c r="X181" s="23">
        <f>IF(B181="","",IF(COUNTIF(Performance!$B$5:$B$404,B181)=0,"",SUMIFS(Performance!$T$5:$T$404,Performance!$B$5:$B$404,B181)))</f>
        <v>0</v>
      </c>
      <c r="Y181" s="23">
        <f>IF(B181="","",IF(COUNTIF(Performance!$B$5:$B$404,B181)=0,"",SUMIFS(Performance!$S$5:$S$404,Performance!$B$5:$B$404,B181)))</f>
        <v>0</v>
      </c>
      <c r="Z181" s="23">
        <f>IF(B181="","",IF(COUNTIF(Performance!$B$5:$B$404,B181)=0,"",SUMIFS(Performance!$R$5:$R$404,Performance!$B$5:$B$404,B181)))</f>
        <v>0</v>
      </c>
      <c r="AA181" s="23">
        <f>IF(B181="","",IF(COUNTIF(Performance!$B$5:$B$404,B181)=0,"",SUMIFS(Performance!$U$5:$U$404,Performance!$B$5:$B$404,B181)))</f>
        <v>0</v>
      </c>
      <c r="AB181" s="29">
        <f>IF(B181="","",IF(C181="Not found","Check - content ID not on the calendar",IF(N181="","Add - no target keyword",IF(K181="","Add - no destination link",IF(AND(S181&lt;&gt;"",S181&lt;TODAY()),"Due - time to refresh this pin","OK")))))</f>
        <v>0</v>
      </c>
    </row>
    <row r="182" spans="1:28">
      <c r="A182" s="41">
        <f>IF(B182="","","PN-"&amp;TEXT(ROW()-4,"000"))</f>
        <v>0</v>
      </c>
      <c r="C182" s="17">
        <f>IF(B182="","",IFERROR(INDEX('Content Calendar'!$H$5:$H$604,MATCH(B182,'Content Calendar'!$A$5:$A$604,0)),"Not found"))</f>
        <v>0</v>
      </c>
      <c r="D182" s="16">
        <f>IF(B182="","",IFERROR(INDEX('Content Calendar'!$B$5:$B$604,MATCH(B182,'Content Calendar'!$A$5:$A$604,0)),"Not found"))</f>
        <v>0</v>
      </c>
      <c r="E182" s="17">
        <f>IF(B182="","",IFERROR(INDEX('Content Calendar'!$J$5:$J$604,MATCH(B182,'Content Calendar'!$A$5:$A$604,0)),"Not found"))</f>
        <v>0</v>
      </c>
      <c r="F182" s="29">
        <f>IF(B182="","",IFERROR(INDEX('Content Calendar'!$X$5:$X$604,MATCH(B182,'Content Calendar'!$A$5:$A$604,0)),"Not found"))</f>
        <v>0</v>
      </c>
      <c r="T182" s="23">
        <f>IF(B182="","",IF(COUNTIF(Performance!$B$5:$B$404,B182)=0,"",SUMIFS(Performance!$O$5:$O$404,Performance!$B$5:$B$404,B182)))</f>
        <v>0</v>
      </c>
      <c r="U182" s="23">
        <f>IF(B182="","",IF(COUNTIF(Performance!$B$5:$B$404,B182)=0,"",SUMIFS(Performance!$P$5:$P$404,Performance!$B$5:$B$404,B182)))</f>
        <v>0</v>
      </c>
      <c r="V182" s="23">
        <f>IF(B182="","",IF(COUNTIF(Performance!$B$5:$B$404,B182)=0,"",SUMIFS(Performance!$Z$5:$Z$404,Performance!$B$5:$B$404,B182)))</f>
        <v>0</v>
      </c>
      <c r="W182" s="24">
        <f>IF(OR(T182="",T182=0),"",V182/T182)</f>
        <v>0</v>
      </c>
      <c r="X182" s="23">
        <f>IF(B182="","",IF(COUNTIF(Performance!$B$5:$B$404,B182)=0,"",SUMIFS(Performance!$T$5:$T$404,Performance!$B$5:$B$404,B182)))</f>
        <v>0</v>
      </c>
      <c r="Y182" s="23">
        <f>IF(B182="","",IF(COUNTIF(Performance!$B$5:$B$404,B182)=0,"",SUMIFS(Performance!$S$5:$S$404,Performance!$B$5:$B$404,B182)))</f>
        <v>0</v>
      </c>
      <c r="Z182" s="23">
        <f>IF(B182="","",IF(COUNTIF(Performance!$B$5:$B$404,B182)=0,"",SUMIFS(Performance!$R$5:$R$404,Performance!$B$5:$B$404,B182)))</f>
        <v>0</v>
      </c>
      <c r="AA182" s="23">
        <f>IF(B182="","",IF(COUNTIF(Performance!$B$5:$B$404,B182)=0,"",SUMIFS(Performance!$U$5:$U$404,Performance!$B$5:$B$404,B182)))</f>
        <v>0</v>
      </c>
      <c r="AB182" s="29">
        <f>IF(B182="","",IF(C182="Not found","Check - content ID not on the calendar",IF(N182="","Add - no target keyword",IF(K182="","Add - no destination link",IF(AND(S182&lt;&gt;"",S182&lt;TODAY()),"Due - time to refresh this pin","OK")))))</f>
        <v>0</v>
      </c>
    </row>
    <row r="183" spans="1:28">
      <c r="A183" s="41">
        <f>IF(B183="","","PN-"&amp;TEXT(ROW()-4,"000"))</f>
        <v>0</v>
      </c>
      <c r="C183" s="17">
        <f>IF(B183="","",IFERROR(INDEX('Content Calendar'!$H$5:$H$604,MATCH(B183,'Content Calendar'!$A$5:$A$604,0)),"Not found"))</f>
        <v>0</v>
      </c>
      <c r="D183" s="16">
        <f>IF(B183="","",IFERROR(INDEX('Content Calendar'!$B$5:$B$604,MATCH(B183,'Content Calendar'!$A$5:$A$604,0)),"Not found"))</f>
        <v>0</v>
      </c>
      <c r="E183" s="17">
        <f>IF(B183="","",IFERROR(INDEX('Content Calendar'!$J$5:$J$604,MATCH(B183,'Content Calendar'!$A$5:$A$604,0)),"Not found"))</f>
        <v>0</v>
      </c>
      <c r="F183" s="29">
        <f>IF(B183="","",IFERROR(INDEX('Content Calendar'!$X$5:$X$604,MATCH(B183,'Content Calendar'!$A$5:$A$604,0)),"Not found"))</f>
        <v>0</v>
      </c>
      <c r="T183" s="23">
        <f>IF(B183="","",IF(COUNTIF(Performance!$B$5:$B$404,B183)=0,"",SUMIFS(Performance!$O$5:$O$404,Performance!$B$5:$B$404,B183)))</f>
        <v>0</v>
      </c>
      <c r="U183" s="23">
        <f>IF(B183="","",IF(COUNTIF(Performance!$B$5:$B$404,B183)=0,"",SUMIFS(Performance!$P$5:$P$404,Performance!$B$5:$B$404,B183)))</f>
        <v>0</v>
      </c>
      <c r="V183" s="23">
        <f>IF(B183="","",IF(COUNTIF(Performance!$B$5:$B$404,B183)=0,"",SUMIFS(Performance!$Z$5:$Z$404,Performance!$B$5:$B$404,B183)))</f>
        <v>0</v>
      </c>
      <c r="W183" s="24">
        <f>IF(OR(T183="",T183=0),"",V183/T183)</f>
        <v>0</v>
      </c>
      <c r="X183" s="23">
        <f>IF(B183="","",IF(COUNTIF(Performance!$B$5:$B$404,B183)=0,"",SUMIFS(Performance!$T$5:$T$404,Performance!$B$5:$B$404,B183)))</f>
        <v>0</v>
      </c>
      <c r="Y183" s="23">
        <f>IF(B183="","",IF(COUNTIF(Performance!$B$5:$B$404,B183)=0,"",SUMIFS(Performance!$S$5:$S$404,Performance!$B$5:$B$404,B183)))</f>
        <v>0</v>
      </c>
      <c r="Z183" s="23">
        <f>IF(B183="","",IF(COUNTIF(Performance!$B$5:$B$404,B183)=0,"",SUMIFS(Performance!$R$5:$R$404,Performance!$B$5:$B$404,B183)))</f>
        <v>0</v>
      </c>
      <c r="AA183" s="23">
        <f>IF(B183="","",IF(COUNTIF(Performance!$B$5:$B$404,B183)=0,"",SUMIFS(Performance!$U$5:$U$404,Performance!$B$5:$B$404,B183)))</f>
        <v>0</v>
      </c>
      <c r="AB183" s="29">
        <f>IF(B183="","",IF(C183="Not found","Check - content ID not on the calendar",IF(N183="","Add - no target keyword",IF(K183="","Add - no destination link",IF(AND(S183&lt;&gt;"",S183&lt;TODAY()),"Due - time to refresh this pin","OK")))))</f>
        <v>0</v>
      </c>
    </row>
    <row r="184" spans="1:28">
      <c r="A184" s="41">
        <f>IF(B184="","","PN-"&amp;TEXT(ROW()-4,"000"))</f>
        <v>0</v>
      </c>
      <c r="C184" s="17">
        <f>IF(B184="","",IFERROR(INDEX('Content Calendar'!$H$5:$H$604,MATCH(B184,'Content Calendar'!$A$5:$A$604,0)),"Not found"))</f>
        <v>0</v>
      </c>
      <c r="D184" s="16">
        <f>IF(B184="","",IFERROR(INDEX('Content Calendar'!$B$5:$B$604,MATCH(B184,'Content Calendar'!$A$5:$A$604,0)),"Not found"))</f>
        <v>0</v>
      </c>
      <c r="E184" s="17">
        <f>IF(B184="","",IFERROR(INDEX('Content Calendar'!$J$5:$J$604,MATCH(B184,'Content Calendar'!$A$5:$A$604,0)),"Not found"))</f>
        <v>0</v>
      </c>
      <c r="F184" s="29">
        <f>IF(B184="","",IFERROR(INDEX('Content Calendar'!$X$5:$X$604,MATCH(B184,'Content Calendar'!$A$5:$A$604,0)),"Not found"))</f>
        <v>0</v>
      </c>
      <c r="T184" s="23">
        <f>IF(B184="","",IF(COUNTIF(Performance!$B$5:$B$404,B184)=0,"",SUMIFS(Performance!$O$5:$O$404,Performance!$B$5:$B$404,B184)))</f>
        <v>0</v>
      </c>
      <c r="U184" s="23">
        <f>IF(B184="","",IF(COUNTIF(Performance!$B$5:$B$404,B184)=0,"",SUMIFS(Performance!$P$5:$P$404,Performance!$B$5:$B$404,B184)))</f>
        <v>0</v>
      </c>
      <c r="V184" s="23">
        <f>IF(B184="","",IF(COUNTIF(Performance!$B$5:$B$404,B184)=0,"",SUMIFS(Performance!$Z$5:$Z$404,Performance!$B$5:$B$404,B184)))</f>
        <v>0</v>
      </c>
      <c r="W184" s="24">
        <f>IF(OR(T184="",T184=0),"",V184/T184)</f>
        <v>0</v>
      </c>
      <c r="X184" s="23">
        <f>IF(B184="","",IF(COUNTIF(Performance!$B$5:$B$404,B184)=0,"",SUMIFS(Performance!$T$5:$T$404,Performance!$B$5:$B$404,B184)))</f>
        <v>0</v>
      </c>
      <c r="Y184" s="23">
        <f>IF(B184="","",IF(COUNTIF(Performance!$B$5:$B$404,B184)=0,"",SUMIFS(Performance!$S$5:$S$404,Performance!$B$5:$B$404,B184)))</f>
        <v>0</v>
      </c>
      <c r="Z184" s="23">
        <f>IF(B184="","",IF(COUNTIF(Performance!$B$5:$B$404,B184)=0,"",SUMIFS(Performance!$R$5:$R$404,Performance!$B$5:$B$404,B184)))</f>
        <v>0</v>
      </c>
      <c r="AA184" s="23">
        <f>IF(B184="","",IF(COUNTIF(Performance!$B$5:$B$404,B184)=0,"",SUMIFS(Performance!$U$5:$U$404,Performance!$B$5:$B$404,B184)))</f>
        <v>0</v>
      </c>
      <c r="AB184" s="29">
        <f>IF(B184="","",IF(C184="Not found","Check - content ID not on the calendar",IF(N184="","Add - no target keyword",IF(K184="","Add - no destination link",IF(AND(S184&lt;&gt;"",S184&lt;TODAY()),"Due - time to refresh this pin","OK")))))</f>
        <v>0</v>
      </c>
    </row>
    <row r="185" spans="1:28">
      <c r="A185" s="41">
        <f>IF(B185="","","PN-"&amp;TEXT(ROW()-4,"000"))</f>
        <v>0</v>
      </c>
      <c r="C185" s="17">
        <f>IF(B185="","",IFERROR(INDEX('Content Calendar'!$H$5:$H$604,MATCH(B185,'Content Calendar'!$A$5:$A$604,0)),"Not found"))</f>
        <v>0</v>
      </c>
      <c r="D185" s="16">
        <f>IF(B185="","",IFERROR(INDEX('Content Calendar'!$B$5:$B$604,MATCH(B185,'Content Calendar'!$A$5:$A$604,0)),"Not found"))</f>
        <v>0</v>
      </c>
      <c r="E185" s="17">
        <f>IF(B185="","",IFERROR(INDEX('Content Calendar'!$J$5:$J$604,MATCH(B185,'Content Calendar'!$A$5:$A$604,0)),"Not found"))</f>
        <v>0</v>
      </c>
      <c r="F185" s="29">
        <f>IF(B185="","",IFERROR(INDEX('Content Calendar'!$X$5:$X$604,MATCH(B185,'Content Calendar'!$A$5:$A$604,0)),"Not found"))</f>
        <v>0</v>
      </c>
      <c r="T185" s="23">
        <f>IF(B185="","",IF(COUNTIF(Performance!$B$5:$B$404,B185)=0,"",SUMIFS(Performance!$O$5:$O$404,Performance!$B$5:$B$404,B185)))</f>
        <v>0</v>
      </c>
      <c r="U185" s="23">
        <f>IF(B185="","",IF(COUNTIF(Performance!$B$5:$B$404,B185)=0,"",SUMIFS(Performance!$P$5:$P$404,Performance!$B$5:$B$404,B185)))</f>
        <v>0</v>
      </c>
      <c r="V185" s="23">
        <f>IF(B185="","",IF(COUNTIF(Performance!$B$5:$B$404,B185)=0,"",SUMIFS(Performance!$Z$5:$Z$404,Performance!$B$5:$B$404,B185)))</f>
        <v>0</v>
      </c>
      <c r="W185" s="24">
        <f>IF(OR(T185="",T185=0),"",V185/T185)</f>
        <v>0</v>
      </c>
      <c r="X185" s="23">
        <f>IF(B185="","",IF(COUNTIF(Performance!$B$5:$B$404,B185)=0,"",SUMIFS(Performance!$T$5:$T$404,Performance!$B$5:$B$404,B185)))</f>
        <v>0</v>
      </c>
      <c r="Y185" s="23">
        <f>IF(B185="","",IF(COUNTIF(Performance!$B$5:$B$404,B185)=0,"",SUMIFS(Performance!$S$5:$S$404,Performance!$B$5:$B$404,B185)))</f>
        <v>0</v>
      </c>
      <c r="Z185" s="23">
        <f>IF(B185="","",IF(COUNTIF(Performance!$B$5:$B$404,B185)=0,"",SUMIFS(Performance!$R$5:$R$404,Performance!$B$5:$B$404,B185)))</f>
        <v>0</v>
      </c>
      <c r="AA185" s="23">
        <f>IF(B185="","",IF(COUNTIF(Performance!$B$5:$B$404,B185)=0,"",SUMIFS(Performance!$U$5:$U$404,Performance!$B$5:$B$404,B185)))</f>
        <v>0</v>
      </c>
      <c r="AB185" s="29">
        <f>IF(B185="","",IF(C185="Not found","Check - content ID not on the calendar",IF(N185="","Add - no target keyword",IF(K185="","Add - no destination link",IF(AND(S185&lt;&gt;"",S185&lt;TODAY()),"Due - time to refresh this pin","OK")))))</f>
        <v>0</v>
      </c>
    </row>
    <row r="186" spans="1:28">
      <c r="A186" s="41">
        <f>IF(B186="","","PN-"&amp;TEXT(ROW()-4,"000"))</f>
        <v>0</v>
      </c>
      <c r="C186" s="17">
        <f>IF(B186="","",IFERROR(INDEX('Content Calendar'!$H$5:$H$604,MATCH(B186,'Content Calendar'!$A$5:$A$604,0)),"Not found"))</f>
        <v>0</v>
      </c>
      <c r="D186" s="16">
        <f>IF(B186="","",IFERROR(INDEX('Content Calendar'!$B$5:$B$604,MATCH(B186,'Content Calendar'!$A$5:$A$604,0)),"Not found"))</f>
        <v>0</v>
      </c>
      <c r="E186" s="17">
        <f>IF(B186="","",IFERROR(INDEX('Content Calendar'!$J$5:$J$604,MATCH(B186,'Content Calendar'!$A$5:$A$604,0)),"Not found"))</f>
        <v>0</v>
      </c>
      <c r="F186" s="29">
        <f>IF(B186="","",IFERROR(INDEX('Content Calendar'!$X$5:$X$604,MATCH(B186,'Content Calendar'!$A$5:$A$604,0)),"Not found"))</f>
        <v>0</v>
      </c>
      <c r="T186" s="23">
        <f>IF(B186="","",IF(COUNTIF(Performance!$B$5:$B$404,B186)=0,"",SUMIFS(Performance!$O$5:$O$404,Performance!$B$5:$B$404,B186)))</f>
        <v>0</v>
      </c>
      <c r="U186" s="23">
        <f>IF(B186="","",IF(COUNTIF(Performance!$B$5:$B$404,B186)=0,"",SUMIFS(Performance!$P$5:$P$404,Performance!$B$5:$B$404,B186)))</f>
        <v>0</v>
      </c>
      <c r="V186" s="23">
        <f>IF(B186="","",IF(COUNTIF(Performance!$B$5:$B$404,B186)=0,"",SUMIFS(Performance!$Z$5:$Z$404,Performance!$B$5:$B$404,B186)))</f>
        <v>0</v>
      </c>
      <c r="W186" s="24">
        <f>IF(OR(T186="",T186=0),"",V186/T186)</f>
        <v>0</v>
      </c>
      <c r="X186" s="23">
        <f>IF(B186="","",IF(COUNTIF(Performance!$B$5:$B$404,B186)=0,"",SUMIFS(Performance!$T$5:$T$404,Performance!$B$5:$B$404,B186)))</f>
        <v>0</v>
      </c>
      <c r="Y186" s="23">
        <f>IF(B186="","",IF(COUNTIF(Performance!$B$5:$B$404,B186)=0,"",SUMIFS(Performance!$S$5:$S$404,Performance!$B$5:$B$404,B186)))</f>
        <v>0</v>
      </c>
      <c r="Z186" s="23">
        <f>IF(B186="","",IF(COUNTIF(Performance!$B$5:$B$404,B186)=0,"",SUMIFS(Performance!$R$5:$R$404,Performance!$B$5:$B$404,B186)))</f>
        <v>0</v>
      </c>
      <c r="AA186" s="23">
        <f>IF(B186="","",IF(COUNTIF(Performance!$B$5:$B$404,B186)=0,"",SUMIFS(Performance!$U$5:$U$404,Performance!$B$5:$B$404,B186)))</f>
        <v>0</v>
      </c>
      <c r="AB186" s="29">
        <f>IF(B186="","",IF(C186="Not found","Check - content ID not on the calendar",IF(N186="","Add - no target keyword",IF(K186="","Add - no destination link",IF(AND(S186&lt;&gt;"",S186&lt;TODAY()),"Due - time to refresh this pin","OK")))))</f>
        <v>0</v>
      </c>
    </row>
    <row r="187" spans="1:28">
      <c r="A187" s="41">
        <f>IF(B187="","","PN-"&amp;TEXT(ROW()-4,"000"))</f>
        <v>0</v>
      </c>
      <c r="C187" s="17">
        <f>IF(B187="","",IFERROR(INDEX('Content Calendar'!$H$5:$H$604,MATCH(B187,'Content Calendar'!$A$5:$A$604,0)),"Not found"))</f>
        <v>0</v>
      </c>
      <c r="D187" s="16">
        <f>IF(B187="","",IFERROR(INDEX('Content Calendar'!$B$5:$B$604,MATCH(B187,'Content Calendar'!$A$5:$A$604,0)),"Not found"))</f>
        <v>0</v>
      </c>
      <c r="E187" s="17">
        <f>IF(B187="","",IFERROR(INDEX('Content Calendar'!$J$5:$J$604,MATCH(B187,'Content Calendar'!$A$5:$A$604,0)),"Not found"))</f>
        <v>0</v>
      </c>
      <c r="F187" s="29">
        <f>IF(B187="","",IFERROR(INDEX('Content Calendar'!$X$5:$X$604,MATCH(B187,'Content Calendar'!$A$5:$A$604,0)),"Not found"))</f>
        <v>0</v>
      </c>
      <c r="T187" s="23">
        <f>IF(B187="","",IF(COUNTIF(Performance!$B$5:$B$404,B187)=0,"",SUMIFS(Performance!$O$5:$O$404,Performance!$B$5:$B$404,B187)))</f>
        <v>0</v>
      </c>
      <c r="U187" s="23">
        <f>IF(B187="","",IF(COUNTIF(Performance!$B$5:$B$404,B187)=0,"",SUMIFS(Performance!$P$5:$P$404,Performance!$B$5:$B$404,B187)))</f>
        <v>0</v>
      </c>
      <c r="V187" s="23">
        <f>IF(B187="","",IF(COUNTIF(Performance!$B$5:$B$404,B187)=0,"",SUMIFS(Performance!$Z$5:$Z$404,Performance!$B$5:$B$404,B187)))</f>
        <v>0</v>
      </c>
      <c r="W187" s="24">
        <f>IF(OR(T187="",T187=0),"",V187/T187)</f>
        <v>0</v>
      </c>
      <c r="X187" s="23">
        <f>IF(B187="","",IF(COUNTIF(Performance!$B$5:$B$404,B187)=0,"",SUMIFS(Performance!$T$5:$T$404,Performance!$B$5:$B$404,B187)))</f>
        <v>0</v>
      </c>
      <c r="Y187" s="23">
        <f>IF(B187="","",IF(COUNTIF(Performance!$B$5:$B$404,B187)=0,"",SUMIFS(Performance!$S$5:$S$404,Performance!$B$5:$B$404,B187)))</f>
        <v>0</v>
      </c>
      <c r="Z187" s="23">
        <f>IF(B187="","",IF(COUNTIF(Performance!$B$5:$B$404,B187)=0,"",SUMIFS(Performance!$R$5:$R$404,Performance!$B$5:$B$404,B187)))</f>
        <v>0</v>
      </c>
      <c r="AA187" s="23">
        <f>IF(B187="","",IF(COUNTIF(Performance!$B$5:$B$404,B187)=0,"",SUMIFS(Performance!$U$5:$U$404,Performance!$B$5:$B$404,B187)))</f>
        <v>0</v>
      </c>
      <c r="AB187" s="29">
        <f>IF(B187="","",IF(C187="Not found","Check - content ID not on the calendar",IF(N187="","Add - no target keyword",IF(K187="","Add - no destination link",IF(AND(S187&lt;&gt;"",S187&lt;TODAY()),"Due - time to refresh this pin","OK")))))</f>
        <v>0</v>
      </c>
    </row>
    <row r="188" spans="1:28">
      <c r="A188" s="41">
        <f>IF(B188="","","PN-"&amp;TEXT(ROW()-4,"000"))</f>
        <v>0</v>
      </c>
      <c r="C188" s="17">
        <f>IF(B188="","",IFERROR(INDEX('Content Calendar'!$H$5:$H$604,MATCH(B188,'Content Calendar'!$A$5:$A$604,0)),"Not found"))</f>
        <v>0</v>
      </c>
      <c r="D188" s="16">
        <f>IF(B188="","",IFERROR(INDEX('Content Calendar'!$B$5:$B$604,MATCH(B188,'Content Calendar'!$A$5:$A$604,0)),"Not found"))</f>
        <v>0</v>
      </c>
      <c r="E188" s="17">
        <f>IF(B188="","",IFERROR(INDEX('Content Calendar'!$J$5:$J$604,MATCH(B188,'Content Calendar'!$A$5:$A$604,0)),"Not found"))</f>
        <v>0</v>
      </c>
      <c r="F188" s="29">
        <f>IF(B188="","",IFERROR(INDEX('Content Calendar'!$X$5:$X$604,MATCH(B188,'Content Calendar'!$A$5:$A$604,0)),"Not found"))</f>
        <v>0</v>
      </c>
      <c r="T188" s="23">
        <f>IF(B188="","",IF(COUNTIF(Performance!$B$5:$B$404,B188)=0,"",SUMIFS(Performance!$O$5:$O$404,Performance!$B$5:$B$404,B188)))</f>
        <v>0</v>
      </c>
      <c r="U188" s="23">
        <f>IF(B188="","",IF(COUNTIF(Performance!$B$5:$B$404,B188)=0,"",SUMIFS(Performance!$P$5:$P$404,Performance!$B$5:$B$404,B188)))</f>
        <v>0</v>
      </c>
      <c r="V188" s="23">
        <f>IF(B188="","",IF(COUNTIF(Performance!$B$5:$B$404,B188)=0,"",SUMIFS(Performance!$Z$5:$Z$404,Performance!$B$5:$B$404,B188)))</f>
        <v>0</v>
      </c>
      <c r="W188" s="24">
        <f>IF(OR(T188="",T188=0),"",V188/T188)</f>
        <v>0</v>
      </c>
      <c r="X188" s="23">
        <f>IF(B188="","",IF(COUNTIF(Performance!$B$5:$B$404,B188)=0,"",SUMIFS(Performance!$T$5:$T$404,Performance!$B$5:$B$404,B188)))</f>
        <v>0</v>
      </c>
      <c r="Y188" s="23">
        <f>IF(B188="","",IF(COUNTIF(Performance!$B$5:$B$404,B188)=0,"",SUMIFS(Performance!$S$5:$S$404,Performance!$B$5:$B$404,B188)))</f>
        <v>0</v>
      </c>
      <c r="Z188" s="23">
        <f>IF(B188="","",IF(COUNTIF(Performance!$B$5:$B$404,B188)=0,"",SUMIFS(Performance!$R$5:$R$404,Performance!$B$5:$B$404,B188)))</f>
        <v>0</v>
      </c>
      <c r="AA188" s="23">
        <f>IF(B188="","",IF(COUNTIF(Performance!$B$5:$B$404,B188)=0,"",SUMIFS(Performance!$U$5:$U$404,Performance!$B$5:$B$404,B188)))</f>
        <v>0</v>
      </c>
      <c r="AB188" s="29">
        <f>IF(B188="","",IF(C188="Not found","Check - content ID not on the calendar",IF(N188="","Add - no target keyword",IF(K188="","Add - no destination link",IF(AND(S188&lt;&gt;"",S188&lt;TODAY()),"Due - time to refresh this pin","OK")))))</f>
        <v>0</v>
      </c>
    </row>
    <row r="189" spans="1:28">
      <c r="A189" s="41">
        <f>IF(B189="","","PN-"&amp;TEXT(ROW()-4,"000"))</f>
        <v>0</v>
      </c>
      <c r="C189" s="17">
        <f>IF(B189="","",IFERROR(INDEX('Content Calendar'!$H$5:$H$604,MATCH(B189,'Content Calendar'!$A$5:$A$604,0)),"Not found"))</f>
        <v>0</v>
      </c>
      <c r="D189" s="16">
        <f>IF(B189="","",IFERROR(INDEX('Content Calendar'!$B$5:$B$604,MATCH(B189,'Content Calendar'!$A$5:$A$604,0)),"Not found"))</f>
        <v>0</v>
      </c>
      <c r="E189" s="17">
        <f>IF(B189="","",IFERROR(INDEX('Content Calendar'!$J$5:$J$604,MATCH(B189,'Content Calendar'!$A$5:$A$604,0)),"Not found"))</f>
        <v>0</v>
      </c>
      <c r="F189" s="29">
        <f>IF(B189="","",IFERROR(INDEX('Content Calendar'!$X$5:$X$604,MATCH(B189,'Content Calendar'!$A$5:$A$604,0)),"Not found"))</f>
        <v>0</v>
      </c>
      <c r="T189" s="23">
        <f>IF(B189="","",IF(COUNTIF(Performance!$B$5:$B$404,B189)=0,"",SUMIFS(Performance!$O$5:$O$404,Performance!$B$5:$B$404,B189)))</f>
        <v>0</v>
      </c>
      <c r="U189" s="23">
        <f>IF(B189="","",IF(COUNTIF(Performance!$B$5:$B$404,B189)=0,"",SUMIFS(Performance!$P$5:$P$404,Performance!$B$5:$B$404,B189)))</f>
        <v>0</v>
      </c>
      <c r="V189" s="23">
        <f>IF(B189="","",IF(COUNTIF(Performance!$B$5:$B$404,B189)=0,"",SUMIFS(Performance!$Z$5:$Z$404,Performance!$B$5:$B$404,B189)))</f>
        <v>0</v>
      </c>
      <c r="W189" s="24">
        <f>IF(OR(T189="",T189=0),"",V189/T189)</f>
        <v>0</v>
      </c>
      <c r="X189" s="23">
        <f>IF(B189="","",IF(COUNTIF(Performance!$B$5:$B$404,B189)=0,"",SUMIFS(Performance!$T$5:$T$404,Performance!$B$5:$B$404,B189)))</f>
        <v>0</v>
      </c>
      <c r="Y189" s="23">
        <f>IF(B189="","",IF(COUNTIF(Performance!$B$5:$B$404,B189)=0,"",SUMIFS(Performance!$S$5:$S$404,Performance!$B$5:$B$404,B189)))</f>
        <v>0</v>
      </c>
      <c r="Z189" s="23">
        <f>IF(B189="","",IF(COUNTIF(Performance!$B$5:$B$404,B189)=0,"",SUMIFS(Performance!$R$5:$R$404,Performance!$B$5:$B$404,B189)))</f>
        <v>0</v>
      </c>
      <c r="AA189" s="23">
        <f>IF(B189="","",IF(COUNTIF(Performance!$B$5:$B$404,B189)=0,"",SUMIFS(Performance!$U$5:$U$404,Performance!$B$5:$B$404,B189)))</f>
        <v>0</v>
      </c>
      <c r="AB189" s="29">
        <f>IF(B189="","",IF(C189="Not found","Check - content ID not on the calendar",IF(N189="","Add - no target keyword",IF(K189="","Add - no destination link",IF(AND(S189&lt;&gt;"",S189&lt;TODAY()),"Due - time to refresh this pin","OK")))))</f>
        <v>0</v>
      </c>
    </row>
    <row r="190" spans="1:28">
      <c r="A190" s="41">
        <f>IF(B190="","","PN-"&amp;TEXT(ROW()-4,"000"))</f>
        <v>0</v>
      </c>
      <c r="C190" s="17">
        <f>IF(B190="","",IFERROR(INDEX('Content Calendar'!$H$5:$H$604,MATCH(B190,'Content Calendar'!$A$5:$A$604,0)),"Not found"))</f>
        <v>0</v>
      </c>
      <c r="D190" s="16">
        <f>IF(B190="","",IFERROR(INDEX('Content Calendar'!$B$5:$B$604,MATCH(B190,'Content Calendar'!$A$5:$A$604,0)),"Not found"))</f>
        <v>0</v>
      </c>
      <c r="E190" s="17">
        <f>IF(B190="","",IFERROR(INDEX('Content Calendar'!$J$5:$J$604,MATCH(B190,'Content Calendar'!$A$5:$A$604,0)),"Not found"))</f>
        <v>0</v>
      </c>
      <c r="F190" s="29">
        <f>IF(B190="","",IFERROR(INDEX('Content Calendar'!$X$5:$X$604,MATCH(B190,'Content Calendar'!$A$5:$A$604,0)),"Not found"))</f>
        <v>0</v>
      </c>
      <c r="T190" s="23">
        <f>IF(B190="","",IF(COUNTIF(Performance!$B$5:$B$404,B190)=0,"",SUMIFS(Performance!$O$5:$O$404,Performance!$B$5:$B$404,B190)))</f>
        <v>0</v>
      </c>
      <c r="U190" s="23">
        <f>IF(B190="","",IF(COUNTIF(Performance!$B$5:$B$404,B190)=0,"",SUMIFS(Performance!$P$5:$P$404,Performance!$B$5:$B$404,B190)))</f>
        <v>0</v>
      </c>
      <c r="V190" s="23">
        <f>IF(B190="","",IF(COUNTIF(Performance!$B$5:$B$404,B190)=0,"",SUMIFS(Performance!$Z$5:$Z$404,Performance!$B$5:$B$404,B190)))</f>
        <v>0</v>
      </c>
      <c r="W190" s="24">
        <f>IF(OR(T190="",T190=0),"",V190/T190)</f>
        <v>0</v>
      </c>
      <c r="X190" s="23">
        <f>IF(B190="","",IF(COUNTIF(Performance!$B$5:$B$404,B190)=0,"",SUMIFS(Performance!$T$5:$T$404,Performance!$B$5:$B$404,B190)))</f>
        <v>0</v>
      </c>
      <c r="Y190" s="23">
        <f>IF(B190="","",IF(COUNTIF(Performance!$B$5:$B$404,B190)=0,"",SUMIFS(Performance!$S$5:$S$404,Performance!$B$5:$B$404,B190)))</f>
        <v>0</v>
      </c>
      <c r="Z190" s="23">
        <f>IF(B190="","",IF(COUNTIF(Performance!$B$5:$B$404,B190)=0,"",SUMIFS(Performance!$R$5:$R$404,Performance!$B$5:$B$404,B190)))</f>
        <v>0</v>
      </c>
      <c r="AA190" s="23">
        <f>IF(B190="","",IF(COUNTIF(Performance!$B$5:$B$404,B190)=0,"",SUMIFS(Performance!$U$5:$U$404,Performance!$B$5:$B$404,B190)))</f>
        <v>0</v>
      </c>
      <c r="AB190" s="29">
        <f>IF(B190="","",IF(C190="Not found","Check - content ID not on the calendar",IF(N190="","Add - no target keyword",IF(K190="","Add - no destination link",IF(AND(S190&lt;&gt;"",S190&lt;TODAY()),"Due - time to refresh this pin","OK")))))</f>
        <v>0</v>
      </c>
    </row>
    <row r="191" spans="1:28">
      <c r="A191" s="41">
        <f>IF(B191="","","PN-"&amp;TEXT(ROW()-4,"000"))</f>
        <v>0</v>
      </c>
      <c r="C191" s="17">
        <f>IF(B191="","",IFERROR(INDEX('Content Calendar'!$H$5:$H$604,MATCH(B191,'Content Calendar'!$A$5:$A$604,0)),"Not found"))</f>
        <v>0</v>
      </c>
      <c r="D191" s="16">
        <f>IF(B191="","",IFERROR(INDEX('Content Calendar'!$B$5:$B$604,MATCH(B191,'Content Calendar'!$A$5:$A$604,0)),"Not found"))</f>
        <v>0</v>
      </c>
      <c r="E191" s="17">
        <f>IF(B191="","",IFERROR(INDEX('Content Calendar'!$J$5:$J$604,MATCH(B191,'Content Calendar'!$A$5:$A$604,0)),"Not found"))</f>
        <v>0</v>
      </c>
      <c r="F191" s="29">
        <f>IF(B191="","",IFERROR(INDEX('Content Calendar'!$X$5:$X$604,MATCH(B191,'Content Calendar'!$A$5:$A$604,0)),"Not found"))</f>
        <v>0</v>
      </c>
      <c r="T191" s="23">
        <f>IF(B191="","",IF(COUNTIF(Performance!$B$5:$B$404,B191)=0,"",SUMIFS(Performance!$O$5:$O$404,Performance!$B$5:$B$404,B191)))</f>
        <v>0</v>
      </c>
      <c r="U191" s="23">
        <f>IF(B191="","",IF(COUNTIF(Performance!$B$5:$B$404,B191)=0,"",SUMIFS(Performance!$P$5:$P$404,Performance!$B$5:$B$404,B191)))</f>
        <v>0</v>
      </c>
      <c r="V191" s="23">
        <f>IF(B191="","",IF(COUNTIF(Performance!$B$5:$B$404,B191)=0,"",SUMIFS(Performance!$Z$5:$Z$404,Performance!$B$5:$B$404,B191)))</f>
        <v>0</v>
      </c>
      <c r="W191" s="24">
        <f>IF(OR(T191="",T191=0),"",V191/T191)</f>
        <v>0</v>
      </c>
      <c r="X191" s="23">
        <f>IF(B191="","",IF(COUNTIF(Performance!$B$5:$B$404,B191)=0,"",SUMIFS(Performance!$T$5:$T$404,Performance!$B$5:$B$404,B191)))</f>
        <v>0</v>
      </c>
      <c r="Y191" s="23">
        <f>IF(B191="","",IF(COUNTIF(Performance!$B$5:$B$404,B191)=0,"",SUMIFS(Performance!$S$5:$S$404,Performance!$B$5:$B$404,B191)))</f>
        <v>0</v>
      </c>
      <c r="Z191" s="23">
        <f>IF(B191="","",IF(COUNTIF(Performance!$B$5:$B$404,B191)=0,"",SUMIFS(Performance!$R$5:$R$404,Performance!$B$5:$B$404,B191)))</f>
        <v>0</v>
      </c>
      <c r="AA191" s="23">
        <f>IF(B191="","",IF(COUNTIF(Performance!$B$5:$B$404,B191)=0,"",SUMIFS(Performance!$U$5:$U$404,Performance!$B$5:$B$404,B191)))</f>
        <v>0</v>
      </c>
      <c r="AB191" s="29">
        <f>IF(B191="","",IF(C191="Not found","Check - content ID not on the calendar",IF(N191="","Add - no target keyword",IF(K191="","Add - no destination link",IF(AND(S191&lt;&gt;"",S191&lt;TODAY()),"Due - time to refresh this pin","OK")))))</f>
        <v>0</v>
      </c>
    </row>
    <row r="192" spans="1:28">
      <c r="A192" s="41">
        <f>IF(B192="","","PN-"&amp;TEXT(ROW()-4,"000"))</f>
        <v>0</v>
      </c>
      <c r="C192" s="17">
        <f>IF(B192="","",IFERROR(INDEX('Content Calendar'!$H$5:$H$604,MATCH(B192,'Content Calendar'!$A$5:$A$604,0)),"Not found"))</f>
        <v>0</v>
      </c>
      <c r="D192" s="16">
        <f>IF(B192="","",IFERROR(INDEX('Content Calendar'!$B$5:$B$604,MATCH(B192,'Content Calendar'!$A$5:$A$604,0)),"Not found"))</f>
        <v>0</v>
      </c>
      <c r="E192" s="17">
        <f>IF(B192="","",IFERROR(INDEX('Content Calendar'!$J$5:$J$604,MATCH(B192,'Content Calendar'!$A$5:$A$604,0)),"Not found"))</f>
        <v>0</v>
      </c>
      <c r="F192" s="29">
        <f>IF(B192="","",IFERROR(INDEX('Content Calendar'!$X$5:$X$604,MATCH(B192,'Content Calendar'!$A$5:$A$604,0)),"Not found"))</f>
        <v>0</v>
      </c>
      <c r="T192" s="23">
        <f>IF(B192="","",IF(COUNTIF(Performance!$B$5:$B$404,B192)=0,"",SUMIFS(Performance!$O$5:$O$404,Performance!$B$5:$B$404,B192)))</f>
        <v>0</v>
      </c>
      <c r="U192" s="23">
        <f>IF(B192="","",IF(COUNTIF(Performance!$B$5:$B$404,B192)=0,"",SUMIFS(Performance!$P$5:$P$404,Performance!$B$5:$B$404,B192)))</f>
        <v>0</v>
      </c>
      <c r="V192" s="23">
        <f>IF(B192="","",IF(COUNTIF(Performance!$B$5:$B$404,B192)=0,"",SUMIFS(Performance!$Z$5:$Z$404,Performance!$B$5:$B$404,B192)))</f>
        <v>0</v>
      </c>
      <c r="W192" s="24">
        <f>IF(OR(T192="",T192=0),"",V192/T192)</f>
        <v>0</v>
      </c>
      <c r="X192" s="23">
        <f>IF(B192="","",IF(COUNTIF(Performance!$B$5:$B$404,B192)=0,"",SUMIFS(Performance!$T$5:$T$404,Performance!$B$5:$B$404,B192)))</f>
        <v>0</v>
      </c>
      <c r="Y192" s="23">
        <f>IF(B192="","",IF(COUNTIF(Performance!$B$5:$B$404,B192)=0,"",SUMIFS(Performance!$S$5:$S$404,Performance!$B$5:$B$404,B192)))</f>
        <v>0</v>
      </c>
      <c r="Z192" s="23">
        <f>IF(B192="","",IF(COUNTIF(Performance!$B$5:$B$404,B192)=0,"",SUMIFS(Performance!$R$5:$R$404,Performance!$B$5:$B$404,B192)))</f>
        <v>0</v>
      </c>
      <c r="AA192" s="23">
        <f>IF(B192="","",IF(COUNTIF(Performance!$B$5:$B$404,B192)=0,"",SUMIFS(Performance!$U$5:$U$404,Performance!$B$5:$B$404,B192)))</f>
        <v>0</v>
      </c>
      <c r="AB192" s="29">
        <f>IF(B192="","",IF(C192="Not found","Check - content ID not on the calendar",IF(N192="","Add - no target keyword",IF(K192="","Add - no destination link",IF(AND(S192&lt;&gt;"",S192&lt;TODAY()),"Due - time to refresh this pin","OK")))))</f>
        <v>0</v>
      </c>
    </row>
    <row r="193" spans="1:28">
      <c r="A193" s="41">
        <f>IF(B193="","","PN-"&amp;TEXT(ROW()-4,"000"))</f>
        <v>0</v>
      </c>
      <c r="C193" s="17">
        <f>IF(B193="","",IFERROR(INDEX('Content Calendar'!$H$5:$H$604,MATCH(B193,'Content Calendar'!$A$5:$A$604,0)),"Not found"))</f>
        <v>0</v>
      </c>
      <c r="D193" s="16">
        <f>IF(B193="","",IFERROR(INDEX('Content Calendar'!$B$5:$B$604,MATCH(B193,'Content Calendar'!$A$5:$A$604,0)),"Not found"))</f>
        <v>0</v>
      </c>
      <c r="E193" s="17">
        <f>IF(B193="","",IFERROR(INDEX('Content Calendar'!$J$5:$J$604,MATCH(B193,'Content Calendar'!$A$5:$A$604,0)),"Not found"))</f>
        <v>0</v>
      </c>
      <c r="F193" s="29">
        <f>IF(B193="","",IFERROR(INDEX('Content Calendar'!$X$5:$X$604,MATCH(B193,'Content Calendar'!$A$5:$A$604,0)),"Not found"))</f>
        <v>0</v>
      </c>
      <c r="T193" s="23">
        <f>IF(B193="","",IF(COUNTIF(Performance!$B$5:$B$404,B193)=0,"",SUMIFS(Performance!$O$5:$O$404,Performance!$B$5:$B$404,B193)))</f>
        <v>0</v>
      </c>
      <c r="U193" s="23">
        <f>IF(B193="","",IF(COUNTIF(Performance!$B$5:$B$404,B193)=0,"",SUMIFS(Performance!$P$5:$P$404,Performance!$B$5:$B$404,B193)))</f>
        <v>0</v>
      </c>
      <c r="V193" s="23">
        <f>IF(B193="","",IF(COUNTIF(Performance!$B$5:$B$404,B193)=0,"",SUMIFS(Performance!$Z$5:$Z$404,Performance!$B$5:$B$404,B193)))</f>
        <v>0</v>
      </c>
      <c r="W193" s="24">
        <f>IF(OR(T193="",T193=0),"",V193/T193)</f>
        <v>0</v>
      </c>
      <c r="X193" s="23">
        <f>IF(B193="","",IF(COUNTIF(Performance!$B$5:$B$404,B193)=0,"",SUMIFS(Performance!$T$5:$T$404,Performance!$B$5:$B$404,B193)))</f>
        <v>0</v>
      </c>
      <c r="Y193" s="23">
        <f>IF(B193="","",IF(COUNTIF(Performance!$B$5:$B$404,B193)=0,"",SUMIFS(Performance!$S$5:$S$404,Performance!$B$5:$B$404,B193)))</f>
        <v>0</v>
      </c>
      <c r="Z193" s="23">
        <f>IF(B193="","",IF(COUNTIF(Performance!$B$5:$B$404,B193)=0,"",SUMIFS(Performance!$R$5:$R$404,Performance!$B$5:$B$404,B193)))</f>
        <v>0</v>
      </c>
      <c r="AA193" s="23">
        <f>IF(B193="","",IF(COUNTIF(Performance!$B$5:$B$404,B193)=0,"",SUMIFS(Performance!$U$5:$U$404,Performance!$B$5:$B$404,B193)))</f>
        <v>0</v>
      </c>
      <c r="AB193" s="29">
        <f>IF(B193="","",IF(C193="Not found","Check - content ID not on the calendar",IF(N193="","Add - no target keyword",IF(K193="","Add - no destination link",IF(AND(S193&lt;&gt;"",S193&lt;TODAY()),"Due - time to refresh this pin","OK")))))</f>
        <v>0</v>
      </c>
    </row>
    <row r="194" spans="1:28">
      <c r="A194" s="41">
        <f>IF(B194="","","PN-"&amp;TEXT(ROW()-4,"000"))</f>
        <v>0</v>
      </c>
      <c r="C194" s="17">
        <f>IF(B194="","",IFERROR(INDEX('Content Calendar'!$H$5:$H$604,MATCH(B194,'Content Calendar'!$A$5:$A$604,0)),"Not found"))</f>
        <v>0</v>
      </c>
      <c r="D194" s="16">
        <f>IF(B194="","",IFERROR(INDEX('Content Calendar'!$B$5:$B$604,MATCH(B194,'Content Calendar'!$A$5:$A$604,0)),"Not found"))</f>
        <v>0</v>
      </c>
      <c r="E194" s="17">
        <f>IF(B194="","",IFERROR(INDEX('Content Calendar'!$J$5:$J$604,MATCH(B194,'Content Calendar'!$A$5:$A$604,0)),"Not found"))</f>
        <v>0</v>
      </c>
      <c r="F194" s="29">
        <f>IF(B194="","",IFERROR(INDEX('Content Calendar'!$X$5:$X$604,MATCH(B194,'Content Calendar'!$A$5:$A$604,0)),"Not found"))</f>
        <v>0</v>
      </c>
      <c r="T194" s="23">
        <f>IF(B194="","",IF(COUNTIF(Performance!$B$5:$B$404,B194)=0,"",SUMIFS(Performance!$O$5:$O$404,Performance!$B$5:$B$404,B194)))</f>
        <v>0</v>
      </c>
      <c r="U194" s="23">
        <f>IF(B194="","",IF(COUNTIF(Performance!$B$5:$B$404,B194)=0,"",SUMIFS(Performance!$P$5:$P$404,Performance!$B$5:$B$404,B194)))</f>
        <v>0</v>
      </c>
      <c r="V194" s="23">
        <f>IF(B194="","",IF(COUNTIF(Performance!$B$5:$B$404,B194)=0,"",SUMIFS(Performance!$Z$5:$Z$404,Performance!$B$5:$B$404,B194)))</f>
        <v>0</v>
      </c>
      <c r="W194" s="24">
        <f>IF(OR(T194="",T194=0),"",V194/T194)</f>
        <v>0</v>
      </c>
      <c r="X194" s="23">
        <f>IF(B194="","",IF(COUNTIF(Performance!$B$5:$B$404,B194)=0,"",SUMIFS(Performance!$T$5:$T$404,Performance!$B$5:$B$404,B194)))</f>
        <v>0</v>
      </c>
      <c r="Y194" s="23">
        <f>IF(B194="","",IF(COUNTIF(Performance!$B$5:$B$404,B194)=0,"",SUMIFS(Performance!$S$5:$S$404,Performance!$B$5:$B$404,B194)))</f>
        <v>0</v>
      </c>
      <c r="Z194" s="23">
        <f>IF(B194="","",IF(COUNTIF(Performance!$B$5:$B$404,B194)=0,"",SUMIFS(Performance!$R$5:$R$404,Performance!$B$5:$B$404,B194)))</f>
        <v>0</v>
      </c>
      <c r="AA194" s="23">
        <f>IF(B194="","",IF(COUNTIF(Performance!$B$5:$B$404,B194)=0,"",SUMIFS(Performance!$U$5:$U$404,Performance!$B$5:$B$404,B194)))</f>
        <v>0</v>
      </c>
      <c r="AB194" s="29">
        <f>IF(B194="","",IF(C194="Not found","Check - content ID not on the calendar",IF(N194="","Add - no target keyword",IF(K194="","Add - no destination link",IF(AND(S194&lt;&gt;"",S194&lt;TODAY()),"Due - time to refresh this pin","OK")))))</f>
        <v>0</v>
      </c>
    </row>
    <row r="195" spans="1:28">
      <c r="A195" s="41">
        <f>IF(B195="","","PN-"&amp;TEXT(ROW()-4,"000"))</f>
        <v>0</v>
      </c>
      <c r="C195" s="17">
        <f>IF(B195="","",IFERROR(INDEX('Content Calendar'!$H$5:$H$604,MATCH(B195,'Content Calendar'!$A$5:$A$604,0)),"Not found"))</f>
        <v>0</v>
      </c>
      <c r="D195" s="16">
        <f>IF(B195="","",IFERROR(INDEX('Content Calendar'!$B$5:$B$604,MATCH(B195,'Content Calendar'!$A$5:$A$604,0)),"Not found"))</f>
        <v>0</v>
      </c>
      <c r="E195" s="17">
        <f>IF(B195="","",IFERROR(INDEX('Content Calendar'!$J$5:$J$604,MATCH(B195,'Content Calendar'!$A$5:$A$604,0)),"Not found"))</f>
        <v>0</v>
      </c>
      <c r="F195" s="29">
        <f>IF(B195="","",IFERROR(INDEX('Content Calendar'!$X$5:$X$604,MATCH(B195,'Content Calendar'!$A$5:$A$604,0)),"Not found"))</f>
        <v>0</v>
      </c>
      <c r="T195" s="23">
        <f>IF(B195="","",IF(COUNTIF(Performance!$B$5:$B$404,B195)=0,"",SUMIFS(Performance!$O$5:$O$404,Performance!$B$5:$B$404,B195)))</f>
        <v>0</v>
      </c>
      <c r="U195" s="23">
        <f>IF(B195="","",IF(COUNTIF(Performance!$B$5:$B$404,B195)=0,"",SUMIFS(Performance!$P$5:$P$404,Performance!$B$5:$B$404,B195)))</f>
        <v>0</v>
      </c>
      <c r="V195" s="23">
        <f>IF(B195="","",IF(COUNTIF(Performance!$B$5:$B$404,B195)=0,"",SUMIFS(Performance!$Z$5:$Z$404,Performance!$B$5:$B$404,B195)))</f>
        <v>0</v>
      </c>
      <c r="W195" s="24">
        <f>IF(OR(T195="",T195=0),"",V195/T195)</f>
        <v>0</v>
      </c>
      <c r="X195" s="23">
        <f>IF(B195="","",IF(COUNTIF(Performance!$B$5:$B$404,B195)=0,"",SUMIFS(Performance!$T$5:$T$404,Performance!$B$5:$B$404,B195)))</f>
        <v>0</v>
      </c>
      <c r="Y195" s="23">
        <f>IF(B195="","",IF(COUNTIF(Performance!$B$5:$B$404,B195)=0,"",SUMIFS(Performance!$S$5:$S$404,Performance!$B$5:$B$404,B195)))</f>
        <v>0</v>
      </c>
      <c r="Z195" s="23">
        <f>IF(B195="","",IF(COUNTIF(Performance!$B$5:$B$404,B195)=0,"",SUMIFS(Performance!$R$5:$R$404,Performance!$B$5:$B$404,B195)))</f>
        <v>0</v>
      </c>
      <c r="AA195" s="23">
        <f>IF(B195="","",IF(COUNTIF(Performance!$B$5:$B$404,B195)=0,"",SUMIFS(Performance!$U$5:$U$404,Performance!$B$5:$B$404,B195)))</f>
        <v>0</v>
      </c>
      <c r="AB195" s="29">
        <f>IF(B195="","",IF(C195="Not found","Check - content ID not on the calendar",IF(N195="","Add - no target keyword",IF(K195="","Add - no destination link",IF(AND(S195&lt;&gt;"",S195&lt;TODAY()),"Due - time to refresh this pin","OK")))))</f>
        <v>0</v>
      </c>
    </row>
    <row r="196" spans="1:28">
      <c r="A196" s="41">
        <f>IF(B196="","","PN-"&amp;TEXT(ROW()-4,"000"))</f>
        <v>0</v>
      </c>
      <c r="C196" s="17">
        <f>IF(B196="","",IFERROR(INDEX('Content Calendar'!$H$5:$H$604,MATCH(B196,'Content Calendar'!$A$5:$A$604,0)),"Not found"))</f>
        <v>0</v>
      </c>
      <c r="D196" s="16">
        <f>IF(B196="","",IFERROR(INDEX('Content Calendar'!$B$5:$B$604,MATCH(B196,'Content Calendar'!$A$5:$A$604,0)),"Not found"))</f>
        <v>0</v>
      </c>
      <c r="E196" s="17">
        <f>IF(B196="","",IFERROR(INDEX('Content Calendar'!$J$5:$J$604,MATCH(B196,'Content Calendar'!$A$5:$A$604,0)),"Not found"))</f>
        <v>0</v>
      </c>
      <c r="F196" s="29">
        <f>IF(B196="","",IFERROR(INDEX('Content Calendar'!$X$5:$X$604,MATCH(B196,'Content Calendar'!$A$5:$A$604,0)),"Not found"))</f>
        <v>0</v>
      </c>
      <c r="T196" s="23">
        <f>IF(B196="","",IF(COUNTIF(Performance!$B$5:$B$404,B196)=0,"",SUMIFS(Performance!$O$5:$O$404,Performance!$B$5:$B$404,B196)))</f>
        <v>0</v>
      </c>
      <c r="U196" s="23">
        <f>IF(B196="","",IF(COUNTIF(Performance!$B$5:$B$404,B196)=0,"",SUMIFS(Performance!$P$5:$P$404,Performance!$B$5:$B$404,B196)))</f>
        <v>0</v>
      </c>
      <c r="V196" s="23">
        <f>IF(B196="","",IF(COUNTIF(Performance!$B$5:$B$404,B196)=0,"",SUMIFS(Performance!$Z$5:$Z$404,Performance!$B$5:$B$404,B196)))</f>
        <v>0</v>
      </c>
      <c r="W196" s="24">
        <f>IF(OR(T196="",T196=0),"",V196/T196)</f>
        <v>0</v>
      </c>
      <c r="X196" s="23">
        <f>IF(B196="","",IF(COUNTIF(Performance!$B$5:$B$404,B196)=0,"",SUMIFS(Performance!$T$5:$T$404,Performance!$B$5:$B$404,B196)))</f>
        <v>0</v>
      </c>
      <c r="Y196" s="23">
        <f>IF(B196="","",IF(COUNTIF(Performance!$B$5:$B$404,B196)=0,"",SUMIFS(Performance!$S$5:$S$404,Performance!$B$5:$B$404,B196)))</f>
        <v>0</v>
      </c>
      <c r="Z196" s="23">
        <f>IF(B196="","",IF(COUNTIF(Performance!$B$5:$B$404,B196)=0,"",SUMIFS(Performance!$R$5:$R$404,Performance!$B$5:$B$404,B196)))</f>
        <v>0</v>
      </c>
      <c r="AA196" s="23">
        <f>IF(B196="","",IF(COUNTIF(Performance!$B$5:$B$404,B196)=0,"",SUMIFS(Performance!$U$5:$U$404,Performance!$B$5:$B$404,B196)))</f>
        <v>0</v>
      </c>
      <c r="AB196" s="29">
        <f>IF(B196="","",IF(C196="Not found","Check - content ID not on the calendar",IF(N196="","Add - no target keyword",IF(K196="","Add - no destination link",IF(AND(S196&lt;&gt;"",S196&lt;TODAY()),"Due - time to refresh this pin","OK")))))</f>
        <v>0</v>
      </c>
    </row>
    <row r="197" spans="1:28">
      <c r="A197" s="41">
        <f>IF(B197="","","PN-"&amp;TEXT(ROW()-4,"000"))</f>
        <v>0</v>
      </c>
      <c r="C197" s="17">
        <f>IF(B197="","",IFERROR(INDEX('Content Calendar'!$H$5:$H$604,MATCH(B197,'Content Calendar'!$A$5:$A$604,0)),"Not found"))</f>
        <v>0</v>
      </c>
      <c r="D197" s="16">
        <f>IF(B197="","",IFERROR(INDEX('Content Calendar'!$B$5:$B$604,MATCH(B197,'Content Calendar'!$A$5:$A$604,0)),"Not found"))</f>
        <v>0</v>
      </c>
      <c r="E197" s="17">
        <f>IF(B197="","",IFERROR(INDEX('Content Calendar'!$J$5:$J$604,MATCH(B197,'Content Calendar'!$A$5:$A$604,0)),"Not found"))</f>
        <v>0</v>
      </c>
      <c r="F197" s="29">
        <f>IF(B197="","",IFERROR(INDEX('Content Calendar'!$X$5:$X$604,MATCH(B197,'Content Calendar'!$A$5:$A$604,0)),"Not found"))</f>
        <v>0</v>
      </c>
      <c r="T197" s="23">
        <f>IF(B197="","",IF(COUNTIF(Performance!$B$5:$B$404,B197)=0,"",SUMIFS(Performance!$O$5:$O$404,Performance!$B$5:$B$404,B197)))</f>
        <v>0</v>
      </c>
      <c r="U197" s="23">
        <f>IF(B197="","",IF(COUNTIF(Performance!$B$5:$B$404,B197)=0,"",SUMIFS(Performance!$P$5:$P$404,Performance!$B$5:$B$404,B197)))</f>
        <v>0</v>
      </c>
      <c r="V197" s="23">
        <f>IF(B197="","",IF(COUNTIF(Performance!$B$5:$B$404,B197)=0,"",SUMIFS(Performance!$Z$5:$Z$404,Performance!$B$5:$B$404,B197)))</f>
        <v>0</v>
      </c>
      <c r="W197" s="24">
        <f>IF(OR(T197="",T197=0),"",V197/T197)</f>
        <v>0</v>
      </c>
      <c r="X197" s="23">
        <f>IF(B197="","",IF(COUNTIF(Performance!$B$5:$B$404,B197)=0,"",SUMIFS(Performance!$T$5:$T$404,Performance!$B$5:$B$404,B197)))</f>
        <v>0</v>
      </c>
      <c r="Y197" s="23">
        <f>IF(B197="","",IF(COUNTIF(Performance!$B$5:$B$404,B197)=0,"",SUMIFS(Performance!$S$5:$S$404,Performance!$B$5:$B$404,B197)))</f>
        <v>0</v>
      </c>
      <c r="Z197" s="23">
        <f>IF(B197="","",IF(COUNTIF(Performance!$B$5:$B$404,B197)=0,"",SUMIFS(Performance!$R$5:$R$404,Performance!$B$5:$B$404,B197)))</f>
        <v>0</v>
      </c>
      <c r="AA197" s="23">
        <f>IF(B197="","",IF(COUNTIF(Performance!$B$5:$B$404,B197)=0,"",SUMIFS(Performance!$U$5:$U$404,Performance!$B$5:$B$404,B197)))</f>
        <v>0</v>
      </c>
      <c r="AB197" s="29">
        <f>IF(B197="","",IF(C197="Not found","Check - content ID not on the calendar",IF(N197="","Add - no target keyword",IF(K197="","Add - no destination link",IF(AND(S197&lt;&gt;"",S197&lt;TODAY()),"Due - time to refresh this pin","OK")))))</f>
        <v>0</v>
      </c>
    </row>
    <row r="198" spans="1:28">
      <c r="A198" s="41">
        <f>IF(B198="","","PN-"&amp;TEXT(ROW()-4,"000"))</f>
        <v>0</v>
      </c>
      <c r="C198" s="17">
        <f>IF(B198="","",IFERROR(INDEX('Content Calendar'!$H$5:$H$604,MATCH(B198,'Content Calendar'!$A$5:$A$604,0)),"Not found"))</f>
        <v>0</v>
      </c>
      <c r="D198" s="16">
        <f>IF(B198="","",IFERROR(INDEX('Content Calendar'!$B$5:$B$604,MATCH(B198,'Content Calendar'!$A$5:$A$604,0)),"Not found"))</f>
        <v>0</v>
      </c>
      <c r="E198" s="17">
        <f>IF(B198="","",IFERROR(INDEX('Content Calendar'!$J$5:$J$604,MATCH(B198,'Content Calendar'!$A$5:$A$604,0)),"Not found"))</f>
        <v>0</v>
      </c>
      <c r="F198" s="29">
        <f>IF(B198="","",IFERROR(INDEX('Content Calendar'!$X$5:$X$604,MATCH(B198,'Content Calendar'!$A$5:$A$604,0)),"Not found"))</f>
        <v>0</v>
      </c>
      <c r="T198" s="23">
        <f>IF(B198="","",IF(COUNTIF(Performance!$B$5:$B$404,B198)=0,"",SUMIFS(Performance!$O$5:$O$404,Performance!$B$5:$B$404,B198)))</f>
        <v>0</v>
      </c>
      <c r="U198" s="23">
        <f>IF(B198="","",IF(COUNTIF(Performance!$B$5:$B$404,B198)=0,"",SUMIFS(Performance!$P$5:$P$404,Performance!$B$5:$B$404,B198)))</f>
        <v>0</v>
      </c>
      <c r="V198" s="23">
        <f>IF(B198="","",IF(COUNTIF(Performance!$B$5:$B$404,B198)=0,"",SUMIFS(Performance!$Z$5:$Z$404,Performance!$B$5:$B$404,B198)))</f>
        <v>0</v>
      </c>
      <c r="W198" s="24">
        <f>IF(OR(T198="",T198=0),"",V198/T198)</f>
        <v>0</v>
      </c>
      <c r="X198" s="23">
        <f>IF(B198="","",IF(COUNTIF(Performance!$B$5:$B$404,B198)=0,"",SUMIFS(Performance!$T$5:$T$404,Performance!$B$5:$B$404,B198)))</f>
        <v>0</v>
      </c>
      <c r="Y198" s="23">
        <f>IF(B198="","",IF(COUNTIF(Performance!$B$5:$B$404,B198)=0,"",SUMIFS(Performance!$S$5:$S$404,Performance!$B$5:$B$404,B198)))</f>
        <v>0</v>
      </c>
      <c r="Z198" s="23">
        <f>IF(B198="","",IF(COUNTIF(Performance!$B$5:$B$404,B198)=0,"",SUMIFS(Performance!$R$5:$R$404,Performance!$B$5:$B$404,B198)))</f>
        <v>0</v>
      </c>
      <c r="AA198" s="23">
        <f>IF(B198="","",IF(COUNTIF(Performance!$B$5:$B$404,B198)=0,"",SUMIFS(Performance!$U$5:$U$404,Performance!$B$5:$B$404,B198)))</f>
        <v>0</v>
      </c>
      <c r="AB198" s="29">
        <f>IF(B198="","",IF(C198="Not found","Check - content ID not on the calendar",IF(N198="","Add - no target keyword",IF(K198="","Add - no destination link",IF(AND(S198&lt;&gt;"",S198&lt;TODAY()),"Due - time to refresh this pin","OK")))))</f>
        <v>0</v>
      </c>
    </row>
    <row r="199" spans="1:28">
      <c r="A199" s="41">
        <f>IF(B199="","","PN-"&amp;TEXT(ROW()-4,"000"))</f>
        <v>0</v>
      </c>
      <c r="C199" s="17">
        <f>IF(B199="","",IFERROR(INDEX('Content Calendar'!$H$5:$H$604,MATCH(B199,'Content Calendar'!$A$5:$A$604,0)),"Not found"))</f>
        <v>0</v>
      </c>
      <c r="D199" s="16">
        <f>IF(B199="","",IFERROR(INDEX('Content Calendar'!$B$5:$B$604,MATCH(B199,'Content Calendar'!$A$5:$A$604,0)),"Not found"))</f>
        <v>0</v>
      </c>
      <c r="E199" s="17">
        <f>IF(B199="","",IFERROR(INDEX('Content Calendar'!$J$5:$J$604,MATCH(B199,'Content Calendar'!$A$5:$A$604,0)),"Not found"))</f>
        <v>0</v>
      </c>
      <c r="F199" s="29">
        <f>IF(B199="","",IFERROR(INDEX('Content Calendar'!$X$5:$X$604,MATCH(B199,'Content Calendar'!$A$5:$A$604,0)),"Not found"))</f>
        <v>0</v>
      </c>
      <c r="T199" s="23">
        <f>IF(B199="","",IF(COUNTIF(Performance!$B$5:$B$404,B199)=0,"",SUMIFS(Performance!$O$5:$O$404,Performance!$B$5:$B$404,B199)))</f>
        <v>0</v>
      </c>
      <c r="U199" s="23">
        <f>IF(B199="","",IF(COUNTIF(Performance!$B$5:$B$404,B199)=0,"",SUMIFS(Performance!$P$5:$P$404,Performance!$B$5:$B$404,B199)))</f>
        <v>0</v>
      </c>
      <c r="V199" s="23">
        <f>IF(B199="","",IF(COUNTIF(Performance!$B$5:$B$404,B199)=0,"",SUMIFS(Performance!$Z$5:$Z$404,Performance!$B$5:$B$404,B199)))</f>
        <v>0</v>
      </c>
      <c r="W199" s="24">
        <f>IF(OR(T199="",T199=0),"",V199/T199)</f>
        <v>0</v>
      </c>
      <c r="X199" s="23">
        <f>IF(B199="","",IF(COUNTIF(Performance!$B$5:$B$404,B199)=0,"",SUMIFS(Performance!$T$5:$T$404,Performance!$B$5:$B$404,B199)))</f>
        <v>0</v>
      </c>
      <c r="Y199" s="23">
        <f>IF(B199="","",IF(COUNTIF(Performance!$B$5:$B$404,B199)=0,"",SUMIFS(Performance!$S$5:$S$404,Performance!$B$5:$B$404,B199)))</f>
        <v>0</v>
      </c>
      <c r="Z199" s="23">
        <f>IF(B199="","",IF(COUNTIF(Performance!$B$5:$B$404,B199)=0,"",SUMIFS(Performance!$R$5:$R$404,Performance!$B$5:$B$404,B199)))</f>
        <v>0</v>
      </c>
      <c r="AA199" s="23">
        <f>IF(B199="","",IF(COUNTIF(Performance!$B$5:$B$404,B199)=0,"",SUMIFS(Performance!$U$5:$U$404,Performance!$B$5:$B$404,B199)))</f>
        <v>0</v>
      </c>
      <c r="AB199" s="29">
        <f>IF(B199="","",IF(C199="Not found","Check - content ID not on the calendar",IF(N199="","Add - no target keyword",IF(K199="","Add - no destination link",IF(AND(S199&lt;&gt;"",S199&lt;TODAY()),"Due - time to refresh this pin","OK")))))</f>
        <v>0</v>
      </c>
    </row>
    <row r="200" spans="1:28">
      <c r="A200" s="41">
        <f>IF(B200="","","PN-"&amp;TEXT(ROW()-4,"000"))</f>
        <v>0</v>
      </c>
      <c r="C200" s="17">
        <f>IF(B200="","",IFERROR(INDEX('Content Calendar'!$H$5:$H$604,MATCH(B200,'Content Calendar'!$A$5:$A$604,0)),"Not found"))</f>
        <v>0</v>
      </c>
      <c r="D200" s="16">
        <f>IF(B200="","",IFERROR(INDEX('Content Calendar'!$B$5:$B$604,MATCH(B200,'Content Calendar'!$A$5:$A$604,0)),"Not found"))</f>
        <v>0</v>
      </c>
      <c r="E200" s="17">
        <f>IF(B200="","",IFERROR(INDEX('Content Calendar'!$J$5:$J$604,MATCH(B200,'Content Calendar'!$A$5:$A$604,0)),"Not found"))</f>
        <v>0</v>
      </c>
      <c r="F200" s="29">
        <f>IF(B200="","",IFERROR(INDEX('Content Calendar'!$X$5:$X$604,MATCH(B200,'Content Calendar'!$A$5:$A$604,0)),"Not found"))</f>
        <v>0</v>
      </c>
      <c r="T200" s="23">
        <f>IF(B200="","",IF(COUNTIF(Performance!$B$5:$B$404,B200)=0,"",SUMIFS(Performance!$O$5:$O$404,Performance!$B$5:$B$404,B200)))</f>
        <v>0</v>
      </c>
      <c r="U200" s="23">
        <f>IF(B200="","",IF(COUNTIF(Performance!$B$5:$B$404,B200)=0,"",SUMIFS(Performance!$P$5:$P$404,Performance!$B$5:$B$404,B200)))</f>
        <v>0</v>
      </c>
      <c r="V200" s="23">
        <f>IF(B200="","",IF(COUNTIF(Performance!$B$5:$B$404,B200)=0,"",SUMIFS(Performance!$Z$5:$Z$404,Performance!$B$5:$B$404,B200)))</f>
        <v>0</v>
      </c>
      <c r="W200" s="24">
        <f>IF(OR(T200="",T200=0),"",V200/T200)</f>
        <v>0</v>
      </c>
      <c r="X200" s="23">
        <f>IF(B200="","",IF(COUNTIF(Performance!$B$5:$B$404,B200)=0,"",SUMIFS(Performance!$T$5:$T$404,Performance!$B$5:$B$404,B200)))</f>
        <v>0</v>
      </c>
      <c r="Y200" s="23">
        <f>IF(B200="","",IF(COUNTIF(Performance!$B$5:$B$404,B200)=0,"",SUMIFS(Performance!$S$5:$S$404,Performance!$B$5:$B$404,B200)))</f>
        <v>0</v>
      </c>
      <c r="Z200" s="23">
        <f>IF(B200="","",IF(COUNTIF(Performance!$B$5:$B$404,B200)=0,"",SUMIFS(Performance!$R$5:$R$404,Performance!$B$5:$B$404,B200)))</f>
        <v>0</v>
      </c>
      <c r="AA200" s="23">
        <f>IF(B200="","",IF(COUNTIF(Performance!$B$5:$B$404,B200)=0,"",SUMIFS(Performance!$U$5:$U$404,Performance!$B$5:$B$404,B200)))</f>
        <v>0</v>
      </c>
      <c r="AB200" s="29">
        <f>IF(B200="","",IF(C200="Not found","Check - content ID not on the calendar",IF(N200="","Add - no target keyword",IF(K200="","Add - no destination link",IF(AND(S200&lt;&gt;"",S200&lt;TODAY()),"Due - time to refresh this pin","OK")))))</f>
        <v>0</v>
      </c>
    </row>
    <row r="201" spans="1:28">
      <c r="A201" s="41">
        <f>IF(B201="","","PN-"&amp;TEXT(ROW()-4,"000"))</f>
        <v>0</v>
      </c>
      <c r="C201" s="17">
        <f>IF(B201="","",IFERROR(INDEX('Content Calendar'!$H$5:$H$604,MATCH(B201,'Content Calendar'!$A$5:$A$604,0)),"Not found"))</f>
        <v>0</v>
      </c>
      <c r="D201" s="16">
        <f>IF(B201="","",IFERROR(INDEX('Content Calendar'!$B$5:$B$604,MATCH(B201,'Content Calendar'!$A$5:$A$604,0)),"Not found"))</f>
        <v>0</v>
      </c>
      <c r="E201" s="17">
        <f>IF(B201="","",IFERROR(INDEX('Content Calendar'!$J$5:$J$604,MATCH(B201,'Content Calendar'!$A$5:$A$604,0)),"Not found"))</f>
        <v>0</v>
      </c>
      <c r="F201" s="29">
        <f>IF(B201="","",IFERROR(INDEX('Content Calendar'!$X$5:$X$604,MATCH(B201,'Content Calendar'!$A$5:$A$604,0)),"Not found"))</f>
        <v>0</v>
      </c>
      <c r="T201" s="23">
        <f>IF(B201="","",IF(COUNTIF(Performance!$B$5:$B$404,B201)=0,"",SUMIFS(Performance!$O$5:$O$404,Performance!$B$5:$B$404,B201)))</f>
        <v>0</v>
      </c>
      <c r="U201" s="23">
        <f>IF(B201="","",IF(COUNTIF(Performance!$B$5:$B$404,B201)=0,"",SUMIFS(Performance!$P$5:$P$404,Performance!$B$5:$B$404,B201)))</f>
        <v>0</v>
      </c>
      <c r="V201" s="23">
        <f>IF(B201="","",IF(COUNTIF(Performance!$B$5:$B$404,B201)=0,"",SUMIFS(Performance!$Z$5:$Z$404,Performance!$B$5:$B$404,B201)))</f>
        <v>0</v>
      </c>
      <c r="W201" s="24">
        <f>IF(OR(T201="",T201=0),"",V201/T201)</f>
        <v>0</v>
      </c>
      <c r="X201" s="23">
        <f>IF(B201="","",IF(COUNTIF(Performance!$B$5:$B$404,B201)=0,"",SUMIFS(Performance!$T$5:$T$404,Performance!$B$5:$B$404,B201)))</f>
        <v>0</v>
      </c>
      <c r="Y201" s="23">
        <f>IF(B201="","",IF(COUNTIF(Performance!$B$5:$B$404,B201)=0,"",SUMIFS(Performance!$S$5:$S$404,Performance!$B$5:$B$404,B201)))</f>
        <v>0</v>
      </c>
      <c r="Z201" s="23">
        <f>IF(B201="","",IF(COUNTIF(Performance!$B$5:$B$404,B201)=0,"",SUMIFS(Performance!$R$5:$R$404,Performance!$B$5:$B$404,B201)))</f>
        <v>0</v>
      </c>
      <c r="AA201" s="23">
        <f>IF(B201="","",IF(COUNTIF(Performance!$B$5:$B$404,B201)=0,"",SUMIFS(Performance!$U$5:$U$404,Performance!$B$5:$B$404,B201)))</f>
        <v>0</v>
      </c>
      <c r="AB201" s="29">
        <f>IF(B201="","",IF(C201="Not found","Check - content ID not on the calendar",IF(N201="","Add - no target keyword",IF(K201="","Add - no destination link",IF(AND(S201&lt;&gt;"",S201&lt;TODAY()),"Due - time to refresh this pin","OK")))))</f>
        <v>0</v>
      </c>
    </row>
    <row r="202" spans="1:28">
      <c r="A202" s="41">
        <f>IF(B202="","","PN-"&amp;TEXT(ROW()-4,"000"))</f>
        <v>0</v>
      </c>
      <c r="C202" s="17">
        <f>IF(B202="","",IFERROR(INDEX('Content Calendar'!$H$5:$H$604,MATCH(B202,'Content Calendar'!$A$5:$A$604,0)),"Not found"))</f>
        <v>0</v>
      </c>
      <c r="D202" s="16">
        <f>IF(B202="","",IFERROR(INDEX('Content Calendar'!$B$5:$B$604,MATCH(B202,'Content Calendar'!$A$5:$A$604,0)),"Not found"))</f>
        <v>0</v>
      </c>
      <c r="E202" s="17">
        <f>IF(B202="","",IFERROR(INDEX('Content Calendar'!$J$5:$J$604,MATCH(B202,'Content Calendar'!$A$5:$A$604,0)),"Not found"))</f>
        <v>0</v>
      </c>
      <c r="F202" s="29">
        <f>IF(B202="","",IFERROR(INDEX('Content Calendar'!$X$5:$X$604,MATCH(B202,'Content Calendar'!$A$5:$A$604,0)),"Not found"))</f>
        <v>0</v>
      </c>
      <c r="T202" s="23">
        <f>IF(B202="","",IF(COUNTIF(Performance!$B$5:$B$404,B202)=0,"",SUMIFS(Performance!$O$5:$O$404,Performance!$B$5:$B$404,B202)))</f>
        <v>0</v>
      </c>
      <c r="U202" s="23">
        <f>IF(B202="","",IF(COUNTIF(Performance!$B$5:$B$404,B202)=0,"",SUMIFS(Performance!$P$5:$P$404,Performance!$B$5:$B$404,B202)))</f>
        <v>0</v>
      </c>
      <c r="V202" s="23">
        <f>IF(B202="","",IF(COUNTIF(Performance!$B$5:$B$404,B202)=0,"",SUMIFS(Performance!$Z$5:$Z$404,Performance!$B$5:$B$404,B202)))</f>
        <v>0</v>
      </c>
      <c r="W202" s="24">
        <f>IF(OR(T202="",T202=0),"",V202/T202)</f>
        <v>0</v>
      </c>
      <c r="X202" s="23">
        <f>IF(B202="","",IF(COUNTIF(Performance!$B$5:$B$404,B202)=0,"",SUMIFS(Performance!$T$5:$T$404,Performance!$B$5:$B$404,B202)))</f>
        <v>0</v>
      </c>
      <c r="Y202" s="23">
        <f>IF(B202="","",IF(COUNTIF(Performance!$B$5:$B$404,B202)=0,"",SUMIFS(Performance!$S$5:$S$404,Performance!$B$5:$B$404,B202)))</f>
        <v>0</v>
      </c>
      <c r="Z202" s="23">
        <f>IF(B202="","",IF(COUNTIF(Performance!$B$5:$B$404,B202)=0,"",SUMIFS(Performance!$R$5:$R$404,Performance!$B$5:$B$404,B202)))</f>
        <v>0</v>
      </c>
      <c r="AA202" s="23">
        <f>IF(B202="","",IF(COUNTIF(Performance!$B$5:$B$404,B202)=0,"",SUMIFS(Performance!$U$5:$U$404,Performance!$B$5:$B$404,B202)))</f>
        <v>0</v>
      </c>
      <c r="AB202" s="29">
        <f>IF(B202="","",IF(C202="Not found","Check - content ID not on the calendar",IF(N202="","Add - no target keyword",IF(K202="","Add - no destination link",IF(AND(S202&lt;&gt;"",S202&lt;TODAY()),"Due - time to refresh this pin","OK")))))</f>
        <v>0</v>
      </c>
    </row>
    <row r="203" spans="1:28">
      <c r="A203" s="41">
        <f>IF(B203="","","PN-"&amp;TEXT(ROW()-4,"000"))</f>
        <v>0</v>
      </c>
      <c r="C203" s="17">
        <f>IF(B203="","",IFERROR(INDEX('Content Calendar'!$H$5:$H$604,MATCH(B203,'Content Calendar'!$A$5:$A$604,0)),"Not found"))</f>
        <v>0</v>
      </c>
      <c r="D203" s="16">
        <f>IF(B203="","",IFERROR(INDEX('Content Calendar'!$B$5:$B$604,MATCH(B203,'Content Calendar'!$A$5:$A$604,0)),"Not found"))</f>
        <v>0</v>
      </c>
      <c r="E203" s="17">
        <f>IF(B203="","",IFERROR(INDEX('Content Calendar'!$J$5:$J$604,MATCH(B203,'Content Calendar'!$A$5:$A$604,0)),"Not found"))</f>
        <v>0</v>
      </c>
      <c r="F203" s="29">
        <f>IF(B203="","",IFERROR(INDEX('Content Calendar'!$X$5:$X$604,MATCH(B203,'Content Calendar'!$A$5:$A$604,0)),"Not found"))</f>
        <v>0</v>
      </c>
      <c r="T203" s="23">
        <f>IF(B203="","",IF(COUNTIF(Performance!$B$5:$B$404,B203)=0,"",SUMIFS(Performance!$O$5:$O$404,Performance!$B$5:$B$404,B203)))</f>
        <v>0</v>
      </c>
      <c r="U203" s="23">
        <f>IF(B203="","",IF(COUNTIF(Performance!$B$5:$B$404,B203)=0,"",SUMIFS(Performance!$P$5:$P$404,Performance!$B$5:$B$404,B203)))</f>
        <v>0</v>
      </c>
      <c r="V203" s="23">
        <f>IF(B203="","",IF(COUNTIF(Performance!$B$5:$B$404,B203)=0,"",SUMIFS(Performance!$Z$5:$Z$404,Performance!$B$5:$B$404,B203)))</f>
        <v>0</v>
      </c>
      <c r="W203" s="24">
        <f>IF(OR(T203="",T203=0),"",V203/T203)</f>
        <v>0</v>
      </c>
      <c r="X203" s="23">
        <f>IF(B203="","",IF(COUNTIF(Performance!$B$5:$B$404,B203)=0,"",SUMIFS(Performance!$T$5:$T$404,Performance!$B$5:$B$404,B203)))</f>
        <v>0</v>
      </c>
      <c r="Y203" s="23">
        <f>IF(B203="","",IF(COUNTIF(Performance!$B$5:$B$404,B203)=0,"",SUMIFS(Performance!$S$5:$S$404,Performance!$B$5:$B$404,B203)))</f>
        <v>0</v>
      </c>
      <c r="Z203" s="23">
        <f>IF(B203="","",IF(COUNTIF(Performance!$B$5:$B$404,B203)=0,"",SUMIFS(Performance!$R$5:$R$404,Performance!$B$5:$B$404,B203)))</f>
        <v>0</v>
      </c>
      <c r="AA203" s="23">
        <f>IF(B203="","",IF(COUNTIF(Performance!$B$5:$B$404,B203)=0,"",SUMIFS(Performance!$U$5:$U$404,Performance!$B$5:$B$404,B203)))</f>
        <v>0</v>
      </c>
      <c r="AB203" s="29">
        <f>IF(B203="","",IF(C203="Not found","Check - content ID not on the calendar",IF(N203="","Add - no target keyword",IF(K203="","Add - no destination link",IF(AND(S203&lt;&gt;"",S203&lt;TODAY()),"Due - time to refresh this pin","OK")))))</f>
        <v>0</v>
      </c>
    </row>
    <row r="204" spans="1:28">
      <c r="A204" s="41">
        <f>IF(B204="","","PN-"&amp;TEXT(ROW()-4,"000"))</f>
        <v>0</v>
      </c>
      <c r="C204" s="17">
        <f>IF(B204="","",IFERROR(INDEX('Content Calendar'!$H$5:$H$604,MATCH(B204,'Content Calendar'!$A$5:$A$604,0)),"Not found"))</f>
        <v>0</v>
      </c>
      <c r="D204" s="16">
        <f>IF(B204="","",IFERROR(INDEX('Content Calendar'!$B$5:$B$604,MATCH(B204,'Content Calendar'!$A$5:$A$604,0)),"Not found"))</f>
        <v>0</v>
      </c>
      <c r="E204" s="17">
        <f>IF(B204="","",IFERROR(INDEX('Content Calendar'!$J$5:$J$604,MATCH(B204,'Content Calendar'!$A$5:$A$604,0)),"Not found"))</f>
        <v>0</v>
      </c>
      <c r="F204" s="29">
        <f>IF(B204="","",IFERROR(INDEX('Content Calendar'!$X$5:$X$604,MATCH(B204,'Content Calendar'!$A$5:$A$604,0)),"Not found"))</f>
        <v>0</v>
      </c>
      <c r="T204" s="23">
        <f>IF(B204="","",IF(COUNTIF(Performance!$B$5:$B$404,B204)=0,"",SUMIFS(Performance!$O$5:$O$404,Performance!$B$5:$B$404,B204)))</f>
        <v>0</v>
      </c>
      <c r="U204" s="23">
        <f>IF(B204="","",IF(COUNTIF(Performance!$B$5:$B$404,B204)=0,"",SUMIFS(Performance!$P$5:$P$404,Performance!$B$5:$B$404,B204)))</f>
        <v>0</v>
      </c>
      <c r="V204" s="23">
        <f>IF(B204="","",IF(COUNTIF(Performance!$B$5:$B$404,B204)=0,"",SUMIFS(Performance!$Z$5:$Z$404,Performance!$B$5:$B$404,B204)))</f>
        <v>0</v>
      </c>
      <c r="W204" s="24">
        <f>IF(OR(T204="",T204=0),"",V204/T204)</f>
        <v>0</v>
      </c>
      <c r="X204" s="23">
        <f>IF(B204="","",IF(COUNTIF(Performance!$B$5:$B$404,B204)=0,"",SUMIFS(Performance!$T$5:$T$404,Performance!$B$5:$B$404,B204)))</f>
        <v>0</v>
      </c>
      <c r="Y204" s="23">
        <f>IF(B204="","",IF(COUNTIF(Performance!$B$5:$B$404,B204)=0,"",SUMIFS(Performance!$S$5:$S$404,Performance!$B$5:$B$404,B204)))</f>
        <v>0</v>
      </c>
      <c r="Z204" s="23">
        <f>IF(B204="","",IF(COUNTIF(Performance!$B$5:$B$404,B204)=0,"",SUMIFS(Performance!$R$5:$R$404,Performance!$B$5:$B$404,B204)))</f>
        <v>0</v>
      </c>
      <c r="AA204" s="23">
        <f>IF(B204="","",IF(COUNTIF(Performance!$B$5:$B$404,B204)=0,"",SUMIFS(Performance!$U$5:$U$404,Performance!$B$5:$B$404,B204)))</f>
        <v>0</v>
      </c>
      <c r="AB204" s="29">
        <f>IF(B204="","",IF(C204="Not found","Check - content ID not on the calendar",IF(N204="","Add - no target keyword",IF(K204="","Add - no destination link",IF(AND(S204&lt;&gt;"",S204&lt;TODAY()),"Due - time to refresh this pin","OK")))))</f>
        <v>0</v>
      </c>
    </row>
  </sheetData>
  <sheetProtection password="EC7C" sheet="1" objects="1" scenarios="1" formatCells="0" formatColumns="0" formatRows="0" insertRows="0" insertHyperlinks="0" deleteRows="0" autoFilter="0"/>
  <autoFilter ref="A4:AC204"/>
  <mergeCells count="13">
    <mergeCell ref="A1:Z1"/>
    <mergeCell ref="AA1:AC1"/>
    <mergeCell ref="A2:AC2"/>
    <mergeCell ref="A3:B3"/>
    <mergeCell ref="C3:D3"/>
    <mergeCell ref="E3:F3"/>
    <mergeCell ref="G3:H3"/>
    <mergeCell ref="I3:J3"/>
    <mergeCell ref="K3:L3"/>
    <mergeCell ref="M3:N3"/>
    <mergeCell ref="O3:P3"/>
    <mergeCell ref="Q3:R3"/>
    <mergeCell ref="S3:AC3"/>
  </mergeCells>
  <conditionalFormatting sqref="AB5:AB204">
    <cfRule type="beginsWith" dxfId="0" priority="4" operator="beginsWith" text="OK">
      <formula>LEFT(AB5,2)="OK"</formula>
    </cfRule>
    <cfRule type="containsText" dxfId="1" priority="5" operator="containsText" text="Overdue">
      <formula>NOT(ISERROR(SEARCH("Overdue",AB5)))</formula>
    </cfRule>
    <cfRule type="containsText" dxfId="1" priority="6" operator="containsText" text="Late">
      <formula>NOT(ISERROR(SEARCH("Late",AB5)))</formula>
    </cfRule>
    <cfRule type="containsText" dxfId="1" priority="7" operator="containsText" text="Missing">
      <formula>NOT(ISERROR(SEARCH("Missing",AB5)))</formula>
    </cfRule>
    <cfRule type="containsText" dxfId="1" priority="8" operator="containsText" text="Conflict">
      <formula>NOT(ISERROR(SEARCH("Conflict",AB5)))</formula>
    </cfRule>
    <cfRule type="containsText" dxfId="1" priority="9" operator="containsText" text="Expired">
      <formula>NOT(ISERROR(SEARCH("Expired",AB5)))</formula>
    </cfRule>
    <cfRule type="containsText" dxfId="1" priority="10" operator="containsText" text="Duplicate">
      <formula>NOT(ISERROR(SEARCH("Duplicate",AB5)))</formula>
    </cfRule>
    <cfRule type="containsText" dxfId="2" priority="11" operator="containsText" text="Action">
      <formula>NOT(ISERROR(SEARCH("Action",AB5)))</formula>
    </cfRule>
    <cfRule type="containsText" dxfId="2" priority="12" operator="containsText" text="Due">
      <formula>NOT(ISERROR(SEARCH("Due",AB5)))</formula>
    </cfRule>
    <cfRule type="containsText" dxfId="2" priority="13" operator="containsText" text="Check">
      <formula>NOT(ISERROR(SEARCH("Check",AB5)))</formula>
    </cfRule>
    <cfRule type="containsText" dxfId="2" priority="14" operator="containsText" text="Add">
      <formula>NOT(ISERROR(SEARCH("Add",AB5)))</formula>
    </cfRule>
    <cfRule type="containsText" dxfId="3" priority="15" operator="containsText" text="Today">
      <formula>NOT(ISERROR(SEARCH("Today",AB5)))</formula>
    </cfRule>
    <cfRule type="containsText" dxfId="3" priority="16" operator="containsText" text="Upcoming">
      <formula>NOT(ISERROR(SEARCH("Upcoming",AB5)))</formula>
    </cfRule>
  </conditionalFormatting>
  <conditionalFormatting sqref="T5:T204">
    <cfRule type="dataBar" priority="1">
      <dataBar>
        <cfvo type="min" val="0"/>
        <cfvo type="max" val="0"/>
        <color rgb="FF6350A8"/>
      </dataBar>
    </cfRule>
  </conditionalFormatting>
  <conditionalFormatting sqref="W5:W204">
    <cfRule type="cellIs" dxfId="0" priority="2" operator="greaterThanOrEqual">
      <formula>TargetEngagement</formula>
    </cfRule>
    <cfRule type="cellIs" dxfId="2" priority="3" operator="lessThan">
      <formula>TargetEngagement</formula>
    </cfRule>
  </conditionalFormatting>
  <dataValidations count="5">
    <dataValidation type="list" allowBlank="1" showInputMessage="1" showErrorMessage="1" promptTitle="Content ID" prompt="Pick the C-0000 ID of the Pinterest post from the Content Calendar. Everything grey fills itself in." sqref="B5:B204">
      <formula1>ContentIDs</formula1>
    </dataValidation>
    <dataValidation type="list" allowBlank="1" showInputMessage="1" showErrorMessage="1" sqref="O5:O204">
      <formula1>SearchIntentList</formula1>
    </dataValidation>
    <dataValidation type="list" allowBlank="1" showInputMessage="1" showErrorMessage="1" promptTitle="Seasonal pin?" prompt="Seasonal pins want publishing 30-45 days early." sqref="P5:P204">
      <formula1>"Yes,No"</formula1>
    </dataValidation>
    <dataValidation type="whole" allowBlank="1" showInputMessage="1" showErrorMessage="1" errorTitle="Check the value" error="Enter a number between 0 and 10000000." sqref="Q5:Q204">
      <formula1>0</formula1>
      <formula2>10000000</formula2>
    </dataValidation>
    <dataValidation type="whole" allowBlank="1" showInputMessage="1" showErrorMessage="1" errorTitle="Check the value" error="Enter a number between -100000 and 10000000." sqref="R5:R204">
      <formula1>-100000</formula1>
      <formula2>10000000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&amp;L&amp;"Calibri,Bold"&amp;12&amp;C&amp;"Calibri,Bold"&amp;11Pinterest&amp;R&amp;"Calibri,Italic"&amp;9Social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19.xml><?xml version="1.0" encoding="utf-8"?>
<worksheet xmlns="http://schemas.openxmlformats.org/spreadsheetml/2006/main" xmlns:r="http://schemas.openxmlformats.org/officeDocument/2006/relationships">
  <sheetPr>
    <tabColor rgb="FF6350A8"/>
    <pageSetUpPr fitToPage="1"/>
  </sheetPr>
  <dimension ref="A1:AK12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5.7109375" style="17" customWidth="1"/>
    <col min="6" max="6" width="14.7109375" style="29" customWidth="1"/>
    <col min="7" max="7" width="12.7109375" style="15" customWidth="1"/>
    <col min="8" max="8" width="32.7109375" style="15" customWidth="1"/>
    <col min="9" max="9" width="10.7109375" style="23" customWidth="1"/>
    <col min="10" max="10" width="30.7109375" style="39" customWidth="1"/>
    <col min="11" max="11" width="36.7109375" style="39" customWidth="1"/>
    <col min="12" max="12" width="32.7109375" style="39" customWidth="1"/>
    <col min="13" max="13" width="26.7109375" style="39" customWidth="1"/>
    <col min="14" max="14" width="20.7109375" style="15" customWidth="1"/>
    <col min="15" max="15" width="26.7109375" style="39" customWidth="1"/>
    <col min="16" max="16" width="26.7109375" style="39" customWidth="1"/>
    <col min="17" max="17" width="24.7109375" style="39" customWidth="1"/>
    <col min="18" max="18" width="18.7109375" style="15" customWidth="1"/>
    <col min="19" max="19" width="22.7109375" style="15" customWidth="1"/>
    <col min="20" max="20" width="13.7109375" style="37" customWidth="1"/>
    <col min="21" max="21" width="12.7109375" style="37" customWidth="1"/>
    <col min="22" max="22" width="12.7109375" style="35" customWidth="1"/>
    <col min="23" max="23" width="11.7109375" style="35" customWidth="1"/>
    <col min="24" max="24" width="13.7109375" style="34" customWidth="1"/>
    <col min="25" max="25" width="12.7109375" style="34" customWidth="1"/>
    <col min="26" max="26" width="12.7109375" style="23" customWidth="1"/>
    <col min="27" max="27" width="20.7109375" style="15" customWidth="1"/>
    <col min="28" max="28" width="11.7109375" style="23" customWidth="1"/>
    <col min="29" max="29" width="11.7109375" style="23" customWidth="1"/>
    <col min="30" max="30" width="11.7109375" style="23" customWidth="1"/>
    <col min="31" max="31" width="12.7109375" style="24" customWidth="1"/>
    <col min="32" max="32" width="9.7109375" style="23" customWidth="1"/>
    <col min="33" max="33" width="9.7109375" style="23" customWidth="1"/>
    <col min="34" max="34" width="10.7109375" style="23" customWidth="1"/>
    <col min="35" max="35" width="9.7109375" style="23" customWidth="1"/>
    <col min="36" max="36" width="28.7109375" style="29" customWidth="1"/>
    <col min="37" max="37" width="24.7109375" style="39" customWidth="1"/>
  </cols>
  <sheetData>
    <row r="1" spans="1:37" ht="34" customHeight="1">
      <c r="A1" s="2" t="s">
        <v>1494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t="s">
        <v>1</v>
      </c>
      <c r="AJ1" s="3"/>
      <c r="AK1" s="3"/>
    </row>
    <row r="2" spans="1:37" ht="18" customHeight="1">
      <c r="A2" s="4" t="s">
        <v>1495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1496</v>
      </c>
      <c r="T3" s="38"/>
      <c r="U3" s="38"/>
      <c r="V3" s="38"/>
      <c r="W3" s="38"/>
      <c r="X3" s="38"/>
      <c r="Y3" s="38"/>
      <c r="Z3" s="38"/>
      <c r="AA3" s="38"/>
      <c r="AB3" s="38"/>
      <c r="AC3" s="38"/>
      <c r="AD3" s="38"/>
      <c r="AE3" s="38"/>
      <c r="AF3" s="38"/>
      <c r="AG3" s="38"/>
      <c r="AH3" s="38"/>
      <c r="AI3" s="38"/>
      <c r="AJ3" s="38"/>
      <c r="AK3" s="38"/>
    </row>
    <row r="4" spans="1:37" ht="30" customHeight="1">
      <c r="A4" s="8" t="s">
        <v>766</v>
      </c>
      <c r="B4" s="8" t="s">
        <v>1391</v>
      </c>
      <c r="C4" s="9" t="s">
        <v>904</v>
      </c>
      <c r="D4" s="9" t="s">
        <v>902</v>
      </c>
      <c r="E4" s="9" t="s">
        <v>195</v>
      </c>
      <c r="F4" s="9" t="s">
        <v>221</v>
      </c>
      <c r="G4" s="9" t="s">
        <v>1497</v>
      </c>
      <c r="H4" s="9" t="s">
        <v>1498</v>
      </c>
      <c r="I4" s="9" t="s">
        <v>1499</v>
      </c>
      <c r="J4" s="9" t="s">
        <v>1500</v>
      </c>
      <c r="K4" s="9" t="s">
        <v>1501</v>
      </c>
      <c r="L4" s="9" t="s">
        <v>1502</v>
      </c>
      <c r="M4" s="9" t="s">
        <v>1503</v>
      </c>
      <c r="N4" s="9" t="s">
        <v>1504</v>
      </c>
      <c r="O4" s="9" t="s">
        <v>1505</v>
      </c>
      <c r="P4" s="9" t="s">
        <v>1506</v>
      </c>
      <c r="Q4" s="9" t="s">
        <v>1507</v>
      </c>
      <c r="R4" s="9" t="s">
        <v>1508</v>
      </c>
      <c r="S4" s="9" t="s">
        <v>1509</v>
      </c>
      <c r="T4" s="9" t="s">
        <v>1510</v>
      </c>
      <c r="U4" s="9" t="s">
        <v>1511</v>
      </c>
      <c r="V4" s="9" t="s">
        <v>1512</v>
      </c>
      <c r="W4" s="9" t="s">
        <v>1513</v>
      </c>
      <c r="X4" s="9" t="s">
        <v>1514</v>
      </c>
      <c r="Y4" s="9" t="s">
        <v>1515</v>
      </c>
      <c r="Z4" s="9" t="s">
        <v>1516</v>
      </c>
      <c r="AA4" s="9" t="s">
        <v>1517</v>
      </c>
      <c r="AB4" s="9" t="s">
        <v>149</v>
      </c>
      <c r="AC4" s="9" t="s">
        <v>151</v>
      </c>
      <c r="AD4" s="9" t="s">
        <v>153</v>
      </c>
      <c r="AE4" s="9" t="s">
        <v>155</v>
      </c>
      <c r="AF4" s="9" t="s">
        <v>1400</v>
      </c>
      <c r="AG4" s="9" t="s">
        <v>1401</v>
      </c>
      <c r="AH4" s="9" t="s">
        <v>1402</v>
      </c>
      <c r="AI4" s="9" t="s">
        <v>188</v>
      </c>
      <c r="AJ4" s="9" t="s">
        <v>787</v>
      </c>
      <c r="AK4" s="9" t="s">
        <v>788</v>
      </c>
    </row>
    <row r="5" spans="1:37">
      <c r="A5" s="41">
        <f>IF(B5="","","YT-"&amp;TEXT(ROW()-4,"000"))</f>
        <v>0</v>
      </c>
      <c r="B5" s="15" t="s">
        <v>1518</v>
      </c>
      <c r="C5" s="17">
        <f>IF(B5="","",IFERROR(INDEX('Content Calendar'!$H$5:$H$604,MATCH(B5,'Content Calendar'!$A$5:$A$604,0)),"Not found"))</f>
        <v>0</v>
      </c>
      <c r="D5" s="16">
        <f>IF(B5="","",IFERROR(INDEX('Content Calendar'!$B$5:$B$604,MATCH(B5,'Content Calendar'!$A$5:$A$604,0)),"Not found"))</f>
        <v>0</v>
      </c>
      <c r="E5" s="17">
        <f>IF(B5="","",IFERROR(INDEX('Content Calendar'!$J$5:$J$604,MATCH(B5,'Content Calendar'!$A$5:$A$604,0)),"Not found"))</f>
        <v>0</v>
      </c>
      <c r="F5" s="29">
        <f>IF(B5="","",IFERROR(INDEX('Content Calendar'!$X$5:$X$604,MATCH(B5,'Content Calendar'!$A$5:$A$604,0)),"Not found"))</f>
        <v>0</v>
      </c>
      <c r="G5" s="15" t="s">
        <v>401</v>
      </c>
      <c r="H5" s="15" t="s">
        <v>959</v>
      </c>
      <c r="I5" s="23">
        <f>IF(H5="","",LEN(H5))</f>
        <v>0</v>
      </c>
      <c r="J5" s="39" t="s">
        <v>1519</v>
      </c>
      <c r="K5" s="39" t="s">
        <v>1520</v>
      </c>
      <c r="L5" s="39" t="s">
        <v>1521</v>
      </c>
      <c r="M5" s="39" t="s">
        <v>1522</v>
      </c>
      <c r="N5" s="15" t="s">
        <v>1523</v>
      </c>
      <c r="O5" s="39" t="s">
        <v>1524</v>
      </c>
      <c r="P5" s="39" t="s">
        <v>1525</v>
      </c>
      <c r="Q5" s="39" t="s">
        <v>1526</v>
      </c>
      <c r="R5" s="15" t="s">
        <v>1527</v>
      </c>
      <c r="S5" s="15" t="s">
        <v>1528</v>
      </c>
      <c r="T5" s="37">
        <v>684.8</v>
      </c>
      <c r="U5" s="37">
        <v>6.5</v>
      </c>
      <c r="V5" s="35">
        <v>0.489</v>
      </c>
      <c r="W5" s="35">
        <v>0.074</v>
      </c>
      <c r="X5" s="34">
        <v>45</v>
      </c>
      <c r="Y5" s="34">
        <v>5</v>
      </c>
      <c r="Z5" s="23">
        <f>IF(X5="","",X5-N(Y5))</f>
        <v>0</v>
      </c>
      <c r="AA5" s="15" t="s">
        <v>1529</v>
      </c>
      <c r="AB5" s="23">
        <f>IF(B5="","",IF(COUNTIF(Performance!$B$5:$B$404,B5)=0,"",SUMIFS(Performance!$O$5:$O$404,Performance!$B$5:$B$404,B5)))</f>
        <v>0</v>
      </c>
      <c r="AC5" s="23">
        <f>IF(B5="","",IF(COUNTIF(Performance!$B$5:$B$404,B5)=0,"",SUMIFS(Performance!$P$5:$P$404,Performance!$B$5:$B$404,B5)))</f>
        <v>0</v>
      </c>
      <c r="AD5" s="23">
        <f>IF(B5="","",IF(COUNTIF(Performance!$B$5:$B$404,B5)=0,"",SUMIFS(Performance!$Z$5:$Z$404,Performance!$B$5:$B$404,B5)))</f>
        <v>0</v>
      </c>
      <c r="AE5" s="24">
        <f>IF(OR(AB5="",AB5=0),"",AD5/AB5)</f>
        <v>0</v>
      </c>
      <c r="AF5" s="23">
        <f>IF(B5="","",IF(COUNTIF(Performance!$B$5:$B$404,B5)=0,"",SUMIFS(Performance!$T$5:$T$404,Performance!$B$5:$B$404,B5)))</f>
        <v>0</v>
      </c>
      <c r="AG5" s="23">
        <f>IF(B5="","",IF(COUNTIF(Performance!$B$5:$B$404,B5)=0,"",SUMIFS(Performance!$S$5:$S$404,Performance!$B$5:$B$404,B5)))</f>
        <v>0</v>
      </c>
      <c r="AH5" s="23">
        <f>IF(B5="","",IF(COUNTIF(Performance!$B$5:$B$404,B5)=0,"",SUMIFS(Performance!$R$5:$R$404,Performance!$B$5:$B$404,B5)))</f>
        <v>0</v>
      </c>
      <c r="AI5" s="23">
        <f>IF(B5="","",IF(COUNTIF(Performance!$B$5:$B$404,B5)=0,"",SUMIFS(Performance!$U$5:$U$404,Performance!$B$5:$B$404,B5)))</f>
        <v>0</v>
      </c>
      <c r="AJ5" s="29">
        <f>IF(B5="","",IF(C5="Not found","Check - content ID not on the calendar",IF(N5="","Add - no thumbnail",IF(AND(W5&lt;&gt;"",W5&lt;0.03),"Review - thumbnail click rate is low",IF(AND(V5&lt;&gt;"",V5&lt;0.3),"Review - viewers leave early","OK")))))</f>
        <v>0</v>
      </c>
      <c r="AK5" s="39" t="s">
        <v>205</v>
      </c>
    </row>
    <row r="6" spans="1:37">
      <c r="A6" s="41">
        <f>IF(B6="","","YT-"&amp;TEXT(ROW()-4,"000"))</f>
        <v>0</v>
      </c>
      <c r="B6" s="15" t="s">
        <v>1530</v>
      </c>
      <c r="C6" s="17">
        <f>IF(B6="","",IFERROR(INDEX('Content Calendar'!$H$5:$H$604,MATCH(B6,'Content Calendar'!$A$5:$A$604,0)),"Not found"))</f>
        <v>0</v>
      </c>
      <c r="D6" s="16">
        <f>IF(B6="","",IFERROR(INDEX('Content Calendar'!$B$5:$B$604,MATCH(B6,'Content Calendar'!$A$5:$A$604,0)),"Not found"))</f>
        <v>0</v>
      </c>
      <c r="E6" s="17">
        <f>IF(B6="","",IFERROR(INDEX('Content Calendar'!$J$5:$J$604,MATCH(B6,'Content Calendar'!$A$5:$A$604,0)),"Not found"))</f>
        <v>0</v>
      </c>
      <c r="F6" s="29">
        <f>IF(B6="","",IFERROR(INDEX('Content Calendar'!$X$5:$X$604,MATCH(B6,'Content Calendar'!$A$5:$A$604,0)),"Not found"))</f>
        <v>0</v>
      </c>
      <c r="G6" s="15" t="s">
        <v>1531</v>
      </c>
      <c r="H6" s="15" t="s">
        <v>1000</v>
      </c>
      <c r="I6" s="23">
        <f>IF(H6="","",LEN(H6))</f>
        <v>0</v>
      </c>
      <c r="J6" s="39" t="s">
        <v>1519</v>
      </c>
      <c r="K6" s="39" t="s">
        <v>1520</v>
      </c>
      <c r="L6" s="39" t="s">
        <v>1521</v>
      </c>
      <c r="M6" s="39" t="s">
        <v>1522</v>
      </c>
      <c r="N6" s="15" t="s">
        <v>1532</v>
      </c>
      <c r="O6" s="39" t="s">
        <v>1524</v>
      </c>
      <c r="P6" s="39" t="s">
        <v>1525</v>
      </c>
      <c r="Q6" s="39" t="s">
        <v>1526</v>
      </c>
      <c r="R6" s="15" t="s">
        <v>1527</v>
      </c>
      <c r="S6" s="15" t="s">
        <v>1528</v>
      </c>
      <c r="T6" s="37">
        <v>153.5</v>
      </c>
      <c r="U6" s="37">
        <v>7.5</v>
      </c>
      <c r="V6" s="35">
        <v>0.499</v>
      </c>
      <c r="W6" s="35">
        <v>0.045</v>
      </c>
      <c r="X6" s="34">
        <v>25</v>
      </c>
      <c r="Y6" s="34">
        <v>2</v>
      </c>
      <c r="Z6" s="23">
        <f>IF(X6="","",X6-N(Y6))</f>
        <v>0</v>
      </c>
      <c r="AA6" s="15" t="s">
        <v>1529</v>
      </c>
      <c r="AB6" s="23">
        <f>IF(B6="","",IF(COUNTIF(Performance!$B$5:$B$404,B6)=0,"",SUMIFS(Performance!$O$5:$O$404,Performance!$B$5:$B$404,B6)))</f>
        <v>0</v>
      </c>
      <c r="AC6" s="23">
        <f>IF(B6="","",IF(COUNTIF(Performance!$B$5:$B$404,B6)=0,"",SUMIFS(Performance!$P$5:$P$404,Performance!$B$5:$B$404,B6)))</f>
        <v>0</v>
      </c>
      <c r="AD6" s="23">
        <f>IF(B6="","",IF(COUNTIF(Performance!$B$5:$B$404,B6)=0,"",SUMIFS(Performance!$Z$5:$Z$404,Performance!$B$5:$B$404,B6)))</f>
        <v>0</v>
      </c>
      <c r="AE6" s="24">
        <f>IF(OR(AB6="",AB6=0),"",AD6/AB6)</f>
        <v>0</v>
      </c>
      <c r="AF6" s="23">
        <f>IF(B6="","",IF(COUNTIF(Performance!$B$5:$B$404,B6)=0,"",SUMIFS(Performance!$T$5:$T$404,Performance!$B$5:$B$404,B6)))</f>
        <v>0</v>
      </c>
      <c r="AG6" s="23">
        <f>IF(B6="","",IF(COUNTIF(Performance!$B$5:$B$404,B6)=0,"",SUMIFS(Performance!$S$5:$S$404,Performance!$B$5:$B$404,B6)))</f>
        <v>0</v>
      </c>
      <c r="AH6" s="23">
        <f>IF(B6="","",IF(COUNTIF(Performance!$B$5:$B$404,B6)=0,"",SUMIFS(Performance!$R$5:$R$404,Performance!$B$5:$B$404,B6)))</f>
        <v>0</v>
      </c>
      <c r="AI6" s="23">
        <f>IF(B6="","",IF(COUNTIF(Performance!$B$5:$B$404,B6)=0,"",SUMIFS(Performance!$U$5:$U$404,Performance!$B$5:$B$404,B6)))</f>
        <v>0</v>
      </c>
      <c r="AJ6" s="29">
        <f>IF(B6="","",IF(C6="Not found","Check - content ID not on the calendar",IF(N6="","Add - no thumbnail",IF(AND(W6&lt;&gt;"",W6&lt;0.03),"Review - thumbnail click rate is low",IF(AND(V6&lt;&gt;"",V6&lt;0.3),"Review - viewers leave early","OK")))))</f>
        <v>0</v>
      </c>
      <c r="AK6" s="39" t="s">
        <v>205</v>
      </c>
    </row>
    <row r="7" spans="1:37">
      <c r="A7" s="41">
        <f>IF(B7="","","YT-"&amp;TEXT(ROW()-4,"000"))</f>
        <v>0</v>
      </c>
      <c r="B7" s="15" t="s">
        <v>1533</v>
      </c>
      <c r="C7" s="17">
        <f>IF(B7="","",IFERROR(INDEX('Content Calendar'!$H$5:$H$604,MATCH(B7,'Content Calendar'!$A$5:$A$604,0)),"Not found"))</f>
        <v>0</v>
      </c>
      <c r="D7" s="16">
        <f>IF(B7="","",IFERROR(INDEX('Content Calendar'!$B$5:$B$604,MATCH(B7,'Content Calendar'!$A$5:$A$604,0)),"Not found"))</f>
        <v>0</v>
      </c>
      <c r="E7" s="17">
        <f>IF(B7="","",IFERROR(INDEX('Content Calendar'!$J$5:$J$604,MATCH(B7,'Content Calendar'!$A$5:$A$604,0)),"Not found"))</f>
        <v>0</v>
      </c>
      <c r="F7" s="29">
        <f>IF(B7="","",IFERROR(INDEX('Content Calendar'!$X$5:$X$604,MATCH(B7,'Content Calendar'!$A$5:$A$604,0)),"Not found"))</f>
        <v>0</v>
      </c>
      <c r="G7" s="15" t="s">
        <v>401</v>
      </c>
      <c r="H7" s="15" t="s">
        <v>1028</v>
      </c>
      <c r="I7" s="23">
        <f>IF(H7="","",LEN(H7))</f>
        <v>0</v>
      </c>
      <c r="J7" s="39" t="s">
        <v>1519</v>
      </c>
      <c r="K7" s="39" t="s">
        <v>1520</v>
      </c>
      <c r="L7" s="39" t="s">
        <v>1521</v>
      </c>
      <c r="M7" s="39" t="s">
        <v>1522</v>
      </c>
      <c r="N7" s="15" t="s">
        <v>1534</v>
      </c>
      <c r="O7" s="39" t="s">
        <v>1524</v>
      </c>
      <c r="P7" s="39" t="s">
        <v>1525</v>
      </c>
      <c r="Q7" s="39" t="s">
        <v>1526</v>
      </c>
      <c r="R7" s="15" t="s">
        <v>1527</v>
      </c>
      <c r="S7" s="15" t="s">
        <v>1528</v>
      </c>
      <c r="T7" s="37">
        <v>571.7</v>
      </c>
      <c r="U7" s="37">
        <v>6.1</v>
      </c>
      <c r="V7" s="35">
        <v>0.321</v>
      </c>
      <c r="W7" s="35">
        <v>0.052</v>
      </c>
      <c r="X7" s="34">
        <v>64</v>
      </c>
      <c r="Y7" s="34">
        <v>6</v>
      </c>
      <c r="Z7" s="23">
        <f>IF(X7="","",X7-N(Y7))</f>
        <v>0</v>
      </c>
      <c r="AA7" s="15" t="s">
        <v>1529</v>
      </c>
      <c r="AB7" s="23">
        <f>IF(B7="","",IF(COUNTIF(Performance!$B$5:$B$404,B7)=0,"",SUMIFS(Performance!$O$5:$O$404,Performance!$B$5:$B$404,B7)))</f>
        <v>0</v>
      </c>
      <c r="AC7" s="23">
        <f>IF(B7="","",IF(COUNTIF(Performance!$B$5:$B$404,B7)=0,"",SUMIFS(Performance!$P$5:$P$404,Performance!$B$5:$B$404,B7)))</f>
        <v>0</v>
      </c>
      <c r="AD7" s="23">
        <f>IF(B7="","",IF(COUNTIF(Performance!$B$5:$B$404,B7)=0,"",SUMIFS(Performance!$Z$5:$Z$404,Performance!$B$5:$B$404,B7)))</f>
        <v>0</v>
      </c>
      <c r="AE7" s="24">
        <f>IF(OR(AB7="",AB7=0),"",AD7/AB7)</f>
        <v>0</v>
      </c>
      <c r="AF7" s="23">
        <f>IF(B7="","",IF(COUNTIF(Performance!$B$5:$B$404,B7)=0,"",SUMIFS(Performance!$T$5:$T$404,Performance!$B$5:$B$404,B7)))</f>
        <v>0</v>
      </c>
      <c r="AG7" s="23">
        <f>IF(B7="","",IF(COUNTIF(Performance!$B$5:$B$404,B7)=0,"",SUMIFS(Performance!$S$5:$S$404,Performance!$B$5:$B$404,B7)))</f>
        <v>0</v>
      </c>
      <c r="AH7" s="23">
        <f>IF(B7="","",IF(COUNTIF(Performance!$B$5:$B$404,B7)=0,"",SUMIFS(Performance!$R$5:$R$404,Performance!$B$5:$B$404,B7)))</f>
        <v>0</v>
      </c>
      <c r="AI7" s="23">
        <f>IF(B7="","",IF(COUNTIF(Performance!$B$5:$B$404,B7)=0,"",SUMIFS(Performance!$U$5:$U$404,Performance!$B$5:$B$404,B7)))</f>
        <v>0</v>
      </c>
      <c r="AJ7" s="29">
        <f>IF(B7="","",IF(C7="Not found","Check - content ID not on the calendar",IF(N7="","Add - no thumbnail",IF(AND(W7&lt;&gt;"",W7&lt;0.03),"Review - thumbnail click rate is low",IF(AND(V7&lt;&gt;"",V7&lt;0.3),"Review - viewers leave early","OK")))))</f>
        <v>0</v>
      </c>
      <c r="AK7" s="39" t="s">
        <v>205</v>
      </c>
    </row>
    <row r="8" spans="1:37">
      <c r="A8" s="41">
        <f>IF(B8="","","YT-"&amp;TEXT(ROW()-4,"000"))</f>
        <v>0</v>
      </c>
      <c r="B8" s="15" t="s">
        <v>1535</v>
      </c>
      <c r="C8" s="17">
        <f>IF(B8="","",IFERROR(INDEX('Content Calendar'!$H$5:$H$604,MATCH(B8,'Content Calendar'!$A$5:$A$604,0)),"Not found"))</f>
        <v>0</v>
      </c>
      <c r="D8" s="16">
        <f>IF(B8="","",IFERROR(INDEX('Content Calendar'!$B$5:$B$604,MATCH(B8,'Content Calendar'!$A$5:$A$604,0)),"Not found"))</f>
        <v>0</v>
      </c>
      <c r="E8" s="17">
        <f>IF(B8="","",IFERROR(INDEX('Content Calendar'!$J$5:$J$604,MATCH(B8,'Content Calendar'!$A$5:$A$604,0)),"Not found"))</f>
        <v>0</v>
      </c>
      <c r="F8" s="29">
        <f>IF(B8="","",IFERROR(INDEX('Content Calendar'!$X$5:$X$604,MATCH(B8,'Content Calendar'!$A$5:$A$604,0)),"Not found"))</f>
        <v>0</v>
      </c>
      <c r="G8" s="15" t="s">
        <v>1531</v>
      </c>
      <c r="H8" s="15" t="s">
        <v>1057</v>
      </c>
      <c r="I8" s="23">
        <f>IF(H8="","",LEN(H8))</f>
        <v>0</v>
      </c>
      <c r="J8" s="39" t="s">
        <v>1519</v>
      </c>
      <c r="K8" s="39" t="s">
        <v>1520</v>
      </c>
      <c r="L8" s="39" t="s">
        <v>1521</v>
      </c>
      <c r="M8" s="39" t="s">
        <v>1522</v>
      </c>
      <c r="N8" s="15" t="s">
        <v>1536</v>
      </c>
      <c r="O8" s="39" t="s">
        <v>1524</v>
      </c>
      <c r="P8" s="39" t="s">
        <v>1525</v>
      </c>
      <c r="Q8" s="39" t="s">
        <v>1526</v>
      </c>
      <c r="R8" s="15" t="s">
        <v>1527</v>
      </c>
      <c r="S8" s="15" t="s">
        <v>1528</v>
      </c>
      <c r="T8" s="37">
        <v>636.8</v>
      </c>
      <c r="U8" s="37">
        <v>2.6</v>
      </c>
      <c r="V8" s="35">
        <v>0.346</v>
      </c>
      <c r="W8" s="35">
        <v>0.038</v>
      </c>
      <c r="X8" s="34">
        <v>69</v>
      </c>
      <c r="Y8" s="34">
        <v>5</v>
      </c>
      <c r="Z8" s="23">
        <f>IF(X8="","",X8-N(Y8))</f>
        <v>0</v>
      </c>
      <c r="AA8" s="15" t="s">
        <v>1529</v>
      </c>
      <c r="AB8" s="23">
        <f>IF(B8="","",IF(COUNTIF(Performance!$B$5:$B$404,B8)=0,"",SUMIFS(Performance!$O$5:$O$404,Performance!$B$5:$B$404,B8)))</f>
        <v>0</v>
      </c>
      <c r="AC8" s="23">
        <f>IF(B8="","",IF(COUNTIF(Performance!$B$5:$B$404,B8)=0,"",SUMIFS(Performance!$P$5:$P$404,Performance!$B$5:$B$404,B8)))</f>
        <v>0</v>
      </c>
      <c r="AD8" s="23">
        <f>IF(B8="","",IF(COUNTIF(Performance!$B$5:$B$404,B8)=0,"",SUMIFS(Performance!$Z$5:$Z$404,Performance!$B$5:$B$404,B8)))</f>
        <v>0</v>
      </c>
      <c r="AE8" s="24">
        <f>IF(OR(AB8="",AB8=0),"",AD8/AB8)</f>
        <v>0</v>
      </c>
      <c r="AF8" s="23">
        <f>IF(B8="","",IF(COUNTIF(Performance!$B$5:$B$404,B8)=0,"",SUMIFS(Performance!$T$5:$T$404,Performance!$B$5:$B$404,B8)))</f>
        <v>0</v>
      </c>
      <c r="AG8" s="23">
        <f>IF(B8="","",IF(COUNTIF(Performance!$B$5:$B$404,B8)=0,"",SUMIFS(Performance!$S$5:$S$404,Performance!$B$5:$B$404,B8)))</f>
        <v>0</v>
      </c>
      <c r="AH8" s="23">
        <f>IF(B8="","",IF(COUNTIF(Performance!$B$5:$B$404,B8)=0,"",SUMIFS(Performance!$R$5:$R$404,Performance!$B$5:$B$404,B8)))</f>
        <v>0</v>
      </c>
      <c r="AI8" s="23">
        <f>IF(B8="","",IF(COUNTIF(Performance!$B$5:$B$404,B8)=0,"",SUMIFS(Performance!$U$5:$U$404,Performance!$B$5:$B$404,B8)))</f>
        <v>0</v>
      </c>
      <c r="AJ8" s="29">
        <f>IF(B8="","",IF(C8="Not found","Check - content ID not on the calendar",IF(N8="","Add - no thumbnail",IF(AND(W8&lt;&gt;"",W8&lt;0.03),"Review - thumbnail click rate is low",IF(AND(V8&lt;&gt;"",V8&lt;0.3),"Review - viewers leave early","OK")))))</f>
        <v>0</v>
      </c>
      <c r="AK8" s="39" t="s">
        <v>205</v>
      </c>
    </row>
    <row r="9" spans="1:37">
      <c r="A9" s="41">
        <f>IF(B9="","","YT-"&amp;TEXT(ROW()-4,"000"))</f>
        <v>0</v>
      </c>
      <c r="B9" s="15" t="s">
        <v>1537</v>
      </c>
      <c r="C9" s="17">
        <f>IF(B9="","",IFERROR(INDEX('Content Calendar'!$H$5:$H$604,MATCH(B9,'Content Calendar'!$A$5:$A$604,0)),"Not found"))</f>
        <v>0</v>
      </c>
      <c r="D9" s="16">
        <f>IF(B9="","",IFERROR(INDEX('Content Calendar'!$B$5:$B$604,MATCH(B9,'Content Calendar'!$A$5:$A$604,0)),"Not found"))</f>
        <v>0</v>
      </c>
      <c r="E9" s="17">
        <f>IF(B9="","",IFERROR(INDEX('Content Calendar'!$J$5:$J$604,MATCH(B9,'Content Calendar'!$A$5:$A$604,0)),"Not found"))</f>
        <v>0</v>
      </c>
      <c r="F9" s="29">
        <f>IF(B9="","",IFERROR(INDEX('Content Calendar'!$X$5:$X$604,MATCH(B9,'Content Calendar'!$A$5:$A$604,0)),"Not found"))</f>
        <v>0</v>
      </c>
      <c r="G9" s="15" t="s">
        <v>401</v>
      </c>
      <c r="H9" s="15" t="s">
        <v>1090</v>
      </c>
      <c r="I9" s="23">
        <f>IF(H9="","",LEN(H9))</f>
        <v>0</v>
      </c>
      <c r="J9" s="39" t="s">
        <v>1519</v>
      </c>
      <c r="K9" s="39" t="s">
        <v>1520</v>
      </c>
      <c r="L9" s="39" t="s">
        <v>1521</v>
      </c>
      <c r="M9" s="39" t="s">
        <v>1522</v>
      </c>
      <c r="N9" s="15" t="s">
        <v>1538</v>
      </c>
      <c r="O9" s="39" t="s">
        <v>1524</v>
      </c>
      <c r="P9" s="39" t="s">
        <v>1525</v>
      </c>
      <c r="Q9" s="39" t="s">
        <v>1526</v>
      </c>
      <c r="R9" s="15" t="s">
        <v>1527</v>
      </c>
      <c r="S9" s="15" t="s">
        <v>1528</v>
      </c>
      <c r="T9" s="37">
        <v>409.6</v>
      </c>
      <c r="U9" s="37">
        <v>5.1</v>
      </c>
      <c r="V9" s="35">
        <v>0.493</v>
      </c>
      <c r="W9" s="35">
        <v>0.036</v>
      </c>
      <c r="X9" s="34">
        <v>32</v>
      </c>
      <c r="Y9" s="34">
        <v>4</v>
      </c>
      <c r="Z9" s="23">
        <f>IF(X9="","",X9-N(Y9))</f>
        <v>0</v>
      </c>
      <c r="AA9" s="15" t="s">
        <v>1529</v>
      </c>
      <c r="AB9" s="23">
        <f>IF(B9="","",IF(COUNTIF(Performance!$B$5:$B$404,B9)=0,"",SUMIFS(Performance!$O$5:$O$404,Performance!$B$5:$B$404,B9)))</f>
        <v>0</v>
      </c>
      <c r="AC9" s="23">
        <f>IF(B9="","",IF(COUNTIF(Performance!$B$5:$B$404,B9)=0,"",SUMIFS(Performance!$P$5:$P$404,Performance!$B$5:$B$404,B9)))</f>
        <v>0</v>
      </c>
      <c r="AD9" s="23">
        <f>IF(B9="","",IF(COUNTIF(Performance!$B$5:$B$404,B9)=0,"",SUMIFS(Performance!$Z$5:$Z$404,Performance!$B$5:$B$404,B9)))</f>
        <v>0</v>
      </c>
      <c r="AE9" s="24">
        <f>IF(OR(AB9="",AB9=0),"",AD9/AB9)</f>
        <v>0</v>
      </c>
      <c r="AF9" s="23">
        <f>IF(B9="","",IF(COUNTIF(Performance!$B$5:$B$404,B9)=0,"",SUMIFS(Performance!$T$5:$T$404,Performance!$B$5:$B$404,B9)))</f>
        <v>0</v>
      </c>
      <c r="AG9" s="23">
        <f>IF(B9="","",IF(COUNTIF(Performance!$B$5:$B$404,B9)=0,"",SUMIFS(Performance!$S$5:$S$404,Performance!$B$5:$B$404,B9)))</f>
        <v>0</v>
      </c>
      <c r="AH9" s="23">
        <f>IF(B9="","",IF(COUNTIF(Performance!$B$5:$B$404,B9)=0,"",SUMIFS(Performance!$R$5:$R$404,Performance!$B$5:$B$404,B9)))</f>
        <v>0</v>
      </c>
      <c r="AI9" s="23">
        <f>IF(B9="","",IF(COUNTIF(Performance!$B$5:$B$404,B9)=0,"",SUMIFS(Performance!$U$5:$U$404,Performance!$B$5:$B$404,B9)))</f>
        <v>0</v>
      </c>
      <c r="AJ9" s="29">
        <f>IF(B9="","",IF(C9="Not found","Check - content ID not on the calendar",IF(N9="","Add - no thumbnail",IF(AND(W9&lt;&gt;"",W9&lt;0.03),"Review - thumbnail click rate is low",IF(AND(V9&lt;&gt;"",V9&lt;0.3),"Review - viewers leave early","OK")))))</f>
        <v>0</v>
      </c>
      <c r="AK9" s="39" t="s">
        <v>205</v>
      </c>
    </row>
    <row r="10" spans="1:37">
      <c r="A10" s="41">
        <f>IF(B10="","","YT-"&amp;TEXT(ROW()-4,"000"))</f>
        <v>0</v>
      </c>
      <c r="C10" s="17">
        <f>IF(B10="","",IFERROR(INDEX('Content Calendar'!$H$5:$H$604,MATCH(B10,'Content Calendar'!$A$5:$A$604,0)),"Not found"))</f>
        <v>0</v>
      </c>
      <c r="D10" s="16">
        <f>IF(B10="","",IFERROR(INDEX('Content Calendar'!$B$5:$B$604,MATCH(B10,'Content Calendar'!$A$5:$A$604,0)),"Not found"))</f>
        <v>0</v>
      </c>
      <c r="E10" s="17">
        <f>IF(B10="","",IFERROR(INDEX('Content Calendar'!$J$5:$J$604,MATCH(B10,'Content Calendar'!$A$5:$A$604,0)),"Not found"))</f>
        <v>0</v>
      </c>
      <c r="F10" s="29">
        <f>IF(B10="","",IFERROR(INDEX('Content Calendar'!$X$5:$X$604,MATCH(B10,'Content Calendar'!$A$5:$A$604,0)),"Not found"))</f>
        <v>0</v>
      </c>
      <c r="I10" s="23">
        <f>IF(H10="","",LEN(H10))</f>
        <v>0</v>
      </c>
      <c r="Z10" s="23">
        <f>IF(X10="","",X10-N(Y10))</f>
        <v>0</v>
      </c>
      <c r="AB10" s="23">
        <f>IF(B10="","",IF(COUNTIF(Performance!$B$5:$B$404,B10)=0,"",SUMIFS(Performance!$O$5:$O$404,Performance!$B$5:$B$404,B10)))</f>
        <v>0</v>
      </c>
      <c r="AC10" s="23">
        <f>IF(B10="","",IF(COUNTIF(Performance!$B$5:$B$404,B10)=0,"",SUMIFS(Performance!$P$5:$P$404,Performance!$B$5:$B$404,B10)))</f>
        <v>0</v>
      </c>
      <c r="AD10" s="23">
        <f>IF(B10="","",IF(COUNTIF(Performance!$B$5:$B$404,B10)=0,"",SUMIFS(Performance!$Z$5:$Z$404,Performance!$B$5:$B$404,B10)))</f>
        <v>0</v>
      </c>
      <c r="AE10" s="24">
        <f>IF(OR(AB10="",AB10=0),"",AD10/AB10)</f>
        <v>0</v>
      </c>
      <c r="AF10" s="23">
        <f>IF(B10="","",IF(COUNTIF(Performance!$B$5:$B$404,B10)=0,"",SUMIFS(Performance!$T$5:$T$404,Performance!$B$5:$B$404,B10)))</f>
        <v>0</v>
      </c>
      <c r="AG10" s="23">
        <f>IF(B10="","",IF(COUNTIF(Performance!$B$5:$B$404,B10)=0,"",SUMIFS(Performance!$S$5:$S$404,Performance!$B$5:$B$404,B10)))</f>
        <v>0</v>
      </c>
      <c r="AH10" s="23">
        <f>IF(B10="","",IF(COUNTIF(Performance!$B$5:$B$404,B10)=0,"",SUMIFS(Performance!$R$5:$R$404,Performance!$B$5:$B$404,B10)))</f>
        <v>0</v>
      </c>
      <c r="AI10" s="23">
        <f>IF(B10="","",IF(COUNTIF(Performance!$B$5:$B$404,B10)=0,"",SUMIFS(Performance!$U$5:$U$404,Performance!$B$5:$B$404,B10)))</f>
        <v>0</v>
      </c>
      <c r="AJ10" s="29">
        <f>IF(B10="","",IF(C10="Not found","Check - content ID not on the calendar",IF(N10="","Add - no thumbnail",IF(AND(W10&lt;&gt;"",W10&lt;0.03),"Review - thumbnail click rate is low",IF(AND(V10&lt;&gt;"",V10&lt;0.3),"Review - viewers leave early","OK")))))</f>
        <v>0</v>
      </c>
    </row>
    <row r="11" spans="1:37">
      <c r="A11" s="41">
        <f>IF(B11="","","YT-"&amp;TEXT(ROW()-4,"000"))</f>
        <v>0</v>
      </c>
      <c r="C11" s="17">
        <f>IF(B11="","",IFERROR(INDEX('Content Calendar'!$H$5:$H$604,MATCH(B11,'Content Calendar'!$A$5:$A$604,0)),"Not found"))</f>
        <v>0</v>
      </c>
      <c r="D11" s="16">
        <f>IF(B11="","",IFERROR(INDEX('Content Calendar'!$B$5:$B$604,MATCH(B11,'Content Calendar'!$A$5:$A$604,0)),"Not found"))</f>
        <v>0</v>
      </c>
      <c r="E11" s="17">
        <f>IF(B11="","",IFERROR(INDEX('Content Calendar'!$J$5:$J$604,MATCH(B11,'Content Calendar'!$A$5:$A$604,0)),"Not found"))</f>
        <v>0</v>
      </c>
      <c r="F11" s="29">
        <f>IF(B11="","",IFERROR(INDEX('Content Calendar'!$X$5:$X$604,MATCH(B11,'Content Calendar'!$A$5:$A$604,0)),"Not found"))</f>
        <v>0</v>
      </c>
      <c r="I11" s="23">
        <f>IF(H11="","",LEN(H11))</f>
        <v>0</v>
      </c>
      <c r="Z11" s="23">
        <f>IF(X11="","",X11-N(Y11))</f>
        <v>0</v>
      </c>
      <c r="AB11" s="23">
        <f>IF(B11="","",IF(COUNTIF(Performance!$B$5:$B$404,B11)=0,"",SUMIFS(Performance!$O$5:$O$404,Performance!$B$5:$B$404,B11)))</f>
        <v>0</v>
      </c>
      <c r="AC11" s="23">
        <f>IF(B11="","",IF(COUNTIF(Performance!$B$5:$B$404,B11)=0,"",SUMIFS(Performance!$P$5:$P$404,Performance!$B$5:$B$404,B11)))</f>
        <v>0</v>
      </c>
      <c r="AD11" s="23">
        <f>IF(B11="","",IF(COUNTIF(Performance!$B$5:$B$404,B11)=0,"",SUMIFS(Performance!$Z$5:$Z$404,Performance!$B$5:$B$404,B11)))</f>
        <v>0</v>
      </c>
      <c r="AE11" s="24">
        <f>IF(OR(AB11="",AB11=0),"",AD11/AB11)</f>
        <v>0</v>
      </c>
      <c r="AF11" s="23">
        <f>IF(B11="","",IF(COUNTIF(Performance!$B$5:$B$404,B11)=0,"",SUMIFS(Performance!$T$5:$T$404,Performance!$B$5:$B$404,B11)))</f>
        <v>0</v>
      </c>
      <c r="AG11" s="23">
        <f>IF(B11="","",IF(COUNTIF(Performance!$B$5:$B$404,B11)=0,"",SUMIFS(Performance!$S$5:$S$404,Performance!$B$5:$B$404,B11)))</f>
        <v>0</v>
      </c>
      <c r="AH11" s="23">
        <f>IF(B11="","",IF(COUNTIF(Performance!$B$5:$B$404,B11)=0,"",SUMIFS(Performance!$R$5:$R$404,Performance!$B$5:$B$404,B11)))</f>
        <v>0</v>
      </c>
      <c r="AI11" s="23">
        <f>IF(B11="","",IF(COUNTIF(Performance!$B$5:$B$404,B11)=0,"",SUMIFS(Performance!$U$5:$U$404,Performance!$B$5:$B$404,B11)))</f>
        <v>0</v>
      </c>
      <c r="AJ11" s="29">
        <f>IF(B11="","",IF(C11="Not found","Check - content ID not on the calendar",IF(N11="","Add - no thumbnail",IF(AND(W11&lt;&gt;"",W11&lt;0.03),"Review - thumbnail click rate is low",IF(AND(V11&lt;&gt;"",V11&lt;0.3),"Review - viewers leave early","OK")))))</f>
        <v>0</v>
      </c>
    </row>
    <row r="12" spans="1:37">
      <c r="A12" s="41">
        <f>IF(B12="","","YT-"&amp;TEXT(ROW()-4,"000"))</f>
        <v>0</v>
      </c>
      <c r="C12" s="17">
        <f>IF(B12="","",IFERROR(INDEX('Content Calendar'!$H$5:$H$604,MATCH(B12,'Content Calendar'!$A$5:$A$604,0)),"Not found"))</f>
        <v>0</v>
      </c>
      <c r="D12" s="16">
        <f>IF(B12="","",IFERROR(INDEX('Content Calendar'!$B$5:$B$604,MATCH(B12,'Content Calendar'!$A$5:$A$604,0)),"Not found"))</f>
        <v>0</v>
      </c>
      <c r="E12" s="17">
        <f>IF(B12="","",IFERROR(INDEX('Content Calendar'!$J$5:$J$604,MATCH(B12,'Content Calendar'!$A$5:$A$604,0)),"Not found"))</f>
        <v>0</v>
      </c>
      <c r="F12" s="29">
        <f>IF(B12="","",IFERROR(INDEX('Content Calendar'!$X$5:$X$604,MATCH(B12,'Content Calendar'!$A$5:$A$604,0)),"Not found"))</f>
        <v>0</v>
      </c>
      <c r="I12" s="23">
        <f>IF(H12="","",LEN(H12))</f>
        <v>0</v>
      </c>
      <c r="Z12" s="23">
        <f>IF(X12="","",X12-N(Y12))</f>
        <v>0</v>
      </c>
      <c r="AB12" s="23">
        <f>IF(B12="","",IF(COUNTIF(Performance!$B$5:$B$404,B12)=0,"",SUMIFS(Performance!$O$5:$O$404,Performance!$B$5:$B$404,B12)))</f>
        <v>0</v>
      </c>
      <c r="AC12" s="23">
        <f>IF(B12="","",IF(COUNTIF(Performance!$B$5:$B$404,B12)=0,"",SUMIFS(Performance!$P$5:$P$404,Performance!$B$5:$B$404,B12)))</f>
        <v>0</v>
      </c>
      <c r="AD12" s="23">
        <f>IF(B12="","",IF(COUNTIF(Performance!$B$5:$B$404,B12)=0,"",SUMIFS(Performance!$Z$5:$Z$404,Performance!$B$5:$B$404,B12)))</f>
        <v>0</v>
      </c>
      <c r="AE12" s="24">
        <f>IF(OR(AB12="",AB12=0),"",AD12/AB12)</f>
        <v>0</v>
      </c>
      <c r="AF12" s="23">
        <f>IF(B12="","",IF(COUNTIF(Performance!$B$5:$B$404,B12)=0,"",SUMIFS(Performance!$T$5:$T$404,Performance!$B$5:$B$404,B12)))</f>
        <v>0</v>
      </c>
      <c r="AG12" s="23">
        <f>IF(B12="","",IF(COUNTIF(Performance!$B$5:$B$404,B12)=0,"",SUMIFS(Performance!$S$5:$S$404,Performance!$B$5:$B$404,B12)))</f>
        <v>0</v>
      </c>
      <c r="AH12" s="23">
        <f>IF(B12="","",IF(COUNTIF(Performance!$B$5:$B$404,B12)=0,"",SUMIFS(Performance!$R$5:$R$404,Performance!$B$5:$B$404,B12)))</f>
        <v>0</v>
      </c>
      <c r="AI12" s="23">
        <f>IF(B12="","",IF(COUNTIF(Performance!$B$5:$B$404,B12)=0,"",SUMIFS(Performance!$U$5:$U$404,Performance!$B$5:$B$404,B12)))</f>
        <v>0</v>
      </c>
      <c r="AJ12" s="29">
        <f>IF(B12="","",IF(C12="Not found","Check - content ID not on the calendar",IF(N12="","Add - no thumbnail",IF(AND(W12&lt;&gt;"",W12&lt;0.03),"Review - thumbnail click rate is low",IF(AND(V12&lt;&gt;"",V12&lt;0.3),"Review - viewers leave early","OK")))))</f>
        <v>0</v>
      </c>
    </row>
    <row r="13" spans="1:37">
      <c r="A13" s="41">
        <f>IF(B13="","","YT-"&amp;TEXT(ROW()-4,"000"))</f>
        <v>0</v>
      </c>
      <c r="C13" s="17">
        <f>IF(B13="","",IFERROR(INDEX('Content Calendar'!$H$5:$H$604,MATCH(B13,'Content Calendar'!$A$5:$A$604,0)),"Not found"))</f>
        <v>0</v>
      </c>
      <c r="D13" s="16">
        <f>IF(B13="","",IFERROR(INDEX('Content Calendar'!$B$5:$B$604,MATCH(B13,'Content Calendar'!$A$5:$A$604,0)),"Not found"))</f>
        <v>0</v>
      </c>
      <c r="E13" s="17">
        <f>IF(B13="","",IFERROR(INDEX('Content Calendar'!$J$5:$J$604,MATCH(B13,'Content Calendar'!$A$5:$A$604,0)),"Not found"))</f>
        <v>0</v>
      </c>
      <c r="F13" s="29">
        <f>IF(B13="","",IFERROR(INDEX('Content Calendar'!$X$5:$X$604,MATCH(B13,'Content Calendar'!$A$5:$A$604,0)),"Not found"))</f>
        <v>0</v>
      </c>
      <c r="I13" s="23">
        <f>IF(H13="","",LEN(H13))</f>
        <v>0</v>
      </c>
      <c r="Z13" s="23">
        <f>IF(X13="","",X13-N(Y13))</f>
        <v>0</v>
      </c>
      <c r="AB13" s="23">
        <f>IF(B13="","",IF(COUNTIF(Performance!$B$5:$B$404,B13)=0,"",SUMIFS(Performance!$O$5:$O$404,Performance!$B$5:$B$404,B13)))</f>
        <v>0</v>
      </c>
      <c r="AC13" s="23">
        <f>IF(B13="","",IF(COUNTIF(Performance!$B$5:$B$404,B13)=0,"",SUMIFS(Performance!$P$5:$P$404,Performance!$B$5:$B$404,B13)))</f>
        <v>0</v>
      </c>
      <c r="AD13" s="23">
        <f>IF(B13="","",IF(COUNTIF(Performance!$B$5:$B$404,B13)=0,"",SUMIFS(Performance!$Z$5:$Z$404,Performance!$B$5:$B$404,B13)))</f>
        <v>0</v>
      </c>
      <c r="AE13" s="24">
        <f>IF(OR(AB13="",AB13=0),"",AD13/AB13)</f>
        <v>0</v>
      </c>
      <c r="AF13" s="23">
        <f>IF(B13="","",IF(COUNTIF(Performance!$B$5:$B$404,B13)=0,"",SUMIFS(Performance!$T$5:$T$404,Performance!$B$5:$B$404,B13)))</f>
        <v>0</v>
      </c>
      <c r="AG13" s="23">
        <f>IF(B13="","",IF(COUNTIF(Performance!$B$5:$B$404,B13)=0,"",SUMIFS(Performance!$S$5:$S$404,Performance!$B$5:$B$404,B13)))</f>
        <v>0</v>
      </c>
      <c r="AH13" s="23">
        <f>IF(B13="","",IF(COUNTIF(Performance!$B$5:$B$404,B13)=0,"",SUMIFS(Performance!$R$5:$R$404,Performance!$B$5:$B$404,B13)))</f>
        <v>0</v>
      </c>
      <c r="AI13" s="23">
        <f>IF(B13="","",IF(COUNTIF(Performance!$B$5:$B$404,B13)=0,"",SUMIFS(Performance!$U$5:$U$404,Performance!$B$5:$B$404,B13)))</f>
        <v>0</v>
      </c>
      <c r="AJ13" s="29">
        <f>IF(B13="","",IF(C13="Not found","Check - content ID not on the calendar",IF(N13="","Add - no thumbnail",IF(AND(W13&lt;&gt;"",W13&lt;0.03),"Review - thumbnail click rate is low",IF(AND(V13&lt;&gt;"",V13&lt;0.3),"Review - viewers leave early","OK")))))</f>
        <v>0</v>
      </c>
    </row>
    <row r="14" spans="1:37">
      <c r="A14" s="41">
        <f>IF(B14="","","YT-"&amp;TEXT(ROW()-4,"000"))</f>
        <v>0</v>
      </c>
      <c r="C14" s="17">
        <f>IF(B14="","",IFERROR(INDEX('Content Calendar'!$H$5:$H$604,MATCH(B14,'Content Calendar'!$A$5:$A$604,0)),"Not found"))</f>
        <v>0</v>
      </c>
      <c r="D14" s="16">
        <f>IF(B14="","",IFERROR(INDEX('Content Calendar'!$B$5:$B$604,MATCH(B14,'Content Calendar'!$A$5:$A$604,0)),"Not found"))</f>
        <v>0</v>
      </c>
      <c r="E14" s="17">
        <f>IF(B14="","",IFERROR(INDEX('Content Calendar'!$J$5:$J$604,MATCH(B14,'Content Calendar'!$A$5:$A$604,0)),"Not found"))</f>
        <v>0</v>
      </c>
      <c r="F14" s="29">
        <f>IF(B14="","",IFERROR(INDEX('Content Calendar'!$X$5:$X$604,MATCH(B14,'Content Calendar'!$A$5:$A$604,0)),"Not found"))</f>
        <v>0</v>
      </c>
      <c r="I14" s="23">
        <f>IF(H14="","",LEN(H14))</f>
        <v>0</v>
      </c>
      <c r="Z14" s="23">
        <f>IF(X14="","",X14-N(Y14))</f>
        <v>0</v>
      </c>
      <c r="AB14" s="23">
        <f>IF(B14="","",IF(COUNTIF(Performance!$B$5:$B$404,B14)=0,"",SUMIFS(Performance!$O$5:$O$404,Performance!$B$5:$B$404,B14)))</f>
        <v>0</v>
      </c>
      <c r="AC14" s="23">
        <f>IF(B14="","",IF(COUNTIF(Performance!$B$5:$B$404,B14)=0,"",SUMIFS(Performance!$P$5:$P$404,Performance!$B$5:$B$404,B14)))</f>
        <v>0</v>
      </c>
      <c r="AD14" s="23">
        <f>IF(B14="","",IF(COUNTIF(Performance!$B$5:$B$404,B14)=0,"",SUMIFS(Performance!$Z$5:$Z$404,Performance!$B$5:$B$404,B14)))</f>
        <v>0</v>
      </c>
      <c r="AE14" s="24">
        <f>IF(OR(AB14="",AB14=0),"",AD14/AB14)</f>
        <v>0</v>
      </c>
      <c r="AF14" s="23">
        <f>IF(B14="","",IF(COUNTIF(Performance!$B$5:$B$404,B14)=0,"",SUMIFS(Performance!$T$5:$T$404,Performance!$B$5:$B$404,B14)))</f>
        <v>0</v>
      </c>
      <c r="AG14" s="23">
        <f>IF(B14="","",IF(COUNTIF(Performance!$B$5:$B$404,B14)=0,"",SUMIFS(Performance!$S$5:$S$404,Performance!$B$5:$B$404,B14)))</f>
        <v>0</v>
      </c>
      <c r="AH14" s="23">
        <f>IF(B14="","",IF(COUNTIF(Performance!$B$5:$B$404,B14)=0,"",SUMIFS(Performance!$R$5:$R$404,Performance!$B$5:$B$404,B14)))</f>
        <v>0</v>
      </c>
      <c r="AI14" s="23">
        <f>IF(B14="","",IF(COUNTIF(Performance!$B$5:$B$404,B14)=0,"",SUMIFS(Performance!$U$5:$U$404,Performance!$B$5:$B$404,B14)))</f>
        <v>0</v>
      </c>
      <c r="AJ14" s="29">
        <f>IF(B14="","",IF(C14="Not found","Check - content ID not on the calendar",IF(N14="","Add - no thumbnail",IF(AND(W14&lt;&gt;"",W14&lt;0.03),"Review - thumbnail click rate is low",IF(AND(V14&lt;&gt;"",V14&lt;0.3),"Review - viewers leave early","OK")))))</f>
        <v>0</v>
      </c>
    </row>
    <row r="15" spans="1:37">
      <c r="A15" s="41">
        <f>IF(B15="","","YT-"&amp;TEXT(ROW()-4,"000"))</f>
        <v>0</v>
      </c>
      <c r="C15" s="17">
        <f>IF(B15="","",IFERROR(INDEX('Content Calendar'!$H$5:$H$604,MATCH(B15,'Content Calendar'!$A$5:$A$604,0)),"Not found"))</f>
        <v>0</v>
      </c>
      <c r="D15" s="16">
        <f>IF(B15="","",IFERROR(INDEX('Content Calendar'!$B$5:$B$604,MATCH(B15,'Content Calendar'!$A$5:$A$604,0)),"Not found"))</f>
        <v>0</v>
      </c>
      <c r="E15" s="17">
        <f>IF(B15="","",IFERROR(INDEX('Content Calendar'!$J$5:$J$604,MATCH(B15,'Content Calendar'!$A$5:$A$604,0)),"Not found"))</f>
        <v>0</v>
      </c>
      <c r="F15" s="29">
        <f>IF(B15="","",IFERROR(INDEX('Content Calendar'!$X$5:$X$604,MATCH(B15,'Content Calendar'!$A$5:$A$604,0)),"Not found"))</f>
        <v>0</v>
      </c>
      <c r="I15" s="23">
        <f>IF(H15="","",LEN(H15))</f>
        <v>0</v>
      </c>
      <c r="Z15" s="23">
        <f>IF(X15="","",X15-N(Y15))</f>
        <v>0</v>
      </c>
      <c r="AB15" s="23">
        <f>IF(B15="","",IF(COUNTIF(Performance!$B$5:$B$404,B15)=0,"",SUMIFS(Performance!$O$5:$O$404,Performance!$B$5:$B$404,B15)))</f>
        <v>0</v>
      </c>
      <c r="AC15" s="23">
        <f>IF(B15="","",IF(COUNTIF(Performance!$B$5:$B$404,B15)=0,"",SUMIFS(Performance!$P$5:$P$404,Performance!$B$5:$B$404,B15)))</f>
        <v>0</v>
      </c>
      <c r="AD15" s="23">
        <f>IF(B15="","",IF(COUNTIF(Performance!$B$5:$B$404,B15)=0,"",SUMIFS(Performance!$Z$5:$Z$404,Performance!$B$5:$B$404,B15)))</f>
        <v>0</v>
      </c>
      <c r="AE15" s="24">
        <f>IF(OR(AB15="",AB15=0),"",AD15/AB15)</f>
        <v>0</v>
      </c>
      <c r="AF15" s="23">
        <f>IF(B15="","",IF(COUNTIF(Performance!$B$5:$B$404,B15)=0,"",SUMIFS(Performance!$T$5:$T$404,Performance!$B$5:$B$404,B15)))</f>
        <v>0</v>
      </c>
      <c r="AG15" s="23">
        <f>IF(B15="","",IF(COUNTIF(Performance!$B$5:$B$404,B15)=0,"",SUMIFS(Performance!$S$5:$S$404,Performance!$B$5:$B$404,B15)))</f>
        <v>0</v>
      </c>
      <c r="AH15" s="23">
        <f>IF(B15="","",IF(COUNTIF(Performance!$B$5:$B$404,B15)=0,"",SUMIFS(Performance!$R$5:$R$404,Performance!$B$5:$B$404,B15)))</f>
        <v>0</v>
      </c>
      <c r="AI15" s="23">
        <f>IF(B15="","",IF(COUNTIF(Performance!$B$5:$B$404,B15)=0,"",SUMIFS(Performance!$U$5:$U$404,Performance!$B$5:$B$404,B15)))</f>
        <v>0</v>
      </c>
      <c r="AJ15" s="29">
        <f>IF(B15="","",IF(C15="Not found","Check - content ID not on the calendar",IF(N15="","Add - no thumbnail",IF(AND(W15&lt;&gt;"",W15&lt;0.03),"Review - thumbnail click rate is low",IF(AND(V15&lt;&gt;"",V15&lt;0.3),"Review - viewers leave early","OK")))))</f>
        <v>0</v>
      </c>
    </row>
    <row r="16" spans="1:37">
      <c r="A16" s="41">
        <f>IF(B16="","","YT-"&amp;TEXT(ROW()-4,"000"))</f>
        <v>0</v>
      </c>
      <c r="C16" s="17">
        <f>IF(B16="","",IFERROR(INDEX('Content Calendar'!$H$5:$H$604,MATCH(B16,'Content Calendar'!$A$5:$A$604,0)),"Not found"))</f>
        <v>0</v>
      </c>
      <c r="D16" s="16">
        <f>IF(B16="","",IFERROR(INDEX('Content Calendar'!$B$5:$B$604,MATCH(B16,'Content Calendar'!$A$5:$A$604,0)),"Not found"))</f>
        <v>0</v>
      </c>
      <c r="E16" s="17">
        <f>IF(B16="","",IFERROR(INDEX('Content Calendar'!$J$5:$J$604,MATCH(B16,'Content Calendar'!$A$5:$A$604,0)),"Not found"))</f>
        <v>0</v>
      </c>
      <c r="F16" s="29">
        <f>IF(B16="","",IFERROR(INDEX('Content Calendar'!$X$5:$X$604,MATCH(B16,'Content Calendar'!$A$5:$A$604,0)),"Not found"))</f>
        <v>0</v>
      </c>
      <c r="I16" s="23">
        <f>IF(H16="","",LEN(H16))</f>
        <v>0</v>
      </c>
      <c r="Z16" s="23">
        <f>IF(X16="","",X16-N(Y16))</f>
        <v>0</v>
      </c>
      <c r="AB16" s="23">
        <f>IF(B16="","",IF(COUNTIF(Performance!$B$5:$B$404,B16)=0,"",SUMIFS(Performance!$O$5:$O$404,Performance!$B$5:$B$404,B16)))</f>
        <v>0</v>
      </c>
      <c r="AC16" s="23">
        <f>IF(B16="","",IF(COUNTIF(Performance!$B$5:$B$404,B16)=0,"",SUMIFS(Performance!$P$5:$P$404,Performance!$B$5:$B$404,B16)))</f>
        <v>0</v>
      </c>
      <c r="AD16" s="23">
        <f>IF(B16="","",IF(COUNTIF(Performance!$B$5:$B$404,B16)=0,"",SUMIFS(Performance!$Z$5:$Z$404,Performance!$B$5:$B$404,B16)))</f>
        <v>0</v>
      </c>
      <c r="AE16" s="24">
        <f>IF(OR(AB16="",AB16=0),"",AD16/AB16)</f>
        <v>0</v>
      </c>
      <c r="AF16" s="23">
        <f>IF(B16="","",IF(COUNTIF(Performance!$B$5:$B$404,B16)=0,"",SUMIFS(Performance!$T$5:$T$404,Performance!$B$5:$B$404,B16)))</f>
        <v>0</v>
      </c>
      <c r="AG16" s="23">
        <f>IF(B16="","",IF(COUNTIF(Performance!$B$5:$B$404,B16)=0,"",SUMIFS(Performance!$S$5:$S$404,Performance!$B$5:$B$404,B16)))</f>
        <v>0</v>
      </c>
      <c r="AH16" s="23">
        <f>IF(B16="","",IF(COUNTIF(Performance!$B$5:$B$404,B16)=0,"",SUMIFS(Performance!$R$5:$R$404,Performance!$B$5:$B$404,B16)))</f>
        <v>0</v>
      </c>
      <c r="AI16" s="23">
        <f>IF(B16="","",IF(COUNTIF(Performance!$B$5:$B$404,B16)=0,"",SUMIFS(Performance!$U$5:$U$404,Performance!$B$5:$B$404,B16)))</f>
        <v>0</v>
      </c>
      <c r="AJ16" s="29">
        <f>IF(B16="","",IF(C16="Not found","Check - content ID not on the calendar",IF(N16="","Add - no thumbnail",IF(AND(W16&lt;&gt;"",W16&lt;0.03),"Review - thumbnail click rate is low",IF(AND(V16&lt;&gt;"",V16&lt;0.3),"Review - viewers leave early","OK")))))</f>
        <v>0</v>
      </c>
    </row>
    <row r="17" spans="1:36">
      <c r="A17" s="41">
        <f>IF(B17="","","YT-"&amp;TEXT(ROW()-4,"000"))</f>
        <v>0</v>
      </c>
      <c r="C17" s="17">
        <f>IF(B17="","",IFERROR(INDEX('Content Calendar'!$H$5:$H$604,MATCH(B17,'Content Calendar'!$A$5:$A$604,0)),"Not found"))</f>
        <v>0</v>
      </c>
      <c r="D17" s="16">
        <f>IF(B17="","",IFERROR(INDEX('Content Calendar'!$B$5:$B$604,MATCH(B17,'Content Calendar'!$A$5:$A$604,0)),"Not found"))</f>
        <v>0</v>
      </c>
      <c r="E17" s="17">
        <f>IF(B17="","",IFERROR(INDEX('Content Calendar'!$J$5:$J$604,MATCH(B17,'Content Calendar'!$A$5:$A$604,0)),"Not found"))</f>
        <v>0</v>
      </c>
      <c r="F17" s="29">
        <f>IF(B17="","",IFERROR(INDEX('Content Calendar'!$X$5:$X$604,MATCH(B17,'Content Calendar'!$A$5:$A$604,0)),"Not found"))</f>
        <v>0</v>
      </c>
      <c r="I17" s="23">
        <f>IF(H17="","",LEN(H17))</f>
        <v>0</v>
      </c>
      <c r="Z17" s="23">
        <f>IF(X17="","",X17-N(Y17))</f>
        <v>0</v>
      </c>
      <c r="AB17" s="23">
        <f>IF(B17="","",IF(COUNTIF(Performance!$B$5:$B$404,B17)=0,"",SUMIFS(Performance!$O$5:$O$404,Performance!$B$5:$B$404,B17)))</f>
        <v>0</v>
      </c>
      <c r="AC17" s="23">
        <f>IF(B17="","",IF(COUNTIF(Performance!$B$5:$B$404,B17)=0,"",SUMIFS(Performance!$P$5:$P$404,Performance!$B$5:$B$404,B17)))</f>
        <v>0</v>
      </c>
      <c r="AD17" s="23">
        <f>IF(B17="","",IF(COUNTIF(Performance!$B$5:$B$404,B17)=0,"",SUMIFS(Performance!$Z$5:$Z$404,Performance!$B$5:$B$404,B17)))</f>
        <v>0</v>
      </c>
      <c r="AE17" s="24">
        <f>IF(OR(AB17="",AB17=0),"",AD17/AB17)</f>
        <v>0</v>
      </c>
      <c r="AF17" s="23">
        <f>IF(B17="","",IF(COUNTIF(Performance!$B$5:$B$404,B17)=0,"",SUMIFS(Performance!$T$5:$T$404,Performance!$B$5:$B$404,B17)))</f>
        <v>0</v>
      </c>
      <c r="AG17" s="23">
        <f>IF(B17="","",IF(COUNTIF(Performance!$B$5:$B$404,B17)=0,"",SUMIFS(Performance!$S$5:$S$404,Performance!$B$5:$B$404,B17)))</f>
        <v>0</v>
      </c>
      <c r="AH17" s="23">
        <f>IF(B17="","",IF(COUNTIF(Performance!$B$5:$B$404,B17)=0,"",SUMIFS(Performance!$R$5:$R$404,Performance!$B$5:$B$404,B17)))</f>
        <v>0</v>
      </c>
      <c r="AI17" s="23">
        <f>IF(B17="","",IF(COUNTIF(Performance!$B$5:$B$404,B17)=0,"",SUMIFS(Performance!$U$5:$U$404,Performance!$B$5:$B$404,B17)))</f>
        <v>0</v>
      </c>
      <c r="AJ17" s="29">
        <f>IF(B17="","",IF(C17="Not found","Check - content ID not on the calendar",IF(N17="","Add - no thumbnail",IF(AND(W17&lt;&gt;"",W17&lt;0.03),"Review - thumbnail click rate is low",IF(AND(V17&lt;&gt;"",V17&lt;0.3),"Review - viewers leave early","OK")))))</f>
        <v>0</v>
      </c>
    </row>
    <row r="18" spans="1:36">
      <c r="A18" s="41">
        <f>IF(B18="","","YT-"&amp;TEXT(ROW()-4,"000"))</f>
        <v>0</v>
      </c>
      <c r="C18" s="17">
        <f>IF(B18="","",IFERROR(INDEX('Content Calendar'!$H$5:$H$604,MATCH(B18,'Content Calendar'!$A$5:$A$604,0)),"Not found"))</f>
        <v>0</v>
      </c>
      <c r="D18" s="16">
        <f>IF(B18="","",IFERROR(INDEX('Content Calendar'!$B$5:$B$604,MATCH(B18,'Content Calendar'!$A$5:$A$604,0)),"Not found"))</f>
        <v>0</v>
      </c>
      <c r="E18" s="17">
        <f>IF(B18="","",IFERROR(INDEX('Content Calendar'!$J$5:$J$604,MATCH(B18,'Content Calendar'!$A$5:$A$604,0)),"Not found"))</f>
        <v>0</v>
      </c>
      <c r="F18" s="29">
        <f>IF(B18="","",IFERROR(INDEX('Content Calendar'!$X$5:$X$604,MATCH(B18,'Content Calendar'!$A$5:$A$604,0)),"Not found"))</f>
        <v>0</v>
      </c>
      <c r="I18" s="23">
        <f>IF(H18="","",LEN(H18))</f>
        <v>0</v>
      </c>
      <c r="Z18" s="23">
        <f>IF(X18="","",X18-N(Y18))</f>
        <v>0</v>
      </c>
      <c r="AB18" s="23">
        <f>IF(B18="","",IF(COUNTIF(Performance!$B$5:$B$404,B18)=0,"",SUMIFS(Performance!$O$5:$O$404,Performance!$B$5:$B$404,B18)))</f>
        <v>0</v>
      </c>
      <c r="AC18" s="23">
        <f>IF(B18="","",IF(COUNTIF(Performance!$B$5:$B$404,B18)=0,"",SUMIFS(Performance!$P$5:$P$404,Performance!$B$5:$B$404,B18)))</f>
        <v>0</v>
      </c>
      <c r="AD18" s="23">
        <f>IF(B18="","",IF(COUNTIF(Performance!$B$5:$B$404,B18)=0,"",SUMIFS(Performance!$Z$5:$Z$404,Performance!$B$5:$B$404,B18)))</f>
        <v>0</v>
      </c>
      <c r="AE18" s="24">
        <f>IF(OR(AB18="",AB18=0),"",AD18/AB18)</f>
        <v>0</v>
      </c>
      <c r="AF18" s="23">
        <f>IF(B18="","",IF(COUNTIF(Performance!$B$5:$B$404,B18)=0,"",SUMIFS(Performance!$T$5:$T$404,Performance!$B$5:$B$404,B18)))</f>
        <v>0</v>
      </c>
      <c r="AG18" s="23">
        <f>IF(B18="","",IF(COUNTIF(Performance!$B$5:$B$404,B18)=0,"",SUMIFS(Performance!$S$5:$S$404,Performance!$B$5:$B$404,B18)))</f>
        <v>0</v>
      </c>
      <c r="AH18" s="23">
        <f>IF(B18="","",IF(COUNTIF(Performance!$B$5:$B$404,B18)=0,"",SUMIFS(Performance!$R$5:$R$404,Performance!$B$5:$B$404,B18)))</f>
        <v>0</v>
      </c>
      <c r="AI18" s="23">
        <f>IF(B18="","",IF(COUNTIF(Performance!$B$5:$B$404,B18)=0,"",SUMIFS(Performance!$U$5:$U$404,Performance!$B$5:$B$404,B18)))</f>
        <v>0</v>
      </c>
      <c r="AJ18" s="29">
        <f>IF(B18="","",IF(C18="Not found","Check - content ID not on the calendar",IF(N18="","Add - no thumbnail",IF(AND(W18&lt;&gt;"",W18&lt;0.03),"Review - thumbnail click rate is low",IF(AND(V18&lt;&gt;"",V18&lt;0.3),"Review - viewers leave early","OK")))))</f>
        <v>0</v>
      </c>
    </row>
    <row r="19" spans="1:36">
      <c r="A19" s="41">
        <f>IF(B19="","","YT-"&amp;TEXT(ROW()-4,"000"))</f>
        <v>0</v>
      </c>
      <c r="C19" s="17">
        <f>IF(B19="","",IFERROR(INDEX('Content Calendar'!$H$5:$H$604,MATCH(B19,'Content Calendar'!$A$5:$A$604,0)),"Not found"))</f>
        <v>0</v>
      </c>
      <c r="D19" s="16">
        <f>IF(B19="","",IFERROR(INDEX('Content Calendar'!$B$5:$B$604,MATCH(B19,'Content Calendar'!$A$5:$A$604,0)),"Not found"))</f>
        <v>0</v>
      </c>
      <c r="E19" s="17">
        <f>IF(B19="","",IFERROR(INDEX('Content Calendar'!$J$5:$J$604,MATCH(B19,'Content Calendar'!$A$5:$A$604,0)),"Not found"))</f>
        <v>0</v>
      </c>
      <c r="F19" s="29">
        <f>IF(B19="","",IFERROR(INDEX('Content Calendar'!$X$5:$X$604,MATCH(B19,'Content Calendar'!$A$5:$A$604,0)),"Not found"))</f>
        <v>0</v>
      </c>
      <c r="I19" s="23">
        <f>IF(H19="","",LEN(H19))</f>
        <v>0</v>
      </c>
      <c r="Z19" s="23">
        <f>IF(X19="","",X19-N(Y19))</f>
        <v>0</v>
      </c>
      <c r="AB19" s="23">
        <f>IF(B19="","",IF(COUNTIF(Performance!$B$5:$B$404,B19)=0,"",SUMIFS(Performance!$O$5:$O$404,Performance!$B$5:$B$404,B19)))</f>
        <v>0</v>
      </c>
      <c r="AC19" s="23">
        <f>IF(B19="","",IF(COUNTIF(Performance!$B$5:$B$404,B19)=0,"",SUMIFS(Performance!$P$5:$P$404,Performance!$B$5:$B$404,B19)))</f>
        <v>0</v>
      </c>
      <c r="AD19" s="23">
        <f>IF(B19="","",IF(COUNTIF(Performance!$B$5:$B$404,B19)=0,"",SUMIFS(Performance!$Z$5:$Z$404,Performance!$B$5:$B$404,B19)))</f>
        <v>0</v>
      </c>
      <c r="AE19" s="24">
        <f>IF(OR(AB19="",AB19=0),"",AD19/AB19)</f>
        <v>0</v>
      </c>
      <c r="AF19" s="23">
        <f>IF(B19="","",IF(COUNTIF(Performance!$B$5:$B$404,B19)=0,"",SUMIFS(Performance!$T$5:$T$404,Performance!$B$5:$B$404,B19)))</f>
        <v>0</v>
      </c>
      <c r="AG19" s="23">
        <f>IF(B19="","",IF(COUNTIF(Performance!$B$5:$B$404,B19)=0,"",SUMIFS(Performance!$S$5:$S$404,Performance!$B$5:$B$404,B19)))</f>
        <v>0</v>
      </c>
      <c r="AH19" s="23">
        <f>IF(B19="","",IF(COUNTIF(Performance!$B$5:$B$404,B19)=0,"",SUMIFS(Performance!$R$5:$R$404,Performance!$B$5:$B$404,B19)))</f>
        <v>0</v>
      </c>
      <c r="AI19" s="23">
        <f>IF(B19="","",IF(COUNTIF(Performance!$B$5:$B$404,B19)=0,"",SUMIFS(Performance!$U$5:$U$404,Performance!$B$5:$B$404,B19)))</f>
        <v>0</v>
      </c>
      <c r="AJ19" s="29">
        <f>IF(B19="","",IF(C19="Not found","Check - content ID not on the calendar",IF(N19="","Add - no thumbnail",IF(AND(W19&lt;&gt;"",W19&lt;0.03),"Review - thumbnail click rate is low",IF(AND(V19&lt;&gt;"",V19&lt;0.3),"Review - viewers leave early","OK")))))</f>
        <v>0</v>
      </c>
    </row>
    <row r="20" spans="1:36">
      <c r="A20" s="41">
        <f>IF(B20="","","YT-"&amp;TEXT(ROW()-4,"000"))</f>
        <v>0</v>
      </c>
      <c r="C20" s="17">
        <f>IF(B20="","",IFERROR(INDEX('Content Calendar'!$H$5:$H$604,MATCH(B20,'Content Calendar'!$A$5:$A$604,0)),"Not found"))</f>
        <v>0</v>
      </c>
      <c r="D20" s="16">
        <f>IF(B20="","",IFERROR(INDEX('Content Calendar'!$B$5:$B$604,MATCH(B20,'Content Calendar'!$A$5:$A$604,0)),"Not found"))</f>
        <v>0</v>
      </c>
      <c r="E20" s="17">
        <f>IF(B20="","",IFERROR(INDEX('Content Calendar'!$J$5:$J$604,MATCH(B20,'Content Calendar'!$A$5:$A$604,0)),"Not found"))</f>
        <v>0</v>
      </c>
      <c r="F20" s="29">
        <f>IF(B20="","",IFERROR(INDEX('Content Calendar'!$X$5:$X$604,MATCH(B20,'Content Calendar'!$A$5:$A$604,0)),"Not found"))</f>
        <v>0</v>
      </c>
      <c r="I20" s="23">
        <f>IF(H20="","",LEN(H20))</f>
        <v>0</v>
      </c>
      <c r="Z20" s="23">
        <f>IF(X20="","",X20-N(Y20))</f>
        <v>0</v>
      </c>
      <c r="AB20" s="23">
        <f>IF(B20="","",IF(COUNTIF(Performance!$B$5:$B$404,B20)=0,"",SUMIFS(Performance!$O$5:$O$404,Performance!$B$5:$B$404,B20)))</f>
        <v>0</v>
      </c>
      <c r="AC20" s="23">
        <f>IF(B20="","",IF(COUNTIF(Performance!$B$5:$B$404,B20)=0,"",SUMIFS(Performance!$P$5:$P$404,Performance!$B$5:$B$404,B20)))</f>
        <v>0</v>
      </c>
      <c r="AD20" s="23">
        <f>IF(B20="","",IF(COUNTIF(Performance!$B$5:$B$404,B20)=0,"",SUMIFS(Performance!$Z$5:$Z$404,Performance!$B$5:$B$404,B20)))</f>
        <v>0</v>
      </c>
      <c r="AE20" s="24">
        <f>IF(OR(AB20="",AB20=0),"",AD20/AB20)</f>
        <v>0</v>
      </c>
      <c r="AF20" s="23">
        <f>IF(B20="","",IF(COUNTIF(Performance!$B$5:$B$404,B20)=0,"",SUMIFS(Performance!$T$5:$T$404,Performance!$B$5:$B$404,B20)))</f>
        <v>0</v>
      </c>
      <c r="AG20" s="23">
        <f>IF(B20="","",IF(COUNTIF(Performance!$B$5:$B$404,B20)=0,"",SUMIFS(Performance!$S$5:$S$404,Performance!$B$5:$B$404,B20)))</f>
        <v>0</v>
      </c>
      <c r="AH20" s="23">
        <f>IF(B20="","",IF(COUNTIF(Performance!$B$5:$B$404,B20)=0,"",SUMIFS(Performance!$R$5:$R$404,Performance!$B$5:$B$404,B20)))</f>
        <v>0</v>
      </c>
      <c r="AI20" s="23">
        <f>IF(B20="","",IF(COUNTIF(Performance!$B$5:$B$404,B20)=0,"",SUMIFS(Performance!$U$5:$U$404,Performance!$B$5:$B$404,B20)))</f>
        <v>0</v>
      </c>
      <c r="AJ20" s="29">
        <f>IF(B20="","",IF(C20="Not found","Check - content ID not on the calendar",IF(N20="","Add - no thumbnail",IF(AND(W20&lt;&gt;"",W20&lt;0.03),"Review - thumbnail click rate is low",IF(AND(V20&lt;&gt;"",V20&lt;0.3),"Review - viewers leave early","OK")))))</f>
        <v>0</v>
      </c>
    </row>
    <row r="21" spans="1:36">
      <c r="A21" s="41">
        <f>IF(B21="","","YT-"&amp;TEXT(ROW()-4,"000"))</f>
        <v>0</v>
      </c>
      <c r="C21" s="17">
        <f>IF(B21="","",IFERROR(INDEX('Content Calendar'!$H$5:$H$604,MATCH(B21,'Content Calendar'!$A$5:$A$604,0)),"Not found"))</f>
        <v>0</v>
      </c>
      <c r="D21" s="16">
        <f>IF(B21="","",IFERROR(INDEX('Content Calendar'!$B$5:$B$604,MATCH(B21,'Content Calendar'!$A$5:$A$604,0)),"Not found"))</f>
        <v>0</v>
      </c>
      <c r="E21" s="17">
        <f>IF(B21="","",IFERROR(INDEX('Content Calendar'!$J$5:$J$604,MATCH(B21,'Content Calendar'!$A$5:$A$604,0)),"Not found"))</f>
        <v>0</v>
      </c>
      <c r="F21" s="29">
        <f>IF(B21="","",IFERROR(INDEX('Content Calendar'!$X$5:$X$604,MATCH(B21,'Content Calendar'!$A$5:$A$604,0)),"Not found"))</f>
        <v>0</v>
      </c>
      <c r="I21" s="23">
        <f>IF(H21="","",LEN(H21))</f>
        <v>0</v>
      </c>
      <c r="Z21" s="23">
        <f>IF(X21="","",X21-N(Y21))</f>
        <v>0</v>
      </c>
      <c r="AB21" s="23">
        <f>IF(B21="","",IF(COUNTIF(Performance!$B$5:$B$404,B21)=0,"",SUMIFS(Performance!$O$5:$O$404,Performance!$B$5:$B$404,B21)))</f>
        <v>0</v>
      </c>
      <c r="AC21" s="23">
        <f>IF(B21="","",IF(COUNTIF(Performance!$B$5:$B$404,B21)=0,"",SUMIFS(Performance!$P$5:$P$404,Performance!$B$5:$B$404,B21)))</f>
        <v>0</v>
      </c>
      <c r="AD21" s="23">
        <f>IF(B21="","",IF(COUNTIF(Performance!$B$5:$B$404,B21)=0,"",SUMIFS(Performance!$Z$5:$Z$404,Performance!$B$5:$B$404,B21)))</f>
        <v>0</v>
      </c>
      <c r="AE21" s="24">
        <f>IF(OR(AB21="",AB21=0),"",AD21/AB21)</f>
        <v>0</v>
      </c>
      <c r="AF21" s="23">
        <f>IF(B21="","",IF(COUNTIF(Performance!$B$5:$B$404,B21)=0,"",SUMIFS(Performance!$T$5:$T$404,Performance!$B$5:$B$404,B21)))</f>
        <v>0</v>
      </c>
      <c r="AG21" s="23">
        <f>IF(B21="","",IF(COUNTIF(Performance!$B$5:$B$404,B21)=0,"",SUMIFS(Performance!$S$5:$S$404,Performance!$B$5:$B$404,B21)))</f>
        <v>0</v>
      </c>
      <c r="AH21" s="23">
        <f>IF(B21="","",IF(COUNTIF(Performance!$B$5:$B$404,B21)=0,"",SUMIFS(Performance!$R$5:$R$404,Performance!$B$5:$B$404,B21)))</f>
        <v>0</v>
      </c>
      <c r="AI21" s="23">
        <f>IF(B21="","",IF(COUNTIF(Performance!$B$5:$B$404,B21)=0,"",SUMIFS(Performance!$U$5:$U$404,Performance!$B$5:$B$404,B21)))</f>
        <v>0</v>
      </c>
      <c r="AJ21" s="29">
        <f>IF(B21="","",IF(C21="Not found","Check - content ID not on the calendar",IF(N21="","Add - no thumbnail",IF(AND(W21&lt;&gt;"",W21&lt;0.03),"Review - thumbnail click rate is low",IF(AND(V21&lt;&gt;"",V21&lt;0.3),"Review - viewers leave early","OK")))))</f>
        <v>0</v>
      </c>
    </row>
    <row r="22" spans="1:36">
      <c r="A22" s="41">
        <f>IF(B22="","","YT-"&amp;TEXT(ROW()-4,"000"))</f>
        <v>0</v>
      </c>
      <c r="C22" s="17">
        <f>IF(B22="","",IFERROR(INDEX('Content Calendar'!$H$5:$H$604,MATCH(B22,'Content Calendar'!$A$5:$A$604,0)),"Not found"))</f>
        <v>0</v>
      </c>
      <c r="D22" s="16">
        <f>IF(B22="","",IFERROR(INDEX('Content Calendar'!$B$5:$B$604,MATCH(B22,'Content Calendar'!$A$5:$A$604,0)),"Not found"))</f>
        <v>0</v>
      </c>
      <c r="E22" s="17">
        <f>IF(B22="","",IFERROR(INDEX('Content Calendar'!$J$5:$J$604,MATCH(B22,'Content Calendar'!$A$5:$A$604,0)),"Not found"))</f>
        <v>0</v>
      </c>
      <c r="F22" s="29">
        <f>IF(B22="","",IFERROR(INDEX('Content Calendar'!$X$5:$X$604,MATCH(B22,'Content Calendar'!$A$5:$A$604,0)),"Not found"))</f>
        <v>0</v>
      </c>
      <c r="I22" s="23">
        <f>IF(H22="","",LEN(H22))</f>
        <v>0</v>
      </c>
      <c r="Z22" s="23">
        <f>IF(X22="","",X22-N(Y22))</f>
        <v>0</v>
      </c>
      <c r="AB22" s="23">
        <f>IF(B22="","",IF(COUNTIF(Performance!$B$5:$B$404,B22)=0,"",SUMIFS(Performance!$O$5:$O$404,Performance!$B$5:$B$404,B22)))</f>
        <v>0</v>
      </c>
      <c r="AC22" s="23">
        <f>IF(B22="","",IF(COUNTIF(Performance!$B$5:$B$404,B22)=0,"",SUMIFS(Performance!$P$5:$P$404,Performance!$B$5:$B$404,B22)))</f>
        <v>0</v>
      </c>
      <c r="AD22" s="23">
        <f>IF(B22="","",IF(COUNTIF(Performance!$B$5:$B$404,B22)=0,"",SUMIFS(Performance!$Z$5:$Z$404,Performance!$B$5:$B$404,B22)))</f>
        <v>0</v>
      </c>
      <c r="AE22" s="24">
        <f>IF(OR(AB22="",AB22=0),"",AD22/AB22)</f>
        <v>0</v>
      </c>
      <c r="AF22" s="23">
        <f>IF(B22="","",IF(COUNTIF(Performance!$B$5:$B$404,B22)=0,"",SUMIFS(Performance!$T$5:$T$404,Performance!$B$5:$B$404,B22)))</f>
        <v>0</v>
      </c>
      <c r="AG22" s="23">
        <f>IF(B22="","",IF(COUNTIF(Performance!$B$5:$B$404,B22)=0,"",SUMIFS(Performance!$S$5:$S$404,Performance!$B$5:$B$404,B22)))</f>
        <v>0</v>
      </c>
      <c r="AH22" s="23">
        <f>IF(B22="","",IF(COUNTIF(Performance!$B$5:$B$404,B22)=0,"",SUMIFS(Performance!$R$5:$R$404,Performance!$B$5:$B$404,B22)))</f>
        <v>0</v>
      </c>
      <c r="AI22" s="23">
        <f>IF(B22="","",IF(COUNTIF(Performance!$B$5:$B$404,B22)=0,"",SUMIFS(Performance!$U$5:$U$404,Performance!$B$5:$B$404,B22)))</f>
        <v>0</v>
      </c>
      <c r="AJ22" s="29">
        <f>IF(B22="","",IF(C22="Not found","Check - content ID not on the calendar",IF(N22="","Add - no thumbnail",IF(AND(W22&lt;&gt;"",W22&lt;0.03),"Review - thumbnail click rate is low",IF(AND(V22&lt;&gt;"",V22&lt;0.3),"Review - viewers leave early","OK")))))</f>
        <v>0</v>
      </c>
    </row>
    <row r="23" spans="1:36">
      <c r="A23" s="41">
        <f>IF(B23="","","YT-"&amp;TEXT(ROW()-4,"000"))</f>
        <v>0</v>
      </c>
      <c r="C23" s="17">
        <f>IF(B23="","",IFERROR(INDEX('Content Calendar'!$H$5:$H$604,MATCH(B23,'Content Calendar'!$A$5:$A$604,0)),"Not found"))</f>
        <v>0</v>
      </c>
      <c r="D23" s="16">
        <f>IF(B23="","",IFERROR(INDEX('Content Calendar'!$B$5:$B$604,MATCH(B23,'Content Calendar'!$A$5:$A$604,0)),"Not found"))</f>
        <v>0</v>
      </c>
      <c r="E23" s="17">
        <f>IF(B23="","",IFERROR(INDEX('Content Calendar'!$J$5:$J$604,MATCH(B23,'Content Calendar'!$A$5:$A$604,0)),"Not found"))</f>
        <v>0</v>
      </c>
      <c r="F23" s="29">
        <f>IF(B23="","",IFERROR(INDEX('Content Calendar'!$X$5:$X$604,MATCH(B23,'Content Calendar'!$A$5:$A$604,0)),"Not found"))</f>
        <v>0</v>
      </c>
      <c r="I23" s="23">
        <f>IF(H23="","",LEN(H23))</f>
        <v>0</v>
      </c>
      <c r="Z23" s="23">
        <f>IF(X23="","",X23-N(Y23))</f>
        <v>0</v>
      </c>
      <c r="AB23" s="23">
        <f>IF(B23="","",IF(COUNTIF(Performance!$B$5:$B$404,B23)=0,"",SUMIFS(Performance!$O$5:$O$404,Performance!$B$5:$B$404,B23)))</f>
        <v>0</v>
      </c>
      <c r="AC23" s="23">
        <f>IF(B23="","",IF(COUNTIF(Performance!$B$5:$B$404,B23)=0,"",SUMIFS(Performance!$P$5:$P$404,Performance!$B$5:$B$404,B23)))</f>
        <v>0</v>
      </c>
      <c r="AD23" s="23">
        <f>IF(B23="","",IF(COUNTIF(Performance!$B$5:$B$404,B23)=0,"",SUMIFS(Performance!$Z$5:$Z$404,Performance!$B$5:$B$404,B23)))</f>
        <v>0</v>
      </c>
      <c r="AE23" s="24">
        <f>IF(OR(AB23="",AB23=0),"",AD23/AB23)</f>
        <v>0</v>
      </c>
      <c r="AF23" s="23">
        <f>IF(B23="","",IF(COUNTIF(Performance!$B$5:$B$404,B23)=0,"",SUMIFS(Performance!$T$5:$T$404,Performance!$B$5:$B$404,B23)))</f>
        <v>0</v>
      </c>
      <c r="AG23" s="23">
        <f>IF(B23="","",IF(COUNTIF(Performance!$B$5:$B$404,B23)=0,"",SUMIFS(Performance!$S$5:$S$404,Performance!$B$5:$B$404,B23)))</f>
        <v>0</v>
      </c>
      <c r="AH23" s="23">
        <f>IF(B23="","",IF(COUNTIF(Performance!$B$5:$B$404,B23)=0,"",SUMIFS(Performance!$R$5:$R$404,Performance!$B$5:$B$404,B23)))</f>
        <v>0</v>
      </c>
      <c r="AI23" s="23">
        <f>IF(B23="","",IF(COUNTIF(Performance!$B$5:$B$404,B23)=0,"",SUMIFS(Performance!$U$5:$U$404,Performance!$B$5:$B$404,B23)))</f>
        <v>0</v>
      </c>
      <c r="AJ23" s="29">
        <f>IF(B23="","",IF(C23="Not found","Check - content ID not on the calendar",IF(N23="","Add - no thumbnail",IF(AND(W23&lt;&gt;"",W23&lt;0.03),"Review - thumbnail click rate is low",IF(AND(V23&lt;&gt;"",V23&lt;0.3),"Review - viewers leave early","OK")))))</f>
        <v>0</v>
      </c>
    </row>
    <row r="24" spans="1:36">
      <c r="A24" s="41">
        <f>IF(B24="","","YT-"&amp;TEXT(ROW()-4,"000"))</f>
        <v>0</v>
      </c>
      <c r="C24" s="17">
        <f>IF(B24="","",IFERROR(INDEX('Content Calendar'!$H$5:$H$604,MATCH(B24,'Content Calendar'!$A$5:$A$604,0)),"Not found"))</f>
        <v>0</v>
      </c>
      <c r="D24" s="16">
        <f>IF(B24="","",IFERROR(INDEX('Content Calendar'!$B$5:$B$604,MATCH(B24,'Content Calendar'!$A$5:$A$604,0)),"Not found"))</f>
        <v>0</v>
      </c>
      <c r="E24" s="17">
        <f>IF(B24="","",IFERROR(INDEX('Content Calendar'!$J$5:$J$604,MATCH(B24,'Content Calendar'!$A$5:$A$604,0)),"Not found"))</f>
        <v>0</v>
      </c>
      <c r="F24" s="29">
        <f>IF(B24="","",IFERROR(INDEX('Content Calendar'!$X$5:$X$604,MATCH(B24,'Content Calendar'!$A$5:$A$604,0)),"Not found"))</f>
        <v>0</v>
      </c>
      <c r="I24" s="23">
        <f>IF(H24="","",LEN(H24))</f>
        <v>0</v>
      </c>
      <c r="Z24" s="23">
        <f>IF(X24="","",X24-N(Y24))</f>
        <v>0</v>
      </c>
      <c r="AB24" s="23">
        <f>IF(B24="","",IF(COUNTIF(Performance!$B$5:$B$404,B24)=0,"",SUMIFS(Performance!$O$5:$O$404,Performance!$B$5:$B$404,B24)))</f>
        <v>0</v>
      </c>
      <c r="AC24" s="23">
        <f>IF(B24="","",IF(COUNTIF(Performance!$B$5:$B$404,B24)=0,"",SUMIFS(Performance!$P$5:$P$404,Performance!$B$5:$B$404,B24)))</f>
        <v>0</v>
      </c>
      <c r="AD24" s="23">
        <f>IF(B24="","",IF(COUNTIF(Performance!$B$5:$B$404,B24)=0,"",SUMIFS(Performance!$Z$5:$Z$404,Performance!$B$5:$B$404,B24)))</f>
        <v>0</v>
      </c>
      <c r="AE24" s="24">
        <f>IF(OR(AB24="",AB24=0),"",AD24/AB24)</f>
        <v>0</v>
      </c>
      <c r="AF24" s="23">
        <f>IF(B24="","",IF(COUNTIF(Performance!$B$5:$B$404,B24)=0,"",SUMIFS(Performance!$T$5:$T$404,Performance!$B$5:$B$404,B24)))</f>
        <v>0</v>
      </c>
      <c r="AG24" s="23">
        <f>IF(B24="","",IF(COUNTIF(Performance!$B$5:$B$404,B24)=0,"",SUMIFS(Performance!$S$5:$S$404,Performance!$B$5:$B$404,B24)))</f>
        <v>0</v>
      </c>
      <c r="AH24" s="23">
        <f>IF(B24="","",IF(COUNTIF(Performance!$B$5:$B$404,B24)=0,"",SUMIFS(Performance!$R$5:$R$404,Performance!$B$5:$B$404,B24)))</f>
        <v>0</v>
      </c>
      <c r="AI24" s="23">
        <f>IF(B24="","",IF(COUNTIF(Performance!$B$5:$B$404,B24)=0,"",SUMIFS(Performance!$U$5:$U$404,Performance!$B$5:$B$404,B24)))</f>
        <v>0</v>
      </c>
      <c r="AJ24" s="29">
        <f>IF(B24="","",IF(C24="Not found","Check - content ID not on the calendar",IF(N24="","Add - no thumbnail",IF(AND(W24&lt;&gt;"",W24&lt;0.03),"Review - thumbnail click rate is low",IF(AND(V24&lt;&gt;"",V24&lt;0.3),"Review - viewers leave early","OK")))))</f>
        <v>0</v>
      </c>
    </row>
    <row r="25" spans="1:36">
      <c r="A25" s="41">
        <f>IF(B25="","","YT-"&amp;TEXT(ROW()-4,"000"))</f>
        <v>0</v>
      </c>
      <c r="C25" s="17">
        <f>IF(B25="","",IFERROR(INDEX('Content Calendar'!$H$5:$H$604,MATCH(B25,'Content Calendar'!$A$5:$A$604,0)),"Not found"))</f>
        <v>0</v>
      </c>
      <c r="D25" s="16">
        <f>IF(B25="","",IFERROR(INDEX('Content Calendar'!$B$5:$B$604,MATCH(B25,'Content Calendar'!$A$5:$A$604,0)),"Not found"))</f>
        <v>0</v>
      </c>
      <c r="E25" s="17">
        <f>IF(B25="","",IFERROR(INDEX('Content Calendar'!$J$5:$J$604,MATCH(B25,'Content Calendar'!$A$5:$A$604,0)),"Not found"))</f>
        <v>0</v>
      </c>
      <c r="F25" s="29">
        <f>IF(B25="","",IFERROR(INDEX('Content Calendar'!$X$5:$X$604,MATCH(B25,'Content Calendar'!$A$5:$A$604,0)),"Not found"))</f>
        <v>0</v>
      </c>
      <c r="I25" s="23">
        <f>IF(H25="","",LEN(H25))</f>
        <v>0</v>
      </c>
      <c r="Z25" s="23">
        <f>IF(X25="","",X25-N(Y25))</f>
        <v>0</v>
      </c>
      <c r="AB25" s="23">
        <f>IF(B25="","",IF(COUNTIF(Performance!$B$5:$B$404,B25)=0,"",SUMIFS(Performance!$O$5:$O$404,Performance!$B$5:$B$404,B25)))</f>
        <v>0</v>
      </c>
      <c r="AC25" s="23">
        <f>IF(B25="","",IF(COUNTIF(Performance!$B$5:$B$404,B25)=0,"",SUMIFS(Performance!$P$5:$P$404,Performance!$B$5:$B$404,B25)))</f>
        <v>0</v>
      </c>
      <c r="AD25" s="23">
        <f>IF(B25="","",IF(COUNTIF(Performance!$B$5:$B$404,B25)=0,"",SUMIFS(Performance!$Z$5:$Z$404,Performance!$B$5:$B$404,B25)))</f>
        <v>0</v>
      </c>
      <c r="AE25" s="24">
        <f>IF(OR(AB25="",AB25=0),"",AD25/AB25)</f>
        <v>0</v>
      </c>
      <c r="AF25" s="23">
        <f>IF(B25="","",IF(COUNTIF(Performance!$B$5:$B$404,B25)=0,"",SUMIFS(Performance!$T$5:$T$404,Performance!$B$5:$B$404,B25)))</f>
        <v>0</v>
      </c>
      <c r="AG25" s="23">
        <f>IF(B25="","",IF(COUNTIF(Performance!$B$5:$B$404,B25)=0,"",SUMIFS(Performance!$S$5:$S$404,Performance!$B$5:$B$404,B25)))</f>
        <v>0</v>
      </c>
      <c r="AH25" s="23">
        <f>IF(B25="","",IF(COUNTIF(Performance!$B$5:$B$404,B25)=0,"",SUMIFS(Performance!$R$5:$R$404,Performance!$B$5:$B$404,B25)))</f>
        <v>0</v>
      </c>
      <c r="AI25" s="23">
        <f>IF(B25="","",IF(COUNTIF(Performance!$B$5:$B$404,B25)=0,"",SUMIFS(Performance!$U$5:$U$404,Performance!$B$5:$B$404,B25)))</f>
        <v>0</v>
      </c>
      <c r="AJ25" s="29">
        <f>IF(B25="","",IF(C25="Not found","Check - content ID not on the calendar",IF(N25="","Add - no thumbnail",IF(AND(W25&lt;&gt;"",W25&lt;0.03),"Review - thumbnail click rate is low",IF(AND(V25&lt;&gt;"",V25&lt;0.3),"Review - viewers leave early","OK")))))</f>
        <v>0</v>
      </c>
    </row>
    <row r="26" spans="1:36">
      <c r="A26" s="41">
        <f>IF(B26="","","YT-"&amp;TEXT(ROW()-4,"000"))</f>
        <v>0</v>
      </c>
      <c r="C26" s="17">
        <f>IF(B26="","",IFERROR(INDEX('Content Calendar'!$H$5:$H$604,MATCH(B26,'Content Calendar'!$A$5:$A$604,0)),"Not found"))</f>
        <v>0</v>
      </c>
      <c r="D26" s="16">
        <f>IF(B26="","",IFERROR(INDEX('Content Calendar'!$B$5:$B$604,MATCH(B26,'Content Calendar'!$A$5:$A$604,0)),"Not found"))</f>
        <v>0</v>
      </c>
      <c r="E26" s="17">
        <f>IF(B26="","",IFERROR(INDEX('Content Calendar'!$J$5:$J$604,MATCH(B26,'Content Calendar'!$A$5:$A$604,0)),"Not found"))</f>
        <v>0</v>
      </c>
      <c r="F26" s="29">
        <f>IF(B26="","",IFERROR(INDEX('Content Calendar'!$X$5:$X$604,MATCH(B26,'Content Calendar'!$A$5:$A$604,0)),"Not found"))</f>
        <v>0</v>
      </c>
      <c r="I26" s="23">
        <f>IF(H26="","",LEN(H26))</f>
        <v>0</v>
      </c>
      <c r="Z26" s="23">
        <f>IF(X26="","",X26-N(Y26))</f>
        <v>0</v>
      </c>
      <c r="AB26" s="23">
        <f>IF(B26="","",IF(COUNTIF(Performance!$B$5:$B$404,B26)=0,"",SUMIFS(Performance!$O$5:$O$404,Performance!$B$5:$B$404,B26)))</f>
        <v>0</v>
      </c>
      <c r="AC26" s="23">
        <f>IF(B26="","",IF(COUNTIF(Performance!$B$5:$B$404,B26)=0,"",SUMIFS(Performance!$P$5:$P$404,Performance!$B$5:$B$404,B26)))</f>
        <v>0</v>
      </c>
      <c r="AD26" s="23">
        <f>IF(B26="","",IF(COUNTIF(Performance!$B$5:$B$404,B26)=0,"",SUMIFS(Performance!$Z$5:$Z$404,Performance!$B$5:$B$404,B26)))</f>
        <v>0</v>
      </c>
      <c r="AE26" s="24">
        <f>IF(OR(AB26="",AB26=0),"",AD26/AB26)</f>
        <v>0</v>
      </c>
      <c r="AF26" s="23">
        <f>IF(B26="","",IF(COUNTIF(Performance!$B$5:$B$404,B26)=0,"",SUMIFS(Performance!$T$5:$T$404,Performance!$B$5:$B$404,B26)))</f>
        <v>0</v>
      </c>
      <c r="AG26" s="23">
        <f>IF(B26="","",IF(COUNTIF(Performance!$B$5:$B$404,B26)=0,"",SUMIFS(Performance!$S$5:$S$404,Performance!$B$5:$B$404,B26)))</f>
        <v>0</v>
      </c>
      <c r="AH26" s="23">
        <f>IF(B26="","",IF(COUNTIF(Performance!$B$5:$B$404,B26)=0,"",SUMIFS(Performance!$R$5:$R$404,Performance!$B$5:$B$404,B26)))</f>
        <v>0</v>
      </c>
      <c r="AI26" s="23">
        <f>IF(B26="","",IF(COUNTIF(Performance!$B$5:$B$404,B26)=0,"",SUMIFS(Performance!$U$5:$U$404,Performance!$B$5:$B$404,B26)))</f>
        <v>0</v>
      </c>
      <c r="AJ26" s="29">
        <f>IF(B26="","",IF(C26="Not found","Check - content ID not on the calendar",IF(N26="","Add - no thumbnail",IF(AND(W26&lt;&gt;"",W26&lt;0.03),"Review - thumbnail click rate is low",IF(AND(V26&lt;&gt;"",V26&lt;0.3),"Review - viewers leave early","OK")))))</f>
        <v>0</v>
      </c>
    </row>
    <row r="27" spans="1:36">
      <c r="A27" s="41">
        <f>IF(B27="","","YT-"&amp;TEXT(ROW()-4,"000"))</f>
        <v>0</v>
      </c>
      <c r="C27" s="17">
        <f>IF(B27="","",IFERROR(INDEX('Content Calendar'!$H$5:$H$604,MATCH(B27,'Content Calendar'!$A$5:$A$604,0)),"Not found"))</f>
        <v>0</v>
      </c>
      <c r="D27" s="16">
        <f>IF(B27="","",IFERROR(INDEX('Content Calendar'!$B$5:$B$604,MATCH(B27,'Content Calendar'!$A$5:$A$604,0)),"Not found"))</f>
        <v>0</v>
      </c>
      <c r="E27" s="17">
        <f>IF(B27="","",IFERROR(INDEX('Content Calendar'!$J$5:$J$604,MATCH(B27,'Content Calendar'!$A$5:$A$604,0)),"Not found"))</f>
        <v>0</v>
      </c>
      <c r="F27" s="29">
        <f>IF(B27="","",IFERROR(INDEX('Content Calendar'!$X$5:$X$604,MATCH(B27,'Content Calendar'!$A$5:$A$604,0)),"Not found"))</f>
        <v>0</v>
      </c>
      <c r="I27" s="23">
        <f>IF(H27="","",LEN(H27))</f>
        <v>0</v>
      </c>
      <c r="Z27" s="23">
        <f>IF(X27="","",X27-N(Y27))</f>
        <v>0</v>
      </c>
      <c r="AB27" s="23">
        <f>IF(B27="","",IF(COUNTIF(Performance!$B$5:$B$404,B27)=0,"",SUMIFS(Performance!$O$5:$O$404,Performance!$B$5:$B$404,B27)))</f>
        <v>0</v>
      </c>
      <c r="AC27" s="23">
        <f>IF(B27="","",IF(COUNTIF(Performance!$B$5:$B$404,B27)=0,"",SUMIFS(Performance!$P$5:$P$404,Performance!$B$5:$B$404,B27)))</f>
        <v>0</v>
      </c>
      <c r="AD27" s="23">
        <f>IF(B27="","",IF(COUNTIF(Performance!$B$5:$B$404,B27)=0,"",SUMIFS(Performance!$Z$5:$Z$404,Performance!$B$5:$B$404,B27)))</f>
        <v>0</v>
      </c>
      <c r="AE27" s="24">
        <f>IF(OR(AB27="",AB27=0),"",AD27/AB27)</f>
        <v>0</v>
      </c>
      <c r="AF27" s="23">
        <f>IF(B27="","",IF(COUNTIF(Performance!$B$5:$B$404,B27)=0,"",SUMIFS(Performance!$T$5:$T$404,Performance!$B$5:$B$404,B27)))</f>
        <v>0</v>
      </c>
      <c r="AG27" s="23">
        <f>IF(B27="","",IF(COUNTIF(Performance!$B$5:$B$404,B27)=0,"",SUMIFS(Performance!$S$5:$S$404,Performance!$B$5:$B$404,B27)))</f>
        <v>0</v>
      </c>
      <c r="AH27" s="23">
        <f>IF(B27="","",IF(COUNTIF(Performance!$B$5:$B$404,B27)=0,"",SUMIFS(Performance!$R$5:$R$404,Performance!$B$5:$B$404,B27)))</f>
        <v>0</v>
      </c>
      <c r="AI27" s="23">
        <f>IF(B27="","",IF(COUNTIF(Performance!$B$5:$B$404,B27)=0,"",SUMIFS(Performance!$U$5:$U$404,Performance!$B$5:$B$404,B27)))</f>
        <v>0</v>
      </c>
      <c r="AJ27" s="29">
        <f>IF(B27="","",IF(C27="Not found","Check - content ID not on the calendar",IF(N27="","Add - no thumbnail",IF(AND(W27&lt;&gt;"",W27&lt;0.03),"Review - thumbnail click rate is low",IF(AND(V27&lt;&gt;"",V27&lt;0.3),"Review - viewers leave early","OK")))))</f>
        <v>0</v>
      </c>
    </row>
    <row r="28" spans="1:36">
      <c r="A28" s="41">
        <f>IF(B28="","","YT-"&amp;TEXT(ROW()-4,"000"))</f>
        <v>0</v>
      </c>
      <c r="C28" s="17">
        <f>IF(B28="","",IFERROR(INDEX('Content Calendar'!$H$5:$H$604,MATCH(B28,'Content Calendar'!$A$5:$A$604,0)),"Not found"))</f>
        <v>0</v>
      </c>
      <c r="D28" s="16">
        <f>IF(B28="","",IFERROR(INDEX('Content Calendar'!$B$5:$B$604,MATCH(B28,'Content Calendar'!$A$5:$A$604,0)),"Not found"))</f>
        <v>0</v>
      </c>
      <c r="E28" s="17">
        <f>IF(B28="","",IFERROR(INDEX('Content Calendar'!$J$5:$J$604,MATCH(B28,'Content Calendar'!$A$5:$A$604,0)),"Not found"))</f>
        <v>0</v>
      </c>
      <c r="F28" s="29">
        <f>IF(B28="","",IFERROR(INDEX('Content Calendar'!$X$5:$X$604,MATCH(B28,'Content Calendar'!$A$5:$A$604,0)),"Not found"))</f>
        <v>0</v>
      </c>
      <c r="I28" s="23">
        <f>IF(H28="","",LEN(H28))</f>
        <v>0</v>
      </c>
      <c r="Z28" s="23">
        <f>IF(X28="","",X28-N(Y28))</f>
        <v>0</v>
      </c>
      <c r="AB28" s="23">
        <f>IF(B28="","",IF(COUNTIF(Performance!$B$5:$B$404,B28)=0,"",SUMIFS(Performance!$O$5:$O$404,Performance!$B$5:$B$404,B28)))</f>
        <v>0</v>
      </c>
      <c r="AC28" s="23">
        <f>IF(B28="","",IF(COUNTIF(Performance!$B$5:$B$404,B28)=0,"",SUMIFS(Performance!$P$5:$P$404,Performance!$B$5:$B$404,B28)))</f>
        <v>0</v>
      </c>
      <c r="AD28" s="23">
        <f>IF(B28="","",IF(COUNTIF(Performance!$B$5:$B$404,B28)=0,"",SUMIFS(Performance!$Z$5:$Z$404,Performance!$B$5:$B$404,B28)))</f>
        <v>0</v>
      </c>
      <c r="AE28" s="24">
        <f>IF(OR(AB28="",AB28=0),"",AD28/AB28)</f>
        <v>0</v>
      </c>
      <c r="AF28" s="23">
        <f>IF(B28="","",IF(COUNTIF(Performance!$B$5:$B$404,B28)=0,"",SUMIFS(Performance!$T$5:$T$404,Performance!$B$5:$B$404,B28)))</f>
        <v>0</v>
      </c>
      <c r="AG28" s="23">
        <f>IF(B28="","",IF(COUNTIF(Performance!$B$5:$B$404,B28)=0,"",SUMIFS(Performance!$S$5:$S$404,Performance!$B$5:$B$404,B28)))</f>
        <v>0</v>
      </c>
      <c r="AH28" s="23">
        <f>IF(B28="","",IF(COUNTIF(Performance!$B$5:$B$404,B28)=0,"",SUMIFS(Performance!$R$5:$R$404,Performance!$B$5:$B$404,B28)))</f>
        <v>0</v>
      </c>
      <c r="AI28" s="23">
        <f>IF(B28="","",IF(COUNTIF(Performance!$B$5:$B$404,B28)=0,"",SUMIFS(Performance!$U$5:$U$404,Performance!$B$5:$B$404,B28)))</f>
        <v>0</v>
      </c>
      <c r="AJ28" s="29">
        <f>IF(B28="","",IF(C28="Not found","Check - content ID not on the calendar",IF(N28="","Add - no thumbnail",IF(AND(W28&lt;&gt;"",W28&lt;0.03),"Review - thumbnail click rate is low",IF(AND(V28&lt;&gt;"",V28&lt;0.3),"Review - viewers leave early","OK")))))</f>
        <v>0</v>
      </c>
    </row>
    <row r="29" spans="1:36">
      <c r="A29" s="41">
        <f>IF(B29="","","YT-"&amp;TEXT(ROW()-4,"000"))</f>
        <v>0</v>
      </c>
      <c r="C29" s="17">
        <f>IF(B29="","",IFERROR(INDEX('Content Calendar'!$H$5:$H$604,MATCH(B29,'Content Calendar'!$A$5:$A$604,0)),"Not found"))</f>
        <v>0</v>
      </c>
      <c r="D29" s="16">
        <f>IF(B29="","",IFERROR(INDEX('Content Calendar'!$B$5:$B$604,MATCH(B29,'Content Calendar'!$A$5:$A$604,0)),"Not found"))</f>
        <v>0</v>
      </c>
      <c r="E29" s="17">
        <f>IF(B29="","",IFERROR(INDEX('Content Calendar'!$J$5:$J$604,MATCH(B29,'Content Calendar'!$A$5:$A$604,0)),"Not found"))</f>
        <v>0</v>
      </c>
      <c r="F29" s="29">
        <f>IF(B29="","",IFERROR(INDEX('Content Calendar'!$X$5:$X$604,MATCH(B29,'Content Calendar'!$A$5:$A$604,0)),"Not found"))</f>
        <v>0</v>
      </c>
      <c r="I29" s="23">
        <f>IF(H29="","",LEN(H29))</f>
        <v>0</v>
      </c>
      <c r="Z29" s="23">
        <f>IF(X29="","",X29-N(Y29))</f>
        <v>0</v>
      </c>
      <c r="AB29" s="23">
        <f>IF(B29="","",IF(COUNTIF(Performance!$B$5:$B$404,B29)=0,"",SUMIFS(Performance!$O$5:$O$404,Performance!$B$5:$B$404,B29)))</f>
        <v>0</v>
      </c>
      <c r="AC29" s="23">
        <f>IF(B29="","",IF(COUNTIF(Performance!$B$5:$B$404,B29)=0,"",SUMIFS(Performance!$P$5:$P$404,Performance!$B$5:$B$404,B29)))</f>
        <v>0</v>
      </c>
      <c r="AD29" s="23">
        <f>IF(B29="","",IF(COUNTIF(Performance!$B$5:$B$404,B29)=0,"",SUMIFS(Performance!$Z$5:$Z$404,Performance!$B$5:$B$404,B29)))</f>
        <v>0</v>
      </c>
      <c r="AE29" s="24">
        <f>IF(OR(AB29="",AB29=0),"",AD29/AB29)</f>
        <v>0</v>
      </c>
      <c r="AF29" s="23">
        <f>IF(B29="","",IF(COUNTIF(Performance!$B$5:$B$404,B29)=0,"",SUMIFS(Performance!$T$5:$T$404,Performance!$B$5:$B$404,B29)))</f>
        <v>0</v>
      </c>
      <c r="AG29" s="23">
        <f>IF(B29="","",IF(COUNTIF(Performance!$B$5:$B$404,B29)=0,"",SUMIFS(Performance!$S$5:$S$404,Performance!$B$5:$B$404,B29)))</f>
        <v>0</v>
      </c>
      <c r="AH29" s="23">
        <f>IF(B29="","",IF(COUNTIF(Performance!$B$5:$B$404,B29)=0,"",SUMIFS(Performance!$R$5:$R$404,Performance!$B$5:$B$404,B29)))</f>
        <v>0</v>
      </c>
      <c r="AI29" s="23">
        <f>IF(B29="","",IF(COUNTIF(Performance!$B$5:$B$404,B29)=0,"",SUMIFS(Performance!$U$5:$U$404,Performance!$B$5:$B$404,B29)))</f>
        <v>0</v>
      </c>
      <c r="AJ29" s="29">
        <f>IF(B29="","",IF(C29="Not found","Check - content ID not on the calendar",IF(N29="","Add - no thumbnail",IF(AND(W29&lt;&gt;"",W29&lt;0.03),"Review - thumbnail click rate is low",IF(AND(V29&lt;&gt;"",V29&lt;0.3),"Review - viewers leave early","OK")))))</f>
        <v>0</v>
      </c>
    </row>
    <row r="30" spans="1:36">
      <c r="A30" s="41">
        <f>IF(B30="","","YT-"&amp;TEXT(ROW()-4,"000"))</f>
        <v>0</v>
      </c>
      <c r="C30" s="17">
        <f>IF(B30="","",IFERROR(INDEX('Content Calendar'!$H$5:$H$604,MATCH(B30,'Content Calendar'!$A$5:$A$604,0)),"Not found"))</f>
        <v>0</v>
      </c>
      <c r="D30" s="16">
        <f>IF(B30="","",IFERROR(INDEX('Content Calendar'!$B$5:$B$604,MATCH(B30,'Content Calendar'!$A$5:$A$604,0)),"Not found"))</f>
        <v>0</v>
      </c>
      <c r="E30" s="17">
        <f>IF(B30="","",IFERROR(INDEX('Content Calendar'!$J$5:$J$604,MATCH(B30,'Content Calendar'!$A$5:$A$604,0)),"Not found"))</f>
        <v>0</v>
      </c>
      <c r="F30" s="29">
        <f>IF(B30="","",IFERROR(INDEX('Content Calendar'!$X$5:$X$604,MATCH(B30,'Content Calendar'!$A$5:$A$604,0)),"Not found"))</f>
        <v>0</v>
      </c>
      <c r="I30" s="23">
        <f>IF(H30="","",LEN(H30))</f>
        <v>0</v>
      </c>
      <c r="Z30" s="23">
        <f>IF(X30="","",X30-N(Y30))</f>
        <v>0</v>
      </c>
      <c r="AB30" s="23">
        <f>IF(B30="","",IF(COUNTIF(Performance!$B$5:$B$404,B30)=0,"",SUMIFS(Performance!$O$5:$O$404,Performance!$B$5:$B$404,B30)))</f>
        <v>0</v>
      </c>
      <c r="AC30" s="23">
        <f>IF(B30="","",IF(COUNTIF(Performance!$B$5:$B$404,B30)=0,"",SUMIFS(Performance!$P$5:$P$404,Performance!$B$5:$B$404,B30)))</f>
        <v>0</v>
      </c>
      <c r="AD30" s="23">
        <f>IF(B30="","",IF(COUNTIF(Performance!$B$5:$B$404,B30)=0,"",SUMIFS(Performance!$Z$5:$Z$404,Performance!$B$5:$B$404,B30)))</f>
        <v>0</v>
      </c>
      <c r="AE30" s="24">
        <f>IF(OR(AB30="",AB30=0),"",AD30/AB30)</f>
        <v>0</v>
      </c>
      <c r="AF30" s="23">
        <f>IF(B30="","",IF(COUNTIF(Performance!$B$5:$B$404,B30)=0,"",SUMIFS(Performance!$T$5:$T$404,Performance!$B$5:$B$404,B30)))</f>
        <v>0</v>
      </c>
      <c r="AG30" s="23">
        <f>IF(B30="","",IF(COUNTIF(Performance!$B$5:$B$404,B30)=0,"",SUMIFS(Performance!$S$5:$S$404,Performance!$B$5:$B$404,B30)))</f>
        <v>0</v>
      </c>
      <c r="AH30" s="23">
        <f>IF(B30="","",IF(COUNTIF(Performance!$B$5:$B$404,B30)=0,"",SUMIFS(Performance!$R$5:$R$404,Performance!$B$5:$B$404,B30)))</f>
        <v>0</v>
      </c>
      <c r="AI30" s="23">
        <f>IF(B30="","",IF(COUNTIF(Performance!$B$5:$B$404,B30)=0,"",SUMIFS(Performance!$U$5:$U$404,Performance!$B$5:$B$404,B30)))</f>
        <v>0</v>
      </c>
      <c r="AJ30" s="29">
        <f>IF(B30="","",IF(C30="Not found","Check - content ID not on the calendar",IF(N30="","Add - no thumbnail",IF(AND(W30&lt;&gt;"",W30&lt;0.03),"Review - thumbnail click rate is low",IF(AND(V30&lt;&gt;"",V30&lt;0.3),"Review - viewers leave early","OK")))))</f>
        <v>0</v>
      </c>
    </row>
    <row r="31" spans="1:36">
      <c r="A31" s="41">
        <f>IF(B31="","","YT-"&amp;TEXT(ROW()-4,"000"))</f>
        <v>0</v>
      </c>
      <c r="C31" s="17">
        <f>IF(B31="","",IFERROR(INDEX('Content Calendar'!$H$5:$H$604,MATCH(B31,'Content Calendar'!$A$5:$A$604,0)),"Not found"))</f>
        <v>0</v>
      </c>
      <c r="D31" s="16">
        <f>IF(B31="","",IFERROR(INDEX('Content Calendar'!$B$5:$B$604,MATCH(B31,'Content Calendar'!$A$5:$A$604,0)),"Not found"))</f>
        <v>0</v>
      </c>
      <c r="E31" s="17">
        <f>IF(B31="","",IFERROR(INDEX('Content Calendar'!$J$5:$J$604,MATCH(B31,'Content Calendar'!$A$5:$A$604,0)),"Not found"))</f>
        <v>0</v>
      </c>
      <c r="F31" s="29">
        <f>IF(B31="","",IFERROR(INDEX('Content Calendar'!$X$5:$X$604,MATCH(B31,'Content Calendar'!$A$5:$A$604,0)),"Not found"))</f>
        <v>0</v>
      </c>
      <c r="I31" s="23">
        <f>IF(H31="","",LEN(H31))</f>
        <v>0</v>
      </c>
      <c r="Z31" s="23">
        <f>IF(X31="","",X31-N(Y31))</f>
        <v>0</v>
      </c>
      <c r="AB31" s="23">
        <f>IF(B31="","",IF(COUNTIF(Performance!$B$5:$B$404,B31)=0,"",SUMIFS(Performance!$O$5:$O$404,Performance!$B$5:$B$404,B31)))</f>
        <v>0</v>
      </c>
      <c r="AC31" s="23">
        <f>IF(B31="","",IF(COUNTIF(Performance!$B$5:$B$404,B31)=0,"",SUMIFS(Performance!$P$5:$P$404,Performance!$B$5:$B$404,B31)))</f>
        <v>0</v>
      </c>
      <c r="AD31" s="23">
        <f>IF(B31="","",IF(COUNTIF(Performance!$B$5:$B$404,B31)=0,"",SUMIFS(Performance!$Z$5:$Z$404,Performance!$B$5:$B$404,B31)))</f>
        <v>0</v>
      </c>
      <c r="AE31" s="24">
        <f>IF(OR(AB31="",AB31=0),"",AD31/AB31)</f>
        <v>0</v>
      </c>
      <c r="AF31" s="23">
        <f>IF(B31="","",IF(COUNTIF(Performance!$B$5:$B$404,B31)=0,"",SUMIFS(Performance!$T$5:$T$404,Performance!$B$5:$B$404,B31)))</f>
        <v>0</v>
      </c>
      <c r="AG31" s="23">
        <f>IF(B31="","",IF(COUNTIF(Performance!$B$5:$B$404,B31)=0,"",SUMIFS(Performance!$S$5:$S$404,Performance!$B$5:$B$404,B31)))</f>
        <v>0</v>
      </c>
      <c r="AH31" s="23">
        <f>IF(B31="","",IF(COUNTIF(Performance!$B$5:$B$404,B31)=0,"",SUMIFS(Performance!$R$5:$R$404,Performance!$B$5:$B$404,B31)))</f>
        <v>0</v>
      </c>
      <c r="AI31" s="23">
        <f>IF(B31="","",IF(COUNTIF(Performance!$B$5:$B$404,B31)=0,"",SUMIFS(Performance!$U$5:$U$404,Performance!$B$5:$B$404,B31)))</f>
        <v>0</v>
      </c>
      <c r="AJ31" s="29">
        <f>IF(B31="","",IF(C31="Not found","Check - content ID not on the calendar",IF(N31="","Add - no thumbnail",IF(AND(W31&lt;&gt;"",W31&lt;0.03),"Review - thumbnail click rate is low",IF(AND(V31&lt;&gt;"",V31&lt;0.3),"Review - viewers leave early","OK")))))</f>
        <v>0</v>
      </c>
    </row>
    <row r="32" spans="1:36">
      <c r="A32" s="41">
        <f>IF(B32="","","YT-"&amp;TEXT(ROW()-4,"000"))</f>
        <v>0</v>
      </c>
      <c r="C32" s="17">
        <f>IF(B32="","",IFERROR(INDEX('Content Calendar'!$H$5:$H$604,MATCH(B32,'Content Calendar'!$A$5:$A$604,0)),"Not found"))</f>
        <v>0</v>
      </c>
      <c r="D32" s="16">
        <f>IF(B32="","",IFERROR(INDEX('Content Calendar'!$B$5:$B$604,MATCH(B32,'Content Calendar'!$A$5:$A$604,0)),"Not found"))</f>
        <v>0</v>
      </c>
      <c r="E32" s="17">
        <f>IF(B32="","",IFERROR(INDEX('Content Calendar'!$J$5:$J$604,MATCH(B32,'Content Calendar'!$A$5:$A$604,0)),"Not found"))</f>
        <v>0</v>
      </c>
      <c r="F32" s="29">
        <f>IF(B32="","",IFERROR(INDEX('Content Calendar'!$X$5:$X$604,MATCH(B32,'Content Calendar'!$A$5:$A$604,0)),"Not found"))</f>
        <v>0</v>
      </c>
      <c r="I32" s="23">
        <f>IF(H32="","",LEN(H32))</f>
        <v>0</v>
      </c>
      <c r="Z32" s="23">
        <f>IF(X32="","",X32-N(Y32))</f>
        <v>0</v>
      </c>
      <c r="AB32" s="23">
        <f>IF(B32="","",IF(COUNTIF(Performance!$B$5:$B$404,B32)=0,"",SUMIFS(Performance!$O$5:$O$404,Performance!$B$5:$B$404,B32)))</f>
        <v>0</v>
      </c>
      <c r="AC32" s="23">
        <f>IF(B32="","",IF(COUNTIF(Performance!$B$5:$B$404,B32)=0,"",SUMIFS(Performance!$P$5:$P$404,Performance!$B$5:$B$404,B32)))</f>
        <v>0</v>
      </c>
      <c r="AD32" s="23">
        <f>IF(B32="","",IF(COUNTIF(Performance!$B$5:$B$404,B32)=0,"",SUMIFS(Performance!$Z$5:$Z$404,Performance!$B$5:$B$404,B32)))</f>
        <v>0</v>
      </c>
      <c r="AE32" s="24">
        <f>IF(OR(AB32="",AB32=0),"",AD32/AB32)</f>
        <v>0</v>
      </c>
      <c r="AF32" s="23">
        <f>IF(B32="","",IF(COUNTIF(Performance!$B$5:$B$404,B32)=0,"",SUMIFS(Performance!$T$5:$T$404,Performance!$B$5:$B$404,B32)))</f>
        <v>0</v>
      </c>
      <c r="AG32" s="23">
        <f>IF(B32="","",IF(COUNTIF(Performance!$B$5:$B$404,B32)=0,"",SUMIFS(Performance!$S$5:$S$404,Performance!$B$5:$B$404,B32)))</f>
        <v>0</v>
      </c>
      <c r="AH32" s="23">
        <f>IF(B32="","",IF(COUNTIF(Performance!$B$5:$B$404,B32)=0,"",SUMIFS(Performance!$R$5:$R$404,Performance!$B$5:$B$404,B32)))</f>
        <v>0</v>
      </c>
      <c r="AI32" s="23">
        <f>IF(B32="","",IF(COUNTIF(Performance!$B$5:$B$404,B32)=0,"",SUMIFS(Performance!$U$5:$U$404,Performance!$B$5:$B$404,B32)))</f>
        <v>0</v>
      </c>
      <c r="AJ32" s="29">
        <f>IF(B32="","",IF(C32="Not found","Check - content ID not on the calendar",IF(N32="","Add - no thumbnail",IF(AND(W32&lt;&gt;"",W32&lt;0.03),"Review - thumbnail click rate is low",IF(AND(V32&lt;&gt;"",V32&lt;0.3),"Review - viewers leave early","OK")))))</f>
        <v>0</v>
      </c>
    </row>
    <row r="33" spans="1:36">
      <c r="A33" s="41">
        <f>IF(B33="","","YT-"&amp;TEXT(ROW()-4,"000"))</f>
        <v>0</v>
      </c>
      <c r="C33" s="17">
        <f>IF(B33="","",IFERROR(INDEX('Content Calendar'!$H$5:$H$604,MATCH(B33,'Content Calendar'!$A$5:$A$604,0)),"Not found"))</f>
        <v>0</v>
      </c>
      <c r="D33" s="16">
        <f>IF(B33="","",IFERROR(INDEX('Content Calendar'!$B$5:$B$604,MATCH(B33,'Content Calendar'!$A$5:$A$604,0)),"Not found"))</f>
        <v>0</v>
      </c>
      <c r="E33" s="17">
        <f>IF(B33="","",IFERROR(INDEX('Content Calendar'!$J$5:$J$604,MATCH(B33,'Content Calendar'!$A$5:$A$604,0)),"Not found"))</f>
        <v>0</v>
      </c>
      <c r="F33" s="29">
        <f>IF(B33="","",IFERROR(INDEX('Content Calendar'!$X$5:$X$604,MATCH(B33,'Content Calendar'!$A$5:$A$604,0)),"Not found"))</f>
        <v>0</v>
      </c>
      <c r="I33" s="23">
        <f>IF(H33="","",LEN(H33))</f>
        <v>0</v>
      </c>
      <c r="Z33" s="23">
        <f>IF(X33="","",X33-N(Y33))</f>
        <v>0</v>
      </c>
      <c r="AB33" s="23">
        <f>IF(B33="","",IF(COUNTIF(Performance!$B$5:$B$404,B33)=0,"",SUMIFS(Performance!$O$5:$O$404,Performance!$B$5:$B$404,B33)))</f>
        <v>0</v>
      </c>
      <c r="AC33" s="23">
        <f>IF(B33="","",IF(COUNTIF(Performance!$B$5:$B$404,B33)=0,"",SUMIFS(Performance!$P$5:$P$404,Performance!$B$5:$B$404,B33)))</f>
        <v>0</v>
      </c>
      <c r="AD33" s="23">
        <f>IF(B33="","",IF(COUNTIF(Performance!$B$5:$B$404,B33)=0,"",SUMIFS(Performance!$Z$5:$Z$404,Performance!$B$5:$B$404,B33)))</f>
        <v>0</v>
      </c>
      <c r="AE33" s="24">
        <f>IF(OR(AB33="",AB33=0),"",AD33/AB33)</f>
        <v>0</v>
      </c>
      <c r="AF33" s="23">
        <f>IF(B33="","",IF(COUNTIF(Performance!$B$5:$B$404,B33)=0,"",SUMIFS(Performance!$T$5:$T$404,Performance!$B$5:$B$404,B33)))</f>
        <v>0</v>
      </c>
      <c r="AG33" s="23">
        <f>IF(B33="","",IF(COUNTIF(Performance!$B$5:$B$404,B33)=0,"",SUMIFS(Performance!$S$5:$S$404,Performance!$B$5:$B$404,B33)))</f>
        <v>0</v>
      </c>
      <c r="AH33" s="23">
        <f>IF(B33="","",IF(COUNTIF(Performance!$B$5:$B$404,B33)=0,"",SUMIFS(Performance!$R$5:$R$404,Performance!$B$5:$B$404,B33)))</f>
        <v>0</v>
      </c>
      <c r="AI33" s="23">
        <f>IF(B33="","",IF(COUNTIF(Performance!$B$5:$B$404,B33)=0,"",SUMIFS(Performance!$U$5:$U$404,Performance!$B$5:$B$404,B33)))</f>
        <v>0</v>
      </c>
      <c r="AJ33" s="29">
        <f>IF(B33="","",IF(C33="Not found","Check - content ID not on the calendar",IF(N33="","Add - no thumbnail",IF(AND(W33&lt;&gt;"",W33&lt;0.03),"Review - thumbnail click rate is low",IF(AND(V33&lt;&gt;"",V33&lt;0.3),"Review - viewers leave early","OK")))))</f>
        <v>0</v>
      </c>
    </row>
    <row r="34" spans="1:36">
      <c r="A34" s="41">
        <f>IF(B34="","","YT-"&amp;TEXT(ROW()-4,"000"))</f>
        <v>0</v>
      </c>
      <c r="C34" s="17">
        <f>IF(B34="","",IFERROR(INDEX('Content Calendar'!$H$5:$H$604,MATCH(B34,'Content Calendar'!$A$5:$A$604,0)),"Not found"))</f>
        <v>0</v>
      </c>
      <c r="D34" s="16">
        <f>IF(B34="","",IFERROR(INDEX('Content Calendar'!$B$5:$B$604,MATCH(B34,'Content Calendar'!$A$5:$A$604,0)),"Not found"))</f>
        <v>0</v>
      </c>
      <c r="E34" s="17">
        <f>IF(B34="","",IFERROR(INDEX('Content Calendar'!$J$5:$J$604,MATCH(B34,'Content Calendar'!$A$5:$A$604,0)),"Not found"))</f>
        <v>0</v>
      </c>
      <c r="F34" s="29">
        <f>IF(B34="","",IFERROR(INDEX('Content Calendar'!$X$5:$X$604,MATCH(B34,'Content Calendar'!$A$5:$A$604,0)),"Not found"))</f>
        <v>0</v>
      </c>
      <c r="I34" s="23">
        <f>IF(H34="","",LEN(H34))</f>
        <v>0</v>
      </c>
      <c r="Z34" s="23">
        <f>IF(X34="","",X34-N(Y34))</f>
        <v>0</v>
      </c>
      <c r="AB34" s="23">
        <f>IF(B34="","",IF(COUNTIF(Performance!$B$5:$B$404,B34)=0,"",SUMIFS(Performance!$O$5:$O$404,Performance!$B$5:$B$404,B34)))</f>
        <v>0</v>
      </c>
      <c r="AC34" s="23">
        <f>IF(B34="","",IF(COUNTIF(Performance!$B$5:$B$404,B34)=0,"",SUMIFS(Performance!$P$5:$P$404,Performance!$B$5:$B$404,B34)))</f>
        <v>0</v>
      </c>
      <c r="AD34" s="23">
        <f>IF(B34="","",IF(COUNTIF(Performance!$B$5:$B$404,B34)=0,"",SUMIFS(Performance!$Z$5:$Z$404,Performance!$B$5:$B$404,B34)))</f>
        <v>0</v>
      </c>
      <c r="AE34" s="24">
        <f>IF(OR(AB34="",AB34=0),"",AD34/AB34)</f>
        <v>0</v>
      </c>
      <c r="AF34" s="23">
        <f>IF(B34="","",IF(COUNTIF(Performance!$B$5:$B$404,B34)=0,"",SUMIFS(Performance!$T$5:$T$404,Performance!$B$5:$B$404,B34)))</f>
        <v>0</v>
      </c>
      <c r="AG34" s="23">
        <f>IF(B34="","",IF(COUNTIF(Performance!$B$5:$B$404,B34)=0,"",SUMIFS(Performance!$S$5:$S$404,Performance!$B$5:$B$404,B34)))</f>
        <v>0</v>
      </c>
      <c r="AH34" s="23">
        <f>IF(B34="","",IF(COUNTIF(Performance!$B$5:$B$404,B34)=0,"",SUMIFS(Performance!$R$5:$R$404,Performance!$B$5:$B$404,B34)))</f>
        <v>0</v>
      </c>
      <c r="AI34" s="23">
        <f>IF(B34="","",IF(COUNTIF(Performance!$B$5:$B$404,B34)=0,"",SUMIFS(Performance!$U$5:$U$404,Performance!$B$5:$B$404,B34)))</f>
        <v>0</v>
      </c>
      <c r="AJ34" s="29">
        <f>IF(B34="","",IF(C34="Not found","Check - content ID not on the calendar",IF(N34="","Add - no thumbnail",IF(AND(W34&lt;&gt;"",W34&lt;0.03),"Review - thumbnail click rate is low",IF(AND(V34&lt;&gt;"",V34&lt;0.3),"Review - viewers leave early","OK")))))</f>
        <v>0</v>
      </c>
    </row>
    <row r="35" spans="1:36">
      <c r="A35" s="41">
        <f>IF(B35="","","YT-"&amp;TEXT(ROW()-4,"000"))</f>
        <v>0</v>
      </c>
      <c r="C35" s="17">
        <f>IF(B35="","",IFERROR(INDEX('Content Calendar'!$H$5:$H$604,MATCH(B35,'Content Calendar'!$A$5:$A$604,0)),"Not found"))</f>
        <v>0</v>
      </c>
      <c r="D35" s="16">
        <f>IF(B35="","",IFERROR(INDEX('Content Calendar'!$B$5:$B$604,MATCH(B35,'Content Calendar'!$A$5:$A$604,0)),"Not found"))</f>
        <v>0</v>
      </c>
      <c r="E35" s="17">
        <f>IF(B35="","",IFERROR(INDEX('Content Calendar'!$J$5:$J$604,MATCH(B35,'Content Calendar'!$A$5:$A$604,0)),"Not found"))</f>
        <v>0</v>
      </c>
      <c r="F35" s="29">
        <f>IF(B35="","",IFERROR(INDEX('Content Calendar'!$X$5:$X$604,MATCH(B35,'Content Calendar'!$A$5:$A$604,0)),"Not found"))</f>
        <v>0</v>
      </c>
      <c r="I35" s="23">
        <f>IF(H35="","",LEN(H35))</f>
        <v>0</v>
      </c>
      <c r="Z35" s="23">
        <f>IF(X35="","",X35-N(Y35))</f>
        <v>0</v>
      </c>
      <c r="AB35" s="23">
        <f>IF(B35="","",IF(COUNTIF(Performance!$B$5:$B$404,B35)=0,"",SUMIFS(Performance!$O$5:$O$404,Performance!$B$5:$B$404,B35)))</f>
        <v>0</v>
      </c>
      <c r="AC35" s="23">
        <f>IF(B35="","",IF(COUNTIF(Performance!$B$5:$B$404,B35)=0,"",SUMIFS(Performance!$P$5:$P$404,Performance!$B$5:$B$404,B35)))</f>
        <v>0</v>
      </c>
      <c r="AD35" s="23">
        <f>IF(B35="","",IF(COUNTIF(Performance!$B$5:$B$404,B35)=0,"",SUMIFS(Performance!$Z$5:$Z$404,Performance!$B$5:$B$404,B35)))</f>
        <v>0</v>
      </c>
      <c r="AE35" s="24">
        <f>IF(OR(AB35="",AB35=0),"",AD35/AB35)</f>
        <v>0</v>
      </c>
      <c r="AF35" s="23">
        <f>IF(B35="","",IF(COUNTIF(Performance!$B$5:$B$404,B35)=0,"",SUMIFS(Performance!$T$5:$T$404,Performance!$B$5:$B$404,B35)))</f>
        <v>0</v>
      </c>
      <c r="AG35" s="23">
        <f>IF(B35="","",IF(COUNTIF(Performance!$B$5:$B$404,B35)=0,"",SUMIFS(Performance!$S$5:$S$404,Performance!$B$5:$B$404,B35)))</f>
        <v>0</v>
      </c>
      <c r="AH35" s="23">
        <f>IF(B35="","",IF(COUNTIF(Performance!$B$5:$B$404,B35)=0,"",SUMIFS(Performance!$R$5:$R$404,Performance!$B$5:$B$404,B35)))</f>
        <v>0</v>
      </c>
      <c r="AI35" s="23">
        <f>IF(B35="","",IF(COUNTIF(Performance!$B$5:$B$404,B35)=0,"",SUMIFS(Performance!$U$5:$U$404,Performance!$B$5:$B$404,B35)))</f>
        <v>0</v>
      </c>
      <c r="AJ35" s="29">
        <f>IF(B35="","",IF(C35="Not found","Check - content ID not on the calendar",IF(N35="","Add - no thumbnail",IF(AND(W35&lt;&gt;"",W35&lt;0.03),"Review - thumbnail click rate is low",IF(AND(V35&lt;&gt;"",V35&lt;0.3),"Review - viewers leave early","OK")))))</f>
        <v>0</v>
      </c>
    </row>
    <row r="36" spans="1:36">
      <c r="A36" s="41">
        <f>IF(B36="","","YT-"&amp;TEXT(ROW()-4,"000"))</f>
        <v>0</v>
      </c>
      <c r="C36" s="17">
        <f>IF(B36="","",IFERROR(INDEX('Content Calendar'!$H$5:$H$604,MATCH(B36,'Content Calendar'!$A$5:$A$604,0)),"Not found"))</f>
        <v>0</v>
      </c>
      <c r="D36" s="16">
        <f>IF(B36="","",IFERROR(INDEX('Content Calendar'!$B$5:$B$604,MATCH(B36,'Content Calendar'!$A$5:$A$604,0)),"Not found"))</f>
        <v>0</v>
      </c>
      <c r="E36" s="17">
        <f>IF(B36="","",IFERROR(INDEX('Content Calendar'!$J$5:$J$604,MATCH(B36,'Content Calendar'!$A$5:$A$604,0)),"Not found"))</f>
        <v>0</v>
      </c>
      <c r="F36" s="29">
        <f>IF(B36="","",IFERROR(INDEX('Content Calendar'!$X$5:$X$604,MATCH(B36,'Content Calendar'!$A$5:$A$604,0)),"Not found"))</f>
        <v>0</v>
      </c>
      <c r="I36" s="23">
        <f>IF(H36="","",LEN(H36))</f>
        <v>0</v>
      </c>
      <c r="Z36" s="23">
        <f>IF(X36="","",X36-N(Y36))</f>
        <v>0</v>
      </c>
      <c r="AB36" s="23">
        <f>IF(B36="","",IF(COUNTIF(Performance!$B$5:$B$404,B36)=0,"",SUMIFS(Performance!$O$5:$O$404,Performance!$B$5:$B$404,B36)))</f>
        <v>0</v>
      </c>
      <c r="AC36" s="23">
        <f>IF(B36="","",IF(COUNTIF(Performance!$B$5:$B$404,B36)=0,"",SUMIFS(Performance!$P$5:$P$404,Performance!$B$5:$B$404,B36)))</f>
        <v>0</v>
      </c>
      <c r="AD36" s="23">
        <f>IF(B36="","",IF(COUNTIF(Performance!$B$5:$B$404,B36)=0,"",SUMIFS(Performance!$Z$5:$Z$404,Performance!$B$5:$B$404,B36)))</f>
        <v>0</v>
      </c>
      <c r="AE36" s="24">
        <f>IF(OR(AB36="",AB36=0),"",AD36/AB36)</f>
        <v>0</v>
      </c>
      <c r="AF36" s="23">
        <f>IF(B36="","",IF(COUNTIF(Performance!$B$5:$B$404,B36)=0,"",SUMIFS(Performance!$T$5:$T$404,Performance!$B$5:$B$404,B36)))</f>
        <v>0</v>
      </c>
      <c r="AG36" s="23">
        <f>IF(B36="","",IF(COUNTIF(Performance!$B$5:$B$404,B36)=0,"",SUMIFS(Performance!$S$5:$S$404,Performance!$B$5:$B$404,B36)))</f>
        <v>0</v>
      </c>
      <c r="AH36" s="23">
        <f>IF(B36="","",IF(COUNTIF(Performance!$B$5:$B$404,B36)=0,"",SUMIFS(Performance!$R$5:$R$404,Performance!$B$5:$B$404,B36)))</f>
        <v>0</v>
      </c>
      <c r="AI36" s="23">
        <f>IF(B36="","",IF(COUNTIF(Performance!$B$5:$B$404,B36)=0,"",SUMIFS(Performance!$U$5:$U$404,Performance!$B$5:$B$404,B36)))</f>
        <v>0</v>
      </c>
      <c r="AJ36" s="29">
        <f>IF(B36="","",IF(C36="Not found","Check - content ID not on the calendar",IF(N36="","Add - no thumbnail",IF(AND(W36&lt;&gt;"",W36&lt;0.03),"Review - thumbnail click rate is low",IF(AND(V36&lt;&gt;"",V36&lt;0.3),"Review - viewers leave early","OK")))))</f>
        <v>0</v>
      </c>
    </row>
    <row r="37" spans="1:36">
      <c r="A37" s="41">
        <f>IF(B37="","","YT-"&amp;TEXT(ROW()-4,"000"))</f>
        <v>0</v>
      </c>
      <c r="C37" s="17">
        <f>IF(B37="","",IFERROR(INDEX('Content Calendar'!$H$5:$H$604,MATCH(B37,'Content Calendar'!$A$5:$A$604,0)),"Not found"))</f>
        <v>0</v>
      </c>
      <c r="D37" s="16">
        <f>IF(B37="","",IFERROR(INDEX('Content Calendar'!$B$5:$B$604,MATCH(B37,'Content Calendar'!$A$5:$A$604,0)),"Not found"))</f>
        <v>0</v>
      </c>
      <c r="E37" s="17">
        <f>IF(B37="","",IFERROR(INDEX('Content Calendar'!$J$5:$J$604,MATCH(B37,'Content Calendar'!$A$5:$A$604,0)),"Not found"))</f>
        <v>0</v>
      </c>
      <c r="F37" s="29">
        <f>IF(B37="","",IFERROR(INDEX('Content Calendar'!$X$5:$X$604,MATCH(B37,'Content Calendar'!$A$5:$A$604,0)),"Not found"))</f>
        <v>0</v>
      </c>
      <c r="I37" s="23">
        <f>IF(H37="","",LEN(H37))</f>
        <v>0</v>
      </c>
      <c r="Z37" s="23">
        <f>IF(X37="","",X37-N(Y37))</f>
        <v>0</v>
      </c>
      <c r="AB37" s="23">
        <f>IF(B37="","",IF(COUNTIF(Performance!$B$5:$B$404,B37)=0,"",SUMIFS(Performance!$O$5:$O$404,Performance!$B$5:$B$404,B37)))</f>
        <v>0</v>
      </c>
      <c r="AC37" s="23">
        <f>IF(B37="","",IF(COUNTIF(Performance!$B$5:$B$404,B37)=0,"",SUMIFS(Performance!$P$5:$P$404,Performance!$B$5:$B$404,B37)))</f>
        <v>0</v>
      </c>
      <c r="AD37" s="23">
        <f>IF(B37="","",IF(COUNTIF(Performance!$B$5:$B$404,B37)=0,"",SUMIFS(Performance!$Z$5:$Z$404,Performance!$B$5:$B$404,B37)))</f>
        <v>0</v>
      </c>
      <c r="AE37" s="24">
        <f>IF(OR(AB37="",AB37=0),"",AD37/AB37)</f>
        <v>0</v>
      </c>
      <c r="AF37" s="23">
        <f>IF(B37="","",IF(COUNTIF(Performance!$B$5:$B$404,B37)=0,"",SUMIFS(Performance!$T$5:$T$404,Performance!$B$5:$B$404,B37)))</f>
        <v>0</v>
      </c>
      <c r="AG37" s="23">
        <f>IF(B37="","",IF(COUNTIF(Performance!$B$5:$B$404,B37)=0,"",SUMIFS(Performance!$S$5:$S$404,Performance!$B$5:$B$404,B37)))</f>
        <v>0</v>
      </c>
      <c r="AH37" s="23">
        <f>IF(B37="","",IF(COUNTIF(Performance!$B$5:$B$404,B37)=0,"",SUMIFS(Performance!$R$5:$R$404,Performance!$B$5:$B$404,B37)))</f>
        <v>0</v>
      </c>
      <c r="AI37" s="23">
        <f>IF(B37="","",IF(COUNTIF(Performance!$B$5:$B$404,B37)=0,"",SUMIFS(Performance!$U$5:$U$404,Performance!$B$5:$B$404,B37)))</f>
        <v>0</v>
      </c>
      <c r="AJ37" s="29">
        <f>IF(B37="","",IF(C37="Not found","Check - content ID not on the calendar",IF(N37="","Add - no thumbnail",IF(AND(W37&lt;&gt;"",W37&lt;0.03),"Review - thumbnail click rate is low",IF(AND(V37&lt;&gt;"",V37&lt;0.3),"Review - viewers leave early","OK")))))</f>
        <v>0</v>
      </c>
    </row>
    <row r="38" spans="1:36">
      <c r="A38" s="41">
        <f>IF(B38="","","YT-"&amp;TEXT(ROW()-4,"000"))</f>
        <v>0</v>
      </c>
      <c r="C38" s="17">
        <f>IF(B38="","",IFERROR(INDEX('Content Calendar'!$H$5:$H$604,MATCH(B38,'Content Calendar'!$A$5:$A$604,0)),"Not found"))</f>
        <v>0</v>
      </c>
      <c r="D38" s="16">
        <f>IF(B38="","",IFERROR(INDEX('Content Calendar'!$B$5:$B$604,MATCH(B38,'Content Calendar'!$A$5:$A$604,0)),"Not found"))</f>
        <v>0</v>
      </c>
      <c r="E38" s="17">
        <f>IF(B38="","",IFERROR(INDEX('Content Calendar'!$J$5:$J$604,MATCH(B38,'Content Calendar'!$A$5:$A$604,0)),"Not found"))</f>
        <v>0</v>
      </c>
      <c r="F38" s="29">
        <f>IF(B38="","",IFERROR(INDEX('Content Calendar'!$X$5:$X$604,MATCH(B38,'Content Calendar'!$A$5:$A$604,0)),"Not found"))</f>
        <v>0</v>
      </c>
      <c r="I38" s="23">
        <f>IF(H38="","",LEN(H38))</f>
        <v>0</v>
      </c>
      <c r="Z38" s="23">
        <f>IF(X38="","",X38-N(Y38))</f>
        <v>0</v>
      </c>
      <c r="AB38" s="23">
        <f>IF(B38="","",IF(COUNTIF(Performance!$B$5:$B$404,B38)=0,"",SUMIFS(Performance!$O$5:$O$404,Performance!$B$5:$B$404,B38)))</f>
        <v>0</v>
      </c>
      <c r="AC38" s="23">
        <f>IF(B38="","",IF(COUNTIF(Performance!$B$5:$B$404,B38)=0,"",SUMIFS(Performance!$P$5:$P$404,Performance!$B$5:$B$404,B38)))</f>
        <v>0</v>
      </c>
      <c r="AD38" s="23">
        <f>IF(B38="","",IF(COUNTIF(Performance!$B$5:$B$404,B38)=0,"",SUMIFS(Performance!$Z$5:$Z$404,Performance!$B$5:$B$404,B38)))</f>
        <v>0</v>
      </c>
      <c r="AE38" s="24">
        <f>IF(OR(AB38="",AB38=0),"",AD38/AB38)</f>
        <v>0</v>
      </c>
      <c r="AF38" s="23">
        <f>IF(B38="","",IF(COUNTIF(Performance!$B$5:$B$404,B38)=0,"",SUMIFS(Performance!$T$5:$T$404,Performance!$B$5:$B$404,B38)))</f>
        <v>0</v>
      </c>
      <c r="AG38" s="23">
        <f>IF(B38="","",IF(COUNTIF(Performance!$B$5:$B$404,B38)=0,"",SUMIFS(Performance!$S$5:$S$404,Performance!$B$5:$B$404,B38)))</f>
        <v>0</v>
      </c>
      <c r="AH38" s="23">
        <f>IF(B38="","",IF(COUNTIF(Performance!$B$5:$B$404,B38)=0,"",SUMIFS(Performance!$R$5:$R$404,Performance!$B$5:$B$404,B38)))</f>
        <v>0</v>
      </c>
      <c r="AI38" s="23">
        <f>IF(B38="","",IF(COUNTIF(Performance!$B$5:$B$404,B38)=0,"",SUMIFS(Performance!$U$5:$U$404,Performance!$B$5:$B$404,B38)))</f>
        <v>0</v>
      </c>
      <c r="AJ38" s="29">
        <f>IF(B38="","",IF(C38="Not found","Check - content ID not on the calendar",IF(N38="","Add - no thumbnail",IF(AND(W38&lt;&gt;"",W38&lt;0.03),"Review - thumbnail click rate is low",IF(AND(V38&lt;&gt;"",V38&lt;0.3),"Review - viewers leave early","OK")))))</f>
        <v>0</v>
      </c>
    </row>
    <row r="39" spans="1:36">
      <c r="A39" s="41">
        <f>IF(B39="","","YT-"&amp;TEXT(ROW()-4,"000"))</f>
        <v>0</v>
      </c>
      <c r="C39" s="17">
        <f>IF(B39="","",IFERROR(INDEX('Content Calendar'!$H$5:$H$604,MATCH(B39,'Content Calendar'!$A$5:$A$604,0)),"Not found"))</f>
        <v>0</v>
      </c>
      <c r="D39" s="16">
        <f>IF(B39="","",IFERROR(INDEX('Content Calendar'!$B$5:$B$604,MATCH(B39,'Content Calendar'!$A$5:$A$604,0)),"Not found"))</f>
        <v>0</v>
      </c>
      <c r="E39" s="17">
        <f>IF(B39="","",IFERROR(INDEX('Content Calendar'!$J$5:$J$604,MATCH(B39,'Content Calendar'!$A$5:$A$604,0)),"Not found"))</f>
        <v>0</v>
      </c>
      <c r="F39" s="29">
        <f>IF(B39="","",IFERROR(INDEX('Content Calendar'!$X$5:$X$604,MATCH(B39,'Content Calendar'!$A$5:$A$604,0)),"Not found"))</f>
        <v>0</v>
      </c>
      <c r="I39" s="23">
        <f>IF(H39="","",LEN(H39))</f>
        <v>0</v>
      </c>
      <c r="Z39" s="23">
        <f>IF(X39="","",X39-N(Y39))</f>
        <v>0</v>
      </c>
      <c r="AB39" s="23">
        <f>IF(B39="","",IF(COUNTIF(Performance!$B$5:$B$404,B39)=0,"",SUMIFS(Performance!$O$5:$O$404,Performance!$B$5:$B$404,B39)))</f>
        <v>0</v>
      </c>
      <c r="AC39" s="23">
        <f>IF(B39="","",IF(COUNTIF(Performance!$B$5:$B$404,B39)=0,"",SUMIFS(Performance!$P$5:$P$404,Performance!$B$5:$B$404,B39)))</f>
        <v>0</v>
      </c>
      <c r="AD39" s="23">
        <f>IF(B39="","",IF(COUNTIF(Performance!$B$5:$B$404,B39)=0,"",SUMIFS(Performance!$Z$5:$Z$404,Performance!$B$5:$B$404,B39)))</f>
        <v>0</v>
      </c>
      <c r="AE39" s="24">
        <f>IF(OR(AB39="",AB39=0),"",AD39/AB39)</f>
        <v>0</v>
      </c>
      <c r="AF39" s="23">
        <f>IF(B39="","",IF(COUNTIF(Performance!$B$5:$B$404,B39)=0,"",SUMIFS(Performance!$T$5:$T$404,Performance!$B$5:$B$404,B39)))</f>
        <v>0</v>
      </c>
      <c r="AG39" s="23">
        <f>IF(B39="","",IF(COUNTIF(Performance!$B$5:$B$404,B39)=0,"",SUMIFS(Performance!$S$5:$S$404,Performance!$B$5:$B$404,B39)))</f>
        <v>0</v>
      </c>
      <c r="AH39" s="23">
        <f>IF(B39="","",IF(COUNTIF(Performance!$B$5:$B$404,B39)=0,"",SUMIFS(Performance!$R$5:$R$404,Performance!$B$5:$B$404,B39)))</f>
        <v>0</v>
      </c>
      <c r="AI39" s="23">
        <f>IF(B39="","",IF(COUNTIF(Performance!$B$5:$B$404,B39)=0,"",SUMIFS(Performance!$U$5:$U$404,Performance!$B$5:$B$404,B39)))</f>
        <v>0</v>
      </c>
      <c r="AJ39" s="29">
        <f>IF(B39="","",IF(C39="Not found","Check - content ID not on the calendar",IF(N39="","Add - no thumbnail",IF(AND(W39&lt;&gt;"",W39&lt;0.03),"Review - thumbnail click rate is low",IF(AND(V39&lt;&gt;"",V39&lt;0.3),"Review - viewers leave early","OK")))))</f>
        <v>0</v>
      </c>
    </row>
    <row r="40" spans="1:36">
      <c r="A40" s="41">
        <f>IF(B40="","","YT-"&amp;TEXT(ROW()-4,"000"))</f>
        <v>0</v>
      </c>
      <c r="C40" s="17">
        <f>IF(B40="","",IFERROR(INDEX('Content Calendar'!$H$5:$H$604,MATCH(B40,'Content Calendar'!$A$5:$A$604,0)),"Not found"))</f>
        <v>0</v>
      </c>
      <c r="D40" s="16">
        <f>IF(B40="","",IFERROR(INDEX('Content Calendar'!$B$5:$B$604,MATCH(B40,'Content Calendar'!$A$5:$A$604,0)),"Not found"))</f>
        <v>0</v>
      </c>
      <c r="E40" s="17">
        <f>IF(B40="","",IFERROR(INDEX('Content Calendar'!$J$5:$J$604,MATCH(B40,'Content Calendar'!$A$5:$A$604,0)),"Not found"))</f>
        <v>0</v>
      </c>
      <c r="F40" s="29">
        <f>IF(B40="","",IFERROR(INDEX('Content Calendar'!$X$5:$X$604,MATCH(B40,'Content Calendar'!$A$5:$A$604,0)),"Not found"))</f>
        <v>0</v>
      </c>
      <c r="I40" s="23">
        <f>IF(H40="","",LEN(H40))</f>
        <v>0</v>
      </c>
      <c r="Z40" s="23">
        <f>IF(X40="","",X40-N(Y40))</f>
        <v>0</v>
      </c>
      <c r="AB40" s="23">
        <f>IF(B40="","",IF(COUNTIF(Performance!$B$5:$B$404,B40)=0,"",SUMIFS(Performance!$O$5:$O$404,Performance!$B$5:$B$404,B40)))</f>
        <v>0</v>
      </c>
      <c r="AC40" s="23">
        <f>IF(B40="","",IF(COUNTIF(Performance!$B$5:$B$404,B40)=0,"",SUMIFS(Performance!$P$5:$P$404,Performance!$B$5:$B$404,B40)))</f>
        <v>0</v>
      </c>
      <c r="AD40" s="23">
        <f>IF(B40="","",IF(COUNTIF(Performance!$B$5:$B$404,B40)=0,"",SUMIFS(Performance!$Z$5:$Z$404,Performance!$B$5:$B$404,B40)))</f>
        <v>0</v>
      </c>
      <c r="AE40" s="24">
        <f>IF(OR(AB40="",AB40=0),"",AD40/AB40)</f>
        <v>0</v>
      </c>
      <c r="AF40" s="23">
        <f>IF(B40="","",IF(COUNTIF(Performance!$B$5:$B$404,B40)=0,"",SUMIFS(Performance!$T$5:$T$404,Performance!$B$5:$B$404,B40)))</f>
        <v>0</v>
      </c>
      <c r="AG40" s="23">
        <f>IF(B40="","",IF(COUNTIF(Performance!$B$5:$B$404,B40)=0,"",SUMIFS(Performance!$S$5:$S$404,Performance!$B$5:$B$404,B40)))</f>
        <v>0</v>
      </c>
      <c r="AH40" s="23">
        <f>IF(B40="","",IF(COUNTIF(Performance!$B$5:$B$404,B40)=0,"",SUMIFS(Performance!$R$5:$R$404,Performance!$B$5:$B$404,B40)))</f>
        <v>0</v>
      </c>
      <c r="AI40" s="23">
        <f>IF(B40="","",IF(COUNTIF(Performance!$B$5:$B$404,B40)=0,"",SUMIFS(Performance!$U$5:$U$404,Performance!$B$5:$B$404,B40)))</f>
        <v>0</v>
      </c>
      <c r="AJ40" s="29">
        <f>IF(B40="","",IF(C40="Not found","Check - content ID not on the calendar",IF(N40="","Add - no thumbnail",IF(AND(W40&lt;&gt;"",W40&lt;0.03),"Review - thumbnail click rate is low",IF(AND(V40&lt;&gt;"",V40&lt;0.3),"Review - viewers leave early","OK")))))</f>
        <v>0</v>
      </c>
    </row>
    <row r="41" spans="1:36">
      <c r="A41" s="41">
        <f>IF(B41="","","YT-"&amp;TEXT(ROW()-4,"000"))</f>
        <v>0</v>
      </c>
      <c r="C41" s="17">
        <f>IF(B41="","",IFERROR(INDEX('Content Calendar'!$H$5:$H$604,MATCH(B41,'Content Calendar'!$A$5:$A$604,0)),"Not found"))</f>
        <v>0</v>
      </c>
      <c r="D41" s="16">
        <f>IF(B41="","",IFERROR(INDEX('Content Calendar'!$B$5:$B$604,MATCH(B41,'Content Calendar'!$A$5:$A$604,0)),"Not found"))</f>
        <v>0</v>
      </c>
      <c r="E41" s="17">
        <f>IF(B41="","",IFERROR(INDEX('Content Calendar'!$J$5:$J$604,MATCH(B41,'Content Calendar'!$A$5:$A$604,0)),"Not found"))</f>
        <v>0</v>
      </c>
      <c r="F41" s="29">
        <f>IF(B41="","",IFERROR(INDEX('Content Calendar'!$X$5:$X$604,MATCH(B41,'Content Calendar'!$A$5:$A$604,0)),"Not found"))</f>
        <v>0</v>
      </c>
      <c r="I41" s="23">
        <f>IF(H41="","",LEN(H41))</f>
        <v>0</v>
      </c>
      <c r="Z41" s="23">
        <f>IF(X41="","",X41-N(Y41))</f>
        <v>0</v>
      </c>
      <c r="AB41" s="23">
        <f>IF(B41="","",IF(COUNTIF(Performance!$B$5:$B$404,B41)=0,"",SUMIFS(Performance!$O$5:$O$404,Performance!$B$5:$B$404,B41)))</f>
        <v>0</v>
      </c>
      <c r="AC41" s="23">
        <f>IF(B41="","",IF(COUNTIF(Performance!$B$5:$B$404,B41)=0,"",SUMIFS(Performance!$P$5:$P$404,Performance!$B$5:$B$404,B41)))</f>
        <v>0</v>
      </c>
      <c r="AD41" s="23">
        <f>IF(B41="","",IF(COUNTIF(Performance!$B$5:$B$404,B41)=0,"",SUMIFS(Performance!$Z$5:$Z$404,Performance!$B$5:$B$404,B41)))</f>
        <v>0</v>
      </c>
      <c r="AE41" s="24">
        <f>IF(OR(AB41="",AB41=0),"",AD41/AB41)</f>
        <v>0</v>
      </c>
      <c r="AF41" s="23">
        <f>IF(B41="","",IF(COUNTIF(Performance!$B$5:$B$404,B41)=0,"",SUMIFS(Performance!$T$5:$T$404,Performance!$B$5:$B$404,B41)))</f>
        <v>0</v>
      </c>
      <c r="AG41" s="23">
        <f>IF(B41="","",IF(COUNTIF(Performance!$B$5:$B$404,B41)=0,"",SUMIFS(Performance!$S$5:$S$404,Performance!$B$5:$B$404,B41)))</f>
        <v>0</v>
      </c>
      <c r="AH41" s="23">
        <f>IF(B41="","",IF(COUNTIF(Performance!$B$5:$B$404,B41)=0,"",SUMIFS(Performance!$R$5:$R$404,Performance!$B$5:$B$404,B41)))</f>
        <v>0</v>
      </c>
      <c r="AI41" s="23">
        <f>IF(B41="","",IF(COUNTIF(Performance!$B$5:$B$404,B41)=0,"",SUMIFS(Performance!$U$5:$U$404,Performance!$B$5:$B$404,B41)))</f>
        <v>0</v>
      </c>
      <c r="AJ41" s="29">
        <f>IF(B41="","",IF(C41="Not found","Check - content ID not on the calendar",IF(N41="","Add - no thumbnail",IF(AND(W41&lt;&gt;"",W41&lt;0.03),"Review - thumbnail click rate is low",IF(AND(V41&lt;&gt;"",V41&lt;0.3),"Review - viewers leave early","OK")))))</f>
        <v>0</v>
      </c>
    </row>
    <row r="42" spans="1:36">
      <c r="A42" s="41">
        <f>IF(B42="","","YT-"&amp;TEXT(ROW()-4,"000"))</f>
        <v>0</v>
      </c>
      <c r="C42" s="17">
        <f>IF(B42="","",IFERROR(INDEX('Content Calendar'!$H$5:$H$604,MATCH(B42,'Content Calendar'!$A$5:$A$604,0)),"Not found"))</f>
        <v>0</v>
      </c>
      <c r="D42" s="16">
        <f>IF(B42="","",IFERROR(INDEX('Content Calendar'!$B$5:$B$604,MATCH(B42,'Content Calendar'!$A$5:$A$604,0)),"Not found"))</f>
        <v>0</v>
      </c>
      <c r="E42" s="17">
        <f>IF(B42="","",IFERROR(INDEX('Content Calendar'!$J$5:$J$604,MATCH(B42,'Content Calendar'!$A$5:$A$604,0)),"Not found"))</f>
        <v>0</v>
      </c>
      <c r="F42" s="29">
        <f>IF(B42="","",IFERROR(INDEX('Content Calendar'!$X$5:$X$604,MATCH(B42,'Content Calendar'!$A$5:$A$604,0)),"Not found"))</f>
        <v>0</v>
      </c>
      <c r="I42" s="23">
        <f>IF(H42="","",LEN(H42))</f>
        <v>0</v>
      </c>
      <c r="Z42" s="23">
        <f>IF(X42="","",X42-N(Y42))</f>
        <v>0</v>
      </c>
      <c r="AB42" s="23">
        <f>IF(B42="","",IF(COUNTIF(Performance!$B$5:$B$404,B42)=0,"",SUMIFS(Performance!$O$5:$O$404,Performance!$B$5:$B$404,B42)))</f>
        <v>0</v>
      </c>
      <c r="AC42" s="23">
        <f>IF(B42="","",IF(COUNTIF(Performance!$B$5:$B$404,B42)=0,"",SUMIFS(Performance!$P$5:$P$404,Performance!$B$5:$B$404,B42)))</f>
        <v>0</v>
      </c>
      <c r="AD42" s="23">
        <f>IF(B42="","",IF(COUNTIF(Performance!$B$5:$B$404,B42)=0,"",SUMIFS(Performance!$Z$5:$Z$404,Performance!$B$5:$B$404,B42)))</f>
        <v>0</v>
      </c>
      <c r="AE42" s="24">
        <f>IF(OR(AB42="",AB42=0),"",AD42/AB42)</f>
        <v>0</v>
      </c>
      <c r="AF42" s="23">
        <f>IF(B42="","",IF(COUNTIF(Performance!$B$5:$B$404,B42)=0,"",SUMIFS(Performance!$T$5:$T$404,Performance!$B$5:$B$404,B42)))</f>
        <v>0</v>
      </c>
      <c r="AG42" s="23">
        <f>IF(B42="","",IF(COUNTIF(Performance!$B$5:$B$404,B42)=0,"",SUMIFS(Performance!$S$5:$S$404,Performance!$B$5:$B$404,B42)))</f>
        <v>0</v>
      </c>
      <c r="AH42" s="23">
        <f>IF(B42="","",IF(COUNTIF(Performance!$B$5:$B$404,B42)=0,"",SUMIFS(Performance!$R$5:$R$404,Performance!$B$5:$B$404,B42)))</f>
        <v>0</v>
      </c>
      <c r="AI42" s="23">
        <f>IF(B42="","",IF(COUNTIF(Performance!$B$5:$B$404,B42)=0,"",SUMIFS(Performance!$U$5:$U$404,Performance!$B$5:$B$404,B42)))</f>
        <v>0</v>
      </c>
      <c r="AJ42" s="29">
        <f>IF(B42="","",IF(C42="Not found","Check - content ID not on the calendar",IF(N42="","Add - no thumbnail",IF(AND(W42&lt;&gt;"",W42&lt;0.03),"Review - thumbnail click rate is low",IF(AND(V42&lt;&gt;"",V42&lt;0.3),"Review - viewers leave early","OK")))))</f>
        <v>0</v>
      </c>
    </row>
    <row r="43" spans="1:36">
      <c r="A43" s="41">
        <f>IF(B43="","","YT-"&amp;TEXT(ROW()-4,"000"))</f>
        <v>0</v>
      </c>
      <c r="C43" s="17">
        <f>IF(B43="","",IFERROR(INDEX('Content Calendar'!$H$5:$H$604,MATCH(B43,'Content Calendar'!$A$5:$A$604,0)),"Not found"))</f>
        <v>0</v>
      </c>
      <c r="D43" s="16">
        <f>IF(B43="","",IFERROR(INDEX('Content Calendar'!$B$5:$B$604,MATCH(B43,'Content Calendar'!$A$5:$A$604,0)),"Not found"))</f>
        <v>0</v>
      </c>
      <c r="E43" s="17">
        <f>IF(B43="","",IFERROR(INDEX('Content Calendar'!$J$5:$J$604,MATCH(B43,'Content Calendar'!$A$5:$A$604,0)),"Not found"))</f>
        <v>0</v>
      </c>
      <c r="F43" s="29">
        <f>IF(B43="","",IFERROR(INDEX('Content Calendar'!$X$5:$X$604,MATCH(B43,'Content Calendar'!$A$5:$A$604,0)),"Not found"))</f>
        <v>0</v>
      </c>
      <c r="I43" s="23">
        <f>IF(H43="","",LEN(H43))</f>
        <v>0</v>
      </c>
      <c r="Z43" s="23">
        <f>IF(X43="","",X43-N(Y43))</f>
        <v>0</v>
      </c>
      <c r="AB43" s="23">
        <f>IF(B43="","",IF(COUNTIF(Performance!$B$5:$B$404,B43)=0,"",SUMIFS(Performance!$O$5:$O$404,Performance!$B$5:$B$404,B43)))</f>
        <v>0</v>
      </c>
      <c r="AC43" s="23">
        <f>IF(B43="","",IF(COUNTIF(Performance!$B$5:$B$404,B43)=0,"",SUMIFS(Performance!$P$5:$P$404,Performance!$B$5:$B$404,B43)))</f>
        <v>0</v>
      </c>
      <c r="AD43" s="23">
        <f>IF(B43="","",IF(COUNTIF(Performance!$B$5:$B$404,B43)=0,"",SUMIFS(Performance!$Z$5:$Z$404,Performance!$B$5:$B$404,B43)))</f>
        <v>0</v>
      </c>
      <c r="AE43" s="24">
        <f>IF(OR(AB43="",AB43=0),"",AD43/AB43)</f>
        <v>0</v>
      </c>
      <c r="AF43" s="23">
        <f>IF(B43="","",IF(COUNTIF(Performance!$B$5:$B$404,B43)=0,"",SUMIFS(Performance!$T$5:$T$404,Performance!$B$5:$B$404,B43)))</f>
        <v>0</v>
      </c>
      <c r="AG43" s="23">
        <f>IF(B43="","",IF(COUNTIF(Performance!$B$5:$B$404,B43)=0,"",SUMIFS(Performance!$S$5:$S$404,Performance!$B$5:$B$404,B43)))</f>
        <v>0</v>
      </c>
      <c r="AH43" s="23">
        <f>IF(B43="","",IF(COUNTIF(Performance!$B$5:$B$404,B43)=0,"",SUMIFS(Performance!$R$5:$R$404,Performance!$B$5:$B$404,B43)))</f>
        <v>0</v>
      </c>
      <c r="AI43" s="23">
        <f>IF(B43="","",IF(COUNTIF(Performance!$B$5:$B$404,B43)=0,"",SUMIFS(Performance!$U$5:$U$404,Performance!$B$5:$B$404,B43)))</f>
        <v>0</v>
      </c>
      <c r="AJ43" s="29">
        <f>IF(B43="","",IF(C43="Not found","Check - content ID not on the calendar",IF(N43="","Add - no thumbnail",IF(AND(W43&lt;&gt;"",W43&lt;0.03),"Review - thumbnail click rate is low",IF(AND(V43&lt;&gt;"",V43&lt;0.3),"Review - viewers leave early","OK")))))</f>
        <v>0</v>
      </c>
    </row>
    <row r="44" spans="1:36">
      <c r="A44" s="41">
        <f>IF(B44="","","YT-"&amp;TEXT(ROW()-4,"000"))</f>
        <v>0</v>
      </c>
      <c r="C44" s="17">
        <f>IF(B44="","",IFERROR(INDEX('Content Calendar'!$H$5:$H$604,MATCH(B44,'Content Calendar'!$A$5:$A$604,0)),"Not found"))</f>
        <v>0</v>
      </c>
      <c r="D44" s="16">
        <f>IF(B44="","",IFERROR(INDEX('Content Calendar'!$B$5:$B$604,MATCH(B44,'Content Calendar'!$A$5:$A$604,0)),"Not found"))</f>
        <v>0</v>
      </c>
      <c r="E44" s="17">
        <f>IF(B44="","",IFERROR(INDEX('Content Calendar'!$J$5:$J$604,MATCH(B44,'Content Calendar'!$A$5:$A$604,0)),"Not found"))</f>
        <v>0</v>
      </c>
      <c r="F44" s="29">
        <f>IF(B44="","",IFERROR(INDEX('Content Calendar'!$X$5:$X$604,MATCH(B44,'Content Calendar'!$A$5:$A$604,0)),"Not found"))</f>
        <v>0</v>
      </c>
      <c r="I44" s="23">
        <f>IF(H44="","",LEN(H44))</f>
        <v>0</v>
      </c>
      <c r="Z44" s="23">
        <f>IF(X44="","",X44-N(Y44))</f>
        <v>0</v>
      </c>
      <c r="AB44" s="23">
        <f>IF(B44="","",IF(COUNTIF(Performance!$B$5:$B$404,B44)=0,"",SUMIFS(Performance!$O$5:$O$404,Performance!$B$5:$B$404,B44)))</f>
        <v>0</v>
      </c>
      <c r="AC44" s="23">
        <f>IF(B44="","",IF(COUNTIF(Performance!$B$5:$B$404,B44)=0,"",SUMIFS(Performance!$P$5:$P$404,Performance!$B$5:$B$404,B44)))</f>
        <v>0</v>
      </c>
      <c r="AD44" s="23">
        <f>IF(B44="","",IF(COUNTIF(Performance!$B$5:$B$404,B44)=0,"",SUMIFS(Performance!$Z$5:$Z$404,Performance!$B$5:$B$404,B44)))</f>
        <v>0</v>
      </c>
      <c r="AE44" s="24">
        <f>IF(OR(AB44="",AB44=0),"",AD44/AB44)</f>
        <v>0</v>
      </c>
      <c r="AF44" s="23">
        <f>IF(B44="","",IF(COUNTIF(Performance!$B$5:$B$404,B44)=0,"",SUMIFS(Performance!$T$5:$T$404,Performance!$B$5:$B$404,B44)))</f>
        <v>0</v>
      </c>
      <c r="AG44" s="23">
        <f>IF(B44="","",IF(COUNTIF(Performance!$B$5:$B$404,B44)=0,"",SUMIFS(Performance!$S$5:$S$404,Performance!$B$5:$B$404,B44)))</f>
        <v>0</v>
      </c>
      <c r="AH44" s="23">
        <f>IF(B44="","",IF(COUNTIF(Performance!$B$5:$B$404,B44)=0,"",SUMIFS(Performance!$R$5:$R$404,Performance!$B$5:$B$404,B44)))</f>
        <v>0</v>
      </c>
      <c r="AI44" s="23">
        <f>IF(B44="","",IF(COUNTIF(Performance!$B$5:$B$404,B44)=0,"",SUMIFS(Performance!$U$5:$U$404,Performance!$B$5:$B$404,B44)))</f>
        <v>0</v>
      </c>
      <c r="AJ44" s="29">
        <f>IF(B44="","",IF(C44="Not found","Check - content ID not on the calendar",IF(N44="","Add - no thumbnail",IF(AND(W44&lt;&gt;"",W44&lt;0.03),"Review - thumbnail click rate is low",IF(AND(V44&lt;&gt;"",V44&lt;0.3),"Review - viewers leave early","OK")))))</f>
        <v>0</v>
      </c>
    </row>
    <row r="45" spans="1:36">
      <c r="A45" s="41">
        <f>IF(B45="","","YT-"&amp;TEXT(ROW()-4,"000"))</f>
        <v>0</v>
      </c>
      <c r="C45" s="17">
        <f>IF(B45="","",IFERROR(INDEX('Content Calendar'!$H$5:$H$604,MATCH(B45,'Content Calendar'!$A$5:$A$604,0)),"Not found"))</f>
        <v>0</v>
      </c>
      <c r="D45" s="16">
        <f>IF(B45="","",IFERROR(INDEX('Content Calendar'!$B$5:$B$604,MATCH(B45,'Content Calendar'!$A$5:$A$604,0)),"Not found"))</f>
        <v>0</v>
      </c>
      <c r="E45" s="17">
        <f>IF(B45="","",IFERROR(INDEX('Content Calendar'!$J$5:$J$604,MATCH(B45,'Content Calendar'!$A$5:$A$604,0)),"Not found"))</f>
        <v>0</v>
      </c>
      <c r="F45" s="29">
        <f>IF(B45="","",IFERROR(INDEX('Content Calendar'!$X$5:$X$604,MATCH(B45,'Content Calendar'!$A$5:$A$604,0)),"Not found"))</f>
        <v>0</v>
      </c>
      <c r="I45" s="23">
        <f>IF(H45="","",LEN(H45))</f>
        <v>0</v>
      </c>
      <c r="Z45" s="23">
        <f>IF(X45="","",X45-N(Y45))</f>
        <v>0</v>
      </c>
      <c r="AB45" s="23">
        <f>IF(B45="","",IF(COUNTIF(Performance!$B$5:$B$404,B45)=0,"",SUMIFS(Performance!$O$5:$O$404,Performance!$B$5:$B$404,B45)))</f>
        <v>0</v>
      </c>
      <c r="AC45" s="23">
        <f>IF(B45="","",IF(COUNTIF(Performance!$B$5:$B$404,B45)=0,"",SUMIFS(Performance!$P$5:$P$404,Performance!$B$5:$B$404,B45)))</f>
        <v>0</v>
      </c>
      <c r="AD45" s="23">
        <f>IF(B45="","",IF(COUNTIF(Performance!$B$5:$B$404,B45)=0,"",SUMIFS(Performance!$Z$5:$Z$404,Performance!$B$5:$B$404,B45)))</f>
        <v>0</v>
      </c>
      <c r="AE45" s="24">
        <f>IF(OR(AB45="",AB45=0),"",AD45/AB45)</f>
        <v>0</v>
      </c>
      <c r="AF45" s="23">
        <f>IF(B45="","",IF(COUNTIF(Performance!$B$5:$B$404,B45)=0,"",SUMIFS(Performance!$T$5:$T$404,Performance!$B$5:$B$404,B45)))</f>
        <v>0</v>
      </c>
      <c r="AG45" s="23">
        <f>IF(B45="","",IF(COUNTIF(Performance!$B$5:$B$404,B45)=0,"",SUMIFS(Performance!$S$5:$S$404,Performance!$B$5:$B$404,B45)))</f>
        <v>0</v>
      </c>
      <c r="AH45" s="23">
        <f>IF(B45="","",IF(COUNTIF(Performance!$B$5:$B$404,B45)=0,"",SUMIFS(Performance!$R$5:$R$404,Performance!$B$5:$B$404,B45)))</f>
        <v>0</v>
      </c>
      <c r="AI45" s="23">
        <f>IF(B45="","",IF(COUNTIF(Performance!$B$5:$B$404,B45)=0,"",SUMIFS(Performance!$U$5:$U$404,Performance!$B$5:$B$404,B45)))</f>
        <v>0</v>
      </c>
      <c r="AJ45" s="29">
        <f>IF(B45="","",IF(C45="Not found","Check - content ID not on the calendar",IF(N45="","Add - no thumbnail",IF(AND(W45&lt;&gt;"",W45&lt;0.03),"Review - thumbnail click rate is low",IF(AND(V45&lt;&gt;"",V45&lt;0.3),"Review - viewers leave early","OK")))))</f>
        <v>0</v>
      </c>
    </row>
    <row r="46" spans="1:36">
      <c r="A46" s="41">
        <f>IF(B46="","","YT-"&amp;TEXT(ROW()-4,"000"))</f>
        <v>0</v>
      </c>
      <c r="C46" s="17">
        <f>IF(B46="","",IFERROR(INDEX('Content Calendar'!$H$5:$H$604,MATCH(B46,'Content Calendar'!$A$5:$A$604,0)),"Not found"))</f>
        <v>0</v>
      </c>
      <c r="D46" s="16">
        <f>IF(B46="","",IFERROR(INDEX('Content Calendar'!$B$5:$B$604,MATCH(B46,'Content Calendar'!$A$5:$A$604,0)),"Not found"))</f>
        <v>0</v>
      </c>
      <c r="E46" s="17">
        <f>IF(B46="","",IFERROR(INDEX('Content Calendar'!$J$5:$J$604,MATCH(B46,'Content Calendar'!$A$5:$A$604,0)),"Not found"))</f>
        <v>0</v>
      </c>
      <c r="F46" s="29">
        <f>IF(B46="","",IFERROR(INDEX('Content Calendar'!$X$5:$X$604,MATCH(B46,'Content Calendar'!$A$5:$A$604,0)),"Not found"))</f>
        <v>0</v>
      </c>
      <c r="I46" s="23">
        <f>IF(H46="","",LEN(H46))</f>
        <v>0</v>
      </c>
      <c r="Z46" s="23">
        <f>IF(X46="","",X46-N(Y46))</f>
        <v>0</v>
      </c>
      <c r="AB46" s="23">
        <f>IF(B46="","",IF(COUNTIF(Performance!$B$5:$B$404,B46)=0,"",SUMIFS(Performance!$O$5:$O$404,Performance!$B$5:$B$404,B46)))</f>
        <v>0</v>
      </c>
      <c r="AC46" s="23">
        <f>IF(B46="","",IF(COUNTIF(Performance!$B$5:$B$404,B46)=0,"",SUMIFS(Performance!$P$5:$P$404,Performance!$B$5:$B$404,B46)))</f>
        <v>0</v>
      </c>
      <c r="AD46" s="23">
        <f>IF(B46="","",IF(COUNTIF(Performance!$B$5:$B$404,B46)=0,"",SUMIFS(Performance!$Z$5:$Z$404,Performance!$B$5:$B$404,B46)))</f>
        <v>0</v>
      </c>
      <c r="AE46" s="24">
        <f>IF(OR(AB46="",AB46=0),"",AD46/AB46)</f>
        <v>0</v>
      </c>
      <c r="AF46" s="23">
        <f>IF(B46="","",IF(COUNTIF(Performance!$B$5:$B$404,B46)=0,"",SUMIFS(Performance!$T$5:$T$404,Performance!$B$5:$B$404,B46)))</f>
        <v>0</v>
      </c>
      <c r="AG46" s="23">
        <f>IF(B46="","",IF(COUNTIF(Performance!$B$5:$B$404,B46)=0,"",SUMIFS(Performance!$S$5:$S$404,Performance!$B$5:$B$404,B46)))</f>
        <v>0</v>
      </c>
      <c r="AH46" s="23">
        <f>IF(B46="","",IF(COUNTIF(Performance!$B$5:$B$404,B46)=0,"",SUMIFS(Performance!$R$5:$R$404,Performance!$B$5:$B$404,B46)))</f>
        <v>0</v>
      </c>
      <c r="AI46" s="23">
        <f>IF(B46="","",IF(COUNTIF(Performance!$B$5:$B$404,B46)=0,"",SUMIFS(Performance!$U$5:$U$404,Performance!$B$5:$B$404,B46)))</f>
        <v>0</v>
      </c>
      <c r="AJ46" s="29">
        <f>IF(B46="","",IF(C46="Not found","Check - content ID not on the calendar",IF(N46="","Add - no thumbnail",IF(AND(W46&lt;&gt;"",W46&lt;0.03),"Review - thumbnail click rate is low",IF(AND(V46&lt;&gt;"",V46&lt;0.3),"Review - viewers leave early","OK")))))</f>
        <v>0</v>
      </c>
    </row>
    <row r="47" spans="1:36">
      <c r="A47" s="41">
        <f>IF(B47="","","YT-"&amp;TEXT(ROW()-4,"000"))</f>
        <v>0</v>
      </c>
      <c r="C47" s="17">
        <f>IF(B47="","",IFERROR(INDEX('Content Calendar'!$H$5:$H$604,MATCH(B47,'Content Calendar'!$A$5:$A$604,0)),"Not found"))</f>
        <v>0</v>
      </c>
      <c r="D47" s="16">
        <f>IF(B47="","",IFERROR(INDEX('Content Calendar'!$B$5:$B$604,MATCH(B47,'Content Calendar'!$A$5:$A$604,0)),"Not found"))</f>
        <v>0</v>
      </c>
      <c r="E47" s="17">
        <f>IF(B47="","",IFERROR(INDEX('Content Calendar'!$J$5:$J$604,MATCH(B47,'Content Calendar'!$A$5:$A$604,0)),"Not found"))</f>
        <v>0</v>
      </c>
      <c r="F47" s="29">
        <f>IF(B47="","",IFERROR(INDEX('Content Calendar'!$X$5:$X$604,MATCH(B47,'Content Calendar'!$A$5:$A$604,0)),"Not found"))</f>
        <v>0</v>
      </c>
      <c r="I47" s="23">
        <f>IF(H47="","",LEN(H47))</f>
        <v>0</v>
      </c>
      <c r="Z47" s="23">
        <f>IF(X47="","",X47-N(Y47))</f>
        <v>0</v>
      </c>
      <c r="AB47" s="23">
        <f>IF(B47="","",IF(COUNTIF(Performance!$B$5:$B$404,B47)=0,"",SUMIFS(Performance!$O$5:$O$404,Performance!$B$5:$B$404,B47)))</f>
        <v>0</v>
      </c>
      <c r="AC47" s="23">
        <f>IF(B47="","",IF(COUNTIF(Performance!$B$5:$B$404,B47)=0,"",SUMIFS(Performance!$P$5:$P$404,Performance!$B$5:$B$404,B47)))</f>
        <v>0</v>
      </c>
      <c r="AD47" s="23">
        <f>IF(B47="","",IF(COUNTIF(Performance!$B$5:$B$404,B47)=0,"",SUMIFS(Performance!$Z$5:$Z$404,Performance!$B$5:$B$404,B47)))</f>
        <v>0</v>
      </c>
      <c r="AE47" s="24">
        <f>IF(OR(AB47="",AB47=0),"",AD47/AB47)</f>
        <v>0</v>
      </c>
      <c r="AF47" s="23">
        <f>IF(B47="","",IF(COUNTIF(Performance!$B$5:$B$404,B47)=0,"",SUMIFS(Performance!$T$5:$T$404,Performance!$B$5:$B$404,B47)))</f>
        <v>0</v>
      </c>
      <c r="AG47" s="23">
        <f>IF(B47="","",IF(COUNTIF(Performance!$B$5:$B$404,B47)=0,"",SUMIFS(Performance!$S$5:$S$404,Performance!$B$5:$B$404,B47)))</f>
        <v>0</v>
      </c>
      <c r="AH47" s="23">
        <f>IF(B47="","",IF(COUNTIF(Performance!$B$5:$B$404,B47)=0,"",SUMIFS(Performance!$R$5:$R$404,Performance!$B$5:$B$404,B47)))</f>
        <v>0</v>
      </c>
      <c r="AI47" s="23">
        <f>IF(B47="","",IF(COUNTIF(Performance!$B$5:$B$404,B47)=0,"",SUMIFS(Performance!$U$5:$U$404,Performance!$B$5:$B$404,B47)))</f>
        <v>0</v>
      </c>
      <c r="AJ47" s="29">
        <f>IF(B47="","",IF(C47="Not found","Check - content ID not on the calendar",IF(N47="","Add - no thumbnail",IF(AND(W47&lt;&gt;"",W47&lt;0.03),"Review - thumbnail click rate is low",IF(AND(V47&lt;&gt;"",V47&lt;0.3),"Review - viewers leave early","OK")))))</f>
        <v>0</v>
      </c>
    </row>
    <row r="48" spans="1:36">
      <c r="A48" s="41">
        <f>IF(B48="","","YT-"&amp;TEXT(ROW()-4,"000"))</f>
        <v>0</v>
      </c>
      <c r="C48" s="17">
        <f>IF(B48="","",IFERROR(INDEX('Content Calendar'!$H$5:$H$604,MATCH(B48,'Content Calendar'!$A$5:$A$604,0)),"Not found"))</f>
        <v>0</v>
      </c>
      <c r="D48" s="16">
        <f>IF(B48="","",IFERROR(INDEX('Content Calendar'!$B$5:$B$604,MATCH(B48,'Content Calendar'!$A$5:$A$604,0)),"Not found"))</f>
        <v>0</v>
      </c>
      <c r="E48" s="17">
        <f>IF(B48="","",IFERROR(INDEX('Content Calendar'!$J$5:$J$604,MATCH(B48,'Content Calendar'!$A$5:$A$604,0)),"Not found"))</f>
        <v>0</v>
      </c>
      <c r="F48" s="29">
        <f>IF(B48="","",IFERROR(INDEX('Content Calendar'!$X$5:$X$604,MATCH(B48,'Content Calendar'!$A$5:$A$604,0)),"Not found"))</f>
        <v>0</v>
      </c>
      <c r="I48" s="23">
        <f>IF(H48="","",LEN(H48))</f>
        <v>0</v>
      </c>
      <c r="Z48" s="23">
        <f>IF(X48="","",X48-N(Y48))</f>
        <v>0</v>
      </c>
      <c r="AB48" s="23">
        <f>IF(B48="","",IF(COUNTIF(Performance!$B$5:$B$404,B48)=0,"",SUMIFS(Performance!$O$5:$O$404,Performance!$B$5:$B$404,B48)))</f>
        <v>0</v>
      </c>
      <c r="AC48" s="23">
        <f>IF(B48="","",IF(COUNTIF(Performance!$B$5:$B$404,B48)=0,"",SUMIFS(Performance!$P$5:$P$404,Performance!$B$5:$B$404,B48)))</f>
        <v>0</v>
      </c>
      <c r="AD48" s="23">
        <f>IF(B48="","",IF(COUNTIF(Performance!$B$5:$B$404,B48)=0,"",SUMIFS(Performance!$Z$5:$Z$404,Performance!$B$5:$B$404,B48)))</f>
        <v>0</v>
      </c>
      <c r="AE48" s="24">
        <f>IF(OR(AB48="",AB48=0),"",AD48/AB48)</f>
        <v>0</v>
      </c>
      <c r="AF48" s="23">
        <f>IF(B48="","",IF(COUNTIF(Performance!$B$5:$B$404,B48)=0,"",SUMIFS(Performance!$T$5:$T$404,Performance!$B$5:$B$404,B48)))</f>
        <v>0</v>
      </c>
      <c r="AG48" s="23">
        <f>IF(B48="","",IF(COUNTIF(Performance!$B$5:$B$404,B48)=0,"",SUMIFS(Performance!$S$5:$S$404,Performance!$B$5:$B$404,B48)))</f>
        <v>0</v>
      </c>
      <c r="AH48" s="23">
        <f>IF(B48="","",IF(COUNTIF(Performance!$B$5:$B$404,B48)=0,"",SUMIFS(Performance!$R$5:$R$404,Performance!$B$5:$B$404,B48)))</f>
        <v>0</v>
      </c>
      <c r="AI48" s="23">
        <f>IF(B48="","",IF(COUNTIF(Performance!$B$5:$B$404,B48)=0,"",SUMIFS(Performance!$U$5:$U$404,Performance!$B$5:$B$404,B48)))</f>
        <v>0</v>
      </c>
      <c r="AJ48" s="29">
        <f>IF(B48="","",IF(C48="Not found","Check - content ID not on the calendar",IF(N48="","Add - no thumbnail",IF(AND(W48&lt;&gt;"",W48&lt;0.03),"Review - thumbnail click rate is low",IF(AND(V48&lt;&gt;"",V48&lt;0.3),"Review - viewers leave early","OK")))))</f>
        <v>0</v>
      </c>
    </row>
    <row r="49" spans="1:36">
      <c r="A49" s="41">
        <f>IF(B49="","","YT-"&amp;TEXT(ROW()-4,"000"))</f>
        <v>0</v>
      </c>
      <c r="C49" s="17">
        <f>IF(B49="","",IFERROR(INDEX('Content Calendar'!$H$5:$H$604,MATCH(B49,'Content Calendar'!$A$5:$A$604,0)),"Not found"))</f>
        <v>0</v>
      </c>
      <c r="D49" s="16">
        <f>IF(B49="","",IFERROR(INDEX('Content Calendar'!$B$5:$B$604,MATCH(B49,'Content Calendar'!$A$5:$A$604,0)),"Not found"))</f>
        <v>0</v>
      </c>
      <c r="E49" s="17">
        <f>IF(B49="","",IFERROR(INDEX('Content Calendar'!$J$5:$J$604,MATCH(B49,'Content Calendar'!$A$5:$A$604,0)),"Not found"))</f>
        <v>0</v>
      </c>
      <c r="F49" s="29">
        <f>IF(B49="","",IFERROR(INDEX('Content Calendar'!$X$5:$X$604,MATCH(B49,'Content Calendar'!$A$5:$A$604,0)),"Not found"))</f>
        <v>0</v>
      </c>
      <c r="I49" s="23">
        <f>IF(H49="","",LEN(H49))</f>
        <v>0</v>
      </c>
      <c r="Z49" s="23">
        <f>IF(X49="","",X49-N(Y49))</f>
        <v>0</v>
      </c>
      <c r="AB49" s="23">
        <f>IF(B49="","",IF(COUNTIF(Performance!$B$5:$B$404,B49)=0,"",SUMIFS(Performance!$O$5:$O$404,Performance!$B$5:$B$404,B49)))</f>
        <v>0</v>
      </c>
      <c r="AC49" s="23">
        <f>IF(B49="","",IF(COUNTIF(Performance!$B$5:$B$404,B49)=0,"",SUMIFS(Performance!$P$5:$P$404,Performance!$B$5:$B$404,B49)))</f>
        <v>0</v>
      </c>
      <c r="AD49" s="23">
        <f>IF(B49="","",IF(COUNTIF(Performance!$B$5:$B$404,B49)=0,"",SUMIFS(Performance!$Z$5:$Z$404,Performance!$B$5:$B$404,B49)))</f>
        <v>0</v>
      </c>
      <c r="AE49" s="24">
        <f>IF(OR(AB49="",AB49=0),"",AD49/AB49)</f>
        <v>0</v>
      </c>
      <c r="AF49" s="23">
        <f>IF(B49="","",IF(COUNTIF(Performance!$B$5:$B$404,B49)=0,"",SUMIFS(Performance!$T$5:$T$404,Performance!$B$5:$B$404,B49)))</f>
        <v>0</v>
      </c>
      <c r="AG49" s="23">
        <f>IF(B49="","",IF(COUNTIF(Performance!$B$5:$B$404,B49)=0,"",SUMIFS(Performance!$S$5:$S$404,Performance!$B$5:$B$404,B49)))</f>
        <v>0</v>
      </c>
      <c r="AH49" s="23">
        <f>IF(B49="","",IF(COUNTIF(Performance!$B$5:$B$404,B49)=0,"",SUMIFS(Performance!$R$5:$R$404,Performance!$B$5:$B$404,B49)))</f>
        <v>0</v>
      </c>
      <c r="AI49" s="23">
        <f>IF(B49="","",IF(COUNTIF(Performance!$B$5:$B$404,B49)=0,"",SUMIFS(Performance!$U$5:$U$404,Performance!$B$5:$B$404,B49)))</f>
        <v>0</v>
      </c>
      <c r="AJ49" s="29">
        <f>IF(B49="","",IF(C49="Not found","Check - content ID not on the calendar",IF(N49="","Add - no thumbnail",IF(AND(W49&lt;&gt;"",W49&lt;0.03),"Review - thumbnail click rate is low",IF(AND(V49&lt;&gt;"",V49&lt;0.3),"Review - viewers leave early","OK")))))</f>
        <v>0</v>
      </c>
    </row>
    <row r="50" spans="1:36">
      <c r="A50" s="41">
        <f>IF(B50="","","YT-"&amp;TEXT(ROW()-4,"000"))</f>
        <v>0</v>
      </c>
      <c r="C50" s="17">
        <f>IF(B50="","",IFERROR(INDEX('Content Calendar'!$H$5:$H$604,MATCH(B50,'Content Calendar'!$A$5:$A$604,0)),"Not found"))</f>
        <v>0</v>
      </c>
      <c r="D50" s="16">
        <f>IF(B50="","",IFERROR(INDEX('Content Calendar'!$B$5:$B$604,MATCH(B50,'Content Calendar'!$A$5:$A$604,0)),"Not found"))</f>
        <v>0</v>
      </c>
      <c r="E50" s="17">
        <f>IF(B50="","",IFERROR(INDEX('Content Calendar'!$J$5:$J$604,MATCH(B50,'Content Calendar'!$A$5:$A$604,0)),"Not found"))</f>
        <v>0</v>
      </c>
      <c r="F50" s="29">
        <f>IF(B50="","",IFERROR(INDEX('Content Calendar'!$X$5:$X$604,MATCH(B50,'Content Calendar'!$A$5:$A$604,0)),"Not found"))</f>
        <v>0</v>
      </c>
      <c r="I50" s="23">
        <f>IF(H50="","",LEN(H50))</f>
        <v>0</v>
      </c>
      <c r="Z50" s="23">
        <f>IF(X50="","",X50-N(Y50))</f>
        <v>0</v>
      </c>
      <c r="AB50" s="23">
        <f>IF(B50="","",IF(COUNTIF(Performance!$B$5:$B$404,B50)=0,"",SUMIFS(Performance!$O$5:$O$404,Performance!$B$5:$B$404,B50)))</f>
        <v>0</v>
      </c>
      <c r="AC50" s="23">
        <f>IF(B50="","",IF(COUNTIF(Performance!$B$5:$B$404,B50)=0,"",SUMIFS(Performance!$P$5:$P$404,Performance!$B$5:$B$404,B50)))</f>
        <v>0</v>
      </c>
      <c r="AD50" s="23">
        <f>IF(B50="","",IF(COUNTIF(Performance!$B$5:$B$404,B50)=0,"",SUMIFS(Performance!$Z$5:$Z$404,Performance!$B$5:$B$404,B50)))</f>
        <v>0</v>
      </c>
      <c r="AE50" s="24">
        <f>IF(OR(AB50="",AB50=0),"",AD50/AB50)</f>
        <v>0</v>
      </c>
      <c r="AF50" s="23">
        <f>IF(B50="","",IF(COUNTIF(Performance!$B$5:$B$404,B50)=0,"",SUMIFS(Performance!$T$5:$T$404,Performance!$B$5:$B$404,B50)))</f>
        <v>0</v>
      </c>
      <c r="AG50" s="23">
        <f>IF(B50="","",IF(COUNTIF(Performance!$B$5:$B$404,B50)=0,"",SUMIFS(Performance!$S$5:$S$404,Performance!$B$5:$B$404,B50)))</f>
        <v>0</v>
      </c>
      <c r="AH50" s="23">
        <f>IF(B50="","",IF(COUNTIF(Performance!$B$5:$B$404,B50)=0,"",SUMIFS(Performance!$R$5:$R$404,Performance!$B$5:$B$404,B50)))</f>
        <v>0</v>
      </c>
      <c r="AI50" s="23">
        <f>IF(B50="","",IF(COUNTIF(Performance!$B$5:$B$404,B50)=0,"",SUMIFS(Performance!$U$5:$U$404,Performance!$B$5:$B$404,B50)))</f>
        <v>0</v>
      </c>
      <c r="AJ50" s="29">
        <f>IF(B50="","",IF(C50="Not found","Check - content ID not on the calendar",IF(N50="","Add - no thumbnail",IF(AND(W50&lt;&gt;"",W50&lt;0.03),"Review - thumbnail click rate is low",IF(AND(V50&lt;&gt;"",V50&lt;0.3),"Review - viewers leave early","OK")))))</f>
        <v>0</v>
      </c>
    </row>
    <row r="51" spans="1:36">
      <c r="A51" s="41">
        <f>IF(B51="","","YT-"&amp;TEXT(ROW()-4,"000"))</f>
        <v>0</v>
      </c>
      <c r="C51" s="17">
        <f>IF(B51="","",IFERROR(INDEX('Content Calendar'!$H$5:$H$604,MATCH(B51,'Content Calendar'!$A$5:$A$604,0)),"Not found"))</f>
        <v>0</v>
      </c>
      <c r="D51" s="16">
        <f>IF(B51="","",IFERROR(INDEX('Content Calendar'!$B$5:$B$604,MATCH(B51,'Content Calendar'!$A$5:$A$604,0)),"Not found"))</f>
        <v>0</v>
      </c>
      <c r="E51" s="17">
        <f>IF(B51="","",IFERROR(INDEX('Content Calendar'!$J$5:$J$604,MATCH(B51,'Content Calendar'!$A$5:$A$604,0)),"Not found"))</f>
        <v>0</v>
      </c>
      <c r="F51" s="29">
        <f>IF(B51="","",IFERROR(INDEX('Content Calendar'!$X$5:$X$604,MATCH(B51,'Content Calendar'!$A$5:$A$604,0)),"Not found"))</f>
        <v>0</v>
      </c>
      <c r="I51" s="23">
        <f>IF(H51="","",LEN(H51))</f>
        <v>0</v>
      </c>
      <c r="Z51" s="23">
        <f>IF(X51="","",X51-N(Y51))</f>
        <v>0</v>
      </c>
      <c r="AB51" s="23">
        <f>IF(B51="","",IF(COUNTIF(Performance!$B$5:$B$404,B51)=0,"",SUMIFS(Performance!$O$5:$O$404,Performance!$B$5:$B$404,B51)))</f>
        <v>0</v>
      </c>
      <c r="AC51" s="23">
        <f>IF(B51="","",IF(COUNTIF(Performance!$B$5:$B$404,B51)=0,"",SUMIFS(Performance!$P$5:$P$404,Performance!$B$5:$B$404,B51)))</f>
        <v>0</v>
      </c>
      <c r="AD51" s="23">
        <f>IF(B51="","",IF(COUNTIF(Performance!$B$5:$B$404,B51)=0,"",SUMIFS(Performance!$Z$5:$Z$404,Performance!$B$5:$B$404,B51)))</f>
        <v>0</v>
      </c>
      <c r="AE51" s="24">
        <f>IF(OR(AB51="",AB51=0),"",AD51/AB51)</f>
        <v>0</v>
      </c>
      <c r="AF51" s="23">
        <f>IF(B51="","",IF(COUNTIF(Performance!$B$5:$B$404,B51)=0,"",SUMIFS(Performance!$T$5:$T$404,Performance!$B$5:$B$404,B51)))</f>
        <v>0</v>
      </c>
      <c r="AG51" s="23">
        <f>IF(B51="","",IF(COUNTIF(Performance!$B$5:$B$404,B51)=0,"",SUMIFS(Performance!$S$5:$S$404,Performance!$B$5:$B$404,B51)))</f>
        <v>0</v>
      </c>
      <c r="AH51" s="23">
        <f>IF(B51="","",IF(COUNTIF(Performance!$B$5:$B$404,B51)=0,"",SUMIFS(Performance!$R$5:$R$404,Performance!$B$5:$B$404,B51)))</f>
        <v>0</v>
      </c>
      <c r="AI51" s="23">
        <f>IF(B51="","",IF(COUNTIF(Performance!$B$5:$B$404,B51)=0,"",SUMIFS(Performance!$U$5:$U$404,Performance!$B$5:$B$404,B51)))</f>
        <v>0</v>
      </c>
      <c r="AJ51" s="29">
        <f>IF(B51="","",IF(C51="Not found","Check - content ID not on the calendar",IF(N51="","Add - no thumbnail",IF(AND(W51&lt;&gt;"",W51&lt;0.03),"Review - thumbnail click rate is low",IF(AND(V51&lt;&gt;"",V51&lt;0.3),"Review - viewers leave early","OK")))))</f>
        <v>0</v>
      </c>
    </row>
    <row r="52" spans="1:36">
      <c r="A52" s="41">
        <f>IF(B52="","","YT-"&amp;TEXT(ROW()-4,"000"))</f>
        <v>0</v>
      </c>
      <c r="C52" s="17">
        <f>IF(B52="","",IFERROR(INDEX('Content Calendar'!$H$5:$H$604,MATCH(B52,'Content Calendar'!$A$5:$A$604,0)),"Not found"))</f>
        <v>0</v>
      </c>
      <c r="D52" s="16">
        <f>IF(B52="","",IFERROR(INDEX('Content Calendar'!$B$5:$B$604,MATCH(B52,'Content Calendar'!$A$5:$A$604,0)),"Not found"))</f>
        <v>0</v>
      </c>
      <c r="E52" s="17">
        <f>IF(B52="","",IFERROR(INDEX('Content Calendar'!$J$5:$J$604,MATCH(B52,'Content Calendar'!$A$5:$A$604,0)),"Not found"))</f>
        <v>0</v>
      </c>
      <c r="F52" s="29">
        <f>IF(B52="","",IFERROR(INDEX('Content Calendar'!$X$5:$X$604,MATCH(B52,'Content Calendar'!$A$5:$A$604,0)),"Not found"))</f>
        <v>0</v>
      </c>
      <c r="I52" s="23">
        <f>IF(H52="","",LEN(H52))</f>
        <v>0</v>
      </c>
      <c r="Z52" s="23">
        <f>IF(X52="","",X52-N(Y52))</f>
        <v>0</v>
      </c>
      <c r="AB52" s="23">
        <f>IF(B52="","",IF(COUNTIF(Performance!$B$5:$B$404,B52)=0,"",SUMIFS(Performance!$O$5:$O$404,Performance!$B$5:$B$404,B52)))</f>
        <v>0</v>
      </c>
      <c r="AC52" s="23">
        <f>IF(B52="","",IF(COUNTIF(Performance!$B$5:$B$404,B52)=0,"",SUMIFS(Performance!$P$5:$P$404,Performance!$B$5:$B$404,B52)))</f>
        <v>0</v>
      </c>
      <c r="AD52" s="23">
        <f>IF(B52="","",IF(COUNTIF(Performance!$B$5:$B$404,B52)=0,"",SUMIFS(Performance!$Z$5:$Z$404,Performance!$B$5:$B$404,B52)))</f>
        <v>0</v>
      </c>
      <c r="AE52" s="24">
        <f>IF(OR(AB52="",AB52=0),"",AD52/AB52)</f>
        <v>0</v>
      </c>
      <c r="AF52" s="23">
        <f>IF(B52="","",IF(COUNTIF(Performance!$B$5:$B$404,B52)=0,"",SUMIFS(Performance!$T$5:$T$404,Performance!$B$5:$B$404,B52)))</f>
        <v>0</v>
      </c>
      <c r="AG52" s="23">
        <f>IF(B52="","",IF(COUNTIF(Performance!$B$5:$B$404,B52)=0,"",SUMIFS(Performance!$S$5:$S$404,Performance!$B$5:$B$404,B52)))</f>
        <v>0</v>
      </c>
      <c r="AH52" s="23">
        <f>IF(B52="","",IF(COUNTIF(Performance!$B$5:$B$404,B52)=0,"",SUMIFS(Performance!$R$5:$R$404,Performance!$B$5:$B$404,B52)))</f>
        <v>0</v>
      </c>
      <c r="AI52" s="23">
        <f>IF(B52="","",IF(COUNTIF(Performance!$B$5:$B$404,B52)=0,"",SUMIFS(Performance!$U$5:$U$404,Performance!$B$5:$B$404,B52)))</f>
        <v>0</v>
      </c>
      <c r="AJ52" s="29">
        <f>IF(B52="","",IF(C52="Not found","Check - content ID not on the calendar",IF(N52="","Add - no thumbnail",IF(AND(W52&lt;&gt;"",W52&lt;0.03),"Review - thumbnail click rate is low",IF(AND(V52&lt;&gt;"",V52&lt;0.3),"Review - viewers leave early","OK")))))</f>
        <v>0</v>
      </c>
    </row>
    <row r="53" spans="1:36">
      <c r="A53" s="41">
        <f>IF(B53="","","YT-"&amp;TEXT(ROW()-4,"000"))</f>
        <v>0</v>
      </c>
      <c r="C53" s="17">
        <f>IF(B53="","",IFERROR(INDEX('Content Calendar'!$H$5:$H$604,MATCH(B53,'Content Calendar'!$A$5:$A$604,0)),"Not found"))</f>
        <v>0</v>
      </c>
      <c r="D53" s="16">
        <f>IF(B53="","",IFERROR(INDEX('Content Calendar'!$B$5:$B$604,MATCH(B53,'Content Calendar'!$A$5:$A$604,0)),"Not found"))</f>
        <v>0</v>
      </c>
      <c r="E53" s="17">
        <f>IF(B53="","",IFERROR(INDEX('Content Calendar'!$J$5:$J$604,MATCH(B53,'Content Calendar'!$A$5:$A$604,0)),"Not found"))</f>
        <v>0</v>
      </c>
      <c r="F53" s="29">
        <f>IF(B53="","",IFERROR(INDEX('Content Calendar'!$X$5:$X$604,MATCH(B53,'Content Calendar'!$A$5:$A$604,0)),"Not found"))</f>
        <v>0</v>
      </c>
      <c r="I53" s="23">
        <f>IF(H53="","",LEN(H53))</f>
        <v>0</v>
      </c>
      <c r="Z53" s="23">
        <f>IF(X53="","",X53-N(Y53))</f>
        <v>0</v>
      </c>
      <c r="AB53" s="23">
        <f>IF(B53="","",IF(COUNTIF(Performance!$B$5:$B$404,B53)=0,"",SUMIFS(Performance!$O$5:$O$404,Performance!$B$5:$B$404,B53)))</f>
        <v>0</v>
      </c>
      <c r="AC53" s="23">
        <f>IF(B53="","",IF(COUNTIF(Performance!$B$5:$B$404,B53)=0,"",SUMIFS(Performance!$P$5:$P$404,Performance!$B$5:$B$404,B53)))</f>
        <v>0</v>
      </c>
      <c r="AD53" s="23">
        <f>IF(B53="","",IF(COUNTIF(Performance!$B$5:$B$404,B53)=0,"",SUMIFS(Performance!$Z$5:$Z$404,Performance!$B$5:$B$404,B53)))</f>
        <v>0</v>
      </c>
      <c r="AE53" s="24">
        <f>IF(OR(AB53="",AB53=0),"",AD53/AB53)</f>
        <v>0</v>
      </c>
      <c r="AF53" s="23">
        <f>IF(B53="","",IF(COUNTIF(Performance!$B$5:$B$404,B53)=0,"",SUMIFS(Performance!$T$5:$T$404,Performance!$B$5:$B$404,B53)))</f>
        <v>0</v>
      </c>
      <c r="AG53" s="23">
        <f>IF(B53="","",IF(COUNTIF(Performance!$B$5:$B$404,B53)=0,"",SUMIFS(Performance!$S$5:$S$404,Performance!$B$5:$B$404,B53)))</f>
        <v>0</v>
      </c>
      <c r="AH53" s="23">
        <f>IF(B53="","",IF(COUNTIF(Performance!$B$5:$B$404,B53)=0,"",SUMIFS(Performance!$R$5:$R$404,Performance!$B$5:$B$404,B53)))</f>
        <v>0</v>
      </c>
      <c r="AI53" s="23">
        <f>IF(B53="","",IF(COUNTIF(Performance!$B$5:$B$404,B53)=0,"",SUMIFS(Performance!$U$5:$U$404,Performance!$B$5:$B$404,B53)))</f>
        <v>0</v>
      </c>
      <c r="AJ53" s="29">
        <f>IF(B53="","",IF(C53="Not found","Check - content ID not on the calendar",IF(N53="","Add - no thumbnail",IF(AND(W53&lt;&gt;"",W53&lt;0.03),"Review - thumbnail click rate is low",IF(AND(V53&lt;&gt;"",V53&lt;0.3),"Review - viewers leave early","OK")))))</f>
        <v>0</v>
      </c>
    </row>
    <row r="54" spans="1:36">
      <c r="A54" s="41">
        <f>IF(B54="","","YT-"&amp;TEXT(ROW()-4,"000"))</f>
        <v>0</v>
      </c>
      <c r="C54" s="17">
        <f>IF(B54="","",IFERROR(INDEX('Content Calendar'!$H$5:$H$604,MATCH(B54,'Content Calendar'!$A$5:$A$604,0)),"Not found"))</f>
        <v>0</v>
      </c>
      <c r="D54" s="16">
        <f>IF(B54="","",IFERROR(INDEX('Content Calendar'!$B$5:$B$604,MATCH(B54,'Content Calendar'!$A$5:$A$604,0)),"Not found"))</f>
        <v>0</v>
      </c>
      <c r="E54" s="17">
        <f>IF(B54="","",IFERROR(INDEX('Content Calendar'!$J$5:$J$604,MATCH(B54,'Content Calendar'!$A$5:$A$604,0)),"Not found"))</f>
        <v>0</v>
      </c>
      <c r="F54" s="29">
        <f>IF(B54="","",IFERROR(INDEX('Content Calendar'!$X$5:$X$604,MATCH(B54,'Content Calendar'!$A$5:$A$604,0)),"Not found"))</f>
        <v>0</v>
      </c>
      <c r="I54" s="23">
        <f>IF(H54="","",LEN(H54))</f>
        <v>0</v>
      </c>
      <c r="Z54" s="23">
        <f>IF(X54="","",X54-N(Y54))</f>
        <v>0</v>
      </c>
      <c r="AB54" s="23">
        <f>IF(B54="","",IF(COUNTIF(Performance!$B$5:$B$404,B54)=0,"",SUMIFS(Performance!$O$5:$O$404,Performance!$B$5:$B$404,B54)))</f>
        <v>0</v>
      </c>
      <c r="AC54" s="23">
        <f>IF(B54="","",IF(COUNTIF(Performance!$B$5:$B$404,B54)=0,"",SUMIFS(Performance!$P$5:$P$404,Performance!$B$5:$B$404,B54)))</f>
        <v>0</v>
      </c>
      <c r="AD54" s="23">
        <f>IF(B54="","",IF(COUNTIF(Performance!$B$5:$B$404,B54)=0,"",SUMIFS(Performance!$Z$5:$Z$404,Performance!$B$5:$B$404,B54)))</f>
        <v>0</v>
      </c>
      <c r="AE54" s="24">
        <f>IF(OR(AB54="",AB54=0),"",AD54/AB54)</f>
        <v>0</v>
      </c>
      <c r="AF54" s="23">
        <f>IF(B54="","",IF(COUNTIF(Performance!$B$5:$B$404,B54)=0,"",SUMIFS(Performance!$T$5:$T$404,Performance!$B$5:$B$404,B54)))</f>
        <v>0</v>
      </c>
      <c r="AG54" s="23">
        <f>IF(B54="","",IF(COUNTIF(Performance!$B$5:$B$404,B54)=0,"",SUMIFS(Performance!$S$5:$S$404,Performance!$B$5:$B$404,B54)))</f>
        <v>0</v>
      </c>
      <c r="AH54" s="23">
        <f>IF(B54="","",IF(COUNTIF(Performance!$B$5:$B$404,B54)=0,"",SUMIFS(Performance!$R$5:$R$404,Performance!$B$5:$B$404,B54)))</f>
        <v>0</v>
      </c>
      <c r="AI54" s="23">
        <f>IF(B54="","",IF(COUNTIF(Performance!$B$5:$B$404,B54)=0,"",SUMIFS(Performance!$U$5:$U$404,Performance!$B$5:$B$404,B54)))</f>
        <v>0</v>
      </c>
      <c r="AJ54" s="29">
        <f>IF(B54="","",IF(C54="Not found","Check - content ID not on the calendar",IF(N54="","Add - no thumbnail",IF(AND(W54&lt;&gt;"",W54&lt;0.03),"Review - thumbnail click rate is low",IF(AND(V54&lt;&gt;"",V54&lt;0.3),"Review - viewers leave early","OK")))))</f>
        <v>0</v>
      </c>
    </row>
    <row r="55" spans="1:36">
      <c r="A55" s="41">
        <f>IF(B55="","","YT-"&amp;TEXT(ROW()-4,"000"))</f>
        <v>0</v>
      </c>
      <c r="C55" s="17">
        <f>IF(B55="","",IFERROR(INDEX('Content Calendar'!$H$5:$H$604,MATCH(B55,'Content Calendar'!$A$5:$A$604,0)),"Not found"))</f>
        <v>0</v>
      </c>
      <c r="D55" s="16">
        <f>IF(B55="","",IFERROR(INDEX('Content Calendar'!$B$5:$B$604,MATCH(B55,'Content Calendar'!$A$5:$A$604,0)),"Not found"))</f>
        <v>0</v>
      </c>
      <c r="E55" s="17">
        <f>IF(B55="","",IFERROR(INDEX('Content Calendar'!$J$5:$J$604,MATCH(B55,'Content Calendar'!$A$5:$A$604,0)),"Not found"))</f>
        <v>0</v>
      </c>
      <c r="F55" s="29">
        <f>IF(B55="","",IFERROR(INDEX('Content Calendar'!$X$5:$X$604,MATCH(B55,'Content Calendar'!$A$5:$A$604,0)),"Not found"))</f>
        <v>0</v>
      </c>
      <c r="I55" s="23">
        <f>IF(H55="","",LEN(H55))</f>
        <v>0</v>
      </c>
      <c r="Z55" s="23">
        <f>IF(X55="","",X55-N(Y55))</f>
        <v>0</v>
      </c>
      <c r="AB55" s="23">
        <f>IF(B55="","",IF(COUNTIF(Performance!$B$5:$B$404,B55)=0,"",SUMIFS(Performance!$O$5:$O$404,Performance!$B$5:$B$404,B55)))</f>
        <v>0</v>
      </c>
      <c r="AC55" s="23">
        <f>IF(B55="","",IF(COUNTIF(Performance!$B$5:$B$404,B55)=0,"",SUMIFS(Performance!$P$5:$P$404,Performance!$B$5:$B$404,B55)))</f>
        <v>0</v>
      </c>
      <c r="AD55" s="23">
        <f>IF(B55="","",IF(COUNTIF(Performance!$B$5:$B$404,B55)=0,"",SUMIFS(Performance!$Z$5:$Z$404,Performance!$B$5:$B$404,B55)))</f>
        <v>0</v>
      </c>
      <c r="AE55" s="24">
        <f>IF(OR(AB55="",AB55=0),"",AD55/AB55)</f>
        <v>0</v>
      </c>
      <c r="AF55" s="23">
        <f>IF(B55="","",IF(COUNTIF(Performance!$B$5:$B$404,B55)=0,"",SUMIFS(Performance!$T$5:$T$404,Performance!$B$5:$B$404,B55)))</f>
        <v>0</v>
      </c>
      <c r="AG55" s="23">
        <f>IF(B55="","",IF(COUNTIF(Performance!$B$5:$B$404,B55)=0,"",SUMIFS(Performance!$S$5:$S$404,Performance!$B$5:$B$404,B55)))</f>
        <v>0</v>
      </c>
      <c r="AH55" s="23">
        <f>IF(B55="","",IF(COUNTIF(Performance!$B$5:$B$404,B55)=0,"",SUMIFS(Performance!$R$5:$R$404,Performance!$B$5:$B$404,B55)))</f>
        <v>0</v>
      </c>
      <c r="AI55" s="23">
        <f>IF(B55="","",IF(COUNTIF(Performance!$B$5:$B$404,B55)=0,"",SUMIFS(Performance!$U$5:$U$404,Performance!$B$5:$B$404,B55)))</f>
        <v>0</v>
      </c>
      <c r="AJ55" s="29">
        <f>IF(B55="","",IF(C55="Not found","Check - content ID not on the calendar",IF(N55="","Add - no thumbnail",IF(AND(W55&lt;&gt;"",W55&lt;0.03),"Review - thumbnail click rate is low",IF(AND(V55&lt;&gt;"",V55&lt;0.3),"Review - viewers leave early","OK")))))</f>
        <v>0</v>
      </c>
    </row>
    <row r="56" spans="1:36">
      <c r="A56" s="41">
        <f>IF(B56="","","YT-"&amp;TEXT(ROW()-4,"000"))</f>
        <v>0</v>
      </c>
      <c r="C56" s="17">
        <f>IF(B56="","",IFERROR(INDEX('Content Calendar'!$H$5:$H$604,MATCH(B56,'Content Calendar'!$A$5:$A$604,0)),"Not found"))</f>
        <v>0</v>
      </c>
      <c r="D56" s="16">
        <f>IF(B56="","",IFERROR(INDEX('Content Calendar'!$B$5:$B$604,MATCH(B56,'Content Calendar'!$A$5:$A$604,0)),"Not found"))</f>
        <v>0</v>
      </c>
      <c r="E56" s="17">
        <f>IF(B56="","",IFERROR(INDEX('Content Calendar'!$J$5:$J$604,MATCH(B56,'Content Calendar'!$A$5:$A$604,0)),"Not found"))</f>
        <v>0</v>
      </c>
      <c r="F56" s="29">
        <f>IF(B56="","",IFERROR(INDEX('Content Calendar'!$X$5:$X$604,MATCH(B56,'Content Calendar'!$A$5:$A$604,0)),"Not found"))</f>
        <v>0</v>
      </c>
      <c r="I56" s="23">
        <f>IF(H56="","",LEN(H56))</f>
        <v>0</v>
      </c>
      <c r="Z56" s="23">
        <f>IF(X56="","",X56-N(Y56))</f>
        <v>0</v>
      </c>
      <c r="AB56" s="23">
        <f>IF(B56="","",IF(COUNTIF(Performance!$B$5:$B$404,B56)=0,"",SUMIFS(Performance!$O$5:$O$404,Performance!$B$5:$B$404,B56)))</f>
        <v>0</v>
      </c>
      <c r="AC56" s="23">
        <f>IF(B56="","",IF(COUNTIF(Performance!$B$5:$B$404,B56)=0,"",SUMIFS(Performance!$P$5:$P$404,Performance!$B$5:$B$404,B56)))</f>
        <v>0</v>
      </c>
      <c r="AD56" s="23">
        <f>IF(B56="","",IF(COUNTIF(Performance!$B$5:$B$404,B56)=0,"",SUMIFS(Performance!$Z$5:$Z$404,Performance!$B$5:$B$404,B56)))</f>
        <v>0</v>
      </c>
      <c r="AE56" s="24">
        <f>IF(OR(AB56="",AB56=0),"",AD56/AB56)</f>
        <v>0</v>
      </c>
      <c r="AF56" s="23">
        <f>IF(B56="","",IF(COUNTIF(Performance!$B$5:$B$404,B56)=0,"",SUMIFS(Performance!$T$5:$T$404,Performance!$B$5:$B$404,B56)))</f>
        <v>0</v>
      </c>
      <c r="AG56" s="23">
        <f>IF(B56="","",IF(COUNTIF(Performance!$B$5:$B$404,B56)=0,"",SUMIFS(Performance!$S$5:$S$404,Performance!$B$5:$B$404,B56)))</f>
        <v>0</v>
      </c>
      <c r="AH56" s="23">
        <f>IF(B56="","",IF(COUNTIF(Performance!$B$5:$B$404,B56)=0,"",SUMIFS(Performance!$R$5:$R$404,Performance!$B$5:$B$404,B56)))</f>
        <v>0</v>
      </c>
      <c r="AI56" s="23">
        <f>IF(B56="","",IF(COUNTIF(Performance!$B$5:$B$404,B56)=0,"",SUMIFS(Performance!$U$5:$U$404,Performance!$B$5:$B$404,B56)))</f>
        <v>0</v>
      </c>
      <c r="AJ56" s="29">
        <f>IF(B56="","",IF(C56="Not found","Check - content ID not on the calendar",IF(N56="","Add - no thumbnail",IF(AND(W56&lt;&gt;"",W56&lt;0.03),"Review - thumbnail click rate is low",IF(AND(V56&lt;&gt;"",V56&lt;0.3),"Review - viewers leave early","OK")))))</f>
        <v>0</v>
      </c>
    </row>
    <row r="57" spans="1:36">
      <c r="A57" s="41">
        <f>IF(B57="","","YT-"&amp;TEXT(ROW()-4,"000"))</f>
        <v>0</v>
      </c>
      <c r="C57" s="17">
        <f>IF(B57="","",IFERROR(INDEX('Content Calendar'!$H$5:$H$604,MATCH(B57,'Content Calendar'!$A$5:$A$604,0)),"Not found"))</f>
        <v>0</v>
      </c>
      <c r="D57" s="16">
        <f>IF(B57="","",IFERROR(INDEX('Content Calendar'!$B$5:$B$604,MATCH(B57,'Content Calendar'!$A$5:$A$604,0)),"Not found"))</f>
        <v>0</v>
      </c>
      <c r="E57" s="17">
        <f>IF(B57="","",IFERROR(INDEX('Content Calendar'!$J$5:$J$604,MATCH(B57,'Content Calendar'!$A$5:$A$604,0)),"Not found"))</f>
        <v>0</v>
      </c>
      <c r="F57" s="29">
        <f>IF(B57="","",IFERROR(INDEX('Content Calendar'!$X$5:$X$604,MATCH(B57,'Content Calendar'!$A$5:$A$604,0)),"Not found"))</f>
        <v>0</v>
      </c>
      <c r="I57" s="23">
        <f>IF(H57="","",LEN(H57))</f>
        <v>0</v>
      </c>
      <c r="Z57" s="23">
        <f>IF(X57="","",X57-N(Y57))</f>
        <v>0</v>
      </c>
      <c r="AB57" s="23">
        <f>IF(B57="","",IF(COUNTIF(Performance!$B$5:$B$404,B57)=0,"",SUMIFS(Performance!$O$5:$O$404,Performance!$B$5:$B$404,B57)))</f>
        <v>0</v>
      </c>
      <c r="AC57" s="23">
        <f>IF(B57="","",IF(COUNTIF(Performance!$B$5:$B$404,B57)=0,"",SUMIFS(Performance!$P$5:$P$404,Performance!$B$5:$B$404,B57)))</f>
        <v>0</v>
      </c>
      <c r="AD57" s="23">
        <f>IF(B57="","",IF(COUNTIF(Performance!$B$5:$B$404,B57)=0,"",SUMIFS(Performance!$Z$5:$Z$404,Performance!$B$5:$B$404,B57)))</f>
        <v>0</v>
      </c>
      <c r="AE57" s="24">
        <f>IF(OR(AB57="",AB57=0),"",AD57/AB57)</f>
        <v>0</v>
      </c>
      <c r="AF57" s="23">
        <f>IF(B57="","",IF(COUNTIF(Performance!$B$5:$B$404,B57)=0,"",SUMIFS(Performance!$T$5:$T$404,Performance!$B$5:$B$404,B57)))</f>
        <v>0</v>
      </c>
      <c r="AG57" s="23">
        <f>IF(B57="","",IF(COUNTIF(Performance!$B$5:$B$404,B57)=0,"",SUMIFS(Performance!$S$5:$S$404,Performance!$B$5:$B$404,B57)))</f>
        <v>0</v>
      </c>
      <c r="AH57" s="23">
        <f>IF(B57="","",IF(COUNTIF(Performance!$B$5:$B$404,B57)=0,"",SUMIFS(Performance!$R$5:$R$404,Performance!$B$5:$B$404,B57)))</f>
        <v>0</v>
      </c>
      <c r="AI57" s="23">
        <f>IF(B57="","",IF(COUNTIF(Performance!$B$5:$B$404,B57)=0,"",SUMIFS(Performance!$U$5:$U$404,Performance!$B$5:$B$404,B57)))</f>
        <v>0</v>
      </c>
      <c r="AJ57" s="29">
        <f>IF(B57="","",IF(C57="Not found","Check - content ID not on the calendar",IF(N57="","Add - no thumbnail",IF(AND(W57&lt;&gt;"",W57&lt;0.03),"Review - thumbnail click rate is low",IF(AND(V57&lt;&gt;"",V57&lt;0.3),"Review - viewers leave early","OK")))))</f>
        <v>0</v>
      </c>
    </row>
    <row r="58" spans="1:36">
      <c r="A58" s="41">
        <f>IF(B58="","","YT-"&amp;TEXT(ROW()-4,"000"))</f>
        <v>0</v>
      </c>
      <c r="C58" s="17">
        <f>IF(B58="","",IFERROR(INDEX('Content Calendar'!$H$5:$H$604,MATCH(B58,'Content Calendar'!$A$5:$A$604,0)),"Not found"))</f>
        <v>0</v>
      </c>
      <c r="D58" s="16">
        <f>IF(B58="","",IFERROR(INDEX('Content Calendar'!$B$5:$B$604,MATCH(B58,'Content Calendar'!$A$5:$A$604,0)),"Not found"))</f>
        <v>0</v>
      </c>
      <c r="E58" s="17">
        <f>IF(B58="","",IFERROR(INDEX('Content Calendar'!$J$5:$J$604,MATCH(B58,'Content Calendar'!$A$5:$A$604,0)),"Not found"))</f>
        <v>0</v>
      </c>
      <c r="F58" s="29">
        <f>IF(B58="","",IFERROR(INDEX('Content Calendar'!$X$5:$X$604,MATCH(B58,'Content Calendar'!$A$5:$A$604,0)),"Not found"))</f>
        <v>0</v>
      </c>
      <c r="I58" s="23">
        <f>IF(H58="","",LEN(H58))</f>
        <v>0</v>
      </c>
      <c r="Z58" s="23">
        <f>IF(X58="","",X58-N(Y58))</f>
        <v>0</v>
      </c>
      <c r="AB58" s="23">
        <f>IF(B58="","",IF(COUNTIF(Performance!$B$5:$B$404,B58)=0,"",SUMIFS(Performance!$O$5:$O$404,Performance!$B$5:$B$404,B58)))</f>
        <v>0</v>
      </c>
      <c r="AC58" s="23">
        <f>IF(B58="","",IF(COUNTIF(Performance!$B$5:$B$404,B58)=0,"",SUMIFS(Performance!$P$5:$P$404,Performance!$B$5:$B$404,B58)))</f>
        <v>0</v>
      </c>
      <c r="AD58" s="23">
        <f>IF(B58="","",IF(COUNTIF(Performance!$B$5:$B$404,B58)=0,"",SUMIFS(Performance!$Z$5:$Z$404,Performance!$B$5:$B$404,B58)))</f>
        <v>0</v>
      </c>
      <c r="AE58" s="24">
        <f>IF(OR(AB58="",AB58=0),"",AD58/AB58)</f>
        <v>0</v>
      </c>
      <c r="AF58" s="23">
        <f>IF(B58="","",IF(COUNTIF(Performance!$B$5:$B$404,B58)=0,"",SUMIFS(Performance!$T$5:$T$404,Performance!$B$5:$B$404,B58)))</f>
        <v>0</v>
      </c>
      <c r="AG58" s="23">
        <f>IF(B58="","",IF(COUNTIF(Performance!$B$5:$B$404,B58)=0,"",SUMIFS(Performance!$S$5:$S$404,Performance!$B$5:$B$404,B58)))</f>
        <v>0</v>
      </c>
      <c r="AH58" s="23">
        <f>IF(B58="","",IF(COUNTIF(Performance!$B$5:$B$404,B58)=0,"",SUMIFS(Performance!$R$5:$R$404,Performance!$B$5:$B$404,B58)))</f>
        <v>0</v>
      </c>
      <c r="AI58" s="23">
        <f>IF(B58="","",IF(COUNTIF(Performance!$B$5:$B$404,B58)=0,"",SUMIFS(Performance!$U$5:$U$404,Performance!$B$5:$B$404,B58)))</f>
        <v>0</v>
      </c>
      <c r="AJ58" s="29">
        <f>IF(B58="","",IF(C58="Not found","Check - content ID not on the calendar",IF(N58="","Add - no thumbnail",IF(AND(W58&lt;&gt;"",W58&lt;0.03),"Review - thumbnail click rate is low",IF(AND(V58&lt;&gt;"",V58&lt;0.3),"Review - viewers leave early","OK")))))</f>
        <v>0</v>
      </c>
    </row>
    <row r="59" spans="1:36">
      <c r="A59" s="41">
        <f>IF(B59="","","YT-"&amp;TEXT(ROW()-4,"000"))</f>
        <v>0</v>
      </c>
      <c r="C59" s="17">
        <f>IF(B59="","",IFERROR(INDEX('Content Calendar'!$H$5:$H$604,MATCH(B59,'Content Calendar'!$A$5:$A$604,0)),"Not found"))</f>
        <v>0</v>
      </c>
      <c r="D59" s="16">
        <f>IF(B59="","",IFERROR(INDEX('Content Calendar'!$B$5:$B$604,MATCH(B59,'Content Calendar'!$A$5:$A$604,0)),"Not found"))</f>
        <v>0</v>
      </c>
      <c r="E59" s="17">
        <f>IF(B59="","",IFERROR(INDEX('Content Calendar'!$J$5:$J$604,MATCH(B59,'Content Calendar'!$A$5:$A$604,0)),"Not found"))</f>
        <v>0</v>
      </c>
      <c r="F59" s="29">
        <f>IF(B59="","",IFERROR(INDEX('Content Calendar'!$X$5:$X$604,MATCH(B59,'Content Calendar'!$A$5:$A$604,0)),"Not found"))</f>
        <v>0</v>
      </c>
      <c r="I59" s="23">
        <f>IF(H59="","",LEN(H59))</f>
        <v>0</v>
      </c>
      <c r="Z59" s="23">
        <f>IF(X59="","",X59-N(Y59))</f>
        <v>0</v>
      </c>
      <c r="AB59" s="23">
        <f>IF(B59="","",IF(COUNTIF(Performance!$B$5:$B$404,B59)=0,"",SUMIFS(Performance!$O$5:$O$404,Performance!$B$5:$B$404,B59)))</f>
        <v>0</v>
      </c>
      <c r="AC59" s="23">
        <f>IF(B59="","",IF(COUNTIF(Performance!$B$5:$B$404,B59)=0,"",SUMIFS(Performance!$P$5:$P$404,Performance!$B$5:$B$404,B59)))</f>
        <v>0</v>
      </c>
      <c r="AD59" s="23">
        <f>IF(B59="","",IF(COUNTIF(Performance!$B$5:$B$404,B59)=0,"",SUMIFS(Performance!$Z$5:$Z$404,Performance!$B$5:$B$404,B59)))</f>
        <v>0</v>
      </c>
      <c r="AE59" s="24">
        <f>IF(OR(AB59="",AB59=0),"",AD59/AB59)</f>
        <v>0</v>
      </c>
      <c r="AF59" s="23">
        <f>IF(B59="","",IF(COUNTIF(Performance!$B$5:$B$404,B59)=0,"",SUMIFS(Performance!$T$5:$T$404,Performance!$B$5:$B$404,B59)))</f>
        <v>0</v>
      </c>
      <c r="AG59" s="23">
        <f>IF(B59="","",IF(COUNTIF(Performance!$B$5:$B$404,B59)=0,"",SUMIFS(Performance!$S$5:$S$404,Performance!$B$5:$B$404,B59)))</f>
        <v>0</v>
      </c>
      <c r="AH59" s="23">
        <f>IF(B59="","",IF(COUNTIF(Performance!$B$5:$B$404,B59)=0,"",SUMIFS(Performance!$R$5:$R$404,Performance!$B$5:$B$404,B59)))</f>
        <v>0</v>
      </c>
      <c r="AI59" s="23">
        <f>IF(B59="","",IF(COUNTIF(Performance!$B$5:$B$404,B59)=0,"",SUMIFS(Performance!$U$5:$U$404,Performance!$B$5:$B$404,B59)))</f>
        <v>0</v>
      </c>
      <c r="AJ59" s="29">
        <f>IF(B59="","",IF(C59="Not found","Check - content ID not on the calendar",IF(N59="","Add - no thumbnail",IF(AND(W59&lt;&gt;"",W59&lt;0.03),"Review - thumbnail click rate is low",IF(AND(V59&lt;&gt;"",V59&lt;0.3),"Review - viewers leave early","OK")))))</f>
        <v>0</v>
      </c>
    </row>
    <row r="60" spans="1:36">
      <c r="A60" s="41">
        <f>IF(B60="","","YT-"&amp;TEXT(ROW()-4,"000"))</f>
        <v>0</v>
      </c>
      <c r="C60" s="17">
        <f>IF(B60="","",IFERROR(INDEX('Content Calendar'!$H$5:$H$604,MATCH(B60,'Content Calendar'!$A$5:$A$604,0)),"Not found"))</f>
        <v>0</v>
      </c>
      <c r="D60" s="16">
        <f>IF(B60="","",IFERROR(INDEX('Content Calendar'!$B$5:$B$604,MATCH(B60,'Content Calendar'!$A$5:$A$604,0)),"Not found"))</f>
        <v>0</v>
      </c>
      <c r="E60" s="17">
        <f>IF(B60="","",IFERROR(INDEX('Content Calendar'!$J$5:$J$604,MATCH(B60,'Content Calendar'!$A$5:$A$604,0)),"Not found"))</f>
        <v>0</v>
      </c>
      <c r="F60" s="29">
        <f>IF(B60="","",IFERROR(INDEX('Content Calendar'!$X$5:$X$604,MATCH(B60,'Content Calendar'!$A$5:$A$604,0)),"Not found"))</f>
        <v>0</v>
      </c>
      <c r="I60" s="23">
        <f>IF(H60="","",LEN(H60))</f>
        <v>0</v>
      </c>
      <c r="Z60" s="23">
        <f>IF(X60="","",X60-N(Y60))</f>
        <v>0</v>
      </c>
      <c r="AB60" s="23">
        <f>IF(B60="","",IF(COUNTIF(Performance!$B$5:$B$404,B60)=0,"",SUMIFS(Performance!$O$5:$O$404,Performance!$B$5:$B$404,B60)))</f>
        <v>0</v>
      </c>
      <c r="AC60" s="23">
        <f>IF(B60="","",IF(COUNTIF(Performance!$B$5:$B$404,B60)=0,"",SUMIFS(Performance!$P$5:$P$404,Performance!$B$5:$B$404,B60)))</f>
        <v>0</v>
      </c>
      <c r="AD60" s="23">
        <f>IF(B60="","",IF(COUNTIF(Performance!$B$5:$B$404,B60)=0,"",SUMIFS(Performance!$Z$5:$Z$404,Performance!$B$5:$B$404,B60)))</f>
        <v>0</v>
      </c>
      <c r="AE60" s="24">
        <f>IF(OR(AB60="",AB60=0),"",AD60/AB60)</f>
        <v>0</v>
      </c>
      <c r="AF60" s="23">
        <f>IF(B60="","",IF(COUNTIF(Performance!$B$5:$B$404,B60)=0,"",SUMIFS(Performance!$T$5:$T$404,Performance!$B$5:$B$404,B60)))</f>
        <v>0</v>
      </c>
      <c r="AG60" s="23">
        <f>IF(B60="","",IF(COUNTIF(Performance!$B$5:$B$404,B60)=0,"",SUMIFS(Performance!$S$5:$S$404,Performance!$B$5:$B$404,B60)))</f>
        <v>0</v>
      </c>
      <c r="AH60" s="23">
        <f>IF(B60="","",IF(COUNTIF(Performance!$B$5:$B$404,B60)=0,"",SUMIFS(Performance!$R$5:$R$404,Performance!$B$5:$B$404,B60)))</f>
        <v>0</v>
      </c>
      <c r="AI60" s="23">
        <f>IF(B60="","",IF(COUNTIF(Performance!$B$5:$B$404,B60)=0,"",SUMIFS(Performance!$U$5:$U$404,Performance!$B$5:$B$404,B60)))</f>
        <v>0</v>
      </c>
      <c r="AJ60" s="29">
        <f>IF(B60="","",IF(C60="Not found","Check - content ID not on the calendar",IF(N60="","Add - no thumbnail",IF(AND(W60&lt;&gt;"",W60&lt;0.03),"Review - thumbnail click rate is low",IF(AND(V60&lt;&gt;"",V60&lt;0.3),"Review - viewers leave early","OK")))))</f>
        <v>0</v>
      </c>
    </row>
    <row r="61" spans="1:36">
      <c r="A61" s="41">
        <f>IF(B61="","","YT-"&amp;TEXT(ROW()-4,"000"))</f>
        <v>0</v>
      </c>
      <c r="C61" s="17">
        <f>IF(B61="","",IFERROR(INDEX('Content Calendar'!$H$5:$H$604,MATCH(B61,'Content Calendar'!$A$5:$A$604,0)),"Not found"))</f>
        <v>0</v>
      </c>
      <c r="D61" s="16">
        <f>IF(B61="","",IFERROR(INDEX('Content Calendar'!$B$5:$B$604,MATCH(B61,'Content Calendar'!$A$5:$A$604,0)),"Not found"))</f>
        <v>0</v>
      </c>
      <c r="E61" s="17">
        <f>IF(B61="","",IFERROR(INDEX('Content Calendar'!$J$5:$J$604,MATCH(B61,'Content Calendar'!$A$5:$A$604,0)),"Not found"))</f>
        <v>0</v>
      </c>
      <c r="F61" s="29">
        <f>IF(B61="","",IFERROR(INDEX('Content Calendar'!$X$5:$X$604,MATCH(B61,'Content Calendar'!$A$5:$A$604,0)),"Not found"))</f>
        <v>0</v>
      </c>
      <c r="I61" s="23">
        <f>IF(H61="","",LEN(H61))</f>
        <v>0</v>
      </c>
      <c r="Z61" s="23">
        <f>IF(X61="","",X61-N(Y61))</f>
        <v>0</v>
      </c>
      <c r="AB61" s="23">
        <f>IF(B61="","",IF(COUNTIF(Performance!$B$5:$B$404,B61)=0,"",SUMIFS(Performance!$O$5:$O$404,Performance!$B$5:$B$404,B61)))</f>
        <v>0</v>
      </c>
      <c r="AC61" s="23">
        <f>IF(B61="","",IF(COUNTIF(Performance!$B$5:$B$404,B61)=0,"",SUMIFS(Performance!$P$5:$P$404,Performance!$B$5:$B$404,B61)))</f>
        <v>0</v>
      </c>
      <c r="AD61" s="23">
        <f>IF(B61="","",IF(COUNTIF(Performance!$B$5:$B$404,B61)=0,"",SUMIFS(Performance!$Z$5:$Z$404,Performance!$B$5:$B$404,B61)))</f>
        <v>0</v>
      </c>
      <c r="AE61" s="24">
        <f>IF(OR(AB61="",AB61=0),"",AD61/AB61)</f>
        <v>0</v>
      </c>
      <c r="AF61" s="23">
        <f>IF(B61="","",IF(COUNTIF(Performance!$B$5:$B$404,B61)=0,"",SUMIFS(Performance!$T$5:$T$404,Performance!$B$5:$B$404,B61)))</f>
        <v>0</v>
      </c>
      <c r="AG61" s="23">
        <f>IF(B61="","",IF(COUNTIF(Performance!$B$5:$B$404,B61)=0,"",SUMIFS(Performance!$S$5:$S$404,Performance!$B$5:$B$404,B61)))</f>
        <v>0</v>
      </c>
      <c r="AH61" s="23">
        <f>IF(B61="","",IF(COUNTIF(Performance!$B$5:$B$404,B61)=0,"",SUMIFS(Performance!$R$5:$R$404,Performance!$B$5:$B$404,B61)))</f>
        <v>0</v>
      </c>
      <c r="AI61" s="23">
        <f>IF(B61="","",IF(COUNTIF(Performance!$B$5:$B$404,B61)=0,"",SUMIFS(Performance!$U$5:$U$404,Performance!$B$5:$B$404,B61)))</f>
        <v>0</v>
      </c>
      <c r="AJ61" s="29">
        <f>IF(B61="","",IF(C61="Not found","Check - content ID not on the calendar",IF(N61="","Add - no thumbnail",IF(AND(W61&lt;&gt;"",W61&lt;0.03),"Review - thumbnail click rate is low",IF(AND(V61&lt;&gt;"",V61&lt;0.3),"Review - viewers leave early","OK")))))</f>
        <v>0</v>
      </c>
    </row>
    <row r="62" spans="1:36">
      <c r="A62" s="41">
        <f>IF(B62="","","YT-"&amp;TEXT(ROW()-4,"000"))</f>
        <v>0</v>
      </c>
      <c r="C62" s="17">
        <f>IF(B62="","",IFERROR(INDEX('Content Calendar'!$H$5:$H$604,MATCH(B62,'Content Calendar'!$A$5:$A$604,0)),"Not found"))</f>
        <v>0</v>
      </c>
      <c r="D62" s="16">
        <f>IF(B62="","",IFERROR(INDEX('Content Calendar'!$B$5:$B$604,MATCH(B62,'Content Calendar'!$A$5:$A$604,0)),"Not found"))</f>
        <v>0</v>
      </c>
      <c r="E62" s="17">
        <f>IF(B62="","",IFERROR(INDEX('Content Calendar'!$J$5:$J$604,MATCH(B62,'Content Calendar'!$A$5:$A$604,0)),"Not found"))</f>
        <v>0</v>
      </c>
      <c r="F62" s="29">
        <f>IF(B62="","",IFERROR(INDEX('Content Calendar'!$X$5:$X$604,MATCH(B62,'Content Calendar'!$A$5:$A$604,0)),"Not found"))</f>
        <v>0</v>
      </c>
      <c r="I62" s="23">
        <f>IF(H62="","",LEN(H62))</f>
        <v>0</v>
      </c>
      <c r="Z62" s="23">
        <f>IF(X62="","",X62-N(Y62))</f>
        <v>0</v>
      </c>
      <c r="AB62" s="23">
        <f>IF(B62="","",IF(COUNTIF(Performance!$B$5:$B$404,B62)=0,"",SUMIFS(Performance!$O$5:$O$404,Performance!$B$5:$B$404,B62)))</f>
        <v>0</v>
      </c>
      <c r="AC62" s="23">
        <f>IF(B62="","",IF(COUNTIF(Performance!$B$5:$B$404,B62)=0,"",SUMIFS(Performance!$P$5:$P$404,Performance!$B$5:$B$404,B62)))</f>
        <v>0</v>
      </c>
      <c r="AD62" s="23">
        <f>IF(B62="","",IF(COUNTIF(Performance!$B$5:$B$404,B62)=0,"",SUMIFS(Performance!$Z$5:$Z$404,Performance!$B$5:$B$404,B62)))</f>
        <v>0</v>
      </c>
      <c r="AE62" s="24">
        <f>IF(OR(AB62="",AB62=0),"",AD62/AB62)</f>
        <v>0</v>
      </c>
      <c r="AF62" s="23">
        <f>IF(B62="","",IF(COUNTIF(Performance!$B$5:$B$404,B62)=0,"",SUMIFS(Performance!$T$5:$T$404,Performance!$B$5:$B$404,B62)))</f>
        <v>0</v>
      </c>
      <c r="AG62" s="23">
        <f>IF(B62="","",IF(COUNTIF(Performance!$B$5:$B$404,B62)=0,"",SUMIFS(Performance!$S$5:$S$404,Performance!$B$5:$B$404,B62)))</f>
        <v>0</v>
      </c>
      <c r="AH62" s="23">
        <f>IF(B62="","",IF(COUNTIF(Performance!$B$5:$B$404,B62)=0,"",SUMIFS(Performance!$R$5:$R$404,Performance!$B$5:$B$404,B62)))</f>
        <v>0</v>
      </c>
      <c r="AI62" s="23">
        <f>IF(B62="","",IF(COUNTIF(Performance!$B$5:$B$404,B62)=0,"",SUMIFS(Performance!$U$5:$U$404,Performance!$B$5:$B$404,B62)))</f>
        <v>0</v>
      </c>
      <c r="AJ62" s="29">
        <f>IF(B62="","",IF(C62="Not found","Check - content ID not on the calendar",IF(N62="","Add - no thumbnail",IF(AND(W62&lt;&gt;"",W62&lt;0.03),"Review - thumbnail click rate is low",IF(AND(V62&lt;&gt;"",V62&lt;0.3),"Review - viewers leave early","OK")))))</f>
        <v>0</v>
      </c>
    </row>
    <row r="63" spans="1:36">
      <c r="A63" s="41">
        <f>IF(B63="","","YT-"&amp;TEXT(ROW()-4,"000"))</f>
        <v>0</v>
      </c>
      <c r="C63" s="17">
        <f>IF(B63="","",IFERROR(INDEX('Content Calendar'!$H$5:$H$604,MATCH(B63,'Content Calendar'!$A$5:$A$604,0)),"Not found"))</f>
        <v>0</v>
      </c>
      <c r="D63" s="16">
        <f>IF(B63="","",IFERROR(INDEX('Content Calendar'!$B$5:$B$604,MATCH(B63,'Content Calendar'!$A$5:$A$604,0)),"Not found"))</f>
        <v>0</v>
      </c>
      <c r="E63" s="17">
        <f>IF(B63="","",IFERROR(INDEX('Content Calendar'!$J$5:$J$604,MATCH(B63,'Content Calendar'!$A$5:$A$604,0)),"Not found"))</f>
        <v>0</v>
      </c>
      <c r="F63" s="29">
        <f>IF(B63="","",IFERROR(INDEX('Content Calendar'!$X$5:$X$604,MATCH(B63,'Content Calendar'!$A$5:$A$604,0)),"Not found"))</f>
        <v>0</v>
      </c>
      <c r="I63" s="23">
        <f>IF(H63="","",LEN(H63))</f>
        <v>0</v>
      </c>
      <c r="Z63" s="23">
        <f>IF(X63="","",X63-N(Y63))</f>
        <v>0</v>
      </c>
      <c r="AB63" s="23">
        <f>IF(B63="","",IF(COUNTIF(Performance!$B$5:$B$404,B63)=0,"",SUMIFS(Performance!$O$5:$O$404,Performance!$B$5:$B$404,B63)))</f>
        <v>0</v>
      </c>
      <c r="AC63" s="23">
        <f>IF(B63="","",IF(COUNTIF(Performance!$B$5:$B$404,B63)=0,"",SUMIFS(Performance!$P$5:$P$404,Performance!$B$5:$B$404,B63)))</f>
        <v>0</v>
      </c>
      <c r="AD63" s="23">
        <f>IF(B63="","",IF(COUNTIF(Performance!$B$5:$B$404,B63)=0,"",SUMIFS(Performance!$Z$5:$Z$404,Performance!$B$5:$B$404,B63)))</f>
        <v>0</v>
      </c>
      <c r="AE63" s="24">
        <f>IF(OR(AB63="",AB63=0),"",AD63/AB63)</f>
        <v>0</v>
      </c>
      <c r="AF63" s="23">
        <f>IF(B63="","",IF(COUNTIF(Performance!$B$5:$B$404,B63)=0,"",SUMIFS(Performance!$T$5:$T$404,Performance!$B$5:$B$404,B63)))</f>
        <v>0</v>
      </c>
      <c r="AG63" s="23">
        <f>IF(B63="","",IF(COUNTIF(Performance!$B$5:$B$404,B63)=0,"",SUMIFS(Performance!$S$5:$S$404,Performance!$B$5:$B$404,B63)))</f>
        <v>0</v>
      </c>
      <c r="AH63" s="23">
        <f>IF(B63="","",IF(COUNTIF(Performance!$B$5:$B$404,B63)=0,"",SUMIFS(Performance!$R$5:$R$404,Performance!$B$5:$B$404,B63)))</f>
        <v>0</v>
      </c>
      <c r="AI63" s="23">
        <f>IF(B63="","",IF(COUNTIF(Performance!$B$5:$B$404,B63)=0,"",SUMIFS(Performance!$U$5:$U$404,Performance!$B$5:$B$404,B63)))</f>
        <v>0</v>
      </c>
      <c r="AJ63" s="29">
        <f>IF(B63="","",IF(C63="Not found","Check - content ID not on the calendar",IF(N63="","Add - no thumbnail",IF(AND(W63&lt;&gt;"",W63&lt;0.03),"Review - thumbnail click rate is low",IF(AND(V63&lt;&gt;"",V63&lt;0.3),"Review - viewers leave early","OK")))))</f>
        <v>0</v>
      </c>
    </row>
    <row r="64" spans="1:36">
      <c r="A64" s="41">
        <f>IF(B64="","","YT-"&amp;TEXT(ROW()-4,"000"))</f>
        <v>0</v>
      </c>
      <c r="C64" s="17">
        <f>IF(B64="","",IFERROR(INDEX('Content Calendar'!$H$5:$H$604,MATCH(B64,'Content Calendar'!$A$5:$A$604,0)),"Not found"))</f>
        <v>0</v>
      </c>
      <c r="D64" s="16">
        <f>IF(B64="","",IFERROR(INDEX('Content Calendar'!$B$5:$B$604,MATCH(B64,'Content Calendar'!$A$5:$A$604,0)),"Not found"))</f>
        <v>0</v>
      </c>
      <c r="E64" s="17">
        <f>IF(B64="","",IFERROR(INDEX('Content Calendar'!$J$5:$J$604,MATCH(B64,'Content Calendar'!$A$5:$A$604,0)),"Not found"))</f>
        <v>0</v>
      </c>
      <c r="F64" s="29">
        <f>IF(B64="","",IFERROR(INDEX('Content Calendar'!$X$5:$X$604,MATCH(B64,'Content Calendar'!$A$5:$A$604,0)),"Not found"))</f>
        <v>0</v>
      </c>
      <c r="I64" s="23">
        <f>IF(H64="","",LEN(H64))</f>
        <v>0</v>
      </c>
      <c r="Z64" s="23">
        <f>IF(X64="","",X64-N(Y64))</f>
        <v>0</v>
      </c>
      <c r="AB64" s="23">
        <f>IF(B64="","",IF(COUNTIF(Performance!$B$5:$B$404,B64)=0,"",SUMIFS(Performance!$O$5:$O$404,Performance!$B$5:$B$404,B64)))</f>
        <v>0</v>
      </c>
      <c r="AC64" s="23">
        <f>IF(B64="","",IF(COUNTIF(Performance!$B$5:$B$404,B64)=0,"",SUMIFS(Performance!$P$5:$P$404,Performance!$B$5:$B$404,B64)))</f>
        <v>0</v>
      </c>
      <c r="AD64" s="23">
        <f>IF(B64="","",IF(COUNTIF(Performance!$B$5:$B$404,B64)=0,"",SUMIFS(Performance!$Z$5:$Z$404,Performance!$B$5:$B$404,B64)))</f>
        <v>0</v>
      </c>
      <c r="AE64" s="24">
        <f>IF(OR(AB64="",AB64=0),"",AD64/AB64)</f>
        <v>0</v>
      </c>
      <c r="AF64" s="23">
        <f>IF(B64="","",IF(COUNTIF(Performance!$B$5:$B$404,B64)=0,"",SUMIFS(Performance!$T$5:$T$404,Performance!$B$5:$B$404,B64)))</f>
        <v>0</v>
      </c>
      <c r="AG64" s="23">
        <f>IF(B64="","",IF(COUNTIF(Performance!$B$5:$B$404,B64)=0,"",SUMIFS(Performance!$S$5:$S$404,Performance!$B$5:$B$404,B64)))</f>
        <v>0</v>
      </c>
      <c r="AH64" s="23">
        <f>IF(B64="","",IF(COUNTIF(Performance!$B$5:$B$404,B64)=0,"",SUMIFS(Performance!$R$5:$R$404,Performance!$B$5:$B$404,B64)))</f>
        <v>0</v>
      </c>
      <c r="AI64" s="23">
        <f>IF(B64="","",IF(COUNTIF(Performance!$B$5:$B$404,B64)=0,"",SUMIFS(Performance!$U$5:$U$404,Performance!$B$5:$B$404,B64)))</f>
        <v>0</v>
      </c>
      <c r="AJ64" s="29">
        <f>IF(B64="","",IF(C64="Not found","Check - content ID not on the calendar",IF(N64="","Add - no thumbnail",IF(AND(W64&lt;&gt;"",W64&lt;0.03),"Review - thumbnail click rate is low",IF(AND(V64&lt;&gt;"",V64&lt;0.3),"Review - viewers leave early","OK")))))</f>
        <v>0</v>
      </c>
    </row>
    <row r="65" spans="1:36">
      <c r="A65" s="41">
        <f>IF(B65="","","YT-"&amp;TEXT(ROW()-4,"000"))</f>
        <v>0</v>
      </c>
      <c r="C65" s="17">
        <f>IF(B65="","",IFERROR(INDEX('Content Calendar'!$H$5:$H$604,MATCH(B65,'Content Calendar'!$A$5:$A$604,0)),"Not found"))</f>
        <v>0</v>
      </c>
      <c r="D65" s="16">
        <f>IF(B65="","",IFERROR(INDEX('Content Calendar'!$B$5:$B$604,MATCH(B65,'Content Calendar'!$A$5:$A$604,0)),"Not found"))</f>
        <v>0</v>
      </c>
      <c r="E65" s="17">
        <f>IF(B65="","",IFERROR(INDEX('Content Calendar'!$J$5:$J$604,MATCH(B65,'Content Calendar'!$A$5:$A$604,0)),"Not found"))</f>
        <v>0</v>
      </c>
      <c r="F65" s="29">
        <f>IF(B65="","",IFERROR(INDEX('Content Calendar'!$X$5:$X$604,MATCH(B65,'Content Calendar'!$A$5:$A$604,0)),"Not found"))</f>
        <v>0</v>
      </c>
      <c r="I65" s="23">
        <f>IF(H65="","",LEN(H65))</f>
        <v>0</v>
      </c>
      <c r="Z65" s="23">
        <f>IF(X65="","",X65-N(Y65))</f>
        <v>0</v>
      </c>
      <c r="AB65" s="23">
        <f>IF(B65="","",IF(COUNTIF(Performance!$B$5:$B$404,B65)=0,"",SUMIFS(Performance!$O$5:$O$404,Performance!$B$5:$B$404,B65)))</f>
        <v>0</v>
      </c>
      <c r="AC65" s="23">
        <f>IF(B65="","",IF(COUNTIF(Performance!$B$5:$B$404,B65)=0,"",SUMIFS(Performance!$P$5:$P$404,Performance!$B$5:$B$404,B65)))</f>
        <v>0</v>
      </c>
      <c r="AD65" s="23">
        <f>IF(B65="","",IF(COUNTIF(Performance!$B$5:$B$404,B65)=0,"",SUMIFS(Performance!$Z$5:$Z$404,Performance!$B$5:$B$404,B65)))</f>
        <v>0</v>
      </c>
      <c r="AE65" s="24">
        <f>IF(OR(AB65="",AB65=0),"",AD65/AB65)</f>
        <v>0</v>
      </c>
      <c r="AF65" s="23">
        <f>IF(B65="","",IF(COUNTIF(Performance!$B$5:$B$404,B65)=0,"",SUMIFS(Performance!$T$5:$T$404,Performance!$B$5:$B$404,B65)))</f>
        <v>0</v>
      </c>
      <c r="AG65" s="23">
        <f>IF(B65="","",IF(COUNTIF(Performance!$B$5:$B$404,B65)=0,"",SUMIFS(Performance!$S$5:$S$404,Performance!$B$5:$B$404,B65)))</f>
        <v>0</v>
      </c>
      <c r="AH65" s="23">
        <f>IF(B65="","",IF(COUNTIF(Performance!$B$5:$B$404,B65)=0,"",SUMIFS(Performance!$R$5:$R$404,Performance!$B$5:$B$404,B65)))</f>
        <v>0</v>
      </c>
      <c r="AI65" s="23">
        <f>IF(B65="","",IF(COUNTIF(Performance!$B$5:$B$404,B65)=0,"",SUMIFS(Performance!$U$5:$U$404,Performance!$B$5:$B$404,B65)))</f>
        <v>0</v>
      </c>
      <c r="AJ65" s="29">
        <f>IF(B65="","",IF(C65="Not found","Check - content ID not on the calendar",IF(N65="","Add - no thumbnail",IF(AND(W65&lt;&gt;"",W65&lt;0.03),"Review - thumbnail click rate is low",IF(AND(V65&lt;&gt;"",V65&lt;0.3),"Review - viewers leave early","OK")))))</f>
        <v>0</v>
      </c>
    </row>
    <row r="66" spans="1:36">
      <c r="A66" s="41">
        <f>IF(B66="","","YT-"&amp;TEXT(ROW()-4,"000"))</f>
        <v>0</v>
      </c>
      <c r="C66" s="17">
        <f>IF(B66="","",IFERROR(INDEX('Content Calendar'!$H$5:$H$604,MATCH(B66,'Content Calendar'!$A$5:$A$604,0)),"Not found"))</f>
        <v>0</v>
      </c>
      <c r="D66" s="16">
        <f>IF(B66="","",IFERROR(INDEX('Content Calendar'!$B$5:$B$604,MATCH(B66,'Content Calendar'!$A$5:$A$604,0)),"Not found"))</f>
        <v>0</v>
      </c>
      <c r="E66" s="17">
        <f>IF(B66="","",IFERROR(INDEX('Content Calendar'!$J$5:$J$604,MATCH(B66,'Content Calendar'!$A$5:$A$604,0)),"Not found"))</f>
        <v>0</v>
      </c>
      <c r="F66" s="29">
        <f>IF(B66="","",IFERROR(INDEX('Content Calendar'!$X$5:$X$604,MATCH(B66,'Content Calendar'!$A$5:$A$604,0)),"Not found"))</f>
        <v>0</v>
      </c>
      <c r="I66" s="23">
        <f>IF(H66="","",LEN(H66))</f>
        <v>0</v>
      </c>
      <c r="Z66" s="23">
        <f>IF(X66="","",X66-N(Y66))</f>
        <v>0</v>
      </c>
      <c r="AB66" s="23">
        <f>IF(B66="","",IF(COUNTIF(Performance!$B$5:$B$404,B66)=0,"",SUMIFS(Performance!$O$5:$O$404,Performance!$B$5:$B$404,B66)))</f>
        <v>0</v>
      </c>
      <c r="AC66" s="23">
        <f>IF(B66="","",IF(COUNTIF(Performance!$B$5:$B$404,B66)=0,"",SUMIFS(Performance!$P$5:$P$404,Performance!$B$5:$B$404,B66)))</f>
        <v>0</v>
      </c>
      <c r="AD66" s="23">
        <f>IF(B66="","",IF(COUNTIF(Performance!$B$5:$B$404,B66)=0,"",SUMIFS(Performance!$Z$5:$Z$404,Performance!$B$5:$B$404,B66)))</f>
        <v>0</v>
      </c>
      <c r="AE66" s="24">
        <f>IF(OR(AB66="",AB66=0),"",AD66/AB66)</f>
        <v>0</v>
      </c>
      <c r="AF66" s="23">
        <f>IF(B66="","",IF(COUNTIF(Performance!$B$5:$B$404,B66)=0,"",SUMIFS(Performance!$T$5:$T$404,Performance!$B$5:$B$404,B66)))</f>
        <v>0</v>
      </c>
      <c r="AG66" s="23">
        <f>IF(B66="","",IF(COUNTIF(Performance!$B$5:$B$404,B66)=0,"",SUMIFS(Performance!$S$5:$S$404,Performance!$B$5:$B$404,B66)))</f>
        <v>0</v>
      </c>
      <c r="AH66" s="23">
        <f>IF(B66="","",IF(COUNTIF(Performance!$B$5:$B$404,B66)=0,"",SUMIFS(Performance!$R$5:$R$404,Performance!$B$5:$B$404,B66)))</f>
        <v>0</v>
      </c>
      <c r="AI66" s="23">
        <f>IF(B66="","",IF(COUNTIF(Performance!$B$5:$B$404,B66)=0,"",SUMIFS(Performance!$U$5:$U$404,Performance!$B$5:$B$404,B66)))</f>
        <v>0</v>
      </c>
      <c r="AJ66" s="29">
        <f>IF(B66="","",IF(C66="Not found","Check - content ID not on the calendar",IF(N66="","Add - no thumbnail",IF(AND(W66&lt;&gt;"",W66&lt;0.03),"Review - thumbnail click rate is low",IF(AND(V66&lt;&gt;"",V66&lt;0.3),"Review - viewers leave early","OK")))))</f>
        <v>0</v>
      </c>
    </row>
    <row r="67" spans="1:36">
      <c r="A67" s="41">
        <f>IF(B67="","","YT-"&amp;TEXT(ROW()-4,"000"))</f>
        <v>0</v>
      </c>
      <c r="C67" s="17">
        <f>IF(B67="","",IFERROR(INDEX('Content Calendar'!$H$5:$H$604,MATCH(B67,'Content Calendar'!$A$5:$A$604,0)),"Not found"))</f>
        <v>0</v>
      </c>
      <c r="D67" s="16">
        <f>IF(B67="","",IFERROR(INDEX('Content Calendar'!$B$5:$B$604,MATCH(B67,'Content Calendar'!$A$5:$A$604,0)),"Not found"))</f>
        <v>0</v>
      </c>
      <c r="E67" s="17">
        <f>IF(B67="","",IFERROR(INDEX('Content Calendar'!$J$5:$J$604,MATCH(B67,'Content Calendar'!$A$5:$A$604,0)),"Not found"))</f>
        <v>0</v>
      </c>
      <c r="F67" s="29">
        <f>IF(B67="","",IFERROR(INDEX('Content Calendar'!$X$5:$X$604,MATCH(B67,'Content Calendar'!$A$5:$A$604,0)),"Not found"))</f>
        <v>0</v>
      </c>
      <c r="I67" s="23">
        <f>IF(H67="","",LEN(H67))</f>
        <v>0</v>
      </c>
      <c r="Z67" s="23">
        <f>IF(X67="","",X67-N(Y67))</f>
        <v>0</v>
      </c>
      <c r="AB67" s="23">
        <f>IF(B67="","",IF(COUNTIF(Performance!$B$5:$B$404,B67)=0,"",SUMIFS(Performance!$O$5:$O$404,Performance!$B$5:$B$404,B67)))</f>
        <v>0</v>
      </c>
      <c r="AC67" s="23">
        <f>IF(B67="","",IF(COUNTIF(Performance!$B$5:$B$404,B67)=0,"",SUMIFS(Performance!$P$5:$P$404,Performance!$B$5:$B$404,B67)))</f>
        <v>0</v>
      </c>
      <c r="AD67" s="23">
        <f>IF(B67="","",IF(COUNTIF(Performance!$B$5:$B$404,B67)=0,"",SUMIFS(Performance!$Z$5:$Z$404,Performance!$B$5:$B$404,B67)))</f>
        <v>0</v>
      </c>
      <c r="AE67" s="24">
        <f>IF(OR(AB67="",AB67=0),"",AD67/AB67)</f>
        <v>0</v>
      </c>
      <c r="AF67" s="23">
        <f>IF(B67="","",IF(COUNTIF(Performance!$B$5:$B$404,B67)=0,"",SUMIFS(Performance!$T$5:$T$404,Performance!$B$5:$B$404,B67)))</f>
        <v>0</v>
      </c>
      <c r="AG67" s="23">
        <f>IF(B67="","",IF(COUNTIF(Performance!$B$5:$B$404,B67)=0,"",SUMIFS(Performance!$S$5:$S$404,Performance!$B$5:$B$404,B67)))</f>
        <v>0</v>
      </c>
      <c r="AH67" s="23">
        <f>IF(B67="","",IF(COUNTIF(Performance!$B$5:$B$404,B67)=0,"",SUMIFS(Performance!$R$5:$R$404,Performance!$B$5:$B$404,B67)))</f>
        <v>0</v>
      </c>
      <c r="AI67" s="23">
        <f>IF(B67="","",IF(COUNTIF(Performance!$B$5:$B$404,B67)=0,"",SUMIFS(Performance!$U$5:$U$404,Performance!$B$5:$B$404,B67)))</f>
        <v>0</v>
      </c>
      <c r="AJ67" s="29">
        <f>IF(B67="","",IF(C67="Not found","Check - content ID not on the calendar",IF(N67="","Add - no thumbnail",IF(AND(W67&lt;&gt;"",W67&lt;0.03),"Review - thumbnail click rate is low",IF(AND(V67&lt;&gt;"",V67&lt;0.3),"Review - viewers leave early","OK")))))</f>
        <v>0</v>
      </c>
    </row>
    <row r="68" spans="1:36">
      <c r="A68" s="41">
        <f>IF(B68="","","YT-"&amp;TEXT(ROW()-4,"000"))</f>
        <v>0</v>
      </c>
      <c r="C68" s="17">
        <f>IF(B68="","",IFERROR(INDEX('Content Calendar'!$H$5:$H$604,MATCH(B68,'Content Calendar'!$A$5:$A$604,0)),"Not found"))</f>
        <v>0</v>
      </c>
      <c r="D68" s="16">
        <f>IF(B68="","",IFERROR(INDEX('Content Calendar'!$B$5:$B$604,MATCH(B68,'Content Calendar'!$A$5:$A$604,0)),"Not found"))</f>
        <v>0</v>
      </c>
      <c r="E68" s="17">
        <f>IF(B68="","",IFERROR(INDEX('Content Calendar'!$J$5:$J$604,MATCH(B68,'Content Calendar'!$A$5:$A$604,0)),"Not found"))</f>
        <v>0</v>
      </c>
      <c r="F68" s="29">
        <f>IF(B68="","",IFERROR(INDEX('Content Calendar'!$X$5:$X$604,MATCH(B68,'Content Calendar'!$A$5:$A$604,0)),"Not found"))</f>
        <v>0</v>
      </c>
      <c r="I68" s="23">
        <f>IF(H68="","",LEN(H68))</f>
        <v>0</v>
      </c>
      <c r="Z68" s="23">
        <f>IF(X68="","",X68-N(Y68))</f>
        <v>0</v>
      </c>
      <c r="AB68" s="23">
        <f>IF(B68="","",IF(COUNTIF(Performance!$B$5:$B$404,B68)=0,"",SUMIFS(Performance!$O$5:$O$404,Performance!$B$5:$B$404,B68)))</f>
        <v>0</v>
      </c>
      <c r="AC68" s="23">
        <f>IF(B68="","",IF(COUNTIF(Performance!$B$5:$B$404,B68)=0,"",SUMIFS(Performance!$P$5:$P$404,Performance!$B$5:$B$404,B68)))</f>
        <v>0</v>
      </c>
      <c r="AD68" s="23">
        <f>IF(B68="","",IF(COUNTIF(Performance!$B$5:$B$404,B68)=0,"",SUMIFS(Performance!$Z$5:$Z$404,Performance!$B$5:$B$404,B68)))</f>
        <v>0</v>
      </c>
      <c r="AE68" s="24">
        <f>IF(OR(AB68="",AB68=0),"",AD68/AB68)</f>
        <v>0</v>
      </c>
      <c r="AF68" s="23">
        <f>IF(B68="","",IF(COUNTIF(Performance!$B$5:$B$404,B68)=0,"",SUMIFS(Performance!$T$5:$T$404,Performance!$B$5:$B$404,B68)))</f>
        <v>0</v>
      </c>
      <c r="AG68" s="23">
        <f>IF(B68="","",IF(COUNTIF(Performance!$B$5:$B$404,B68)=0,"",SUMIFS(Performance!$S$5:$S$404,Performance!$B$5:$B$404,B68)))</f>
        <v>0</v>
      </c>
      <c r="AH68" s="23">
        <f>IF(B68="","",IF(COUNTIF(Performance!$B$5:$B$404,B68)=0,"",SUMIFS(Performance!$R$5:$R$404,Performance!$B$5:$B$404,B68)))</f>
        <v>0</v>
      </c>
      <c r="AI68" s="23">
        <f>IF(B68="","",IF(COUNTIF(Performance!$B$5:$B$404,B68)=0,"",SUMIFS(Performance!$U$5:$U$404,Performance!$B$5:$B$404,B68)))</f>
        <v>0</v>
      </c>
      <c r="AJ68" s="29">
        <f>IF(B68="","",IF(C68="Not found","Check - content ID not on the calendar",IF(N68="","Add - no thumbnail",IF(AND(W68&lt;&gt;"",W68&lt;0.03),"Review - thumbnail click rate is low",IF(AND(V68&lt;&gt;"",V68&lt;0.3),"Review - viewers leave early","OK")))))</f>
        <v>0</v>
      </c>
    </row>
    <row r="69" spans="1:36">
      <c r="A69" s="41">
        <f>IF(B69="","","YT-"&amp;TEXT(ROW()-4,"000"))</f>
        <v>0</v>
      </c>
      <c r="C69" s="17">
        <f>IF(B69="","",IFERROR(INDEX('Content Calendar'!$H$5:$H$604,MATCH(B69,'Content Calendar'!$A$5:$A$604,0)),"Not found"))</f>
        <v>0</v>
      </c>
      <c r="D69" s="16">
        <f>IF(B69="","",IFERROR(INDEX('Content Calendar'!$B$5:$B$604,MATCH(B69,'Content Calendar'!$A$5:$A$604,0)),"Not found"))</f>
        <v>0</v>
      </c>
      <c r="E69" s="17">
        <f>IF(B69="","",IFERROR(INDEX('Content Calendar'!$J$5:$J$604,MATCH(B69,'Content Calendar'!$A$5:$A$604,0)),"Not found"))</f>
        <v>0</v>
      </c>
      <c r="F69" s="29">
        <f>IF(B69="","",IFERROR(INDEX('Content Calendar'!$X$5:$X$604,MATCH(B69,'Content Calendar'!$A$5:$A$604,0)),"Not found"))</f>
        <v>0</v>
      </c>
      <c r="I69" s="23">
        <f>IF(H69="","",LEN(H69))</f>
        <v>0</v>
      </c>
      <c r="Z69" s="23">
        <f>IF(X69="","",X69-N(Y69))</f>
        <v>0</v>
      </c>
      <c r="AB69" s="23">
        <f>IF(B69="","",IF(COUNTIF(Performance!$B$5:$B$404,B69)=0,"",SUMIFS(Performance!$O$5:$O$404,Performance!$B$5:$B$404,B69)))</f>
        <v>0</v>
      </c>
      <c r="AC69" s="23">
        <f>IF(B69="","",IF(COUNTIF(Performance!$B$5:$B$404,B69)=0,"",SUMIFS(Performance!$P$5:$P$404,Performance!$B$5:$B$404,B69)))</f>
        <v>0</v>
      </c>
      <c r="AD69" s="23">
        <f>IF(B69="","",IF(COUNTIF(Performance!$B$5:$B$404,B69)=0,"",SUMIFS(Performance!$Z$5:$Z$404,Performance!$B$5:$B$404,B69)))</f>
        <v>0</v>
      </c>
      <c r="AE69" s="24">
        <f>IF(OR(AB69="",AB69=0),"",AD69/AB69)</f>
        <v>0</v>
      </c>
      <c r="AF69" s="23">
        <f>IF(B69="","",IF(COUNTIF(Performance!$B$5:$B$404,B69)=0,"",SUMIFS(Performance!$T$5:$T$404,Performance!$B$5:$B$404,B69)))</f>
        <v>0</v>
      </c>
      <c r="AG69" s="23">
        <f>IF(B69="","",IF(COUNTIF(Performance!$B$5:$B$404,B69)=0,"",SUMIFS(Performance!$S$5:$S$404,Performance!$B$5:$B$404,B69)))</f>
        <v>0</v>
      </c>
      <c r="AH69" s="23">
        <f>IF(B69="","",IF(COUNTIF(Performance!$B$5:$B$404,B69)=0,"",SUMIFS(Performance!$R$5:$R$404,Performance!$B$5:$B$404,B69)))</f>
        <v>0</v>
      </c>
      <c r="AI69" s="23">
        <f>IF(B69="","",IF(COUNTIF(Performance!$B$5:$B$404,B69)=0,"",SUMIFS(Performance!$U$5:$U$404,Performance!$B$5:$B$404,B69)))</f>
        <v>0</v>
      </c>
      <c r="AJ69" s="29">
        <f>IF(B69="","",IF(C69="Not found","Check - content ID not on the calendar",IF(N69="","Add - no thumbnail",IF(AND(W69&lt;&gt;"",W69&lt;0.03),"Review - thumbnail click rate is low",IF(AND(V69&lt;&gt;"",V69&lt;0.3),"Review - viewers leave early","OK")))))</f>
        <v>0</v>
      </c>
    </row>
    <row r="70" spans="1:36">
      <c r="A70" s="41">
        <f>IF(B70="","","YT-"&amp;TEXT(ROW()-4,"000"))</f>
        <v>0</v>
      </c>
      <c r="C70" s="17">
        <f>IF(B70="","",IFERROR(INDEX('Content Calendar'!$H$5:$H$604,MATCH(B70,'Content Calendar'!$A$5:$A$604,0)),"Not found"))</f>
        <v>0</v>
      </c>
      <c r="D70" s="16">
        <f>IF(B70="","",IFERROR(INDEX('Content Calendar'!$B$5:$B$604,MATCH(B70,'Content Calendar'!$A$5:$A$604,0)),"Not found"))</f>
        <v>0</v>
      </c>
      <c r="E70" s="17">
        <f>IF(B70="","",IFERROR(INDEX('Content Calendar'!$J$5:$J$604,MATCH(B70,'Content Calendar'!$A$5:$A$604,0)),"Not found"))</f>
        <v>0</v>
      </c>
      <c r="F70" s="29">
        <f>IF(B70="","",IFERROR(INDEX('Content Calendar'!$X$5:$X$604,MATCH(B70,'Content Calendar'!$A$5:$A$604,0)),"Not found"))</f>
        <v>0</v>
      </c>
      <c r="I70" s="23">
        <f>IF(H70="","",LEN(H70))</f>
        <v>0</v>
      </c>
      <c r="Z70" s="23">
        <f>IF(X70="","",X70-N(Y70))</f>
        <v>0</v>
      </c>
      <c r="AB70" s="23">
        <f>IF(B70="","",IF(COUNTIF(Performance!$B$5:$B$404,B70)=0,"",SUMIFS(Performance!$O$5:$O$404,Performance!$B$5:$B$404,B70)))</f>
        <v>0</v>
      </c>
      <c r="AC70" s="23">
        <f>IF(B70="","",IF(COUNTIF(Performance!$B$5:$B$404,B70)=0,"",SUMIFS(Performance!$P$5:$P$404,Performance!$B$5:$B$404,B70)))</f>
        <v>0</v>
      </c>
      <c r="AD70" s="23">
        <f>IF(B70="","",IF(COUNTIF(Performance!$B$5:$B$404,B70)=0,"",SUMIFS(Performance!$Z$5:$Z$404,Performance!$B$5:$B$404,B70)))</f>
        <v>0</v>
      </c>
      <c r="AE70" s="24">
        <f>IF(OR(AB70="",AB70=0),"",AD70/AB70)</f>
        <v>0</v>
      </c>
      <c r="AF70" s="23">
        <f>IF(B70="","",IF(COUNTIF(Performance!$B$5:$B$404,B70)=0,"",SUMIFS(Performance!$T$5:$T$404,Performance!$B$5:$B$404,B70)))</f>
        <v>0</v>
      </c>
      <c r="AG70" s="23">
        <f>IF(B70="","",IF(COUNTIF(Performance!$B$5:$B$404,B70)=0,"",SUMIFS(Performance!$S$5:$S$404,Performance!$B$5:$B$404,B70)))</f>
        <v>0</v>
      </c>
      <c r="AH70" s="23">
        <f>IF(B70="","",IF(COUNTIF(Performance!$B$5:$B$404,B70)=0,"",SUMIFS(Performance!$R$5:$R$404,Performance!$B$5:$B$404,B70)))</f>
        <v>0</v>
      </c>
      <c r="AI70" s="23">
        <f>IF(B70="","",IF(COUNTIF(Performance!$B$5:$B$404,B70)=0,"",SUMIFS(Performance!$U$5:$U$404,Performance!$B$5:$B$404,B70)))</f>
        <v>0</v>
      </c>
      <c r="AJ70" s="29">
        <f>IF(B70="","",IF(C70="Not found","Check - content ID not on the calendar",IF(N70="","Add - no thumbnail",IF(AND(W70&lt;&gt;"",W70&lt;0.03),"Review - thumbnail click rate is low",IF(AND(V70&lt;&gt;"",V70&lt;0.3),"Review - viewers leave early","OK")))))</f>
        <v>0</v>
      </c>
    </row>
    <row r="71" spans="1:36">
      <c r="A71" s="41">
        <f>IF(B71="","","YT-"&amp;TEXT(ROW()-4,"000"))</f>
        <v>0</v>
      </c>
      <c r="C71" s="17">
        <f>IF(B71="","",IFERROR(INDEX('Content Calendar'!$H$5:$H$604,MATCH(B71,'Content Calendar'!$A$5:$A$604,0)),"Not found"))</f>
        <v>0</v>
      </c>
      <c r="D71" s="16">
        <f>IF(B71="","",IFERROR(INDEX('Content Calendar'!$B$5:$B$604,MATCH(B71,'Content Calendar'!$A$5:$A$604,0)),"Not found"))</f>
        <v>0</v>
      </c>
      <c r="E71" s="17">
        <f>IF(B71="","",IFERROR(INDEX('Content Calendar'!$J$5:$J$604,MATCH(B71,'Content Calendar'!$A$5:$A$604,0)),"Not found"))</f>
        <v>0</v>
      </c>
      <c r="F71" s="29">
        <f>IF(B71="","",IFERROR(INDEX('Content Calendar'!$X$5:$X$604,MATCH(B71,'Content Calendar'!$A$5:$A$604,0)),"Not found"))</f>
        <v>0</v>
      </c>
      <c r="I71" s="23">
        <f>IF(H71="","",LEN(H71))</f>
        <v>0</v>
      </c>
      <c r="Z71" s="23">
        <f>IF(X71="","",X71-N(Y71))</f>
        <v>0</v>
      </c>
      <c r="AB71" s="23">
        <f>IF(B71="","",IF(COUNTIF(Performance!$B$5:$B$404,B71)=0,"",SUMIFS(Performance!$O$5:$O$404,Performance!$B$5:$B$404,B71)))</f>
        <v>0</v>
      </c>
      <c r="AC71" s="23">
        <f>IF(B71="","",IF(COUNTIF(Performance!$B$5:$B$404,B71)=0,"",SUMIFS(Performance!$P$5:$P$404,Performance!$B$5:$B$404,B71)))</f>
        <v>0</v>
      </c>
      <c r="AD71" s="23">
        <f>IF(B71="","",IF(COUNTIF(Performance!$B$5:$B$404,B71)=0,"",SUMIFS(Performance!$Z$5:$Z$404,Performance!$B$5:$B$404,B71)))</f>
        <v>0</v>
      </c>
      <c r="AE71" s="24">
        <f>IF(OR(AB71="",AB71=0),"",AD71/AB71)</f>
        <v>0</v>
      </c>
      <c r="AF71" s="23">
        <f>IF(B71="","",IF(COUNTIF(Performance!$B$5:$B$404,B71)=0,"",SUMIFS(Performance!$T$5:$T$404,Performance!$B$5:$B$404,B71)))</f>
        <v>0</v>
      </c>
      <c r="AG71" s="23">
        <f>IF(B71="","",IF(COUNTIF(Performance!$B$5:$B$404,B71)=0,"",SUMIFS(Performance!$S$5:$S$404,Performance!$B$5:$B$404,B71)))</f>
        <v>0</v>
      </c>
      <c r="AH71" s="23">
        <f>IF(B71="","",IF(COUNTIF(Performance!$B$5:$B$404,B71)=0,"",SUMIFS(Performance!$R$5:$R$404,Performance!$B$5:$B$404,B71)))</f>
        <v>0</v>
      </c>
      <c r="AI71" s="23">
        <f>IF(B71="","",IF(COUNTIF(Performance!$B$5:$B$404,B71)=0,"",SUMIFS(Performance!$U$5:$U$404,Performance!$B$5:$B$404,B71)))</f>
        <v>0</v>
      </c>
      <c r="AJ71" s="29">
        <f>IF(B71="","",IF(C71="Not found","Check - content ID not on the calendar",IF(N71="","Add - no thumbnail",IF(AND(W71&lt;&gt;"",W71&lt;0.03),"Review - thumbnail click rate is low",IF(AND(V71&lt;&gt;"",V71&lt;0.3),"Review - viewers leave early","OK")))))</f>
        <v>0</v>
      </c>
    </row>
    <row r="72" spans="1:36">
      <c r="A72" s="41">
        <f>IF(B72="","","YT-"&amp;TEXT(ROW()-4,"000"))</f>
        <v>0</v>
      </c>
      <c r="C72" s="17">
        <f>IF(B72="","",IFERROR(INDEX('Content Calendar'!$H$5:$H$604,MATCH(B72,'Content Calendar'!$A$5:$A$604,0)),"Not found"))</f>
        <v>0</v>
      </c>
      <c r="D72" s="16">
        <f>IF(B72="","",IFERROR(INDEX('Content Calendar'!$B$5:$B$604,MATCH(B72,'Content Calendar'!$A$5:$A$604,0)),"Not found"))</f>
        <v>0</v>
      </c>
      <c r="E72" s="17">
        <f>IF(B72="","",IFERROR(INDEX('Content Calendar'!$J$5:$J$604,MATCH(B72,'Content Calendar'!$A$5:$A$604,0)),"Not found"))</f>
        <v>0</v>
      </c>
      <c r="F72" s="29">
        <f>IF(B72="","",IFERROR(INDEX('Content Calendar'!$X$5:$X$604,MATCH(B72,'Content Calendar'!$A$5:$A$604,0)),"Not found"))</f>
        <v>0</v>
      </c>
      <c r="I72" s="23">
        <f>IF(H72="","",LEN(H72))</f>
        <v>0</v>
      </c>
      <c r="Z72" s="23">
        <f>IF(X72="","",X72-N(Y72))</f>
        <v>0</v>
      </c>
      <c r="AB72" s="23">
        <f>IF(B72="","",IF(COUNTIF(Performance!$B$5:$B$404,B72)=0,"",SUMIFS(Performance!$O$5:$O$404,Performance!$B$5:$B$404,B72)))</f>
        <v>0</v>
      </c>
      <c r="AC72" s="23">
        <f>IF(B72="","",IF(COUNTIF(Performance!$B$5:$B$404,B72)=0,"",SUMIFS(Performance!$P$5:$P$404,Performance!$B$5:$B$404,B72)))</f>
        <v>0</v>
      </c>
      <c r="AD72" s="23">
        <f>IF(B72="","",IF(COUNTIF(Performance!$B$5:$B$404,B72)=0,"",SUMIFS(Performance!$Z$5:$Z$404,Performance!$B$5:$B$404,B72)))</f>
        <v>0</v>
      </c>
      <c r="AE72" s="24">
        <f>IF(OR(AB72="",AB72=0),"",AD72/AB72)</f>
        <v>0</v>
      </c>
      <c r="AF72" s="23">
        <f>IF(B72="","",IF(COUNTIF(Performance!$B$5:$B$404,B72)=0,"",SUMIFS(Performance!$T$5:$T$404,Performance!$B$5:$B$404,B72)))</f>
        <v>0</v>
      </c>
      <c r="AG72" s="23">
        <f>IF(B72="","",IF(COUNTIF(Performance!$B$5:$B$404,B72)=0,"",SUMIFS(Performance!$S$5:$S$404,Performance!$B$5:$B$404,B72)))</f>
        <v>0</v>
      </c>
      <c r="AH72" s="23">
        <f>IF(B72="","",IF(COUNTIF(Performance!$B$5:$B$404,B72)=0,"",SUMIFS(Performance!$R$5:$R$404,Performance!$B$5:$B$404,B72)))</f>
        <v>0</v>
      </c>
      <c r="AI72" s="23">
        <f>IF(B72="","",IF(COUNTIF(Performance!$B$5:$B$404,B72)=0,"",SUMIFS(Performance!$U$5:$U$404,Performance!$B$5:$B$404,B72)))</f>
        <v>0</v>
      </c>
      <c r="AJ72" s="29">
        <f>IF(B72="","",IF(C72="Not found","Check - content ID not on the calendar",IF(N72="","Add - no thumbnail",IF(AND(W72&lt;&gt;"",W72&lt;0.03),"Review - thumbnail click rate is low",IF(AND(V72&lt;&gt;"",V72&lt;0.3),"Review - viewers leave early","OK")))))</f>
        <v>0</v>
      </c>
    </row>
    <row r="73" spans="1:36">
      <c r="A73" s="41">
        <f>IF(B73="","","YT-"&amp;TEXT(ROW()-4,"000"))</f>
        <v>0</v>
      </c>
      <c r="C73" s="17">
        <f>IF(B73="","",IFERROR(INDEX('Content Calendar'!$H$5:$H$604,MATCH(B73,'Content Calendar'!$A$5:$A$604,0)),"Not found"))</f>
        <v>0</v>
      </c>
      <c r="D73" s="16">
        <f>IF(B73="","",IFERROR(INDEX('Content Calendar'!$B$5:$B$604,MATCH(B73,'Content Calendar'!$A$5:$A$604,0)),"Not found"))</f>
        <v>0</v>
      </c>
      <c r="E73" s="17">
        <f>IF(B73="","",IFERROR(INDEX('Content Calendar'!$J$5:$J$604,MATCH(B73,'Content Calendar'!$A$5:$A$604,0)),"Not found"))</f>
        <v>0</v>
      </c>
      <c r="F73" s="29">
        <f>IF(B73="","",IFERROR(INDEX('Content Calendar'!$X$5:$X$604,MATCH(B73,'Content Calendar'!$A$5:$A$604,0)),"Not found"))</f>
        <v>0</v>
      </c>
      <c r="I73" s="23">
        <f>IF(H73="","",LEN(H73))</f>
        <v>0</v>
      </c>
      <c r="Z73" s="23">
        <f>IF(X73="","",X73-N(Y73))</f>
        <v>0</v>
      </c>
      <c r="AB73" s="23">
        <f>IF(B73="","",IF(COUNTIF(Performance!$B$5:$B$404,B73)=0,"",SUMIFS(Performance!$O$5:$O$404,Performance!$B$5:$B$404,B73)))</f>
        <v>0</v>
      </c>
      <c r="AC73" s="23">
        <f>IF(B73="","",IF(COUNTIF(Performance!$B$5:$B$404,B73)=0,"",SUMIFS(Performance!$P$5:$P$404,Performance!$B$5:$B$404,B73)))</f>
        <v>0</v>
      </c>
      <c r="AD73" s="23">
        <f>IF(B73="","",IF(COUNTIF(Performance!$B$5:$B$404,B73)=0,"",SUMIFS(Performance!$Z$5:$Z$404,Performance!$B$5:$B$404,B73)))</f>
        <v>0</v>
      </c>
      <c r="AE73" s="24">
        <f>IF(OR(AB73="",AB73=0),"",AD73/AB73)</f>
        <v>0</v>
      </c>
      <c r="AF73" s="23">
        <f>IF(B73="","",IF(COUNTIF(Performance!$B$5:$B$404,B73)=0,"",SUMIFS(Performance!$T$5:$T$404,Performance!$B$5:$B$404,B73)))</f>
        <v>0</v>
      </c>
      <c r="AG73" s="23">
        <f>IF(B73="","",IF(COUNTIF(Performance!$B$5:$B$404,B73)=0,"",SUMIFS(Performance!$S$5:$S$404,Performance!$B$5:$B$404,B73)))</f>
        <v>0</v>
      </c>
      <c r="AH73" s="23">
        <f>IF(B73="","",IF(COUNTIF(Performance!$B$5:$B$404,B73)=0,"",SUMIFS(Performance!$R$5:$R$404,Performance!$B$5:$B$404,B73)))</f>
        <v>0</v>
      </c>
      <c r="AI73" s="23">
        <f>IF(B73="","",IF(COUNTIF(Performance!$B$5:$B$404,B73)=0,"",SUMIFS(Performance!$U$5:$U$404,Performance!$B$5:$B$404,B73)))</f>
        <v>0</v>
      </c>
      <c r="AJ73" s="29">
        <f>IF(B73="","",IF(C73="Not found","Check - content ID not on the calendar",IF(N73="","Add - no thumbnail",IF(AND(W73&lt;&gt;"",W73&lt;0.03),"Review - thumbnail click rate is low",IF(AND(V73&lt;&gt;"",V73&lt;0.3),"Review - viewers leave early","OK")))))</f>
        <v>0</v>
      </c>
    </row>
    <row r="74" spans="1:36">
      <c r="A74" s="41">
        <f>IF(B74="","","YT-"&amp;TEXT(ROW()-4,"000"))</f>
        <v>0</v>
      </c>
      <c r="C74" s="17">
        <f>IF(B74="","",IFERROR(INDEX('Content Calendar'!$H$5:$H$604,MATCH(B74,'Content Calendar'!$A$5:$A$604,0)),"Not found"))</f>
        <v>0</v>
      </c>
      <c r="D74" s="16">
        <f>IF(B74="","",IFERROR(INDEX('Content Calendar'!$B$5:$B$604,MATCH(B74,'Content Calendar'!$A$5:$A$604,0)),"Not found"))</f>
        <v>0</v>
      </c>
      <c r="E74" s="17">
        <f>IF(B74="","",IFERROR(INDEX('Content Calendar'!$J$5:$J$604,MATCH(B74,'Content Calendar'!$A$5:$A$604,0)),"Not found"))</f>
        <v>0</v>
      </c>
      <c r="F74" s="29">
        <f>IF(B74="","",IFERROR(INDEX('Content Calendar'!$X$5:$X$604,MATCH(B74,'Content Calendar'!$A$5:$A$604,0)),"Not found"))</f>
        <v>0</v>
      </c>
      <c r="I74" s="23">
        <f>IF(H74="","",LEN(H74))</f>
        <v>0</v>
      </c>
      <c r="Z74" s="23">
        <f>IF(X74="","",X74-N(Y74))</f>
        <v>0</v>
      </c>
      <c r="AB74" s="23">
        <f>IF(B74="","",IF(COUNTIF(Performance!$B$5:$B$404,B74)=0,"",SUMIFS(Performance!$O$5:$O$404,Performance!$B$5:$B$404,B74)))</f>
        <v>0</v>
      </c>
      <c r="AC74" s="23">
        <f>IF(B74="","",IF(COUNTIF(Performance!$B$5:$B$404,B74)=0,"",SUMIFS(Performance!$P$5:$P$404,Performance!$B$5:$B$404,B74)))</f>
        <v>0</v>
      </c>
      <c r="AD74" s="23">
        <f>IF(B74="","",IF(COUNTIF(Performance!$B$5:$B$404,B74)=0,"",SUMIFS(Performance!$Z$5:$Z$404,Performance!$B$5:$B$404,B74)))</f>
        <v>0</v>
      </c>
      <c r="AE74" s="24">
        <f>IF(OR(AB74="",AB74=0),"",AD74/AB74)</f>
        <v>0</v>
      </c>
      <c r="AF74" s="23">
        <f>IF(B74="","",IF(COUNTIF(Performance!$B$5:$B$404,B74)=0,"",SUMIFS(Performance!$T$5:$T$404,Performance!$B$5:$B$404,B74)))</f>
        <v>0</v>
      </c>
      <c r="AG74" s="23">
        <f>IF(B74="","",IF(COUNTIF(Performance!$B$5:$B$404,B74)=0,"",SUMIFS(Performance!$S$5:$S$404,Performance!$B$5:$B$404,B74)))</f>
        <v>0</v>
      </c>
      <c r="AH74" s="23">
        <f>IF(B74="","",IF(COUNTIF(Performance!$B$5:$B$404,B74)=0,"",SUMIFS(Performance!$R$5:$R$404,Performance!$B$5:$B$404,B74)))</f>
        <v>0</v>
      </c>
      <c r="AI74" s="23">
        <f>IF(B74="","",IF(COUNTIF(Performance!$B$5:$B$404,B74)=0,"",SUMIFS(Performance!$U$5:$U$404,Performance!$B$5:$B$404,B74)))</f>
        <v>0</v>
      </c>
      <c r="AJ74" s="29">
        <f>IF(B74="","",IF(C74="Not found","Check - content ID not on the calendar",IF(N74="","Add - no thumbnail",IF(AND(W74&lt;&gt;"",W74&lt;0.03),"Review - thumbnail click rate is low",IF(AND(V74&lt;&gt;"",V74&lt;0.3),"Review - viewers leave early","OK")))))</f>
        <v>0</v>
      </c>
    </row>
    <row r="75" spans="1:36">
      <c r="A75" s="41">
        <f>IF(B75="","","YT-"&amp;TEXT(ROW()-4,"000"))</f>
        <v>0</v>
      </c>
      <c r="C75" s="17">
        <f>IF(B75="","",IFERROR(INDEX('Content Calendar'!$H$5:$H$604,MATCH(B75,'Content Calendar'!$A$5:$A$604,0)),"Not found"))</f>
        <v>0</v>
      </c>
      <c r="D75" s="16">
        <f>IF(B75="","",IFERROR(INDEX('Content Calendar'!$B$5:$B$604,MATCH(B75,'Content Calendar'!$A$5:$A$604,0)),"Not found"))</f>
        <v>0</v>
      </c>
      <c r="E75" s="17">
        <f>IF(B75="","",IFERROR(INDEX('Content Calendar'!$J$5:$J$604,MATCH(B75,'Content Calendar'!$A$5:$A$604,0)),"Not found"))</f>
        <v>0</v>
      </c>
      <c r="F75" s="29">
        <f>IF(B75="","",IFERROR(INDEX('Content Calendar'!$X$5:$X$604,MATCH(B75,'Content Calendar'!$A$5:$A$604,0)),"Not found"))</f>
        <v>0</v>
      </c>
      <c r="I75" s="23">
        <f>IF(H75="","",LEN(H75))</f>
        <v>0</v>
      </c>
      <c r="Z75" s="23">
        <f>IF(X75="","",X75-N(Y75))</f>
        <v>0</v>
      </c>
      <c r="AB75" s="23">
        <f>IF(B75="","",IF(COUNTIF(Performance!$B$5:$B$404,B75)=0,"",SUMIFS(Performance!$O$5:$O$404,Performance!$B$5:$B$404,B75)))</f>
        <v>0</v>
      </c>
      <c r="AC75" s="23">
        <f>IF(B75="","",IF(COUNTIF(Performance!$B$5:$B$404,B75)=0,"",SUMIFS(Performance!$P$5:$P$404,Performance!$B$5:$B$404,B75)))</f>
        <v>0</v>
      </c>
      <c r="AD75" s="23">
        <f>IF(B75="","",IF(COUNTIF(Performance!$B$5:$B$404,B75)=0,"",SUMIFS(Performance!$Z$5:$Z$404,Performance!$B$5:$B$404,B75)))</f>
        <v>0</v>
      </c>
      <c r="AE75" s="24">
        <f>IF(OR(AB75="",AB75=0),"",AD75/AB75)</f>
        <v>0</v>
      </c>
      <c r="AF75" s="23">
        <f>IF(B75="","",IF(COUNTIF(Performance!$B$5:$B$404,B75)=0,"",SUMIFS(Performance!$T$5:$T$404,Performance!$B$5:$B$404,B75)))</f>
        <v>0</v>
      </c>
      <c r="AG75" s="23">
        <f>IF(B75="","",IF(COUNTIF(Performance!$B$5:$B$404,B75)=0,"",SUMIFS(Performance!$S$5:$S$404,Performance!$B$5:$B$404,B75)))</f>
        <v>0</v>
      </c>
      <c r="AH75" s="23">
        <f>IF(B75="","",IF(COUNTIF(Performance!$B$5:$B$404,B75)=0,"",SUMIFS(Performance!$R$5:$R$404,Performance!$B$5:$B$404,B75)))</f>
        <v>0</v>
      </c>
      <c r="AI75" s="23">
        <f>IF(B75="","",IF(COUNTIF(Performance!$B$5:$B$404,B75)=0,"",SUMIFS(Performance!$U$5:$U$404,Performance!$B$5:$B$404,B75)))</f>
        <v>0</v>
      </c>
      <c r="AJ75" s="29">
        <f>IF(B75="","",IF(C75="Not found","Check - content ID not on the calendar",IF(N75="","Add - no thumbnail",IF(AND(W75&lt;&gt;"",W75&lt;0.03),"Review - thumbnail click rate is low",IF(AND(V75&lt;&gt;"",V75&lt;0.3),"Review - viewers leave early","OK")))))</f>
        <v>0</v>
      </c>
    </row>
    <row r="76" spans="1:36">
      <c r="A76" s="41">
        <f>IF(B76="","","YT-"&amp;TEXT(ROW()-4,"000"))</f>
        <v>0</v>
      </c>
      <c r="C76" s="17">
        <f>IF(B76="","",IFERROR(INDEX('Content Calendar'!$H$5:$H$604,MATCH(B76,'Content Calendar'!$A$5:$A$604,0)),"Not found"))</f>
        <v>0</v>
      </c>
      <c r="D76" s="16">
        <f>IF(B76="","",IFERROR(INDEX('Content Calendar'!$B$5:$B$604,MATCH(B76,'Content Calendar'!$A$5:$A$604,0)),"Not found"))</f>
        <v>0</v>
      </c>
      <c r="E76" s="17">
        <f>IF(B76="","",IFERROR(INDEX('Content Calendar'!$J$5:$J$604,MATCH(B76,'Content Calendar'!$A$5:$A$604,0)),"Not found"))</f>
        <v>0</v>
      </c>
      <c r="F76" s="29">
        <f>IF(B76="","",IFERROR(INDEX('Content Calendar'!$X$5:$X$604,MATCH(B76,'Content Calendar'!$A$5:$A$604,0)),"Not found"))</f>
        <v>0</v>
      </c>
      <c r="I76" s="23">
        <f>IF(H76="","",LEN(H76))</f>
        <v>0</v>
      </c>
      <c r="Z76" s="23">
        <f>IF(X76="","",X76-N(Y76))</f>
        <v>0</v>
      </c>
      <c r="AB76" s="23">
        <f>IF(B76="","",IF(COUNTIF(Performance!$B$5:$B$404,B76)=0,"",SUMIFS(Performance!$O$5:$O$404,Performance!$B$5:$B$404,B76)))</f>
        <v>0</v>
      </c>
      <c r="AC76" s="23">
        <f>IF(B76="","",IF(COUNTIF(Performance!$B$5:$B$404,B76)=0,"",SUMIFS(Performance!$P$5:$P$404,Performance!$B$5:$B$404,B76)))</f>
        <v>0</v>
      </c>
      <c r="AD76" s="23">
        <f>IF(B76="","",IF(COUNTIF(Performance!$B$5:$B$404,B76)=0,"",SUMIFS(Performance!$Z$5:$Z$404,Performance!$B$5:$B$404,B76)))</f>
        <v>0</v>
      </c>
      <c r="AE76" s="24">
        <f>IF(OR(AB76="",AB76=0),"",AD76/AB76)</f>
        <v>0</v>
      </c>
      <c r="AF76" s="23">
        <f>IF(B76="","",IF(COUNTIF(Performance!$B$5:$B$404,B76)=0,"",SUMIFS(Performance!$T$5:$T$404,Performance!$B$5:$B$404,B76)))</f>
        <v>0</v>
      </c>
      <c r="AG76" s="23">
        <f>IF(B76="","",IF(COUNTIF(Performance!$B$5:$B$404,B76)=0,"",SUMIFS(Performance!$S$5:$S$404,Performance!$B$5:$B$404,B76)))</f>
        <v>0</v>
      </c>
      <c r="AH76" s="23">
        <f>IF(B76="","",IF(COUNTIF(Performance!$B$5:$B$404,B76)=0,"",SUMIFS(Performance!$R$5:$R$404,Performance!$B$5:$B$404,B76)))</f>
        <v>0</v>
      </c>
      <c r="AI76" s="23">
        <f>IF(B76="","",IF(COUNTIF(Performance!$B$5:$B$404,B76)=0,"",SUMIFS(Performance!$U$5:$U$404,Performance!$B$5:$B$404,B76)))</f>
        <v>0</v>
      </c>
      <c r="AJ76" s="29">
        <f>IF(B76="","",IF(C76="Not found","Check - content ID not on the calendar",IF(N76="","Add - no thumbnail",IF(AND(W76&lt;&gt;"",W76&lt;0.03),"Review - thumbnail click rate is low",IF(AND(V76&lt;&gt;"",V76&lt;0.3),"Review - viewers leave early","OK")))))</f>
        <v>0</v>
      </c>
    </row>
    <row r="77" spans="1:36">
      <c r="A77" s="41">
        <f>IF(B77="","","YT-"&amp;TEXT(ROW()-4,"000"))</f>
        <v>0</v>
      </c>
      <c r="C77" s="17">
        <f>IF(B77="","",IFERROR(INDEX('Content Calendar'!$H$5:$H$604,MATCH(B77,'Content Calendar'!$A$5:$A$604,0)),"Not found"))</f>
        <v>0</v>
      </c>
      <c r="D77" s="16">
        <f>IF(B77="","",IFERROR(INDEX('Content Calendar'!$B$5:$B$604,MATCH(B77,'Content Calendar'!$A$5:$A$604,0)),"Not found"))</f>
        <v>0</v>
      </c>
      <c r="E77" s="17">
        <f>IF(B77="","",IFERROR(INDEX('Content Calendar'!$J$5:$J$604,MATCH(B77,'Content Calendar'!$A$5:$A$604,0)),"Not found"))</f>
        <v>0</v>
      </c>
      <c r="F77" s="29">
        <f>IF(B77="","",IFERROR(INDEX('Content Calendar'!$X$5:$X$604,MATCH(B77,'Content Calendar'!$A$5:$A$604,0)),"Not found"))</f>
        <v>0</v>
      </c>
      <c r="I77" s="23">
        <f>IF(H77="","",LEN(H77))</f>
        <v>0</v>
      </c>
      <c r="Z77" s="23">
        <f>IF(X77="","",X77-N(Y77))</f>
        <v>0</v>
      </c>
      <c r="AB77" s="23">
        <f>IF(B77="","",IF(COUNTIF(Performance!$B$5:$B$404,B77)=0,"",SUMIFS(Performance!$O$5:$O$404,Performance!$B$5:$B$404,B77)))</f>
        <v>0</v>
      </c>
      <c r="AC77" s="23">
        <f>IF(B77="","",IF(COUNTIF(Performance!$B$5:$B$404,B77)=0,"",SUMIFS(Performance!$P$5:$P$404,Performance!$B$5:$B$404,B77)))</f>
        <v>0</v>
      </c>
      <c r="AD77" s="23">
        <f>IF(B77="","",IF(COUNTIF(Performance!$B$5:$B$404,B77)=0,"",SUMIFS(Performance!$Z$5:$Z$404,Performance!$B$5:$B$404,B77)))</f>
        <v>0</v>
      </c>
      <c r="AE77" s="24">
        <f>IF(OR(AB77="",AB77=0),"",AD77/AB77)</f>
        <v>0</v>
      </c>
      <c r="AF77" s="23">
        <f>IF(B77="","",IF(COUNTIF(Performance!$B$5:$B$404,B77)=0,"",SUMIFS(Performance!$T$5:$T$404,Performance!$B$5:$B$404,B77)))</f>
        <v>0</v>
      </c>
      <c r="AG77" s="23">
        <f>IF(B77="","",IF(COUNTIF(Performance!$B$5:$B$404,B77)=0,"",SUMIFS(Performance!$S$5:$S$404,Performance!$B$5:$B$404,B77)))</f>
        <v>0</v>
      </c>
      <c r="AH77" s="23">
        <f>IF(B77="","",IF(COUNTIF(Performance!$B$5:$B$404,B77)=0,"",SUMIFS(Performance!$R$5:$R$404,Performance!$B$5:$B$404,B77)))</f>
        <v>0</v>
      </c>
      <c r="AI77" s="23">
        <f>IF(B77="","",IF(COUNTIF(Performance!$B$5:$B$404,B77)=0,"",SUMIFS(Performance!$U$5:$U$404,Performance!$B$5:$B$404,B77)))</f>
        <v>0</v>
      </c>
      <c r="AJ77" s="29">
        <f>IF(B77="","",IF(C77="Not found","Check - content ID not on the calendar",IF(N77="","Add - no thumbnail",IF(AND(W77&lt;&gt;"",W77&lt;0.03),"Review - thumbnail click rate is low",IF(AND(V77&lt;&gt;"",V77&lt;0.3),"Review - viewers leave early","OK")))))</f>
        <v>0</v>
      </c>
    </row>
    <row r="78" spans="1:36">
      <c r="A78" s="41">
        <f>IF(B78="","","YT-"&amp;TEXT(ROW()-4,"000"))</f>
        <v>0</v>
      </c>
      <c r="C78" s="17">
        <f>IF(B78="","",IFERROR(INDEX('Content Calendar'!$H$5:$H$604,MATCH(B78,'Content Calendar'!$A$5:$A$604,0)),"Not found"))</f>
        <v>0</v>
      </c>
      <c r="D78" s="16">
        <f>IF(B78="","",IFERROR(INDEX('Content Calendar'!$B$5:$B$604,MATCH(B78,'Content Calendar'!$A$5:$A$604,0)),"Not found"))</f>
        <v>0</v>
      </c>
      <c r="E78" s="17">
        <f>IF(B78="","",IFERROR(INDEX('Content Calendar'!$J$5:$J$604,MATCH(B78,'Content Calendar'!$A$5:$A$604,0)),"Not found"))</f>
        <v>0</v>
      </c>
      <c r="F78" s="29">
        <f>IF(B78="","",IFERROR(INDEX('Content Calendar'!$X$5:$X$604,MATCH(B78,'Content Calendar'!$A$5:$A$604,0)),"Not found"))</f>
        <v>0</v>
      </c>
      <c r="I78" s="23">
        <f>IF(H78="","",LEN(H78))</f>
        <v>0</v>
      </c>
      <c r="Z78" s="23">
        <f>IF(X78="","",X78-N(Y78))</f>
        <v>0</v>
      </c>
      <c r="AB78" s="23">
        <f>IF(B78="","",IF(COUNTIF(Performance!$B$5:$B$404,B78)=0,"",SUMIFS(Performance!$O$5:$O$404,Performance!$B$5:$B$404,B78)))</f>
        <v>0</v>
      </c>
      <c r="AC78" s="23">
        <f>IF(B78="","",IF(COUNTIF(Performance!$B$5:$B$404,B78)=0,"",SUMIFS(Performance!$P$5:$P$404,Performance!$B$5:$B$404,B78)))</f>
        <v>0</v>
      </c>
      <c r="AD78" s="23">
        <f>IF(B78="","",IF(COUNTIF(Performance!$B$5:$B$404,B78)=0,"",SUMIFS(Performance!$Z$5:$Z$404,Performance!$B$5:$B$404,B78)))</f>
        <v>0</v>
      </c>
      <c r="AE78" s="24">
        <f>IF(OR(AB78="",AB78=0),"",AD78/AB78)</f>
        <v>0</v>
      </c>
      <c r="AF78" s="23">
        <f>IF(B78="","",IF(COUNTIF(Performance!$B$5:$B$404,B78)=0,"",SUMIFS(Performance!$T$5:$T$404,Performance!$B$5:$B$404,B78)))</f>
        <v>0</v>
      </c>
      <c r="AG78" s="23">
        <f>IF(B78="","",IF(COUNTIF(Performance!$B$5:$B$404,B78)=0,"",SUMIFS(Performance!$S$5:$S$404,Performance!$B$5:$B$404,B78)))</f>
        <v>0</v>
      </c>
      <c r="AH78" s="23">
        <f>IF(B78="","",IF(COUNTIF(Performance!$B$5:$B$404,B78)=0,"",SUMIFS(Performance!$R$5:$R$404,Performance!$B$5:$B$404,B78)))</f>
        <v>0</v>
      </c>
      <c r="AI78" s="23">
        <f>IF(B78="","",IF(COUNTIF(Performance!$B$5:$B$404,B78)=0,"",SUMIFS(Performance!$U$5:$U$404,Performance!$B$5:$B$404,B78)))</f>
        <v>0</v>
      </c>
      <c r="AJ78" s="29">
        <f>IF(B78="","",IF(C78="Not found","Check - content ID not on the calendar",IF(N78="","Add - no thumbnail",IF(AND(W78&lt;&gt;"",W78&lt;0.03),"Review - thumbnail click rate is low",IF(AND(V78&lt;&gt;"",V78&lt;0.3),"Review - viewers leave early","OK")))))</f>
        <v>0</v>
      </c>
    </row>
    <row r="79" spans="1:36">
      <c r="A79" s="41">
        <f>IF(B79="","","YT-"&amp;TEXT(ROW()-4,"000"))</f>
        <v>0</v>
      </c>
      <c r="C79" s="17">
        <f>IF(B79="","",IFERROR(INDEX('Content Calendar'!$H$5:$H$604,MATCH(B79,'Content Calendar'!$A$5:$A$604,0)),"Not found"))</f>
        <v>0</v>
      </c>
      <c r="D79" s="16">
        <f>IF(B79="","",IFERROR(INDEX('Content Calendar'!$B$5:$B$604,MATCH(B79,'Content Calendar'!$A$5:$A$604,0)),"Not found"))</f>
        <v>0</v>
      </c>
      <c r="E79" s="17">
        <f>IF(B79="","",IFERROR(INDEX('Content Calendar'!$J$5:$J$604,MATCH(B79,'Content Calendar'!$A$5:$A$604,0)),"Not found"))</f>
        <v>0</v>
      </c>
      <c r="F79" s="29">
        <f>IF(B79="","",IFERROR(INDEX('Content Calendar'!$X$5:$X$604,MATCH(B79,'Content Calendar'!$A$5:$A$604,0)),"Not found"))</f>
        <v>0</v>
      </c>
      <c r="I79" s="23">
        <f>IF(H79="","",LEN(H79))</f>
        <v>0</v>
      </c>
      <c r="Z79" s="23">
        <f>IF(X79="","",X79-N(Y79))</f>
        <v>0</v>
      </c>
      <c r="AB79" s="23">
        <f>IF(B79="","",IF(COUNTIF(Performance!$B$5:$B$404,B79)=0,"",SUMIFS(Performance!$O$5:$O$404,Performance!$B$5:$B$404,B79)))</f>
        <v>0</v>
      </c>
      <c r="AC79" s="23">
        <f>IF(B79="","",IF(COUNTIF(Performance!$B$5:$B$404,B79)=0,"",SUMIFS(Performance!$P$5:$P$404,Performance!$B$5:$B$404,B79)))</f>
        <v>0</v>
      </c>
      <c r="AD79" s="23">
        <f>IF(B79="","",IF(COUNTIF(Performance!$B$5:$B$404,B79)=0,"",SUMIFS(Performance!$Z$5:$Z$404,Performance!$B$5:$B$404,B79)))</f>
        <v>0</v>
      </c>
      <c r="AE79" s="24">
        <f>IF(OR(AB79="",AB79=0),"",AD79/AB79)</f>
        <v>0</v>
      </c>
      <c r="AF79" s="23">
        <f>IF(B79="","",IF(COUNTIF(Performance!$B$5:$B$404,B79)=0,"",SUMIFS(Performance!$T$5:$T$404,Performance!$B$5:$B$404,B79)))</f>
        <v>0</v>
      </c>
      <c r="AG79" s="23">
        <f>IF(B79="","",IF(COUNTIF(Performance!$B$5:$B$404,B79)=0,"",SUMIFS(Performance!$S$5:$S$404,Performance!$B$5:$B$404,B79)))</f>
        <v>0</v>
      </c>
      <c r="AH79" s="23">
        <f>IF(B79="","",IF(COUNTIF(Performance!$B$5:$B$404,B79)=0,"",SUMIFS(Performance!$R$5:$R$404,Performance!$B$5:$B$404,B79)))</f>
        <v>0</v>
      </c>
      <c r="AI79" s="23">
        <f>IF(B79="","",IF(COUNTIF(Performance!$B$5:$B$404,B79)=0,"",SUMIFS(Performance!$U$5:$U$404,Performance!$B$5:$B$404,B79)))</f>
        <v>0</v>
      </c>
      <c r="AJ79" s="29">
        <f>IF(B79="","",IF(C79="Not found","Check - content ID not on the calendar",IF(N79="","Add - no thumbnail",IF(AND(W79&lt;&gt;"",W79&lt;0.03),"Review - thumbnail click rate is low",IF(AND(V79&lt;&gt;"",V79&lt;0.3),"Review - viewers leave early","OK")))))</f>
        <v>0</v>
      </c>
    </row>
    <row r="80" spans="1:36">
      <c r="A80" s="41">
        <f>IF(B80="","","YT-"&amp;TEXT(ROW()-4,"000"))</f>
        <v>0</v>
      </c>
      <c r="C80" s="17">
        <f>IF(B80="","",IFERROR(INDEX('Content Calendar'!$H$5:$H$604,MATCH(B80,'Content Calendar'!$A$5:$A$604,0)),"Not found"))</f>
        <v>0</v>
      </c>
      <c r="D80" s="16">
        <f>IF(B80="","",IFERROR(INDEX('Content Calendar'!$B$5:$B$604,MATCH(B80,'Content Calendar'!$A$5:$A$604,0)),"Not found"))</f>
        <v>0</v>
      </c>
      <c r="E80" s="17">
        <f>IF(B80="","",IFERROR(INDEX('Content Calendar'!$J$5:$J$604,MATCH(B80,'Content Calendar'!$A$5:$A$604,0)),"Not found"))</f>
        <v>0</v>
      </c>
      <c r="F80" s="29">
        <f>IF(B80="","",IFERROR(INDEX('Content Calendar'!$X$5:$X$604,MATCH(B80,'Content Calendar'!$A$5:$A$604,0)),"Not found"))</f>
        <v>0</v>
      </c>
      <c r="I80" s="23">
        <f>IF(H80="","",LEN(H80))</f>
        <v>0</v>
      </c>
      <c r="Z80" s="23">
        <f>IF(X80="","",X80-N(Y80))</f>
        <v>0</v>
      </c>
      <c r="AB80" s="23">
        <f>IF(B80="","",IF(COUNTIF(Performance!$B$5:$B$404,B80)=0,"",SUMIFS(Performance!$O$5:$O$404,Performance!$B$5:$B$404,B80)))</f>
        <v>0</v>
      </c>
      <c r="AC80" s="23">
        <f>IF(B80="","",IF(COUNTIF(Performance!$B$5:$B$404,B80)=0,"",SUMIFS(Performance!$P$5:$P$404,Performance!$B$5:$B$404,B80)))</f>
        <v>0</v>
      </c>
      <c r="AD80" s="23">
        <f>IF(B80="","",IF(COUNTIF(Performance!$B$5:$B$404,B80)=0,"",SUMIFS(Performance!$Z$5:$Z$404,Performance!$B$5:$B$404,B80)))</f>
        <v>0</v>
      </c>
      <c r="AE80" s="24">
        <f>IF(OR(AB80="",AB80=0),"",AD80/AB80)</f>
        <v>0</v>
      </c>
      <c r="AF80" s="23">
        <f>IF(B80="","",IF(COUNTIF(Performance!$B$5:$B$404,B80)=0,"",SUMIFS(Performance!$T$5:$T$404,Performance!$B$5:$B$404,B80)))</f>
        <v>0</v>
      </c>
      <c r="AG80" s="23">
        <f>IF(B80="","",IF(COUNTIF(Performance!$B$5:$B$404,B80)=0,"",SUMIFS(Performance!$S$5:$S$404,Performance!$B$5:$B$404,B80)))</f>
        <v>0</v>
      </c>
      <c r="AH80" s="23">
        <f>IF(B80="","",IF(COUNTIF(Performance!$B$5:$B$404,B80)=0,"",SUMIFS(Performance!$R$5:$R$404,Performance!$B$5:$B$404,B80)))</f>
        <v>0</v>
      </c>
      <c r="AI80" s="23">
        <f>IF(B80="","",IF(COUNTIF(Performance!$B$5:$B$404,B80)=0,"",SUMIFS(Performance!$U$5:$U$404,Performance!$B$5:$B$404,B80)))</f>
        <v>0</v>
      </c>
      <c r="AJ80" s="29">
        <f>IF(B80="","",IF(C80="Not found","Check - content ID not on the calendar",IF(N80="","Add - no thumbnail",IF(AND(W80&lt;&gt;"",W80&lt;0.03),"Review - thumbnail click rate is low",IF(AND(V80&lt;&gt;"",V80&lt;0.3),"Review - viewers leave early","OK")))))</f>
        <v>0</v>
      </c>
    </row>
    <row r="81" spans="1:36">
      <c r="A81" s="41">
        <f>IF(B81="","","YT-"&amp;TEXT(ROW()-4,"000"))</f>
        <v>0</v>
      </c>
      <c r="C81" s="17">
        <f>IF(B81="","",IFERROR(INDEX('Content Calendar'!$H$5:$H$604,MATCH(B81,'Content Calendar'!$A$5:$A$604,0)),"Not found"))</f>
        <v>0</v>
      </c>
      <c r="D81" s="16">
        <f>IF(B81="","",IFERROR(INDEX('Content Calendar'!$B$5:$B$604,MATCH(B81,'Content Calendar'!$A$5:$A$604,0)),"Not found"))</f>
        <v>0</v>
      </c>
      <c r="E81" s="17">
        <f>IF(B81="","",IFERROR(INDEX('Content Calendar'!$J$5:$J$604,MATCH(B81,'Content Calendar'!$A$5:$A$604,0)),"Not found"))</f>
        <v>0</v>
      </c>
      <c r="F81" s="29">
        <f>IF(B81="","",IFERROR(INDEX('Content Calendar'!$X$5:$X$604,MATCH(B81,'Content Calendar'!$A$5:$A$604,0)),"Not found"))</f>
        <v>0</v>
      </c>
      <c r="I81" s="23">
        <f>IF(H81="","",LEN(H81))</f>
        <v>0</v>
      </c>
      <c r="Z81" s="23">
        <f>IF(X81="","",X81-N(Y81))</f>
        <v>0</v>
      </c>
      <c r="AB81" s="23">
        <f>IF(B81="","",IF(COUNTIF(Performance!$B$5:$B$404,B81)=0,"",SUMIFS(Performance!$O$5:$O$404,Performance!$B$5:$B$404,B81)))</f>
        <v>0</v>
      </c>
      <c r="AC81" s="23">
        <f>IF(B81="","",IF(COUNTIF(Performance!$B$5:$B$404,B81)=0,"",SUMIFS(Performance!$P$5:$P$404,Performance!$B$5:$B$404,B81)))</f>
        <v>0</v>
      </c>
      <c r="AD81" s="23">
        <f>IF(B81="","",IF(COUNTIF(Performance!$B$5:$B$404,B81)=0,"",SUMIFS(Performance!$Z$5:$Z$404,Performance!$B$5:$B$404,B81)))</f>
        <v>0</v>
      </c>
      <c r="AE81" s="24">
        <f>IF(OR(AB81="",AB81=0),"",AD81/AB81)</f>
        <v>0</v>
      </c>
      <c r="AF81" s="23">
        <f>IF(B81="","",IF(COUNTIF(Performance!$B$5:$B$404,B81)=0,"",SUMIFS(Performance!$T$5:$T$404,Performance!$B$5:$B$404,B81)))</f>
        <v>0</v>
      </c>
      <c r="AG81" s="23">
        <f>IF(B81="","",IF(COUNTIF(Performance!$B$5:$B$404,B81)=0,"",SUMIFS(Performance!$S$5:$S$404,Performance!$B$5:$B$404,B81)))</f>
        <v>0</v>
      </c>
      <c r="AH81" s="23">
        <f>IF(B81="","",IF(COUNTIF(Performance!$B$5:$B$404,B81)=0,"",SUMIFS(Performance!$R$5:$R$404,Performance!$B$5:$B$404,B81)))</f>
        <v>0</v>
      </c>
      <c r="AI81" s="23">
        <f>IF(B81="","",IF(COUNTIF(Performance!$B$5:$B$404,B81)=0,"",SUMIFS(Performance!$U$5:$U$404,Performance!$B$5:$B$404,B81)))</f>
        <v>0</v>
      </c>
      <c r="AJ81" s="29">
        <f>IF(B81="","",IF(C81="Not found","Check - content ID not on the calendar",IF(N81="","Add - no thumbnail",IF(AND(W81&lt;&gt;"",W81&lt;0.03),"Review - thumbnail click rate is low",IF(AND(V81&lt;&gt;"",V81&lt;0.3),"Review - viewers leave early","OK")))))</f>
        <v>0</v>
      </c>
    </row>
    <row r="82" spans="1:36">
      <c r="A82" s="41">
        <f>IF(B82="","","YT-"&amp;TEXT(ROW()-4,"000"))</f>
        <v>0</v>
      </c>
      <c r="C82" s="17">
        <f>IF(B82="","",IFERROR(INDEX('Content Calendar'!$H$5:$H$604,MATCH(B82,'Content Calendar'!$A$5:$A$604,0)),"Not found"))</f>
        <v>0</v>
      </c>
      <c r="D82" s="16">
        <f>IF(B82="","",IFERROR(INDEX('Content Calendar'!$B$5:$B$604,MATCH(B82,'Content Calendar'!$A$5:$A$604,0)),"Not found"))</f>
        <v>0</v>
      </c>
      <c r="E82" s="17">
        <f>IF(B82="","",IFERROR(INDEX('Content Calendar'!$J$5:$J$604,MATCH(B82,'Content Calendar'!$A$5:$A$604,0)),"Not found"))</f>
        <v>0</v>
      </c>
      <c r="F82" s="29">
        <f>IF(B82="","",IFERROR(INDEX('Content Calendar'!$X$5:$X$604,MATCH(B82,'Content Calendar'!$A$5:$A$604,0)),"Not found"))</f>
        <v>0</v>
      </c>
      <c r="I82" s="23">
        <f>IF(H82="","",LEN(H82))</f>
        <v>0</v>
      </c>
      <c r="Z82" s="23">
        <f>IF(X82="","",X82-N(Y82))</f>
        <v>0</v>
      </c>
      <c r="AB82" s="23">
        <f>IF(B82="","",IF(COUNTIF(Performance!$B$5:$B$404,B82)=0,"",SUMIFS(Performance!$O$5:$O$404,Performance!$B$5:$B$404,B82)))</f>
        <v>0</v>
      </c>
      <c r="AC82" s="23">
        <f>IF(B82="","",IF(COUNTIF(Performance!$B$5:$B$404,B82)=0,"",SUMIFS(Performance!$P$5:$P$404,Performance!$B$5:$B$404,B82)))</f>
        <v>0</v>
      </c>
      <c r="AD82" s="23">
        <f>IF(B82="","",IF(COUNTIF(Performance!$B$5:$B$404,B82)=0,"",SUMIFS(Performance!$Z$5:$Z$404,Performance!$B$5:$B$404,B82)))</f>
        <v>0</v>
      </c>
      <c r="AE82" s="24">
        <f>IF(OR(AB82="",AB82=0),"",AD82/AB82)</f>
        <v>0</v>
      </c>
      <c r="AF82" s="23">
        <f>IF(B82="","",IF(COUNTIF(Performance!$B$5:$B$404,B82)=0,"",SUMIFS(Performance!$T$5:$T$404,Performance!$B$5:$B$404,B82)))</f>
        <v>0</v>
      </c>
      <c r="AG82" s="23">
        <f>IF(B82="","",IF(COUNTIF(Performance!$B$5:$B$404,B82)=0,"",SUMIFS(Performance!$S$5:$S$404,Performance!$B$5:$B$404,B82)))</f>
        <v>0</v>
      </c>
      <c r="AH82" s="23">
        <f>IF(B82="","",IF(COUNTIF(Performance!$B$5:$B$404,B82)=0,"",SUMIFS(Performance!$R$5:$R$404,Performance!$B$5:$B$404,B82)))</f>
        <v>0</v>
      </c>
      <c r="AI82" s="23">
        <f>IF(B82="","",IF(COUNTIF(Performance!$B$5:$B$404,B82)=0,"",SUMIFS(Performance!$U$5:$U$404,Performance!$B$5:$B$404,B82)))</f>
        <v>0</v>
      </c>
      <c r="AJ82" s="29">
        <f>IF(B82="","",IF(C82="Not found","Check - content ID not on the calendar",IF(N82="","Add - no thumbnail",IF(AND(W82&lt;&gt;"",W82&lt;0.03),"Review - thumbnail click rate is low",IF(AND(V82&lt;&gt;"",V82&lt;0.3),"Review - viewers leave early","OK")))))</f>
        <v>0</v>
      </c>
    </row>
    <row r="83" spans="1:36">
      <c r="A83" s="41">
        <f>IF(B83="","","YT-"&amp;TEXT(ROW()-4,"000"))</f>
        <v>0</v>
      </c>
      <c r="C83" s="17">
        <f>IF(B83="","",IFERROR(INDEX('Content Calendar'!$H$5:$H$604,MATCH(B83,'Content Calendar'!$A$5:$A$604,0)),"Not found"))</f>
        <v>0</v>
      </c>
      <c r="D83" s="16">
        <f>IF(B83="","",IFERROR(INDEX('Content Calendar'!$B$5:$B$604,MATCH(B83,'Content Calendar'!$A$5:$A$604,0)),"Not found"))</f>
        <v>0</v>
      </c>
      <c r="E83" s="17">
        <f>IF(B83="","",IFERROR(INDEX('Content Calendar'!$J$5:$J$604,MATCH(B83,'Content Calendar'!$A$5:$A$604,0)),"Not found"))</f>
        <v>0</v>
      </c>
      <c r="F83" s="29">
        <f>IF(B83="","",IFERROR(INDEX('Content Calendar'!$X$5:$X$604,MATCH(B83,'Content Calendar'!$A$5:$A$604,0)),"Not found"))</f>
        <v>0</v>
      </c>
      <c r="I83" s="23">
        <f>IF(H83="","",LEN(H83))</f>
        <v>0</v>
      </c>
      <c r="Z83" s="23">
        <f>IF(X83="","",X83-N(Y83))</f>
        <v>0</v>
      </c>
      <c r="AB83" s="23">
        <f>IF(B83="","",IF(COUNTIF(Performance!$B$5:$B$404,B83)=0,"",SUMIFS(Performance!$O$5:$O$404,Performance!$B$5:$B$404,B83)))</f>
        <v>0</v>
      </c>
      <c r="AC83" s="23">
        <f>IF(B83="","",IF(COUNTIF(Performance!$B$5:$B$404,B83)=0,"",SUMIFS(Performance!$P$5:$P$404,Performance!$B$5:$B$404,B83)))</f>
        <v>0</v>
      </c>
      <c r="AD83" s="23">
        <f>IF(B83="","",IF(COUNTIF(Performance!$B$5:$B$404,B83)=0,"",SUMIFS(Performance!$Z$5:$Z$404,Performance!$B$5:$B$404,B83)))</f>
        <v>0</v>
      </c>
      <c r="AE83" s="24">
        <f>IF(OR(AB83="",AB83=0),"",AD83/AB83)</f>
        <v>0</v>
      </c>
      <c r="AF83" s="23">
        <f>IF(B83="","",IF(COUNTIF(Performance!$B$5:$B$404,B83)=0,"",SUMIFS(Performance!$T$5:$T$404,Performance!$B$5:$B$404,B83)))</f>
        <v>0</v>
      </c>
      <c r="AG83" s="23">
        <f>IF(B83="","",IF(COUNTIF(Performance!$B$5:$B$404,B83)=0,"",SUMIFS(Performance!$S$5:$S$404,Performance!$B$5:$B$404,B83)))</f>
        <v>0</v>
      </c>
      <c r="AH83" s="23">
        <f>IF(B83="","",IF(COUNTIF(Performance!$B$5:$B$404,B83)=0,"",SUMIFS(Performance!$R$5:$R$404,Performance!$B$5:$B$404,B83)))</f>
        <v>0</v>
      </c>
      <c r="AI83" s="23">
        <f>IF(B83="","",IF(COUNTIF(Performance!$B$5:$B$404,B83)=0,"",SUMIFS(Performance!$U$5:$U$404,Performance!$B$5:$B$404,B83)))</f>
        <v>0</v>
      </c>
      <c r="AJ83" s="29">
        <f>IF(B83="","",IF(C83="Not found","Check - content ID not on the calendar",IF(N83="","Add - no thumbnail",IF(AND(W83&lt;&gt;"",W83&lt;0.03),"Review - thumbnail click rate is low",IF(AND(V83&lt;&gt;"",V83&lt;0.3),"Review - viewers leave early","OK")))))</f>
        <v>0</v>
      </c>
    </row>
    <row r="84" spans="1:36">
      <c r="A84" s="41">
        <f>IF(B84="","","YT-"&amp;TEXT(ROW()-4,"000"))</f>
        <v>0</v>
      </c>
      <c r="C84" s="17">
        <f>IF(B84="","",IFERROR(INDEX('Content Calendar'!$H$5:$H$604,MATCH(B84,'Content Calendar'!$A$5:$A$604,0)),"Not found"))</f>
        <v>0</v>
      </c>
      <c r="D84" s="16">
        <f>IF(B84="","",IFERROR(INDEX('Content Calendar'!$B$5:$B$604,MATCH(B84,'Content Calendar'!$A$5:$A$604,0)),"Not found"))</f>
        <v>0</v>
      </c>
      <c r="E84" s="17">
        <f>IF(B84="","",IFERROR(INDEX('Content Calendar'!$J$5:$J$604,MATCH(B84,'Content Calendar'!$A$5:$A$604,0)),"Not found"))</f>
        <v>0</v>
      </c>
      <c r="F84" s="29">
        <f>IF(B84="","",IFERROR(INDEX('Content Calendar'!$X$5:$X$604,MATCH(B84,'Content Calendar'!$A$5:$A$604,0)),"Not found"))</f>
        <v>0</v>
      </c>
      <c r="I84" s="23">
        <f>IF(H84="","",LEN(H84))</f>
        <v>0</v>
      </c>
      <c r="Z84" s="23">
        <f>IF(X84="","",X84-N(Y84))</f>
        <v>0</v>
      </c>
      <c r="AB84" s="23">
        <f>IF(B84="","",IF(COUNTIF(Performance!$B$5:$B$404,B84)=0,"",SUMIFS(Performance!$O$5:$O$404,Performance!$B$5:$B$404,B84)))</f>
        <v>0</v>
      </c>
      <c r="AC84" s="23">
        <f>IF(B84="","",IF(COUNTIF(Performance!$B$5:$B$404,B84)=0,"",SUMIFS(Performance!$P$5:$P$404,Performance!$B$5:$B$404,B84)))</f>
        <v>0</v>
      </c>
      <c r="AD84" s="23">
        <f>IF(B84="","",IF(COUNTIF(Performance!$B$5:$B$404,B84)=0,"",SUMIFS(Performance!$Z$5:$Z$404,Performance!$B$5:$B$404,B84)))</f>
        <v>0</v>
      </c>
      <c r="AE84" s="24">
        <f>IF(OR(AB84="",AB84=0),"",AD84/AB84)</f>
        <v>0</v>
      </c>
      <c r="AF84" s="23">
        <f>IF(B84="","",IF(COUNTIF(Performance!$B$5:$B$404,B84)=0,"",SUMIFS(Performance!$T$5:$T$404,Performance!$B$5:$B$404,B84)))</f>
        <v>0</v>
      </c>
      <c r="AG84" s="23">
        <f>IF(B84="","",IF(COUNTIF(Performance!$B$5:$B$404,B84)=0,"",SUMIFS(Performance!$S$5:$S$404,Performance!$B$5:$B$404,B84)))</f>
        <v>0</v>
      </c>
      <c r="AH84" s="23">
        <f>IF(B84="","",IF(COUNTIF(Performance!$B$5:$B$404,B84)=0,"",SUMIFS(Performance!$R$5:$R$404,Performance!$B$5:$B$404,B84)))</f>
        <v>0</v>
      </c>
      <c r="AI84" s="23">
        <f>IF(B84="","",IF(COUNTIF(Performance!$B$5:$B$404,B84)=0,"",SUMIFS(Performance!$U$5:$U$404,Performance!$B$5:$B$404,B84)))</f>
        <v>0</v>
      </c>
      <c r="AJ84" s="29">
        <f>IF(B84="","",IF(C84="Not found","Check - content ID not on the calendar",IF(N84="","Add - no thumbnail",IF(AND(W84&lt;&gt;"",W84&lt;0.03),"Review - thumbnail click rate is low",IF(AND(V84&lt;&gt;"",V84&lt;0.3),"Review - viewers leave early","OK")))))</f>
        <v>0</v>
      </c>
    </row>
    <row r="85" spans="1:36">
      <c r="A85" s="41">
        <f>IF(B85="","","YT-"&amp;TEXT(ROW()-4,"000"))</f>
        <v>0</v>
      </c>
      <c r="C85" s="17">
        <f>IF(B85="","",IFERROR(INDEX('Content Calendar'!$H$5:$H$604,MATCH(B85,'Content Calendar'!$A$5:$A$604,0)),"Not found"))</f>
        <v>0</v>
      </c>
      <c r="D85" s="16">
        <f>IF(B85="","",IFERROR(INDEX('Content Calendar'!$B$5:$B$604,MATCH(B85,'Content Calendar'!$A$5:$A$604,0)),"Not found"))</f>
        <v>0</v>
      </c>
      <c r="E85" s="17">
        <f>IF(B85="","",IFERROR(INDEX('Content Calendar'!$J$5:$J$604,MATCH(B85,'Content Calendar'!$A$5:$A$604,0)),"Not found"))</f>
        <v>0</v>
      </c>
      <c r="F85" s="29">
        <f>IF(B85="","",IFERROR(INDEX('Content Calendar'!$X$5:$X$604,MATCH(B85,'Content Calendar'!$A$5:$A$604,0)),"Not found"))</f>
        <v>0</v>
      </c>
      <c r="I85" s="23">
        <f>IF(H85="","",LEN(H85))</f>
        <v>0</v>
      </c>
      <c r="Z85" s="23">
        <f>IF(X85="","",X85-N(Y85))</f>
        <v>0</v>
      </c>
      <c r="AB85" s="23">
        <f>IF(B85="","",IF(COUNTIF(Performance!$B$5:$B$404,B85)=0,"",SUMIFS(Performance!$O$5:$O$404,Performance!$B$5:$B$404,B85)))</f>
        <v>0</v>
      </c>
      <c r="AC85" s="23">
        <f>IF(B85="","",IF(COUNTIF(Performance!$B$5:$B$404,B85)=0,"",SUMIFS(Performance!$P$5:$P$404,Performance!$B$5:$B$404,B85)))</f>
        <v>0</v>
      </c>
      <c r="AD85" s="23">
        <f>IF(B85="","",IF(COUNTIF(Performance!$B$5:$B$404,B85)=0,"",SUMIFS(Performance!$Z$5:$Z$404,Performance!$B$5:$B$404,B85)))</f>
        <v>0</v>
      </c>
      <c r="AE85" s="24">
        <f>IF(OR(AB85="",AB85=0),"",AD85/AB85)</f>
        <v>0</v>
      </c>
      <c r="AF85" s="23">
        <f>IF(B85="","",IF(COUNTIF(Performance!$B$5:$B$404,B85)=0,"",SUMIFS(Performance!$T$5:$T$404,Performance!$B$5:$B$404,B85)))</f>
        <v>0</v>
      </c>
      <c r="AG85" s="23">
        <f>IF(B85="","",IF(COUNTIF(Performance!$B$5:$B$404,B85)=0,"",SUMIFS(Performance!$S$5:$S$404,Performance!$B$5:$B$404,B85)))</f>
        <v>0</v>
      </c>
      <c r="AH85" s="23">
        <f>IF(B85="","",IF(COUNTIF(Performance!$B$5:$B$404,B85)=0,"",SUMIFS(Performance!$R$5:$R$404,Performance!$B$5:$B$404,B85)))</f>
        <v>0</v>
      </c>
      <c r="AI85" s="23">
        <f>IF(B85="","",IF(COUNTIF(Performance!$B$5:$B$404,B85)=0,"",SUMIFS(Performance!$U$5:$U$404,Performance!$B$5:$B$404,B85)))</f>
        <v>0</v>
      </c>
      <c r="AJ85" s="29">
        <f>IF(B85="","",IF(C85="Not found","Check - content ID not on the calendar",IF(N85="","Add - no thumbnail",IF(AND(W85&lt;&gt;"",W85&lt;0.03),"Review - thumbnail click rate is low",IF(AND(V85&lt;&gt;"",V85&lt;0.3),"Review - viewers leave early","OK")))))</f>
        <v>0</v>
      </c>
    </row>
    <row r="86" spans="1:36">
      <c r="A86" s="41">
        <f>IF(B86="","","YT-"&amp;TEXT(ROW()-4,"000"))</f>
        <v>0</v>
      </c>
      <c r="C86" s="17">
        <f>IF(B86="","",IFERROR(INDEX('Content Calendar'!$H$5:$H$604,MATCH(B86,'Content Calendar'!$A$5:$A$604,0)),"Not found"))</f>
        <v>0</v>
      </c>
      <c r="D86" s="16">
        <f>IF(B86="","",IFERROR(INDEX('Content Calendar'!$B$5:$B$604,MATCH(B86,'Content Calendar'!$A$5:$A$604,0)),"Not found"))</f>
        <v>0</v>
      </c>
      <c r="E86" s="17">
        <f>IF(B86="","",IFERROR(INDEX('Content Calendar'!$J$5:$J$604,MATCH(B86,'Content Calendar'!$A$5:$A$604,0)),"Not found"))</f>
        <v>0</v>
      </c>
      <c r="F86" s="29">
        <f>IF(B86="","",IFERROR(INDEX('Content Calendar'!$X$5:$X$604,MATCH(B86,'Content Calendar'!$A$5:$A$604,0)),"Not found"))</f>
        <v>0</v>
      </c>
      <c r="I86" s="23">
        <f>IF(H86="","",LEN(H86))</f>
        <v>0</v>
      </c>
      <c r="Z86" s="23">
        <f>IF(X86="","",X86-N(Y86))</f>
        <v>0</v>
      </c>
      <c r="AB86" s="23">
        <f>IF(B86="","",IF(COUNTIF(Performance!$B$5:$B$404,B86)=0,"",SUMIFS(Performance!$O$5:$O$404,Performance!$B$5:$B$404,B86)))</f>
        <v>0</v>
      </c>
      <c r="AC86" s="23">
        <f>IF(B86="","",IF(COUNTIF(Performance!$B$5:$B$404,B86)=0,"",SUMIFS(Performance!$P$5:$P$404,Performance!$B$5:$B$404,B86)))</f>
        <v>0</v>
      </c>
      <c r="AD86" s="23">
        <f>IF(B86="","",IF(COUNTIF(Performance!$B$5:$B$404,B86)=0,"",SUMIFS(Performance!$Z$5:$Z$404,Performance!$B$5:$B$404,B86)))</f>
        <v>0</v>
      </c>
      <c r="AE86" s="24">
        <f>IF(OR(AB86="",AB86=0),"",AD86/AB86)</f>
        <v>0</v>
      </c>
      <c r="AF86" s="23">
        <f>IF(B86="","",IF(COUNTIF(Performance!$B$5:$B$404,B86)=0,"",SUMIFS(Performance!$T$5:$T$404,Performance!$B$5:$B$404,B86)))</f>
        <v>0</v>
      </c>
      <c r="AG86" s="23">
        <f>IF(B86="","",IF(COUNTIF(Performance!$B$5:$B$404,B86)=0,"",SUMIFS(Performance!$S$5:$S$404,Performance!$B$5:$B$404,B86)))</f>
        <v>0</v>
      </c>
      <c r="AH86" s="23">
        <f>IF(B86="","",IF(COUNTIF(Performance!$B$5:$B$404,B86)=0,"",SUMIFS(Performance!$R$5:$R$404,Performance!$B$5:$B$404,B86)))</f>
        <v>0</v>
      </c>
      <c r="AI86" s="23">
        <f>IF(B86="","",IF(COUNTIF(Performance!$B$5:$B$404,B86)=0,"",SUMIFS(Performance!$U$5:$U$404,Performance!$B$5:$B$404,B86)))</f>
        <v>0</v>
      </c>
      <c r="AJ86" s="29">
        <f>IF(B86="","",IF(C86="Not found","Check - content ID not on the calendar",IF(N86="","Add - no thumbnail",IF(AND(W86&lt;&gt;"",W86&lt;0.03),"Review - thumbnail click rate is low",IF(AND(V86&lt;&gt;"",V86&lt;0.3),"Review - viewers leave early","OK")))))</f>
        <v>0</v>
      </c>
    </row>
    <row r="87" spans="1:36">
      <c r="A87" s="41">
        <f>IF(B87="","","YT-"&amp;TEXT(ROW()-4,"000"))</f>
        <v>0</v>
      </c>
      <c r="C87" s="17">
        <f>IF(B87="","",IFERROR(INDEX('Content Calendar'!$H$5:$H$604,MATCH(B87,'Content Calendar'!$A$5:$A$604,0)),"Not found"))</f>
        <v>0</v>
      </c>
      <c r="D87" s="16">
        <f>IF(B87="","",IFERROR(INDEX('Content Calendar'!$B$5:$B$604,MATCH(B87,'Content Calendar'!$A$5:$A$604,0)),"Not found"))</f>
        <v>0</v>
      </c>
      <c r="E87" s="17">
        <f>IF(B87="","",IFERROR(INDEX('Content Calendar'!$J$5:$J$604,MATCH(B87,'Content Calendar'!$A$5:$A$604,0)),"Not found"))</f>
        <v>0</v>
      </c>
      <c r="F87" s="29">
        <f>IF(B87="","",IFERROR(INDEX('Content Calendar'!$X$5:$X$604,MATCH(B87,'Content Calendar'!$A$5:$A$604,0)),"Not found"))</f>
        <v>0</v>
      </c>
      <c r="I87" s="23">
        <f>IF(H87="","",LEN(H87))</f>
        <v>0</v>
      </c>
      <c r="Z87" s="23">
        <f>IF(X87="","",X87-N(Y87))</f>
        <v>0</v>
      </c>
      <c r="AB87" s="23">
        <f>IF(B87="","",IF(COUNTIF(Performance!$B$5:$B$404,B87)=0,"",SUMIFS(Performance!$O$5:$O$404,Performance!$B$5:$B$404,B87)))</f>
        <v>0</v>
      </c>
      <c r="AC87" s="23">
        <f>IF(B87="","",IF(COUNTIF(Performance!$B$5:$B$404,B87)=0,"",SUMIFS(Performance!$P$5:$P$404,Performance!$B$5:$B$404,B87)))</f>
        <v>0</v>
      </c>
      <c r="AD87" s="23">
        <f>IF(B87="","",IF(COUNTIF(Performance!$B$5:$B$404,B87)=0,"",SUMIFS(Performance!$Z$5:$Z$404,Performance!$B$5:$B$404,B87)))</f>
        <v>0</v>
      </c>
      <c r="AE87" s="24">
        <f>IF(OR(AB87="",AB87=0),"",AD87/AB87)</f>
        <v>0</v>
      </c>
      <c r="AF87" s="23">
        <f>IF(B87="","",IF(COUNTIF(Performance!$B$5:$B$404,B87)=0,"",SUMIFS(Performance!$T$5:$T$404,Performance!$B$5:$B$404,B87)))</f>
        <v>0</v>
      </c>
      <c r="AG87" s="23">
        <f>IF(B87="","",IF(COUNTIF(Performance!$B$5:$B$404,B87)=0,"",SUMIFS(Performance!$S$5:$S$404,Performance!$B$5:$B$404,B87)))</f>
        <v>0</v>
      </c>
      <c r="AH87" s="23">
        <f>IF(B87="","",IF(COUNTIF(Performance!$B$5:$B$404,B87)=0,"",SUMIFS(Performance!$R$5:$R$404,Performance!$B$5:$B$404,B87)))</f>
        <v>0</v>
      </c>
      <c r="AI87" s="23">
        <f>IF(B87="","",IF(COUNTIF(Performance!$B$5:$B$404,B87)=0,"",SUMIFS(Performance!$U$5:$U$404,Performance!$B$5:$B$404,B87)))</f>
        <v>0</v>
      </c>
      <c r="AJ87" s="29">
        <f>IF(B87="","",IF(C87="Not found","Check - content ID not on the calendar",IF(N87="","Add - no thumbnail",IF(AND(W87&lt;&gt;"",W87&lt;0.03),"Review - thumbnail click rate is low",IF(AND(V87&lt;&gt;"",V87&lt;0.3),"Review - viewers leave early","OK")))))</f>
        <v>0</v>
      </c>
    </row>
    <row r="88" spans="1:36">
      <c r="A88" s="41">
        <f>IF(B88="","","YT-"&amp;TEXT(ROW()-4,"000"))</f>
        <v>0</v>
      </c>
      <c r="C88" s="17">
        <f>IF(B88="","",IFERROR(INDEX('Content Calendar'!$H$5:$H$604,MATCH(B88,'Content Calendar'!$A$5:$A$604,0)),"Not found"))</f>
        <v>0</v>
      </c>
      <c r="D88" s="16">
        <f>IF(B88="","",IFERROR(INDEX('Content Calendar'!$B$5:$B$604,MATCH(B88,'Content Calendar'!$A$5:$A$604,0)),"Not found"))</f>
        <v>0</v>
      </c>
      <c r="E88" s="17">
        <f>IF(B88="","",IFERROR(INDEX('Content Calendar'!$J$5:$J$604,MATCH(B88,'Content Calendar'!$A$5:$A$604,0)),"Not found"))</f>
        <v>0</v>
      </c>
      <c r="F88" s="29">
        <f>IF(B88="","",IFERROR(INDEX('Content Calendar'!$X$5:$X$604,MATCH(B88,'Content Calendar'!$A$5:$A$604,0)),"Not found"))</f>
        <v>0</v>
      </c>
      <c r="I88" s="23">
        <f>IF(H88="","",LEN(H88))</f>
        <v>0</v>
      </c>
      <c r="Z88" s="23">
        <f>IF(X88="","",X88-N(Y88))</f>
        <v>0</v>
      </c>
      <c r="AB88" s="23">
        <f>IF(B88="","",IF(COUNTIF(Performance!$B$5:$B$404,B88)=0,"",SUMIFS(Performance!$O$5:$O$404,Performance!$B$5:$B$404,B88)))</f>
        <v>0</v>
      </c>
      <c r="AC88" s="23">
        <f>IF(B88="","",IF(COUNTIF(Performance!$B$5:$B$404,B88)=0,"",SUMIFS(Performance!$P$5:$P$404,Performance!$B$5:$B$404,B88)))</f>
        <v>0</v>
      </c>
      <c r="AD88" s="23">
        <f>IF(B88="","",IF(COUNTIF(Performance!$B$5:$B$404,B88)=0,"",SUMIFS(Performance!$Z$5:$Z$404,Performance!$B$5:$B$404,B88)))</f>
        <v>0</v>
      </c>
      <c r="AE88" s="24">
        <f>IF(OR(AB88="",AB88=0),"",AD88/AB88)</f>
        <v>0</v>
      </c>
      <c r="AF88" s="23">
        <f>IF(B88="","",IF(COUNTIF(Performance!$B$5:$B$404,B88)=0,"",SUMIFS(Performance!$T$5:$T$404,Performance!$B$5:$B$404,B88)))</f>
        <v>0</v>
      </c>
      <c r="AG88" s="23">
        <f>IF(B88="","",IF(COUNTIF(Performance!$B$5:$B$404,B88)=0,"",SUMIFS(Performance!$S$5:$S$404,Performance!$B$5:$B$404,B88)))</f>
        <v>0</v>
      </c>
      <c r="AH88" s="23">
        <f>IF(B88="","",IF(COUNTIF(Performance!$B$5:$B$404,B88)=0,"",SUMIFS(Performance!$R$5:$R$404,Performance!$B$5:$B$404,B88)))</f>
        <v>0</v>
      </c>
      <c r="AI88" s="23">
        <f>IF(B88="","",IF(COUNTIF(Performance!$B$5:$B$404,B88)=0,"",SUMIFS(Performance!$U$5:$U$404,Performance!$B$5:$B$404,B88)))</f>
        <v>0</v>
      </c>
      <c r="AJ88" s="29">
        <f>IF(B88="","",IF(C88="Not found","Check - content ID not on the calendar",IF(N88="","Add - no thumbnail",IF(AND(W88&lt;&gt;"",W88&lt;0.03),"Review - thumbnail click rate is low",IF(AND(V88&lt;&gt;"",V88&lt;0.3),"Review - viewers leave early","OK")))))</f>
        <v>0</v>
      </c>
    </row>
    <row r="89" spans="1:36">
      <c r="A89" s="41">
        <f>IF(B89="","","YT-"&amp;TEXT(ROW()-4,"000"))</f>
        <v>0</v>
      </c>
      <c r="C89" s="17">
        <f>IF(B89="","",IFERROR(INDEX('Content Calendar'!$H$5:$H$604,MATCH(B89,'Content Calendar'!$A$5:$A$604,0)),"Not found"))</f>
        <v>0</v>
      </c>
      <c r="D89" s="16">
        <f>IF(B89="","",IFERROR(INDEX('Content Calendar'!$B$5:$B$604,MATCH(B89,'Content Calendar'!$A$5:$A$604,0)),"Not found"))</f>
        <v>0</v>
      </c>
      <c r="E89" s="17">
        <f>IF(B89="","",IFERROR(INDEX('Content Calendar'!$J$5:$J$604,MATCH(B89,'Content Calendar'!$A$5:$A$604,0)),"Not found"))</f>
        <v>0</v>
      </c>
      <c r="F89" s="29">
        <f>IF(B89="","",IFERROR(INDEX('Content Calendar'!$X$5:$X$604,MATCH(B89,'Content Calendar'!$A$5:$A$604,0)),"Not found"))</f>
        <v>0</v>
      </c>
      <c r="I89" s="23">
        <f>IF(H89="","",LEN(H89))</f>
        <v>0</v>
      </c>
      <c r="Z89" s="23">
        <f>IF(X89="","",X89-N(Y89))</f>
        <v>0</v>
      </c>
      <c r="AB89" s="23">
        <f>IF(B89="","",IF(COUNTIF(Performance!$B$5:$B$404,B89)=0,"",SUMIFS(Performance!$O$5:$O$404,Performance!$B$5:$B$404,B89)))</f>
        <v>0</v>
      </c>
      <c r="AC89" s="23">
        <f>IF(B89="","",IF(COUNTIF(Performance!$B$5:$B$404,B89)=0,"",SUMIFS(Performance!$P$5:$P$404,Performance!$B$5:$B$404,B89)))</f>
        <v>0</v>
      </c>
      <c r="AD89" s="23">
        <f>IF(B89="","",IF(COUNTIF(Performance!$B$5:$B$404,B89)=0,"",SUMIFS(Performance!$Z$5:$Z$404,Performance!$B$5:$B$404,B89)))</f>
        <v>0</v>
      </c>
      <c r="AE89" s="24">
        <f>IF(OR(AB89="",AB89=0),"",AD89/AB89)</f>
        <v>0</v>
      </c>
      <c r="AF89" s="23">
        <f>IF(B89="","",IF(COUNTIF(Performance!$B$5:$B$404,B89)=0,"",SUMIFS(Performance!$T$5:$T$404,Performance!$B$5:$B$404,B89)))</f>
        <v>0</v>
      </c>
      <c r="AG89" s="23">
        <f>IF(B89="","",IF(COUNTIF(Performance!$B$5:$B$404,B89)=0,"",SUMIFS(Performance!$S$5:$S$404,Performance!$B$5:$B$404,B89)))</f>
        <v>0</v>
      </c>
      <c r="AH89" s="23">
        <f>IF(B89="","",IF(COUNTIF(Performance!$B$5:$B$404,B89)=0,"",SUMIFS(Performance!$R$5:$R$404,Performance!$B$5:$B$404,B89)))</f>
        <v>0</v>
      </c>
      <c r="AI89" s="23">
        <f>IF(B89="","",IF(COUNTIF(Performance!$B$5:$B$404,B89)=0,"",SUMIFS(Performance!$U$5:$U$404,Performance!$B$5:$B$404,B89)))</f>
        <v>0</v>
      </c>
      <c r="AJ89" s="29">
        <f>IF(B89="","",IF(C89="Not found","Check - content ID not on the calendar",IF(N89="","Add - no thumbnail",IF(AND(W89&lt;&gt;"",W89&lt;0.03),"Review - thumbnail click rate is low",IF(AND(V89&lt;&gt;"",V89&lt;0.3),"Review - viewers leave early","OK")))))</f>
        <v>0</v>
      </c>
    </row>
    <row r="90" spans="1:36">
      <c r="A90" s="41">
        <f>IF(B90="","","YT-"&amp;TEXT(ROW()-4,"000"))</f>
        <v>0</v>
      </c>
      <c r="C90" s="17">
        <f>IF(B90="","",IFERROR(INDEX('Content Calendar'!$H$5:$H$604,MATCH(B90,'Content Calendar'!$A$5:$A$604,0)),"Not found"))</f>
        <v>0</v>
      </c>
      <c r="D90" s="16">
        <f>IF(B90="","",IFERROR(INDEX('Content Calendar'!$B$5:$B$604,MATCH(B90,'Content Calendar'!$A$5:$A$604,0)),"Not found"))</f>
        <v>0</v>
      </c>
      <c r="E90" s="17">
        <f>IF(B90="","",IFERROR(INDEX('Content Calendar'!$J$5:$J$604,MATCH(B90,'Content Calendar'!$A$5:$A$604,0)),"Not found"))</f>
        <v>0</v>
      </c>
      <c r="F90" s="29">
        <f>IF(B90="","",IFERROR(INDEX('Content Calendar'!$X$5:$X$604,MATCH(B90,'Content Calendar'!$A$5:$A$604,0)),"Not found"))</f>
        <v>0</v>
      </c>
      <c r="I90" s="23">
        <f>IF(H90="","",LEN(H90))</f>
        <v>0</v>
      </c>
      <c r="Z90" s="23">
        <f>IF(X90="","",X90-N(Y90))</f>
        <v>0</v>
      </c>
      <c r="AB90" s="23">
        <f>IF(B90="","",IF(COUNTIF(Performance!$B$5:$B$404,B90)=0,"",SUMIFS(Performance!$O$5:$O$404,Performance!$B$5:$B$404,B90)))</f>
        <v>0</v>
      </c>
      <c r="AC90" s="23">
        <f>IF(B90="","",IF(COUNTIF(Performance!$B$5:$B$404,B90)=0,"",SUMIFS(Performance!$P$5:$P$404,Performance!$B$5:$B$404,B90)))</f>
        <v>0</v>
      </c>
      <c r="AD90" s="23">
        <f>IF(B90="","",IF(COUNTIF(Performance!$B$5:$B$404,B90)=0,"",SUMIFS(Performance!$Z$5:$Z$404,Performance!$B$5:$B$404,B90)))</f>
        <v>0</v>
      </c>
      <c r="AE90" s="24">
        <f>IF(OR(AB90="",AB90=0),"",AD90/AB90)</f>
        <v>0</v>
      </c>
      <c r="AF90" s="23">
        <f>IF(B90="","",IF(COUNTIF(Performance!$B$5:$B$404,B90)=0,"",SUMIFS(Performance!$T$5:$T$404,Performance!$B$5:$B$404,B90)))</f>
        <v>0</v>
      </c>
      <c r="AG90" s="23">
        <f>IF(B90="","",IF(COUNTIF(Performance!$B$5:$B$404,B90)=0,"",SUMIFS(Performance!$S$5:$S$404,Performance!$B$5:$B$404,B90)))</f>
        <v>0</v>
      </c>
      <c r="AH90" s="23">
        <f>IF(B90="","",IF(COUNTIF(Performance!$B$5:$B$404,B90)=0,"",SUMIFS(Performance!$R$5:$R$404,Performance!$B$5:$B$404,B90)))</f>
        <v>0</v>
      </c>
      <c r="AI90" s="23">
        <f>IF(B90="","",IF(COUNTIF(Performance!$B$5:$B$404,B90)=0,"",SUMIFS(Performance!$U$5:$U$404,Performance!$B$5:$B$404,B90)))</f>
        <v>0</v>
      </c>
      <c r="AJ90" s="29">
        <f>IF(B90="","",IF(C90="Not found","Check - content ID not on the calendar",IF(N90="","Add - no thumbnail",IF(AND(W90&lt;&gt;"",W90&lt;0.03),"Review - thumbnail click rate is low",IF(AND(V90&lt;&gt;"",V90&lt;0.3),"Review - viewers leave early","OK")))))</f>
        <v>0</v>
      </c>
    </row>
    <row r="91" spans="1:36">
      <c r="A91" s="41">
        <f>IF(B91="","","YT-"&amp;TEXT(ROW()-4,"000"))</f>
        <v>0</v>
      </c>
      <c r="C91" s="17">
        <f>IF(B91="","",IFERROR(INDEX('Content Calendar'!$H$5:$H$604,MATCH(B91,'Content Calendar'!$A$5:$A$604,0)),"Not found"))</f>
        <v>0</v>
      </c>
      <c r="D91" s="16">
        <f>IF(B91="","",IFERROR(INDEX('Content Calendar'!$B$5:$B$604,MATCH(B91,'Content Calendar'!$A$5:$A$604,0)),"Not found"))</f>
        <v>0</v>
      </c>
      <c r="E91" s="17">
        <f>IF(B91="","",IFERROR(INDEX('Content Calendar'!$J$5:$J$604,MATCH(B91,'Content Calendar'!$A$5:$A$604,0)),"Not found"))</f>
        <v>0</v>
      </c>
      <c r="F91" s="29">
        <f>IF(B91="","",IFERROR(INDEX('Content Calendar'!$X$5:$X$604,MATCH(B91,'Content Calendar'!$A$5:$A$604,0)),"Not found"))</f>
        <v>0</v>
      </c>
      <c r="I91" s="23">
        <f>IF(H91="","",LEN(H91))</f>
        <v>0</v>
      </c>
      <c r="Z91" s="23">
        <f>IF(X91="","",X91-N(Y91))</f>
        <v>0</v>
      </c>
      <c r="AB91" s="23">
        <f>IF(B91="","",IF(COUNTIF(Performance!$B$5:$B$404,B91)=0,"",SUMIFS(Performance!$O$5:$O$404,Performance!$B$5:$B$404,B91)))</f>
        <v>0</v>
      </c>
      <c r="AC91" s="23">
        <f>IF(B91="","",IF(COUNTIF(Performance!$B$5:$B$404,B91)=0,"",SUMIFS(Performance!$P$5:$P$404,Performance!$B$5:$B$404,B91)))</f>
        <v>0</v>
      </c>
      <c r="AD91" s="23">
        <f>IF(B91="","",IF(COUNTIF(Performance!$B$5:$B$404,B91)=0,"",SUMIFS(Performance!$Z$5:$Z$404,Performance!$B$5:$B$404,B91)))</f>
        <v>0</v>
      </c>
      <c r="AE91" s="24">
        <f>IF(OR(AB91="",AB91=0),"",AD91/AB91)</f>
        <v>0</v>
      </c>
      <c r="AF91" s="23">
        <f>IF(B91="","",IF(COUNTIF(Performance!$B$5:$B$404,B91)=0,"",SUMIFS(Performance!$T$5:$T$404,Performance!$B$5:$B$404,B91)))</f>
        <v>0</v>
      </c>
      <c r="AG91" s="23">
        <f>IF(B91="","",IF(COUNTIF(Performance!$B$5:$B$404,B91)=0,"",SUMIFS(Performance!$S$5:$S$404,Performance!$B$5:$B$404,B91)))</f>
        <v>0</v>
      </c>
      <c r="AH91" s="23">
        <f>IF(B91="","",IF(COUNTIF(Performance!$B$5:$B$404,B91)=0,"",SUMIFS(Performance!$R$5:$R$404,Performance!$B$5:$B$404,B91)))</f>
        <v>0</v>
      </c>
      <c r="AI91" s="23">
        <f>IF(B91="","",IF(COUNTIF(Performance!$B$5:$B$404,B91)=0,"",SUMIFS(Performance!$U$5:$U$404,Performance!$B$5:$B$404,B91)))</f>
        <v>0</v>
      </c>
      <c r="AJ91" s="29">
        <f>IF(B91="","",IF(C91="Not found","Check - content ID not on the calendar",IF(N91="","Add - no thumbnail",IF(AND(W91&lt;&gt;"",W91&lt;0.03),"Review - thumbnail click rate is low",IF(AND(V91&lt;&gt;"",V91&lt;0.3),"Review - viewers leave early","OK")))))</f>
        <v>0</v>
      </c>
    </row>
    <row r="92" spans="1:36">
      <c r="A92" s="41">
        <f>IF(B92="","","YT-"&amp;TEXT(ROW()-4,"000"))</f>
        <v>0</v>
      </c>
      <c r="C92" s="17">
        <f>IF(B92="","",IFERROR(INDEX('Content Calendar'!$H$5:$H$604,MATCH(B92,'Content Calendar'!$A$5:$A$604,0)),"Not found"))</f>
        <v>0</v>
      </c>
      <c r="D92" s="16">
        <f>IF(B92="","",IFERROR(INDEX('Content Calendar'!$B$5:$B$604,MATCH(B92,'Content Calendar'!$A$5:$A$604,0)),"Not found"))</f>
        <v>0</v>
      </c>
      <c r="E92" s="17">
        <f>IF(B92="","",IFERROR(INDEX('Content Calendar'!$J$5:$J$604,MATCH(B92,'Content Calendar'!$A$5:$A$604,0)),"Not found"))</f>
        <v>0</v>
      </c>
      <c r="F92" s="29">
        <f>IF(B92="","",IFERROR(INDEX('Content Calendar'!$X$5:$X$604,MATCH(B92,'Content Calendar'!$A$5:$A$604,0)),"Not found"))</f>
        <v>0</v>
      </c>
      <c r="I92" s="23">
        <f>IF(H92="","",LEN(H92))</f>
        <v>0</v>
      </c>
      <c r="Z92" s="23">
        <f>IF(X92="","",X92-N(Y92))</f>
        <v>0</v>
      </c>
      <c r="AB92" s="23">
        <f>IF(B92="","",IF(COUNTIF(Performance!$B$5:$B$404,B92)=0,"",SUMIFS(Performance!$O$5:$O$404,Performance!$B$5:$B$404,B92)))</f>
        <v>0</v>
      </c>
      <c r="AC92" s="23">
        <f>IF(B92="","",IF(COUNTIF(Performance!$B$5:$B$404,B92)=0,"",SUMIFS(Performance!$P$5:$P$404,Performance!$B$5:$B$404,B92)))</f>
        <v>0</v>
      </c>
      <c r="AD92" s="23">
        <f>IF(B92="","",IF(COUNTIF(Performance!$B$5:$B$404,B92)=0,"",SUMIFS(Performance!$Z$5:$Z$404,Performance!$B$5:$B$404,B92)))</f>
        <v>0</v>
      </c>
      <c r="AE92" s="24">
        <f>IF(OR(AB92="",AB92=0),"",AD92/AB92)</f>
        <v>0</v>
      </c>
      <c r="AF92" s="23">
        <f>IF(B92="","",IF(COUNTIF(Performance!$B$5:$B$404,B92)=0,"",SUMIFS(Performance!$T$5:$T$404,Performance!$B$5:$B$404,B92)))</f>
        <v>0</v>
      </c>
      <c r="AG92" s="23">
        <f>IF(B92="","",IF(COUNTIF(Performance!$B$5:$B$404,B92)=0,"",SUMIFS(Performance!$S$5:$S$404,Performance!$B$5:$B$404,B92)))</f>
        <v>0</v>
      </c>
      <c r="AH92" s="23">
        <f>IF(B92="","",IF(COUNTIF(Performance!$B$5:$B$404,B92)=0,"",SUMIFS(Performance!$R$5:$R$404,Performance!$B$5:$B$404,B92)))</f>
        <v>0</v>
      </c>
      <c r="AI92" s="23">
        <f>IF(B92="","",IF(COUNTIF(Performance!$B$5:$B$404,B92)=0,"",SUMIFS(Performance!$U$5:$U$404,Performance!$B$5:$B$404,B92)))</f>
        <v>0</v>
      </c>
      <c r="AJ92" s="29">
        <f>IF(B92="","",IF(C92="Not found","Check - content ID not on the calendar",IF(N92="","Add - no thumbnail",IF(AND(W92&lt;&gt;"",W92&lt;0.03),"Review - thumbnail click rate is low",IF(AND(V92&lt;&gt;"",V92&lt;0.3),"Review - viewers leave early","OK")))))</f>
        <v>0</v>
      </c>
    </row>
    <row r="93" spans="1:36">
      <c r="A93" s="41">
        <f>IF(B93="","","YT-"&amp;TEXT(ROW()-4,"000"))</f>
        <v>0</v>
      </c>
      <c r="C93" s="17">
        <f>IF(B93="","",IFERROR(INDEX('Content Calendar'!$H$5:$H$604,MATCH(B93,'Content Calendar'!$A$5:$A$604,0)),"Not found"))</f>
        <v>0</v>
      </c>
      <c r="D93" s="16">
        <f>IF(B93="","",IFERROR(INDEX('Content Calendar'!$B$5:$B$604,MATCH(B93,'Content Calendar'!$A$5:$A$604,0)),"Not found"))</f>
        <v>0</v>
      </c>
      <c r="E93" s="17">
        <f>IF(B93="","",IFERROR(INDEX('Content Calendar'!$J$5:$J$604,MATCH(B93,'Content Calendar'!$A$5:$A$604,0)),"Not found"))</f>
        <v>0</v>
      </c>
      <c r="F93" s="29">
        <f>IF(B93="","",IFERROR(INDEX('Content Calendar'!$X$5:$X$604,MATCH(B93,'Content Calendar'!$A$5:$A$604,0)),"Not found"))</f>
        <v>0</v>
      </c>
      <c r="I93" s="23">
        <f>IF(H93="","",LEN(H93))</f>
        <v>0</v>
      </c>
      <c r="Z93" s="23">
        <f>IF(X93="","",X93-N(Y93))</f>
        <v>0</v>
      </c>
      <c r="AB93" s="23">
        <f>IF(B93="","",IF(COUNTIF(Performance!$B$5:$B$404,B93)=0,"",SUMIFS(Performance!$O$5:$O$404,Performance!$B$5:$B$404,B93)))</f>
        <v>0</v>
      </c>
      <c r="AC93" s="23">
        <f>IF(B93="","",IF(COUNTIF(Performance!$B$5:$B$404,B93)=0,"",SUMIFS(Performance!$P$5:$P$404,Performance!$B$5:$B$404,B93)))</f>
        <v>0</v>
      </c>
      <c r="AD93" s="23">
        <f>IF(B93="","",IF(COUNTIF(Performance!$B$5:$B$404,B93)=0,"",SUMIFS(Performance!$Z$5:$Z$404,Performance!$B$5:$B$404,B93)))</f>
        <v>0</v>
      </c>
      <c r="AE93" s="24">
        <f>IF(OR(AB93="",AB93=0),"",AD93/AB93)</f>
        <v>0</v>
      </c>
      <c r="AF93" s="23">
        <f>IF(B93="","",IF(COUNTIF(Performance!$B$5:$B$404,B93)=0,"",SUMIFS(Performance!$T$5:$T$404,Performance!$B$5:$B$404,B93)))</f>
        <v>0</v>
      </c>
      <c r="AG93" s="23">
        <f>IF(B93="","",IF(COUNTIF(Performance!$B$5:$B$404,B93)=0,"",SUMIFS(Performance!$S$5:$S$404,Performance!$B$5:$B$404,B93)))</f>
        <v>0</v>
      </c>
      <c r="AH93" s="23">
        <f>IF(B93="","",IF(COUNTIF(Performance!$B$5:$B$404,B93)=0,"",SUMIFS(Performance!$R$5:$R$404,Performance!$B$5:$B$404,B93)))</f>
        <v>0</v>
      </c>
      <c r="AI93" s="23">
        <f>IF(B93="","",IF(COUNTIF(Performance!$B$5:$B$404,B93)=0,"",SUMIFS(Performance!$U$5:$U$404,Performance!$B$5:$B$404,B93)))</f>
        <v>0</v>
      </c>
      <c r="AJ93" s="29">
        <f>IF(B93="","",IF(C93="Not found","Check - content ID not on the calendar",IF(N93="","Add - no thumbnail",IF(AND(W93&lt;&gt;"",W93&lt;0.03),"Review - thumbnail click rate is low",IF(AND(V93&lt;&gt;"",V93&lt;0.3),"Review - viewers leave early","OK")))))</f>
        <v>0</v>
      </c>
    </row>
    <row r="94" spans="1:36">
      <c r="A94" s="41">
        <f>IF(B94="","","YT-"&amp;TEXT(ROW()-4,"000"))</f>
        <v>0</v>
      </c>
      <c r="C94" s="17">
        <f>IF(B94="","",IFERROR(INDEX('Content Calendar'!$H$5:$H$604,MATCH(B94,'Content Calendar'!$A$5:$A$604,0)),"Not found"))</f>
        <v>0</v>
      </c>
      <c r="D94" s="16">
        <f>IF(B94="","",IFERROR(INDEX('Content Calendar'!$B$5:$B$604,MATCH(B94,'Content Calendar'!$A$5:$A$604,0)),"Not found"))</f>
        <v>0</v>
      </c>
      <c r="E94" s="17">
        <f>IF(B94="","",IFERROR(INDEX('Content Calendar'!$J$5:$J$604,MATCH(B94,'Content Calendar'!$A$5:$A$604,0)),"Not found"))</f>
        <v>0</v>
      </c>
      <c r="F94" s="29">
        <f>IF(B94="","",IFERROR(INDEX('Content Calendar'!$X$5:$X$604,MATCH(B94,'Content Calendar'!$A$5:$A$604,0)),"Not found"))</f>
        <v>0</v>
      </c>
      <c r="I94" s="23">
        <f>IF(H94="","",LEN(H94))</f>
        <v>0</v>
      </c>
      <c r="Z94" s="23">
        <f>IF(X94="","",X94-N(Y94))</f>
        <v>0</v>
      </c>
      <c r="AB94" s="23">
        <f>IF(B94="","",IF(COUNTIF(Performance!$B$5:$B$404,B94)=0,"",SUMIFS(Performance!$O$5:$O$404,Performance!$B$5:$B$404,B94)))</f>
        <v>0</v>
      </c>
      <c r="AC94" s="23">
        <f>IF(B94="","",IF(COUNTIF(Performance!$B$5:$B$404,B94)=0,"",SUMIFS(Performance!$P$5:$P$404,Performance!$B$5:$B$404,B94)))</f>
        <v>0</v>
      </c>
      <c r="AD94" s="23">
        <f>IF(B94="","",IF(COUNTIF(Performance!$B$5:$B$404,B94)=0,"",SUMIFS(Performance!$Z$5:$Z$404,Performance!$B$5:$B$404,B94)))</f>
        <v>0</v>
      </c>
      <c r="AE94" s="24">
        <f>IF(OR(AB94="",AB94=0),"",AD94/AB94)</f>
        <v>0</v>
      </c>
      <c r="AF94" s="23">
        <f>IF(B94="","",IF(COUNTIF(Performance!$B$5:$B$404,B94)=0,"",SUMIFS(Performance!$T$5:$T$404,Performance!$B$5:$B$404,B94)))</f>
        <v>0</v>
      </c>
      <c r="AG94" s="23">
        <f>IF(B94="","",IF(COUNTIF(Performance!$B$5:$B$404,B94)=0,"",SUMIFS(Performance!$S$5:$S$404,Performance!$B$5:$B$404,B94)))</f>
        <v>0</v>
      </c>
      <c r="AH94" s="23">
        <f>IF(B94="","",IF(COUNTIF(Performance!$B$5:$B$404,B94)=0,"",SUMIFS(Performance!$R$5:$R$404,Performance!$B$5:$B$404,B94)))</f>
        <v>0</v>
      </c>
      <c r="AI94" s="23">
        <f>IF(B94="","",IF(COUNTIF(Performance!$B$5:$B$404,B94)=0,"",SUMIFS(Performance!$U$5:$U$404,Performance!$B$5:$B$404,B94)))</f>
        <v>0</v>
      </c>
      <c r="AJ94" s="29">
        <f>IF(B94="","",IF(C94="Not found","Check - content ID not on the calendar",IF(N94="","Add - no thumbnail",IF(AND(W94&lt;&gt;"",W94&lt;0.03),"Review - thumbnail click rate is low",IF(AND(V94&lt;&gt;"",V94&lt;0.3),"Review - viewers leave early","OK")))))</f>
        <v>0</v>
      </c>
    </row>
    <row r="95" spans="1:36">
      <c r="A95" s="41">
        <f>IF(B95="","","YT-"&amp;TEXT(ROW()-4,"000"))</f>
        <v>0</v>
      </c>
      <c r="C95" s="17">
        <f>IF(B95="","",IFERROR(INDEX('Content Calendar'!$H$5:$H$604,MATCH(B95,'Content Calendar'!$A$5:$A$604,0)),"Not found"))</f>
        <v>0</v>
      </c>
      <c r="D95" s="16">
        <f>IF(B95="","",IFERROR(INDEX('Content Calendar'!$B$5:$B$604,MATCH(B95,'Content Calendar'!$A$5:$A$604,0)),"Not found"))</f>
        <v>0</v>
      </c>
      <c r="E95" s="17">
        <f>IF(B95="","",IFERROR(INDEX('Content Calendar'!$J$5:$J$604,MATCH(B95,'Content Calendar'!$A$5:$A$604,0)),"Not found"))</f>
        <v>0</v>
      </c>
      <c r="F95" s="29">
        <f>IF(B95="","",IFERROR(INDEX('Content Calendar'!$X$5:$X$604,MATCH(B95,'Content Calendar'!$A$5:$A$604,0)),"Not found"))</f>
        <v>0</v>
      </c>
      <c r="I95" s="23">
        <f>IF(H95="","",LEN(H95))</f>
        <v>0</v>
      </c>
      <c r="Z95" s="23">
        <f>IF(X95="","",X95-N(Y95))</f>
        <v>0</v>
      </c>
      <c r="AB95" s="23">
        <f>IF(B95="","",IF(COUNTIF(Performance!$B$5:$B$404,B95)=0,"",SUMIFS(Performance!$O$5:$O$404,Performance!$B$5:$B$404,B95)))</f>
        <v>0</v>
      </c>
      <c r="AC95" s="23">
        <f>IF(B95="","",IF(COUNTIF(Performance!$B$5:$B$404,B95)=0,"",SUMIFS(Performance!$P$5:$P$404,Performance!$B$5:$B$404,B95)))</f>
        <v>0</v>
      </c>
      <c r="AD95" s="23">
        <f>IF(B95="","",IF(COUNTIF(Performance!$B$5:$B$404,B95)=0,"",SUMIFS(Performance!$Z$5:$Z$404,Performance!$B$5:$B$404,B95)))</f>
        <v>0</v>
      </c>
      <c r="AE95" s="24">
        <f>IF(OR(AB95="",AB95=0),"",AD95/AB95)</f>
        <v>0</v>
      </c>
      <c r="AF95" s="23">
        <f>IF(B95="","",IF(COUNTIF(Performance!$B$5:$B$404,B95)=0,"",SUMIFS(Performance!$T$5:$T$404,Performance!$B$5:$B$404,B95)))</f>
        <v>0</v>
      </c>
      <c r="AG95" s="23">
        <f>IF(B95="","",IF(COUNTIF(Performance!$B$5:$B$404,B95)=0,"",SUMIFS(Performance!$S$5:$S$404,Performance!$B$5:$B$404,B95)))</f>
        <v>0</v>
      </c>
      <c r="AH95" s="23">
        <f>IF(B95="","",IF(COUNTIF(Performance!$B$5:$B$404,B95)=0,"",SUMIFS(Performance!$R$5:$R$404,Performance!$B$5:$B$404,B95)))</f>
        <v>0</v>
      </c>
      <c r="AI95" s="23">
        <f>IF(B95="","",IF(COUNTIF(Performance!$B$5:$B$404,B95)=0,"",SUMIFS(Performance!$U$5:$U$404,Performance!$B$5:$B$404,B95)))</f>
        <v>0</v>
      </c>
      <c r="AJ95" s="29">
        <f>IF(B95="","",IF(C95="Not found","Check - content ID not on the calendar",IF(N95="","Add - no thumbnail",IF(AND(W95&lt;&gt;"",W95&lt;0.03),"Review - thumbnail click rate is low",IF(AND(V95&lt;&gt;"",V95&lt;0.3),"Review - viewers leave early","OK")))))</f>
        <v>0</v>
      </c>
    </row>
    <row r="96" spans="1:36">
      <c r="A96" s="41">
        <f>IF(B96="","","YT-"&amp;TEXT(ROW()-4,"000"))</f>
        <v>0</v>
      </c>
      <c r="C96" s="17">
        <f>IF(B96="","",IFERROR(INDEX('Content Calendar'!$H$5:$H$604,MATCH(B96,'Content Calendar'!$A$5:$A$604,0)),"Not found"))</f>
        <v>0</v>
      </c>
      <c r="D96" s="16">
        <f>IF(B96="","",IFERROR(INDEX('Content Calendar'!$B$5:$B$604,MATCH(B96,'Content Calendar'!$A$5:$A$604,0)),"Not found"))</f>
        <v>0</v>
      </c>
      <c r="E96" s="17">
        <f>IF(B96="","",IFERROR(INDEX('Content Calendar'!$J$5:$J$604,MATCH(B96,'Content Calendar'!$A$5:$A$604,0)),"Not found"))</f>
        <v>0</v>
      </c>
      <c r="F96" s="29">
        <f>IF(B96="","",IFERROR(INDEX('Content Calendar'!$X$5:$X$604,MATCH(B96,'Content Calendar'!$A$5:$A$604,0)),"Not found"))</f>
        <v>0</v>
      </c>
      <c r="I96" s="23">
        <f>IF(H96="","",LEN(H96))</f>
        <v>0</v>
      </c>
      <c r="Z96" s="23">
        <f>IF(X96="","",X96-N(Y96))</f>
        <v>0</v>
      </c>
      <c r="AB96" s="23">
        <f>IF(B96="","",IF(COUNTIF(Performance!$B$5:$B$404,B96)=0,"",SUMIFS(Performance!$O$5:$O$404,Performance!$B$5:$B$404,B96)))</f>
        <v>0</v>
      </c>
      <c r="AC96" s="23">
        <f>IF(B96="","",IF(COUNTIF(Performance!$B$5:$B$404,B96)=0,"",SUMIFS(Performance!$P$5:$P$404,Performance!$B$5:$B$404,B96)))</f>
        <v>0</v>
      </c>
      <c r="AD96" s="23">
        <f>IF(B96="","",IF(COUNTIF(Performance!$B$5:$B$404,B96)=0,"",SUMIFS(Performance!$Z$5:$Z$404,Performance!$B$5:$B$404,B96)))</f>
        <v>0</v>
      </c>
      <c r="AE96" s="24">
        <f>IF(OR(AB96="",AB96=0),"",AD96/AB96)</f>
        <v>0</v>
      </c>
      <c r="AF96" s="23">
        <f>IF(B96="","",IF(COUNTIF(Performance!$B$5:$B$404,B96)=0,"",SUMIFS(Performance!$T$5:$T$404,Performance!$B$5:$B$404,B96)))</f>
        <v>0</v>
      </c>
      <c r="AG96" s="23">
        <f>IF(B96="","",IF(COUNTIF(Performance!$B$5:$B$404,B96)=0,"",SUMIFS(Performance!$S$5:$S$404,Performance!$B$5:$B$404,B96)))</f>
        <v>0</v>
      </c>
      <c r="AH96" s="23">
        <f>IF(B96="","",IF(COUNTIF(Performance!$B$5:$B$404,B96)=0,"",SUMIFS(Performance!$R$5:$R$404,Performance!$B$5:$B$404,B96)))</f>
        <v>0</v>
      </c>
      <c r="AI96" s="23">
        <f>IF(B96="","",IF(COUNTIF(Performance!$B$5:$B$404,B96)=0,"",SUMIFS(Performance!$U$5:$U$404,Performance!$B$5:$B$404,B96)))</f>
        <v>0</v>
      </c>
      <c r="AJ96" s="29">
        <f>IF(B96="","",IF(C96="Not found","Check - content ID not on the calendar",IF(N96="","Add - no thumbnail",IF(AND(W96&lt;&gt;"",W96&lt;0.03),"Review - thumbnail click rate is low",IF(AND(V96&lt;&gt;"",V96&lt;0.3),"Review - viewers leave early","OK")))))</f>
        <v>0</v>
      </c>
    </row>
    <row r="97" spans="1:36">
      <c r="A97" s="41">
        <f>IF(B97="","","YT-"&amp;TEXT(ROW()-4,"000"))</f>
        <v>0</v>
      </c>
      <c r="C97" s="17">
        <f>IF(B97="","",IFERROR(INDEX('Content Calendar'!$H$5:$H$604,MATCH(B97,'Content Calendar'!$A$5:$A$604,0)),"Not found"))</f>
        <v>0</v>
      </c>
      <c r="D97" s="16">
        <f>IF(B97="","",IFERROR(INDEX('Content Calendar'!$B$5:$B$604,MATCH(B97,'Content Calendar'!$A$5:$A$604,0)),"Not found"))</f>
        <v>0</v>
      </c>
      <c r="E97" s="17">
        <f>IF(B97="","",IFERROR(INDEX('Content Calendar'!$J$5:$J$604,MATCH(B97,'Content Calendar'!$A$5:$A$604,0)),"Not found"))</f>
        <v>0</v>
      </c>
      <c r="F97" s="29">
        <f>IF(B97="","",IFERROR(INDEX('Content Calendar'!$X$5:$X$604,MATCH(B97,'Content Calendar'!$A$5:$A$604,0)),"Not found"))</f>
        <v>0</v>
      </c>
      <c r="I97" s="23">
        <f>IF(H97="","",LEN(H97))</f>
        <v>0</v>
      </c>
      <c r="Z97" s="23">
        <f>IF(X97="","",X97-N(Y97))</f>
        <v>0</v>
      </c>
      <c r="AB97" s="23">
        <f>IF(B97="","",IF(COUNTIF(Performance!$B$5:$B$404,B97)=0,"",SUMIFS(Performance!$O$5:$O$404,Performance!$B$5:$B$404,B97)))</f>
        <v>0</v>
      </c>
      <c r="AC97" s="23">
        <f>IF(B97="","",IF(COUNTIF(Performance!$B$5:$B$404,B97)=0,"",SUMIFS(Performance!$P$5:$P$404,Performance!$B$5:$B$404,B97)))</f>
        <v>0</v>
      </c>
      <c r="AD97" s="23">
        <f>IF(B97="","",IF(COUNTIF(Performance!$B$5:$B$404,B97)=0,"",SUMIFS(Performance!$Z$5:$Z$404,Performance!$B$5:$B$404,B97)))</f>
        <v>0</v>
      </c>
      <c r="AE97" s="24">
        <f>IF(OR(AB97="",AB97=0),"",AD97/AB97)</f>
        <v>0</v>
      </c>
      <c r="AF97" s="23">
        <f>IF(B97="","",IF(COUNTIF(Performance!$B$5:$B$404,B97)=0,"",SUMIFS(Performance!$T$5:$T$404,Performance!$B$5:$B$404,B97)))</f>
        <v>0</v>
      </c>
      <c r="AG97" s="23">
        <f>IF(B97="","",IF(COUNTIF(Performance!$B$5:$B$404,B97)=0,"",SUMIFS(Performance!$S$5:$S$404,Performance!$B$5:$B$404,B97)))</f>
        <v>0</v>
      </c>
      <c r="AH97" s="23">
        <f>IF(B97="","",IF(COUNTIF(Performance!$B$5:$B$404,B97)=0,"",SUMIFS(Performance!$R$5:$R$404,Performance!$B$5:$B$404,B97)))</f>
        <v>0</v>
      </c>
      <c r="AI97" s="23">
        <f>IF(B97="","",IF(COUNTIF(Performance!$B$5:$B$404,B97)=0,"",SUMIFS(Performance!$U$5:$U$404,Performance!$B$5:$B$404,B97)))</f>
        <v>0</v>
      </c>
      <c r="AJ97" s="29">
        <f>IF(B97="","",IF(C97="Not found","Check - content ID not on the calendar",IF(N97="","Add - no thumbnail",IF(AND(W97&lt;&gt;"",W97&lt;0.03),"Review - thumbnail click rate is low",IF(AND(V97&lt;&gt;"",V97&lt;0.3),"Review - viewers leave early","OK")))))</f>
        <v>0</v>
      </c>
    </row>
    <row r="98" spans="1:36">
      <c r="A98" s="41">
        <f>IF(B98="","","YT-"&amp;TEXT(ROW()-4,"000"))</f>
        <v>0</v>
      </c>
      <c r="C98" s="17">
        <f>IF(B98="","",IFERROR(INDEX('Content Calendar'!$H$5:$H$604,MATCH(B98,'Content Calendar'!$A$5:$A$604,0)),"Not found"))</f>
        <v>0</v>
      </c>
      <c r="D98" s="16">
        <f>IF(B98="","",IFERROR(INDEX('Content Calendar'!$B$5:$B$604,MATCH(B98,'Content Calendar'!$A$5:$A$604,0)),"Not found"))</f>
        <v>0</v>
      </c>
      <c r="E98" s="17">
        <f>IF(B98="","",IFERROR(INDEX('Content Calendar'!$J$5:$J$604,MATCH(B98,'Content Calendar'!$A$5:$A$604,0)),"Not found"))</f>
        <v>0</v>
      </c>
      <c r="F98" s="29">
        <f>IF(B98="","",IFERROR(INDEX('Content Calendar'!$X$5:$X$604,MATCH(B98,'Content Calendar'!$A$5:$A$604,0)),"Not found"))</f>
        <v>0</v>
      </c>
      <c r="I98" s="23">
        <f>IF(H98="","",LEN(H98))</f>
        <v>0</v>
      </c>
      <c r="Z98" s="23">
        <f>IF(X98="","",X98-N(Y98))</f>
        <v>0</v>
      </c>
      <c r="AB98" s="23">
        <f>IF(B98="","",IF(COUNTIF(Performance!$B$5:$B$404,B98)=0,"",SUMIFS(Performance!$O$5:$O$404,Performance!$B$5:$B$404,B98)))</f>
        <v>0</v>
      </c>
      <c r="AC98" s="23">
        <f>IF(B98="","",IF(COUNTIF(Performance!$B$5:$B$404,B98)=0,"",SUMIFS(Performance!$P$5:$P$404,Performance!$B$5:$B$404,B98)))</f>
        <v>0</v>
      </c>
      <c r="AD98" s="23">
        <f>IF(B98="","",IF(COUNTIF(Performance!$B$5:$B$404,B98)=0,"",SUMIFS(Performance!$Z$5:$Z$404,Performance!$B$5:$B$404,B98)))</f>
        <v>0</v>
      </c>
      <c r="AE98" s="24">
        <f>IF(OR(AB98="",AB98=0),"",AD98/AB98)</f>
        <v>0</v>
      </c>
      <c r="AF98" s="23">
        <f>IF(B98="","",IF(COUNTIF(Performance!$B$5:$B$404,B98)=0,"",SUMIFS(Performance!$T$5:$T$404,Performance!$B$5:$B$404,B98)))</f>
        <v>0</v>
      </c>
      <c r="AG98" s="23">
        <f>IF(B98="","",IF(COUNTIF(Performance!$B$5:$B$404,B98)=0,"",SUMIFS(Performance!$S$5:$S$404,Performance!$B$5:$B$404,B98)))</f>
        <v>0</v>
      </c>
      <c r="AH98" s="23">
        <f>IF(B98="","",IF(COUNTIF(Performance!$B$5:$B$404,B98)=0,"",SUMIFS(Performance!$R$5:$R$404,Performance!$B$5:$B$404,B98)))</f>
        <v>0</v>
      </c>
      <c r="AI98" s="23">
        <f>IF(B98="","",IF(COUNTIF(Performance!$B$5:$B$404,B98)=0,"",SUMIFS(Performance!$U$5:$U$404,Performance!$B$5:$B$404,B98)))</f>
        <v>0</v>
      </c>
      <c r="AJ98" s="29">
        <f>IF(B98="","",IF(C98="Not found","Check - content ID not on the calendar",IF(N98="","Add - no thumbnail",IF(AND(W98&lt;&gt;"",W98&lt;0.03),"Review - thumbnail click rate is low",IF(AND(V98&lt;&gt;"",V98&lt;0.3),"Review - viewers leave early","OK")))))</f>
        <v>0</v>
      </c>
    </row>
    <row r="99" spans="1:36">
      <c r="A99" s="41">
        <f>IF(B99="","","YT-"&amp;TEXT(ROW()-4,"000"))</f>
        <v>0</v>
      </c>
      <c r="C99" s="17">
        <f>IF(B99="","",IFERROR(INDEX('Content Calendar'!$H$5:$H$604,MATCH(B99,'Content Calendar'!$A$5:$A$604,0)),"Not found"))</f>
        <v>0</v>
      </c>
      <c r="D99" s="16">
        <f>IF(B99="","",IFERROR(INDEX('Content Calendar'!$B$5:$B$604,MATCH(B99,'Content Calendar'!$A$5:$A$604,0)),"Not found"))</f>
        <v>0</v>
      </c>
      <c r="E99" s="17">
        <f>IF(B99="","",IFERROR(INDEX('Content Calendar'!$J$5:$J$604,MATCH(B99,'Content Calendar'!$A$5:$A$604,0)),"Not found"))</f>
        <v>0</v>
      </c>
      <c r="F99" s="29">
        <f>IF(B99="","",IFERROR(INDEX('Content Calendar'!$X$5:$X$604,MATCH(B99,'Content Calendar'!$A$5:$A$604,0)),"Not found"))</f>
        <v>0</v>
      </c>
      <c r="I99" s="23">
        <f>IF(H99="","",LEN(H99))</f>
        <v>0</v>
      </c>
      <c r="Z99" s="23">
        <f>IF(X99="","",X99-N(Y99))</f>
        <v>0</v>
      </c>
      <c r="AB99" s="23">
        <f>IF(B99="","",IF(COUNTIF(Performance!$B$5:$B$404,B99)=0,"",SUMIFS(Performance!$O$5:$O$404,Performance!$B$5:$B$404,B99)))</f>
        <v>0</v>
      </c>
      <c r="AC99" s="23">
        <f>IF(B99="","",IF(COUNTIF(Performance!$B$5:$B$404,B99)=0,"",SUMIFS(Performance!$P$5:$P$404,Performance!$B$5:$B$404,B99)))</f>
        <v>0</v>
      </c>
      <c r="AD99" s="23">
        <f>IF(B99="","",IF(COUNTIF(Performance!$B$5:$B$404,B99)=0,"",SUMIFS(Performance!$Z$5:$Z$404,Performance!$B$5:$B$404,B99)))</f>
        <v>0</v>
      </c>
      <c r="AE99" s="24">
        <f>IF(OR(AB99="",AB99=0),"",AD99/AB99)</f>
        <v>0</v>
      </c>
      <c r="AF99" s="23">
        <f>IF(B99="","",IF(COUNTIF(Performance!$B$5:$B$404,B99)=0,"",SUMIFS(Performance!$T$5:$T$404,Performance!$B$5:$B$404,B99)))</f>
        <v>0</v>
      </c>
      <c r="AG99" s="23">
        <f>IF(B99="","",IF(COUNTIF(Performance!$B$5:$B$404,B99)=0,"",SUMIFS(Performance!$S$5:$S$404,Performance!$B$5:$B$404,B99)))</f>
        <v>0</v>
      </c>
      <c r="AH99" s="23">
        <f>IF(B99="","",IF(COUNTIF(Performance!$B$5:$B$404,B99)=0,"",SUMIFS(Performance!$R$5:$R$404,Performance!$B$5:$B$404,B99)))</f>
        <v>0</v>
      </c>
      <c r="AI99" s="23">
        <f>IF(B99="","",IF(COUNTIF(Performance!$B$5:$B$404,B99)=0,"",SUMIFS(Performance!$U$5:$U$404,Performance!$B$5:$B$404,B99)))</f>
        <v>0</v>
      </c>
      <c r="AJ99" s="29">
        <f>IF(B99="","",IF(C99="Not found","Check - content ID not on the calendar",IF(N99="","Add - no thumbnail",IF(AND(W99&lt;&gt;"",W99&lt;0.03),"Review - thumbnail click rate is low",IF(AND(V99&lt;&gt;"",V99&lt;0.3),"Review - viewers leave early","OK")))))</f>
        <v>0</v>
      </c>
    </row>
    <row r="100" spans="1:36">
      <c r="A100" s="41">
        <f>IF(B100="","","YT-"&amp;TEXT(ROW()-4,"000"))</f>
        <v>0</v>
      </c>
      <c r="C100" s="17">
        <f>IF(B100="","",IFERROR(INDEX('Content Calendar'!$H$5:$H$604,MATCH(B100,'Content Calendar'!$A$5:$A$604,0)),"Not found"))</f>
        <v>0</v>
      </c>
      <c r="D100" s="16">
        <f>IF(B100="","",IFERROR(INDEX('Content Calendar'!$B$5:$B$604,MATCH(B100,'Content Calendar'!$A$5:$A$604,0)),"Not found"))</f>
        <v>0</v>
      </c>
      <c r="E100" s="17">
        <f>IF(B100="","",IFERROR(INDEX('Content Calendar'!$J$5:$J$604,MATCH(B100,'Content Calendar'!$A$5:$A$604,0)),"Not found"))</f>
        <v>0</v>
      </c>
      <c r="F100" s="29">
        <f>IF(B100="","",IFERROR(INDEX('Content Calendar'!$X$5:$X$604,MATCH(B100,'Content Calendar'!$A$5:$A$604,0)),"Not found"))</f>
        <v>0</v>
      </c>
      <c r="I100" s="23">
        <f>IF(H100="","",LEN(H100))</f>
        <v>0</v>
      </c>
      <c r="Z100" s="23">
        <f>IF(X100="","",X100-N(Y100))</f>
        <v>0</v>
      </c>
      <c r="AB100" s="23">
        <f>IF(B100="","",IF(COUNTIF(Performance!$B$5:$B$404,B100)=0,"",SUMIFS(Performance!$O$5:$O$404,Performance!$B$5:$B$404,B100)))</f>
        <v>0</v>
      </c>
      <c r="AC100" s="23">
        <f>IF(B100="","",IF(COUNTIF(Performance!$B$5:$B$404,B100)=0,"",SUMIFS(Performance!$P$5:$P$404,Performance!$B$5:$B$404,B100)))</f>
        <v>0</v>
      </c>
      <c r="AD100" s="23">
        <f>IF(B100="","",IF(COUNTIF(Performance!$B$5:$B$404,B100)=0,"",SUMIFS(Performance!$Z$5:$Z$404,Performance!$B$5:$B$404,B100)))</f>
        <v>0</v>
      </c>
      <c r="AE100" s="24">
        <f>IF(OR(AB100="",AB100=0),"",AD100/AB100)</f>
        <v>0</v>
      </c>
      <c r="AF100" s="23">
        <f>IF(B100="","",IF(COUNTIF(Performance!$B$5:$B$404,B100)=0,"",SUMIFS(Performance!$T$5:$T$404,Performance!$B$5:$B$404,B100)))</f>
        <v>0</v>
      </c>
      <c r="AG100" s="23">
        <f>IF(B100="","",IF(COUNTIF(Performance!$B$5:$B$404,B100)=0,"",SUMIFS(Performance!$S$5:$S$404,Performance!$B$5:$B$404,B100)))</f>
        <v>0</v>
      </c>
      <c r="AH100" s="23">
        <f>IF(B100="","",IF(COUNTIF(Performance!$B$5:$B$404,B100)=0,"",SUMIFS(Performance!$R$5:$R$404,Performance!$B$5:$B$404,B100)))</f>
        <v>0</v>
      </c>
      <c r="AI100" s="23">
        <f>IF(B100="","",IF(COUNTIF(Performance!$B$5:$B$404,B100)=0,"",SUMIFS(Performance!$U$5:$U$404,Performance!$B$5:$B$404,B100)))</f>
        <v>0</v>
      </c>
      <c r="AJ100" s="29">
        <f>IF(B100="","",IF(C100="Not found","Check - content ID not on the calendar",IF(N100="","Add - no thumbnail",IF(AND(W100&lt;&gt;"",W100&lt;0.03),"Review - thumbnail click rate is low",IF(AND(V100&lt;&gt;"",V100&lt;0.3),"Review - viewers leave early","OK")))))</f>
        <v>0</v>
      </c>
    </row>
    <row r="101" spans="1:36">
      <c r="A101" s="41">
        <f>IF(B101="","","YT-"&amp;TEXT(ROW()-4,"000"))</f>
        <v>0</v>
      </c>
      <c r="C101" s="17">
        <f>IF(B101="","",IFERROR(INDEX('Content Calendar'!$H$5:$H$604,MATCH(B101,'Content Calendar'!$A$5:$A$604,0)),"Not found"))</f>
        <v>0</v>
      </c>
      <c r="D101" s="16">
        <f>IF(B101="","",IFERROR(INDEX('Content Calendar'!$B$5:$B$604,MATCH(B101,'Content Calendar'!$A$5:$A$604,0)),"Not found"))</f>
        <v>0</v>
      </c>
      <c r="E101" s="17">
        <f>IF(B101="","",IFERROR(INDEX('Content Calendar'!$J$5:$J$604,MATCH(B101,'Content Calendar'!$A$5:$A$604,0)),"Not found"))</f>
        <v>0</v>
      </c>
      <c r="F101" s="29">
        <f>IF(B101="","",IFERROR(INDEX('Content Calendar'!$X$5:$X$604,MATCH(B101,'Content Calendar'!$A$5:$A$604,0)),"Not found"))</f>
        <v>0</v>
      </c>
      <c r="I101" s="23">
        <f>IF(H101="","",LEN(H101))</f>
        <v>0</v>
      </c>
      <c r="Z101" s="23">
        <f>IF(X101="","",X101-N(Y101))</f>
        <v>0</v>
      </c>
      <c r="AB101" s="23">
        <f>IF(B101="","",IF(COUNTIF(Performance!$B$5:$B$404,B101)=0,"",SUMIFS(Performance!$O$5:$O$404,Performance!$B$5:$B$404,B101)))</f>
        <v>0</v>
      </c>
      <c r="AC101" s="23">
        <f>IF(B101="","",IF(COUNTIF(Performance!$B$5:$B$404,B101)=0,"",SUMIFS(Performance!$P$5:$P$404,Performance!$B$5:$B$404,B101)))</f>
        <v>0</v>
      </c>
      <c r="AD101" s="23">
        <f>IF(B101="","",IF(COUNTIF(Performance!$B$5:$B$404,B101)=0,"",SUMIFS(Performance!$Z$5:$Z$404,Performance!$B$5:$B$404,B101)))</f>
        <v>0</v>
      </c>
      <c r="AE101" s="24">
        <f>IF(OR(AB101="",AB101=0),"",AD101/AB101)</f>
        <v>0</v>
      </c>
      <c r="AF101" s="23">
        <f>IF(B101="","",IF(COUNTIF(Performance!$B$5:$B$404,B101)=0,"",SUMIFS(Performance!$T$5:$T$404,Performance!$B$5:$B$404,B101)))</f>
        <v>0</v>
      </c>
      <c r="AG101" s="23">
        <f>IF(B101="","",IF(COUNTIF(Performance!$B$5:$B$404,B101)=0,"",SUMIFS(Performance!$S$5:$S$404,Performance!$B$5:$B$404,B101)))</f>
        <v>0</v>
      </c>
      <c r="AH101" s="23">
        <f>IF(B101="","",IF(COUNTIF(Performance!$B$5:$B$404,B101)=0,"",SUMIFS(Performance!$R$5:$R$404,Performance!$B$5:$B$404,B101)))</f>
        <v>0</v>
      </c>
      <c r="AI101" s="23">
        <f>IF(B101="","",IF(COUNTIF(Performance!$B$5:$B$404,B101)=0,"",SUMIFS(Performance!$U$5:$U$404,Performance!$B$5:$B$404,B101)))</f>
        <v>0</v>
      </c>
      <c r="AJ101" s="29">
        <f>IF(B101="","",IF(C101="Not found","Check - content ID not on the calendar",IF(N101="","Add - no thumbnail",IF(AND(W101&lt;&gt;"",W101&lt;0.03),"Review - thumbnail click rate is low",IF(AND(V101&lt;&gt;"",V101&lt;0.3),"Review - viewers leave early","OK")))))</f>
        <v>0</v>
      </c>
    </row>
    <row r="102" spans="1:36">
      <c r="A102" s="41">
        <f>IF(B102="","","YT-"&amp;TEXT(ROW()-4,"000"))</f>
        <v>0</v>
      </c>
      <c r="C102" s="17">
        <f>IF(B102="","",IFERROR(INDEX('Content Calendar'!$H$5:$H$604,MATCH(B102,'Content Calendar'!$A$5:$A$604,0)),"Not found"))</f>
        <v>0</v>
      </c>
      <c r="D102" s="16">
        <f>IF(B102="","",IFERROR(INDEX('Content Calendar'!$B$5:$B$604,MATCH(B102,'Content Calendar'!$A$5:$A$604,0)),"Not found"))</f>
        <v>0</v>
      </c>
      <c r="E102" s="17">
        <f>IF(B102="","",IFERROR(INDEX('Content Calendar'!$J$5:$J$604,MATCH(B102,'Content Calendar'!$A$5:$A$604,0)),"Not found"))</f>
        <v>0</v>
      </c>
      <c r="F102" s="29">
        <f>IF(B102="","",IFERROR(INDEX('Content Calendar'!$X$5:$X$604,MATCH(B102,'Content Calendar'!$A$5:$A$604,0)),"Not found"))</f>
        <v>0</v>
      </c>
      <c r="I102" s="23">
        <f>IF(H102="","",LEN(H102))</f>
        <v>0</v>
      </c>
      <c r="Z102" s="23">
        <f>IF(X102="","",X102-N(Y102))</f>
        <v>0</v>
      </c>
      <c r="AB102" s="23">
        <f>IF(B102="","",IF(COUNTIF(Performance!$B$5:$B$404,B102)=0,"",SUMIFS(Performance!$O$5:$O$404,Performance!$B$5:$B$404,B102)))</f>
        <v>0</v>
      </c>
      <c r="AC102" s="23">
        <f>IF(B102="","",IF(COUNTIF(Performance!$B$5:$B$404,B102)=0,"",SUMIFS(Performance!$P$5:$P$404,Performance!$B$5:$B$404,B102)))</f>
        <v>0</v>
      </c>
      <c r="AD102" s="23">
        <f>IF(B102="","",IF(COUNTIF(Performance!$B$5:$B$404,B102)=0,"",SUMIFS(Performance!$Z$5:$Z$404,Performance!$B$5:$B$404,B102)))</f>
        <v>0</v>
      </c>
      <c r="AE102" s="24">
        <f>IF(OR(AB102="",AB102=0),"",AD102/AB102)</f>
        <v>0</v>
      </c>
      <c r="AF102" s="23">
        <f>IF(B102="","",IF(COUNTIF(Performance!$B$5:$B$404,B102)=0,"",SUMIFS(Performance!$T$5:$T$404,Performance!$B$5:$B$404,B102)))</f>
        <v>0</v>
      </c>
      <c r="AG102" s="23">
        <f>IF(B102="","",IF(COUNTIF(Performance!$B$5:$B$404,B102)=0,"",SUMIFS(Performance!$S$5:$S$404,Performance!$B$5:$B$404,B102)))</f>
        <v>0</v>
      </c>
      <c r="AH102" s="23">
        <f>IF(B102="","",IF(COUNTIF(Performance!$B$5:$B$404,B102)=0,"",SUMIFS(Performance!$R$5:$R$404,Performance!$B$5:$B$404,B102)))</f>
        <v>0</v>
      </c>
      <c r="AI102" s="23">
        <f>IF(B102="","",IF(COUNTIF(Performance!$B$5:$B$404,B102)=0,"",SUMIFS(Performance!$U$5:$U$404,Performance!$B$5:$B$404,B102)))</f>
        <v>0</v>
      </c>
      <c r="AJ102" s="29">
        <f>IF(B102="","",IF(C102="Not found","Check - content ID not on the calendar",IF(N102="","Add - no thumbnail",IF(AND(W102&lt;&gt;"",W102&lt;0.03),"Review - thumbnail click rate is low",IF(AND(V102&lt;&gt;"",V102&lt;0.3),"Review - viewers leave early","OK")))))</f>
        <v>0</v>
      </c>
    </row>
    <row r="103" spans="1:36">
      <c r="A103" s="41">
        <f>IF(B103="","","YT-"&amp;TEXT(ROW()-4,"000"))</f>
        <v>0</v>
      </c>
      <c r="C103" s="17">
        <f>IF(B103="","",IFERROR(INDEX('Content Calendar'!$H$5:$H$604,MATCH(B103,'Content Calendar'!$A$5:$A$604,0)),"Not found"))</f>
        <v>0</v>
      </c>
      <c r="D103" s="16">
        <f>IF(B103="","",IFERROR(INDEX('Content Calendar'!$B$5:$B$604,MATCH(B103,'Content Calendar'!$A$5:$A$604,0)),"Not found"))</f>
        <v>0</v>
      </c>
      <c r="E103" s="17">
        <f>IF(B103="","",IFERROR(INDEX('Content Calendar'!$J$5:$J$604,MATCH(B103,'Content Calendar'!$A$5:$A$604,0)),"Not found"))</f>
        <v>0</v>
      </c>
      <c r="F103" s="29">
        <f>IF(B103="","",IFERROR(INDEX('Content Calendar'!$X$5:$X$604,MATCH(B103,'Content Calendar'!$A$5:$A$604,0)),"Not found"))</f>
        <v>0</v>
      </c>
      <c r="I103" s="23">
        <f>IF(H103="","",LEN(H103))</f>
        <v>0</v>
      </c>
      <c r="Z103" s="23">
        <f>IF(X103="","",X103-N(Y103))</f>
        <v>0</v>
      </c>
      <c r="AB103" s="23">
        <f>IF(B103="","",IF(COUNTIF(Performance!$B$5:$B$404,B103)=0,"",SUMIFS(Performance!$O$5:$O$404,Performance!$B$5:$B$404,B103)))</f>
        <v>0</v>
      </c>
      <c r="AC103" s="23">
        <f>IF(B103="","",IF(COUNTIF(Performance!$B$5:$B$404,B103)=0,"",SUMIFS(Performance!$P$5:$P$404,Performance!$B$5:$B$404,B103)))</f>
        <v>0</v>
      </c>
      <c r="AD103" s="23">
        <f>IF(B103="","",IF(COUNTIF(Performance!$B$5:$B$404,B103)=0,"",SUMIFS(Performance!$Z$5:$Z$404,Performance!$B$5:$B$404,B103)))</f>
        <v>0</v>
      </c>
      <c r="AE103" s="24">
        <f>IF(OR(AB103="",AB103=0),"",AD103/AB103)</f>
        <v>0</v>
      </c>
      <c r="AF103" s="23">
        <f>IF(B103="","",IF(COUNTIF(Performance!$B$5:$B$404,B103)=0,"",SUMIFS(Performance!$T$5:$T$404,Performance!$B$5:$B$404,B103)))</f>
        <v>0</v>
      </c>
      <c r="AG103" s="23">
        <f>IF(B103="","",IF(COUNTIF(Performance!$B$5:$B$404,B103)=0,"",SUMIFS(Performance!$S$5:$S$404,Performance!$B$5:$B$404,B103)))</f>
        <v>0</v>
      </c>
      <c r="AH103" s="23">
        <f>IF(B103="","",IF(COUNTIF(Performance!$B$5:$B$404,B103)=0,"",SUMIFS(Performance!$R$5:$R$404,Performance!$B$5:$B$404,B103)))</f>
        <v>0</v>
      </c>
      <c r="AI103" s="23">
        <f>IF(B103="","",IF(COUNTIF(Performance!$B$5:$B$404,B103)=0,"",SUMIFS(Performance!$U$5:$U$404,Performance!$B$5:$B$404,B103)))</f>
        <v>0</v>
      </c>
      <c r="AJ103" s="29">
        <f>IF(B103="","",IF(C103="Not found","Check - content ID not on the calendar",IF(N103="","Add - no thumbnail",IF(AND(W103&lt;&gt;"",W103&lt;0.03),"Review - thumbnail click rate is low",IF(AND(V103&lt;&gt;"",V103&lt;0.3),"Review - viewers leave early","OK")))))</f>
        <v>0</v>
      </c>
    </row>
    <row r="104" spans="1:36">
      <c r="A104" s="41">
        <f>IF(B104="","","YT-"&amp;TEXT(ROW()-4,"000"))</f>
        <v>0</v>
      </c>
      <c r="C104" s="17">
        <f>IF(B104="","",IFERROR(INDEX('Content Calendar'!$H$5:$H$604,MATCH(B104,'Content Calendar'!$A$5:$A$604,0)),"Not found"))</f>
        <v>0</v>
      </c>
      <c r="D104" s="16">
        <f>IF(B104="","",IFERROR(INDEX('Content Calendar'!$B$5:$B$604,MATCH(B104,'Content Calendar'!$A$5:$A$604,0)),"Not found"))</f>
        <v>0</v>
      </c>
      <c r="E104" s="17">
        <f>IF(B104="","",IFERROR(INDEX('Content Calendar'!$J$5:$J$604,MATCH(B104,'Content Calendar'!$A$5:$A$604,0)),"Not found"))</f>
        <v>0</v>
      </c>
      <c r="F104" s="29">
        <f>IF(B104="","",IFERROR(INDEX('Content Calendar'!$X$5:$X$604,MATCH(B104,'Content Calendar'!$A$5:$A$604,0)),"Not found"))</f>
        <v>0</v>
      </c>
      <c r="I104" s="23">
        <f>IF(H104="","",LEN(H104))</f>
        <v>0</v>
      </c>
      <c r="Z104" s="23">
        <f>IF(X104="","",X104-N(Y104))</f>
        <v>0</v>
      </c>
      <c r="AB104" s="23">
        <f>IF(B104="","",IF(COUNTIF(Performance!$B$5:$B$404,B104)=0,"",SUMIFS(Performance!$O$5:$O$404,Performance!$B$5:$B$404,B104)))</f>
        <v>0</v>
      </c>
      <c r="AC104" s="23">
        <f>IF(B104="","",IF(COUNTIF(Performance!$B$5:$B$404,B104)=0,"",SUMIFS(Performance!$P$5:$P$404,Performance!$B$5:$B$404,B104)))</f>
        <v>0</v>
      </c>
      <c r="AD104" s="23">
        <f>IF(B104="","",IF(COUNTIF(Performance!$B$5:$B$404,B104)=0,"",SUMIFS(Performance!$Z$5:$Z$404,Performance!$B$5:$B$404,B104)))</f>
        <v>0</v>
      </c>
      <c r="AE104" s="24">
        <f>IF(OR(AB104="",AB104=0),"",AD104/AB104)</f>
        <v>0</v>
      </c>
      <c r="AF104" s="23">
        <f>IF(B104="","",IF(COUNTIF(Performance!$B$5:$B$404,B104)=0,"",SUMIFS(Performance!$T$5:$T$404,Performance!$B$5:$B$404,B104)))</f>
        <v>0</v>
      </c>
      <c r="AG104" s="23">
        <f>IF(B104="","",IF(COUNTIF(Performance!$B$5:$B$404,B104)=0,"",SUMIFS(Performance!$S$5:$S$404,Performance!$B$5:$B$404,B104)))</f>
        <v>0</v>
      </c>
      <c r="AH104" s="23">
        <f>IF(B104="","",IF(COUNTIF(Performance!$B$5:$B$404,B104)=0,"",SUMIFS(Performance!$R$5:$R$404,Performance!$B$5:$B$404,B104)))</f>
        <v>0</v>
      </c>
      <c r="AI104" s="23">
        <f>IF(B104="","",IF(COUNTIF(Performance!$B$5:$B$404,B104)=0,"",SUMIFS(Performance!$U$5:$U$404,Performance!$B$5:$B$404,B104)))</f>
        <v>0</v>
      </c>
      <c r="AJ104" s="29">
        <f>IF(B104="","",IF(C104="Not found","Check - content ID not on the calendar",IF(N104="","Add - no thumbnail",IF(AND(W104&lt;&gt;"",W104&lt;0.03),"Review - thumbnail click rate is low",IF(AND(V104&lt;&gt;"",V104&lt;0.3),"Review - viewers leave early","OK")))))</f>
        <v>0</v>
      </c>
    </row>
    <row r="105" spans="1:36">
      <c r="A105" s="41">
        <f>IF(B105="","","YT-"&amp;TEXT(ROW()-4,"000"))</f>
        <v>0</v>
      </c>
      <c r="C105" s="17">
        <f>IF(B105="","",IFERROR(INDEX('Content Calendar'!$H$5:$H$604,MATCH(B105,'Content Calendar'!$A$5:$A$604,0)),"Not found"))</f>
        <v>0</v>
      </c>
      <c r="D105" s="16">
        <f>IF(B105="","",IFERROR(INDEX('Content Calendar'!$B$5:$B$604,MATCH(B105,'Content Calendar'!$A$5:$A$604,0)),"Not found"))</f>
        <v>0</v>
      </c>
      <c r="E105" s="17">
        <f>IF(B105="","",IFERROR(INDEX('Content Calendar'!$J$5:$J$604,MATCH(B105,'Content Calendar'!$A$5:$A$604,0)),"Not found"))</f>
        <v>0</v>
      </c>
      <c r="F105" s="29">
        <f>IF(B105="","",IFERROR(INDEX('Content Calendar'!$X$5:$X$604,MATCH(B105,'Content Calendar'!$A$5:$A$604,0)),"Not found"))</f>
        <v>0</v>
      </c>
      <c r="I105" s="23">
        <f>IF(H105="","",LEN(H105))</f>
        <v>0</v>
      </c>
      <c r="Z105" s="23">
        <f>IF(X105="","",X105-N(Y105))</f>
        <v>0</v>
      </c>
      <c r="AB105" s="23">
        <f>IF(B105="","",IF(COUNTIF(Performance!$B$5:$B$404,B105)=0,"",SUMIFS(Performance!$O$5:$O$404,Performance!$B$5:$B$404,B105)))</f>
        <v>0</v>
      </c>
      <c r="AC105" s="23">
        <f>IF(B105="","",IF(COUNTIF(Performance!$B$5:$B$404,B105)=0,"",SUMIFS(Performance!$P$5:$P$404,Performance!$B$5:$B$404,B105)))</f>
        <v>0</v>
      </c>
      <c r="AD105" s="23">
        <f>IF(B105="","",IF(COUNTIF(Performance!$B$5:$B$404,B105)=0,"",SUMIFS(Performance!$Z$5:$Z$404,Performance!$B$5:$B$404,B105)))</f>
        <v>0</v>
      </c>
      <c r="AE105" s="24">
        <f>IF(OR(AB105="",AB105=0),"",AD105/AB105)</f>
        <v>0</v>
      </c>
      <c r="AF105" s="23">
        <f>IF(B105="","",IF(COUNTIF(Performance!$B$5:$B$404,B105)=0,"",SUMIFS(Performance!$T$5:$T$404,Performance!$B$5:$B$404,B105)))</f>
        <v>0</v>
      </c>
      <c r="AG105" s="23">
        <f>IF(B105="","",IF(COUNTIF(Performance!$B$5:$B$404,B105)=0,"",SUMIFS(Performance!$S$5:$S$404,Performance!$B$5:$B$404,B105)))</f>
        <v>0</v>
      </c>
      <c r="AH105" s="23">
        <f>IF(B105="","",IF(COUNTIF(Performance!$B$5:$B$404,B105)=0,"",SUMIFS(Performance!$R$5:$R$404,Performance!$B$5:$B$404,B105)))</f>
        <v>0</v>
      </c>
      <c r="AI105" s="23">
        <f>IF(B105="","",IF(COUNTIF(Performance!$B$5:$B$404,B105)=0,"",SUMIFS(Performance!$U$5:$U$404,Performance!$B$5:$B$404,B105)))</f>
        <v>0</v>
      </c>
      <c r="AJ105" s="29">
        <f>IF(B105="","",IF(C105="Not found","Check - content ID not on the calendar",IF(N105="","Add - no thumbnail",IF(AND(W105&lt;&gt;"",W105&lt;0.03),"Review - thumbnail click rate is low",IF(AND(V105&lt;&gt;"",V105&lt;0.3),"Review - viewers leave early","OK")))))</f>
        <v>0</v>
      </c>
    </row>
    <row r="106" spans="1:36">
      <c r="A106" s="41">
        <f>IF(B106="","","YT-"&amp;TEXT(ROW()-4,"000"))</f>
        <v>0</v>
      </c>
      <c r="C106" s="17">
        <f>IF(B106="","",IFERROR(INDEX('Content Calendar'!$H$5:$H$604,MATCH(B106,'Content Calendar'!$A$5:$A$604,0)),"Not found"))</f>
        <v>0</v>
      </c>
      <c r="D106" s="16">
        <f>IF(B106="","",IFERROR(INDEX('Content Calendar'!$B$5:$B$604,MATCH(B106,'Content Calendar'!$A$5:$A$604,0)),"Not found"))</f>
        <v>0</v>
      </c>
      <c r="E106" s="17">
        <f>IF(B106="","",IFERROR(INDEX('Content Calendar'!$J$5:$J$604,MATCH(B106,'Content Calendar'!$A$5:$A$604,0)),"Not found"))</f>
        <v>0</v>
      </c>
      <c r="F106" s="29">
        <f>IF(B106="","",IFERROR(INDEX('Content Calendar'!$X$5:$X$604,MATCH(B106,'Content Calendar'!$A$5:$A$604,0)),"Not found"))</f>
        <v>0</v>
      </c>
      <c r="I106" s="23">
        <f>IF(H106="","",LEN(H106))</f>
        <v>0</v>
      </c>
      <c r="Z106" s="23">
        <f>IF(X106="","",X106-N(Y106))</f>
        <v>0</v>
      </c>
      <c r="AB106" s="23">
        <f>IF(B106="","",IF(COUNTIF(Performance!$B$5:$B$404,B106)=0,"",SUMIFS(Performance!$O$5:$O$404,Performance!$B$5:$B$404,B106)))</f>
        <v>0</v>
      </c>
      <c r="AC106" s="23">
        <f>IF(B106="","",IF(COUNTIF(Performance!$B$5:$B$404,B106)=0,"",SUMIFS(Performance!$P$5:$P$404,Performance!$B$5:$B$404,B106)))</f>
        <v>0</v>
      </c>
      <c r="AD106" s="23">
        <f>IF(B106="","",IF(COUNTIF(Performance!$B$5:$B$404,B106)=0,"",SUMIFS(Performance!$Z$5:$Z$404,Performance!$B$5:$B$404,B106)))</f>
        <v>0</v>
      </c>
      <c r="AE106" s="24">
        <f>IF(OR(AB106="",AB106=0),"",AD106/AB106)</f>
        <v>0</v>
      </c>
      <c r="AF106" s="23">
        <f>IF(B106="","",IF(COUNTIF(Performance!$B$5:$B$404,B106)=0,"",SUMIFS(Performance!$T$5:$T$404,Performance!$B$5:$B$404,B106)))</f>
        <v>0</v>
      </c>
      <c r="AG106" s="23">
        <f>IF(B106="","",IF(COUNTIF(Performance!$B$5:$B$404,B106)=0,"",SUMIFS(Performance!$S$5:$S$404,Performance!$B$5:$B$404,B106)))</f>
        <v>0</v>
      </c>
      <c r="AH106" s="23">
        <f>IF(B106="","",IF(COUNTIF(Performance!$B$5:$B$404,B106)=0,"",SUMIFS(Performance!$R$5:$R$404,Performance!$B$5:$B$404,B106)))</f>
        <v>0</v>
      </c>
      <c r="AI106" s="23">
        <f>IF(B106="","",IF(COUNTIF(Performance!$B$5:$B$404,B106)=0,"",SUMIFS(Performance!$U$5:$U$404,Performance!$B$5:$B$404,B106)))</f>
        <v>0</v>
      </c>
      <c r="AJ106" s="29">
        <f>IF(B106="","",IF(C106="Not found","Check - content ID not on the calendar",IF(N106="","Add - no thumbnail",IF(AND(W106&lt;&gt;"",W106&lt;0.03),"Review - thumbnail click rate is low",IF(AND(V106&lt;&gt;"",V106&lt;0.3),"Review - viewers leave early","OK")))))</f>
        <v>0</v>
      </c>
    </row>
    <row r="107" spans="1:36">
      <c r="A107" s="41">
        <f>IF(B107="","","YT-"&amp;TEXT(ROW()-4,"000"))</f>
        <v>0</v>
      </c>
      <c r="C107" s="17">
        <f>IF(B107="","",IFERROR(INDEX('Content Calendar'!$H$5:$H$604,MATCH(B107,'Content Calendar'!$A$5:$A$604,0)),"Not found"))</f>
        <v>0</v>
      </c>
      <c r="D107" s="16">
        <f>IF(B107="","",IFERROR(INDEX('Content Calendar'!$B$5:$B$604,MATCH(B107,'Content Calendar'!$A$5:$A$604,0)),"Not found"))</f>
        <v>0</v>
      </c>
      <c r="E107" s="17">
        <f>IF(B107="","",IFERROR(INDEX('Content Calendar'!$J$5:$J$604,MATCH(B107,'Content Calendar'!$A$5:$A$604,0)),"Not found"))</f>
        <v>0</v>
      </c>
      <c r="F107" s="29">
        <f>IF(B107="","",IFERROR(INDEX('Content Calendar'!$X$5:$X$604,MATCH(B107,'Content Calendar'!$A$5:$A$604,0)),"Not found"))</f>
        <v>0</v>
      </c>
      <c r="I107" s="23">
        <f>IF(H107="","",LEN(H107))</f>
        <v>0</v>
      </c>
      <c r="Z107" s="23">
        <f>IF(X107="","",X107-N(Y107))</f>
        <v>0</v>
      </c>
      <c r="AB107" s="23">
        <f>IF(B107="","",IF(COUNTIF(Performance!$B$5:$B$404,B107)=0,"",SUMIFS(Performance!$O$5:$O$404,Performance!$B$5:$B$404,B107)))</f>
        <v>0</v>
      </c>
      <c r="AC107" s="23">
        <f>IF(B107="","",IF(COUNTIF(Performance!$B$5:$B$404,B107)=0,"",SUMIFS(Performance!$P$5:$P$404,Performance!$B$5:$B$404,B107)))</f>
        <v>0</v>
      </c>
      <c r="AD107" s="23">
        <f>IF(B107="","",IF(COUNTIF(Performance!$B$5:$B$404,B107)=0,"",SUMIFS(Performance!$Z$5:$Z$404,Performance!$B$5:$B$404,B107)))</f>
        <v>0</v>
      </c>
      <c r="AE107" s="24">
        <f>IF(OR(AB107="",AB107=0),"",AD107/AB107)</f>
        <v>0</v>
      </c>
      <c r="AF107" s="23">
        <f>IF(B107="","",IF(COUNTIF(Performance!$B$5:$B$404,B107)=0,"",SUMIFS(Performance!$T$5:$T$404,Performance!$B$5:$B$404,B107)))</f>
        <v>0</v>
      </c>
      <c r="AG107" s="23">
        <f>IF(B107="","",IF(COUNTIF(Performance!$B$5:$B$404,B107)=0,"",SUMIFS(Performance!$S$5:$S$404,Performance!$B$5:$B$404,B107)))</f>
        <v>0</v>
      </c>
      <c r="AH107" s="23">
        <f>IF(B107="","",IF(COUNTIF(Performance!$B$5:$B$404,B107)=0,"",SUMIFS(Performance!$R$5:$R$404,Performance!$B$5:$B$404,B107)))</f>
        <v>0</v>
      </c>
      <c r="AI107" s="23">
        <f>IF(B107="","",IF(COUNTIF(Performance!$B$5:$B$404,B107)=0,"",SUMIFS(Performance!$U$5:$U$404,Performance!$B$5:$B$404,B107)))</f>
        <v>0</v>
      </c>
      <c r="AJ107" s="29">
        <f>IF(B107="","",IF(C107="Not found","Check - content ID not on the calendar",IF(N107="","Add - no thumbnail",IF(AND(W107&lt;&gt;"",W107&lt;0.03),"Review - thumbnail click rate is low",IF(AND(V107&lt;&gt;"",V107&lt;0.3),"Review - viewers leave early","OK")))))</f>
        <v>0</v>
      </c>
    </row>
    <row r="108" spans="1:36">
      <c r="A108" s="41">
        <f>IF(B108="","","YT-"&amp;TEXT(ROW()-4,"000"))</f>
        <v>0</v>
      </c>
      <c r="C108" s="17">
        <f>IF(B108="","",IFERROR(INDEX('Content Calendar'!$H$5:$H$604,MATCH(B108,'Content Calendar'!$A$5:$A$604,0)),"Not found"))</f>
        <v>0</v>
      </c>
      <c r="D108" s="16">
        <f>IF(B108="","",IFERROR(INDEX('Content Calendar'!$B$5:$B$604,MATCH(B108,'Content Calendar'!$A$5:$A$604,0)),"Not found"))</f>
        <v>0</v>
      </c>
      <c r="E108" s="17">
        <f>IF(B108="","",IFERROR(INDEX('Content Calendar'!$J$5:$J$604,MATCH(B108,'Content Calendar'!$A$5:$A$604,0)),"Not found"))</f>
        <v>0</v>
      </c>
      <c r="F108" s="29">
        <f>IF(B108="","",IFERROR(INDEX('Content Calendar'!$X$5:$X$604,MATCH(B108,'Content Calendar'!$A$5:$A$604,0)),"Not found"))</f>
        <v>0</v>
      </c>
      <c r="I108" s="23">
        <f>IF(H108="","",LEN(H108))</f>
        <v>0</v>
      </c>
      <c r="Z108" s="23">
        <f>IF(X108="","",X108-N(Y108))</f>
        <v>0</v>
      </c>
      <c r="AB108" s="23">
        <f>IF(B108="","",IF(COUNTIF(Performance!$B$5:$B$404,B108)=0,"",SUMIFS(Performance!$O$5:$O$404,Performance!$B$5:$B$404,B108)))</f>
        <v>0</v>
      </c>
      <c r="AC108" s="23">
        <f>IF(B108="","",IF(COUNTIF(Performance!$B$5:$B$404,B108)=0,"",SUMIFS(Performance!$P$5:$P$404,Performance!$B$5:$B$404,B108)))</f>
        <v>0</v>
      </c>
      <c r="AD108" s="23">
        <f>IF(B108="","",IF(COUNTIF(Performance!$B$5:$B$404,B108)=0,"",SUMIFS(Performance!$Z$5:$Z$404,Performance!$B$5:$B$404,B108)))</f>
        <v>0</v>
      </c>
      <c r="AE108" s="24">
        <f>IF(OR(AB108="",AB108=0),"",AD108/AB108)</f>
        <v>0</v>
      </c>
      <c r="AF108" s="23">
        <f>IF(B108="","",IF(COUNTIF(Performance!$B$5:$B$404,B108)=0,"",SUMIFS(Performance!$T$5:$T$404,Performance!$B$5:$B$404,B108)))</f>
        <v>0</v>
      </c>
      <c r="AG108" s="23">
        <f>IF(B108="","",IF(COUNTIF(Performance!$B$5:$B$404,B108)=0,"",SUMIFS(Performance!$S$5:$S$404,Performance!$B$5:$B$404,B108)))</f>
        <v>0</v>
      </c>
      <c r="AH108" s="23">
        <f>IF(B108="","",IF(COUNTIF(Performance!$B$5:$B$404,B108)=0,"",SUMIFS(Performance!$R$5:$R$404,Performance!$B$5:$B$404,B108)))</f>
        <v>0</v>
      </c>
      <c r="AI108" s="23">
        <f>IF(B108="","",IF(COUNTIF(Performance!$B$5:$B$404,B108)=0,"",SUMIFS(Performance!$U$5:$U$404,Performance!$B$5:$B$404,B108)))</f>
        <v>0</v>
      </c>
      <c r="AJ108" s="29">
        <f>IF(B108="","",IF(C108="Not found","Check - content ID not on the calendar",IF(N108="","Add - no thumbnail",IF(AND(W108&lt;&gt;"",W108&lt;0.03),"Review - thumbnail click rate is low",IF(AND(V108&lt;&gt;"",V108&lt;0.3),"Review - viewers leave early","OK")))))</f>
        <v>0</v>
      </c>
    </row>
    <row r="109" spans="1:36">
      <c r="A109" s="41">
        <f>IF(B109="","","YT-"&amp;TEXT(ROW()-4,"000"))</f>
        <v>0</v>
      </c>
      <c r="C109" s="17">
        <f>IF(B109="","",IFERROR(INDEX('Content Calendar'!$H$5:$H$604,MATCH(B109,'Content Calendar'!$A$5:$A$604,0)),"Not found"))</f>
        <v>0</v>
      </c>
      <c r="D109" s="16">
        <f>IF(B109="","",IFERROR(INDEX('Content Calendar'!$B$5:$B$604,MATCH(B109,'Content Calendar'!$A$5:$A$604,0)),"Not found"))</f>
        <v>0</v>
      </c>
      <c r="E109" s="17">
        <f>IF(B109="","",IFERROR(INDEX('Content Calendar'!$J$5:$J$604,MATCH(B109,'Content Calendar'!$A$5:$A$604,0)),"Not found"))</f>
        <v>0</v>
      </c>
      <c r="F109" s="29">
        <f>IF(B109="","",IFERROR(INDEX('Content Calendar'!$X$5:$X$604,MATCH(B109,'Content Calendar'!$A$5:$A$604,0)),"Not found"))</f>
        <v>0</v>
      </c>
      <c r="I109" s="23">
        <f>IF(H109="","",LEN(H109))</f>
        <v>0</v>
      </c>
      <c r="Z109" s="23">
        <f>IF(X109="","",X109-N(Y109))</f>
        <v>0</v>
      </c>
      <c r="AB109" s="23">
        <f>IF(B109="","",IF(COUNTIF(Performance!$B$5:$B$404,B109)=0,"",SUMIFS(Performance!$O$5:$O$404,Performance!$B$5:$B$404,B109)))</f>
        <v>0</v>
      </c>
      <c r="AC109" s="23">
        <f>IF(B109="","",IF(COUNTIF(Performance!$B$5:$B$404,B109)=0,"",SUMIFS(Performance!$P$5:$P$404,Performance!$B$5:$B$404,B109)))</f>
        <v>0</v>
      </c>
      <c r="AD109" s="23">
        <f>IF(B109="","",IF(COUNTIF(Performance!$B$5:$B$404,B109)=0,"",SUMIFS(Performance!$Z$5:$Z$404,Performance!$B$5:$B$404,B109)))</f>
        <v>0</v>
      </c>
      <c r="AE109" s="24">
        <f>IF(OR(AB109="",AB109=0),"",AD109/AB109)</f>
        <v>0</v>
      </c>
      <c r="AF109" s="23">
        <f>IF(B109="","",IF(COUNTIF(Performance!$B$5:$B$404,B109)=0,"",SUMIFS(Performance!$T$5:$T$404,Performance!$B$5:$B$404,B109)))</f>
        <v>0</v>
      </c>
      <c r="AG109" s="23">
        <f>IF(B109="","",IF(COUNTIF(Performance!$B$5:$B$404,B109)=0,"",SUMIFS(Performance!$S$5:$S$404,Performance!$B$5:$B$404,B109)))</f>
        <v>0</v>
      </c>
      <c r="AH109" s="23">
        <f>IF(B109="","",IF(COUNTIF(Performance!$B$5:$B$404,B109)=0,"",SUMIFS(Performance!$R$5:$R$404,Performance!$B$5:$B$404,B109)))</f>
        <v>0</v>
      </c>
      <c r="AI109" s="23">
        <f>IF(B109="","",IF(COUNTIF(Performance!$B$5:$B$404,B109)=0,"",SUMIFS(Performance!$U$5:$U$404,Performance!$B$5:$B$404,B109)))</f>
        <v>0</v>
      </c>
      <c r="AJ109" s="29">
        <f>IF(B109="","",IF(C109="Not found","Check - content ID not on the calendar",IF(N109="","Add - no thumbnail",IF(AND(W109&lt;&gt;"",W109&lt;0.03),"Review - thumbnail click rate is low",IF(AND(V109&lt;&gt;"",V109&lt;0.3),"Review - viewers leave early","OK")))))</f>
        <v>0</v>
      </c>
    </row>
    <row r="110" spans="1:36">
      <c r="A110" s="41">
        <f>IF(B110="","","YT-"&amp;TEXT(ROW()-4,"000"))</f>
        <v>0</v>
      </c>
      <c r="C110" s="17">
        <f>IF(B110="","",IFERROR(INDEX('Content Calendar'!$H$5:$H$604,MATCH(B110,'Content Calendar'!$A$5:$A$604,0)),"Not found"))</f>
        <v>0</v>
      </c>
      <c r="D110" s="16">
        <f>IF(B110="","",IFERROR(INDEX('Content Calendar'!$B$5:$B$604,MATCH(B110,'Content Calendar'!$A$5:$A$604,0)),"Not found"))</f>
        <v>0</v>
      </c>
      <c r="E110" s="17">
        <f>IF(B110="","",IFERROR(INDEX('Content Calendar'!$J$5:$J$604,MATCH(B110,'Content Calendar'!$A$5:$A$604,0)),"Not found"))</f>
        <v>0</v>
      </c>
      <c r="F110" s="29">
        <f>IF(B110="","",IFERROR(INDEX('Content Calendar'!$X$5:$X$604,MATCH(B110,'Content Calendar'!$A$5:$A$604,0)),"Not found"))</f>
        <v>0</v>
      </c>
      <c r="I110" s="23">
        <f>IF(H110="","",LEN(H110))</f>
        <v>0</v>
      </c>
      <c r="Z110" s="23">
        <f>IF(X110="","",X110-N(Y110))</f>
        <v>0</v>
      </c>
      <c r="AB110" s="23">
        <f>IF(B110="","",IF(COUNTIF(Performance!$B$5:$B$404,B110)=0,"",SUMIFS(Performance!$O$5:$O$404,Performance!$B$5:$B$404,B110)))</f>
        <v>0</v>
      </c>
      <c r="AC110" s="23">
        <f>IF(B110="","",IF(COUNTIF(Performance!$B$5:$B$404,B110)=0,"",SUMIFS(Performance!$P$5:$P$404,Performance!$B$5:$B$404,B110)))</f>
        <v>0</v>
      </c>
      <c r="AD110" s="23">
        <f>IF(B110="","",IF(COUNTIF(Performance!$B$5:$B$404,B110)=0,"",SUMIFS(Performance!$Z$5:$Z$404,Performance!$B$5:$B$404,B110)))</f>
        <v>0</v>
      </c>
      <c r="AE110" s="24">
        <f>IF(OR(AB110="",AB110=0),"",AD110/AB110)</f>
        <v>0</v>
      </c>
      <c r="AF110" s="23">
        <f>IF(B110="","",IF(COUNTIF(Performance!$B$5:$B$404,B110)=0,"",SUMIFS(Performance!$T$5:$T$404,Performance!$B$5:$B$404,B110)))</f>
        <v>0</v>
      </c>
      <c r="AG110" s="23">
        <f>IF(B110="","",IF(COUNTIF(Performance!$B$5:$B$404,B110)=0,"",SUMIFS(Performance!$S$5:$S$404,Performance!$B$5:$B$404,B110)))</f>
        <v>0</v>
      </c>
      <c r="AH110" s="23">
        <f>IF(B110="","",IF(COUNTIF(Performance!$B$5:$B$404,B110)=0,"",SUMIFS(Performance!$R$5:$R$404,Performance!$B$5:$B$404,B110)))</f>
        <v>0</v>
      </c>
      <c r="AI110" s="23">
        <f>IF(B110="","",IF(COUNTIF(Performance!$B$5:$B$404,B110)=0,"",SUMIFS(Performance!$U$5:$U$404,Performance!$B$5:$B$404,B110)))</f>
        <v>0</v>
      </c>
      <c r="AJ110" s="29">
        <f>IF(B110="","",IF(C110="Not found","Check - content ID not on the calendar",IF(N110="","Add - no thumbnail",IF(AND(W110&lt;&gt;"",W110&lt;0.03),"Review - thumbnail click rate is low",IF(AND(V110&lt;&gt;"",V110&lt;0.3),"Review - viewers leave early","OK")))))</f>
        <v>0</v>
      </c>
    </row>
    <row r="111" spans="1:36">
      <c r="A111" s="41">
        <f>IF(B111="","","YT-"&amp;TEXT(ROW()-4,"000"))</f>
        <v>0</v>
      </c>
      <c r="C111" s="17">
        <f>IF(B111="","",IFERROR(INDEX('Content Calendar'!$H$5:$H$604,MATCH(B111,'Content Calendar'!$A$5:$A$604,0)),"Not found"))</f>
        <v>0</v>
      </c>
      <c r="D111" s="16">
        <f>IF(B111="","",IFERROR(INDEX('Content Calendar'!$B$5:$B$604,MATCH(B111,'Content Calendar'!$A$5:$A$604,0)),"Not found"))</f>
        <v>0</v>
      </c>
      <c r="E111" s="17">
        <f>IF(B111="","",IFERROR(INDEX('Content Calendar'!$J$5:$J$604,MATCH(B111,'Content Calendar'!$A$5:$A$604,0)),"Not found"))</f>
        <v>0</v>
      </c>
      <c r="F111" s="29">
        <f>IF(B111="","",IFERROR(INDEX('Content Calendar'!$X$5:$X$604,MATCH(B111,'Content Calendar'!$A$5:$A$604,0)),"Not found"))</f>
        <v>0</v>
      </c>
      <c r="I111" s="23">
        <f>IF(H111="","",LEN(H111))</f>
        <v>0</v>
      </c>
      <c r="Z111" s="23">
        <f>IF(X111="","",X111-N(Y111))</f>
        <v>0</v>
      </c>
      <c r="AB111" s="23">
        <f>IF(B111="","",IF(COUNTIF(Performance!$B$5:$B$404,B111)=0,"",SUMIFS(Performance!$O$5:$O$404,Performance!$B$5:$B$404,B111)))</f>
        <v>0</v>
      </c>
      <c r="AC111" s="23">
        <f>IF(B111="","",IF(COUNTIF(Performance!$B$5:$B$404,B111)=0,"",SUMIFS(Performance!$P$5:$P$404,Performance!$B$5:$B$404,B111)))</f>
        <v>0</v>
      </c>
      <c r="AD111" s="23">
        <f>IF(B111="","",IF(COUNTIF(Performance!$B$5:$B$404,B111)=0,"",SUMIFS(Performance!$Z$5:$Z$404,Performance!$B$5:$B$404,B111)))</f>
        <v>0</v>
      </c>
      <c r="AE111" s="24">
        <f>IF(OR(AB111="",AB111=0),"",AD111/AB111)</f>
        <v>0</v>
      </c>
      <c r="AF111" s="23">
        <f>IF(B111="","",IF(COUNTIF(Performance!$B$5:$B$404,B111)=0,"",SUMIFS(Performance!$T$5:$T$404,Performance!$B$5:$B$404,B111)))</f>
        <v>0</v>
      </c>
      <c r="AG111" s="23">
        <f>IF(B111="","",IF(COUNTIF(Performance!$B$5:$B$404,B111)=0,"",SUMIFS(Performance!$S$5:$S$404,Performance!$B$5:$B$404,B111)))</f>
        <v>0</v>
      </c>
      <c r="AH111" s="23">
        <f>IF(B111="","",IF(COUNTIF(Performance!$B$5:$B$404,B111)=0,"",SUMIFS(Performance!$R$5:$R$404,Performance!$B$5:$B$404,B111)))</f>
        <v>0</v>
      </c>
      <c r="AI111" s="23">
        <f>IF(B111="","",IF(COUNTIF(Performance!$B$5:$B$404,B111)=0,"",SUMIFS(Performance!$U$5:$U$404,Performance!$B$5:$B$404,B111)))</f>
        <v>0</v>
      </c>
      <c r="AJ111" s="29">
        <f>IF(B111="","",IF(C111="Not found","Check - content ID not on the calendar",IF(N111="","Add - no thumbnail",IF(AND(W111&lt;&gt;"",W111&lt;0.03),"Review - thumbnail click rate is low",IF(AND(V111&lt;&gt;"",V111&lt;0.3),"Review - viewers leave early","OK")))))</f>
        <v>0</v>
      </c>
    </row>
    <row r="112" spans="1:36">
      <c r="A112" s="41">
        <f>IF(B112="","","YT-"&amp;TEXT(ROW()-4,"000"))</f>
        <v>0</v>
      </c>
      <c r="C112" s="17">
        <f>IF(B112="","",IFERROR(INDEX('Content Calendar'!$H$5:$H$604,MATCH(B112,'Content Calendar'!$A$5:$A$604,0)),"Not found"))</f>
        <v>0</v>
      </c>
      <c r="D112" s="16">
        <f>IF(B112="","",IFERROR(INDEX('Content Calendar'!$B$5:$B$604,MATCH(B112,'Content Calendar'!$A$5:$A$604,0)),"Not found"))</f>
        <v>0</v>
      </c>
      <c r="E112" s="17">
        <f>IF(B112="","",IFERROR(INDEX('Content Calendar'!$J$5:$J$604,MATCH(B112,'Content Calendar'!$A$5:$A$604,0)),"Not found"))</f>
        <v>0</v>
      </c>
      <c r="F112" s="29">
        <f>IF(B112="","",IFERROR(INDEX('Content Calendar'!$X$5:$X$604,MATCH(B112,'Content Calendar'!$A$5:$A$604,0)),"Not found"))</f>
        <v>0</v>
      </c>
      <c r="I112" s="23">
        <f>IF(H112="","",LEN(H112))</f>
        <v>0</v>
      </c>
      <c r="Z112" s="23">
        <f>IF(X112="","",X112-N(Y112))</f>
        <v>0</v>
      </c>
      <c r="AB112" s="23">
        <f>IF(B112="","",IF(COUNTIF(Performance!$B$5:$B$404,B112)=0,"",SUMIFS(Performance!$O$5:$O$404,Performance!$B$5:$B$404,B112)))</f>
        <v>0</v>
      </c>
      <c r="AC112" s="23">
        <f>IF(B112="","",IF(COUNTIF(Performance!$B$5:$B$404,B112)=0,"",SUMIFS(Performance!$P$5:$P$404,Performance!$B$5:$B$404,B112)))</f>
        <v>0</v>
      </c>
      <c r="AD112" s="23">
        <f>IF(B112="","",IF(COUNTIF(Performance!$B$5:$B$404,B112)=0,"",SUMIFS(Performance!$Z$5:$Z$404,Performance!$B$5:$B$404,B112)))</f>
        <v>0</v>
      </c>
      <c r="AE112" s="24">
        <f>IF(OR(AB112="",AB112=0),"",AD112/AB112)</f>
        <v>0</v>
      </c>
      <c r="AF112" s="23">
        <f>IF(B112="","",IF(COUNTIF(Performance!$B$5:$B$404,B112)=0,"",SUMIFS(Performance!$T$5:$T$404,Performance!$B$5:$B$404,B112)))</f>
        <v>0</v>
      </c>
      <c r="AG112" s="23">
        <f>IF(B112="","",IF(COUNTIF(Performance!$B$5:$B$404,B112)=0,"",SUMIFS(Performance!$S$5:$S$404,Performance!$B$5:$B$404,B112)))</f>
        <v>0</v>
      </c>
      <c r="AH112" s="23">
        <f>IF(B112="","",IF(COUNTIF(Performance!$B$5:$B$404,B112)=0,"",SUMIFS(Performance!$R$5:$R$404,Performance!$B$5:$B$404,B112)))</f>
        <v>0</v>
      </c>
      <c r="AI112" s="23">
        <f>IF(B112="","",IF(COUNTIF(Performance!$B$5:$B$404,B112)=0,"",SUMIFS(Performance!$U$5:$U$404,Performance!$B$5:$B$404,B112)))</f>
        <v>0</v>
      </c>
      <c r="AJ112" s="29">
        <f>IF(B112="","",IF(C112="Not found","Check - content ID not on the calendar",IF(N112="","Add - no thumbnail",IF(AND(W112&lt;&gt;"",W112&lt;0.03),"Review - thumbnail click rate is low",IF(AND(V112&lt;&gt;"",V112&lt;0.3),"Review - viewers leave early","OK")))))</f>
        <v>0</v>
      </c>
    </row>
    <row r="113" spans="1:36">
      <c r="A113" s="41">
        <f>IF(B113="","","YT-"&amp;TEXT(ROW()-4,"000"))</f>
        <v>0</v>
      </c>
      <c r="C113" s="17">
        <f>IF(B113="","",IFERROR(INDEX('Content Calendar'!$H$5:$H$604,MATCH(B113,'Content Calendar'!$A$5:$A$604,0)),"Not found"))</f>
        <v>0</v>
      </c>
      <c r="D113" s="16">
        <f>IF(B113="","",IFERROR(INDEX('Content Calendar'!$B$5:$B$604,MATCH(B113,'Content Calendar'!$A$5:$A$604,0)),"Not found"))</f>
        <v>0</v>
      </c>
      <c r="E113" s="17">
        <f>IF(B113="","",IFERROR(INDEX('Content Calendar'!$J$5:$J$604,MATCH(B113,'Content Calendar'!$A$5:$A$604,0)),"Not found"))</f>
        <v>0</v>
      </c>
      <c r="F113" s="29">
        <f>IF(B113="","",IFERROR(INDEX('Content Calendar'!$X$5:$X$604,MATCH(B113,'Content Calendar'!$A$5:$A$604,0)),"Not found"))</f>
        <v>0</v>
      </c>
      <c r="I113" s="23">
        <f>IF(H113="","",LEN(H113))</f>
        <v>0</v>
      </c>
      <c r="Z113" s="23">
        <f>IF(X113="","",X113-N(Y113))</f>
        <v>0</v>
      </c>
      <c r="AB113" s="23">
        <f>IF(B113="","",IF(COUNTIF(Performance!$B$5:$B$404,B113)=0,"",SUMIFS(Performance!$O$5:$O$404,Performance!$B$5:$B$404,B113)))</f>
        <v>0</v>
      </c>
      <c r="AC113" s="23">
        <f>IF(B113="","",IF(COUNTIF(Performance!$B$5:$B$404,B113)=0,"",SUMIFS(Performance!$P$5:$P$404,Performance!$B$5:$B$404,B113)))</f>
        <v>0</v>
      </c>
      <c r="AD113" s="23">
        <f>IF(B113="","",IF(COUNTIF(Performance!$B$5:$B$404,B113)=0,"",SUMIFS(Performance!$Z$5:$Z$404,Performance!$B$5:$B$404,B113)))</f>
        <v>0</v>
      </c>
      <c r="AE113" s="24">
        <f>IF(OR(AB113="",AB113=0),"",AD113/AB113)</f>
        <v>0</v>
      </c>
      <c r="AF113" s="23">
        <f>IF(B113="","",IF(COUNTIF(Performance!$B$5:$B$404,B113)=0,"",SUMIFS(Performance!$T$5:$T$404,Performance!$B$5:$B$404,B113)))</f>
        <v>0</v>
      </c>
      <c r="AG113" s="23">
        <f>IF(B113="","",IF(COUNTIF(Performance!$B$5:$B$404,B113)=0,"",SUMIFS(Performance!$S$5:$S$404,Performance!$B$5:$B$404,B113)))</f>
        <v>0</v>
      </c>
      <c r="AH113" s="23">
        <f>IF(B113="","",IF(COUNTIF(Performance!$B$5:$B$404,B113)=0,"",SUMIFS(Performance!$R$5:$R$404,Performance!$B$5:$B$404,B113)))</f>
        <v>0</v>
      </c>
      <c r="AI113" s="23">
        <f>IF(B113="","",IF(COUNTIF(Performance!$B$5:$B$404,B113)=0,"",SUMIFS(Performance!$U$5:$U$404,Performance!$B$5:$B$404,B113)))</f>
        <v>0</v>
      </c>
      <c r="AJ113" s="29">
        <f>IF(B113="","",IF(C113="Not found","Check - content ID not on the calendar",IF(N113="","Add - no thumbnail",IF(AND(W113&lt;&gt;"",W113&lt;0.03),"Review - thumbnail click rate is low",IF(AND(V113&lt;&gt;"",V113&lt;0.3),"Review - viewers leave early","OK")))))</f>
        <v>0</v>
      </c>
    </row>
    <row r="114" spans="1:36">
      <c r="A114" s="41">
        <f>IF(B114="","","YT-"&amp;TEXT(ROW()-4,"000"))</f>
        <v>0</v>
      </c>
      <c r="C114" s="17">
        <f>IF(B114="","",IFERROR(INDEX('Content Calendar'!$H$5:$H$604,MATCH(B114,'Content Calendar'!$A$5:$A$604,0)),"Not found"))</f>
        <v>0</v>
      </c>
      <c r="D114" s="16">
        <f>IF(B114="","",IFERROR(INDEX('Content Calendar'!$B$5:$B$604,MATCH(B114,'Content Calendar'!$A$5:$A$604,0)),"Not found"))</f>
        <v>0</v>
      </c>
      <c r="E114" s="17">
        <f>IF(B114="","",IFERROR(INDEX('Content Calendar'!$J$5:$J$604,MATCH(B114,'Content Calendar'!$A$5:$A$604,0)),"Not found"))</f>
        <v>0</v>
      </c>
      <c r="F114" s="29">
        <f>IF(B114="","",IFERROR(INDEX('Content Calendar'!$X$5:$X$604,MATCH(B114,'Content Calendar'!$A$5:$A$604,0)),"Not found"))</f>
        <v>0</v>
      </c>
      <c r="I114" s="23">
        <f>IF(H114="","",LEN(H114))</f>
        <v>0</v>
      </c>
      <c r="Z114" s="23">
        <f>IF(X114="","",X114-N(Y114))</f>
        <v>0</v>
      </c>
      <c r="AB114" s="23">
        <f>IF(B114="","",IF(COUNTIF(Performance!$B$5:$B$404,B114)=0,"",SUMIFS(Performance!$O$5:$O$404,Performance!$B$5:$B$404,B114)))</f>
        <v>0</v>
      </c>
      <c r="AC114" s="23">
        <f>IF(B114="","",IF(COUNTIF(Performance!$B$5:$B$404,B114)=0,"",SUMIFS(Performance!$P$5:$P$404,Performance!$B$5:$B$404,B114)))</f>
        <v>0</v>
      </c>
      <c r="AD114" s="23">
        <f>IF(B114="","",IF(COUNTIF(Performance!$B$5:$B$404,B114)=0,"",SUMIFS(Performance!$Z$5:$Z$404,Performance!$B$5:$B$404,B114)))</f>
        <v>0</v>
      </c>
      <c r="AE114" s="24">
        <f>IF(OR(AB114="",AB114=0),"",AD114/AB114)</f>
        <v>0</v>
      </c>
      <c r="AF114" s="23">
        <f>IF(B114="","",IF(COUNTIF(Performance!$B$5:$B$404,B114)=0,"",SUMIFS(Performance!$T$5:$T$404,Performance!$B$5:$B$404,B114)))</f>
        <v>0</v>
      </c>
      <c r="AG114" s="23">
        <f>IF(B114="","",IF(COUNTIF(Performance!$B$5:$B$404,B114)=0,"",SUMIFS(Performance!$S$5:$S$404,Performance!$B$5:$B$404,B114)))</f>
        <v>0</v>
      </c>
      <c r="AH114" s="23">
        <f>IF(B114="","",IF(COUNTIF(Performance!$B$5:$B$404,B114)=0,"",SUMIFS(Performance!$R$5:$R$404,Performance!$B$5:$B$404,B114)))</f>
        <v>0</v>
      </c>
      <c r="AI114" s="23">
        <f>IF(B114="","",IF(COUNTIF(Performance!$B$5:$B$404,B114)=0,"",SUMIFS(Performance!$U$5:$U$404,Performance!$B$5:$B$404,B114)))</f>
        <v>0</v>
      </c>
      <c r="AJ114" s="29">
        <f>IF(B114="","",IF(C114="Not found","Check - content ID not on the calendar",IF(N114="","Add - no thumbnail",IF(AND(W114&lt;&gt;"",W114&lt;0.03),"Review - thumbnail click rate is low",IF(AND(V114&lt;&gt;"",V114&lt;0.3),"Review - viewers leave early","OK")))))</f>
        <v>0</v>
      </c>
    </row>
    <row r="115" spans="1:36">
      <c r="A115" s="41">
        <f>IF(B115="","","YT-"&amp;TEXT(ROW()-4,"000"))</f>
        <v>0</v>
      </c>
      <c r="C115" s="17">
        <f>IF(B115="","",IFERROR(INDEX('Content Calendar'!$H$5:$H$604,MATCH(B115,'Content Calendar'!$A$5:$A$604,0)),"Not found"))</f>
        <v>0</v>
      </c>
      <c r="D115" s="16">
        <f>IF(B115="","",IFERROR(INDEX('Content Calendar'!$B$5:$B$604,MATCH(B115,'Content Calendar'!$A$5:$A$604,0)),"Not found"))</f>
        <v>0</v>
      </c>
      <c r="E115" s="17">
        <f>IF(B115="","",IFERROR(INDEX('Content Calendar'!$J$5:$J$604,MATCH(B115,'Content Calendar'!$A$5:$A$604,0)),"Not found"))</f>
        <v>0</v>
      </c>
      <c r="F115" s="29">
        <f>IF(B115="","",IFERROR(INDEX('Content Calendar'!$X$5:$X$604,MATCH(B115,'Content Calendar'!$A$5:$A$604,0)),"Not found"))</f>
        <v>0</v>
      </c>
      <c r="I115" s="23">
        <f>IF(H115="","",LEN(H115))</f>
        <v>0</v>
      </c>
      <c r="Z115" s="23">
        <f>IF(X115="","",X115-N(Y115))</f>
        <v>0</v>
      </c>
      <c r="AB115" s="23">
        <f>IF(B115="","",IF(COUNTIF(Performance!$B$5:$B$404,B115)=0,"",SUMIFS(Performance!$O$5:$O$404,Performance!$B$5:$B$404,B115)))</f>
        <v>0</v>
      </c>
      <c r="AC115" s="23">
        <f>IF(B115="","",IF(COUNTIF(Performance!$B$5:$B$404,B115)=0,"",SUMIFS(Performance!$P$5:$P$404,Performance!$B$5:$B$404,B115)))</f>
        <v>0</v>
      </c>
      <c r="AD115" s="23">
        <f>IF(B115="","",IF(COUNTIF(Performance!$B$5:$B$404,B115)=0,"",SUMIFS(Performance!$Z$5:$Z$404,Performance!$B$5:$B$404,B115)))</f>
        <v>0</v>
      </c>
      <c r="AE115" s="24">
        <f>IF(OR(AB115="",AB115=0),"",AD115/AB115)</f>
        <v>0</v>
      </c>
      <c r="AF115" s="23">
        <f>IF(B115="","",IF(COUNTIF(Performance!$B$5:$B$404,B115)=0,"",SUMIFS(Performance!$T$5:$T$404,Performance!$B$5:$B$404,B115)))</f>
        <v>0</v>
      </c>
      <c r="AG115" s="23">
        <f>IF(B115="","",IF(COUNTIF(Performance!$B$5:$B$404,B115)=0,"",SUMIFS(Performance!$S$5:$S$404,Performance!$B$5:$B$404,B115)))</f>
        <v>0</v>
      </c>
      <c r="AH115" s="23">
        <f>IF(B115="","",IF(COUNTIF(Performance!$B$5:$B$404,B115)=0,"",SUMIFS(Performance!$R$5:$R$404,Performance!$B$5:$B$404,B115)))</f>
        <v>0</v>
      </c>
      <c r="AI115" s="23">
        <f>IF(B115="","",IF(COUNTIF(Performance!$B$5:$B$404,B115)=0,"",SUMIFS(Performance!$U$5:$U$404,Performance!$B$5:$B$404,B115)))</f>
        <v>0</v>
      </c>
      <c r="AJ115" s="29">
        <f>IF(B115="","",IF(C115="Not found","Check - content ID not on the calendar",IF(N115="","Add - no thumbnail",IF(AND(W115&lt;&gt;"",W115&lt;0.03),"Review - thumbnail click rate is low",IF(AND(V115&lt;&gt;"",V115&lt;0.3),"Review - viewers leave early","OK")))))</f>
        <v>0</v>
      </c>
    </row>
    <row r="116" spans="1:36">
      <c r="A116" s="41">
        <f>IF(B116="","","YT-"&amp;TEXT(ROW()-4,"000"))</f>
        <v>0</v>
      </c>
      <c r="C116" s="17">
        <f>IF(B116="","",IFERROR(INDEX('Content Calendar'!$H$5:$H$604,MATCH(B116,'Content Calendar'!$A$5:$A$604,0)),"Not found"))</f>
        <v>0</v>
      </c>
      <c r="D116" s="16">
        <f>IF(B116="","",IFERROR(INDEX('Content Calendar'!$B$5:$B$604,MATCH(B116,'Content Calendar'!$A$5:$A$604,0)),"Not found"))</f>
        <v>0</v>
      </c>
      <c r="E116" s="17">
        <f>IF(B116="","",IFERROR(INDEX('Content Calendar'!$J$5:$J$604,MATCH(B116,'Content Calendar'!$A$5:$A$604,0)),"Not found"))</f>
        <v>0</v>
      </c>
      <c r="F116" s="29">
        <f>IF(B116="","",IFERROR(INDEX('Content Calendar'!$X$5:$X$604,MATCH(B116,'Content Calendar'!$A$5:$A$604,0)),"Not found"))</f>
        <v>0</v>
      </c>
      <c r="I116" s="23">
        <f>IF(H116="","",LEN(H116))</f>
        <v>0</v>
      </c>
      <c r="Z116" s="23">
        <f>IF(X116="","",X116-N(Y116))</f>
        <v>0</v>
      </c>
      <c r="AB116" s="23">
        <f>IF(B116="","",IF(COUNTIF(Performance!$B$5:$B$404,B116)=0,"",SUMIFS(Performance!$O$5:$O$404,Performance!$B$5:$B$404,B116)))</f>
        <v>0</v>
      </c>
      <c r="AC116" s="23">
        <f>IF(B116="","",IF(COUNTIF(Performance!$B$5:$B$404,B116)=0,"",SUMIFS(Performance!$P$5:$P$404,Performance!$B$5:$B$404,B116)))</f>
        <v>0</v>
      </c>
      <c r="AD116" s="23">
        <f>IF(B116="","",IF(COUNTIF(Performance!$B$5:$B$404,B116)=0,"",SUMIFS(Performance!$Z$5:$Z$404,Performance!$B$5:$B$404,B116)))</f>
        <v>0</v>
      </c>
      <c r="AE116" s="24">
        <f>IF(OR(AB116="",AB116=0),"",AD116/AB116)</f>
        <v>0</v>
      </c>
      <c r="AF116" s="23">
        <f>IF(B116="","",IF(COUNTIF(Performance!$B$5:$B$404,B116)=0,"",SUMIFS(Performance!$T$5:$T$404,Performance!$B$5:$B$404,B116)))</f>
        <v>0</v>
      </c>
      <c r="AG116" s="23">
        <f>IF(B116="","",IF(COUNTIF(Performance!$B$5:$B$404,B116)=0,"",SUMIFS(Performance!$S$5:$S$404,Performance!$B$5:$B$404,B116)))</f>
        <v>0</v>
      </c>
      <c r="AH116" s="23">
        <f>IF(B116="","",IF(COUNTIF(Performance!$B$5:$B$404,B116)=0,"",SUMIFS(Performance!$R$5:$R$404,Performance!$B$5:$B$404,B116)))</f>
        <v>0</v>
      </c>
      <c r="AI116" s="23">
        <f>IF(B116="","",IF(COUNTIF(Performance!$B$5:$B$404,B116)=0,"",SUMIFS(Performance!$U$5:$U$404,Performance!$B$5:$B$404,B116)))</f>
        <v>0</v>
      </c>
      <c r="AJ116" s="29">
        <f>IF(B116="","",IF(C116="Not found","Check - content ID not on the calendar",IF(N116="","Add - no thumbnail",IF(AND(W116&lt;&gt;"",W116&lt;0.03),"Review - thumbnail click rate is low",IF(AND(V116&lt;&gt;"",V116&lt;0.3),"Review - viewers leave early","OK")))))</f>
        <v>0</v>
      </c>
    </row>
    <row r="117" spans="1:36">
      <c r="A117" s="41">
        <f>IF(B117="","","YT-"&amp;TEXT(ROW()-4,"000"))</f>
        <v>0</v>
      </c>
      <c r="C117" s="17">
        <f>IF(B117="","",IFERROR(INDEX('Content Calendar'!$H$5:$H$604,MATCH(B117,'Content Calendar'!$A$5:$A$604,0)),"Not found"))</f>
        <v>0</v>
      </c>
      <c r="D117" s="16">
        <f>IF(B117="","",IFERROR(INDEX('Content Calendar'!$B$5:$B$604,MATCH(B117,'Content Calendar'!$A$5:$A$604,0)),"Not found"))</f>
        <v>0</v>
      </c>
      <c r="E117" s="17">
        <f>IF(B117="","",IFERROR(INDEX('Content Calendar'!$J$5:$J$604,MATCH(B117,'Content Calendar'!$A$5:$A$604,0)),"Not found"))</f>
        <v>0</v>
      </c>
      <c r="F117" s="29">
        <f>IF(B117="","",IFERROR(INDEX('Content Calendar'!$X$5:$X$604,MATCH(B117,'Content Calendar'!$A$5:$A$604,0)),"Not found"))</f>
        <v>0</v>
      </c>
      <c r="I117" s="23">
        <f>IF(H117="","",LEN(H117))</f>
        <v>0</v>
      </c>
      <c r="Z117" s="23">
        <f>IF(X117="","",X117-N(Y117))</f>
        <v>0</v>
      </c>
      <c r="AB117" s="23">
        <f>IF(B117="","",IF(COUNTIF(Performance!$B$5:$B$404,B117)=0,"",SUMIFS(Performance!$O$5:$O$404,Performance!$B$5:$B$404,B117)))</f>
        <v>0</v>
      </c>
      <c r="AC117" s="23">
        <f>IF(B117="","",IF(COUNTIF(Performance!$B$5:$B$404,B117)=0,"",SUMIFS(Performance!$P$5:$P$404,Performance!$B$5:$B$404,B117)))</f>
        <v>0</v>
      </c>
      <c r="AD117" s="23">
        <f>IF(B117="","",IF(COUNTIF(Performance!$B$5:$B$404,B117)=0,"",SUMIFS(Performance!$Z$5:$Z$404,Performance!$B$5:$B$404,B117)))</f>
        <v>0</v>
      </c>
      <c r="AE117" s="24">
        <f>IF(OR(AB117="",AB117=0),"",AD117/AB117)</f>
        <v>0</v>
      </c>
      <c r="AF117" s="23">
        <f>IF(B117="","",IF(COUNTIF(Performance!$B$5:$B$404,B117)=0,"",SUMIFS(Performance!$T$5:$T$404,Performance!$B$5:$B$404,B117)))</f>
        <v>0</v>
      </c>
      <c r="AG117" s="23">
        <f>IF(B117="","",IF(COUNTIF(Performance!$B$5:$B$404,B117)=0,"",SUMIFS(Performance!$S$5:$S$404,Performance!$B$5:$B$404,B117)))</f>
        <v>0</v>
      </c>
      <c r="AH117" s="23">
        <f>IF(B117="","",IF(COUNTIF(Performance!$B$5:$B$404,B117)=0,"",SUMIFS(Performance!$R$5:$R$404,Performance!$B$5:$B$404,B117)))</f>
        <v>0</v>
      </c>
      <c r="AI117" s="23">
        <f>IF(B117="","",IF(COUNTIF(Performance!$B$5:$B$404,B117)=0,"",SUMIFS(Performance!$U$5:$U$404,Performance!$B$5:$B$404,B117)))</f>
        <v>0</v>
      </c>
      <c r="AJ117" s="29">
        <f>IF(B117="","",IF(C117="Not found","Check - content ID not on the calendar",IF(N117="","Add - no thumbnail",IF(AND(W117&lt;&gt;"",W117&lt;0.03),"Review - thumbnail click rate is low",IF(AND(V117&lt;&gt;"",V117&lt;0.3),"Review - viewers leave early","OK")))))</f>
        <v>0</v>
      </c>
    </row>
    <row r="118" spans="1:36">
      <c r="A118" s="41">
        <f>IF(B118="","","YT-"&amp;TEXT(ROW()-4,"000"))</f>
        <v>0</v>
      </c>
      <c r="C118" s="17">
        <f>IF(B118="","",IFERROR(INDEX('Content Calendar'!$H$5:$H$604,MATCH(B118,'Content Calendar'!$A$5:$A$604,0)),"Not found"))</f>
        <v>0</v>
      </c>
      <c r="D118" s="16">
        <f>IF(B118="","",IFERROR(INDEX('Content Calendar'!$B$5:$B$604,MATCH(B118,'Content Calendar'!$A$5:$A$604,0)),"Not found"))</f>
        <v>0</v>
      </c>
      <c r="E118" s="17">
        <f>IF(B118="","",IFERROR(INDEX('Content Calendar'!$J$5:$J$604,MATCH(B118,'Content Calendar'!$A$5:$A$604,0)),"Not found"))</f>
        <v>0</v>
      </c>
      <c r="F118" s="29">
        <f>IF(B118="","",IFERROR(INDEX('Content Calendar'!$X$5:$X$604,MATCH(B118,'Content Calendar'!$A$5:$A$604,0)),"Not found"))</f>
        <v>0</v>
      </c>
      <c r="I118" s="23">
        <f>IF(H118="","",LEN(H118))</f>
        <v>0</v>
      </c>
      <c r="Z118" s="23">
        <f>IF(X118="","",X118-N(Y118))</f>
        <v>0</v>
      </c>
      <c r="AB118" s="23">
        <f>IF(B118="","",IF(COUNTIF(Performance!$B$5:$B$404,B118)=0,"",SUMIFS(Performance!$O$5:$O$404,Performance!$B$5:$B$404,B118)))</f>
        <v>0</v>
      </c>
      <c r="AC118" s="23">
        <f>IF(B118="","",IF(COUNTIF(Performance!$B$5:$B$404,B118)=0,"",SUMIFS(Performance!$P$5:$P$404,Performance!$B$5:$B$404,B118)))</f>
        <v>0</v>
      </c>
      <c r="AD118" s="23">
        <f>IF(B118="","",IF(COUNTIF(Performance!$B$5:$B$404,B118)=0,"",SUMIFS(Performance!$Z$5:$Z$404,Performance!$B$5:$B$404,B118)))</f>
        <v>0</v>
      </c>
      <c r="AE118" s="24">
        <f>IF(OR(AB118="",AB118=0),"",AD118/AB118)</f>
        <v>0</v>
      </c>
      <c r="AF118" s="23">
        <f>IF(B118="","",IF(COUNTIF(Performance!$B$5:$B$404,B118)=0,"",SUMIFS(Performance!$T$5:$T$404,Performance!$B$5:$B$404,B118)))</f>
        <v>0</v>
      </c>
      <c r="AG118" s="23">
        <f>IF(B118="","",IF(COUNTIF(Performance!$B$5:$B$404,B118)=0,"",SUMIFS(Performance!$S$5:$S$404,Performance!$B$5:$B$404,B118)))</f>
        <v>0</v>
      </c>
      <c r="AH118" s="23">
        <f>IF(B118="","",IF(COUNTIF(Performance!$B$5:$B$404,B118)=0,"",SUMIFS(Performance!$R$5:$R$404,Performance!$B$5:$B$404,B118)))</f>
        <v>0</v>
      </c>
      <c r="AI118" s="23">
        <f>IF(B118="","",IF(COUNTIF(Performance!$B$5:$B$404,B118)=0,"",SUMIFS(Performance!$U$5:$U$404,Performance!$B$5:$B$404,B118)))</f>
        <v>0</v>
      </c>
      <c r="AJ118" s="29">
        <f>IF(B118="","",IF(C118="Not found","Check - content ID not on the calendar",IF(N118="","Add - no thumbnail",IF(AND(W118&lt;&gt;"",W118&lt;0.03),"Review - thumbnail click rate is low",IF(AND(V118&lt;&gt;"",V118&lt;0.3),"Review - viewers leave early","OK")))))</f>
        <v>0</v>
      </c>
    </row>
    <row r="119" spans="1:36">
      <c r="A119" s="41">
        <f>IF(B119="","","YT-"&amp;TEXT(ROW()-4,"000"))</f>
        <v>0</v>
      </c>
      <c r="C119" s="17">
        <f>IF(B119="","",IFERROR(INDEX('Content Calendar'!$H$5:$H$604,MATCH(B119,'Content Calendar'!$A$5:$A$604,0)),"Not found"))</f>
        <v>0</v>
      </c>
      <c r="D119" s="16">
        <f>IF(B119="","",IFERROR(INDEX('Content Calendar'!$B$5:$B$604,MATCH(B119,'Content Calendar'!$A$5:$A$604,0)),"Not found"))</f>
        <v>0</v>
      </c>
      <c r="E119" s="17">
        <f>IF(B119="","",IFERROR(INDEX('Content Calendar'!$J$5:$J$604,MATCH(B119,'Content Calendar'!$A$5:$A$604,0)),"Not found"))</f>
        <v>0</v>
      </c>
      <c r="F119" s="29">
        <f>IF(B119="","",IFERROR(INDEX('Content Calendar'!$X$5:$X$604,MATCH(B119,'Content Calendar'!$A$5:$A$604,0)),"Not found"))</f>
        <v>0</v>
      </c>
      <c r="I119" s="23">
        <f>IF(H119="","",LEN(H119))</f>
        <v>0</v>
      </c>
      <c r="Z119" s="23">
        <f>IF(X119="","",X119-N(Y119))</f>
        <v>0</v>
      </c>
      <c r="AB119" s="23">
        <f>IF(B119="","",IF(COUNTIF(Performance!$B$5:$B$404,B119)=0,"",SUMIFS(Performance!$O$5:$O$404,Performance!$B$5:$B$404,B119)))</f>
        <v>0</v>
      </c>
      <c r="AC119" s="23">
        <f>IF(B119="","",IF(COUNTIF(Performance!$B$5:$B$404,B119)=0,"",SUMIFS(Performance!$P$5:$P$404,Performance!$B$5:$B$404,B119)))</f>
        <v>0</v>
      </c>
      <c r="AD119" s="23">
        <f>IF(B119="","",IF(COUNTIF(Performance!$B$5:$B$404,B119)=0,"",SUMIFS(Performance!$Z$5:$Z$404,Performance!$B$5:$B$404,B119)))</f>
        <v>0</v>
      </c>
      <c r="AE119" s="24">
        <f>IF(OR(AB119="",AB119=0),"",AD119/AB119)</f>
        <v>0</v>
      </c>
      <c r="AF119" s="23">
        <f>IF(B119="","",IF(COUNTIF(Performance!$B$5:$B$404,B119)=0,"",SUMIFS(Performance!$T$5:$T$404,Performance!$B$5:$B$404,B119)))</f>
        <v>0</v>
      </c>
      <c r="AG119" s="23">
        <f>IF(B119="","",IF(COUNTIF(Performance!$B$5:$B$404,B119)=0,"",SUMIFS(Performance!$S$5:$S$404,Performance!$B$5:$B$404,B119)))</f>
        <v>0</v>
      </c>
      <c r="AH119" s="23">
        <f>IF(B119="","",IF(COUNTIF(Performance!$B$5:$B$404,B119)=0,"",SUMIFS(Performance!$R$5:$R$404,Performance!$B$5:$B$404,B119)))</f>
        <v>0</v>
      </c>
      <c r="AI119" s="23">
        <f>IF(B119="","",IF(COUNTIF(Performance!$B$5:$B$404,B119)=0,"",SUMIFS(Performance!$U$5:$U$404,Performance!$B$5:$B$404,B119)))</f>
        <v>0</v>
      </c>
      <c r="AJ119" s="29">
        <f>IF(B119="","",IF(C119="Not found","Check - content ID not on the calendar",IF(N119="","Add - no thumbnail",IF(AND(W119&lt;&gt;"",W119&lt;0.03),"Review - thumbnail click rate is low",IF(AND(V119&lt;&gt;"",V119&lt;0.3),"Review - viewers leave early","OK")))))</f>
        <v>0</v>
      </c>
    </row>
    <row r="120" spans="1:36">
      <c r="A120" s="41">
        <f>IF(B120="","","YT-"&amp;TEXT(ROW()-4,"000"))</f>
        <v>0</v>
      </c>
      <c r="C120" s="17">
        <f>IF(B120="","",IFERROR(INDEX('Content Calendar'!$H$5:$H$604,MATCH(B120,'Content Calendar'!$A$5:$A$604,0)),"Not found"))</f>
        <v>0</v>
      </c>
      <c r="D120" s="16">
        <f>IF(B120="","",IFERROR(INDEX('Content Calendar'!$B$5:$B$604,MATCH(B120,'Content Calendar'!$A$5:$A$604,0)),"Not found"))</f>
        <v>0</v>
      </c>
      <c r="E120" s="17">
        <f>IF(B120="","",IFERROR(INDEX('Content Calendar'!$J$5:$J$604,MATCH(B120,'Content Calendar'!$A$5:$A$604,0)),"Not found"))</f>
        <v>0</v>
      </c>
      <c r="F120" s="29">
        <f>IF(B120="","",IFERROR(INDEX('Content Calendar'!$X$5:$X$604,MATCH(B120,'Content Calendar'!$A$5:$A$604,0)),"Not found"))</f>
        <v>0</v>
      </c>
      <c r="I120" s="23">
        <f>IF(H120="","",LEN(H120))</f>
        <v>0</v>
      </c>
      <c r="Z120" s="23">
        <f>IF(X120="","",X120-N(Y120))</f>
        <v>0</v>
      </c>
      <c r="AB120" s="23">
        <f>IF(B120="","",IF(COUNTIF(Performance!$B$5:$B$404,B120)=0,"",SUMIFS(Performance!$O$5:$O$404,Performance!$B$5:$B$404,B120)))</f>
        <v>0</v>
      </c>
      <c r="AC120" s="23">
        <f>IF(B120="","",IF(COUNTIF(Performance!$B$5:$B$404,B120)=0,"",SUMIFS(Performance!$P$5:$P$404,Performance!$B$5:$B$404,B120)))</f>
        <v>0</v>
      </c>
      <c r="AD120" s="23">
        <f>IF(B120="","",IF(COUNTIF(Performance!$B$5:$B$404,B120)=0,"",SUMIFS(Performance!$Z$5:$Z$404,Performance!$B$5:$B$404,B120)))</f>
        <v>0</v>
      </c>
      <c r="AE120" s="24">
        <f>IF(OR(AB120="",AB120=0),"",AD120/AB120)</f>
        <v>0</v>
      </c>
      <c r="AF120" s="23">
        <f>IF(B120="","",IF(COUNTIF(Performance!$B$5:$B$404,B120)=0,"",SUMIFS(Performance!$T$5:$T$404,Performance!$B$5:$B$404,B120)))</f>
        <v>0</v>
      </c>
      <c r="AG120" s="23">
        <f>IF(B120="","",IF(COUNTIF(Performance!$B$5:$B$404,B120)=0,"",SUMIFS(Performance!$S$5:$S$404,Performance!$B$5:$B$404,B120)))</f>
        <v>0</v>
      </c>
      <c r="AH120" s="23">
        <f>IF(B120="","",IF(COUNTIF(Performance!$B$5:$B$404,B120)=0,"",SUMIFS(Performance!$R$5:$R$404,Performance!$B$5:$B$404,B120)))</f>
        <v>0</v>
      </c>
      <c r="AI120" s="23">
        <f>IF(B120="","",IF(COUNTIF(Performance!$B$5:$B$404,B120)=0,"",SUMIFS(Performance!$U$5:$U$404,Performance!$B$5:$B$404,B120)))</f>
        <v>0</v>
      </c>
      <c r="AJ120" s="29">
        <f>IF(B120="","",IF(C120="Not found","Check - content ID not on the calendar",IF(N120="","Add - no thumbnail",IF(AND(W120&lt;&gt;"",W120&lt;0.03),"Review - thumbnail click rate is low",IF(AND(V120&lt;&gt;"",V120&lt;0.3),"Review - viewers leave early","OK")))))</f>
        <v>0</v>
      </c>
    </row>
    <row r="121" spans="1:36">
      <c r="A121" s="41">
        <f>IF(B121="","","YT-"&amp;TEXT(ROW()-4,"000"))</f>
        <v>0</v>
      </c>
      <c r="C121" s="17">
        <f>IF(B121="","",IFERROR(INDEX('Content Calendar'!$H$5:$H$604,MATCH(B121,'Content Calendar'!$A$5:$A$604,0)),"Not found"))</f>
        <v>0</v>
      </c>
      <c r="D121" s="16">
        <f>IF(B121="","",IFERROR(INDEX('Content Calendar'!$B$5:$B$604,MATCH(B121,'Content Calendar'!$A$5:$A$604,0)),"Not found"))</f>
        <v>0</v>
      </c>
      <c r="E121" s="17">
        <f>IF(B121="","",IFERROR(INDEX('Content Calendar'!$J$5:$J$604,MATCH(B121,'Content Calendar'!$A$5:$A$604,0)),"Not found"))</f>
        <v>0</v>
      </c>
      <c r="F121" s="29">
        <f>IF(B121="","",IFERROR(INDEX('Content Calendar'!$X$5:$X$604,MATCH(B121,'Content Calendar'!$A$5:$A$604,0)),"Not found"))</f>
        <v>0</v>
      </c>
      <c r="I121" s="23">
        <f>IF(H121="","",LEN(H121))</f>
        <v>0</v>
      </c>
      <c r="Z121" s="23">
        <f>IF(X121="","",X121-N(Y121))</f>
        <v>0</v>
      </c>
      <c r="AB121" s="23">
        <f>IF(B121="","",IF(COUNTIF(Performance!$B$5:$B$404,B121)=0,"",SUMIFS(Performance!$O$5:$O$404,Performance!$B$5:$B$404,B121)))</f>
        <v>0</v>
      </c>
      <c r="AC121" s="23">
        <f>IF(B121="","",IF(COUNTIF(Performance!$B$5:$B$404,B121)=0,"",SUMIFS(Performance!$P$5:$P$404,Performance!$B$5:$B$404,B121)))</f>
        <v>0</v>
      </c>
      <c r="AD121" s="23">
        <f>IF(B121="","",IF(COUNTIF(Performance!$B$5:$B$404,B121)=0,"",SUMIFS(Performance!$Z$5:$Z$404,Performance!$B$5:$B$404,B121)))</f>
        <v>0</v>
      </c>
      <c r="AE121" s="24">
        <f>IF(OR(AB121="",AB121=0),"",AD121/AB121)</f>
        <v>0</v>
      </c>
      <c r="AF121" s="23">
        <f>IF(B121="","",IF(COUNTIF(Performance!$B$5:$B$404,B121)=0,"",SUMIFS(Performance!$T$5:$T$404,Performance!$B$5:$B$404,B121)))</f>
        <v>0</v>
      </c>
      <c r="AG121" s="23">
        <f>IF(B121="","",IF(COUNTIF(Performance!$B$5:$B$404,B121)=0,"",SUMIFS(Performance!$S$5:$S$404,Performance!$B$5:$B$404,B121)))</f>
        <v>0</v>
      </c>
      <c r="AH121" s="23">
        <f>IF(B121="","",IF(COUNTIF(Performance!$B$5:$B$404,B121)=0,"",SUMIFS(Performance!$R$5:$R$404,Performance!$B$5:$B$404,B121)))</f>
        <v>0</v>
      </c>
      <c r="AI121" s="23">
        <f>IF(B121="","",IF(COUNTIF(Performance!$B$5:$B$404,B121)=0,"",SUMIFS(Performance!$U$5:$U$404,Performance!$B$5:$B$404,B121)))</f>
        <v>0</v>
      </c>
      <c r="AJ121" s="29">
        <f>IF(B121="","",IF(C121="Not found","Check - content ID not on the calendar",IF(N121="","Add - no thumbnail",IF(AND(W121&lt;&gt;"",W121&lt;0.03),"Review - thumbnail click rate is low",IF(AND(V121&lt;&gt;"",V121&lt;0.3),"Review - viewers leave early","OK")))))</f>
        <v>0</v>
      </c>
    </row>
    <row r="122" spans="1:36">
      <c r="A122" s="41">
        <f>IF(B122="","","YT-"&amp;TEXT(ROW()-4,"000"))</f>
        <v>0</v>
      </c>
      <c r="C122" s="17">
        <f>IF(B122="","",IFERROR(INDEX('Content Calendar'!$H$5:$H$604,MATCH(B122,'Content Calendar'!$A$5:$A$604,0)),"Not found"))</f>
        <v>0</v>
      </c>
      <c r="D122" s="16">
        <f>IF(B122="","",IFERROR(INDEX('Content Calendar'!$B$5:$B$604,MATCH(B122,'Content Calendar'!$A$5:$A$604,0)),"Not found"))</f>
        <v>0</v>
      </c>
      <c r="E122" s="17">
        <f>IF(B122="","",IFERROR(INDEX('Content Calendar'!$J$5:$J$604,MATCH(B122,'Content Calendar'!$A$5:$A$604,0)),"Not found"))</f>
        <v>0</v>
      </c>
      <c r="F122" s="29">
        <f>IF(B122="","",IFERROR(INDEX('Content Calendar'!$X$5:$X$604,MATCH(B122,'Content Calendar'!$A$5:$A$604,0)),"Not found"))</f>
        <v>0</v>
      </c>
      <c r="I122" s="23">
        <f>IF(H122="","",LEN(H122))</f>
        <v>0</v>
      </c>
      <c r="Z122" s="23">
        <f>IF(X122="","",X122-N(Y122))</f>
        <v>0</v>
      </c>
      <c r="AB122" s="23">
        <f>IF(B122="","",IF(COUNTIF(Performance!$B$5:$B$404,B122)=0,"",SUMIFS(Performance!$O$5:$O$404,Performance!$B$5:$B$404,B122)))</f>
        <v>0</v>
      </c>
      <c r="AC122" s="23">
        <f>IF(B122="","",IF(COUNTIF(Performance!$B$5:$B$404,B122)=0,"",SUMIFS(Performance!$P$5:$P$404,Performance!$B$5:$B$404,B122)))</f>
        <v>0</v>
      </c>
      <c r="AD122" s="23">
        <f>IF(B122="","",IF(COUNTIF(Performance!$B$5:$B$404,B122)=0,"",SUMIFS(Performance!$Z$5:$Z$404,Performance!$B$5:$B$404,B122)))</f>
        <v>0</v>
      </c>
      <c r="AE122" s="24">
        <f>IF(OR(AB122="",AB122=0),"",AD122/AB122)</f>
        <v>0</v>
      </c>
      <c r="AF122" s="23">
        <f>IF(B122="","",IF(COUNTIF(Performance!$B$5:$B$404,B122)=0,"",SUMIFS(Performance!$T$5:$T$404,Performance!$B$5:$B$404,B122)))</f>
        <v>0</v>
      </c>
      <c r="AG122" s="23">
        <f>IF(B122="","",IF(COUNTIF(Performance!$B$5:$B$404,B122)=0,"",SUMIFS(Performance!$S$5:$S$404,Performance!$B$5:$B$404,B122)))</f>
        <v>0</v>
      </c>
      <c r="AH122" s="23">
        <f>IF(B122="","",IF(COUNTIF(Performance!$B$5:$B$404,B122)=0,"",SUMIFS(Performance!$R$5:$R$404,Performance!$B$5:$B$404,B122)))</f>
        <v>0</v>
      </c>
      <c r="AI122" s="23">
        <f>IF(B122="","",IF(COUNTIF(Performance!$B$5:$B$404,B122)=0,"",SUMIFS(Performance!$U$5:$U$404,Performance!$B$5:$B$404,B122)))</f>
        <v>0</v>
      </c>
      <c r="AJ122" s="29">
        <f>IF(B122="","",IF(C122="Not found","Check - content ID not on the calendar",IF(N122="","Add - no thumbnail",IF(AND(W122&lt;&gt;"",W122&lt;0.03),"Review - thumbnail click rate is low",IF(AND(V122&lt;&gt;"",V122&lt;0.3),"Review - viewers leave early","OK")))))</f>
        <v>0</v>
      </c>
    </row>
    <row r="123" spans="1:36">
      <c r="A123" s="41">
        <f>IF(B123="","","YT-"&amp;TEXT(ROW()-4,"000"))</f>
        <v>0</v>
      </c>
      <c r="C123" s="17">
        <f>IF(B123="","",IFERROR(INDEX('Content Calendar'!$H$5:$H$604,MATCH(B123,'Content Calendar'!$A$5:$A$604,0)),"Not found"))</f>
        <v>0</v>
      </c>
      <c r="D123" s="16">
        <f>IF(B123="","",IFERROR(INDEX('Content Calendar'!$B$5:$B$604,MATCH(B123,'Content Calendar'!$A$5:$A$604,0)),"Not found"))</f>
        <v>0</v>
      </c>
      <c r="E123" s="17">
        <f>IF(B123="","",IFERROR(INDEX('Content Calendar'!$J$5:$J$604,MATCH(B123,'Content Calendar'!$A$5:$A$604,0)),"Not found"))</f>
        <v>0</v>
      </c>
      <c r="F123" s="29">
        <f>IF(B123="","",IFERROR(INDEX('Content Calendar'!$X$5:$X$604,MATCH(B123,'Content Calendar'!$A$5:$A$604,0)),"Not found"))</f>
        <v>0</v>
      </c>
      <c r="I123" s="23">
        <f>IF(H123="","",LEN(H123))</f>
        <v>0</v>
      </c>
      <c r="Z123" s="23">
        <f>IF(X123="","",X123-N(Y123))</f>
        <v>0</v>
      </c>
      <c r="AB123" s="23">
        <f>IF(B123="","",IF(COUNTIF(Performance!$B$5:$B$404,B123)=0,"",SUMIFS(Performance!$O$5:$O$404,Performance!$B$5:$B$404,B123)))</f>
        <v>0</v>
      </c>
      <c r="AC123" s="23">
        <f>IF(B123="","",IF(COUNTIF(Performance!$B$5:$B$404,B123)=0,"",SUMIFS(Performance!$P$5:$P$404,Performance!$B$5:$B$404,B123)))</f>
        <v>0</v>
      </c>
      <c r="AD123" s="23">
        <f>IF(B123="","",IF(COUNTIF(Performance!$B$5:$B$404,B123)=0,"",SUMIFS(Performance!$Z$5:$Z$404,Performance!$B$5:$B$404,B123)))</f>
        <v>0</v>
      </c>
      <c r="AE123" s="24">
        <f>IF(OR(AB123="",AB123=0),"",AD123/AB123)</f>
        <v>0</v>
      </c>
      <c r="AF123" s="23">
        <f>IF(B123="","",IF(COUNTIF(Performance!$B$5:$B$404,B123)=0,"",SUMIFS(Performance!$T$5:$T$404,Performance!$B$5:$B$404,B123)))</f>
        <v>0</v>
      </c>
      <c r="AG123" s="23">
        <f>IF(B123="","",IF(COUNTIF(Performance!$B$5:$B$404,B123)=0,"",SUMIFS(Performance!$S$5:$S$404,Performance!$B$5:$B$404,B123)))</f>
        <v>0</v>
      </c>
      <c r="AH123" s="23">
        <f>IF(B123="","",IF(COUNTIF(Performance!$B$5:$B$404,B123)=0,"",SUMIFS(Performance!$R$5:$R$404,Performance!$B$5:$B$404,B123)))</f>
        <v>0</v>
      </c>
      <c r="AI123" s="23">
        <f>IF(B123="","",IF(COUNTIF(Performance!$B$5:$B$404,B123)=0,"",SUMIFS(Performance!$U$5:$U$404,Performance!$B$5:$B$404,B123)))</f>
        <v>0</v>
      </c>
      <c r="AJ123" s="29">
        <f>IF(B123="","",IF(C123="Not found","Check - content ID not on the calendar",IF(N123="","Add - no thumbnail",IF(AND(W123&lt;&gt;"",W123&lt;0.03),"Review - thumbnail click rate is low",IF(AND(V123&lt;&gt;"",V123&lt;0.3),"Review - viewers leave early","OK")))))</f>
        <v>0</v>
      </c>
    </row>
    <row r="124" spans="1:36">
      <c r="A124" s="41">
        <f>IF(B124="","","YT-"&amp;TEXT(ROW()-4,"000"))</f>
        <v>0</v>
      </c>
      <c r="C124" s="17">
        <f>IF(B124="","",IFERROR(INDEX('Content Calendar'!$H$5:$H$604,MATCH(B124,'Content Calendar'!$A$5:$A$604,0)),"Not found"))</f>
        <v>0</v>
      </c>
      <c r="D124" s="16">
        <f>IF(B124="","",IFERROR(INDEX('Content Calendar'!$B$5:$B$604,MATCH(B124,'Content Calendar'!$A$5:$A$604,0)),"Not found"))</f>
        <v>0</v>
      </c>
      <c r="E124" s="17">
        <f>IF(B124="","",IFERROR(INDEX('Content Calendar'!$J$5:$J$604,MATCH(B124,'Content Calendar'!$A$5:$A$604,0)),"Not found"))</f>
        <v>0</v>
      </c>
      <c r="F124" s="29">
        <f>IF(B124="","",IFERROR(INDEX('Content Calendar'!$X$5:$X$604,MATCH(B124,'Content Calendar'!$A$5:$A$604,0)),"Not found"))</f>
        <v>0</v>
      </c>
      <c r="I124" s="23">
        <f>IF(H124="","",LEN(H124))</f>
        <v>0</v>
      </c>
      <c r="Z124" s="23">
        <f>IF(X124="","",X124-N(Y124))</f>
        <v>0</v>
      </c>
      <c r="AB124" s="23">
        <f>IF(B124="","",IF(COUNTIF(Performance!$B$5:$B$404,B124)=0,"",SUMIFS(Performance!$O$5:$O$404,Performance!$B$5:$B$404,B124)))</f>
        <v>0</v>
      </c>
      <c r="AC124" s="23">
        <f>IF(B124="","",IF(COUNTIF(Performance!$B$5:$B$404,B124)=0,"",SUMIFS(Performance!$P$5:$P$404,Performance!$B$5:$B$404,B124)))</f>
        <v>0</v>
      </c>
      <c r="AD124" s="23">
        <f>IF(B124="","",IF(COUNTIF(Performance!$B$5:$B$404,B124)=0,"",SUMIFS(Performance!$Z$5:$Z$404,Performance!$B$5:$B$404,B124)))</f>
        <v>0</v>
      </c>
      <c r="AE124" s="24">
        <f>IF(OR(AB124="",AB124=0),"",AD124/AB124)</f>
        <v>0</v>
      </c>
      <c r="AF124" s="23">
        <f>IF(B124="","",IF(COUNTIF(Performance!$B$5:$B$404,B124)=0,"",SUMIFS(Performance!$T$5:$T$404,Performance!$B$5:$B$404,B124)))</f>
        <v>0</v>
      </c>
      <c r="AG124" s="23">
        <f>IF(B124="","",IF(COUNTIF(Performance!$B$5:$B$404,B124)=0,"",SUMIFS(Performance!$S$5:$S$404,Performance!$B$5:$B$404,B124)))</f>
        <v>0</v>
      </c>
      <c r="AH124" s="23">
        <f>IF(B124="","",IF(COUNTIF(Performance!$B$5:$B$404,B124)=0,"",SUMIFS(Performance!$R$5:$R$404,Performance!$B$5:$B$404,B124)))</f>
        <v>0</v>
      </c>
      <c r="AI124" s="23">
        <f>IF(B124="","",IF(COUNTIF(Performance!$B$5:$B$404,B124)=0,"",SUMIFS(Performance!$U$5:$U$404,Performance!$B$5:$B$404,B124)))</f>
        <v>0</v>
      </c>
      <c r="AJ124" s="29">
        <f>IF(B124="","",IF(C124="Not found","Check - content ID not on the calendar",IF(N124="","Add - no thumbnail",IF(AND(W124&lt;&gt;"",W124&lt;0.03),"Review - thumbnail click rate is low",IF(AND(V124&lt;&gt;"",V124&lt;0.3),"Review - viewers leave early","OK")))))</f>
        <v>0</v>
      </c>
    </row>
  </sheetData>
  <sheetProtection password="EC7C" sheet="1" objects="1" scenarios="1" formatCells="0" formatColumns="0" formatRows="0" insertRows="0" insertHyperlinks="0" deleteRows="0" autoFilter="0"/>
  <autoFilter ref="A4:AK124"/>
  <mergeCells count="13">
    <mergeCell ref="A1:AH1"/>
    <mergeCell ref="AI1:AK1"/>
    <mergeCell ref="A2:AK2"/>
    <mergeCell ref="A3:B3"/>
    <mergeCell ref="C3:D3"/>
    <mergeCell ref="E3:F3"/>
    <mergeCell ref="G3:H3"/>
    <mergeCell ref="I3:J3"/>
    <mergeCell ref="K3:L3"/>
    <mergeCell ref="M3:N3"/>
    <mergeCell ref="O3:P3"/>
    <mergeCell ref="Q3:R3"/>
    <mergeCell ref="S3:AK3"/>
  </mergeCells>
  <conditionalFormatting sqref="AB5:AB124">
    <cfRule type="dataBar" priority="6">
      <dataBar>
        <cfvo type="min" val="0"/>
        <cfvo type="max" val="0"/>
        <color rgb="FF6350A8"/>
      </dataBar>
    </cfRule>
  </conditionalFormatting>
  <conditionalFormatting sqref="AE5:AE124">
    <cfRule type="cellIs" dxfId="0" priority="7" operator="greaterThanOrEqual">
      <formula>TargetEngagement</formula>
    </cfRule>
    <cfRule type="cellIs" dxfId="2" priority="8" operator="lessThan">
      <formula>TargetEngagement</formula>
    </cfRule>
  </conditionalFormatting>
  <conditionalFormatting sqref="AJ5:AJ124">
    <cfRule type="beginsWith" dxfId="0" priority="9" operator="beginsWith" text="OK">
      <formula>LEFT(AJ5,2)="OK"</formula>
    </cfRule>
    <cfRule type="containsText" dxfId="1" priority="10" operator="containsText" text="Overdue">
      <formula>NOT(ISERROR(SEARCH("Overdue",AJ5)))</formula>
    </cfRule>
    <cfRule type="containsText" dxfId="1" priority="11" operator="containsText" text="Late">
      <formula>NOT(ISERROR(SEARCH("Late",AJ5)))</formula>
    </cfRule>
    <cfRule type="containsText" dxfId="1" priority="12" operator="containsText" text="Missing">
      <formula>NOT(ISERROR(SEARCH("Missing",AJ5)))</formula>
    </cfRule>
    <cfRule type="containsText" dxfId="1" priority="13" operator="containsText" text="Conflict">
      <formula>NOT(ISERROR(SEARCH("Conflict",AJ5)))</formula>
    </cfRule>
    <cfRule type="containsText" dxfId="1" priority="14" operator="containsText" text="Expired">
      <formula>NOT(ISERROR(SEARCH("Expired",AJ5)))</formula>
    </cfRule>
    <cfRule type="containsText" dxfId="1" priority="15" operator="containsText" text="Duplicate">
      <formula>NOT(ISERROR(SEARCH("Duplicate",AJ5)))</formula>
    </cfRule>
    <cfRule type="containsText" dxfId="2" priority="16" operator="containsText" text="Action">
      <formula>NOT(ISERROR(SEARCH("Action",AJ5)))</formula>
    </cfRule>
    <cfRule type="containsText" dxfId="2" priority="17" operator="containsText" text="Due">
      <formula>NOT(ISERROR(SEARCH("Due",AJ5)))</formula>
    </cfRule>
    <cfRule type="containsText" dxfId="2" priority="18" operator="containsText" text="Check">
      <formula>NOT(ISERROR(SEARCH("Check",AJ5)))</formula>
    </cfRule>
    <cfRule type="containsText" dxfId="2" priority="19" operator="containsText" text="Add">
      <formula>NOT(ISERROR(SEARCH("Add",AJ5)))</formula>
    </cfRule>
    <cfRule type="containsText" dxfId="3" priority="20" operator="containsText" text="Today">
      <formula>NOT(ISERROR(SEARCH("Today",AJ5)))</formula>
    </cfRule>
    <cfRule type="containsText" dxfId="3" priority="21" operator="containsText" text="Upcoming">
      <formula>NOT(ISERROR(SEARCH("Upcoming",AJ5)))</formula>
    </cfRule>
  </conditionalFormatting>
  <conditionalFormatting sqref="I5:I124">
    <cfRule type="cellIs" dxfId="2" priority="1" operator="greaterThan">
      <formula>60</formula>
    </cfRule>
  </conditionalFormatting>
  <conditionalFormatting sqref="V5:V124">
    <cfRule type="cellIs" dxfId="0" priority="2" operator="greaterThanOrEqual">
      <formula>0.5</formula>
    </cfRule>
    <cfRule type="cellIs" dxfId="2" priority="3" operator="lessThan">
      <formula>0.3</formula>
    </cfRule>
  </conditionalFormatting>
  <conditionalFormatting sqref="W5:W124">
    <cfRule type="cellIs" dxfId="0" priority="4" operator="greaterThanOrEqual">
      <formula>0.05</formula>
    </cfRule>
    <cfRule type="cellIs" dxfId="2" priority="5" operator="lessThan">
      <formula>0.03</formula>
    </cfRule>
  </conditionalFormatting>
  <dataValidations count="8">
    <dataValidation type="list" allowBlank="1" showInputMessage="1" showErrorMessage="1" promptTitle="Content ID" prompt="Pick the C-0000 ID of the YouTube post from the Content Calendar. Everything grey fills itself in." sqref="B5:B124">
      <formula1>ContentIDs</formula1>
    </dataValidation>
    <dataValidation type="list" allowBlank="1" showInputMessage="1" showErrorMessage="1" sqref="G5:G124">
      <formula1>FormatList</formula1>
    </dataValidation>
    <dataValidation type="decimal" allowBlank="1" showInputMessage="1" showErrorMessage="1" errorTitle="Check the value" error="Enter a number between 0 and 10000000." sqref="T5:T124">
      <formula1>0</formula1>
      <formula2>10000000</formula2>
    </dataValidation>
    <dataValidation type="decimal" allowBlank="1" showInputMessage="1" showErrorMessage="1" errorTitle="Check the value" error="Enter a number between 0 and 100000." sqref="U5:U124">
      <formula1>0</formula1>
      <formula2>100000</formula2>
    </dataValidation>
    <dataValidation type="decimal" allowBlank="1" showInputMessage="1" showErrorMessage="1" errorTitle="Check the value" error="Enter a number between 0 and 1." sqref="V5:V124">
      <formula1>0</formula1>
      <formula2>1</formula2>
    </dataValidation>
    <dataValidation type="decimal" allowBlank="1" showInputMessage="1" showErrorMessage="1" errorTitle="Check the value" error="Enter a number between 0 and 1." sqref="W5:W124">
      <formula1>0</formula1>
      <formula2>1</formula2>
    </dataValidation>
    <dataValidation type="whole" allowBlank="1" showInputMessage="1" showErrorMessage="1" errorTitle="Check the value" error="Enter a number between 0 and 10000000." sqref="X5:X124">
      <formula1>0</formula1>
      <formula2>10000000</formula2>
    </dataValidation>
    <dataValidation type="whole" allowBlank="1" showInputMessage="1" showErrorMessage="1" errorTitle="Check the value" error="Enter a number between 0 and 10000000." sqref="Y5:Y124">
      <formula1>0</formula1>
      <formula2>10000000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&amp;L&amp;"Calibri,Bold"&amp;12&amp;C&amp;"Calibri,Bold"&amp;11YouTube&amp;R&amp;"Calibri,Italic"&amp;9Social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0.xml><?xml version="1.0" encoding="utf-8"?>
<worksheet xmlns="http://schemas.openxmlformats.org/spreadsheetml/2006/main" xmlns:r="http://schemas.openxmlformats.org/officeDocument/2006/relationships">
  <sheetPr>
    <tabColor rgb="FF6350A8"/>
    <pageSetUpPr fitToPage="1"/>
  </sheetPr>
  <dimension ref="A1:Y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5.7109375" style="17" customWidth="1"/>
    <col min="6" max="6" width="14.7109375" style="29" customWidth="1"/>
    <col min="7" max="7" width="14.7109375" style="15" customWidth="1"/>
    <col min="8" max="8" width="22.7109375" style="15" customWidth="1"/>
    <col min="9" max="9" width="26.7109375" style="39" customWidth="1"/>
    <col min="10" max="10" width="26.7109375" style="42" customWidth="1"/>
    <col min="11" max="11" width="12.7109375" style="40" customWidth="1"/>
    <col min="12" max="12" width="20.7109375" style="15" customWidth="1"/>
    <col min="13" max="13" width="11.7109375" style="34" customWidth="1"/>
    <col min="14" max="14" width="11.7109375" style="34" customWidth="1"/>
    <col min="15" max="15" width="14.7109375" style="34" customWidth="1"/>
    <col min="16" max="16" width="11.7109375" style="23" customWidth="1"/>
    <col min="17" max="17" width="11.7109375" style="23" customWidth="1"/>
    <col min="18" max="18" width="11.7109375" style="23" customWidth="1"/>
    <col min="19" max="19" width="12.7109375" style="24" customWidth="1"/>
    <col min="20" max="20" width="9.7109375" style="23" customWidth="1"/>
    <col min="21" max="21" width="9.7109375" style="23" customWidth="1"/>
    <col min="22" max="22" width="10.7109375" style="23" customWidth="1"/>
    <col min="23" max="23" width="9.7109375" style="23" customWidth="1"/>
    <col min="24" max="24" width="28.7109375" style="29" customWidth="1"/>
    <col min="25" max="25" width="24.7109375" style="39" customWidth="1"/>
  </cols>
  <sheetData>
    <row r="1" spans="1:25" ht="34" customHeight="1">
      <c r="A1" s="2" t="s">
        <v>1539</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1540</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1541</v>
      </c>
      <c r="T3" s="38"/>
      <c r="U3" s="38"/>
      <c r="V3" s="38"/>
      <c r="W3" s="38"/>
      <c r="X3" s="38"/>
      <c r="Y3" s="38"/>
    </row>
    <row r="4" spans="1:25" ht="30" customHeight="1">
      <c r="A4" s="8" t="s">
        <v>766</v>
      </c>
      <c r="B4" s="8" t="s">
        <v>1391</v>
      </c>
      <c r="C4" s="9" t="s">
        <v>904</v>
      </c>
      <c r="D4" s="9" t="s">
        <v>902</v>
      </c>
      <c r="E4" s="9" t="s">
        <v>195</v>
      </c>
      <c r="F4" s="9" t="s">
        <v>221</v>
      </c>
      <c r="G4" s="9" t="s">
        <v>1542</v>
      </c>
      <c r="H4" s="9" t="s">
        <v>1543</v>
      </c>
      <c r="I4" s="9" t="s">
        <v>1544</v>
      </c>
      <c r="J4" s="9" t="s">
        <v>1545</v>
      </c>
      <c r="K4" s="9" t="s">
        <v>1546</v>
      </c>
      <c r="L4" s="9" t="s">
        <v>1547</v>
      </c>
      <c r="M4" s="9" t="s">
        <v>1548</v>
      </c>
      <c r="N4" s="9" t="s">
        <v>166</v>
      </c>
      <c r="O4" s="9" t="s">
        <v>1549</v>
      </c>
      <c r="P4" s="9" t="s">
        <v>149</v>
      </c>
      <c r="Q4" s="9" t="s">
        <v>151</v>
      </c>
      <c r="R4" s="9" t="s">
        <v>153</v>
      </c>
      <c r="S4" s="9" t="s">
        <v>155</v>
      </c>
      <c r="T4" s="9" t="s">
        <v>1400</v>
      </c>
      <c r="U4" s="9" t="s">
        <v>1401</v>
      </c>
      <c r="V4" s="9" t="s">
        <v>1402</v>
      </c>
      <c r="W4" s="9" t="s">
        <v>188</v>
      </c>
      <c r="X4" s="9" t="s">
        <v>787</v>
      </c>
      <c r="Y4" s="9" t="s">
        <v>788</v>
      </c>
    </row>
    <row r="5" spans="1:25">
      <c r="A5" s="41">
        <f>IF(B5="","","FB-"&amp;TEXT(ROW()-4,"000"))</f>
        <v>0</v>
      </c>
      <c r="B5" s="15" t="s">
        <v>1550</v>
      </c>
      <c r="C5" s="17">
        <f>IF(B5="","",IFERROR(INDEX('Content Calendar'!$H$5:$H$604,MATCH(B5,'Content Calendar'!$A$5:$A$604,0)),"Not found"))</f>
        <v>0</v>
      </c>
      <c r="D5" s="16">
        <f>IF(B5="","",IFERROR(INDEX('Content Calendar'!$B$5:$B$604,MATCH(B5,'Content Calendar'!$A$5:$A$604,0)),"Not found"))</f>
        <v>0</v>
      </c>
      <c r="E5" s="17">
        <f>IF(B5="","",IFERROR(INDEX('Content Calendar'!$J$5:$J$604,MATCH(B5,'Content Calendar'!$A$5:$A$604,0)),"Not found"))</f>
        <v>0</v>
      </c>
      <c r="F5" s="29">
        <f>IF(B5="","",IFERROR(INDEX('Content Calendar'!$X$5:$X$604,MATCH(B5,'Content Calendar'!$A$5:$A$604,0)),"Not found"))</f>
        <v>0</v>
      </c>
      <c r="G5" s="15" t="s">
        <v>396</v>
      </c>
      <c r="H5" s="15" t="s">
        <v>1551</v>
      </c>
      <c r="I5" s="39" t="s">
        <v>1552</v>
      </c>
      <c r="J5" s="42" t="s">
        <v>289</v>
      </c>
      <c r="K5" s="40" t="s">
        <v>373</v>
      </c>
      <c r="L5" s="15" t="s">
        <v>1553</v>
      </c>
      <c r="M5" s="34">
        <v>132</v>
      </c>
      <c r="N5" s="34">
        <v>31</v>
      </c>
      <c r="O5" s="34">
        <v>20</v>
      </c>
      <c r="P5" s="23">
        <f>IF(B5="","",IF(COUNTIF(Performance!$B$5:$B$404,B5)=0,"",SUMIFS(Performance!$O$5:$O$404,Performance!$B$5:$B$404,B5)))</f>
        <v>0</v>
      </c>
      <c r="Q5" s="23">
        <f>IF(B5="","",IF(COUNTIF(Performance!$B$5:$B$404,B5)=0,"",SUMIFS(Performance!$P$5:$P$404,Performance!$B$5:$B$404,B5)))</f>
        <v>0</v>
      </c>
      <c r="R5" s="23">
        <f>IF(B5="","",IF(COUNTIF(Performance!$B$5:$B$404,B5)=0,"",SUMIFS(Performance!$Z$5:$Z$404,Performance!$B$5:$B$404,B5)))</f>
        <v>0</v>
      </c>
      <c r="S5" s="24">
        <f>IF(OR(P5="",P5=0),"",R5/P5)</f>
        <v>0</v>
      </c>
      <c r="T5" s="23">
        <f>IF(B5="","",IF(COUNTIF(Performance!$B$5:$B$404,B5)=0,"",SUMIFS(Performance!$T$5:$T$404,Performance!$B$5:$B$404,B5)))</f>
        <v>0</v>
      </c>
      <c r="U5" s="23">
        <f>IF(B5="","",IF(COUNTIF(Performance!$B$5:$B$404,B5)=0,"",SUMIFS(Performance!$S$5:$S$404,Performance!$B$5:$B$404,B5)))</f>
        <v>0</v>
      </c>
      <c r="V5" s="23">
        <f>IF(B5="","",IF(COUNTIF(Performance!$B$5:$B$404,B5)=0,"",SUMIFS(Performance!$R$5:$R$404,Performance!$B$5:$B$404,B5)))</f>
        <v>0</v>
      </c>
      <c r="W5" s="23">
        <f>IF(B5="","",IF(COUNTIF(Performance!$B$5:$B$404,B5)=0,"",SUMIFS(Performance!$U$5:$U$404,Performance!$B$5:$B$404,B5)))</f>
        <v>0</v>
      </c>
      <c r="X5" s="29">
        <f>IF(B5="","",IF(C5="Not found","Check - content ID not on the calendar",IF(AND(J5="",G5&lt;&gt;"Photo"),"Add - no link on a link post",IF(AND(P5&lt;&gt;"",S5&lt;TargetEngagement),"Review - below your target rate","OK"))))</f>
        <v>0</v>
      </c>
      <c r="Y5" s="39" t="s">
        <v>205</v>
      </c>
    </row>
    <row r="6" spans="1:25">
      <c r="A6" s="41">
        <f>IF(B6="","","FB-"&amp;TEXT(ROW()-4,"000"))</f>
        <v>0</v>
      </c>
      <c r="B6" s="15" t="s">
        <v>1554</v>
      </c>
      <c r="C6" s="17">
        <f>IF(B6="","",IFERROR(INDEX('Content Calendar'!$H$5:$H$604,MATCH(B6,'Content Calendar'!$A$5:$A$604,0)),"Not found"))</f>
        <v>0</v>
      </c>
      <c r="D6" s="16">
        <f>IF(B6="","",IFERROR(INDEX('Content Calendar'!$B$5:$B$604,MATCH(B6,'Content Calendar'!$A$5:$A$604,0)),"Not found"))</f>
        <v>0</v>
      </c>
      <c r="E6" s="17">
        <f>IF(B6="","",IFERROR(INDEX('Content Calendar'!$J$5:$J$604,MATCH(B6,'Content Calendar'!$A$5:$A$604,0)),"Not found"))</f>
        <v>0</v>
      </c>
      <c r="F6" s="29">
        <f>IF(B6="","",IFERROR(INDEX('Content Calendar'!$X$5:$X$604,MATCH(B6,'Content Calendar'!$A$5:$A$604,0)),"Not found"))</f>
        <v>0</v>
      </c>
      <c r="G6" s="15" t="s">
        <v>403</v>
      </c>
      <c r="H6" s="15" t="s">
        <v>1551</v>
      </c>
      <c r="I6" s="39" t="s">
        <v>1552</v>
      </c>
      <c r="J6" s="42" t="s">
        <v>289</v>
      </c>
      <c r="K6" s="40" t="s">
        <v>373</v>
      </c>
      <c r="L6" s="15" t="s">
        <v>205</v>
      </c>
      <c r="M6" s="34">
        <v>124</v>
      </c>
      <c r="N6" s="34">
        <v>13</v>
      </c>
      <c r="O6" s="34">
        <v>9</v>
      </c>
      <c r="P6" s="23">
        <f>IF(B6="","",IF(COUNTIF(Performance!$B$5:$B$404,B6)=0,"",SUMIFS(Performance!$O$5:$O$404,Performance!$B$5:$B$404,B6)))</f>
        <v>0</v>
      </c>
      <c r="Q6" s="23">
        <f>IF(B6="","",IF(COUNTIF(Performance!$B$5:$B$404,B6)=0,"",SUMIFS(Performance!$P$5:$P$404,Performance!$B$5:$B$404,B6)))</f>
        <v>0</v>
      </c>
      <c r="R6" s="23">
        <f>IF(B6="","",IF(COUNTIF(Performance!$B$5:$B$404,B6)=0,"",SUMIFS(Performance!$Z$5:$Z$404,Performance!$B$5:$B$404,B6)))</f>
        <v>0</v>
      </c>
      <c r="S6" s="24">
        <f>IF(OR(P6="",P6=0),"",R6/P6)</f>
        <v>0</v>
      </c>
      <c r="T6" s="23">
        <f>IF(B6="","",IF(COUNTIF(Performance!$B$5:$B$404,B6)=0,"",SUMIFS(Performance!$T$5:$T$404,Performance!$B$5:$B$404,B6)))</f>
        <v>0</v>
      </c>
      <c r="U6" s="23">
        <f>IF(B6="","",IF(COUNTIF(Performance!$B$5:$B$404,B6)=0,"",SUMIFS(Performance!$S$5:$S$404,Performance!$B$5:$B$404,B6)))</f>
        <v>0</v>
      </c>
      <c r="V6" s="23">
        <f>IF(B6="","",IF(COUNTIF(Performance!$B$5:$B$404,B6)=0,"",SUMIFS(Performance!$R$5:$R$404,Performance!$B$5:$B$404,B6)))</f>
        <v>0</v>
      </c>
      <c r="W6" s="23">
        <f>IF(B6="","",IF(COUNTIF(Performance!$B$5:$B$404,B6)=0,"",SUMIFS(Performance!$U$5:$U$404,Performance!$B$5:$B$404,B6)))</f>
        <v>0</v>
      </c>
      <c r="X6" s="29">
        <f>IF(B6="","",IF(C6="Not found","Check - content ID not on the calendar",IF(AND(J6="",G6&lt;&gt;"Photo"),"Add - no link on a link post",IF(AND(P6&lt;&gt;"",S6&lt;TargetEngagement),"Review - below your target rate","OK"))))</f>
        <v>0</v>
      </c>
      <c r="Y6" s="39" t="s">
        <v>205</v>
      </c>
    </row>
    <row r="7" spans="1:25">
      <c r="A7" s="41">
        <f>IF(B7="","","FB-"&amp;TEXT(ROW()-4,"000"))</f>
        <v>0</v>
      </c>
      <c r="B7" s="15" t="s">
        <v>1555</v>
      </c>
      <c r="C7" s="17">
        <f>IF(B7="","",IFERROR(INDEX('Content Calendar'!$H$5:$H$604,MATCH(B7,'Content Calendar'!$A$5:$A$604,0)),"Not found"))</f>
        <v>0</v>
      </c>
      <c r="D7" s="16">
        <f>IF(B7="","",IFERROR(INDEX('Content Calendar'!$B$5:$B$604,MATCH(B7,'Content Calendar'!$A$5:$A$604,0)),"Not found"))</f>
        <v>0</v>
      </c>
      <c r="E7" s="17">
        <f>IF(B7="","",IFERROR(INDEX('Content Calendar'!$J$5:$J$604,MATCH(B7,'Content Calendar'!$A$5:$A$604,0)),"Not found"))</f>
        <v>0</v>
      </c>
      <c r="F7" s="29">
        <f>IF(B7="","",IFERROR(INDEX('Content Calendar'!$X$5:$X$604,MATCH(B7,'Content Calendar'!$A$5:$A$604,0)),"Not found"))</f>
        <v>0</v>
      </c>
      <c r="G7" s="15" t="s">
        <v>396</v>
      </c>
      <c r="H7" s="15" t="s">
        <v>1551</v>
      </c>
      <c r="I7" s="39" t="s">
        <v>1552</v>
      </c>
      <c r="J7" s="42" t="s">
        <v>289</v>
      </c>
      <c r="K7" s="40" t="s">
        <v>373</v>
      </c>
      <c r="L7" s="15" t="s">
        <v>205</v>
      </c>
      <c r="M7" s="34">
        <v>61</v>
      </c>
      <c r="N7" s="34">
        <v>59</v>
      </c>
      <c r="O7" s="34">
        <v>4</v>
      </c>
      <c r="P7" s="23">
        <f>IF(B7="","",IF(COUNTIF(Performance!$B$5:$B$404,B7)=0,"",SUMIFS(Performance!$O$5:$O$404,Performance!$B$5:$B$404,B7)))</f>
        <v>0</v>
      </c>
      <c r="Q7" s="23">
        <f>IF(B7="","",IF(COUNTIF(Performance!$B$5:$B$404,B7)=0,"",SUMIFS(Performance!$P$5:$P$404,Performance!$B$5:$B$404,B7)))</f>
        <v>0</v>
      </c>
      <c r="R7" s="23">
        <f>IF(B7="","",IF(COUNTIF(Performance!$B$5:$B$404,B7)=0,"",SUMIFS(Performance!$Z$5:$Z$404,Performance!$B$5:$B$404,B7)))</f>
        <v>0</v>
      </c>
      <c r="S7" s="24">
        <f>IF(OR(P7="",P7=0),"",R7/P7)</f>
        <v>0</v>
      </c>
      <c r="T7" s="23">
        <f>IF(B7="","",IF(COUNTIF(Performance!$B$5:$B$404,B7)=0,"",SUMIFS(Performance!$T$5:$T$404,Performance!$B$5:$B$404,B7)))</f>
        <v>0</v>
      </c>
      <c r="U7" s="23">
        <f>IF(B7="","",IF(COUNTIF(Performance!$B$5:$B$404,B7)=0,"",SUMIFS(Performance!$S$5:$S$404,Performance!$B$5:$B$404,B7)))</f>
        <v>0</v>
      </c>
      <c r="V7" s="23">
        <f>IF(B7="","",IF(COUNTIF(Performance!$B$5:$B$404,B7)=0,"",SUMIFS(Performance!$R$5:$R$404,Performance!$B$5:$B$404,B7)))</f>
        <v>0</v>
      </c>
      <c r="W7" s="23">
        <f>IF(B7="","",IF(COUNTIF(Performance!$B$5:$B$404,B7)=0,"",SUMIFS(Performance!$U$5:$U$404,Performance!$B$5:$B$404,B7)))</f>
        <v>0</v>
      </c>
      <c r="X7" s="29">
        <f>IF(B7="","",IF(C7="Not found","Check - content ID not on the calendar",IF(AND(J7="",G7&lt;&gt;"Photo"),"Add - no link on a link post",IF(AND(P7&lt;&gt;"",S7&lt;TargetEngagement),"Review - below your target rate","OK"))))</f>
        <v>0</v>
      </c>
      <c r="Y7" s="39" t="s">
        <v>205</v>
      </c>
    </row>
    <row r="8" spans="1:25">
      <c r="A8" s="41">
        <f>IF(B8="","","FB-"&amp;TEXT(ROW()-4,"000"))</f>
        <v>0</v>
      </c>
      <c r="B8" s="15" t="s">
        <v>1556</v>
      </c>
      <c r="C8" s="17">
        <f>IF(B8="","",IFERROR(INDEX('Content Calendar'!$H$5:$H$604,MATCH(B8,'Content Calendar'!$A$5:$A$604,0)),"Not found"))</f>
        <v>0</v>
      </c>
      <c r="D8" s="16">
        <f>IF(B8="","",IFERROR(INDEX('Content Calendar'!$B$5:$B$604,MATCH(B8,'Content Calendar'!$A$5:$A$604,0)),"Not found"))</f>
        <v>0</v>
      </c>
      <c r="E8" s="17">
        <f>IF(B8="","",IFERROR(INDEX('Content Calendar'!$J$5:$J$604,MATCH(B8,'Content Calendar'!$A$5:$A$604,0)),"Not found"))</f>
        <v>0</v>
      </c>
      <c r="F8" s="29">
        <f>IF(B8="","",IFERROR(INDEX('Content Calendar'!$X$5:$X$604,MATCH(B8,'Content Calendar'!$A$5:$A$604,0)),"Not found"))</f>
        <v>0</v>
      </c>
      <c r="G8" s="15" t="s">
        <v>1039</v>
      </c>
      <c r="H8" s="15" t="s">
        <v>1551</v>
      </c>
      <c r="I8" s="39" t="s">
        <v>1552</v>
      </c>
      <c r="J8" s="42" t="s">
        <v>289</v>
      </c>
      <c r="K8" s="40" t="s">
        <v>373</v>
      </c>
      <c r="L8" s="15" t="s">
        <v>205</v>
      </c>
      <c r="M8" s="34">
        <v>135</v>
      </c>
      <c r="N8" s="34">
        <v>28</v>
      </c>
      <c r="O8" s="34">
        <v>4</v>
      </c>
      <c r="P8" s="23">
        <f>IF(B8="","",IF(COUNTIF(Performance!$B$5:$B$404,B8)=0,"",SUMIFS(Performance!$O$5:$O$404,Performance!$B$5:$B$404,B8)))</f>
        <v>0</v>
      </c>
      <c r="Q8" s="23">
        <f>IF(B8="","",IF(COUNTIF(Performance!$B$5:$B$404,B8)=0,"",SUMIFS(Performance!$P$5:$P$404,Performance!$B$5:$B$404,B8)))</f>
        <v>0</v>
      </c>
      <c r="R8" s="23">
        <f>IF(B8="","",IF(COUNTIF(Performance!$B$5:$B$404,B8)=0,"",SUMIFS(Performance!$Z$5:$Z$404,Performance!$B$5:$B$404,B8)))</f>
        <v>0</v>
      </c>
      <c r="S8" s="24">
        <f>IF(OR(P8="",P8=0),"",R8/P8)</f>
        <v>0</v>
      </c>
      <c r="T8" s="23">
        <f>IF(B8="","",IF(COUNTIF(Performance!$B$5:$B$404,B8)=0,"",SUMIFS(Performance!$T$5:$T$404,Performance!$B$5:$B$404,B8)))</f>
        <v>0</v>
      </c>
      <c r="U8" s="23">
        <f>IF(B8="","",IF(COUNTIF(Performance!$B$5:$B$404,B8)=0,"",SUMIFS(Performance!$S$5:$S$404,Performance!$B$5:$B$404,B8)))</f>
        <v>0</v>
      </c>
      <c r="V8" s="23">
        <f>IF(B8="","",IF(COUNTIF(Performance!$B$5:$B$404,B8)=0,"",SUMIFS(Performance!$R$5:$R$404,Performance!$B$5:$B$404,B8)))</f>
        <v>0</v>
      </c>
      <c r="W8" s="23">
        <f>IF(B8="","",IF(COUNTIF(Performance!$B$5:$B$404,B8)=0,"",SUMIFS(Performance!$U$5:$U$404,Performance!$B$5:$B$404,B8)))</f>
        <v>0</v>
      </c>
      <c r="X8" s="29">
        <f>IF(B8="","",IF(C8="Not found","Check - content ID not on the calendar",IF(AND(J8="",G8&lt;&gt;"Photo"),"Add - no link on a link post",IF(AND(P8&lt;&gt;"",S8&lt;TargetEngagement),"Review - below your target rate","OK"))))</f>
        <v>0</v>
      </c>
      <c r="Y8" s="39" t="s">
        <v>205</v>
      </c>
    </row>
    <row r="9" spans="1:25">
      <c r="A9" s="41">
        <f>IF(B9="","","FB-"&amp;TEXT(ROW()-4,"000"))</f>
        <v>0</v>
      </c>
      <c r="B9" s="15" t="s">
        <v>1557</v>
      </c>
      <c r="C9" s="17">
        <f>IF(B9="","",IFERROR(INDEX('Content Calendar'!$H$5:$H$604,MATCH(B9,'Content Calendar'!$A$5:$A$604,0)),"Not found"))</f>
        <v>0</v>
      </c>
      <c r="D9" s="16">
        <f>IF(B9="","",IFERROR(INDEX('Content Calendar'!$B$5:$B$604,MATCH(B9,'Content Calendar'!$A$5:$A$604,0)),"Not found"))</f>
        <v>0</v>
      </c>
      <c r="E9" s="17">
        <f>IF(B9="","",IFERROR(INDEX('Content Calendar'!$J$5:$J$604,MATCH(B9,'Content Calendar'!$A$5:$A$604,0)),"Not found"))</f>
        <v>0</v>
      </c>
      <c r="F9" s="29">
        <f>IF(B9="","",IFERROR(INDEX('Content Calendar'!$X$5:$X$604,MATCH(B9,'Content Calendar'!$A$5:$A$604,0)),"Not found"))</f>
        <v>0</v>
      </c>
      <c r="G9" s="15" t="s">
        <v>396</v>
      </c>
      <c r="H9" s="15" t="s">
        <v>1551</v>
      </c>
      <c r="I9" s="39" t="s">
        <v>1552</v>
      </c>
      <c r="J9" s="42" t="s">
        <v>289</v>
      </c>
      <c r="K9" s="40" t="s">
        <v>373</v>
      </c>
      <c r="L9" s="15" t="s">
        <v>1553</v>
      </c>
      <c r="M9" s="34">
        <v>108</v>
      </c>
      <c r="N9" s="34">
        <v>14</v>
      </c>
      <c r="O9" s="34">
        <v>22</v>
      </c>
      <c r="P9" s="23">
        <f>IF(B9="","",IF(COUNTIF(Performance!$B$5:$B$404,B9)=0,"",SUMIFS(Performance!$O$5:$O$404,Performance!$B$5:$B$404,B9)))</f>
        <v>0</v>
      </c>
      <c r="Q9" s="23">
        <f>IF(B9="","",IF(COUNTIF(Performance!$B$5:$B$404,B9)=0,"",SUMIFS(Performance!$P$5:$P$404,Performance!$B$5:$B$404,B9)))</f>
        <v>0</v>
      </c>
      <c r="R9" s="23">
        <f>IF(B9="","",IF(COUNTIF(Performance!$B$5:$B$404,B9)=0,"",SUMIFS(Performance!$Z$5:$Z$404,Performance!$B$5:$B$404,B9)))</f>
        <v>0</v>
      </c>
      <c r="S9" s="24">
        <f>IF(OR(P9="",P9=0),"",R9/P9)</f>
        <v>0</v>
      </c>
      <c r="T9" s="23">
        <f>IF(B9="","",IF(COUNTIF(Performance!$B$5:$B$404,B9)=0,"",SUMIFS(Performance!$T$5:$T$404,Performance!$B$5:$B$404,B9)))</f>
        <v>0</v>
      </c>
      <c r="U9" s="23">
        <f>IF(B9="","",IF(COUNTIF(Performance!$B$5:$B$404,B9)=0,"",SUMIFS(Performance!$S$5:$S$404,Performance!$B$5:$B$404,B9)))</f>
        <v>0</v>
      </c>
      <c r="V9" s="23">
        <f>IF(B9="","",IF(COUNTIF(Performance!$B$5:$B$404,B9)=0,"",SUMIFS(Performance!$R$5:$R$404,Performance!$B$5:$B$404,B9)))</f>
        <v>0</v>
      </c>
      <c r="W9" s="23">
        <f>IF(B9="","",IF(COUNTIF(Performance!$B$5:$B$404,B9)=0,"",SUMIFS(Performance!$U$5:$U$404,Performance!$B$5:$B$404,B9)))</f>
        <v>0</v>
      </c>
      <c r="X9" s="29">
        <f>IF(B9="","",IF(C9="Not found","Check - content ID not on the calendar",IF(AND(J9="",G9&lt;&gt;"Photo"),"Add - no link on a link post",IF(AND(P9&lt;&gt;"",S9&lt;TargetEngagement),"Review - below your target rate","OK"))))</f>
        <v>0</v>
      </c>
      <c r="Y9" s="39" t="s">
        <v>205</v>
      </c>
    </row>
    <row r="10" spans="1:25">
      <c r="A10" s="41">
        <f>IF(B10="","","FB-"&amp;TEXT(ROW()-4,"000"))</f>
        <v>0</v>
      </c>
      <c r="B10" s="15" t="s">
        <v>1558</v>
      </c>
      <c r="C10" s="17">
        <f>IF(B10="","",IFERROR(INDEX('Content Calendar'!$H$5:$H$604,MATCH(B10,'Content Calendar'!$A$5:$A$604,0)),"Not found"))</f>
        <v>0</v>
      </c>
      <c r="D10" s="16">
        <f>IF(B10="","",IFERROR(INDEX('Content Calendar'!$B$5:$B$604,MATCH(B10,'Content Calendar'!$A$5:$A$604,0)),"Not found"))</f>
        <v>0</v>
      </c>
      <c r="E10" s="17">
        <f>IF(B10="","",IFERROR(INDEX('Content Calendar'!$J$5:$J$604,MATCH(B10,'Content Calendar'!$A$5:$A$604,0)),"Not found"))</f>
        <v>0</v>
      </c>
      <c r="F10" s="29">
        <f>IF(B10="","",IFERROR(INDEX('Content Calendar'!$X$5:$X$604,MATCH(B10,'Content Calendar'!$A$5:$A$604,0)),"Not found"))</f>
        <v>0</v>
      </c>
      <c r="G10" s="15" t="s">
        <v>396</v>
      </c>
      <c r="H10" s="15" t="s">
        <v>1551</v>
      </c>
      <c r="I10" s="39" t="s">
        <v>1552</v>
      </c>
      <c r="J10" s="42" t="s">
        <v>289</v>
      </c>
      <c r="K10" s="40" t="s">
        <v>372</v>
      </c>
      <c r="L10" s="15" t="s">
        <v>205</v>
      </c>
      <c r="M10" s="34">
        <v>123</v>
      </c>
      <c r="N10" s="34">
        <v>53</v>
      </c>
      <c r="O10" s="34">
        <v>5</v>
      </c>
      <c r="P10" s="23">
        <f>IF(B10="","",IF(COUNTIF(Performance!$B$5:$B$404,B10)=0,"",SUMIFS(Performance!$O$5:$O$404,Performance!$B$5:$B$404,B10)))</f>
        <v>0</v>
      </c>
      <c r="Q10" s="23">
        <f>IF(B10="","",IF(COUNTIF(Performance!$B$5:$B$404,B10)=0,"",SUMIFS(Performance!$P$5:$P$404,Performance!$B$5:$B$404,B10)))</f>
        <v>0</v>
      </c>
      <c r="R10" s="23">
        <f>IF(B10="","",IF(COUNTIF(Performance!$B$5:$B$404,B10)=0,"",SUMIFS(Performance!$Z$5:$Z$404,Performance!$B$5:$B$404,B10)))</f>
        <v>0</v>
      </c>
      <c r="S10" s="24">
        <f>IF(OR(P10="",P10=0),"",R10/P10)</f>
        <v>0</v>
      </c>
      <c r="T10" s="23">
        <f>IF(B10="","",IF(COUNTIF(Performance!$B$5:$B$404,B10)=0,"",SUMIFS(Performance!$T$5:$T$404,Performance!$B$5:$B$404,B10)))</f>
        <v>0</v>
      </c>
      <c r="U10" s="23">
        <f>IF(B10="","",IF(COUNTIF(Performance!$B$5:$B$404,B10)=0,"",SUMIFS(Performance!$S$5:$S$404,Performance!$B$5:$B$404,B10)))</f>
        <v>0</v>
      </c>
      <c r="V10" s="23">
        <f>IF(B10="","",IF(COUNTIF(Performance!$B$5:$B$404,B10)=0,"",SUMIFS(Performance!$R$5:$R$404,Performance!$B$5:$B$404,B10)))</f>
        <v>0</v>
      </c>
      <c r="W10" s="23">
        <f>IF(B10="","",IF(COUNTIF(Performance!$B$5:$B$404,B10)=0,"",SUMIFS(Performance!$U$5:$U$404,Performance!$B$5:$B$404,B10)))</f>
        <v>0</v>
      </c>
      <c r="X10" s="29">
        <f>IF(B10="","",IF(C10="Not found","Check - content ID not on the calendar",IF(AND(J10="",G10&lt;&gt;"Photo"),"Add - no link on a link post",IF(AND(P10&lt;&gt;"",S10&lt;TargetEngagement),"Review - below your target rate","OK"))))</f>
        <v>0</v>
      </c>
      <c r="Y10" s="39" t="s">
        <v>205</v>
      </c>
    </row>
    <row r="11" spans="1:25">
      <c r="A11" s="41">
        <f>IF(B11="","","FB-"&amp;TEXT(ROW()-4,"000"))</f>
        <v>0</v>
      </c>
      <c r="C11" s="17">
        <f>IF(B11="","",IFERROR(INDEX('Content Calendar'!$H$5:$H$604,MATCH(B11,'Content Calendar'!$A$5:$A$604,0)),"Not found"))</f>
        <v>0</v>
      </c>
      <c r="D11" s="16">
        <f>IF(B11="","",IFERROR(INDEX('Content Calendar'!$B$5:$B$604,MATCH(B11,'Content Calendar'!$A$5:$A$604,0)),"Not found"))</f>
        <v>0</v>
      </c>
      <c r="E11" s="17">
        <f>IF(B11="","",IFERROR(INDEX('Content Calendar'!$J$5:$J$604,MATCH(B11,'Content Calendar'!$A$5:$A$604,0)),"Not found"))</f>
        <v>0</v>
      </c>
      <c r="F11" s="29">
        <f>IF(B11="","",IFERROR(INDEX('Content Calendar'!$X$5:$X$604,MATCH(B11,'Content Calendar'!$A$5:$A$604,0)),"Not found"))</f>
        <v>0</v>
      </c>
      <c r="P11" s="23">
        <f>IF(B11="","",IF(COUNTIF(Performance!$B$5:$B$404,B11)=0,"",SUMIFS(Performance!$O$5:$O$404,Performance!$B$5:$B$404,B11)))</f>
        <v>0</v>
      </c>
      <c r="Q11" s="23">
        <f>IF(B11="","",IF(COUNTIF(Performance!$B$5:$B$404,B11)=0,"",SUMIFS(Performance!$P$5:$P$404,Performance!$B$5:$B$404,B11)))</f>
        <v>0</v>
      </c>
      <c r="R11" s="23">
        <f>IF(B11="","",IF(COUNTIF(Performance!$B$5:$B$404,B11)=0,"",SUMIFS(Performance!$Z$5:$Z$404,Performance!$B$5:$B$404,B11)))</f>
        <v>0</v>
      </c>
      <c r="S11" s="24">
        <f>IF(OR(P11="",P11=0),"",R11/P11)</f>
        <v>0</v>
      </c>
      <c r="T11" s="23">
        <f>IF(B11="","",IF(COUNTIF(Performance!$B$5:$B$404,B11)=0,"",SUMIFS(Performance!$T$5:$T$404,Performance!$B$5:$B$404,B11)))</f>
        <v>0</v>
      </c>
      <c r="U11" s="23">
        <f>IF(B11="","",IF(COUNTIF(Performance!$B$5:$B$404,B11)=0,"",SUMIFS(Performance!$S$5:$S$404,Performance!$B$5:$B$404,B11)))</f>
        <v>0</v>
      </c>
      <c r="V11" s="23">
        <f>IF(B11="","",IF(COUNTIF(Performance!$B$5:$B$404,B11)=0,"",SUMIFS(Performance!$R$5:$R$404,Performance!$B$5:$B$404,B11)))</f>
        <v>0</v>
      </c>
      <c r="W11" s="23">
        <f>IF(B11="","",IF(COUNTIF(Performance!$B$5:$B$404,B11)=0,"",SUMIFS(Performance!$U$5:$U$404,Performance!$B$5:$B$404,B11)))</f>
        <v>0</v>
      </c>
      <c r="X11" s="29">
        <f>IF(B11="","",IF(C11="Not found","Check - content ID not on the calendar",IF(AND(J11="",G11&lt;&gt;"Photo"),"Add - no link on a link post",IF(AND(P11&lt;&gt;"",S11&lt;TargetEngagement),"Review - below your target rate","OK"))))</f>
        <v>0</v>
      </c>
    </row>
    <row r="12" spans="1:25">
      <c r="A12" s="41">
        <f>IF(B12="","","FB-"&amp;TEXT(ROW()-4,"000"))</f>
        <v>0</v>
      </c>
      <c r="C12" s="17">
        <f>IF(B12="","",IFERROR(INDEX('Content Calendar'!$H$5:$H$604,MATCH(B12,'Content Calendar'!$A$5:$A$604,0)),"Not found"))</f>
        <v>0</v>
      </c>
      <c r="D12" s="16">
        <f>IF(B12="","",IFERROR(INDEX('Content Calendar'!$B$5:$B$604,MATCH(B12,'Content Calendar'!$A$5:$A$604,0)),"Not found"))</f>
        <v>0</v>
      </c>
      <c r="E12" s="17">
        <f>IF(B12="","",IFERROR(INDEX('Content Calendar'!$J$5:$J$604,MATCH(B12,'Content Calendar'!$A$5:$A$604,0)),"Not found"))</f>
        <v>0</v>
      </c>
      <c r="F12" s="29">
        <f>IF(B12="","",IFERROR(INDEX('Content Calendar'!$X$5:$X$604,MATCH(B12,'Content Calendar'!$A$5:$A$604,0)),"Not found"))</f>
        <v>0</v>
      </c>
      <c r="P12" s="23">
        <f>IF(B12="","",IF(COUNTIF(Performance!$B$5:$B$404,B12)=0,"",SUMIFS(Performance!$O$5:$O$404,Performance!$B$5:$B$404,B12)))</f>
        <v>0</v>
      </c>
      <c r="Q12" s="23">
        <f>IF(B12="","",IF(COUNTIF(Performance!$B$5:$B$404,B12)=0,"",SUMIFS(Performance!$P$5:$P$404,Performance!$B$5:$B$404,B12)))</f>
        <v>0</v>
      </c>
      <c r="R12" s="23">
        <f>IF(B12="","",IF(COUNTIF(Performance!$B$5:$B$404,B12)=0,"",SUMIFS(Performance!$Z$5:$Z$404,Performance!$B$5:$B$404,B12)))</f>
        <v>0</v>
      </c>
      <c r="S12" s="24">
        <f>IF(OR(P12="",P12=0),"",R12/P12)</f>
        <v>0</v>
      </c>
      <c r="T12" s="23">
        <f>IF(B12="","",IF(COUNTIF(Performance!$B$5:$B$404,B12)=0,"",SUMIFS(Performance!$T$5:$T$404,Performance!$B$5:$B$404,B12)))</f>
        <v>0</v>
      </c>
      <c r="U12" s="23">
        <f>IF(B12="","",IF(COUNTIF(Performance!$B$5:$B$404,B12)=0,"",SUMIFS(Performance!$S$5:$S$404,Performance!$B$5:$B$404,B12)))</f>
        <v>0</v>
      </c>
      <c r="V12" s="23">
        <f>IF(B12="","",IF(COUNTIF(Performance!$B$5:$B$404,B12)=0,"",SUMIFS(Performance!$R$5:$R$404,Performance!$B$5:$B$404,B12)))</f>
        <v>0</v>
      </c>
      <c r="W12" s="23">
        <f>IF(B12="","",IF(COUNTIF(Performance!$B$5:$B$404,B12)=0,"",SUMIFS(Performance!$U$5:$U$404,Performance!$B$5:$B$404,B12)))</f>
        <v>0</v>
      </c>
      <c r="X12" s="29">
        <f>IF(B12="","",IF(C12="Not found","Check - content ID not on the calendar",IF(AND(J12="",G12&lt;&gt;"Photo"),"Add - no link on a link post",IF(AND(P12&lt;&gt;"",S12&lt;TargetEngagement),"Review - below your target rate","OK"))))</f>
        <v>0</v>
      </c>
    </row>
    <row r="13" spans="1:25">
      <c r="A13" s="41">
        <f>IF(B13="","","FB-"&amp;TEXT(ROW()-4,"000"))</f>
        <v>0</v>
      </c>
      <c r="C13" s="17">
        <f>IF(B13="","",IFERROR(INDEX('Content Calendar'!$H$5:$H$604,MATCH(B13,'Content Calendar'!$A$5:$A$604,0)),"Not found"))</f>
        <v>0</v>
      </c>
      <c r="D13" s="16">
        <f>IF(B13="","",IFERROR(INDEX('Content Calendar'!$B$5:$B$604,MATCH(B13,'Content Calendar'!$A$5:$A$604,0)),"Not found"))</f>
        <v>0</v>
      </c>
      <c r="E13" s="17">
        <f>IF(B13="","",IFERROR(INDEX('Content Calendar'!$J$5:$J$604,MATCH(B13,'Content Calendar'!$A$5:$A$604,0)),"Not found"))</f>
        <v>0</v>
      </c>
      <c r="F13" s="29">
        <f>IF(B13="","",IFERROR(INDEX('Content Calendar'!$X$5:$X$604,MATCH(B13,'Content Calendar'!$A$5:$A$604,0)),"Not found"))</f>
        <v>0</v>
      </c>
      <c r="P13" s="23">
        <f>IF(B13="","",IF(COUNTIF(Performance!$B$5:$B$404,B13)=0,"",SUMIFS(Performance!$O$5:$O$404,Performance!$B$5:$B$404,B13)))</f>
        <v>0</v>
      </c>
      <c r="Q13" s="23">
        <f>IF(B13="","",IF(COUNTIF(Performance!$B$5:$B$404,B13)=0,"",SUMIFS(Performance!$P$5:$P$404,Performance!$B$5:$B$404,B13)))</f>
        <v>0</v>
      </c>
      <c r="R13" s="23">
        <f>IF(B13="","",IF(COUNTIF(Performance!$B$5:$B$404,B13)=0,"",SUMIFS(Performance!$Z$5:$Z$404,Performance!$B$5:$B$404,B13)))</f>
        <v>0</v>
      </c>
      <c r="S13" s="24">
        <f>IF(OR(P13="",P13=0),"",R13/P13)</f>
        <v>0</v>
      </c>
      <c r="T13" s="23">
        <f>IF(B13="","",IF(COUNTIF(Performance!$B$5:$B$404,B13)=0,"",SUMIFS(Performance!$T$5:$T$404,Performance!$B$5:$B$404,B13)))</f>
        <v>0</v>
      </c>
      <c r="U13" s="23">
        <f>IF(B13="","",IF(COUNTIF(Performance!$B$5:$B$404,B13)=0,"",SUMIFS(Performance!$S$5:$S$404,Performance!$B$5:$B$404,B13)))</f>
        <v>0</v>
      </c>
      <c r="V13" s="23">
        <f>IF(B13="","",IF(COUNTIF(Performance!$B$5:$B$404,B13)=0,"",SUMIFS(Performance!$R$5:$R$404,Performance!$B$5:$B$404,B13)))</f>
        <v>0</v>
      </c>
      <c r="W13" s="23">
        <f>IF(B13="","",IF(COUNTIF(Performance!$B$5:$B$404,B13)=0,"",SUMIFS(Performance!$U$5:$U$404,Performance!$B$5:$B$404,B13)))</f>
        <v>0</v>
      </c>
      <c r="X13" s="29">
        <f>IF(B13="","",IF(C13="Not found","Check - content ID not on the calendar",IF(AND(J13="",G13&lt;&gt;"Photo"),"Add - no link on a link post",IF(AND(P13&lt;&gt;"",S13&lt;TargetEngagement),"Review - below your target rate","OK"))))</f>
        <v>0</v>
      </c>
    </row>
    <row r="14" spans="1:25">
      <c r="A14" s="41">
        <f>IF(B14="","","FB-"&amp;TEXT(ROW()-4,"000"))</f>
        <v>0</v>
      </c>
      <c r="C14" s="17">
        <f>IF(B14="","",IFERROR(INDEX('Content Calendar'!$H$5:$H$604,MATCH(B14,'Content Calendar'!$A$5:$A$604,0)),"Not found"))</f>
        <v>0</v>
      </c>
      <c r="D14" s="16">
        <f>IF(B14="","",IFERROR(INDEX('Content Calendar'!$B$5:$B$604,MATCH(B14,'Content Calendar'!$A$5:$A$604,0)),"Not found"))</f>
        <v>0</v>
      </c>
      <c r="E14" s="17">
        <f>IF(B14="","",IFERROR(INDEX('Content Calendar'!$J$5:$J$604,MATCH(B14,'Content Calendar'!$A$5:$A$604,0)),"Not found"))</f>
        <v>0</v>
      </c>
      <c r="F14" s="29">
        <f>IF(B14="","",IFERROR(INDEX('Content Calendar'!$X$5:$X$604,MATCH(B14,'Content Calendar'!$A$5:$A$604,0)),"Not found"))</f>
        <v>0</v>
      </c>
      <c r="P14" s="23">
        <f>IF(B14="","",IF(COUNTIF(Performance!$B$5:$B$404,B14)=0,"",SUMIFS(Performance!$O$5:$O$404,Performance!$B$5:$B$404,B14)))</f>
        <v>0</v>
      </c>
      <c r="Q14" s="23">
        <f>IF(B14="","",IF(COUNTIF(Performance!$B$5:$B$404,B14)=0,"",SUMIFS(Performance!$P$5:$P$404,Performance!$B$5:$B$404,B14)))</f>
        <v>0</v>
      </c>
      <c r="R14" s="23">
        <f>IF(B14="","",IF(COUNTIF(Performance!$B$5:$B$404,B14)=0,"",SUMIFS(Performance!$Z$5:$Z$404,Performance!$B$5:$B$404,B14)))</f>
        <v>0</v>
      </c>
      <c r="S14" s="24">
        <f>IF(OR(P14="",P14=0),"",R14/P14)</f>
        <v>0</v>
      </c>
      <c r="T14" s="23">
        <f>IF(B14="","",IF(COUNTIF(Performance!$B$5:$B$404,B14)=0,"",SUMIFS(Performance!$T$5:$T$404,Performance!$B$5:$B$404,B14)))</f>
        <v>0</v>
      </c>
      <c r="U14" s="23">
        <f>IF(B14="","",IF(COUNTIF(Performance!$B$5:$B$404,B14)=0,"",SUMIFS(Performance!$S$5:$S$404,Performance!$B$5:$B$404,B14)))</f>
        <v>0</v>
      </c>
      <c r="V14" s="23">
        <f>IF(B14="","",IF(COUNTIF(Performance!$B$5:$B$404,B14)=0,"",SUMIFS(Performance!$R$5:$R$404,Performance!$B$5:$B$404,B14)))</f>
        <v>0</v>
      </c>
      <c r="W14" s="23">
        <f>IF(B14="","",IF(COUNTIF(Performance!$B$5:$B$404,B14)=0,"",SUMIFS(Performance!$U$5:$U$404,Performance!$B$5:$B$404,B14)))</f>
        <v>0</v>
      </c>
      <c r="X14" s="29">
        <f>IF(B14="","",IF(C14="Not found","Check - content ID not on the calendar",IF(AND(J14="",G14&lt;&gt;"Photo"),"Add - no link on a link post",IF(AND(P14&lt;&gt;"",S14&lt;TargetEngagement),"Review - below your target rate","OK"))))</f>
        <v>0</v>
      </c>
    </row>
    <row r="15" spans="1:25">
      <c r="A15" s="41">
        <f>IF(B15="","","FB-"&amp;TEXT(ROW()-4,"000"))</f>
        <v>0</v>
      </c>
      <c r="C15" s="17">
        <f>IF(B15="","",IFERROR(INDEX('Content Calendar'!$H$5:$H$604,MATCH(B15,'Content Calendar'!$A$5:$A$604,0)),"Not found"))</f>
        <v>0</v>
      </c>
      <c r="D15" s="16">
        <f>IF(B15="","",IFERROR(INDEX('Content Calendar'!$B$5:$B$604,MATCH(B15,'Content Calendar'!$A$5:$A$604,0)),"Not found"))</f>
        <v>0</v>
      </c>
      <c r="E15" s="17">
        <f>IF(B15="","",IFERROR(INDEX('Content Calendar'!$J$5:$J$604,MATCH(B15,'Content Calendar'!$A$5:$A$604,0)),"Not found"))</f>
        <v>0</v>
      </c>
      <c r="F15" s="29">
        <f>IF(B15="","",IFERROR(INDEX('Content Calendar'!$X$5:$X$604,MATCH(B15,'Content Calendar'!$A$5:$A$604,0)),"Not found"))</f>
        <v>0</v>
      </c>
      <c r="P15" s="23">
        <f>IF(B15="","",IF(COUNTIF(Performance!$B$5:$B$404,B15)=0,"",SUMIFS(Performance!$O$5:$O$404,Performance!$B$5:$B$404,B15)))</f>
        <v>0</v>
      </c>
      <c r="Q15" s="23">
        <f>IF(B15="","",IF(COUNTIF(Performance!$B$5:$B$404,B15)=0,"",SUMIFS(Performance!$P$5:$P$404,Performance!$B$5:$B$404,B15)))</f>
        <v>0</v>
      </c>
      <c r="R15" s="23">
        <f>IF(B15="","",IF(COUNTIF(Performance!$B$5:$B$404,B15)=0,"",SUMIFS(Performance!$Z$5:$Z$404,Performance!$B$5:$B$404,B15)))</f>
        <v>0</v>
      </c>
      <c r="S15" s="24">
        <f>IF(OR(P15="",P15=0),"",R15/P15)</f>
        <v>0</v>
      </c>
      <c r="T15" s="23">
        <f>IF(B15="","",IF(COUNTIF(Performance!$B$5:$B$404,B15)=0,"",SUMIFS(Performance!$T$5:$T$404,Performance!$B$5:$B$404,B15)))</f>
        <v>0</v>
      </c>
      <c r="U15" s="23">
        <f>IF(B15="","",IF(COUNTIF(Performance!$B$5:$B$404,B15)=0,"",SUMIFS(Performance!$S$5:$S$404,Performance!$B$5:$B$404,B15)))</f>
        <v>0</v>
      </c>
      <c r="V15" s="23">
        <f>IF(B15="","",IF(COUNTIF(Performance!$B$5:$B$404,B15)=0,"",SUMIFS(Performance!$R$5:$R$404,Performance!$B$5:$B$404,B15)))</f>
        <v>0</v>
      </c>
      <c r="W15" s="23">
        <f>IF(B15="","",IF(COUNTIF(Performance!$B$5:$B$404,B15)=0,"",SUMIFS(Performance!$U$5:$U$404,Performance!$B$5:$B$404,B15)))</f>
        <v>0</v>
      </c>
      <c r="X15" s="29">
        <f>IF(B15="","",IF(C15="Not found","Check - content ID not on the calendar",IF(AND(J15="",G15&lt;&gt;"Photo"),"Add - no link on a link post",IF(AND(P15&lt;&gt;"",S15&lt;TargetEngagement),"Review - below your target rate","OK"))))</f>
        <v>0</v>
      </c>
    </row>
    <row r="16" spans="1:25">
      <c r="A16" s="41">
        <f>IF(B16="","","FB-"&amp;TEXT(ROW()-4,"000"))</f>
        <v>0</v>
      </c>
      <c r="C16" s="17">
        <f>IF(B16="","",IFERROR(INDEX('Content Calendar'!$H$5:$H$604,MATCH(B16,'Content Calendar'!$A$5:$A$604,0)),"Not found"))</f>
        <v>0</v>
      </c>
      <c r="D16" s="16">
        <f>IF(B16="","",IFERROR(INDEX('Content Calendar'!$B$5:$B$604,MATCH(B16,'Content Calendar'!$A$5:$A$604,0)),"Not found"))</f>
        <v>0</v>
      </c>
      <c r="E16" s="17">
        <f>IF(B16="","",IFERROR(INDEX('Content Calendar'!$J$5:$J$604,MATCH(B16,'Content Calendar'!$A$5:$A$604,0)),"Not found"))</f>
        <v>0</v>
      </c>
      <c r="F16" s="29">
        <f>IF(B16="","",IFERROR(INDEX('Content Calendar'!$X$5:$X$604,MATCH(B16,'Content Calendar'!$A$5:$A$604,0)),"Not found"))</f>
        <v>0</v>
      </c>
      <c r="P16" s="23">
        <f>IF(B16="","",IF(COUNTIF(Performance!$B$5:$B$404,B16)=0,"",SUMIFS(Performance!$O$5:$O$404,Performance!$B$5:$B$404,B16)))</f>
        <v>0</v>
      </c>
      <c r="Q16" s="23">
        <f>IF(B16="","",IF(COUNTIF(Performance!$B$5:$B$404,B16)=0,"",SUMIFS(Performance!$P$5:$P$404,Performance!$B$5:$B$404,B16)))</f>
        <v>0</v>
      </c>
      <c r="R16" s="23">
        <f>IF(B16="","",IF(COUNTIF(Performance!$B$5:$B$404,B16)=0,"",SUMIFS(Performance!$Z$5:$Z$404,Performance!$B$5:$B$404,B16)))</f>
        <v>0</v>
      </c>
      <c r="S16" s="24">
        <f>IF(OR(P16="",P16=0),"",R16/P16)</f>
        <v>0</v>
      </c>
      <c r="T16" s="23">
        <f>IF(B16="","",IF(COUNTIF(Performance!$B$5:$B$404,B16)=0,"",SUMIFS(Performance!$T$5:$T$404,Performance!$B$5:$B$404,B16)))</f>
        <v>0</v>
      </c>
      <c r="U16" s="23">
        <f>IF(B16="","",IF(COUNTIF(Performance!$B$5:$B$404,B16)=0,"",SUMIFS(Performance!$S$5:$S$404,Performance!$B$5:$B$404,B16)))</f>
        <v>0</v>
      </c>
      <c r="V16" s="23">
        <f>IF(B16="","",IF(COUNTIF(Performance!$B$5:$B$404,B16)=0,"",SUMIFS(Performance!$R$5:$R$404,Performance!$B$5:$B$404,B16)))</f>
        <v>0</v>
      </c>
      <c r="W16" s="23">
        <f>IF(B16="","",IF(COUNTIF(Performance!$B$5:$B$404,B16)=0,"",SUMIFS(Performance!$U$5:$U$404,Performance!$B$5:$B$404,B16)))</f>
        <v>0</v>
      </c>
      <c r="X16" s="29">
        <f>IF(B16="","",IF(C16="Not found","Check - content ID not on the calendar",IF(AND(J16="",G16&lt;&gt;"Photo"),"Add - no link on a link post",IF(AND(P16&lt;&gt;"",S16&lt;TargetEngagement),"Review - below your target rate","OK"))))</f>
        <v>0</v>
      </c>
    </row>
    <row r="17" spans="1:24">
      <c r="A17" s="41">
        <f>IF(B17="","","FB-"&amp;TEXT(ROW()-4,"000"))</f>
        <v>0</v>
      </c>
      <c r="C17" s="17">
        <f>IF(B17="","",IFERROR(INDEX('Content Calendar'!$H$5:$H$604,MATCH(B17,'Content Calendar'!$A$5:$A$604,0)),"Not found"))</f>
        <v>0</v>
      </c>
      <c r="D17" s="16">
        <f>IF(B17="","",IFERROR(INDEX('Content Calendar'!$B$5:$B$604,MATCH(B17,'Content Calendar'!$A$5:$A$604,0)),"Not found"))</f>
        <v>0</v>
      </c>
      <c r="E17" s="17">
        <f>IF(B17="","",IFERROR(INDEX('Content Calendar'!$J$5:$J$604,MATCH(B17,'Content Calendar'!$A$5:$A$604,0)),"Not found"))</f>
        <v>0</v>
      </c>
      <c r="F17" s="29">
        <f>IF(B17="","",IFERROR(INDEX('Content Calendar'!$X$5:$X$604,MATCH(B17,'Content Calendar'!$A$5:$A$604,0)),"Not found"))</f>
        <v>0</v>
      </c>
      <c r="P17" s="23">
        <f>IF(B17="","",IF(COUNTIF(Performance!$B$5:$B$404,B17)=0,"",SUMIFS(Performance!$O$5:$O$404,Performance!$B$5:$B$404,B17)))</f>
        <v>0</v>
      </c>
      <c r="Q17" s="23">
        <f>IF(B17="","",IF(COUNTIF(Performance!$B$5:$B$404,B17)=0,"",SUMIFS(Performance!$P$5:$P$404,Performance!$B$5:$B$404,B17)))</f>
        <v>0</v>
      </c>
      <c r="R17" s="23">
        <f>IF(B17="","",IF(COUNTIF(Performance!$B$5:$B$404,B17)=0,"",SUMIFS(Performance!$Z$5:$Z$404,Performance!$B$5:$B$404,B17)))</f>
        <v>0</v>
      </c>
      <c r="S17" s="24">
        <f>IF(OR(P17="",P17=0),"",R17/P17)</f>
        <v>0</v>
      </c>
      <c r="T17" s="23">
        <f>IF(B17="","",IF(COUNTIF(Performance!$B$5:$B$404,B17)=0,"",SUMIFS(Performance!$T$5:$T$404,Performance!$B$5:$B$404,B17)))</f>
        <v>0</v>
      </c>
      <c r="U17" s="23">
        <f>IF(B17="","",IF(COUNTIF(Performance!$B$5:$B$404,B17)=0,"",SUMIFS(Performance!$S$5:$S$404,Performance!$B$5:$B$404,B17)))</f>
        <v>0</v>
      </c>
      <c r="V17" s="23">
        <f>IF(B17="","",IF(COUNTIF(Performance!$B$5:$B$404,B17)=0,"",SUMIFS(Performance!$R$5:$R$404,Performance!$B$5:$B$404,B17)))</f>
        <v>0</v>
      </c>
      <c r="W17" s="23">
        <f>IF(B17="","",IF(COUNTIF(Performance!$B$5:$B$404,B17)=0,"",SUMIFS(Performance!$U$5:$U$404,Performance!$B$5:$B$404,B17)))</f>
        <v>0</v>
      </c>
      <c r="X17" s="29">
        <f>IF(B17="","",IF(C17="Not found","Check - content ID not on the calendar",IF(AND(J17="",G17&lt;&gt;"Photo"),"Add - no link on a link post",IF(AND(P17&lt;&gt;"",S17&lt;TargetEngagement),"Review - below your target rate","OK"))))</f>
        <v>0</v>
      </c>
    </row>
    <row r="18" spans="1:24">
      <c r="A18" s="41">
        <f>IF(B18="","","FB-"&amp;TEXT(ROW()-4,"000"))</f>
        <v>0</v>
      </c>
      <c r="C18" s="17">
        <f>IF(B18="","",IFERROR(INDEX('Content Calendar'!$H$5:$H$604,MATCH(B18,'Content Calendar'!$A$5:$A$604,0)),"Not found"))</f>
        <v>0</v>
      </c>
      <c r="D18" s="16">
        <f>IF(B18="","",IFERROR(INDEX('Content Calendar'!$B$5:$B$604,MATCH(B18,'Content Calendar'!$A$5:$A$604,0)),"Not found"))</f>
        <v>0</v>
      </c>
      <c r="E18" s="17">
        <f>IF(B18="","",IFERROR(INDEX('Content Calendar'!$J$5:$J$604,MATCH(B18,'Content Calendar'!$A$5:$A$604,0)),"Not found"))</f>
        <v>0</v>
      </c>
      <c r="F18" s="29">
        <f>IF(B18="","",IFERROR(INDEX('Content Calendar'!$X$5:$X$604,MATCH(B18,'Content Calendar'!$A$5:$A$604,0)),"Not found"))</f>
        <v>0</v>
      </c>
      <c r="P18" s="23">
        <f>IF(B18="","",IF(COUNTIF(Performance!$B$5:$B$404,B18)=0,"",SUMIFS(Performance!$O$5:$O$404,Performance!$B$5:$B$404,B18)))</f>
        <v>0</v>
      </c>
      <c r="Q18" s="23">
        <f>IF(B18="","",IF(COUNTIF(Performance!$B$5:$B$404,B18)=0,"",SUMIFS(Performance!$P$5:$P$404,Performance!$B$5:$B$404,B18)))</f>
        <v>0</v>
      </c>
      <c r="R18" s="23">
        <f>IF(B18="","",IF(COUNTIF(Performance!$B$5:$B$404,B18)=0,"",SUMIFS(Performance!$Z$5:$Z$404,Performance!$B$5:$B$404,B18)))</f>
        <v>0</v>
      </c>
      <c r="S18" s="24">
        <f>IF(OR(P18="",P18=0),"",R18/P18)</f>
        <v>0</v>
      </c>
      <c r="T18" s="23">
        <f>IF(B18="","",IF(COUNTIF(Performance!$B$5:$B$404,B18)=0,"",SUMIFS(Performance!$T$5:$T$404,Performance!$B$5:$B$404,B18)))</f>
        <v>0</v>
      </c>
      <c r="U18" s="23">
        <f>IF(B18="","",IF(COUNTIF(Performance!$B$5:$B$404,B18)=0,"",SUMIFS(Performance!$S$5:$S$404,Performance!$B$5:$B$404,B18)))</f>
        <v>0</v>
      </c>
      <c r="V18" s="23">
        <f>IF(B18="","",IF(COUNTIF(Performance!$B$5:$B$404,B18)=0,"",SUMIFS(Performance!$R$5:$R$404,Performance!$B$5:$B$404,B18)))</f>
        <v>0</v>
      </c>
      <c r="W18" s="23">
        <f>IF(B18="","",IF(COUNTIF(Performance!$B$5:$B$404,B18)=0,"",SUMIFS(Performance!$U$5:$U$404,Performance!$B$5:$B$404,B18)))</f>
        <v>0</v>
      </c>
      <c r="X18" s="29">
        <f>IF(B18="","",IF(C18="Not found","Check - content ID not on the calendar",IF(AND(J18="",G18&lt;&gt;"Photo"),"Add - no link on a link post",IF(AND(P18&lt;&gt;"",S18&lt;TargetEngagement),"Review - below your target rate","OK"))))</f>
        <v>0</v>
      </c>
    </row>
    <row r="19" spans="1:24">
      <c r="A19" s="41">
        <f>IF(B19="","","FB-"&amp;TEXT(ROW()-4,"000"))</f>
        <v>0</v>
      </c>
      <c r="C19" s="17">
        <f>IF(B19="","",IFERROR(INDEX('Content Calendar'!$H$5:$H$604,MATCH(B19,'Content Calendar'!$A$5:$A$604,0)),"Not found"))</f>
        <v>0</v>
      </c>
      <c r="D19" s="16">
        <f>IF(B19="","",IFERROR(INDEX('Content Calendar'!$B$5:$B$604,MATCH(B19,'Content Calendar'!$A$5:$A$604,0)),"Not found"))</f>
        <v>0</v>
      </c>
      <c r="E19" s="17">
        <f>IF(B19="","",IFERROR(INDEX('Content Calendar'!$J$5:$J$604,MATCH(B19,'Content Calendar'!$A$5:$A$604,0)),"Not found"))</f>
        <v>0</v>
      </c>
      <c r="F19" s="29">
        <f>IF(B19="","",IFERROR(INDEX('Content Calendar'!$X$5:$X$604,MATCH(B19,'Content Calendar'!$A$5:$A$604,0)),"Not found"))</f>
        <v>0</v>
      </c>
      <c r="P19" s="23">
        <f>IF(B19="","",IF(COUNTIF(Performance!$B$5:$B$404,B19)=0,"",SUMIFS(Performance!$O$5:$O$404,Performance!$B$5:$B$404,B19)))</f>
        <v>0</v>
      </c>
      <c r="Q19" s="23">
        <f>IF(B19="","",IF(COUNTIF(Performance!$B$5:$B$404,B19)=0,"",SUMIFS(Performance!$P$5:$P$404,Performance!$B$5:$B$404,B19)))</f>
        <v>0</v>
      </c>
      <c r="R19" s="23">
        <f>IF(B19="","",IF(COUNTIF(Performance!$B$5:$B$404,B19)=0,"",SUMIFS(Performance!$Z$5:$Z$404,Performance!$B$5:$B$404,B19)))</f>
        <v>0</v>
      </c>
      <c r="S19" s="24">
        <f>IF(OR(P19="",P19=0),"",R19/P19)</f>
        <v>0</v>
      </c>
      <c r="T19" s="23">
        <f>IF(B19="","",IF(COUNTIF(Performance!$B$5:$B$404,B19)=0,"",SUMIFS(Performance!$T$5:$T$404,Performance!$B$5:$B$404,B19)))</f>
        <v>0</v>
      </c>
      <c r="U19" s="23">
        <f>IF(B19="","",IF(COUNTIF(Performance!$B$5:$B$404,B19)=0,"",SUMIFS(Performance!$S$5:$S$404,Performance!$B$5:$B$404,B19)))</f>
        <v>0</v>
      </c>
      <c r="V19" s="23">
        <f>IF(B19="","",IF(COUNTIF(Performance!$B$5:$B$404,B19)=0,"",SUMIFS(Performance!$R$5:$R$404,Performance!$B$5:$B$404,B19)))</f>
        <v>0</v>
      </c>
      <c r="W19" s="23">
        <f>IF(B19="","",IF(COUNTIF(Performance!$B$5:$B$404,B19)=0,"",SUMIFS(Performance!$U$5:$U$404,Performance!$B$5:$B$404,B19)))</f>
        <v>0</v>
      </c>
      <c r="X19" s="29">
        <f>IF(B19="","",IF(C19="Not found","Check - content ID not on the calendar",IF(AND(J19="",G19&lt;&gt;"Photo"),"Add - no link on a link post",IF(AND(P19&lt;&gt;"",S19&lt;TargetEngagement),"Review - below your target rate","OK"))))</f>
        <v>0</v>
      </c>
    </row>
    <row r="20" spans="1:24">
      <c r="A20" s="41">
        <f>IF(B20="","","FB-"&amp;TEXT(ROW()-4,"000"))</f>
        <v>0</v>
      </c>
      <c r="C20" s="17">
        <f>IF(B20="","",IFERROR(INDEX('Content Calendar'!$H$5:$H$604,MATCH(B20,'Content Calendar'!$A$5:$A$604,0)),"Not found"))</f>
        <v>0</v>
      </c>
      <c r="D20" s="16">
        <f>IF(B20="","",IFERROR(INDEX('Content Calendar'!$B$5:$B$604,MATCH(B20,'Content Calendar'!$A$5:$A$604,0)),"Not found"))</f>
        <v>0</v>
      </c>
      <c r="E20" s="17">
        <f>IF(B20="","",IFERROR(INDEX('Content Calendar'!$J$5:$J$604,MATCH(B20,'Content Calendar'!$A$5:$A$604,0)),"Not found"))</f>
        <v>0</v>
      </c>
      <c r="F20" s="29">
        <f>IF(B20="","",IFERROR(INDEX('Content Calendar'!$X$5:$X$604,MATCH(B20,'Content Calendar'!$A$5:$A$604,0)),"Not found"))</f>
        <v>0</v>
      </c>
      <c r="P20" s="23">
        <f>IF(B20="","",IF(COUNTIF(Performance!$B$5:$B$404,B20)=0,"",SUMIFS(Performance!$O$5:$O$404,Performance!$B$5:$B$404,B20)))</f>
        <v>0</v>
      </c>
      <c r="Q20" s="23">
        <f>IF(B20="","",IF(COUNTIF(Performance!$B$5:$B$404,B20)=0,"",SUMIFS(Performance!$P$5:$P$404,Performance!$B$5:$B$404,B20)))</f>
        <v>0</v>
      </c>
      <c r="R20" s="23">
        <f>IF(B20="","",IF(COUNTIF(Performance!$B$5:$B$404,B20)=0,"",SUMIFS(Performance!$Z$5:$Z$404,Performance!$B$5:$B$404,B20)))</f>
        <v>0</v>
      </c>
      <c r="S20" s="24">
        <f>IF(OR(P20="",P20=0),"",R20/P20)</f>
        <v>0</v>
      </c>
      <c r="T20" s="23">
        <f>IF(B20="","",IF(COUNTIF(Performance!$B$5:$B$404,B20)=0,"",SUMIFS(Performance!$T$5:$T$404,Performance!$B$5:$B$404,B20)))</f>
        <v>0</v>
      </c>
      <c r="U20" s="23">
        <f>IF(B20="","",IF(COUNTIF(Performance!$B$5:$B$404,B20)=0,"",SUMIFS(Performance!$S$5:$S$404,Performance!$B$5:$B$404,B20)))</f>
        <v>0</v>
      </c>
      <c r="V20" s="23">
        <f>IF(B20="","",IF(COUNTIF(Performance!$B$5:$B$404,B20)=0,"",SUMIFS(Performance!$R$5:$R$404,Performance!$B$5:$B$404,B20)))</f>
        <v>0</v>
      </c>
      <c r="W20" s="23">
        <f>IF(B20="","",IF(COUNTIF(Performance!$B$5:$B$404,B20)=0,"",SUMIFS(Performance!$U$5:$U$404,Performance!$B$5:$B$404,B20)))</f>
        <v>0</v>
      </c>
      <c r="X20" s="29">
        <f>IF(B20="","",IF(C20="Not found","Check - content ID not on the calendar",IF(AND(J20="",G20&lt;&gt;"Photo"),"Add - no link on a link post",IF(AND(P20&lt;&gt;"",S20&lt;TargetEngagement),"Review - below your target rate","OK"))))</f>
        <v>0</v>
      </c>
    </row>
    <row r="21" spans="1:24">
      <c r="A21" s="41">
        <f>IF(B21="","","FB-"&amp;TEXT(ROW()-4,"000"))</f>
        <v>0</v>
      </c>
      <c r="C21" s="17">
        <f>IF(B21="","",IFERROR(INDEX('Content Calendar'!$H$5:$H$604,MATCH(B21,'Content Calendar'!$A$5:$A$604,0)),"Not found"))</f>
        <v>0</v>
      </c>
      <c r="D21" s="16">
        <f>IF(B21="","",IFERROR(INDEX('Content Calendar'!$B$5:$B$604,MATCH(B21,'Content Calendar'!$A$5:$A$604,0)),"Not found"))</f>
        <v>0</v>
      </c>
      <c r="E21" s="17">
        <f>IF(B21="","",IFERROR(INDEX('Content Calendar'!$J$5:$J$604,MATCH(B21,'Content Calendar'!$A$5:$A$604,0)),"Not found"))</f>
        <v>0</v>
      </c>
      <c r="F21" s="29">
        <f>IF(B21="","",IFERROR(INDEX('Content Calendar'!$X$5:$X$604,MATCH(B21,'Content Calendar'!$A$5:$A$604,0)),"Not found"))</f>
        <v>0</v>
      </c>
      <c r="P21" s="23">
        <f>IF(B21="","",IF(COUNTIF(Performance!$B$5:$B$404,B21)=0,"",SUMIFS(Performance!$O$5:$O$404,Performance!$B$5:$B$404,B21)))</f>
        <v>0</v>
      </c>
      <c r="Q21" s="23">
        <f>IF(B21="","",IF(COUNTIF(Performance!$B$5:$B$404,B21)=0,"",SUMIFS(Performance!$P$5:$P$404,Performance!$B$5:$B$404,B21)))</f>
        <v>0</v>
      </c>
      <c r="R21" s="23">
        <f>IF(B21="","",IF(COUNTIF(Performance!$B$5:$B$404,B21)=0,"",SUMIFS(Performance!$Z$5:$Z$404,Performance!$B$5:$B$404,B21)))</f>
        <v>0</v>
      </c>
      <c r="S21" s="24">
        <f>IF(OR(P21="",P21=0),"",R21/P21)</f>
        <v>0</v>
      </c>
      <c r="T21" s="23">
        <f>IF(B21="","",IF(COUNTIF(Performance!$B$5:$B$404,B21)=0,"",SUMIFS(Performance!$T$5:$T$404,Performance!$B$5:$B$404,B21)))</f>
        <v>0</v>
      </c>
      <c r="U21" s="23">
        <f>IF(B21="","",IF(COUNTIF(Performance!$B$5:$B$404,B21)=0,"",SUMIFS(Performance!$S$5:$S$404,Performance!$B$5:$B$404,B21)))</f>
        <v>0</v>
      </c>
      <c r="V21" s="23">
        <f>IF(B21="","",IF(COUNTIF(Performance!$B$5:$B$404,B21)=0,"",SUMIFS(Performance!$R$5:$R$404,Performance!$B$5:$B$404,B21)))</f>
        <v>0</v>
      </c>
      <c r="W21" s="23">
        <f>IF(B21="","",IF(COUNTIF(Performance!$B$5:$B$404,B21)=0,"",SUMIFS(Performance!$U$5:$U$404,Performance!$B$5:$B$404,B21)))</f>
        <v>0</v>
      </c>
      <c r="X21" s="29">
        <f>IF(B21="","",IF(C21="Not found","Check - content ID not on the calendar",IF(AND(J21="",G21&lt;&gt;"Photo"),"Add - no link on a link post",IF(AND(P21&lt;&gt;"",S21&lt;TargetEngagement),"Review - below your target rate","OK"))))</f>
        <v>0</v>
      </c>
    </row>
    <row r="22" spans="1:24">
      <c r="A22" s="41">
        <f>IF(B22="","","FB-"&amp;TEXT(ROW()-4,"000"))</f>
        <v>0</v>
      </c>
      <c r="C22" s="17">
        <f>IF(B22="","",IFERROR(INDEX('Content Calendar'!$H$5:$H$604,MATCH(B22,'Content Calendar'!$A$5:$A$604,0)),"Not found"))</f>
        <v>0</v>
      </c>
      <c r="D22" s="16">
        <f>IF(B22="","",IFERROR(INDEX('Content Calendar'!$B$5:$B$604,MATCH(B22,'Content Calendar'!$A$5:$A$604,0)),"Not found"))</f>
        <v>0</v>
      </c>
      <c r="E22" s="17">
        <f>IF(B22="","",IFERROR(INDEX('Content Calendar'!$J$5:$J$604,MATCH(B22,'Content Calendar'!$A$5:$A$604,0)),"Not found"))</f>
        <v>0</v>
      </c>
      <c r="F22" s="29">
        <f>IF(B22="","",IFERROR(INDEX('Content Calendar'!$X$5:$X$604,MATCH(B22,'Content Calendar'!$A$5:$A$604,0)),"Not found"))</f>
        <v>0</v>
      </c>
      <c r="P22" s="23">
        <f>IF(B22="","",IF(COUNTIF(Performance!$B$5:$B$404,B22)=0,"",SUMIFS(Performance!$O$5:$O$404,Performance!$B$5:$B$404,B22)))</f>
        <v>0</v>
      </c>
      <c r="Q22" s="23">
        <f>IF(B22="","",IF(COUNTIF(Performance!$B$5:$B$404,B22)=0,"",SUMIFS(Performance!$P$5:$P$404,Performance!$B$5:$B$404,B22)))</f>
        <v>0</v>
      </c>
      <c r="R22" s="23">
        <f>IF(B22="","",IF(COUNTIF(Performance!$B$5:$B$404,B22)=0,"",SUMIFS(Performance!$Z$5:$Z$404,Performance!$B$5:$B$404,B22)))</f>
        <v>0</v>
      </c>
      <c r="S22" s="24">
        <f>IF(OR(P22="",P22=0),"",R22/P22)</f>
        <v>0</v>
      </c>
      <c r="T22" s="23">
        <f>IF(B22="","",IF(COUNTIF(Performance!$B$5:$B$404,B22)=0,"",SUMIFS(Performance!$T$5:$T$404,Performance!$B$5:$B$404,B22)))</f>
        <v>0</v>
      </c>
      <c r="U22" s="23">
        <f>IF(B22="","",IF(COUNTIF(Performance!$B$5:$B$404,B22)=0,"",SUMIFS(Performance!$S$5:$S$404,Performance!$B$5:$B$404,B22)))</f>
        <v>0</v>
      </c>
      <c r="V22" s="23">
        <f>IF(B22="","",IF(COUNTIF(Performance!$B$5:$B$404,B22)=0,"",SUMIFS(Performance!$R$5:$R$404,Performance!$B$5:$B$404,B22)))</f>
        <v>0</v>
      </c>
      <c r="W22" s="23">
        <f>IF(B22="","",IF(COUNTIF(Performance!$B$5:$B$404,B22)=0,"",SUMIFS(Performance!$U$5:$U$404,Performance!$B$5:$B$404,B22)))</f>
        <v>0</v>
      </c>
      <c r="X22" s="29">
        <f>IF(B22="","",IF(C22="Not found","Check - content ID not on the calendar",IF(AND(J22="",G22&lt;&gt;"Photo"),"Add - no link on a link post",IF(AND(P22&lt;&gt;"",S22&lt;TargetEngagement),"Review - below your target rate","OK"))))</f>
        <v>0</v>
      </c>
    </row>
    <row r="23" spans="1:24">
      <c r="A23" s="41">
        <f>IF(B23="","","FB-"&amp;TEXT(ROW()-4,"000"))</f>
        <v>0</v>
      </c>
      <c r="C23" s="17">
        <f>IF(B23="","",IFERROR(INDEX('Content Calendar'!$H$5:$H$604,MATCH(B23,'Content Calendar'!$A$5:$A$604,0)),"Not found"))</f>
        <v>0</v>
      </c>
      <c r="D23" s="16">
        <f>IF(B23="","",IFERROR(INDEX('Content Calendar'!$B$5:$B$604,MATCH(B23,'Content Calendar'!$A$5:$A$604,0)),"Not found"))</f>
        <v>0</v>
      </c>
      <c r="E23" s="17">
        <f>IF(B23="","",IFERROR(INDEX('Content Calendar'!$J$5:$J$604,MATCH(B23,'Content Calendar'!$A$5:$A$604,0)),"Not found"))</f>
        <v>0</v>
      </c>
      <c r="F23" s="29">
        <f>IF(B23="","",IFERROR(INDEX('Content Calendar'!$X$5:$X$604,MATCH(B23,'Content Calendar'!$A$5:$A$604,0)),"Not found"))</f>
        <v>0</v>
      </c>
      <c r="P23" s="23">
        <f>IF(B23="","",IF(COUNTIF(Performance!$B$5:$B$404,B23)=0,"",SUMIFS(Performance!$O$5:$O$404,Performance!$B$5:$B$404,B23)))</f>
        <v>0</v>
      </c>
      <c r="Q23" s="23">
        <f>IF(B23="","",IF(COUNTIF(Performance!$B$5:$B$404,B23)=0,"",SUMIFS(Performance!$P$5:$P$404,Performance!$B$5:$B$404,B23)))</f>
        <v>0</v>
      </c>
      <c r="R23" s="23">
        <f>IF(B23="","",IF(COUNTIF(Performance!$B$5:$B$404,B23)=0,"",SUMIFS(Performance!$Z$5:$Z$404,Performance!$B$5:$B$404,B23)))</f>
        <v>0</v>
      </c>
      <c r="S23" s="24">
        <f>IF(OR(P23="",P23=0),"",R23/P23)</f>
        <v>0</v>
      </c>
      <c r="T23" s="23">
        <f>IF(B23="","",IF(COUNTIF(Performance!$B$5:$B$404,B23)=0,"",SUMIFS(Performance!$T$5:$T$404,Performance!$B$5:$B$404,B23)))</f>
        <v>0</v>
      </c>
      <c r="U23" s="23">
        <f>IF(B23="","",IF(COUNTIF(Performance!$B$5:$B$404,B23)=0,"",SUMIFS(Performance!$S$5:$S$404,Performance!$B$5:$B$404,B23)))</f>
        <v>0</v>
      </c>
      <c r="V23" s="23">
        <f>IF(B23="","",IF(COUNTIF(Performance!$B$5:$B$404,B23)=0,"",SUMIFS(Performance!$R$5:$R$404,Performance!$B$5:$B$404,B23)))</f>
        <v>0</v>
      </c>
      <c r="W23" s="23">
        <f>IF(B23="","",IF(COUNTIF(Performance!$B$5:$B$404,B23)=0,"",SUMIFS(Performance!$U$5:$U$404,Performance!$B$5:$B$404,B23)))</f>
        <v>0</v>
      </c>
      <c r="X23" s="29">
        <f>IF(B23="","",IF(C23="Not found","Check - content ID not on the calendar",IF(AND(J23="",G23&lt;&gt;"Photo"),"Add - no link on a link post",IF(AND(P23&lt;&gt;"",S23&lt;TargetEngagement),"Review - below your target rate","OK"))))</f>
        <v>0</v>
      </c>
    </row>
    <row r="24" spans="1:24">
      <c r="A24" s="41">
        <f>IF(B24="","","FB-"&amp;TEXT(ROW()-4,"000"))</f>
        <v>0</v>
      </c>
      <c r="C24" s="17">
        <f>IF(B24="","",IFERROR(INDEX('Content Calendar'!$H$5:$H$604,MATCH(B24,'Content Calendar'!$A$5:$A$604,0)),"Not found"))</f>
        <v>0</v>
      </c>
      <c r="D24" s="16">
        <f>IF(B24="","",IFERROR(INDEX('Content Calendar'!$B$5:$B$604,MATCH(B24,'Content Calendar'!$A$5:$A$604,0)),"Not found"))</f>
        <v>0</v>
      </c>
      <c r="E24" s="17">
        <f>IF(B24="","",IFERROR(INDEX('Content Calendar'!$J$5:$J$604,MATCH(B24,'Content Calendar'!$A$5:$A$604,0)),"Not found"))</f>
        <v>0</v>
      </c>
      <c r="F24" s="29">
        <f>IF(B24="","",IFERROR(INDEX('Content Calendar'!$X$5:$X$604,MATCH(B24,'Content Calendar'!$A$5:$A$604,0)),"Not found"))</f>
        <v>0</v>
      </c>
      <c r="P24" s="23">
        <f>IF(B24="","",IF(COUNTIF(Performance!$B$5:$B$404,B24)=0,"",SUMIFS(Performance!$O$5:$O$404,Performance!$B$5:$B$404,B24)))</f>
        <v>0</v>
      </c>
      <c r="Q24" s="23">
        <f>IF(B24="","",IF(COUNTIF(Performance!$B$5:$B$404,B24)=0,"",SUMIFS(Performance!$P$5:$P$404,Performance!$B$5:$B$404,B24)))</f>
        <v>0</v>
      </c>
      <c r="R24" s="23">
        <f>IF(B24="","",IF(COUNTIF(Performance!$B$5:$B$404,B24)=0,"",SUMIFS(Performance!$Z$5:$Z$404,Performance!$B$5:$B$404,B24)))</f>
        <v>0</v>
      </c>
      <c r="S24" s="24">
        <f>IF(OR(P24="",P24=0),"",R24/P24)</f>
        <v>0</v>
      </c>
      <c r="T24" s="23">
        <f>IF(B24="","",IF(COUNTIF(Performance!$B$5:$B$404,B24)=0,"",SUMIFS(Performance!$T$5:$T$404,Performance!$B$5:$B$404,B24)))</f>
        <v>0</v>
      </c>
      <c r="U24" s="23">
        <f>IF(B24="","",IF(COUNTIF(Performance!$B$5:$B$404,B24)=0,"",SUMIFS(Performance!$S$5:$S$404,Performance!$B$5:$B$404,B24)))</f>
        <v>0</v>
      </c>
      <c r="V24" s="23">
        <f>IF(B24="","",IF(COUNTIF(Performance!$B$5:$B$404,B24)=0,"",SUMIFS(Performance!$R$5:$R$404,Performance!$B$5:$B$404,B24)))</f>
        <v>0</v>
      </c>
      <c r="W24" s="23">
        <f>IF(B24="","",IF(COUNTIF(Performance!$B$5:$B$404,B24)=0,"",SUMIFS(Performance!$U$5:$U$404,Performance!$B$5:$B$404,B24)))</f>
        <v>0</v>
      </c>
      <c r="X24" s="29">
        <f>IF(B24="","",IF(C24="Not found","Check - content ID not on the calendar",IF(AND(J24="",G24&lt;&gt;"Photo"),"Add - no link on a link post",IF(AND(P24&lt;&gt;"",S24&lt;TargetEngagement),"Review - below your target rate","OK"))))</f>
        <v>0</v>
      </c>
    </row>
    <row r="25" spans="1:24">
      <c r="A25" s="41">
        <f>IF(B25="","","FB-"&amp;TEXT(ROW()-4,"000"))</f>
        <v>0</v>
      </c>
      <c r="C25" s="17">
        <f>IF(B25="","",IFERROR(INDEX('Content Calendar'!$H$5:$H$604,MATCH(B25,'Content Calendar'!$A$5:$A$604,0)),"Not found"))</f>
        <v>0</v>
      </c>
      <c r="D25" s="16">
        <f>IF(B25="","",IFERROR(INDEX('Content Calendar'!$B$5:$B$604,MATCH(B25,'Content Calendar'!$A$5:$A$604,0)),"Not found"))</f>
        <v>0</v>
      </c>
      <c r="E25" s="17">
        <f>IF(B25="","",IFERROR(INDEX('Content Calendar'!$J$5:$J$604,MATCH(B25,'Content Calendar'!$A$5:$A$604,0)),"Not found"))</f>
        <v>0</v>
      </c>
      <c r="F25" s="29">
        <f>IF(B25="","",IFERROR(INDEX('Content Calendar'!$X$5:$X$604,MATCH(B25,'Content Calendar'!$A$5:$A$604,0)),"Not found"))</f>
        <v>0</v>
      </c>
      <c r="P25" s="23">
        <f>IF(B25="","",IF(COUNTIF(Performance!$B$5:$B$404,B25)=0,"",SUMIFS(Performance!$O$5:$O$404,Performance!$B$5:$B$404,B25)))</f>
        <v>0</v>
      </c>
      <c r="Q25" s="23">
        <f>IF(B25="","",IF(COUNTIF(Performance!$B$5:$B$404,B25)=0,"",SUMIFS(Performance!$P$5:$P$404,Performance!$B$5:$B$404,B25)))</f>
        <v>0</v>
      </c>
      <c r="R25" s="23">
        <f>IF(B25="","",IF(COUNTIF(Performance!$B$5:$B$404,B25)=0,"",SUMIFS(Performance!$Z$5:$Z$404,Performance!$B$5:$B$404,B25)))</f>
        <v>0</v>
      </c>
      <c r="S25" s="24">
        <f>IF(OR(P25="",P25=0),"",R25/P25)</f>
        <v>0</v>
      </c>
      <c r="T25" s="23">
        <f>IF(B25="","",IF(COUNTIF(Performance!$B$5:$B$404,B25)=0,"",SUMIFS(Performance!$T$5:$T$404,Performance!$B$5:$B$404,B25)))</f>
        <v>0</v>
      </c>
      <c r="U25" s="23">
        <f>IF(B25="","",IF(COUNTIF(Performance!$B$5:$B$404,B25)=0,"",SUMIFS(Performance!$S$5:$S$404,Performance!$B$5:$B$404,B25)))</f>
        <v>0</v>
      </c>
      <c r="V25" s="23">
        <f>IF(B25="","",IF(COUNTIF(Performance!$B$5:$B$404,B25)=0,"",SUMIFS(Performance!$R$5:$R$404,Performance!$B$5:$B$404,B25)))</f>
        <v>0</v>
      </c>
      <c r="W25" s="23">
        <f>IF(B25="","",IF(COUNTIF(Performance!$B$5:$B$404,B25)=0,"",SUMIFS(Performance!$U$5:$U$404,Performance!$B$5:$B$404,B25)))</f>
        <v>0</v>
      </c>
      <c r="X25" s="29">
        <f>IF(B25="","",IF(C25="Not found","Check - content ID not on the calendar",IF(AND(J25="",G25&lt;&gt;"Photo"),"Add - no link on a link post",IF(AND(P25&lt;&gt;"",S25&lt;TargetEngagement),"Review - below your target rate","OK"))))</f>
        <v>0</v>
      </c>
    </row>
    <row r="26" spans="1:24">
      <c r="A26" s="41">
        <f>IF(B26="","","FB-"&amp;TEXT(ROW()-4,"000"))</f>
        <v>0</v>
      </c>
      <c r="C26" s="17">
        <f>IF(B26="","",IFERROR(INDEX('Content Calendar'!$H$5:$H$604,MATCH(B26,'Content Calendar'!$A$5:$A$604,0)),"Not found"))</f>
        <v>0</v>
      </c>
      <c r="D26" s="16">
        <f>IF(B26="","",IFERROR(INDEX('Content Calendar'!$B$5:$B$604,MATCH(B26,'Content Calendar'!$A$5:$A$604,0)),"Not found"))</f>
        <v>0</v>
      </c>
      <c r="E26" s="17">
        <f>IF(B26="","",IFERROR(INDEX('Content Calendar'!$J$5:$J$604,MATCH(B26,'Content Calendar'!$A$5:$A$604,0)),"Not found"))</f>
        <v>0</v>
      </c>
      <c r="F26" s="29">
        <f>IF(B26="","",IFERROR(INDEX('Content Calendar'!$X$5:$X$604,MATCH(B26,'Content Calendar'!$A$5:$A$604,0)),"Not found"))</f>
        <v>0</v>
      </c>
      <c r="P26" s="23">
        <f>IF(B26="","",IF(COUNTIF(Performance!$B$5:$B$404,B26)=0,"",SUMIFS(Performance!$O$5:$O$404,Performance!$B$5:$B$404,B26)))</f>
        <v>0</v>
      </c>
      <c r="Q26" s="23">
        <f>IF(B26="","",IF(COUNTIF(Performance!$B$5:$B$404,B26)=0,"",SUMIFS(Performance!$P$5:$P$404,Performance!$B$5:$B$404,B26)))</f>
        <v>0</v>
      </c>
      <c r="R26" s="23">
        <f>IF(B26="","",IF(COUNTIF(Performance!$B$5:$B$404,B26)=0,"",SUMIFS(Performance!$Z$5:$Z$404,Performance!$B$5:$B$404,B26)))</f>
        <v>0</v>
      </c>
      <c r="S26" s="24">
        <f>IF(OR(P26="",P26=0),"",R26/P26)</f>
        <v>0</v>
      </c>
      <c r="T26" s="23">
        <f>IF(B26="","",IF(COUNTIF(Performance!$B$5:$B$404,B26)=0,"",SUMIFS(Performance!$T$5:$T$404,Performance!$B$5:$B$404,B26)))</f>
        <v>0</v>
      </c>
      <c r="U26" s="23">
        <f>IF(B26="","",IF(COUNTIF(Performance!$B$5:$B$404,B26)=0,"",SUMIFS(Performance!$S$5:$S$404,Performance!$B$5:$B$404,B26)))</f>
        <v>0</v>
      </c>
      <c r="V26" s="23">
        <f>IF(B26="","",IF(COUNTIF(Performance!$B$5:$B$404,B26)=0,"",SUMIFS(Performance!$R$5:$R$404,Performance!$B$5:$B$404,B26)))</f>
        <v>0</v>
      </c>
      <c r="W26" s="23">
        <f>IF(B26="","",IF(COUNTIF(Performance!$B$5:$B$404,B26)=0,"",SUMIFS(Performance!$U$5:$U$404,Performance!$B$5:$B$404,B26)))</f>
        <v>0</v>
      </c>
      <c r="X26" s="29">
        <f>IF(B26="","",IF(C26="Not found","Check - content ID not on the calendar",IF(AND(J26="",G26&lt;&gt;"Photo"),"Add - no link on a link post",IF(AND(P26&lt;&gt;"",S26&lt;TargetEngagement),"Review - below your target rate","OK"))))</f>
        <v>0</v>
      </c>
    </row>
    <row r="27" spans="1:24">
      <c r="A27" s="41">
        <f>IF(B27="","","FB-"&amp;TEXT(ROW()-4,"000"))</f>
        <v>0</v>
      </c>
      <c r="C27" s="17">
        <f>IF(B27="","",IFERROR(INDEX('Content Calendar'!$H$5:$H$604,MATCH(B27,'Content Calendar'!$A$5:$A$604,0)),"Not found"))</f>
        <v>0</v>
      </c>
      <c r="D27" s="16">
        <f>IF(B27="","",IFERROR(INDEX('Content Calendar'!$B$5:$B$604,MATCH(B27,'Content Calendar'!$A$5:$A$604,0)),"Not found"))</f>
        <v>0</v>
      </c>
      <c r="E27" s="17">
        <f>IF(B27="","",IFERROR(INDEX('Content Calendar'!$J$5:$J$604,MATCH(B27,'Content Calendar'!$A$5:$A$604,0)),"Not found"))</f>
        <v>0</v>
      </c>
      <c r="F27" s="29">
        <f>IF(B27="","",IFERROR(INDEX('Content Calendar'!$X$5:$X$604,MATCH(B27,'Content Calendar'!$A$5:$A$604,0)),"Not found"))</f>
        <v>0</v>
      </c>
      <c r="P27" s="23">
        <f>IF(B27="","",IF(COUNTIF(Performance!$B$5:$B$404,B27)=0,"",SUMIFS(Performance!$O$5:$O$404,Performance!$B$5:$B$404,B27)))</f>
        <v>0</v>
      </c>
      <c r="Q27" s="23">
        <f>IF(B27="","",IF(COUNTIF(Performance!$B$5:$B$404,B27)=0,"",SUMIFS(Performance!$P$5:$P$404,Performance!$B$5:$B$404,B27)))</f>
        <v>0</v>
      </c>
      <c r="R27" s="23">
        <f>IF(B27="","",IF(COUNTIF(Performance!$B$5:$B$404,B27)=0,"",SUMIFS(Performance!$Z$5:$Z$404,Performance!$B$5:$B$404,B27)))</f>
        <v>0</v>
      </c>
      <c r="S27" s="24">
        <f>IF(OR(P27="",P27=0),"",R27/P27)</f>
        <v>0</v>
      </c>
      <c r="T27" s="23">
        <f>IF(B27="","",IF(COUNTIF(Performance!$B$5:$B$404,B27)=0,"",SUMIFS(Performance!$T$5:$T$404,Performance!$B$5:$B$404,B27)))</f>
        <v>0</v>
      </c>
      <c r="U27" s="23">
        <f>IF(B27="","",IF(COUNTIF(Performance!$B$5:$B$404,B27)=0,"",SUMIFS(Performance!$S$5:$S$404,Performance!$B$5:$B$404,B27)))</f>
        <v>0</v>
      </c>
      <c r="V27" s="23">
        <f>IF(B27="","",IF(COUNTIF(Performance!$B$5:$B$404,B27)=0,"",SUMIFS(Performance!$R$5:$R$404,Performance!$B$5:$B$404,B27)))</f>
        <v>0</v>
      </c>
      <c r="W27" s="23">
        <f>IF(B27="","",IF(COUNTIF(Performance!$B$5:$B$404,B27)=0,"",SUMIFS(Performance!$U$5:$U$404,Performance!$B$5:$B$404,B27)))</f>
        <v>0</v>
      </c>
      <c r="X27" s="29">
        <f>IF(B27="","",IF(C27="Not found","Check - content ID not on the calendar",IF(AND(J27="",G27&lt;&gt;"Photo"),"Add - no link on a link post",IF(AND(P27&lt;&gt;"",S27&lt;TargetEngagement),"Review - below your target rate","OK"))))</f>
        <v>0</v>
      </c>
    </row>
    <row r="28" spans="1:24">
      <c r="A28" s="41">
        <f>IF(B28="","","FB-"&amp;TEXT(ROW()-4,"000"))</f>
        <v>0</v>
      </c>
      <c r="C28" s="17">
        <f>IF(B28="","",IFERROR(INDEX('Content Calendar'!$H$5:$H$604,MATCH(B28,'Content Calendar'!$A$5:$A$604,0)),"Not found"))</f>
        <v>0</v>
      </c>
      <c r="D28" s="16">
        <f>IF(B28="","",IFERROR(INDEX('Content Calendar'!$B$5:$B$604,MATCH(B28,'Content Calendar'!$A$5:$A$604,0)),"Not found"))</f>
        <v>0</v>
      </c>
      <c r="E28" s="17">
        <f>IF(B28="","",IFERROR(INDEX('Content Calendar'!$J$5:$J$604,MATCH(B28,'Content Calendar'!$A$5:$A$604,0)),"Not found"))</f>
        <v>0</v>
      </c>
      <c r="F28" s="29">
        <f>IF(B28="","",IFERROR(INDEX('Content Calendar'!$X$5:$X$604,MATCH(B28,'Content Calendar'!$A$5:$A$604,0)),"Not found"))</f>
        <v>0</v>
      </c>
      <c r="P28" s="23">
        <f>IF(B28="","",IF(COUNTIF(Performance!$B$5:$B$404,B28)=0,"",SUMIFS(Performance!$O$5:$O$404,Performance!$B$5:$B$404,B28)))</f>
        <v>0</v>
      </c>
      <c r="Q28" s="23">
        <f>IF(B28="","",IF(COUNTIF(Performance!$B$5:$B$404,B28)=0,"",SUMIFS(Performance!$P$5:$P$404,Performance!$B$5:$B$404,B28)))</f>
        <v>0</v>
      </c>
      <c r="R28" s="23">
        <f>IF(B28="","",IF(COUNTIF(Performance!$B$5:$B$404,B28)=0,"",SUMIFS(Performance!$Z$5:$Z$404,Performance!$B$5:$B$404,B28)))</f>
        <v>0</v>
      </c>
      <c r="S28" s="24">
        <f>IF(OR(P28="",P28=0),"",R28/P28)</f>
        <v>0</v>
      </c>
      <c r="T28" s="23">
        <f>IF(B28="","",IF(COUNTIF(Performance!$B$5:$B$404,B28)=0,"",SUMIFS(Performance!$T$5:$T$404,Performance!$B$5:$B$404,B28)))</f>
        <v>0</v>
      </c>
      <c r="U28" s="23">
        <f>IF(B28="","",IF(COUNTIF(Performance!$B$5:$B$404,B28)=0,"",SUMIFS(Performance!$S$5:$S$404,Performance!$B$5:$B$404,B28)))</f>
        <v>0</v>
      </c>
      <c r="V28" s="23">
        <f>IF(B28="","",IF(COUNTIF(Performance!$B$5:$B$404,B28)=0,"",SUMIFS(Performance!$R$5:$R$404,Performance!$B$5:$B$404,B28)))</f>
        <v>0</v>
      </c>
      <c r="W28" s="23">
        <f>IF(B28="","",IF(COUNTIF(Performance!$B$5:$B$404,B28)=0,"",SUMIFS(Performance!$U$5:$U$404,Performance!$B$5:$B$404,B28)))</f>
        <v>0</v>
      </c>
      <c r="X28" s="29">
        <f>IF(B28="","",IF(C28="Not found","Check - content ID not on the calendar",IF(AND(J28="",G28&lt;&gt;"Photo"),"Add - no link on a link post",IF(AND(P28&lt;&gt;"",S28&lt;TargetEngagement),"Review - below your target rate","OK"))))</f>
        <v>0</v>
      </c>
    </row>
    <row r="29" spans="1:24">
      <c r="A29" s="41">
        <f>IF(B29="","","FB-"&amp;TEXT(ROW()-4,"000"))</f>
        <v>0</v>
      </c>
      <c r="C29" s="17">
        <f>IF(B29="","",IFERROR(INDEX('Content Calendar'!$H$5:$H$604,MATCH(B29,'Content Calendar'!$A$5:$A$604,0)),"Not found"))</f>
        <v>0</v>
      </c>
      <c r="D29" s="16">
        <f>IF(B29="","",IFERROR(INDEX('Content Calendar'!$B$5:$B$604,MATCH(B29,'Content Calendar'!$A$5:$A$604,0)),"Not found"))</f>
        <v>0</v>
      </c>
      <c r="E29" s="17">
        <f>IF(B29="","",IFERROR(INDEX('Content Calendar'!$J$5:$J$604,MATCH(B29,'Content Calendar'!$A$5:$A$604,0)),"Not found"))</f>
        <v>0</v>
      </c>
      <c r="F29" s="29">
        <f>IF(B29="","",IFERROR(INDEX('Content Calendar'!$X$5:$X$604,MATCH(B29,'Content Calendar'!$A$5:$A$604,0)),"Not found"))</f>
        <v>0</v>
      </c>
      <c r="P29" s="23">
        <f>IF(B29="","",IF(COUNTIF(Performance!$B$5:$B$404,B29)=0,"",SUMIFS(Performance!$O$5:$O$404,Performance!$B$5:$B$404,B29)))</f>
        <v>0</v>
      </c>
      <c r="Q29" s="23">
        <f>IF(B29="","",IF(COUNTIF(Performance!$B$5:$B$404,B29)=0,"",SUMIFS(Performance!$P$5:$P$404,Performance!$B$5:$B$404,B29)))</f>
        <v>0</v>
      </c>
      <c r="R29" s="23">
        <f>IF(B29="","",IF(COUNTIF(Performance!$B$5:$B$404,B29)=0,"",SUMIFS(Performance!$Z$5:$Z$404,Performance!$B$5:$B$404,B29)))</f>
        <v>0</v>
      </c>
      <c r="S29" s="24">
        <f>IF(OR(P29="",P29=0),"",R29/P29)</f>
        <v>0</v>
      </c>
      <c r="T29" s="23">
        <f>IF(B29="","",IF(COUNTIF(Performance!$B$5:$B$404,B29)=0,"",SUMIFS(Performance!$T$5:$T$404,Performance!$B$5:$B$404,B29)))</f>
        <v>0</v>
      </c>
      <c r="U29" s="23">
        <f>IF(B29="","",IF(COUNTIF(Performance!$B$5:$B$404,B29)=0,"",SUMIFS(Performance!$S$5:$S$404,Performance!$B$5:$B$404,B29)))</f>
        <v>0</v>
      </c>
      <c r="V29" s="23">
        <f>IF(B29="","",IF(COUNTIF(Performance!$B$5:$B$404,B29)=0,"",SUMIFS(Performance!$R$5:$R$404,Performance!$B$5:$B$404,B29)))</f>
        <v>0</v>
      </c>
      <c r="W29" s="23">
        <f>IF(B29="","",IF(COUNTIF(Performance!$B$5:$B$404,B29)=0,"",SUMIFS(Performance!$U$5:$U$404,Performance!$B$5:$B$404,B29)))</f>
        <v>0</v>
      </c>
      <c r="X29" s="29">
        <f>IF(B29="","",IF(C29="Not found","Check - content ID not on the calendar",IF(AND(J29="",G29&lt;&gt;"Photo"),"Add - no link on a link post",IF(AND(P29&lt;&gt;"",S29&lt;TargetEngagement),"Review - below your target rate","OK"))))</f>
        <v>0</v>
      </c>
    </row>
    <row r="30" spans="1:24">
      <c r="A30" s="41">
        <f>IF(B30="","","FB-"&amp;TEXT(ROW()-4,"000"))</f>
        <v>0</v>
      </c>
      <c r="C30" s="17">
        <f>IF(B30="","",IFERROR(INDEX('Content Calendar'!$H$5:$H$604,MATCH(B30,'Content Calendar'!$A$5:$A$604,0)),"Not found"))</f>
        <v>0</v>
      </c>
      <c r="D30" s="16">
        <f>IF(B30="","",IFERROR(INDEX('Content Calendar'!$B$5:$B$604,MATCH(B30,'Content Calendar'!$A$5:$A$604,0)),"Not found"))</f>
        <v>0</v>
      </c>
      <c r="E30" s="17">
        <f>IF(B30="","",IFERROR(INDEX('Content Calendar'!$J$5:$J$604,MATCH(B30,'Content Calendar'!$A$5:$A$604,0)),"Not found"))</f>
        <v>0</v>
      </c>
      <c r="F30" s="29">
        <f>IF(B30="","",IFERROR(INDEX('Content Calendar'!$X$5:$X$604,MATCH(B30,'Content Calendar'!$A$5:$A$604,0)),"Not found"))</f>
        <v>0</v>
      </c>
      <c r="P30" s="23">
        <f>IF(B30="","",IF(COUNTIF(Performance!$B$5:$B$404,B30)=0,"",SUMIFS(Performance!$O$5:$O$404,Performance!$B$5:$B$404,B30)))</f>
        <v>0</v>
      </c>
      <c r="Q30" s="23">
        <f>IF(B30="","",IF(COUNTIF(Performance!$B$5:$B$404,B30)=0,"",SUMIFS(Performance!$P$5:$P$404,Performance!$B$5:$B$404,B30)))</f>
        <v>0</v>
      </c>
      <c r="R30" s="23">
        <f>IF(B30="","",IF(COUNTIF(Performance!$B$5:$B$404,B30)=0,"",SUMIFS(Performance!$Z$5:$Z$404,Performance!$B$5:$B$404,B30)))</f>
        <v>0</v>
      </c>
      <c r="S30" s="24">
        <f>IF(OR(P30="",P30=0),"",R30/P30)</f>
        <v>0</v>
      </c>
      <c r="T30" s="23">
        <f>IF(B30="","",IF(COUNTIF(Performance!$B$5:$B$404,B30)=0,"",SUMIFS(Performance!$T$5:$T$404,Performance!$B$5:$B$404,B30)))</f>
        <v>0</v>
      </c>
      <c r="U30" s="23">
        <f>IF(B30="","",IF(COUNTIF(Performance!$B$5:$B$404,B30)=0,"",SUMIFS(Performance!$S$5:$S$404,Performance!$B$5:$B$404,B30)))</f>
        <v>0</v>
      </c>
      <c r="V30" s="23">
        <f>IF(B30="","",IF(COUNTIF(Performance!$B$5:$B$404,B30)=0,"",SUMIFS(Performance!$R$5:$R$404,Performance!$B$5:$B$404,B30)))</f>
        <v>0</v>
      </c>
      <c r="W30" s="23">
        <f>IF(B30="","",IF(COUNTIF(Performance!$B$5:$B$404,B30)=0,"",SUMIFS(Performance!$U$5:$U$404,Performance!$B$5:$B$404,B30)))</f>
        <v>0</v>
      </c>
      <c r="X30" s="29">
        <f>IF(B30="","",IF(C30="Not found","Check - content ID not on the calendar",IF(AND(J30="",G30&lt;&gt;"Photo"),"Add - no link on a link post",IF(AND(P30&lt;&gt;"",S30&lt;TargetEngagement),"Review - below your target rate","OK"))))</f>
        <v>0</v>
      </c>
    </row>
    <row r="31" spans="1:24">
      <c r="A31" s="41">
        <f>IF(B31="","","FB-"&amp;TEXT(ROW()-4,"000"))</f>
        <v>0</v>
      </c>
      <c r="C31" s="17">
        <f>IF(B31="","",IFERROR(INDEX('Content Calendar'!$H$5:$H$604,MATCH(B31,'Content Calendar'!$A$5:$A$604,0)),"Not found"))</f>
        <v>0</v>
      </c>
      <c r="D31" s="16">
        <f>IF(B31="","",IFERROR(INDEX('Content Calendar'!$B$5:$B$604,MATCH(B31,'Content Calendar'!$A$5:$A$604,0)),"Not found"))</f>
        <v>0</v>
      </c>
      <c r="E31" s="17">
        <f>IF(B31="","",IFERROR(INDEX('Content Calendar'!$J$5:$J$604,MATCH(B31,'Content Calendar'!$A$5:$A$604,0)),"Not found"))</f>
        <v>0</v>
      </c>
      <c r="F31" s="29">
        <f>IF(B31="","",IFERROR(INDEX('Content Calendar'!$X$5:$X$604,MATCH(B31,'Content Calendar'!$A$5:$A$604,0)),"Not found"))</f>
        <v>0</v>
      </c>
      <c r="P31" s="23">
        <f>IF(B31="","",IF(COUNTIF(Performance!$B$5:$B$404,B31)=0,"",SUMIFS(Performance!$O$5:$O$404,Performance!$B$5:$B$404,B31)))</f>
        <v>0</v>
      </c>
      <c r="Q31" s="23">
        <f>IF(B31="","",IF(COUNTIF(Performance!$B$5:$B$404,B31)=0,"",SUMIFS(Performance!$P$5:$P$404,Performance!$B$5:$B$404,B31)))</f>
        <v>0</v>
      </c>
      <c r="R31" s="23">
        <f>IF(B31="","",IF(COUNTIF(Performance!$B$5:$B$404,B31)=0,"",SUMIFS(Performance!$Z$5:$Z$404,Performance!$B$5:$B$404,B31)))</f>
        <v>0</v>
      </c>
      <c r="S31" s="24">
        <f>IF(OR(P31="",P31=0),"",R31/P31)</f>
        <v>0</v>
      </c>
      <c r="T31" s="23">
        <f>IF(B31="","",IF(COUNTIF(Performance!$B$5:$B$404,B31)=0,"",SUMIFS(Performance!$T$5:$T$404,Performance!$B$5:$B$404,B31)))</f>
        <v>0</v>
      </c>
      <c r="U31" s="23">
        <f>IF(B31="","",IF(COUNTIF(Performance!$B$5:$B$404,B31)=0,"",SUMIFS(Performance!$S$5:$S$404,Performance!$B$5:$B$404,B31)))</f>
        <v>0</v>
      </c>
      <c r="V31" s="23">
        <f>IF(B31="","",IF(COUNTIF(Performance!$B$5:$B$404,B31)=0,"",SUMIFS(Performance!$R$5:$R$404,Performance!$B$5:$B$404,B31)))</f>
        <v>0</v>
      </c>
      <c r="W31" s="23">
        <f>IF(B31="","",IF(COUNTIF(Performance!$B$5:$B$404,B31)=0,"",SUMIFS(Performance!$U$5:$U$404,Performance!$B$5:$B$404,B31)))</f>
        <v>0</v>
      </c>
      <c r="X31" s="29">
        <f>IF(B31="","",IF(C31="Not found","Check - content ID not on the calendar",IF(AND(J31="",G31&lt;&gt;"Photo"),"Add - no link on a link post",IF(AND(P31&lt;&gt;"",S31&lt;TargetEngagement),"Review - below your target rate","OK"))))</f>
        <v>0</v>
      </c>
    </row>
    <row r="32" spans="1:24">
      <c r="A32" s="41">
        <f>IF(B32="","","FB-"&amp;TEXT(ROW()-4,"000"))</f>
        <v>0</v>
      </c>
      <c r="C32" s="17">
        <f>IF(B32="","",IFERROR(INDEX('Content Calendar'!$H$5:$H$604,MATCH(B32,'Content Calendar'!$A$5:$A$604,0)),"Not found"))</f>
        <v>0</v>
      </c>
      <c r="D32" s="16">
        <f>IF(B32="","",IFERROR(INDEX('Content Calendar'!$B$5:$B$604,MATCH(B32,'Content Calendar'!$A$5:$A$604,0)),"Not found"))</f>
        <v>0</v>
      </c>
      <c r="E32" s="17">
        <f>IF(B32="","",IFERROR(INDEX('Content Calendar'!$J$5:$J$604,MATCH(B32,'Content Calendar'!$A$5:$A$604,0)),"Not found"))</f>
        <v>0</v>
      </c>
      <c r="F32" s="29">
        <f>IF(B32="","",IFERROR(INDEX('Content Calendar'!$X$5:$X$604,MATCH(B32,'Content Calendar'!$A$5:$A$604,0)),"Not found"))</f>
        <v>0</v>
      </c>
      <c r="P32" s="23">
        <f>IF(B32="","",IF(COUNTIF(Performance!$B$5:$B$404,B32)=0,"",SUMIFS(Performance!$O$5:$O$404,Performance!$B$5:$B$404,B32)))</f>
        <v>0</v>
      </c>
      <c r="Q32" s="23">
        <f>IF(B32="","",IF(COUNTIF(Performance!$B$5:$B$404,B32)=0,"",SUMIFS(Performance!$P$5:$P$404,Performance!$B$5:$B$404,B32)))</f>
        <v>0</v>
      </c>
      <c r="R32" s="23">
        <f>IF(B32="","",IF(COUNTIF(Performance!$B$5:$B$404,B32)=0,"",SUMIFS(Performance!$Z$5:$Z$404,Performance!$B$5:$B$404,B32)))</f>
        <v>0</v>
      </c>
      <c r="S32" s="24">
        <f>IF(OR(P32="",P32=0),"",R32/P32)</f>
        <v>0</v>
      </c>
      <c r="T32" s="23">
        <f>IF(B32="","",IF(COUNTIF(Performance!$B$5:$B$404,B32)=0,"",SUMIFS(Performance!$T$5:$T$404,Performance!$B$5:$B$404,B32)))</f>
        <v>0</v>
      </c>
      <c r="U32" s="23">
        <f>IF(B32="","",IF(COUNTIF(Performance!$B$5:$B$404,B32)=0,"",SUMIFS(Performance!$S$5:$S$404,Performance!$B$5:$B$404,B32)))</f>
        <v>0</v>
      </c>
      <c r="V32" s="23">
        <f>IF(B32="","",IF(COUNTIF(Performance!$B$5:$B$404,B32)=0,"",SUMIFS(Performance!$R$5:$R$404,Performance!$B$5:$B$404,B32)))</f>
        <v>0</v>
      </c>
      <c r="W32" s="23">
        <f>IF(B32="","",IF(COUNTIF(Performance!$B$5:$B$404,B32)=0,"",SUMIFS(Performance!$U$5:$U$404,Performance!$B$5:$B$404,B32)))</f>
        <v>0</v>
      </c>
      <c r="X32" s="29">
        <f>IF(B32="","",IF(C32="Not found","Check - content ID not on the calendar",IF(AND(J32="",G32&lt;&gt;"Photo"),"Add - no link on a link post",IF(AND(P32&lt;&gt;"",S32&lt;TargetEngagement),"Review - below your target rate","OK"))))</f>
        <v>0</v>
      </c>
    </row>
    <row r="33" spans="1:24">
      <c r="A33" s="41">
        <f>IF(B33="","","FB-"&amp;TEXT(ROW()-4,"000"))</f>
        <v>0</v>
      </c>
      <c r="C33" s="17">
        <f>IF(B33="","",IFERROR(INDEX('Content Calendar'!$H$5:$H$604,MATCH(B33,'Content Calendar'!$A$5:$A$604,0)),"Not found"))</f>
        <v>0</v>
      </c>
      <c r="D33" s="16">
        <f>IF(B33="","",IFERROR(INDEX('Content Calendar'!$B$5:$B$604,MATCH(B33,'Content Calendar'!$A$5:$A$604,0)),"Not found"))</f>
        <v>0</v>
      </c>
      <c r="E33" s="17">
        <f>IF(B33="","",IFERROR(INDEX('Content Calendar'!$J$5:$J$604,MATCH(B33,'Content Calendar'!$A$5:$A$604,0)),"Not found"))</f>
        <v>0</v>
      </c>
      <c r="F33" s="29">
        <f>IF(B33="","",IFERROR(INDEX('Content Calendar'!$X$5:$X$604,MATCH(B33,'Content Calendar'!$A$5:$A$604,0)),"Not found"))</f>
        <v>0</v>
      </c>
      <c r="P33" s="23">
        <f>IF(B33="","",IF(COUNTIF(Performance!$B$5:$B$404,B33)=0,"",SUMIFS(Performance!$O$5:$O$404,Performance!$B$5:$B$404,B33)))</f>
        <v>0</v>
      </c>
      <c r="Q33" s="23">
        <f>IF(B33="","",IF(COUNTIF(Performance!$B$5:$B$404,B33)=0,"",SUMIFS(Performance!$P$5:$P$404,Performance!$B$5:$B$404,B33)))</f>
        <v>0</v>
      </c>
      <c r="R33" s="23">
        <f>IF(B33="","",IF(COUNTIF(Performance!$B$5:$B$404,B33)=0,"",SUMIFS(Performance!$Z$5:$Z$404,Performance!$B$5:$B$404,B33)))</f>
        <v>0</v>
      </c>
      <c r="S33" s="24">
        <f>IF(OR(P33="",P33=0),"",R33/P33)</f>
        <v>0</v>
      </c>
      <c r="T33" s="23">
        <f>IF(B33="","",IF(COUNTIF(Performance!$B$5:$B$404,B33)=0,"",SUMIFS(Performance!$T$5:$T$404,Performance!$B$5:$B$404,B33)))</f>
        <v>0</v>
      </c>
      <c r="U33" s="23">
        <f>IF(B33="","",IF(COUNTIF(Performance!$B$5:$B$404,B33)=0,"",SUMIFS(Performance!$S$5:$S$404,Performance!$B$5:$B$404,B33)))</f>
        <v>0</v>
      </c>
      <c r="V33" s="23">
        <f>IF(B33="","",IF(COUNTIF(Performance!$B$5:$B$404,B33)=0,"",SUMIFS(Performance!$R$5:$R$404,Performance!$B$5:$B$404,B33)))</f>
        <v>0</v>
      </c>
      <c r="W33" s="23">
        <f>IF(B33="","",IF(COUNTIF(Performance!$B$5:$B$404,B33)=0,"",SUMIFS(Performance!$U$5:$U$404,Performance!$B$5:$B$404,B33)))</f>
        <v>0</v>
      </c>
      <c r="X33" s="29">
        <f>IF(B33="","",IF(C33="Not found","Check - content ID not on the calendar",IF(AND(J33="",G33&lt;&gt;"Photo"),"Add - no link on a link post",IF(AND(P33&lt;&gt;"",S33&lt;TargetEngagement),"Review - below your target rate","OK"))))</f>
        <v>0</v>
      </c>
    </row>
    <row r="34" spans="1:24">
      <c r="A34" s="41">
        <f>IF(B34="","","FB-"&amp;TEXT(ROW()-4,"000"))</f>
        <v>0</v>
      </c>
      <c r="C34" s="17">
        <f>IF(B34="","",IFERROR(INDEX('Content Calendar'!$H$5:$H$604,MATCH(B34,'Content Calendar'!$A$5:$A$604,0)),"Not found"))</f>
        <v>0</v>
      </c>
      <c r="D34" s="16">
        <f>IF(B34="","",IFERROR(INDEX('Content Calendar'!$B$5:$B$604,MATCH(B34,'Content Calendar'!$A$5:$A$604,0)),"Not found"))</f>
        <v>0</v>
      </c>
      <c r="E34" s="17">
        <f>IF(B34="","",IFERROR(INDEX('Content Calendar'!$J$5:$J$604,MATCH(B34,'Content Calendar'!$A$5:$A$604,0)),"Not found"))</f>
        <v>0</v>
      </c>
      <c r="F34" s="29">
        <f>IF(B34="","",IFERROR(INDEX('Content Calendar'!$X$5:$X$604,MATCH(B34,'Content Calendar'!$A$5:$A$604,0)),"Not found"))</f>
        <v>0</v>
      </c>
      <c r="P34" s="23">
        <f>IF(B34="","",IF(COUNTIF(Performance!$B$5:$B$404,B34)=0,"",SUMIFS(Performance!$O$5:$O$404,Performance!$B$5:$B$404,B34)))</f>
        <v>0</v>
      </c>
      <c r="Q34" s="23">
        <f>IF(B34="","",IF(COUNTIF(Performance!$B$5:$B$404,B34)=0,"",SUMIFS(Performance!$P$5:$P$404,Performance!$B$5:$B$404,B34)))</f>
        <v>0</v>
      </c>
      <c r="R34" s="23">
        <f>IF(B34="","",IF(COUNTIF(Performance!$B$5:$B$404,B34)=0,"",SUMIFS(Performance!$Z$5:$Z$404,Performance!$B$5:$B$404,B34)))</f>
        <v>0</v>
      </c>
      <c r="S34" s="24">
        <f>IF(OR(P34="",P34=0),"",R34/P34)</f>
        <v>0</v>
      </c>
      <c r="T34" s="23">
        <f>IF(B34="","",IF(COUNTIF(Performance!$B$5:$B$404,B34)=0,"",SUMIFS(Performance!$T$5:$T$404,Performance!$B$5:$B$404,B34)))</f>
        <v>0</v>
      </c>
      <c r="U34" s="23">
        <f>IF(B34="","",IF(COUNTIF(Performance!$B$5:$B$404,B34)=0,"",SUMIFS(Performance!$S$5:$S$404,Performance!$B$5:$B$404,B34)))</f>
        <v>0</v>
      </c>
      <c r="V34" s="23">
        <f>IF(B34="","",IF(COUNTIF(Performance!$B$5:$B$404,B34)=0,"",SUMIFS(Performance!$R$5:$R$404,Performance!$B$5:$B$404,B34)))</f>
        <v>0</v>
      </c>
      <c r="W34" s="23">
        <f>IF(B34="","",IF(COUNTIF(Performance!$B$5:$B$404,B34)=0,"",SUMIFS(Performance!$U$5:$U$404,Performance!$B$5:$B$404,B34)))</f>
        <v>0</v>
      </c>
      <c r="X34" s="29">
        <f>IF(B34="","",IF(C34="Not found","Check - content ID not on the calendar",IF(AND(J34="",G34&lt;&gt;"Photo"),"Add - no link on a link post",IF(AND(P34&lt;&gt;"",S34&lt;TargetEngagement),"Review - below your target rate","OK"))))</f>
        <v>0</v>
      </c>
    </row>
    <row r="35" spans="1:24">
      <c r="A35" s="41">
        <f>IF(B35="","","FB-"&amp;TEXT(ROW()-4,"000"))</f>
        <v>0</v>
      </c>
      <c r="C35" s="17">
        <f>IF(B35="","",IFERROR(INDEX('Content Calendar'!$H$5:$H$604,MATCH(B35,'Content Calendar'!$A$5:$A$604,0)),"Not found"))</f>
        <v>0</v>
      </c>
      <c r="D35" s="16">
        <f>IF(B35="","",IFERROR(INDEX('Content Calendar'!$B$5:$B$604,MATCH(B35,'Content Calendar'!$A$5:$A$604,0)),"Not found"))</f>
        <v>0</v>
      </c>
      <c r="E35" s="17">
        <f>IF(B35="","",IFERROR(INDEX('Content Calendar'!$J$5:$J$604,MATCH(B35,'Content Calendar'!$A$5:$A$604,0)),"Not found"))</f>
        <v>0</v>
      </c>
      <c r="F35" s="29">
        <f>IF(B35="","",IFERROR(INDEX('Content Calendar'!$X$5:$X$604,MATCH(B35,'Content Calendar'!$A$5:$A$604,0)),"Not found"))</f>
        <v>0</v>
      </c>
      <c r="P35" s="23">
        <f>IF(B35="","",IF(COUNTIF(Performance!$B$5:$B$404,B35)=0,"",SUMIFS(Performance!$O$5:$O$404,Performance!$B$5:$B$404,B35)))</f>
        <v>0</v>
      </c>
      <c r="Q35" s="23">
        <f>IF(B35="","",IF(COUNTIF(Performance!$B$5:$B$404,B35)=0,"",SUMIFS(Performance!$P$5:$P$404,Performance!$B$5:$B$404,B35)))</f>
        <v>0</v>
      </c>
      <c r="R35" s="23">
        <f>IF(B35="","",IF(COUNTIF(Performance!$B$5:$B$404,B35)=0,"",SUMIFS(Performance!$Z$5:$Z$404,Performance!$B$5:$B$404,B35)))</f>
        <v>0</v>
      </c>
      <c r="S35" s="24">
        <f>IF(OR(P35="",P35=0),"",R35/P35)</f>
        <v>0</v>
      </c>
      <c r="T35" s="23">
        <f>IF(B35="","",IF(COUNTIF(Performance!$B$5:$B$404,B35)=0,"",SUMIFS(Performance!$T$5:$T$404,Performance!$B$5:$B$404,B35)))</f>
        <v>0</v>
      </c>
      <c r="U35" s="23">
        <f>IF(B35="","",IF(COUNTIF(Performance!$B$5:$B$404,B35)=0,"",SUMIFS(Performance!$S$5:$S$404,Performance!$B$5:$B$404,B35)))</f>
        <v>0</v>
      </c>
      <c r="V35" s="23">
        <f>IF(B35="","",IF(COUNTIF(Performance!$B$5:$B$404,B35)=0,"",SUMIFS(Performance!$R$5:$R$404,Performance!$B$5:$B$404,B35)))</f>
        <v>0</v>
      </c>
      <c r="W35" s="23">
        <f>IF(B35="","",IF(COUNTIF(Performance!$B$5:$B$404,B35)=0,"",SUMIFS(Performance!$U$5:$U$404,Performance!$B$5:$B$404,B35)))</f>
        <v>0</v>
      </c>
      <c r="X35" s="29">
        <f>IF(B35="","",IF(C35="Not found","Check - content ID not on the calendar",IF(AND(J35="",G35&lt;&gt;"Photo"),"Add - no link on a link post",IF(AND(P35&lt;&gt;"",S35&lt;TargetEngagement),"Review - below your target rate","OK"))))</f>
        <v>0</v>
      </c>
    </row>
    <row r="36" spans="1:24">
      <c r="A36" s="41">
        <f>IF(B36="","","FB-"&amp;TEXT(ROW()-4,"000"))</f>
        <v>0</v>
      </c>
      <c r="C36" s="17">
        <f>IF(B36="","",IFERROR(INDEX('Content Calendar'!$H$5:$H$604,MATCH(B36,'Content Calendar'!$A$5:$A$604,0)),"Not found"))</f>
        <v>0</v>
      </c>
      <c r="D36" s="16">
        <f>IF(B36="","",IFERROR(INDEX('Content Calendar'!$B$5:$B$604,MATCH(B36,'Content Calendar'!$A$5:$A$604,0)),"Not found"))</f>
        <v>0</v>
      </c>
      <c r="E36" s="17">
        <f>IF(B36="","",IFERROR(INDEX('Content Calendar'!$J$5:$J$604,MATCH(B36,'Content Calendar'!$A$5:$A$604,0)),"Not found"))</f>
        <v>0</v>
      </c>
      <c r="F36" s="29">
        <f>IF(B36="","",IFERROR(INDEX('Content Calendar'!$X$5:$X$604,MATCH(B36,'Content Calendar'!$A$5:$A$604,0)),"Not found"))</f>
        <v>0</v>
      </c>
      <c r="P36" s="23">
        <f>IF(B36="","",IF(COUNTIF(Performance!$B$5:$B$404,B36)=0,"",SUMIFS(Performance!$O$5:$O$404,Performance!$B$5:$B$404,B36)))</f>
        <v>0</v>
      </c>
      <c r="Q36" s="23">
        <f>IF(B36="","",IF(COUNTIF(Performance!$B$5:$B$404,B36)=0,"",SUMIFS(Performance!$P$5:$P$404,Performance!$B$5:$B$404,B36)))</f>
        <v>0</v>
      </c>
      <c r="R36" s="23">
        <f>IF(B36="","",IF(COUNTIF(Performance!$B$5:$B$404,B36)=0,"",SUMIFS(Performance!$Z$5:$Z$404,Performance!$B$5:$B$404,B36)))</f>
        <v>0</v>
      </c>
      <c r="S36" s="24">
        <f>IF(OR(P36="",P36=0),"",R36/P36)</f>
        <v>0</v>
      </c>
      <c r="T36" s="23">
        <f>IF(B36="","",IF(COUNTIF(Performance!$B$5:$B$404,B36)=0,"",SUMIFS(Performance!$T$5:$T$404,Performance!$B$5:$B$404,B36)))</f>
        <v>0</v>
      </c>
      <c r="U36" s="23">
        <f>IF(B36="","",IF(COUNTIF(Performance!$B$5:$B$404,B36)=0,"",SUMIFS(Performance!$S$5:$S$404,Performance!$B$5:$B$404,B36)))</f>
        <v>0</v>
      </c>
      <c r="V36" s="23">
        <f>IF(B36="","",IF(COUNTIF(Performance!$B$5:$B$404,B36)=0,"",SUMIFS(Performance!$R$5:$R$404,Performance!$B$5:$B$404,B36)))</f>
        <v>0</v>
      </c>
      <c r="W36" s="23">
        <f>IF(B36="","",IF(COUNTIF(Performance!$B$5:$B$404,B36)=0,"",SUMIFS(Performance!$U$5:$U$404,Performance!$B$5:$B$404,B36)))</f>
        <v>0</v>
      </c>
      <c r="X36" s="29">
        <f>IF(B36="","",IF(C36="Not found","Check - content ID not on the calendar",IF(AND(J36="",G36&lt;&gt;"Photo"),"Add - no link on a link post",IF(AND(P36&lt;&gt;"",S36&lt;TargetEngagement),"Review - below your target rate","OK"))))</f>
        <v>0</v>
      </c>
    </row>
    <row r="37" spans="1:24">
      <c r="A37" s="41">
        <f>IF(B37="","","FB-"&amp;TEXT(ROW()-4,"000"))</f>
        <v>0</v>
      </c>
      <c r="C37" s="17">
        <f>IF(B37="","",IFERROR(INDEX('Content Calendar'!$H$5:$H$604,MATCH(B37,'Content Calendar'!$A$5:$A$604,0)),"Not found"))</f>
        <v>0</v>
      </c>
      <c r="D37" s="16">
        <f>IF(B37="","",IFERROR(INDEX('Content Calendar'!$B$5:$B$604,MATCH(B37,'Content Calendar'!$A$5:$A$604,0)),"Not found"))</f>
        <v>0</v>
      </c>
      <c r="E37" s="17">
        <f>IF(B37="","",IFERROR(INDEX('Content Calendar'!$J$5:$J$604,MATCH(B37,'Content Calendar'!$A$5:$A$604,0)),"Not found"))</f>
        <v>0</v>
      </c>
      <c r="F37" s="29">
        <f>IF(B37="","",IFERROR(INDEX('Content Calendar'!$X$5:$X$604,MATCH(B37,'Content Calendar'!$A$5:$A$604,0)),"Not found"))</f>
        <v>0</v>
      </c>
      <c r="P37" s="23">
        <f>IF(B37="","",IF(COUNTIF(Performance!$B$5:$B$404,B37)=0,"",SUMIFS(Performance!$O$5:$O$404,Performance!$B$5:$B$404,B37)))</f>
        <v>0</v>
      </c>
      <c r="Q37" s="23">
        <f>IF(B37="","",IF(COUNTIF(Performance!$B$5:$B$404,B37)=0,"",SUMIFS(Performance!$P$5:$P$404,Performance!$B$5:$B$404,B37)))</f>
        <v>0</v>
      </c>
      <c r="R37" s="23">
        <f>IF(B37="","",IF(COUNTIF(Performance!$B$5:$B$404,B37)=0,"",SUMIFS(Performance!$Z$5:$Z$404,Performance!$B$5:$B$404,B37)))</f>
        <v>0</v>
      </c>
      <c r="S37" s="24">
        <f>IF(OR(P37="",P37=0),"",R37/P37)</f>
        <v>0</v>
      </c>
      <c r="T37" s="23">
        <f>IF(B37="","",IF(COUNTIF(Performance!$B$5:$B$404,B37)=0,"",SUMIFS(Performance!$T$5:$T$404,Performance!$B$5:$B$404,B37)))</f>
        <v>0</v>
      </c>
      <c r="U37" s="23">
        <f>IF(B37="","",IF(COUNTIF(Performance!$B$5:$B$404,B37)=0,"",SUMIFS(Performance!$S$5:$S$404,Performance!$B$5:$B$404,B37)))</f>
        <v>0</v>
      </c>
      <c r="V37" s="23">
        <f>IF(B37="","",IF(COUNTIF(Performance!$B$5:$B$404,B37)=0,"",SUMIFS(Performance!$R$5:$R$404,Performance!$B$5:$B$404,B37)))</f>
        <v>0</v>
      </c>
      <c r="W37" s="23">
        <f>IF(B37="","",IF(COUNTIF(Performance!$B$5:$B$404,B37)=0,"",SUMIFS(Performance!$U$5:$U$404,Performance!$B$5:$B$404,B37)))</f>
        <v>0</v>
      </c>
      <c r="X37" s="29">
        <f>IF(B37="","",IF(C37="Not found","Check - content ID not on the calendar",IF(AND(J37="",G37&lt;&gt;"Photo"),"Add - no link on a link post",IF(AND(P37&lt;&gt;"",S37&lt;TargetEngagement),"Review - below your target rate","OK"))))</f>
        <v>0</v>
      </c>
    </row>
    <row r="38" spans="1:24">
      <c r="A38" s="41">
        <f>IF(B38="","","FB-"&amp;TEXT(ROW()-4,"000"))</f>
        <v>0</v>
      </c>
      <c r="C38" s="17">
        <f>IF(B38="","",IFERROR(INDEX('Content Calendar'!$H$5:$H$604,MATCH(B38,'Content Calendar'!$A$5:$A$604,0)),"Not found"))</f>
        <v>0</v>
      </c>
      <c r="D38" s="16">
        <f>IF(B38="","",IFERROR(INDEX('Content Calendar'!$B$5:$B$604,MATCH(B38,'Content Calendar'!$A$5:$A$604,0)),"Not found"))</f>
        <v>0</v>
      </c>
      <c r="E38" s="17">
        <f>IF(B38="","",IFERROR(INDEX('Content Calendar'!$J$5:$J$604,MATCH(B38,'Content Calendar'!$A$5:$A$604,0)),"Not found"))</f>
        <v>0</v>
      </c>
      <c r="F38" s="29">
        <f>IF(B38="","",IFERROR(INDEX('Content Calendar'!$X$5:$X$604,MATCH(B38,'Content Calendar'!$A$5:$A$604,0)),"Not found"))</f>
        <v>0</v>
      </c>
      <c r="P38" s="23">
        <f>IF(B38="","",IF(COUNTIF(Performance!$B$5:$B$404,B38)=0,"",SUMIFS(Performance!$O$5:$O$404,Performance!$B$5:$B$404,B38)))</f>
        <v>0</v>
      </c>
      <c r="Q38" s="23">
        <f>IF(B38="","",IF(COUNTIF(Performance!$B$5:$B$404,B38)=0,"",SUMIFS(Performance!$P$5:$P$404,Performance!$B$5:$B$404,B38)))</f>
        <v>0</v>
      </c>
      <c r="R38" s="23">
        <f>IF(B38="","",IF(COUNTIF(Performance!$B$5:$B$404,B38)=0,"",SUMIFS(Performance!$Z$5:$Z$404,Performance!$B$5:$B$404,B38)))</f>
        <v>0</v>
      </c>
      <c r="S38" s="24">
        <f>IF(OR(P38="",P38=0),"",R38/P38)</f>
        <v>0</v>
      </c>
      <c r="T38" s="23">
        <f>IF(B38="","",IF(COUNTIF(Performance!$B$5:$B$404,B38)=0,"",SUMIFS(Performance!$T$5:$T$404,Performance!$B$5:$B$404,B38)))</f>
        <v>0</v>
      </c>
      <c r="U38" s="23">
        <f>IF(B38="","",IF(COUNTIF(Performance!$B$5:$B$404,B38)=0,"",SUMIFS(Performance!$S$5:$S$404,Performance!$B$5:$B$404,B38)))</f>
        <v>0</v>
      </c>
      <c r="V38" s="23">
        <f>IF(B38="","",IF(COUNTIF(Performance!$B$5:$B$404,B38)=0,"",SUMIFS(Performance!$R$5:$R$404,Performance!$B$5:$B$404,B38)))</f>
        <v>0</v>
      </c>
      <c r="W38" s="23">
        <f>IF(B38="","",IF(COUNTIF(Performance!$B$5:$B$404,B38)=0,"",SUMIFS(Performance!$U$5:$U$404,Performance!$B$5:$B$404,B38)))</f>
        <v>0</v>
      </c>
      <c r="X38" s="29">
        <f>IF(B38="","",IF(C38="Not found","Check - content ID not on the calendar",IF(AND(J38="",G38&lt;&gt;"Photo"),"Add - no link on a link post",IF(AND(P38&lt;&gt;"",S38&lt;TargetEngagement),"Review - below your target rate","OK"))))</f>
        <v>0</v>
      </c>
    </row>
    <row r="39" spans="1:24">
      <c r="A39" s="41">
        <f>IF(B39="","","FB-"&amp;TEXT(ROW()-4,"000"))</f>
        <v>0</v>
      </c>
      <c r="C39" s="17">
        <f>IF(B39="","",IFERROR(INDEX('Content Calendar'!$H$5:$H$604,MATCH(B39,'Content Calendar'!$A$5:$A$604,0)),"Not found"))</f>
        <v>0</v>
      </c>
      <c r="D39" s="16">
        <f>IF(B39="","",IFERROR(INDEX('Content Calendar'!$B$5:$B$604,MATCH(B39,'Content Calendar'!$A$5:$A$604,0)),"Not found"))</f>
        <v>0</v>
      </c>
      <c r="E39" s="17">
        <f>IF(B39="","",IFERROR(INDEX('Content Calendar'!$J$5:$J$604,MATCH(B39,'Content Calendar'!$A$5:$A$604,0)),"Not found"))</f>
        <v>0</v>
      </c>
      <c r="F39" s="29">
        <f>IF(B39="","",IFERROR(INDEX('Content Calendar'!$X$5:$X$604,MATCH(B39,'Content Calendar'!$A$5:$A$604,0)),"Not found"))</f>
        <v>0</v>
      </c>
      <c r="P39" s="23">
        <f>IF(B39="","",IF(COUNTIF(Performance!$B$5:$B$404,B39)=0,"",SUMIFS(Performance!$O$5:$O$404,Performance!$B$5:$B$404,B39)))</f>
        <v>0</v>
      </c>
      <c r="Q39" s="23">
        <f>IF(B39="","",IF(COUNTIF(Performance!$B$5:$B$404,B39)=0,"",SUMIFS(Performance!$P$5:$P$404,Performance!$B$5:$B$404,B39)))</f>
        <v>0</v>
      </c>
      <c r="R39" s="23">
        <f>IF(B39="","",IF(COUNTIF(Performance!$B$5:$B$404,B39)=0,"",SUMIFS(Performance!$Z$5:$Z$404,Performance!$B$5:$B$404,B39)))</f>
        <v>0</v>
      </c>
      <c r="S39" s="24">
        <f>IF(OR(P39="",P39=0),"",R39/P39)</f>
        <v>0</v>
      </c>
      <c r="T39" s="23">
        <f>IF(B39="","",IF(COUNTIF(Performance!$B$5:$B$404,B39)=0,"",SUMIFS(Performance!$T$5:$T$404,Performance!$B$5:$B$404,B39)))</f>
        <v>0</v>
      </c>
      <c r="U39" s="23">
        <f>IF(B39="","",IF(COUNTIF(Performance!$B$5:$B$404,B39)=0,"",SUMIFS(Performance!$S$5:$S$404,Performance!$B$5:$B$404,B39)))</f>
        <v>0</v>
      </c>
      <c r="V39" s="23">
        <f>IF(B39="","",IF(COUNTIF(Performance!$B$5:$B$404,B39)=0,"",SUMIFS(Performance!$R$5:$R$404,Performance!$B$5:$B$404,B39)))</f>
        <v>0</v>
      </c>
      <c r="W39" s="23">
        <f>IF(B39="","",IF(COUNTIF(Performance!$B$5:$B$404,B39)=0,"",SUMIFS(Performance!$U$5:$U$404,Performance!$B$5:$B$404,B39)))</f>
        <v>0</v>
      </c>
      <c r="X39" s="29">
        <f>IF(B39="","",IF(C39="Not found","Check - content ID not on the calendar",IF(AND(J39="",G39&lt;&gt;"Photo"),"Add - no link on a link post",IF(AND(P39&lt;&gt;"",S39&lt;TargetEngagement),"Review - below your target rate","OK"))))</f>
        <v>0</v>
      </c>
    </row>
    <row r="40" spans="1:24">
      <c r="A40" s="41">
        <f>IF(B40="","","FB-"&amp;TEXT(ROW()-4,"000"))</f>
        <v>0</v>
      </c>
      <c r="C40" s="17">
        <f>IF(B40="","",IFERROR(INDEX('Content Calendar'!$H$5:$H$604,MATCH(B40,'Content Calendar'!$A$5:$A$604,0)),"Not found"))</f>
        <v>0</v>
      </c>
      <c r="D40" s="16">
        <f>IF(B40="","",IFERROR(INDEX('Content Calendar'!$B$5:$B$604,MATCH(B40,'Content Calendar'!$A$5:$A$604,0)),"Not found"))</f>
        <v>0</v>
      </c>
      <c r="E40" s="17">
        <f>IF(B40="","",IFERROR(INDEX('Content Calendar'!$J$5:$J$604,MATCH(B40,'Content Calendar'!$A$5:$A$604,0)),"Not found"))</f>
        <v>0</v>
      </c>
      <c r="F40" s="29">
        <f>IF(B40="","",IFERROR(INDEX('Content Calendar'!$X$5:$X$604,MATCH(B40,'Content Calendar'!$A$5:$A$604,0)),"Not found"))</f>
        <v>0</v>
      </c>
      <c r="P40" s="23">
        <f>IF(B40="","",IF(COUNTIF(Performance!$B$5:$B$404,B40)=0,"",SUMIFS(Performance!$O$5:$O$404,Performance!$B$5:$B$404,B40)))</f>
        <v>0</v>
      </c>
      <c r="Q40" s="23">
        <f>IF(B40="","",IF(COUNTIF(Performance!$B$5:$B$404,B40)=0,"",SUMIFS(Performance!$P$5:$P$404,Performance!$B$5:$B$404,B40)))</f>
        <v>0</v>
      </c>
      <c r="R40" s="23">
        <f>IF(B40="","",IF(COUNTIF(Performance!$B$5:$B$404,B40)=0,"",SUMIFS(Performance!$Z$5:$Z$404,Performance!$B$5:$B$404,B40)))</f>
        <v>0</v>
      </c>
      <c r="S40" s="24">
        <f>IF(OR(P40="",P40=0),"",R40/P40)</f>
        <v>0</v>
      </c>
      <c r="T40" s="23">
        <f>IF(B40="","",IF(COUNTIF(Performance!$B$5:$B$404,B40)=0,"",SUMIFS(Performance!$T$5:$T$404,Performance!$B$5:$B$404,B40)))</f>
        <v>0</v>
      </c>
      <c r="U40" s="23">
        <f>IF(B40="","",IF(COUNTIF(Performance!$B$5:$B$404,B40)=0,"",SUMIFS(Performance!$S$5:$S$404,Performance!$B$5:$B$404,B40)))</f>
        <v>0</v>
      </c>
      <c r="V40" s="23">
        <f>IF(B40="","",IF(COUNTIF(Performance!$B$5:$B$404,B40)=0,"",SUMIFS(Performance!$R$5:$R$404,Performance!$B$5:$B$404,B40)))</f>
        <v>0</v>
      </c>
      <c r="W40" s="23">
        <f>IF(B40="","",IF(COUNTIF(Performance!$B$5:$B$404,B40)=0,"",SUMIFS(Performance!$U$5:$U$404,Performance!$B$5:$B$404,B40)))</f>
        <v>0</v>
      </c>
      <c r="X40" s="29">
        <f>IF(B40="","",IF(C40="Not found","Check - content ID not on the calendar",IF(AND(J40="",G40&lt;&gt;"Photo"),"Add - no link on a link post",IF(AND(P40&lt;&gt;"",S40&lt;TargetEngagement),"Review - below your target rate","OK"))))</f>
        <v>0</v>
      </c>
    </row>
    <row r="41" spans="1:24">
      <c r="A41" s="41">
        <f>IF(B41="","","FB-"&amp;TEXT(ROW()-4,"000"))</f>
        <v>0</v>
      </c>
      <c r="C41" s="17">
        <f>IF(B41="","",IFERROR(INDEX('Content Calendar'!$H$5:$H$604,MATCH(B41,'Content Calendar'!$A$5:$A$604,0)),"Not found"))</f>
        <v>0</v>
      </c>
      <c r="D41" s="16">
        <f>IF(B41="","",IFERROR(INDEX('Content Calendar'!$B$5:$B$604,MATCH(B41,'Content Calendar'!$A$5:$A$604,0)),"Not found"))</f>
        <v>0</v>
      </c>
      <c r="E41" s="17">
        <f>IF(B41="","",IFERROR(INDEX('Content Calendar'!$J$5:$J$604,MATCH(B41,'Content Calendar'!$A$5:$A$604,0)),"Not found"))</f>
        <v>0</v>
      </c>
      <c r="F41" s="29">
        <f>IF(B41="","",IFERROR(INDEX('Content Calendar'!$X$5:$X$604,MATCH(B41,'Content Calendar'!$A$5:$A$604,0)),"Not found"))</f>
        <v>0</v>
      </c>
      <c r="P41" s="23">
        <f>IF(B41="","",IF(COUNTIF(Performance!$B$5:$B$404,B41)=0,"",SUMIFS(Performance!$O$5:$O$404,Performance!$B$5:$B$404,B41)))</f>
        <v>0</v>
      </c>
      <c r="Q41" s="23">
        <f>IF(B41="","",IF(COUNTIF(Performance!$B$5:$B$404,B41)=0,"",SUMIFS(Performance!$P$5:$P$404,Performance!$B$5:$B$404,B41)))</f>
        <v>0</v>
      </c>
      <c r="R41" s="23">
        <f>IF(B41="","",IF(COUNTIF(Performance!$B$5:$B$404,B41)=0,"",SUMIFS(Performance!$Z$5:$Z$404,Performance!$B$5:$B$404,B41)))</f>
        <v>0</v>
      </c>
      <c r="S41" s="24">
        <f>IF(OR(P41="",P41=0),"",R41/P41)</f>
        <v>0</v>
      </c>
      <c r="T41" s="23">
        <f>IF(B41="","",IF(COUNTIF(Performance!$B$5:$B$404,B41)=0,"",SUMIFS(Performance!$T$5:$T$404,Performance!$B$5:$B$404,B41)))</f>
        <v>0</v>
      </c>
      <c r="U41" s="23">
        <f>IF(B41="","",IF(COUNTIF(Performance!$B$5:$B$404,B41)=0,"",SUMIFS(Performance!$S$5:$S$404,Performance!$B$5:$B$404,B41)))</f>
        <v>0</v>
      </c>
      <c r="V41" s="23">
        <f>IF(B41="","",IF(COUNTIF(Performance!$B$5:$B$404,B41)=0,"",SUMIFS(Performance!$R$5:$R$404,Performance!$B$5:$B$404,B41)))</f>
        <v>0</v>
      </c>
      <c r="W41" s="23">
        <f>IF(B41="","",IF(COUNTIF(Performance!$B$5:$B$404,B41)=0,"",SUMIFS(Performance!$U$5:$U$404,Performance!$B$5:$B$404,B41)))</f>
        <v>0</v>
      </c>
      <c r="X41" s="29">
        <f>IF(B41="","",IF(C41="Not found","Check - content ID not on the calendar",IF(AND(J41="",G41&lt;&gt;"Photo"),"Add - no link on a link post",IF(AND(P41&lt;&gt;"",S41&lt;TargetEngagement),"Review - below your target rate","OK"))))</f>
        <v>0</v>
      </c>
    </row>
    <row r="42" spans="1:24">
      <c r="A42" s="41">
        <f>IF(B42="","","FB-"&amp;TEXT(ROW()-4,"000"))</f>
        <v>0</v>
      </c>
      <c r="C42" s="17">
        <f>IF(B42="","",IFERROR(INDEX('Content Calendar'!$H$5:$H$604,MATCH(B42,'Content Calendar'!$A$5:$A$604,0)),"Not found"))</f>
        <v>0</v>
      </c>
      <c r="D42" s="16">
        <f>IF(B42="","",IFERROR(INDEX('Content Calendar'!$B$5:$B$604,MATCH(B42,'Content Calendar'!$A$5:$A$604,0)),"Not found"))</f>
        <v>0</v>
      </c>
      <c r="E42" s="17">
        <f>IF(B42="","",IFERROR(INDEX('Content Calendar'!$J$5:$J$604,MATCH(B42,'Content Calendar'!$A$5:$A$604,0)),"Not found"))</f>
        <v>0</v>
      </c>
      <c r="F42" s="29">
        <f>IF(B42="","",IFERROR(INDEX('Content Calendar'!$X$5:$X$604,MATCH(B42,'Content Calendar'!$A$5:$A$604,0)),"Not found"))</f>
        <v>0</v>
      </c>
      <c r="P42" s="23">
        <f>IF(B42="","",IF(COUNTIF(Performance!$B$5:$B$404,B42)=0,"",SUMIFS(Performance!$O$5:$O$404,Performance!$B$5:$B$404,B42)))</f>
        <v>0</v>
      </c>
      <c r="Q42" s="23">
        <f>IF(B42="","",IF(COUNTIF(Performance!$B$5:$B$404,B42)=0,"",SUMIFS(Performance!$P$5:$P$404,Performance!$B$5:$B$404,B42)))</f>
        <v>0</v>
      </c>
      <c r="R42" s="23">
        <f>IF(B42="","",IF(COUNTIF(Performance!$B$5:$B$404,B42)=0,"",SUMIFS(Performance!$Z$5:$Z$404,Performance!$B$5:$B$404,B42)))</f>
        <v>0</v>
      </c>
      <c r="S42" s="24">
        <f>IF(OR(P42="",P42=0),"",R42/P42)</f>
        <v>0</v>
      </c>
      <c r="T42" s="23">
        <f>IF(B42="","",IF(COUNTIF(Performance!$B$5:$B$404,B42)=0,"",SUMIFS(Performance!$T$5:$T$404,Performance!$B$5:$B$404,B42)))</f>
        <v>0</v>
      </c>
      <c r="U42" s="23">
        <f>IF(B42="","",IF(COUNTIF(Performance!$B$5:$B$404,B42)=0,"",SUMIFS(Performance!$S$5:$S$404,Performance!$B$5:$B$404,B42)))</f>
        <v>0</v>
      </c>
      <c r="V42" s="23">
        <f>IF(B42="","",IF(COUNTIF(Performance!$B$5:$B$404,B42)=0,"",SUMIFS(Performance!$R$5:$R$404,Performance!$B$5:$B$404,B42)))</f>
        <v>0</v>
      </c>
      <c r="W42" s="23">
        <f>IF(B42="","",IF(COUNTIF(Performance!$B$5:$B$404,B42)=0,"",SUMIFS(Performance!$U$5:$U$404,Performance!$B$5:$B$404,B42)))</f>
        <v>0</v>
      </c>
      <c r="X42" s="29">
        <f>IF(B42="","",IF(C42="Not found","Check - content ID not on the calendar",IF(AND(J42="",G42&lt;&gt;"Photo"),"Add - no link on a link post",IF(AND(P42&lt;&gt;"",S42&lt;TargetEngagement),"Review - below your target rate","OK"))))</f>
        <v>0</v>
      </c>
    </row>
    <row r="43" spans="1:24">
      <c r="A43" s="41">
        <f>IF(B43="","","FB-"&amp;TEXT(ROW()-4,"000"))</f>
        <v>0</v>
      </c>
      <c r="C43" s="17">
        <f>IF(B43="","",IFERROR(INDEX('Content Calendar'!$H$5:$H$604,MATCH(B43,'Content Calendar'!$A$5:$A$604,0)),"Not found"))</f>
        <v>0</v>
      </c>
      <c r="D43" s="16">
        <f>IF(B43="","",IFERROR(INDEX('Content Calendar'!$B$5:$B$604,MATCH(B43,'Content Calendar'!$A$5:$A$604,0)),"Not found"))</f>
        <v>0</v>
      </c>
      <c r="E43" s="17">
        <f>IF(B43="","",IFERROR(INDEX('Content Calendar'!$J$5:$J$604,MATCH(B43,'Content Calendar'!$A$5:$A$604,0)),"Not found"))</f>
        <v>0</v>
      </c>
      <c r="F43" s="29">
        <f>IF(B43="","",IFERROR(INDEX('Content Calendar'!$X$5:$X$604,MATCH(B43,'Content Calendar'!$A$5:$A$604,0)),"Not found"))</f>
        <v>0</v>
      </c>
      <c r="P43" s="23">
        <f>IF(B43="","",IF(COUNTIF(Performance!$B$5:$B$404,B43)=0,"",SUMIFS(Performance!$O$5:$O$404,Performance!$B$5:$B$404,B43)))</f>
        <v>0</v>
      </c>
      <c r="Q43" s="23">
        <f>IF(B43="","",IF(COUNTIF(Performance!$B$5:$B$404,B43)=0,"",SUMIFS(Performance!$P$5:$P$404,Performance!$B$5:$B$404,B43)))</f>
        <v>0</v>
      </c>
      <c r="R43" s="23">
        <f>IF(B43="","",IF(COUNTIF(Performance!$B$5:$B$404,B43)=0,"",SUMIFS(Performance!$Z$5:$Z$404,Performance!$B$5:$B$404,B43)))</f>
        <v>0</v>
      </c>
      <c r="S43" s="24">
        <f>IF(OR(P43="",P43=0),"",R43/P43)</f>
        <v>0</v>
      </c>
      <c r="T43" s="23">
        <f>IF(B43="","",IF(COUNTIF(Performance!$B$5:$B$404,B43)=0,"",SUMIFS(Performance!$T$5:$T$404,Performance!$B$5:$B$404,B43)))</f>
        <v>0</v>
      </c>
      <c r="U43" s="23">
        <f>IF(B43="","",IF(COUNTIF(Performance!$B$5:$B$404,B43)=0,"",SUMIFS(Performance!$S$5:$S$404,Performance!$B$5:$B$404,B43)))</f>
        <v>0</v>
      </c>
      <c r="V43" s="23">
        <f>IF(B43="","",IF(COUNTIF(Performance!$B$5:$B$404,B43)=0,"",SUMIFS(Performance!$R$5:$R$404,Performance!$B$5:$B$404,B43)))</f>
        <v>0</v>
      </c>
      <c r="W43" s="23">
        <f>IF(B43="","",IF(COUNTIF(Performance!$B$5:$B$404,B43)=0,"",SUMIFS(Performance!$U$5:$U$404,Performance!$B$5:$B$404,B43)))</f>
        <v>0</v>
      </c>
      <c r="X43" s="29">
        <f>IF(B43="","",IF(C43="Not found","Check - content ID not on the calendar",IF(AND(J43="",G43&lt;&gt;"Photo"),"Add - no link on a link post",IF(AND(P43&lt;&gt;"",S43&lt;TargetEngagement),"Review - below your target rate","OK"))))</f>
        <v>0</v>
      </c>
    </row>
    <row r="44" spans="1:24">
      <c r="A44" s="41">
        <f>IF(B44="","","FB-"&amp;TEXT(ROW()-4,"000"))</f>
        <v>0</v>
      </c>
      <c r="C44" s="17">
        <f>IF(B44="","",IFERROR(INDEX('Content Calendar'!$H$5:$H$604,MATCH(B44,'Content Calendar'!$A$5:$A$604,0)),"Not found"))</f>
        <v>0</v>
      </c>
      <c r="D44" s="16">
        <f>IF(B44="","",IFERROR(INDEX('Content Calendar'!$B$5:$B$604,MATCH(B44,'Content Calendar'!$A$5:$A$604,0)),"Not found"))</f>
        <v>0</v>
      </c>
      <c r="E44" s="17">
        <f>IF(B44="","",IFERROR(INDEX('Content Calendar'!$J$5:$J$604,MATCH(B44,'Content Calendar'!$A$5:$A$604,0)),"Not found"))</f>
        <v>0</v>
      </c>
      <c r="F44" s="29">
        <f>IF(B44="","",IFERROR(INDEX('Content Calendar'!$X$5:$X$604,MATCH(B44,'Content Calendar'!$A$5:$A$604,0)),"Not found"))</f>
        <v>0</v>
      </c>
      <c r="P44" s="23">
        <f>IF(B44="","",IF(COUNTIF(Performance!$B$5:$B$404,B44)=0,"",SUMIFS(Performance!$O$5:$O$404,Performance!$B$5:$B$404,B44)))</f>
        <v>0</v>
      </c>
      <c r="Q44" s="23">
        <f>IF(B44="","",IF(COUNTIF(Performance!$B$5:$B$404,B44)=0,"",SUMIFS(Performance!$P$5:$P$404,Performance!$B$5:$B$404,B44)))</f>
        <v>0</v>
      </c>
      <c r="R44" s="23">
        <f>IF(B44="","",IF(COUNTIF(Performance!$B$5:$B$404,B44)=0,"",SUMIFS(Performance!$Z$5:$Z$404,Performance!$B$5:$B$404,B44)))</f>
        <v>0</v>
      </c>
      <c r="S44" s="24">
        <f>IF(OR(P44="",P44=0),"",R44/P44)</f>
        <v>0</v>
      </c>
      <c r="T44" s="23">
        <f>IF(B44="","",IF(COUNTIF(Performance!$B$5:$B$404,B44)=0,"",SUMIFS(Performance!$T$5:$T$404,Performance!$B$5:$B$404,B44)))</f>
        <v>0</v>
      </c>
      <c r="U44" s="23">
        <f>IF(B44="","",IF(COUNTIF(Performance!$B$5:$B$404,B44)=0,"",SUMIFS(Performance!$S$5:$S$404,Performance!$B$5:$B$404,B44)))</f>
        <v>0</v>
      </c>
      <c r="V44" s="23">
        <f>IF(B44="","",IF(COUNTIF(Performance!$B$5:$B$404,B44)=0,"",SUMIFS(Performance!$R$5:$R$404,Performance!$B$5:$B$404,B44)))</f>
        <v>0</v>
      </c>
      <c r="W44" s="23">
        <f>IF(B44="","",IF(COUNTIF(Performance!$B$5:$B$404,B44)=0,"",SUMIFS(Performance!$U$5:$U$404,Performance!$B$5:$B$404,B44)))</f>
        <v>0</v>
      </c>
      <c r="X44" s="29">
        <f>IF(B44="","",IF(C44="Not found","Check - content ID not on the calendar",IF(AND(J44="",G44&lt;&gt;"Photo"),"Add - no link on a link post",IF(AND(P44&lt;&gt;"",S44&lt;TargetEngagement),"Review - below your target rate","OK"))))</f>
        <v>0</v>
      </c>
    </row>
    <row r="45" spans="1:24">
      <c r="A45" s="41">
        <f>IF(B45="","","FB-"&amp;TEXT(ROW()-4,"000"))</f>
        <v>0</v>
      </c>
      <c r="C45" s="17">
        <f>IF(B45="","",IFERROR(INDEX('Content Calendar'!$H$5:$H$604,MATCH(B45,'Content Calendar'!$A$5:$A$604,0)),"Not found"))</f>
        <v>0</v>
      </c>
      <c r="D45" s="16">
        <f>IF(B45="","",IFERROR(INDEX('Content Calendar'!$B$5:$B$604,MATCH(B45,'Content Calendar'!$A$5:$A$604,0)),"Not found"))</f>
        <v>0</v>
      </c>
      <c r="E45" s="17">
        <f>IF(B45="","",IFERROR(INDEX('Content Calendar'!$J$5:$J$604,MATCH(B45,'Content Calendar'!$A$5:$A$604,0)),"Not found"))</f>
        <v>0</v>
      </c>
      <c r="F45" s="29">
        <f>IF(B45="","",IFERROR(INDEX('Content Calendar'!$X$5:$X$604,MATCH(B45,'Content Calendar'!$A$5:$A$604,0)),"Not found"))</f>
        <v>0</v>
      </c>
      <c r="P45" s="23">
        <f>IF(B45="","",IF(COUNTIF(Performance!$B$5:$B$404,B45)=0,"",SUMIFS(Performance!$O$5:$O$404,Performance!$B$5:$B$404,B45)))</f>
        <v>0</v>
      </c>
      <c r="Q45" s="23">
        <f>IF(B45="","",IF(COUNTIF(Performance!$B$5:$B$404,B45)=0,"",SUMIFS(Performance!$P$5:$P$404,Performance!$B$5:$B$404,B45)))</f>
        <v>0</v>
      </c>
      <c r="R45" s="23">
        <f>IF(B45="","",IF(COUNTIF(Performance!$B$5:$B$404,B45)=0,"",SUMIFS(Performance!$Z$5:$Z$404,Performance!$B$5:$B$404,B45)))</f>
        <v>0</v>
      </c>
      <c r="S45" s="24">
        <f>IF(OR(P45="",P45=0),"",R45/P45)</f>
        <v>0</v>
      </c>
      <c r="T45" s="23">
        <f>IF(B45="","",IF(COUNTIF(Performance!$B$5:$B$404,B45)=0,"",SUMIFS(Performance!$T$5:$T$404,Performance!$B$5:$B$404,B45)))</f>
        <v>0</v>
      </c>
      <c r="U45" s="23">
        <f>IF(B45="","",IF(COUNTIF(Performance!$B$5:$B$404,B45)=0,"",SUMIFS(Performance!$S$5:$S$404,Performance!$B$5:$B$404,B45)))</f>
        <v>0</v>
      </c>
      <c r="V45" s="23">
        <f>IF(B45="","",IF(COUNTIF(Performance!$B$5:$B$404,B45)=0,"",SUMIFS(Performance!$R$5:$R$404,Performance!$B$5:$B$404,B45)))</f>
        <v>0</v>
      </c>
      <c r="W45" s="23">
        <f>IF(B45="","",IF(COUNTIF(Performance!$B$5:$B$404,B45)=0,"",SUMIFS(Performance!$U$5:$U$404,Performance!$B$5:$B$404,B45)))</f>
        <v>0</v>
      </c>
      <c r="X45" s="29">
        <f>IF(B45="","",IF(C45="Not found","Check - content ID not on the calendar",IF(AND(J45="",G45&lt;&gt;"Photo"),"Add - no link on a link post",IF(AND(P45&lt;&gt;"",S45&lt;TargetEngagement),"Review - below your target rate","OK"))))</f>
        <v>0</v>
      </c>
    </row>
    <row r="46" spans="1:24">
      <c r="A46" s="41">
        <f>IF(B46="","","FB-"&amp;TEXT(ROW()-4,"000"))</f>
        <v>0</v>
      </c>
      <c r="C46" s="17">
        <f>IF(B46="","",IFERROR(INDEX('Content Calendar'!$H$5:$H$604,MATCH(B46,'Content Calendar'!$A$5:$A$604,0)),"Not found"))</f>
        <v>0</v>
      </c>
      <c r="D46" s="16">
        <f>IF(B46="","",IFERROR(INDEX('Content Calendar'!$B$5:$B$604,MATCH(B46,'Content Calendar'!$A$5:$A$604,0)),"Not found"))</f>
        <v>0</v>
      </c>
      <c r="E46" s="17">
        <f>IF(B46="","",IFERROR(INDEX('Content Calendar'!$J$5:$J$604,MATCH(B46,'Content Calendar'!$A$5:$A$604,0)),"Not found"))</f>
        <v>0</v>
      </c>
      <c r="F46" s="29">
        <f>IF(B46="","",IFERROR(INDEX('Content Calendar'!$X$5:$X$604,MATCH(B46,'Content Calendar'!$A$5:$A$604,0)),"Not found"))</f>
        <v>0</v>
      </c>
      <c r="P46" s="23">
        <f>IF(B46="","",IF(COUNTIF(Performance!$B$5:$B$404,B46)=0,"",SUMIFS(Performance!$O$5:$O$404,Performance!$B$5:$B$404,B46)))</f>
        <v>0</v>
      </c>
      <c r="Q46" s="23">
        <f>IF(B46="","",IF(COUNTIF(Performance!$B$5:$B$404,B46)=0,"",SUMIFS(Performance!$P$5:$P$404,Performance!$B$5:$B$404,B46)))</f>
        <v>0</v>
      </c>
      <c r="R46" s="23">
        <f>IF(B46="","",IF(COUNTIF(Performance!$B$5:$B$404,B46)=0,"",SUMIFS(Performance!$Z$5:$Z$404,Performance!$B$5:$B$404,B46)))</f>
        <v>0</v>
      </c>
      <c r="S46" s="24">
        <f>IF(OR(P46="",P46=0),"",R46/P46)</f>
        <v>0</v>
      </c>
      <c r="T46" s="23">
        <f>IF(B46="","",IF(COUNTIF(Performance!$B$5:$B$404,B46)=0,"",SUMIFS(Performance!$T$5:$T$404,Performance!$B$5:$B$404,B46)))</f>
        <v>0</v>
      </c>
      <c r="U46" s="23">
        <f>IF(B46="","",IF(COUNTIF(Performance!$B$5:$B$404,B46)=0,"",SUMIFS(Performance!$S$5:$S$404,Performance!$B$5:$B$404,B46)))</f>
        <v>0</v>
      </c>
      <c r="V46" s="23">
        <f>IF(B46="","",IF(COUNTIF(Performance!$B$5:$B$404,B46)=0,"",SUMIFS(Performance!$R$5:$R$404,Performance!$B$5:$B$404,B46)))</f>
        <v>0</v>
      </c>
      <c r="W46" s="23">
        <f>IF(B46="","",IF(COUNTIF(Performance!$B$5:$B$404,B46)=0,"",SUMIFS(Performance!$U$5:$U$404,Performance!$B$5:$B$404,B46)))</f>
        <v>0</v>
      </c>
      <c r="X46" s="29">
        <f>IF(B46="","",IF(C46="Not found","Check - content ID not on the calendar",IF(AND(J46="",G46&lt;&gt;"Photo"),"Add - no link on a link post",IF(AND(P46&lt;&gt;"",S46&lt;TargetEngagement),"Review - below your target rate","OK"))))</f>
        <v>0</v>
      </c>
    </row>
    <row r="47" spans="1:24">
      <c r="A47" s="41">
        <f>IF(B47="","","FB-"&amp;TEXT(ROW()-4,"000"))</f>
        <v>0</v>
      </c>
      <c r="C47" s="17">
        <f>IF(B47="","",IFERROR(INDEX('Content Calendar'!$H$5:$H$604,MATCH(B47,'Content Calendar'!$A$5:$A$604,0)),"Not found"))</f>
        <v>0</v>
      </c>
      <c r="D47" s="16">
        <f>IF(B47="","",IFERROR(INDEX('Content Calendar'!$B$5:$B$604,MATCH(B47,'Content Calendar'!$A$5:$A$604,0)),"Not found"))</f>
        <v>0</v>
      </c>
      <c r="E47" s="17">
        <f>IF(B47="","",IFERROR(INDEX('Content Calendar'!$J$5:$J$604,MATCH(B47,'Content Calendar'!$A$5:$A$604,0)),"Not found"))</f>
        <v>0</v>
      </c>
      <c r="F47" s="29">
        <f>IF(B47="","",IFERROR(INDEX('Content Calendar'!$X$5:$X$604,MATCH(B47,'Content Calendar'!$A$5:$A$604,0)),"Not found"))</f>
        <v>0</v>
      </c>
      <c r="P47" s="23">
        <f>IF(B47="","",IF(COUNTIF(Performance!$B$5:$B$404,B47)=0,"",SUMIFS(Performance!$O$5:$O$404,Performance!$B$5:$B$404,B47)))</f>
        <v>0</v>
      </c>
      <c r="Q47" s="23">
        <f>IF(B47="","",IF(COUNTIF(Performance!$B$5:$B$404,B47)=0,"",SUMIFS(Performance!$P$5:$P$404,Performance!$B$5:$B$404,B47)))</f>
        <v>0</v>
      </c>
      <c r="R47" s="23">
        <f>IF(B47="","",IF(COUNTIF(Performance!$B$5:$B$404,B47)=0,"",SUMIFS(Performance!$Z$5:$Z$404,Performance!$B$5:$B$404,B47)))</f>
        <v>0</v>
      </c>
      <c r="S47" s="24">
        <f>IF(OR(P47="",P47=0),"",R47/P47)</f>
        <v>0</v>
      </c>
      <c r="T47" s="23">
        <f>IF(B47="","",IF(COUNTIF(Performance!$B$5:$B$404,B47)=0,"",SUMIFS(Performance!$T$5:$T$404,Performance!$B$5:$B$404,B47)))</f>
        <v>0</v>
      </c>
      <c r="U47" s="23">
        <f>IF(B47="","",IF(COUNTIF(Performance!$B$5:$B$404,B47)=0,"",SUMIFS(Performance!$S$5:$S$404,Performance!$B$5:$B$404,B47)))</f>
        <v>0</v>
      </c>
      <c r="V47" s="23">
        <f>IF(B47="","",IF(COUNTIF(Performance!$B$5:$B$404,B47)=0,"",SUMIFS(Performance!$R$5:$R$404,Performance!$B$5:$B$404,B47)))</f>
        <v>0</v>
      </c>
      <c r="W47" s="23">
        <f>IF(B47="","",IF(COUNTIF(Performance!$B$5:$B$404,B47)=0,"",SUMIFS(Performance!$U$5:$U$404,Performance!$B$5:$B$404,B47)))</f>
        <v>0</v>
      </c>
      <c r="X47" s="29">
        <f>IF(B47="","",IF(C47="Not found","Check - content ID not on the calendar",IF(AND(J47="",G47&lt;&gt;"Photo"),"Add - no link on a link post",IF(AND(P47&lt;&gt;"",S47&lt;TargetEngagement),"Review - below your target rate","OK"))))</f>
        <v>0</v>
      </c>
    </row>
    <row r="48" spans="1:24">
      <c r="A48" s="41">
        <f>IF(B48="","","FB-"&amp;TEXT(ROW()-4,"000"))</f>
        <v>0</v>
      </c>
      <c r="C48" s="17">
        <f>IF(B48="","",IFERROR(INDEX('Content Calendar'!$H$5:$H$604,MATCH(B48,'Content Calendar'!$A$5:$A$604,0)),"Not found"))</f>
        <v>0</v>
      </c>
      <c r="D48" s="16">
        <f>IF(B48="","",IFERROR(INDEX('Content Calendar'!$B$5:$B$604,MATCH(B48,'Content Calendar'!$A$5:$A$604,0)),"Not found"))</f>
        <v>0</v>
      </c>
      <c r="E48" s="17">
        <f>IF(B48="","",IFERROR(INDEX('Content Calendar'!$J$5:$J$604,MATCH(B48,'Content Calendar'!$A$5:$A$604,0)),"Not found"))</f>
        <v>0</v>
      </c>
      <c r="F48" s="29">
        <f>IF(B48="","",IFERROR(INDEX('Content Calendar'!$X$5:$X$604,MATCH(B48,'Content Calendar'!$A$5:$A$604,0)),"Not found"))</f>
        <v>0</v>
      </c>
      <c r="P48" s="23">
        <f>IF(B48="","",IF(COUNTIF(Performance!$B$5:$B$404,B48)=0,"",SUMIFS(Performance!$O$5:$O$404,Performance!$B$5:$B$404,B48)))</f>
        <v>0</v>
      </c>
      <c r="Q48" s="23">
        <f>IF(B48="","",IF(COUNTIF(Performance!$B$5:$B$404,B48)=0,"",SUMIFS(Performance!$P$5:$P$404,Performance!$B$5:$B$404,B48)))</f>
        <v>0</v>
      </c>
      <c r="R48" s="23">
        <f>IF(B48="","",IF(COUNTIF(Performance!$B$5:$B$404,B48)=0,"",SUMIFS(Performance!$Z$5:$Z$404,Performance!$B$5:$B$404,B48)))</f>
        <v>0</v>
      </c>
      <c r="S48" s="24">
        <f>IF(OR(P48="",P48=0),"",R48/P48)</f>
        <v>0</v>
      </c>
      <c r="T48" s="23">
        <f>IF(B48="","",IF(COUNTIF(Performance!$B$5:$B$404,B48)=0,"",SUMIFS(Performance!$T$5:$T$404,Performance!$B$5:$B$404,B48)))</f>
        <v>0</v>
      </c>
      <c r="U48" s="23">
        <f>IF(B48="","",IF(COUNTIF(Performance!$B$5:$B$404,B48)=0,"",SUMIFS(Performance!$S$5:$S$404,Performance!$B$5:$B$404,B48)))</f>
        <v>0</v>
      </c>
      <c r="V48" s="23">
        <f>IF(B48="","",IF(COUNTIF(Performance!$B$5:$B$404,B48)=0,"",SUMIFS(Performance!$R$5:$R$404,Performance!$B$5:$B$404,B48)))</f>
        <v>0</v>
      </c>
      <c r="W48" s="23">
        <f>IF(B48="","",IF(COUNTIF(Performance!$B$5:$B$404,B48)=0,"",SUMIFS(Performance!$U$5:$U$404,Performance!$B$5:$B$404,B48)))</f>
        <v>0</v>
      </c>
      <c r="X48" s="29">
        <f>IF(B48="","",IF(C48="Not found","Check - content ID not on the calendar",IF(AND(J48="",G48&lt;&gt;"Photo"),"Add - no link on a link post",IF(AND(P48&lt;&gt;"",S48&lt;TargetEngagement),"Review - below your target rate","OK"))))</f>
        <v>0</v>
      </c>
    </row>
    <row r="49" spans="1:24">
      <c r="A49" s="41">
        <f>IF(B49="","","FB-"&amp;TEXT(ROW()-4,"000"))</f>
        <v>0</v>
      </c>
      <c r="C49" s="17">
        <f>IF(B49="","",IFERROR(INDEX('Content Calendar'!$H$5:$H$604,MATCH(B49,'Content Calendar'!$A$5:$A$604,0)),"Not found"))</f>
        <v>0</v>
      </c>
      <c r="D49" s="16">
        <f>IF(B49="","",IFERROR(INDEX('Content Calendar'!$B$5:$B$604,MATCH(B49,'Content Calendar'!$A$5:$A$604,0)),"Not found"))</f>
        <v>0</v>
      </c>
      <c r="E49" s="17">
        <f>IF(B49="","",IFERROR(INDEX('Content Calendar'!$J$5:$J$604,MATCH(B49,'Content Calendar'!$A$5:$A$604,0)),"Not found"))</f>
        <v>0</v>
      </c>
      <c r="F49" s="29">
        <f>IF(B49="","",IFERROR(INDEX('Content Calendar'!$X$5:$X$604,MATCH(B49,'Content Calendar'!$A$5:$A$604,0)),"Not found"))</f>
        <v>0</v>
      </c>
      <c r="P49" s="23">
        <f>IF(B49="","",IF(COUNTIF(Performance!$B$5:$B$404,B49)=0,"",SUMIFS(Performance!$O$5:$O$404,Performance!$B$5:$B$404,B49)))</f>
        <v>0</v>
      </c>
      <c r="Q49" s="23">
        <f>IF(B49="","",IF(COUNTIF(Performance!$B$5:$B$404,B49)=0,"",SUMIFS(Performance!$P$5:$P$404,Performance!$B$5:$B$404,B49)))</f>
        <v>0</v>
      </c>
      <c r="R49" s="23">
        <f>IF(B49="","",IF(COUNTIF(Performance!$B$5:$B$404,B49)=0,"",SUMIFS(Performance!$Z$5:$Z$404,Performance!$B$5:$B$404,B49)))</f>
        <v>0</v>
      </c>
      <c r="S49" s="24">
        <f>IF(OR(P49="",P49=0),"",R49/P49)</f>
        <v>0</v>
      </c>
      <c r="T49" s="23">
        <f>IF(B49="","",IF(COUNTIF(Performance!$B$5:$B$404,B49)=0,"",SUMIFS(Performance!$T$5:$T$404,Performance!$B$5:$B$404,B49)))</f>
        <v>0</v>
      </c>
      <c r="U49" s="23">
        <f>IF(B49="","",IF(COUNTIF(Performance!$B$5:$B$404,B49)=0,"",SUMIFS(Performance!$S$5:$S$404,Performance!$B$5:$B$404,B49)))</f>
        <v>0</v>
      </c>
      <c r="V49" s="23">
        <f>IF(B49="","",IF(COUNTIF(Performance!$B$5:$B$404,B49)=0,"",SUMIFS(Performance!$R$5:$R$404,Performance!$B$5:$B$404,B49)))</f>
        <v>0</v>
      </c>
      <c r="W49" s="23">
        <f>IF(B49="","",IF(COUNTIF(Performance!$B$5:$B$404,B49)=0,"",SUMIFS(Performance!$U$5:$U$404,Performance!$B$5:$B$404,B49)))</f>
        <v>0</v>
      </c>
      <c r="X49" s="29">
        <f>IF(B49="","",IF(C49="Not found","Check - content ID not on the calendar",IF(AND(J49="",G49&lt;&gt;"Photo"),"Add - no link on a link post",IF(AND(P49&lt;&gt;"",S49&lt;TargetEngagement),"Review - below your target rate","OK"))))</f>
        <v>0</v>
      </c>
    </row>
    <row r="50" spans="1:24">
      <c r="A50" s="41">
        <f>IF(B50="","","FB-"&amp;TEXT(ROW()-4,"000"))</f>
        <v>0</v>
      </c>
      <c r="C50" s="17">
        <f>IF(B50="","",IFERROR(INDEX('Content Calendar'!$H$5:$H$604,MATCH(B50,'Content Calendar'!$A$5:$A$604,0)),"Not found"))</f>
        <v>0</v>
      </c>
      <c r="D50" s="16">
        <f>IF(B50="","",IFERROR(INDEX('Content Calendar'!$B$5:$B$604,MATCH(B50,'Content Calendar'!$A$5:$A$604,0)),"Not found"))</f>
        <v>0</v>
      </c>
      <c r="E50" s="17">
        <f>IF(B50="","",IFERROR(INDEX('Content Calendar'!$J$5:$J$604,MATCH(B50,'Content Calendar'!$A$5:$A$604,0)),"Not found"))</f>
        <v>0</v>
      </c>
      <c r="F50" s="29">
        <f>IF(B50="","",IFERROR(INDEX('Content Calendar'!$X$5:$X$604,MATCH(B50,'Content Calendar'!$A$5:$A$604,0)),"Not found"))</f>
        <v>0</v>
      </c>
      <c r="P50" s="23">
        <f>IF(B50="","",IF(COUNTIF(Performance!$B$5:$B$404,B50)=0,"",SUMIFS(Performance!$O$5:$O$404,Performance!$B$5:$B$404,B50)))</f>
        <v>0</v>
      </c>
      <c r="Q50" s="23">
        <f>IF(B50="","",IF(COUNTIF(Performance!$B$5:$B$404,B50)=0,"",SUMIFS(Performance!$P$5:$P$404,Performance!$B$5:$B$404,B50)))</f>
        <v>0</v>
      </c>
      <c r="R50" s="23">
        <f>IF(B50="","",IF(COUNTIF(Performance!$B$5:$B$404,B50)=0,"",SUMIFS(Performance!$Z$5:$Z$404,Performance!$B$5:$B$404,B50)))</f>
        <v>0</v>
      </c>
      <c r="S50" s="24">
        <f>IF(OR(P50="",P50=0),"",R50/P50)</f>
        <v>0</v>
      </c>
      <c r="T50" s="23">
        <f>IF(B50="","",IF(COUNTIF(Performance!$B$5:$B$404,B50)=0,"",SUMIFS(Performance!$T$5:$T$404,Performance!$B$5:$B$404,B50)))</f>
        <v>0</v>
      </c>
      <c r="U50" s="23">
        <f>IF(B50="","",IF(COUNTIF(Performance!$B$5:$B$404,B50)=0,"",SUMIFS(Performance!$S$5:$S$404,Performance!$B$5:$B$404,B50)))</f>
        <v>0</v>
      </c>
      <c r="V50" s="23">
        <f>IF(B50="","",IF(COUNTIF(Performance!$B$5:$B$404,B50)=0,"",SUMIFS(Performance!$R$5:$R$404,Performance!$B$5:$B$404,B50)))</f>
        <v>0</v>
      </c>
      <c r="W50" s="23">
        <f>IF(B50="","",IF(COUNTIF(Performance!$B$5:$B$404,B50)=0,"",SUMIFS(Performance!$U$5:$U$404,Performance!$B$5:$B$404,B50)))</f>
        <v>0</v>
      </c>
      <c r="X50" s="29">
        <f>IF(B50="","",IF(C50="Not found","Check - content ID not on the calendar",IF(AND(J50="",G50&lt;&gt;"Photo"),"Add - no link on a link post",IF(AND(P50&lt;&gt;"",S50&lt;TargetEngagement),"Review - below your target rate","OK"))))</f>
        <v>0</v>
      </c>
    </row>
    <row r="51" spans="1:24">
      <c r="A51" s="41">
        <f>IF(B51="","","FB-"&amp;TEXT(ROW()-4,"000"))</f>
        <v>0</v>
      </c>
      <c r="C51" s="17">
        <f>IF(B51="","",IFERROR(INDEX('Content Calendar'!$H$5:$H$604,MATCH(B51,'Content Calendar'!$A$5:$A$604,0)),"Not found"))</f>
        <v>0</v>
      </c>
      <c r="D51" s="16">
        <f>IF(B51="","",IFERROR(INDEX('Content Calendar'!$B$5:$B$604,MATCH(B51,'Content Calendar'!$A$5:$A$604,0)),"Not found"))</f>
        <v>0</v>
      </c>
      <c r="E51" s="17">
        <f>IF(B51="","",IFERROR(INDEX('Content Calendar'!$J$5:$J$604,MATCH(B51,'Content Calendar'!$A$5:$A$604,0)),"Not found"))</f>
        <v>0</v>
      </c>
      <c r="F51" s="29">
        <f>IF(B51="","",IFERROR(INDEX('Content Calendar'!$X$5:$X$604,MATCH(B51,'Content Calendar'!$A$5:$A$604,0)),"Not found"))</f>
        <v>0</v>
      </c>
      <c r="P51" s="23">
        <f>IF(B51="","",IF(COUNTIF(Performance!$B$5:$B$404,B51)=0,"",SUMIFS(Performance!$O$5:$O$404,Performance!$B$5:$B$404,B51)))</f>
        <v>0</v>
      </c>
      <c r="Q51" s="23">
        <f>IF(B51="","",IF(COUNTIF(Performance!$B$5:$B$404,B51)=0,"",SUMIFS(Performance!$P$5:$P$404,Performance!$B$5:$B$404,B51)))</f>
        <v>0</v>
      </c>
      <c r="R51" s="23">
        <f>IF(B51="","",IF(COUNTIF(Performance!$B$5:$B$404,B51)=0,"",SUMIFS(Performance!$Z$5:$Z$404,Performance!$B$5:$B$404,B51)))</f>
        <v>0</v>
      </c>
      <c r="S51" s="24">
        <f>IF(OR(P51="",P51=0),"",R51/P51)</f>
        <v>0</v>
      </c>
      <c r="T51" s="23">
        <f>IF(B51="","",IF(COUNTIF(Performance!$B$5:$B$404,B51)=0,"",SUMIFS(Performance!$T$5:$T$404,Performance!$B$5:$B$404,B51)))</f>
        <v>0</v>
      </c>
      <c r="U51" s="23">
        <f>IF(B51="","",IF(COUNTIF(Performance!$B$5:$B$404,B51)=0,"",SUMIFS(Performance!$S$5:$S$404,Performance!$B$5:$B$404,B51)))</f>
        <v>0</v>
      </c>
      <c r="V51" s="23">
        <f>IF(B51="","",IF(COUNTIF(Performance!$B$5:$B$404,B51)=0,"",SUMIFS(Performance!$R$5:$R$404,Performance!$B$5:$B$404,B51)))</f>
        <v>0</v>
      </c>
      <c r="W51" s="23">
        <f>IF(B51="","",IF(COUNTIF(Performance!$B$5:$B$404,B51)=0,"",SUMIFS(Performance!$U$5:$U$404,Performance!$B$5:$B$404,B51)))</f>
        <v>0</v>
      </c>
      <c r="X51" s="29">
        <f>IF(B51="","",IF(C51="Not found","Check - content ID not on the calendar",IF(AND(J51="",G51&lt;&gt;"Photo"),"Add - no link on a link post",IF(AND(P51&lt;&gt;"",S51&lt;TargetEngagement),"Review - below your target rate","OK"))))</f>
        <v>0</v>
      </c>
    </row>
    <row r="52" spans="1:24">
      <c r="A52" s="41">
        <f>IF(B52="","","FB-"&amp;TEXT(ROW()-4,"000"))</f>
        <v>0</v>
      </c>
      <c r="C52" s="17">
        <f>IF(B52="","",IFERROR(INDEX('Content Calendar'!$H$5:$H$604,MATCH(B52,'Content Calendar'!$A$5:$A$604,0)),"Not found"))</f>
        <v>0</v>
      </c>
      <c r="D52" s="16">
        <f>IF(B52="","",IFERROR(INDEX('Content Calendar'!$B$5:$B$604,MATCH(B52,'Content Calendar'!$A$5:$A$604,0)),"Not found"))</f>
        <v>0</v>
      </c>
      <c r="E52" s="17">
        <f>IF(B52="","",IFERROR(INDEX('Content Calendar'!$J$5:$J$604,MATCH(B52,'Content Calendar'!$A$5:$A$604,0)),"Not found"))</f>
        <v>0</v>
      </c>
      <c r="F52" s="29">
        <f>IF(B52="","",IFERROR(INDEX('Content Calendar'!$X$5:$X$604,MATCH(B52,'Content Calendar'!$A$5:$A$604,0)),"Not found"))</f>
        <v>0</v>
      </c>
      <c r="P52" s="23">
        <f>IF(B52="","",IF(COUNTIF(Performance!$B$5:$B$404,B52)=0,"",SUMIFS(Performance!$O$5:$O$404,Performance!$B$5:$B$404,B52)))</f>
        <v>0</v>
      </c>
      <c r="Q52" s="23">
        <f>IF(B52="","",IF(COUNTIF(Performance!$B$5:$B$404,B52)=0,"",SUMIFS(Performance!$P$5:$P$404,Performance!$B$5:$B$404,B52)))</f>
        <v>0</v>
      </c>
      <c r="R52" s="23">
        <f>IF(B52="","",IF(COUNTIF(Performance!$B$5:$B$404,B52)=0,"",SUMIFS(Performance!$Z$5:$Z$404,Performance!$B$5:$B$404,B52)))</f>
        <v>0</v>
      </c>
      <c r="S52" s="24">
        <f>IF(OR(P52="",P52=0),"",R52/P52)</f>
        <v>0</v>
      </c>
      <c r="T52" s="23">
        <f>IF(B52="","",IF(COUNTIF(Performance!$B$5:$B$404,B52)=0,"",SUMIFS(Performance!$T$5:$T$404,Performance!$B$5:$B$404,B52)))</f>
        <v>0</v>
      </c>
      <c r="U52" s="23">
        <f>IF(B52="","",IF(COUNTIF(Performance!$B$5:$B$404,B52)=0,"",SUMIFS(Performance!$S$5:$S$404,Performance!$B$5:$B$404,B52)))</f>
        <v>0</v>
      </c>
      <c r="V52" s="23">
        <f>IF(B52="","",IF(COUNTIF(Performance!$B$5:$B$404,B52)=0,"",SUMIFS(Performance!$R$5:$R$404,Performance!$B$5:$B$404,B52)))</f>
        <v>0</v>
      </c>
      <c r="W52" s="23">
        <f>IF(B52="","",IF(COUNTIF(Performance!$B$5:$B$404,B52)=0,"",SUMIFS(Performance!$U$5:$U$404,Performance!$B$5:$B$404,B52)))</f>
        <v>0</v>
      </c>
      <c r="X52" s="29">
        <f>IF(B52="","",IF(C52="Not found","Check - content ID not on the calendar",IF(AND(J52="",G52&lt;&gt;"Photo"),"Add - no link on a link post",IF(AND(P52&lt;&gt;"",S52&lt;TargetEngagement),"Review - below your target rate","OK"))))</f>
        <v>0</v>
      </c>
    </row>
    <row r="53" spans="1:24">
      <c r="A53" s="41">
        <f>IF(B53="","","FB-"&amp;TEXT(ROW()-4,"000"))</f>
        <v>0</v>
      </c>
      <c r="C53" s="17">
        <f>IF(B53="","",IFERROR(INDEX('Content Calendar'!$H$5:$H$604,MATCH(B53,'Content Calendar'!$A$5:$A$604,0)),"Not found"))</f>
        <v>0</v>
      </c>
      <c r="D53" s="16">
        <f>IF(B53="","",IFERROR(INDEX('Content Calendar'!$B$5:$B$604,MATCH(B53,'Content Calendar'!$A$5:$A$604,0)),"Not found"))</f>
        <v>0</v>
      </c>
      <c r="E53" s="17">
        <f>IF(B53="","",IFERROR(INDEX('Content Calendar'!$J$5:$J$604,MATCH(B53,'Content Calendar'!$A$5:$A$604,0)),"Not found"))</f>
        <v>0</v>
      </c>
      <c r="F53" s="29">
        <f>IF(B53="","",IFERROR(INDEX('Content Calendar'!$X$5:$X$604,MATCH(B53,'Content Calendar'!$A$5:$A$604,0)),"Not found"))</f>
        <v>0</v>
      </c>
      <c r="P53" s="23">
        <f>IF(B53="","",IF(COUNTIF(Performance!$B$5:$B$404,B53)=0,"",SUMIFS(Performance!$O$5:$O$404,Performance!$B$5:$B$404,B53)))</f>
        <v>0</v>
      </c>
      <c r="Q53" s="23">
        <f>IF(B53="","",IF(COUNTIF(Performance!$B$5:$B$404,B53)=0,"",SUMIFS(Performance!$P$5:$P$404,Performance!$B$5:$B$404,B53)))</f>
        <v>0</v>
      </c>
      <c r="R53" s="23">
        <f>IF(B53="","",IF(COUNTIF(Performance!$B$5:$B$404,B53)=0,"",SUMIFS(Performance!$Z$5:$Z$404,Performance!$B$5:$B$404,B53)))</f>
        <v>0</v>
      </c>
      <c r="S53" s="24">
        <f>IF(OR(P53="",P53=0),"",R53/P53)</f>
        <v>0</v>
      </c>
      <c r="T53" s="23">
        <f>IF(B53="","",IF(COUNTIF(Performance!$B$5:$B$404,B53)=0,"",SUMIFS(Performance!$T$5:$T$404,Performance!$B$5:$B$404,B53)))</f>
        <v>0</v>
      </c>
      <c r="U53" s="23">
        <f>IF(B53="","",IF(COUNTIF(Performance!$B$5:$B$404,B53)=0,"",SUMIFS(Performance!$S$5:$S$404,Performance!$B$5:$B$404,B53)))</f>
        <v>0</v>
      </c>
      <c r="V53" s="23">
        <f>IF(B53="","",IF(COUNTIF(Performance!$B$5:$B$404,B53)=0,"",SUMIFS(Performance!$R$5:$R$404,Performance!$B$5:$B$404,B53)))</f>
        <v>0</v>
      </c>
      <c r="W53" s="23">
        <f>IF(B53="","",IF(COUNTIF(Performance!$B$5:$B$404,B53)=0,"",SUMIFS(Performance!$U$5:$U$404,Performance!$B$5:$B$404,B53)))</f>
        <v>0</v>
      </c>
      <c r="X53" s="29">
        <f>IF(B53="","",IF(C53="Not found","Check - content ID not on the calendar",IF(AND(J53="",G53&lt;&gt;"Photo"),"Add - no link on a link post",IF(AND(P53&lt;&gt;"",S53&lt;TargetEngagement),"Review - below your target rate","OK"))))</f>
        <v>0</v>
      </c>
    </row>
    <row r="54" spans="1:24">
      <c r="A54" s="41">
        <f>IF(B54="","","FB-"&amp;TEXT(ROW()-4,"000"))</f>
        <v>0</v>
      </c>
      <c r="C54" s="17">
        <f>IF(B54="","",IFERROR(INDEX('Content Calendar'!$H$5:$H$604,MATCH(B54,'Content Calendar'!$A$5:$A$604,0)),"Not found"))</f>
        <v>0</v>
      </c>
      <c r="D54" s="16">
        <f>IF(B54="","",IFERROR(INDEX('Content Calendar'!$B$5:$B$604,MATCH(B54,'Content Calendar'!$A$5:$A$604,0)),"Not found"))</f>
        <v>0</v>
      </c>
      <c r="E54" s="17">
        <f>IF(B54="","",IFERROR(INDEX('Content Calendar'!$J$5:$J$604,MATCH(B54,'Content Calendar'!$A$5:$A$604,0)),"Not found"))</f>
        <v>0</v>
      </c>
      <c r="F54" s="29">
        <f>IF(B54="","",IFERROR(INDEX('Content Calendar'!$X$5:$X$604,MATCH(B54,'Content Calendar'!$A$5:$A$604,0)),"Not found"))</f>
        <v>0</v>
      </c>
      <c r="P54" s="23">
        <f>IF(B54="","",IF(COUNTIF(Performance!$B$5:$B$404,B54)=0,"",SUMIFS(Performance!$O$5:$O$404,Performance!$B$5:$B$404,B54)))</f>
        <v>0</v>
      </c>
      <c r="Q54" s="23">
        <f>IF(B54="","",IF(COUNTIF(Performance!$B$5:$B$404,B54)=0,"",SUMIFS(Performance!$P$5:$P$404,Performance!$B$5:$B$404,B54)))</f>
        <v>0</v>
      </c>
      <c r="R54" s="23">
        <f>IF(B54="","",IF(COUNTIF(Performance!$B$5:$B$404,B54)=0,"",SUMIFS(Performance!$Z$5:$Z$404,Performance!$B$5:$B$404,B54)))</f>
        <v>0</v>
      </c>
      <c r="S54" s="24">
        <f>IF(OR(P54="",P54=0),"",R54/P54)</f>
        <v>0</v>
      </c>
      <c r="T54" s="23">
        <f>IF(B54="","",IF(COUNTIF(Performance!$B$5:$B$404,B54)=0,"",SUMIFS(Performance!$T$5:$T$404,Performance!$B$5:$B$404,B54)))</f>
        <v>0</v>
      </c>
      <c r="U54" s="23">
        <f>IF(B54="","",IF(COUNTIF(Performance!$B$5:$B$404,B54)=0,"",SUMIFS(Performance!$S$5:$S$404,Performance!$B$5:$B$404,B54)))</f>
        <v>0</v>
      </c>
      <c r="V54" s="23">
        <f>IF(B54="","",IF(COUNTIF(Performance!$B$5:$B$404,B54)=0,"",SUMIFS(Performance!$R$5:$R$404,Performance!$B$5:$B$404,B54)))</f>
        <v>0</v>
      </c>
      <c r="W54" s="23">
        <f>IF(B54="","",IF(COUNTIF(Performance!$B$5:$B$404,B54)=0,"",SUMIFS(Performance!$U$5:$U$404,Performance!$B$5:$B$404,B54)))</f>
        <v>0</v>
      </c>
      <c r="X54" s="29">
        <f>IF(B54="","",IF(C54="Not found","Check - content ID not on the calendar",IF(AND(J54="",G54&lt;&gt;"Photo"),"Add - no link on a link post",IF(AND(P54&lt;&gt;"",S54&lt;TargetEngagement),"Review - below your target rate","OK"))))</f>
        <v>0</v>
      </c>
    </row>
    <row r="55" spans="1:24">
      <c r="A55" s="41">
        <f>IF(B55="","","FB-"&amp;TEXT(ROW()-4,"000"))</f>
        <v>0</v>
      </c>
      <c r="C55" s="17">
        <f>IF(B55="","",IFERROR(INDEX('Content Calendar'!$H$5:$H$604,MATCH(B55,'Content Calendar'!$A$5:$A$604,0)),"Not found"))</f>
        <v>0</v>
      </c>
      <c r="D55" s="16">
        <f>IF(B55="","",IFERROR(INDEX('Content Calendar'!$B$5:$B$604,MATCH(B55,'Content Calendar'!$A$5:$A$604,0)),"Not found"))</f>
        <v>0</v>
      </c>
      <c r="E55" s="17">
        <f>IF(B55="","",IFERROR(INDEX('Content Calendar'!$J$5:$J$604,MATCH(B55,'Content Calendar'!$A$5:$A$604,0)),"Not found"))</f>
        <v>0</v>
      </c>
      <c r="F55" s="29">
        <f>IF(B55="","",IFERROR(INDEX('Content Calendar'!$X$5:$X$604,MATCH(B55,'Content Calendar'!$A$5:$A$604,0)),"Not found"))</f>
        <v>0</v>
      </c>
      <c r="P55" s="23">
        <f>IF(B55="","",IF(COUNTIF(Performance!$B$5:$B$404,B55)=0,"",SUMIFS(Performance!$O$5:$O$404,Performance!$B$5:$B$404,B55)))</f>
        <v>0</v>
      </c>
      <c r="Q55" s="23">
        <f>IF(B55="","",IF(COUNTIF(Performance!$B$5:$B$404,B55)=0,"",SUMIFS(Performance!$P$5:$P$404,Performance!$B$5:$B$404,B55)))</f>
        <v>0</v>
      </c>
      <c r="R55" s="23">
        <f>IF(B55="","",IF(COUNTIF(Performance!$B$5:$B$404,B55)=0,"",SUMIFS(Performance!$Z$5:$Z$404,Performance!$B$5:$B$404,B55)))</f>
        <v>0</v>
      </c>
      <c r="S55" s="24">
        <f>IF(OR(P55="",P55=0),"",R55/P55)</f>
        <v>0</v>
      </c>
      <c r="T55" s="23">
        <f>IF(B55="","",IF(COUNTIF(Performance!$B$5:$B$404,B55)=0,"",SUMIFS(Performance!$T$5:$T$404,Performance!$B$5:$B$404,B55)))</f>
        <v>0</v>
      </c>
      <c r="U55" s="23">
        <f>IF(B55="","",IF(COUNTIF(Performance!$B$5:$B$404,B55)=0,"",SUMIFS(Performance!$S$5:$S$404,Performance!$B$5:$B$404,B55)))</f>
        <v>0</v>
      </c>
      <c r="V55" s="23">
        <f>IF(B55="","",IF(COUNTIF(Performance!$B$5:$B$404,B55)=0,"",SUMIFS(Performance!$R$5:$R$404,Performance!$B$5:$B$404,B55)))</f>
        <v>0</v>
      </c>
      <c r="W55" s="23">
        <f>IF(B55="","",IF(COUNTIF(Performance!$B$5:$B$404,B55)=0,"",SUMIFS(Performance!$U$5:$U$404,Performance!$B$5:$B$404,B55)))</f>
        <v>0</v>
      </c>
      <c r="X55" s="29">
        <f>IF(B55="","",IF(C55="Not found","Check - content ID not on the calendar",IF(AND(J55="",G55&lt;&gt;"Photo"),"Add - no link on a link post",IF(AND(P55&lt;&gt;"",S55&lt;TargetEngagement),"Review - below your target rate","OK"))))</f>
        <v>0</v>
      </c>
    </row>
    <row r="56" spans="1:24">
      <c r="A56" s="41">
        <f>IF(B56="","","FB-"&amp;TEXT(ROW()-4,"000"))</f>
        <v>0</v>
      </c>
      <c r="C56" s="17">
        <f>IF(B56="","",IFERROR(INDEX('Content Calendar'!$H$5:$H$604,MATCH(B56,'Content Calendar'!$A$5:$A$604,0)),"Not found"))</f>
        <v>0</v>
      </c>
      <c r="D56" s="16">
        <f>IF(B56="","",IFERROR(INDEX('Content Calendar'!$B$5:$B$604,MATCH(B56,'Content Calendar'!$A$5:$A$604,0)),"Not found"))</f>
        <v>0</v>
      </c>
      <c r="E56" s="17">
        <f>IF(B56="","",IFERROR(INDEX('Content Calendar'!$J$5:$J$604,MATCH(B56,'Content Calendar'!$A$5:$A$604,0)),"Not found"))</f>
        <v>0</v>
      </c>
      <c r="F56" s="29">
        <f>IF(B56="","",IFERROR(INDEX('Content Calendar'!$X$5:$X$604,MATCH(B56,'Content Calendar'!$A$5:$A$604,0)),"Not found"))</f>
        <v>0</v>
      </c>
      <c r="P56" s="23">
        <f>IF(B56="","",IF(COUNTIF(Performance!$B$5:$B$404,B56)=0,"",SUMIFS(Performance!$O$5:$O$404,Performance!$B$5:$B$404,B56)))</f>
        <v>0</v>
      </c>
      <c r="Q56" s="23">
        <f>IF(B56="","",IF(COUNTIF(Performance!$B$5:$B$404,B56)=0,"",SUMIFS(Performance!$P$5:$P$404,Performance!$B$5:$B$404,B56)))</f>
        <v>0</v>
      </c>
      <c r="R56" s="23">
        <f>IF(B56="","",IF(COUNTIF(Performance!$B$5:$B$404,B56)=0,"",SUMIFS(Performance!$Z$5:$Z$404,Performance!$B$5:$B$404,B56)))</f>
        <v>0</v>
      </c>
      <c r="S56" s="24">
        <f>IF(OR(P56="",P56=0),"",R56/P56)</f>
        <v>0</v>
      </c>
      <c r="T56" s="23">
        <f>IF(B56="","",IF(COUNTIF(Performance!$B$5:$B$404,B56)=0,"",SUMIFS(Performance!$T$5:$T$404,Performance!$B$5:$B$404,B56)))</f>
        <v>0</v>
      </c>
      <c r="U56" s="23">
        <f>IF(B56="","",IF(COUNTIF(Performance!$B$5:$B$404,B56)=0,"",SUMIFS(Performance!$S$5:$S$404,Performance!$B$5:$B$404,B56)))</f>
        <v>0</v>
      </c>
      <c r="V56" s="23">
        <f>IF(B56="","",IF(COUNTIF(Performance!$B$5:$B$404,B56)=0,"",SUMIFS(Performance!$R$5:$R$404,Performance!$B$5:$B$404,B56)))</f>
        <v>0</v>
      </c>
      <c r="W56" s="23">
        <f>IF(B56="","",IF(COUNTIF(Performance!$B$5:$B$404,B56)=0,"",SUMIFS(Performance!$U$5:$U$404,Performance!$B$5:$B$404,B56)))</f>
        <v>0</v>
      </c>
      <c r="X56" s="29">
        <f>IF(B56="","",IF(C56="Not found","Check - content ID not on the calendar",IF(AND(J56="",G56&lt;&gt;"Photo"),"Add - no link on a link post",IF(AND(P56&lt;&gt;"",S56&lt;TargetEngagement),"Review - below your target rate","OK"))))</f>
        <v>0</v>
      </c>
    </row>
    <row r="57" spans="1:24">
      <c r="A57" s="41">
        <f>IF(B57="","","FB-"&amp;TEXT(ROW()-4,"000"))</f>
        <v>0</v>
      </c>
      <c r="C57" s="17">
        <f>IF(B57="","",IFERROR(INDEX('Content Calendar'!$H$5:$H$604,MATCH(B57,'Content Calendar'!$A$5:$A$604,0)),"Not found"))</f>
        <v>0</v>
      </c>
      <c r="D57" s="16">
        <f>IF(B57="","",IFERROR(INDEX('Content Calendar'!$B$5:$B$604,MATCH(B57,'Content Calendar'!$A$5:$A$604,0)),"Not found"))</f>
        <v>0</v>
      </c>
      <c r="E57" s="17">
        <f>IF(B57="","",IFERROR(INDEX('Content Calendar'!$J$5:$J$604,MATCH(B57,'Content Calendar'!$A$5:$A$604,0)),"Not found"))</f>
        <v>0</v>
      </c>
      <c r="F57" s="29">
        <f>IF(B57="","",IFERROR(INDEX('Content Calendar'!$X$5:$X$604,MATCH(B57,'Content Calendar'!$A$5:$A$604,0)),"Not found"))</f>
        <v>0</v>
      </c>
      <c r="P57" s="23">
        <f>IF(B57="","",IF(COUNTIF(Performance!$B$5:$B$404,B57)=0,"",SUMIFS(Performance!$O$5:$O$404,Performance!$B$5:$B$404,B57)))</f>
        <v>0</v>
      </c>
      <c r="Q57" s="23">
        <f>IF(B57="","",IF(COUNTIF(Performance!$B$5:$B$404,B57)=0,"",SUMIFS(Performance!$P$5:$P$404,Performance!$B$5:$B$404,B57)))</f>
        <v>0</v>
      </c>
      <c r="R57" s="23">
        <f>IF(B57="","",IF(COUNTIF(Performance!$B$5:$B$404,B57)=0,"",SUMIFS(Performance!$Z$5:$Z$404,Performance!$B$5:$B$404,B57)))</f>
        <v>0</v>
      </c>
      <c r="S57" s="24">
        <f>IF(OR(P57="",P57=0),"",R57/P57)</f>
        <v>0</v>
      </c>
      <c r="T57" s="23">
        <f>IF(B57="","",IF(COUNTIF(Performance!$B$5:$B$404,B57)=0,"",SUMIFS(Performance!$T$5:$T$404,Performance!$B$5:$B$404,B57)))</f>
        <v>0</v>
      </c>
      <c r="U57" s="23">
        <f>IF(B57="","",IF(COUNTIF(Performance!$B$5:$B$404,B57)=0,"",SUMIFS(Performance!$S$5:$S$404,Performance!$B$5:$B$404,B57)))</f>
        <v>0</v>
      </c>
      <c r="V57" s="23">
        <f>IF(B57="","",IF(COUNTIF(Performance!$B$5:$B$404,B57)=0,"",SUMIFS(Performance!$R$5:$R$404,Performance!$B$5:$B$404,B57)))</f>
        <v>0</v>
      </c>
      <c r="W57" s="23">
        <f>IF(B57="","",IF(COUNTIF(Performance!$B$5:$B$404,B57)=0,"",SUMIFS(Performance!$U$5:$U$404,Performance!$B$5:$B$404,B57)))</f>
        <v>0</v>
      </c>
      <c r="X57" s="29">
        <f>IF(B57="","",IF(C57="Not found","Check - content ID not on the calendar",IF(AND(J57="",G57&lt;&gt;"Photo"),"Add - no link on a link post",IF(AND(P57&lt;&gt;"",S57&lt;TargetEngagement),"Review - below your target rate","OK"))))</f>
        <v>0</v>
      </c>
    </row>
    <row r="58" spans="1:24">
      <c r="A58" s="41">
        <f>IF(B58="","","FB-"&amp;TEXT(ROW()-4,"000"))</f>
        <v>0</v>
      </c>
      <c r="C58" s="17">
        <f>IF(B58="","",IFERROR(INDEX('Content Calendar'!$H$5:$H$604,MATCH(B58,'Content Calendar'!$A$5:$A$604,0)),"Not found"))</f>
        <v>0</v>
      </c>
      <c r="D58" s="16">
        <f>IF(B58="","",IFERROR(INDEX('Content Calendar'!$B$5:$B$604,MATCH(B58,'Content Calendar'!$A$5:$A$604,0)),"Not found"))</f>
        <v>0</v>
      </c>
      <c r="E58" s="17">
        <f>IF(B58="","",IFERROR(INDEX('Content Calendar'!$J$5:$J$604,MATCH(B58,'Content Calendar'!$A$5:$A$604,0)),"Not found"))</f>
        <v>0</v>
      </c>
      <c r="F58" s="29">
        <f>IF(B58="","",IFERROR(INDEX('Content Calendar'!$X$5:$X$604,MATCH(B58,'Content Calendar'!$A$5:$A$604,0)),"Not found"))</f>
        <v>0</v>
      </c>
      <c r="P58" s="23">
        <f>IF(B58="","",IF(COUNTIF(Performance!$B$5:$B$404,B58)=0,"",SUMIFS(Performance!$O$5:$O$404,Performance!$B$5:$B$404,B58)))</f>
        <v>0</v>
      </c>
      <c r="Q58" s="23">
        <f>IF(B58="","",IF(COUNTIF(Performance!$B$5:$B$404,B58)=0,"",SUMIFS(Performance!$P$5:$P$404,Performance!$B$5:$B$404,B58)))</f>
        <v>0</v>
      </c>
      <c r="R58" s="23">
        <f>IF(B58="","",IF(COUNTIF(Performance!$B$5:$B$404,B58)=0,"",SUMIFS(Performance!$Z$5:$Z$404,Performance!$B$5:$B$404,B58)))</f>
        <v>0</v>
      </c>
      <c r="S58" s="24">
        <f>IF(OR(P58="",P58=0),"",R58/P58)</f>
        <v>0</v>
      </c>
      <c r="T58" s="23">
        <f>IF(B58="","",IF(COUNTIF(Performance!$B$5:$B$404,B58)=0,"",SUMIFS(Performance!$T$5:$T$404,Performance!$B$5:$B$404,B58)))</f>
        <v>0</v>
      </c>
      <c r="U58" s="23">
        <f>IF(B58="","",IF(COUNTIF(Performance!$B$5:$B$404,B58)=0,"",SUMIFS(Performance!$S$5:$S$404,Performance!$B$5:$B$404,B58)))</f>
        <v>0</v>
      </c>
      <c r="V58" s="23">
        <f>IF(B58="","",IF(COUNTIF(Performance!$B$5:$B$404,B58)=0,"",SUMIFS(Performance!$R$5:$R$404,Performance!$B$5:$B$404,B58)))</f>
        <v>0</v>
      </c>
      <c r="W58" s="23">
        <f>IF(B58="","",IF(COUNTIF(Performance!$B$5:$B$404,B58)=0,"",SUMIFS(Performance!$U$5:$U$404,Performance!$B$5:$B$404,B58)))</f>
        <v>0</v>
      </c>
      <c r="X58" s="29">
        <f>IF(B58="","",IF(C58="Not found","Check - content ID not on the calendar",IF(AND(J58="",G58&lt;&gt;"Photo"),"Add - no link on a link post",IF(AND(P58&lt;&gt;"",S58&lt;TargetEngagement),"Review - below your target rate","OK"))))</f>
        <v>0</v>
      </c>
    </row>
    <row r="59" spans="1:24">
      <c r="A59" s="41">
        <f>IF(B59="","","FB-"&amp;TEXT(ROW()-4,"000"))</f>
        <v>0</v>
      </c>
      <c r="C59" s="17">
        <f>IF(B59="","",IFERROR(INDEX('Content Calendar'!$H$5:$H$604,MATCH(B59,'Content Calendar'!$A$5:$A$604,0)),"Not found"))</f>
        <v>0</v>
      </c>
      <c r="D59" s="16">
        <f>IF(B59="","",IFERROR(INDEX('Content Calendar'!$B$5:$B$604,MATCH(B59,'Content Calendar'!$A$5:$A$604,0)),"Not found"))</f>
        <v>0</v>
      </c>
      <c r="E59" s="17">
        <f>IF(B59="","",IFERROR(INDEX('Content Calendar'!$J$5:$J$604,MATCH(B59,'Content Calendar'!$A$5:$A$604,0)),"Not found"))</f>
        <v>0</v>
      </c>
      <c r="F59" s="29">
        <f>IF(B59="","",IFERROR(INDEX('Content Calendar'!$X$5:$X$604,MATCH(B59,'Content Calendar'!$A$5:$A$604,0)),"Not found"))</f>
        <v>0</v>
      </c>
      <c r="P59" s="23">
        <f>IF(B59="","",IF(COUNTIF(Performance!$B$5:$B$404,B59)=0,"",SUMIFS(Performance!$O$5:$O$404,Performance!$B$5:$B$404,B59)))</f>
        <v>0</v>
      </c>
      <c r="Q59" s="23">
        <f>IF(B59="","",IF(COUNTIF(Performance!$B$5:$B$404,B59)=0,"",SUMIFS(Performance!$P$5:$P$404,Performance!$B$5:$B$404,B59)))</f>
        <v>0</v>
      </c>
      <c r="R59" s="23">
        <f>IF(B59="","",IF(COUNTIF(Performance!$B$5:$B$404,B59)=0,"",SUMIFS(Performance!$Z$5:$Z$404,Performance!$B$5:$B$404,B59)))</f>
        <v>0</v>
      </c>
      <c r="S59" s="24">
        <f>IF(OR(P59="",P59=0),"",R59/P59)</f>
        <v>0</v>
      </c>
      <c r="T59" s="23">
        <f>IF(B59="","",IF(COUNTIF(Performance!$B$5:$B$404,B59)=0,"",SUMIFS(Performance!$T$5:$T$404,Performance!$B$5:$B$404,B59)))</f>
        <v>0</v>
      </c>
      <c r="U59" s="23">
        <f>IF(B59="","",IF(COUNTIF(Performance!$B$5:$B$404,B59)=0,"",SUMIFS(Performance!$S$5:$S$404,Performance!$B$5:$B$404,B59)))</f>
        <v>0</v>
      </c>
      <c r="V59" s="23">
        <f>IF(B59="","",IF(COUNTIF(Performance!$B$5:$B$404,B59)=0,"",SUMIFS(Performance!$R$5:$R$404,Performance!$B$5:$B$404,B59)))</f>
        <v>0</v>
      </c>
      <c r="W59" s="23">
        <f>IF(B59="","",IF(COUNTIF(Performance!$B$5:$B$404,B59)=0,"",SUMIFS(Performance!$U$5:$U$404,Performance!$B$5:$B$404,B59)))</f>
        <v>0</v>
      </c>
      <c r="X59" s="29">
        <f>IF(B59="","",IF(C59="Not found","Check - content ID not on the calendar",IF(AND(J59="",G59&lt;&gt;"Photo"),"Add - no link on a link post",IF(AND(P59&lt;&gt;"",S59&lt;TargetEngagement),"Review - below your target rate","OK"))))</f>
        <v>0</v>
      </c>
    </row>
    <row r="60" spans="1:24">
      <c r="A60" s="41">
        <f>IF(B60="","","FB-"&amp;TEXT(ROW()-4,"000"))</f>
        <v>0</v>
      </c>
      <c r="C60" s="17">
        <f>IF(B60="","",IFERROR(INDEX('Content Calendar'!$H$5:$H$604,MATCH(B60,'Content Calendar'!$A$5:$A$604,0)),"Not found"))</f>
        <v>0</v>
      </c>
      <c r="D60" s="16">
        <f>IF(B60="","",IFERROR(INDEX('Content Calendar'!$B$5:$B$604,MATCH(B60,'Content Calendar'!$A$5:$A$604,0)),"Not found"))</f>
        <v>0</v>
      </c>
      <c r="E60" s="17">
        <f>IF(B60="","",IFERROR(INDEX('Content Calendar'!$J$5:$J$604,MATCH(B60,'Content Calendar'!$A$5:$A$604,0)),"Not found"))</f>
        <v>0</v>
      </c>
      <c r="F60" s="29">
        <f>IF(B60="","",IFERROR(INDEX('Content Calendar'!$X$5:$X$604,MATCH(B60,'Content Calendar'!$A$5:$A$604,0)),"Not found"))</f>
        <v>0</v>
      </c>
      <c r="P60" s="23">
        <f>IF(B60="","",IF(COUNTIF(Performance!$B$5:$B$404,B60)=0,"",SUMIFS(Performance!$O$5:$O$404,Performance!$B$5:$B$404,B60)))</f>
        <v>0</v>
      </c>
      <c r="Q60" s="23">
        <f>IF(B60="","",IF(COUNTIF(Performance!$B$5:$B$404,B60)=0,"",SUMIFS(Performance!$P$5:$P$404,Performance!$B$5:$B$404,B60)))</f>
        <v>0</v>
      </c>
      <c r="R60" s="23">
        <f>IF(B60="","",IF(COUNTIF(Performance!$B$5:$B$404,B60)=0,"",SUMIFS(Performance!$Z$5:$Z$404,Performance!$B$5:$B$404,B60)))</f>
        <v>0</v>
      </c>
      <c r="S60" s="24">
        <f>IF(OR(P60="",P60=0),"",R60/P60)</f>
        <v>0</v>
      </c>
      <c r="T60" s="23">
        <f>IF(B60="","",IF(COUNTIF(Performance!$B$5:$B$404,B60)=0,"",SUMIFS(Performance!$T$5:$T$404,Performance!$B$5:$B$404,B60)))</f>
        <v>0</v>
      </c>
      <c r="U60" s="23">
        <f>IF(B60="","",IF(COUNTIF(Performance!$B$5:$B$404,B60)=0,"",SUMIFS(Performance!$S$5:$S$404,Performance!$B$5:$B$404,B60)))</f>
        <v>0</v>
      </c>
      <c r="V60" s="23">
        <f>IF(B60="","",IF(COUNTIF(Performance!$B$5:$B$404,B60)=0,"",SUMIFS(Performance!$R$5:$R$404,Performance!$B$5:$B$404,B60)))</f>
        <v>0</v>
      </c>
      <c r="W60" s="23">
        <f>IF(B60="","",IF(COUNTIF(Performance!$B$5:$B$404,B60)=0,"",SUMIFS(Performance!$U$5:$U$404,Performance!$B$5:$B$404,B60)))</f>
        <v>0</v>
      </c>
      <c r="X60" s="29">
        <f>IF(B60="","",IF(C60="Not found","Check - content ID not on the calendar",IF(AND(J60="",G60&lt;&gt;"Photo"),"Add - no link on a link post",IF(AND(P60&lt;&gt;"",S60&lt;TargetEngagement),"Review - below your target rate","OK"))))</f>
        <v>0</v>
      </c>
    </row>
    <row r="61" spans="1:24">
      <c r="A61" s="41">
        <f>IF(B61="","","FB-"&amp;TEXT(ROW()-4,"000"))</f>
        <v>0</v>
      </c>
      <c r="C61" s="17">
        <f>IF(B61="","",IFERROR(INDEX('Content Calendar'!$H$5:$H$604,MATCH(B61,'Content Calendar'!$A$5:$A$604,0)),"Not found"))</f>
        <v>0</v>
      </c>
      <c r="D61" s="16">
        <f>IF(B61="","",IFERROR(INDEX('Content Calendar'!$B$5:$B$604,MATCH(B61,'Content Calendar'!$A$5:$A$604,0)),"Not found"))</f>
        <v>0</v>
      </c>
      <c r="E61" s="17">
        <f>IF(B61="","",IFERROR(INDEX('Content Calendar'!$J$5:$J$604,MATCH(B61,'Content Calendar'!$A$5:$A$604,0)),"Not found"))</f>
        <v>0</v>
      </c>
      <c r="F61" s="29">
        <f>IF(B61="","",IFERROR(INDEX('Content Calendar'!$X$5:$X$604,MATCH(B61,'Content Calendar'!$A$5:$A$604,0)),"Not found"))</f>
        <v>0</v>
      </c>
      <c r="P61" s="23">
        <f>IF(B61="","",IF(COUNTIF(Performance!$B$5:$B$404,B61)=0,"",SUMIFS(Performance!$O$5:$O$404,Performance!$B$5:$B$404,B61)))</f>
        <v>0</v>
      </c>
      <c r="Q61" s="23">
        <f>IF(B61="","",IF(COUNTIF(Performance!$B$5:$B$404,B61)=0,"",SUMIFS(Performance!$P$5:$P$404,Performance!$B$5:$B$404,B61)))</f>
        <v>0</v>
      </c>
      <c r="R61" s="23">
        <f>IF(B61="","",IF(COUNTIF(Performance!$B$5:$B$404,B61)=0,"",SUMIFS(Performance!$Z$5:$Z$404,Performance!$B$5:$B$404,B61)))</f>
        <v>0</v>
      </c>
      <c r="S61" s="24">
        <f>IF(OR(P61="",P61=0),"",R61/P61)</f>
        <v>0</v>
      </c>
      <c r="T61" s="23">
        <f>IF(B61="","",IF(COUNTIF(Performance!$B$5:$B$404,B61)=0,"",SUMIFS(Performance!$T$5:$T$404,Performance!$B$5:$B$404,B61)))</f>
        <v>0</v>
      </c>
      <c r="U61" s="23">
        <f>IF(B61="","",IF(COUNTIF(Performance!$B$5:$B$404,B61)=0,"",SUMIFS(Performance!$S$5:$S$404,Performance!$B$5:$B$404,B61)))</f>
        <v>0</v>
      </c>
      <c r="V61" s="23">
        <f>IF(B61="","",IF(COUNTIF(Performance!$B$5:$B$404,B61)=0,"",SUMIFS(Performance!$R$5:$R$404,Performance!$B$5:$B$404,B61)))</f>
        <v>0</v>
      </c>
      <c r="W61" s="23">
        <f>IF(B61="","",IF(COUNTIF(Performance!$B$5:$B$404,B61)=0,"",SUMIFS(Performance!$U$5:$U$404,Performance!$B$5:$B$404,B61)))</f>
        <v>0</v>
      </c>
      <c r="X61" s="29">
        <f>IF(B61="","",IF(C61="Not found","Check - content ID not on the calendar",IF(AND(J61="",G61&lt;&gt;"Photo"),"Add - no link on a link post",IF(AND(P61&lt;&gt;"",S61&lt;TargetEngagement),"Review - below your target rate","OK"))))</f>
        <v>0</v>
      </c>
    </row>
    <row r="62" spans="1:24">
      <c r="A62" s="41">
        <f>IF(B62="","","FB-"&amp;TEXT(ROW()-4,"000"))</f>
        <v>0</v>
      </c>
      <c r="C62" s="17">
        <f>IF(B62="","",IFERROR(INDEX('Content Calendar'!$H$5:$H$604,MATCH(B62,'Content Calendar'!$A$5:$A$604,0)),"Not found"))</f>
        <v>0</v>
      </c>
      <c r="D62" s="16">
        <f>IF(B62="","",IFERROR(INDEX('Content Calendar'!$B$5:$B$604,MATCH(B62,'Content Calendar'!$A$5:$A$604,0)),"Not found"))</f>
        <v>0</v>
      </c>
      <c r="E62" s="17">
        <f>IF(B62="","",IFERROR(INDEX('Content Calendar'!$J$5:$J$604,MATCH(B62,'Content Calendar'!$A$5:$A$604,0)),"Not found"))</f>
        <v>0</v>
      </c>
      <c r="F62" s="29">
        <f>IF(B62="","",IFERROR(INDEX('Content Calendar'!$X$5:$X$604,MATCH(B62,'Content Calendar'!$A$5:$A$604,0)),"Not found"))</f>
        <v>0</v>
      </c>
      <c r="P62" s="23">
        <f>IF(B62="","",IF(COUNTIF(Performance!$B$5:$B$404,B62)=0,"",SUMIFS(Performance!$O$5:$O$404,Performance!$B$5:$B$404,B62)))</f>
        <v>0</v>
      </c>
      <c r="Q62" s="23">
        <f>IF(B62="","",IF(COUNTIF(Performance!$B$5:$B$404,B62)=0,"",SUMIFS(Performance!$P$5:$P$404,Performance!$B$5:$B$404,B62)))</f>
        <v>0</v>
      </c>
      <c r="R62" s="23">
        <f>IF(B62="","",IF(COUNTIF(Performance!$B$5:$B$404,B62)=0,"",SUMIFS(Performance!$Z$5:$Z$404,Performance!$B$5:$B$404,B62)))</f>
        <v>0</v>
      </c>
      <c r="S62" s="24">
        <f>IF(OR(P62="",P62=0),"",R62/P62)</f>
        <v>0</v>
      </c>
      <c r="T62" s="23">
        <f>IF(B62="","",IF(COUNTIF(Performance!$B$5:$B$404,B62)=0,"",SUMIFS(Performance!$T$5:$T$404,Performance!$B$5:$B$404,B62)))</f>
        <v>0</v>
      </c>
      <c r="U62" s="23">
        <f>IF(B62="","",IF(COUNTIF(Performance!$B$5:$B$404,B62)=0,"",SUMIFS(Performance!$S$5:$S$404,Performance!$B$5:$B$404,B62)))</f>
        <v>0</v>
      </c>
      <c r="V62" s="23">
        <f>IF(B62="","",IF(COUNTIF(Performance!$B$5:$B$404,B62)=0,"",SUMIFS(Performance!$R$5:$R$404,Performance!$B$5:$B$404,B62)))</f>
        <v>0</v>
      </c>
      <c r="W62" s="23">
        <f>IF(B62="","",IF(COUNTIF(Performance!$B$5:$B$404,B62)=0,"",SUMIFS(Performance!$U$5:$U$404,Performance!$B$5:$B$404,B62)))</f>
        <v>0</v>
      </c>
      <c r="X62" s="29">
        <f>IF(B62="","",IF(C62="Not found","Check - content ID not on the calendar",IF(AND(J62="",G62&lt;&gt;"Photo"),"Add - no link on a link post",IF(AND(P62&lt;&gt;"",S62&lt;TargetEngagement),"Review - below your target rate","OK"))))</f>
        <v>0</v>
      </c>
    </row>
    <row r="63" spans="1:24">
      <c r="A63" s="41">
        <f>IF(B63="","","FB-"&amp;TEXT(ROW()-4,"000"))</f>
        <v>0</v>
      </c>
      <c r="C63" s="17">
        <f>IF(B63="","",IFERROR(INDEX('Content Calendar'!$H$5:$H$604,MATCH(B63,'Content Calendar'!$A$5:$A$604,0)),"Not found"))</f>
        <v>0</v>
      </c>
      <c r="D63" s="16">
        <f>IF(B63="","",IFERROR(INDEX('Content Calendar'!$B$5:$B$604,MATCH(B63,'Content Calendar'!$A$5:$A$604,0)),"Not found"))</f>
        <v>0</v>
      </c>
      <c r="E63" s="17">
        <f>IF(B63="","",IFERROR(INDEX('Content Calendar'!$J$5:$J$604,MATCH(B63,'Content Calendar'!$A$5:$A$604,0)),"Not found"))</f>
        <v>0</v>
      </c>
      <c r="F63" s="29">
        <f>IF(B63="","",IFERROR(INDEX('Content Calendar'!$X$5:$X$604,MATCH(B63,'Content Calendar'!$A$5:$A$604,0)),"Not found"))</f>
        <v>0</v>
      </c>
      <c r="P63" s="23">
        <f>IF(B63="","",IF(COUNTIF(Performance!$B$5:$B$404,B63)=0,"",SUMIFS(Performance!$O$5:$O$404,Performance!$B$5:$B$404,B63)))</f>
        <v>0</v>
      </c>
      <c r="Q63" s="23">
        <f>IF(B63="","",IF(COUNTIF(Performance!$B$5:$B$404,B63)=0,"",SUMIFS(Performance!$P$5:$P$404,Performance!$B$5:$B$404,B63)))</f>
        <v>0</v>
      </c>
      <c r="R63" s="23">
        <f>IF(B63="","",IF(COUNTIF(Performance!$B$5:$B$404,B63)=0,"",SUMIFS(Performance!$Z$5:$Z$404,Performance!$B$5:$B$404,B63)))</f>
        <v>0</v>
      </c>
      <c r="S63" s="24">
        <f>IF(OR(P63="",P63=0),"",R63/P63)</f>
        <v>0</v>
      </c>
      <c r="T63" s="23">
        <f>IF(B63="","",IF(COUNTIF(Performance!$B$5:$B$404,B63)=0,"",SUMIFS(Performance!$T$5:$T$404,Performance!$B$5:$B$404,B63)))</f>
        <v>0</v>
      </c>
      <c r="U63" s="23">
        <f>IF(B63="","",IF(COUNTIF(Performance!$B$5:$B$404,B63)=0,"",SUMIFS(Performance!$S$5:$S$404,Performance!$B$5:$B$404,B63)))</f>
        <v>0</v>
      </c>
      <c r="V63" s="23">
        <f>IF(B63="","",IF(COUNTIF(Performance!$B$5:$B$404,B63)=0,"",SUMIFS(Performance!$R$5:$R$404,Performance!$B$5:$B$404,B63)))</f>
        <v>0</v>
      </c>
      <c r="W63" s="23">
        <f>IF(B63="","",IF(COUNTIF(Performance!$B$5:$B$404,B63)=0,"",SUMIFS(Performance!$U$5:$U$404,Performance!$B$5:$B$404,B63)))</f>
        <v>0</v>
      </c>
      <c r="X63" s="29">
        <f>IF(B63="","",IF(C63="Not found","Check - content ID not on the calendar",IF(AND(J63="",G63&lt;&gt;"Photo"),"Add - no link on a link post",IF(AND(P63&lt;&gt;"",S63&lt;TargetEngagement),"Review - below your target rate","OK"))))</f>
        <v>0</v>
      </c>
    </row>
    <row r="64" spans="1:24">
      <c r="A64" s="41">
        <f>IF(B64="","","FB-"&amp;TEXT(ROW()-4,"000"))</f>
        <v>0</v>
      </c>
      <c r="C64" s="17">
        <f>IF(B64="","",IFERROR(INDEX('Content Calendar'!$H$5:$H$604,MATCH(B64,'Content Calendar'!$A$5:$A$604,0)),"Not found"))</f>
        <v>0</v>
      </c>
      <c r="D64" s="16">
        <f>IF(B64="","",IFERROR(INDEX('Content Calendar'!$B$5:$B$604,MATCH(B64,'Content Calendar'!$A$5:$A$604,0)),"Not found"))</f>
        <v>0</v>
      </c>
      <c r="E64" s="17">
        <f>IF(B64="","",IFERROR(INDEX('Content Calendar'!$J$5:$J$604,MATCH(B64,'Content Calendar'!$A$5:$A$604,0)),"Not found"))</f>
        <v>0</v>
      </c>
      <c r="F64" s="29">
        <f>IF(B64="","",IFERROR(INDEX('Content Calendar'!$X$5:$X$604,MATCH(B64,'Content Calendar'!$A$5:$A$604,0)),"Not found"))</f>
        <v>0</v>
      </c>
      <c r="P64" s="23">
        <f>IF(B64="","",IF(COUNTIF(Performance!$B$5:$B$404,B64)=0,"",SUMIFS(Performance!$O$5:$O$404,Performance!$B$5:$B$404,B64)))</f>
        <v>0</v>
      </c>
      <c r="Q64" s="23">
        <f>IF(B64="","",IF(COUNTIF(Performance!$B$5:$B$404,B64)=0,"",SUMIFS(Performance!$P$5:$P$404,Performance!$B$5:$B$404,B64)))</f>
        <v>0</v>
      </c>
      <c r="R64" s="23">
        <f>IF(B64="","",IF(COUNTIF(Performance!$B$5:$B$404,B64)=0,"",SUMIFS(Performance!$Z$5:$Z$404,Performance!$B$5:$B$404,B64)))</f>
        <v>0</v>
      </c>
      <c r="S64" s="24">
        <f>IF(OR(P64="",P64=0),"",R64/P64)</f>
        <v>0</v>
      </c>
      <c r="T64" s="23">
        <f>IF(B64="","",IF(COUNTIF(Performance!$B$5:$B$404,B64)=0,"",SUMIFS(Performance!$T$5:$T$404,Performance!$B$5:$B$404,B64)))</f>
        <v>0</v>
      </c>
      <c r="U64" s="23">
        <f>IF(B64="","",IF(COUNTIF(Performance!$B$5:$B$404,B64)=0,"",SUMIFS(Performance!$S$5:$S$404,Performance!$B$5:$B$404,B64)))</f>
        <v>0</v>
      </c>
      <c r="V64" s="23">
        <f>IF(B64="","",IF(COUNTIF(Performance!$B$5:$B$404,B64)=0,"",SUMIFS(Performance!$R$5:$R$404,Performance!$B$5:$B$404,B64)))</f>
        <v>0</v>
      </c>
      <c r="W64" s="23">
        <f>IF(B64="","",IF(COUNTIF(Performance!$B$5:$B$404,B64)=0,"",SUMIFS(Performance!$U$5:$U$404,Performance!$B$5:$B$404,B64)))</f>
        <v>0</v>
      </c>
      <c r="X64" s="29">
        <f>IF(B64="","",IF(C64="Not found","Check - content ID not on the calendar",IF(AND(J64="",G64&lt;&gt;"Photo"),"Add - no link on a link post",IF(AND(P64&lt;&gt;"",S64&lt;TargetEngagement),"Review - below your target rate","OK"))))</f>
        <v>0</v>
      </c>
    </row>
    <row r="65" spans="1:24">
      <c r="A65" s="41">
        <f>IF(B65="","","FB-"&amp;TEXT(ROW()-4,"000"))</f>
        <v>0</v>
      </c>
      <c r="C65" s="17">
        <f>IF(B65="","",IFERROR(INDEX('Content Calendar'!$H$5:$H$604,MATCH(B65,'Content Calendar'!$A$5:$A$604,0)),"Not found"))</f>
        <v>0</v>
      </c>
      <c r="D65" s="16">
        <f>IF(B65="","",IFERROR(INDEX('Content Calendar'!$B$5:$B$604,MATCH(B65,'Content Calendar'!$A$5:$A$604,0)),"Not found"))</f>
        <v>0</v>
      </c>
      <c r="E65" s="17">
        <f>IF(B65="","",IFERROR(INDEX('Content Calendar'!$J$5:$J$604,MATCH(B65,'Content Calendar'!$A$5:$A$604,0)),"Not found"))</f>
        <v>0</v>
      </c>
      <c r="F65" s="29">
        <f>IF(B65="","",IFERROR(INDEX('Content Calendar'!$X$5:$X$604,MATCH(B65,'Content Calendar'!$A$5:$A$604,0)),"Not found"))</f>
        <v>0</v>
      </c>
      <c r="P65" s="23">
        <f>IF(B65="","",IF(COUNTIF(Performance!$B$5:$B$404,B65)=0,"",SUMIFS(Performance!$O$5:$O$404,Performance!$B$5:$B$404,B65)))</f>
        <v>0</v>
      </c>
      <c r="Q65" s="23">
        <f>IF(B65="","",IF(COUNTIF(Performance!$B$5:$B$404,B65)=0,"",SUMIFS(Performance!$P$5:$P$404,Performance!$B$5:$B$404,B65)))</f>
        <v>0</v>
      </c>
      <c r="R65" s="23">
        <f>IF(B65="","",IF(COUNTIF(Performance!$B$5:$B$404,B65)=0,"",SUMIFS(Performance!$Z$5:$Z$404,Performance!$B$5:$B$404,B65)))</f>
        <v>0</v>
      </c>
      <c r="S65" s="24">
        <f>IF(OR(P65="",P65=0),"",R65/P65)</f>
        <v>0</v>
      </c>
      <c r="T65" s="23">
        <f>IF(B65="","",IF(COUNTIF(Performance!$B$5:$B$404,B65)=0,"",SUMIFS(Performance!$T$5:$T$404,Performance!$B$5:$B$404,B65)))</f>
        <v>0</v>
      </c>
      <c r="U65" s="23">
        <f>IF(B65="","",IF(COUNTIF(Performance!$B$5:$B$404,B65)=0,"",SUMIFS(Performance!$S$5:$S$404,Performance!$B$5:$B$404,B65)))</f>
        <v>0</v>
      </c>
      <c r="V65" s="23">
        <f>IF(B65="","",IF(COUNTIF(Performance!$B$5:$B$404,B65)=0,"",SUMIFS(Performance!$R$5:$R$404,Performance!$B$5:$B$404,B65)))</f>
        <v>0</v>
      </c>
      <c r="W65" s="23">
        <f>IF(B65="","",IF(COUNTIF(Performance!$B$5:$B$404,B65)=0,"",SUMIFS(Performance!$U$5:$U$404,Performance!$B$5:$B$404,B65)))</f>
        <v>0</v>
      </c>
      <c r="X65" s="29">
        <f>IF(B65="","",IF(C65="Not found","Check - content ID not on the calendar",IF(AND(J65="",G65&lt;&gt;"Photo"),"Add - no link on a link post",IF(AND(P65&lt;&gt;"",S65&lt;TargetEngagement),"Review - below your target rate","OK"))))</f>
        <v>0</v>
      </c>
    </row>
    <row r="66" spans="1:24">
      <c r="A66" s="41">
        <f>IF(B66="","","FB-"&amp;TEXT(ROW()-4,"000"))</f>
        <v>0</v>
      </c>
      <c r="C66" s="17">
        <f>IF(B66="","",IFERROR(INDEX('Content Calendar'!$H$5:$H$604,MATCH(B66,'Content Calendar'!$A$5:$A$604,0)),"Not found"))</f>
        <v>0</v>
      </c>
      <c r="D66" s="16">
        <f>IF(B66="","",IFERROR(INDEX('Content Calendar'!$B$5:$B$604,MATCH(B66,'Content Calendar'!$A$5:$A$604,0)),"Not found"))</f>
        <v>0</v>
      </c>
      <c r="E66" s="17">
        <f>IF(B66="","",IFERROR(INDEX('Content Calendar'!$J$5:$J$604,MATCH(B66,'Content Calendar'!$A$5:$A$604,0)),"Not found"))</f>
        <v>0</v>
      </c>
      <c r="F66" s="29">
        <f>IF(B66="","",IFERROR(INDEX('Content Calendar'!$X$5:$X$604,MATCH(B66,'Content Calendar'!$A$5:$A$604,0)),"Not found"))</f>
        <v>0</v>
      </c>
      <c r="P66" s="23">
        <f>IF(B66="","",IF(COUNTIF(Performance!$B$5:$B$404,B66)=0,"",SUMIFS(Performance!$O$5:$O$404,Performance!$B$5:$B$404,B66)))</f>
        <v>0</v>
      </c>
      <c r="Q66" s="23">
        <f>IF(B66="","",IF(COUNTIF(Performance!$B$5:$B$404,B66)=0,"",SUMIFS(Performance!$P$5:$P$404,Performance!$B$5:$B$404,B66)))</f>
        <v>0</v>
      </c>
      <c r="R66" s="23">
        <f>IF(B66="","",IF(COUNTIF(Performance!$B$5:$B$404,B66)=0,"",SUMIFS(Performance!$Z$5:$Z$404,Performance!$B$5:$B$404,B66)))</f>
        <v>0</v>
      </c>
      <c r="S66" s="24">
        <f>IF(OR(P66="",P66=0),"",R66/P66)</f>
        <v>0</v>
      </c>
      <c r="T66" s="23">
        <f>IF(B66="","",IF(COUNTIF(Performance!$B$5:$B$404,B66)=0,"",SUMIFS(Performance!$T$5:$T$404,Performance!$B$5:$B$404,B66)))</f>
        <v>0</v>
      </c>
      <c r="U66" s="23">
        <f>IF(B66="","",IF(COUNTIF(Performance!$B$5:$B$404,B66)=0,"",SUMIFS(Performance!$S$5:$S$404,Performance!$B$5:$B$404,B66)))</f>
        <v>0</v>
      </c>
      <c r="V66" s="23">
        <f>IF(B66="","",IF(COUNTIF(Performance!$B$5:$B$404,B66)=0,"",SUMIFS(Performance!$R$5:$R$404,Performance!$B$5:$B$404,B66)))</f>
        <v>0</v>
      </c>
      <c r="W66" s="23">
        <f>IF(B66="","",IF(COUNTIF(Performance!$B$5:$B$404,B66)=0,"",SUMIFS(Performance!$U$5:$U$404,Performance!$B$5:$B$404,B66)))</f>
        <v>0</v>
      </c>
      <c r="X66" s="29">
        <f>IF(B66="","",IF(C66="Not found","Check - content ID not on the calendar",IF(AND(J66="",G66&lt;&gt;"Photo"),"Add - no link on a link post",IF(AND(P66&lt;&gt;"",S66&lt;TargetEngagement),"Review - below your target rate","OK"))))</f>
        <v>0</v>
      </c>
    </row>
    <row r="67" spans="1:24">
      <c r="A67" s="41">
        <f>IF(B67="","","FB-"&amp;TEXT(ROW()-4,"000"))</f>
        <v>0</v>
      </c>
      <c r="C67" s="17">
        <f>IF(B67="","",IFERROR(INDEX('Content Calendar'!$H$5:$H$604,MATCH(B67,'Content Calendar'!$A$5:$A$604,0)),"Not found"))</f>
        <v>0</v>
      </c>
      <c r="D67" s="16">
        <f>IF(B67="","",IFERROR(INDEX('Content Calendar'!$B$5:$B$604,MATCH(B67,'Content Calendar'!$A$5:$A$604,0)),"Not found"))</f>
        <v>0</v>
      </c>
      <c r="E67" s="17">
        <f>IF(B67="","",IFERROR(INDEX('Content Calendar'!$J$5:$J$604,MATCH(B67,'Content Calendar'!$A$5:$A$604,0)),"Not found"))</f>
        <v>0</v>
      </c>
      <c r="F67" s="29">
        <f>IF(B67="","",IFERROR(INDEX('Content Calendar'!$X$5:$X$604,MATCH(B67,'Content Calendar'!$A$5:$A$604,0)),"Not found"))</f>
        <v>0</v>
      </c>
      <c r="P67" s="23">
        <f>IF(B67="","",IF(COUNTIF(Performance!$B$5:$B$404,B67)=0,"",SUMIFS(Performance!$O$5:$O$404,Performance!$B$5:$B$404,B67)))</f>
        <v>0</v>
      </c>
      <c r="Q67" s="23">
        <f>IF(B67="","",IF(COUNTIF(Performance!$B$5:$B$404,B67)=0,"",SUMIFS(Performance!$P$5:$P$404,Performance!$B$5:$B$404,B67)))</f>
        <v>0</v>
      </c>
      <c r="R67" s="23">
        <f>IF(B67="","",IF(COUNTIF(Performance!$B$5:$B$404,B67)=0,"",SUMIFS(Performance!$Z$5:$Z$404,Performance!$B$5:$B$404,B67)))</f>
        <v>0</v>
      </c>
      <c r="S67" s="24">
        <f>IF(OR(P67="",P67=0),"",R67/P67)</f>
        <v>0</v>
      </c>
      <c r="T67" s="23">
        <f>IF(B67="","",IF(COUNTIF(Performance!$B$5:$B$404,B67)=0,"",SUMIFS(Performance!$T$5:$T$404,Performance!$B$5:$B$404,B67)))</f>
        <v>0</v>
      </c>
      <c r="U67" s="23">
        <f>IF(B67="","",IF(COUNTIF(Performance!$B$5:$B$404,B67)=0,"",SUMIFS(Performance!$S$5:$S$404,Performance!$B$5:$B$404,B67)))</f>
        <v>0</v>
      </c>
      <c r="V67" s="23">
        <f>IF(B67="","",IF(COUNTIF(Performance!$B$5:$B$404,B67)=0,"",SUMIFS(Performance!$R$5:$R$404,Performance!$B$5:$B$404,B67)))</f>
        <v>0</v>
      </c>
      <c r="W67" s="23">
        <f>IF(B67="","",IF(COUNTIF(Performance!$B$5:$B$404,B67)=0,"",SUMIFS(Performance!$U$5:$U$404,Performance!$B$5:$B$404,B67)))</f>
        <v>0</v>
      </c>
      <c r="X67" s="29">
        <f>IF(B67="","",IF(C67="Not found","Check - content ID not on the calendar",IF(AND(J67="",G67&lt;&gt;"Photo"),"Add - no link on a link post",IF(AND(P67&lt;&gt;"",S67&lt;TargetEngagement),"Review - below your target rate","OK"))))</f>
        <v>0</v>
      </c>
    </row>
    <row r="68" spans="1:24">
      <c r="A68" s="41">
        <f>IF(B68="","","FB-"&amp;TEXT(ROW()-4,"000"))</f>
        <v>0</v>
      </c>
      <c r="C68" s="17">
        <f>IF(B68="","",IFERROR(INDEX('Content Calendar'!$H$5:$H$604,MATCH(B68,'Content Calendar'!$A$5:$A$604,0)),"Not found"))</f>
        <v>0</v>
      </c>
      <c r="D68" s="16">
        <f>IF(B68="","",IFERROR(INDEX('Content Calendar'!$B$5:$B$604,MATCH(B68,'Content Calendar'!$A$5:$A$604,0)),"Not found"))</f>
        <v>0</v>
      </c>
      <c r="E68" s="17">
        <f>IF(B68="","",IFERROR(INDEX('Content Calendar'!$J$5:$J$604,MATCH(B68,'Content Calendar'!$A$5:$A$604,0)),"Not found"))</f>
        <v>0</v>
      </c>
      <c r="F68" s="29">
        <f>IF(B68="","",IFERROR(INDEX('Content Calendar'!$X$5:$X$604,MATCH(B68,'Content Calendar'!$A$5:$A$604,0)),"Not found"))</f>
        <v>0</v>
      </c>
      <c r="P68" s="23">
        <f>IF(B68="","",IF(COUNTIF(Performance!$B$5:$B$404,B68)=0,"",SUMIFS(Performance!$O$5:$O$404,Performance!$B$5:$B$404,B68)))</f>
        <v>0</v>
      </c>
      <c r="Q68" s="23">
        <f>IF(B68="","",IF(COUNTIF(Performance!$B$5:$B$404,B68)=0,"",SUMIFS(Performance!$P$5:$P$404,Performance!$B$5:$B$404,B68)))</f>
        <v>0</v>
      </c>
      <c r="R68" s="23">
        <f>IF(B68="","",IF(COUNTIF(Performance!$B$5:$B$404,B68)=0,"",SUMIFS(Performance!$Z$5:$Z$404,Performance!$B$5:$B$404,B68)))</f>
        <v>0</v>
      </c>
      <c r="S68" s="24">
        <f>IF(OR(P68="",P68=0),"",R68/P68)</f>
        <v>0</v>
      </c>
      <c r="T68" s="23">
        <f>IF(B68="","",IF(COUNTIF(Performance!$B$5:$B$404,B68)=0,"",SUMIFS(Performance!$T$5:$T$404,Performance!$B$5:$B$404,B68)))</f>
        <v>0</v>
      </c>
      <c r="U68" s="23">
        <f>IF(B68="","",IF(COUNTIF(Performance!$B$5:$B$404,B68)=0,"",SUMIFS(Performance!$S$5:$S$404,Performance!$B$5:$B$404,B68)))</f>
        <v>0</v>
      </c>
      <c r="V68" s="23">
        <f>IF(B68="","",IF(COUNTIF(Performance!$B$5:$B$404,B68)=0,"",SUMIFS(Performance!$R$5:$R$404,Performance!$B$5:$B$404,B68)))</f>
        <v>0</v>
      </c>
      <c r="W68" s="23">
        <f>IF(B68="","",IF(COUNTIF(Performance!$B$5:$B$404,B68)=0,"",SUMIFS(Performance!$U$5:$U$404,Performance!$B$5:$B$404,B68)))</f>
        <v>0</v>
      </c>
      <c r="X68" s="29">
        <f>IF(B68="","",IF(C68="Not found","Check - content ID not on the calendar",IF(AND(J68="",G68&lt;&gt;"Photo"),"Add - no link on a link post",IF(AND(P68&lt;&gt;"",S68&lt;TargetEngagement),"Review - below your target rate","OK"))))</f>
        <v>0</v>
      </c>
    </row>
    <row r="69" spans="1:24">
      <c r="A69" s="41">
        <f>IF(B69="","","FB-"&amp;TEXT(ROW()-4,"000"))</f>
        <v>0</v>
      </c>
      <c r="C69" s="17">
        <f>IF(B69="","",IFERROR(INDEX('Content Calendar'!$H$5:$H$604,MATCH(B69,'Content Calendar'!$A$5:$A$604,0)),"Not found"))</f>
        <v>0</v>
      </c>
      <c r="D69" s="16">
        <f>IF(B69="","",IFERROR(INDEX('Content Calendar'!$B$5:$B$604,MATCH(B69,'Content Calendar'!$A$5:$A$604,0)),"Not found"))</f>
        <v>0</v>
      </c>
      <c r="E69" s="17">
        <f>IF(B69="","",IFERROR(INDEX('Content Calendar'!$J$5:$J$604,MATCH(B69,'Content Calendar'!$A$5:$A$604,0)),"Not found"))</f>
        <v>0</v>
      </c>
      <c r="F69" s="29">
        <f>IF(B69="","",IFERROR(INDEX('Content Calendar'!$X$5:$X$604,MATCH(B69,'Content Calendar'!$A$5:$A$604,0)),"Not found"))</f>
        <v>0</v>
      </c>
      <c r="P69" s="23">
        <f>IF(B69="","",IF(COUNTIF(Performance!$B$5:$B$404,B69)=0,"",SUMIFS(Performance!$O$5:$O$404,Performance!$B$5:$B$404,B69)))</f>
        <v>0</v>
      </c>
      <c r="Q69" s="23">
        <f>IF(B69="","",IF(COUNTIF(Performance!$B$5:$B$404,B69)=0,"",SUMIFS(Performance!$P$5:$P$404,Performance!$B$5:$B$404,B69)))</f>
        <v>0</v>
      </c>
      <c r="R69" s="23">
        <f>IF(B69="","",IF(COUNTIF(Performance!$B$5:$B$404,B69)=0,"",SUMIFS(Performance!$Z$5:$Z$404,Performance!$B$5:$B$404,B69)))</f>
        <v>0</v>
      </c>
      <c r="S69" s="24">
        <f>IF(OR(P69="",P69=0),"",R69/P69)</f>
        <v>0</v>
      </c>
      <c r="T69" s="23">
        <f>IF(B69="","",IF(COUNTIF(Performance!$B$5:$B$404,B69)=0,"",SUMIFS(Performance!$T$5:$T$404,Performance!$B$5:$B$404,B69)))</f>
        <v>0</v>
      </c>
      <c r="U69" s="23">
        <f>IF(B69="","",IF(COUNTIF(Performance!$B$5:$B$404,B69)=0,"",SUMIFS(Performance!$S$5:$S$404,Performance!$B$5:$B$404,B69)))</f>
        <v>0</v>
      </c>
      <c r="V69" s="23">
        <f>IF(B69="","",IF(COUNTIF(Performance!$B$5:$B$404,B69)=0,"",SUMIFS(Performance!$R$5:$R$404,Performance!$B$5:$B$404,B69)))</f>
        <v>0</v>
      </c>
      <c r="W69" s="23">
        <f>IF(B69="","",IF(COUNTIF(Performance!$B$5:$B$404,B69)=0,"",SUMIFS(Performance!$U$5:$U$404,Performance!$B$5:$B$404,B69)))</f>
        <v>0</v>
      </c>
      <c r="X69" s="29">
        <f>IF(B69="","",IF(C69="Not found","Check - content ID not on the calendar",IF(AND(J69="",G69&lt;&gt;"Photo"),"Add - no link on a link post",IF(AND(P69&lt;&gt;"",S69&lt;TargetEngagement),"Review - below your target rate","OK"))))</f>
        <v>0</v>
      </c>
    </row>
    <row r="70" spans="1:24">
      <c r="A70" s="41">
        <f>IF(B70="","","FB-"&amp;TEXT(ROW()-4,"000"))</f>
        <v>0</v>
      </c>
      <c r="C70" s="17">
        <f>IF(B70="","",IFERROR(INDEX('Content Calendar'!$H$5:$H$604,MATCH(B70,'Content Calendar'!$A$5:$A$604,0)),"Not found"))</f>
        <v>0</v>
      </c>
      <c r="D70" s="16">
        <f>IF(B70="","",IFERROR(INDEX('Content Calendar'!$B$5:$B$604,MATCH(B70,'Content Calendar'!$A$5:$A$604,0)),"Not found"))</f>
        <v>0</v>
      </c>
      <c r="E70" s="17">
        <f>IF(B70="","",IFERROR(INDEX('Content Calendar'!$J$5:$J$604,MATCH(B70,'Content Calendar'!$A$5:$A$604,0)),"Not found"))</f>
        <v>0</v>
      </c>
      <c r="F70" s="29">
        <f>IF(B70="","",IFERROR(INDEX('Content Calendar'!$X$5:$X$604,MATCH(B70,'Content Calendar'!$A$5:$A$604,0)),"Not found"))</f>
        <v>0</v>
      </c>
      <c r="P70" s="23">
        <f>IF(B70="","",IF(COUNTIF(Performance!$B$5:$B$404,B70)=0,"",SUMIFS(Performance!$O$5:$O$404,Performance!$B$5:$B$404,B70)))</f>
        <v>0</v>
      </c>
      <c r="Q70" s="23">
        <f>IF(B70="","",IF(COUNTIF(Performance!$B$5:$B$404,B70)=0,"",SUMIFS(Performance!$P$5:$P$404,Performance!$B$5:$B$404,B70)))</f>
        <v>0</v>
      </c>
      <c r="R70" s="23">
        <f>IF(B70="","",IF(COUNTIF(Performance!$B$5:$B$404,B70)=0,"",SUMIFS(Performance!$Z$5:$Z$404,Performance!$B$5:$B$404,B70)))</f>
        <v>0</v>
      </c>
      <c r="S70" s="24">
        <f>IF(OR(P70="",P70=0),"",R70/P70)</f>
        <v>0</v>
      </c>
      <c r="T70" s="23">
        <f>IF(B70="","",IF(COUNTIF(Performance!$B$5:$B$404,B70)=0,"",SUMIFS(Performance!$T$5:$T$404,Performance!$B$5:$B$404,B70)))</f>
        <v>0</v>
      </c>
      <c r="U70" s="23">
        <f>IF(B70="","",IF(COUNTIF(Performance!$B$5:$B$404,B70)=0,"",SUMIFS(Performance!$S$5:$S$404,Performance!$B$5:$B$404,B70)))</f>
        <v>0</v>
      </c>
      <c r="V70" s="23">
        <f>IF(B70="","",IF(COUNTIF(Performance!$B$5:$B$404,B70)=0,"",SUMIFS(Performance!$R$5:$R$404,Performance!$B$5:$B$404,B70)))</f>
        <v>0</v>
      </c>
      <c r="W70" s="23">
        <f>IF(B70="","",IF(COUNTIF(Performance!$B$5:$B$404,B70)=0,"",SUMIFS(Performance!$U$5:$U$404,Performance!$B$5:$B$404,B70)))</f>
        <v>0</v>
      </c>
      <c r="X70" s="29">
        <f>IF(B70="","",IF(C70="Not found","Check - content ID not on the calendar",IF(AND(J70="",G70&lt;&gt;"Photo"),"Add - no link on a link post",IF(AND(P70&lt;&gt;"",S70&lt;TargetEngagement),"Review - below your target rate","OK"))))</f>
        <v>0</v>
      </c>
    </row>
    <row r="71" spans="1:24">
      <c r="A71" s="41">
        <f>IF(B71="","","FB-"&amp;TEXT(ROW()-4,"000"))</f>
        <v>0</v>
      </c>
      <c r="C71" s="17">
        <f>IF(B71="","",IFERROR(INDEX('Content Calendar'!$H$5:$H$604,MATCH(B71,'Content Calendar'!$A$5:$A$604,0)),"Not found"))</f>
        <v>0</v>
      </c>
      <c r="D71" s="16">
        <f>IF(B71="","",IFERROR(INDEX('Content Calendar'!$B$5:$B$604,MATCH(B71,'Content Calendar'!$A$5:$A$604,0)),"Not found"))</f>
        <v>0</v>
      </c>
      <c r="E71" s="17">
        <f>IF(B71="","",IFERROR(INDEX('Content Calendar'!$J$5:$J$604,MATCH(B71,'Content Calendar'!$A$5:$A$604,0)),"Not found"))</f>
        <v>0</v>
      </c>
      <c r="F71" s="29">
        <f>IF(B71="","",IFERROR(INDEX('Content Calendar'!$X$5:$X$604,MATCH(B71,'Content Calendar'!$A$5:$A$604,0)),"Not found"))</f>
        <v>0</v>
      </c>
      <c r="P71" s="23">
        <f>IF(B71="","",IF(COUNTIF(Performance!$B$5:$B$404,B71)=0,"",SUMIFS(Performance!$O$5:$O$404,Performance!$B$5:$B$404,B71)))</f>
        <v>0</v>
      </c>
      <c r="Q71" s="23">
        <f>IF(B71="","",IF(COUNTIF(Performance!$B$5:$B$404,B71)=0,"",SUMIFS(Performance!$P$5:$P$404,Performance!$B$5:$B$404,B71)))</f>
        <v>0</v>
      </c>
      <c r="R71" s="23">
        <f>IF(B71="","",IF(COUNTIF(Performance!$B$5:$B$404,B71)=0,"",SUMIFS(Performance!$Z$5:$Z$404,Performance!$B$5:$B$404,B71)))</f>
        <v>0</v>
      </c>
      <c r="S71" s="24">
        <f>IF(OR(P71="",P71=0),"",R71/P71)</f>
        <v>0</v>
      </c>
      <c r="T71" s="23">
        <f>IF(B71="","",IF(COUNTIF(Performance!$B$5:$B$404,B71)=0,"",SUMIFS(Performance!$T$5:$T$404,Performance!$B$5:$B$404,B71)))</f>
        <v>0</v>
      </c>
      <c r="U71" s="23">
        <f>IF(B71="","",IF(COUNTIF(Performance!$B$5:$B$404,B71)=0,"",SUMIFS(Performance!$S$5:$S$404,Performance!$B$5:$B$404,B71)))</f>
        <v>0</v>
      </c>
      <c r="V71" s="23">
        <f>IF(B71="","",IF(COUNTIF(Performance!$B$5:$B$404,B71)=0,"",SUMIFS(Performance!$R$5:$R$404,Performance!$B$5:$B$404,B71)))</f>
        <v>0</v>
      </c>
      <c r="W71" s="23">
        <f>IF(B71="","",IF(COUNTIF(Performance!$B$5:$B$404,B71)=0,"",SUMIFS(Performance!$U$5:$U$404,Performance!$B$5:$B$404,B71)))</f>
        <v>0</v>
      </c>
      <c r="X71" s="29">
        <f>IF(B71="","",IF(C71="Not found","Check - content ID not on the calendar",IF(AND(J71="",G71&lt;&gt;"Photo"),"Add - no link on a link post",IF(AND(P71&lt;&gt;"",S71&lt;TargetEngagement),"Review - below your target rate","OK"))))</f>
        <v>0</v>
      </c>
    </row>
    <row r="72" spans="1:24">
      <c r="A72" s="41">
        <f>IF(B72="","","FB-"&amp;TEXT(ROW()-4,"000"))</f>
        <v>0</v>
      </c>
      <c r="C72" s="17">
        <f>IF(B72="","",IFERROR(INDEX('Content Calendar'!$H$5:$H$604,MATCH(B72,'Content Calendar'!$A$5:$A$604,0)),"Not found"))</f>
        <v>0</v>
      </c>
      <c r="D72" s="16">
        <f>IF(B72="","",IFERROR(INDEX('Content Calendar'!$B$5:$B$604,MATCH(B72,'Content Calendar'!$A$5:$A$604,0)),"Not found"))</f>
        <v>0</v>
      </c>
      <c r="E72" s="17">
        <f>IF(B72="","",IFERROR(INDEX('Content Calendar'!$J$5:$J$604,MATCH(B72,'Content Calendar'!$A$5:$A$604,0)),"Not found"))</f>
        <v>0</v>
      </c>
      <c r="F72" s="29">
        <f>IF(B72="","",IFERROR(INDEX('Content Calendar'!$X$5:$X$604,MATCH(B72,'Content Calendar'!$A$5:$A$604,0)),"Not found"))</f>
        <v>0</v>
      </c>
      <c r="P72" s="23">
        <f>IF(B72="","",IF(COUNTIF(Performance!$B$5:$B$404,B72)=0,"",SUMIFS(Performance!$O$5:$O$404,Performance!$B$5:$B$404,B72)))</f>
        <v>0</v>
      </c>
      <c r="Q72" s="23">
        <f>IF(B72="","",IF(COUNTIF(Performance!$B$5:$B$404,B72)=0,"",SUMIFS(Performance!$P$5:$P$404,Performance!$B$5:$B$404,B72)))</f>
        <v>0</v>
      </c>
      <c r="R72" s="23">
        <f>IF(B72="","",IF(COUNTIF(Performance!$B$5:$B$404,B72)=0,"",SUMIFS(Performance!$Z$5:$Z$404,Performance!$B$5:$B$404,B72)))</f>
        <v>0</v>
      </c>
      <c r="S72" s="24">
        <f>IF(OR(P72="",P72=0),"",R72/P72)</f>
        <v>0</v>
      </c>
      <c r="T72" s="23">
        <f>IF(B72="","",IF(COUNTIF(Performance!$B$5:$B$404,B72)=0,"",SUMIFS(Performance!$T$5:$T$404,Performance!$B$5:$B$404,B72)))</f>
        <v>0</v>
      </c>
      <c r="U72" s="23">
        <f>IF(B72="","",IF(COUNTIF(Performance!$B$5:$B$404,B72)=0,"",SUMIFS(Performance!$S$5:$S$404,Performance!$B$5:$B$404,B72)))</f>
        <v>0</v>
      </c>
      <c r="V72" s="23">
        <f>IF(B72="","",IF(COUNTIF(Performance!$B$5:$B$404,B72)=0,"",SUMIFS(Performance!$R$5:$R$404,Performance!$B$5:$B$404,B72)))</f>
        <v>0</v>
      </c>
      <c r="W72" s="23">
        <f>IF(B72="","",IF(COUNTIF(Performance!$B$5:$B$404,B72)=0,"",SUMIFS(Performance!$U$5:$U$404,Performance!$B$5:$B$404,B72)))</f>
        <v>0</v>
      </c>
      <c r="X72" s="29">
        <f>IF(B72="","",IF(C72="Not found","Check - content ID not on the calendar",IF(AND(J72="",G72&lt;&gt;"Photo"),"Add - no link on a link post",IF(AND(P72&lt;&gt;"",S72&lt;TargetEngagement),"Review - below your target rate","OK"))))</f>
        <v>0</v>
      </c>
    </row>
    <row r="73" spans="1:24">
      <c r="A73" s="41">
        <f>IF(B73="","","FB-"&amp;TEXT(ROW()-4,"000"))</f>
        <v>0</v>
      </c>
      <c r="C73" s="17">
        <f>IF(B73="","",IFERROR(INDEX('Content Calendar'!$H$5:$H$604,MATCH(B73,'Content Calendar'!$A$5:$A$604,0)),"Not found"))</f>
        <v>0</v>
      </c>
      <c r="D73" s="16">
        <f>IF(B73="","",IFERROR(INDEX('Content Calendar'!$B$5:$B$604,MATCH(B73,'Content Calendar'!$A$5:$A$604,0)),"Not found"))</f>
        <v>0</v>
      </c>
      <c r="E73" s="17">
        <f>IF(B73="","",IFERROR(INDEX('Content Calendar'!$J$5:$J$604,MATCH(B73,'Content Calendar'!$A$5:$A$604,0)),"Not found"))</f>
        <v>0</v>
      </c>
      <c r="F73" s="29">
        <f>IF(B73="","",IFERROR(INDEX('Content Calendar'!$X$5:$X$604,MATCH(B73,'Content Calendar'!$A$5:$A$604,0)),"Not found"))</f>
        <v>0</v>
      </c>
      <c r="P73" s="23">
        <f>IF(B73="","",IF(COUNTIF(Performance!$B$5:$B$404,B73)=0,"",SUMIFS(Performance!$O$5:$O$404,Performance!$B$5:$B$404,B73)))</f>
        <v>0</v>
      </c>
      <c r="Q73" s="23">
        <f>IF(B73="","",IF(COUNTIF(Performance!$B$5:$B$404,B73)=0,"",SUMIFS(Performance!$P$5:$P$404,Performance!$B$5:$B$404,B73)))</f>
        <v>0</v>
      </c>
      <c r="R73" s="23">
        <f>IF(B73="","",IF(COUNTIF(Performance!$B$5:$B$404,B73)=0,"",SUMIFS(Performance!$Z$5:$Z$404,Performance!$B$5:$B$404,B73)))</f>
        <v>0</v>
      </c>
      <c r="S73" s="24">
        <f>IF(OR(P73="",P73=0),"",R73/P73)</f>
        <v>0</v>
      </c>
      <c r="T73" s="23">
        <f>IF(B73="","",IF(COUNTIF(Performance!$B$5:$B$404,B73)=0,"",SUMIFS(Performance!$T$5:$T$404,Performance!$B$5:$B$404,B73)))</f>
        <v>0</v>
      </c>
      <c r="U73" s="23">
        <f>IF(B73="","",IF(COUNTIF(Performance!$B$5:$B$404,B73)=0,"",SUMIFS(Performance!$S$5:$S$404,Performance!$B$5:$B$404,B73)))</f>
        <v>0</v>
      </c>
      <c r="V73" s="23">
        <f>IF(B73="","",IF(COUNTIF(Performance!$B$5:$B$404,B73)=0,"",SUMIFS(Performance!$R$5:$R$404,Performance!$B$5:$B$404,B73)))</f>
        <v>0</v>
      </c>
      <c r="W73" s="23">
        <f>IF(B73="","",IF(COUNTIF(Performance!$B$5:$B$404,B73)=0,"",SUMIFS(Performance!$U$5:$U$404,Performance!$B$5:$B$404,B73)))</f>
        <v>0</v>
      </c>
      <c r="X73" s="29">
        <f>IF(B73="","",IF(C73="Not found","Check - content ID not on the calendar",IF(AND(J73="",G73&lt;&gt;"Photo"),"Add - no link on a link post",IF(AND(P73&lt;&gt;"",S73&lt;TargetEngagement),"Review - below your target rate","OK"))))</f>
        <v>0</v>
      </c>
    </row>
    <row r="74" spans="1:24">
      <c r="A74" s="41">
        <f>IF(B74="","","FB-"&amp;TEXT(ROW()-4,"000"))</f>
        <v>0</v>
      </c>
      <c r="C74" s="17">
        <f>IF(B74="","",IFERROR(INDEX('Content Calendar'!$H$5:$H$604,MATCH(B74,'Content Calendar'!$A$5:$A$604,0)),"Not found"))</f>
        <v>0</v>
      </c>
      <c r="D74" s="16">
        <f>IF(B74="","",IFERROR(INDEX('Content Calendar'!$B$5:$B$604,MATCH(B74,'Content Calendar'!$A$5:$A$604,0)),"Not found"))</f>
        <v>0</v>
      </c>
      <c r="E74" s="17">
        <f>IF(B74="","",IFERROR(INDEX('Content Calendar'!$J$5:$J$604,MATCH(B74,'Content Calendar'!$A$5:$A$604,0)),"Not found"))</f>
        <v>0</v>
      </c>
      <c r="F74" s="29">
        <f>IF(B74="","",IFERROR(INDEX('Content Calendar'!$X$5:$X$604,MATCH(B74,'Content Calendar'!$A$5:$A$604,0)),"Not found"))</f>
        <v>0</v>
      </c>
      <c r="P74" s="23">
        <f>IF(B74="","",IF(COUNTIF(Performance!$B$5:$B$404,B74)=0,"",SUMIFS(Performance!$O$5:$O$404,Performance!$B$5:$B$404,B74)))</f>
        <v>0</v>
      </c>
      <c r="Q74" s="23">
        <f>IF(B74="","",IF(COUNTIF(Performance!$B$5:$B$404,B74)=0,"",SUMIFS(Performance!$P$5:$P$404,Performance!$B$5:$B$404,B74)))</f>
        <v>0</v>
      </c>
      <c r="R74" s="23">
        <f>IF(B74="","",IF(COUNTIF(Performance!$B$5:$B$404,B74)=0,"",SUMIFS(Performance!$Z$5:$Z$404,Performance!$B$5:$B$404,B74)))</f>
        <v>0</v>
      </c>
      <c r="S74" s="24">
        <f>IF(OR(P74="",P74=0),"",R74/P74)</f>
        <v>0</v>
      </c>
      <c r="T74" s="23">
        <f>IF(B74="","",IF(COUNTIF(Performance!$B$5:$B$404,B74)=0,"",SUMIFS(Performance!$T$5:$T$404,Performance!$B$5:$B$404,B74)))</f>
        <v>0</v>
      </c>
      <c r="U74" s="23">
        <f>IF(B74="","",IF(COUNTIF(Performance!$B$5:$B$404,B74)=0,"",SUMIFS(Performance!$S$5:$S$404,Performance!$B$5:$B$404,B74)))</f>
        <v>0</v>
      </c>
      <c r="V74" s="23">
        <f>IF(B74="","",IF(COUNTIF(Performance!$B$5:$B$404,B74)=0,"",SUMIFS(Performance!$R$5:$R$404,Performance!$B$5:$B$404,B74)))</f>
        <v>0</v>
      </c>
      <c r="W74" s="23">
        <f>IF(B74="","",IF(COUNTIF(Performance!$B$5:$B$404,B74)=0,"",SUMIFS(Performance!$U$5:$U$404,Performance!$B$5:$B$404,B74)))</f>
        <v>0</v>
      </c>
      <c r="X74" s="29">
        <f>IF(B74="","",IF(C74="Not found","Check - content ID not on the calendar",IF(AND(J74="",G74&lt;&gt;"Photo"),"Add - no link on a link post",IF(AND(P74&lt;&gt;"",S74&lt;TargetEngagement),"Review - below your target rate","OK"))))</f>
        <v>0</v>
      </c>
    </row>
    <row r="75" spans="1:24">
      <c r="A75" s="41">
        <f>IF(B75="","","FB-"&amp;TEXT(ROW()-4,"000"))</f>
        <v>0</v>
      </c>
      <c r="C75" s="17">
        <f>IF(B75="","",IFERROR(INDEX('Content Calendar'!$H$5:$H$604,MATCH(B75,'Content Calendar'!$A$5:$A$604,0)),"Not found"))</f>
        <v>0</v>
      </c>
      <c r="D75" s="16">
        <f>IF(B75="","",IFERROR(INDEX('Content Calendar'!$B$5:$B$604,MATCH(B75,'Content Calendar'!$A$5:$A$604,0)),"Not found"))</f>
        <v>0</v>
      </c>
      <c r="E75" s="17">
        <f>IF(B75="","",IFERROR(INDEX('Content Calendar'!$J$5:$J$604,MATCH(B75,'Content Calendar'!$A$5:$A$604,0)),"Not found"))</f>
        <v>0</v>
      </c>
      <c r="F75" s="29">
        <f>IF(B75="","",IFERROR(INDEX('Content Calendar'!$X$5:$X$604,MATCH(B75,'Content Calendar'!$A$5:$A$604,0)),"Not found"))</f>
        <v>0</v>
      </c>
      <c r="P75" s="23">
        <f>IF(B75="","",IF(COUNTIF(Performance!$B$5:$B$404,B75)=0,"",SUMIFS(Performance!$O$5:$O$404,Performance!$B$5:$B$404,B75)))</f>
        <v>0</v>
      </c>
      <c r="Q75" s="23">
        <f>IF(B75="","",IF(COUNTIF(Performance!$B$5:$B$404,B75)=0,"",SUMIFS(Performance!$P$5:$P$404,Performance!$B$5:$B$404,B75)))</f>
        <v>0</v>
      </c>
      <c r="R75" s="23">
        <f>IF(B75="","",IF(COUNTIF(Performance!$B$5:$B$404,B75)=0,"",SUMIFS(Performance!$Z$5:$Z$404,Performance!$B$5:$B$404,B75)))</f>
        <v>0</v>
      </c>
      <c r="S75" s="24">
        <f>IF(OR(P75="",P75=0),"",R75/P75)</f>
        <v>0</v>
      </c>
      <c r="T75" s="23">
        <f>IF(B75="","",IF(COUNTIF(Performance!$B$5:$B$404,B75)=0,"",SUMIFS(Performance!$T$5:$T$404,Performance!$B$5:$B$404,B75)))</f>
        <v>0</v>
      </c>
      <c r="U75" s="23">
        <f>IF(B75="","",IF(COUNTIF(Performance!$B$5:$B$404,B75)=0,"",SUMIFS(Performance!$S$5:$S$404,Performance!$B$5:$B$404,B75)))</f>
        <v>0</v>
      </c>
      <c r="V75" s="23">
        <f>IF(B75="","",IF(COUNTIF(Performance!$B$5:$B$404,B75)=0,"",SUMIFS(Performance!$R$5:$R$404,Performance!$B$5:$B$404,B75)))</f>
        <v>0</v>
      </c>
      <c r="W75" s="23">
        <f>IF(B75="","",IF(COUNTIF(Performance!$B$5:$B$404,B75)=0,"",SUMIFS(Performance!$U$5:$U$404,Performance!$B$5:$B$404,B75)))</f>
        <v>0</v>
      </c>
      <c r="X75" s="29">
        <f>IF(B75="","",IF(C75="Not found","Check - content ID not on the calendar",IF(AND(J75="",G75&lt;&gt;"Photo"),"Add - no link on a link post",IF(AND(P75&lt;&gt;"",S75&lt;TargetEngagement),"Review - below your target rate","OK"))))</f>
        <v>0</v>
      </c>
    </row>
    <row r="76" spans="1:24">
      <c r="A76" s="41">
        <f>IF(B76="","","FB-"&amp;TEXT(ROW()-4,"000"))</f>
        <v>0</v>
      </c>
      <c r="C76" s="17">
        <f>IF(B76="","",IFERROR(INDEX('Content Calendar'!$H$5:$H$604,MATCH(B76,'Content Calendar'!$A$5:$A$604,0)),"Not found"))</f>
        <v>0</v>
      </c>
      <c r="D76" s="16">
        <f>IF(B76="","",IFERROR(INDEX('Content Calendar'!$B$5:$B$604,MATCH(B76,'Content Calendar'!$A$5:$A$604,0)),"Not found"))</f>
        <v>0</v>
      </c>
      <c r="E76" s="17">
        <f>IF(B76="","",IFERROR(INDEX('Content Calendar'!$J$5:$J$604,MATCH(B76,'Content Calendar'!$A$5:$A$604,0)),"Not found"))</f>
        <v>0</v>
      </c>
      <c r="F76" s="29">
        <f>IF(B76="","",IFERROR(INDEX('Content Calendar'!$X$5:$X$604,MATCH(B76,'Content Calendar'!$A$5:$A$604,0)),"Not found"))</f>
        <v>0</v>
      </c>
      <c r="P76" s="23">
        <f>IF(B76="","",IF(COUNTIF(Performance!$B$5:$B$404,B76)=0,"",SUMIFS(Performance!$O$5:$O$404,Performance!$B$5:$B$404,B76)))</f>
        <v>0</v>
      </c>
      <c r="Q76" s="23">
        <f>IF(B76="","",IF(COUNTIF(Performance!$B$5:$B$404,B76)=0,"",SUMIFS(Performance!$P$5:$P$404,Performance!$B$5:$B$404,B76)))</f>
        <v>0</v>
      </c>
      <c r="R76" s="23">
        <f>IF(B76="","",IF(COUNTIF(Performance!$B$5:$B$404,B76)=0,"",SUMIFS(Performance!$Z$5:$Z$404,Performance!$B$5:$B$404,B76)))</f>
        <v>0</v>
      </c>
      <c r="S76" s="24">
        <f>IF(OR(P76="",P76=0),"",R76/P76)</f>
        <v>0</v>
      </c>
      <c r="T76" s="23">
        <f>IF(B76="","",IF(COUNTIF(Performance!$B$5:$B$404,B76)=0,"",SUMIFS(Performance!$T$5:$T$404,Performance!$B$5:$B$404,B76)))</f>
        <v>0</v>
      </c>
      <c r="U76" s="23">
        <f>IF(B76="","",IF(COUNTIF(Performance!$B$5:$B$404,B76)=0,"",SUMIFS(Performance!$S$5:$S$404,Performance!$B$5:$B$404,B76)))</f>
        <v>0</v>
      </c>
      <c r="V76" s="23">
        <f>IF(B76="","",IF(COUNTIF(Performance!$B$5:$B$404,B76)=0,"",SUMIFS(Performance!$R$5:$R$404,Performance!$B$5:$B$404,B76)))</f>
        <v>0</v>
      </c>
      <c r="W76" s="23">
        <f>IF(B76="","",IF(COUNTIF(Performance!$B$5:$B$404,B76)=0,"",SUMIFS(Performance!$U$5:$U$404,Performance!$B$5:$B$404,B76)))</f>
        <v>0</v>
      </c>
      <c r="X76" s="29">
        <f>IF(B76="","",IF(C76="Not found","Check - content ID not on the calendar",IF(AND(J76="",G76&lt;&gt;"Photo"),"Add - no link on a link post",IF(AND(P76&lt;&gt;"",S76&lt;TargetEngagement),"Review - below your target rate","OK"))))</f>
        <v>0</v>
      </c>
    </row>
    <row r="77" spans="1:24">
      <c r="A77" s="41">
        <f>IF(B77="","","FB-"&amp;TEXT(ROW()-4,"000"))</f>
        <v>0</v>
      </c>
      <c r="C77" s="17">
        <f>IF(B77="","",IFERROR(INDEX('Content Calendar'!$H$5:$H$604,MATCH(B77,'Content Calendar'!$A$5:$A$604,0)),"Not found"))</f>
        <v>0</v>
      </c>
      <c r="D77" s="16">
        <f>IF(B77="","",IFERROR(INDEX('Content Calendar'!$B$5:$B$604,MATCH(B77,'Content Calendar'!$A$5:$A$604,0)),"Not found"))</f>
        <v>0</v>
      </c>
      <c r="E77" s="17">
        <f>IF(B77="","",IFERROR(INDEX('Content Calendar'!$J$5:$J$604,MATCH(B77,'Content Calendar'!$A$5:$A$604,0)),"Not found"))</f>
        <v>0</v>
      </c>
      <c r="F77" s="29">
        <f>IF(B77="","",IFERROR(INDEX('Content Calendar'!$X$5:$X$604,MATCH(B77,'Content Calendar'!$A$5:$A$604,0)),"Not found"))</f>
        <v>0</v>
      </c>
      <c r="P77" s="23">
        <f>IF(B77="","",IF(COUNTIF(Performance!$B$5:$B$404,B77)=0,"",SUMIFS(Performance!$O$5:$O$404,Performance!$B$5:$B$404,B77)))</f>
        <v>0</v>
      </c>
      <c r="Q77" s="23">
        <f>IF(B77="","",IF(COUNTIF(Performance!$B$5:$B$404,B77)=0,"",SUMIFS(Performance!$P$5:$P$404,Performance!$B$5:$B$404,B77)))</f>
        <v>0</v>
      </c>
      <c r="R77" s="23">
        <f>IF(B77="","",IF(COUNTIF(Performance!$B$5:$B$404,B77)=0,"",SUMIFS(Performance!$Z$5:$Z$404,Performance!$B$5:$B$404,B77)))</f>
        <v>0</v>
      </c>
      <c r="S77" s="24">
        <f>IF(OR(P77="",P77=0),"",R77/P77)</f>
        <v>0</v>
      </c>
      <c r="T77" s="23">
        <f>IF(B77="","",IF(COUNTIF(Performance!$B$5:$B$404,B77)=0,"",SUMIFS(Performance!$T$5:$T$404,Performance!$B$5:$B$404,B77)))</f>
        <v>0</v>
      </c>
      <c r="U77" s="23">
        <f>IF(B77="","",IF(COUNTIF(Performance!$B$5:$B$404,B77)=0,"",SUMIFS(Performance!$S$5:$S$404,Performance!$B$5:$B$404,B77)))</f>
        <v>0</v>
      </c>
      <c r="V77" s="23">
        <f>IF(B77="","",IF(COUNTIF(Performance!$B$5:$B$404,B77)=0,"",SUMIFS(Performance!$R$5:$R$404,Performance!$B$5:$B$404,B77)))</f>
        <v>0</v>
      </c>
      <c r="W77" s="23">
        <f>IF(B77="","",IF(COUNTIF(Performance!$B$5:$B$404,B77)=0,"",SUMIFS(Performance!$U$5:$U$404,Performance!$B$5:$B$404,B77)))</f>
        <v>0</v>
      </c>
      <c r="X77" s="29">
        <f>IF(B77="","",IF(C77="Not found","Check - content ID not on the calendar",IF(AND(J77="",G77&lt;&gt;"Photo"),"Add - no link on a link post",IF(AND(P77&lt;&gt;"",S77&lt;TargetEngagement),"Review - below your target rate","OK"))))</f>
        <v>0</v>
      </c>
    </row>
    <row r="78" spans="1:24">
      <c r="A78" s="41">
        <f>IF(B78="","","FB-"&amp;TEXT(ROW()-4,"000"))</f>
        <v>0</v>
      </c>
      <c r="C78" s="17">
        <f>IF(B78="","",IFERROR(INDEX('Content Calendar'!$H$5:$H$604,MATCH(B78,'Content Calendar'!$A$5:$A$604,0)),"Not found"))</f>
        <v>0</v>
      </c>
      <c r="D78" s="16">
        <f>IF(B78="","",IFERROR(INDEX('Content Calendar'!$B$5:$B$604,MATCH(B78,'Content Calendar'!$A$5:$A$604,0)),"Not found"))</f>
        <v>0</v>
      </c>
      <c r="E78" s="17">
        <f>IF(B78="","",IFERROR(INDEX('Content Calendar'!$J$5:$J$604,MATCH(B78,'Content Calendar'!$A$5:$A$604,0)),"Not found"))</f>
        <v>0</v>
      </c>
      <c r="F78" s="29">
        <f>IF(B78="","",IFERROR(INDEX('Content Calendar'!$X$5:$X$604,MATCH(B78,'Content Calendar'!$A$5:$A$604,0)),"Not found"))</f>
        <v>0</v>
      </c>
      <c r="P78" s="23">
        <f>IF(B78="","",IF(COUNTIF(Performance!$B$5:$B$404,B78)=0,"",SUMIFS(Performance!$O$5:$O$404,Performance!$B$5:$B$404,B78)))</f>
        <v>0</v>
      </c>
      <c r="Q78" s="23">
        <f>IF(B78="","",IF(COUNTIF(Performance!$B$5:$B$404,B78)=0,"",SUMIFS(Performance!$P$5:$P$404,Performance!$B$5:$B$404,B78)))</f>
        <v>0</v>
      </c>
      <c r="R78" s="23">
        <f>IF(B78="","",IF(COUNTIF(Performance!$B$5:$B$404,B78)=0,"",SUMIFS(Performance!$Z$5:$Z$404,Performance!$B$5:$B$404,B78)))</f>
        <v>0</v>
      </c>
      <c r="S78" s="24">
        <f>IF(OR(P78="",P78=0),"",R78/P78)</f>
        <v>0</v>
      </c>
      <c r="T78" s="23">
        <f>IF(B78="","",IF(COUNTIF(Performance!$B$5:$B$404,B78)=0,"",SUMIFS(Performance!$T$5:$T$404,Performance!$B$5:$B$404,B78)))</f>
        <v>0</v>
      </c>
      <c r="U78" s="23">
        <f>IF(B78="","",IF(COUNTIF(Performance!$B$5:$B$404,B78)=0,"",SUMIFS(Performance!$S$5:$S$404,Performance!$B$5:$B$404,B78)))</f>
        <v>0</v>
      </c>
      <c r="V78" s="23">
        <f>IF(B78="","",IF(COUNTIF(Performance!$B$5:$B$404,B78)=0,"",SUMIFS(Performance!$R$5:$R$404,Performance!$B$5:$B$404,B78)))</f>
        <v>0</v>
      </c>
      <c r="W78" s="23">
        <f>IF(B78="","",IF(COUNTIF(Performance!$B$5:$B$404,B78)=0,"",SUMIFS(Performance!$U$5:$U$404,Performance!$B$5:$B$404,B78)))</f>
        <v>0</v>
      </c>
      <c r="X78" s="29">
        <f>IF(B78="","",IF(C78="Not found","Check - content ID not on the calendar",IF(AND(J78="",G78&lt;&gt;"Photo"),"Add - no link on a link post",IF(AND(P78&lt;&gt;"",S78&lt;TargetEngagement),"Review - below your target rate","OK"))))</f>
        <v>0</v>
      </c>
    </row>
    <row r="79" spans="1:24">
      <c r="A79" s="41">
        <f>IF(B79="","","FB-"&amp;TEXT(ROW()-4,"000"))</f>
        <v>0</v>
      </c>
      <c r="C79" s="17">
        <f>IF(B79="","",IFERROR(INDEX('Content Calendar'!$H$5:$H$604,MATCH(B79,'Content Calendar'!$A$5:$A$604,0)),"Not found"))</f>
        <v>0</v>
      </c>
      <c r="D79" s="16">
        <f>IF(B79="","",IFERROR(INDEX('Content Calendar'!$B$5:$B$604,MATCH(B79,'Content Calendar'!$A$5:$A$604,0)),"Not found"))</f>
        <v>0</v>
      </c>
      <c r="E79" s="17">
        <f>IF(B79="","",IFERROR(INDEX('Content Calendar'!$J$5:$J$604,MATCH(B79,'Content Calendar'!$A$5:$A$604,0)),"Not found"))</f>
        <v>0</v>
      </c>
      <c r="F79" s="29">
        <f>IF(B79="","",IFERROR(INDEX('Content Calendar'!$X$5:$X$604,MATCH(B79,'Content Calendar'!$A$5:$A$604,0)),"Not found"))</f>
        <v>0</v>
      </c>
      <c r="P79" s="23">
        <f>IF(B79="","",IF(COUNTIF(Performance!$B$5:$B$404,B79)=0,"",SUMIFS(Performance!$O$5:$O$404,Performance!$B$5:$B$404,B79)))</f>
        <v>0</v>
      </c>
      <c r="Q79" s="23">
        <f>IF(B79="","",IF(COUNTIF(Performance!$B$5:$B$404,B79)=0,"",SUMIFS(Performance!$P$5:$P$404,Performance!$B$5:$B$404,B79)))</f>
        <v>0</v>
      </c>
      <c r="R79" s="23">
        <f>IF(B79="","",IF(COUNTIF(Performance!$B$5:$B$404,B79)=0,"",SUMIFS(Performance!$Z$5:$Z$404,Performance!$B$5:$B$404,B79)))</f>
        <v>0</v>
      </c>
      <c r="S79" s="24">
        <f>IF(OR(P79="",P79=0),"",R79/P79)</f>
        <v>0</v>
      </c>
      <c r="T79" s="23">
        <f>IF(B79="","",IF(COUNTIF(Performance!$B$5:$B$404,B79)=0,"",SUMIFS(Performance!$T$5:$T$404,Performance!$B$5:$B$404,B79)))</f>
        <v>0</v>
      </c>
      <c r="U79" s="23">
        <f>IF(B79="","",IF(COUNTIF(Performance!$B$5:$B$404,B79)=0,"",SUMIFS(Performance!$S$5:$S$404,Performance!$B$5:$B$404,B79)))</f>
        <v>0</v>
      </c>
      <c r="V79" s="23">
        <f>IF(B79="","",IF(COUNTIF(Performance!$B$5:$B$404,B79)=0,"",SUMIFS(Performance!$R$5:$R$404,Performance!$B$5:$B$404,B79)))</f>
        <v>0</v>
      </c>
      <c r="W79" s="23">
        <f>IF(B79="","",IF(COUNTIF(Performance!$B$5:$B$404,B79)=0,"",SUMIFS(Performance!$U$5:$U$404,Performance!$B$5:$B$404,B79)))</f>
        <v>0</v>
      </c>
      <c r="X79" s="29">
        <f>IF(B79="","",IF(C79="Not found","Check - content ID not on the calendar",IF(AND(J79="",G79&lt;&gt;"Photo"),"Add - no link on a link post",IF(AND(P79&lt;&gt;"",S79&lt;TargetEngagement),"Review - below your target rate","OK"))))</f>
        <v>0</v>
      </c>
    </row>
    <row r="80" spans="1:24">
      <c r="A80" s="41">
        <f>IF(B80="","","FB-"&amp;TEXT(ROW()-4,"000"))</f>
        <v>0</v>
      </c>
      <c r="C80" s="17">
        <f>IF(B80="","",IFERROR(INDEX('Content Calendar'!$H$5:$H$604,MATCH(B80,'Content Calendar'!$A$5:$A$604,0)),"Not found"))</f>
        <v>0</v>
      </c>
      <c r="D80" s="16">
        <f>IF(B80="","",IFERROR(INDEX('Content Calendar'!$B$5:$B$604,MATCH(B80,'Content Calendar'!$A$5:$A$604,0)),"Not found"))</f>
        <v>0</v>
      </c>
      <c r="E80" s="17">
        <f>IF(B80="","",IFERROR(INDEX('Content Calendar'!$J$5:$J$604,MATCH(B80,'Content Calendar'!$A$5:$A$604,0)),"Not found"))</f>
        <v>0</v>
      </c>
      <c r="F80" s="29">
        <f>IF(B80="","",IFERROR(INDEX('Content Calendar'!$X$5:$X$604,MATCH(B80,'Content Calendar'!$A$5:$A$604,0)),"Not found"))</f>
        <v>0</v>
      </c>
      <c r="P80" s="23">
        <f>IF(B80="","",IF(COUNTIF(Performance!$B$5:$B$404,B80)=0,"",SUMIFS(Performance!$O$5:$O$404,Performance!$B$5:$B$404,B80)))</f>
        <v>0</v>
      </c>
      <c r="Q80" s="23">
        <f>IF(B80="","",IF(COUNTIF(Performance!$B$5:$B$404,B80)=0,"",SUMIFS(Performance!$P$5:$P$404,Performance!$B$5:$B$404,B80)))</f>
        <v>0</v>
      </c>
      <c r="R80" s="23">
        <f>IF(B80="","",IF(COUNTIF(Performance!$B$5:$B$404,B80)=0,"",SUMIFS(Performance!$Z$5:$Z$404,Performance!$B$5:$B$404,B80)))</f>
        <v>0</v>
      </c>
      <c r="S80" s="24">
        <f>IF(OR(P80="",P80=0),"",R80/P80)</f>
        <v>0</v>
      </c>
      <c r="T80" s="23">
        <f>IF(B80="","",IF(COUNTIF(Performance!$B$5:$B$404,B80)=0,"",SUMIFS(Performance!$T$5:$T$404,Performance!$B$5:$B$404,B80)))</f>
        <v>0</v>
      </c>
      <c r="U80" s="23">
        <f>IF(B80="","",IF(COUNTIF(Performance!$B$5:$B$404,B80)=0,"",SUMIFS(Performance!$S$5:$S$404,Performance!$B$5:$B$404,B80)))</f>
        <v>0</v>
      </c>
      <c r="V80" s="23">
        <f>IF(B80="","",IF(COUNTIF(Performance!$B$5:$B$404,B80)=0,"",SUMIFS(Performance!$R$5:$R$404,Performance!$B$5:$B$404,B80)))</f>
        <v>0</v>
      </c>
      <c r="W80" s="23">
        <f>IF(B80="","",IF(COUNTIF(Performance!$B$5:$B$404,B80)=0,"",SUMIFS(Performance!$U$5:$U$404,Performance!$B$5:$B$404,B80)))</f>
        <v>0</v>
      </c>
      <c r="X80" s="29">
        <f>IF(B80="","",IF(C80="Not found","Check - content ID not on the calendar",IF(AND(J80="",G80&lt;&gt;"Photo"),"Add - no link on a link post",IF(AND(P80&lt;&gt;"",S80&lt;TargetEngagement),"Review - below your target rate","OK"))))</f>
        <v>0</v>
      </c>
    </row>
    <row r="81" spans="1:24">
      <c r="A81" s="41">
        <f>IF(B81="","","FB-"&amp;TEXT(ROW()-4,"000"))</f>
        <v>0</v>
      </c>
      <c r="C81" s="17">
        <f>IF(B81="","",IFERROR(INDEX('Content Calendar'!$H$5:$H$604,MATCH(B81,'Content Calendar'!$A$5:$A$604,0)),"Not found"))</f>
        <v>0</v>
      </c>
      <c r="D81" s="16">
        <f>IF(B81="","",IFERROR(INDEX('Content Calendar'!$B$5:$B$604,MATCH(B81,'Content Calendar'!$A$5:$A$604,0)),"Not found"))</f>
        <v>0</v>
      </c>
      <c r="E81" s="17">
        <f>IF(B81="","",IFERROR(INDEX('Content Calendar'!$J$5:$J$604,MATCH(B81,'Content Calendar'!$A$5:$A$604,0)),"Not found"))</f>
        <v>0</v>
      </c>
      <c r="F81" s="29">
        <f>IF(B81="","",IFERROR(INDEX('Content Calendar'!$X$5:$X$604,MATCH(B81,'Content Calendar'!$A$5:$A$604,0)),"Not found"))</f>
        <v>0</v>
      </c>
      <c r="P81" s="23">
        <f>IF(B81="","",IF(COUNTIF(Performance!$B$5:$B$404,B81)=0,"",SUMIFS(Performance!$O$5:$O$404,Performance!$B$5:$B$404,B81)))</f>
        <v>0</v>
      </c>
      <c r="Q81" s="23">
        <f>IF(B81="","",IF(COUNTIF(Performance!$B$5:$B$404,B81)=0,"",SUMIFS(Performance!$P$5:$P$404,Performance!$B$5:$B$404,B81)))</f>
        <v>0</v>
      </c>
      <c r="R81" s="23">
        <f>IF(B81="","",IF(COUNTIF(Performance!$B$5:$B$404,B81)=0,"",SUMIFS(Performance!$Z$5:$Z$404,Performance!$B$5:$B$404,B81)))</f>
        <v>0</v>
      </c>
      <c r="S81" s="24">
        <f>IF(OR(P81="",P81=0),"",R81/P81)</f>
        <v>0</v>
      </c>
      <c r="T81" s="23">
        <f>IF(B81="","",IF(COUNTIF(Performance!$B$5:$B$404,B81)=0,"",SUMIFS(Performance!$T$5:$T$404,Performance!$B$5:$B$404,B81)))</f>
        <v>0</v>
      </c>
      <c r="U81" s="23">
        <f>IF(B81="","",IF(COUNTIF(Performance!$B$5:$B$404,B81)=0,"",SUMIFS(Performance!$S$5:$S$404,Performance!$B$5:$B$404,B81)))</f>
        <v>0</v>
      </c>
      <c r="V81" s="23">
        <f>IF(B81="","",IF(COUNTIF(Performance!$B$5:$B$404,B81)=0,"",SUMIFS(Performance!$R$5:$R$404,Performance!$B$5:$B$404,B81)))</f>
        <v>0</v>
      </c>
      <c r="W81" s="23">
        <f>IF(B81="","",IF(COUNTIF(Performance!$B$5:$B$404,B81)=0,"",SUMIFS(Performance!$U$5:$U$404,Performance!$B$5:$B$404,B81)))</f>
        <v>0</v>
      </c>
      <c r="X81" s="29">
        <f>IF(B81="","",IF(C81="Not found","Check - content ID not on the calendar",IF(AND(J81="",G81&lt;&gt;"Photo"),"Add - no link on a link post",IF(AND(P81&lt;&gt;"",S81&lt;TargetEngagement),"Review - below your target rate","OK"))))</f>
        <v>0</v>
      </c>
    </row>
    <row r="82" spans="1:24">
      <c r="A82" s="41">
        <f>IF(B82="","","FB-"&amp;TEXT(ROW()-4,"000"))</f>
        <v>0</v>
      </c>
      <c r="C82" s="17">
        <f>IF(B82="","",IFERROR(INDEX('Content Calendar'!$H$5:$H$604,MATCH(B82,'Content Calendar'!$A$5:$A$604,0)),"Not found"))</f>
        <v>0</v>
      </c>
      <c r="D82" s="16">
        <f>IF(B82="","",IFERROR(INDEX('Content Calendar'!$B$5:$B$604,MATCH(B82,'Content Calendar'!$A$5:$A$604,0)),"Not found"))</f>
        <v>0</v>
      </c>
      <c r="E82" s="17">
        <f>IF(B82="","",IFERROR(INDEX('Content Calendar'!$J$5:$J$604,MATCH(B82,'Content Calendar'!$A$5:$A$604,0)),"Not found"))</f>
        <v>0</v>
      </c>
      <c r="F82" s="29">
        <f>IF(B82="","",IFERROR(INDEX('Content Calendar'!$X$5:$X$604,MATCH(B82,'Content Calendar'!$A$5:$A$604,0)),"Not found"))</f>
        <v>0</v>
      </c>
      <c r="P82" s="23">
        <f>IF(B82="","",IF(COUNTIF(Performance!$B$5:$B$404,B82)=0,"",SUMIFS(Performance!$O$5:$O$404,Performance!$B$5:$B$404,B82)))</f>
        <v>0</v>
      </c>
      <c r="Q82" s="23">
        <f>IF(B82="","",IF(COUNTIF(Performance!$B$5:$B$404,B82)=0,"",SUMIFS(Performance!$P$5:$P$404,Performance!$B$5:$B$404,B82)))</f>
        <v>0</v>
      </c>
      <c r="R82" s="23">
        <f>IF(B82="","",IF(COUNTIF(Performance!$B$5:$B$404,B82)=0,"",SUMIFS(Performance!$Z$5:$Z$404,Performance!$B$5:$B$404,B82)))</f>
        <v>0</v>
      </c>
      <c r="S82" s="24">
        <f>IF(OR(P82="",P82=0),"",R82/P82)</f>
        <v>0</v>
      </c>
      <c r="T82" s="23">
        <f>IF(B82="","",IF(COUNTIF(Performance!$B$5:$B$404,B82)=0,"",SUMIFS(Performance!$T$5:$T$404,Performance!$B$5:$B$404,B82)))</f>
        <v>0</v>
      </c>
      <c r="U82" s="23">
        <f>IF(B82="","",IF(COUNTIF(Performance!$B$5:$B$404,B82)=0,"",SUMIFS(Performance!$S$5:$S$404,Performance!$B$5:$B$404,B82)))</f>
        <v>0</v>
      </c>
      <c r="V82" s="23">
        <f>IF(B82="","",IF(COUNTIF(Performance!$B$5:$B$404,B82)=0,"",SUMIFS(Performance!$R$5:$R$404,Performance!$B$5:$B$404,B82)))</f>
        <v>0</v>
      </c>
      <c r="W82" s="23">
        <f>IF(B82="","",IF(COUNTIF(Performance!$B$5:$B$404,B82)=0,"",SUMIFS(Performance!$U$5:$U$404,Performance!$B$5:$B$404,B82)))</f>
        <v>0</v>
      </c>
      <c r="X82" s="29">
        <f>IF(B82="","",IF(C82="Not found","Check - content ID not on the calendar",IF(AND(J82="",G82&lt;&gt;"Photo"),"Add - no link on a link post",IF(AND(P82&lt;&gt;"",S82&lt;TargetEngagement),"Review - below your target rate","OK"))))</f>
        <v>0</v>
      </c>
    </row>
    <row r="83" spans="1:24">
      <c r="A83" s="41">
        <f>IF(B83="","","FB-"&amp;TEXT(ROW()-4,"000"))</f>
        <v>0</v>
      </c>
      <c r="C83" s="17">
        <f>IF(B83="","",IFERROR(INDEX('Content Calendar'!$H$5:$H$604,MATCH(B83,'Content Calendar'!$A$5:$A$604,0)),"Not found"))</f>
        <v>0</v>
      </c>
      <c r="D83" s="16">
        <f>IF(B83="","",IFERROR(INDEX('Content Calendar'!$B$5:$B$604,MATCH(B83,'Content Calendar'!$A$5:$A$604,0)),"Not found"))</f>
        <v>0</v>
      </c>
      <c r="E83" s="17">
        <f>IF(B83="","",IFERROR(INDEX('Content Calendar'!$J$5:$J$604,MATCH(B83,'Content Calendar'!$A$5:$A$604,0)),"Not found"))</f>
        <v>0</v>
      </c>
      <c r="F83" s="29">
        <f>IF(B83="","",IFERROR(INDEX('Content Calendar'!$X$5:$X$604,MATCH(B83,'Content Calendar'!$A$5:$A$604,0)),"Not found"))</f>
        <v>0</v>
      </c>
      <c r="P83" s="23">
        <f>IF(B83="","",IF(COUNTIF(Performance!$B$5:$B$404,B83)=0,"",SUMIFS(Performance!$O$5:$O$404,Performance!$B$5:$B$404,B83)))</f>
        <v>0</v>
      </c>
      <c r="Q83" s="23">
        <f>IF(B83="","",IF(COUNTIF(Performance!$B$5:$B$404,B83)=0,"",SUMIFS(Performance!$P$5:$P$404,Performance!$B$5:$B$404,B83)))</f>
        <v>0</v>
      </c>
      <c r="R83" s="23">
        <f>IF(B83="","",IF(COUNTIF(Performance!$B$5:$B$404,B83)=0,"",SUMIFS(Performance!$Z$5:$Z$404,Performance!$B$5:$B$404,B83)))</f>
        <v>0</v>
      </c>
      <c r="S83" s="24">
        <f>IF(OR(P83="",P83=0),"",R83/P83)</f>
        <v>0</v>
      </c>
      <c r="T83" s="23">
        <f>IF(B83="","",IF(COUNTIF(Performance!$B$5:$B$404,B83)=0,"",SUMIFS(Performance!$T$5:$T$404,Performance!$B$5:$B$404,B83)))</f>
        <v>0</v>
      </c>
      <c r="U83" s="23">
        <f>IF(B83="","",IF(COUNTIF(Performance!$B$5:$B$404,B83)=0,"",SUMIFS(Performance!$S$5:$S$404,Performance!$B$5:$B$404,B83)))</f>
        <v>0</v>
      </c>
      <c r="V83" s="23">
        <f>IF(B83="","",IF(COUNTIF(Performance!$B$5:$B$404,B83)=0,"",SUMIFS(Performance!$R$5:$R$404,Performance!$B$5:$B$404,B83)))</f>
        <v>0</v>
      </c>
      <c r="W83" s="23">
        <f>IF(B83="","",IF(COUNTIF(Performance!$B$5:$B$404,B83)=0,"",SUMIFS(Performance!$U$5:$U$404,Performance!$B$5:$B$404,B83)))</f>
        <v>0</v>
      </c>
      <c r="X83" s="29">
        <f>IF(B83="","",IF(C83="Not found","Check - content ID not on the calendar",IF(AND(J83="",G83&lt;&gt;"Photo"),"Add - no link on a link post",IF(AND(P83&lt;&gt;"",S83&lt;TargetEngagement),"Review - below your target rate","OK"))))</f>
        <v>0</v>
      </c>
    </row>
    <row r="84" spans="1:24">
      <c r="A84" s="41">
        <f>IF(B84="","","FB-"&amp;TEXT(ROW()-4,"000"))</f>
        <v>0</v>
      </c>
      <c r="C84" s="17">
        <f>IF(B84="","",IFERROR(INDEX('Content Calendar'!$H$5:$H$604,MATCH(B84,'Content Calendar'!$A$5:$A$604,0)),"Not found"))</f>
        <v>0</v>
      </c>
      <c r="D84" s="16">
        <f>IF(B84="","",IFERROR(INDEX('Content Calendar'!$B$5:$B$604,MATCH(B84,'Content Calendar'!$A$5:$A$604,0)),"Not found"))</f>
        <v>0</v>
      </c>
      <c r="E84" s="17">
        <f>IF(B84="","",IFERROR(INDEX('Content Calendar'!$J$5:$J$604,MATCH(B84,'Content Calendar'!$A$5:$A$604,0)),"Not found"))</f>
        <v>0</v>
      </c>
      <c r="F84" s="29">
        <f>IF(B84="","",IFERROR(INDEX('Content Calendar'!$X$5:$X$604,MATCH(B84,'Content Calendar'!$A$5:$A$604,0)),"Not found"))</f>
        <v>0</v>
      </c>
      <c r="P84" s="23">
        <f>IF(B84="","",IF(COUNTIF(Performance!$B$5:$B$404,B84)=0,"",SUMIFS(Performance!$O$5:$O$404,Performance!$B$5:$B$404,B84)))</f>
        <v>0</v>
      </c>
      <c r="Q84" s="23">
        <f>IF(B84="","",IF(COUNTIF(Performance!$B$5:$B$404,B84)=0,"",SUMIFS(Performance!$P$5:$P$404,Performance!$B$5:$B$404,B84)))</f>
        <v>0</v>
      </c>
      <c r="R84" s="23">
        <f>IF(B84="","",IF(COUNTIF(Performance!$B$5:$B$404,B84)=0,"",SUMIFS(Performance!$Z$5:$Z$404,Performance!$B$5:$B$404,B84)))</f>
        <v>0</v>
      </c>
      <c r="S84" s="24">
        <f>IF(OR(P84="",P84=0),"",R84/P84)</f>
        <v>0</v>
      </c>
      <c r="T84" s="23">
        <f>IF(B84="","",IF(COUNTIF(Performance!$B$5:$B$404,B84)=0,"",SUMIFS(Performance!$T$5:$T$404,Performance!$B$5:$B$404,B84)))</f>
        <v>0</v>
      </c>
      <c r="U84" s="23">
        <f>IF(B84="","",IF(COUNTIF(Performance!$B$5:$B$404,B84)=0,"",SUMIFS(Performance!$S$5:$S$404,Performance!$B$5:$B$404,B84)))</f>
        <v>0</v>
      </c>
      <c r="V84" s="23">
        <f>IF(B84="","",IF(COUNTIF(Performance!$B$5:$B$404,B84)=0,"",SUMIFS(Performance!$R$5:$R$404,Performance!$B$5:$B$404,B84)))</f>
        <v>0</v>
      </c>
      <c r="W84" s="23">
        <f>IF(B84="","",IF(COUNTIF(Performance!$B$5:$B$404,B84)=0,"",SUMIFS(Performance!$U$5:$U$404,Performance!$B$5:$B$404,B84)))</f>
        <v>0</v>
      </c>
      <c r="X84" s="29">
        <f>IF(B84="","",IF(C84="Not found","Check - content ID not on the calendar",IF(AND(J84="",G84&lt;&gt;"Photo"),"Add - no link on a link post",IF(AND(P84&lt;&gt;"",S84&lt;TargetEngagement),"Review - below your target rate","OK"))))</f>
        <v>0</v>
      </c>
    </row>
    <row r="85" spans="1:24">
      <c r="A85" s="41">
        <f>IF(B85="","","FB-"&amp;TEXT(ROW()-4,"000"))</f>
        <v>0</v>
      </c>
      <c r="C85" s="17">
        <f>IF(B85="","",IFERROR(INDEX('Content Calendar'!$H$5:$H$604,MATCH(B85,'Content Calendar'!$A$5:$A$604,0)),"Not found"))</f>
        <v>0</v>
      </c>
      <c r="D85" s="16">
        <f>IF(B85="","",IFERROR(INDEX('Content Calendar'!$B$5:$B$604,MATCH(B85,'Content Calendar'!$A$5:$A$604,0)),"Not found"))</f>
        <v>0</v>
      </c>
      <c r="E85" s="17">
        <f>IF(B85="","",IFERROR(INDEX('Content Calendar'!$J$5:$J$604,MATCH(B85,'Content Calendar'!$A$5:$A$604,0)),"Not found"))</f>
        <v>0</v>
      </c>
      <c r="F85" s="29">
        <f>IF(B85="","",IFERROR(INDEX('Content Calendar'!$X$5:$X$604,MATCH(B85,'Content Calendar'!$A$5:$A$604,0)),"Not found"))</f>
        <v>0</v>
      </c>
      <c r="P85" s="23">
        <f>IF(B85="","",IF(COUNTIF(Performance!$B$5:$B$404,B85)=0,"",SUMIFS(Performance!$O$5:$O$404,Performance!$B$5:$B$404,B85)))</f>
        <v>0</v>
      </c>
      <c r="Q85" s="23">
        <f>IF(B85="","",IF(COUNTIF(Performance!$B$5:$B$404,B85)=0,"",SUMIFS(Performance!$P$5:$P$404,Performance!$B$5:$B$404,B85)))</f>
        <v>0</v>
      </c>
      <c r="R85" s="23">
        <f>IF(B85="","",IF(COUNTIF(Performance!$B$5:$B$404,B85)=0,"",SUMIFS(Performance!$Z$5:$Z$404,Performance!$B$5:$B$404,B85)))</f>
        <v>0</v>
      </c>
      <c r="S85" s="24">
        <f>IF(OR(P85="",P85=0),"",R85/P85)</f>
        <v>0</v>
      </c>
      <c r="T85" s="23">
        <f>IF(B85="","",IF(COUNTIF(Performance!$B$5:$B$404,B85)=0,"",SUMIFS(Performance!$T$5:$T$404,Performance!$B$5:$B$404,B85)))</f>
        <v>0</v>
      </c>
      <c r="U85" s="23">
        <f>IF(B85="","",IF(COUNTIF(Performance!$B$5:$B$404,B85)=0,"",SUMIFS(Performance!$S$5:$S$404,Performance!$B$5:$B$404,B85)))</f>
        <v>0</v>
      </c>
      <c r="V85" s="23">
        <f>IF(B85="","",IF(COUNTIF(Performance!$B$5:$B$404,B85)=0,"",SUMIFS(Performance!$R$5:$R$404,Performance!$B$5:$B$404,B85)))</f>
        <v>0</v>
      </c>
      <c r="W85" s="23">
        <f>IF(B85="","",IF(COUNTIF(Performance!$B$5:$B$404,B85)=0,"",SUMIFS(Performance!$U$5:$U$404,Performance!$B$5:$B$404,B85)))</f>
        <v>0</v>
      </c>
      <c r="X85" s="29">
        <f>IF(B85="","",IF(C85="Not found","Check - content ID not on the calendar",IF(AND(J85="",G85&lt;&gt;"Photo"),"Add - no link on a link post",IF(AND(P85&lt;&gt;"",S85&lt;TargetEngagement),"Review - below your target rate","OK"))))</f>
        <v>0</v>
      </c>
    </row>
    <row r="86" spans="1:24">
      <c r="A86" s="41">
        <f>IF(B86="","","FB-"&amp;TEXT(ROW()-4,"000"))</f>
        <v>0</v>
      </c>
      <c r="C86" s="17">
        <f>IF(B86="","",IFERROR(INDEX('Content Calendar'!$H$5:$H$604,MATCH(B86,'Content Calendar'!$A$5:$A$604,0)),"Not found"))</f>
        <v>0</v>
      </c>
      <c r="D86" s="16">
        <f>IF(B86="","",IFERROR(INDEX('Content Calendar'!$B$5:$B$604,MATCH(B86,'Content Calendar'!$A$5:$A$604,0)),"Not found"))</f>
        <v>0</v>
      </c>
      <c r="E86" s="17">
        <f>IF(B86="","",IFERROR(INDEX('Content Calendar'!$J$5:$J$604,MATCH(B86,'Content Calendar'!$A$5:$A$604,0)),"Not found"))</f>
        <v>0</v>
      </c>
      <c r="F86" s="29">
        <f>IF(B86="","",IFERROR(INDEX('Content Calendar'!$X$5:$X$604,MATCH(B86,'Content Calendar'!$A$5:$A$604,0)),"Not found"))</f>
        <v>0</v>
      </c>
      <c r="P86" s="23">
        <f>IF(B86="","",IF(COUNTIF(Performance!$B$5:$B$404,B86)=0,"",SUMIFS(Performance!$O$5:$O$404,Performance!$B$5:$B$404,B86)))</f>
        <v>0</v>
      </c>
      <c r="Q86" s="23">
        <f>IF(B86="","",IF(COUNTIF(Performance!$B$5:$B$404,B86)=0,"",SUMIFS(Performance!$P$5:$P$404,Performance!$B$5:$B$404,B86)))</f>
        <v>0</v>
      </c>
      <c r="R86" s="23">
        <f>IF(B86="","",IF(COUNTIF(Performance!$B$5:$B$404,B86)=0,"",SUMIFS(Performance!$Z$5:$Z$404,Performance!$B$5:$B$404,B86)))</f>
        <v>0</v>
      </c>
      <c r="S86" s="24">
        <f>IF(OR(P86="",P86=0),"",R86/P86)</f>
        <v>0</v>
      </c>
      <c r="T86" s="23">
        <f>IF(B86="","",IF(COUNTIF(Performance!$B$5:$B$404,B86)=0,"",SUMIFS(Performance!$T$5:$T$404,Performance!$B$5:$B$404,B86)))</f>
        <v>0</v>
      </c>
      <c r="U86" s="23">
        <f>IF(B86="","",IF(COUNTIF(Performance!$B$5:$B$404,B86)=0,"",SUMIFS(Performance!$S$5:$S$404,Performance!$B$5:$B$404,B86)))</f>
        <v>0</v>
      </c>
      <c r="V86" s="23">
        <f>IF(B86="","",IF(COUNTIF(Performance!$B$5:$B$404,B86)=0,"",SUMIFS(Performance!$R$5:$R$404,Performance!$B$5:$B$404,B86)))</f>
        <v>0</v>
      </c>
      <c r="W86" s="23">
        <f>IF(B86="","",IF(COUNTIF(Performance!$B$5:$B$404,B86)=0,"",SUMIFS(Performance!$U$5:$U$404,Performance!$B$5:$B$404,B86)))</f>
        <v>0</v>
      </c>
      <c r="X86" s="29">
        <f>IF(B86="","",IF(C86="Not found","Check - content ID not on the calendar",IF(AND(J86="",G86&lt;&gt;"Photo"),"Add - no link on a link post",IF(AND(P86&lt;&gt;"",S86&lt;TargetEngagement),"Review - below your target rate","OK"))))</f>
        <v>0</v>
      </c>
    </row>
    <row r="87" spans="1:24">
      <c r="A87" s="41">
        <f>IF(B87="","","FB-"&amp;TEXT(ROW()-4,"000"))</f>
        <v>0</v>
      </c>
      <c r="C87" s="17">
        <f>IF(B87="","",IFERROR(INDEX('Content Calendar'!$H$5:$H$604,MATCH(B87,'Content Calendar'!$A$5:$A$604,0)),"Not found"))</f>
        <v>0</v>
      </c>
      <c r="D87" s="16">
        <f>IF(B87="","",IFERROR(INDEX('Content Calendar'!$B$5:$B$604,MATCH(B87,'Content Calendar'!$A$5:$A$604,0)),"Not found"))</f>
        <v>0</v>
      </c>
      <c r="E87" s="17">
        <f>IF(B87="","",IFERROR(INDEX('Content Calendar'!$J$5:$J$604,MATCH(B87,'Content Calendar'!$A$5:$A$604,0)),"Not found"))</f>
        <v>0</v>
      </c>
      <c r="F87" s="29">
        <f>IF(B87="","",IFERROR(INDEX('Content Calendar'!$X$5:$X$604,MATCH(B87,'Content Calendar'!$A$5:$A$604,0)),"Not found"))</f>
        <v>0</v>
      </c>
      <c r="P87" s="23">
        <f>IF(B87="","",IF(COUNTIF(Performance!$B$5:$B$404,B87)=0,"",SUMIFS(Performance!$O$5:$O$404,Performance!$B$5:$B$404,B87)))</f>
        <v>0</v>
      </c>
      <c r="Q87" s="23">
        <f>IF(B87="","",IF(COUNTIF(Performance!$B$5:$B$404,B87)=0,"",SUMIFS(Performance!$P$5:$P$404,Performance!$B$5:$B$404,B87)))</f>
        <v>0</v>
      </c>
      <c r="R87" s="23">
        <f>IF(B87="","",IF(COUNTIF(Performance!$B$5:$B$404,B87)=0,"",SUMIFS(Performance!$Z$5:$Z$404,Performance!$B$5:$B$404,B87)))</f>
        <v>0</v>
      </c>
      <c r="S87" s="24">
        <f>IF(OR(P87="",P87=0),"",R87/P87)</f>
        <v>0</v>
      </c>
      <c r="T87" s="23">
        <f>IF(B87="","",IF(COUNTIF(Performance!$B$5:$B$404,B87)=0,"",SUMIFS(Performance!$T$5:$T$404,Performance!$B$5:$B$404,B87)))</f>
        <v>0</v>
      </c>
      <c r="U87" s="23">
        <f>IF(B87="","",IF(COUNTIF(Performance!$B$5:$B$404,B87)=0,"",SUMIFS(Performance!$S$5:$S$404,Performance!$B$5:$B$404,B87)))</f>
        <v>0</v>
      </c>
      <c r="V87" s="23">
        <f>IF(B87="","",IF(COUNTIF(Performance!$B$5:$B$404,B87)=0,"",SUMIFS(Performance!$R$5:$R$404,Performance!$B$5:$B$404,B87)))</f>
        <v>0</v>
      </c>
      <c r="W87" s="23">
        <f>IF(B87="","",IF(COUNTIF(Performance!$B$5:$B$404,B87)=0,"",SUMIFS(Performance!$U$5:$U$404,Performance!$B$5:$B$404,B87)))</f>
        <v>0</v>
      </c>
      <c r="X87" s="29">
        <f>IF(B87="","",IF(C87="Not found","Check - content ID not on the calendar",IF(AND(J87="",G87&lt;&gt;"Photo"),"Add - no link on a link post",IF(AND(P87&lt;&gt;"",S87&lt;TargetEngagement),"Review - below your target rate","OK"))))</f>
        <v>0</v>
      </c>
    </row>
    <row r="88" spans="1:24">
      <c r="A88" s="41">
        <f>IF(B88="","","FB-"&amp;TEXT(ROW()-4,"000"))</f>
        <v>0</v>
      </c>
      <c r="C88" s="17">
        <f>IF(B88="","",IFERROR(INDEX('Content Calendar'!$H$5:$H$604,MATCH(B88,'Content Calendar'!$A$5:$A$604,0)),"Not found"))</f>
        <v>0</v>
      </c>
      <c r="D88" s="16">
        <f>IF(B88="","",IFERROR(INDEX('Content Calendar'!$B$5:$B$604,MATCH(B88,'Content Calendar'!$A$5:$A$604,0)),"Not found"))</f>
        <v>0</v>
      </c>
      <c r="E88" s="17">
        <f>IF(B88="","",IFERROR(INDEX('Content Calendar'!$J$5:$J$604,MATCH(B88,'Content Calendar'!$A$5:$A$604,0)),"Not found"))</f>
        <v>0</v>
      </c>
      <c r="F88" s="29">
        <f>IF(B88="","",IFERROR(INDEX('Content Calendar'!$X$5:$X$604,MATCH(B88,'Content Calendar'!$A$5:$A$604,0)),"Not found"))</f>
        <v>0</v>
      </c>
      <c r="P88" s="23">
        <f>IF(B88="","",IF(COUNTIF(Performance!$B$5:$B$404,B88)=0,"",SUMIFS(Performance!$O$5:$O$404,Performance!$B$5:$B$404,B88)))</f>
        <v>0</v>
      </c>
      <c r="Q88" s="23">
        <f>IF(B88="","",IF(COUNTIF(Performance!$B$5:$B$404,B88)=0,"",SUMIFS(Performance!$P$5:$P$404,Performance!$B$5:$B$404,B88)))</f>
        <v>0</v>
      </c>
      <c r="R88" s="23">
        <f>IF(B88="","",IF(COUNTIF(Performance!$B$5:$B$404,B88)=0,"",SUMIFS(Performance!$Z$5:$Z$404,Performance!$B$5:$B$404,B88)))</f>
        <v>0</v>
      </c>
      <c r="S88" s="24">
        <f>IF(OR(P88="",P88=0),"",R88/P88)</f>
        <v>0</v>
      </c>
      <c r="T88" s="23">
        <f>IF(B88="","",IF(COUNTIF(Performance!$B$5:$B$404,B88)=0,"",SUMIFS(Performance!$T$5:$T$404,Performance!$B$5:$B$404,B88)))</f>
        <v>0</v>
      </c>
      <c r="U88" s="23">
        <f>IF(B88="","",IF(COUNTIF(Performance!$B$5:$B$404,B88)=0,"",SUMIFS(Performance!$S$5:$S$404,Performance!$B$5:$B$404,B88)))</f>
        <v>0</v>
      </c>
      <c r="V88" s="23">
        <f>IF(B88="","",IF(COUNTIF(Performance!$B$5:$B$404,B88)=0,"",SUMIFS(Performance!$R$5:$R$404,Performance!$B$5:$B$404,B88)))</f>
        <v>0</v>
      </c>
      <c r="W88" s="23">
        <f>IF(B88="","",IF(COUNTIF(Performance!$B$5:$B$404,B88)=0,"",SUMIFS(Performance!$U$5:$U$404,Performance!$B$5:$B$404,B88)))</f>
        <v>0</v>
      </c>
      <c r="X88" s="29">
        <f>IF(B88="","",IF(C88="Not found","Check - content ID not on the calendar",IF(AND(J88="",G88&lt;&gt;"Photo"),"Add - no link on a link post",IF(AND(P88&lt;&gt;"",S88&lt;TargetEngagement),"Review - below your target rate","OK"))))</f>
        <v>0</v>
      </c>
    </row>
    <row r="89" spans="1:24">
      <c r="A89" s="41">
        <f>IF(B89="","","FB-"&amp;TEXT(ROW()-4,"000"))</f>
        <v>0</v>
      </c>
      <c r="C89" s="17">
        <f>IF(B89="","",IFERROR(INDEX('Content Calendar'!$H$5:$H$604,MATCH(B89,'Content Calendar'!$A$5:$A$604,0)),"Not found"))</f>
        <v>0</v>
      </c>
      <c r="D89" s="16">
        <f>IF(B89="","",IFERROR(INDEX('Content Calendar'!$B$5:$B$604,MATCH(B89,'Content Calendar'!$A$5:$A$604,0)),"Not found"))</f>
        <v>0</v>
      </c>
      <c r="E89" s="17">
        <f>IF(B89="","",IFERROR(INDEX('Content Calendar'!$J$5:$J$604,MATCH(B89,'Content Calendar'!$A$5:$A$604,0)),"Not found"))</f>
        <v>0</v>
      </c>
      <c r="F89" s="29">
        <f>IF(B89="","",IFERROR(INDEX('Content Calendar'!$X$5:$X$604,MATCH(B89,'Content Calendar'!$A$5:$A$604,0)),"Not found"))</f>
        <v>0</v>
      </c>
      <c r="P89" s="23">
        <f>IF(B89="","",IF(COUNTIF(Performance!$B$5:$B$404,B89)=0,"",SUMIFS(Performance!$O$5:$O$404,Performance!$B$5:$B$404,B89)))</f>
        <v>0</v>
      </c>
      <c r="Q89" s="23">
        <f>IF(B89="","",IF(COUNTIF(Performance!$B$5:$B$404,B89)=0,"",SUMIFS(Performance!$P$5:$P$404,Performance!$B$5:$B$404,B89)))</f>
        <v>0</v>
      </c>
      <c r="R89" s="23">
        <f>IF(B89="","",IF(COUNTIF(Performance!$B$5:$B$404,B89)=0,"",SUMIFS(Performance!$Z$5:$Z$404,Performance!$B$5:$B$404,B89)))</f>
        <v>0</v>
      </c>
      <c r="S89" s="24">
        <f>IF(OR(P89="",P89=0),"",R89/P89)</f>
        <v>0</v>
      </c>
      <c r="T89" s="23">
        <f>IF(B89="","",IF(COUNTIF(Performance!$B$5:$B$404,B89)=0,"",SUMIFS(Performance!$T$5:$T$404,Performance!$B$5:$B$404,B89)))</f>
        <v>0</v>
      </c>
      <c r="U89" s="23">
        <f>IF(B89="","",IF(COUNTIF(Performance!$B$5:$B$404,B89)=0,"",SUMIFS(Performance!$S$5:$S$404,Performance!$B$5:$B$404,B89)))</f>
        <v>0</v>
      </c>
      <c r="V89" s="23">
        <f>IF(B89="","",IF(COUNTIF(Performance!$B$5:$B$404,B89)=0,"",SUMIFS(Performance!$R$5:$R$404,Performance!$B$5:$B$404,B89)))</f>
        <v>0</v>
      </c>
      <c r="W89" s="23">
        <f>IF(B89="","",IF(COUNTIF(Performance!$B$5:$B$404,B89)=0,"",SUMIFS(Performance!$U$5:$U$404,Performance!$B$5:$B$404,B89)))</f>
        <v>0</v>
      </c>
      <c r="X89" s="29">
        <f>IF(B89="","",IF(C89="Not found","Check - content ID not on the calendar",IF(AND(J89="",G89&lt;&gt;"Photo"),"Add - no link on a link post",IF(AND(P89&lt;&gt;"",S89&lt;TargetEngagement),"Review - below your target rate","OK"))))</f>
        <v>0</v>
      </c>
    </row>
    <row r="90" spans="1:24">
      <c r="A90" s="41">
        <f>IF(B90="","","FB-"&amp;TEXT(ROW()-4,"000"))</f>
        <v>0</v>
      </c>
      <c r="C90" s="17">
        <f>IF(B90="","",IFERROR(INDEX('Content Calendar'!$H$5:$H$604,MATCH(B90,'Content Calendar'!$A$5:$A$604,0)),"Not found"))</f>
        <v>0</v>
      </c>
      <c r="D90" s="16">
        <f>IF(B90="","",IFERROR(INDEX('Content Calendar'!$B$5:$B$604,MATCH(B90,'Content Calendar'!$A$5:$A$604,0)),"Not found"))</f>
        <v>0</v>
      </c>
      <c r="E90" s="17">
        <f>IF(B90="","",IFERROR(INDEX('Content Calendar'!$J$5:$J$604,MATCH(B90,'Content Calendar'!$A$5:$A$604,0)),"Not found"))</f>
        <v>0</v>
      </c>
      <c r="F90" s="29">
        <f>IF(B90="","",IFERROR(INDEX('Content Calendar'!$X$5:$X$604,MATCH(B90,'Content Calendar'!$A$5:$A$604,0)),"Not found"))</f>
        <v>0</v>
      </c>
      <c r="P90" s="23">
        <f>IF(B90="","",IF(COUNTIF(Performance!$B$5:$B$404,B90)=0,"",SUMIFS(Performance!$O$5:$O$404,Performance!$B$5:$B$404,B90)))</f>
        <v>0</v>
      </c>
      <c r="Q90" s="23">
        <f>IF(B90="","",IF(COUNTIF(Performance!$B$5:$B$404,B90)=0,"",SUMIFS(Performance!$P$5:$P$404,Performance!$B$5:$B$404,B90)))</f>
        <v>0</v>
      </c>
      <c r="R90" s="23">
        <f>IF(B90="","",IF(COUNTIF(Performance!$B$5:$B$404,B90)=0,"",SUMIFS(Performance!$Z$5:$Z$404,Performance!$B$5:$B$404,B90)))</f>
        <v>0</v>
      </c>
      <c r="S90" s="24">
        <f>IF(OR(P90="",P90=0),"",R90/P90)</f>
        <v>0</v>
      </c>
      <c r="T90" s="23">
        <f>IF(B90="","",IF(COUNTIF(Performance!$B$5:$B$404,B90)=0,"",SUMIFS(Performance!$T$5:$T$404,Performance!$B$5:$B$404,B90)))</f>
        <v>0</v>
      </c>
      <c r="U90" s="23">
        <f>IF(B90="","",IF(COUNTIF(Performance!$B$5:$B$404,B90)=0,"",SUMIFS(Performance!$S$5:$S$404,Performance!$B$5:$B$404,B90)))</f>
        <v>0</v>
      </c>
      <c r="V90" s="23">
        <f>IF(B90="","",IF(COUNTIF(Performance!$B$5:$B$404,B90)=0,"",SUMIFS(Performance!$R$5:$R$404,Performance!$B$5:$B$404,B90)))</f>
        <v>0</v>
      </c>
      <c r="W90" s="23">
        <f>IF(B90="","",IF(COUNTIF(Performance!$B$5:$B$404,B90)=0,"",SUMIFS(Performance!$U$5:$U$404,Performance!$B$5:$B$404,B90)))</f>
        <v>0</v>
      </c>
      <c r="X90" s="29">
        <f>IF(B90="","",IF(C90="Not found","Check - content ID not on the calendar",IF(AND(J90="",G90&lt;&gt;"Photo"),"Add - no link on a link post",IF(AND(P90&lt;&gt;"",S90&lt;TargetEngagement),"Review - below your target rate","OK"))))</f>
        <v>0</v>
      </c>
    </row>
    <row r="91" spans="1:24">
      <c r="A91" s="41">
        <f>IF(B91="","","FB-"&amp;TEXT(ROW()-4,"000"))</f>
        <v>0</v>
      </c>
      <c r="C91" s="17">
        <f>IF(B91="","",IFERROR(INDEX('Content Calendar'!$H$5:$H$604,MATCH(B91,'Content Calendar'!$A$5:$A$604,0)),"Not found"))</f>
        <v>0</v>
      </c>
      <c r="D91" s="16">
        <f>IF(B91="","",IFERROR(INDEX('Content Calendar'!$B$5:$B$604,MATCH(B91,'Content Calendar'!$A$5:$A$604,0)),"Not found"))</f>
        <v>0</v>
      </c>
      <c r="E91" s="17">
        <f>IF(B91="","",IFERROR(INDEX('Content Calendar'!$J$5:$J$604,MATCH(B91,'Content Calendar'!$A$5:$A$604,0)),"Not found"))</f>
        <v>0</v>
      </c>
      <c r="F91" s="29">
        <f>IF(B91="","",IFERROR(INDEX('Content Calendar'!$X$5:$X$604,MATCH(B91,'Content Calendar'!$A$5:$A$604,0)),"Not found"))</f>
        <v>0</v>
      </c>
      <c r="P91" s="23">
        <f>IF(B91="","",IF(COUNTIF(Performance!$B$5:$B$404,B91)=0,"",SUMIFS(Performance!$O$5:$O$404,Performance!$B$5:$B$404,B91)))</f>
        <v>0</v>
      </c>
      <c r="Q91" s="23">
        <f>IF(B91="","",IF(COUNTIF(Performance!$B$5:$B$404,B91)=0,"",SUMIFS(Performance!$P$5:$P$404,Performance!$B$5:$B$404,B91)))</f>
        <v>0</v>
      </c>
      <c r="R91" s="23">
        <f>IF(B91="","",IF(COUNTIF(Performance!$B$5:$B$404,B91)=0,"",SUMIFS(Performance!$Z$5:$Z$404,Performance!$B$5:$B$404,B91)))</f>
        <v>0</v>
      </c>
      <c r="S91" s="24">
        <f>IF(OR(P91="",P91=0),"",R91/P91)</f>
        <v>0</v>
      </c>
      <c r="T91" s="23">
        <f>IF(B91="","",IF(COUNTIF(Performance!$B$5:$B$404,B91)=0,"",SUMIFS(Performance!$T$5:$T$404,Performance!$B$5:$B$404,B91)))</f>
        <v>0</v>
      </c>
      <c r="U91" s="23">
        <f>IF(B91="","",IF(COUNTIF(Performance!$B$5:$B$404,B91)=0,"",SUMIFS(Performance!$S$5:$S$404,Performance!$B$5:$B$404,B91)))</f>
        <v>0</v>
      </c>
      <c r="V91" s="23">
        <f>IF(B91="","",IF(COUNTIF(Performance!$B$5:$B$404,B91)=0,"",SUMIFS(Performance!$R$5:$R$404,Performance!$B$5:$B$404,B91)))</f>
        <v>0</v>
      </c>
      <c r="W91" s="23">
        <f>IF(B91="","",IF(COUNTIF(Performance!$B$5:$B$404,B91)=0,"",SUMIFS(Performance!$U$5:$U$404,Performance!$B$5:$B$404,B91)))</f>
        <v>0</v>
      </c>
      <c r="X91" s="29">
        <f>IF(B91="","",IF(C91="Not found","Check - content ID not on the calendar",IF(AND(J91="",G91&lt;&gt;"Photo"),"Add - no link on a link post",IF(AND(P91&lt;&gt;"",S91&lt;TargetEngagement),"Review - below your target rate","OK"))))</f>
        <v>0</v>
      </c>
    </row>
    <row r="92" spans="1:24">
      <c r="A92" s="41">
        <f>IF(B92="","","FB-"&amp;TEXT(ROW()-4,"000"))</f>
        <v>0</v>
      </c>
      <c r="C92" s="17">
        <f>IF(B92="","",IFERROR(INDEX('Content Calendar'!$H$5:$H$604,MATCH(B92,'Content Calendar'!$A$5:$A$604,0)),"Not found"))</f>
        <v>0</v>
      </c>
      <c r="D92" s="16">
        <f>IF(B92="","",IFERROR(INDEX('Content Calendar'!$B$5:$B$604,MATCH(B92,'Content Calendar'!$A$5:$A$604,0)),"Not found"))</f>
        <v>0</v>
      </c>
      <c r="E92" s="17">
        <f>IF(B92="","",IFERROR(INDEX('Content Calendar'!$J$5:$J$604,MATCH(B92,'Content Calendar'!$A$5:$A$604,0)),"Not found"))</f>
        <v>0</v>
      </c>
      <c r="F92" s="29">
        <f>IF(B92="","",IFERROR(INDEX('Content Calendar'!$X$5:$X$604,MATCH(B92,'Content Calendar'!$A$5:$A$604,0)),"Not found"))</f>
        <v>0</v>
      </c>
      <c r="P92" s="23">
        <f>IF(B92="","",IF(COUNTIF(Performance!$B$5:$B$404,B92)=0,"",SUMIFS(Performance!$O$5:$O$404,Performance!$B$5:$B$404,B92)))</f>
        <v>0</v>
      </c>
      <c r="Q92" s="23">
        <f>IF(B92="","",IF(COUNTIF(Performance!$B$5:$B$404,B92)=0,"",SUMIFS(Performance!$P$5:$P$404,Performance!$B$5:$B$404,B92)))</f>
        <v>0</v>
      </c>
      <c r="R92" s="23">
        <f>IF(B92="","",IF(COUNTIF(Performance!$B$5:$B$404,B92)=0,"",SUMIFS(Performance!$Z$5:$Z$404,Performance!$B$5:$B$404,B92)))</f>
        <v>0</v>
      </c>
      <c r="S92" s="24">
        <f>IF(OR(P92="",P92=0),"",R92/P92)</f>
        <v>0</v>
      </c>
      <c r="T92" s="23">
        <f>IF(B92="","",IF(COUNTIF(Performance!$B$5:$B$404,B92)=0,"",SUMIFS(Performance!$T$5:$T$404,Performance!$B$5:$B$404,B92)))</f>
        <v>0</v>
      </c>
      <c r="U92" s="23">
        <f>IF(B92="","",IF(COUNTIF(Performance!$B$5:$B$404,B92)=0,"",SUMIFS(Performance!$S$5:$S$404,Performance!$B$5:$B$404,B92)))</f>
        <v>0</v>
      </c>
      <c r="V92" s="23">
        <f>IF(B92="","",IF(COUNTIF(Performance!$B$5:$B$404,B92)=0,"",SUMIFS(Performance!$R$5:$R$404,Performance!$B$5:$B$404,B92)))</f>
        <v>0</v>
      </c>
      <c r="W92" s="23">
        <f>IF(B92="","",IF(COUNTIF(Performance!$B$5:$B$404,B92)=0,"",SUMIFS(Performance!$U$5:$U$404,Performance!$B$5:$B$404,B92)))</f>
        <v>0</v>
      </c>
      <c r="X92" s="29">
        <f>IF(B92="","",IF(C92="Not found","Check - content ID not on the calendar",IF(AND(J92="",G92&lt;&gt;"Photo"),"Add - no link on a link post",IF(AND(P92&lt;&gt;"",S92&lt;TargetEngagement),"Review - below your target rate","OK"))))</f>
        <v>0</v>
      </c>
    </row>
    <row r="93" spans="1:24">
      <c r="A93" s="41">
        <f>IF(B93="","","FB-"&amp;TEXT(ROW()-4,"000"))</f>
        <v>0</v>
      </c>
      <c r="C93" s="17">
        <f>IF(B93="","",IFERROR(INDEX('Content Calendar'!$H$5:$H$604,MATCH(B93,'Content Calendar'!$A$5:$A$604,0)),"Not found"))</f>
        <v>0</v>
      </c>
      <c r="D93" s="16">
        <f>IF(B93="","",IFERROR(INDEX('Content Calendar'!$B$5:$B$604,MATCH(B93,'Content Calendar'!$A$5:$A$604,0)),"Not found"))</f>
        <v>0</v>
      </c>
      <c r="E93" s="17">
        <f>IF(B93="","",IFERROR(INDEX('Content Calendar'!$J$5:$J$604,MATCH(B93,'Content Calendar'!$A$5:$A$604,0)),"Not found"))</f>
        <v>0</v>
      </c>
      <c r="F93" s="29">
        <f>IF(B93="","",IFERROR(INDEX('Content Calendar'!$X$5:$X$604,MATCH(B93,'Content Calendar'!$A$5:$A$604,0)),"Not found"))</f>
        <v>0</v>
      </c>
      <c r="P93" s="23">
        <f>IF(B93="","",IF(COUNTIF(Performance!$B$5:$B$404,B93)=0,"",SUMIFS(Performance!$O$5:$O$404,Performance!$B$5:$B$404,B93)))</f>
        <v>0</v>
      </c>
      <c r="Q93" s="23">
        <f>IF(B93="","",IF(COUNTIF(Performance!$B$5:$B$404,B93)=0,"",SUMIFS(Performance!$P$5:$P$404,Performance!$B$5:$B$404,B93)))</f>
        <v>0</v>
      </c>
      <c r="R93" s="23">
        <f>IF(B93="","",IF(COUNTIF(Performance!$B$5:$B$404,B93)=0,"",SUMIFS(Performance!$Z$5:$Z$404,Performance!$B$5:$B$404,B93)))</f>
        <v>0</v>
      </c>
      <c r="S93" s="24">
        <f>IF(OR(P93="",P93=0),"",R93/P93)</f>
        <v>0</v>
      </c>
      <c r="T93" s="23">
        <f>IF(B93="","",IF(COUNTIF(Performance!$B$5:$B$404,B93)=0,"",SUMIFS(Performance!$T$5:$T$404,Performance!$B$5:$B$404,B93)))</f>
        <v>0</v>
      </c>
      <c r="U93" s="23">
        <f>IF(B93="","",IF(COUNTIF(Performance!$B$5:$B$404,B93)=0,"",SUMIFS(Performance!$S$5:$S$404,Performance!$B$5:$B$404,B93)))</f>
        <v>0</v>
      </c>
      <c r="V93" s="23">
        <f>IF(B93="","",IF(COUNTIF(Performance!$B$5:$B$404,B93)=0,"",SUMIFS(Performance!$R$5:$R$404,Performance!$B$5:$B$404,B93)))</f>
        <v>0</v>
      </c>
      <c r="W93" s="23">
        <f>IF(B93="","",IF(COUNTIF(Performance!$B$5:$B$404,B93)=0,"",SUMIFS(Performance!$U$5:$U$404,Performance!$B$5:$B$404,B93)))</f>
        <v>0</v>
      </c>
      <c r="X93" s="29">
        <f>IF(B93="","",IF(C93="Not found","Check - content ID not on the calendar",IF(AND(J93="",G93&lt;&gt;"Photo"),"Add - no link on a link post",IF(AND(P93&lt;&gt;"",S93&lt;TargetEngagement),"Review - below your target rate","OK"))))</f>
        <v>0</v>
      </c>
    </row>
    <row r="94" spans="1:24">
      <c r="A94" s="41">
        <f>IF(B94="","","FB-"&amp;TEXT(ROW()-4,"000"))</f>
        <v>0</v>
      </c>
      <c r="C94" s="17">
        <f>IF(B94="","",IFERROR(INDEX('Content Calendar'!$H$5:$H$604,MATCH(B94,'Content Calendar'!$A$5:$A$604,0)),"Not found"))</f>
        <v>0</v>
      </c>
      <c r="D94" s="16">
        <f>IF(B94="","",IFERROR(INDEX('Content Calendar'!$B$5:$B$604,MATCH(B94,'Content Calendar'!$A$5:$A$604,0)),"Not found"))</f>
        <v>0</v>
      </c>
      <c r="E94" s="17">
        <f>IF(B94="","",IFERROR(INDEX('Content Calendar'!$J$5:$J$604,MATCH(B94,'Content Calendar'!$A$5:$A$604,0)),"Not found"))</f>
        <v>0</v>
      </c>
      <c r="F94" s="29">
        <f>IF(B94="","",IFERROR(INDEX('Content Calendar'!$X$5:$X$604,MATCH(B94,'Content Calendar'!$A$5:$A$604,0)),"Not found"))</f>
        <v>0</v>
      </c>
      <c r="P94" s="23">
        <f>IF(B94="","",IF(COUNTIF(Performance!$B$5:$B$404,B94)=0,"",SUMIFS(Performance!$O$5:$O$404,Performance!$B$5:$B$404,B94)))</f>
        <v>0</v>
      </c>
      <c r="Q94" s="23">
        <f>IF(B94="","",IF(COUNTIF(Performance!$B$5:$B$404,B94)=0,"",SUMIFS(Performance!$P$5:$P$404,Performance!$B$5:$B$404,B94)))</f>
        <v>0</v>
      </c>
      <c r="R94" s="23">
        <f>IF(B94="","",IF(COUNTIF(Performance!$B$5:$B$404,B94)=0,"",SUMIFS(Performance!$Z$5:$Z$404,Performance!$B$5:$B$404,B94)))</f>
        <v>0</v>
      </c>
      <c r="S94" s="24">
        <f>IF(OR(P94="",P94=0),"",R94/P94)</f>
        <v>0</v>
      </c>
      <c r="T94" s="23">
        <f>IF(B94="","",IF(COUNTIF(Performance!$B$5:$B$404,B94)=0,"",SUMIFS(Performance!$T$5:$T$404,Performance!$B$5:$B$404,B94)))</f>
        <v>0</v>
      </c>
      <c r="U94" s="23">
        <f>IF(B94="","",IF(COUNTIF(Performance!$B$5:$B$404,B94)=0,"",SUMIFS(Performance!$S$5:$S$404,Performance!$B$5:$B$404,B94)))</f>
        <v>0</v>
      </c>
      <c r="V94" s="23">
        <f>IF(B94="","",IF(COUNTIF(Performance!$B$5:$B$404,B94)=0,"",SUMIFS(Performance!$R$5:$R$404,Performance!$B$5:$B$404,B94)))</f>
        <v>0</v>
      </c>
      <c r="W94" s="23">
        <f>IF(B94="","",IF(COUNTIF(Performance!$B$5:$B$404,B94)=0,"",SUMIFS(Performance!$U$5:$U$404,Performance!$B$5:$B$404,B94)))</f>
        <v>0</v>
      </c>
      <c r="X94" s="29">
        <f>IF(B94="","",IF(C94="Not found","Check - content ID not on the calendar",IF(AND(J94="",G94&lt;&gt;"Photo"),"Add - no link on a link post",IF(AND(P94&lt;&gt;"",S94&lt;TargetEngagement),"Review - below your target rate","OK"))))</f>
        <v>0</v>
      </c>
    </row>
    <row r="95" spans="1:24">
      <c r="A95" s="41">
        <f>IF(B95="","","FB-"&amp;TEXT(ROW()-4,"000"))</f>
        <v>0</v>
      </c>
      <c r="C95" s="17">
        <f>IF(B95="","",IFERROR(INDEX('Content Calendar'!$H$5:$H$604,MATCH(B95,'Content Calendar'!$A$5:$A$604,0)),"Not found"))</f>
        <v>0</v>
      </c>
      <c r="D95" s="16">
        <f>IF(B95="","",IFERROR(INDEX('Content Calendar'!$B$5:$B$604,MATCH(B95,'Content Calendar'!$A$5:$A$604,0)),"Not found"))</f>
        <v>0</v>
      </c>
      <c r="E95" s="17">
        <f>IF(B95="","",IFERROR(INDEX('Content Calendar'!$J$5:$J$604,MATCH(B95,'Content Calendar'!$A$5:$A$604,0)),"Not found"))</f>
        <v>0</v>
      </c>
      <c r="F95" s="29">
        <f>IF(B95="","",IFERROR(INDEX('Content Calendar'!$X$5:$X$604,MATCH(B95,'Content Calendar'!$A$5:$A$604,0)),"Not found"))</f>
        <v>0</v>
      </c>
      <c r="P95" s="23">
        <f>IF(B95="","",IF(COUNTIF(Performance!$B$5:$B$404,B95)=0,"",SUMIFS(Performance!$O$5:$O$404,Performance!$B$5:$B$404,B95)))</f>
        <v>0</v>
      </c>
      <c r="Q95" s="23">
        <f>IF(B95="","",IF(COUNTIF(Performance!$B$5:$B$404,B95)=0,"",SUMIFS(Performance!$P$5:$P$404,Performance!$B$5:$B$404,B95)))</f>
        <v>0</v>
      </c>
      <c r="R95" s="23">
        <f>IF(B95="","",IF(COUNTIF(Performance!$B$5:$B$404,B95)=0,"",SUMIFS(Performance!$Z$5:$Z$404,Performance!$B$5:$B$404,B95)))</f>
        <v>0</v>
      </c>
      <c r="S95" s="24">
        <f>IF(OR(P95="",P95=0),"",R95/P95)</f>
        <v>0</v>
      </c>
      <c r="T95" s="23">
        <f>IF(B95="","",IF(COUNTIF(Performance!$B$5:$B$404,B95)=0,"",SUMIFS(Performance!$T$5:$T$404,Performance!$B$5:$B$404,B95)))</f>
        <v>0</v>
      </c>
      <c r="U95" s="23">
        <f>IF(B95="","",IF(COUNTIF(Performance!$B$5:$B$404,B95)=0,"",SUMIFS(Performance!$S$5:$S$404,Performance!$B$5:$B$404,B95)))</f>
        <v>0</v>
      </c>
      <c r="V95" s="23">
        <f>IF(B95="","",IF(COUNTIF(Performance!$B$5:$B$404,B95)=0,"",SUMIFS(Performance!$R$5:$R$404,Performance!$B$5:$B$404,B95)))</f>
        <v>0</v>
      </c>
      <c r="W95" s="23">
        <f>IF(B95="","",IF(COUNTIF(Performance!$B$5:$B$404,B95)=0,"",SUMIFS(Performance!$U$5:$U$404,Performance!$B$5:$B$404,B95)))</f>
        <v>0</v>
      </c>
      <c r="X95" s="29">
        <f>IF(B95="","",IF(C95="Not found","Check - content ID not on the calendar",IF(AND(J95="",G95&lt;&gt;"Photo"),"Add - no link on a link post",IF(AND(P95&lt;&gt;"",S95&lt;TargetEngagement),"Review - below your target rate","OK"))))</f>
        <v>0</v>
      </c>
    </row>
    <row r="96" spans="1:24">
      <c r="A96" s="41">
        <f>IF(B96="","","FB-"&amp;TEXT(ROW()-4,"000"))</f>
        <v>0</v>
      </c>
      <c r="C96" s="17">
        <f>IF(B96="","",IFERROR(INDEX('Content Calendar'!$H$5:$H$604,MATCH(B96,'Content Calendar'!$A$5:$A$604,0)),"Not found"))</f>
        <v>0</v>
      </c>
      <c r="D96" s="16">
        <f>IF(B96="","",IFERROR(INDEX('Content Calendar'!$B$5:$B$604,MATCH(B96,'Content Calendar'!$A$5:$A$604,0)),"Not found"))</f>
        <v>0</v>
      </c>
      <c r="E96" s="17">
        <f>IF(B96="","",IFERROR(INDEX('Content Calendar'!$J$5:$J$604,MATCH(B96,'Content Calendar'!$A$5:$A$604,0)),"Not found"))</f>
        <v>0</v>
      </c>
      <c r="F96" s="29">
        <f>IF(B96="","",IFERROR(INDEX('Content Calendar'!$X$5:$X$604,MATCH(B96,'Content Calendar'!$A$5:$A$604,0)),"Not found"))</f>
        <v>0</v>
      </c>
      <c r="P96" s="23">
        <f>IF(B96="","",IF(COUNTIF(Performance!$B$5:$B$404,B96)=0,"",SUMIFS(Performance!$O$5:$O$404,Performance!$B$5:$B$404,B96)))</f>
        <v>0</v>
      </c>
      <c r="Q96" s="23">
        <f>IF(B96="","",IF(COUNTIF(Performance!$B$5:$B$404,B96)=0,"",SUMIFS(Performance!$P$5:$P$404,Performance!$B$5:$B$404,B96)))</f>
        <v>0</v>
      </c>
      <c r="R96" s="23">
        <f>IF(B96="","",IF(COUNTIF(Performance!$B$5:$B$404,B96)=0,"",SUMIFS(Performance!$Z$5:$Z$404,Performance!$B$5:$B$404,B96)))</f>
        <v>0</v>
      </c>
      <c r="S96" s="24">
        <f>IF(OR(P96="",P96=0),"",R96/P96)</f>
        <v>0</v>
      </c>
      <c r="T96" s="23">
        <f>IF(B96="","",IF(COUNTIF(Performance!$B$5:$B$404,B96)=0,"",SUMIFS(Performance!$T$5:$T$404,Performance!$B$5:$B$404,B96)))</f>
        <v>0</v>
      </c>
      <c r="U96" s="23">
        <f>IF(B96="","",IF(COUNTIF(Performance!$B$5:$B$404,B96)=0,"",SUMIFS(Performance!$S$5:$S$404,Performance!$B$5:$B$404,B96)))</f>
        <v>0</v>
      </c>
      <c r="V96" s="23">
        <f>IF(B96="","",IF(COUNTIF(Performance!$B$5:$B$404,B96)=0,"",SUMIFS(Performance!$R$5:$R$404,Performance!$B$5:$B$404,B96)))</f>
        <v>0</v>
      </c>
      <c r="W96" s="23">
        <f>IF(B96="","",IF(COUNTIF(Performance!$B$5:$B$404,B96)=0,"",SUMIFS(Performance!$U$5:$U$404,Performance!$B$5:$B$404,B96)))</f>
        <v>0</v>
      </c>
      <c r="X96" s="29">
        <f>IF(B96="","",IF(C96="Not found","Check - content ID not on the calendar",IF(AND(J96="",G96&lt;&gt;"Photo"),"Add - no link on a link post",IF(AND(P96&lt;&gt;"",S96&lt;TargetEngagement),"Review - below your target rate","OK"))))</f>
        <v>0</v>
      </c>
    </row>
    <row r="97" spans="1:24">
      <c r="A97" s="41">
        <f>IF(B97="","","FB-"&amp;TEXT(ROW()-4,"000"))</f>
        <v>0</v>
      </c>
      <c r="C97" s="17">
        <f>IF(B97="","",IFERROR(INDEX('Content Calendar'!$H$5:$H$604,MATCH(B97,'Content Calendar'!$A$5:$A$604,0)),"Not found"))</f>
        <v>0</v>
      </c>
      <c r="D97" s="16">
        <f>IF(B97="","",IFERROR(INDEX('Content Calendar'!$B$5:$B$604,MATCH(B97,'Content Calendar'!$A$5:$A$604,0)),"Not found"))</f>
        <v>0</v>
      </c>
      <c r="E97" s="17">
        <f>IF(B97="","",IFERROR(INDEX('Content Calendar'!$J$5:$J$604,MATCH(B97,'Content Calendar'!$A$5:$A$604,0)),"Not found"))</f>
        <v>0</v>
      </c>
      <c r="F97" s="29">
        <f>IF(B97="","",IFERROR(INDEX('Content Calendar'!$X$5:$X$604,MATCH(B97,'Content Calendar'!$A$5:$A$604,0)),"Not found"))</f>
        <v>0</v>
      </c>
      <c r="P97" s="23">
        <f>IF(B97="","",IF(COUNTIF(Performance!$B$5:$B$404,B97)=0,"",SUMIFS(Performance!$O$5:$O$404,Performance!$B$5:$B$404,B97)))</f>
        <v>0</v>
      </c>
      <c r="Q97" s="23">
        <f>IF(B97="","",IF(COUNTIF(Performance!$B$5:$B$404,B97)=0,"",SUMIFS(Performance!$P$5:$P$404,Performance!$B$5:$B$404,B97)))</f>
        <v>0</v>
      </c>
      <c r="R97" s="23">
        <f>IF(B97="","",IF(COUNTIF(Performance!$B$5:$B$404,B97)=0,"",SUMIFS(Performance!$Z$5:$Z$404,Performance!$B$5:$B$404,B97)))</f>
        <v>0</v>
      </c>
      <c r="S97" s="24">
        <f>IF(OR(P97="",P97=0),"",R97/P97)</f>
        <v>0</v>
      </c>
      <c r="T97" s="23">
        <f>IF(B97="","",IF(COUNTIF(Performance!$B$5:$B$404,B97)=0,"",SUMIFS(Performance!$T$5:$T$404,Performance!$B$5:$B$404,B97)))</f>
        <v>0</v>
      </c>
      <c r="U97" s="23">
        <f>IF(B97="","",IF(COUNTIF(Performance!$B$5:$B$404,B97)=0,"",SUMIFS(Performance!$S$5:$S$404,Performance!$B$5:$B$404,B97)))</f>
        <v>0</v>
      </c>
      <c r="V97" s="23">
        <f>IF(B97="","",IF(COUNTIF(Performance!$B$5:$B$404,B97)=0,"",SUMIFS(Performance!$R$5:$R$404,Performance!$B$5:$B$404,B97)))</f>
        <v>0</v>
      </c>
      <c r="W97" s="23">
        <f>IF(B97="","",IF(COUNTIF(Performance!$B$5:$B$404,B97)=0,"",SUMIFS(Performance!$U$5:$U$404,Performance!$B$5:$B$404,B97)))</f>
        <v>0</v>
      </c>
      <c r="X97" s="29">
        <f>IF(B97="","",IF(C97="Not found","Check - content ID not on the calendar",IF(AND(J97="",G97&lt;&gt;"Photo"),"Add - no link on a link post",IF(AND(P97&lt;&gt;"",S97&lt;TargetEngagement),"Review - below your target rate","OK"))))</f>
        <v>0</v>
      </c>
    </row>
    <row r="98" spans="1:24">
      <c r="A98" s="41">
        <f>IF(B98="","","FB-"&amp;TEXT(ROW()-4,"000"))</f>
        <v>0</v>
      </c>
      <c r="C98" s="17">
        <f>IF(B98="","",IFERROR(INDEX('Content Calendar'!$H$5:$H$604,MATCH(B98,'Content Calendar'!$A$5:$A$604,0)),"Not found"))</f>
        <v>0</v>
      </c>
      <c r="D98" s="16">
        <f>IF(B98="","",IFERROR(INDEX('Content Calendar'!$B$5:$B$604,MATCH(B98,'Content Calendar'!$A$5:$A$604,0)),"Not found"))</f>
        <v>0</v>
      </c>
      <c r="E98" s="17">
        <f>IF(B98="","",IFERROR(INDEX('Content Calendar'!$J$5:$J$604,MATCH(B98,'Content Calendar'!$A$5:$A$604,0)),"Not found"))</f>
        <v>0</v>
      </c>
      <c r="F98" s="29">
        <f>IF(B98="","",IFERROR(INDEX('Content Calendar'!$X$5:$X$604,MATCH(B98,'Content Calendar'!$A$5:$A$604,0)),"Not found"))</f>
        <v>0</v>
      </c>
      <c r="P98" s="23">
        <f>IF(B98="","",IF(COUNTIF(Performance!$B$5:$B$404,B98)=0,"",SUMIFS(Performance!$O$5:$O$404,Performance!$B$5:$B$404,B98)))</f>
        <v>0</v>
      </c>
      <c r="Q98" s="23">
        <f>IF(B98="","",IF(COUNTIF(Performance!$B$5:$B$404,B98)=0,"",SUMIFS(Performance!$P$5:$P$404,Performance!$B$5:$B$404,B98)))</f>
        <v>0</v>
      </c>
      <c r="R98" s="23">
        <f>IF(B98="","",IF(COUNTIF(Performance!$B$5:$B$404,B98)=0,"",SUMIFS(Performance!$Z$5:$Z$404,Performance!$B$5:$B$404,B98)))</f>
        <v>0</v>
      </c>
      <c r="S98" s="24">
        <f>IF(OR(P98="",P98=0),"",R98/P98)</f>
        <v>0</v>
      </c>
      <c r="T98" s="23">
        <f>IF(B98="","",IF(COUNTIF(Performance!$B$5:$B$404,B98)=0,"",SUMIFS(Performance!$T$5:$T$404,Performance!$B$5:$B$404,B98)))</f>
        <v>0</v>
      </c>
      <c r="U98" s="23">
        <f>IF(B98="","",IF(COUNTIF(Performance!$B$5:$B$404,B98)=0,"",SUMIFS(Performance!$S$5:$S$404,Performance!$B$5:$B$404,B98)))</f>
        <v>0</v>
      </c>
      <c r="V98" s="23">
        <f>IF(B98="","",IF(COUNTIF(Performance!$B$5:$B$404,B98)=0,"",SUMIFS(Performance!$R$5:$R$404,Performance!$B$5:$B$404,B98)))</f>
        <v>0</v>
      </c>
      <c r="W98" s="23">
        <f>IF(B98="","",IF(COUNTIF(Performance!$B$5:$B$404,B98)=0,"",SUMIFS(Performance!$U$5:$U$404,Performance!$B$5:$B$404,B98)))</f>
        <v>0</v>
      </c>
      <c r="X98" s="29">
        <f>IF(B98="","",IF(C98="Not found","Check - content ID not on the calendar",IF(AND(J98="",G98&lt;&gt;"Photo"),"Add - no link on a link post",IF(AND(P98&lt;&gt;"",S98&lt;TargetEngagement),"Review - below your target rate","OK"))))</f>
        <v>0</v>
      </c>
    </row>
    <row r="99" spans="1:24">
      <c r="A99" s="41">
        <f>IF(B99="","","FB-"&amp;TEXT(ROW()-4,"000"))</f>
        <v>0</v>
      </c>
      <c r="C99" s="17">
        <f>IF(B99="","",IFERROR(INDEX('Content Calendar'!$H$5:$H$604,MATCH(B99,'Content Calendar'!$A$5:$A$604,0)),"Not found"))</f>
        <v>0</v>
      </c>
      <c r="D99" s="16">
        <f>IF(B99="","",IFERROR(INDEX('Content Calendar'!$B$5:$B$604,MATCH(B99,'Content Calendar'!$A$5:$A$604,0)),"Not found"))</f>
        <v>0</v>
      </c>
      <c r="E99" s="17">
        <f>IF(B99="","",IFERROR(INDEX('Content Calendar'!$J$5:$J$604,MATCH(B99,'Content Calendar'!$A$5:$A$604,0)),"Not found"))</f>
        <v>0</v>
      </c>
      <c r="F99" s="29">
        <f>IF(B99="","",IFERROR(INDEX('Content Calendar'!$X$5:$X$604,MATCH(B99,'Content Calendar'!$A$5:$A$604,0)),"Not found"))</f>
        <v>0</v>
      </c>
      <c r="P99" s="23">
        <f>IF(B99="","",IF(COUNTIF(Performance!$B$5:$B$404,B99)=0,"",SUMIFS(Performance!$O$5:$O$404,Performance!$B$5:$B$404,B99)))</f>
        <v>0</v>
      </c>
      <c r="Q99" s="23">
        <f>IF(B99="","",IF(COUNTIF(Performance!$B$5:$B$404,B99)=0,"",SUMIFS(Performance!$P$5:$P$404,Performance!$B$5:$B$404,B99)))</f>
        <v>0</v>
      </c>
      <c r="R99" s="23">
        <f>IF(B99="","",IF(COUNTIF(Performance!$B$5:$B$404,B99)=0,"",SUMIFS(Performance!$Z$5:$Z$404,Performance!$B$5:$B$404,B99)))</f>
        <v>0</v>
      </c>
      <c r="S99" s="24">
        <f>IF(OR(P99="",P99=0),"",R99/P99)</f>
        <v>0</v>
      </c>
      <c r="T99" s="23">
        <f>IF(B99="","",IF(COUNTIF(Performance!$B$5:$B$404,B99)=0,"",SUMIFS(Performance!$T$5:$T$404,Performance!$B$5:$B$404,B99)))</f>
        <v>0</v>
      </c>
      <c r="U99" s="23">
        <f>IF(B99="","",IF(COUNTIF(Performance!$B$5:$B$404,B99)=0,"",SUMIFS(Performance!$S$5:$S$404,Performance!$B$5:$B$404,B99)))</f>
        <v>0</v>
      </c>
      <c r="V99" s="23">
        <f>IF(B99="","",IF(COUNTIF(Performance!$B$5:$B$404,B99)=0,"",SUMIFS(Performance!$R$5:$R$404,Performance!$B$5:$B$404,B99)))</f>
        <v>0</v>
      </c>
      <c r="W99" s="23">
        <f>IF(B99="","",IF(COUNTIF(Performance!$B$5:$B$404,B99)=0,"",SUMIFS(Performance!$U$5:$U$404,Performance!$B$5:$B$404,B99)))</f>
        <v>0</v>
      </c>
      <c r="X99" s="29">
        <f>IF(B99="","",IF(C99="Not found","Check - content ID not on the calendar",IF(AND(J99="",G99&lt;&gt;"Photo"),"Add - no link on a link post",IF(AND(P99&lt;&gt;"",S99&lt;TargetEngagement),"Review - below your target rate","OK"))))</f>
        <v>0</v>
      </c>
    </row>
    <row r="100" spans="1:24">
      <c r="A100" s="41">
        <f>IF(B100="","","FB-"&amp;TEXT(ROW()-4,"000"))</f>
        <v>0</v>
      </c>
      <c r="C100" s="17">
        <f>IF(B100="","",IFERROR(INDEX('Content Calendar'!$H$5:$H$604,MATCH(B100,'Content Calendar'!$A$5:$A$604,0)),"Not found"))</f>
        <v>0</v>
      </c>
      <c r="D100" s="16">
        <f>IF(B100="","",IFERROR(INDEX('Content Calendar'!$B$5:$B$604,MATCH(B100,'Content Calendar'!$A$5:$A$604,0)),"Not found"))</f>
        <v>0</v>
      </c>
      <c r="E100" s="17">
        <f>IF(B100="","",IFERROR(INDEX('Content Calendar'!$J$5:$J$604,MATCH(B100,'Content Calendar'!$A$5:$A$604,0)),"Not found"))</f>
        <v>0</v>
      </c>
      <c r="F100" s="29">
        <f>IF(B100="","",IFERROR(INDEX('Content Calendar'!$X$5:$X$604,MATCH(B100,'Content Calendar'!$A$5:$A$604,0)),"Not found"))</f>
        <v>0</v>
      </c>
      <c r="P100" s="23">
        <f>IF(B100="","",IF(COUNTIF(Performance!$B$5:$B$404,B100)=0,"",SUMIFS(Performance!$O$5:$O$404,Performance!$B$5:$B$404,B100)))</f>
        <v>0</v>
      </c>
      <c r="Q100" s="23">
        <f>IF(B100="","",IF(COUNTIF(Performance!$B$5:$B$404,B100)=0,"",SUMIFS(Performance!$P$5:$P$404,Performance!$B$5:$B$404,B100)))</f>
        <v>0</v>
      </c>
      <c r="R100" s="23">
        <f>IF(B100="","",IF(COUNTIF(Performance!$B$5:$B$404,B100)=0,"",SUMIFS(Performance!$Z$5:$Z$404,Performance!$B$5:$B$404,B100)))</f>
        <v>0</v>
      </c>
      <c r="S100" s="24">
        <f>IF(OR(P100="",P100=0),"",R100/P100)</f>
        <v>0</v>
      </c>
      <c r="T100" s="23">
        <f>IF(B100="","",IF(COUNTIF(Performance!$B$5:$B$404,B100)=0,"",SUMIFS(Performance!$T$5:$T$404,Performance!$B$5:$B$404,B100)))</f>
        <v>0</v>
      </c>
      <c r="U100" s="23">
        <f>IF(B100="","",IF(COUNTIF(Performance!$B$5:$B$404,B100)=0,"",SUMIFS(Performance!$S$5:$S$404,Performance!$B$5:$B$404,B100)))</f>
        <v>0</v>
      </c>
      <c r="V100" s="23">
        <f>IF(B100="","",IF(COUNTIF(Performance!$B$5:$B$404,B100)=0,"",SUMIFS(Performance!$R$5:$R$404,Performance!$B$5:$B$404,B100)))</f>
        <v>0</v>
      </c>
      <c r="W100" s="23">
        <f>IF(B100="","",IF(COUNTIF(Performance!$B$5:$B$404,B100)=0,"",SUMIFS(Performance!$U$5:$U$404,Performance!$B$5:$B$404,B100)))</f>
        <v>0</v>
      </c>
      <c r="X100" s="29">
        <f>IF(B100="","",IF(C100="Not found","Check - content ID not on the calendar",IF(AND(J100="",G100&lt;&gt;"Photo"),"Add - no link on a link post",IF(AND(P100&lt;&gt;"",S100&lt;TargetEngagement),"Review - below your target rate","OK"))))</f>
        <v>0</v>
      </c>
    </row>
    <row r="101" spans="1:24">
      <c r="A101" s="41">
        <f>IF(B101="","","FB-"&amp;TEXT(ROW()-4,"000"))</f>
        <v>0</v>
      </c>
      <c r="C101" s="17">
        <f>IF(B101="","",IFERROR(INDEX('Content Calendar'!$H$5:$H$604,MATCH(B101,'Content Calendar'!$A$5:$A$604,0)),"Not found"))</f>
        <v>0</v>
      </c>
      <c r="D101" s="16">
        <f>IF(B101="","",IFERROR(INDEX('Content Calendar'!$B$5:$B$604,MATCH(B101,'Content Calendar'!$A$5:$A$604,0)),"Not found"))</f>
        <v>0</v>
      </c>
      <c r="E101" s="17">
        <f>IF(B101="","",IFERROR(INDEX('Content Calendar'!$J$5:$J$604,MATCH(B101,'Content Calendar'!$A$5:$A$604,0)),"Not found"))</f>
        <v>0</v>
      </c>
      <c r="F101" s="29">
        <f>IF(B101="","",IFERROR(INDEX('Content Calendar'!$X$5:$X$604,MATCH(B101,'Content Calendar'!$A$5:$A$604,0)),"Not found"))</f>
        <v>0</v>
      </c>
      <c r="P101" s="23">
        <f>IF(B101="","",IF(COUNTIF(Performance!$B$5:$B$404,B101)=0,"",SUMIFS(Performance!$O$5:$O$404,Performance!$B$5:$B$404,B101)))</f>
        <v>0</v>
      </c>
      <c r="Q101" s="23">
        <f>IF(B101="","",IF(COUNTIF(Performance!$B$5:$B$404,B101)=0,"",SUMIFS(Performance!$P$5:$P$404,Performance!$B$5:$B$404,B101)))</f>
        <v>0</v>
      </c>
      <c r="R101" s="23">
        <f>IF(B101="","",IF(COUNTIF(Performance!$B$5:$B$404,B101)=0,"",SUMIFS(Performance!$Z$5:$Z$404,Performance!$B$5:$B$404,B101)))</f>
        <v>0</v>
      </c>
      <c r="S101" s="24">
        <f>IF(OR(P101="",P101=0),"",R101/P101)</f>
        <v>0</v>
      </c>
      <c r="T101" s="23">
        <f>IF(B101="","",IF(COUNTIF(Performance!$B$5:$B$404,B101)=0,"",SUMIFS(Performance!$T$5:$T$404,Performance!$B$5:$B$404,B101)))</f>
        <v>0</v>
      </c>
      <c r="U101" s="23">
        <f>IF(B101="","",IF(COUNTIF(Performance!$B$5:$B$404,B101)=0,"",SUMIFS(Performance!$S$5:$S$404,Performance!$B$5:$B$404,B101)))</f>
        <v>0</v>
      </c>
      <c r="V101" s="23">
        <f>IF(B101="","",IF(COUNTIF(Performance!$B$5:$B$404,B101)=0,"",SUMIFS(Performance!$R$5:$R$404,Performance!$B$5:$B$404,B101)))</f>
        <v>0</v>
      </c>
      <c r="W101" s="23">
        <f>IF(B101="","",IF(COUNTIF(Performance!$B$5:$B$404,B101)=0,"",SUMIFS(Performance!$U$5:$U$404,Performance!$B$5:$B$404,B101)))</f>
        <v>0</v>
      </c>
      <c r="X101" s="29">
        <f>IF(B101="","",IF(C101="Not found","Check - content ID not on the calendar",IF(AND(J101="",G101&lt;&gt;"Photo"),"Add - no link on a link post",IF(AND(P101&lt;&gt;"",S101&lt;TargetEngagement),"Review - below your target rate","OK"))))</f>
        <v>0</v>
      </c>
    </row>
    <row r="102" spans="1:24">
      <c r="A102" s="41">
        <f>IF(B102="","","FB-"&amp;TEXT(ROW()-4,"000"))</f>
        <v>0</v>
      </c>
      <c r="C102" s="17">
        <f>IF(B102="","",IFERROR(INDEX('Content Calendar'!$H$5:$H$604,MATCH(B102,'Content Calendar'!$A$5:$A$604,0)),"Not found"))</f>
        <v>0</v>
      </c>
      <c r="D102" s="16">
        <f>IF(B102="","",IFERROR(INDEX('Content Calendar'!$B$5:$B$604,MATCH(B102,'Content Calendar'!$A$5:$A$604,0)),"Not found"))</f>
        <v>0</v>
      </c>
      <c r="E102" s="17">
        <f>IF(B102="","",IFERROR(INDEX('Content Calendar'!$J$5:$J$604,MATCH(B102,'Content Calendar'!$A$5:$A$604,0)),"Not found"))</f>
        <v>0</v>
      </c>
      <c r="F102" s="29">
        <f>IF(B102="","",IFERROR(INDEX('Content Calendar'!$X$5:$X$604,MATCH(B102,'Content Calendar'!$A$5:$A$604,0)),"Not found"))</f>
        <v>0</v>
      </c>
      <c r="P102" s="23">
        <f>IF(B102="","",IF(COUNTIF(Performance!$B$5:$B$404,B102)=0,"",SUMIFS(Performance!$O$5:$O$404,Performance!$B$5:$B$404,B102)))</f>
        <v>0</v>
      </c>
      <c r="Q102" s="23">
        <f>IF(B102="","",IF(COUNTIF(Performance!$B$5:$B$404,B102)=0,"",SUMIFS(Performance!$P$5:$P$404,Performance!$B$5:$B$404,B102)))</f>
        <v>0</v>
      </c>
      <c r="R102" s="23">
        <f>IF(B102="","",IF(COUNTIF(Performance!$B$5:$B$404,B102)=0,"",SUMIFS(Performance!$Z$5:$Z$404,Performance!$B$5:$B$404,B102)))</f>
        <v>0</v>
      </c>
      <c r="S102" s="24">
        <f>IF(OR(P102="",P102=0),"",R102/P102)</f>
        <v>0</v>
      </c>
      <c r="T102" s="23">
        <f>IF(B102="","",IF(COUNTIF(Performance!$B$5:$B$404,B102)=0,"",SUMIFS(Performance!$T$5:$T$404,Performance!$B$5:$B$404,B102)))</f>
        <v>0</v>
      </c>
      <c r="U102" s="23">
        <f>IF(B102="","",IF(COUNTIF(Performance!$B$5:$B$404,B102)=0,"",SUMIFS(Performance!$S$5:$S$404,Performance!$B$5:$B$404,B102)))</f>
        <v>0</v>
      </c>
      <c r="V102" s="23">
        <f>IF(B102="","",IF(COUNTIF(Performance!$B$5:$B$404,B102)=0,"",SUMIFS(Performance!$R$5:$R$404,Performance!$B$5:$B$404,B102)))</f>
        <v>0</v>
      </c>
      <c r="W102" s="23">
        <f>IF(B102="","",IF(COUNTIF(Performance!$B$5:$B$404,B102)=0,"",SUMIFS(Performance!$U$5:$U$404,Performance!$B$5:$B$404,B102)))</f>
        <v>0</v>
      </c>
      <c r="X102" s="29">
        <f>IF(B102="","",IF(C102="Not found","Check - content ID not on the calendar",IF(AND(J102="",G102&lt;&gt;"Photo"),"Add - no link on a link post",IF(AND(P102&lt;&gt;"",S102&lt;TargetEngagement),"Review - below your target rate","OK"))))</f>
        <v>0</v>
      </c>
    </row>
    <row r="103" spans="1:24">
      <c r="A103" s="41">
        <f>IF(B103="","","FB-"&amp;TEXT(ROW()-4,"000"))</f>
        <v>0</v>
      </c>
      <c r="C103" s="17">
        <f>IF(B103="","",IFERROR(INDEX('Content Calendar'!$H$5:$H$604,MATCH(B103,'Content Calendar'!$A$5:$A$604,0)),"Not found"))</f>
        <v>0</v>
      </c>
      <c r="D103" s="16">
        <f>IF(B103="","",IFERROR(INDEX('Content Calendar'!$B$5:$B$604,MATCH(B103,'Content Calendar'!$A$5:$A$604,0)),"Not found"))</f>
        <v>0</v>
      </c>
      <c r="E103" s="17">
        <f>IF(B103="","",IFERROR(INDEX('Content Calendar'!$J$5:$J$604,MATCH(B103,'Content Calendar'!$A$5:$A$604,0)),"Not found"))</f>
        <v>0</v>
      </c>
      <c r="F103" s="29">
        <f>IF(B103="","",IFERROR(INDEX('Content Calendar'!$X$5:$X$604,MATCH(B103,'Content Calendar'!$A$5:$A$604,0)),"Not found"))</f>
        <v>0</v>
      </c>
      <c r="P103" s="23">
        <f>IF(B103="","",IF(COUNTIF(Performance!$B$5:$B$404,B103)=0,"",SUMIFS(Performance!$O$5:$O$404,Performance!$B$5:$B$404,B103)))</f>
        <v>0</v>
      </c>
      <c r="Q103" s="23">
        <f>IF(B103="","",IF(COUNTIF(Performance!$B$5:$B$404,B103)=0,"",SUMIFS(Performance!$P$5:$P$404,Performance!$B$5:$B$404,B103)))</f>
        <v>0</v>
      </c>
      <c r="R103" s="23">
        <f>IF(B103="","",IF(COUNTIF(Performance!$B$5:$B$404,B103)=0,"",SUMIFS(Performance!$Z$5:$Z$404,Performance!$B$5:$B$404,B103)))</f>
        <v>0</v>
      </c>
      <c r="S103" s="24">
        <f>IF(OR(P103="",P103=0),"",R103/P103)</f>
        <v>0</v>
      </c>
      <c r="T103" s="23">
        <f>IF(B103="","",IF(COUNTIF(Performance!$B$5:$B$404,B103)=0,"",SUMIFS(Performance!$T$5:$T$404,Performance!$B$5:$B$404,B103)))</f>
        <v>0</v>
      </c>
      <c r="U103" s="23">
        <f>IF(B103="","",IF(COUNTIF(Performance!$B$5:$B$404,B103)=0,"",SUMIFS(Performance!$S$5:$S$404,Performance!$B$5:$B$404,B103)))</f>
        <v>0</v>
      </c>
      <c r="V103" s="23">
        <f>IF(B103="","",IF(COUNTIF(Performance!$B$5:$B$404,B103)=0,"",SUMIFS(Performance!$R$5:$R$404,Performance!$B$5:$B$404,B103)))</f>
        <v>0</v>
      </c>
      <c r="W103" s="23">
        <f>IF(B103="","",IF(COUNTIF(Performance!$B$5:$B$404,B103)=0,"",SUMIFS(Performance!$U$5:$U$404,Performance!$B$5:$B$404,B103)))</f>
        <v>0</v>
      </c>
      <c r="X103" s="29">
        <f>IF(B103="","",IF(C103="Not found","Check - content ID not on the calendar",IF(AND(J103="",G103&lt;&gt;"Photo"),"Add - no link on a link post",IF(AND(P103&lt;&gt;"",S103&lt;TargetEngagement),"Review - below your target rate","OK"))))</f>
        <v>0</v>
      </c>
    </row>
    <row r="104" spans="1:24">
      <c r="A104" s="41">
        <f>IF(B104="","","FB-"&amp;TEXT(ROW()-4,"000"))</f>
        <v>0</v>
      </c>
      <c r="C104" s="17">
        <f>IF(B104="","",IFERROR(INDEX('Content Calendar'!$H$5:$H$604,MATCH(B104,'Content Calendar'!$A$5:$A$604,0)),"Not found"))</f>
        <v>0</v>
      </c>
      <c r="D104" s="16">
        <f>IF(B104="","",IFERROR(INDEX('Content Calendar'!$B$5:$B$604,MATCH(B104,'Content Calendar'!$A$5:$A$604,0)),"Not found"))</f>
        <v>0</v>
      </c>
      <c r="E104" s="17">
        <f>IF(B104="","",IFERROR(INDEX('Content Calendar'!$J$5:$J$604,MATCH(B104,'Content Calendar'!$A$5:$A$604,0)),"Not found"))</f>
        <v>0</v>
      </c>
      <c r="F104" s="29">
        <f>IF(B104="","",IFERROR(INDEX('Content Calendar'!$X$5:$X$604,MATCH(B104,'Content Calendar'!$A$5:$A$604,0)),"Not found"))</f>
        <v>0</v>
      </c>
      <c r="P104" s="23">
        <f>IF(B104="","",IF(COUNTIF(Performance!$B$5:$B$404,B104)=0,"",SUMIFS(Performance!$O$5:$O$404,Performance!$B$5:$B$404,B104)))</f>
        <v>0</v>
      </c>
      <c r="Q104" s="23">
        <f>IF(B104="","",IF(COUNTIF(Performance!$B$5:$B$404,B104)=0,"",SUMIFS(Performance!$P$5:$P$404,Performance!$B$5:$B$404,B104)))</f>
        <v>0</v>
      </c>
      <c r="R104" s="23">
        <f>IF(B104="","",IF(COUNTIF(Performance!$B$5:$B$404,B104)=0,"",SUMIFS(Performance!$Z$5:$Z$404,Performance!$B$5:$B$404,B104)))</f>
        <v>0</v>
      </c>
      <c r="S104" s="24">
        <f>IF(OR(P104="",P104=0),"",R104/P104)</f>
        <v>0</v>
      </c>
      <c r="T104" s="23">
        <f>IF(B104="","",IF(COUNTIF(Performance!$B$5:$B$404,B104)=0,"",SUMIFS(Performance!$T$5:$T$404,Performance!$B$5:$B$404,B104)))</f>
        <v>0</v>
      </c>
      <c r="U104" s="23">
        <f>IF(B104="","",IF(COUNTIF(Performance!$B$5:$B$404,B104)=0,"",SUMIFS(Performance!$S$5:$S$404,Performance!$B$5:$B$404,B104)))</f>
        <v>0</v>
      </c>
      <c r="V104" s="23">
        <f>IF(B104="","",IF(COUNTIF(Performance!$B$5:$B$404,B104)=0,"",SUMIFS(Performance!$R$5:$R$404,Performance!$B$5:$B$404,B104)))</f>
        <v>0</v>
      </c>
      <c r="W104" s="23">
        <f>IF(B104="","",IF(COUNTIF(Performance!$B$5:$B$404,B104)=0,"",SUMIFS(Performance!$U$5:$U$404,Performance!$B$5:$B$404,B104)))</f>
        <v>0</v>
      </c>
      <c r="X104" s="29">
        <f>IF(B104="","",IF(C104="Not found","Check - content ID not on the calendar",IF(AND(J104="",G104&lt;&gt;"Photo"),"Add - no link on a link post",IF(AND(P104&lt;&gt;"",S104&lt;TargetEngagement),"Review - below your target rate","OK"))))</f>
        <v>0</v>
      </c>
    </row>
    <row r="105" spans="1:24">
      <c r="A105" s="41">
        <f>IF(B105="","","FB-"&amp;TEXT(ROW()-4,"000"))</f>
        <v>0</v>
      </c>
      <c r="C105" s="17">
        <f>IF(B105="","",IFERROR(INDEX('Content Calendar'!$H$5:$H$604,MATCH(B105,'Content Calendar'!$A$5:$A$604,0)),"Not found"))</f>
        <v>0</v>
      </c>
      <c r="D105" s="16">
        <f>IF(B105="","",IFERROR(INDEX('Content Calendar'!$B$5:$B$604,MATCH(B105,'Content Calendar'!$A$5:$A$604,0)),"Not found"))</f>
        <v>0</v>
      </c>
      <c r="E105" s="17">
        <f>IF(B105="","",IFERROR(INDEX('Content Calendar'!$J$5:$J$604,MATCH(B105,'Content Calendar'!$A$5:$A$604,0)),"Not found"))</f>
        <v>0</v>
      </c>
      <c r="F105" s="29">
        <f>IF(B105="","",IFERROR(INDEX('Content Calendar'!$X$5:$X$604,MATCH(B105,'Content Calendar'!$A$5:$A$604,0)),"Not found"))</f>
        <v>0</v>
      </c>
      <c r="P105" s="23">
        <f>IF(B105="","",IF(COUNTIF(Performance!$B$5:$B$404,B105)=0,"",SUMIFS(Performance!$O$5:$O$404,Performance!$B$5:$B$404,B105)))</f>
        <v>0</v>
      </c>
      <c r="Q105" s="23">
        <f>IF(B105="","",IF(COUNTIF(Performance!$B$5:$B$404,B105)=0,"",SUMIFS(Performance!$P$5:$P$404,Performance!$B$5:$B$404,B105)))</f>
        <v>0</v>
      </c>
      <c r="R105" s="23">
        <f>IF(B105="","",IF(COUNTIF(Performance!$B$5:$B$404,B105)=0,"",SUMIFS(Performance!$Z$5:$Z$404,Performance!$B$5:$B$404,B105)))</f>
        <v>0</v>
      </c>
      <c r="S105" s="24">
        <f>IF(OR(P105="",P105=0),"",R105/P105)</f>
        <v>0</v>
      </c>
      <c r="T105" s="23">
        <f>IF(B105="","",IF(COUNTIF(Performance!$B$5:$B$404,B105)=0,"",SUMIFS(Performance!$T$5:$T$404,Performance!$B$5:$B$404,B105)))</f>
        <v>0</v>
      </c>
      <c r="U105" s="23">
        <f>IF(B105="","",IF(COUNTIF(Performance!$B$5:$B$404,B105)=0,"",SUMIFS(Performance!$S$5:$S$404,Performance!$B$5:$B$404,B105)))</f>
        <v>0</v>
      </c>
      <c r="V105" s="23">
        <f>IF(B105="","",IF(COUNTIF(Performance!$B$5:$B$404,B105)=0,"",SUMIFS(Performance!$R$5:$R$404,Performance!$B$5:$B$404,B105)))</f>
        <v>0</v>
      </c>
      <c r="W105" s="23">
        <f>IF(B105="","",IF(COUNTIF(Performance!$B$5:$B$404,B105)=0,"",SUMIFS(Performance!$U$5:$U$404,Performance!$B$5:$B$404,B105)))</f>
        <v>0</v>
      </c>
      <c r="X105" s="29">
        <f>IF(B105="","",IF(C105="Not found","Check - content ID not on the calendar",IF(AND(J105="",G105&lt;&gt;"Photo"),"Add - no link on a link post",IF(AND(P105&lt;&gt;"",S105&lt;TargetEngagement),"Review - below your target rate","OK"))))</f>
        <v>0</v>
      </c>
    </row>
    <row r="106" spans="1:24">
      <c r="A106" s="41">
        <f>IF(B106="","","FB-"&amp;TEXT(ROW()-4,"000"))</f>
        <v>0</v>
      </c>
      <c r="C106" s="17">
        <f>IF(B106="","",IFERROR(INDEX('Content Calendar'!$H$5:$H$604,MATCH(B106,'Content Calendar'!$A$5:$A$604,0)),"Not found"))</f>
        <v>0</v>
      </c>
      <c r="D106" s="16">
        <f>IF(B106="","",IFERROR(INDEX('Content Calendar'!$B$5:$B$604,MATCH(B106,'Content Calendar'!$A$5:$A$604,0)),"Not found"))</f>
        <v>0</v>
      </c>
      <c r="E106" s="17">
        <f>IF(B106="","",IFERROR(INDEX('Content Calendar'!$J$5:$J$604,MATCH(B106,'Content Calendar'!$A$5:$A$604,0)),"Not found"))</f>
        <v>0</v>
      </c>
      <c r="F106" s="29">
        <f>IF(B106="","",IFERROR(INDEX('Content Calendar'!$X$5:$X$604,MATCH(B106,'Content Calendar'!$A$5:$A$604,0)),"Not found"))</f>
        <v>0</v>
      </c>
      <c r="P106" s="23">
        <f>IF(B106="","",IF(COUNTIF(Performance!$B$5:$B$404,B106)=0,"",SUMIFS(Performance!$O$5:$O$404,Performance!$B$5:$B$404,B106)))</f>
        <v>0</v>
      </c>
      <c r="Q106" s="23">
        <f>IF(B106="","",IF(COUNTIF(Performance!$B$5:$B$404,B106)=0,"",SUMIFS(Performance!$P$5:$P$404,Performance!$B$5:$B$404,B106)))</f>
        <v>0</v>
      </c>
      <c r="R106" s="23">
        <f>IF(B106="","",IF(COUNTIF(Performance!$B$5:$B$404,B106)=0,"",SUMIFS(Performance!$Z$5:$Z$404,Performance!$B$5:$B$404,B106)))</f>
        <v>0</v>
      </c>
      <c r="S106" s="24">
        <f>IF(OR(P106="",P106=0),"",R106/P106)</f>
        <v>0</v>
      </c>
      <c r="T106" s="23">
        <f>IF(B106="","",IF(COUNTIF(Performance!$B$5:$B$404,B106)=0,"",SUMIFS(Performance!$T$5:$T$404,Performance!$B$5:$B$404,B106)))</f>
        <v>0</v>
      </c>
      <c r="U106" s="23">
        <f>IF(B106="","",IF(COUNTIF(Performance!$B$5:$B$404,B106)=0,"",SUMIFS(Performance!$S$5:$S$404,Performance!$B$5:$B$404,B106)))</f>
        <v>0</v>
      </c>
      <c r="V106" s="23">
        <f>IF(B106="","",IF(COUNTIF(Performance!$B$5:$B$404,B106)=0,"",SUMIFS(Performance!$R$5:$R$404,Performance!$B$5:$B$404,B106)))</f>
        <v>0</v>
      </c>
      <c r="W106" s="23">
        <f>IF(B106="","",IF(COUNTIF(Performance!$B$5:$B$404,B106)=0,"",SUMIFS(Performance!$U$5:$U$404,Performance!$B$5:$B$404,B106)))</f>
        <v>0</v>
      </c>
      <c r="X106" s="29">
        <f>IF(B106="","",IF(C106="Not found","Check - content ID not on the calendar",IF(AND(J106="",G106&lt;&gt;"Photo"),"Add - no link on a link post",IF(AND(P106&lt;&gt;"",S106&lt;TargetEngagement),"Review - below your target rate","OK"))))</f>
        <v>0</v>
      </c>
    </row>
    <row r="107" spans="1:24">
      <c r="A107" s="41">
        <f>IF(B107="","","FB-"&amp;TEXT(ROW()-4,"000"))</f>
        <v>0</v>
      </c>
      <c r="C107" s="17">
        <f>IF(B107="","",IFERROR(INDEX('Content Calendar'!$H$5:$H$604,MATCH(B107,'Content Calendar'!$A$5:$A$604,0)),"Not found"))</f>
        <v>0</v>
      </c>
      <c r="D107" s="16">
        <f>IF(B107="","",IFERROR(INDEX('Content Calendar'!$B$5:$B$604,MATCH(B107,'Content Calendar'!$A$5:$A$604,0)),"Not found"))</f>
        <v>0</v>
      </c>
      <c r="E107" s="17">
        <f>IF(B107="","",IFERROR(INDEX('Content Calendar'!$J$5:$J$604,MATCH(B107,'Content Calendar'!$A$5:$A$604,0)),"Not found"))</f>
        <v>0</v>
      </c>
      <c r="F107" s="29">
        <f>IF(B107="","",IFERROR(INDEX('Content Calendar'!$X$5:$X$604,MATCH(B107,'Content Calendar'!$A$5:$A$604,0)),"Not found"))</f>
        <v>0</v>
      </c>
      <c r="P107" s="23">
        <f>IF(B107="","",IF(COUNTIF(Performance!$B$5:$B$404,B107)=0,"",SUMIFS(Performance!$O$5:$O$404,Performance!$B$5:$B$404,B107)))</f>
        <v>0</v>
      </c>
      <c r="Q107" s="23">
        <f>IF(B107="","",IF(COUNTIF(Performance!$B$5:$B$404,B107)=0,"",SUMIFS(Performance!$P$5:$P$404,Performance!$B$5:$B$404,B107)))</f>
        <v>0</v>
      </c>
      <c r="R107" s="23">
        <f>IF(B107="","",IF(COUNTIF(Performance!$B$5:$B$404,B107)=0,"",SUMIFS(Performance!$Z$5:$Z$404,Performance!$B$5:$B$404,B107)))</f>
        <v>0</v>
      </c>
      <c r="S107" s="24">
        <f>IF(OR(P107="",P107=0),"",R107/P107)</f>
        <v>0</v>
      </c>
      <c r="T107" s="23">
        <f>IF(B107="","",IF(COUNTIF(Performance!$B$5:$B$404,B107)=0,"",SUMIFS(Performance!$T$5:$T$404,Performance!$B$5:$B$404,B107)))</f>
        <v>0</v>
      </c>
      <c r="U107" s="23">
        <f>IF(B107="","",IF(COUNTIF(Performance!$B$5:$B$404,B107)=0,"",SUMIFS(Performance!$S$5:$S$404,Performance!$B$5:$B$404,B107)))</f>
        <v>0</v>
      </c>
      <c r="V107" s="23">
        <f>IF(B107="","",IF(COUNTIF(Performance!$B$5:$B$404,B107)=0,"",SUMIFS(Performance!$R$5:$R$404,Performance!$B$5:$B$404,B107)))</f>
        <v>0</v>
      </c>
      <c r="W107" s="23">
        <f>IF(B107="","",IF(COUNTIF(Performance!$B$5:$B$404,B107)=0,"",SUMIFS(Performance!$U$5:$U$404,Performance!$B$5:$B$404,B107)))</f>
        <v>0</v>
      </c>
      <c r="X107" s="29">
        <f>IF(B107="","",IF(C107="Not found","Check - content ID not on the calendar",IF(AND(J107="",G107&lt;&gt;"Photo"),"Add - no link on a link post",IF(AND(P107&lt;&gt;"",S107&lt;TargetEngagement),"Review - below your target rate","OK"))))</f>
        <v>0</v>
      </c>
    </row>
    <row r="108" spans="1:24">
      <c r="A108" s="41">
        <f>IF(B108="","","FB-"&amp;TEXT(ROW()-4,"000"))</f>
        <v>0</v>
      </c>
      <c r="C108" s="17">
        <f>IF(B108="","",IFERROR(INDEX('Content Calendar'!$H$5:$H$604,MATCH(B108,'Content Calendar'!$A$5:$A$604,0)),"Not found"))</f>
        <v>0</v>
      </c>
      <c r="D108" s="16">
        <f>IF(B108="","",IFERROR(INDEX('Content Calendar'!$B$5:$B$604,MATCH(B108,'Content Calendar'!$A$5:$A$604,0)),"Not found"))</f>
        <v>0</v>
      </c>
      <c r="E108" s="17">
        <f>IF(B108="","",IFERROR(INDEX('Content Calendar'!$J$5:$J$604,MATCH(B108,'Content Calendar'!$A$5:$A$604,0)),"Not found"))</f>
        <v>0</v>
      </c>
      <c r="F108" s="29">
        <f>IF(B108="","",IFERROR(INDEX('Content Calendar'!$X$5:$X$604,MATCH(B108,'Content Calendar'!$A$5:$A$604,0)),"Not found"))</f>
        <v>0</v>
      </c>
      <c r="P108" s="23">
        <f>IF(B108="","",IF(COUNTIF(Performance!$B$5:$B$404,B108)=0,"",SUMIFS(Performance!$O$5:$O$404,Performance!$B$5:$B$404,B108)))</f>
        <v>0</v>
      </c>
      <c r="Q108" s="23">
        <f>IF(B108="","",IF(COUNTIF(Performance!$B$5:$B$404,B108)=0,"",SUMIFS(Performance!$P$5:$P$404,Performance!$B$5:$B$404,B108)))</f>
        <v>0</v>
      </c>
      <c r="R108" s="23">
        <f>IF(B108="","",IF(COUNTIF(Performance!$B$5:$B$404,B108)=0,"",SUMIFS(Performance!$Z$5:$Z$404,Performance!$B$5:$B$404,B108)))</f>
        <v>0</v>
      </c>
      <c r="S108" s="24">
        <f>IF(OR(P108="",P108=0),"",R108/P108)</f>
        <v>0</v>
      </c>
      <c r="T108" s="23">
        <f>IF(B108="","",IF(COUNTIF(Performance!$B$5:$B$404,B108)=0,"",SUMIFS(Performance!$T$5:$T$404,Performance!$B$5:$B$404,B108)))</f>
        <v>0</v>
      </c>
      <c r="U108" s="23">
        <f>IF(B108="","",IF(COUNTIF(Performance!$B$5:$B$404,B108)=0,"",SUMIFS(Performance!$S$5:$S$404,Performance!$B$5:$B$404,B108)))</f>
        <v>0</v>
      </c>
      <c r="V108" s="23">
        <f>IF(B108="","",IF(COUNTIF(Performance!$B$5:$B$404,B108)=0,"",SUMIFS(Performance!$R$5:$R$404,Performance!$B$5:$B$404,B108)))</f>
        <v>0</v>
      </c>
      <c r="W108" s="23">
        <f>IF(B108="","",IF(COUNTIF(Performance!$B$5:$B$404,B108)=0,"",SUMIFS(Performance!$U$5:$U$404,Performance!$B$5:$B$404,B108)))</f>
        <v>0</v>
      </c>
      <c r="X108" s="29">
        <f>IF(B108="","",IF(C108="Not found","Check - content ID not on the calendar",IF(AND(J108="",G108&lt;&gt;"Photo"),"Add - no link on a link post",IF(AND(P108&lt;&gt;"",S108&lt;TargetEngagement),"Review - below your target rate","OK"))))</f>
        <v>0</v>
      </c>
    </row>
    <row r="109" spans="1:24">
      <c r="A109" s="41">
        <f>IF(B109="","","FB-"&amp;TEXT(ROW()-4,"000"))</f>
        <v>0</v>
      </c>
      <c r="C109" s="17">
        <f>IF(B109="","",IFERROR(INDEX('Content Calendar'!$H$5:$H$604,MATCH(B109,'Content Calendar'!$A$5:$A$604,0)),"Not found"))</f>
        <v>0</v>
      </c>
      <c r="D109" s="16">
        <f>IF(B109="","",IFERROR(INDEX('Content Calendar'!$B$5:$B$604,MATCH(B109,'Content Calendar'!$A$5:$A$604,0)),"Not found"))</f>
        <v>0</v>
      </c>
      <c r="E109" s="17">
        <f>IF(B109="","",IFERROR(INDEX('Content Calendar'!$J$5:$J$604,MATCH(B109,'Content Calendar'!$A$5:$A$604,0)),"Not found"))</f>
        <v>0</v>
      </c>
      <c r="F109" s="29">
        <f>IF(B109="","",IFERROR(INDEX('Content Calendar'!$X$5:$X$604,MATCH(B109,'Content Calendar'!$A$5:$A$604,0)),"Not found"))</f>
        <v>0</v>
      </c>
      <c r="P109" s="23">
        <f>IF(B109="","",IF(COUNTIF(Performance!$B$5:$B$404,B109)=0,"",SUMIFS(Performance!$O$5:$O$404,Performance!$B$5:$B$404,B109)))</f>
        <v>0</v>
      </c>
      <c r="Q109" s="23">
        <f>IF(B109="","",IF(COUNTIF(Performance!$B$5:$B$404,B109)=0,"",SUMIFS(Performance!$P$5:$P$404,Performance!$B$5:$B$404,B109)))</f>
        <v>0</v>
      </c>
      <c r="R109" s="23">
        <f>IF(B109="","",IF(COUNTIF(Performance!$B$5:$B$404,B109)=0,"",SUMIFS(Performance!$Z$5:$Z$404,Performance!$B$5:$B$404,B109)))</f>
        <v>0</v>
      </c>
      <c r="S109" s="24">
        <f>IF(OR(P109="",P109=0),"",R109/P109)</f>
        <v>0</v>
      </c>
      <c r="T109" s="23">
        <f>IF(B109="","",IF(COUNTIF(Performance!$B$5:$B$404,B109)=0,"",SUMIFS(Performance!$T$5:$T$404,Performance!$B$5:$B$404,B109)))</f>
        <v>0</v>
      </c>
      <c r="U109" s="23">
        <f>IF(B109="","",IF(COUNTIF(Performance!$B$5:$B$404,B109)=0,"",SUMIFS(Performance!$S$5:$S$404,Performance!$B$5:$B$404,B109)))</f>
        <v>0</v>
      </c>
      <c r="V109" s="23">
        <f>IF(B109="","",IF(COUNTIF(Performance!$B$5:$B$404,B109)=0,"",SUMIFS(Performance!$R$5:$R$404,Performance!$B$5:$B$404,B109)))</f>
        <v>0</v>
      </c>
      <c r="W109" s="23">
        <f>IF(B109="","",IF(COUNTIF(Performance!$B$5:$B$404,B109)=0,"",SUMIFS(Performance!$U$5:$U$404,Performance!$B$5:$B$404,B109)))</f>
        <v>0</v>
      </c>
      <c r="X109" s="29">
        <f>IF(B109="","",IF(C109="Not found","Check - content ID not on the calendar",IF(AND(J109="",G109&lt;&gt;"Photo"),"Add - no link on a link post",IF(AND(P109&lt;&gt;"",S109&lt;TargetEngagement),"Review - below your target rate","OK"))))</f>
        <v>0</v>
      </c>
    </row>
    <row r="110" spans="1:24">
      <c r="A110" s="41">
        <f>IF(B110="","","FB-"&amp;TEXT(ROW()-4,"000"))</f>
        <v>0</v>
      </c>
      <c r="C110" s="17">
        <f>IF(B110="","",IFERROR(INDEX('Content Calendar'!$H$5:$H$604,MATCH(B110,'Content Calendar'!$A$5:$A$604,0)),"Not found"))</f>
        <v>0</v>
      </c>
      <c r="D110" s="16">
        <f>IF(B110="","",IFERROR(INDEX('Content Calendar'!$B$5:$B$604,MATCH(B110,'Content Calendar'!$A$5:$A$604,0)),"Not found"))</f>
        <v>0</v>
      </c>
      <c r="E110" s="17">
        <f>IF(B110="","",IFERROR(INDEX('Content Calendar'!$J$5:$J$604,MATCH(B110,'Content Calendar'!$A$5:$A$604,0)),"Not found"))</f>
        <v>0</v>
      </c>
      <c r="F110" s="29">
        <f>IF(B110="","",IFERROR(INDEX('Content Calendar'!$X$5:$X$604,MATCH(B110,'Content Calendar'!$A$5:$A$604,0)),"Not found"))</f>
        <v>0</v>
      </c>
      <c r="P110" s="23">
        <f>IF(B110="","",IF(COUNTIF(Performance!$B$5:$B$404,B110)=0,"",SUMIFS(Performance!$O$5:$O$404,Performance!$B$5:$B$404,B110)))</f>
        <v>0</v>
      </c>
      <c r="Q110" s="23">
        <f>IF(B110="","",IF(COUNTIF(Performance!$B$5:$B$404,B110)=0,"",SUMIFS(Performance!$P$5:$P$404,Performance!$B$5:$B$404,B110)))</f>
        <v>0</v>
      </c>
      <c r="R110" s="23">
        <f>IF(B110="","",IF(COUNTIF(Performance!$B$5:$B$404,B110)=0,"",SUMIFS(Performance!$Z$5:$Z$404,Performance!$B$5:$B$404,B110)))</f>
        <v>0</v>
      </c>
      <c r="S110" s="24">
        <f>IF(OR(P110="",P110=0),"",R110/P110)</f>
        <v>0</v>
      </c>
      <c r="T110" s="23">
        <f>IF(B110="","",IF(COUNTIF(Performance!$B$5:$B$404,B110)=0,"",SUMIFS(Performance!$T$5:$T$404,Performance!$B$5:$B$404,B110)))</f>
        <v>0</v>
      </c>
      <c r="U110" s="23">
        <f>IF(B110="","",IF(COUNTIF(Performance!$B$5:$B$404,B110)=0,"",SUMIFS(Performance!$S$5:$S$404,Performance!$B$5:$B$404,B110)))</f>
        <v>0</v>
      </c>
      <c r="V110" s="23">
        <f>IF(B110="","",IF(COUNTIF(Performance!$B$5:$B$404,B110)=0,"",SUMIFS(Performance!$R$5:$R$404,Performance!$B$5:$B$404,B110)))</f>
        <v>0</v>
      </c>
      <c r="W110" s="23">
        <f>IF(B110="","",IF(COUNTIF(Performance!$B$5:$B$404,B110)=0,"",SUMIFS(Performance!$U$5:$U$404,Performance!$B$5:$B$404,B110)))</f>
        <v>0</v>
      </c>
      <c r="X110" s="29">
        <f>IF(B110="","",IF(C110="Not found","Check - content ID not on the calendar",IF(AND(J110="",G110&lt;&gt;"Photo"),"Add - no link on a link post",IF(AND(P110&lt;&gt;"",S110&lt;TargetEngagement),"Review - below your target rate","OK"))))</f>
        <v>0</v>
      </c>
    </row>
    <row r="111" spans="1:24">
      <c r="A111" s="41">
        <f>IF(B111="","","FB-"&amp;TEXT(ROW()-4,"000"))</f>
        <v>0</v>
      </c>
      <c r="C111" s="17">
        <f>IF(B111="","",IFERROR(INDEX('Content Calendar'!$H$5:$H$604,MATCH(B111,'Content Calendar'!$A$5:$A$604,0)),"Not found"))</f>
        <v>0</v>
      </c>
      <c r="D111" s="16">
        <f>IF(B111="","",IFERROR(INDEX('Content Calendar'!$B$5:$B$604,MATCH(B111,'Content Calendar'!$A$5:$A$604,0)),"Not found"))</f>
        <v>0</v>
      </c>
      <c r="E111" s="17">
        <f>IF(B111="","",IFERROR(INDEX('Content Calendar'!$J$5:$J$604,MATCH(B111,'Content Calendar'!$A$5:$A$604,0)),"Not found"))</f>
        <v>0</v>
      </c>
      <c r="F111" s="29">
        <f>IF(B111="","",IFERROR(INDEX('Content Calendar'!$X$5:$X$604,MATCH(B111,'Content Calendar'!$A$5:$A$604,0)),"Not found"))</f>
        <v>0</v>
      </c>
      <c r="P111" s="23">
        <f>IF(B111="","",IF(COUNTIF(Performance!$B$5:$B$404,B111)=0,"",SUMIFS(Performance!$O$5:$O$404,Performance!$B$5:$B$404,B111)))</f>
        <v>0</v>
      </c>
      <c r="Q111" s="23">
        <f>IF(B111="","",IF(COUNTIF(Performance!$B$5:$B$404,B111)=0,"",SUMIFS(Performance!$P$5:$P$404,Performance!$B$5:$B$404,B111)))</f>
        <v>0</v>
      </c>
      <c r="R111" s="23">
        <f>IF(B111="","",IF(COUNTIF(Performance!$B$5:$B$404,B111)=0,"",SUMIFS(Performance!$Z$5:$Z$404,Performance!$B$5:$B$404,B111)))</f>
        <v>0</v>
      </c>
      <c r="S111" s="24">
        <f>IF(OR(P111="",P111=0),"",R111/P111)</f>
        <v>0</v>
      </c>
      <c r="T111" s="23">
        <f>IF(B111="","",IF(COUNTIF(Performance!$B$5:$B$404,B111)=0,"",SUMIFS(Performance!$T$5:$T$404,Performance!$B$5:$B$404,B111)))</f>
        <v>0</v>
      </c>
      <c r="U111" s="23">
        <f>IF(B111="","",IF(COUNTIF(Performance!$B$5:$B$404,B111)=0,"",SUMIFS(Performance!$S$5:$S$404,Performance!$B$5:$B$404,B111)))</f>
        <v>0</v>
      </c>
      <c r="V111" s="23">
        <f>IF(B111="","",IF(COUNTIF(Performance!$B$5:$B$404,B111)=0,"",SUMIFS(Performance!$R$5:$R$404,Performance!$B$5:$B$404,B111)))</f>
        <v>0</v>
      </c>
      <c r="W111" s="23">
        <f>IF(B111="","",IF(COUNTIF(Performance!$B$5:$B$404,B111)=0,"",SUMIFS(Performance!$U$5:$U$404,Performance!$B$5:$B$404,B111)))</f>
        <v>0</v>
      </c>
      <c r="X111" s="29">
        <f>IF(B111="","",IF(C111="Not found","Check - content ID not on the calendar",IF(AND(J111="",G111&lt;&gt;"Photo"),"Add - no link on a link post",IF(AND(P111&lt;&gt;"",S111&lt;TargetEngagement),"Review - below your target rate","OK"))))</f>
        <v>0</v>
      </c>
    </row>
    <row r="112" spans="1:24">
      <c r="A112" s="41">
        <f>IF(B112="","","FB-"&amp;TEXT(ROW()-4,"000"))</f>
        <v>0</v>
      </c>
      <c r="C112" s="17">
        <f>IF(B112="","",IFERROR(INDEX('Content Calendar'!$H$5:$H$604,MATCH(B112,'Content Calendar'!$A$5:$A$604,0)),"Not found"))</f>
        <v>0</v>
      </c>
      <c r="D112" s="16">
        <f>IF(B112="","",IFERROR(INDEX('Content Calendar'!$B$5:$B$604,MATCH(B112,'Content Calendar'!$A$5:$A$604,0)),"Not found"))</f>
        <v>0</v>
      </c>
      <c r="E112" s="17">
        <f>IF(B112="","",IFERROR(INDEX('Content Calendar'!$J$5:$J$604,MATCH(B112,'Content Calendar'!$A$5:$A$604,0)),"Not found"))</f>
        <v>0</v>
      </c>
      <c r="F112" s="29">
        <f>IF(B112="","",IFERROR(INDEX('Content Calendar'!$X$5:$X$604,MATCH(B112,'Content Calendar'!$A$5:$A$604,0)),"Not found"))</f>
        <v>0</v>
      </c>
      <c r="P112" s="23">
        <f>IF(B112="","",IF(COUNTIF(Performance!$B$5:$B$404,B112)=0,"",SUMIFS(Performance!$O$5:$O$404,Performance!$B$5:$B$404,B112)))</f>
        <v>0</v>
      </c>
      <c r="Q112" s="23">
        <f>IF(B112="","",IF(COUNTIF(Performance!$B$5:$B$404,B112)=0,"",SUMIFS(Performance!$P$5:$P$404,Performance!$B$5:$B$404,B112)))</f>
        <v>0</v>
      </c>
      <c r="R112" s="23">
        <f>IF(B112="","",IF(COUNTIF(Performance!$B$5:$B$404,B112)=0,"",SUMIFS(Performance!$Z$5:$Z$404,Performance!$B$5:$B$404,B112)))</f>
        <v>0</v>
      </c>
      <c r="S112" s="24">
        <f>IF(OR(P112="",P112=0),"",R112/P112)</f>
        <v>0</v>
      </c>
      <c r="T112" s="23">
        <f>IF(B112="","",IF(COUNTIF(Performance!$B$5:$B$404,B112)=0,"",SUMIFS(Performance!$T$5:$T$404,Performance!$B$5:$B$404,B112)))</f>
        <v>0</v>
      </c>
      <c r="U112" s="23">
        <f>IF(B112="","",IF(COUNTIF(Performance!$B$5:$B$404,B112)=0,"",SUMIFS(Performance!$S$5:$S$404,Performance!$B$5:$B$404,B112)))</f>
        <v>0</v>
      </c>
      <c r="V112" s="23">
        <f>IF(B112="","",IF(COUNTIF(Performance!$B$5:$B$404,B112)=0,"",SUMIFS(Performance!$R$5:$R$404,Performance!$B$5:$B$404,B112)))</f>
        <v>0</v>
      </c>
      <c r="W112" s="23">
        <f>IF(B112="","",IF(COUNTIF(Performance!$B$5:$B$404,B112)=0,"",SUMIFS(Performance!$U$5:$U$404,Performance!$B$5:$B$404,B112)))</f>
        <v>0</v>
      </c>
      <c r="X112" s="29">
        <f>IF(B112="","",IF(C112="Not found","Check - content ID not on the calendar",IF(AND(J112="",G112&lt;&gt;"Photo"),"Add - no link on a link post",IF(AND(P112&lt;&gt;"",S112&lt;TargetEngagement),"Review - below your target rate","OK"))))</f>
        <v>0</v>
      </c>
    </row>
    <row r="113" spans="1:24">
      <c r="A113" s="41">
        <f>IF(B113="","","FB-"&amp;TEXT(ROW()-4,"000"))</f>
        <v>0</v>
      </c>
      <c r="C113" s="17">
        <f>IF(B113="","",IFERROR(INDEX('Content Calendar'!$H$5:$H$604,MATCH(B113,'Content Calendar'!$A$5:$A$604,0)),"Not found"))</f>
        <v>0</v>
      </c>
      <c r="D113" s="16">
        <f>IF(B113="","",IFERROR(INDEX('Content Calendar'!$B$5:$B$604,MATCH(B113,'Content Calendar'!$A$5:$A$604,0)),"Not found"))</f>
        <v>0</v>
      </c>
      <c r="E113" s="17">
        <f>IF(B113="","",IFERROR(INDEX('Content Calendar'!$J$5:$J$604,MATCH(B113,'Content Calendar'!$A$5:$A$604,0)),"Not found"))</f>
        <v>0</v>
      </c>
      <c r="F113" s="29">
        <f>IF(B113="","",IFERROR(INDEX('Content Calendar'!$X$5:$X$604,MATCH(B113,'Content Calendar'!$A$5:$A$604,0)),"Not found"))</f>
        <v>0</v>
      </c>
      <c r="P113" s="23">
        <f>IF(B113="","",IF(COUNTIF(Performance!$B$5:$B$404,B113)=0,"",SUMIFS(Performance!$O$5:$O$404,Performance!$B$5:$B$404,B113)))</f>
        <v>0</v>
      </c>
      <c r="Q113" s="23">
        <f>IF(B113="","",IF(COUNTIF(Performance!$B$5:$B$404,B113)=0,"",SUMIFS(Performance!$P$5:$P$404,Performance!$B$5:$B$404,B113)))</f>
        <v>0</v>
      </c>
      <c r="R113" s="23">
        <f>IF(B113="","",IF(COUNTIF(Performance!$B$5:$B$404,B113)=0,"",SUMIFS(Performance!$Z$5:$Z$404,Performance!$B$5:$B$404,B113)))</f>
        <v>0</v>
      </c>
      <c r="S113" s="24">
        <f>IF(OR(P113="",P113=0),"",R113/P113)</f>
        <v>0</v>
      </c>
      <c r="T113" s="23">
        <f>IF(B113="","",IF(COUNTIF(Performance!$B$5:$B$404,B113)=0,"",SUMIFS(Performance!$T$5:$T$404,Performance!$B$5:$B$404,B113)))</f>
        <v>0</v>
      </c>
      <c r="U113" s="23">
        <f>IF(B113="","",IF(COUNTIF(Performance!$B$5:$B$404,B113)=0,"",SUMIFS(Performance!$S$5:$S$404,Performance!$B$5:$B$404,B113)))</f>
        <v>0</v>
      </c>
      <c r="V113" s="23">
        <f>IF(B113="","",IF(COUNTIF(Performance!$B$5:$B$404,B113)=0,"",SUMIFS(Performance!$R$5:$R$404,Performance!$B$5:$B$404,B113)))</f>
        <v>0</v>
      </c>
      <c r="W113" s="23">
        <f>IF(B113="","",IF(COUNTIF(Performance!$B$5:$B$404,B113)=0,"",SUMIFS(Performance!$U$5:$U$404,Performance!$B$5:$B$404,B113)))</f>
        <v>0</v>
      </c>
      <c r="X113" s="29">
        <f>IF(B113="","",IF(C113="Not found","Check - content ID not on the calendar",IF(AND(J113="",G113&lt;&gt;"Photo"),"Add - no link on a link post",IF(AND(P113&lt;&gt;"",S113&lt;TargetEngagement),"Review - below your target rate","OK"))))</f>
        <v>0</v>
      </c>
    </row>
    <row r="114" spans="1:24">
      <c r="A114" s="41">
        <f>IF(B114="","","FB-"&amp;TEXT(ROW()-4,"000"))</f>
        <v>0</v>
      </c>
      <c r="C114" s="17">
        <f>IF(B114="","",IFERROR(INDEX('Content Calendar'!$H$5:$H$604,MATCH(B114,'Content Calendar'!$A$5:$A$604,0)),"Not found"))</f>
        <v>0</v>
      </c>
      <c r="D114" s="16">
        <f>IF(B114="","",IFERROR(INDEX('Content Calendar'!$B$5:$B$604,MATCH(B114,'Content Calendar'!$A$5:$A$604,0)),"Not found"))</f>
        <v>0</v>
      </c>
      <c r="E114" s="17">
        <f>IF(B114="","",IFERROR(INDEX('Content Calendar'!$J$5:$J$604,MATCH(B114,'Content Calendar'!$A$5:$A$604,0)),"Not found"))</f>
        <v>0</v>
      </c>
      <c r="F114" s="29">
        <f>IF(B114="","",IFERROR(INDEX('Content Calendar'!$X$5:$X$604,MATCH(B114,'Content Calendar'!$A$5:$A$604,0)),"Not found"))</f>
        <v>0</v>
      </c>
      <c r="P114" s="23">
        <f>IF(B114="","",IF(COUNTIF(Performance!$B$5:$B$404,B114)=0,"",SUMIFS(Performance!$O$5:$O$404,Performance!$B$5:$B$404,B114)))</f>
        <v>0</v>
      </c>
      <c r="Q114" s="23">
        <f>IF(B114="","",IF(COUNTIF(Performance!$B$5:$B$404,B114)=0,"",SUMIFS(Performance!$P$5:$P$404,Performance!$B$5:$B$404,B114)))</f>
        <v>0</v>
      </c>
      <c r="R114" s="23">
        <f>IF(B114="","",IF(COUNTIF(Performance!$B$5:$B$404,B114)=0,"",SUMIFS(Performance!$Z$5:$Z$404,Performance!$B$5:$B$404,B114)))</f>
        <v>0</v>
      </c>
      <c r="S114" s="24">
        <f>IF(OR(P114="",P114=0),"",R114/P114)</f>
        <v>0</v>
      </c>
      <c r="T114" s="23">
        <f>IF(B114="","",IF(COUNTIF(Performance!$B$5:$B$404,B114)=0,"",SUMIFS(Performance!$T$5:$T$404,Performance!$B$5:$B$404,B114)))</f>
        <v>0</v>
      </c>
      <c r="U114" s="23">
        <f>IF(B114="","",IF(COUNTIF(Performance!$B$5:$B$404,B114)=0,"",SUMIFS(Performance!$S$5:$S$404,Performance!$B$5:$B$404,B114)))</f>
        <v>0</v>
      </c>
      <c r="V114" s="23">
        <f>IF(B114="","",IF(COUNTIF(Performance!$B$5:$B$404,B114)=0,"",SUMIFS(Performance!$R$5:$R$404,Performance!$B$5:$B$404,B114)))</f>
        <v>0</v>
      </c>
      <c r="W114" s="23">
        <f>IF(B114="","",IF(COUNTIF(Performance!$B$5:$B$404,B114)=0,"",SUMIFS(Performance!$U$5:$U$404,Performance!$B$5:$B$404,B114)))</f>
        <v>0</v>
      </c>
      <c r="X114" s="29">
        <f>IF(B114="","",IF(C114="Not found","Check - content ID not on the calendar",IF(AND(J114="",G114&lt;&gt;"Photo"),"Add - no link on a link post",IF(AND(P114&lt;&gt;"",S114&lt;TargetEngagement),"Review - below your target rate","OK"))))</f>
        <v>0</v>
      </c>
    </row>
    <row r="115" spans="1:24">
      <c r="A115" s="41">
        <f>IF(B115="","","FB-"&amp;TEXT(ROW()-4,"000"))</f>
        <v>0</v>
      </c>
      <c r="C115" s="17">
        <f>IF(B115="","",IFERROR(INDEX('Content Calendar'!$H$5:$H$604,MATCH(B115,'Content Calendar'!$A$5:$A$604,0)),"Not found"))</f>
        <v>0</v>
      </c>
      <c r="D115" s="16">
        <f>IF(B115="","",IFERROR(INDEX('Content Calendar'!$B$5:$B$604,MATCH(B115,'Content Calendar'!$A$5:$A$604,0)),"Not found"))</f>
        <v>0</v>
      </c>
      <c r="E115" s="17">
        <f>IF(B115="","",IFERROR(INDEX('Content Calendar'!$J$5:$J$604,MATCH(B115,'Content Calendar'!$A$5:$A$604,0)),"Not found"))</f>
        <v>0</v>
      </c>
      <c r="F115" s="29">
        <f>IF(B115="","",IFERROR(INDEX('Content Calendar'!$X$5:$X$604,MATCH(B115,'Content Calendar'!$A$5:$A$604,0)),"Not found"))</f>
        <v>0</v>
      </c>
      <c r="P115" s="23">
        <f>IF(B115="","",IF(COUNTIF(Performance!$B$5:$B$404,B115)=0,"",SUMIFS(Performance!$O$5:$O$404,Performance!$B$5:$B$404,B115)))</f>
        <v>0</v>
      </c>
      <c r="Q115" s="23">
        <f>IF(B115="","",IF(COUNTIF(Performance!$B$5:$B$404,B115)=0,"",SUMIFS(Performance!$P$5:$P$404,Performance!$B$5:$B$404,B115)))</f>
        <v>0</v>
      </c>
      <c r="R115" s="23">
        <f>IF(B115="","",IF(COUNTIF(Performance!$B$5:$B$404,B115)=0,"",SUMIFS(Performance!$Z$5:$Z$404,Performance!$B$5:$B$404,B115)))</f>
        <v>0</v>
      </c>
      <c r="S115" s="24">
        <f>IF(OR(P115="",P115=0),"",R115/P115)</f>
        <v>0</v>
      </c>
      <c r="T115" s="23">
        <f>IF(B115="","",IF(COUNTIF(Performance!$B$5:$B$404,B115)=0,"",SUMIFS(Performance!$T$5:$T$404,Performance!$B$5:$B$404,B115)))</f>
        <v>0</v>
      </c>
      <c r="U115" s="23">
        <f>IF(B115="","",IF(COUNTIF(Performance!$B$5:$B$404,B115)=0,"",SUMIFS(Performance!$S$5:$S$404,Performance!$B$5:$B$404,B115)))</f>
        <v>0</v>
      </c>
      <c r="V115" s="23">
        <f>IF(B115="","",IF(COUNTIF(Performance!$B$5:$B$404,B115)=0,"",SUMIFS(Performance!$R$5:$R$404,Performance!$B$5:$B$404,B115)))</f>
        <v>0</v>
      </c>
      <c r="W115" s="23">
        <f>IF(B115="","",IF(COUNTIF(Performance!$B$5:$B$404,B115)=0,"",SUMIFS(Performance!$U$5:$U$404,Performance!$B$5:$B$404,B115)))</f>
        <v>0</v>
      </c>
      <c r="X115" s="29">
        <f>IF(B115="","",IF(C115="Not found","Check - content ID not on the calendar",IF(AND(J115="",G115&lt;&gt;"Photo"),"Add - no link on a link post",IF(AND(P115&lt;&gt;"",S115&lt;TargetEngagement),"Review - below your target rate","OK"))))</f>
        <v>0</v>
      </c>
    </row>
    <row r="116" spans="1:24">
      <c r="A116" s="41">
        <f>IF(B116="","","FB-"&amp;TEXT(ROW()-4,"000"))</f>
        <v>0</v>
      </c>
      <c r="C116" s="17">
        <f>IF(B116="","",IFERROR(INDEX('Content Calendar'!$H$5:$H$604,MATCH(B116,'Content Calendar'!$A$5:$A$604,0)),"Not found"))</f>
        <v>0</v>
      </c>
      <c r="D116" s="16">
        <f>IF(B116="","",IFERROR(INDEX('Content Calendar'!$B$5:$B$604,MATCH(B116,'Content Calendar'!$A$5:$A$604,0)),"Not found"))</f>
        <v>0</v>
      </c>
      <c r="E116" s="17">
        <f>IF(B116="","",IFERROR(INDEX('Content Calendar'!$J$5:$J$604,MATCH(B116,'Content Calendar'!$A$5:$A$604,0)),"Not found"))</f>
        <v>0</v>
      </c>
      <c r="F116" s="29">
        <f>IF(B116="","",IFERROR(INDEX('Content Calendar'!$X$5:$X$604,MATCH(B116,'Content Calendar'!$A$5:$A$604,0)),"Not found"))</f>
        <v>0</v>
      </c>
      <c r="P116" s="23">
        <f>IF(B116="","",IF(COUNTIF(Performance!$B$5:$B$404,B116)=0,"",SUMIFS(Performance!$O$5:$O$404,Performance!$B$5:$B$404,B116)))</f>
        <v>0</v>
      </c>
      <c r="Q116" s="23">
        <f>IF(B116="","",IF(COUNTIF(Performance!$B$5:$B$404,B116)=0,"",SUMIFS(Performance!$P$5:$P$404,Performance!$B$5:$B$404,B116)))</f>
        <v>0</v>
      </c>
      <c r="R116" s="23">
        <f>IF(B116="","",IF(COUNTIF(Performance!$B$5:$B$404,B116)=0,"",SUMIFS(Performance!$Z$5:$Z$404,Performance!$B$5:$B$404,B116)))</f>
        <v>0</v>
      </c>
      <c r="S116" s="24">
        <f>IF(OR(P116="",P116=0),"",R116/P116)</f>
        <v>0</v>
      </c>
      <c r="T116" s="23">
        <f>IF(B116="","",IF(COUNTIF(Performance!$B$5:$B$404,B116)=0,"",SUMIFS(Performance!$T$5:$T$404,Performance!$B$5:$B$404,B116)))</f>
        <v>0</v>
      </c>
      <c r="U116" s="23">
        <f>IF(B116="","",IF(COUNTIF(Performance!$B$5:$B$404,B116)=0,"",SUMIFS(Performance!$S$5:$S$404,Performance!$B$5:$B$404,B116)))</f>
        <v>0</v>
      </c>
      <c r="V116" s="23">
        <f>IF(B116="","",IF(COUNTIF(Performance!$B$5:$B$404,B116)=0,"",SUMIFS(Performance!$R$5:$R$404,Performance!$B$5:$B$404,B116)))</f>
        <v>0</v>
      </c>
      <c r="W116" s="23">
        <f>IF(B116="","",IF(COUNTIF(Performance!$B$5:$B$404,B116)=0,"",SUMIFS(Performance!$U$5:$U$404,Performance!$B$5:$B$404,B116)))</f>
        <v>0</v>
      </c>
      <c r="X116" s="29">
        <f>IF(B116="","",IF(C116="Not found","Check - content ID not on the calendar",IF(AND(J116="",G116&lt;&gt;"Photo"),"Add - no link on a link post",IF(AND(P116&lt;&gt;"",S116&lt;TargetEngagement),"Review - below your target rate","OK"))))</f>
        <v>0</v>
      </c>
    </row>
    <row r="117" spans="1:24">
      <c r="A117" s="41">
        <f>IF(B117="","","FB-"&amp;TEXT(ROW()-4,"000"))</f>
        <v>0</v>
      </c>
      <c r="C117" s="17">
        <f>IF(B117="","",IFERROR(INDEX('Content Calendar'!$H$5:$H$604,MATCH(B117,'Content Calendar'!$A$5:$A$604,0)),"Not found"))</f>
        <v>0</v>
      </c>
      <c r="D117" s="16">
        <f>IF(B117="","",IFERROR(INDEX('Content Calendar'!$B$5:$B$604,MATCH(B117,'Content Calendar'!$A$5:$A$604,0)),"Not found"))</f>
        <v>0</v>
      </c>
      <c r="E117" s="17">
        <f>IF(B117="","",IFERROR(INDEX('Content Calendar'!$J$5:$J$604,MATCH(B117,'Content Calendar'!$A$5:$A$604,0)),"Not found"))</f>
        <v>0</v>
      </c>
      <c r="F117" s="29">
        <f>IF(B117="","",IFERROR(INDEX('Content Calendar'!$X$5:$X$604,MATCH(B117,'Content Calendar'!$A$5:$A$604,0)),"Not found"))</f>
        <v>0</v>
      </c>
      <c r="P117" s="23">
        <f>IF(B117="","",IF(COUNTIF(Performance!$B$5:$B$404,B117)=0,"",SUMIFS(Performance!$O$5:$O$404,Performance!$B$5:$B$404,B117)))</f>
        <v>0</v>
      </c>
      <c r="Q117" s="23">
        <f>IF(B117="","",IF(COUNTIF(Performance!$B$5:$B$404,B117)=0,"",SUMIFS(Performance!$P$5:$P$404,Performance!$B$5:$B$404,B117)))</f>
        <v>0</v>
      </c>
      <c r="R117" s="23">
        <f>IF(B117="","",IF(COUNTIF(Performance!$B$5:$B$404,B117)=0,"",SUMIFS(Performance!$Z$5:$Z$404,Performance!$B$5:$B$404,B117)))</f>
        <v>0</v>
      </c>
      <c r="S117" s="24">
        <f>IF(OR(P117="",P117=0),"",R117/P117)</f>
        <v>0</v>
      </c>
      <c r="T117" s="23">
        <f>IF(B117="","",IF(COUNTIF(Performance!$B$5:$B$404,B117)=0,"",SUMIFS(Performance!$T$5:$T$404,Performance!$B$5:$B$404,B117)))</f>
        <v>0</v>
      </c>
      <c r="U117" s="23">
        <f>IF(B117="","",IF(COUNTIF(Performance!$B$5:$B$404,B117)=0,"",SUMIFS(Performance!$S$5:$S$404,Performance!$B$5:$B$404,B117)))</f>
        <v>0</v>
      </c>
      <c r="V117" s="23">
        <f>IF(B117="","",IF(COUNTIF(Performance!$B$5:$B$404,B117)=0,"",SUMIFS(Performance!$R$5:$R$404,Performance!$B$5:$B$404,B117)))</f>
        <v>0</v>
      </c>
      <c r="W117" s="23">
        <f>IF(B117="","",IF(COUNTIF(Performance!$B$5:$B$404,B117)=0,"",SUMIFS(Performance!$U$5:$U$404,Performance!$B$5:$B$404,B117)))</f>
        <v>0</v>
      </c>
      <c r="X117" s="29">
        <f>IF(B117="","",IF(C117="Not found","Check - content ID not on the calendar",IF(AND(J117="",G117&lt;&gt;"Photo"),"Add - no link on a link post",IF(AND(P117&lt;&gt;"",S117&lt;TargetEngagement),"Review - below your target rate","OK"))))</f>
        <v>0</v>
      </c>
    </row>
    <row r="118" spans="1:24">
      <c r="A118" s="41">
        <f>IF(B118="","","FB-"&amp;TEXT(ROW()-4,"000"))</f>
        <v>0</v>
      </c>
      <c r="C118" s="17">
        <f>IF(B118="","",IFERROR(INDEX('Content Calendar'!$H$5:$H$604,MATCH(B118,'Content Calendar'!$A$5:$A$604,0)),"Not found"))</f>
        <v>0</v>
      </c>
      <c r="D118" s="16">
        <f>IF(B118="","",IFERROR(INDEX('Content Calendar'!$B$5:$B$604,MATCH(B118,'Content Calendar'!$A$5:$A$604,0)),"Not found"))</f>
        <v>0</v>
      </c>
      <c r="E118" s="17">
        <f>IF(B118="","",IFERROR(INDEX('Content Calendar'!$J$5:$J$604,MATCH(B118,'Content Calendar'!$A$5:$A$604,0)),"Not found"))</f>
        <v>0</v>
      </c>
      <c r="F118" s="29">
        <f>IF(B118="","",IFERROR(INDEX('Content Calendar'!$X$5:$X$604,MATCH(B118,'Content Calendar'!$A$5:$A$604,0)),"Not found"))</f>
        <v>0</v>
      </c>
      <c r="P118" s="23">
        <f>IF(B118="","",IF(COUNTIF(Performance!$B$5:$B$404,B118)=0,"",SUMIFS(Performance!$O$5:$O$404,Performance!$B$5:$B$404,B118)))</f>
        <v>0</v>
      </c>
      <c r="Q118" s="23">
        <f>IF(B118="","",IF(COUNTIF(Performance!$B$5:$B$404,B118)=0,"",SUMIFS(Performance!$P$5:$P$404,Performance!$B$5:$B$404,B118)))</f>
        <v>0</v>
      </c>
      <c r="R118" s="23">
        <f>IF(B118="","",IF(COUNTIF(Performance!$B$5:$B$404,B118)=0,"",SUMIFS(Performance!$Z$5:$Z$404,Performance!$B$5:$B$404,B118)))</f>
        <v>0</v>
      </c>
      <c r="S118" s="24">
        <f>IF(OR(P118="",P118=0),"",R118/P118)</f>
        <v>0</v>
      </c>
      <c r="T118" s="23">
        <f>IF(B118="","",IF(COUNTIF(Performance!$B$5:$B$404,B118)=0,"",SUMIFS(Performance!$T$5:$T$404,Performance!$B$5:$B$404,B118)))</f>
        <v>0</v>
      </c>
      <c r="U118" s="23">
        <f>IF(B118="","",IF(COUNTIF(Performance!$B$5:$B$404,B118)=0,"",SUMIFS(Performance!$S$5:$S$404,Performance!$B$5:$B$404,B118)))</f>
        <v>0</v>
      </c>
      <c r="V118" s="23">
        <f>IF(B118="","",IF(COUNTIF(Performance!$B$5:$B$404,B118)=0,"",SUMIFS(Performance!$R$5:$R$404,Performance!$B$5:$B$404,B118)))</f>
        <v>0</v>
      </c>
      <c r="W118" s="23">
        <f>IF(B118="","",IF(COUNTIF(Performance!$B$5:$B$404,B118)=0,"",SUMIFS(Performance!$U$5:$U$404,Performance!$B$5:$B$404,B118)))</f>
        <v>0</v>
      </c>
      <c r="X118" s="29">
        <f>IF(B118="","",IF(C118="Not found","Check - content ID not on the calendar",IF(AND(J118="",G118&lt;&gt;"Photo"),"Add - no link on a link post",IF(AND(P118&lt;&gt;"",S118&lt;TargetEngagement),"Review - below your target rate","OK"))))</f>
        <v>0</v>
      </c>
    </row>
    <row r="119" spans="1:24">
      <c r="A119" s="41">
        <f>IF(B119="","","FB-"&amp;TEXT(ROW()-4,"000"))</f>
        <v>0</v>
      </c>
      <c r="C119" s="17">
        <f>IF(B119="","",IFERROR(INDEX('Content Calendar'!$H$5:$H$604,MATCH(B119,'Content Calendar'!$A$5:$A$604,0)),"Not found"))</f>
        <v>0</v>
      </c>
      <c r="D119" s="16">
        <f>IF(B119="","",IFERROR(INDEX('Content Calendar'!$B$5:$B$604,MATCH(B119,'Content Calendar'!$A$5:$A$604,0)),"Not found"))</f>
        <v>0</v>
      </c>
      <c r="E119" s="17">
        <f>IF(B119="","",IFERROR(INDEX('Content Calendar'!$J$5:$J$604,MATCH(B119,'Content Calendar'!$A$5:$A$604,0)),"Not found"))</f>
        <v>0</v>
      </c>
      <c r="F119" s="29">
        <f>IF(B119="","",IFERROR(INDEX('Content Calendar'!$X$5:$X$604,MATCH(B119,'Content Calendar'!$A$5:$A$604,0)),"Not found"))</f>
        <v>0</v>
      </c>
      <c r="P119" s="23">
        <f>IF(B119="","",IF(COUNTIF(Performance!$B$5:$B$404,B119)=0,"",SUMIFS(Performance!$O$5:$O$404,Performance!$B$5:$B$404,B119)))</f>
        <v>0</v>
      </c>
      <c r="Q119" s="23">
        <f>IF(B119="","",IF(COUNTIF(Performance!$B$5:$B$404,B119)=0,"",SUMIFS(Performance!$P$5:$P$404,Performance!$B$5:$B$404,B119)))</f>
        <v>0</v>
      </c>
      <c r="R119" s="23">
        <f>IF(B119="","",IF(COUNTIF(Performance!$B$5:$B$404,B119)=0,"",SUMIFS(Performance!$Z$5:$Z$404,Performance!$B$5:$B$404,B119)))</f>
        <v>0</v>
      </c>
      <c r="S119" s="24">
        <f>IF(OR(P119="",P119=0),"",R119/P119)</f>
        <v>0</v>
      </c>
      <c r="T119" s="23">
        <f>IF(B119="","",IF(COUNTIF(Performance!$B$5:$B$404,B119)=0,"",SUMIFS(Performance!$T$5:$T$404,Performance!$B$5:$B$404,B119)))</f>
        <v>0</v>
      </c>
      <c r="U119" s="23">
        <f>IF(B119="","",IF(COUNTIF(Performance!$B$5:$B$404,B119)=0,"",SUMIFS(Performance!$S$5:$S$404,Performance!$B$5:$B$404,B119)))</f>
        <v>0</v>
      </c>
      <c r="V119" s="23">
        <f>IF(B119="","",IF(COUNTIF(Performance!$B$5:$B$404,B119)=0,"",SUMIFS(Performance!$R$5:$R$404,Performance!$B$5:$B$404,B119)))</f>
        <v>0</v>
      </c>
      <c r="W119" s="23">
        <f>IF(B119="","",IF(COUNTIF(Performance!$B$5:$B$404,B119)=0,"",SUMIFS(Performance!$U$5:$U$404,Performance!$B$5:$B$404,B119)))</f>
        <v>0</v>
      </c>
      <c r="X119" s="29">
        <f>IF(B119="","",IF(C119="Not found","Check - content ID not on the calendar",IF(AND(J119="",G119&lt;&gt;"Photo"),"Add - no link on a link post",IF(AND(P119&lt;&gt;"",S119&lt;TargetEngagement),"Review - below your target rate","OK"))))</f>
        <v>0</v>
      </c>
    </row>
    <row r="120" spans="1:24">
      <c r="A120" s="41">
        <f>IF(B120="","","FB-"&amp;TEXT(ROW()-4,"000"))</f>
        <v>0</v>
      </c>
      <c r="C120" s="17">
        <f>IF(B120="","",IFERROR(INDEX('Content Calendar'!$H$5:$H$604,MATCH(B120,'Content Calendar'!$A$5:$A$604,0)),"Not found"))</f>
        <v>0</v>
      </c>
      <c r="D120" s="16">
        <f>IF(B120="","",IFERROR(INDEX('Content Calendar'!$B$5:$B$604,MATCH(B120,'Content Calendar'!$A$5:$A$604,0)),"Not found"))</f>
        <v>0</v>
      </c>
      <c r="E120" s="17">
        <f>IF(B120="","",IFERROR(INDEX('Content Calendar'!$J$5:$J$604,MATCH(B120,'Content Calendar'!$A$5:$A$604,0)),"Not found"))</f>
        <v>0</v>
      </c>
      <c r="F120" s="29">
        <f>IF(B120="","",IFERROR(INDEX('Content Calendar'!$X$5:$X$604,MATCH(B120,'Content Calendar'!$A$5:$A$604,0)),"Not found"))</f>
        <v>0</v>
      </c>
      <c r="P120" s="23">
        <f>IF(B120="","",IF(COUNTIF(Performance!$B$5:$B$404,B120)=0,"",SUMIFS(Performance!$O$5:$O$404,Performance!$B$5:$B$404,B120)))</f>
        <v>0</v>
      </c>
      <c r="Q120" s="23">
        <f>IF(B120="","",IF(COUNTIF(Performance!$B$5:$B$404,B120)=0,"",SUMIFS(Performance!$P$5:$P$404,Performance!$B$5:$B$404,B120)))</f>
        <v>0</v>
      </c>
      <c r="R120" s="23">
        <f>IF(B120="","",IF(COUNTIF(Performance!$B$5:$B$404,B120)=0,"",SUMIFS(Performance!$Z$5:$Z$404,Performance!$B$5:$B$404,B120)))</f>
        <v>0</v>
      </c>
      <c r="S120" s="24">
        <f>IF(OR(P120="",P120=0),"",R120/P120)</f>
        <v>0</v>
      </c>
      <c r="T120" s="23">
        <f>IF(B120="","",IF(COUNTIF(Performance!$B$5:$B$404,B120)=0,"",SUMIFS(Performance!$T$5:$T$404,Performance!$B$5:$B$404,B120)))</f>
        <v>0</v>
      </c>
      <c r="U120" s="23">
        <f>IF(B120="","",IF(COUNTIF(Performance!$B$5:$B$404,B120)=0,"",SUMIFS(Performance!$S$5:$S$404,Performance!$B$5:$B$404,B120)))</f>
        <v>0</v>
      </c>
      <c r="V120" s="23">
        <f>IF(B120="","",IF(COUNTIF(Performance!$B$5:$B$404,B120)=0,"",SUMIFS(Performance!$R$5:$R$404,Performance!$B$5:$B$404,B120)))</f>
        <v>0</v>
      </c>
      <c r="W120" s="23">
        <f>IF(B120="","",IF(COUNTIF(Performance!$B$5:$B$404,B120)=0,"",SUMIFS(Performance!$U$5:$U$404,Performance!$B$5:$B$404,B120)))</f>
        <v>0</v>
      </c>
      <c r="X120" s="29">
        <f>IF(B120="","",IF(C120="Not found","Check - content ID not on the calendar",IF(AND(J120="",G120&lt;&gt;"Photo"),"Add - no link on a link post",IF(AND(P120&lt;&gt;"",S120&lt;TargetEngagement),"Review - below your target rate","OK"))))</f>
        <v>0</v>
      </c>
    </row>
    <row r="121" spans="1:24">
      <c r="A121" s="41">
        <f>IF(B121="","","FB-"&amp;TEXT(ROW()-4,"000"))</f>
        <v>0</v>
      </c>
      <c r="C121" s="17">
        <f>IF(B121="","",IFERROR(INDEX('Content Calendar'!$H$5:$H$604,MATCH(B121,'Content Calendar'!$A$5:$A$604,0)),"Not found"))</f>
        <v>0</v>
      </c>
      <c r="D121" s="16">
        <f>IF(B121="","",IFERROR(INDEX('Content Calendar'!$B$5:$B$604,MATCH(B121,'Content Calendar'!$A$5:$A$604,0)),"Not found"))</f>
        <v>0</v>
      </c>
      <c r="E121" s="17">
        <f>IF(B121="","",IFERROR(INDEX('Content Calendar'!$J$5:$J$604,MATCH(B121,'Content Calendar'!$A$5:$A$604,0)),"Not found"))</f>
        <v>0</v>
      </c>
      <c r="F121" s="29">
        <f>IF(B121="","",IFERROR(INDEX('Content Calendar'!$X$5:$X$604,MATCH(B121,'Content Calendar'!$A$5:$A$604,0)),"Not found"))</f>
        <v>0</v>
      </c>
      <c r="P121" s="23">
        <f>IF(B121="","",IF(COUNTIF(Performance!$B$5:$B$404,B121)=0,"",SUMIFS(Performance!$O$5:$O$404,Performance!$B$5:$B$404,B121)))</f>
        <v>0</v>
      </c>
      <c r="Q121" s="23">
        <f>IF(B121="","",IF(COUNTIF(Performance!$B$5:$B$404,B121)=0,"",SUMIFS(Performance!$P$5:$P$404,Performance!$B$5:$B$404,B121)))</f>
        <v>0</v>
      </c>
      <c r="R121" s="23">
        <f>IF(B121="","",IF(COUNTIF(Performance!$B$5:$B$404,B121)=0,"",SUMIFS(Performance!$Z$5:$Z$404,Performance!$B$5:$B$404,B121)))</f>
        <v>0</v>
      </c>
      <c r="S121" s="24">
        <f>IF(OR(P121="",P121=0),"",R121/P121)</f>
        <v>0</v>
      </c>
      <c r="T121" s="23">
        <f>IF(B121="","",IF(COUNTIF(Performance!$B$5:$B$404,B121)=0,"",SUMIFS(Performance!$T$5:$T$404,Performance!$B$5:$B$404,B121)))</f>
        <v>0</v>
      </c>
      <c r="U121" s="23">
        <f>IF(B121="","",IF(COUNTIF(Performance!$B$5:$B$404,B121)=0,"",SUMIFS(Performance!$S$5:$S$404,Performance!$B$5:$B$404,B121)))</f>
        <v>0</v>
      </c>
      <c r="V121" s="23">
        <f>IF(B121="","",IF(COUNTIF(Performance!$B$5:$B$404,B121)=0,"",SUMIFS(Performance!$R$5:$R$404,Performance!$B$5:$B$404,B121)))</f>
        <v>0</v>
      </c>
      <c r="W121" s="23">
        <f>IF(B121="","",IF(COUNTIF(Performance!$B$5:$B$404,B121)=0,"",SUMIFS(Performance!$U$5:$U$404,Performance!$B$5:$B$404,B121)))</f>
        <v>0</v>
      </c>
      <c r="X121" s="29">
        <f>IF(B121="","",IF(C121="Not found","Check - content ID not on the calendar",IF(AND(J121="",G121&lt;&gt;"Photo"),"Add - no link on a link post",IF(AND(P121&lt;&gt;"",S121&lt;TargetEngagement),"Review - below your target rate","OK"))))</f>
        <v>0</v>
      </c>
    </row>
    <row r="122" spans="1:24">
      <c r="A122" s="41">
        <f>IF(B122="","","FB-"&amp;TEXT(ROW()-4,"000"))</f>
        <v>0</v>
      </c>
      <c r="C122" s="17">
        <f>IF(B122="","",IFERROR(INDEX('Content Calendar'!$H$5:$H$604,MATCH(B122,'Content Calendar'!$A$5:$A$604,0)),"Not found"))</f>
        <v>0</v>
      </c>
      <c r="D122" s="16">
        <f>IF(B122="","",IFERROR(INDEX('Content Calendar'!$B$5:$B$604,MATCH(B122,'Content Calendar'!$A$5:$A$604,0)),"Not found"))</f>
        <v>0</v>
      </c>
      <c r="E122" s="17">
        <f>IF(B122="","",IFERROR(INDEX('Content Calendar'!$J$5:$J$604,MATCH(B122,'Content Calendar'!$A$5:$A$604,0)),"Not found"))</f>
        <v>0</v>
      </c>
      <c r="F122" s="29">
        <f>IF(B122="","",IFERROR(INDEX('Content Calendar'!$X$5:$X$604,MATCH(B122,'Content Calendar'!$A$5:$A$604,0)),"Not found"))</f>
        <v>0</v>
      </c>
      <c r="P122" s="23">
        <f>IF(B122="","",IF(COUNTIF(Performance!$B$5:$B$404,B122)=0,"",SUMIFS(Performance!$O$5:$O$404,Performance!$B$5:$B$404,B122)))</f>
        <v>0</v>
      </c>
      <c r="Q122" s="23">
        <f>IF(B122="","",IF(COUNTIF(Performance!$B$5:$B$404,B122)=0,"",SUMIFS(Performance!$P$5:$P$404,Performance!$B$5:$B$404,B122)))</f>
        <v>0</v>
      </c>
      <c r="R122" s="23">
        <f>IF(B122="","",IF(COUNTIF(Performance!$B$5:$B$404,B122)=0,"",SUMIFS(Performance!$Z$5:$Z$404,Performance!$B$5:$B$404,B122)))</f>
        <v>0</v>
      </c>
      <c r="S122" s="24">
        <f>IF(OR(P122="",P122=0),"",R122/P122)</f>
        <v>0</v>
      </c>
      <c r="T122" s="23">
        <f>IF(B122="","",IF(COUNTIF(Performance!$B$5:$B$404,B122)=0,"",SUMIFS(Performance!$T$5:$T$404,Performance!$B$5:$B$404,B122)))</f>
        <v>0</v>
      </c>
      <c r="U122" s="23">
        <f>IF(B122="","",IF(COUNTIF(Performance!$B$5:$B$404,B122)=0,"",SUMIFS(Performance!$S$5:$S$404,Performance!$B$5:$B$404,B122)))</f>
        <v>0</v>
      </c>
      <c r="V122" s="23">
        <f>IF(B122="","",IF(COUNTIF(Performance!$B$5:$B$404,B122)=0,"",SUMIFS(Performance!$R$5:$R$404,Performance!$B$5:$B$404,B122)))</f>
        <v>0</v>
      </c>
      <c r="W122" s="23">
        <f>IF(B122="","",IF(COUNTIF(Performance!$B$5:$B$404,B122)=0,"",SUMIFS(Performance!$U$5:$U$404,Performance!$B$5:$B$404,B122)))</f>
        <v>0</v>
      </c>
      <c r="X122" s="29">
        <f>IF(B122="","",IF(C122="Not found","Check - content ID not on the calendar",IF(AND(J122="",G122&lt;&gt;"Photo"),"Add - no link on a link post",IF(AND(P122&lt;&gt;"",S122&lt;TargetEngagement),"Review - below your target rate","OK"))))</f>
        <v>0</v>
      </c>
    </row>
    <row r="123" spans="1:24">
      <c r="A123" s="41">
        <f>IF(B123="","","FB-"&amp;TEXT(ROW()-4,"000"))</f>
        <v>0</v>
      </c>
      <c r="C123" s="17">
        <f>IF(B123="","",IFERROR(INDEX('Content Calendar'!$H$5:$H$604,MATCH(B123,'Content Calendar'!$A$5:$A$604,0)),"Not found"))</f>
        <v>0</v>
      </c>
      <c r="D123" s="16">
        <f>IF(B123="","",IFERROR(INDEX('Content Calendar'!$B$5:$B$604,MATCH(B123,'Content Calendar'!$A$5:$A$604,0)),"Not found"))</f>
        <v>0</v>
      </c>
      <c r="E123" s="17">
        <f>IF(B123="","",IFERROR(INDEX('Content Calendar'!$J$5:$J$604,MATCH(B123,'Content Calendar'!$A$5:$A$604,0)),"Not found"))</f>
        <v>0</v>
      </c>
      <c r="F123" s="29">
        <f>IF(B123="","",IFERROR(INDEX('Content Calendar'!$X$5:$X$604,MATCH(B123,'Content Calendar'!$A$5:$A$604,0)),"Not found"))</f>
        <v>0</v>
      </c>
      <c r="P123" s="23">
        <f>IF(B123="","",IF(COUNTIF(Performance!$B$5:$B$404,B123)=0,"",SUMIFS(Performance!$O$5:$O$404,Performance!$B$5:$B$404,B123)))</f>
        <v>0</v>
      </c>
      <c r="Q123" s="23">
        <f>IF(B123="","",IF(COUNTIF(Performance!$B$5:$B$404,B123)=0,"",SUMIFS(Performance!$P$5:$P$404,Performance!$B$5:$B$404,B123)))</f>
        <v>0</v>
      </c>
      <c r="R123" s="23">
        <f>IF(B123="","",IF(COUNTIF(Performance!$B$5:$B$404,B123)=0,"",SUMIFS(Performance!$Z$5:$Z$404,Performance!$B$5:$B$404,B123)))</f>
        <v>0</v>
      </c>
      <c r="S123" s="24">
        <f>IF(OR(P123="",P123=0),"",R123/P123)</f>
        <v>0</v>
      </c>
      <c r="T123" s="23">
        <f>IF(B123="","",IF(COUNTIF(Performance!$B$5:$B$404,B123)=0,"",SUMIFS(Performance!$T$5:$T$404,Performance!$B$5:$B$404,B123)))</f>
        <v>0</v>
      </c>
      <c r="U123" s="23">
        <f>IF(B123="","",IF(COUNTIF(Performance!$B$5:$B$404,B123)=0,"",SUMIFS(Performance!$S$5:$S$404,Performance!$B$5:$B$404,B123)))</f>
        <v>0</v>
      </c>
      <c r="V123" s="23">
        <f>IF(B123="","",IF(COUNTIF(Performance!$B$5:$B$404,B123)=0,"",SUMIFS(Performance!$R$5:$R$404,Performance!$B$5:$B$404,B123)))</f>
        <v>0</v>
      </c>
      <c r="W123" s="23">
        <f>IF(B123="","",IF(COUNTIF(Performance!$B$5:$B$404,B123)=0,"",SUMIFS(Performance!$U$5:$U$404,Performance!$B$5:$B$404,B123)))</f>
        <v>0</v>
      </c>
      <c r="X123" s="29">
        <f>IF(B123="","",IF(C123="Not found","Check - content ID not on the calendar",IF(AND(J123="",G123&lt;&gt;"Photo"),"Add - no link on a link post",IF(AND(P123&lt;&gt;"",S123&lt;TargetEngagement),"Review - below your target rate","OK"))))</f>
        <v>0</v>
      </c>
    </row>
    <row r="124" spans="1:24">
      <c r="A124" s="41">
        <f>IF(B124="","","FB-"&amp;TEXT(ROW()-4,"000"))</f>
        <v>0</v>
      </c>
      <c r="C124" s="17">
        <f>IF(B124="","",IFERROR(INDEX('Content Calendar'!$H$5:$H$604,MATCH(B124,'Content Calendar'!$A$5:$A$604,0)),"Not found"))</f>
        <v>0</v>
      </c>
      <c r="D124" s="16">
        <f>IF(B124="","",IFERROR(INDEX('Content Calendar'!$B$5:$B$604,MATCH(B124,'Content Calendar'!$A$5:$A$604,0)),"Not found"))</f>
        <v>0</v>
      </c>
      <c r="E124" s="17">
        <f>IF(B124="","",IFERROR(INDEX('Content Calendar'!$J$5:$J$604,MATCH(B124,'Content Calendar'!$A$5:$A$604,0)),"Not found"))</f>
        <v>0</v>
      </c>
      <c r="F124" s="29">
        <f>IF(B124="","",IFERROR(INDEX('Content Calendar'!$X$5:$X$604,MATCH(B124,'Content Calendar'!$A$5:$A$604,0)),"Not found"))</f>
        <v>0</v>
      </c>
      <c r="P124" s="23">
        <f>IF(B124="","",IF(COUNTIF(Performance!$B$5:$B$404,B124)=0,"",SUMIFS(Performance!$O$5:$O$404,Performance!$B$5:$B$404,B124)))</f>
        <v>0</v>
      </c>
      <c r="Q124" s="23">
        <f>IF(B124="","",IF(COUNTIF(Performance!$B$5:$B$404,B124)=0,"",SUMIFS(Performance!$P$5:$P$404,Performance!$B$5:$B$404,B124)))</f>
        <v>0</v>
      </c>
      <c r="R124" s="23">
        <f>IF(B124="","",IF(COUNTIF(Performance!$B$5:$B$404,B124)=0,"",SUMIFS(Performance!$Z$5:$Z$404,Performance!$B$5:$B$404,B124)))</f>
        <v>0</v>
      </c>
      <c r="S124" s="24">
        <f>IF(OR(P124="",P124=0),"",R124/P124)</f>
        <v>0</v>
      </c>
      <c r="T124" s="23">
        <f>IF(B124="","",IF(COUNTIF(Performance!$B$5:$B$404,B124)=0,"",SUMIFS(Performance!$T$5:$T$404,Performance!$B$5:$B$404,B124)))</f>
        <v>0</v>
      </c>
      <c r="U124" s="23">
        <f>IF(B124="","",IF(COUNTIF(Performance!$B$5:$B$404,B124)=0,"",SUMIFS(Performance!$S$5:$S$404,Performance!$B$5:$B$404,B124)))</f>
        <v>0</v>
      </c>
      <c r="V124" s="23">
        <f>IF(B124="","",IF(COUNTIF(Performance!$B$5:$B$404,B124)=0,"",SUMIFS(Performance!$R$5:$R$404,Performance!$B$5:$B$404,B124)))</f>
        <v>0</v>
      </c>
      <c r="W124" s="23">
        <f>IF(B124="","",IF(COUNTIF(Performance!$B$5:$B$404,B124)=0,"",SUMIFS(Performance!$U$5:$U$404,Performance!$B$5:$B$404,B124)))</f>
        <v>0</v>
      </c>
      <c r="X124" s="29">
        <f>IF(B124="","",IF(C124="Not found","Check - content ID not on the calendar",IF(AND(J124="",G124&lt;&gt;"Photo"),"Add - no link on a link post",IF(AND(P124&lt;&gt;"",S124&lt;TargetEngagement),"Review - below your target rate","OK"))))</f>
        <v>0</v>
      </c>
    </row>
    <row r="125" spans="1:24">
      <c r="A125" s="41">
        <f>IF(B125="","","FB-"&amp;TEXT(ROW()-4,"000"))</f>
        <v>0</v>
      </c>
      <c r="C125" s="17">
        <f>IF(B125="","",IFERROR(INDEX('Content Calendar'!$H$5:$H$604,MATCH(B125,'Content Calendar'!$A$5:$A$604,0)),"Not found"))</f>
        <v>0</v>
      </c>
      <c r="D125" s="16">
        <f>IF(B125="","",IFERROR(INDEX('Content Calendar'!$B$5:$B$604,MATCH(B125,'Content Calendar'!$A$5:$A$604,0)),"Not found"))</f>
        <v>0</v>
      </c>
      <c r="E125" s="17">
        <f>IF(B125="","",IFERROR(INDEX('Content Calendar'!$J$5:$J$604,MATCH(B125,'Content Calendar'!$A$5:$A$604,0)),"Not found"))</f>
        <v>0</v>
      </c>
      <c r="F125" s="29">
        <f>IF(B125="","",IFERROR(INDEX('Content Calendar'!$X$5:$X$604,MATCH(B125,'Content Calendar'!$A$5:$A$604,0)),"Not found"))</f>
        <v>0</v>
      </c>
      <c r="P125" s="23">
        <f>IF(B125="","",IF(COUNTIF(Performance!$B$5:$B$404,B125)=0,"",SUMIFS(Performance!$O$5:$O$404,Performance!$B$5:$B$404,B125)))</f>
        <v>0</v>
      </c>
      <c r="Q125" s="23">
        <f>IF(B125="","",IF(COUNTIF(Performance!$B$5:$B$404,B125)=0,"",SUMIFS(Performance!$P$5:$P$404,Performance!$B$5:$B$404,B125)))</f>
        <v>0</v>
      </c>
      <c r="R125" s="23">
        <f>IF(B125="","",IF(COUNTIF(Performance!$B$5:$B$404,B125)=0,"",SUMIFS(Performance!$Z$5:$Z$404,Performance!$B$5:$B$404,B125)))</f>
        <v>0</v>
      </c>
      <c r="S125" s="24">
        <f>IF(OR(P125="",P125=0),"",R125/P125)</f>
        <v>0</v>
      </c>
      <c r="T125" s="23">
        <f>IF(B125="","",IF(COUNTIF(Performance!$B$5:$B$404,B125)=0,"",SUMIFS(Performance!$T$5:$T$404,Performance!$B$5:$B$404,B125)))</f>
        <v>0</v>
      </c>
      <c r="U125" s="23">
        <f>IF(B125="","",IF(COUNTIF(Performance!$B$5:$B$404,B125)=0,"",SUMIFS(Performance!$S$5:$S$404,Performance!$B$5:$B$404,B125)))</f>
        <v>0</v>
      </c>
      <c r="V125" s="23">
        <f>IF(B125="","",IF(COUNTIF(Performance!$B$5:$B$404,B125)=0,"",SUMIFS(Performance!$R$5:$R$404,Performance!$B$5:$B$404,B125)))</f>
        <v>0</v>
      </c>
      <c r="W125" s="23">
        <f>IF(B125="","",IF(COUNTIF(Performance!$B$5:$B$404,B125)=0,"",SUMIFS(Performance!$U$5:$U$404,Performance!$B$5:$B$404,B125)))</f>
        <v>0</v>
      </c>
      <c r="X125" s="29">
        <f>IF(B125="","",IF(C125="Not found","Check - content ID not on the calendar",IF(AND(J125="",G125&lt;&gt;"Photo"),"Add - no link on a link post",IF(AND(P125&lt;&gt;"",S125&lt;TargetEngagement),"Review - below your target rate","OK"))))</f>
        <v>0</v>
      </c>
    </row>
    <row r="126" spans="1:24">
      <c r="A126" s="41">
        <f>IF(B126="","","FB-"&amp;TEXT(ROW()-4,"000"))</f>
        <v>0</v>
      </c>
      <c r="C126" s="17">
        <f>IF(B126="","",IFERROR(INDEX('Content Calendar'!$H$5:$H$604,MATCH(B126,'Content Calendar'!$A$5:$A$604,0)),"Not found"))</f>
        <v>0</v>
      </c>
      <c r="D126" s="16">
        <f>IF(B126="","",IFERROR(INDEX('Content Calendar'!$B$5:$B$604,MATCH(B126,'Content Calendar'!$A$5:$A$604,0)),"Not found"))</f>
        <v>0</v>
      </c>
      <c r="E126" s="17">
        <f>IF(B126="","",IFERROR(INDEX('Content Calendar'!$J$5:$J$604,MATCH(B126,'Content Calendar'!$A$5:$A$604,0)),"Not found"))</f>
        <v>0</v>
      </c>
      <c r="F126" s="29">
        <f>IF(B126="","",IFERROR(INDEX('Content Calendar'!$X$5:$X$604,MATCH(B126,'Content Calendar'!$A$5:$A$604,0)),"Not found"))</f>
        <v>0</v>
      </c>
      <c r="P126" s="23">
        <f>IF(B126="","",IF(COUNTIF(Performance!$B$5:$B$404,B126)=0,"",SUMIFS(Performance!$O$5:$O$404,Performance!$B$5:$B$404,B126)))</f>
        <v>0</v>
      </c>
      <c r="Q126" s="23">
        <f>IF(B126="","",IF(COUNTIF(Performance!$B$5:$B$404,B126)=0,"",SUMIFS(Performance!$P$5:$P$404,Performance!$B$5:$B$404,B126)))</f>
        <v>0</v>
      </c>
      <c r="R126" s="23">
        <f>IF(B126="","",IF(COUNTIF(Performance!$B$5:$B$404,B126)=0,"",SUMIFS(Performance!$Z$5:$Z$404,Performance!$B$5:$B$404,B126)))</f>
        <v>0</v>
      </c>
      <c r="S126" s="24">
        <f>IF(OR(P126="",P126=0),"",R126/P126)</f>
        <v>0</v>
      </c>
      <c r="T126" s="23">
        <f>IF(B126="","",IF(COUNTIF(Performance!$B$5:$B$404,B126)=0,"",SUMIFS(Performance!$T$5:$T$404,Performance!$B$5:$B$404,B126)))</f>
        <v>0</v>
      </c>
      <c r="U126" s="23">
        <f>IF(B126="","",IF(COUNTIF(Performance!$B$5:$B$404,B126)=0,"",SUMIFS(Performance!$S$5:$S$404,Performance!$B$5:$B$404,B126)))</f>
        <v>0</v>
      </c>
      <c r="V126" s="23">
        <f>IF(B126="","",IF(COUNTIF(Performance!$B$5:$B$404,B126)=0,"",SUMIFS(Performance!$R$5:$R$404,Performance!$B$5:$B$404,B126)))</f>
        <v>0</v>
      </c>
      <c r="W126" s="23">
        <f>IF(B126="","",IF(COUNTIF(Performance!$B$5:$B$404,B126)=0,"",SUMIFS(Performance!$U$5:$U$404,Performance!$B$5:$B$404,B126)))</f>
        <v>0</v>
      </c>
      <c r="X126" s="29">
        <f>IF(B126="","",IF(C126="Not found","Check - content ID not on the calendar",IF(AND(J126="",G126&lt;&gt;"Photo"),"Add - no link on a link post",IF(AND(P126&lt;&gt;"",S126&lt;TargetEngagement),"Review - below your target rate","OK"))))</f>
        <v>0</v>
      </c>
    </row>
    <row r="127" spans="1:24">
      <c r="A127" s="41">
        <f>IF(B127="","","FB-"&amp;TEXT(ROW()-4,"000"))</f>
        <v>0</v>
      </c>
      <c r="C127" s="17">
        <f>IF(B127="","",IFERROR(INDEX('Content Calendar'!$H$5:$H$604,MATCH(B127,'Content Calendar'!$A$5:$A$604,0)),"Not found"))</f>
        <v>0</v>
      </c>
      <c r="D127" s="16">
        <f>IF(B127="","",IFERROR(INDEX('Content Calendar'!$B$5:$B$604,MATCH(B127,'Content Calendar'!$A$5:$A$604,0)),"Not found"))</f>
        <v>0</v>
      </c>
      <c r="E127" s="17">
        <f>IF(B127="","",IFERROR(INDEX('Content Calendar'!$J$5:$J$604,MATCH(B127,'Content Calendar'!$A$5:$A$604,0)),"Not found"))</f>
        <v>0</v>
      </c>
      <c r="F127" s="29">
        <f>IF(B127="","",IFERROR(INDEX('Content Calendar'!$X$5:$X$604,MATCH(B127,'Content Calendar'!$A$5:$A$604,0)),"Not found"))</f>
        <v>0</v>
      </c>
      <c r="P127" s="23">
        <f>IF(B127="","",IF(COUNTIF(Performance!$B$5:$B$404,B127)=0,"",SUMIFS(Performance!$O$5:$O$404,Performance!$B$5:$B$404,B127)))</f>
        <v>0</v>
      </c>
      <c r="Q127" s="23">
        <f>IF(B127="","",IF(COUNTIF(Performance!$B$5:$B$404,B127)=0,"",SUMIFS(Performance!$P$5:$P$404,Performance!$B$5:$B$404,B127)))</f>
        <v>0</v>
      </c>
      <c r="R127" s="23">
        <f>IF(B127="","",IF(COUNTIF(Performance!$B$5:$B$404,B127)=0,"",SUMIFS(Performance!$Z$5:$Z$404,Performance!$B$5:$B$404,B127)))</f>
        <v>0</v>
      </c>
      <c r="S127" s="24">
        <f>IF(OR(P127="",P127=0),"",R127/P127)</f>
        <v>0</v>
      </c>
      <c r="T127" s="23">
        <f>IF(B127="","",IF(COUNTIF(Performance!$B$5:$B$404,B127)=0,"",SUMIFS(Performance!$T$5:$T$404,Performance!$B$5:$B$404,B127)))</f>
        <v>0</v>
      </c>
      <c r="U127" s="23">
        <f>IF(B127="","",IF(COUNTIF(Performance!$B$5:$B$404,B127)=0,"",SUMIFS(Performance!$S$5:$S$404,Performance!$B$5:$B$404,B127)))</f>
        <v>0</v>
      </c>
      <c r="V127" s="23">
        <f>IF(B127="","",IF(COUNTIF(Performance!$B$5:$B$404,B127)=0,"",SUMIFS(Performance!$R$5:$R$404,Performance!$B$5:$B$404,B127)))</f>
        <v>0</v>
      </c>
      <c r="W127" s="23">
        <f>IF(B127="","",IF(COUNTIF(Performance!$B$5:$B$404,B127)=0,"",SUMIFS(Performance!$U$5:$U$404,Performance!$B$5:$B$404,B127)))</f>
        <v>0</v>
      </c>
      <c r="X127" s="29">
        <f>IF(B127="","",IF(C127="Not found","Check - content ID not on the calendar",IF(AND(J127="",G127&lt;&gt;"Photo"),"Add - no link on a link post",IF(AND(P127&lt;&gt;"",S127&lt;TargetEngagement),"Review - below your target rate","OK"))))</f>
        <v>0</v>
      </c>
    </row>
    <row r="128" spans="1:24">
      <c r="A128" s="41">
        <f>IF(B128="","","FB-"&amp;TEXT(ROW()-4,"000"))</f>
        <v>0</v>
      </c>
      <c r="C128" s="17">
        <f>IF(B128="","",IFERROR(INDEX('Content Calendar'!$H$5:$H$604,MATCH(B128,'Content Calendar'!$A$5:$A$604,0)),"Not found"))</f>
        <v>0</v>
      </c>
      <c r="D128" s="16">
        <f>IF(B128="","",IFERROR(INDEX('Content Calendar'!$B$5:$B$604,MATCH(B128,'Content Calendar'!$A$5:$A$604,0)),"Not found"))</f>
        <v>0</v>
      </c>
      <c r="E128" s="17">
        <f>IF(B128="","",IFERROR(INDEX('Content Calendar'!$J$5:$J$604,MATCH(B128,'Content Calendar'!$A$5:$A$604,0)),"Not found"))</f>
        <v>0</v>
      </c>
      <c r="F128" s="29">
        <f>IF(B128="","",IFERROR(INDEX('Content Calendar'!$X$5:$X$604,MATCH(B128,'Content Calendar'!$A$5:$A$604,0)),"Not found"))</f>
        <v>0</v>
      </c>
      <c r="P128" s="23">
        <f>IF(B128="","",IF(COUNTIF(Performance!$B$5:$B$404,B128)=0,"",SUMIFS(Performance!$O$5:$O$404,Performance!$B$5:$B$404,B128)))</f>
        <v>0</v>
      </c>
      <c r="Q128" s="23">
        <f>IF(B128="","",IF(COUNTIF(Performance!$B$5:$B$404,B128)=0,"",SUMIFS(Performance!$P$5:$P$404,Performance!$B$5:$B$404,B128)))</f>
        <v>0</v>
      </c>
      <c r="R128" s="23">
        <f>IF(B128="","",IF(COUNTIF(Performance!$B$5:$B$404,B128)=0,"",SUMIFS(Performance!$Z$5:$Z$404,Performance!$B$5:$B$404,B128)))</f>
        <v>0</v>
      </c>
      <c r="S128" s="24">
        <f>IF(OR(P128="",P128=0),"",R128/P128)</f>
        <v>0</v>
      </c>
      <c r="T128" s="23">
        <f>IF(B128="","",IF(COUNTIF(Performance!$B$5:$B$404,B128)=0,"",SUMIFS(Performance!$T$5:$T$404,Performance!$B$5:$B$404,B128)))</f>
        <v>0</v>
      </c>
      <c r="U128" s="23">
        <f>IF(B128="","",IF(COUNTIF(Performance!$B$5:$B$404,B128)=0,"",SUMIFS(Performance!$S$5:$S$404,Performance!$B$5:$B$404,B128)))</f>
        <v>0</v>
      </c>
      <c r="V128" s="23">
        <f>IF(B128="","",IF(COUNTIF(Performance!$B$5:$B$404,B128)=0,"",SUMIFS(Performance!$R$5:$R$404,Performance!$B$5:$B$404,B128)))</f>
        <v>0</v>
      </c>
      <c r="W128" s="23">
        <f>IF(B128="","",IF(COUNTIF(Performance!$B$5:$B$404,B128)=0,"",SUMIFS(Performance!$U$5:$U$404,Performance!$B$5:$B$404,B128)))</f>
        <v>0</v>
      </c>
      <c r="X128" s="29">
        <f>IF(B128="","",IF(C128="Not found","Check - content ID not on the calendar",IF(AND(J128="",G128&lt;&gt;"Photo"),"Add - no link on a link post",IF(AND(P128&lt;&gt;"",S128&lt;TargetEngagement),"Review - below your target rate","OK"))))</f>
        <v>0</v>
      </c>
    </row>
    <row r="129" spans="1:24">
      <c r="A129" s="41">
        <f>IF(B129="","","FB-"&amp;TEXT(ROW()-4,"000"))</f>
        <v>0</v>
      </c>
      <c r="C129" s="17">
        <f>IF(B129="","",IFERROR(INDEX('Content Calendar'!$H$5:$H$604,MATCH(B129,'Content Calendar'!$A$5:$A$604,0)),"Not found"))</f>
        <v>0</v>
      </c>
      <c r="D129" s="16">
        <f>IF(B129="","",IFERROR(INDEX('Content Calendar'!$B$5:$B$604,MATCH(B129,'Content Calendar'!$A$5:$A$604,0)),"Not found"))</f>
        <v>0</v>
      </c>
      <c r="E129" s="17">
        <f>IF(B129="","",IFERROR(INDEX('Content Calendar'!$J$5:$J$604,MATCH(B129,'Content Calendar'!$A$5:$A$604,0)),"Not found"))</f>
        <v>0</v>
      </c>
      <c r="F129" s="29">
        <f>IF(B129="","",IFERROR(INDEX('Content Calendar'!$X$5:$X$604,MATCH(B129,'Content Calendar'!$A$5:$A$604,0)),"Not found"))</f>
        <v>0</v>
      </c>
      <c r="P129" s="23">
        <f>IF(B129="","",IF(COUNTIF(Performance!$B$5:$B$404,B129)=0,"",SUMIFS(Performance!$O$5:$O$404,Performance!$B$5:$B$404,B129)))</f>
        <v>0</v>
      </c>
      <c r="Q129" s="23">
        <f>IF(B129="","",IF(COUNTIF(Performance!$B$5:$B$404,B129)=0,"",SUMIFS(Performance!$P$5:$P$404,Performance!$B$5:$B$404,B129)))</f>
        <v>0</v>
      </c>
      <c r="R129" s="23">
        <f>IF(B129="","",IF(COUNTIF(Performance!$B$5:$B$404,B129)=0,"",SUMIFS(Performance!$Z$5:$Z$404,Performance!$B$5:$B$404,B129)))</f>
        <v>0</v>
      </c>
      <c r="S129" s="24">
        <f>IF(OR(P129="",P129=0),"",R129/P129)</f>
        <v>0</v>
      </c>
      <c r="T129" s="23">
        <f>IF(B129="","",IF(COUNTIF(Performance!$B$5:$B$404,B129)=0,"",SUMIFS(Performance!$T$5:$T$404,Performance!$B$5:$B$404,B129)))</f>
        <v>0</v>
      </c>
      <c r="U129" s="23">
        <f>IF(B129="","",IF(COUNTIF(Performance!$B$5:$B$404,B129)=0,"",SUMIFS(Performance!$S$5:$S$404,Performance!$B$5:$B$404,B129)))</f>
        <v>0</v>
      </c>
      <c r="V129" s="23">
        <f>IF(B129="","",IF(COUNTIF(Performance!$B$5:$B$404,B129)=0,"",SUMIFS(Performance!$R$5:$R$404,Performance!$B$5:$B$404,B129)))</f>
        <v>0</v>
      </c>
      <c r="W129" s="23">
        <f>IF(B129="","",IF(COUNTIF(Performance!$B$5:$B$404,B129)=0,"",SUMIFS(Performance!$U$5:$U$404,Performance!$B$5:$B$404,B129)))</f>
        <v>0</v>
      </c>
      <c r="X129" s="29">
        <f>IF(B129="","",IF(C129="Not found","Check - content ID not on the calendar",IF(AND(J129="",G129&lt;&gt;"Photo"),"Add - no link on a link post",IF(AND(P129&lt;&gt;"",S129&lt;TargetEngagement),"Review - below your target rate","OK"))))</f>
        <v>0</v>
      </c>
    </row>
    <row r="130" spans="1:24">
      <c r="A130" s="41">
        <f>IF(B130="","","FB-"&amp;TEXT(ROW()-4,"000"))</f>
        <v>0</v>
      </c>
      <c r="C130" s="17">
        <f>IF(B130="","",IFERROR(INDEX('Content Calendar'!$H$5:$H$604,MATCH(B130,'Content Calendar'!$A$5:$A$604,0)),"Not found"))</f>
        <v>0</v>
      </c>
      <c r="D130" s="16">
        <f>IF(B130="","",IFERROR(INDEX('Content Calendar'!$B$5:$B$604,MATCH(B130,'Content Calendar'!$A$5:$A$604,0)),"Not found"))</f>
        <v>0</v>
      </c>
      <c r="E130" s="17">
        <f>IF(B130="","",IFERROR(INDEX('Content Calendar'!$J$5:$J$604,MATCH(B130,'Content Calendar'!$A$5:$A$604,0)),"Not found"))</f>
        <v>0</v>
      </c>
      <c r="F130" s="29">
        <f>IF(B130="","",IFERROR(INDEX('Content Calendar'!$X$5:$X$604,MATCH(B130,'Content Calendar'!$A$5:$A$604,0)),"Not found"))</f>
        <v>0</v>
      </c>
      <c r="P130" s="23">
        <f>IF(B130="","",IF(COUNTIF(Performance!$B$5:$B$404,B130)=0,"",SUMIFS(Performance!$O$5:$O$404,Performance!$B$5:$B$404,B130)))</f>
        <v>0</v>
      </c>
      <c r="Q130" s="23">
        <f>IF(B130="","",IF(COUNTIF(Performance!$B$5:$B$404,B130)=0,"",SUMIFS(Performance!$P$5:$P$404,Performance!$B$5:$B$404,B130)))</f>
        <v>0</v>
      </c>
      <c r="R130" s="23">
        <f>IF(B130="","",IF(COUNTIF(Performance!$B$5:$B$404,B130)=0,"",SUMIFS(Performance!$Z$5:$Z$404,Performance!$B$5:$B$404,B130)))</f>
        <v>0</v>
      </c>
      <c r="S130" s="24">
        <f>IF(OR(P130="",P130=0),"",R130/P130)</f>
        <v>0</v>
      </c>
      <c r="T130" s="23">
        <f>IF(B130="","",IF(COUNTIF(Performance!$B$5:$B$404,B130)=0,"",SUMIFS(Performance!$T$5:$T$404,Performance!$B$5:$B$404,B130)))</f>
        <v>0</v>
      </c>
      <c r="U130" s="23">
        <f>IF(B130="","",IF(COUNTIF(Performance!$B$5:$B$404,B130)=0,"",SUMIFS(Performance!$S$5:$S$404,Performance!$B$5:$B$404,B130)))</f>
        <v>0</v>
      </c>
      <c r="V130" s="23">
        <f>IF(B130="","",IF(COUNTIF(Performance!$B$5:$B$404,B130)=0,"",SUMIFS(Performance!$R$5:$R$404,Performance!$B$5:$B$404,B130)))</f>
        <v>0</v>
      </c>
      <c r="W130" s="23">
        <f>IF(B130="","",IF(COUNTIF(Performance!$B$5:$B$404,B130)=0,"",SUMIFS(Performance!$U$5:$U$404,Performance!$B$5:$B$404,B130)))</f>
        <v>0</v>
      </c>
      <c r="X130" s="29">
        <f>IF(B130="","",IF(C130="Not found","Check - content ID not on the calendar",IF(AND(J130="",G130&lt;&gt;"Photo"),"Add - no link on a link post",IF(AND(P130&lt;&gt;"",S130&lt;TargetEngagement),"Review - below your target rate","OK"))))</f>
        <v>0</v>
      </c>
    </row>
    <row r="131" spans="1:24">
      <c r="A131" s="41">
        <f>IF(B131="","","FB-"&amp;TEXT(ROW()-4,"000"))</f>
        <v>0</v>
      </c>
      <c r="C131" s="17">
        <f>IF(B131="","",IFERROR(INDEX('Content Calendar'!$H$5:$H$604,MATCH(B131,'Content Calendar'!$A$5:$A$604,0)),"Not found"))</f>
        <v>0</v>
      </c>
      <c r="D131" s="16">
        <f>IF(B131="","",IFERROR(INDEX('Content Calendar'!$B$5:$B$604,MATCH(B131,'Content Calendar'!$A$5:$A$604,0)),"Not found"))</f>
        <v>0</v>
      </c>
      <c r="E131" s="17">
        <f>IF(B131="","",IFERROR(INDEX('Content Calendar'!$J$5:$J$604,MATCH(B131,'Content Calendar'!$A$5:$A$604,0)),"Not found"))</f>
        <v>0</v>
      </c>
      <c r="F131" s="29">
        <f>IF(B131="","",IFERROR(INDEX('Content Calendar'!$X$5:$X$604,MATCH(B131,'Content Calendar'!$A$5:$A$604,0)),"Not found"))</f>
        <v>0</v>
      </c>
      <c r="P131" s="23">
        <f>IF(B131="","",IF(COUNTIF(Performance!$B$5:$B$404,B131)=0,"",SUMIFS(Performance!$O$5:$O$404,Performance!$B$5:$B$404,B131)))</f>
        <v>0</v>
      </c>
      <c r="Q131" s="23">
        <f>IF(B131="","",IF(COUNTIF(Performance!$B$5:$B$404,B131)=0,"",SUMIFS(Performance!$P$5:$P$404,Performance!$B$5:$B$404,B131)))</f>
        <v>0</v>
      </c>
      <c r="R131" s="23">
        <f>IF(B131="","",IF(COUNTIF(Performance!$B$5:$B$404,B131)=0,"",SUMIFS(Performance!$Z$5:$Z$404,Performance!$B$5:$B$404,B131)))</f>
        <v>0</v>
      </c>
      <c r="S131" s="24">
        <f>IF(OR(P131="",P131=0),"",R131/P131)</f>
        <v>0</v>
      </c>
      <c r="T131" s="23">
        <f>IF(B131="","",IF(COUNTIF(Performance!$B$5:$B$404,B131)=0,"",SUMIFS(Performance!$T$5:$T$404,Performance!$B$5:$B$404,B131)))</f>
        <v>0</v>
      </c>
      <c r="U131" s="23">
        <f>IF(B131="","",IF(COUNTIF(Performance!$B$5:$B$404,B131)=0,"",SUMIFS(Performance!$S$5:$S$404,Performance!$B$5:$B$404,B131)))</f>
        <v>0</v>
      </c>
      <c r="V131" s="23">
        <f>IF(B131="","",IF(COUNTIF(Performance!$B$5:$B$404,B131)=0,"",SUMIFS(Performance!$R$5:$R$404,Performance!$B$5:$B$404,B131)))</f>
        <v>0</v>
      </c>
      <c r="W131" s="23">
        <f>IF(B131="","",IF(COUNTIF(Performance!$B$5:$B$404,B131)=0,"",SUMIFS(Performance!$U$5:$U$404,Performance!$B$5:$B$404,B131)))</f>
        <v>0</v>
      </c>
      <c r="X131" s="29">
        <f>IF(B131="","",IF(C131="Not found","Check - content ID not on the calendar",IF(AND(J131="",G131&lt;&gt;"Photo"),"Add - no link on a link post",IF(AND(P131&lt;&gt;"",S131&lt;TargetEngagement),"Review - below your target rate","OK"))))</f>
        <v>0</v>
      </c>
    </row>
    <row r="132" spans="1:24">
      <c r="A132" s="41">
        <f>IF(B132="","","FB-"&amp;TEXT(ROW()-4,"000"))</f>
        <v>0</v>
      </c>
      <c r="C132" s="17">
        <f>IF(B132="","",IFERROR(INDEX('Content Calendar'!$H$5:$H$604,MATCH(B132,'Content Calendar'!$A$5:$A$604,0)),"Not found"))</f>
        <v>0</v>
      </c>
      <c r="D132" s="16">
        <f>IF(B132="","",IFERROR(INDEX('Content Calendar'!$B$5:$B$604,MATCH(B132,'Content Calendar'!$A$5:$A$604,0)),"Not found"))</f>
        <v>0</v>
      </c>
      <c r="E132" s="17">
        <f>IF(B132="","",IFERROR(INDEX('Content Calendar'!$J$5:$J$604,MATCH(B132,'Content Calendar'!$A$5:$A$604,0)),"Not found"))</f>
        <v>0</v>
      </c>
      <c r="F132" s="29">
        <f>IF(B132="","",IFERROR(INDEX('Content Calendar'!$X$5:$X$604,MATCH(B132,'Content Calendar'!$A$5:$A$604,0)),"Not found"))</f>
        <v>0</v>
      </c>
      <c r="P132" s="23">
        <f>IF(B132="","",IF(COUNTIF(Performance!$B$5:$B$404,B132)=0,"",SUMIFS(Performance!$O$5:$O$404,Performance!$B$5:$B$404,B132)))</f>
        <v>0</v>
      </c>
      <c r="Q132" s="23">
        <f>IF(B132="","",IF(COUNTIF(Performance!$B$5:$B$404,B132)=0,"",SUMIFS(Performance!$P$5:$P$404,Performance!$B$5:$B$404,B132)))</f>
        <v>0</v>
      </c>
      <c r="R132" s="23">
        <f>IF(B132="","",IF(COUNTIF(Performance!$B$5:$B$404,B132)=0,"",SUMIFS(Performance!$Z$5:$Z$404,Performance!$B$5:$B$404,B132)))</f>
        <v>0</v>
      </c>
      <c r="S132" s="24">
        <f>IF(OR(P132="",P132=0),"",R132/P132)</f>
        <v>0</v>
      </c>
      <c r="T132" s="23">
        <f>IF(B132="","",IF(COUNTIF(Performance!$B$5:$B$404,B132)=0,"",SUMIFS(Performance!$T$5:$T$404,Performance!$B$5:$B$404,B132)))</f>
        <v>0</v>
      </c>
      <c r="U132" s="23">
        <f>IF(B132="","",IF(COUNTIF(Performance!$B$5:$B$404,B132)=0,"",SUMIFS(Performance!$S$5:$S$404,Performance!$B$5:$B$404,B132)))</f>
        <v>0</v>
      </c>
      <c r="V132" s="23">
        <f>IF(B132="","",IF(COUNTIF(Performance!$B$5:$B$404,B132)=0,"",SUMIFS(Performance!$R$5:$R$404,Performance!$B$5:$B$404,B132)))</f>
        <v>0</v>
      </c>
      <c r="W132" s="23">
        <f>IF(B132="","",IF(COUNTIF(Performance!$B$5:$B$404,B132)=0,"",SUMIFS(Performance!$U$5:$U$404,Performance!$B$5:$B$404,B132)))</f>
        <v>0</v>
      </c>
      <c r="X132" s="29">
        <f>IF(B132="","",IF(C132="Not found","Check - content ID not on the calendar",IF(AND(J132="",G132&lt;&gt;"Photo"),"Add - no link on a link post",IF(AND(P132&lt;&gt;"",S132&lt;TargetEngagement),"Review - below your target rate","OK"))))</f>
        <v>0</v>
      </c>
    </row>
    <row r="133" spans="1:24">
      <c r="A133" s="41">
        <f>IF(B133="","","FB-"&amp;TEXT(ROW()-4,"000"))</f>
        <v>0</v>
      </c>
      <c r="C133" s="17">
        <f>IF(B133="","",IFERROR(INDEX('Content Calendar'!$H$5:$H$604,MATCH(B133,'Content Calendar'!$A$5:$A$604,0)),"Not found"))</f>
        <v>0</v>
      </c>
      <c r="D133" s="16">
        <f>IF(B133="","",IFERROR(INDEX('Content Calendar'!$B$5:$B$604,MATCH(B133,'Content Calendar'!$A$5:$A$604,0)),"Not found"))</f>
        <v>0</v>
      </c>
      <c r="E133" s="17">
        <f>IF(B133="","",IFERROR(INDEX('Content Calendar'!$J$5:$J$604,MATCH(B133,'Content Calendar'!$A$5:$A$604,0)),"Not found"))</f>
        <v>0</v>
      </c>
      <c r="F133" s="29">
        <f>IF(B133="","",IFERROR(INDEX('Content Calendar'!$X$5:$X$604,MATCH(B133,'Content Calendar'!$A$5:$A$604,0)),"Not found"))</f>
        <v>0</v>
      </c>
      <c r="P133" s="23">
        <f>IF(B133="","",IF(COUNTIF(Performance!$B$5:$B$404,B133)=0,"",SUMIFS(Performance!$O$5:$O$404,Performance!$B$5:$B$404,B133)))</f>
        <v>0</v>
      </c>
      <c r="Q133" s="23">
        <f>IF(B133="","",IF(COUNTIF(Performance!$B$5:$B$404,B133)=0,"",SUMIFS(Performance!$P$5:$P$404,Performance!$B$5:$B$404,B133)))</f>
        <v>0</v>
      </c>
      <c r="R133" s="23">
        <f>IF(B133="","",IF(COUNTIF(Performance!$B$5:$B$404,B133)=0,"",SUMIFS(Performance!$Z$5:$Z$404,Performance!$B$5:$B$404,B133)))</f>
        <v>0</v>
      </c>
      <c r="S133" s="24">
        <f>IF(OR(P133="",P133=0),"",R133/P133)</f>
        <v>0</v>
      </c>
      <c r="T133" s="23">
        <f>IF(B133="","",IF(COUNTIF(Performance!$B$5:$B$404,B133)=0,"",SUMIFS(Performance!$T$5:$T$404,Performance!$B$5:$B$404,B133)))</f>
        <v>0</v>
      </c>
      <c r="U133" s="23">
        <f>IF(B133="","",IF(COUNTIF(Performance!$B$5:$B$404,B133)=0,"",SUMIFS(Performance!$S$5:$S$404,Performance!$B$5:$B$404,B133)))</f>
        <v>0</v>
      </c>
      <c r="V133" s="23">
        <f>IF(B133="","",IF(COUNTIF(Performance!$B$5:$B$404,B133)=0,"",SUMIFS(Performance!$R$5:$R$404,Performance!$B$5:$B$404,B133)))</f>
        <v>0</v>
      </c>
      <c r="W133" s="23">
        <f>IF(B133="","",IF(COUNTIF(Performance!$B$5:$B$404,B133)=0,"",SUMIFS(Performance!$U$5:$U$404,Performance!$B$5:$B$404,B133)))</f>
        <v>0</v>
      </c>
      <c r="X133" s="29">
        <f>IF(B133="","",IF(C133="Not found","Check - content ID not on the calendar",IF(AND(J133="",G133&lt;&gt;"Photo"),"Add - no link on a link post",IF(AND(P133&lt;&gt;"",S133&lt;TargetEngagement),"Review - below your target rate","OK"))))</f>
        <v>0</v>
      </c>
    </row>
    <row r="134" spans="1:24">
      <c r="A134" s="41">
        <f>IF(B134="","","FB-"&amp;TEXT(ROW()-4,"000"))</f>
        <v>0</v>
      </c>
      <c r="C134" s="17">
        <f>IF(B134="","",IFERROR(INDEX('Content Calendar'!$H$5:$H$604,MATCH(B134,'Content Calendar'!$A$5:$A$604,0)),"Not found"))</f>
        <v>0</v>
      </c>
      <c r="D134" s="16">
        <f>IF(B134="","",IFERROR(INDEX('Content Calendar'!$B$5:$B$604,MATCH(B134,'Content Calendar'!$A$5:$A$604,0)),"Not found"))</f>
        <v>0</v>
      </c>
      <c r="E134" s="17">
        <f>IF(B134="","",IFERROR(INDEX('Content Calendar'!$J$5:$J$604,MATCH(B134,'Content Calendar'!$A$5:$A$604,0)),"Not found"))</f>
        <v>0</v>
      </c>
      <c r="F134" s="29">
        <f>IF(B134="","",IFERROR(INDEX('Content Calendar'!$X$5:$X$604,MATCH(B134,'Content Calendar'!$A$5:$A$604,0)),"Not found"))</f>
        <v>0</v>
      </c>
      <c r="P134" s="23">
        <f>IF(B134="","",IF(COUNTIF(Performance!$B$5:$B$404,B134)=0,"",SUMIFS(Performance!$O$5:$O$404,Performance!$B$5:$B$404,B134)))</f>
        <v>0</v>
      </c>
      <c r="Q134" s="23">
        <f>IF(B134="","",IF(COUNTIF(Performance!$B$5:$B$404,B134)=0,"",SUMIFS(Performance!$P$5:$P$404,Performance!$B$5:$B$404,B134)))</f>
        <v>0</v>
      </c>
      <c r="R134" s="23">
        <f>IF(B134="","",IF(COUNTIF(Performance!$B$5:$B$404,B134)=0,"",SUMIFS(Performance!$Z$5:$Z$404,Performance!$B$5:$B$404,B134)))</f>
        <v>0</v>
      </c>
      <c r="S134" s="24">
        <f>IF(OR(P134="",P134=0),"",R134/P134)</f>
        <v>0</v>
      </c>
      <c r="T134" s="23">
        <f>IF(B134="","",IF(COUNTIF(Performance!$B$5:$B$404,B134)=0,"",SUMIFS(Performance!$T$5:$T$404,Performance!$B$5:$B$404,B134)))</f>
        <v>0</v>
      </c>
      <c r="U134" s="23">
        <f>IF(B134="","",IF(COUNTIF(Performance!$B$5:$B$404,B134)=0,"",SUMIFS(Performance!$S$5:$S$404,Performance!$B$5:$B$404,B134)))</f>
        <v>0</v>
      </c>
      <c r="V134" s="23">
        <f>IF(B134="","",IF(COUNTIF(Performance!$B$5:$B$404,B134)=0,"",SUMIFS(Performance!$R$5:$R$404,Performance!$B$5:$B$404,B134)))</f>
        <v>0</v>
      </c>
      <c r="W134" s="23">
        <f>IF(B134="","",IF(COUNTIF(Performance!$B$5:$B$404,B134)=0,"",SUMIFS(Performance!$U$5:$U$404,Performance!$B$5:$B$404,B134)))</f>
        <v>0</v>
      </c>
      <c r="X134" s="29">
        <f>IF(B134="","",IF(C134="Not found","Check - content ID not on the calendar",IF(AND(J134="",G134&lt;&gt;"Photo"),"Add - no link on a link post",IF(AND(P134&lt;&gt;"",S134&lt;TargetEngagement),"Review - below your target rate","OK"))))</f>
        <v>0</v>
      </c>
    </row>
    <row r="135" spans="1:24">
      <c r="A135" s="41">
        <f>IF(B135="","","FB-"&amp;TEXT(ROW()-4,"000"))</f>
        <v>0</v>
      </c>
      <c r="C135" s="17">
        <f>IF(B135="","",IFERROR(INDEX('Content Calendar'!$H$5:$H$604,MATCH(B135,'Content Calendar'!$A$5:$A$604,0)),"Not found"))</f>
        <v>0</v>
      </c>
      <c r="D135" s="16">
        <f>IF(B135="","",IFERROR(INDEX('Content Calendar'!$B$5:$B$604,MATCH(B135,'Content Calendar'!$A$5:$A$604,0)),"Not found"))</f>
        <v>0</v>
      </c>
      <c r="E135" s="17">
        <f>IF(B135="","",IFERROR(INDEX('Content Calendar'!$J$5:$J$604,MATCH(B135,'Content Calendar'!$A$5:$A$604,0)),"Not found"))</f>
        <v>0</v>
      </c>
      <c r="F135" s="29">
        <f>IF(B135="","",IFERROR(INDEX('Content Calendar'!$X$5:$X$604,MATCH(B135,'Content Calendar'!$A$5:$A$604,0)),"Not found"))</f>
        <v>0</v>
      </c>
      <c r="P135" s="23">
        <f>IF(B135="","",IF(COUNTIF(Performance!$B$5:$B$404,B135)=0,"",SUMIFS(Performance!$O$5:$O$404,Performance!$B$5:$B$404,B135)))</f>
        <v>0</v>
      </c>
      <c r="Q135" s="23">
        <f>IF(B135="","",IF(COUNTIF(Performance!$B$5:$B$404,B135)=0,"",SUMIFS(Performance!$P$5:$P$404,Performance!$B$5:$B$404,B135)))</f>
        <v>0</v>
      </c>
      <c r="R135" s="23">
        <f>IF(B135="","",IF(COUNTIF(Performance!$B$5:$B$404,B135)=0,"",SUMIFS(Performance!$Z$5:$Z$404,Performance!$B$5:$B$404,B135)))</f>
        <v>0</v>
      </c>
      <c r="S135" s="24">
        <f>IF(OR(P135="",P135=0),"",R135/P135)</f>
        <v>0</v>
      </c>
      <c r="T135" s="23">
        <f>IF(B135="","",IF(COUNTIF(Performance!$B$5:$B$404,B135)=0,"",SUMIFS(Performance!$T$5:$T$404,Performance!$B$5:$B$404,B135)))</f>
        <v>0</v>
      </c>
      <c r="U135" s="23">
        <f>IF(B135="","",IF(COUNTIF(Performance!$B$5:$B$404,B135)=0,"",SUMIFS(Performance!$S$5:$S$404,Performance!$B$5:$B$404,B135)))</f>
        <v>0</v>
      </c>
      <c r="V135" s="23">
        <f>IF(B135="","",IF(COUNTIF(Performance!$B$5:$B$404,B135)=0,"",SUMIFS(Performance!$R$5:$R$404,Performance!$B$5:$B$404,B135)))</f>
        <v>0</v>
      </c>
      <c r="W135" s="23">
        <f>IF(B135="","",IF(COUNTIF(Performance!$B$5:$B$404,B135)=0,"",SUMIFS(Performance!$U$5:$U$404,Performance!$B$5:$B$404,B135)))</f>
        <v>0</v>
      </c>
      <c r="X135" s="29">
        <f>IF(B135="","",IF(C135="Not found","Check - content ID not on the calendar",IF(AND(J135="",G135&lt;&gt;"Photo"),"Add - no link on a link post",IF(AND(P135&lt;&gt;"",S135&lt;TargetEngagement),"Review - below your target rate","OK"))))</f>
        <v>0</v>
      </c>
    </row>
    <row r="136" spans="1:24">
      <c r="A136" s="41">
        <f>IF(B136="","","FB-"&amp;TEXT(ROW()-4,"000"))</f>
        <v>0</v>
      </c>
      <c r="C136" s="17">
        <f>IF(B136="","",IFERROR(INDEX('Content Calendar'!$H$5:$H$604,MATCH(B136,'Content Calendar'!$A$5:$A$604,0)),"Not found"))</f>
        <v>0</v>
      </c>
      <c r="D136" s="16">
        <f>IF(B136="","",IFERROR(INDEX('Content Calendar'!$B$5:$B$604,MATCH(B136,'Content Calendar'!$A$5:$A$604,0)),"Not found"))</f>
        <v>0</v>
      </c>
      <c r="E136" s="17">
        <f>IF(B136="","",IFERROR(INDEX('Content Calendar'!$J$5:$J$604,MATCH(B136,'Content Calendar'!$A$5:$A$604,0)),"Not found"))</f>
        <v>0</v>
      </c>
      <c r="F136" s="29">
        <f>IF(B136="","",IFERROR(INDEX('Content Calendar'!$X$5:$X$604,MATCH(B136,'Content Calendar'!$A$5:$A$604,0)),"Not found"))</f>
        <v>0</v>
      </c>
      <c r="P136" s="23">
        <f>IF(B136="","",IF(COUNTIF(Performance!$B$5:$B$404,B136)=0,"",SUMIFS(Performance!$O$5:$O$404,Performance!$B$5:$B$404,B136)))</f>
        <v>0</v>
      </c>
      <c r="Q136" s="23">
        <f>IF(B136="","",IF(COUNTIF(Performance!$B$5:$B$404,B136)=0,"",SUMIFS(Performance!$P$5:$P$404,Performance!$B$5:$B$404,B136)))</f>
        <v>0</v>
      </c>
      <c r="R136" s="23">
        <f>IF(B136="","",IF(COUNTIF(Performance!$B$5:$B$404,B136)=0,"",SUMIFS(Performance!$Z$5:$Z$404,Performance!$B$5:$B$404,B136)))</f>
        <v>0</v>
      </c>
      <c r="S136" s="24">
        <f>IF(OR(P136="",P136=0),"",R136/P136)</f>
        <v>0</v>
      </c>
      <c r="T136" s="23">
        <f>IF(B136="","",IF(COUNTIF(Performance!$B$5:$B$404,B136)=0,"",SUMIFS(Performance!$T$5:$T$404,Performance!$B$5:$B$404,B136)))</f>
        <v>0</v>
      </c>
      <c r="U136" s="23">
        <f>IF(B136="","",IF(COUNTIF(Performance!$B$5:$B$404,B136)=0,"",SUMIFS(Performance!$S$5:$S$404,Performance!$B$5:$B$404,B136)))</f>
        <v>0</v>
      </c>
      <c r="V136" s="23">
        <f>IF(B136="","",IF(COUNTIF(Performance!$B$5:$B$404,B136)=0,"",SUMIFS(Performance!$R$5:$R$404,Performance!$B$5:$B$404,B136)))</f>
        <v>0</v>
      </c>
      <c r="W136" s="23">
        <f>IF(B136="","",IF(COUNTIF(Performance!$B$5:$B$404,B136)=0,"",SUMIFS(Performance!$U$5:$U$404,Performance!$B$5:$B$404,B136)))</f>
        <v>0</v>
      </c>
      <c r="X136" s="29">
        <f>IF(B136="","",IF(C136="Not found","Check - content ID not on the calendar",IF(AND(J136="",G136&lt;&gt;"Photo"),"Add - no link on a link post",IF(AND(P136&lt;&gt;"",S136&lt;TargetEngagement),"Review - below your target rate","OK"))))</f>
        <v>0</v>
      </c>
    </row>
    <row r="137" spans="1:24">
      <c r="A137" s="41">
        <f>IF(B137="","","FB-"&amp;TEXT(ROW()-4,"000"))</f>
        <v>0</v>
      </c>
      <c r="C137" s="17">
        <f>IF(B137="","",IFERROR(INDEX('Content Calendar'!$H$5:$H$604,MATCH(B137,'Content Calendar'!$A$5:$A$604,0)),"Not found"))</f>
        <v>0</v>
      </c>
      <c r="D137" s="16">
        <f>IF(B137="","",IFERROR(INDEX('Content Calendar'!$B$5:$B$604,MATCH(B137,'Content Calendar'!$A$5:$A$604,0)),"Not found"))</f>
        <v>0</v>
      </c>
      <c r="E137" s="17">
        <f>IF(B137="","",IFERROR(INDEX('Content Calendar'!$J$5:$J$604,MATCH(B137,'Content Calendar'!$A$5:$A$604,0)),"Not found"))</f>
        <v>0</v>
      </c>
      <c r="F137" s="29">
        <f>IF(B137="","",IFERROR(INDEX('Content Calendar'!$X$5:$X$604,MATCH(B137,'Content Calendar'!$A$5:$A$604,0)),"Not found"))</f>
        <v>0</v>
      </c>
      <c r="P137" s="23">
        <f>IF(B137="","",IF(COUNTIF(Performance!$B$5:$B$404,B137)=0,"",SUMIFS(Performance!$O$5:$O$404,Performance!$B$5:$B$404,B137)))</f>
        <v>0</v>
      </c>
      <c r="Q137" s="23">
        <f>IF(B137="","",IF(COUNTIF(Performance!$B$5:$B$404,B137)=0,"",SUMIFS(Performance!$P$5:$P$404,Performance!$B$5:$B$404,B137)))</f>
        <v>0</v>
      </c>
      <c r="R137" s="23">
        <f>IF(B137="","",IF(COUNTIF(Performance!$B$5:$B$404,B137)=0,"",SUMIFS(Performance!$Z$5:$Z$404,Performance!$B$5:$B$404,B137)))</f>
        <v>0</v>
      </c>
      <c r="S137" s="24">
        <f>IF(OR(P137="",P137=0),"",R137/P137)</f>
        <v>0</v>
      </c>
      <c r="T137" s="23">
        <f>IF(B137="","",IF(COUNTIF(Performance!$B$5:$B$404,B137)=0,"",SUMIFS(Performance!$T$5:$T$404,Performance!$B$5:$B$404,B137)))</f>
        <v>0</v>
      </c>
      <c r="U137" s="23">
        <f>IF(B137="","",IF(COUNTIF(Performance!$B$5:$B$404,B137)=0,"",SUMIFS(Performance!$S$5:$S$404,Performance!$B$5:$B$404,B137)))</f>
        <v>0</v>
      </c>
      <c r="V137" s="23">
        <f>IF(B137="","",IF(COUNTIF(Performance!$B$5:$B$404,B137)=0,"",SUMIFS(Performance!$R$5:$R$404,Performance!$B$5:$B$404,B137)))</f>
        <v>0</v>
      </c>
      <c r="W137" s="23">
        <f>IF(B137="","",IF(COUNTIF(Performance!$B$5:$B$404,B137)=0,"",SUMIFS(Performance!$U$5:$U$404,Performance!$B$5:$B$404,B137)))</f>
        <v>0</v>
      </c>
      <c r="X137" s="29">
        <f>IF(B137="","",IF(C137="Not found","Check - content ID not on the calendar",IF(AND(J137="",G137&lt;&gt;"Photo"),"Add - no link on a link post",IF(AND(P137&lt;&gt;"",S137&lt;TargetEngagement),"Review - below your target rate","OK"))))</f>
        <v>0</v>
      </c>
    </row>
    <row r="138" spans="1:24">
      <c r="A138" s="41">
        <f>IF(B138="","","FB-"&amp;TEXT(ROW()-4,"000"))</f>
        <v>0</v>
      </c>
      <c r="C138" s="17">
        <f>IF(B138="","",IFERROR(INDEX('Content Calendar'!$H$5:$H$604,MATCH(B138,'Content Calendar'!$A$5:$A$604,0)),"Not found"))</f>
        <v>0</v>
      </c>
      <c r="D138" s="16">
        <f>IF(B138="","",IFERROR(INDEX('Content Calendar'!$B$5:$B$604,MATCH(B138,'Content Calendar'!$A$5:$A$604,0)),"Not found"))</f>
        <v>0</v>
      </c>
      <c r="E138" s="17">
        <f>IF(B138="","",IFERROR(INDEX('Content Calendar'!$J$5:$J$604,MATCH(B138,'Content Calendar'!$A$5:$A$604,0)),"Not found"))</f>
        <v>0</v>
      </c>
      <c r="F138" s="29">
        <f>IF(B138="","",IFERROR(INDEX('Content Calendar'!$X$5:$X$604,MATCH(B138,'Content Calendar'!$A$5:$A$604,0)),"Not found"))</f>
        <v>0</v>
      </c>
      <c r="P138" s="23">
        <f>IF(B138="","",IF(COUNTIF(Performance!$B$5:$B$404,B138)=0,"",SUMIFS(Performance!$O$5:$O$404,Performance!$B$5:$B$404,B138)))</f>
        <v>0</v>
      </c>
      <c r="Q138" s="23">
        <f>IF(B138="","",IF(COUNTIF(Performance!$B$5:$B$404,B138)=0,"",SUMIFS(Performance!$P$5:$P$404,Performance!$B$5:$B$404,B138)))</f>
        <v>0</v>
      </c>
      <c r="R138" s="23">
        <f>IF(B138="","",IF(COUNTIF(Performance!$B$5:$B$404,B138)=0,"",SUMIFS(Performance!$Z$5:$Z$404,Performance!$B$5:$B$404,B138)))</f>
        <v>0</v>
      </c>
      <c r="S138" s="24">
        <f>IF(OR(P138="",P138=0),"",R138/P138)</f>
        <v>0</v>
      </c>
      <c r="T138" s="23">
        <f>IF(B138="","",IF(COUNTIF(Performance!$B$5:$B$404,B138)=0,"",SUMIFS(Performance!$T$5:$T$404,Performance!$B$5:$B$404,B138)))</f>
        <v>0</v>
      </c>
      <c r="U138" s="23">
        <f>IF(B138="","",IF(COUNTIF(Performance!$B$5:$B$404,B138)=0,"",SUMIFS(Performance!$S$5:$S$404,Performance!$B$5:$B$404,B138)))</f>
        <v>0</v>
      </c>
      <c r="V138" s="23">
        <f>IF(B138="","",IF(COUNTIF(Performance!$B$5:$B$404,B138)=0,"",SUMIFS(Performance!$R$5:$R$404,Performance!$B$5:$B$404,B138)))</f>
        <v>0</v>
      </c>
      <c r="W138" s="23">
        <f>IF(B138="","",IF(COUNTIF(Performance!$B$5:$B$404,B138)=0,"",SUMIFS(Performance!$U$5:$U$404,Performance!$B$5:$B$404,B138)))</f>
        <v>0</v>
      </c>
      <c r="X138" s="29">
        <f>IF(B138="","",IF(C138="Not found","Check - content ID not on the calendar",IF(AND(J138="",G138&lt;&gt;"Photo"),"Add - no link on a link post",IF(AND(P138&lt;&gt;"",S138&lt;TargetEngagement),"Review - below your target rate","OK"))))</f>
        <v>0</v>
      </c>
    </row>
    <row r="139" spans="1:24">
      <c r="A139" s="41">
        <f>IF(B139="","","FB-"&amp;TEXT(ROW()-4,"000"))</f>
        <v>0</v>
      </c>
      <c r="C139" s="17">
        <f>IF(B139="","",IFERROR(INDEX('Content Calendar'!$H$5:$H$604,MATCH(B139,'Content Calendar'!$A$5:$A$604,0)),"Not found"))</f>
        <v>0</v>
      </c>
      <c r="D139" s="16">
        <f>IF(B139="","",IFERROR(INDEX('Content Calendar'!$B$5:$B$604,MATCH(B139,'Content Calendar'!$A$5:$A$604,0)),"Not found"))</f>
        <v>0</v>
      </c>
      <c r="E139" s="17">
        <f>IF(B139="","",IFERROR(INDEX('Content Calendar'!$J$5:$J$604,MATCH(B139,'Content Calendar'!$A$5:$A$604,0)),"Not found"))</f>
        <v>0</v>
      </c>
      <c r="F139" s="29">
        <f>IF(B139="","",IFERROR(INDEX('Content Calendar'!$X$5:$X$604,MATCH(B139,'Content Calendar'!$A$5:$A$604,0)),"Not found"))</f>
        <v>0</v>
      </c>
      <c r="P139" s="23">
        <f>IF(B139="","",IF(COUNTIF(Performance!$B$5:$B$404,B139)=0,"",SUMIFS(Performance!$O$5:$O$404,Performance!$B$5:$B$404,B139)))</f>
        <v>0</v>
      </c>
      <c r="Q139" s="23">
        <f>IF(B139="","",IF(COUNTIF(Performance!$B$5:$B$404,B139)=0,"",SUMIFS(Performance!$P$5:$P$404,Performance!$B$5:$B$404,B139)))</f>
        <v>0</v>
      </c>
      <c r="R139" s="23">
        <f>IF(B139="","",IF(COUNTIF(Performance!$B$5:$B$404,B139)=0,"",SUMIFS(Performance!$Z$5:$Z$404,Performance!$B$5:$B$404,B139)))</f>
        <v>0</v>
      </c>
      <c r="S139" s="24">
        <f>IF(OR(P139="",P139=0),"",R139/P139)</f>
        <v>0</v>
      </c>
      <c r="T139" s="23">
        <f>IF(B139="","",IF(COUNTIF(Performance!$B$5:$B$404,B139)=0,"",SUMIFS(Performance!$T$5:$T$404,Performance!$B$5:$B$404,B139)))</f>
        <v>0</v>
      </c>
      <c r="U139" s="23">
        <f>IF(B139="","",IF(COUNTIF(Performance!$B$5:$B$404,B139)=0,"",SUMIFS(Performance!$S$5:$S$404,Performance!$B$5:$B$404,B139)))</f>
        <v>0</v>
      </c>
      <c r="V139" s="23">
        <f>IF(B139="","",IF(COUNTIF(Performance!$B$5:$B$404,B139)=0,"",SUMIFS(Performance!$R$5:$R$404,Performance!$B$5:$B$404,B139)))</f>
        <v>0</v>
      </c>
      <c r="W139" s="23">
        <f>IF(B139="","",IF(COUNTIF(Performance!$B$5:$B$404,B139)=0,"",SUMIFS(Performance!$U$5:$U$404,Performance!$B$5:$B$404,B139)))</f>
        <v>0</v>
      </c>
      <c r="X139" s="29">
        <f>IF(B139="","",IF(C139="Not found","Check - content ID not on the calendar",IF(AND(J139="",G139&lt;&gt;"Photo"),"Add - no link on a link post",IF(AND(P139&lt;&gt;"",S139&lt;TargetEngagement),"Review - below your target rate","OK"))))</f>
        <v>0</v>
      </c>
    </row>
    <row r="140" spans="1:24">
      <c r="A140" s="41">
        <f>IF(B140="","","FB-"&amp;TEXT(ROW()-4,"000"))</f>
        <v>0</v>
      </c>
      <c r="C140" s="17">
        <f>IF(B140="","",IFERROR(INDEX('Content Calendar'!$H$5:$H$604,MATCH(B140,'Content Calendar'!$A$5:$A$604,0)),"Not found"))</f>
        <v>0</v>
      </c>
      <c r="D140" s="16">
        <f>IF(B140="","",IFERROR(INDEX('Content Calendar'!$B$5:$B$604,MATCH(B140,'Content Calendar'!$A$5:$A$604,0)),"Not found"))</f>
        <v>0</v>
      </c>
      <c r="E140" s="17">
        <f>IF(B140="","",IFERROR(INDEX('Content Calendar'!$J$5:$J$604,MATCH(B140,'Content Calendar'!$A$5:$A$604,0)),"Not found"))</f>
        <v>0</v>
      </c>
      <c r="F140" s="29">
        <f>IF(B140="","",IFERROR(INDEX('Content Calendar'!$X$5:$X$604,MATCH(B140,'Content Calendar'!$A$5:$A$604,0)),"Not found"))</f>
        <v>0</v>
      </c>
      <c r="P140" s="23">
        <f>IF(B140="","",IF(COUNTIF(Performance!$B$5:$B$404,B140)=0,"",SUMIFS(Performance!$O$5:$O$404,Performance!$B$5:$B$404,B140)))</f>
        <v>0</v>
      </c>
      <c r="Q140" s="23">
        <f>IF(B140="","",IF(COUNTIF(Performance!$B$5:$B$404,B140)=0,"",SUMIFS(Performance!$P$5:$P$404,Performance!$B$5:$B$404,B140)))</f>
        <v>0</v>
      </c>
      <c r="R140" s="23">
        <f>IF(B140="","",IF(COUNTIF(Performance!$B$5:$B$404,B140)=0,"",SUMIFS(Performance!$Z$5:$Z$404,Performance!$B$5:$B$404,B140)))</f>
        <v>0</v>
      </c>
      <c r="S140" s="24">
        <f>IF(OR(P140="",P140=0),"",R140/P140)</f>
        <v>0</v>
      </c>
      <c r="T140" s="23">
        <f>IF(B140="","",IF(COUNTIF(Performance!$B$5:$B$404,B140)=0,"",SUMIFS(Performance!$T$5:$T$404,Performance!$B$5:$B$404,B140)))</f>
        <v>0</v>
      </c>
      <c r="U140" s="23">
        <f>IF(B140="","",IF(COUNTIF(Performance!$B$5:$B$404,B140)=0,"",SUMIFS(Performance!$S$5:$S$404,Performance!$B$5:$B$404,B140)))</f>
        <v>0</v>
      </c>
      <c r="V140" s="23">
        <f>IF(B140="","",IF(COUNTIF(Performance!$B$5:$B$404,B140)=0,"",SUMIFS(Performance!$R$5:$R$404,Performance!$B$5:$B$404,B140)))</f>
        <v>0</v>
      </c>
      <c r="W140" s="23">
        <f>IF(B140="","",IF(COUNTIF(Performance!$B$5:$B$404,B140)=0,"",SUMIFS(Performance!$U$5:$U$404,Performance!$B$5:$B$404,B140)))</f>
        <v>0</v>
      </c>
      <c r="X140" s="29">
        <f>IF(B140="","",IF(C140="Not found","Check - content ID not on the calendar",IF(AND(J140="",G140&lt;&gt;"Photo"),"Add - no link on a link post",IF(AND(P140&lt;&gt;"",S140&lt;TargetEngagement),"Review - below your target rate","OK"))))</f>
        <v>0</v>
      </c>
    </row>
    <row r="141" spans="1:24">
      <c r="A141" s="41">
        <f>IF(B141="","","FB-"&amp;TEXT(ROW()-4,"000"))</f>
        <v>0</v>
      </c>
      <c r="C141" s="17">
        <f>IF(B141="","",IFERROR(INDEX('Content Calendar'!$H$5:$H$604,MATCH(B141,'Content Calendar'!$A$5:$A$604,0)),"Not found"))</f>
        <v>0</v>
      </c>
      <c r="D141" s="16">
        <f>IF(B141="","",IFERROR(INDEX('Content Calendar'!$B$5:$B$604,MATCH(B141,'Content Calendar'!$A$5:$A$604,0)),"Not found"))</f>
        <v>0</v>
      </c>
      <c r="E141" s="17">
        <f>IF(B141="","",IFERROR(INDEX('Content Calendar'!$J$5:$J$604,MATCH(B141,'Content Calendar'!$A$5:$A$604,0)),"Not found"))</f>
        <v>0</v>
      </c>
      <c r="F141" s="29">
        <f>IF(B141="","",IFERROR(INDEX('Content Calendar'!$X$5:$X$604,MATCH(B141,'Content Calendar'!$A$5:$A$604,0)),"Not found"))</f>
        <v>0</v>
      </c>
      <c r="P141" s="23">
        <f>IF(B141="","",IF(COUNTIF(Performance!$B$5:$B$404,B141)=0,"",SUMIFS(Performance!$O$5:$O$404,Performance!$B$5:$B$404,B141)))</f>
        <v>0</v>
      </c>
      <c r="Q141" s="23">
        <f>IF(B141="","",IF(COUNTIF(Performance!$B$5:$B$404,B141)=0,"",SUMIFS(Performance!$P$5:$P$404,Performance!$B$5:$B$404,B141)))</f>
        <v>0</v>
      </c>
      <c r="R141" s="23">
        <f>IF(B141="","",IF(COUNTIF(Performance!$B$5:$B$404,B141)=0,"",SUMIFS(Performance!$Z$5:$Z$404,Performance!$B$5:$B$404,B141)))</f>
        <v>0</v>
      </c>
      <c r="S141" s="24">
        <f>IF(OR(P141="",P141=0),"",R141/P141)</f>
        <v>0</v>
      </c>
      <c r="T141" s="23">
        <f>IF(B141="","",IF(COUNTIF(Performance!$B$5:$B$404,B141)=0,"",SUMIFS(Performance!$T$5:$T$404,Performance!$B$5:$B$404,B141)))</f>
        <v>0</v>
      </c>
      <c r="U141" s="23">
        <f>IF(B141="","",IF(COUNTIF(Performance!$B$5:$B$404,B141)=0,"",SUMIFS(Performance!$S$5:$S$404,Performance!$B$5:$B$404,B141)))</f>
        <v>0</v>
      </c>
      <c r="V141" s="23">
        <f>IF(B141="","",IF(COUNTIF(Performance!$B$5:$B$404,B141)=0,"",SUMIFS(Performance!$R$5:$R$404,Performance!$B$5:$B$404,B141)))</f>
        <v>0</v>
      </c>
      <c r="W141" s="23">
        <f>IF(B141="","",IF(COUNTIF(Performance!$B$5:$B$404,B141)=0,"",SUMIFS(Performance!$U$5:$U$404,Performance!$B$5:$B$404,B141)))</f>
        <v>0</v>
      </c>
      <c r="X141" s="29">
        <f>IF(B141="","",IF(C141="Not found","Check - content ID not on the calendar",IF(AND(J141="",G141&lt;&gt;"Photo"),"Add - no link on a link post",IF(AND(P141&lt;&gt;"",S141&lt;TargetEngagement),"Review - below your target rate","OK"))))</f>
        <v>0</v>
      </c>
    </row>
    <row r="142" spans="1:24">
      <c r="A142" s="41">
        <f>IF(B142="","","FB-"&amp;TEXT(ROW()-4,"000"))</f>
        <v>0</v>
      </c>
      <c r="C142" s="17">
        <f>IF(B142="","",IFERROR(INDEX('Content Calendar'!$H$5:$H$604,MATCH(B142,'Content Calendar'!$A$5:$A$604,0)),"Not found"))</f>
        <v>0</v>
      </c>
      <c r="D142" s="16">
        <f>IF(B142="","",IFERROR(INDEX('Content Calendar'!$B$5:$B$604,MATCH(B142,'Content Calendar'!$A$5:$A$604,0)),"Not found"))</f>
        <v>0</v>
      </c>
      <c r="E142" s="17">
        <f>IF(B142="","",IFERROR(INDEX('Content Calendar'!$J$5:$J$604,MATCH(B142,'Content Calendar'!$A$5:$A$604,0)),"Not found"))</f>
        <v>0</v>
      </c>
      <c r="F142" s="29">
        <f>IF(B142="","",IFERROR(INDEX('Content Calendar'!$X$5:$X$604,MATCH(B142,'Content Calendar'!$A$5:$A$604,0)),"Not found"))</f>
        <v>0</v>
      </c>
      <c r="P142" s="23">
        <f>IF(B142="","",IF(COUNTIF(Performance!$B$5:$B$404,B142)=0,"",SUMIFS(Performance!$O$5:$O$404,Performance!$B$5:$B$404,B142)))</f>
        <v>0</v>
      </c>
      <c r="Q142" s="23">
        <f>IF(B142="","",IF(COUNTIF(Performance!$B$5:$B$404,B142)=0,"",SUMIFS(Performance!$P$5:$P$404,Performance!$B$5:$B$404,B142)))</f>
        <v>0</v>
      </c>
      <c r="R142" s="23">
        <f>IF(B142="","",IF(COUNTIF(Performance!$B$5:$B$404,B142)=0,"",SUMIFS(Performance!$Z$5:$Z$404,Performance!$B$5:$B$404,B142)))</f>
        <v>0</v>
      </c>
      <c r="S142" s="24">
        <f>IF(OR(P142="",P142=0),"",R142/P142)</f>
        <v>0</v>
      </c>
      <c r="T142" s="23">
        <f>IF(B142="","",IF(COUNTIF(Performance!$B$5:$B$404,B142)=0,"",SUMIFS(Performance!$T$5:$T$404,Performance!$B$5:$B$404,B142)))</f>
        <v>0</v>
      </c>
      <c r="U142" s="23">
        <f>IF(B142="","",IF(COUNTIF(Performance!$B$5:$B$404,B142)=0,"",SUMIFS(Performance!$S$5:$S$404,Performance!$B$5:$B$404,B142)))</f>
        <v>0</v>
      </c>
      <c r="V142" s="23">
        <f>IF(B142="","",IF(COUNTIF(Performance!$B$5:$B$404,B142)=0,"",SUMIFS(Performance!$R$5:$R$404,Performance!$B$5:$B$404,B142)))</f>
        <v>0</v>
      </c>
      <c r="W142" s="23">
        <f>IF(B142="","",IF(COUNTIF(Performance!$B$5:$B$404,B142)=0,"",SUMIFS(Performance!$U$5:$U$404,Performance!$B$5:$B$404,B142)))</f>
        <v>0</v>
      </c>
      <c r="X142" s="29">
        <f>IF(B142="","",IF(C142="Not found","Check - content ID not on the calendar",IF(AND(J142="",G142&lt;&gt;"Photo"),"Add - no link on a link post",IF(AND(P142&lt;&gt;"",S142&lt;TargetEngagement),"Review - below your target rate","OK"))))</f>
        <v>0</v>
      </c>
    </row>
    <row r="143" spans="1:24">
      <c r="A143" s="41">
        <f>IF(B143="","","FB-"&amp;TEXT(ROW()-4,"000"))</f>
        <v>0</v>
      </c>
      <c r="C143" s="17">
        <f>IF(B143="","",IFERROR(INDEX('Content Calendar'!$H$5:$H$604,MATCH(B143,'Content Calendar'!$A$5:$A$604,0)),"Not found"))</f>
        <v>0</v>
      </c>
      <c r="D143" s="16">
        <f>IF(B143="","",IFERROR(INDEX('Content Calendar'!$B$5:$B$604,MATCH(B143,'Content Calendar'!$A$5:$A$604,0)),"Not found"))</f>
        <v>0</v>
      </c>
      <c r="E143" s="17">
        <f>IF(B143="","",IFERROR(INDEX('Content Calendar'!$J$5:$J$604,MATCH(B143,'Content Calendar'!$A$5:$A$604,0)),"Not found"))</f>
        <v>0</v>
      </c>
      <c r="F143" s="29">
        <f>IF(B143="","",IFERROR(INDEX('Content Calendar'!$X$5:$X$604,MATCH(B143,'Content Calendar'!$A$5:$A$604,0)),"Not found"))</f>
        <v>0</v>
      </c>
      <c r="P143" s="23">
        <f>IF(B143="","",IF(COUNTIF(Performance!$B$5:$B$404,B143)=0,"",SUMIFS(Performance!$O$5:$O$404,Performance!$B$5:$B$404,B143)))</f>
        <v>0</v>
      </c>
      <c r="Q143" s="23">
        <f>IF(B143="","",IF(COUNTIF(Performance!$B$5:$B$404,B143)=0,"",SUMIFS(Performance!$P$5:$P$404,Performance!$B$5:$B$404,B143)))</f>
        <v>0</v>
      </c>
      <c r="R143" s="23">
        <f>IF(B143="","",IF(COUNTIF(Performance!$B$5:$B$404,B143)=0,"",SUMIFS(Performance!$Z$5:$Z$404,Performance!$B$5:$B$404,B143)))</f>
        <v>0</v>
      </c>
      <c r="S143" s="24">
        <f>IF(OR(P143="",P143=0),"",R143/P143)</f>
        <v>0</v>
      </c>
      <c r="T143" s="23">
        <f>IF(B143="","",IF(COUNTIF(Performance!$B$5:$B$404,B143)=0,"",SUMIFS(Performance!$T$5:$T$404,Performance!$B$5:$B$404,B143)))</f>
        <v>0</v>
      </c>
      <c r="U143" s="23">
        <f>IF(B143="","",IF(COUNTIF(Performance!$B$5:$B$404,B143)=0,"",SUMIFS(Performance!$S$5:$S$404,Performance!$B$5:$B$404,B143)))</f>
        <v>0</v>
      </c>
      <c r="V143" s="23">
        <f>IF(B143="","",IF(COUNTIF(Performance!$B$5:$B$404,B143)=0,"",SUMIFS(Performance!$R$5:$R$404,Performance!$B$5:$B$404,B143)))</f>
        <v>0</v>
      </c>
      <c r="W143" s="23">
        <f>IF(B143="","",IF(COUNTIF(Performance!$B$5:$B$404,B143)=0,"",SUMIFS(Performance!$U$5:$U$404,Performance!$B$5:$B$404,B143)))</f>
        <v>0</v>
      </c>
      <c r="X143" s="29">
        <f>IF(B143="","",IF(C143="Not found","Check - content ID not on the calendar",IF(AND(J143="",G143&lt;&gt;"Photo"),"Add - no link on a link post",IF(AND(P143&lt;&gt;"",S143&lt;TargetEngagement),"Review - below your target rate","OK"))))</f>
        <v>0</v>
      </c>
    </row>
    <row r="144" spans="1:24">
      <c r="A144" s="41">
        <f>IF(B144="","","FB-"&amp;TEXT(ROW()-4,"000"))</f>
        <v>0</v>
      </c>
      <c r="C144" s="17">
        <f>IF(B144="","",IFERROR(INDEX('Content Calendar'!$H$5:$H$604,MATCH(B144,'Content Calendar'!$A$5:$A$604,0)),"Not found"))</f>
        <v>0</v>
      </c>
      <c r="D144" s="16">
        <f>IF(B144="","",IFERROR(INDEX('Content Calendar'!$B$5:$B$604,MATCH(B144,'Content Calendar'!$A$5:$A$604,0)),"Not found"))</f>
        <v>0</v>
      </c>
      <c r="E144" s="17">
        <f>IF(B144="","",IFERROR(INDEX('Content Calendar'!$J$5:$J$604,MATCH(B144,'Content Calendar'!$A$5:$A$604,0)),"Not found"))</f>
        <v>0</v>
      </c>
      <c r="F144" s="29">
        <f>IF(B144="","",IFERROR(INDEX('Content Calendar'!$X$5:$X$604,MATCH(B144,'Content Calendar'!$A$5:$A$604,0)),"Not found"))</f>
        <v>0</v>
      </c>
      <c r="P144" s="23">
        <f>IF(B144="","",IF(COUNTIF(Performance!$B$5:$B$404,B144)=0,"",SUMIFS(Performance!$O$5:$O$404,Performance!$B$5:$B$404,B144)))</f>
        <v>0</v>
      </c>
      <c r="Q144" s="23">
        <f>IF(B144="","",IF(COUNTIF(Performance!$B$5:$B$404,B144)=0,"",SUMIFS(Performance!$P$5:$P$404,Performance!$B$5:$B$404,B144)))</f>
        <v>0</v>
      </c>
      <c r="R144" s="23">
        <f>IF(B144="","",IF(COUNTIF(Performance!$B$5:$B$404,B144)=0,"",SUMIFS(Performance!$Z$5:$Z$404,Performance!$B$5:$B$404,B144)))</f>
        <v>0</v>
      </c>
      <c r="S144" s="24">
        <f>IF(OR(P144="",P144=0),"",R144/P144)</f>
        <v>0</v>
      </c>
      <c r="T144" s="23">
        <f>IF(B144="","",IF(COUNTIF(Performance!$B$5:$B$404,B144)=0,"",SUMIFS(Performance!$T$5:$T$404,Performance!$B$5:$B$404,B144)))</f>
        <v>0</v>
      </c>
      <c r="U144" s="23">
        <f>IF(B144="","",IF(COUNTIF(Performance!$B$5:$B$404,B144)=0,"",SUMIFS(Performance!$S$5:$S$404,Performance!$B$5:$B$404,B144)))</f>
        <v>0</v>
      </c>
      <c r="V144" s="23">
        <f>IF(B144="","",IF(COUNTIF(Performance!$B$5:$B$404,B144)=0,"",SUMIFS(Performance!$R$5:$R$404,Performance!$B$5:$B$404,B144)))</f>
        <v>0</v>
      </c>
      <c r="W144" s="23">
        <f>IF(B144="","",IF(COUNTIF(Performance!$B$5:$B$404,B144)=0,"",SUMIFS(Performance!$U$5:$U$404,Performance!$B$5:$B$404,B144)))</f>
        <v>0</v>
      </c>
      <c r="X144" s="29">
        <f>IF(B144="","",IF(C144="Not found","Check - content ID not on the calendar",IF(AND(J144="",G144&lt;&gt;"Photo"),"Add - no link on a link post",IF(AND(P144&lt;&gt;"",S144&lt;TargetEngagement),"Review - below your target rate","OK"))))</f>
        <v>0</v>
      </c>
    </row>
    <row r="145" spans="1:24">
      <c r="A145" s="41">
        <f>IF(B145="","","FB-"&amp;TEXT(ROW()-4,"000"))</f>
        <v>0</v>
      </c>
      <c r="C145" s="17">
        <f>IF(B145="","",IFERROR(INDEX('Content Calendar'!$H$5:$H$604,MATCH(B145,'Content Calendar'!$A$5:$A$604,0)),"Not found"))</f>
        <v>0</v>
      </c>
      <c r="D145" s="16">
        <f>IF(B145="","",IFERROR(INDEX('Content Calendar'!$B$5:$B$604,MATCH(B145,'Content Calendar'!$A$5:$A$604,0)),"Not found"))</f>
        <v>0</v>
      </c>
      <c r="E145" s="17">
        <f>IF(B145="","",IFERROR(INDEX('Content Calendar'!$J$5:$J$604,MATCH(B145,'Content Calendar'!$A$5:$A$604,0)),"Not found"))</f>
        <v>0</v>
      </c>
      <c r="F145" s="29">
        <f>IF(B145="","",IFERROR(INDEX('Content Calendar'!$X$5:$X$604,MATCH(B145,'Content Calendar'!$A$5:$A$604,0)),"Not found"))</f>
        <v>0</v>
      </c>
      <c r="P145" s="23">
        <f>IF(B145="","",IF(COUNTIF(Performance!$B$5:$B$404,B145)=0,"",SUMIFS(Performance!$O$5:$O$404,Performance!$B$5:$B$404,B145)))</f>
        <v>0</v>
      </c>
      <c r="Q145" s="23">
        <f>IF(B145="","",IF(COUNTIF(Performance!$B$5:$B$404,B145)=0,"",SUMIFS(Performance!$P$5:$P$404,Performance!$B$5:$B$404,B145)))</f>
        <v>0</v>
      </c>
      <c r="R145" s="23">
        <f>IF(B145="","",IF(COUNTIF(Performance!$B$5:$B$404,B145)=0,"",SUMIFS(Performance!$Z$5:$Z$404,Performance!$B$5:$B$404,B145)))</f>
        <v>0</v>
      </c>
      <c r="S145" s="24">
        <f>IF(OR(P145="",P145=0),"",R145/P145)</f>
        <v>0</v>
      </c>
      <c r="T145" s="23">
        <f>IF(B145="","",IF(COUNTIF(Performance!$B$5:$B$404,B145)=0,"",SUMIFS(Performance!$T$5:$T$404,Performance!$B$5:$B$404,B145)))</f>
        <v>0</v>
      </c>
      <c r="U145" s="23">
        <f>IF(B145="","",IF(COUNTIF(Performance!$B$5:$B$404,B145)=0,"",SUMIFS(Performance!$S$5:$S$404,Performance!$B$5:$B$404,B145)))</f>
        <v>0</v>
      </c>
      <c r="V145" s="23">
        <f>IF(B145="","",IF(COUNTIF(Performance!$B$5:$B$404,B145)=0,"",SUMIFS(Performance!$R$5:$R$404,Performance!$B$5:$B$404,B145)))</f>
        <v>0</v>
      </c>
      <c r="W145" s="23">
        <f>IF(B145="","",IF(COUNTIF(Performance!$B$5:$B$404,B145)=0,"",SUMIFS(Performance!$U$5:$U$404,Performance!$B$5:$B$404,B145)))</f>
        <v>0</v>
      </c>
      <c r="X145" s="29">
        <f>IF(B145="","",IF(C145="Not found","Check - content ID not on the calendar",IF(AND(J145="",G145&lt;&gt;"Photo"),"Add - no link on a link post",IF(AND(P145&lt;&gt;"",S145&lt;TargetEngagement),"Review - below your target rate","OK"))))</f>
        <v>0</v>
      </c>
    </row>
    <row r="146" spans="1:24">
      <c r="A146" s="41">
        <f>IF(B146="","","FB-"&amp;TEXT(ROW()-4,"000"))</f>
        <v>0</v>
      </c>
      <c r="C146" s="17">
        <f>IF(B146="","",IFERROR(INDEX('Content Calendar'!$H$5:$H$604,MATCH(B146,'Content Calendar'!$A$5:$A$604,0)),"Not found"))</f>
        <v>0</v>
      </c>
      <c r="D146" s="16">
        <f>IF(B146="","",IFERROR(INDEX('Content Calendar'!$B$5:$B$604,MATCH(B146,'Content Calendar'!$A$5:$A$604,0)),"Not found"))</f>
        <v>0</v>
      </c>
      <c r="E146" s="17">
        <f>IF(B146="","",IFERROR(INDEX('Content Calendar'!$J$5:$J$604,MATCH(B146,'Content Calendar'!$A$5:$A$604,0)),"Not found"))</f>
        <v>0</v>
      </c>
      <c r="F146" s="29">
        <f>IF(B146="","",IFERROR(INDEX('Content Calendar'!$X$5:$X$604,MATCH(B146,'Content Calendar'!$A$5:$A$604,0)),"Not found"))</f>
        <v>0</v>
      </c>
      <c r="P146" s="23">
        <f>IF(B146="","",IF(COUNTIF(Performance!$B$5:$B$404,B146)=0,"",SUMIFS(Performance!$O$5:$O$404,Performance!$B$5:$B$404,B146)))</f>
        <v>0</v>
      </c>
      <c r="Q146" s="23">
        <f>IF(B146="","",IF(COUNTIF(Performance!$B$5:$B$404,B146)=0,"",SUMIFS(Performance!$P$5:$P$404,Performance!$B$5:$B$404,B146)))</f>
        <v>0</v>
      </c>
      <c r="R146" s="23">
        <f>IF(B146="","",IF(COUNTIF(Performance!$B$5:$B$404,B146)=0,"",SUMIFS(Performance!$Z$5:$Z$404,Performance!$B$5:$B$404,B146)))</f>
        <v>0</v>
      </c>
      <c r="S146" s="24">
        <f>IF(OR(P146="",P146=0),"",R146/P146)</f>
        <v>0</v>
      </c>
      <c r="T146" s="23">
        <f>IF(B146="","",IF(COUNTIF(Performance!$B$5:$B$404,B146)=0,"",SUMIFS(Performance!$T$5:$T$404,Performance!$B$5:$B$404,B146)))</f>
        <v>0</v>
      </c>
      <c r="U146" s="23">
        <f>IF(B146="","",IF(COUNTIF(Performance!$B$5:$B$404,B146)=0,"",SUMIFS(Performance!$S$5:$S$404,Performance!$B$5:$B$404,B146)))</f>
        <v>0</v>
      </c>
      <c r="V146" s="23">
        <f>IF(B146="","",IF(COUNTIF(Performance!$B$5:$B$404,B146)=0,"",SUMIFS(Performance!$R$5:$R$404,Performance!$B$5:$B$404,B146)))</f>
        <v>0</v>
      </c>
      <c r="W146" s="23">
        <f>IF(B146="","",IF(COUNTIF(Performance!$B$5:$B$404,B146)=0,"",SUMIFS(Performance!$U$5:$U$404,Performance!$B$5:$B$404,B146)))</f>
        <v>0</v>
      </c>
      <c r="X146" s="29">
        <f>IF(B146="","",IF(C146="Not found","Check - content ID not on the calendar",IF(AND(J146="",G146&lt;&gt;"Photo"),"Add - no link on a link post",IF(AND(P146&lt;&gt;"",S146&lt;TargetEngagement),"Review - below your target rate","OK"))))</f>
        <v>0</v>
      </c>
    </row>
    <row r="147" spans="1:24">
      <c r="A147" s="41">
        <f>IF(B147="","","FB-"&amp;TEXT(ROW()-4,"000"))</f>
        <v>0</v>
      </c>
      <c r="C147" s="17">
        <f>IF(B147="","",IFERROR(INDEX('Content Calendar'!$H$5:$H$604,MATCH(B147,'Content Calendar'!$A$5:$A$604,0)),"Not found"))</f>
        <v>0</v>
      </c>
      <c r="D147" s="16">
        <f>IF(B147="","",IFERROR(INDEX('Content Calendar'!$B$5:$B$604,MATCH(B147,'Content Calendar'!$A$5:$A$604,0)),"Not found"))</f>
        <v>0</v>
      </c>
      <c r="E147" s="17">
        <f>IF(B147="","",IFERROR(INDEX('Content Calendar'!$J$5:$J$604,MATCH(B147,'Content Calendar'!$A$5:$A$604,0)),"Not found"))</f>
        <v>0</v>
      </c>
      <c r="F147" s="29">
        <f>IF(B147="","",IFERROR(INDEX('Content Calendar'!$X$5:$X$604,MATCH(B147,'Content Calendar'!$A$5:$A$604,0)),"Not found"))</f>
        <v>0</v>
      </c>
      <c r="P147" s="23">
        <f>IF(B147="","",IF(COUNTIF(Performance!$B$5:$B$404,B147)=0,"",SUMIFS(Performance!$O$5:$O$404,Performance!$B$5:$B$404,B147)))</f>
        <v>0</v>
      </c>
      <c r="Q147" s="23">
        <f>IF(B147="","",IF(COUNTIF(Performance!$B$5:$B$404,B147)=0,"",SUMIFS(Performance!$P$5:$P$404,Performance!$B$5:$B$404,B147)))</f>
        <v>0</v>
      </c>
      <c r="R147" s="23">
        <f>IF(B147="","",IF(COUNTIF(Performance!$B$5:$B$404,B147)=0,"",SUMIFS(Performance!$Z$5:$Z$404,Performance!$B$5:$B$404,B147)))</f>
        <v>0</v>
      </c>
      <c r="S147" s="24">
        <f>IF(OR(P147="",P147=0),"",R147/P147)</f>
        <v>0</v>
      </c>
      <c r="T147" s="23">
        <f>IF(B147="","",IF(COUNTIF(Performance!$B$5:$B$404,B147)=0,"",SUMIFS(Performance!$T$5:$T$404,Performance!$B$5:$B$404,B147)))</f>
        <v>0</v>
      </c>
      <c r="U147" s="23">
        <f>IF(B147="","",IF(COUNTIF(Performance!$B$5:$B$404,B147)=0,"",SUMIFS(Performance!$S$5:$S$404,Performance!$B$5:$B$404,B147)))</f>
        <v>0</v>
      </c>
      <c r="V147" s="23">
        <f>IF(B147="","",IF(COUNTIF(Performance!$B$5:$B$404,B147)=0,"",SUMIFS(Performance!$R$5:$R$404,Performance!$B$5:$B$404,B147)))</f>
        <v>0</v>
      </c>
      <c r="W147" s="23">
        <f>IF(B147="","",IF(COUNTIF(Performance!$B$5:$B$404,B147)=0,"",SUMIFS(Performance!$U$5:$U$404,Performance!$B$5:$B$404,B147)))</f>
        <v>0</v>
      </c>
      <c r="X147" s="29">
        <f>IF(B147="","",IF(C147="Not found","Check - content ID not on the calendar",IF(AND(J147="",G147&lt;&gt;"Photo"),"Add - no link on a link post",IF(AND(P147&lt;&gt;"",S147&lt;TargetEngagement),"Review - below your target rate","OK"))))</f>
        <v>0</v>
      </c>
    </row>
    <row r="148" spans="1:24">
      <c r="A148" s="41">
        <f>IF(B148="","","FB-"&amp;TEXT(ROW()-4,"000"))</f>
        <v>0</v>
      </c>
      <c r="C148" s="17">
        <f>IF(B148="","",IFERROR(INDEX('Content Calendar'!$H$5:$H$604,MATCH(B148,'Content Calendar'!$A$5:$A$604,0)),"Not found"))</f>
        <v>0</v>
      </c>
      <c r="D148" s="16">
        <f>IF(B148="","",IFERROR(INDEX('Content Calendar'!$B$5:$B$604,MATCH(B148,'Content Calendar'!$A$5:$A$604,0)),"Not found"))</f>
        <v>0</v>
      </c>
      <c r="E148" s="17">
        <f>IF(B148="","",IFERROR(INDEX('Content Calendar'!$J$5:$J$604,MATCH(B148,'Content Calendar'!$A$5:$A$604,0)),"Not found"))</f>
        <v>0</v>
      </c>
      <c r="F148" s="29">
        <f>IF(B148="","",IFERROR(INDEX('Content Calendar'!$X$5:$X$604,MATCH(B148,'Content Calendar'!$A$5:$A$604,0)),"Not found"))</f>
        <v>0</v>
      </c>
      <c r="P148" s="23">
        <f>IF(B148="","",IF(COUNTIF(Performance!$B$5:$B$404,B148)=0,"",SUMIFS(Performance!$O$5:$O$404,Performance!$B$5:$B$404,B148)))</f>
        <v>0</v>
      </c>
      <c r="Q148" s="23">
        <f>IF(B148="","",IF(COUNTIF(Performance!$B$5:$B$404,B148)=0,"",SUMIFS(Performance!$P$5:$P$404,Performance!$B$5:$B$404,B148)))</f>
        <v>0</v>
      </c>
      <c r="R148" s="23">
        <f>IF(B148="","",IF(COUNTIF(Performance!$B$5:$B$404,B148)=0,"",SUMIFS(Performance!$Z$5:$Z$404,Performance!$B$5:$B$404,B148)))</f>
        <v>0</v>
      </c>
      <c r="S148" s="24">
        <f>IF(OR(P148="",P148=0),"",R148/P148)</f>
        <v>0</v>
      </c>
      <c r="T148" s="23">
        <f>IF(B148="","",IF(COUNTIF(Performance!$B$5:$B$404,B148)=0,"",SUMIFS(Performance!$T$5:$T$404,Performance!$B$5:$B$404,B148)))</f>
        <v>0</v>
      </c>
      <c r="U148" s="23">
        <f>IF(B148="","",IF(COUNTIF(Performance!$B$5:$B$404,B148)=0,"",SUMIFS(Performance!$S$5:$S$404,Performance!$B$5:$B$404,B148)))</f>
        <v>0</v>
      </c>
      <c r="V148" s="23">
        <f>IF(B148="","",IF(COUNTIF(Performance!$B$5:$B$404,B148)=0,"",SUMIFS(Performance!$R$5:$R$404,Performance!$B$5:$B$404,B148)))</f>
        <v>0</v>
      </c>
      <c r="W148" s="23">
        <f>IF(B148="","",IF(COUNTIF(Performance!$B$5:$B$404,B148)=0,"",SUMIFS(Performance!$U$5:$U$404,Performance!$B$5:$B$404,B148)))</f>
        <v>0</v>
      </c>
      <c r="X148" s="29">
        <f>IF(B148="","",IF(C148="Not found","Check - content ID not on the calendar",IF(AND(J148="",G148&lt;&gt;"Photo"),"Add - no link on a link post",IF(AND(P148&lt;&gt;"",S148&lt;TargetEngagement),"Review - below your target rate","OK"))))</f>
        <v>0</v>
      </c>
    </row>
    <row r="149" spans="1:24">
      <c r="A149" s="41">
        <f>IF(B149="","","FB-"&amp;TEXT(ROW()-4,"000"))</f>
        <v>0</v>
      </c>
      <c r="C149" s="17">
        <f>IF(B149="","",IFERROR(INDEX('Content Calendar'!$H$5:$H$604,MATCH(B149,'Content Calendar'!$A$5:$A$604,0)),"Not found"))</f>
        <v>0</v>
      </c>
      <c r="D149" s="16">
        <f>IF(B149="","",IFERROR(INDEX('Content Calendar'!$B$5:$B$604,MATCH(B149,'Content Calendar'!$A$5:$A$604,0)),"Not found"))</f>
        <v>0</v>
      </c>
      <c r="E149" s="17">
        <f>IF(B149="","",IFERROR(INDEX('Content Calendar'!$J$5:$J$604,MATCH(B149,'Content Calendar'!$A$5:$A$604,0)),"Not found"))</f>
        <v>0</v>
      </c>
      <c r="F149" s="29">
        <f>IF(B149="","",IFERROR(INDEX('Content Calendar'!$X$5:$X$604,MATCH(B149,'Content Calendar'!$A$5:$A$604,0)),"Not found"))</f>
        <v>0</v>
      </c>
      <c r="P149" s="23">
        <f>IF(B149="","",IF(COUNTIF(Performance!$B$5:$B$404,B149)=0,"",SUMIFS(Performance!$O$5:$O$404,Performance!$B$5:$B$404,B149)))</f>
        <v>0</v>
      </c>
      <c r="Q149" s="23">
        <f>IF(B149="","",IF(COUNTIF(Performance!$B$5:$B$404,B149)=0,"",SUMIFS(Performance!$P$5:$P$404,Performance!$B$5:$B$404,B149)))</f>
        <v>0</v>
      </c>
      <c r="R149" s="23">
        <f>IF(B149="","",IF(COUNTIF(Performance!$B$5:$B$404,B149)=0,"",SUMIFS(Performance!$Z$5:$Z$404,Performance!$B$5:$B$404,B149)))</f>
        <v>0</v>
      </c>
      <c r="S149" s="24">
        <f>IF(OR(P149="",P149=0),"",R149/P149)</f>
        <v>0</v>
      </c>
      <c r="T149" s="23">
        <f>IF(B149="","",IF(COUNTIF(Performance!$B$5:$B$404,B149)=0,"",SUMIFS(Performance!$T$5:$T$404,Performance!$B$5:$B$404,B149)))</f>
        <v>0</v>
      </c>
      <c r="U149" s="23">
        <f>IF(B149="","",IF(COUNTIF(Performance!$B$5:$B$404,B149)=0,"",SUMIFS(Performance!$S$5:$S$404,Performance!$B$5:$B$404,B149)))</f>
        <v>0</v>
      </c>
      <c r="V149" s="23">
        <f>IF(B149="","",IF(COUNTIF(Performance!$B$5:$B$404,B149)=0,"",SUMIFS(Performance!$R$5:$R$404,Performance!$B$5:$B$404,B149)))</f>
        <v>0</v>
      </c>
      <c r="W149" s="23">
        <f>IF(B149="","",IF(COUNTIF(Performance!$B$5:$B$404,B149)=0,"",SUMIFS(Performance!$U$5:$U$404,Performance!$B$5:$B$404,B149)))</f>
        <v>0</v>
      </c>
      <c r="X149" s="29">
        <f>IF(B149="","",IF(C149="Not found","Check - content ID not on the calendar",IF(AND(J149="",G149&lt;&gt;"Photo"),"Add - no link on a link post",IF(AND(P149&lt;&gt;"",S149&lt;TargetEngagement),"Review - below your target rate","OK"))))</f>
        <v>0</v>
      </c>
    </row>
    <row r="150" spans="1:24">
      <c r="A150" s="41">
        <f>IF(B150="","","FB-"&amp;TEXT(ROW()-4,"000"))</f>
        <v>0</v>
      </c>
      <c r="C150" s="17">
        <f>IF(B150="","",IFERROR(INDEX('Content Calendar'!$H$5:$H$604,MATCH(B150,'Content Calendar'!$A$5:$A$604,0)),"Not found"))</f>
        <v>0</v>
      </c>
      <c r="D150" s="16">
        <f>IF(B150="","",IFERROR(INDEX('Content Calendar'!$B$5:$B$604,MATCH(B150,'Content Calendar'!$A$5:$A$604,0)),"Not found"))</f>
        <v>0</v>
      </c>
      <c r="E150" s="17">
        <f>IF(B150="","",IFERROR(INDEX('Content Calendar'!$J$5:$J$604,MATCH(B150,'Content Calendar'!$A$5:$A$604,0)),"Not found"))</f>
        <v>0</v>
      </c>
      <c r="F150" s="29">
        <f>IF(B150="","",IFERROR(INDEX('Content Calendar'!$X$5:$X$604,MATCH(B150,'Content Calendar'!$A$5:$A$604,0)),"Not found"))</f>
        <v>0</v>
      </c>
      <c r="P150" s="23">
        <f>IF(B150="","",IF(COUNTIF(Performance!$B$5:$B$404,B150)=0,"",SUMIFS(Performance!$O$5:$O$404,Performance!$B$5:$B$404,B150)))</f>
        <v>0</v>
      </c>
      <c r="Q150" s="23">
        <f>IF(B150="","",IF(COUNTIF(Performance!$B$5:$B$404,B150)=0,"",SUMIFS(Performance!$P$5:$P$404,Performance!$B$5:$B$404,B150)))</f>
        <v>0</v>
      </c>
      <c r="R150" s="23">
        <f>IF(B150="","",IF(COUNTIF(Performance!$B$5:$B$404,B150)=0,"",SUMIFS(Performance!$Z$5:$Z$404,Performance!$B$5:$B$404,B150)))</f>
        <v>0</v>
      </c>
      <c r="S150" s="24">
        <f>IF(OR(P150="",P150=0),"",R150/P150)</f>
        <v>0</v>
      </c>
      <c r="T150" s="23">
        <f>IF(B150="","",IF(COUNTIF(Performance!$B$5:$B$404,B150)=0,"",SUMIFS(Performance!$T$5:$T$404,Performance!$B$5:$B$404,B150)))</f>
        <v>0</v>
      </c>
      <c r="U150" s="23">
        <f>IF(B150="","",IF(COUNTIF(Performance!$B$5:$B$404,B150)=0,"",SUMIFS(Performance!$S$5:$S$404,Performance!$B$5:$B$404,B150)))</f>
        <v>0</v>
      </c>
      <c r="V150" s="23">
        <f>IF(B150="","",IF(COUNTIF(Performance!$B$5:$B$404,B150)=0,"",SUMIFS(Performance!$R$5:$R$404,Performance!$B$5:$B$404,B150)))</f>
        <v>0</v>
      </c>
      <c r="W150" s="23">
        <f>IF(B150="","",IF(COUNTIF(Performance!$B$5:$B$404,B150)=0,"",SUMIFS(Performance!$U$5:$U$404,Performance!$B$5:$B$404,B150)))</f>
        <v>0</v>
      </c>
      <c r="X150" s="29">
        <f>IF(B150="","",IF(C150="Not found","Check - content ID not on the calendar",IF(AND(J150="",G150&lt;&gt;"Photo"),"Add - no link on a link post",IF(AND(P150&lt;&gt;"",S150&lt;TargetEngagement),"Review - below your target rate","OK"))))</f>
        <v>0</v>
      </c>
    </row>
    <row r="151" spans="1:24">
      <c r="A151" s="41">
        <f>IF(B151="","","FB-"&amp;TEXT(ROW()-4,"000"))</f>
        <v>0</v>
      </c>
      <c r="C151" s="17">
        <f>IF(B151="","",IFERROR(INDEX('Content Calendar'!$H$5:$H$604,MATCH(B151,'Content Calendar'!$A$5:$A$604,0)),"Not found"))</f>
        <v>0</v>
      </c>
      <c r="D151" s="16">
        <f>IF(B151="","",IFERROR(INDEX('Content Calendar'!$B$5:$B$604,MATCH(B151,'Content Calendar'!$A$5:$A$604,0)),"Not found"))</f>
        <v>0</v>
      </c>
      <c r="E151" s="17">
        <f>IF(B151="","",IFERROR(INDEX('Content Calendar'!$J$5:$J$604,MATCH(B151,'Content Calendar'!$A$5:$A$604,0)),"Not found"))</f>
        <v>0</v>
      </c>
      <c r="F151" s="29">
        <f>IF(B151="","",IFERROR(INDEX('Content Calendar'!$X$5:$X$604,MATCH(B151,'Content Calendar'!$A$5:$A$604,0)),"Not found"))</f>
        <v>0</v>
      </c>
      <c r="P151" s="23">
        <f>IF(B151="","",IF(COUNTIF(Performance!$B$5:$B$404,B151)=0,"",SUMIFS(Performance!$O$5:$O$404,Performance!$B$5:$B$404,B151)))</f>
        <v>0</v>
      </c>
      <c r="Q151" s="23">
        <f>IF(B151="","",IF(COUNTIF(Performance!$B$5:$B$404,B151)=0,"",SUMIFS(Performance!$P$5:$P$404,Performance!$B$5:$B$404,B151)))</f>
        <v>0</v>
      </c>
      <c r="R151" s="23">
        <f>IF(B151="","",IF(COUNTIF(Performance!$B$5:$B$404,B151)=0,"",SUMIFS(Performance!$Z$5:$Z$404,Performance!$B$5:$B$404,B151)))</f>
        <v>0</v>
      </c>
      <c r="S151" s="24">
        <f>IF(OR(P151="",P151=0),"",R151/P151)</f>
        <v>0</v>
      </c>
      <c r="T151" s="23">
        <f>IF(B151="","",IF(COUNTIF(Performance!$B$5:$B$404,B151)=0,"",SUMIFS(Performance!$T$5:$T$404,Performance!$B$5:$B$404,B151)))</f>
        <v>0</v>
      </c>
      <c r="U151" s="23">
        <f>IF(B151="","",IF(COUNTIF(Performance!$B$5:$B$404,B151)=0,"",SUMIFS(Performance!$S$5:$S$404,Performance!$B$5:$B$404,B151)))</f>
        <v>0</v>
      </c>
      <c r="V151" s="23">
        <f>IF(B151="","",IF(COUNTIF(Performance!$B$5:$B$404,B151)=0,"",SUMIFS(Performance!$R$5:$R$404,Performance!$B$5:$B$404,B151)))</f>
        <v>0</v>
      </c>
      <c r="W151" s="23">
        <f>IF(B151="","",IF(COUNTIF(Performance!$B$5:$B$404,B151)=0,"",SUMIFS(Performance!$U$5:$U$404,Performance!$B$5:$B$404,B151)))</f>
        <v>0</v>
      </c>
      <c r="X151" s="29">
        <f>IF(B151="","",IF(C151="Not found","Check - content ID not on the calendar",IF(AND(J151="",G151&lt;&gt;"Photo"),"Add - no link on a link post",IF(AND(P151&lt;&gt;"",S151&lt;TargetEngagement),"Review - below your target rate","OK"))))</f>
        <v>0</v>
      </c>
    </row>
    <row r="152" spans="1:24">
      <c r="A152" s="41">
        <f>IF(B152="","","FB-"&amp;TEXT(ROW()-4,"000"))</f>
        <v>0</v>
      </c>
      <c r="C152" s="17">
        <f>IF(B152="","",IFERROR(INDEX('Content Calendar'!$H$5:$H$604,MATCH(B152,'Content Calendar'!$A$5:$A$604,0)),"Not found"))</f>
        <v>0</v>
      </c>
      <c r="D152" s="16">
        <f>IF(B152="","",IFERROR(INDEX('Content Calendar'!$B$5:$B$604,MATCH(B152,'Content Calendar'!$A$5:$A$604,0)),"Not found"))</f>
        <v>0</v>
      </c>
      <c r="E152" s="17">
        <f>IF(B152="","",IFERROR(INDEX('Content Calendar'!$J$5:$J$604,MATCH(B152,'Content Calendar'!$A$5:$A$604,0)),"Not found"))</f>
        <v>0</v>
      </c>
      <c r="F152" s="29">
        <f>IF(B152="","",IFERROR(INDEX('Content Calendar'!$X$5:$X$604,MATCH(B152,'Content Calendar'!$A$5:$A$604,0)),"Not found"))</f>
        <v>0</v>
      </c>
      <c r="P152" s="23">
        <f>IF(B152="","",IF(COUNTIF(Performance!$B$5:$B$404,B152)=0,"",SUMIFS(Performance!$O$5:$O$404,Performance!$B$5:$B$404,B152)))</f>
        <v>0</v>
      </c>
      <c r="Q152" s="23">
        <f>IF(B152="","",IF(COUNTIF(Performance!$B$5:$B$404,B152)=0,"",SUMIFS(Performance!$P$5:$P$404,Performance!$B$5:$B$404,B152)))</f>
        <v>0</v>
      </c>
      <c r="R152" s="23">
        <f>IF(B152="","",IF(COUNTIF(Performance!$B$5:$B$404,B152)=0,"",SUMIFS(Performance!$Z$5:$Z$404,Performance!$B$5:$B$404,B152)))</f>
        <v>0</v>
      </c>
      <c r="S152" s="24">
        <f>IF(OR(P152="",P152=0),"",R152/P152)</f>
        <v>0</v>
      </c>
      <c r="T152" s="23">
        <f>IF(B152="","",IF(COUNTIF(Performance!$B$5:$B$404,B152)=0,"",SUMIFS(Performance!$T$5:$T$404,Performance!$B$5:$B$404,B152)))</f>
        <v>0</v>
      </c>
      <c r="U152" s="23">
        <f>IF(B152="","",IF(COUNTIF(Performance!$B$5:$B$404,B152)=0,"",SUMIFS(Performance!$S$5:$S$404,Performance!$B$5:$B$404,B152)))</f>
        <v>0</v>
      </c>
      <c r="V152" s="23">
        <f>IF(B152="","",IF(COUNTIF(Performance!$B$5:$B$404,B152)=0,"",SUMIFS(Performance!$R$5:$R$404,Performance!$B$5:$B$404,B152)))</f>
        <v>0</v>
      </c>
      <c r="W152" s="23">
        <f>IF(B152="","",IF(COUNTIF(Performance!$B$5:$B$404,B152)=0,"",SUMIFS(Performance!$U$5:$U$404,Performance!$B$5:$B$404,B152)))</f>
        <v>0</v>
      </c>
      <c r="X152" s="29">
        <f>IF(B152="","",IF(C152="Not found","Check - content ID not on the calendar",IF(AND(J152="",G152&lt;&gt;"Photo"),"Add - no link on a link post",IF(AND(P152&lt;&gt;"",S152&lt;TargetEngagement),"Review - below your target rate","OK"))))</f>
        <v>0</v>
      </c>
    </row>
    <row r="153" spans="1:24">
      <c r="A153" s="41">
        <f>IF(B153="","","FB-"&amp;TEXT(ROW()-4,"000"))</f>
        <v>0</v>
      </c>
      <c r="C153" s="17">
        <f>IF(B153="","",IFERROR(INDEX('Content Calendar'!$H$5:$H$604,MATCH(B153,'Content Calendar'!$A$5:$A$604,0)),"Not found"))</f>
        <v>0</v>
      </c>
      <c r="D153" s="16">
        <f>IF(B153="","",IFERROR(INDEX('Content Calendar'!$B$5:$B$604,MATCH(B153,'Content Calendar'!$A$5:$A$604,0)),"Not found"))</f>
        <v>0</v>
      </c>
      <c r="E153" s="17">
        <f>IF(B153="","",IFERROR(INDEX('Content Calendar'!$J$5:$J$604,MATCH(B153,'Content Calendar'!$A$5:$A$604,0)),"Not found"))</f>
        <v>0</v>
      </c>
      <c r="F153" s="29">
        <f>IF(B153="","",IFERROR(INDEX('Content Calendar'!$X$5:$X$604,MATCH(B153,'Content Calendar'!$A$5:$A$604,0)),"Not found"))</f>
        <v>0</v>
      </c>
      <c r="P153" s="23">
        <f>IF(B153="","",IF(COUNTIF(Performance!$B$5:$B$404,B153)=0,"",SUMIFS(Performance!$O$5:$O$404,Performance!$B$5:$B$404,B153)))</f>
        <v>0</v>
      </c>
      <c r="Q153" s="23">
        <f>IF(B153="","",IF(COUNTIF(Performance!$B$5:$B$404,B153)=0,"",SUMIFS(Performance!$P$5:$P$404,Performance!$B$5:$B$404,B153)))</f>
        <v>0</v>
      </c>
      <c r="R153" s="23">
        <f>IF(B153="","",IF(COUNTIF(Performance!$B$5:$B$404,B153)=0,"",SUMIFS(Performance!$Z$5:$Z$404,Performance!$B$5:$B$404,B153)))</f>
        <v>0</v>
      </c>
      <c r="S153" s="24">
        <f>IF(OR(P153="",P153=0),"",R153/P153)</f>
        <v>0</v>
      </c>
      <c r="T153" s="23">
        <f>IF(B153="","",IF(COUNTIF(Performance!$B$5:$B$404,B153)=0,"",SUMIFS(Performance!$T$5:$T$404,Performance!$B$5:$B$404,B153)))</f>
        <v>0</v>
      </c>
      <c r="U153" s="23">
        <f>IF(B153="","",IF(COUNTIF(Performance!$B$5:$B$404,B153)=0,"",SUMIFS(Performance!$S$5:$S$404,Performance!$B$5:$B$404,B153)))</f>
        <v>0</v>
      </c>
      <c r="V153" s="23">
        <f>IF(B153="","",IF(COUNTIF(Performance!$B$5:$B$404,B153)=0,"",SUMIFS(Performance!$R$5:$R$404,Performance!$B$5:$B$404,B153)))</f>
        <v>0</v>
      </c>
      <c r="W153" s="23">
        <f>IF(B153="","",IF(COUNTIF(Performance!$B$5:$B$404,B153)=0,"",SUMIFS(Performance!$U$5:$U$404,Performance!$B$5:$B$404,B153)))</f>
        <v>0</v>
      </c>
      <c r="X153" s="29">
        <f>IF(B153="","",IF(C153="Not found","Check - content ID not on the calendar",IF(AND(J153="",G153&lt;&gt;"Photo"),"Add - no link on a link post",IF(AND(P153&lt;&gt;"",S153&lt;TargetEngagement),"Review - below your target rate","OK"))))</f>
        <v>0</v>
      </c>
    </row>
    <row r="154" spans="1:24">
      <c r="A154" s="41">
        <f>IF(B154="","","FB-"&amp;TEXT(ROW()-4,"000"))</f>
        <v>0</v>
      </c>
      <c r="C154" s="17">
        <f>IF(B154="","",IFERROR(INDEX('Content Calendar'!$H$5:$H$604,MATCH(B154,'Content Calendar'!$A$5:$A$604,0)),"Not found"))</f>
        <v>0</v>
      </c>
      <c r="D154" s="16">
        <f>IF(B154="","",IFERROR(INDEX('Content Calendar'!$B$5:$B$604,MATCH(B154,'Content Calendar'!$A$5:$A$604,0)),"Not found"))</f>
        <v>0</v>
      </c>
      <c r="E154" s="17">
        <f>IF(B154="","",IFERROR(INDEX('Content Calendar'!$J$5:$J$604,MATCH(B154,'Content Calendar'!$A$5:$A$604,0)),"Not found"))</f>
        <v>0</v>
      </c>
      <c r="F154" s="29">
        <f>IF(B154="","",IFERROR(INDEX('Content Calendar'!$X$5:$X$604,MATCH(B154,'Content Calendar'!$A$5:$A$604,0)),"Not found"))</f>
        <v>0</v>
      </c>
      <c r="P154" s="23">
        <f>IF(B154="","",IF(COUNTIF(Performance!$B$5:$B$404,B154)=0,"",SUMIFS(Performance!$O$5:$O$404,Performance!$B$5:$B$404,B154)))</f>
        <v>0</v>
      </c>
      <c r="Q154" s="23">
        <f>IF(B154="","",IF(COUNTIF(Performance!$B$5:$B$404,B154)=0,"",SUMIFS(Performance!$P$5:$P$404,Performance!$B$5:$B$404,B154)))</f>
        <v>0</v>
      </c>
      <c r="R154" s="23">
        <f>IF(B154="","",IF(COUNTIF(Performance!$B$5:$B$404,B154)=0,"",SUMIFS(Performance!$Z$5:$Z$404,Performance!$B$5:$B$404,B154)))</f>
        <v>0</v>
      </c>
      <c r="S154" s="24">
        <f>IF(OR(P154="",P154=0),"",R154/P154)</f>
        <v>0</v>
      </c>
      <c r="T154" s="23">
        <f>IF(B154="","",IF(COUNTIF(Performance!$B$5:$B$404,B154)=0,"",SUMIFS(Performance!$T$5:$T$404,Performance!$B$5:$B$404,B154)))</f>
        <v>0</v>
      </c>
      <c r="U154" s="23">
        <f>IF(B154="","",IF(COUNTIF(Performance!$B$5:$B$404,B154)=0,"",SUMIFS(Performance!$S$5:$S$404,Performance!$B$5:$B$404,B154)))</f>
        <v>0</v>
      </c>
      <c r="V154" s="23">
        <f>IF(B154="","",IF(COUNTIF(Performance!$B$5:$B$404,B154)=0,"",SUMIFS(Performance!$R$5:$R$404,Performance!$B$5:$B$404,B154)))</f>
        <v>0</v>
      </c>
      <c r="W154" s="23">
        <f>IF(B154="","",IF(COUNTIF(Performance!$B$5:$B$404,B154)=0,"",SUMIFS(Performance!$U$5:$U$404,Performance!$B$5:$B$404,B154)))</f>
        <v>0</v>
      </c>
      <c r="X154" s="29">
        <f>IF(B154="","",IF(C154="Not found","Check - content ID not on the calendar",IF(AND(J154="",G154&lt;&gt;"Photo"),"Add - no link on a link post",IF(AND(P154&lt;&gt;"",S154&lt;TargetEngagement),"Review - below your target rate","OK"))))</f>
        <v>0</v>
      </c>
    </row>
    <row r="155" spans="1:24">
      <c r="A155" s="41">
        <f>IF(B155="","","FB-"&amp;TEXT(ROW()-4,"000"))</f>
        <v>0</v>
      </c>
      <c r="C155" s="17">
        <f>IF(B155="","",IFERROR(INDEX('Content Calendar'!$H$5:$H$604,MATCH(B155,'Content Calendar'!$A$5:$A$604,0)),"Not found"))</f>
        <v>0</v>
      </c>
      <c r="D155" s="16">
        <f>IF(B155="","",IFERROR(INDEX('Content Calendar'!$B$5:$B$604,MATCH(B155,'Content Calendar'!$A$5:$A$604,0)),"Not found"))</f>
        <v>0</v>
      </c>
      <c r="E155" s="17">
        <f>IF(B155="","",IFERROR(INDEX('Content Calendar'!$J$5:$J$604,MATCH(B155,'Content Calendar'!$A$5:$A$604,0)),"Not found"))</f>
        <v>0</v>
      </c>
      <c r="F155" s="29">
        <f>IF(B155="","",IFERROR(INDEX('Content Calendar'!$X$5:$X$604,MATCH(B155,'Content Calendar'!$A$5:$A$604,0)),"Not found"))</f>
        <v>0</v>
      </c>
      <c r="P155" s="23">
        <f>IF(B155="","",IF(COUNTIF(Performance!$B$5:$B$404,B155)=0,"",SUMIFS(Performance!$O$5:$O$404,Performance!$B$5:$B$404,B155)))</f>
        <v>0</v>
      </c>
      <c r="Q155" s="23">
        <f>IF(B155="","",IF(COUNTIF(Performance!$B$5:$B$404,B155)=0,"",SUMIFS(Performance!$P$5:$P$404,Performance!$B$5:$B$404,B155)))</f>
        <v>0</v>
      </c>
      <c r="R155" s="23">
        <f>IF(B155="","",IF(COUNTIF(Performance!$B$5:$B$404,B155)=0,"",SUMIFS(Performance!$Z$5:$Z$404,Performance!$B$5:$B$404,B155)))</f>
        <v>0</v>
      </c>
      <c r="S155" s="24">
        <f>IF(OR(P155="",P155=0),"",R155/P155)</f>
        <v>0</v>
      </c>
      <c r="T155" s="23">
        <f>IF(B155="","",IF(COUNTIF(Performance!$B$5:$B$404,B155)=0,"",SUMIFS(Performance!$T$5:$T$404,Performance!$B$5:$B$404,B155)))</f>
        <v>0</v>
      </c>
      <c r="U155" s="23">
        <f>IF(B155="","",IF(COUNTIF(Performance!$B$5:$B$404,B155)=0,"",SUMIFS(Performance!$S$5:$S$404,Performance!$B$5:$B$404,B155)))</f>
        <v>0</v>
      </c>
      <c r="V155" s="23">
        <f>IF(B155="","",IF(COUNTIF(Performance!$B$5:$B$404,B155)=0,"",SUMIFS(Performance!$R$5:$R$404,Performance!$B$5:$B$404,B155)))</f>
        <v>0</v>
      </c>
      <c r="W155" s="23">
        <f>IF(B155="","",IF(COUNTIF(Performance!$B$5:$B$404,B155)=0,"",SUMIFS(Performance!$U$5:$U$404,Performance!$B$5:$B$404,B155)))</f>
        <v>0</v>
      </c>
      <c r="X155" s="29">
        <f>IF(B155="","",IF(C155="Not found","Check - content ID not on the calendar",IF(AND(J155="",G155&lt;&gt;"Photo"),"Add - no link on a link post",IF(AND(P155&lt;&gt;"",S155&lt;TargetEngagement),"Review - below your target rate","OK"))))</f>
        <v>0</v>
      </c>
    </row>
    <row r="156" spans="1:24">
      <c r="A156" s="41">
        <f>IF(B156="","","FB-"&amp;TEXT(ROW()-4,"000"))</f>
        <v>0</v>
      </c>
      <c r="C156" s="17">
        <f>IF(B156="","",IFERROR(INDEX('Content Calendar'!$H$5:$H$604,MATCH(B156,'Content Calendar'!$A$5:$A$604,0)),"Not found"))</f>
        <v>0</v>
      </c>
      <c r="D156" s="16">
        <f>IF(B156="","",IFERROR(INDEX('Content Calendar'!$B$5:$B$604,MATCH(B156,'Content Calendar'!$A$5:$A$604,0)),"Not found"))</f>
        <v>0</v>
      </c>
      <c r="E156" s="17">
        <f>IF(B156="","",IFERROR(INDEX('Content Calendar'!$J$5:$J$604,MATCH(B156,'Content Calendar'!$A$5:$A$604,0)),"Not found"))</f>
        <v>0</v>
      </c>
      <c r="F156" s="29">
        <f>IF(B156="","",IFERROR(INDEX('Content Calendar'!$X$5:$X$604,MATCH(B156,'Content Calendar'!$A$5:$A$604,0)),"Not found"))</f>
        <v>0</v>
      </c>
      <c r="P156" s="23">
        <f>IF(B156="","",IF(COUNTIF(Performance!$B$5:$B$404,B156)=0,"",SUMIFS(Performance!$O$5:$O$404,Performance!$B$5:$B$404,B156)))</f>
        <v>0</v>
      </c>
      <c r="Q156" s="23">
        <f>IF(B156="","",IF(COUNTIF(Performance!$B$5:$B$404,B156)=0,"",SUMIFS(Performance!$P$5:$P$404,Performance!$B$5:$B$404,B156)))</f>
        <v>0</v>
      </c>
      <c r="R156" s="23">
        <f>IF(B156="","",IF(COUNTIF(Performance!$B$5:$B$404,B156)=0,"",SUMIFS(Performance!$Z$5:$Z$404,Performance!$B$5:$B$404,B156)))</f>
        <v>0</v>
      </c>
      <c r="S156" s="24">
        <f>IF(OR(P156="",P156=0),"",R156/P156)</f>
        <v>0</v>
      </c>
      <c r="T156" s="23">
        <f>IF(B156="","",IF(COUNTIF(Performance!$B$5:$B$404,B156)=0,"",SUMIFS(Performance!$T$5:$T$404,Performance!$B$5:$B$404,B156)))</f>
        <v>0</v>
      </c>
      <c r="U156" s="23">
        <f>IF(B156="","",IF(COUNTIF(Performance!$B$5:$B$404,B156)=0,"",SUMIFS(Performance!$S$5:$S$404,Performance!$B$5:$B$404,B156)))</f>
        <v>0</v>
      </c>
      <c r="V156" s="23">
        <f>IF(B156="","",IF(COUNTIF(Performance!$B$5:$B$404,B156)=0,"",SUMIFS(Performance!$R$5:$R$404,Performance!$B$5:$B$404,B156)))</f>
        <v>0</v>
      </c>
      <c r="W156" s="23">
        <f>IF(B156="","",IF(COUNTIF(Performance!$B$5:$B$404,B156)=0,"",SUMIFS(Performance!$U$5:$U$404,Performance!$B$5:$B$404,B156)))</f>
        <v>0</v>
      </c>
      <c r="X156" s="29">
        <f>IF(B156="","",IF(C156="Not found","Check - content ID not on the calendar",IF(AND(J156="",G156&lt;&gt;"Photo"),"Add - no link on a link post",IF(AND(P156&lt;&gt;"",S156&lt;TargetEngagement),"Review - below your target rate","OK"))))</f>
        <v>0</v>
      </c>
    </row>
    <row r="157" spans="1:24">
      <c r="A157" s="41">
        <f>IF(B157="","","FB-"&amp;TEXT(ROW()-4,"000"))</f>
        <v>0</v>
      </c>
      <c r="C157" s="17">
        <f>IF(B157="","",IFERROR(INDEX('Content Calendar'!$H$5:$H$604,MATCH(B157,'Content Calendar'!$A$5:$A$604,0)),"Not found"))</f>
        <v>0</v>
      </c>
      <c r="D157" s="16">
        <f>IF(B157="","",IFERROR(INDEX('Content Calendar'!$B$5:$B$604,MATCH(B157,'Content Calendar'!$A$5:$A$604,0)),"Not found"))</f>
        <v>0</v>
      </c>
      <c r="E157" s="17">
        <f>IF(B157="","",IFERROR(INDEX('Content Calendar'!$J$5:$J$604,MATCH(B157,'Content Calendar'!$A$5:$A$604,0)),"Not found"))</f>
        <v>0</v>
      </c>
      <c r="F157" s="29">
        <f>IF(B157="","",IFERROR(INDEX('Content Calendar'!$X$5:$X$604,MATCH(B157,'Content Calendar'!$A$5:$A$604,0)),"Not found"))</f>
        <v>0</v>
      </c>
      <c r="P157" s="23">
        <f>IF(B157="","",IF(COUNTIF(Performance!$B$5:$B$404,B157)=0,"",SUMIFS(Performance!$O$5:$O$404,Performance!$B$5:$B$404,B157)))</f>
        <v>0</v>
      </c>
      <c r="Q157" s="23">
        <f>IF(B157="","",IF(COUNTIF(Performance!$B$5:$B$404,B157)=0,"",SUMIFS(Performance!$P$5:$P$404,Performance!$B$5:$B$404,B157)))</f>
        <v>0</v>
      </c>
      <c r="R157" s="23">
        <f>IF(B157="","",IF(COUNTIF(Performance!$B$5:$B$404,B157)=0,"",SUMIFS(Performance!$Z$5:$Z$404,Performance!$B$5:$B$404,B157)))</f>
        <v>0</v>
      </c>
      <c r="S157" s="24">
        <f>IF(OR(P157="",P157=0),"",R157/P157)</f>
        <v>0</v>
      </c>
      <c r="T157" s="23">
        <f>IF(B157="","",IF(COUNTIF(Performance!$B$5:$B$404,B157)=0,"",SUMIFS(Performance!$T$5:$T$404,Performance!$B$5:$B$404,B157)))</f>
        <v>0</v>
      </c>
      <c r="U157" s="23">
        <f>IF(B157="","",IF(COUNTIF(Performance!$B$5:$B$404,B157)=0,"",SUMIFS(Performance!$S$5:$S$404,Performance!$B$5:$B$404,B157)))</f>
        <v>0</v>
      </c>
      <c r="V157" s="23">
        <f>IF(B157="","",IF(COUNTIF(Performance!$B$5:$B$404,B157)=0,"",SUMIFS(Performance!$R$5:$R$404,Performance!$B$5:$B$404,B157)))</f>
        <v>0</v>
      </c>
      <c r="W157" s="23">
        <f>IF(B157="","",IF(COUNTIF(Performance!$B$5:$B$404,B157)=0,"",SUMIFS(Performance!$U$5:$U$404,Performance!$B$5:$B$404,B157)))</f>
        <v>0</v>
      </c>
      <c r="X157" s="29">
        <f>IF(B157="","",IF(C157="Not found","Check - content ID not on the calendar",IF(AND(J157="",G157&lt;&gt;"Photo"),"Add - no link on a link post",IF(AND(P157&lt;&gt;"",S157&lt;TargetEngagement),"Review - below your target rate","OK"))))</f>
        <v>0</v>
      </c>
    </row>
    <row r="158" spans="1:24">
      <c r="A158" s="41">
        <f>IF(B158="","","FB-"&amp;TEXT(ROW()-4,"000"))</f>
        <v>0</v>
      </c>
      <c r="C158" s="17">
        <f>IF(B158="","",IFERROR(INDEX('Content Calendar'!$H$5:$H$604,MATCH(B158,'Content Calendar'!$A$5:$A$604,0)),"Not found"))</f>
        <v>0</v>
      </c>
      <c r="D158" s="16">
        <f>IF(B158="","",IFERROR(INDEX('Content Calendar'!$B$5:$B$604,MATCH(B158,'Content Calendar'!$A$5:$A$604,0)),"Not found"))</f>
        <v>0</v>
      </c>
      <c r="E158" s="17">
        <f>IF(B158="","",IFERROR(INDEX('Content Calendar'!$J$5:$J$604,MATCH(B158,'Content Calendar'!$A$5:$A$604,0)),"Not found"))</f>
        <v>0</v>
      </c>
      <c r="F158" s="29">
        <f>IF(B158="","",IFERROR(INDEX('Content Calendar'!$X$5:$X$604,MATCH(B158,'Content Calendar'!$A$5:$A$604,0)),"Not found"))</f>
        <v>0</v>
      </c>
      <c r="P158" s="23">
        <f>IF(B158="","",IF(COUNTIF(Performance!$B$5:$B$404,B158)=0,"",SUMIFS(Performance!$O$5:$O$404,Performance!$B$5:$B$404,B158)))</f>
        <v>0</v>
      </c>
      <c r="Q158" s="23">
        <f>IF(B158="","",IF(COUNTIF(Performance!$B$5:$B$404,B158)=0,"",SUMIFS(Performance!$P$5:$P$404,Performance!$B$5:$B$404,B158)))</f>
        <v>0</v>
      </c>
      <c r="R158" s="23">
        <f>IF(B158="","",IF(COUNTIF(Performance!$B$5:$B$404,B158)=0,"",SUMIFS(Performance!$Z$5:$Z$404,Performance!$B$5:$B$404,B158)))</f>
        <v>0</v>
      </c>
      <c r="S158" s="24">
        <f>IF(OR(P158="",P158=0),"",R158/P158)</f>
        <v>0</v>
      </c>
      <c r="T158" s="23">
        <f>IF(B158="","",IF(COUNTIF(Performance!$B$5:$B$404,B158)=0,"",SUMIFS(Performance!$T$5:$T$404,Performance!$B$5:$B$404,B158)))</f>
        <v>0</v>
      </c>
      <c r="U158" s="23">
        <f>IF(B158="","",IF(COUNTIF(Performance!$B$5:$B$404,B158)=0,"",SUMIFS(Performance!$S$5:$S$404,Performance!$B$5:$B$404,B158)))</f>
        <v>0</v>
      </c>
      <c r="V158" s="23">
        <f>IF(B158="","",IF(COUNTIF(Performance!$B$5:$B$404,B158)=0,"",SUMIFS(Performance!$R$5:$R$404,Performance!$B$5:$B$404,B158)))</f>
        <v>0</v>
      </c>
      <c r="W158" s="23">
        <f>IF(B158="","",IF(COUNTIF(Performance!$B$5:$B$404,B158)=0,"",SUMIFS(Performance!$U$5:$U$404,Performance!$B$5:$B$404,B158)))</f>
        <v>0</v>
      </c>
      <c r="X158" s="29">
        <f>IF(B158="","",IF(C158="Not found","Check - content ID not on the calendar",IF(AND(J158="",G158&lt;&gt;"Photo"),"Add - no link on a link post",IF(AND(P158&lt;&gt;"",S158&lt;TargetEngagement),"Review - below your target rate","OK"))))</f>
        <v>0</v>
      </c>
    </row>
    <row r="159" spans="1:24">
      <c r="A159" s="41">
        <f>IF(B159="","","FB-"&amp;TEXT(ROW()-4,"000"))</f>
        <v>0</v>
      </c>
      <c r="C159" s="17">
        <f>IF(B159="","",IFERROR(INDEX('Content Calendar'!$H$5:$H$604,MATCH(B159,'Content Calendar'!$A$5:$A$604,0)),"Not found"))</f>
        <v>0</v>
      </c>
      <c r="D159" s="16">
        <f>IF(B159="","",IFERROR(INDEX('Content Calendar'!$B$5:$B$604,MATCH(B159,'Content Calendar'!$A$5:$A$604,0)),"Not found"))</f>
        <v>0</v>
      </c>
      <c r="E159" s="17">
        <f>IF(B159="","",IFERROR(INDEX('Content Calendar'!$J$5:$J$604,MATCH(B159,'Content Calendar'!$A$5:$A$604,0)),"Not found"))</f>
        <v>0</v>
      </c>
      <c r="F159" s="29">
        <f>IF(B159="","",IFERROR(INDEX('Content Calendar'!$X$5:$X$604,MATCH(B159,'Content Calendar'!$A$5:$A$604,0)),"Not found"))</f>
        <v>0</v>
      </c>
      <c r="P159" s="23">
        <f>IF(B159="","",IF(COUNTIF(Performance!$B$5:$B$404,B159)=0,"",SUMIFS(Performance!$O$5:$O$404,Performance!$B$5:$B$404,B159)))</f>
        <v>0</v>
      </c>
      <c r="Q159" s="23">
        <f>IF(B159="","",IF(COUNTIF(Performance!$B$5:$B$404,B159)=0,"",SUMIFS(Performance!$P$5:$P$404,Performance!$B$5:$B$404,B159)))</f>
        <v>0</v>
      </c>
      <c r="R159" s="23">
        <f>IF(B159="","",IF(COUNTIF(Performance!$B$5:$B$404,B159)=0,"",SUMIFS(Performance!$Z$5:$Z$404,Performance!$B$5:$B$404,B159)))</f>
        <v>0</v>
      </c>
      <c r="S159" s="24">
        <f>IF(OR(P159="",P159=0),"",R159/P159)</f>
        <v>0</v>
      </c>
      <c r="T159" s="23">
        <f>IF(B159="","",IF(COUNTIF(Performance!$B$5:$B$404,B159)=0,"",SUMIFS(Performance!$T$5:$T$404,Performance!$B$5:$B$404,B159)))</f>
        <v>0</v>
      </c>
      <c r="U159" s="23">
        <f>IF(B159="","",IF(COUNTIF(Performance!$B$5:$B$404,B159)=0,"",SUMIFS(Performance!$S$5:$S$404,Performance!$B$5:$B$404,B159)))</f>
        <v>0</v>
      </c>
      <c r="V159" s="23">
        <f>IF(B159="","",IF(COUNTIF(Performance!$B$5:$B$404,B159)=0,"",SUMIFS(Performance!$R$5:$R$404,Performance!$B$5:$B$404,B159)))</f>
        <v>0</v>
      </c>
      <c r="W159" s="23">
        <f>IF(B159="","",IF(COUNTIF(Performance!$B$5:$B$404,B159)=0,"",SUMIFS(Performance!$U$5:$U$404,Performance!$B$5:$B$404,B159)))</f>
        <v>0</v>
      </c>
      <c r="X159" s="29">
        <f>IF(B159="","",IF(C159="Not found","Check - content ID not on the calendar",IF(AND(J159="",G159&lt;&gt;"Photo"),"Add - no link on a link post",IF(AND(P159&lt;&gt;"",S159&lt;TargetEngagement),"Review - below your target rate","OK"))))</f>
        <v>0</v>
      </c>
    </row>
    <row r="160" spans="1:24">
      <c r="A160" s="41">
        <f>IF(B160="","","FB-"&amp;TEXT(ROW()-4,"000"))</f>
        <v>0</v>
      </c>
      <c r="C160" s="17">
        <f>IF(B160="","",IFERROR(INDEX('Content Calendar'!$H$5:$H$604,MATCH(B160,'Content Calendar'!$A$5:$A$604,0)),"Not found"))</f>
        <v>0</v>
      </c>
      <c r="D160" s="16">
        <f>IF(B160="","",IFERROR(INDEX('Content Calendar'!$B$5:$B$604,MATCH(B160,'Content Calendar'!$A$5:$A$604,0)),"Not found"))</f>
        <v>0</v>
      </c>
      <c r="E160" s="17">
        <f>IF(B160="","",IFERROR(INDEX('Content Calendar'!$J$5:$J$604,MATCH(B160,'Content Calendar'!$A$5:$A$604,0)),"Not found"))</f>
        <v>0</v>
      </c>
      <c r="F160" s="29">
        <f>IF(B160="","",IFERROR(INDEX('Content Calendar'!$X$5:$X$604,MATCH(B160,'Content Calendar'!$A$5:$A$604,0)),"Not found"))</f>
        <v>0</v>
      </c>
      <c r="P160" s="23">
        <f>IF(B160="","",IF(COUNTIF(Performance!$B$5:$B$404,B160)=0,"",SUMIFS(Performance!$O$5:$O$404,Performance!$B$5:$B$404,B160)))</f>
        <v>0</v>
      </c>
      <c r="Q160" s="23">
        <f>IF(B160="","",IF(COUNTIF(Performance!$B$5:$B$404,B160)=0,"",SUMIFS(Performance!$P$5:$P$404,Performance!$B$5:$B$404,B160)))</f>
        <v>0</v>
      </c>
      <c r="R160" s="23">
        <f>IF(B160="","",IF(COUNTIF(Performance!$B$5:$B$404,B160)=0,"",SUMIFS(Performance!$Z$5:$Z$404,Performance!$B$5:$B$404,B160)))</f>
        <v>0</v>
      </c>
      <c r="S160" s="24">
        <f>IF(OR(P160="",P160=0),"",R160/P160)</f>
        <v>0</v>
      </c>
      <c r="T160" s="23">
        <f>IF(B160="","",IF(COUNTIF(Performance!$B$5:$B$404,B160)=0,"",SUMIFS(Performance!$T$5:$T$404,Performance!$B$5:$B$404,B160)))</f>
        <v>0</v>
      </c>
      <c r="U160" s="23">
        <f>IF(B160="","",IF(COUNTIF(Performance!$B$5:$B$404,B160)=0,"",SUMIFS(Performance!$S$5:$S$404,Performance!$B$5:$B$404,B160)))</f>
        <v>0</v>
      </c>
      <c r="V160" s="23">
        <f>IF(B160="","",IF(COUNTIF(Performance!$B$5:$B$404,B160)=0,"",SUMIFS(Performance!$R$5:$R$404,Performance!$B$5:$B$404,B160)))</f>
        <v>0</v>
      </c>
      <c r="W160" s="23">
        <f>IF(B160="","",IF(COUNTIF(Performance!$B$5:$B$404,B160)=0,"",SUMIFS(Performance!$U$5:$U$404,Performance!$B$5:$B$404,B160)))</f>
        <v>0</v>
      </c>
      <c r="X160" s="29">
        <f>IF(B160="","",IF(C160="Not found","Check - content ID not on the calendar",IF(AND(J160="",G160&lt;&gt;"Photo"),"Add - no link on a link post",IF(AND(P160&lt;&gt;"",S160&lt;TargetEngagement),"Review - below your target rate","OK"))))</f>
        <v>0</v>
      </c>
    </row>
    <row r="161" spans="1:24">
      <c r="A161" s="41">
        <f>IF(B161="","","FB-"&amp;TEXT(ROW()-4,"000"))</f>
        <v>0</v>
      </c>
      <c r="C161" s="17">
        <f>IF(B161="","",IFERROR(INDEX('Content Calendar'!$H$5:$H$604,MATCH(B161,'Content Calendar'!$A$5:$A$604,0)),"Not found"))</f>
        <v>0</v>
      </c>
      <c r="D161" s="16">
        <f>IF(B161="","",IFERROR(INDEX('Content Calendar'!$B$5:$B$604,MATCH(B161,'Content Calendar'!$A$5:$A$604,0)),"Not found"))</f>
        <v>0</v>
      </c>
      <c r="E161" s="17">
        <f>IF(B161="","",IFERROR(INDEX('Content Calendar'!$J$5:$J$604,MATCH(B161,'Content Calendar'!$A$5:$A$604,0)),"Not found"))</f>
        <v>0</v>
      </c>
      <c r="F161" s="29">
        <f>IF(B161="","",IFERROR(INDEX('Content Calendar'!$X$5:$X$604,MATCH(B161,'Content Calendar'!$A$5:$A$604,0)),"Not found"))</f>
        <v>0</v>
      </c>
      <c r="P161" s="23">
        <f>IF(B161="","",IF(COUNTIF(Performance!$B$5:$B$404,B161)=0,"",SUMIFS(Performance!$O$5:$O$404,Performance!$B$5:$B$404,B161)))</f>
        <v>0</v>
      </c>
      <c r="Q161" s="23">
        <f>IF(B161="","",IF(COUNTIF(Performance!$B$5:$B$404,B161)=0,"",SUMIFS(Performance!$P$5:$P$404,Performance!$B$5:$B$404,B161)))</f>
        <v>0</v>
      </c>
      <c r="R161" s="23">
        <f>IF(B161="","",IF(COUNTIF(Performance!$B$5:$B$404,B161)=0,"",SUMIFS(Performance!$Z$5:$Z$404,Performance!$B$5:$B$404,B161)))</f>
        <v>0</v>
      </c>
      <c r="S161" s="24">
        <f>IF(OR(P161="",P161=0),"",R161/P161)</f>
        <v>0</v>
      </c>
      <c r="T161" s="23">
        <f>IF(B161="","",IF(COUNTIF(Performance!$B$5:$B$404,B161)=0,"",SUMIFS(Performance!$T$5:$T$404,Performance!$B$5:$B$404,B161)))</f>
        <v>0</v>
      </c>
      <c r="U161" s="23">
        <f>IF(B161="","",IF(COUNTIF(Performance!$B$5:$B$404,B161)=0,"",SUMIFS(Performance!$S$5:$S$404,Performance!$B$5:$B$404,B161)))</f>
        <v>0</v>
      </c>
      <c r="V161" s="23">
        <f>IF(B161="","",IF(COUNTIF(Performance!$B$5:$B$404,B161)=0,"",SUMIFS(Performance!$R$5:$R$404,Performance!$B$5:$B$404,B161)))</f>
        <v>0</v>
      </c>
      <c r="W161" s="23">
        <f>IF(B161="","",IF(COUNTIF(Performance!$B$5:$B$404,B161)=0,"",SUMIFS(Performance!$U$5:$U$404,Performance!$B$5:$B$404,B161)))</f>
        <v>0</v>
      </c>
      <c r="X161" s="29">
        <f>IF(B161="","",IF(C161="Not found","Check - content ID not on the calendar",IF(AND(J161="",G161&lt;&gt;"Photo"),"Add - no link on a link post",IF(AND(P161&lt;&gt;"",S161&lt;TargetEngagement),"Review - below your target rate","OK"))))</f>
        <v>0</v>
      </c>
    </row>
    <row r="162" spans="1:24">
      <c r="A162" s="41">
        <f>IF(B162="","","FB-"&amp;TEXT(ROW()-4,"000"))</f>
        <v>0</v>
      </c>
      <c r="C162" s="17">
        <f>IF(B162="","",IFERROR(INDEX('Content Calendar'!$H$5:$H$604,MATCH(B162,'Content Calendar'!$A$5:$A$604,0)),"Not found"))</f>
        <v>0</v>
      </c>
      <c r="D162" s="16">
        <f>IF(B162="","",IFERROR(INDEX('Content Calendar'!$B$5:$B$604,MATCH(B162,'Content Calendar'!$A$5:$A$604,0)),"Not found"))</f>
        <v>0</v>
      </c>
      <c r="E162" s="17">
        <f>IF(B162="","",IFERROR(INDEX('Content Calendar'!$J$5:$J$604,MATCH(B162,'Content Calendar'!$A$5:$A$604,0)),"Not found"))</f>
        <v>0</v>
      </c>
      <c r="F162" s="29">
        <f>IF(B162="","",IFERROR(INDEX('Content Calendar'!$X$5:$X$604,MATCH(B162,'Content Calendar'!$A$5:$A$604,0)),"Not found"))</f>
        <v>0</v>
      </c>
      <c r="P162" s="23">
        <f>IF(B162="","",IF(COUNTIF(Performance!$B$5:$B$404,B162)=0,"",SUMIFS(Performance!$O$5:$O$404,Performance!$B$5:$B$404,B162)))</f>
        <v>0</v>
      </c>
      <c r="Q162" s="23">
        <f>IF(B162="","",IF(COUNTIF(Performance!$B$5:$B$404,B162)=0,"",SUMIFS(Performance!$P$5:$P$404,Performance!$B$5:$B$404,B162)))</f>
        <v>0</v>
      </c>
      <c r="R162" s="23">
        <f>IF(B162="","",IF(COUNTIF(Performance!$B$5:$B$404,B162)=0,"",SUMIFS(Performance!$Z$5:$Z$404,Performance!$B$5:$B$404,B162)))</f>
        <v>0</v>
      </c>
      <c r="S162" s="24">
        <f>IF(OR(P162="",P162=0),"",R162/P162)</f>
        <v>0</v>
      </c>
      <c r="T162" s="23">
        <f>IF(B162="","",IF(COUNTIF(Performance!$B$5:$B$404,B162)=0,"",SUMIFS(Performance!$T$5:$T$404,Performance!$B$5:$B$404,B162)))</f>
        <v>0</v>
      </c>
      <c r="U162" s="23">
        <f>IF(B162="","",IF(COUNTIF(Performance!$B$5:$B$404,B162)=0,"",SUMIFS(Performance!$S$5:$S$404,Performance!$B$5:$B$404,B162)))</f>
        <v>0</v>
      </c>
      <c r="V162" s="23">
        <f>IF(B162="","",IF(COUNTIF(Performance!$B$5:$B$404,B162)=0,"",SUMIFS(Performance!$R$5:$R$404,Performance!$B$5:$B$404,B162)))</f>
        <v>0</v>
      </c>
      <c r="W162" s="23">
        <f>IF(B162="","",IF(COUNTIF(Performance!$B$5:$B$404,B162)=0,"",SUMIFS(Performance!$U$5:$U$404,Performance!$B$5:$B$404,B162)))</f>
        <v>0</v>
      </c>
      <c r="X162" s="29">
        <f>IF(B162="","",IF(C162="Not found","Check - content ID not on the calendar",IF(AND(J162="",G162&lt;&gt;"Photo"),"Add - no link on a link post",IF(AND(P162&lt;&gt;"",S162&lt;TargetEngagement),"Review - below your target rate","OK"))))</f>
        <v>0</v>
      </c>
    </row>
    <row r="163" spans="1:24">
      <c r="A163" s="41">
        <f>IF(B163="","","FB-"&amp;TEXT(ROW()-4,"000"))</f>
        <v>0</v>
      </c>
      <c r="C163" s="17">
        <f>IF(B163="","",IFERROR(INDEX('Content Calendar'!$H$5:$H$604,MATCH(B163,'Content Calendar'!$A$5:$A$604,0)),"Not found"))</f>
        <v>0</v>
      </c>
      <c r="D163" s="16">
        <f>IF(B163="","",IFERROR(INDEX('Content Calendar'!$B$5:$B$604,MATCH(B163,'Content Calendar'!$A$5:$A$604,0)),"Not found"))</f>
        <v>0</v>
      </c>
      <c r="E163" s="17">
        <f>IF(B163="","",IFERROR(INDEX('Content Calendar'!$J$5:$J$604,MATCH(B163,'Content Calendar'!$A$5:$A$604,0)),"Not found"))</f>
        <v>0</v>
      </c>
      <c r="F163" s="29">
        <f>IF(B163="","",IFERROR(INDEX('Content Calendar'!$X$5:$X$604,MATCH(B163,'Content Calendar'!$A$5:$A$604,0)),"Not found"))</f>
        <v>0</v>
      </c>
      <c r="P163" s="23">
        <f>IF(B163="","",IF(COUNTIF(Performance!$B$5:$B$404,B163)=0,"",SUMIFS(Performance!$O$5:$O$404,Performance!$B$5:$B$404,B163)))</f>
        <v>0</v>
      </c>
      <c r="Q163" s="23">
        <f>IF(B163="","",IF(COUNTIF(Performance!$B$5:$B$404,B163)=0,"",SUMIFS(Performance!$P$5:$P$404,Performance!$B$5:$B$404,B163)))</f>
        <v>0</v>
      </c>
      <c r="R163" s="23">
        <f>IF(B163="","",IF(COUNTIF(Performance!$B$5:$B$404,B163)=0,"",SUMIFS(Performance!$Z$5:$Z$404,Performance!$B$5:$B$404,B163)))</f>
        <v>0</v>
      </c>
      <c r="S163" s="24">
        <f>IF(OR(P163="",P163=0),"",R163/P163)</f>
        <v>0</v>
      </c>
      <c r="T163" s="23">
        <f>IF(B163="","",IF(COUNTIF(Performance!$B$5:$B$404,B163)=0,"",SUMIFS(Performance!$T$5:$T$404,Performance!$B$5:$B$404,B163)))</f>
        <v>0</v>
      </c>
      <c r="U163" s="23">
        <f>IF(B163="","",IF(COUNTIF(Performance!$B$5:$B$404,B163)=0,"",SUMIFS(Performance!$S$5:$S$404,Performance!$B$5:$B$404,B163)))</f>
        <v>0</v>
      </c>
      <c r="V163" s="23">
        <f>IF(B163="","",IF(COUNTIF(Performance!$B$5:$B$404,B163)=0,"",SUMIFS(Performance!$R$5:$R$404,Performance!$B$5:$B$404,B163)))</f>
        <v>0</v>
      </c>
      <c r="W163" s="23">
        <f>IF(B163="","",IF(COUNTIF(Performance!$B$5:$B$404,B163)=0,"",SUMIFS(Performance!$U$5:$U$404,Performance!$B$5:$B$404,B163)))</f>
        <v>0</v>
      </c>
      <c r="X163" s="29">
        <f>IF(B163="","",IF(C163="Not found","Check - content ID not on the calendar",IF(AND(J163="",G163&lt;&gt;"Photo"),"Add - no link on a link post",IF(AND(P163&lt;&gt;"",S163&lt;TargetEngagement),"Review - below your target rate","OK"))))</f>
        <v>0</v>
      </c>
    </row>
    <row r="164" spans="1:24">
      <c r="A164" s="41">
        <f>IF(B164="","","FB-"&amp;TEXT(ROW()-4,"000"))</f>
        <v>0</v>
      </c>
      <c r="C164" s="17">
        <f>IF(B164="","",IFERROR(INDEX('Content Calendar'!$H$5:$H$604,MATCH(B164,'Content Calendar'!$A$5:$A$604,0)),"Not found"))</f>
        <v>0</v>
      </c>
      <c r="D164" s="16">
        <f>IF(B164="","",IFERROR(INDEX('Content Calendar'!$B$5:$B$604,MATCH(B164,'Content Calendar'!$A$5:$A$604,0)),"Not found"))</f>
        <v>0</v>
      </c>
      <c r="E164" s="17">
        <f>IF(B164="","",IFERROR(INDEX('Content Calendar'!$J$5:$J$604,MATCH(B164,'Content Calendar'!$A$5:$A$604,0)),"Not found"))</f>
        <v>0</v>
      </c>
      <c r="F164" s="29">
        <f>IF(B164="","",IFERROR(INDEX('Content Calendar'!$X$5:$X$604,MATCH(B164,'Content Calendar'!$A$5:$A$604,0)),"Not found"))</f>
        <v>0</v>
      </c>
      <c r="P164" s="23">
        <f>IF(B164="","",IF(COUNTIF(Performance!$B$5:$B$404,B164)=0,"",SUMIFS(Performance!$O$5:$O$404,Performance!$B$5:$B$404,B164)))</f>
        <v>0</v>
      </c>
      <c r="Q164" s="23">
        <f>IF(B164="","",IF(COUNTIF(Performance!$B$5:$B$404,B164)=0,"",SUMIFS(Performance!$P$5:$P$404,Performance!$B$5:$B$404,B164)))</f>
        <v>0</v>
      </c>
      <c r="R164" s="23">
        <f>IF(B164="","",IF(COUNTIF(Performance!$B$5:$B$404,B164)=0,"",SUMIFS(Performance!$Z$5:$Z$404,Performance!$B$5:$B$404,B164)))</f>
        <v>0</v>
      </c>
      <c r="S164" s="24">
        <f>IF(OR(P164="",P164=0),"",R164/P164)</f>
        <v>0</v>
      </c>
      <c r="T164" s="23">
        <f>IF(B164="","",IF(COUNTIF(Performance!$B$5:$B$404,B164)=0,"",SUMIFS(Performance!$T$5:$T$404,Performance!$B$5:$B$404,B164)))</f>
        <v>0</v>
      </c>
      <c r="U164" s="23">
        <f>IF(B164="","",IF(COUNTIF(Performance!$B$5:$B$404,B164)=0,"",SUMIFS(Performance!$S$5:$S$404,Performance!$B$5:$B$404,B164)))</f>
        <v>0</v>
      </c>
      <c r="V164" s="23">
        <f>IF(B164="","",IF(COUNTIF(Performance!$B$5:$B$404,B164)=0,"",SUMIFS(Performance!$R$5:$R$404,Performance!$B$5:$B$404,B164)))</f>
        <v>0</v>
      </c>
      <c r="W164" s="23">
        <f>IF(B164="","",IF(COUNTIF(Performance!$B$5:$B$404,B164)=0,"",SUMIFS(Performance!$U$5:$U$404,Performance!$B$5:$B$404,B164)))</f>
        <v>0</v>
      </c>
      <c r="X164" s="29">
        <f>IF(B164="","",IF(C164="Not found","Check - content ID not on the calendar",IF(AND(J164="",G164&lt;&gt;"Photo"),"Add - no link on a link post",IF(AND(P164&lt;&gt;"",S164&lt;TargetEngagement),"Review - below your target rate","OK"))))</f>
        <v>0</v>
      </c>
    </row>
    <row r="165" spans="1:24">
      <c r="A165" s="41">
        <f>IF(B165="","","FB-"&amp;TEXT(ROW()-4,"000"))</f>
        <v>0</v>
      </c>
      <c r="C165" s="17">
        <f>IF(B165="","",IFERROR(INDEX('Content Calendar'!$H$5:$H$604,MATCH(B165,'Content Calendar'!$A$5:$A$604,0)),"Not found"))</f>
        <v>0</v>
      </c>
      <c r="D165" s="16">
        <f>IF(B165="","",IFERROR(INDEX('Content Calendar'!$B$5:$B$604,MATCH(B165,'Content Calendar'!$A$5:$A$604,0)),"Not found"))</f>
        <v>0</v>
      </c>
      <c r="E165" s="17">
        <f>IF(B165="","",IFERROR(INDEX('Content Calendar'!$J$5:$J$604,MATCH(B165,'Content Calendar'!$A$5:$A$604,0)),"Not found"))</f>
        <v>0</v>
      </c>
      <c r="F165" s="29">
        <f>IF(B165="","",IFERROR(INDEX('Content Calendar'!$X$5:$X$604,MATCH(B165,'Content Calendar'!$A$5:$A$604,0)),"Not found"))</f>
        <v>0</v>
      </c>
      <c r="P165" s="23">
        <f>IF(B165="","",IF(COUNTIF(Performance!$B$5:$B$404,B165)=0,"",SUMIFS(Performance!$O$5:$O$404,Performance!$B$5:$B$404,B165)))</f>
        <v>0</v>
      </c>
      <c r="Q165" s="23">
        <f>IF(B165="","",IF(COUNTIF(Performance!$B$5:$B$404,B165)=0,"",SUMIFS(Performance!$P$5:$P$404,Performance!$B$5:$B$404,B165)))</f>
        <v>0</v>
      </c>
      <c r="R165" s="23">
        <f>IF(B165="","",IF(COUNTIF(Performance!$B$5:$B$404,B165)=0,"",SUMIFS(Performance!$Z$5:$Z$404,Performance!$B$5:$B$404,B165)))</f>
        <v>0</v>
      </c>
      <c r="S165" s="24">
        <f>IF(OR(P165="",P165=0),"",R165/P165)</f>
        <v>0</v>
      </c>
      <c r="T165" s="23">
        <f>IF(B165="","",IF(COUNTIF(Performance!$B$5:$B$404,B165)=0,"",SUMIFS(Performance!$T$5:$T$404,Performance!$B$5:$B$404,B165)))</f>
        <v>0</v>
      </c>
      <c r="U165" s="23">
        <f>IF(B165="","",IF(COUNTIF(Performance!$B$5:$B$404,B165)=0,"",SUMIFS(Performance!$S$5:$S$404,Performance!$B$5:$B$404,B165)))</f>
        <v>0</v>
      </c>
      <c r="V165" s="23">
        <f>IF(B165="","",IF(COUNTIF(Performance!$B$5:$B$404,B165)=0,"",SUMIFS(Performance!$R$5:$R$404,Performance!$B$5:$B$404,B165)))</f>
        <v>0</v>
      </c>
      <c r="W165" s="23">
        <f>IF(B165="","",IF(COUNTIF(Performance!$B$5:$B$404,B165)=0,"",SUMIFS(Performance!$U$5:$U$404,Performance!$B$5:$B$404,B165)))</f>
        <v>0</v>
      </c>
      <c r="X165" s="29">
        <f>IF(B165="","",IF(C165="Not found","Check - content ID not on the calendar",IF(AND(J165="",G165&lt;&gt;"Photo"),"Add - no link on a link post",IF(AND(P165&lt;&gt;"",S165&lt;TargetEngagement),"Review - below your target rate","OK"))))</f>
        <v>0</v>
      </c>
    </row>
    <row r="166" spans="1:24">
      <c r="A166" s="41">
        <f>IF(B166="","","FB-"&amp;TEXT(ROW()-4,"000"))</f>
        <v>0</v>
      </c>
      <c r="C166" s="17">
        <f>IF(B166="","",IFERROR(INDEX('Content Calendar'!$H$5:$H$604,MATCH(B166,'Content Calendar'!$A$5:$A$604,0)),"Not found"))</f>
        <v>0</v>
      </c>
      <c r="D166" s="16">
        <f>IF(B166="","",IFERROR(INDEX('Content Calendar'!$B$5:$B$604,MATCH(B166,'Content Calendar'!$A$5:$A$604,0)),"Not found"))</f>
        <v>0</v>
      </c>
      <c r="E166" s="17">
        <f>IF(B166="","",IFERROR(INDEX('Content Calendar'!$J$5:$J$604,MATCH(B166,'Content Calendar'!$A$5:$A$604,0)),"Not found"))</f>
        <v>0</v>
      </c>
      <c r="F166" s="29">
        <f>IF(B166="","",IFERROR(INDEX('Content Calendar'!$X$5:$X$604,MATCH(B166,'Content Calendar'!$A$5:$A$604,0)),"Not found"))</f>
        <v>0</v>
      </c>
      <c r="P166" s="23">
        <f>IF(B166="","",IF(COUNTIF(Performance!$B$5:$B$404,B166)=0,"",SUMIFS(Performance!$O$5:$O$404,Performance!$B$5:$B$404,B166)))</f>
        <v>0</v>
      </c>
      <c r="Q166" s="23">
        <f>IF(B166="","",IF(COUNTIF(Performance!$B$5:$B$404,B166)=0,"",SUMIFS(Performance!$P$5:$P$404,Performance!$B$5:$B$404,B166)))</f>
        <v>0</v>
      </c>
      <c r="R166" s="23">
        <f>IF(B166="","",IF(COUNTIF(Performance!$B$5:$B$404,B166)=0,"",SUMIFS(Performance!$Z$5:$Z$404,Performance!$B$5:$B$404,B166)))</f>
        <v>0</v>
      </c>
      <c r="S166" s="24">
        <f>IF(OR(P166="",P166=0),"",R166/P166)</f>
        <v>0</v>
      </c>
      <c r="T166" s="23">
        <f>IF(B166="","",IF(COUNTIF(Performance!$B$5:$B$404,B166)=0,"",SUMIFS(Performance!$T$5:$T$404,Performance!$B$5:$B$404,B166)))</f>
        <v>0</v>
      </c>
      <c r="U166" s="23">
        <f>IF(B166="","",IF(COUNTIF(Performance!$B$5:$B$404,B166)=0,"",SUMIFS(Performance!$S$5:$S$404,Performance!$B$5:$B$404,B166)))</f>
        <v>0</v>
      </c>
      <c r="V166" s="23">
        <f>IF(B166="","",IF(COUNTIF(Performance!$B$5:$B$404,B166)=0,"",SUMIFS(Performance!$R$5:$R$404,Performance!$B$5:$B$404,B166)))</f>
        <v>0</v>
      </c>
      <c r="W166" s="23">
        <f>IF(B166="","",IF(COUNTIF(Performance!$B$5:$B$404,B166)=0,"",SUMIFS(Performance!$U$5:$U$404,Performance!$B$5:$B$404,B166)))</f>
        <v>0</v>
      </c>
      <c r="X166" s="29">
        <f>IF(B166="","",IF(C166="Not found","Check - content ID not on the calendar",IF(AND(J166="",G166&lt;&gt;"Photo"),"Add - no link on a link post",IF(AND(P166&lt;&gt;"",S166&lt;TargetEngagement),"Review - below your target rate","OK"))))</f>
        <v>0</v>
      </c>
    </row>
    <row r="167" spans="1:24">
      <c r="A167" s="41">
        <f>IF(B167="","","FB-"&amp;TEXT(ROW()-4,"000"))</f>
        <v>0</v>
      </c>
      <c r="C167" s="17">
        <f>IF(B167="","",IFERROR(INDEX('Content Calendar'!$H$5:$H$604,MATCH(B167,'Content Calendar'!$A$5:$A$604,0)),"Not found"))</f>
        <v>0</v>
      </c>
      <c r="D167" s="16">
        <f>IF(B167="","",IFERROR(INDEX('Content Calendar'!$B$5:$B$604,MATCH(B167,'Content Calendar'!$A$5:$A$604,0)),"Not found"))</f>
        <v>0</v>
      </c>
      <c r="E167" s="17">
        <f>IF(B167="","",IFERROR(INDEX('Content Calendar'!$J$5:$J$604,MATCH(B167,'Content Calendar'!$A$5:$A$604,0)),"Not found"))</f>
        <v>0</v>
      </c>
      <c r="F167" s="29">
        <f>IF(B167="","",IFERROR(INDEX('Content Calendar'!$X$5:$X$604,MATCH(B167,'Content Calendar'!$A$5:$A$604,0)),"Not found"))</f>
        <v>0</v>
      </c>
      <c r="P167" s="23">
        <f>IF(B167="","",IF(COUNTIF(Performance!$B$5:$B$404,B167)=0,"",SUMIFS(Performance!$O$5:$O$404,Performance!$B$5:$B$404,B167)))</f>
        <v>0</v>
      </c>
      <c r="Q167" s="23">
        <f>IF(B167="","",IF(COUNTIF(Performance!$B$5:$B$404,B167)=0,"",SUMIFS(Performance!$P$5:$P$404,Performance!$B$5:$B$404,B167)))</f>
        <v>0</v>
      </c>
      <c r="R167" s="23">
        <f>IF(B167="","",IF(COUNTIF(Performance!$B$5:$B$404,B167)=0,"",SUMIFS(Performance!$Z$5:$Z$404,Performance!$B$5:$B$404,B167)))</f>
        <v>0</v>
      </c>
      <c r="S167" s="24">
        <f>IF(OR(P167="",P167=0),"",R167/P167)</f>
        <v>0</v>
      </c>
      <c r="T167" s="23">
        <f>IF(B167="","",IF(COUNTIF(Performance!$B$5:$B$404,B167)=0,"",SUMIFS(Performance!$T$5:$T$404,Performance!$B$5:$B$404,B167)))</f>
        <v>0</v>
      </c>
      <c r="U167" s="23">
        <f>IF(B167="","",IF(COUNTIF(Performance!$B$5:$B$404,B167)=0,"",SUMIFS(Performance!$S$5:$S$404,Performance!$B$5:$B$404,B167)))</f>
        <v>0</v>
      </c>
      <c r="V167" s="23">
        <f>IF(B167="","",IF(COUNTIF(Performance!$B$5:$B$404,B167)=0,"",SUMIFS(Performance!$R$5:$R$404,Performance!$B$5:$B$404,B167)))</f>
        <v>0</v>
      </c>
      <c r="W167" s="23">
        <f>IF(B167="","",IF(COUNTIF(Performance!$B$5:$B$404,B167)=0,"",SUMIFS(Performance!$U$5:$U$404,Performance!$B$5:$B$404,B167)))</f>
        <v>0</v>
      </c>
      <c r="X167" s="29">
        <f>IF(B167="","",IF(C167="Not found","Check - content ID not on the calendar",IF(AND(J167="",G167&lt;&gt;"Photo"),"Add - no link on a link post",IF(AND(P167&lt;&gt;"",S167&lt;TargetEngagement),"Review - below your target rate","OK"))))</f>
        <v>0</v>
      </c>
    </row>
    <row r="168" spans="1:24">
      <c r="A168" s="41">
        <f>IF(B168="","","FB-"&amp;TEXT(ROW()-4,"000"))</f>
        <v>0</v>
      </c>
      <c r="C168" s="17">
        <f>IF(B168="","",IFERROR(INDEX('Content Calendar'!$H$5:$H$604,MATCH(B168,'Content Calendar'!$A$5:$A$604,0)),"Not found"))</f>
        <v>0</v>
      </c>
      <c r="D168" s="16">
        <f>IF(B168="","",IFERROR(INDEX('Content Calendar'!$B$5:$B$604,MATCH(B168,'Content Calendar'!$A$5:$A$604,0)),"Not found"))</f>
        <v>0</v>
      </c>
      <c r="E168" s="17">
        <f>IF(B168="","",IFERROR(INDEX('Content Calendar'!$J$5:$J$604,MATCH(B168,'Content Calendar'!$A$5:$A$604,0)),"Not found"))</f>
        <v>0</v>
      </c>
      <c r="F168" s="29">
        <f>IF(B168="","",IFERROR(INDEX('Content Calendar'!$X$5:$X$604,MATCH(B168,'Content Calendar'!$A$5:$A$604,0)),"Not found"))</f>
        <v>0</v>
      </c>
      <c r="P168" s="23">
        <f>IF(B168="","",IF(COUNTIF(Performance!$B$5:$B$404,B168)=0,"",SUMIFS(Performance!$O$5:$O$404,Performance!$B$5:$B$404,B168)))</f>
        <v>0</v>
      </c>
      <c r="Q168" s="23">
        <f>IF(B168="","",IF(COUNTIF(Performance!$B$5:$B$404,B168)=0,"",SUMIFS(Performance!$P$5:$P$404,Performance!$B$5:$B$404,B168)))</f>
        <v>0</v>
      </c>
      <c r="R168" s="23">
        <f>IF(B168="","",IF(COUNTIF(Performance!$B$5:$B$404,B168)=0,"",SUMIFS(Performance!$Z$5:$Z$404,Performance!$B$5:$B$404,B168)))</f>
        <v>0</v>
      </c>
      <c r="S168" s="24">
        <f>IF(OR(P168="",P168=0),"",R168/P168)</f>
        <v>0</v>
      </c>
      <c r="T168" s="23">
        <f>IF(B168="","",IF(COUNTIF(Performance!$B$5:$B$404,B168)=0,"",SUMIFS(Performance!$T$5:$T$404,Performance!$B$5:$B$404,B168)))</f>
        <v>0</v>
      </c>
      <c r="U168" s="23">
        <f>IF(B168="","",IF(COUNTIF(Performance!$B$5:$B$404,B168)=0,"",SUMIFS(Performance!$S$5:$S$404,Performance!$B$5:$B$404,B168)))</f>
        <v>0</v>
      </c>
      <c r="V168" s="23">
        <f>IF(B168="","",IF(COUNTIF(Performance!$B$5:$B$404,B168)=0,"",SUMIFS(Performance!$R$5:$R$404,Performance!$B$5:$B$404,B168)))</f>
        <v>0</v>
      </c>
      <c r="W168" s="23">
        <f>IF(B168="","",IF(COUNTIF(Performance!$B$5:$B$404,B168)=0,"",SUMIFS(Performance!$U$5:$U$404,Performance!$B$5:$B$404,B168)))</f>
        <v>0</v>
      </c>
      <c r="X168" s="29">
        <f>IF(B168="","",IF(C168="Not found","Check - content ID not on the calendar",IF(AND(J168="",G168&lt;&gt;"Photo"),"Add - no link on a link post",IF(AND(P168&lt;&gt;"",S168&lt;TargetEngagement),"Review - below your target rate","OK"))))</f>
        <v>0</v>
      </c>
    </row>
    <row r="169" spans="1:24">
      <c r="A169" s="41">
        <f>IF(B169="","","FB-"&amp;TEXT(ROW()-4,"000"))</f>
        <v>0</v>
      </c>
      <c r="C169" s="17">
        <f>IF(B169="","",IFERROR(INDEX('Content Calendar'!$H$5:$H$604,MATCH(B169,'Content Calendar'!$A$5:$A$604,0)),"Not found"))</f>
        <v>0</v>
      </c>
      <c r="D169" s="16">
        <f>IF(B169="","",IFERROR(INDEX('Content Calendar'!$B$5:$B$604,MATCH(B169,'Content Calendar'!$A$5:$A$604,0)),"Not found"))</f>
        <v>0</v>
      </c>
      <c r="E169" s="17">
        <f>IF(B169="","",IFERROR(INDEX('Content Calendar'!$J$5:$J$604,MATCH(B169,'Content Calendar'!$A$5:$A$604,0)),"Not found"))</f>
        <v>0</v>
      </c>
      <c r="F169" s="29">
        <f>IF(B169="","",IFERROR(INDEX('Content Calendar'!$X$5:$X$604,MATCH(B169,'Content Calendar'!$A$5:$A$604,0)),"Not found"))</f>
        <v>0</v>
      </c>
      <c r="P169" s="23">
        <f>IF(B169="","",IF(COUNTIF(Performance!$B$5:$B$404,B169)=0,"",SUMIFS(Performance!$O$5:$O$404,Performance!$B$5:$B$404,B169)))</f>
        <v>0</v>
      </c>
      <c r="Q169" s="23">
        <f>IF(B169="","",IF(COUNTIF(Performance!$B$5:$B$404,B169)=0,"",SUMIFS(Performance!$P$5:$P$404,Performance!$B$5:$B$404,B169)))</f>
        <v>0</v>
      </c>
      <c r="R169" s="23">
        <f>IF(B169="","",IF(COUNTIF(Performance!$B$5:$B$404,B169)=0,"",SUMIFS(Performance!$Z$5:$Z$404,Performance!$B$5:$B$404,B169)))</f>
        <v>0</v>
      </c>
      <c r="S169" s="24">
        <f>IF(OR(P169="",P169=0),"",R169/P169)</f>
        <v>0</v>
      </c>
      <c r="T169" s="23">
        <f>IF(B169="","",IF(COUNTIF(Performance!$B$5:$B$404,B169)=0,"",SUMIFS(Performance!$T$5:$T$404,Performance!$B$5:$B$404,B169)))</f>
        <v>0</v>
      </c>
      <c r="U169" s="23">
        <f>IF(B169="","",IF(COUNTIF(Performance!$B$5:$B$404,B169)=0,"",SUMIFS(Performance!$S$5:$S$404,Performance!$B$5:$B$404,B169)))</f>
        <v>0</v>
      </c>
      <c r="V169" s="23">
        <f>IF(B169="","",IF(COUNTIF(Performance!$B$5:$B$404,B169)=0,"",SUMIFS(Performance!$R$5:$R$404,Performance!$B$5:$B$404,B169)))</f>
        <v>0</v>
      </c>
      <c r="W169" s="23">
        <f>IF(B169="","",IF(COUNTIF(Performance!$B$5:$B$404,B169)=0,"",SUMIFS(Performance!$U$5:$U$404,Performance!$B$5:$B$404,B169)))</f>
        <v>0</v>
      </c>
      <c r="X169" s="29">
        <f>IF(B169="","",IF(C169="Not found","Check - content ID not on the calendar",IF(AND(J169="",G169&lt;&gt;"Photo"),"Add - no link on a link post",IF(AND(P169&lt;&gt;"",S169&lt;TargetEngagement),"Review - below your target rate","OK"))))</f>
        <v>0</v>
      </c>
    </row>
    <row r="170" spans="1:24">
      <c r="A170" s="41">
        <f>IF(B170="","","FB-"&amp;TEXT(ROW()-4,"000"))</f>
        <v>0</v>
      </c>
      <c r="C170" s="17">
        <f>IF(B170="","",IFERROR(INDEX('Content Calendar'!$H$5:$H$604,MATCH(B170,'Content Calendar'!$A$5:$A$604,0)),"Not found"))</f>
        <v>0</v>
      </c>
      <c r="D170" s="16">
        <f>IF(B170="","",IFERROR(INDEX('Content Calendar'!$B$5:$B$604,MATCH(B170,'Content Calendar'!$A$5:$A$604,0)),"Not found"))</f>
        <v>0</v>
      </c>
      <c r="E170" s="17">
        <f>IF(B170="","",IFERROR(INDEX('Content Calendar'!$J$5:$J$604,MATCH(B170,'Content Calendar'!$A$5:$A$604,0)),"Not found"))</f>
        <v>0</v>
      </c>
      <c r="F170" s="29">
        <f>IF(B170="","",IFERROR(INDEX('Content Calendar'!$X$5:$X$604,MATCH(B170,'Content Calendar'!$A$5:$A$604,0)),"Not found"))</f>
        <v>0</v>
      </c>
      <c r="P170" s="23">
        <f>IF(B170="","",IF(COUNTIF(Performance!$B$5:$B$404,B170)=0,"",SUMIFS(Performance!$O$5:$O$404,Performance!$B$5:$B$404,B170)))</f>
        <v>0</v>
      </c>
      <c r="Q170" s="23">
        <f>IF(B170="","",IF(COUNTIF(Performance!$B$5:$B$404,B170)=0,"",SUMIFS(Performance!$P$5:$P$404,Performance!$B$5:$B$404,B170)))</f>
        <v>0</v>
      </c>
      <c r="R170" s="23">
        <f>IF(B170="","",IF(COUNTIF(Performance!$B$5:$B$404,B170)=0,"",SUMIFS(Performance!$Z$5:$Z$404,Performance!$B$5:$B$404,B170)))</f>
        <v>0</v>
      </c>
      <c r="S170" s="24">
        <f>IF(OR(P170="",P170=0),"",R170/P170)</f>
        <v>0</v>
      </c>
      <c r="T170" s="23">
        <f>IF(B170="","",IF(COUNTIF(Performance!$B$5:$B$404,B170)=0,"",SUMIFS(Performance!$T$5:$T$404,Performance!$B$5:$B$404,B170)))</f>
        <v>0</v>
      </c>
      <c r="U170" s="23">
        <f>IF(B170="","",IF(COUNTIF(Performance!$B$5:$B$404,B170)=0,"",SUMIFS(Performance!$S$5:$S$404,Performance!$B$5:$B$404,B170)))</f>
        <v>0</v>
      </c>
      <c r="V170" s="23">
        <f>IF(B170="","",IF(COUNTIF(Performance!$B$5:$B$404,B170)=0,"",SUMIFS(Performance!$R$5:$R$404,Performance!$B$5:$B$404,B170)))</f>
        <v>0</v>
      </c>
      <c r="W170" s="23">
        <f>IF(B170="","",IF(COUNTIF(Performance!$B$5:$B$404,B170)=0,"",SUMIFS(Performance!$U$5:$U$404,Performance!$B$5:$B$404,B170)))</f>
        <v>0</v>
      </c>
      <c r="X170" s="29">
        <f>IF(B170="","",IF(C170="Not found","Check - content ID not on the calendar",IF(AND(J170="",G170&lt;&gt;"Photo"),"Add - no link on a link post",IF(AND(P170&lt;&gt;"",S170&lt;TargetEngagement),"Review - below your target rate","OK"))))</f>
        <v>0</v>
      </c>
    </row>
    <row r="171" spans="1:24">
      <c r="A171" s="41">
        <f>IF(B171="","","FB-"&amp;TEXT(ROW()-4,"000"))</f>
        <v>0</v>
      </c>
      <c r="C171" s="17">
        <f>IF(B171="","",IFERROR(INDEX('Content Calendar'!$H$5:$H$604,MATCH(B171,'Content Calendar'!$A$5:$A$604,0)),"Not found"))</f>
        <v>0</v>
      </c>
      <c r="D171" s="16">
        <f>IF(B171="","",IFERROR(INDEX('Content Calendar'!$B$5:$B$604,MATCH(B171,'Content Calendar'!$A$5:$A$604,0)),"Not found"))</f>
        <v>0</v>
      </c>
      <c r="E171" s="17">
        <f>IF(B171="","",IFERROR(INDEX('Content Calendar'!$J$5:$J$604,MATCH(B171,'Content Calendar'!$A$5:$A$604,0)),"Not found"))</f>
        <v>0</v>
      </c>
      <c r="F171" s="29">
        <f>IF(B171="","",IFERROR(INDEX('Content Calendar'!$X$5:$X$604,MATCH(B171,'Content Calendar'!$A$5:$A$604,0)),"Not found"))</f>
        <v>0</v>
      </c>
      <c r="P171" s="23">
        <f>IF(B171="","",IF(COUNTIF(Performance!$B$5:$B$404,B171)=0,"",SUMIFS(Performance!$O$5:$O$404,Performance!$B$5:$B$404,B171)))</f>
        <v>0</v>
      </c>
      <c r="Q171" s="23">
        <f>IF(B171="","",IF(COUNTIF(Performance!$B$5:$B$404,B171)=0,"",SUMIFS(Performance!$P$5:$P$404,Performance!$B$5:$B$404,B171)))</f>
        <v>0</v>
      </c>
      <c r="R171" s="23">
        <f>IF(B171="","",IF(COUNTIF(Performance!$B$5:$B$404,B171)=0,"",SUMIFS(Performance!$Z$5:$Z$404,Performance!$B$5:$B$404,B171)))</f>
        <v>0</v>
      </c>
      <c r="S171" s="24">
        <f>IF(OR(P171="",P171=0),"",R171/P171)</f>
        <v>0</v>
      </c>
      <c r="T171" s="23">
        <f>IF(B171="","",IF(COUNTIF(Performance!$B$5:$B$404,B171)=0,"",SUMIFS(Performance!$T$5:$T$404,Performance!$B$5:$B$404,B171)))</f>
        <v>0</v>
      </c>
      <c r="U171" s="23">
        <f>IF(B171="","",IF(COUNTIF(Performance!$B$5:$B$404,B171)=0,"",SUMIFS(Performance!$S$5:$S$404,Performance!$B$5:$B$404,B171)))</f>
        <v>0</v>
      </c>
      <c r="V171" s="23">
        <f>IF(B171="","",IF(COUNTIF(Performance!$B$5:$B$404,B171)=0,"",SUMIFS(Performance!$R$5:$R$404,Performance!$B$5:$B$404,B171)))</f>
        <v>0</v>
      </c>
      <c r="W171" s="23">
        <f>IF(B171="","",IF(COUNTIF(Performance!$B$5:$B$404,B171)=0,"",SUMIFS(Performance!$U$5:$U$404,Performance!$B$5:$B$404,B171)))</f>
        <v>0</v>
      </c>
      <c r="X171" s="29">
        <f>IF(B171="","",IF(C171="Not found","Check - content ID not on the calendar",IF(AND(J171="",G171&lt;&gt;"Photo"),"Add - no link on a link post",IF(AND(P171&lt;&gt;"",S171&lt;TargetEngagement),"Review - below your target rate","OK"))))</f>
        <v>0</v>
      </c>
    </row>
    <row r="172" spans="1:24">
      <c r="A172" s="41">
        <f>IF(B172="","","FB-"&amp;TEXT(ROW()-4,"000"))</f>
        <v>0</v>
      </c>
      <c r="C172" s="17">
        <f>IF(B172="","",IFERROR(INDEX('Content Calendar'!$H$5:$H$604,MATCH(B172,'Content Calendar'!$A$5:$A$604,0)),"Not found"))</f>
        <v>0</v>
      </c>
      <c r="D172" s="16">
        <f>IF(B172="","",IFERROR(INDEX('Content Calendar'!$B$5:$B$604,MATCH(B172,'Content Calendar'!$A$5:$A$604,0)),"Not found"))</f>
        <v>0</v>
      </c>
      <c r="E172" s="17">
        <f>IF(B172="","",IFERROR(INDEX('Content Calendar'!$J$5:$J$604,MATCH(B172,'Content Calendar'!$A$5:$A$604,0)),"Not found"))</f>
        <v>0</v>
      </c>
      <c r="F172" s="29">
        <f>IF(B172="","",IFERROR(INDEX('Content Calendar'!$X$5:$X$604,MATCH(B172,'Content Calendar'!$A$5:$A$604,0)),"Not found"))</f>
        <v>0</v>
      </c>
      <c r="P172" s="23">
        <f>IF(B172="","",IF(COUNTIF(Performance!$B$5:$B$404,B172)=0,"",SUMIFS(Performance!$O$5:$O$404,Performance!$B$5:$B$404,B172)))</f>
        <v>0</v>
      </c>
      <c r="Q172" s="23">
        <f>IF(B172="","",IF(COUNTIF(Performance!$B$5:$B$404,B172)=0,"",SUMIFS(Performance!$P$5:$P$404,Performance!$B$5:$B$404,B172)))</f>
        <v>0</v>
      </c>
      <c r="R172" s="23">
        <f>IF(B172="","",IF(COUNTIF(Performance!$B$5:$B$404,B172)=0,"",SUMIFS(Performance!$Z$5:$Z$404,Performance!$B$5:$B$404,B172)))</f>
        <v>0</v>
      </c>
      <c r="S172" s="24">
        <f>IF(OR(P172="",P172=0),"",R172/P172)</f>
        <v>0</v>
      </c>
      <c r="T172" s="23">
        <f>IF(B172="","",IF(COUNTIF(Performance!$B$5:$B$404,B172)=0,"",SUMIFS(Performance!$T$5:$T$404,Performance!$B$5:$B$404,B172)))</f>
        <v>0</v>
      </c>
      <c r="U172" s="23">
        <f>IF(B172="","",IF(COUNTIF(Performance!$B$5:$B$404,B172)=0,"",SUMIFS(Performance!$S$5:$S$404,Performance!$B$5:$B$404,B172)))</f>
        <v>0</v>
      </c>
      <c r="V172" s="23">
        <f>IF(B172="","",IF(COUNTIF(Performance!$B$5:$B$404,B172)=0,"",SUMIFS(Performance!$R$5:$R$404,Performance!$B$5:$B$404,B172)))</f>
        <v>0</v>
      </c>
      <c r="W172" s="23">
        <f>IF(B172="","",IF(COUNTIF(Performance!$B$5:$B$404,B172)=0,"",SUMIFS(Performance!$U$5:$U$404,Performance!$B$5:$B$404,B172)))</f>
        <v>0</v>
      </c>
      <c r="X172" s="29">
        <f>IF(B172="","",IF(C172="Not found","Check - content ID not on the calendar",IF(AND(J172="",G172&lt;&gt;"Photo"),"Add - no link on a link post",IF(AND(P172&lt;&gt;"",S172&lt;TargetEngagement),"Review - below your target rate","OK"))))</f>
        <v>0</v>
      </c>
    </row>
    <row r="173" spans="1:24">
      <c r="A173" s="41">
        <f>IF(B173="","","FB-"&amp;TEXT(ROW()-4,"000"))</f>
        <v>0</v>
      </c>
      <c r="C173" s="17">
        <f>IF(B173="","",IFERROR(INDEX('Content Calendar'!$H$5:$H$604,MATCH(B173,'Content Calendar'!$A$5:$A$604,0)),"Not found"))</f>
        <v>0</v>
      </c>
      <c r="D173" s="16">
        <f>IF(B173="","",IFERROR(INDEX('Content Calendar'!$B$5:$B$604,MATCH(B173,'Content Calendar'!$A$5:$A$604,0)),"Not found"))</f>
        <v>0</v>
      </c>
      <c r="E173" s="17">
        <f>IF(B173="","",IFERROR(INDEX('Content Calendar'!$J$5:$J$604,MATCH(B173,'Content Calendar'!$A$5:$A$604,0)),"Not found"))</f>
        <v>0</v>
      </c>
      <c r="F173" s="29">
        <f>IF(B173="","",IFERROR(INDEX('Content Calendar'!$X$5:$X$604,MATCH(B173,'Content Calendar'!$A$5:$A$604,0)),"Not found"))</f>
        <v>0</v>
      </c>
      <c r="P173" s="23">
        <f>IF(B173="","",IF(COUNTIF(Performance!$B$5:$B$404,B173)=0,"",SUMIFS(Performance!$O$5:$O$404,Performance!$B$5:$B$404,B173)))</f>
        <v>0</v>
      </c>
      <c r="Q173" s="23">
        <f>IF(B173="","",IF(COUNTIF(Performance!$B$5:$B$404,B173)=0,"",SUMIFS(Performance!$P$5:$P$404,Performance!$B$5:$B$404,B173)))</f>
        <v>0</v>
      </c>
      <c r="R173" s="23">
        <f>IF(B173="","",IF(COUNTIF(Performance!$B$5:$B$404,B173)=0,"",SUMIFS(Performance!$Z$5:$Z$404,Performance!$B$5:$B$404,B173)))</f>
        <v>0</v>
      </c>
      <c r="S173" s="24">
        <f>IF(OR(P173="",P173=0),"",R173/P173)</f>
        <v>0</v>
      </c>
      <c r="T173" s="23">
        <f>IF(B173="","",IF(COUNTIF(Performance!$B$5:$B$404,B173)=0,"",SUMIFS(Performance!$T$5:$T$404,Performance!$B$5:$B$404,B173)))</f>
        <v>0</v>
      </c>
      <c r="U173" s="23">
        <f>IF(B173="","",IF(COUNTIF(Performance!$B$5:$B$404,B173)=0,"",SUMIFS(Performance!$S$5:$S$404,Performance!$B$5:$B$404,B173)))</f>
        <v>0</v>
      </c>
      <c r="V173" s="23">
        <f>IF(B173="","",IF(COUNTIF(Performance!$B$5:$B$404,B173)=0,"",SUMIFS(Performance!$R$5:$R$404,Performance!$B$5:$B$404,B173)))</f>
        <v>0</v>
      </c>
      <c r="W173" s="23">
        <f>IF(B173="","",IF(COUNTIF(Performance!$B$5:$B$404,B173)=0,"",SUMIFS(Performance!$U$5:$U$404,Performance!$B$5:$B$404,B173)))</f>
        <v>0</v>
      </c>
      <c r="X173" s="29">
        <f>IF(B173="","",IF(C173="Not found","Check - content ID not on the calendar",IF(AND(J173="",G173&lt;&gt;"Photo"),"Add - no link on a link post",IF(AND(P173&lt;&gt;"",S173&lt;TargetEngagement),"Review - below your target rate","OK"))))</f>
        <v>0</v>
      </c>
    </row>
    <row r="174" spans="1:24">
      <c r="A174" s="41">
        <f>IF(B174="","","FB-"&amp;TEXT(ROW()-4,"000"))</f>
        <v>0</v>
      </c>
      <c r="C174" s="17">
        <f>IF(B174="","",IFERROR(INDEX('Content Calendar'!$H$5:$H$604,MATCH(B174,'Content Calendar'!$A$5:$A$604,0)),"Not found"))</f>
        <v>0</v>
      </c>
      <c r="D174" s="16">
        <f>IF(B174="","",IFERROR(INDEX('Content Calendar'!$B$5:$B$604,MATCH(B174,'Content Calendar'!$A$5:$A$604,0)),"Not found"))</f>
        <v>0</v>
      </c>
      <c r="E174" s="17">
        <f>IF(B174="","",IFERROR(INDEX('Content Calendar'!$J$5:$J$604,MATCH(B174,'Content Calendar'!$A$5:$A$604,0)),"Not found"))</f>
        <v>0</v>
      </c>
      <c r="F174" s="29">
        <f>IF(B174="","",IFERROR(INDEX('Content Calendar'!$X$5:$X$604,MATCH(B174,'Content Calendar'!$A$5:$A$604,0)),"Not found"))</f>
        <v>0</v>
      </c>
      <c r="P174" s="23">
        <f>IF(B174="","",IF(COUNTIF(Performance!$B$5:$B$404,B174)=0,"",SUMIFS(Performance!$O$5:$O$404,Performance!$B$5:$B$404,B174)))</f>
        <v>0</v>
      </c>
      <c r="Q174" s="23">
        <f>IF(B174="","",IF(COUNTIF(Performance!$B$5:$B$404,B174)=0,"",SUMIFS(Performance!$P$5:$P$404,Performance!$B$5:$B$404,B174)))</f>
        <v>0</v>
      </c>
      <c r="R174" s="23">
        <f>IF(B174="","",IF(COUNTIF(Performance!$B$5:$B$404,B174)=0,"",SUMIFS(Performance!$Z$5:$Z$404,Performance!$B$5:$B$404,B174)))</f>
        <v>0</v>
      </c>
      <c r="S174" s="24">
        <f>IF(OR(P174="",P174=0),"",R174/P174)</f>
        <v>0</v>
      </c>
      <c r="T174" s="23">
        <f>IF(B174="","",IF(COUNTIF(Performance!$B$5:$B$404,B174)=0,"",SUMIFS(Performance!$T$5:$T$404,Performance!$B$5:$B$404,B174)))</f>
        <v>0</v>
      </c>
      <c r="U174" s="23">
        <f>IF(B174="","",IF(COUNTIF(Performance!$B$5:$B$404,B174)=0,"",SUMIFS(Performance!$S$5:$S$404,Performance!$B$5:$B$404,B174)))</f>
        <v>0</v>
      </c>
      <c r="V174" s="23">
        <f>IF(B174="","",IF(COUNTIF(Performance!$B$5:$B$404,B174)=0,"",SUMIFS(Performance!$R$5:$R$404,Performance!$B$5:$B$404,B174)))</f>
        <v>0</v>
      </c>
      <c r="W174" s="23">
        <f>IF(B174="","",IF(COUNTIF(Performance!$B$5:$B$404,B174)=0,"",SUMIFS(Performance!$U$5:$U$404,Performance!$B$5:$B$404,B174)))</f>
        <v>0</v>
      </c>
      <c r="X174" s="29">
        <f>IF(B174="","",IF(C174="Not found","Check - content ID not on the calendar",IF(AND(J174="",G174&lt;&gt;"Photo"),"Add - no link on a link post",IF(AND(P174&lt;&gt;"",S174&lt;TargetEngagement),"Review - below your target rate","OK"))))</f>
        <v>0</v>
      </c>
    </row>
    <row r="175" spans="1:24">
      <c r="A175" s="41">
        <f>IF(B175="","","FB-"&amp;TEXT(ROW()-4,"000"))</f>
        <v>0</v>
      </c>
      <c r="C175" s="17">
        <f>IF(B175="","",IFERROR(INDEX('Content Calendar'!$H$5:$H$604,MATCH(B175,'Content Calendar'!$A$5:$A$604,0)),"Not found"))</f>
        <v>0</v>
      </c>
      <c r="D175" s="16">
        <f>IF(B175="","",IFERROR(INDEX('Content Calendar'!$B$5:$B$604,MATCH(B175,'Content Calendar'!$A$5:$A$604,0)),"Not found"))</f>
        <v>0</v>
      </c>
      <c r="E175" s="17">
        <f>IF(B175="","",IFERROR(INDEX('Content Calendar'!$J$5:$J$604,MATCH(B175,'Content Calendar'!$A$5:$A$604,0)),"Not found"))</f>
        <v>0</v>
      </c>
      <c r="F175" s="29">
        <f>IF(B175="","",IFERROR(INDEX('Content Calendar'!$X$5:$X$604,MATCH(B175,'Content Calendar'!$A$5:$A$604,0)),"Not found"))</f>
        <v>0</v>
      </c>
      <c r="P175" s="23">
        <f>IF(B175="","",IF(COUNTIF(Performance!$B$5:$B$404,B175)=0,"",SUMIFS(Performance!$O$5:$O$404,Performance!$B$5:$B$404,B175)))</f>
        <v>0</v>
      </c>
      <c r="Q175" s="23">
        <f>IF(B175="","",IF(COUNTIF(Performance!$B$5:$B$404,B175)=0,"",SUMIFS(Performance!$P$5:$P$404,Performance!$B$5:$B$404,B175)))</f>
        <v>0</v>
      </c>
      <c r="R175" s="23">
        <f>IF(B175="","",IF(COUNTIF(Performance!$B$5:$B$404,B175)=0,"",SUMIFS(Performance!$Z$5:$Z$404,Performance!$B$5:$B$404,B175)))</f>
        <v>0</v>
      </c>
      <c r="S175" s="24">
        <f>IF(OR(P175="",P175=0),"",R175/P175)</f>
        <v>0</v>
      </c>
      <c r="T175" s="23">
        <f>IF(B175="","",IF(COUNTIF(Performance!$B$5:$B$404,B175)=0,"",SUMIFS(Performance!$T$5:$T$404,Performance!$B$5:$B$404,B175)))</f>
        <v>0</v>
      </c>
      <c r="U175" s="23">
        <f>IF(B175="","",IF(COUNTIF(Performance!$B$5:$B$404,B175)=0,"",SUMIFS(Performance!$S$5:$S$404,Performance!$B$5:$B$404,B175)))</f>
        <v>0</v>
      </c>
      <c r="V175" s="23">
        <f>IF(B175="","",IF(COUNTIF(Performance!$B$5:$B$404,B175)=0,"",SUMIFS(Performance!$R$5:$R$404,Performance!$B$5:$B$404,B175)))</f>
        <v>0</v>
      </c>
      <c r="W175" s="23">
        <f>IF(B175="","",IF(COUNTIF(Performance!$B$5:$B$404,B175)=0,"",SUMIFS(Performance!$U$5:$U$404,Performance!$B$5:$B$404,B175)))</f>
        <v>0</v>
      </c>
      <c r="X175" s="29">
        <f>IF(B175="","",IF(C175="Not found","Check - content ID not on the calendar",IF(AND(J175="",G175&lt;&gt;"Photo"),"Add - no link on a link post",IF(AND(P175&lt;&gt;"",S175&lt;TargetEngagement),"Review - below your target rate","OK"))))</f>
        <v>0</v>
      </c>
    </row>
    <row r="176" spans="1:24">
      <c r="A176" s="41">
        <f>IF(B176="","","FB-"&amp;TEXT(ROW()-4,"000"))</f>
        <v>0</v>
      </c>
      <c r="C176" s="17">
        <f>IF(B176="","",IFERROR(INDEX('Content Calendar'!$H$5:$H$604,MATCH(B176,'Content Calendar'!$A$5:$A$604,0)),"Not found"))</f>
        <v>0</v>
      </c>
      <c r="D176" s="16">
        <f>IF(B176="","",IFERROR(INDEX('Content Calendar'!$B$5:$B$604,MATCH(B176,'Content Calendar'!$A$5:$A$604,0)),"Not found"))</f>
        <v>0</v>
      </c>
      <c r="E176" s="17">
        <f>IF(B176="","",IFERROR(INDEX('Content Calendar'!$J$5:$J$604,MATCH(B176,'Content Calendar'!$A$5:$A$604,0)),"Not found"))</f>
        <v>0</v>
      </c>
      <c r="F176" s="29">
        <f>IF(B176="","",IFERROR(INDEX('Content Calendar'!$X$5:$X$604,MATCH(B176,'Content Calendar'!$A$5:$A$604,0)),"Not found"))</f>
        <v>0</v>
      </c>
      <c r="P176" s="23">
        <f>IF(B176="","",IF(COUNTIF(Performance!$B$5:$B$404,B176)=0,"",SUMIFS(Performance!$O$5:$O$404,Performance!$B$5:$B$404,B176)))</f>
        <v>0</v>
      </c>
      <c r="Q176" s="23">
        <f>IF(B176="","",IF(COUNTIF(Performance!$B$5:$B$404,B176)=0,"",SUMIFS(Performance!$P$5:$P$404,Performance!$B$5:$B$404,B176)))</f>
        <v>0</v>
      </c>
      <c r="R176" s="23">
        <f>IF(B176="","",IF(COUNTIF(Performance!$B$5:$B$404,B176)=0,"",SUMIFS(Performance!$Z$5:$Z$404,Performance!$B$5:$B$404,B176)))</f>
        <v>0</v>
      </c>
      <c r="S176" s="24">
        <f>IF(OR(P176="",P176=0),"",R176/P176)</f>
        <v>0</v>
      </c>
      <c r="T176" s="23">
        <f>IF(B176="","",IF(COUNTIF(Performance!$B$5:$B$404,B176)=0,"",SUMIFS(Performance!$T$5:$T$404,Performance!$B$5:$B$404,B176)))</f>
        <v>0</v>
      </c>
      <c r="U176" s="23">
        <f>IF(B176="","",IF(COUNTIF(Performance!$B$5:$B$404,B176)=0,"",SUMIFS(Performance!$S$5:$S$404,Performance!$B$5:$B$404,B176)))</f>
        <v>0</v>
      </c>
      <c r="V176" s="23">
        <f>IF(B176="","",IF(COUNTIF(Performance!$B$5:$B$404,B176)=0,"",SUMIFS(Performance!$R$5:$R$404,Performance!$B$5:$B$404,B176)))</f>
        <v>0</v>
      </c>
      <c r="W176" s="23">
        <f>IF(B176="","",IF(COUNTIF(Performance!$B$5:$B$404,B176)=0,"",SUMIFS(Performance!$U$5:$U$404,Performance!$B$5:$B$404,B176)))</f>
        <v>0</v>
      </c>
      <c r="X176" s="29">
        <f>IF(B176="","",IF(C176="Not found","Check - content ID not on the calendar",IF(AND(J176="",G176&lt;&gt;"Photo"),"Add - no link on a link post",IF(AND(P176&lt;&gt;"",S176&lt;TargetEngagement),"Review - below your target rate","OK"))))</f>
        <v>0</v>
      </c>
    </row>
    <row r="177" spans="1:24">
      <c r="A177" s="41">
        <f>IF(B177="","","FB-"&amp;TEXT(ROW()-4,"000"))</f>
        <v>0</v>
      </c>
      <c r="C177" s="17">
        <f>IF(B177="","",IFERROR(INDEX('Content Calendar'!$H$5:$H$604,MATCH(B177,'Content Calendar'!$A$5:$A$604,0)),"Not found"))</f>
        <v>0</v>
      </c>
      <c r="D177" s="16">
        <f>IF(B177="","",IFERROR(INDEX('Content Calendar'!$B$5:$B$604,MATCH(B177,'Content Calendar'!$A$5:$A$604,0)),"Not found"))</f>
        <v>0</v>
      </c>
      <c r="E177" s="17">
        <f>IF(B177="","",IFERROR(INDEX('Content Calendar'!$J$5:$J$604,MATCH(B177,'Content Calendar'!$A$5:$A$604,0)),"Not found"))</f>
        <v>0</v>
      </c>
      <c r="F177" s="29">
        <f>IF(B177="","",IFERROR(INDEX('Content Calendar'!$X$5:$X$604,MATCH(B177,'Content Calendar'!$A$5:$A$604,0)),"Not found"))</f>
        <v>0</v>
      </c>
      <c r="P177" s="23">
        <f>IF(B177="","",IF(COUNTIF(Performance!$B$5:$B$404,B177)=0,"",SUMIFS(Performance!$O$5:$O$404,Performance!$B$5:$B$404,B177)))</f>
        <v>0</v>
      </c>
      <c r="Q177" s="23">
        <f>IF(B177="","",IF(COUNTIF(Performance!$B$5:$B$404,B177)=0,"",SUMIFS(Performance!$P$5:$P$404,Performance!$B$5:$B$404,B177)))</f>
        <v>0</v>
      </c>
      <c r="R177" s="23">
        <f>IF(B177="","",IF(COUNTIF(Performance!$B$5:$B$404,B177)=0,"",SUMIFS(Performance!$Z$5:$Z$404,Performance!$B$5:$B$404,B177)))</f>
        <v>0</v>
      </c>
      <c r="S177" s="24">
        <f>IF(OR(P177="",P177=0),"",R177/P177)</f>
        <v>0</v>
      </c>
      <c r="T177" s="23">
        <f>IF(B177="","",IF(COUNTIF(Performance!$B$5:$B$404,B177)=0,"",SUMIFS(Performance!$T$5:$T$404,Performance!$B$5:$B$404,B177)))</f>
        <v>0</v>
      </c>
      <c r="U177" s="23">
        <f>IF(B177="","",IF(COUNTIF(Performance!$B$5:$B$404,B177)=0,"",SUMIFS(Performance!$S$5:$S$404,Performance!$B$5:$B$404,B177)))</f>
        <v>0</v>
      </c>
      <c r="V177" s="23">
        <f>IF(B177="","",IF(COUNTIF(Performance!$B$5:$B$404,B177)=0,"",SUMIFS(Performance!$R$5:$R$404,Performance!$B$5:$B$404,B177)))</f>
        <v>0</v>
      </c>
      <c r="W177" s="23">
        <f>IF(B177="","",IF(COUNTIF(Performance!$B$5:$B$404,B177)=0,"",SUMIFS(Performance!$U$5:$U$404,Performance!$B$5:$B$404,B177)))</f>
        <v>0</v>
      </c>
      <c r="X177" s="29">
        <f>IF(B177="","",IF(C177="Not found","Check - content ID not on the calendar",IF(AND(J177="",G177&lt;&gt;"Photo"),"Add - no link on a link post",IF(AND(P177&lt;&gt;"",S177&lt;TargetEngagement),"Review - below your target rate","OK"))))</f>
        <v>0</v>
      </c>
    </row>
    <row r="178" spans="1:24">
      <c r="A178" s="41">
        <f>IF(B178="","","FB-"&amp;TEXT(ROW()-4,"000"))</f>
        <v>0</v>
      </c>
      <c r="C178" s="17">
        <f>IF(B178="","",IFERROR(INDEX('Content Calendar'!$H$5:$H$604,MATCH(B178,'Content Calendar'!$A$5:$A$604,0)),"Not found"))</f>
        <v>0</v>
      </c>
      <c r="D178" s="16">
        <f>IF(B178="","",IFERROR(INDEX('Content Calendar'!$B$5:$B$604,MATCH(B178,'Content Calendar'!$A$5:$A$604,0)),"Not found"))</f>
        <v>0</v>
      </c>
      <c r="E178" s="17">
        <f>IF(B178="","",IFERROR(INDEX('Content Calendar'!$J$5:$J$604,MATCH(B178,'Content Calendar'!$A$5:$A$604,0)),"Not found"))</f>
        <v>0</v>
      </c>
      <c r="F178" s="29">
        <f>IF(B178="","",IFERROR(INDEX('Content Calendar'!$X$5:$X$604,MATCH(B178,'Content Calendar'!$A$5:$A$604,0)),"Not found"))</f>
        <v>0</v>
      </c>
      <c r="P178" s="23">
        <f>IF(B178="","",IF(COUNTIF(Performance!$B$5:$B$404,B178)=0,"",SUMIFS(Performance!$O$5:$O$404,Performance!$B$5:$B$404,B178)))</f>
        <v>0</v>
      </c>
      <c r="Q178" s="23">
        <f>IF(B178="","",IF(COUNTIF(Performance!$B$5:$B$404,B178)=0,"",SUMIFS(Performance!$P$5:$P$404,Performance!$B$5:$B$404,B178)))</f>
        <v>0</v>
      </c>
      <c r="R178" s="23">
        <f>IF(B178="","",IF(COUNTIF(Performance!$B$5:$B$404,B178)=0,"",SUMIFS(Performance!$Z$5:$Z$404,Performance!$B$5:$B$404,B178)))</f>
        <v>0</v>
      </c>
      <c r="S178" s="24">
        <f>IF(OR(P178="",P178=0),"",R178/P178)</f>
        <v>0</v>
      </c>
      <c r="T178" s="23">
        <f>IF(B178="","",IF(COUNTIF(Performance!$B$5:$B$404,B178)=0,"",SUMIFS(Performance!$T$5:$T$404,Performance!$B$5:$B$404,B178)))</f>
        <v>0</v>
      </c>
      <c r="U178" s="23">
        <f>IF(B178="","",IF(COUNTIF(Performance!$B$5:$B$404,B178)=0,"",SUMIFS(Performance!$S$5:$S$404,Performance!$B$5:$B$404,B178)))</f>
        <v>0</v>
      </c>
      <c r="V178" s="23">
        <f>IF(B178="","",IF(COUNTIF(Performance!$B$5:$B$404,B178)=0,"",SUMIFS(Performance!$R$5:$R$404,Performance!$B$5:$B$404,B178)))</f>
        <v>0</v>
      </c>
      <c r="W178" s="23">
        <f>IF(B178="","",IF(COUNTIF(Performance!$B$5:$B$404,B178)=0,"",SUMIFS(Performance!$U$5:$U$404,Performance!$B$5:$B$404,B178)))</f>
        <v>0</v>
      </c>
      <c r="X178" s="29">
        <f>IF(B178="","",IF(C178="Not found","Check - content ID not on the calendar",IF(AND(J178="",G178&lt;&gt;"Photo"),"Add - no link on a link post",IF(AND(P178&lt;&gt;"",S178&lt;TargetEngagement),"Review - below your target rate","OK"))))</f>
        <v>0</v>
      </c>
    </row>
    <row r="179" spans="1:24">
      <c r="A179" s="41">
        <f>IF(B179="","","FB-"&amp;TEXT(ROW()-4,"000"))</f>
        <v>0</v>
      </c>
      <c r="C179" s="17">
        <f>IF(B179="","",IFERROR(INDEX('Content Calendar'!$H$5:$H$604,MATCH(B179,'Content Calendar'!$A$5:$A$604,0)),"Not found"))</f>
        <v>0</v>
      </c>
      <c r="D179" s="16">
        <f>IF(B179="","",IFERROR(INDEX('Content Calendar'!$B$5:$B$604,MATCH(B179,'Content Calendar'!$A$5:$A$604,0)),"Not found"))</f>
        <v>0</v>
      </c>
      <c r="E179" s="17">
        <f>IF(B179="","",IFERROR(INDEX('Content Calendar'!$J$5:$J$604,MATCH(B179,'Content Calendar'!$A$5:$A$604,0)),"Not found"))</f>
        <v>0</v>
      </c>
      <c r="F179" s="29">
        <f>IF(B179="","",IFERROR(INDEX('Content Calendar'!$X$5:$X$604,MATCH(B179,'Content Calendar'!$A$5:$A$604,0)),"Not found"))</f>
        <v>0</v>
      </c>
      <c r="P179" s="23">
        <f>IF(B179="","",IF(COUNTIF(Performance!$B$5:$B$404,B179)=0,"",SUMIFS(Performance!$O$5:$O$404,Performance!$B$5:$B$404,B179)))</f>
        <v>0</v>
      </c>
      <c r="Q179" s="23">
        <f>IF(B179="","",IF(COUNTIF(Performance!$B$5:$B$404,B179)=0,"",SUMIFS(Performance!$P$5:$P$404,Performance!$B$5:$B$404,B179)))</f>
        <v>0</v>
      </c>
      <c r="R179" s="23">
        <f>IF(B179="","",IF(COUNTIF(Performance!$B$5:$B$404,B179)=0,"",SUMIFS(Performance!$Z$5:$Z$404,Performance!$B$5:$B$404,B179)))</f>
        <v>0</v>
      </c>
      <c r="S179" s="24">
        <f>IF(OR(P179="",P179=0),"",R179/P179)</f>
        <v>0</v>
      </c>
      <c r="T179" s="23">
        <f>IF(B179="","",IF(COUNTIF(Performance!$B$5:$B$404,B179)=0,"",SUMIFS(Performance!$T$5:$T$404,Performance!$B$5:$B$404,B179)))</f>
        <v>0</v>
      </c>
      <c r="U179" s="23">
        <f>IF(B179="","",IF(COUNTIF(Performance!$B$5:$B$404,B179)=0,"",SUMIFS(Performance!$S$5:$S$404,Performance!$B$5:$B$404,B179)))</f>
        <v>0</v>
      </c>
      <c r="V179" s="23">
        <f>IF(B179="","",IF(COUNTIF(Performance!$B$5:$B$404,B179)=0,"",SUMIFS(Performance!$R$5:$R$404,Performance!$B$5:$B$404,B179)))</f>
        <v>0</v>
      </c>
      <c r="W179" s="23">
        <f>IF(B179="","",IF(COUNTIF(Performance!$B$5:$B$404,B179)=0,"",SUMIFS(Performance!$U$5:$U$404,Performance!$B$5:$B$404,B179)))</f>
        <v>0</v>
      </c>
      <c r="X179" s="29">
        <f>IF(B179="","",IF(C179="Not found","Check - content ID not on the calendar",IF(AND(J179="",G179&lt;&gt;"Photo"),"Add - no link on a link post",IF(AND(P179&lt;&gt;"",S179&lt;TargetEngagement),"Review - below your target rate","OK"))))</f>
        <v>0</v>
      </c>
    </row>
    <row r="180" spans="1:24">
      <c r="A180" s="41">
        <f>IF(B180="","","FB-"&amp;TEXT(ROW()-4,"000"))</f>
        <v>0</v>
      </c>
      <c r="C180" s="17">
        <f>IF(B180="","",IFERROR(INDEX('Content Calendar'!$H$5:$H$604,MATCH(B180,'Content Calendar'!$A$5:$A$604,0)),"Not found"))</f>
        <v>0</v>
      </c>
      <c r="D180" s="16">
        <f>IF(B180="","",IFERROR(INDEX('Content Calendar'!$B$5:$B$604,MATCH(B180,'Content Calendar'!$A$5:$A$604,0)),"Not found"))</f>
        <v>0</v>
      </c>
      <c r="E180" s="17">
        <f>IF(B180="","",IFERROR(INDEX('Content Calendar'!$J$5:$J$604,MATCH(B180,'Content Calendar'!$A$5:$A$604,0)),"Not found"))</f>
        <v>0</v>
      </c>
      <c r="F180" s="29">
        <f>IF(B180="","",IFERROR(INDEX('Content Calendar'!$X$5:$X$604,MATCH(B180,'Content Calendar'!$A$5:$A$604,0)),"Not found"))</f>
        <v>0</v>
      </c>
      <c r="P180" s="23">
        <f>IF(B180="","",IF(COUNTIF(Performance!$B$5:$B$404,B180)=0,"",SUMIFS(Performance!$O$5:$O$404,Performance!$B$5:$B$404,B180)))</f>
        <v>0</v>
      </c>
      <c r="Q180" s="23">
        <f>IF(B180="","",IF(COUNTIF(Performance!$B$5:$B$404,B180)=0,"",SUMIFS(Performance!$P$5:$P$404,Performance!$B$5:$B$404,B180)))</f>
        <v>0</v>
      </c>
      <c r="R180" s="23">
        <f>IF(B180="","",IF(COUNTIF(Performance!$B$5:$B$404,B180)=0,"",SUMIFS(Performance!$Z$5:$Z$404,Performance!$B$5:$B$404,B180)))</f>
        <v>0</v>
      </c>
      <c r="S180" s="24">
        <f>IF(OR(P180="",P180=0),"",R180/P180)</f>
        <v>0</v>
      </c>
      <c r="T180" s="23">
        <f>IF(B180="","",IF(COUNTIF(Performance!$B$5:$B$404,B180)=0,"",SUMIFS(Performance!$T$5:$T$404,Performance!$B$5:$B$404,B180)))</f>
        <v>0</v>
      </c>
      <c r="U180" s="23">
        <f>IF(B180="","",IF(COUNTIF(Performance!$B$5:$B$404,B180)=0,"",SUMIFS(Performance!$S$5:$S$404,Performance!$B$5:$B$404,B180)))</f>
        <v>0</v>
      </c>
      <c r="V180" s="23">
        <f>IF(B180="","",IF(COUNTIF(Performance!$B$5:$B$404,B180)=0,"",SUMIFS(Performance!$R$5:$R$404,Performance!$B$5:$B$404,B180)))</f>
        <v>0</v>
      </c>
      <c r="W180" s="23">
        <f>IF(B180="","",IF(COUNTIF(Performance!$B$5:$B$404,B180)=0,"",SUMIFS(Performance!$U$5:$U$404,Performance!$B$5:$B$404,B180)))</f>
        <v>0</v>
      </c>
      <c r="X180" s="29">
        <f>IF(B180="","",IF(C180="Not found","Check - content ID not on the calendar",IF(AND(J180="",G180&lt;&gt;"Photo"),"Add - no link on a link post",IF(AND(P180&lt;&gt;"",S180&lt;TargetEngagement),"Review - below your target rate","OK"))))</f>
        <v>0</v>
      </c>
    </row>
    <row r="181" spans="1:24">
      <c r="A181" s="41">
        <f>IF(B181="","","FB-"&amp;TEXT(ROW()-4,"000"))</f>
        <v>0</v>
      </c>
      <c r="C181" s="17">
        <f>IF(B181="","",IFERROR(INDEX('Content Calendar'!$H$5:$H$604,MATCH(B181,'Content Calendar'!$A$5:$A$604,0)),"Not found"))</f>
        <v>0</v>
      </c>
      <c r="D181" s="16">
        <f>IF(B181="","",IFERROR(INDEX('Content Calendar'!$B$5:$B$604,MATCH(B181,'Content Calendar'!$A$5:$A$604,0)),"Not found"))</f>
        <v>0</v>
      </c>
      <c r="E181" s="17">
        <f>IF(B181="","",IFERROR(INDEX('Content Calendar'!$J$5:$J$604,MATCH(B181,'Content Calendar'!$A$5:$A$604,0)),"Not found"))</f>
        <v>0</v>
      </c>
      <c r="F181" s="29">
        <f>IF(B181="","",IFERROR(INDEX('Content Calendar'!$X$5:$X$604,MATCH(B181,'Content Calendar'!$A$5:$A$604,0)),"Not found"))</f>
        <v>0</v>
      </c>
      <c r="P181" s="23">
        <f>IF(B181="","",IF(COUNTIF(Performance!$B$5:$B$404,B181)=0,"",SUMIFS(Performance!$O$5:$O$404,Performance!$B$5:$B$404,B181)))</f>
        <v>0</v>
      </c>
      <c r="Q181" s="23">
        <f>IF(B181="","",IF(COUNTIF(Performance!$B$5:$B$404,B181)=0,"",SUMIFS(Performance!$P$5:$P$404,Performance!$B$5:$B$404,B181)))</f>
        <v>0</v>
      </c>
      <c r="R181" s="23">
        <f>IF(B181="","",IF(COUNTIF(Performance!$B$5:$B$404,B181)=0,"",SUMIFS(Performance!$Z$5:$Z$404,Performance!$B$5:$B$404,B181)))</f>
        <v>0</v>
      </c>
      <c r="S181" s="24">
        <f>IF(OR(P181="",P181=0),"",R181/P181)</f>
        <v>0</v>
      </c>
      <c r="T181" s="23">
        <f>IF(B181="","",IF(COUNTIF(Performance!$B$5:$B$404,B181)=0,"",SUMIFS(Performance!$T$5:$T$404,Performance!$B$5:$B$404,B181)))</f>
        <v>0</v>
      </c>
      <c r="U181" s="23">
        <f>IF(B181="","",IF(COUNTIF(Performance!$B$5:$B$404,B181)=0,"",SUMIFS(Performance!$S$5:$S$404,Performance!$B$5:$B$404,B181)))</f>
        <v>0</v>
      </c>
      <c r="V181" s="23">
        <f>IF(B181="","",IF(COUNTIF(Performance!$B$5:$B$404,B181)=0,"",SUMIFS(Performance!$R$5:$R$404,Performance!$B$5:$B$404,B181)))</f>
        <v>0</v>
      </c>
      <c r="W181" s="23">
        <f>IF(B181="","",IF(COUNTIF(Performance!$B$5:$B$404,B181)=0,"",SUMIFS(Performance!$U$5:$U$404,Performance!$B$5:$B$404,B181)))</f>
        <v>0</v>
      </c>
      <c r="X181" s="29">
        <f>IF(B181="","",IF(C181="Not found","Check - content ID not on the calendar",IF(AND(J181="",G181&lt;&gt;"Photo"),"Add - no link on a link post",IF(AND(P181&lt;&gt;"",S181&lt;TargetEngagement),"Review - below your target rate","OK"))))</f>
        <v>0</v>
      </c>
    </row>
    <row r="182" spans="1:24">
      <c r="A182" s="41">
        <f>IF(B182="","","FB-"&amp;TEXT(ROW()-4,"000"))</f>
        <v>0</v>
      </c>
      <c r="C182" s="17">
        <f>IF(B182="","",IFERROR(INDEX('Content Calendar'!$H$5:$H$604,MATCH(B182,'Content Calendar'!$A$5:$A$604,0)),"Not found"))</f>
        <v>0</v>
      </c>
      <c r="D182" s="16">
        <f>IF(B182="","",IFERROR(INDEX('Content Calendar'!$B$5:$B$604,MATCH(B182,'Content Calendar'!$A$5:$A$604,0)),"Not found"))</f>
        <v>0</v>
      </c>
      <c r="E182" s="17">
        <f>IF(B182="","",IFERROR(INDEX('Content Calendar'!$J$5:$J$604,MATCH(B182,'Content Calendar'!$A$5:$A$604,0)),"Not found"))</f>
        <v>0</v>
      </c>
      <c r="F182" s="29">
        <f>IF(B182="","",IFERROR(INDEX('Content Calendar'!$X$5:$X$604,MATCH(B182,'Content Calendar'!$A$5:$A$604,0)),"Not found"))</f>
        <v>0</v>
      </c>
      <c r="P182" s="23">
        <f>IF(B182="","",IF(COUNTIF(Performance!$B$5:$B$404,B182)=0,"",SUMIFS(Performance!$O$5:$O$404,Performance!$B$5:$B$404,B182)))</f>
        <v>0</v>
      </c>
      <c r="Q182" s="23">
        <f>IF(B182="","",IF(COUNTIF(Performance!$B$5:$B$404,B182)=0,"",SUMIFS(Performance!$P$5:$P$404,Performance!$B$5:$B$404,B182)))</f>
        <v>0</v>
      </c>
      <c r="R182" s="23">
        <f>IF(B182="","",IF(COUNTIF(Performance!$B$5:$B$404,B182)=0,"",SUMIFS(Performance!$Z$5:$Z$404,Performance!$B$5:$B$404,B182)))</f>
        <v>0</v>
      </c>
      <c r="S182" s="24">
        <f>IF(OR(P182="",P182=0),"",R182/P182)</f>
        <v>0</v>
      </c>
      <c r="T182" s="23">
        <f>IF(B182="","",IF(COUNTIF(Performance!$B$5:$B$404,B182)=0,"",SUMIFS(Performance!$T$5:$T$404,Performance!$B$5:$B$404,B182)))</f>
        <v>0</v>
      </c>
      <c r="U182" s="23">
        <f>IF(B182="","",IF(COUNTIF(Performance!$B$5:$B$404,B182)=0,"",SUMIFS(Performance!$S$5:$S$404,Performance!$B$5:$B$404,B182)))</f>
        <v>0</v>
      </c>
      <c r="V182" s="23">
        <f>IF(B182="","",IF(COUNTIF(Performance!$B$5:$B$404,B182)=0,"",SUMIFS(Performance!$R$5:$R$404,Performance!$B$5:$B$404,B182)))</f>
        <v>0</v>
      </c>
      <c r="W182" s="23">
        <f>IF(B182="","",IF(COUNTIF(Performance!$B$5:$B$404,B182)=0,"",SUMIFS(Performance!$U$5:$U$404,Performance!$B$5:$B$404,B182)))</f>
        <v>0</v>
      </c>
      <c r="X182" s="29">
        <f>IF(B182="","",IF(C182="Not found","Check - content ID not on the calendar",IF(AND(J182="",G182&lt;&gt;"Photo"),"Add - no link on a link post",IF(AND(P182&lt;&gt;"",S182&lt;TargetEngagement),"Review - below your target rate","OK"))))</f>
        <v>0</v>
      </c>
    </row>
    <row r="183" spans="1:24">
      <c r="A183" s="41">
        <f>IF(B183="","","FB-"&amp;TEXT(ROW()-4,"000"))</f>
        <v>0</v>
      </c>
      <c r="C183" s="17">
        <f>IF(B183="","",IFERROR(INDEX('Content Calendar'!$H$5:$H$604,MATCH(B183,'Content Calendar'!$A$5:$A$604,0)),"Not found"))</f>
        <v>0</v>
      </c>
      <c r="D183" s="16">
        <f>IF(B183="","",IFERROR(INDEX('Content Calendar'!$B$5:$B$604,MATCH(B183,'Content Calendar'!$A$5:$A$604,0)),"Not found"))</f>
        <v>0</v>
      </c>
      <c r="E183" s="17">
        <f>IF(B183="","",IFERROR(INDEX('Content Calendar'!$J$5:$J$604,MATCH(B183,'Content Calendar'!$A$5:$A$604,0)),"Not found"))</f>
        <v>0</v>
      </c>
      <c r="F183" s="29">
        <f>IF(B183="","",IFERROR(INDEX('Content Calendar'!$X$5:$X$604,MATCH(B183,'Content Calendar'!$A$5:$A$604,0)),"Not found"))</f>
        <v>0</v>
      </c>
      <c r="P183" s="23">
        <f>IF(B183="","",IF(COUNTIF(Performance!$B$5:$B$404,B183)=0,"",SUMIFS(Performance!$O$5:$O$404,Performance!$B$5:$B$404,B183)))</f>
        <v>0</v>
      </c>
      <c r="Q183" s="23">
        <f>IF(B183="","",IF(COUNTIF(Performance!$B$5:$B$404,B183)=0,"",SUMIFS(Performance!$P$5:$P$404,Performance!$B$5:$B$404,B183)))</f>
        <v>0</v>
      </c>
      <c r="R183" s="23">
        <f>IF(B183="","",IF(COUNTIF(Performance!$B$5:$B$404,B183)=0,"",SUMIFS(Performance!$Z$5:$Z$404,Performance!$B$5:$B$404,B183)))</f>
        <v>0</v>
      </c>
      <c r="S183" s="24">
        <f>IF(OR(P183="",P183=0),"",R183/P183)</f>
        <v>0</v>
      </c>
      <c r="T183" s="23">
        <f>IF(B183="","",IF(COUNTIF(Performance!$B$5:$B$404,B183)=0,"",SUMIFS(Performance!$T$5:$T$404,Performance!$B$5:$B$404,B183)))</f>
        <v>0</v>
      </c>
      <c r="U183" s="23">
        <f>IF(B183="","",IF(COUNTIF(Performance!$B$5:$B$404,B183)=0,"",SUMIFS(Performance!$S$5:$S$404,Performance!$B$5:$B$404,B183)))</f>
        <v>0</v>
      </c>
      <c r="V183" s="23">
        <f>IF(B183="","",IF(COUNTIF(Performance!$B$5:$B$404,B183)=0,"",SUMIFS(Performance!$R$5:$R$404,Performance!$B$5:$B$404,B183)))</f>
        <v>0</v>
      </c>
      <c r="W183" s="23">
        <f>IF(B183="","",IF(COUNTIF(Performance!$B$5:$B$404,B183)=0,"",SUMIFS(Performance!$U$5:$U$404,Performance!$B$5:$B$404,B183)))</f>
        <v>0</v>
      </c>
      <c r="X183" s="29">
        <f>IF(B183="","",IF(C183="Not found","Check - content ID not on the calendar",IF(AND(J183="",G183&lt;&gt;"Photo"),"Add - no link on a link post",IF(AND(P183&lt;&gt;"",S183&lt;TargetEngagement),"Review - below your target rate","OK"))))</f>
        <v>0</v>
      </c>
    </row>
    <row r="184" spans="1:24">
      <c r="A184" s="41">
        <f>IF(B184="","","FB-"&amp;TEXT(ROW()-4,"000"))</f>
        <v>0</v>
      </c>
      <c r="C184" s="17">
        <f>IF(B184="","",IFERROR(INDEX('Content Calendar'!$H$5:$H$604,MATCH(B184,'Content Calendar'!$A$5:$A$604,0)),"Not found"))</f>
        <v>0</v>
      </c>
      <c r="D184" s="16">
        <f>IF(B184="","",IFERROR(INDEX('Content Calendar'!$B$5:$B$604,MATCH(B184,'Content Calendar'!$A$5:$A$604,0)),"Not found"))</f>
        <v>0</v>
      </c>
      <c r="E184" s="17">
        <f>IF(B184="","",IFERROR(INDEX('Content Calendar'!$J$5:$J$604,MATCH(B184,'Content Calendar'!$A$5:$A$604,0)),"Not found"))</f>
        <v>0</v>
      </c>
      <c r="F184" s="29">
        <f>IF(B184="","",IFERROR(INDEX('Content Calendar'!$X$5:$X$604,MATCH(B184,'Content Calendar'!$A$5:$A$604,0)),"Not found"))</f>
        <v>0</v>
      </c>
      <c r="P184" s="23">
        <f>IF(B184="","",IF(COUNTIF(Performance!$B$5:$B$404,B184)=0,"",SUMIFS(Performance!$O$5:$O$404,Performance!$B$5:$B$404,B184)))</f>
        <v>0</v>
      </c>
      <c r="Q184" s="23">
        <f>IF(B184="","",IF(COUNTIF(Performance!$B$5:$B$404,B184)=0,"",SUMIFS(Performance!$P$5:$P$404,Performance!$B$5:$B$404,B184)))</f>
        <v>0</v>
      </c>
      <c r="R184" s="23">
        <f>IF(B184="","",IF(COUNTIF(Performance!$B$5:$B$404,B184)=0,"",SUMIFS(Performance!$Z$5:$Z$404,Performance!$B$5:$B$404,B184)))</f>
        <v>0</v>
      </c>
      <c r="S184" s="24">
        <f>IF(OR(P184="",P184=0),"",R184/P184)</f>
        <v>0</v>
      </c>
      <c r="T184" s="23">
        <f>IF(B184="","",IF(COUNTIF(Performance!$B$5:$B$404,B184)=0,"",SUMIFS(Performance!$T$5:$T$404,Performance!$B$5:$B$404,B184)))</f>
        <v>0</v>
      </c>
      <c r="U184" s="23">
        <f>IF(B184="","",IF(COUNTIF(Performance!$B$5:$B$404,B184)=0,"",SUMIFS(Performance!$S$5:$S$404,Performance!$B$5:$B$404,B184)))</f>
        <v>0</v>
      </c>
      <c r="V184" s="23">
        <f>IF(B184="","",IF(COUNTIF(Performance!$B$5:$B$404,B184)=0,"",SUMIFS(Performance!$R$5:$R$404,Performance!$B$5:$B$404,B184)))</f>
        <v>0</v>
      </c>
      <c r="W184" s="23">
        <f>IF(B184="","",IF(COUNTIF(Performance!$B$5:$B$404,B184)=0,"",SUMIFS(Performance!$U$5:$U$404,Performance!$B$5:$B$404,B184)))</f>
        <v>0</v>
      </c>
      <c r="X184" s="29">
        <f>IF(B184="","",IF(C184="Not found","Check - content ID not on the calendar",IF(AND(J184="",G184&lt;&gt;"Photo"),"Add - no link on a link post",IF(AND(P184&lt;&gt;"",S184&lt;TargetEngagement),"Review - below your target rate","OK"))))</f>
        <v>0</v>
      </c>
    </row>
    <row r="185" spans="1:24">
      <c r="A185" s="41">
        <f>IF(B185="","","FB-"&amp;TEXT(ROW()-4,"000"))</f>
        <v>0</v>
      </c>
      <c r="C185" s="17">
        <f>IF(B185="","",IFERROR(INDEX('Content Calendar'!$H$5:$H$604,MATCH(B185,'Content Calendar'!$A$5:$A$604,0)),"Not found"))</f>
        <v>0</v>
      </c>
      <c r="D185" s="16">
        <f>IF(B185="","",IFERROR(INDEX('Content Calendar'!$B$5:$B$604,MATCH(B185,'Content Calendar'!$A$5:$A$604,0)),"Not found"))</f>
        <v>0</v>
      </c>
      <c r="E185" s="17">
        <f>IF(B185="","",IFERROR(INDEX('Content Calendar'!$J$5:$J$604,MATCH(B185,'Content Calendar'!$A$5:$A$604,0)),"Not found"))</f>
        <v>0</v>
      </c>
      <c r="F185" s="29">
        <f>IF(B185="","",IFERROR(INDEX('Content Calendar'!$X$5:$X$604,MATCH(B185,'Content Calendar'!$A$5:$A$604,0)),"Not found"))</f>
        <v>0</v>
      </c>
      <c r="P185" s="23">
        <f>IF(B185="","",IF(COUNTIF(Performance!$B$5:$B$404,B185)=0,"",SUMIFS(Performance!$O$5:$O$404,Performance!$B$5:$B$404,B185)))</f>
        <v>0</v>
      </c>
      <c r="Q185" s="23">
        <f>IF(B185="","",IF(COUNTIF(Performance!$B$5:$B$404,B185)=0,"",SUMIFS(Performance!$P$5:$P$404,Performance!$B$5:$B$404,B185)))</f>
        <v>0</v>
      </c>
      <c r="R185" s="23">
        <f>IF(B185="","",IF(COUNTIF(Performance!$B$5:$B$404,B185)=0,"",SUMIFS(Performance!$Z$5:$Z$404,Performance!$B$5:$B$404,B185)))</f>
        <v>0</v>
      </c>
      <c r="S185" s="24">
        <f>IF(OR(P185="",P185=0),"",R185/P185)</f>
        <v>0</v>
      </c>
      <c r="T185" s="23">
        <f>IF(B185="","",IF(COUNTIF(Performance!$B$5:$B$404,B185)=0,"",SUMIFS(Performance!$T$5:$T$404,Performance!$B$5:$B$404,B185)))</f>
        <v>0</v>
      </c>
      <c r="U185" s="23">
        <f>IF(B185="","",IF(COUNTIF(Performance!$B$5:$B$404,B185)=0,"",SUMIFS(Performance!$S$5:$S$404,Performance!$B$5:$B$404,B185)))</f>
        <v>0</v>
      </c>
      <c r="V185" s="23">
        <f>IF(B185="","",IF(COUNTIF(Performance!$B$5:$B$404,B185)=0,"",SUMIFS(Performance!$R$5:$R$404,Performance!$B$5:$B$404,B185)))</f>
        <v>0</v>
      </c>
      <c r="W185" s="23">
        <f>IF(B185="","",IF(COUNTIF(Performance!$B$5:$B$404,B185)=0,"",SUMIFS(Performance!$U$5:$U$404,Performance!$B$5:$B$404,B185)))</f>
        <v>0</v>
      </c>
      <c r="X185" s="29">
        <f>IF(B185="","",IF(C185="Not found","Check - content ID not on the calendar",IF(AND(J185="",G185&lt;&gt;"Photo"),"Add - no link on a link post",IF(AND(P185&lt;&gt;"",S185&lt;TargetEngagement),"Review - below your target rate","OK"))))</f>
        <v>0</v>
      </c>
    </row>
    <row r="186" spans="1:24">
      <c r="A186" s="41">
        <f>IF(B186="","","FB-"&amp;TEXT(ROW()-4,"000"))</f>
        <v>0</v>
      </c>
      <c r="C186" s="17">
        <f>IF(B186="","",IFERROR(INDEX('Content Calendar'!$H$5:$H$604,MATCH(B186,'Content Calendar'!$A$5:$A$604,0)),"Not found"))</f>
        <v>0</v>
      </c>
      <c r="D186" s="16">
        <f>IF(B186="","",IFERROR(INDEX('Content Calendar'!$B$5:$B$604,MATCH(B186,'Content Calendar'!$A$5:$A$604,0)),"Not found"))</f>
        <v>0</v>
      </c>
      <c r="E186" s="17">
        <f>IF(B186="","",IFERROR(INDEX('Content Calendar'!$J$5:$J$604,MATCH(B186,'Content Calendar'!$A$5:$A$604,0)),"Not found"))</f>
        <v>0</v>
      </c>
      <c r="F186" s="29">
        <f>IF(B186="","",IFERROR(INDEX('Content Calendar'!$X$5:$X$604,MATCH(B186,'Content Calendar'!$A$5:$A$604,0)),"Not found"))</f>
        <v>0</v>
      </c>
      <c r="P186" s="23">
        <f>IF(B186="","",IF(COUNTIF(Performance!$B$5:$B$404,B186)=0,"",SUMIFS(Performance!$O$5:$O$404,Performance!$B$5:$B$404,B186)))</f>
        <v>0</v>
      </c>
      <c r="Q186" s="23">
        <f>IF(B186="","",IF(COUNTIF(Performance!$B$5:$B$404,B186)=0,"",SUMIFS(Performance!$P$5:$P$404,Performance!$B$5:$B$404,B186)))</f>
        <v>0</v>
      </c>
      <c r="R186" s="23">
        <f>IF(B186="","",IF(COUNTIF(Performance!$B$5:$B$404,B186)=0,"",SUMIFS(Performance!$Z$5:$Z$404,Performance!$B$5:$B$404,B186)))</f>
        <v>0</v>
      </c>
      <c r="S186" s="24">
        <f>IF(OR(P186="",P186=0),"",R186/P186)</f>
        <v>0</v>
      </c>
      <c r="T186" s="23">
        <f>IF(B186="","",IF(COUNTIF(Performance!$B$5:$B$404,B186)=0,"",SUMIFS(Performance!$T$5:$T$404,Performance!$B$5:$B$404,B186)))</f>
        <v>0</v>
      </c>
      <c r="U186" s="23">
        <f>IF(B186="","",IF(COUNTIF(Performance!$B$5:$B$404,B186)=0,"",SUMIFS(Performance!$S$5:$S$404,Performance!$B$5:$B$404,B186)))</f>
        <v>0</v>
      </c>
      <c r="V186" s="23">
        <f>IF(B186="","",IF(COUNTIF(Performance!$B$5:$B$404,B186)=0,"",SUMIFS(Performance!$R$5:$R$404,Performance!$B$5:$B$404,B186)))</f>
        <v>0</v>
      </c>
      <c r="W186" s="23">
        <f>IF(B186="","",IF(COUNTIF(Performance!$B$5:$B$404,B186)=0,"",SUMIFS(Performance!$U$5:$U$404,Performance!$B$5:$B$404,B186)))</f>
        <v>0</v>
      </c>
      <c r="X186" s="29">
        <f>IF(B186="","",IF(C186="Not found","Check - content ID not on the calendar",IF(AND(J186="",G186&lt;&gt;"Photo"),"Add - no link on a link post",IF(AND(P186&lt;&gt;"",S186&lt;TargetEngagement),"Review - below your target rate","OK"))))</f>
        <v>0</v>
      </c>
    </row>
    <row r="187" spans="1:24">
      <c r="A187" s="41">
        <f>IF(B187="","","FB-"&amp;TEXT(ROW()-4,"000"))</f>
        <v>0</v>
      </c>
      <c r="C187" s="17">
        <f>IF(B187="","",IFERROR(INDEX('Content Calendar'!$H$5:$H$604,MATCH(B187,'Content Calendar'!$A$5:$A$604,0)),"Not found"))</f>
        <v>0</v>
      </c>
      <c r="D187" s="16">
        <f>IF(B187="","",IFERROR(INDEX('Content Calendar'!$B$5:$B$604,MATCH(B187,'Content Calendar'!$A$5:$A$604,0)),"Not found"))</f>
        <v>0</v>
      </c>
      <c r="E187" s="17">
        <f>IF(B187="","",IFERROR(INDEX('Content Calendar'!$J$5:$J$604,MATCH(B187,'Content Calendar'!$A$5:$A$604,0)),"Not found"))</f>
        <v>0</v>
      </c>
      <c r="F187" s="29">
        <f>IF(B187="","",IFERROR(INDEX('Content Calendar'!$X$5:$X$604,MATCH(B187,'Content Calendar'!$A$5:$A$604,0)),"Not found"))</f>
        <v>0</v>
      </c>
      <c r="P187" s="23">
        <f>IF(B187="","",IF(COUNTIF(Performance!$B$5:$B$404,B187)=0,"",SUMIFS(Performance!$O$5:$O$404,Performance!$B$5:$B$404,B187)))</f>
        <v>0</v>
      </c>
      <c r="Q187" s="23">
        <f>IF(B187="","",IF(COUNTIF(Performance!$B$5:$B$404,B187)=0,"",SUMIFS(Performance!$P$5:$P$404,Performance!$B$5:$B$404,B187)))</f>
        <v>0</v>
      </c>
      <c r="R187" s="23">
        <f>IF(B187="","",IF(COUNTIF(Performance!$B$5:$B$404,B187)=0,"",SUMIFS(Performance!$Z$5:$Z$404,Performance!$B$5:$B$404,B187)))</f>
        <v>0</v>
      </c>
      <c r="S187" s="24">
        <f>IF(OR(P187="",P187=0),"",R187/P187)</f>
        <v>0</v>
      </c>
      <c r="T187" s="23">
        <f>IF(B187="","",IF(COUNTIF(Performance!$B$5:$B$404,B187)=0,"",SUMIFS(Performance!$T$5:$T$404,Performance!$B$5:$B$404,B187)))</f>
        <v>0</v>
      </c>
      <c r="U187" s="23">
        <f>IF(B187="","",IF(COUNTIF(Performance!$B$5:$B$404,B187)=0,"",SUMIFS(Performance!$S$5:$S$404,Performance!$B$5:$B$404,B187)))</f>
        <v>0</v>
      </c>
      <c r="V187" s="23">
        <f>IF(B187="","",IF(COUNTIF(Performance!$B$5:$B$404,B187)=0,"",SUMIFS(Performance!$R$5:$R$404,Performance!$B$5:$B$404,B187)))</f>
        <v>0</v>
      </c>
      <c r="W187" s="23">
        <f>IF(B187="","",IF(COUNTIF(Performance!$B$5:$B$404,B187)=0,"",SUMIFS(Performance!$U$5:$U$404,Performance!$B$5:$B$404,B187)))</f>
        <v>0</v>
      </c>
      <c r="X187" s="29">
        <f>IF(B187="","",IF(C187="Not found","Check - content ID not on the calendar",IF(AND(J187="",G187&lt;&gt;"Photo"),"Add - no link on a link post",IF(AND(P187&lt;&gt;"",S187&lt;TargetEngagement),"Review - below your target rate","OK"))))</f>
        <v>0</v>
      </c>
    </row>
    <row r="188" spans="1:24">
      <c r="A188" s="41">
        <f>IF(B188="","","FB-"&amp;TEXT(ROW()-4,"000"))</f>
        <v>0</v>
      </c>
      <c r="C188" s="17">
        <f>IF(B188="","",IFERROR(INDEX('Content Calendar'!$H$5:$H$604,MATCH(B188,'Content Calendar'!$A$5:$A$604,0)),"Not found"))</f>
        <v>0</v>
      </c>
      <c r="D188" s="16">
        <f>IF(B188="","",IFERROR(INDEX('Content Calendar'!$B$5:$B$604,MATCH(B188,'Content Calendar'!$A$5:$A$604,0)),"Not found"))</f>
        <v>0</v>
      </c>
      <c r="E188" s="17">
        <f>IF(B188="","",IFERROR(INDEX('Content Calendar'!$J$5:$J$604,MATCH(B188,'Content Calendar'!$A$5:$A$604,0)),"Not found"))</f>
        <v>0</v>
      </c>
      <c r="F188" s="29">
        <f>IF(B188="","",IFERROR(INDEX('Content Calendar'!$X$5:$X$604,MATCH(B188,'Content Calendar'!$A$5:$A$604,0)),"Not found"))</f>
        <v>0</v>
      </c>
      <c r="P188" s="23">
        <f>IF(B188="","",IF(COUNTIF(Performance!$B$5:$B$404,B188)=0,"",SUMIFS(Performance!$O$5:$O$404,Performance!$B$5:$B$404,B188)))</f>
        <v>0</v>
      </c>
      <c r="Q188" s="23">
        <f>IF(B188="","",IF(COUNTIF(Performance!$B$5:$B$404,B188)=0,"",SUMIFS(Performance!$P$5:$P$404,Performance!$B$5:$B$404,B188)))</f>
        <v>0</v>
      </c>
      <c r="R188" s="23">
        <f>IF(B188="","",IF(COUNTIF(Performance!$B$5:$B$404,B188)=0,"",SUMIFS(Performance!$Z$5:$Z$404,Performance!$B$5:$B$404,B188)))</f>
        <v>0</v>
      </c>
      <c r="S188" s="24">
        <f>IF(OR(P188="",P188=0),"",R188/P188)</f>
        <v>0</v>
      </c>
      <c r="T188" s="23">
        <f>IF(B188="","",IF(COUNTIF(Performance!$B$5:$B$404,B188)=0,"",SUMIFS(Performance!$T$5:$T$404,Performance!$B$5:$B$404,B188)))</f>
        <v>0</v>
      </c>
      <c r="U188" s="23">
        <f>IF(B188="","",IF(COUNTIF(Performance!$B$5:$B$404,B188)=0,"",SUMIFS(Performance!$S$5:$S$404,Performance!$B$5:$B$404,B188)))</f>
        <v>0</v>
      </c>
      <c r="V188" s="23">
        <f>IF(B188="","",IF(COUNTIF(Performance!$B$5:$B$404,B188)=0,"",SUMIFS(Performance!$R$5:$R$404,Performance!$B$5:$B$404,B188)))</f>
        <v>0</v>
      </c>
      <c r="W188" s="23">
        <f>IF(B188="","",IF(COUNTIF(Performance!$B$5:$B$404,B188)=0,"",SUMIFS(Performance!$U$5:$U$404,Performance!$B$5:$B$404,B188)))</f>
        <v>0</v>
      </c>
      <c r="X188" s="29">
        <f>IF(B188="","",IF(C188="Not found","Check - content ID not on the calendar",IF(AND(J188="",G188&lt;&gt;"Photo"),"Add - no link on a link post",IF(AND(P188&lt;&gt;"",S188&lt;TargetEngagement),"Review - below your target rate","OK"))))</f>
        <v>0</v>
      </c>
    </row>
    <row r="189" spans="1:24">
      <c r="A189" s="41">
        <f>IF(B189="","","FB-"&amp;TEXT(ROW()-4,"000"))</f>
        <v>0</v>
      </c>
      <c r="C189" s="17">
        <f>IF(B189="","",IFERROR(INDEX('Content Calendar'!$H$5:$H$604,MATCH(B189,'Content Calendar'!$A$5:$A$604,0)),"Not found"))</f>
        <v>0</v>
      </c>
      <c r="D189" s="16">
        <f>IF(B189="","",IFERROR(INDEX('Content Calendar'!$B$5:$B$604,MATCH(B189,'Content Calendar'!$A$5:$A$604,0)),"Not found"))</f>
        <v>0</v>
      </c>
      <c r="E189" s="17">
        <f>IF(B189="","",IFERROR(INDEX('Content Calendar'!$J$5:$J$604,MATCH(B189,'Content Calendar'!$A$5:$A$604,0)),"Not found"))</f>
        <v>0</v>
      </c>
      <c r="F189" s="29">
        <f>IF(B189="","",IFERROR(INDEX('Content Calendar'!$X$5:$X$604,MATCH(B189,'Content Calendar'!$A$5:$A$604,0)),"Not found"))</f>
        <v>0</v>
      </c>
      <c r="P189" s="23">
        <f>IF(B189="","",IF(COUNTIF(Performance!$B$5:$B$404,B189)=0,"",SUMIFS(Performance!$O$5:$O$404,Performance!$B$5:$B$404,B189)))</f>
        <v>0</v>
      </c>
      <c r="Q189" s="23">
        <f>IF(B189="","",IF(COUNTIF(Performance!$B$5:$B$404,B189)=0,"",SUMIFS(Performance!$P$5:$P$404,Performance!$B$5:$B$404,B189)))</f>
        <v>0</v>
      </c>
      <c r="R189" s="23">
        <f>IF(B189="","",IF(COUNTIF(Performance!$B$5:$B$404,B189)=0,"",SUMIFS(Performance!$Z$5:$Z$404,Performance!$B$5:$B$404,B189)))</f>
        <v>0</v>
      </c>
      <c r="S189" s="24">
        <f>IF(OR(P189="",P189=0),"",R189/P189)</f>
        <v>0</v>
      </c>
      <c r="T189" s="23">
        <f>IF(B189="","",IF(COUNTIF(Performance!$B$5:$B$404,B189)=0,"",SUMIFS(Performance!$T$5:$T$404,Performance!$B$5:$B$404,B189)))</f>
        <v>0</v>
      </c>
      <c r="U189" s="23">
        <f>IF(B189="","",IF(COUNTIF(Performance!$B$5:$B$404,B189)=0,"",SUMIFS(Performance!$S$5:$S$404,Performance!$B$5:$B$404,B189)))</f>
        <v>0</v>
      </c>
      <c r="V189" s="23">
        <f>IF(B189="","",IF(COUNTIF(Performance!$B$5:$B$404,B189)=0,"",SUMIFS(Performance!$R$5:$R$404,Performance!$B$5:$B$404,B189)))</f>
        <v>0</v>
      </c>
      <c r="W189" s="23">
        <f>IF(B189="","",IF(COUNTIF(Performance!$B$5:$B$404,B189)=0,"",SUMIFS(Performance!$U$5:$U$404,Performance!$B$5:$B$404,B189)))</f>
        <v>0</v>
      </c>
      <c r="X189" s="29">
        <f>IF(B189="","",IF(C189="Not found","Check - content ID not on the calendar",IF(AND(J189="",G189&lt;&gt;"Photo"),"Add - no link on a link post",IF(AND(P189&lt;&gt;"",S189&lt;TargetEngagement),"Review - below your target rate","OK"))))</f>
        <v>0</v>
      </c>
    </row>
    <row r="190" spans="1:24">
      <c r="A190" s="41">
        <f>IF(B190="","","FB-"&amp;TEXT(ROW()-4,"000"))</f>
        <v>0</v>
      </c>
      <c r="C190" s="17">
        <f>IF(B190="","",IFERROR(INDEX('Content Calendar'!$H$5:$H$604,MATCH(B190,'Content Calendar'!$A$5:$A$604,0)),"Not found"))</f>
        <v>0</v>
      </c>
      <c r="D190" s="16">
        <f>IF(B190="","",IFERROR(INDEX('Content Calendar'!$B$5:$B$604,MATCH(B190,'Content Calendar'!$A$5:$A$604,0)),"Not found"))</f>
        <v>0</v>
      </c>
      <c r="E190" s="17">
        <f>IF(B190="","",IFERROR(INDEX('Content Calendar'!$J$5:$J$604,MATCH(B190,'Content Calendar'!$A$5:$A$604,0)),"Not found"))</f>
        <v>0</v>
      </c>
      <c r="F190" s="29">
        <f>IF(B190="","",IFERROR(INDEX('Content Calendar'!$X$5:$X$604,MATCH(B190,'Content Calendar'!$A$5:$A$604,0)),"Not found"))</f>
        <v>0</v>
      </c>
      <c r="P190" s="23">
        <f>IF(B190="","",IF(COUNTIF(Performance!$B$5:$B$404,B190)=0,"",SUMIFS(Performance!$O$5:$O$404,Performance!$B$5:$B$404,B190)))</f>
        <v>0</v>
      </c>
      <c r="Q190" s="23">
        <f>IF(B190="","",IF(COUNTIF(Performance!$B$5:$B$404,B190)=0,"",SUMIFS(Performance!$P$5:$P$404,Performance!$B$5:$B$404,B190)))</f>
        <v>0</v>
      </c>
      <c r="R190" s="23">
        <f>IF(B190="","",IF(COUNTIF(Performance!$B$5:$B$404,B190)=0,"",SUMIFS(Performance!$Z$5:$Z$404,Performance!$B$5:$B$404,B190)))</f>
        <v>0</v>
      </c>
      <c r="S190" s="24">
        <f>IF(OR(P190="",P190=0),"",R190/P190)</f>
        <v>0</v>
      </c>
      <c r="T190" s="23">
        <f>IF(B190="","",IF(COUNTIF(Performance!$B$5:$B$404,B190)=0,"",SUMIFS(Performance!$T$5:$T$404,Performance!$B$5:$B$404,B190)))</f>
        <v>0</v>
      </c>
      <c r="U190" s="23">
        <f>IF(B190="","",IF(COUNTIF(Performance!$B$5:$B$404,B190)=0,"",SUMIFS(Performance!$S$5:$S$404,Performance!$B$5:$B$404,B190)))</f>
        <v>0</v>
      </c>
      <c r="V190" s="23">
        <f>IF(B190="","",IF(COUNTIF(Performance!$B$5:$B$404,B190)=0,"",SUMIFS(Performance!$R$5:$R$404,Performance!$B$5:$B$404,B190)))</f>
        <v>0</v>
      </c>
      <c r="W190" s="23">
        <f>IF(B190="","",IF(COUNTIF(Performance!$B$5:$B$404,B190)=0,"",SUMIFS(Performance!$U$5:$U$404,Performance!$B$5:$B$404,B190)))</f>
        <v>0</v>
      </c>
      <c r="X190" s="29">
        <f>IF(B190="","",IF(C190="Not found","Check - content ID not on the calendar",IF(AND(J190="",G190&lt;&gt;"Photo"),"Add - no link on a link post",IF(AND(P190&lt;&gt;"",S190&lt;TargetEngagement),"Review - below your target rate","OK"))))</f>
        <v>0</v>
      </c>
    </row>
    <row r="191" spans="1:24">
      <c r="A191" s="41">
        <f>IF(B191="","","FB-"&amp;TEXT(ROW()-4,"000"))</f>
        <v>0</v>
      </c>
      <c r="C191" s="17">
        <f>IF(B191="","",IFERROR(INDEX('Content Calendar'!$H$5:$H$604,MATCH(B191,'Content Calendar'!$A$5:$A$604,0)),"Not found"))</f>
        <v>0</v>
      </c>
      <c r="D191" s="16">
        <f>IF(B191="","",IFERROR(INDEX('Content Calendar'!$B$5:$B$604,MATCH(B191,'Content Calendar'!$A$5:$A$604,0)),"Not found"))</f>
        <v>0</v>
      </c>
      <c r="E191" s="17">
        <f>IF(B191="","",IFERROR(INDEX('Content Calendar'!$J$5:$J$604,MATCH(B191,'Content Calendar'!$A$5:$A$604,0)),"Not found"))</f>
        <v>0</v>
      </c>
      <c r="F191" s="29">
        <f>IF(B191="","",IFERROR(INDEX('Content Calendar'!$X$5:$X$604,MATCH(B191,'Content Calendar'!$A$5:$A$604,0)),"Not found"))</f>
        <v>0</v>
      </c>
      <c r="P191" s="23">
        <f>IF(B191="","",IF(COUNTIF(Performance!$B$5:$B$404,B191)=0,"",SUMIFS(Performance!$O$5:$O$404,Performance!$B$5:$B$404,B191)))</f>
        <v>0</v>
      </c>
      <c r="Q191" s="23">
        <f>IF(B191="","",IF(COUNTIF(Performance!$B$5:$B$404,B191)=0,"",SUMIFS(Performance!$P$5:$P$404,Performance!$B$5:$B$404,B191)))</f>
        <v>0</v>
      </c>
      <c r="R191" s="23">
        <f>IF(B191="","",IF(COUNTIF(Performance!$B$5:$B$404,B191)=0,"",SUMIFS(Performance!$Z$5:$Z$404,Performance!$B$5:$B$404,B191)))</f>
        <v>0</v>
      </c>
      <c r="S191" s="24">
        <f>IF(OR(P191="",P191=0),"",R191/P191)</f>
        <v>0</v>
      </c>
      <c r="T191" s="23">
        <f>IF(B191="","",IF(COUNTIF(Performance!$B$5:$B$404,B191)=0,"",SUMIFS(Performance!$T$5:$T$404,Performance!$B$5:$B$404,B191)))</f>
        <v>0</v>
      </c>
      <c r="U191" s="23">
        <f>IF(B191="","",IF(COUNTIF(Performance!$B$5:$B$404,B191)=0,"",SUMIFS(Performance!$S$5:$S$404,Performance!$B$5:$B$404,B191)))</f>
        <v>0</v>
      </c>
      <c r="V191" s="23">
        <f>IF(B191="","",IF(COUNTIF(Performance!$B$5:$B$404,B191)=0,"",SUMIFS(Performance!$R$5:$R$404,Performance!$B$5:$B$404,B191)))</f>
        <v>0</v>
      </c>
      <c r="W191" s="23">
        <f>IF(B191="","",IF(COUNTIF(Performance!$B$5:$B$404,B191)=0,"",SUMIFS(Performance!$U$5:$U$404,Performance!$B$5:$B$404,B191)))</f>
        <v>0</v>
      </c>
      <c r="X191" s="29">
        <f>IF(B191="","",IF(C191="Not found","Check - content ID not on the calendar",IF(AND(J191="",G191&lt;&gt;"Photo"),"Add - no link on a link post",IF(AND(P191&lt;&gt;"",S191&lt;TargetEngagement),"Review - below your target rate","OK"))))</f>
        <v>0</v>
      </c>
    </row>
    <row r="192" spans="1:24">
      <c r="A192" s="41">
        <f>IF(B192="","","FB-"&amp;TEXT(ROW()-4,"000"))</f>
        <v>0</v>
      </c>
      <c r="C192" s="17">
        <f>IF(B192="","",IFERROR(INDEX('Content Calendar'!$H$5:$H$604,MATCH(B192,'Content Calendar'!$A$5:$A$604,0)),"Not found"))</f>
        <v>0</v>
      </c>
      <c r="D192" s="16">
        <f>IF(B192="","",IFERROR(INDEX('Content Calendar'!$B$5:$B$604,MATCH(B192,'Content Calendar'!$A$5:$A$604,0)),"Not found"))</f>
        <v>0</v>
      </c>
      <c r="E192" s="17">
        <f>IF(B192="","",IFERROR(INDEX('Content Calendar'!$J$5:$J$604,MATCH(B192,'Content Calendar'!$A$5:$A$604,0)),"Not found"))</f>
        <v>0</v>
      </c>
      <c r="F192" s="29">
        <f>IF(B192="","",IFERROR(INDEX('Content Calendar'!$X$5:$X$604,MATCH(B192,'Content Calendar'!$A$5:$A$604,0)),"Not found"))</f>
        <v>0</v>
      </c>
      <c r="P192" s="23">
        <f>IF(B192="","",IF(COUNTIF(Performance!$B$5:$B$404,B192)=0,"",SUMIFS(Performance!$O$5:$O$404,Performance!$B$5:$B$404,B192)))</f>
        <v>0</v>
      </c>
      <c r="Q192" s="23">
        <f>IF(B192="","",IF(COUNTIF(Performance!$B$5:$B$404,B192)=0,"",SUMIFS(Performance!$P$5:$P$404,Performance!$B$5:$B$404,B192)))</f>
        <v>0</v>
      </c>
      <c r="R192" s="23">
        <f>IF(B192="","",IF(COUNTIF(Performance!$B$5:$B$404,B192)=0,"",SUMIFS(Performance!$Z$5:$Z$404,Performance!$B$5:$B$404,B192)))</f>
        <v>0</v>
      </c>
      <c r="S192" s="24">
        <f>IF(OR(P192="",P192=0),"",R192/P192)</f>
        <v>0</v>
      </c>
      <c r="T192" s="23">
        <f>IF(B192="","",IF(COUNTIF(Performance!$B$5:$B$404,B192)=0,"",SUMIFS(Performance!$T$5:$T$404,Performance!$B$5:$B$404,B192)))</f>
        <v>0</v>
      </c>
      <c r="U192" s="23">
        <f>IF(B192="","",IF(COUNTIF(Performance!$B$5:$B$404,B192)=0,"",SUMIFS(Performance!$S$5:$S$404,Performance!$B$5:$B$404,B192)))</f>
        <v>0</v>
      </c>
      <c r="V192" s="23">
        <f>IF(B192="","",IF(COUNTIF(Performance!$B$5:$B$404,B192)=0,"",SUMIFS(Performance!$R$5:$R$404,Performance!$B$5:$B$404,B192)))</f>
        <v>0</v>
      </c>
      <c r="W192" s="23">
        <f>IF(B192="","",IF(COUNTIF(Performance!$B$5:$B$404,B192)=0,"",SUMIFS(Performance!$U$5:$U$404,Performance!$B$5:$B$404,B192)))</f>
        <v>0</v>
      </c>
      <c r="X192" s="29">
        <f>IF(B192="","",IF(C192="Not found","Check - content ID not on the calendar",IF(AND(J192="",G192&lt;&gt;"Photo"),"Add - no link on a link post",IF(AND(P192&lt;&gt;"",S192&lt;TargetEngagement),"Review - below your target rate","OK"))))</f>
        <v>0</v>
      </c>
    </row>
    <row r="193" spans="1:24">
      <c r="A193" s="41">
        <f>IF(B193="","","FB-"&amp;TEXT(ROW()-4,"000"))</f>
        <v>0</v>
      </c>
      <c r="C193" s="17">
        <f>IF(B193="","",IFERROR(INDEX('Content Calendar'!$H$5:$H$604,MATCH(B193,'Content Calendar'!$A$5:$A$604,0)),"Not found"))</f>
        <v>0</v>
      </c>
      <c r="D193" s="16">
        <f>IF(B193="","",IFERROR(INDEX('Content Calendar'!$B$5:$B$604,MATCH(B193,'Content Calendar'!$A$5:$A$604,0)),"Not found"))</f>
        <v>0</v>
      </c>
      <c r="E193" s="17">
        <f>IF(B193="","",IFERROR(INDEX('Content Calendar'!$J$5:$J$604,MATCH(B193,'Content Calendar'!$A$5:$A$604,0)),"Not found"))</f>
        <v>0</v>
      </c>
      <c r="F193" s="29">
        <f>IF(B193="","",IFERROR(INDEX('Content Calendar'!$X$5:$X$604,MATCH(B193,'Content Calendar'!$A$5:$A$604,0)),"Not found"))</f>
        <v>0</v>
      </c>
      <c r="P193" s="23">
        <f>IF(B193="","",IF(COUNTIF(Performance!$B$5:$B$404,B193)=0,"",SUMIFS(Performance!$O$5:$O$404,Performance!$B$5:$B$404,B193)))</f>
        <v>0</v>
      </c>
      <c r="Q193" s="23">
        <f>IF(B193="","",IF(COUNTIF(Performance!$B$5:$B$404,B193)=0,"",SUMIFS(Performance!$P$5:$P$404,Performance!$B$5:$B$404,B193)))</f>
        <v>0</v>
      </c>
      <c r="R193" s="23">
        <f>IF(B193="","",IF(COUNTIF(Performance!$B$5:$B$404,B193)=0,"",SUMIFS(Performance!$Z$5:$Z$404,Performance!$B$5:$B$404,B193)))</f>
        <v>0</v>
      </c>
      <c r="S193" s="24">
        <f>IF(OR(P193="",P193=0),"",R193/P193)</f>
        <v>0</v>
      </c>
      <c r="T193" s="23">
        <f>IF(B193="","",IF(COUNTIF(Performance!$B$5:$B$404,B193)=0,"",SUMIFS(Performance!$T$5:$T$404,Performance!$B$5:$B$404,B193)))</f>
        <v>0</v>
      </c>
      <c r="U193" s="23">
        <f>IF(B193="","",IF(COUNTIF(Performance!$B$5:$B$404,B193)=0,"",SUMIFS(Performance!$S$5:$S$404,Performance!$B$5:$B$404,B193)))</f>
        <v>0</v>
      </c>
      <c r="V193" s="23">
        <f>IF(B193="","",IF(COUNTIF(Performance!$B$5:$B$404,B193)=0,"",SUMIFS(Performance!$R$5:$R$404,Performance!$B$5:$B$404,B193)))</f>
        <v>0</v>
      </c>
      <c r="W193" s="23">
        <f>IF(B193="","",IF(COUNTIF(Performance!$B$5:$B$404,B193)=0,"",SUMIFS(Performance!$U$5:$U$404,Performance!$B$5:$B$404,B193)))</f>
        <v>0</v>
      </c>
      <c r="X193" s="29">
        <f>IF(B193="","",IF(C193="Not found","Check - content ID not on the calendar",IF(AND(J193="",G193&lt;&gt;"Photo"),"Add - no link on a link post",IF(AND(P193&lt;&gt;"",S193&lt;TargetEngagement),"Review - below your target rate","OK"))))</f>
        <v>0</v>
      </c>
    </row>
    <row r="194" spans="1:24">
      <c r="A194" s="41">
        <f>IF(B194="","","FB-"&amp;TEXT(ROW()-4,"000"))</f>
        <v>0</v>
      </c>
      <c r="C194" s="17">
        <f>IF(B194="","",IFERROR(INDEX('Content Calendar'!$H$5:$H$604,MATCH(B194,'Content Calendar'!$A$5:$A$604,0)),"Not found"))</f>
        <v>0</v>
      </c>
      <c r="D194" s="16">
        <f>IF(B194="","",IFERROR(INDEX('Content Calendar'!$B$5:$B$604,MATCH(B194,'Content Calendar'!$A$5:$A$604,0)),"Not found"))</f>
        <v>0</v>
      </c>
      <c r="E194" s="17">
        <f>IF(B194="","",IFERROR(INDEX('Content Calendar'!$J$5:$J$604,MATCH(B194,'Content Calendar'!$A$5:$A$604,0)),"Not found"))</f>
        <v>0</v>
      </c>
      <c r="F194" s="29">
        <f>IF(B194="","",IFERROR(INDEX('Content Calendar'!$X$5:$X$604,MATCH(B194,'Content Calendar'!$A$5:$A$604,0)),"Not found"))</f>
        <v>0</v>
      </c>
      <c r="P194" s="23">
        <f>IF(B194="","",IF(COUNTIF(Performance!$B$5:$B$404,B194)=0,"",SUMIFS(Performance!$O$5:$O$404,Performance!$B$5:$B$404,B194)))</f>
        <v>0</v>
      </c>
      <c r="Q194" s="23">
        <f>IF(B194="","",IF(COUNTIF(Performance!$B$5:$B$404,B194)=0,"",SUMIFS(Performance!$P$5:$P$404,Performance!$B$5:$B$404,B194)))</f>
        <v>0</v>
      </c>
      <c r="R194" s="23">
        <f>IF(B194="","",IF(COUNTIF(Performance!$B$5:$B$404,B194)=0,"",SUMIFS(Performance!$Z$5:$Z$404,Performance!$B$5:$B$404,B194)))</f>
        <v>0</v>
      </c>
      <c r="S194" s="24">
        <f>IF(OR(P194="",P194=0),"",R194/P194)</f>
        <v>0</v>
      </c>
      <c r="T194" s="23">
        <f>IF(B194="","",IF(COUNTIF(Performance!$B$5:$B$404,B194)=0,"",SUMIFS(Performance!$T$5:$T$404,Performance!$B$5:$B$404,B194)))</f>
        <v>0</v>
      </c>
      <c r="U194" s="23">
        <f>IF(B194="","",IF(COUNTIF(Performance!$B$5:$B$404,B194)=0,"",SUMIFS(Performance!$S$5:$S$404,Performance!$B$5:$B$404,B194)))</f>
        <v>0</v>
      </c>
      <c r="V194" s="23">
        <f>IF(B194="","",IF(COUNTIF(Performance!$B$5:$B$404,B194)=0,"",SUMIFS(Performance!$R$5:$R$404,Performance!$B$5:$B$404,B194)))</f>
        <v>0</v>
      </c>
      <c r="W194" s="23">
        <f>IF(B194="","",IF(COUNTIF(Performance!$B$5:$B$404,B194)=0,"",SUMIFS(Performance!$U$5:$U$404,Performance!$B$5:$B$404,B194)))</f>
        <v>0</v>
      </c>
      <c r="X194" s="29">
        <f>IF(B194="","",IF(C194="Not found","Check - content ID not on the calendar",IF(AND(J194="",G194&lt;&gt;"Photo"),"Add - no link on a link post",IF(AND(P194&lt;&gt;"",S194&lt;TargetEngagement),"Review - below your target rate","OK"))))</f>
        <v>0</v>
      </c>
    </row>
    <row r="195" spans="1:24">
      <c r="A195" s="41">
        <f>IF(B195="","","FB-"&amp;TEXT(ROW()-4,"000"))</f>
        <v>0</v>
      </c>
      <c r="C195" s="17">
        <f>IF(B195="","",IFERROR(INDEX('Content Calendar'!$H$5:$H$604,MATCH(B195,'Content Calendar'!$A$5:$A$604,0)),"Not found"))</f>
        <v>0</v>
      </c>
      <c r="D195" s="16">
        <f>IF(B195="","",IFERROR(INDEX('Content Calendar'!$B$5:$B$604,MATCH(B195,'Content Calendar'!$A$5:$A$604,0)),"Not found"))</f>
        <v>0</v>
      </c>
      <c r="E195" s="17">
        <f>IF(B195="","",IFERROR(INDEX('Content Calendar'!$J$5:$J$604,MATCH(B195,'Content Calendar'!$A$5:$A$604,0)),"Not found"))</f>
        <v>0</v>
      </c>
      <c r="F195" s="29">
        <f>IF(B195="","",IFERROR(INDEX('Content Calendar'!$X$5:$X$604,MATCH(B195,'Content Calendar'!$A$5:$A$604,0)),"Not found"))</f>
        <v>0</v>
      </c>
      <c r="P195" s="23">
        <f>IF(B195="","",IF(COUNTIF(Performance!$B$5:$B$404,B195)=0,"",SUMIFS(Performance!$O$5:$O$404,Performance!$B$5:$B$404,B195)))</f>
        <v>0</v>
      </c>
      <c r="Q195" s="23">
        <f>IF(B195="","",IF(COUNTIF(Performance!$B$5:$B$404,B195)=0,"",SUMIFS(Performance!$P$5:$P$404,Performance!$B$5:$B$404,B195)))</f>
        <v>0</v>
      </c>
      <c r="R195" s="23">
        <f>IF(B195="","",IF(COUNTIF(Performance!$B$5:$B$404,B195)=0,"",SUMIFS(Performance!$Z$5:$Z$404,Performance!$B$5:$B$404,B195)))</f>
        <v>0</v>
      </c>
      <c r="S195" s="24">
        <f>IF(OR(P195="",P195=0),"",R195/P195)</f>
        <v>0</v>
      </c>
      <c r="T195" s="23">
        <f>IF(B195="","",IF(COUNTIF(Performance!$B$5:$B$404,B195)=0,"",SUMIFS(Performance!$T$5:$T$404,Performance!$B$5:$B$404,B195)))</f>
        <v>0</v>
      </c>
      <c r="U195" s="23">
        <f>IF(B195="","",IF(COUNTIF(Performance!$B$5:$B$404,B195)=0,"",SUMIFS(Performance!$S$5:$S$404,Performance!$B$5:$B$404,B195)))</f>
        <v>0</v>
      </c>
      <c r="V195" s="23">
        <f>IF(B195="","",IF(COUNTIF(Performance!$B$5:$B$404,B195)=0,"",SUMIFS(Performance!$R$5:$R$404,Performance!$B$5:$B$404,B195)))</f>
        <v>0</v>
      </c>
      <c r="W195" s="23">
        <f>IF(B195="","",IF(COUNTIF(Performance!$B$5:$B$404,B195)=0,"",SUMIFS(Performance!$U$5:$U$404,Performance!$B$5:$B$404,B195)))</f>
        <v>0</v>
      </c>
      <c r="X195" s="29">
        <f>IF(B195="","",IF(C195="Not found","Check - content ID not on the calendar",IF(AND(J195="",G195&lt;&gt;"Photo"),"Add - no link on a link post",IF(AND(P195&lt;&gt;"",S195&lt;TargetEngagement),"Review - below your target rate","OK"))))</f>
        <v>0</v>
      </c>
    </row>
    <row r="196" spans="1:24">
      <c r="A196" s="41">
        <f>IF(B196="","","FB-"&amp;TEXT(ROW()-4,"000"))</f>
        <v>0</v>
      </c>
      <c r="C196" s="17">
        <f>IF(B196="","",IFERROR(INDEX('Content Calendar'!$H$5:$H$604,MATCH(B196,'Content Calendar'!$A$5:$A$604,0)),"Not found"))</f>
        <v>0</v>
      </c>
      <c r="D196" s="16">
        <f>IF(B196="","",IFERROR(INDEX('Content Calendar'!$B$5:$B$604,MATCH(B196,'Content Calendar'!$A$5:$A$604,0)),"Not found"))</f>
        <v>0</v>
      </c>
      <c r="E196" s="17">
        <f>IF(B196="","",IFERROR(INDEX('Content Calendar'!$J$5:$J$604,MATCH(B196,'Content Calendar'!$A$5:$A$604,0)),"Not found"))</f>
        <v>0</v>
      </c>
      <c r="F196" s="29">
        <f>IF(B196="","",IFERROR(INDEX('Content Calendar'!$X$5:$X$604,MATCH(B196,'Content Calendar'!$A$5:$A$604,0)),"Not found"))</f>
        <v>0</v>
      </c>
      <c r="P196" s="23">
        <f>IF(B196="","",IF(COUNTIF(Performance!$B$5:$B$404,B196)=0,"",SUMIFS(Performance!$O$5:$O$404,Performance!$B$5:$B$404,B196)))</f>
        <v>0</v>
      </c>
      <c r="Q196" s="23">
        <f>IF(B196="","",IF(COUNTIF(Performance!$B$5:$B$404,B196)=0,"",SUMIFS(Performance!$P$5:$P$404,Performance!$B$5:$B$404,B196)))</f>
        <v>0</v>
      </c>
      <c r="R196" s="23">
        <f>IF(B196="","",IF(COUNTIF(Performance!$B$5:$B$404,B196)=0,"",SUMIFS(Performance!$Z$5:$Z$404,Performance!$B$5:$B$404,B196)))</f>
        <v>0</v>
      </c>
      <c r="S196" s="24">
        <f>IF(OR(P196="",P196=0),"",R196/P196)</f>
        <v>0</v>
      </c>
      <c r="T196" s="23">
        <f>IF(B196="","",IF(COUNTIF(Performance!$B$5:$B$404,B196)=0,"",SUMIFS(Performance!$T$5:$T$404,Performance!$B$5:$B$404,B196)))</f>
        <v>0</v>
      </c>
      <c r="U196" s="23">
        <f>IF(B196="","",IF(COUNTIF(Performance!$B$5:$B$404,B196)=0,"",SUMIFS(Performance!$S$5:$S$404,Performance!$B$5:$B$404,B196)))</f>
        <v>0</v>
      </c>
      <c r="V196" s="23">
        <f>IF(B196="","",IF(COUNTIF(Performance!$B$5:$B$404,B196)=0,"",SUMIFS(Performance!$R$5:$R$404,Performance!$B$5:$B$404,B196)))</f>
        <v>0</v>
      </c>
      <c r="W196" s="23">
        <f>IF(B196="","",IF(COUNTIF(Performance!$B$5:$B$404,B196)=0,"",SUMIFS(Performance!$U$5:$U$404,Performance!$B$5:$B$404,B196)))</f>
        <v>0</v>
      </c>
      <c r="X196" s="29">
        <f>IF(B196="","",IF(C196="Not found","Check - content ID not on the calendar",IF(AND(J196="",G196&lt;&gt;"Photo"),"Add - no link on a link post",IF(AND(P196&lt;&gt;"",S196&lt;TargetEngagement),"Review - below your target rate","OK"))))</f>
        <v>0</v>
      </c>
    </row>
    <row r="197" spans="1:24">
      <c r="A197" s="41">
        <f>IF(B197="","","FB-"&amp;TEXT(ROW()-4,"000"))</f>
        <v>0</v>
      </c>
      <c r="C197" s="17">
        <f>IF(B197="","",IFERROR(INDEX('Content Calendar'!$H$5:$H$604,MATCH(B197,'Content Calendar'!$A$5:$A$604,0)),"Not found"))</f>
        <v>0</v>
      </c>
      <c r="D197" s="16">
        <f>IF(B197="","",IFERROR(INDEX('Content Calendar'!$B$5:$B$604,MATCH(B197,'Content Calendar'!$A$5:$A$604,0)),"Not found"))</f>
        <v>0</v>
      </c>
      <c r="E197" s="17">
        <f>IF(B197="","",IFERROR(INDEX('Content Calendar'!$J$5:$J$604,MATCH(B197,'Content Calendar'!$A$5:$A$604,0)),"Not found"))</f>
        <v>0</v>
      </c>
      <c r="F197" s="29">
        <f>IF(B197="","",IFERROR(INDEX('Content Calendar'!$X$5:$X$604,MATCH(B197,'Content Calendar'!$A$5:$A$604,0)),"Not found"))</f>
        <v>0</v>
      </c>
      <c r="P197" s="23">
        <f>IF(B197="","",IF(COUNTIF(Performance!$B$5:$B$404,B197)=0,"",SUMIFS(Performance!$O$5:$O$404,Performance!$B$5:$B$404,B197)))</f>
        <v>0</v>
      </c>
      <c r="Q197" s="23">
        <f>IF(B197="","",IF(COUNTIF(Performance!$B$5:$B$404,B197)=0,"",SUMIFS(Performance!$P$5:$P$404,Performance!$B$5:$B$404,B197)))</f>
        <v>0</v>
      </c>
      <c r="R197" s="23">
        <f>IF(B197="","",IF(COUNTIF(Performance!$B$5:$B$404,B197)=0,"",SUMIFS(Performance!$Z$5:$Z$404,Performance!$B$5:$B$404,B197)))</f>
        <v>0</v>
      </c>
      <c r="S197" s="24">
        <f>IF(OR(P197="",P197=0),"",R197/P197)</f>
        <v>0</v>
      </c>
      <c r="T197" s="23">
        <f>IF(B197="","",IF(COUNTIF(Performance!$B$5:$B$404,B197)=0,"",SUMIFS(Performance!$T$5:$T$404,Performance!$B$5:$B$404,B197)))</f>
        <v>0</v>
      </c>
      <c r="U197" s="23">
        <f>IF(B197="","",IF(COUNTIF(Performance!$B$5:$B$404,B197)=0,"",SUMIFS(Performance!$S$5:$S$404,Performance!$B$5:$B$404,B197)))</f>
        <v>0</v>
      </c>
      <c r="V197" s="23">
        <f>IF(B197="","",IF(COUNTIF(Performance!$B$5:$B$404,B197)=0,"",SUMIFS(Performance!$R$5:$R$404,Performance!$B$5:$B$404,B197)))</f>
        <v>0</v>
      </c>
      <c r="W197" s="23">
        <f>IF(B197="","",IF(COUNTIF(Performance!$B$5:$B$404,B197)=0,"",SUMIFS(Performance!$U$5:$U$404,Performance!$B$5:$B$404,B197)))</f>
        <v>0</v>
      </c>
      <c r="X197" s="29">
        <f>IF(B197="","",IF(C197="Not found","Check - content ID not on the calendar",IF(AND(J197="",G197&lt;&gt;"Photo"),"Add - no link on a link post",IF(AND(P197&lt;&gt;"",S197&lt;TargetEngagement),"Review - below your target rate","OK"))))</f>
        <v>0</v>
      </c>
    </row>
    <row r="198" spans="1:24">
      <c r="A198" s="41">
        <f>IF(B198="","","FB-"&amp;TEXT(ROW()-4,"000"))</f>
        <v>0</v>
      </c>
      <c r="C198" s="17">
        <f>IF(B198="","",IFERROR(INDEX('Content Calendar'!$H$5:$H$604,MATCH(B198,'Content Calendar'!$A$5:$A$604,0)),"Not found"))</f>
        <v>0</v>
      </c>
      <c r="D198" s="16">
        <f>IF(B198="","",IFERROR(INDEX('Content Calendar'!$B$5:$B$604,MATCH(B198,'Content Calendar'!$A$5:$A$604,0)),"Not found"))</f>
        <v>0</v>
      </c>
      <c r="E198" s="17">
        <f>IF(B198="","",IFERROR(INDEX('Content Calendar'!$J$5:$J$604,MATCH(B198,'Content Calendar'!$A$5:$A$604,0)),"Not found"))</f>
        <v>0</v>
      </c>
      <c r="F198" s="29">
        <f>IF(B198="","",IFERROR(INDEX('Content Calendar'!$X$5:$X$604,MATCH(B198,'Content Calendar'!$A$5:$A$604,0)),"Not found"))</f>
        <v>0</v>
      </c>
      <c r="P198" s="23">
        <f>IF(B198="","",IF(COUNTIF(Performance!$B$5:$B$404,B198)=0,"",SUMIFS(Performance!$O$5:$O$404,Performance!$B$5:$B$404,B198)))</f>
        <v>0</v>
      </c>
      <c r="Q198" s="23">
        <f>IF(B198="","",IF(COUNTIF(Performance!$B$5:$B$404,B198)=0,"",SUMIFS(Performance!$P$5:$P$404,Performance!$B$5:$B$404,B198)))</f>
        <v>0</v>
      </c>
      <c r="R198" s="23">
        <f>IF(B198="","",IF(COUNTIF(Performance!$B$5:$B$404,B198)=0,"",SUMIFS(Performance!$Z$5:$Z$404,Performance!$B$5:$B$404,B198)))</f>
        <v>0</v>
      </c>
      <c r="S198" s="24">
        <f>IF(OR(P198="",P198=0),"",R198/P198)</f>
        <v>0</v>
      </c>
      <c r="T198" s="23">
        <f>IF(B198="","",IF(COUNTIF(Performance!$B$5:$B$404,B198)=0,"",SUMIFS(Performance!$T$5:$T$404,Performance!$B$5:$B$404,B198)))</f>
        <v>0</v>
      </c>
      <c r="U198" s="23">
        <f>IF(B198="","",IF(COUNTIF(Performance!$B$5:$B$404,B198)=0,"",SUMIFS(Performance!$S$5:$S$404,Performance!$B$5:$B$404,B198)))</f>
        <v>0</v>
      </c>
      <c r="V198" s="23">
        <f>IF(B198="","",IF(COUNTIF(Performance!$B$5:$B$404,B198)=0,"",SUMIFS(Performance!$R$5:$R$404,Performance!$B$5:$B$404,B198)))</f>
        <v>0</v>
      </c>
      <c r="W198" s="23">
        <f>IF(B198="","",IF(COUNTIF(Performance!$B$5:$B$404,B198)=0,"",SUMIFS(Performance!$U$5:$U$404,Performance!$B$5:$B$404,B198)))</f>
        <v>0</v>
      </c>
      <c r="X198" s="29">
        <f>IF(B198="","",IF(C198="Not found","Check - content ID not on the calendar",IF(AND(J198="",G198&lt;&gt;"Photo"),"Add - no link on a link post",IF(AND(P198&lt;&gt;"",S198&lt;TargetEngagement),"Review - below your target rate","OK"))))</f>
        <v>0</v>
      </c>
    </row>
    <row r="199" spans="1:24">
      <c r="A199" s="41">
        <f>IF(B199="","","FB-"&amp;TEXT(ROW()-4,"000"))</f>
        <v>0</v>
      </c>
      <c r="C199" s="17">
        <f>IF(B199="","",IFERROR(INDEX('Content Calendar'!$H$5:$H$604,MATCH(B199,'Content Calendar'!$A$5:$A$604,0)),"Not found"))</f>
        <v>0</v>
      </c>
      <c r="D199" s="16">
        <f>IF(B199="","",IFERROR(INDEX('Content Calendar'!$B$5:$B$604,MATCH(B199,'Content Calendar'!$A$5:$A$604,0)),"Not found"))</f>
        <v>0</v>
      </c>
      <c r="E199" s="17">
        <f>IF(B199="","",IFERROR(INDEX('Content Calendar'!$J$5:$J$604,MATCH(B199,'Content Calendar'!$A$5:$A$604,0)),"Not found"))</f>
        <v>0</v>
      </c>
      <c r="F199" s="29">
        <f>IF(B199="","",IFERROR(INDEX('Content Calendar'!$X$5:$X$604,MATCH(B199,'Content Calendar'!$A$5:$A$604,0)),"Not found"))</f>
        <v>0</v>
      </c>
      <c r="P199" s="23">
        <f>IF(B199="","",IF(COUNTIF(Performance!$B$5:$B$404,B199)=0,"",SUMIFS(Performance!$O$5:$O$404,Performance!$B$5:$B$404,B199)))</f>
        <v>0</v>
      </c>
      <c r="Q199" s="23">
        <f>IF(B199="","",IF(COUNTIF(Performance!$B$5:$B$404,B199)=0,"",SUMIFS(Performance!$P$5:$P$404,Performance!$B$5:$B$404,B199)))</f>
        <v>0</v>
      </c>
      <c r="R199" s="23">
        <f>IF(B199="","",IF(COUNTIF(Performance!$B$5:$B$404,B199)=0,"",SUMIFS(Performance!$Z$5:$Z$404,Performance!$B$5:$B$404,B199)))</f>
        <v>0</v>
      </c>
      <c r="S199" s="24">
        <f>IF(OR(P199="",P199=0),"",R199/P199)</f>
        <v>0</v>
      </c>
      <c r="T199" s="23">
        <f>IF(B199="","",IF(COUNTIF(Performance!$B$5:$B$404,B199)=0,"",SUMIFS(Performance!$T$5:$T$404,Performance!$B$5:$B$404,B199)))</f>
        <v>0</v>
      </c>
      <c r="U199" s="23">
        <f>IF(B199="","",IF(COUNTIF(Performance!$B$5:$B$404,B199)=0,"",SUMIFS(Performance!$S$5:$S$404,Performance!$B$5:$B$404,B199)))</f>
        <v>0</v>
      </c>
      <c r="V199" s="23">
        <f>IF(B199="","",IF(COUNTIF(Performance!$B$5:$B$404,B199)=0,"",SUMIFS(Performance!$R$5:$R$404,Performance!$B$5:$B$404,B199)))</f>
        <v>0</v>
      </c>
      <c r="W199" s="23">
        <f>IF(B199="","",IF(COUNTIF(Performance!$B$5:$B$404,B199)=0,"",SUMIFS(Performance!$U$5:$U$404,Performance!$B$5:$B$404,B199)))</f>
        <v>0</v>
      </c>
      <c r="X199" s="29">
        <f>IF(B199="","",IF(C199="Not found","Check - content ID not on the calendar",IF(AND(J199="",G199&lt;&gt;"Photo"),"Add - no link on a link post",IF(AND(P199&lt;&gt;"",S199&lt;TargetEngagement),"Review - below your target rate","OK"))))</f>
        <v>0</v>
      </c>
    </row>
    <row r="200" spans="1:24">
      <c r="A200" s="41">
        <f>IF(B200="","","FB-"&amp;TEXT(ROW()-4,"000"))</f>
        <v>0</v>
      </c>
      <c r="C200" s="17">
        <f>IF(B200="","",IFERROR(INDEX('Content Calendar'!$H$5:$H$604,MATCH(B200,'Content Calendar'!$A$5:$A$604,0)),"Not found"))</f>
        <v>0</v>
      </c>
      <c r="D200" s="16">
        <f>IF(B200="","",IFERROR(INDEX('Content Calendar'!$B$5:$B$604,MATCH(B200,'Content Calendar'!$A$5:$A$604,0)),"Not found"))</f>
        <v>0</v>
      </c>
      <c r="E200" s="17">
        <f>IF(B200="","",IFERROR(INDEX('Content Calendar'!$J$5:$J$604,MATCH(B200,'Content Calendar'!$A$5:$A$604,0)),"Not found"))</f>
        <v>0</v>
      </c>
      <c r="F200" s="29">
        <f>IF(B200="","",IFERROR(INDEX('Content Calendar'!$X$5:$X$604,MATCH(B200,'Content Calendar'!$A$5:$A$604,0)),"Not found"))</f>
        <v>0</v>
      </c>
      <c r="P200" s="23">
        <f>IF(B200="","",IF(COUNTIF(Performance!$B$5:$B$404,B200)=0,"",SUMIFS(Performance!$O$5:$O$404,Performance!$B$5:$B$404,B200)))</f>
        <v>0</v>
      </c>
      <c r="Q200" s="23">
        <f>IF(B200="","",IF(COUNTIF(Performance!$B$5:$B$404,B200)=0,"",SUMIFS(Performance!$P$5:$P$404,Performance!$B$5:$B$404,B200)))</f>
        <v>0</v>
      </c>
      <c r="R200" s="23">
        <f>IF(B200="","",IF(COUNTIF(Performance!$B$5:$B$404,B200)=0,"",SUMIFS(Performance!$Z$5:$Z$404,Performance!$B$5:$B$404,B200)))</f>
        <v>0</v>
      </c>
      <c r="S200" s="24">
        <f>IF(OR(P200="",P200=0),"",R200/P200)</f>
        <v>0</v>
      </c>
      <c r="T200" s="23">
        <f>IF(B200="","",IF(COUNTIF(Performance!$B$5:$B$404,B200)=0,"",SUMIFS(Performance!$T$5:$T$404,Performance!$B$5:$B$404,B200)))</f>
        <v>0</v>
      </c>
      <c r="U200" s="23">
        <f>IF(B200="","",IF(COUNTIF(Performance!$B$5:$B$404,B200)=0,"",SUMIFS(Performance!$S$5:$S$404,Performance!$B$5:$B$404,B200)))</f>
        <v>0</v>
      </c>
      <c r="V200" s="23">
        <f>IF(B200="","",IF(COUNTIF(Performance!$B$5:$B$404,B200)=0,"",SUMIFS(Performance!$R$5:$R$404,Performance!$B$5:$B$404,B200)))</f>
        <v>0</v>
      </c>
      <c r="W200" s="23">
        <f>IF(B200="","",IF(COUNTIF(Performance!$B$5:$B$404,B200)=0,"",SUMIFS(Performance!$U$5:$U$404,Performance!$B$5:$B$404,B200)))</f>
        <v>0</v>
      </c>
      <c r="X200" s="29">
        <f>IF(B200="","",IF(C200="Not found","Check - content ID not on the calendar",IF(AND(J200="",G200&lt;&gt;"Photo"),"Add - no link on a link post",IF(AND(P200&lt;&gt;"",S200&lt;TargetEngagement),"Review - below your target rate","OK"))))</f>
        <v>0</v>
      </c>
    </row>
    <row r="201" spans="1:24">
      <c r="A201" s="41">
        <f>IF(B201="","","FB-"&amp;TEXT(ROW()-4,"000"))</f>
        <v>0</v>
      </c>
      <c r="C201" s="17">
        <f>IF(B201="","",IFERROR(INDEX('Content Calendar'!$H$5:$H$604,MATCH(B201,'Content Calendar'!$A$5:$A$604,0)),"Not found"))</f>
        <v>0</v>
      </c>
      <c r="D201" s="16">
        <f>IF(B201="","",IFERROR(INDEX('Content Calendar'!$B$5:$B$604,MATCH(B201,'Content Calendar'!$A$5:$A$604,0)),"Not found"))</f>
        <v>0</v>
      </c>
      <c r="E201" s="17">
        <f>IF(B201="","",IFERROR(INDEX('Content Calendar'!$J$5:$J$604,MATCH(B201,'Content Calendar'!$A$5:$A$604,0)),"Not found"))</f>
        <v>0</v>
      </c>
      <c r="F201" s="29">
        <f>IF(B201="","",IFERROR(INDEX('Content Calendar'!$X$5:$X$604,MATCH(B201,'Content Calendar'!$A$5:$A$604,0)),"Not found"))</f>
        <v>0</v>
      </c>
      <c r="P201" s="23">
        <f>IF(B201="","",IF(COUNTIF(Performance!$B$5:$B$404,B201)=0,"",SUMIFS(Performance!$O$5:$O$404,Performance!$B$5:$B$404,B201)))</f>
        <v>0</v>
      </c>
      <c r="Q201" s="23">
        <f>IF(B201="","",IF(COUNTIF(Performance!$B$5:$B$404,B201)=0,"",SUMIFS(Performance!$P$5:$P$404,Performance!$B$5:$B$404,B201)))</f>
        <v>0</v>
      </c>
      <c r="R201" s="23">
        <f>IF(B201="","",IF(COUNTIF(Performance!$B$5:$B$404,B201)=0,"",SUMIFS(Performance!$Z$5:$Z$404,Performance!$B$5:$B$404,B201)))</f>
        <v>0</v>
      </c>
      <c r="S201" s="24">
        <f>IF(OR(P201="",P201=0),"",R201/P201)</f>
        <v>0</v>
      </c>
      <c r="T201" s="23">
        <f>IF(B201="","",IF(COUNTIF(Performance!$B$5:$B$404,B201)=0,"",SUMIFS(Performance!$T$5:$T$404,Performance!$B$5:$B$404,B201)))</f>
        <v>0</v>
      </c>
      <c r="U201" s="23">
        <f>IF(B201="","",IF(COUNTIF(Performance!$B$5:$B$404,B201)=0,"",SUMIFS(Performance!$S$5:$S$404,Performance!$B$5:$B$404,B201)))</f>
        <v>0</v>
      </c>
      <c r="V201" s="23">
        <f>IF(B201="","",IF(COUNTIF(Performance!$B$5:$B$404,B201)=0,"",SUMIFS(Performance!$R$5:$R$404,Performance!$B$5:$B$404,B201)))</f>
        <v>0</v>
      </c>
      <c r="W201" s="23">
        <f>IF(B201="","",IF(COUNTIF(Performance!$B$5:$B$404,B201)=0,"",SUMIFS(Performance!$U$5:$U$404,Performance!$B$5:$B$404,B201)))</f>
        <v>0</v>
      </c>
      <c r="X201" s="29">
        <f>IF(B201="","",IF(C201="Not found","Check - content ID not on the calendar",IF(AND(J201="",G201&lt;&gt;"Photo"),"Add - no link on a link post",IF(AND(P201&lt;&gt;"",S201&lt;TargetEngagement),"Review - below your target rate","OK"))))</f>
        <v>0</v>
      </c>
    </row>
    <row r="202" spans="1:24">
      <c r="A202" s="41">
        <f>IF(B202="","","FB-"&amp;TEXT(ROW()-4,"000"))</f>
        <v>0</v>
      </c>
      <c r="C202" s="17">
        <f>IF(B202="","",IFERROR(INDEX('Content Calendar'!$H$5:$H$604,MATCH(B202,'Content Calendar'!$A$5:$A$604,0)),"Not found"))</f>
        <v>0</v>
      </c>
      <c r="D202" s="16">
        <f>IF(B202="","",IFERROR(INDEX('Content Calendar'!$B$5:$B$604,MATCH(B202,'Content Calendar'!$A$5:$A$604,0)),"Not found"))</f>
        <v>0</v>
      </c>
      <c r="E202" s="17">
        <f>IF(B202="","",IFERROR(INDEX('Content Calendar'!$J$5:$J$604,MATCH(B202,'Content Calendar'!$A$5:$A$604,0)),"Not found"))</f>
        <v>0</v>
      </c>
      <c r="F202" s="29">
        <f>IF(B202="","",IFERROR(INDEX('Content Calendar'!$X$5:$X$604,MATCH(B202,'Content Calendar'!$A$5:$A$604,0)),"Not found"))</f>
        <v>0</v>
      </c>
      <c r="P202" s="23">
        <f>IF(B202="","",IF(COUNTIF(Performance!$B$5:$B$404,B202)=0,"",SUMIFS(Performance!$O$5:$O$404,Performance!$B$5:$B$404,B202)))</f>
        <v>0</v>
      </c>
      <c r="Q202" s="23">
        <f>IF(B202="","",IF(COUNTIF(Performance!$B$5:$B$404,B202)=0,"",SUMIFS(Performance!$P$5:$P$404,Performance!$B$5:$B$404,B202)))</f>
        <v>0</v>
      </c>
      <c r="R202" s="23">
        <f>IF(B202="","",IF(COUNTIF(Performance!$B$5:$B$404,B202)=0,"",SUMIFS(Performance!$Z$5:$Z$404,Performance!$B$5:$B$404,B202)))</f>
        <v>0</v>
      </c>
      <c r="S202" s="24">
        <f>IF(OR(P202="",P202=0),"",R202/P202)</f>
        <v>0</v>
      </c>
      <c r="T202" s="23">
        <f>IF(B202="","",IF(COUNTIF(Performance!$B$5:$B$404,B202)=0,"",SUMIFS(Performance!$T$5:$T$404,Performance!$B$5:$B$404,B202)))</f>
        <v>0</v>
      </c>
      <c r="U202" s="23">
        <f>IF(B202="","",IF(COUNTIF(Performance!$B$5:$B$404,B202)=0,"",SUMIFS(Performance!$S$5:$S$404,Performance!$B$5:$B$404,B202)))</f>
        <v>0</v>
      </c>
      <c r="V202" s="23">
        <f>IF(B202="","",IF(COUNTIF(Performance!$B$5:$B$404,B202)=0,"",SUMIFS(Performance!$R$5:$R$404,Performance!$B$5:$B$404,B202)))</f>
        <v>0</v>
      </c>
      <c r="W202" s="23">
        <f>IF(B202="","",IF(COUNTIF(Performance!$B$5:$B$404,B202)=0,"",SUMIFS(Performance!$U$5:$U$404,Performance!$B$5:$B$404,B202)))</f>
        <v>0</v>
      </c>
      <c r="X202" s="29">
        <f>IF(B202="","",IF(C202="Not found","Check - content ID not on the calendar",IF(AND(J202="",G202&lt;&gt;"Photo"),"Add - no link on a link post",IF(AND(P202&lt;&gt;"",S202&lt;TargetEngagement),"Review - below your target rate","OK"))))</f>
        <v>0</v>
      </c>
    </row>
    <row r="203" spans="1:24">
      <c r="A203" s="41">
        <f>IF(B203="","","FB-"&amp;TEXT(ROW()-4,"000"))</f>
        <v>0</v>
      </c>
      <c r="C203" s="17">
        <f>IF(B203="","",IFERROR(INDEX('Content Calendar'!$H$5:$H$604,MATCH(B203,'Content Calendar'!$A$5:$A$604,0)),"Not found"))</f>
        <v>0</v>
      </c>
      <c r="D203" s="16">
        <f>IF(B203="","",IFERROR(INDEX('Content Calendar'!$B$5:$B$604,MATCH(B203,'Content Calendar'!$A$5:$A$604,0)),"Not found"))</f>
        <v>0</v>
      </c>
      <c r="E203" s="17">
        <f>IF(B203="","",IFERROR(INDEX('Content Calendar'!$J$5:$J$604,MATCH(B203,'Content Calendar'!$A$5:$A$604,0)),"Not found"))</f>
        <v>0</v>
      </c>
      <c r="F203" s="29">
        <f>IF(B203="","",IFERROR(INDEX('Content Calendar'!$X$5:$X$604,MATCH(B203,'Content Calendar'!$A$5:$A$604,0)),"Not found"))</f>
        <v>0</v>
      </c>
      <c r="P203" s="23">
        <f>IF(B203="","",IF(COUNTIF(Performance!$B$5:$B$404,B203)=0,"",SUMIFS(Performance!$O$5:$O$404,Performance!$B$5:$B$404,B203)))</f>
        <v>0</v>
      </c>
      <c r="Q203" s="23">
        <f>IF(B203="","",IF(COUNTIF(Performance!$B$5:$B$404,B203)=0,"",SUMIFS(Performance!$P$5:$P$404,Performance!$B$5:$B$404,B203)))</f>
        <v>0</v>
      </c>
      <c r="R203" s="23">
        <f>IF(B203="","",IF(COUNTIF(Performance!$B$5:$B$404,B203)=0,"",SUMIFS(Performance!$Z$5:$Z$404,Performance!$B$5:$B$404,B203)))</f>
        <v>0</v>
      </c>
      <c r="S203" s="24">
        <f>IF(OR(P203="",P203=0),"",R203/P203)</f>
        <v>0</v>
      </c>
      <c r="T203" s="23">
        <f>IF(B203="","",IF(COUNTIF(Performance!$B$5:$B$404,B203)=0,"",SUMIFS(Performance!$T$5:$T$404,Performance!$B$5:$B$404,B203)))</f>
        <v>0</v>
      </c>
      <c r="U203" s="23">
        <f>IF(B203="","",IF(COUNTIF(Performance!$B$5:$B$404,B203)=0,"",SUMIFS(Performance!$S$5:$S$404,Performance!$B$5:$B$404,B203)))</f>
        <v>0</v>
      </c>
      <c r="V203" s="23">
        <f>IF(B203="","",IF(COUNTIF(Performance!$B$5:$B$404,B203)=0,"",SUMIFS(Performance!$R$5:$R$404,Performance!$B$5:$B$404,B203)))</f>
        <v>0</v>
      </c>
      <c r="W203" s="23">
        <f>IF(B203="","",IF(COUNTIF(Performance!$B$5:$B$404,B203)=0,"",SUMIFS(Performance!$U$5:$U$404,Performance!$B$5:$B$404,B203)))</f>
        <v>0</v>
      </c>
      <c r="X203" s="29">
        <f>IF(B203="","",IF(C203="Not found","Check - content ID not on the calendar",IF(AND(J203="",G203&lt;&gt;"Photo"),"Add - no link on a link post",IF(AND(P203&lt;&gt;"",S203&lt;TargetEngagement),"Review - below your target rate","OK"))))</f>
        <v>0</v>
      </c>
    </row>
    <row r="204" spans="1:24">
      <c r="A204" s="41">
        <f>IF(B204="","","FB-"&amp;TEXT(ROW()-4,"000"))</f>
        <v>0</v>
      </c>
      <c r="C204" s="17">
        <f>IF(B204="","",IFERROR(INDEX('Content Calendar'!$H$5:$H$604,MATCH(B204,'Content Calendar'!$A$5:$A$604,0)),"Not found"))</f>
        <v>0</v>
      </c>
      <c r="D204" s="16">
        <f>IF(B204="","",IFERROR(INDEX('Content Calendar'!$B$5:$B$604,MATCH(B204,'Content Calendar'!$A$5:$A$604,0)),"Not found"))</f>
        <v>0</v>
      </c>
      <c r="E204" s="17">
        <f>IF(B204="","",IFERROR(INDEX('Content Calendar'!$J$5:$J$604,MATCH(B204,'Content Calendar'!$A$5:$A$604,0)),"Not found"))</f>
        <v>0</v>
      </c>
      <c r="F204" s="29">
        <f>IF(B204="","",IFERROR(INDEX('Content Calendar'!$X$5:$X$604,MATCH(B204,'Content Calendar'!$A$5:$A$604,0)),"Not found"))</f>
        <v>0</v>
      </c>
      <c r="P204" s="23">
        <f>IF(B204="","",IF(COUNTIF(Performance!$B$5:$B$404,B204)=0,"",SUMIFS(Performance!$O$5:$O$404,Performance!$B$5:$B$404,B204)))</f>
        <v>0</v>
      </c>
      <c r="Q204" s="23">
        <f>IF(B204="","",IF(COUNTIF(Performance!$B$5:$B$404,B204)=0,"",SUMIFS(Performance!$P$5:$P$404,Performance!$B$5:$B$404,B204)))</f>
        <v>0</v>
      </c>
      <c r="R204" s="23">
        <f>IF(B204="","",IF(COUNTIF(Performance!$B$5:$B$404,B204)=0,"",SUMIFS(Performance!$Z$5:$Z$404,Performance!$B$5:$B$404,B204)))</f>
        <v>0</v>
      </c>
      <c r="S204" s="24">
        <f>IF(OR(P204="",P204=0),"",R204/P204)</f>
        <v>0</v>
      </c>
      <c r="T204" s="23">
        <f>IF(B204="","",IF(COUNTIF(Performance!$B$5:$B$404,B204)=0,"",SUMIFS(Performance!$T$5:$T$404,Performance!$B$5:$B$404,B204)))</f>
        <v>0</v>
      </c>
      <c r="U204" s="23">
        <f>IF(B204="","",IF(COUNTIF(Performance!$B$5:$B$404,B204)=0,"",SUMIFS(Performance!$S$5:$S$404,Performance!$B$5:$B$404,B204)))</f>
        <v>0</v>
      </c>
      <c r="V204" s="23">
        <f>IF(B204="","",IF(COUNTIF(Performance!$B$5:$B$404,B204)=0,"",SUMIFS(Performance!$R$5:$R$404,Performance!$B$5:$B$404,B204)))</f>
        <v>0</v>
      </c>
      <c r="W204" s="23">
        <f>IF(B204="","",IF(COUNTIF(Performance!$B$5:$B$404,B204)=0,"",SUMIFS(Performance!$U$5:$U$404,Performance!$B$5:$B$404,B204)))</f>
        <v>0</v>
      </c>
      <c r="X204" s="29">
        <f>IF(B204="","",IF(C204="Not found","Check - content ID not on the calendar",IF(AND(J204="",G204&lt;&gt;"Photo"),"Add - no link on a link post",IF(AND(P204&lt;&gt;"",S204&lt;TargetEngagement),"Review - below your target rate","OK"))))</f>
        <v>0</v>
      </c>
    </row>
  </sheetData>
  <sheetProtection password="EC7C" sheet="1" objects="1" scenarios="1" formatCells="0" formatColumns="0" formatRows="0" insertRows="0" insertHyperlinks="0" deleteRows="0" autoFilter="0"/>
  <autoFilter ref="A4:Y204"/>
  <mergeCells count="13">
    <mergeCell ref="A1:V1"/>
    <mergeCell ref="W1:Y1"/>
    <mergeCell ref="A2:Y2"/>
    <mergeCell ref="A3:B3"/>
    <mergeCell ref="C3:D3"/>
    <mergeCell ref="E3:F3"/>
    <mergeCell ref="G3:H3"/>
    <mergeCell ref="I3:J3"/>
    <mergeCell ref="K3:L3"/>
    <mergeCell ref="M3:N3"/>
    <mergeCell ref="O3:P3"/>
    <mergeCell ref="Q3:R3"/>
    <mergeCell ref="S3:Y3"/>
  </mergeCells>
  <conditionalFormatting sqref="P5:P204">
    <cfRule type="dataBar" priority="1">
      <dataBar>
        <cfvo type="min" val="0"/>
        <cfvo type="max" val="0"/>
        <color rgb="FF6350A8"/>
      </dataBar>
    </cfRule>
  </conditionalFormatting>
  <conditionalFormatting sqref="S5:S204">
    <cfRule type="cellIs" dxfId="0" priority="2" operator="greaterThanOrEqual">
      <formula>TargetEngagement</formula>
    </cfRule>
    <cfRule type="cellIs" dxfId="2" priority="3" operator="lessThan">
      <formula>TargetEngagement</formula>
    </cfRule>
  </conditionalFormatting>
  <conditionalFormatting sqref="X5:X204">
    <cfRule type="beginsWith" dxfId="0" priority="4" operator="beginsWith" text="OK">
      <formula>LEFT(X5,2)="OK"</formula>
    </cfRule>
    <cfRule type="containsText" dxfId="1" priority="5" operator="containsText" text="Overdue">
      <formula>NOT(ISERROR(SEARCH("Overdue",X5)))</formula>
    </cfRule>
    <cfRule type="containsText" dxfId="1" priority="6" operator="containsText" text="Late">
      <formula>NOT(ISERROR(SEARCH("Late",X5)))</formula>
    </cfRule>
    <cfRule type="containsText" dxfId="1" priority="7" operator="containsText" text="Missing">
      <formula>NOT(ISERROR(SEARCH("Missing",X5)))</formula>
    </cfRule>
    <cfRule type="containsText" dxfId="1" priority="8" operator="containsText" text="Conflict">
      <formula>NOT(ISERROR(SEARCH("Conflict",X5)))</formula>
    </cfRule>
    <cfRule type="containsText" dxfId="1" priority="9" operator="containsText" text="Expired">
      <formula>NOT(ISERROR(SEARCH("Expired",X5)))</formula>
    </cfRule>
    <cfRule type="containsText" dxfId="1" priority="10" operator="containsText" text="Duplicate">
      <formula>NOT(ISERROR(SEARCH("Duplicate",X5)))</formula>
    </cfRule>
    <cfRule type="containsText" dxfId="2" priority="11" operator="containsText" text="Action">
      <formula>NOT(ISERROR(SEARCH("Action",X5)))</formula>
    </cfRule>
    <cfRule type="containsText" dxfId="2" priority="12" operator="containsText" text="Due">
      <formula>NOT(ISERROR(SEARCH("Due",X5)))</formula>
    </cfRule>
    <cfRule type="containsText" dxfId="2" priority="13" operator="containsText" text="Check">
      <formula>NOT(ISERROR(SEARCH("Check",X5)))</formula>
    </cfRule>
    <cfRule type="containsText" dxfId="2" priority="14" operator="containsText" text="Add">
      <formula>NOT(ISERROR(SEARCH("Add",X5)))</formula>
    </cfRule>
    <cfRule type="containsText" dxfId="3" priority="15" operator="containsText" text="Today">
      <formula>NOT(ISERROR(SEARCH("Today",X5)))</formula>
    </cfRule>
    <cfRule type="containsText" dxfId="3" priority="16" operator="containsText" text="Upcoming">
      <formula>NOT(ISERROR(SEARCH("Upcoming",X5)))</formula>
    </cfRule>
  </conditionalFormatting>
  <dataValidations count="6">
    <dataValidation type="list" allowBlank="1" showInputMessage="1" showErrorMessage="1" promptTitle="Content ID" prompt="Pick the C-0000 ID of the Facebook post from the Content Calendar. Everything grey fills itself in." sqref="B5:B204">
      <formula1>ContentIDs</formula1>
    </dataValidation>
    <dataValidation type="list" allowBlank="1" showInputMessage="1" showErrorMessage="1" sqref="G5:G204">
      <formula1>FormatList</formula1>
    </dataValidation>
    <dataValidation type="list" allowBlank="1" showInputMessage="1" showErrorMessage="1" sqref="K5:K204">
      <formula1>"Yes,No"</formula1>
    </dataValidation>
    <dataValidation type="whole" allowBlank="1" showInputMessage="1" showErrorMessage="1" errorTitle="Check the value" error="Enter a number between 0 and 10000000." sqref="M5:M204">
      <formula1>0</formula1>
      <formula2>10000000</formula2>
    </dataValidation>
    <dataValidation type="whole" allowBlank="1" showInputMessage="1" showErrorMessage="1" errorTitle="Check the value" error="Enter a number between 0 and 10000000." sqref="N5:N204">
      <formula1>0</formula1>
      <formula2>10000000</formula2>
    </dataValidation>
    <dataValidation type="whole" allowBlank="1" showInputMessage="1" showErrorMessage="1" errorTitle="Check the value" error="Enter a number between -100000 and 10000000." sqref="O5:O204">
      <formula1>-100000</formula1>
      <formula2>10000000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&amp;L&amp;"Calibri,Bold"&amp;12&amp;C&amp;"Calibri,Bold"&amp;11Facebook&amp;R&amp;"Calibri,Italic"&amp;9Social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1.xml><?xml version="1.0" encoding="utf-8"?>
<worksheet xmlns="http://schemas.openxmlformats.org/spreadsheetml/2006/main" xmlns:r="http://schemas.openxmlformats.org/officeDocument/2006/relationships">
  <sheetPr>
    <tabColor rgb="FFF2665E"/>
    <pageSetUpPr fitToPage="1"/>
  </sheetPr>
  <dimension ref="A1:AK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1" customWidth="1"/>
    <col min="2" max="2" width="24.7109375" style="15" customWidth="1"/>
    <col min="3" max="3" width="15.7109375" style="15" customWidth="1"/>
    <col min="4" max="4" width="34.7109375" style="39" customWidth="1"/>
    <col min="5" max="5" width="22.7109375" style="15" customWidth="1"/>
    <col min="6" max="6" width="18.7109375" style="15" customWidth="1"/>
    <col min="7" max="7" width="30.7109375" style="39" customWidth="1"/>
    <col min="8" max="8" width="22.7109375" style="15" customWidth="1"/>
    <col min="9" max="9" width="12.7109375" style="43" customWidth="1"/>
    <col min="10" max="10" width="12.7109375" style="43" customWidth="1"/>
    <col min="11" max="11" width="16.7109375" style="15" customWidth="1"/>
    <col min="12" max="12" width="20.7109375" style="15" customWidth="1"/>
    <col min="13" max="13" width="26.7109375" style="42" customWidth="1"/>
    <col min="14" max="14" width="18.7109375" style="15" customWidth="1"/>
    <col min="15" max="15" width="28.7109375" style="15" customWidth="1"/>
    <col min="16" max="16" width="12.7109375" style="36" customWidth="1"/>
    <col min="17" max="17" width="12.7109375" style="36" customWidth="1"/>
    <col min="18" max="18" width="9.7109375" style="34" customWidth="1"/>
    <col min="19" max="19" width="12.7109375" style="34" customWidth="1"/>
    <col min="20" max="20" width="13.7109375" style="36" customWidth="1"/>
    <col min="21" max="21" width="13.7109375" style="48" customWidth="1"/>
    <col min="22" max="22" width="11.7109375" style="23" customWidth="1"/>
    <col min="23" max="23" width="11.7109375" style="23" customWidth="1"/>
    <col min="24" max="24" width="10.7109375" style="23" customWidth="1"/>
    <col min="25" max="25" width="12.7109375" style="23" customWidth="1"/>
    <col min="26" max="26" width="12.7109375" style="23" customWidth="1"/>
    <col min="27" max="27" width="12.7109375" style="24" customWidth="1"/>
    <col min="28" max="28" width="9.7109375" style="23" customWidth="1"/>
    <col min="29" max="29" width="12.7109375" style="25" customWidth="1"/>
    <col min="30" max="30" width="11.7109375" style="24" customWidth="1"/>
    <col min="31" max="31" width="12.7109375" style="25" customWidth="1"/>
    <col min="32" max="32" width="12.7109375" style="25" customWidth="1"/>
    <col min="33" max="33" width="11.7109375" style="24" customWidth="1"/>
    <col min="34" max="34" width="12.7109375" style="31" customWidth="1"/>
    <col min="35" max="35" width="13.7109375" style="25" customWidth="1"/>
    <col min="36" max="36" width="28.7109375" style="29" customWidth="1"/>
    <col min="37" max="37" width="26.7109375" style="39" customWidth="1"/>
  </cols>
  <sheetData>
    <row r="1" spans="1:37" ht="34" customHeight="1">
      <c r="A1" s="2" t="s">
        <v>1559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t="s">
        <v>1</v>
      </c>
      <c r="AJ1" s="3"/>
      <c r="AK1" s="3"/>
    </row>
    <row r="2" spans="1:37" ht="18" customHeight="1">
      <c r="A2" s="4" t="s">
        <v>1560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1561</v>
      </c>
      <c r="T3" s="38"/>
      <c r="U3" s="38"/>
      <c r="V3" s="38"/>
      <c r="W3" s="38"/>
      <c r="X3" s="38"/>
      <c r="Y3" s="38"/>
      <c r="Z3" s="38"/>
      <c r="AA3" s="38"/>
      <c r="AB3" s="38"/>
      <c r="AC3" s="38"/>
      <c r="AD3" s="38"/>
      <c r="AE3" s="38"/>
      <c r="AF3" s="38"/>
      <c r="AG3" s="38"/>
      <c r="AH3" s="38"/>
      <c r="AI3" s="38"/>
      <c r="AJ3" s="38"/>
      <c r="AK3" s="38"/>
    </row>
    <row r="4" spans="1:37" ht="30" customHeight="1">
      <c r="A4" s="8" t="s">
        <v>766</v>
      </c>
      <c r="B4" s="8" t="s">
        <v>1562</v>
      </c>
      <c r="C4" s="9" t="s">
        <v>426</v>
      </c>
      <c r="D4" s="9" t="s">
        <v>1563</v>
      </c>
      <c r="E4" s="9" t="s">
        <v>1564</v>
      </c>
      <c r="F4" s="9" t="s">
        <v>1543</v>
      </c>
      <c r="G4" s="9" t="s">
        <v>1182</v>
      </c>
      <c r="H4" s="9" t="s">
        <v>1565</v>
      </c>
      <c r="I4" s="9" t="s">
        <v>1566</v>
      </c>
      <c r="J4" s="9" t="s">
        <v>1567</v>
      </c>
      <c r="K4" s="9" t="s">
        <v>222</v>
      </c>
      <c r="L4" s="9" t="s">
        <v>1568</v>
      </c>
      <c r="M4" s="9" t="s">
        <v>1569</v>
      </c>
      <c r="N4" s="9" t="s">
        <v>437</v>
      </c>
      <c r="O4" s="9" t="s">
        <v>1570</v>
      </c>
      <c r="P4" s="9" t="s">
        <v>97</v>
      </c>
      <c r="Q4" s="9" t="s">
        <v>1571</v>
      </c>
      <c r="R4" s="9" t="s">
        <v>168</v>
      </c>
      <c r="S4" s="9" t="s">
        <v>1572</v>
      </c>
      <c r="T4" s="9" t="s">
        <v>172</v>
      </c>
      <c r="U4" s="9" t="s">
        <v>221</v>
      </c>
      <c r="V4" s="9" t="s">
        <v>1573</v>
      </c>
      <c r="W4" s="9" t="s">
        <v>136</v>
      </c>
      <c r="X4" s="9" t="s">
        <v>138</v>
      </c>
      <c r="Y4" s="9" t="s">
        <v>149</v>
      </c>
      <c r="Z4" s="9" t="s">
        <v>153</v>
      </c>
      <c r="AA4" s="9" t="s">
        <v>155</v>
      </c>
      <c r="AB4" s="9" t="s">
        <v>188</v>
      </c>
      <c r="AC4" s="9" t="s">
        <v>1574</v>
      </c>
      <c r="AD4" s="9" t="s">
        <v>1575</v>
      </c>
      <c r="AE4" s="9" t="s">
        <v>181</v>
      </c>
      <c r="AF4" s="9" t="s">
        <v>1576</v>
      </c>
      <c r="AG4" s="9" t="s">
        <v>1577</v>
      </c>
      <c r="AH4" s="9" t="s">
        <v>179</v>
      </c>
      <c r="AI4" s="9" t="s">
        <v>1578</v>
      </c>
      <c r="AJ4" s="9" t="s">
        <v>787</v>
      </c>
      <c r="AK4" s="9" t="s">
        <v>788</v>
      </c>
    </row>
    <row r="5" spans="1:37">
      <c r="A5" s="41">
        <f>IF(B5="","",CampaignPrefix&amp;TEXT(ROW()-4,"000"))</f>
        <v>0</v>
      </c>
      <c r="B5" s="15" t="s">
        <v>925</v>
      </c>
      <c r="C5" s="15" t="s">
        <v>427</v>
      </c>
      <c r="D5" s="39" t="s">
        <v>1579</v>
      </c>
      <c r="E5" s="15" t="s">
        <v>1580</v>
      </c>
      <c r="F5" s="15" t="s">
        <v>834</v>
      </c>
      <c r="G5" s="39" t="s">
        <v>1581</v>
      </c>
      <c r="H5" s="15" t="s">
        <v>1582</v>
      </c>
      <c r="I5" s="43">
        <v>46246</v>
      </c>
      <c r="J5" s="43">
        <v>46274</v>
      </c>
      <c r="K5" s="15" t="s">
        <v>281</v>
      </c>
      <c r="L5" s="15" t="s">
        <v>205</v>
      </c>
      <c r="M5" s="42" t="s">
        <v>1583</v>
      </c>
      <c r="N5" s="15" t="s">
        <v>438</v>
      </c>
      <c r="O5" s="15" t="s">
        <v>1584</v>
      </c>
      <c r="P5" s="36">
        <v>320</v>
      </c>
      <c r="Q5" s="36">
        <v>286.4</v>
      </c>
      <c r="R5" s="34">
        <v>45</v>
      </c>
      <c r="S5" s="34">
        <v>42</v>
      </c>
      <c r="T5" s="36">
        <v>1946.08</v>
      </c>
      <c r="U5" s="48" t="s">
        <v>502</v>
      </c>
      <c r="V5" s="23">
        <f>IF(OR(I5="",J5=""),"",J5-I5+1)</f>
        <v>0</v>
      </c>
      <c r="W5" s="23">
        <f>IF(B5="","",COUNTIF('Content Calendar'!$L$5:$L$604,B5))</f>
        <v>0</v>
      </c>
      <c r="X5" s="23">
        <f>IF(B5="","",COUNTIFS('Content Calendar'!$L$5:$L$604,B5,'Content Calendar'!$X$5:$X$604,"Published"))</f>
        <v>0</v>
      </c>
      <c r="Y5" s="23">
        <f>IF(B5="","",IF(COUNTIF(Performance!$I$5:$I$404,B5)=0,"",SUMIFS(Performance!$O$5:$O$404,Performance!$I$5:$I$404,B5)))</f>
        <v>0</v>
      </c>
      <c r="Z5" s="23">
        <f>IF(B5="","",IF(COUNTIF(Performance!$I$5:$I$404,B5)=0,"",SUMIFS(Performance!$Z$5:$Z$404,Performance!$I$5:$I$404,B5)))</f>
        <v>0</v>
      </c>
      <c r="AA5" s="24">
        <f>IF(OR(Y5="",Y5=0),"",Z5/Y5)</f>
        <v>0</v>
      </c>
      <c r="AB5" s="23">
        <f>IF(B5="","",IF(COUNTIF(Performance!$I$5:$I$404,B5)=0,"",SUMIFS(Performance!$U$5:$U$404,Performance!$I$5:$I$404,B5)))</f>
        <v>0</v>
      </c>
      <c r="AC5" s="25">
        <f>IF(P5="","",P5-N(Q5))</f>
        <v>0</v>
      </c>
      <c r="AD5" s="24">
        <f>IF(OR(P5="",P5=0),"",N(Q5)/P5)</f>
        <v>0</v>
      </c>
      <c r="AE5" s="25">
        <f>IF(OR(R5="",R5=0),"",N(Q5)/R5)</f>
        <v>0</v>
      </c>
      <c r="AF5" s="25">
        <f>IF(OR(S5="",S5=0),"",N(Q5)/S5)</f>
        <v>0</v>
      </c>
      <c r="AG5" s="24">
        <f>IF(OR(AB5="",AB5=0),"",N(S5)/AB5)</f>
        <v>0</v>
      </c>
      <c r="AH5" s="31">
        <f>IF(OR(Q5="",Q5=0),"",N(T5)/Q5)</f>
        <v>0</v>
      </c>
      <c r="AI5" s="25">
        <f>IF(AND(T5="",Q5=""),"",N(T5)-N(Q5))</f>
        <v>0</v>
      </c>
      <c r="AJ5" s="29">
        <f>IF(B5="","",IF(N(Q5)&gt;N(P5),"Over budget",IF(AND(U5="Running",W5=0),"Action - running with no posts planned",IF(AND(J5&lt;&gt;"",J5&lt;TODAY(),U5="Running"),"Overdue - mark it complete",IF(AND(AH5&lt;&gt;"",AH5&lt;RoasTarget),"Review - return below target","OK")))))</f>
        <v>0</v>
      </c>
      <c r="AK5" s="39" t="s">
        <v>205</v>
      </c>
    </row>
    <row r="6" spans="1:37">
      <c r="A6" s="41">
        <f>IF(B6="","",CampaignPrefix&amp;TEXT(ROW()-4,"000"))</f>
        <v>0</v>
      </c>
      <c r="B6" s="15" t="s">
        <v>1011</v>
      </c>
      <c r="C6" s="15" t="s">
        <v>170</v>
      </c>
      <c r="D6" s="39" t="s">
        <v>1585</v>
      </c>
      <c r="E6" s="15" t="s">
        <v>1586</v>
      </c>
      <c r="F6" s="15" t="s">
        <v>849</v>
      </c>
      <c r="G6" s="39" t="s">
        <v>1581</v>
      </c>
      <c r="H6" s="15" t="s">
        <v>1582</v>
      </c>
      <c r="I6" s="43">
        <v>46275</v>
      </c>
      <c r="J6" s="43">
        <v>46294</v>
      </c>
      <c r="K6" s="15" t="s">
        <v>281</v>
      </c>
      <c r="L6" s="15" t="s">
        <v>1587</v>
      </c>
      <c r="M6" s="42" t="s">
        <v>1588</v>
      </c>
      <c r="N6" s="15" t="s">
        <v>443</v>
      </c>
      <c r="O6" s="15" t="s">
        <v>1589</v>
      </c>
      <c r="P6" s="36">
        <v>180</v>
      </c>
      <c r="Q6" s="36">
        <v>164.2</v>
      </c>
      <c r="R6" s="34">
        <v>23</v>
      </c>
      <c r="S6" s="34">
        <v>12</v>
      </c>
      <c r="T6" s="36">
        <v>2309.56</v>
      </c>
      <c r="U6" s="48" t="s">
        <v>504</v>
      </c>
      <c r="V6" s="23">
        <f>IF(OR(I6="",J6=""),"",J6-I6+1)</f>
        <v>0</v>
      </c>
      <c r="W6" s="23">
        <f>IF(B6="","",COUNTIF('Content Calendar'!$L$5:$L$604,B6))</f>
        <v>0</v>
      </c>
      <c r="X6" s="23">
        <f>IF(B6="","",COUNTIFS('Content Calendar'!$L$5:$L$604,B6,'Content Calendar'!$X$5:$X$604,"Published"))</f>
        <v>0</v>
      </c>
      <c r="Y6" s="23">
        <f>IF(B6="","",IF(COUNTIF(Performance!$I$5:$I$404,B6)=0,"",SUMIFS(Performance!$O$5:$O$404,Performance!$I$5:$I$404,B6)))</f>
        <v>0</v>
      </c>
      <c r="Z6" s="23">
        <f>IF(B6="","",IF(COUNTIF(Performance!$I$5:$I$404,B6)=0,"",SUMIFS(Performance!$Z$5:$Z$404,Performance!$I$5:$I$404,B6)))</f>
        <v>0</v>
      </c>
      <c r="AA6" s="24">
        <f>IF(OR(Y6="",Y6=0),"",Z6/Y6)</f>
        <v>0</v>
      </c>
      <c r="AB6" s="23">
        <f>IF(B6="","",IF(COUNTIF(Performance!$I$5:$I$404,B6)=0,"",SUMIFS(Performance!$U$5:$U$404,Performance!$I$5:$I$404,B6)))</f>
        <v>0</v>
      </c>
      <c r="AC6" s="25">
        <f>IF(P6="","",P6-N(Q6))</f>
        <v>0</v>
      </c>
      <c r="AD6" s="24">
        <f>IF(OR(P6="",P6=0),"",N(Q6)/P6)</f>
        <v>0</v>
      </c>
      <c r="AE6" s="25">
        <f>IF(OR(R6="",R6=0),"",N(Q6)/R6)</f>
        <v>0</v>
      </c>
      <c r="AF6" s="25">
        <f>IF(OR(S6="",S6=0),"",N(Q6)/S6)</f>
        <v>0</v>
      </c>
      <c r="AG6" s="24">
        <f>IF(OR(AB6="",AB6=0),"",N(S6)/AB6)</f>
        <v>0</v>
      </c>
      <c r="AH6" s="31">
        <f>IF(OR(Q6="",Q6=0),"",N(T6)/Q6)</f>
        <v>0</v>
      </c>
      <c r="AI6" s="25">
        <f>IF(AND(T6="",Q6=""),"",N(T6)-N(Q6))</f>
        <v>0</v>
      </c>
      <c r="AJ6" s="29">
        <f>IF(B6="","",IF(N(Q6)&gt;N(P6),"Over budget",IF(AND(U6="Running",W6=0),"Action - running with no posts planned",IF(AND(J6&lt;&gt;"",J6&lt;TODAY(),U6="Running"),"Overdue - mark it complete",IF(AND(AH6&lt;&gt;"",AH6&lt;RoasTarget),"Review - return below target","OK")))))</f>
        <v>0</v>
      </c>
      <c r="AK6" s="39" t="s">
        <v>205</v>
      </c>
    </row>
    <row r="7" spans="1:37">
      <c r="A7" s="41">
        <f>IF(B7="","",CampaignPrefix&amp;TEXT(ROW()-4,"000"))</f>
        <v>0</v>
      </c>
      <c r="B7" s="15" t="s">
        <v>1049</v>
      </c>
      <c r="C7" s="15" t="s">
        <v>170</v>
      </c>
      <c r="D7" s="39" t="s">
        <v>1590</v>
      </c>
      <c r="E7" s="15" t="s">
        <v>1591</v>
      </c>
      <c r="F7" s="15" t="s">
        <v>849</v>
      </c>
      <c r="G7" s="39" t="s">
        <v>1581</v>
      </c>
      <c r="H7" s="15" t="s">
        <v>1582</v>
      </c>
      <c r="I7" s="43">
        <v>46298</v>
      </c>
      <c r="J7" s="43">
        <v>46336</v>
      </c>
      <c r="K7" s="15" t="s">
        <v>281</v>
      </c>
      <c r="L7" s="15" t="s">
        <v>1587</v>
      </c>
      <c r="M7" s="42" t="s">
        <v>1592</v>
      </c>
      <c r="N7" s="15" t="s">
        <v>443</v>
      </c>
      <c r="O7" s="15" t="s">
        <v>1593</v>
      </c>
      <c r="P7" s="36">
        <v>650</v>
      </c>
      <c r="Q7" s="36">
        <v>212.75</v>
      </c>
      <c r="R7" s="34">
        <v>34</v>
      </c>
      <c r="S7" s="34">
        <v>26</v>
      </c>
      <c r="T7" s="36">
        <v>1106.5</v>
      </c>
      <c r="U7" s="48" t="s">
        <v>502</v>
      </c>
      <c r="V7" s="23">
        <f>IF(OR(I7="",J7=""),"",J7-I7+1)</f>
        <v>0</v>
      </c>
      <c r="W7" s="23">
        <f>IF(B7="","",COUNTIF('Content Calendar'!$L$5:$L$604,B7))</f>
        <v>0</v>
      </c>
      <c r="X7" s="23">
        <f>IF(B7="","",COUNTIFS('Content Calendar'!$L$5:$L$604,B7,'Content Calendar'!$X$5:$X$604,"Published"))</f>
        <v>0</v>
      </c>
      <c r="Y7" s="23">
        <f>IF(B7="","",IF(COUNTIF(Performance!$I$5:$I$404,B7)=0,"",SUMIFS(Performance!$O$5:$O$404,Performance!$I$5:$I$404,B7)))</f>
        <v>0</v>
      </c>
      <c r="Z7" s="23">
        <f>IF(B7="","",IF(COUNTIF(Performance!$I$5:$I$404,B7)=0,"",SUMIFS(Performance!$Z$5:$Z$404,Performance!$I$5:$I$404,B7)))</f>
        <v>0</v>
      </c>
      <c r="AA7" s="24">
        <f>IF(OR(Y7="",Y7=0),"",Z7/Y7)</f>
        <v>0</v>
      </c>
      <c r="AB7" s="23">
        <f>IF(B7="","",IF(COUNTIF(Performance!$I$5:$I$404,B7)=0,"",SUMIFS(Performance!$U$5:$U$404,Performance!$I$5:$I$404,B7)))</f>
        <v>0</v>
      </c>
      <c r="AC7" s="25">
        <f>IF(P7="","",P7-N(Q7))</f>
        <v>0</v>
      </c>
      <c r="AD7" s="24">
        <f>IF(OR(P7="",P7=0),"",N(Q7)/P7)</f>
        <v>0</v>
      </c>
      <c r="AE7" s="25">
        <f>IF(OR(R7="",R7=0),"",N(Q7)/R7)</f>
        <v>0</v>
      </c>
      <c r="AF7" s="25">
        <f>IF(OR(S7="",S7=0),"",N(Q7)/S7)</f>
        <v>0</v>
      </c>
      <c r="AG7" s="24">
        <f>IF(OR(AB7="",AB7=0),"",N(S7)/AB7)</f>
        <v>0</v>
      </c>
      <c r="AH7" s="31">
        <f>IF(OR(Q7="",Q7=0),"",N(T7)/Q7)</f>
        <v>0</v>
      </c>
      <c r="AI7" s="25">
        <f>IF(AND(T7="",Q7=""),"",N(T7)-N(Q7))</f>
        <v>0</v>
      </c>
      <c r="AJ7" s="29">
        <f>IF(B7="","",IF(N(Q7)&gt;N(P7),"Over budget",IF(AND(U7="Running",W7=0),"Action - running with no posts planned",IF(AND(J7&lt;&gt;"",J7&lt;TODAY(),U7="Running"),"Overdue - mark it complete",IF(AND(AH7&lt;&gt;"",AH7&lt;RoasTarget),"Review - return below target","OK")))))</f>
        <v>0</v>
      </c>
      <c r="AK7" s="39" t="s">
        <v>205</v>
      </c>
    </row>
    <row r="8" spans="1:37">
      <c r="A8" s="41">
        <f>IF(B8="","",CampaignPrefix&amp;TEXT(ROW()-4,"000"))</f>
        <v>0</v>
      </c>
      <c r="B8" s="15" t="s">
        <v>1594</v>
      </c>
      <c r="C8" s="15" t="s">
        <v>432</v>
      </c>
      <c r="D8" s="39" t="s">
        <v>1595</v>
      </c>
      <c r="E8" s="15" t="s">
        <v>1596</v>
      </c>
      <c r="F8" s="15" t="s">
        <v>834</v>
      </c>
      <c r="G8" s="39" t="s">
        <v>1581</v>
      </c>
      <c r="H8" s="15" t="s">
        <v>1582</v>
      </c>
      <c r="I8" s="43">
        <v>46186</v>
      </c>
      <c r="J8" s="43">
        <v>46486</v>
      </c>
      <c r="K8" s="15" t="s">
        <v>281</v>
      </c>
      <c r="L8" s="15" t="s">
        <v>205</v>
      </c>
      <c r="M8" s="42" t="s">
        <v>1597</v>
      </c>
      <c r="N8" s="15" t="s">
        <v>438</v>
      </c>
      <c r="O8" s="15" t="s">
        <v>1598</v>
      </c>
      <c r="P8" s="36">
        <v>0</v>
      </c>
      <c r="Q8" s="36">
        <v>0</v>
      </c>
      <c r="R8" s="34">
        <v>63</v>
      </c>
      <c r="S8" s="34">
        <v>15</v>
      </c>
      <c r="T8" s="36">
        <v>2599.28</v>
      </c>
      <c r="U8" s="48" t="s">
        <v>502</v>
      </c>
      <c r="V8" s="23">
        <f>IF(OR(I8="",J8=""),"",J8-I8+1)</f>
        <v>0</v>
      </c>
      <c r="W8" s="23">
        <f>IF(B8="","",COUNTIF('Content Calendar'!$L$5:$L$604,B8))</f>
        <v>0</v>
      </c>
      <c r="X8" s="23">
        <f>IF(B8="","",COUNTIFS('Content Calendar'!$L$5:$L$604,B8,'Content Calendar'!$X$5:$X$604,"Published"))</f>
        <v>0</v>
      </c>
      <c r="Y8" s="23">
        <f>IF(B8="","",IF(COUNTIF(Performance!$I$5:$I$404,B8)=0,"",SUMIFS(Performance!$O$5:$O$404,Performance!$I$5:$I$404,B8)))</f>
        <v>0</v>
      </c>
      <c r="Z8" s="23">
        <f>IF(B8="","",IF(COUNTIF(Performance!$I$5:$I$404,B8)=0,"",SUMIFS(Performance!$Z$5:$Z$404,Performance!$I$5:$I$404,B8)))</f>
        <v>0</v>
      </c>
      <c r="AA8" s="24">
        <f>IF(OR(Y8="",Y8=0),"",Z8/Y8)</f>
        <v>0</v>
      </c>
      <c r="AB8" s="23">
        <f>IF(B8="","",IF(COUNTIF(Performance!$I$5:$I$404,B8)=0,"",SUMIFS(Performance!$U$5:$U$404,Performance!$I$5:$I$404,B8)))</f>
        <v>0</v>
      </c>
      <c r="AC8" s="25">
        <f>IF(P8="","",P8-N(Q8))</f>
        <v>0</v>
      </c>
      <c r="AD8" s="24">
        <f>IF(OR(P8="",P8=0),"",N(Q8)/P8)</f>
        <v>0</v>
      </c>
      <c r="AE8" s="25">
        <f>IF(OR(R8="",R8=0),"",N(Q8)/R8)</f>
        <v>0</v>
      </c>
      <c r="AF8" s="25">
        <f>IF(OR(S8="",S8=0),"",N(Q8)/S8)</f>
        <v>0</v>
      </c>
      <c r="AG8" s="24">
        <f>IF(OR(AB8="",AB8=0),"",N(S8)/AB8)</f>
        <v>0</v>
      </c>
      <c r="AH8" s="31">
        <f>IF(OR(Q8="",Q8=0),"",N(T8)/Q8)</f>
        <v>0</v>
      </c>
      <c r="AI8" s="25">
        <f>IF(AND(T8="",Q8=""),"",N(T8)-N(Q8))</f>
        <v>0</v>
      </c>
      <c r="AJ8" s="29">
        <f>IF(B8="","",IF(N(Q8)&gt;N(P8),"Over budget",IF(AND(U8="Running",W8=0),"Action - running with no posts planned",IF(AND(J8&lt;&gt;"",J8&lt;TODAY(),U8="Running"),"Overdue - mark it complete",IF(AND(AH8&lt;&gt;"",AH8&lt;RoasTarget),"Review - return below target","OK")))))</f>
        <v>0</v>
      </c>
      <c r="AK8" s="39" t="s">
        <v>205</v>
      </c>
    </row>
    <row r="9" spans="1:37">
      <c r="A9" s="41">
        <f>IF(B9="","",CampaignPrefix&amp;TEXT(ROW()-4,"000"))</f>
        <v>0</v>
      </c>
      <c r="V9" s="23">
        <f>IF(OR(I9="",J9=""),"",J9-I9+1)</f>
        <v>0</v>
      </c>
      <c r="W9" s="23">
        <f>IF(B9="","",COUNTIF('Content Calendar'!$L$5:$L$604,B9))</f>
        <v>0</v>
      </c>
      <c r="X9" s="23">
        <f>IF(B9="","",COUNTIFS('Content Calendar'!$L$5:$L$604,B9,'Content Calendar'!$X$5:$X$604,"Published"))</f>
        <v>0</v>
      </c>
      <c r="Y9" s="23">
        <f>IF(B9="","",IF(COUNTIF(Performance!$I$5:$I$404,B9)=0,"",SUMIFS(Performance!$O$5:$O$404,Performance!$I$5:$I$404,B9)))</f>
        <v>0</v>
      </c>
      <c r="Z9" s="23">
        <f>IF(B9="","",IF(COUNTIF(Performance!$I$5:$I$404,B9)=0,"",SUMIFS(Performance!$Z$5:$Z$404,Performance!$I$5:$I$404,B9)))</f>
        <v>0</v>
      </c>
      <c r="AA9" s="24">
        <f>IF(OR(Y9="",Y9=0),"",Z9/Y9)</f>
        <v>0</v>
      </c>
      <c r="AB9" s="23">
        <f>IF(B9="","",IF(COUNTIF(Performance!$I$5:$I$404,B9)=0,"",SUMIFS(Performance!$U$5:$U$404,Performance!$I$5:$I$404,B9)))</f>
        <v>0</v>
      </c>
      <c r="AC9" s="25">
        <f>IF(P9="","",P9-N(Q9))</f>
        <v>0</v>
      </c>
      <c r="AD9" s="24">
        <f>IF(OR(P9="",P9=0),"",N(Q9)/P9)</f>
        <v>0</v>
      </c>
      <c r="AE9" s="25">
        <f>IF(OR(R9="",R9=0),"",N(Q9)/R9)</f>
        <v>0</v>
      </c>
      <c r="AF9" s="25">
        <f>IF(OR(S9="",S9=0),"",N(Q9)/S9)</f>
        <v>0</v>
      </c>
      <c r="AG9" s="24">
        <f>IF(OR(AB9="",AB9=0),"",N(S9)/AB9)</f>
        <v>0</v>
      </c>
      <c r="AH9" s="31">
        <f>IF(OR(Q9="",Q9=0),"",N(T9)/Q9)</f>
        <v>0</v>
      </c>
      <c r="AI9" s="25">
        <f>IF(AND(T9="",Q9=""),"",N(T9)-N(Q9))</f>
        <v>0</v>
      </c>
      <c r="AJ9" s="29">
        <f>IF(B9="","",IF(N(Q9)&gt;N(P9),"Over budget",IF(AND(U9="Running",W9=0),"Action - running with no posts planned",IF(AND(J9&lt;&gt;"",J9&lt;TODAY(),U9="Running"),"Overdue - mark it complete",IF(AND(AH9&lt;&gt;"",AH9&lt;RoasTarget),"Review - return below target","OK")))))</f>
        <v>0</v>
      </c>
    </row>
    <row r="10" spans="1:37">
      <c r="A10" s="41">
        <f>IF(B10="","",CampaignPrefix&amp;TEXT(ROW()-4,"000"))</f>
        <v>0</v>
      </c>
      <c r="V10" s="23">
        <f>IF(OR(I10="",J10=""),"",J10-I10+1)</f>
        <v>0</v>
      </c>
      <c r="W10" s="23">
        <f>IF(B10="","",COUNTIF('Content Calendar'!$L$5:$L$604,B10))</f>
        <v>0</v>
      </c>
      <c r="X10" s="23">
        <f>IF(B10="","",COUNTIFS('Content Calendar'!$L$5:$L$604,B10,'Content Calendar'!$X$5:$X$604,"Published"))</f>
        <v>0</v>
      </c>
      <c r="Y10" s="23">
        <f>IF(B10="","",IF(COUNTIF(Performance!$I$5:$I$404,B10)=0,"",SUMIFS(Performance!$O$5:$O$404,Performance!$I$5:$I$404,B10)))</f>
        <v>0</v>
      </c>
      <c r="Z10" s="23">
        <f>IF(B10="","",IF(COUNTIF(Performance!$I$5:$I$404,B10)=0,"",SUMIFS(Performance!$Z$5:$Z$404,Performance!$I$5:$I$404,B10)))</f>
        <v>0</v>
      </c>
      <c r="AA10" s="24">
        <f>IF(OR(Y10="",Y10=0),"",Z10/Y10)</f>
        <v>0</v>
      </c>
      <c r="AB10" s="23">
        <f>IF(B10="","",IF(COUNTIF(Performance!$I$5:$I$404,B10)=0,"",SUMIFS(Performance!$U$5:$U$404,Performance!$I$5:$I$404,B10)))</f>
        <v>0</v>
      </c>
      <c r="AC10" s="25">
        <f>IF(P10="","",P10-N(Q10))</f>
        <v>0</v>
      </c>
      <c r="AD10" s="24">
        <f>IF(OR(P10="",P10=0),"",N(Q10)/P10)</f>
        <v>0</v>
      </c>
      <c r="AE10" s="25">
        <f>IF(OR(R10="",R10=0),"",N(Q10)/R10)</f>
        <v>0</v>
      </c>
      <c r="AF10" s="25">
        <f>IF(OR(S10="",S10=0),"",N(Q10)/S10)</f>
        <v>0</v>
      </c>
      <c r="AG10" s="24">
        <f>IF(OR(AB10="",AB10=0),"",N(S10)/AB10)</f>
        <v>0</v>
      </c>
      <c r="AH10" s="31">
        <f>IF(OR(Q10="",Q10=0),"",N(T10)/Q10)</f>
        <v>0</v>
      </c>
      <c r="AI10" s="25">
        <f>IF(AND(T10="",Q10=""),"",N(T10)-N(Q10))</f>
        <v>0</v>
      </c>
      <c r="AJ10" s="29">
        <f>IF(B10="","",IF(N(Q10)&gt;N(P10),"Over budget",IF(AND(U10="Running",W10=0),"Action - running with no posts planned",IF(AND(J10&lt;&gt;"",J10&lt;TODAY(),U10="Running"),"Overdue - mark it complete",IF(AND(AH10&lt;&gt;"",AH10&lt;RoasTarget),"Review - return below target","OK")))))</f>
        <v>0</v>
      </c>
    </row>
    <row r="11" spans="1:37">
      <c r="A11" s="41">
        <f>IF(B11="","",CampaignPrefix&amp;TEXT(ROW()-4,"000"))</f>
        <v>0</v>
      </c>
      <c r="V11" s="23">
        <f>IF(OR(I11="",J11=""),"",J11-I11+1)</f>
        <v>0</v>
      </c>
      <c r="W11" s="23">
        <f>IF(B11="","",COUNTIF('Content Calendar'!$L$5:$L$604,B11))</f>
        <v>0</v>
      </c>
      <c r="X11" s="23">
        <f>IF(B11="","",COUNTIFS('Content Calendar'!$L$5:$L$604,B11,'Content Calendar'!$X$5:$X$604,"Published"))</f>
        <v>0</v>
      </c>
      <c r="Y11" s="23">
        <f>IF(B11="","",IF(COUNTIF(Performance!$I$5:$I$404,B11)=0,"",SUMIFS(Performance!$O$5:$O$404,Performance!$I$5:$I$404,B11)))</f>
        <v>0</v>
      </c>
      <c r="Z11" s="23">
        <f>IF(B11="","",IF(COUNTIF(Performance!$I$5:$I$404,B11)=0,"",SUMIFS(Performance!$Z$5:$Z$404,Performance!$I$5:$I$404,B11)))</f>
        <v>0</v>
      </c>
      <c r="AA11" s="24">
        <f>IF(OR(Y11="",Y11=0),"",Z11/Y11)</f>
        <v>0</v>
      </c>
      <c r="AB11" s="23">
        <f>IF(B11="","",IF(COUNTIF(Performance!$I$5:$I$404,B11)=0,"",SUMIFS(Performance!$U$5:$U$404,Performance!$I$5:$I$404,B11)))</f>
        <v>0</v>
      </c>
      <c r="AC11" s="25">
        <f>IF(P11="","",P11-N(Q11))</f>
        <v>0</v>
      </c>
      <c r="AD11" s="24">
        <f>IF(OR(P11="",P11=0),"",N(Q11)/P11)</f>
        <v>0</v>
      </c>
      <c r="AE11" s="25">
        <f>IF(OR(R11="",R11=0),"",N(Q11)/R11)</f>
        <v>0</v>
      </c>
      <c r="AF11" s="25">
        <f>IF(OR(S11="",S11=0),"",N(Q11)/S11)</f>
        <v>0</v>
      </c>
      <c r="AG11" s="24">
        <f>IF(OR(AB11="",AB11=0),"",N(S11)/AB11)</f>
        <v>0</v>
      </c>
      <c r="AH11" s="31">
        <f>IF(OR(Q11="",Q11=0),"",N(T11)/Q11)</f>
        <v>0</v>
      </c>
      <c r="AI11" s="25">
        <f>IF(AND(T11="",Q11=""),"",N(T11)-N(Q11))</f>
        <v>0</v>
      </c>
      <c r="AJ11" s="29">
        <f>IF(B11="","",IF(N(Q11)&gt;N(P11),"Over budget",IF(AND(U11="Running",W11=0),"Action - running with no posts planned",IF(AND(J11&lt;&gt;"",J11&lt;TODAY(),U11="Running"),"Overdue - mark it complete",IF(AND(AH11&lt;&gt;"",AH11&lt;RoasTarget),"Review - return below target","OK")))))</f>
        <v>0</v>
      </c>
    </row>
    <row r="12" spans="1:37">
      <c r="A12" s="41">
        <f>IF(B12="","",CampaignPrefix&amp;TEXT(ROW()-4,"000"))</f>
        <v>0</v>
      </c>
      <c r="V12" s="23">
        <f>IF(OR(I12="",J12=""),"",J12-I12+1)</f>
        <v>0</v>
      </c>
      <c r="W12" s="23">
        <f>IF(B12="","",COUNTIF('Content Calendar'!$L$5:$L$604,B12))</f>
        <v>0</v>
      </c>
      <c r="X12" s="23">
        <f>IF(B12="","",COUNTIFS('Content Calendar'!$L$5:$L$604,B12,'Content Calendar'!$X$5:$X$604,"Published"))</f>
        <v>0</v>
      </c>
      <c r="Y12" s="23">
        <f>IF(B12="","",IF(COUNTIF(Performance!$I$5:$I$404,B12)=0,"",SUMIFS(Performance!$O$5:$O$404,Performance!$I$5:$I$404,B12)))</f>
        <v>0</v>
      </c>
      <c r="Z12" s="23">
        <f>IF(B12="","",IF(COUNTIF(Performance!$I$5:$I$404,B12)=0,"",SUMIFS(Performance!$Z$5:$Z$404,Performance!$I$5:$I$404,B12)))</f>
        <v>0</v>
      </c>
      <c r="AA12" s="24">
        <f>IF(OR(Y12="",Y12=0),"",Z12/Y12)</f>
        <v>0</v>
      </c>
      <c r="AB12" s="23">
        <f>IF(B12="","",IF(COUNTIF(Performance!$I$5:$I$404,B12)=0,"",SUMIFS(Performance!$U$5:$U$404,Performance!$I$5:$I$404,B12)))</f>
        <v>0</v>
      </c>
      <c r="AC12" s="25">
        <f>IF(P12="","",P12-N(Q12))</f>
        <v>0</v>
      </c>
      <c r="AD12" s="24">
        <f>IF(OR(P12="",P12=0),"",N(Q12)/P12)</f>
        <v>0</v>
      </c>
      <c r="AE12" s="25">
        <f>IF(OR(R12="",R12=0),"",N(Q12)/R12)</f>
        <v>0</v>
      </c>
      <c r="AF12" s="25">
        <f>IF(OR(S12="",S12=0),"",N(Q12)/S12)</f>
        <v>0</v>
      </c>
      <c r="AG12" s="24">
        <f>IF(OR(AB12="",AB12=0),"",N(S12)/AB12)</f>
        <v>0</v>
      </c>
      <c r="AH12" s="31">
        <f>IF(OR(Q12="",Q12=0),"",N(T12)/Q12)</f>
        <v>0</v>
      </c>
      <c r="AI12" s="25">
        <f>IF(AND(T12="",Q12=""),"",N(T12)-N(Q12))</f>
        <v>0</v>
      </c>
      <c r="AJ12" s="29">
        <f>IF(B12="","",IF(N(Q12)&gt;N(P12),"Over budget",IF(AND(U12="Running",W12=0),"Action - running with no posts planned",IF(AND(J12&lt;&gt;"",J12&lt;TODAY(),U12="Running"),"Overdue - mark it complete",IF(AND(AH12&lt;&gt;"",AH12&lt;RoasTarget),"Review - return below target","OK")))))</f>
        <v>0</v>
      </c>
    </row>
    <row r="13" spans="1:37">
      <c r="A13" s="41">
        <f>IF(B13="","",CampaignPrefix&amp;TEXT(ROW()-4,"000"))</f>
        <v>0</v>
      </c>
      <c r="V13" s="23">
        <f>IF(OR(I13="",J13=""),"",J13-I13+1)</f>
        <v>0</v>
      </c>
      <c r="W13" s="23">
        <f>IF(B13="","",COUNTIF('Content Calendar'!$L$5:$L$604,B13))</f>
        <v>0</v>
      </c>
      <c r="X13" s="23">
        <f>IF(B13="","",COUNTIFS('Content Calendar'!$L$5:$L$604,B13,'Content Calendar'!$X$5:$X$604,"Published"))</f>
        <v>0</v>
      </c>
      <c r="Y13" s="23">
        <f>IF(B13="","",IF(COUNTIF(Performance!$I$5:$I$404,B13)=0,"",SUMIFS(Performance!$O$5:$O$404,Performance!$I$5:$I$404,B13)))</f>
        <v>0</v>
      </c>
      <c r="Z13" s="23">
        <f>IF(B13="","",IF(COUNTIF(Performance!$I$5:$I$404,B13)=0,"",SUMIFS(Performance!$Z$5:$Z$404,Performance!$I$5:$I$404,B13)))</f>
        <v>0</v>
      </c>
      <c r="AA13" s="24">
        <f>IF(OR(Y13="",Y13=0),"",Z13/Y13)</f>
        <v>0</v>
      </c>
      <c r="AB13" s="23">
        <f>IF(B13="","",IF(COUNTIF(Performance!$I$5:$I$404,B13)=0,"",SUMIFS(Performance!$U$5:$U$404,Performance!$I$5:$I$404,B13)))</f>
        <v>0</v>
      </c>
      <c r="AC13" s="25">
        <f>IF(P13="","",P13-N(Q13))</f>
        <v>0</v>
      </c>
      <c r="AD13" s="24">
        <f>IF(OR(P13="",P13=0),"",N(Q13)/P13)</f>
        <v>0</v>
      </c>
      <c r="AE13" s="25">
        <f>IF(OR(R13="",R13=0),"",N(Q13)/R13)</f>
        <v>0</v>
      </c>
      <c r="AF13" s="25">
        <f>IF(OR(S13="",S13=0),"",N(Q13)/S13)</f>
        <v>0</v>
      </c>
      <c r="AG13" s="24">
        <f>IF(OR(AB13="",AB13=0),"",N(S13)/AB13)</f>
        <v>0</v>
      </c>
      <c r="AH13" s="31">
        <f>IF(OR(Q13="",Q13=0),"",N(T13)/Q13)</f>
        <v>0</v>
      </c>
      <c r="AI13" s="25">
        <f>IF(AND(T13="",Q13=""),"",N(T13)-N(Q13))</f>
        <v>0</v>
      </c>
      <c r="AJ13" s="29">
        <f>IF(B13="","",IF(N(Q13)&gt;N(P13),"Over budget",IF(AND(U13="Running",W13=0),"Action - running with no posts planned",IF(AND(J13&lt;&gt;"",J13&lt;TODAY(),U13="Running"),"Overdue - mark it complete",IF(AND(AH13&lt;&gt;"",AH13&lt;RoasTarget),"Review - return below target","OK")))))</f>
        <v>0</v>
      </c>
    </row>
    <row r="14" spans="1:37">
      <c r="A14" s="41">
        <f>IF(B14="","",CampaignPrefix&amp;TEXT(ROW()-4,"000"))</f>
        <v>0</v>
      </c>
      <c r="V14" s="23">
        <f>IF(OR(I14="",J14=""),"",J14-I14+1)</f>
        <v>0</v>
      </c>
      <c r="W14" s="23">
        <f>IF(B14="","",COUNTIF('Content Calendar'!$L$5:$L$604,B14))</f>
        <v>0</v>
      </c>
      <c r="X14" s="23">
        <f>IF(B14="","",COUNTIFS('Content Calendar'!$L$5:$L$604,B14,'Content Calendar'!$X$5:$X$604,"Published"))</f>
        <v>0</v>
      </c>
      <c r="Y14" s="23">
        <f>IF(B14="","",IF(COUNTIF(Performance!$I$5:$I$404,B14)=0,"",SUMIFS(Performance!$O$5:$O$404,Performance!$I$5:$I$404,B14)))</f>
        <v>0</v>
      </c>
      <c r="Z14" s="23">
        <f>IF(B14="","",IF(COUNTIF(Performance!$I$5:$I$404,B14)=0,"",SUMIFS(Performance!$Z$5:$Z$404,Performance!$I$5:$I$404,B14)))</f>
        <v>0</v>
      </c>
      <c r="AA14" s="24">
        <f>IF(OR(Y14="",Y14=0),"",Z14/Y14)</f>
        <v>0</v>
      </c>
      <c r="AB14" s="23">
        <f>IF(B14="","",IF(COUNTIF(Performance!$I$5:$I$404,B14)=0,"",SUMIFS(Performance!$U$5:$U$404,Performance!$I$5:$I$404,B14)))</f>
        <v>0</v>
      </c>
      <c r="AC14" s="25">
        <f>IF(P14="","",P14-N(Q14))</f>
        <v>0</v>
      </c>
      <c r="AD14" s="24">
        <f>IF(OR(P14="",P14=0),"",N(Q14)/P14)</f>
        <v>0</v>
      </c>
      <c r="AE14" s="25">
        <f>IF(OR(R14="",R14=0),"",N(Q14)/R14)</f>
        <v>0</v>
      </c>
      <c r="AF14" s="25">
        <f>IF(OR(S14="",S14=0),"",N(Q14)/S14)</f>
        <v>0</v>
      </c>
      <c r="AG14" s="24">
        <f>IF(OR(AB14="",AB14=0),"",N(S14)/AB14)</f>
        <v>0</v>
      </c>
      <c r="AH14" s="31">
        <f>IF(OR(Q14="",Q14=0),"",N(T14)/Q14)</f>
        <v>0</v>
      </c>
      <c r="AI14" s="25">
        <f>IF(AND(T14="",Q14=""),"",N(T14)-N(Q14))</f>
        <v>0</v>
      </c>
      <c r="AJ14" s="29">
        <f>IF(B14="","",IF(N(Q14)&gt;N(P14),"Over budget",IF(AND(U14="Running",W14=0),"Action - running with no posts planned",IF(AND(J14&lt;&gt;"",J14&lt;TODAY(),U14="Running"),"Overdue - mark it complete",IF(AND(AH14&lt;&gt;"",AH14&lt;RoasTarget),"Review - return below target","OK")))))</f>
        <v>0</v>
      </c>
    </row>
    <row r="15" spans="1:37">
      <c r="A15" s="41">
        <f>IF(B15="","",CampaignPrefix&amp;TEXT(ROW()-4,"000"))</f>
        <v>0</v>
      </c>
      <c r="V15" s="23">
        <f>IF(OR(I15="",J15=""),"",J15-I15+1)</f>
        <v>0</v>
      </c>
      <c r="W15" s="23">
        <f>IF(B15="","",COUNTIF('Content Calendar'!$L$5:$L$604,B15))</f>
        <v>0</v>
      </c>
      <c r="X15" s="23">
        <f>IF(B15="","",COUNTIFS('Content Calendar'!$L$5:$L$604,B15,'Content Calendar'!$X$5:$X$604,"Published"))</f>
        <v>0</v>
      </c>
      <c r="Y15" s="23">
        <f>IF(B15="","",IF(COUNTIF(Performance!$I$5:$I$404,B15)=0,"",SUMIFS(Performance!$O$5:$O$404,Performance!$I$5:$I$404,B15)))</f>
        <v>0</v>
      </c>
      <c r="Z15" s="23">
        <f>IF(B15="","",IF(COUNTIF(Performance!$I$5:$I$404,B15)=0,"",SUMIFS(Performance!$Z$5:$Z$404,Performance!$I$5:$I$404,B15)))</f>
        <v>0</v>
      </c>
      <c r="AA15" s="24">
        <f>IF(OR(Y15="",Y15=0),"",Z15/Y15)</f>
        <v>0</v>
      </c>
      <c r="AB15" s="23">
        <f>IF(B15="","",IF(COUNTIF(Performance!$I$5:$I$404,B15)=0,"",SUMIFS(Performance!$U$5:$U$404,Performance!$I$5:$I$404,B15)))</f>
        <v>0</v>
      </c>
      <c r="AC15" s="25">
        <f>IF(P15="","",P15-N(Q15))</f>
        <v>0</v>
      </c>
      <c r="AD15" s="24">
        <f>IF(OR(P15="",P15=0),"",N(Q15)/P15)</f>
        <v>0</v>
      </c>
      <c r="AE15" s="25">
        <f>IF(OR(R15="",R15=0),"",N(Q15)/R15)</f>
        <v>0</v>
      </c>
      <c r="AF15" s="25">
        <f>IF(OR(S15="",S15=0),"",N(Q15)/S15)</f>
        <v>0</v>
      </c>
      <c r="AG15" s="24">
        <f>IF(OR(AB15="",AB15=0),"",N(S15)/AB15)</f>
        <v>0</v>
      </c>
      <c r="AH15" s="31">
        <f>IF(OR(Q15="",Q15=0),"",N(T15)/Q15)</f>
        <v>0</v>
      </c>
      <c r="AI15" s="25">
        <f>IF(AND(T15="",Q15=""),"",N(T15)-N(Q15))</f>
        <v>0</v>
      </c>
      <c r="AJ15" s="29">
        <f>IF(B15="","",IF(N(Q15)&gt;N(P15),"Over budget",IF(AND(U15="Running",W15=0),"Action - running with no posts planned",IF(AND(J15&lt;&gt;"",J15&lt;TODAY(),U15="Running"),"Overdue - mark it complete",IF(AND(AH15&lt;&gt;"",AH15&lt;RoasTarget),"Review - return below target","OK")))))</f>
        <v>0</v>
      </c>
    </row>
    <row r="16" spans="1:37">
      <c r="A16" s="41">
        <f>IF(B16="","",CampaignPrefix&amp;TEXT(ROW()-4,"000"))</f>
        <v>0</v>
      </c>
      <c r="V16" s="23">
        <f>IF(OR(I16="",J16=""),"",J16-I16+1)</f>
        <v>0</v>
      </c>
      <c r="W16" s="23">
        <f>IF(B16="","",COUNTIF('Content Calendar'!$L$5:$L$604,B16))</f>
        <v>0</v>
      </c>
      <c r="X16" s="23">
        <f>IF(B16="","",COUNTIFS('Content Calendar'!$L$5:$L$604,B16,'Content Calendar'!$X$5:$X$604,"Published"))</f>
        <v>0</v>
      </c>
      <c r="Y16" s="23">
        <f>IF(B16="","",IF(COUNTIF(Performance!$I$5:$I$404,B16)=0,"",SUMIFS(Performance!$O$5:$O$404,Performance!$I$5:$I$404,B16)))</f>
        <v>0</v>
      </c>
      <c r="Z16" s="23">
        <f>IF(B16="","",IF(COUNTIF(Performance!$I$5:$I$404,B16)=0,"",SUMIFS(Performance!$Z$5:$Z$404,Performance!$I$5:$I$404,B16)))</f>
        <v>0</v>
      </c>
      <c r="AA16" s="24">
        <f>IF(OR(Y16="",Y16=0),"",Z16/Y16)</f>
        <v>0</v>
      </c>
      <c r="AB16" s="23">
        <f>IF(B16="","",IF(COUNTIF(Performance!$I$5:$I$404,B16)=0,"",SUMIFS(Performance!$U$5:$U$404,Performance!$I$5:$I$404,B16)))</f>
        <v>0</v>
      </c>
      <c r="AC16" s="25">
        <f>IF(P16="","",P16-N(Q16))</f>
        <v>0</v>
      </c>
      <c r="AD16" s="24">
        <f>IF(OR(P16="",P16=0),"",N(Q16)/P16)</f>
        <v>0</v>
      </c>
      <c r="AE16" s="25">
        <f>IF(OR(R16="",R16=0),"",N(Q16)/R16)</f>
        <v>0</v>
      </c>
      <c r="AF16" s="25">
        <f>IF(OR(S16="",S16=0),"",N(Q16)/S16)</f>
        <v>0</v>
      </c>
      <c r="AG16" s="24">
        <f>IF(OR(AB16="",AB16=0),"",N(S16)/AB16)</f>
        <v>0</v>
      </c>
      <c r="AH16" s="31">
        <f>IF(OR(Q16="",Q16=0),"",N(T16)/Q16)</f>
        <v>0</v>
      </c>
      <c r="AI16" s="25">
        <f>IF(AND(T16="",Q16=""),"",N(T16)-N(Q16))</f>
        <v>0</v>
      </c>
      <c r="AJ16" s="29">
        <f>IF(B16="","",IF(N(Q16)&gt;N(P16),"Over budget",IF(AND(U16="Running",W16=0),"Action - running with no posts planned",IF(AND(J16&lt;&gt;"",J16&lt;TODAY(),U16="Running"),"Overdue - mark it complete",IF(AND(AH16&lt;&gt;"",AH16&lt;RoasTarget),"Review - return below target","OK")))))</f>
        <v>0</v>
      </c>
    </row>
    <row r="17" spans="1:36">
      <c r="A17" s="41">
        <f>IF(B17="","",CampaignPrefix&amp;TEXT(ROW()-4,"000"))</f>
        <v>0</v>
      </c>
      <c r="V17" s="23">
        <f>IF(OR(I17="",J17=""),"",J17-I17+1)</f>
        <v>0</v>
      </c>
      <c r="W17" s="23">
        <f>IF(B17="","",COUNTIF('Content Calendar'!$L$5:$L$604,B17))</f>
        <v>0</v>
      </c>
      <c r="X17" s="23">
        <f>IF(B17="","",COUNTIFS('Content Calendar'!$L$5:$L$604,B17,'Content Calendar'!$X$5:$X$604,"Published"))</f>
        <v>0</v>
      </c>
      <c r="Y17" s="23">
        <f>IF(B17="","",IF(COUNTIF(Performance!$I$5:$I$404,B17)=0,"",SUMIFS(Performance!$O$5:$O$404,Performance!$I$5:$I$404,B17)))</f>
        <v>0</v>
      </c>
      <c r="Z17" s="23">
        <f>IF(B17="","",IF(COUNTIF(Performance!$I$5:$I$404,B17)=0,"",SUMIFS(Performance!$Z$5:$Z$404,Performance!$I$5:$I$404,B17)))</f>
        <v>0</v>
      </c>
      <c r="AA17" s="24">
        <f>IF(OR(Y17="",Y17=0),"",Z17/Y17)</f>
        <v>0</v>
      </c>
      <c r="AB17" s="23">
        <f>IF(B17="","",IF(COUNTIF(Performance!$I$5:$I$404,B17)=0,"",SUMIFS(Performance!$U$5:$U$404,Performance!$I$5:$I$404,B17)))</f>
        <v>0</v>
      </c>
      <c r="AC17" s="25">
        <f>IF(P17="","",P17-N(Q17))</f>
        <v>0</v>
      </c>
      <c r="AD17" s="24">
        <f>IF(OR(P17="",P17=0),"",N(Q17)/P17)</f>
        <v>0</v>
      </c>
      <c r="AE17" s="25">
        <f>IF(OR(R17="",R17=0),"",N(Q17)/R17)</f>
        <v>0</v>
      </c>
      <c r="AF17" s="25">
        <f>IF(OR(S17="",S17=0),"",N(Q17)/S17)</f>
        <v>0</v>
      </c>
      <c r="AG17" s="24">
        <f>IF(OR(AB17="",AB17=0),"",N(S17)/AB17)</f>
        <v>0</v>
      </c>
      <c r="AH17" s="31">
        <f>IF(OR(Q17="",Q17=0),"",N(T17)/Q17)</f>
        <v>0</v>
      </c>
      <c r="AI17" s="25">
        <f>IF(AND(T17="",Q17=""),"",N(T17)-N(Q17))</f>
        <v>0</v>
      </c>
      <c r="AJ17" s="29">
        <f>IF(B17="","",IF(N(Q17)&gt;N(P17),"Over budget",IF(AND(U17="Running",W17=0),"Action - running with no posts planned",IF(AND(J17&lt;&gt;"",J17&lt;TODAY(),U17="Running"),"Overdue - mark it complete",IF(AND(AH17&lt;&gt;"",AH17&lt;RoasTarget),"Review - return below target","OK")))))</f>
        <v>0</v>
      </c>
    </row>
    <row r="18" spans="1:36">
      <c r="A18" s="41">
        <f>IF(B18="","",CampaignPrefix&amp;TEXT(ROW()-4,"000"))</f>
        <v>0</v>
      </c>
      <c r="V18" s="23">
        <f>IF(OR(I18="",J18=""),"",J18-I18+1)</f>
        <v>0</v>
      </c>
      <c r="W18" s="23">
        <f>IF(B18="","",COUNTIF('Content Calendar'!$L$5:$L$604,B18))</f>
        <v>0</v>
      </c>
      <c r="X18" s="23">
        <f>IF(B18="","",COUNTIFS('Content Calendar'!$L$5:$L$604,B18,'Content Calendar'!$X$5:$X$604,"Published"))</f>
        <v>0</v>
      </c>
      <c r="Y18" s="23">
        <f>IF(B18="","",IF(COUNTIF(Performance!$I$5:$I$404,B18)=0,"",SUMIFS(Performance!$O$5:$O$404,Performance!$I$5:$I$404,B18)))</f>
        <v>0</v>
      </c>
      <c r="Z18" s="23">
        <f>IF(B18="","",IF(COUNTIF(Performance!$I$5:$I$404,B18)=0,"",SUMIFS(Performance!$Z$5:$Z$404,Performance!$I$5:$I$404,B18)))</f>
        <v>0</v>
      </c>
      <c r="AA18" s="24">
        <f>IF(OR(Y18="",Y18=0),"",Z18/Y18)</f>
        <v>0</v>
      </c>
      <c r="AB18" s="23">
        <f>IF(B18="","",IF(COUNTIF(Performance!$I$5:$I$404,B18)=0,"",SUMIFS(Performance!$U$5:$U$404,Performance!$I$5:$I$404,B18)))</f>
        <v>0</v>
      </c>
      <c r="AC18" s="25">
        <f>IF(P18="","",P18-N(Q18))</f>
        <v>0</v>
      </c>
      <c r="AD18" s="24">
        <f>IF(OR(P18="",P18=0),"",N(Q18)/P18)</f>
        <v>0</v>
      </c>
      <c r="AE18" s="25">
        <f>IF(OR(R18="",R18=0),"",N(Q18)/R18)</f>
        <v>0</v>
      </c>
      <c r="AF18" s="25">
        <f>IF(OR(S18="",S18=0),"",N(Q18)/S18)</f>
        <v>0</v>
      </c>
      <c r="AG18" s="24">
        <f>IF(OR(AB18="",AB18=0),"",N(S18)/AB18)</f>
        <v>0</v>
      </c>
      <c r="AH18" s="31">
        <f>IF(OR(Q18="",Q18=0),"",N(T18)/Q18)</f>
        <v>0</v>
      </c>
      <c r="AI18" s="25">
        <f>IF(AND(T18="",Q18=""),"",N(T18)-N(Q18))</f>
        <v>0</v>
      </c>
      <c r="AJ18" s="29">
        <f>IF(B18="","",IF(N(Q18)&gt;N(P18),"Over budget",IF(AND(U18="Running",W18=0),"Action - running with no posts planned",IF(AND(J18&lt;&gt;"",J18&lt;TODAY(),U18="Running"),"Overdue - mark it complete",IF(AND(AH18&lt;&gt;"",AH18&lt;RoasTarget),"Review - return below target","OK")))))</f>
        <v>0</v>
      </c>
    </row>
    <row r="19" spans="1:36">
      <c r="A19" s="41">
        <f>IF(B19="","",CampaignPrefix&amp;TEXT(ROW()-4,"000"))</f>
        <v>0</v>
      </c>
      <c r="V19" s="23">
        <f>IF(OR(I19="",J19=""),"",J19-I19+1)</f>
        <v>0</v>
      </c>
      <c r="W19" s="23">
        <f>IF(B19="","",COUNTIF('Content Calendar'!$L$5:$L$604,B19))</f>
        <v>0</v>
      </c>
      <c r="X19" s="23">
        <f>IF(B19="","",COUNTIFS('Content Calendar'!$L$5:$L$604,B19,'Content Calendar'!$X$5:$X$604,"Published"))</f>
        <v>0</v>
      </c>
      <c r="Y19" s="23">
        <f>IF(B19="","",IF(COUNTIF(Performance!$I$5:$I$404,B19)=0,"",SUMIFS(Performance!$O$5:$O$404,Performance!$I$5:$I$404,B19)))</f>
        <v>0</v>
      </c>
      <c r="Z19" s="23">
        <f>IF(B19="","",IF(COUNTIF(Performance!$I$5:$I$404,B19)=0,"",SUMIFS(Performance!$Z$5:$Z$404,Performance!$I$5:$I$404,B19)))</f>
        <v>0</v>
      </c>
      <c r="AA19" s="24">
        <f>IF(OR(Y19="",Y19=0),"",Z19/Y19)</f>
        <v>0</v>
      </c>
      <c r="AB19" s="23">
        <f>IF(B19="","",IF(COUNTIF(Performance!$I$5:$I$404,B19)=0,"",SUMIFS(Performance!$U$5:$U$404,Performance!$I$5:$I$404,B19)))</f>
        <v>0</v>
      </c>
      <c r="AC19" s="25">
        <f>IF(P19="","",P19-N(Q19))</f>
        <v>0</v>
      </c>
      <c r="AD19" s="24">
        <f>IF(OR(P19="",P19=0),"",N(Q19)/P19)</f>
        <v>0</v>
      </c>
      <c r="AE19" s="25">
        <f>IF(OR(R19="",R19=0),"",N(Q19)/R19)</f>
        <v>0</v>
      </c>
      <c r="AF19" s="25">
        <f>IF(OR(S19="",S19=0),"",N(Q19)/S19)</f>
        <v>0</v>
      </c>
      <c r="AG19" s="24">
        <f>IF(OR(AB19="",AB19=0),"",N(S19)/AB19)</f>
        <v>0</v>
      </c>
      <c r="AH19" s="31">
        <f>IF(OR(Q19="",Q19=0),"",N(T19)/Q19)</f>
        <v>0</v>
      </c>
      <c r="AI19" s="25">
        <f>IF(AND(T19="",Q19=""),"",N(T19)-N(Q19))</f>
        <v>0</v>
      </c>
      <c r="AJ19" s="29">
        <f>IF(B19="","",IF(N(Q19)&gt;N(P19),"Over budget",IF(AND(U19="Running",W19=0),"Action - running with no posts planned",IF(AND(J19&lt;&gt;"",J19&lt;TODAY(),U19="Running"),"Overdue - mark it complete",IF(AND(AH19&lt;&gt;"",AH19&lt;RoasTarget),"Review - return below target","OK")))))</f>
        <v>0</v>
      </c>
    </row>
    <row r="20" spans="1:36">
      <c r="A20" s="41">
        <f>IF(B20="","",CampaignPrefix&amp;TEXT(ROW()-4,"000"))</f>
        <v>0</v>
      </c>
      <c r="V20" s="23">
        <f>IF(OR(I20="",J20=""),"",J20-I20+1)</f>
        <v>0</v>
      </c>
      <c r="W20" s="23">
        <f>IF(B20="","",COUNTIF('Content Calendar'!$L$5:$L$604,B20))</f>
        <v>0</v>
      </c>
      <c r="X20" s="23">
        <f>IF(B20="","",COUNTIFS('Content Calendar'!$L$5:$L$604,B20,'Content Calendar'!$X$5:$X$604,"Published"))</f>
        <v>0</v>
      </c>
      <c r="Y20" s="23">
        <f>IF(B20="","",IF(COUNTIF(Performance!$I$5:$I$404,B20)=0,"",SUMIFS(Performance!$O$5:$O$404,Performance!$I$5:$I$404,B20)))</f>
        <v>0</v>
      </c>
      <c r="Z20" s="23">
        <f>IF(B20="","",IF(COUNTIF(Performance!$I$5:$I$404,B20)=0,"",SUMIFS(Performance!$Z$5:$Z$404,Performance!$I$5:$I$404,B20)))</f>
        <v>0</v>
      </c>
      <c r="AA20" s="24">
        <f>IF(OR(Y20="",Y20=0),"",Z20/Y20)</f>
        <v>0</v>
      </c>
      <c r="AB20" s="23">
        <f>IF(B20="","",IF(COUNTIF(Performance!$I$5:$I$404,B20)=0,"",SUMIFS(Performance!$U$5:$U$404,Performance!$I$5:$I$404,B20)))</f>
        <v>0</v>
      </c>
      <c r="AC20" s="25">
        <f>IF(P20="","",P20-N(Q20))</f>
        <v>0</v>
      </c>
      <c r="AD20" s="24">
        <f>IF(OR(P20="",P20=0),"",N(Q20)/P20)</f>
        <v>0</v>
      </c>
      <c r="AE20" s="25">
        <f>IF(OR(R20="",R20=0),"",N(Q20)/R20)</f>
        <v>0</v>
      </c>
      <c r="AF20" s="25">
        <f>IF(OR(S20="",S20=0),"",N(Q20)/S20)</f>
        <v>0</v>
      </c>
      <c r="AG20" s="24">
        <f>IF(OR(AB20="",AB20=0),"",N(S20)/AB20)</f>
        <v>0</v>
      </c>
      <c r="AH20" s="31">
        <f>IF(OR(Q20="",Q20=0),"",N(T20)/Q20)</f>
        <v>0</v>
      </c>
      <c r="AI20" s="25">
        <f>IF(AND(T20="",Q20=""),"",N(T20)-N(Q20))</f>
        <v>0</v>
      </c>
      <c r="AJ20" s="29">
        <f>IF(B20="","",IF(N(Q20)&gt;N(P20),"Over budget",IF(AND(U20="Running",W20=0),"Action - running with no posts planned",IF(AND(J20&lt;&gt;"",J20&lt;TODAY(),U20="Running"),"Overdue - mark it complete",IF(AND(AH20&lt;&gt;"",AH20&lt;RoasTarget),"Review - return below target","OK")))))</f>
        <v>0</v>
      </c>
    </row>
    <row r="21" spans="1:36">
      <c r="A21" s="41">
        <f>IF(B21="","",CampaignPrefix&amp;TEXT(ROW()-4,"000"))</f>
        <v>0</v>
      </c>
      <c r="V21" s="23">
        <f>IF(OR(I21="",J21=""),"",J21-I21+1)</f>
        <v>0</v>
      </c>
      <c r="W21" s="23">
        <f>IF(B21="","",COUNTIF('Content Calendar'!$L$5:$L$604,B21))</f>
        <v>0</v>
      </c>
      <c r="X21" s="23">
        <f>IF(B21="","",COUNTIFS('Content Calendar'!$L$5:$L$604,B21,'Content Calendar'!$X$5:$X$604,"Published"))</f>
        <v>0</v>
      </c>
      <c r="Y21" s="23">
        <f>IF(B21="","",IF(COUNTIF(Performance!$I$5:$I$404,B21)=0,"",SUMIFS(Performance!$O$5:$O$404,Performance!$I$5:$I$404,B21)))</f>
        <v>0</v>
      </c>
      <c r="Z21" s="23">
        <f>IF(B21="","",IF(COUNTIF(Performance!$I$5:$I$404,B21)=0,"",SUMIFS(Performance!$Z$5:$Z$404,Performance!$I$5:$I$404,B21)))</f>
        <v>0</v>
      </c>
      <c r="AA21" s="24">
        <f>IF(OR(Y21="",Y21=0),"",Z21/Y21)</f>
        <v>0</v>
      </c>
      <c r="AB21" s="23">
        <f>IF(B21="","",IF(COUNTIF(Performance!$I$5:$I$404,B21)=0,"",SUMIFS(Performance!$U$5:$U$404,Performance!$I$5:$I$404,B21)))</f>
        <v>0</v>
      </c>
      <c r="AC21" s="25">
        <f>IF(P21="","",P21-N(Q21))</f>
        <v>0</v>
      </c>
      <c r="AD21" s="24">
        <f>IF(OR(P21="",P21=0),"",N(Q21)/P21)</f>
        <v>0</v>
      </c>
      <c r="AE21" s="25">
        <f>IF(OR(R21="",R21=0),"",N(Q21)/R21)</f>
        <v>0</v>
      </c>
      <c r="AF21" s="25">
        <f>IF(OR(S21="",S21=0),"",N(Q21)/S21)</f>
        <v>0</v>
      </c>
      <c r="AG21" s="24">
        <f>IF(OR(AB21="",AB21=0),"",N(S21)/AB21)</f>
        <v>0</v>
      </c>
      <c r="AH21" s="31">
        <f>IF(OR(Q21="",Q21=0),"",N(T21)/Q21)</f>
        <v>0</v>
      </c>
      <c r="AI21" s="25">
        <f>IF(AND(T21="",Q21=""),"",N(T21)-N(Q21))</f>
        <v>0</v>
      </c>
      <c r="AJ21" s="29">
        <f>IF(B21="","",IF(N(Q21)&gt;N(P21),"Over budget",IF(AND(U21="Running",W21=0),"Action - running with no posts planned",IF(AND(J21&lt;&gt;"",J21&lt;TODAY(),U21="Running"),"Overdue - mark it complete",IF(AND(AH21&lt;&gt;"",AH21&lt;RoasTarget),"Review - return below target","OK")))))</f>
        <v>0</v>
      </c>
    </row>
    <row r="22" spans="1:36">
      <c r="A22" s="41">
        <f>IF(B22="","",CampaignPrefix&amp;TEXT(ROW()-4,"000"))</f>
        <v>0</v>
      </c>
      <c r="V22" s="23">
        <f>IF(OR(I22="",J22=""),"",J22-I22+1)</f>
        <v>0</v>
      </c>
      <c r="W22" s="23">
        <f>IF(B22="","",COUNTIF('Content Calendar'!$L$5:$L$604,B22))</f>
        <v>0</v>
      </c>
      <c r="X22" s="23">
        <f>IF(B22="","",COUNTIFS('Content Calendar'!$L$5:$L$604,B22,'Content Calendar'!$X$5:$X$604,"Published"))</f>
        <v>0</v>
      </c>
      <c r="Y22" s="23">
        <f>IF(B22="","",IF(COUNTIF(Performance!$I$5:$I$404,B22)=0,"",SUMIFS(Performance!$O$5:$O$404,Performance!$I$5:$I$404,B22)))</f>
        <v>0</v>
      </c>
      <c r="Z22" s="23">
        <f>IF(B22="","",IF(COUNTIF(Performance!$I$5:$I$404,B22)=0,"",SUMIFS(Performance!$Z$5:$Z$404,Performance!$I$5:$I$404,B22)))</f>
        <v>0</v>
      </c>
      <c r="AA22" s="24">
        <f>IF(OR(Y22="",Y22=0),"",Z22/Y22)</f>
        <v>0</v>
      </c>
      <c r="AB22" s="23">
        <f>IF(B22="","",IF(COUNTIF(Performance!$I$5:$I$404,B22)=0,"",SUMIFS(Performance!$U$5:$U$404,Performance!$I$5:$I$404,B22)))</f>
        <v>0</v>
      </c>
      <c r="AC22" s="25">
        <f>IF(P22="","",P22-N(Q22))</f>
        <v>0</v>
      </c>
      <c r="AD22" s="24">
        <f>IF(OR(P22="",P22=0),"",N(Q22)/P22)</f>
        <v>0</v>
      </c>
      <c r="AE22" s="25">
        <f>IF(OR(R22="",R22=0),"",N(Q22)/R22)</f>
        <v>0</v>
      </c>
      <c r="AF22" s="25">
        <f>IF(OR(S22="",S22=0),"",N(Q22)/S22)</f>
        <v>0</v>
      </c>
      <c r="AG22" s="24">
        <f>IF(OR(AB22="",AB22=0),"",N(S22)/AB22)</f>
        <v>0</v>
      </c>
      <c r="AH22" s="31">
        <f>IF(OR(Q22="",Q22=0),"",N(T22)/Q22)</f>
        <v>0</v>
      </c>
      <c r="AI22" s="25">
        <f>IF(AND(T22="",Q22=""),"",N(T22)-N(Q22))</f>
        <v>0</v>
      </c>
      <c r="AJ22" s="29">
        <f>IF(B22="","",IF(N(Q22)&gt;N(P22),"Over budget",IF(AND(U22="Running",W22=0),"Action - running with no posts planned",IF(AND(J22&lt;&gt;"",J22&lt;TODAY(),U22="Running"),"Overdue - mark it complete",IF(AND(AH22&lt;&gt;"",AH22&lt;RoasTarget),"Review - return below target","OK")))))</f>
        <v>0</v>
      </c>
    </row>
    <row r="23" spans="1:36">
      <c r="A23" s="41">
        <f>IF(B23="","",CampaignPrefix&amp;TEXT(ROW()-4,"000"))</f>
        <v>0</v>
      </c>
      <c r="V23" s="23">
        <f>IF(OR(I23="",J23=""),"",J23-I23+1)</f>
        <v>0</v>
      </c>
      <c r="W23" s="23">
        <f>IF(B23="","",COUNTIF('Content Calendar'!$L$5:$L$604,B23))</f>
        <v>0</v>
      </c>
      <c r="X23" s="23">
        <f>IF(B23="","",COUNTIFS('Content Calendar'!$L$5:$L$604,B23,'Content Calendar'!$X$5:$X$604,"Published"))</f>
        <v>0</v>
      </c>
      <c r="Y23" s="23">
        <f>IF(B23="","",IF(COUNTIF(Performance!$I$5:$I$404,B23)=0,"",SUMIFS(Performance!$O$5:$O$404,Performance!$I$5:$I$404,B23)))</f>
        <v>0</v>
      </c>
      <c r="Z23" s="23">
        <f>IF(B23="","",IF(COUNTIF(Performance!$I$5:$I$404,B23)=0,"",SUMIFS(Performance!$Z$5:$Z$404,Performance!$I$5:$I$404,B23)))</f>
        <v>0</v>
      </c>
      <c r="AA23" s="24">
        <f>IF(OR(Y23="",Y23=0),"",Z23/Y23)</f>
        <v>0</v>
      </c>
      <c r="AB23" s="23">
        <f>IF(B23="","",IF(COUNTIF(Performance!$I$5:$I$404,B23)=0,"",SUMIFS(Performance!$U$5:$U$404,Performance!$I$5:$I$404,B23)))</f>
        <v>0</v>
      </c>
      <c r="AC23" s="25">
        <f>IF(P23="","",P23-N(Q23))</f>
        <v>0</v>
      </c>
      <c r="AD23" s="24">
        <f>IF(OR(P23="",P23=0),"",N(Q23)/P23)</f>
        <v>0</v>
      </c>
      <c r="AE23" s="25">
        <f>IF(OR(R23="",R23=0),"",N(Q23)/R23)</f>
        <v>0</v>
      </c>
      <c r="AF23" s="25">
        <f>IF(OR(S23="",S23=0),"",N(Q23)/S23)</f>
        <v>0</v>
      </c>
      <c r="AG23" s="24">
        <f>IF(OR(AB23="",AB23=0),"",N(S23)/AB23)</f>
        <v>0</v>
      </c>
      <c r="AH23" s="31">
        <f>IF(OR(Q23="",Q23=0),"",N(T23)/Q23)</f>
        <v>0</v>
      </c>
      <c r="AI23" s="25">
        <f>IF(AND(T23="",Q23=""),"",N(T23)-N(Q23))</f>
        <v>0</v>
      </c>
      <c r="AJ23" s="29">
        <f>IF(B23="","",IF(N(Q23)&gt;N(P23),"Over budget",IF(AND(U23="Running",W23=0),"Action - running with no posts planned",IF(AND(J23&lt;&gt;"",J23&lt;TODAY(),U23="Running"),"Overdue - mark it complete",IF(AND(AH23&lt;&gt;"",AH23&lt;RoasTarget),"Review - return below target","OK")))))</f>
        <v>0</v>
      </c>
    </row>
    <row r="24" spans="1:36">
      <c r="A24" s="41">
        <f>IF(B24="","",CampaignPrefix&amp;TEXT(ROW()-4,"000"))</f>
        <v>0</v>
      </c>
      <c r="V24" s="23">
        <f>IF(OR(I24="",J24=""),"",J24-I24+1)</f>
        <v>0</v>
      </c>
      <c r="W24" s="23">
        <f>IF(B24="","",COUNTIF('Content Calendar'!$L$5:$L$604,B24))</f>
        <v>0</v>
      </c>
      <c r="X24" s="23">
        <f>IF(B24="","",COUNTIFS('Content Calendar'!$L$5:$L$604,B24,'Content Calendar'!$X$5:$X$604,"Published"))</f>
        <v>0</v>
      </c>
      <c r="Y24" s="23">
        <f>IF(B24="","",IF(COUNTIF(Performance!$I$5:$I$404,B24)=0,"",SUMIFS(Performance!$O$5:$O$404,Performance!$I$5:$I$404,B24)))</f>
        <v>0</v>
      </c>
      <c r="Z24" s="23">
        <f>IF(B24="","",IF(COUNTIF(Performance!$I$5:$I$404,B24)=0,"",SUMIFS(Performance!$Z$5:$Z$404,Performance!$I$5:$I$404,B24)))</f>
        <v>0</v>
      </c>
      <c r="AA24" s="24">
        <f>IF(OR(Y24="",Y24=0),"",Z24/Y24)</f>
        <v>0</v>
      </c>
      <c r="AB24" s="23">
        <f>IF(B24="","",IF(COUNTIF(Performance!$I$5:$I$404,B24)=0,"",SUMIFS(Performance!$U$5:$U$404,Performance!$I$5:$I$404,B24)))</f>
        <v>0</v>
      </c>
      <c r="AC24" s="25">
        <f>IF(P24="","",P24-N(Q24))</f>
        <v>0</v>
      </c>
      <c r="AD24" s="24">
        <f>IF(OR(P24="",P24=0),"",N(Q24)/P24)</f>
        <v>0</v>
      </c>
      <c r="AE24" s="25">
        <f>IF(OR(R24="",R24=0),"",N(Q24)/R24)</f>
        <v>0</v>
      </c>
      <c r="AF24" s="25">
        <f>IF(OR(S24="",S24=0),"",N(Q24)/S24)</f>
        <v>0</v>
      </c>
      <c r="AG24" s="24">
        <f>IF(OR(AB24="",AB24=0),"",N(S24)/AB24)</f>
        <v>0</v>
      </c>
      <c r="AH24" s="31">
        <f>IF(OR(Q24="",Q24=0),"",N(T24)/Q24)</f>
        <v>0</v>
      </c>
      <c r="AI24" s="25">
        <f>IF(AND(T24="",Q24=""),"",N(T24)-N(Q24))</f>
        <v>0</v>
      </c>
      <c r="AJ24" s="29">
        <f>IF(B24="","",IF(N(Q24)&gt;N(P24),"Over budget",IF(AND(U24="Running",W24=0),"Action - running with no posts planned",IF(AND(J24&lt;&gt;"",J24&lt;TODAY(),U24="Running"),"Overdue - mark it complete",IF(AND(AH24&lt;&gt;"",AH24&lt;RoasTarget),"Review - return below target","OK")))))</f>
        <v>0</v>
      </c>
    </row>
    <row r="25" spans="1:36">
      <c r="A25" s="41">
        <f>IF(B25="","",CampaignPrefix&amp;TEXT(ROW()-4,"000"))</f>
        <v>0</v>
      </c>
      <c r="V25" s="23">
        <f>IF(OR(I25="",J25=""),"",J25-I25+1)</f>
        <v>0</v>
      </c>
      <c r="W25" s="23">
        <f>IF(B25="","",COUNTIF('Content Calendar'!$L$5:$L$604,B25))</f>
        <v>0</v>
      </c>
      <c r="X25" s="23">
        <f>IF(B25="","",COUNTIFS('Content Calendar'!$L$5:$L$604,B25,'Content Calendar'!$X$5:$X$604,"Published"))</f>
        <v>0</v>
      </c>
      <c r="Y25" s="23">
        <f>IF(B25="","",IF(COUNTIF(Performance!$I$5:$I$404,B25)=0,"",SUMIFS(Performance!$O$5:$O$404,Performance!$I$5:$I$404,B25)))</f>
        <v>0</v>
      </c>
      <c r="Z25" s="23">
        <f>IF(B25="","",IF(COUNTIF(Performance!$I$5:$I$404,B25)=0,"",SUMIFS(Performance!$Z$5:$Z$404,Performance!$I$5:$I$404,B25)))</f>
        <v>0</v>
      </c>
      <c r="AA25" s="24">
        <f>IF(OR(Y25="",Y25=0),"",Z25/Y25)</f>
        <v>0</v>
      </c>
      <c r="AB25" s="23">
        <f>IF(B25="","",IF(COUNTIF(Performance!$I$5:$I$404,B25)=0,"",SUMIFS(Performance!$U$5:$U$404,Performance!$I$5:$I$404,B25)))</f>
        <v>0</v>
      </c>
      <c r="AC25" s="25">
        <f>IF(P25="","",P25-N(Q25))</f>
        <v>0</v>
      </c>
      <c r="AD25" s="24">
        <f>IF(OR(P25="",P25=0),"",N(Q25)/P25)</f>
        <v>0</v>
      </c>
      <c r="AE25" s="25">
        <f>IF(OR(R25="",R25=0),"",N(Q25)/R25)</f>
        <v>0</v>
      </c>
      <c r="AF25" s="25">
        <f>IF(OR(S25="",S25=0),"",N(Q25)/S25)</f>
        <v>0</v>
      </c>
      <c r="AG25" s="24">
        <f>IF(OR(AB25="",AB25=0),"",N(S25)/AB25)</f>
        <v>0</v>
      </c>
      <c r="AH25" s="31">
        <f>IF(OR(Q25="",Q25=0),"",N(T25)/Q25)</f>
        <v>0</v>
      </c>
      <c r="AI25" s="25">
        <f>IF(AND(T25="",Q25=""),"",N(T25)-N(Q25))</f>
        <v>0</v>
      </c>
      <c r="AJ25" s="29">
        <f>IF(B25="","",IF(N(Q25)&gt;N(P25),"Over budget",IF(AND(U25="Running",W25=0),"Action - running with no posts planned",IF(AND(J25&lt;&gt;"",J25&lt;TODAY(),U25="Running"),"Overdue - mark it complete",IF(AND(AH25&lt;&gt;"",AH25&lt;RoasTarget),"Review - return below target","OK")))))</f>
        <v>0</v>
      </c>
    </row>
    <row r="26" spans="1:36">
      <c r="A26" s="41">
        <f>IF(B26="","",CampaignPrefix&amp;TEXT(ROW()-4,"000"))</f>
        <v>0</v>
      </c>
      <c r="V26" s="23">
        <f>IF(OR(I26="",J26=""),"",J26-I26+1)</f>
        <v>0</v>
      </c>
      <c r="W26" s="23">
        <f>IF(B26="","",COUNTIF('Content Calendar'!$L$5:$L$604,B26))</f>
        <v>0</v>
      </c>
      <c r="X26" s="23">
        <f>IF(B26="","",COUNTIFS('Content Calendar'!$L$5:$L$604,B26,'Content Calendar'!$X$5:$X$604,"Published"))</f>
        <v>0</v>
      </c>
      <c r="Y26" s="23">
        <f>IF(B26="","",IF(COUNTIF(Performance!$I$5:$I$404,B26)=0,"",SUMIFS(Performance!$O$5:$O$404,Performance!$I$5:$I$404,B26)))</f>
        <v>0</v>
      </c>
      <c r="Z26" s="23">
        <f>IF(B26="","",IF(COUNTIF(Performance!$I$5:$I$404,B26)=0,"",SUMIFS(Performance!$Z$5:$Z$404,Performance!$I$5:$I$404,B26)))</f>
        <v>0</v>
      </c>
      <c r="AA26" s="24">
        <f>IF(OR(Y26="",Y26=0),"",Z26/Y26)</f>
        <v>0</v>
      </c>
      <c r="AB26" s="23">
        <f>IF(B26="","",IF(COUNTIF(Performance!$I$5:$I$404,B26)=0,"",SUMIFS(Performance!$U$5:$U$404,Performance!$I$5:$I$404,B26)))</f>
        <v>0</v>
      </c>
      <c r="AC26" s="25">
        <f>IF(P26="","",P26-N(Q26))</f>
        <v>0</v>
      </c>
      <c r="AD26" s="24">
        <f>IF(OR(P26="",P26=0),"",N(Q26)/P26)</f>
        <v>0</v>
      </c>
      <c r="AE26" s="25">
        <f>IF(OR(R26="",R26=0),"",N(Q26)/R26)</f>
        <v>0</v>
      </c>
      <c r="AF26" s="25">
        <f>IF(OR(S26="",S26=0),"",N(Q26)/S26)</f>
        <v>0</v>
      </c>
      <c r="AG26" s="24">
        <f>IF(OR(AB26="",AB26=0),"",N(S26)/AB26)</f>
        <v>0</v>
      </c>
      <c r="AH26" s="31">
        <f>IF(OR(Q26="",Q26=0),"",N(T26)/Q26)</f>
        <v>0</v>
      </c>
      <c r="AI26" s="25">
        <f>IF(AND(T26="",Q26=""),"",N(T26)-N(Q26))</f>
        <v>0</v>
      </c>
      <c r="AJ26" s="29">
        <f>IF(B26="","",IF(N(Q26)&gt;N(P26),"Over budget",IF(AND(U26="Running",W26=0),"Action - running with no posts planned",IF(AND(J26&lt;&gt;"",J26&lt;TODAY(),U26="Running"),"Overdue - mark it complete",IF(AND(AH26&lt;&gt;"",AH26&lt;RoasTarget),"Review - return below target","OK")))))</f>
        <v>0</v>
      </c>
    </row>
    <row r="27" spans="1:36">
      <c r="A27" s="41">
        <f>IF(B27="","",CampaignPrefix&amp;TEXT(ROW()-4,"000"))</f>
        <v>0</v>
      </c>
      <c r="V27" s="23">
        <f>IF(OR(I27="",J27=""),"",J27-I27+1)</f>
        <v>0</v>
      </c>
      <c r="W27" s="23">
        <f>IF(B27="","",COUNTIF('Content Calendar'!$L$5:$L$604,B27))</f>
        <v>0</v>
      </c>
      <c r="X27" s="23">
        <f>IF(B27="","",COUNTIFS('Content Calendar'!$L$5:$L$604,B27,'Content Calendar'!$X$5:$X$604,"Published"))</f>
        <v>0</v>
      </c>
      <c r="Y27" s="23">
        <f>IF(B27="","",IF(COUNTIF(Performance!$I$5:$I$404,B27)=0,"",SUMIFS(Performance!$O$5:$O$404,Performance!$I$5:$I$404,B27)))</f>
        <v>0</v>
      </c>
      <c r="Z27" s="23">
        <f>IF(B27="","",IF(COUNTIF(Performance!$I$5:$I$404,B27)=0,"",SUMIFS(Performance!$Z$5:$Z$404,Performance!$I$5:$I$404,B27)))</f>
        <v>0</v>
      </c>
      <c r="AA27" s="24">
        <f>IF(OR(Y27="",Y27=0),"",Z27/Y27)</f>
        <v>0</v>
      </c>
      <c r="AB27" s="23">
        <f>IF(B27="","",IF(COUNTIF(Performance!$I$5:$I$404,B27)=0,"",SUMIFS(Performance!$U$5:$U$404,Performance!$I$5:$I$404,B27)))</f>
        <v>0</v>
      </c>
      <c r="AC27" s="25">
        <f>IF(P27="","",P27-N(Q27))</f>
        <v>0</v>
      </c>
      <c r="AD27" s="24">
        <f>IF(OR(P27="",P27=0),"",N(Q27)/P27)</f>
        <v>0</v>
      </c>
      <c r="AE27" s="25">
        <f>IF(OR(R27="",R27=0),"",N(Q27)/R27)</f>
        <v>0</v>
      </c>
      <c r="AF27" s="25">
        <f>IF(OR(S27="",S27=0),"",N(Q27)/S27)</f>
        <v>0</v>
      </c>
      <c r="AG27" s="24">
        <f>IF(OR(AB27="",AB27=0),"",N(S27)/AB27)</f>
        <v>0</v>
      </c>
      <c r="AH27" s="31">
        <f>IF(OR(Q27="",Q27=0),"",N(T27)/Q27)</f>
        <v>0</v>
      </c>
      <c r="AI27" s="25">
        <f>IF(AND(T27="",Q27=""),"",N(T27)-N(Q27))</f>
        <v>0</v>
      </c>
      <c r="AJ27" s="29">
        <f>IF(B27="","",IF(N(Q27)&gt;N(P27),"Over budget",IF(AND(U27="Running",W27=0),"Action - running with no posts planned",IF(AND(J27&lt;&gt;"",J27&lt;TODAY(),U27="Running"),"Overdue - mark it complete",IF(AND(AH27&lt;&gt;"",AH27&lt;RoasTarget),"Review - return below target","OK")))))</f>
        <v>0</v>
      </c>
    </row>
    <row r="28" spans="1:36">
      <c r="A28" s="41">
        <f>IF(B28="","",CampaignPrefix&amp;TEXT(ROW()-4,"000"))</f>
        <v>0</v>
      </c>
      <c r="V28" s="23">
        <f>IF(OR(I28="",J28=""),"",J28-I28+1)</f>
        <v>0</v>
      </c>
      <c r="W28" s="23">
        <f>IF(B28="","",COUNTIF('Content Calendar'!$L$5:$L$604,B28))</f>
        <v>0</v>
      </c>
      <c r="X28" s="23">
        <f>IF(B28="","",COUNTIFS('Content Calendar'!$L$5:$L$604,B28,'Content Calendar'!$X$5:$X$604,"Published"))</f>
        <v>0</v>
      </c>
      <c r="Y28" s="23">
        <f>IF(B28="","",IF(COUNTIF(Performance!$I$5:$I$404,B28)=0,"",SUMIFS(Performance!$O$5:$O$404,Performance!$I$5:$I$404,B28)))</f>
        <v>0</v>
      </c>
      <c r="Z28" s="23">
        <f>IF(B28="","",IF(COUNTIF(Performance!$I$5:$I$404,B28)=0,"",SUMIFS(Performance!$Z$5:$Z$404,Performance!$I$5:$I$404,B28)))</f>
        <v>0</v>
      </c>
      <c r="AA28" s="24">
        <f>IF(OR(Y28="",Y28=0),"",Z28/Y28)</f>
        <v>0</v>
      </c>
      <c r="AB28" s="23">
        <f>IF(B28="","",IF(COUNTIF(Performance!$I$5:$I$404,B28)=0,"",SUMIFS(Performance!$U$5:$U$404,Performance!$I$5:$I$404,B28)))</f>
        <v>0</v>
      </c>
      <c r="AC28" s="25">
        <f>IF(P28="","",P28-N(Q28))</f>
        <v>0</v>
      </c>
      <c r="AD28" s="24">
        <f>IF(OR(P28="",P28=0),"",N(Q28)/P28)</f>
        <v>0</v>
      </c>
      <c r="AE28" s="25">
        <f>IF(OR(R28="",R28=0),"",N(Q28)/R28)</f>
        <v>0</v>
      </c>
      <c r="AF28" s="25">
        <f>IF(OR(S28="",S28=0),"",N(Q28)/S28)</f>
        <v>0</v>
      </c>
      <c r="AG28" s="24">
        <f>IF(OR(AB28="",AB28=0),"",N(S28)/AB28)</f>
        <v>0</v>
      </c>
      <c r="AH28" s="31">
        <f>IF(OR(Q28="",Q28=0),"",N(T28)/Q28)</f>
        <v>0</v>
      </c>
      <c r="AI28" s="25">
        <f>IF(AND(T28="",Q28=""),"",N(T28)-N(Q28))</f>
        <v>0</v>
      </c>
      <c r="AJ28" s="29">
        <f>IF(B28="","",IF(N(Q28)&gt;N(P28),"Over budget",IF(AND(U28="Running",W28=0),"Action - running with no posts planned",IF(AND(J28&lt;&gt;"",J28&lt;TODAY(),U28="Running"),"Overdue - mark it complete",IF(AND(AH28&lt;&gt;"",AH28&lt;RoasTarget),"Review - return below target","OK")))))</f>
        <v>0</v>
      </c>
    </row>
    <row r="29" spans="1:36">
      <c r="A29" s="41">
        <f>IF(B29="","",CampaignPrefix&amp;TEXT(ROW()-4,"000"))</f>
        <v>0</v>
      </c>
      <c r="V29" s="23">
        <f>IF(OR(I29="",J29=""),"",J29-I29+1)</f>
        <v>0</v>
      </c>
      <c r="W29" s="23">
        <f>IF(B29="","",COUNTIF('Content Calendar'!$L$5:$L$604,B29))</f>
        <v>0</v>
      </c>
      <c r="X29" s="23">
        <f>IF(B29="","",COUNTIFS('Content Calendar'!$L$5:$L$604,B29,'Content Calendar'!$X$5:$X$604,"Published"))</f>
        <v>0</v>
      </c>
      <c r="Y29" s="23">
        <f>IF(B29="","",IF(COUNTIF(Performance!$I$5:$I$404,B29)=0,"",SUMIFS(Performance!$O$5:$O$404,Performance!$I$5:$I$404,B29)))</f>
        <v>0</v>
      </c>
      <c r="Z29" s="23">
        <f>IF(B29="","",IF(COUNTIF(Performance!$I$5:$I$404,B29)=0,"",SUMIFS(Performance!$Z$5:$Z$404,Performance!$I$5:$I$404,B29)))</f>
        <v>0</v>
      </c>
      <c r="AA29" s="24">
        <f>IF(OR(Y29="",Y29=0),"",Z29/Y29)</f>
        <v>0</v>
      </c>
      <c r="AB29" s="23">
        <f>IF(B29="","",IF(COUNTIF(Performance!$I$5:$I$404,B29)=0,"",SUMIFS(Performance!$U$5:$U$404,Performance!$I$5:$I$404,B29)))</f>
        <v>0</v>
      </c>
      <c r="AC29" s="25">
        <f>IF(P29="","",P29-N(Q29))</f>
        <v>0</v>
      </c>
      <c r="AD29" s="24">
        <f>IF(OR(P29="",P29=0),"",N(Q29)/P29)</f>
        <v>0</v>
      </c>
      <c r="AE29" s="25">
        <f>IF(OR(R29="",R29=0),"",N(Q29)/R29)</f>
        <v>0</v>
      </c>
      <c r="AF29" s="25">
        <f>IF(OR(S29="",S29=0),"",N(Q29)/S29)</f>
        <v>0</v>
      </c>
      <c r="AG29" s="24">
        <f>IF(OR(AB29="",AB29=0),"",N(S29)/AB29)</f>
        <v>0</v>
      </c>
      <c r="AH29" s="31">
        <f>IF(OR(Q29="",Q29=0),"",N(T29)/Q29)</f>
        <v>0</v>
      </c>
      <c r="AI29" s="25">
        <f>IF(AND(T29="",Q29=""),"",N(T29)-N(Q29))</f>
        <v>0</v>
      </c>
      <c r="AJ29" s="29">
        <f>IF(B29="","",IF(N(Q29)&gt;N(P29),"Over budget",IF(AND(U29="Running",W29=0),"Action - running with no posts planned",IF(AND(J29&lt;&gt;"",J29&lt;TODAY(),U29="Running"),"Overdue - mark it complete",IF(AND(AH29&lt;&gt;"",AH29&lt;RoasTarget),"Review - return below target","OK")))))</f>
        <v>0</v>
      </c>
    </row>
    <row r="30" spans="1:36">
      <c r="A30" s="41">
        <f>IF(B30="","",CampaignPrefix&amp;TEXT(ROW()-4,"000"))</f>
        <v>0</v>
      </c>
      <c r="V30" s="23">
        <f>IF(OR(I30="",J30=""),"",J30-I30+1)</f>
        <v>0</v>
      </c>
      <c r="W30" s="23">
        <f>IF(B30="","",COUNTIF('Content Calendar'!$L$5:$L$604,B30))</f>
        <v>0</v>
      </c>
      <c r="X30" s="23">
        <f>IF(B30="","",COUNTIFS('Content Calendar'!$L$5:$L$604,B30,'Content Calendar'!$X$5:$X$604,"Published"))</f>
        <v>0</v>
      </c>
      <c r="Y30" s="23">
        <f>IF(B30="","",IF(COUNTIF(Performance!$I$5:$I$404,B30)=0,"",SUMIFS(Performance!$O$5:$O$404,Performance!$I$5:$I$404,B30)))</f>
        <v>0</v>
      </c>
      <c r="Z30" s="23">
        <f>IF(B30="","",IF(COUNTIF(Performance!$I$5:$I$404,B30)=0,"",SUMIFS(Performance!$Z$5:$Z$404,Performance!$I$5:$I$404,B30)))</f>
        <v>0</v>
      </c>
      <c r="AA30" s="24">
        <f>IF(OR(Y30="",Y30=0),"",Z30/Y30)</f>
        <v>0</v>
      </c>
      <c r="AB30" s="23">
        <f>IF(B30="","",IF(COUNTIF(Performance!$I$5:$I$404,B30)=0,"",SUMIFS(Performance!$U$5:$U$404,Performance!$I$5:$I$404,B30)))</f>
        <v>0</v>
      </c>
      <c r="AC30" s="25">
        <f>IF(P30="","",P30-N(Q30))</f>
        <v>0</v>
      </c>
      <c r="AD30" s="24">
        <f>IF(OR(P30="",P30=0),"",N(Q30)/P30)</f>
        <v>0</v>
      </c>
      <c r="AE30" s="25">
        <f>IF(OR(R30="",R30=0),"",N(Q30)/R30)</f>
        <v>0</v>
      </c>
      <c r="AF30" s="25">
        <f>IF(OR(S30="",S30=0),"",N(Q30)/S30)</f>
        <v>0</v>
      </c>
      <c r="AG30" s="24">
        <f>IF(OR(AB30="",AB30=0),"",N(S30)/AB30)</f>
        <v>0</v>
      </c>
      <c r="AH30" s="31">
        <f>IF(OR(Q30="",Q30=0),"",N(T30)/Q30)</f>
        <v>0</v>
      </c>
      <c r="AI30" s="25">
        <f>IF(AND(T30="",Q30=""),"",N(T30)-N(Q30))</f>
        <v>0</v>
      </c>
      <c r="AJ30" s="29">
        <f>IF(B30="","",IF(N(Q30)&gt;N(P30),"Over budget",IF(AND(U30="Running",W30=0),"Action - running with no posts planned",IF(AND(J30&lt;&gt;"",J30&lt;TODAY(),U30="Running"),"Overdue - mark it complete",IF(AND(AH30&lt;&gt;"",AH30&lt;RoasTarget),"Review - return below target","OK")))))</f>
        <v>0</v>
      </c>
    </row>
    <row r="31" spans="1:36">
      <c r="A31" s="41">
        <f>IF(B31="","",CampaignPrefix&amp;TEXT(ROW()-4,"000"))</f>
        <v>0</v>
      </c>
      <c r="V31" s="23">
        <f>IF(OR(I31="",J31=""),"",J31-I31+1)</f>
        <v>0</v>
      </c>
      <c r="W31" s="23">
        <f>IF(B31="","",COUNTIF('Content Calendar'!$L$5:$L$604,B31))</f>
        <v>0</v>
      </c>
      <c r="X31" s="23">
        <f>IF(B31="","",COUNTIFS('Content Calendar'!$L$5:$L$604,B31,'Content Calendar'!$X$5:$X$604,"Published"))</f>
        <v>0</v>
      </c>
      <c r="Y31" s="23">
        <f>IF(B31="","",IF(COUNTIF(Performance!$I$5:$I$404,B31)=0,"",SUMIFS(Performance!$O$5:$O$404,Performance!$I$5:$I$404,B31)))</f>
        <v>0</v>
      </c>
      <c r="Z31" s="23">
        <f>IF(B31="","",IF(COUNTIF(Performance!$I$5:$I$404,B31)=0,"",SUMIFS(Performance!$Z$5:$Z$404,Performance!$I$5:$I$404,B31)))</f>
        <v>0</v>
      </c>
      <c r="AA31" s="24">
        <f>IF(OR(Y31="",Y31=0),"",Z31/Y31)</f>
        <v>0</v>
      </c>
      <c r="AB31" s="23">
        <f>IF(B31="","",IF(COUNTIF(Performance!$I$5:$I$404,B31)=0,"",SUMIFS(Performance!$U$5:$U$404,Performance!$I$5:$I$404,B31)))</f>
        <v>0</v>
      </c>
      <c r="AC31" s="25">
        <f>IF(P31="","",P31-N(Q31))</f>
        <v>0</v>
      </c>
      <c r="AD31" s="24">
        <f>IF(OR(P31="",P31=0),"",N(Q31)/P31)</f>
        <v>0</v>
      </c>
      <c r="AE31" s="25">
        <f>IF(OR(R31="",R31=0),"",N(Q31)/R31)</f>
        <v>0</v>
      </c>
      <c r="AF31" s="25">
        <f>IF(OR(S31="",S31=0),"",N(Q31)/S31)</f>
        <v>0</v>
      </c>
      <c r="AG31" s="24">
        <f>IF(OR(AB31="",AB31=0),"",N(S31)/AB31)</f>
        <v>0</v>
      </c>
      <c r="AH31" s="31">
        <f>IF(OR(Q31="",Q31=0),"",N(T31)/Q31)</f>
        <v>0</v>
      </c>
      <c r="AI31" s="25">
        <f>IF(AND(T31="",Q31=""),"",N(T31)-N(Q31))</f>
        <v>0</v>
      </c>
      <c r="AJ31" s="29">
        <f>IF(B31="","",IF(N(Q31)&gt;N(P31),"Over budget",IF(AND(U31="Running",W31=0),"Action - running with no posts planned",IF(AND(J31&lt;&gt;"",J31&lt;TODAY(),U31="Running"),"Overdue - mark it complete",IF(AND(AH31&lt;&gt;"",AH31&lt;RoasTarget),"Review - return below target","OK")))))</f>
        <v>0</v>
      </c>
    </row>
    <row r="32" spans="1:36">
      <c r="A32" s="41">
        <f>IF(B32="","",CampaignPrefix&amp;TEXT(ROW()-4,"000"))</f>
        <v>0</v>
      </c>
      <c r="V32" s="23">
        <f>IF(OR(I32="",J32=""),"",J32-I32+1)</f>
        <v>0</v>
      </c>
      <c r="W32" s="23">
        <f>IF(B32="","",COUNTIF('Content Calendar'!$L$5:$L$604,B32))</f>
        <v>0</v>
      </c>
      <c r="X32" s="23">
        <f>IF(B32="","",COUNTIFS('Content Calendar'!$L$5:$L$604,B32,'Content Calendar'!$X$5:$X$604,"Published"))</f>
        <v>0</v>
      </c>
      <c r="Y32" s="23">
        <f>IF(B32="","",IF(COUNTIF(Performance!$I$5:$I$404,B32)=0,"",SUMIFS(Performance!$O$5:$O$404,Performance!$I$5:$I$404,B32)))</f>
        <v>0</v>
      </c>
      <c r="Z32" s="23">
        <f>IF(B32="","",IF(COUNTIF(Performance!$I$5:$I$404,B32)=0,"",SUMIFS(Performance!$Z$5:$Z$404,Performance!$I$5:$I$404,B32)))</f>
        <v>0</v>
      </c>
      <c r="AA32" s="24">
        <f>IF(OR(Y32="",Y32=0),"",Z32/Y32)</f>
        <v>0</v>
      </c>
      <c r="AB32" s="23">
        <f>IF(B32="","",IF(COUNTIF(Performance!$I$5:$I$404,B32)=0,"",SUMIFS(Performance!$U$5:$U$404,Performance!$I$5:$I$404,B32)))</f>
        <v>0</v>
      </c>
      <c r="AC32" s="25">
        <f>IF(P32="","",P32-N(Q32))</f>
        <v>0</v>
      </c>
      <c r="AD32" s="24">
        <f>IF(OR(P32="",P32=0),"",N(Q32)/P32)</f>
        <v>0</v>
      </c>
      <c r="AE32" s="25">
        <f>IF(OR(R32="",R32=0),"",N(Q32)/R32)</f>
        <v>0</v>
      </c>
      <c r="AF32" s="25">
        <f>IF(OR(S32="",S32=0),"",N(Q32)/S32)</f>
        <v>0</v>
      </c>
      <c r="AG32" s="24">
        <f>IF(OR(AB32="",AB32=0),"",N(S32)/AB32)</f>
        <v>0</v>
      </c>
      <c r="AH32" s="31">
        <f>IF(OR(Q32="",Q32=0),"",N(T32)/Q32)</f>
        <v>0</v>
      </c>
      <c r="AI32" s="25">
        <f>IF(AND(T32="",Q32=""),"",N(T32)-N(Q32))</f>
        <v>0</v>
      </c>
      <c r="AJ32" s="29">
        <f>IF(B32="","",IF(N(Q32)&gt;N(P32),"Over budget",IF(AND(U32="Running",W32=0),"Action - running with no posts planned",IF(AND(J32&lt;&gt;"",J32&lt;TODAY(),U32="Running"),"Overdue - mark it complete",IF(AND(AH32&lt;&gt;"",AH32&lt;RoasTarget),"Review - return below target","OK")))))</f>
        <v>0</v>
      </c>
    </row>
    <row r="33" spans="1:36">
      <c r="A33" s="41">
        <f>IF(B33="","",CampaignPrefix&amp;TEXT(ROW()-4,"000"))</f>
        <v>0</v>
      </c>
      <c r="V33" s="23">
        <f>IF(OR(I33="",J33=""),"",J33-I33+1)</f>
        <v>0</v>
      </c>
      <c r="W33" s="23">
        <f>IF(B33="","",COUNTIF('Content Calendar'!$L$5:$L$604,B33))</f>
        <v>0</v>
      </c>
      <c r="X33" s="23">
        <f>IF(B33="","",COUNTIFS('Content Calendar'!$L$5:$L$604,B33,'Content Calendar'!$X$5:$X$604,"Published"))</f>
        <v>0</v>
      </c>
      <c r="Y33" s="23">
        <f>IF(B33="","",IF(COUNTIF(Performance!$I$5:$I$404,B33)=0,"",SUMIFS(Performance!$O$5:$O$404,Performance!$I$5:$I$404,B33)))</f>
        <v>0</v>
      </c>
      <c r="Z33" s="23">
        <f>IF(B33="","",IF(COUNTIF(Performance!$I$5:$I$404,B33)=0,"",SUMIFS(Performance!$Z$5:$Z$404,Performance!$I$5:$I$404,B33)))</f>
        <v>0</v>
      </c>
      <c r="AA33" s="24">
        <f>IF(OR(Y33="",Y33=0),"",Z33/Y33)</f>
        <v>0</v>
      </c>
      <c r="AB33" s="23">
        <f>IF(B33="","",IF(COUNTIF(Performance!$I$5:$I$404,B33)=0,"",SUMIFS(Performance!$U$5:$U$404,Performance!$I$5:$I$404,B33)))</f>
        <v>0</v>
      </c>
      <c r="AC33" s="25">
        <f>IF(P33="","",P33-N(Q33))</f>
        <v>0</v>
      </c>
      <c r="AD33" s="24">
        <f>IF(OR(P33="",P33=0),"",N(Q33)/P33)</f>
        <v>0</v>
      </c>
      <c r="AE33" s="25">
        <f>IF(OR(R33="",R33=0),"",N(Q33)/R33)</f>
        <v>0</v>
      </c>
      <c r="AF33" s="25">
        <f>IF(OR(S33="",S33=0),"",N(Q33)/S33)</f>
        <v>0</v>
      </c>
      <c r="AG33" s="24">
        <f>IF(OR(AB33="",AB33=0),"",N(S33)/AB33)</f>
        <v>0</v>
      </c>
      <c r="AH33" s="31">
        <f>IF(OR(Q33="",Q33=0),"",N(T33)/Q33)</f>
        <v>0</v>
      </c>
      <c r="AI33" s="25">
        <f>IF(AND(T33="",Q33=""),"",N(T33)-N(Q33))</f>
        <v>0</v>
      </c>
      <c r="AJ33" s="29">
        <f>IF(B33="","",IF(N(Q33)&gt;N(P33),"Over budget",IF(AND(U33="Running",W33=0),"Action - running with no posts planned",IF(AND(J33&lt;&gt;"",J33&lt;TODAY(),U33="Running"),"Overdue - mark it complete",IF(AND(AH33&lt;&gt;"",AH33&lt;RoasTarget),"Review - return below target","OK")))))</f>
        <v>0</v>
      </c>
    </row>
    <row r="34" spans="1:36">
      <c r="A34" s="41">
        <f>IF(B34="","",CampaignPrefix&amp;TEXT(ROW()-4,"000"))</f>
        <v>0</v>
      </c>
      <c r="V34" s="23">
        <f>IF(OR(I34="",J34=""),"",J34-I34+1)</f>
        <v>0</v>
      </c>
      <c r="W34" s="23">
        <f>IF(B34="","",COUNTIF('Content Calendar'!$L$5:$L$604,B34))</f>
        <v>0</v>
      </c>
      <c r="X34" s="23">
        <f>IF(B34="","",COUNTIFS('Content Calendar'!$L$5:$L$604,B34,'Content Calendar'!$X$5:$X$604,"Published"))</f>
        <v>0</v>
      </c>
      <c r="Y34" s="23">
        <f>IF(B34="","",IF(COUNTIF(Performance!$I$5:$I$404,B34)=0,"",SUMIFS(Performance!$O$5:$O$404,Performance!$I$5:$I$404,B34)))</f>
        <v>0</v>
      </c>
      <c r="Z34" s="23">
        <f>IF(B34="","",IF(COUNTIF(Performance!$I$5:$I$404,B34)=0,"",SUMIFS(Performance!$Z$5:$Z$404,Performance!$I$5:$I$404,B34)))</f>
        <v>0</v>
      </c>
      <c r="AA34" s="24">
        <f>IF(OR(Y34="",Y34=0),"",Z34/Y34)</f>
        <v>0</v>
      </c>
      <c r="AB34" s="23">
        <f>IF(B34="","",IF(COUNTIF(Performance!$I$5:$I$404,B34)=0,"",SUMIFS(Performance!$U$5:$U$404,Performance!$I$5:$I$404,B34)))</f>
        <v>0</v>
      </c>
      <c r="AC34" s="25">
        <f>IF(P34="","",P34-N(Q34))</f>
        <v>0</v>
      </c>
      <c r="AD34" s="24">
        <f>IF(OR(P34="",P34=0),"",N(Q34)/P34)</f>
        <v>0</v>
      </c>
      <c r="AE34" s="25">
        <f>IF(OR(R34="",R34=0),"",N(Q34)/R34)</f>
        <v>0</v>
      </c>
      <c r="AF34" s="25">
        <f>IF(OR(S34="",S34=0),"",N(Q34)/S34)</f>
        <v>0</v>
      </c>
      <c r="AG34" s="24">
        <f>IF(OR(AB34="",AB34=0),"",N(S34)/AB34)</f>
        <v>0</v>
      </c>
      <c r="AH34" s="31">
        <f>IF(OR(Q34="",Q34=0),"",N(T34)/Q34)</f>
        <v>0</v>
      </c>
      <c r="AI34" s="25">
        <f>IF(AND(T34="",Q34=""),"",N(T34)-N(Q34))</f>
        <v>0</v>
      </c>
      <c r="AJ34" s="29">
        <f>IF(B34="","",IF(N(Q34)&gt;N(P34),"Over budget",IF(AND(U34="Running",W34=0),"Action - running with no posts planned",IF(AND(J34&lt;&gt;"",J34&lt;TODAY(),U34="Running"),"Overdue - mark it complete",IF(AND(AH34&lt;&gt;"",AH34&lt;RoasTarget),"Review - return below target","OK")))))</f>
        <v>0</v>
      </c>
    </row>
    <row r="35" spans="1:36">
      <c r="A35" s="41">
        <f>IF(B35="","",CampaignPrefix&amp;TEXT(ROW()-4,"000"))</f>
        <v>0</v>
      </c>
      <c r="V35" s="23">
        <f>IF(OR(I35="",J35=""),"",J35-I35+1)</f>
        <v>0</v>
      </c>
      <c r="W35" s="23">
        <f>IF(B35="","",COUNTIF('Content Calendar'!$L$5:$L$604,B35))</f>
        <v>0</v>
      </c>
      <c r="X35" s="23">
        <f>IF(B35="","",COUNTIFS('Content Calendar'!$L$5:$L$604,B35,'Content Calendar'!$X$5:$X$604,"Published"))</f>
        <v>0</v>
      </c>
      <c r="Y35" s="23">
        <f>IF(B35="","",IF(COUNTIF(Performance!$I$5:$I$404,B35)=0,"",SUMIFS(Performance!$O$5:$O$404,Performance!$I$5:$I$404,B35)))</f>
        <v>0</v>
      </c>
      <c r="Z35" s="23">
        <f>IF(B35="","",IF(COUNTIF(Performance!$I$5:$I$404,B35)=0,"",SUMIFS(Performance!$Z$5:$Z$404,Performance!$I$5:$I$404,B35)))</f>
        <v>0</v>
      </c>
      <c r="AA35" s="24">
        <f>IF(OR(Y35="",Y35=0),"",Z35/Y35)</f>
        <v>0</v>
      </c>
      <c r="AB35" s="23">
        <f>IF(B35="","",IF(COUNTIF(Performance!$I$5:$I$404,B35)=0,"",SUMIFS(Performance!$U$5:$U$404,Performance!$I$5:$I$404,B35)))</f>
        <v>0</v>
      </c>
      <c r="AC35" s="25">
        <f>IF(P35="","",P35-N(Q35))</f>
        <v>0</v>
      </c>
      <c r="AD35" s="24">
        <f>IF(OR(P35="",P35=0),"",N(Q35)/P35)</f>
        <v>0</v>
      </c>
      <c r="AE35" s="25">
        <f>IF(OR(R35="",R35=0),"",N(Q35)/R35)</f>
        <v>0</v>
      </c>
      <c r="AF35" s="25">
        <f>IF(OR(S35="",S35=0),"",N(Q35)/S35)</f>
        <v>0</v>
      </c>
      <c r="AG35" s="24">
        <f>IF(OR(AB35="",AB35=0),"",N(S35)/AB35)</f>
        <v>0</v>
      </c>
      <c r="AH35" s="31">
        <f>IF(OR(Q35="",Q35=0),"",N(T35)/Q35)</f>
        <v>0</v>
      </c>
      <c r="AI35" s="25">
        <f>IF(AND(T35="",Q35=""),"",N(T35)-N(Q35))</f>
        <v>0</v>
      </c>
      <c r="AJ35" s="29">
        <f>IF(B35="","",IF(N(Q35)&gt;N(P35),"Over budget",IF(AND(U35="Running",W35=0),"Action - running with no posts planned",IF(AND(J35&lt;&gt;"",J35&lt;TODAY(),U35="Running"),"Overdue - mark it complete",IF(AND(AH35&lt;&gt;"",AH35&lt;RoasTarget),"Review - return below target","OK")))))</f>
        <v>0</v>
      </c>
    </row>
    <row r="36" spans="1:36">
      <c r="A36" s="41">
        <f>IF(B36="","",CampaignPrefix&amp;TEXT(ROW()-4,"000"))</f>
        <v>0</v>
      </c>
      <c r="V36" s="23">
        <f>IF(OR(I36="",J36=""),"",J36-I36+1)</f>
        <v>0</v>
      </c>
      <c r="W36" s="23">
        <f>IF(B36="","",COUNTIF('Content Calendar'!$L$5:$L$604,B36))</f>
        <v>0</v>
      </c>
      <c r="X36" s="23">
        <f>IF(B36="","",COUNTIFS('Content Calendar'!$L$5:$L$604,B36,'Content Calendar'!$X$5:$X$604,"Published"))</f>
        <v>0</v>
      </c>
      <c r="Y36" s="23">
        <f>IF(B36="","",IF(COUNTIF(Performance!$I$5:$I$404,B36)=0,"",SUMIFS(Performance!$O$5:$O$404,Performance!$I$5:$I$404,B36)))</f>
        <v>0</v>
      </c>
      <c r="Z36" s="23">
        <f>IF(B36="","",IF(COUNTIF(Performance!$I$5:$I$404,B36)=0,"",SUMIFS(Performance!$Z$5:$Z$404,Performance!$I$5:$I$404,B36)))</f>
        <v>0</v>
      </c>
      <c r="AA36" s="24">
        <f>IF(OR(Y36="",Y36=0),"",Z36/Y36)</f>
        <v>0</v>
      </c>
      <c r="AB36" s="23">
        <f>IF(B36="","",IF(COUNTIF(Performance!$I$5:$I$404,B36)=0,"",SUMIFS(Performance!$U$5:$U$404,Performance!$I$5:$I$404,B36)))</f>
        <v>0</v>
      </c>
      <c r="AC36" s="25">
        <f>IF(P36="","",P36-N(Q36))</f>
        <v>0</v>
      </c>
      <c r="AD36" s="24">
        <f>IF(OR(P36="",P36=0),"",N(Q36)/P36)</f>
        <v>0</v>
      </c>
      <c r="AE36" s="25">
        <f>IF(OR(R36="",R36=0),"",N(Q36)/R36)</f>
        <v>0</v>
      </c>
      <c r="AF36" s="25">
        <f>IF(OR(S36="",S36=0),"",N(Q36)/S36)</f>
        <v>0</v>
      </c>
      <c r="AG36" s="24">
        <f>IF(OR(AB36="",AB36=0),"",N(S36)/AB36)</f>
        <v>0</v>
      </c>
      <c r="AH36" s="31">
        <f>IF(OR(Q36="",Q36=0),"",N(T36)/Q36)</f>
        <v>0</v>
      </c>
      <c r="AI36" s="25">
        <f>IF(AND(T36="",Q36=""),"",N(T36)-N(Q36))</f>
        <v>0</v>
      </c>
      <c r="AJ36" s="29">
        <f>IF(B36="","",IF(N(Q36)&gt;N(P36),"Over budget",IF(AND(U36="Running",W36=0),"Action - running with no posts planned",IF(AND(J36&lt;&gt;"",J36&lt;TODAY(),U36="Running"),"Overdue - mark it complete",IF(AND(AH36&lt;&gt;"",AH36&lt;RoasTarget),"Review - return below target","OK")))))</f>
        <v>0</v>
      </c>
    </row>
    <row r="37" spans="1:36">
      <c r="A37" s="41">
        <f>IF(B37="","",CampaignPrefix&amp;TEXT(ROW()-4,"000"))</f>
        <v>0</v>
      </c>
      <c r="V37" s="23">
        <f>IF(OR(I37="",J37=""),"",J37-I37+1)</f>
        <v>0</v>
      </c>
      <c r="W37" s="23">
        <f>IF(B37="","",COUNTIF('Content Calendar'!$L$5:$L$604,B37))</f>
        <v>0</v>
      </c>
      <c r="X37" s="23">
        <f>IF(B37="","",COUNTIFS('Content Calendar'!$L$5:$L$604,B37,'Content Calendar'!$X$5:$X$604,"Published"))</f>
        <v>0</v>
      </c>
      <c r="Y37" s="23">
        <f>IF(B37="","",IF(COUNTIF(Performance!$I$5:$I$404,B37)=0,"",SUMIFS(Performance!$O$5:$O$404,Performance!$I$5:$I$404,B37)))</f>
        <v>0</v>
      </c>
      <c r="Z37" s="23">
        <f>IF(B37="","",IF(COUNTIF(Performance!$I$5:$I$404,B37)=0,"",SUMIFS(Performance!$Z$5:$Z$404,Performance!$I$5:$I$404,B37)))</f>
        <v>0</v>
      </c>
      <c r="AA37" s="24">
        <f>IF(OR(Y37="",Y37=0),"",Z37/Y37)</f>
        <v>0</v>
      </c>
      <c r="AB37" s="23">
        <f>IF(B37="","",IF(COUNTIF(Performance!$I$5:$I$404,B37)=0,"",SUMIFS(Performance!$U$5:$U$404,Performance!$I$5:$I$404,B37)))</f>
        <v>0</v>
      </c>
      <c r="AC37" s="25">
        <f>IF(P37="","",P37-N(Q37))</f>
        <v>0</v>
      </c>
      <c r="AD37" s="24">
        <f>IF(OR(P37="",P37=0),"",N(Q37)/P37)</f>
        <v>0</v>
      </c>
      <c r="AE37" s="25">
        <f>IF(OR(R37="",R37=0),"",N(Q37)/R37)</f>
        <v>0</v>
      </c>
      <c r="AF37" s="25">
        <f>IF(OR(S37="",S37=0),"",N(Q37)/S37)</f>
        <v>0</v>
      </c>
      <c r="AG37" s="24">
        <f>IF(OR(AB37="",AB37=0),"",N(S37)/AB37)</f>
        <v>0</v>
      </c>
      <c r="AH37" s="31">
        <f>IF(OR(Q37="",Q37=0),"",N(T37)/Q37)</f>
        <v>0</v>
      </c>
      <c r="AI37" s="25">
        <f>IF(AND(T37="",Q37=""),"",N(T37)-N(Q37))</f>
        <v>0</v>
      </c>
      <c r="AJ37" s="29">
        <f>IF(B37="","",IF(N(Q37)&gt;N(P37),"Over budget",IF(AND(U37="Running",W37=0),"Action - running with no posts planned",IF(AND(J37&lt;&gt;"",J37&lt;TODAY(),U37="Running"),"Overdue - mark it complete",IF(AND(AH37&lt;&gt;"",AH37&lt;RoasTarget),"Review - return below target","OK")))))</f>
        <v>0</v>
      </c>
    </row>
    <row r="38" spans="1:36">
      <c r="A38" s="41">
        <f>IF(B38="","",CampaignPrefix&amp;TEXT(ROW()-4,"000"))</f>
        <v>0</v>
      </c>
      <c r="V38" s="23">
        <f>IF(OR(I38="",J38=""),"",J38-I38+1)</f>
        <v>0</v>
      </c>
      <c r="W38" s="23">
        <f>IF(B38="","",COUNTIF('Content Calendar'!$L$5:$L$604,B38))</f>
        <v>0</v>
      </c>
      <c r="X38" s="23">
        <f>IF(B38="","",COUNTIFS('Content Calendar'!$L$5:$L$604,B38,'Content Calendar'!$X$5:$X$604,"Published"))</f>
        <v>0</v>
      </c>
      <c r="Y38" s="23">
        <f>IF(B38="","",IF(COUNTIF(Performance!$I$5:$I$404,B38)=0,"",SUMIFS(Performance!$O$5:$O$404,Performance!$I$5:$I$404,B38)))</f>
        <v>0</v>
      </c>
      <c r="Z38" s="23">
        <f>IF(B38="","",IF(COUNTIF(Performance!$I$5:$I$404,B38)=0,"",SUMIFS(Performance!$Z$5:$Z$404,Performance!$I$5:$I$404,B38)))</f>
        <v>0</v>
      </c>
      <c r="AA38" s="24">
        <f>IF(OR(Y38="",Y38=0),"",Z38/Y38)</f>
        <v>0</v>
      </c>
      <c r="AB38" s="23">
        <f>IF(B38="","",IF(COUNTIF(Performance!$I$5:$I$404,B38)=0,"",SUMIFS(Performance!$U$5:$U$404,Performance!$I$5:$I$404,B38)))</f>
        <v>0</v>
      </c>
      <c r="AC38" s="25">
        <f>IF(P38="","",P38-N(Q38))</f>
        <v>0</v>
      </c>
      <c r="AD38" s="24">
        <f>IF(OR(P38="",P38=0),"",N(Q38)/P38)</f>
        <v>0</v>
      </c>
      <c r="AE38" s="25">
        <f>IF(OR(R38="",R38=0),"",N(Q38)/R38)</f>
        <v>0</v>
      </c>
      <c r="AF38" s="25">
        <f>IF(OR(S38="",S38=0),"",N(Q38)/S38)</f>
        <v>0</v>
      </c>
      <c r="AG38" s="24">
        <f>IF(OR(AB38="",AB38=0),"",N(S38)/AB38)</f>
        <v>0</v>
      </c>
      <c r="AH38" s="31">
        <f>IF(OR(Q38="",Q38=0),"",N(T38)/Q38)</f>
        <v>0</v>
      </c>
      <c r="AI38" s="25">
        <f>IF(AND(T38="",Q38=""),"",N(T38)-N(Q38))</f>
        <v>0</v>
      </c>
      <c r="AJ38" s="29">
        <f>IF(B38="","",IF(N(Q38)&gt;N(P38),"Over budget",IF(AND(U38="Running",W38=0),"Action - running with no posts planned",IF(AND(J38&lt;&gt;"",J38&lt;TODAY(),U38="Running"),"Overdue - mark it complete",IF(AND(AH38&lt;&gt;"",AH38&lt;RoasTarget),"Review - return below target","OK")))))</f>
        <v>0</v>
      </c>
    </row>
    <row r="39" spans="1:36">
      <c r="A39" s="41">
        <f>IF(B39="","",CampaignPrefix&amp;TEXT(ROW()-4,"000"))</f>
        <v>0</v>
      </c>
      <c r="V39" s="23">
        <f>IF(OR(I39="",J39=""),"",J39-I39+1)</f>
        <v>0</v>
      </c>
      <c r="W39" s="23">
        <f>IF(B39="","",COUNTIF('Content Calendar'!$L$5:$L$604,B39))</f>
        <v>0</v>
      </c>
      <c r="X39" s="23">
        <f>IF(B39="","",COUNTIFS('Content Calendar'!$L$5:$L$604,B39,'Content Calendar'!$X$5:$X$604,"Published"))</f>
        <v>0</v>
      </c>
      <c r="Y39" s="23">
        <f>IF(B39="","",IF(COUNTIF(Performance!$I$5:$I$404,B39)=0,"",SUMIFS(Performance!$O$5:$O$404,Performance!$I$5:$I$404,B39)))</f>
        <v>0</v>
      </c>
      <c r="Z39" s="23">
        <f>IF(B39="","",IF(COUNTIF(Performance!$I$5:$I$404,B39)=0,"",SUMIFS(Performance!$Z$5:$Z$404,Performance!$I$5:$I$404,B39)))</f>
        <v>0</v>
      </c>
      <c r="AA39" s="24">
        <f>IF(OR(Y39="",Y39=0),"",Z39/Y39)</f>
        <v>0</v>
      </c>
      <c r="AB39" s="23">
        <f>IF(B39="","",IF(COUNTIF(Performance!$I$5:$I$404,B39)=0,"",SUMIFS(Performance!$U$5:$U$404,Performance!$I$5:$I$404,B39)))</f>
        <v>0</v>
      </c>
      <c r="AC39" s="25">
        <f>IF(P39="","",P39-N(Q39))</f>
        <v>0</v>
      </c>
      <c r="AD39" s="24">
        <f>IF(OR(P39="",P39=0),"",N(Q39)/P39)</f>
        <v>0</v>
      </c>
      <c r="AE39" s="25">
        <f>IF(OR(R39="",R39=0),"",N(Q39)/R39)</f>
        <v>0</v>
      </c>
      <c r="AF39" s="25">
        <f>IF(OR(S39="",S39=0),"",N(Q39)/S39)</f>
        <v>0</v>
      </c>
      <c r="AG39" s="24">
        <f>IF(OR(AB39="",AB39=0),"",N(S39)/AB39)</f>
        <v>0</v>
      </c>
      <c r="AH39" s="31">
        <f>IF(OR(Q39="",Q39=0),"",N(T39)/Q39)</f>
        <v>0</v>
      </c>
      <c r="AI39" s="25">
        <f>IF(AND(T39="",Q39=""),"",N(T39)-N(Q39))</f>
        <v>0</v>
      </c>
      <c r="AJ39" s="29">
        <f>IF(B39="","",IF(N(Q39)&gt;N(P39),"Over budget",IF(AND(U39="Running",W39=0),"Action - running with no posts planned",IF(AND(J39&lt;&gt;"",J39&lt;TODAY(),U39="Running"),"Overdue - mark it complete",IF(AND(AH39&lt;&gt;"",AH39&lt;RoasTarget),"Review - return below target","OK")))))</f>
        <v>0</v>
      </c>
    </row>
    <row r="40" spans="1:36">
      <c r="A40" s="41">
        <f>IF(B40="","",CampaignPrefix&amp;TEXT(ROW()-4,"000"))</f>
        <v>0</v>
      </c>
      <c r="V40" s="23">
        <f>IF(OR(I40="",J40=""),"",J40-I40+1)</f>
        <v>0</v>
      </c>
      <c r="W40" s="23">
        <f>IF(B40="","",COUNTIF('Content Calendar'!$L$5:$L$604,B40))</f>
        <v>0</v>
      </c>
      <c r="X40" s="23">
        <f>IF(B40="","",COUNTIFS('Content Calendar'!$L$5:$L$604,B40,'Content Calendar'!$X$5:$X$604,"Published"))</f>
        <v>0</v>
      </c>
      <c r="Y40" s="23">
        <f>IF(B40="","",IF(COUNTIF(Performance!$I$5:$I$404,B40)=0,"",SUMIFS(Performance!$O$5:$O$404,Performance!$I$5:$I$404,B40)))</f>
        <v>0</v>
      </c>
      <c r="Z40" s="23">
        <f>IF(B40="","",IF(COUNTIF(Performance!$I$5:$I$404,B40)=0,"",SUMIFS(Performance!$Z$5:$Z$404,Performance!$I$5:$I$404,B40)))</f>
        <v>0</v>
      </c>
      <c r="AA40" s="24">
        <f>IF(OR(Y40="",Y40=0),"",Z40/Y40)</f>
        <v>0</v>
      </c>
      <c r="AB40" s="23">
        <f>IF(B40="","",IF(COUNTIF(Performance!$I$5:$I$404,B40)=0,"",SUMIFS(Performance!$U$5:$U$404,Performance!$I$5:$I$404,B40)))</f>
        <v>0</v>
      </c>
      <c r="AC40" s="25">
        <f>IF(P40="","",P40-N(Q40))</f>
        <v>0</v>
      </c>
      <c r="AD40" s="24">
        <f>IF(OR(P40="",P40=0),"",N(Q40)/P40)</f>
        <v>0</v>
      </c>
      <c r="AE40" s="25">
        <f>IF(OR(R40="",R40=0),"",N(Q40)/R40)</f>
        <v>0</v>
      </c>
      <c r="AF40" s="25">
        <f>IF(OR(S40="",S40=0),"",N(Q40)/S40)</f>
        <v>0</v>
      </c>
      <c r="AG40" s="24">
        <f>IF(OR(AB40="",AB40=0),"",N(S40)/AB40)</f>
        <v>0</v>
      </c>
      <c r="AH40" s="31">
        <f>IF(OR(Q40="",Q40=0),"",N(T40)/Q40)</f>
        <v>0</v>
      </c>
      <c r="AI40" s="25">
        <f>IF(AND(T40="",Q40=""),"",N(T40)-N(Q40))</f>
        <v>0</v>
      </c>
      <c r="AJ40" s="29">
        <f>IF(B40="","",IF(N(Q40)&gt;N(P40),"Over budget",IF(AND(U40="Running",W40=0),"Action - running with no posts planned",IF(AND(J40&lt;&gt;"",J40&lt;TODAY(),U40="Running"),"Overdue - mark it complete",IF(AND(AH40&lt;&gt;"",AH40&lt;RoasTarget),"Review - return below target","OK")))))</f>
        <v>0</v>
      </c>
    </row>
    <row r="41" spans="1:36">
      <c r="A41" s="41">
        <f>IF(B41="","",CampaignPrefix&amp;TEXT(ROW()-4,"000"))</f>
        <v>0</v>
      </c>
      <c r="V41" s="23">
        <f>IF(OR(I41="",J41=""),"",J41-I41+1)</f>
        <v>0</v>
      </c>
      <c r="W41" s="23">
        <f>IF(B41="","",COUNTIF('Content Calendar'!$L$5:$L$604,B41))</f>
        <v>0</v>
      </c>
      <c r="X41" s="23">
        <f>IF(B41="","",COUNTIFS('Content Calendar'!$L$5:$L$604,B41,'Content Calendar'!$X$5:$X$604,"Published"))</f>
        <v>0</v>
      </c>
      <c r="Y41" s="23">
        <f>IF(B41="","",IF(COUNTIF(Performance!$I$5:$I$404,B41)=0,"",SUMIFS(Performance!$O$5:$O$404,Performance!$I$5:$I$404,B41)))</f>
        <v>0</v>
      </c>
      <c r="Z41" s="23">
        <f>IF(B41="","",IF(COUNTIF(Performance!$I$5:$I$404,B41)=0,"",SUMIFS(Performance!$Z$5:$Z$404,Performance!$I$5:$I$404,B41)))</f>
        <v>0</v>
      </c>
      <c r="AA41" s="24">
        <f>IF(OR(Y41="",Y41=0),"",Z41/Y41)</f>
        <v>0</v>
      </c>
      <c r="AB41" s="23">
        <f>IF(B41="","",IF(COUNTIF(Performance!$I$5:$I$404,B41)=0,"",SUMIFS(Performance!$U$5:$U$404,Performance!$I$5:$I$404,B41)))</f>
        <v>0</v>
      </c>
      <c r="AC41" s="25">
        <f>IF(P41="","",P41-N(Q41))</f>
        <v>0</v>
      </c>
      <c r="AD41" s="24">
        <f>IF(OR(P41="",P41=0),"",N(Q41)/P41)</f>
        <v>0</v>
      </c>
      <c r="AE41" s="25">
        <f>IF(OR(R41="",R41=0),"",N(Q41)/R41)</f>
        <v>0</v>
      </c>
      <c r="AF41" s="25">
        <f>IF(OR(S41="",S41=0),"",N(Q41)/S41)</f>
        <v>0</v>
      </c>
      <c r="AG41" s="24">
        <f>IF(OR(AB41="",AB41=0),"",N(S41)/AB41)</f>
        <v>0</v>
      </c>
      <c r="AH41" s="31">
        <f>IF(OR(Q41="",Q41=0),"",N(T41)/Q41)</f>
        <v>0</v>
      </c>
      <c r="AI41" s="25">
        <f>IF(AND(T41="",Q41=""),"",N(T41)-N(Q41))</f>
        <v>0</v>
      </c>
      <c r="AJ41" s="29">
        <f>IF(B41="","",IF(N(Q41)&gt;N(P41),"Over budget",IF(AND(U41="Running",W41=0),"Action - running with no posts planned",IF(AND(J41&lt;&gt;"",J41&lt;TODAY(),U41="Running"),"Overdue - mark it complete",IF(AND(AH41&lt;&gt;"",AH41&lt;RoasTarget),"Review - return below target","OK")))))</f>
        <v>0</v>
      </c>
    </row>
    <row r="42" spans="1:36">
      <c r="A42" s="41">
        <f>IF(B42="","",CampaignPrefix&amp;TEXT(ROW()-4,"000"))</f>
        <v>0</v>
      </c>
      <c r="V42" s="23">
        <f>IF(OR(I42="",J42=""),"",J42-I42+1)</f>
        <v>0</v>
      </c>
      <c r="W42" s="23">
        <f>IF(B42="","",COUNTIF('Content Calendar'!$L$5:$L$604,B42))</f>
        <v>0</v>
      </c>
      <c r="X42" s="23">
        <f>IF(B42="","",COUNTIFS('Content Calendar'!$L$5:$L$604,B42,'Content Calendar'!$X$5:$X$604,"Published"))</f>
        <v>0</v>
      </c>
      <c r="Y42" s="23">
        <f>IF(B42="","",IF(COUNTIF(Performance!$I$5:$I$404,B42)=0,"",SUMIFS(Performance!$O$5:$O$404,Performance!$I$5:$I$404,B42)))</f>
        <v>0</v>
      </c>
      <c r="Z42" s="23">
        <f>IF(B42="","",IF(COUNTIF(Performance!$I$5:$I$404,B42)=0,"",SUMIFS(Performance!$Z$5:$Z$404,Performance!$I$5:$I$404,B42)))</f>
        <v>0</v>
      </c>
      <c r="AA42" s="24">
        <f>IF(OR(Y42="",Y42=0),"",Z42/Y42)</f>
        <v>0</v>
      </c>
      <c r="AB42" s="23">
        <f>IF(B42="","",IF(COUNTIF(Performance!$I$5:$I$404,B42)=0,"",SUMIFS(Performance!$U$5:$U$404,Performance!$I$5:$I$404,B42)))</f>
        <v>0</v>
      </c>
      <c r="AC42" s="25">
        <f>IF(P42="","",P42-N(Q42))</f>
        <v>0</v>
      </c>
      <c r="AD42" s="24">
        <f>IF(OR(P42="",P42=0),"",N(Q42)/P42)</f>
        <v>0</v>
      </c>
      <c r="AE42" s="25">
        <f>IF(OR(R42="",R42=0),"",N(Q42)/R42)</f>
        <v>0</v>
      </c>
      <c r="AF42" s="25">
        <f>IF(OR(S42="",S42=0),"",N(Q42)/S42)</f>
        <v>0</v>
      </c>
      <c r="AG42" s="24">
        <f>IF(OR(AB42="",AB42=0),"",N(S42)/AB42)</f>
        <v>0</v>
      </c>
      <c r="AH42" s="31">
        <f>IF(OR(Q42="",Q42=0),"",N(T42)/Q42)</f>
        <v>0</v>
      </c>
      <c r="AI42" s="25">
        <f>IF(AND(T42="",Q42=""),"",N(T42)-N(Q42))</f>
        <v>0</v>
      </c>
      <c r="AJ42" s="29">
        <f>IF(B42="","",IF(N(Q42)&gt;N(P42),"Over budget",IF(AND(U42="Running",W42=0),"Action - running with no posts planned",IF(AND(J42&lt;&gt;"",J42&lt;TODAY(),U42="Running"),"Overdue - mark it complete",IF(AND(AH42&lt;&gt;"",AH42&lt;RoasTarget),"Review - return below target","OK")))))</f>
        <v>0</v>
      </c>
    </row>
    <row r="43" spans="1:36">
      <c r="A43" s="41">
        <f>IF(B43="","",CampaignPrefix&amp;TEXT(ROW()-4,"000"))</f>
        <v>0</v>
      </c>
      <c r="V43" s="23">
        <f>IF(OR(I43="",J43=""),"",J43-I43+1)</f>
        <v>0</v>
      </c>
      <c r="W43" s="23">
        <f>IF(B43="","",COUNTIF('Content Calendar'!$L$5:$L$604,B43))</f>
        <v>0</v>
      </c>
      <c r="X43" s="23">
        <f>IF(B43="","",COUNTIFS('Content Calendar'!$L$5:$L$604,B43,'Content Calendar'!$X$5:$X$604,"Published"))</f>
        <v>0</v>
      </c>
      <c r="Y43" s="23">
        <f>IF(B43="","",IF(COUNTIF(Performance!$I$5:$I$404,B43)=0,"",SUMIFS(Performance!$O$5:$O$404,Performance!$I$5:$I$404,B43)))</f>
        <v>0</v>
      </c>
      <c r="Z43" s="23">
        <f>IF(B43="","",IF(COUNTIF(Performance!$I$5:$I$404,B43)=0,"",SUMIFS(Performance!$Z$5:$Z$404,Performance!$I$5:$I$404,B43)))</f>
        <v>0</v>
      </c>
      <c r="AA43" s="24">
        <f>IF(OR(Y43="",Y43=0),"",Z43/Y43)</f>
        <v>0</v>
      </c>
      <c r="AB43" s="23">
        <f>IF(B43="","",IF(COUNTIF(Performance!$I$5:$I$404,B43)=0,"",SUMIFS(Performance!$U$5:$U$404,Performance!$I$5:$I$404,B43)))</f>
        <v>0</v>
      </c>
      <c r="AC43" s="25">
        <f>IF(P43="","",P43-N(Q43))</f>
        <v>0</v>
      </c>
      <c r="AD43" s="24">
        <f>IF(OR(P43="",P43=0),"",N(Q43)/P43)</f>
        <v>0</v>
      </c>
      <c r="AE43" s="25">
        <f>IF(OR(R43="",R43=0),"",N(Q43)/R43)</f>
        <v>0</v>
      </c>
      <c r="AF43" s="25">
        <f>IF(OR(S43="",S43=0),"",N(Q43)/S43)</f>
        <v>0</v>
      </c>
      <c r="AG43" s="24">
        <f>IF(OR(AB43="",AB43=0),"",N(S43)/AB43)</f>
        <v>0</v>
      </c>
      <c r="AH43" s="31">
        <f>IF(OR(Q43="",Q43=0),"",N(T43)/Q43)</f>
        <v>0</v>
      </c>
      <c r="AI43" s="25">
        <f>IF(AND(T43="",Q43=""),"",N(T43)-N(Q43))</f>
        <v>0</v>
      </c>
      <c r="AJ43" s="29">
        <f>IF(B43="","",IF(N(Q43)&gt;N(P43),"Over budget",IF(AND(U43="Running",W43=0),"Action - running with no posts planned",IF(AND(J43&lt;&gt;"",J43&lt;TODAY(),U43="Running"),"Overdue - mark it complete",IF(AND(AH43&lt;&gt;"",AH43&lt;RoasTarget),"Review - return below target","OK")))))</f>
        <v>0</v>
      </c>
    </row>
    <row r="44" spans="1:36">
      <c r="A44" s="41">
        <f>IF(B44="","",CampaignPrefix&amp;TEXT(ROW()-4,"000"))</f>
        <v>0</v>
      </c>
      <c r="V44" s="23">
        <f>IF(OR(I44="",J44=""),"",J44-I44+1)</f>
        <v>0</v>
      </c>
      <c r="W44" s="23">
        <f>IF(B44="","",COUNTIF('Content Calendar'!$L$5:$L$604,B44))</f>
        <v>0</v>
      </c>
      <c r="X44" s="23">
        <f>IF(B44="","",COUNTIFS('Content Calendar'!$L$5:$L$604,B44,'Content Calendar'!$X$5:$X$604,"Published"))</f>
        <v>0</v>
      </c>
      <c r="Y44" s="23">
        <f>IF(B44="","",IF(COUNTIF(Performance!$I$5:$I$404,B44)=0,"",SUMIFS(Performance!$O$5:$O$404,Performance!$I$5:$I$404,B44)))</f>
        <v>0</v>
      </c>
      <c r="Z44" s="23">
        <f>IF(B44="","",IF(COUNTIF(Performance!$I$5:$I$404,B44)=0,"",SUMIFS(Performance!$Z$5:$Z$404,Performance!$I$5:$I$404,B44)))</f>
        <v>0</v>
      </c>
      <c r="AA44" s="24">
        <f>IF(OR(Y44="",Y44=0),"",Z44/Y44)</f>
        <v>0</v>
      </c>
      <c r="AB44" s="23">
        <f>IF(B44="","",IF(COUNTIF(Performance!$I$5:$I$404,B44)=0,"",SUMIFS(Performance!$U$5:$U$404,Performance!$I$5:$I$404,B44)))</f>
        <v>0</v>
      </c>
      <c r="AC44" s="25">
        <f>IF(P44="","",P44-N(Q44))</f>
        <v>0</v>
      </c>
      <c r="AD44" s="24">
        <f>IF(OR(P44="",P44=0),"",N(Q44)/P44)</f>
        <v>0</v>
      </c>
      <c r="AE44" s="25">
        <f>IF(OR(R44="",R44=0),"",N(Q44)/R44)</f>
        <v>0</v>
      </c>
      <c r="AF44" s="25">
        <f>IF(OR(S44="",S44=0),"",N(Q44)/S44)</f>
        <v>0</v>
      </c>
      <c r="AG44" s="24">
        <f>IF(OR(AB44="",AB44=0),"",N(S44)/AB44)</f>
        <v>0</v>
      </c>
      <c r="AH44" s="31">
        <f>IF(OR(Q44="",Q44=0),"",N(T44)/Q44)</f>
        <v>0</v>
      </c>
      <c r="AI44" s="25">
        <f>IF(AND(T44="",Q44=""),"",N(T44)-N(Q44))</f>
        <v>0</v>
      </c>
      <c r="AJ44" s="29">
        <f>IF(B44="","",IF(N(Q44)&gt;N(P44),"Over budget",IF(AND(U44="Running",W44=0),"Action - running with no posts planned",IF(AND(J44&lt;&gt;"",J44&lt;TODAY(),U44="Running"),"Overdue - mark it complete",IF(AND(AH44&lt;&gt;"",AH44&lt;RoasTarget),"Review - return below target","OK")))))</f>
        <v>0</v>
      </c>
    </row>
    <row r="45" spans="1:36">
      <c r="A45" s="41">
        <f>IF(B45="","",CampaignPrefix&amp;TEXT(ROW()-4,"000"))</f>
        <v>0</v>
      </c>
      <c r="V45" s="23">
        <f>IF(OR(I45="",J45=""),"",J45-I45+1)</f>
        <v>0</v>
      </c>
      <c r="W45" s="23">
        <f>IF(B45="","",COUNTIF('Content Calendar'!$L$5:$L$604,B45))</f>
        <v>0</v>
      </c>
      <c r="X45" s="23">
        <f>IF(B45="","",COUNTIFS('Content Calendar'!$L$5:$L$604,B45,'Content Calendar'!$X$5:$X$604,"Published"))</f>
        <v>0</v>
      </c>
      <c r="Y45" s="23">
        <f>IF(B45="","",IF(COUNTIF(Performance!$I$5:$I$404,B45)=0,"",SUMIFS(Performance!$O$5:$O$404,Performance!$I$5:$I$404,B45)))</f>
        <v>0</v>
      </c>
      <c r="Z45" s="23">
        <f>IF(B45="","",IF(COUNTIF(Performance!$I$5:$I$404,B45)=0,"",SUMIFS(Performance!$Z$5:$Z$404,Performance!$I$5:$I$404,B45)))</f>
        <v>0</v>
      </c>
      <c r="AA45" s="24">
        <f>IF(OR(Y45="",Y45=0),"",Z45/Y45)</f>
        <v>0</v>
      </c>
      <c r="AB45" s="23">
        <f>IF(B45="","",IF(COUNTIF(Performance!$I$5:$I$404,B45)=0,"",SUMIFS(Performance!$U$5:$U$404,Performance!$I$5:$I$404,B45)))</f>
        <v>0</v>
      </c>
      <c r="AC45" s="25">
        <f>IF(P45="","",P45-N(Q45))</f>
        <v>0</v>
      </c>
      <c r="AD45" s="24">
        <f>IF(OR(P45="",P45=0),"",N(Q45)/P45)</f>
        <v>0</v>
      </c>
      <c r="AE45" s="25">
        <f>IF(OR(R45="",R45=0),"",N(Q45)/R45)</f>
        <v>0</v>
      </c>
      <c r="AF45" s="25">
        <f>IF(OR(S45="",S45=0),"",N(Q45)/S45)</f>
        <v>0</v>
      </c>
      <c r="AG45" s="24">
        <f>IF(OR(AB45="",AB45=0),"",N(S45)/AB45)</f>
        <v>0</v>
      </c>
      <c r="AH45" s="31">
        <f>IF(OR(Q45="",Q45=0),"",N(T45)/Q45)</f>
        <v>0</v>
      </c>
      <c r="AI45" s="25">
        <f>IF(AND(T45="",Q45=""),"",N(T45)-N(Q45))</f>
        <v>0</v>
      </c>
      <c r="AJ45" s="29">
        <f>IF(B45="","",IF(N(Q45)&gt;N(P45),"Over budget",IF(AND(U45="Running",W45=0),"Action - running with no posts planned",IF(AND(J45&lt;&gt;"",J45&lt;TODAY(),U45="Running"),"Overdue - mark it complete",IF(AND(AH45&lt;&gt;"",AH45&lt;RoasTarget),"Review - return below target","OK")))))</f>
        <v>0</v>
      </c>
    </row>
    <row r="46" spans="1:36">
      <c r="A46" s="41">
        <f>IF(B46="","",CampaignPrefix&amp;TEXT(ROW()-4,"000"))</f>
        <v>0</v>
      </c>
      <c r="V46" s="23">
        <f>IF(OR(I46="",J46=""),"",J46-I46+1)</f>
        <v>0</v>
      </c>
      <c r="W46" s="23">
        <f>IF(B46="","",COUNTIF('Content Calendar'!$L$5:$L$604,B46))</f>
        <v>0</v>
      </c>
      <c r="X46" s="23">
        <f>IF(B46="","",COUNTIFS('Content Calendar'!$L$5:$L$604,B46,'Content Calendar'!$X$5:$X$604,"Published"))</f>
        <v>0</v>
      </c>
      <c r="Y46" s="23">
        <f>IF(B46="","",IF(COUNTIF(Performance!$I$5:$I$404,B46)=0,"",SUMIFS(Performance!$O$5:$O$404,Performance!$I$5:$I$404,B46)))</f>
        <v>0</v>
      </c>
      <c r="Z46" s="23">
        <f>IF(B46="","",IF(COUNTIF(Performance!$I$5:$I$404,B46)=0,"",SUMIFS(Performance!$Z$5:$Z$404,Performance!$I$5:$I$404,B46)))</f>
        <v>0</v>
      </c>
      <c r="AA46" s="24">
        <f>IF(OR(Y46="",Y46=0),"",Z46/Y46)</f>
        <v>0</v>
      </c>
      <c r="AB46" s="23">
        <f>IF(B46="","",IF(COUNTIF(Performance!$I$5:$I$404,B46)=0,"",SUMIFS(Performance!$U$5:$U$404,Performance!$I$5:$I$404,B46)))</f>
        <v>0</v>
      </c>
      <c r="AC46" s="25">
        <f>IF(P46="","",P46-N(Q46))</f>
        <v>0</v>
      </c>
      <c r="AD46" s="24">
        <f>IF(OR(P46="",P46=0),"",N(Q46)/P46)</f>
        <v>0</v>
      </c>
      <c r="AE46" s="25">
        <f>IF(OR(R46="",R46=0),"",N(Q46)/R46)</f>
        <v>0</v>
      </c>
      <c r="AF46" s="25">
        <f>IF(OR(S46="",S46=0),"",N(Q46)/S46)</f>
        <v>0</v>
      </c>
      <c r="AG46" s="24">
        <f>IF(OR(AB46="",AB46=0),"",N(S46)/AB46)</f>
        <v>0</v>
      </c>
      <c r="AH46" s="31">
        <f>IF(OR(Q46="",Q46=0),"",N(T46)/Q46)</f>
        <v>0</v>
      </c>
      <c r="AI46" s="25">
        <f>IF(AND(T46="",Q46=""),"",N(T46)-N(Q46))</f>
        <v>0</v>
      </c>
      <c r="AJ46" s="29">
        <f>IF(B46="","",IF(N(Q46)&gt;N(P46),"Over budget",IF(AND(U46="Running",W46=0),"Action - running with no posts planned",IF(AND(J46&lt;&gt;"",J46&lt;TODAY(),U46="Running"),"Overdue - mark it complete",IF(AND(AH46&lt;&gt;"",AH46&lt;RoasTarget),"Review - return below target","OK")))))</f>
        <v>0</v>
      </c>
    </row>
    <row r="47" spans="1:36">
      <c r="A47" s="41">
        <f>IF(B47="","",CampaignPrefix&amp;TEXT(ROW()-4,"000"))</f>
        <v>0</v>
      </c>
      <c r="V47" s="23">
        <f>IF(OR(I47="",J47=""),"",J47-I47+1)</f>
        <v>0</v>
      </c>
      <c r="W47" s="23">
        <f>IF(B47="","",COUNTIF('Content Calendar'!$L$5:$L$604,B47))</f>
        <v>0</v>
      </c>
      <c r="X47" s="23">
        <f>IF(B47="","",COUNTIFS('Content Calendar'!$L$5:$L$604,B47,'Content Calendar'!$X$5:$X$604,"Published"))</f>
        <v>0</v>
      </c>
      <c r="Y47" s="23">
        <f>IF(B47="","",IF(COUNTIF(Performance!$I$5:$I$404,B47)=0,"",SUMIFS(Performance!$O$5:$O$404,Performance!$I$5:$I$404,B47)))</f>
        <v>0</v>
      </c>
      <c r="Z47" s="23">
        <f>IF(B47="","",IF(COUNTIF(Performance!$I$5:$I$404,B47)=0,"",SUMIFS(Performance!$Z$5:$Z$404,Performance!$I$5:$I$404,B47)))</f>
        <v>0</v>
      </c>
      <c r="AA47" s="24">
        <f>IF(OR(Y47="",Y47=0),"",Z47/Y47)</f>
        <v>0</v>
      </c>
      <c r="AB47" s="23">
        <f>IF(B47="","",IF(COUNTIF(Performance!$I$5:$I$404,B47)=0,"",SUMIFS(Performance!$U$5:$U$404,Performance!$I$5:$I$404,B47)))</f>
        <v>0</v>
      </c>
      <c r="AC47" s="25">
        <f>IF(P47="","",P47-N(Q47))</f>
        <v>0</v>
      </c>
      <c r="AD47" s="24">
        <f>IF(OR(P47="",P47=0),"",N(Q47)/P47)</f>
        <v>0</v>
      </c>
      <c r="AE47" s="25">
        <f>IF(OR(R47="",R47=0),"",N(Q47)/R47)</f>
        <v>0</v>
      </c>
      <c r="AF47" s="25">
        <f>IF(OR(S47="",S47=0),"",N(Q47)/S47)</f>
        <v>0</v>
      </c>
      <c r="AG47" s="24">
        <f>IF(OR(AB47="",AB47=0),"",N(S47)/AB47)</f>
        <v>0</v>
      </c>
      <c r="AH47" s="31">
        <f>IF(OR(Q47="",Q47=0),"",N(T47)/Q47)</f>
        <v>0</v>
      </c>
      <c r="AI47" s="25">
        <f>IF(AND(T47="",Q47=""),"",N(T47)-N(Q47))</f>
        <v>0</v>
      </c>
      <c r="AJ47" s="29">
        <f>IF(B47="","",IF(N(Q47)&gt;N(P47),"Over budget",IF(AND(U47="Running",W47=0),"Action - running with no posts planned",IF(AND(J47&lt;&gt;"",J47&lt;TODAY(),U47="Running"),"Overdue - mark it complete",IF(AND(AH47&lt;&gt;"",AH47&lt;RoasTarget),"Review - return below target","OK")))))</f>
        <v>0</v>
      </c>
    </row>
    <row r="48" spans="1:36">
      <c r="A48" s="41">
        <f>IF(B48="","",CampaignPrefix&amp;TEXT(ROW()-4,"000"))</f>
        <v>0</v>
      </c>
      <c r="V48" s="23">
        <f>IF(OR(I48="",J48=""),"",J48-I48+1)</f>
        <v>0</v>
      </c>
      <c r="W48" s="23">
        <f>IF(B48="","",COUNTIF('Content Calendar'!$L$5:$L$604,B48))</f>
        <v>0</v>
      </c>
      <c r="X48" s="23">
        <f>IF(B48="","",COUNTIFS('Content Calendar'!$L$5:$L$604,B48,'Content Calendar'!$X$5:$X$604,"Published"))</f>
        <v>0</v>
      </c>
      <c r="Y48" s="23">
        <f>IF(B48="","",IF(COUNTIF(Performance!$I$5:$I$404,B48)=0,"",SUMIFS(Performance!$O$5:$O$404,Performance!$I$5:$I$404,B48)))</f>
        <v>0</v>
      </c>
      <c r="Z48" s="23">
        <f>IF(B48="","",IF(COUNTIF(Performance!$I$5:$I$404,B48)=0,"",SUMIFS(Performance!$Z$5:$Z$404,Performance!$I$5:$I$404,B48)))</f>
        <v>0</v>
      </c>
      <c r="AA48" s="24">
        <f>IF(OR(Y48="",Y48=0),"",Z48/Y48)</f>
        <v>0</v>
      </c>
      <c r="AB48" s="23">
        <f>IF(B48="","",IF(COUNTIF(Performance!$I$5:$I$404,B48)=0,"",SUMIFS(Performance!$U$5:$U$404,Performance!$I$5:$I$404,B48)))</f>
        <v>0</v>
      </c>
      <c r="AC48" s="25">
        <f>IF(P48="","",P48-N(Q48))</f>
        <v>0</v>
      </c>
      <c r="AD48" s="24">
        <f>IF(OR(P48="",P48=0),"",N(Q48)/P48)</f>
        <v>0</v>
      </c>
      <c r="AE48" s="25">
        <f>IF(OR(R48="",R48=0),"",N(Q48)/R48)</f>
        <v>0</v>
      </c>
      <c r="AF48" s="25">
        <f>IF(OR(S48="",S48=0),"",N(Q48)/S48)</f>
        <v>0</v>
      </c>
      <c r="AG48" s="24">
        <f>IF(OR(AB48="",AB48=0),"",N(S48)/AB48)</f>
        <v>0</v>
      </c>
      <c r="AH48" s="31">
        <f>IF(OR(Q48="",Q48=0),"",N(T48)/Q48)</f>
        <v>0</v>
      </c>
      <c r="AI48" s="25">
        <f>IF(AND(T48="",Q48=""),"",N(T48)-N(Q48))</f>
        <v>0</v>
      </c>
      <c r="AJ48" s="29">
        <f>IF(B48="","",IF(N(Q48)&gt;N(P48),"Over budget",IF(AND(U48="Running",W48=0),"Action - running with no posts planned",IF(AND(J48&lt;&gt;"",J48&lt;TODAY(),U48="Running"),"Overdue - mark it complete",IF(AND(AH48&lt;&gt;"",AH48&lt;RoasTarget),"Review - return below target","OK")))))</f>
        <v>0</v>
      </c>
    </row>
    <row r="49" spans="1:36">
      <c r="A49" s="41">
        <f>IF(B49="","",CampaignPrefix&amp;TEXT(ROW()-4,"000"))</f>
        <v>0</v>
      </c>
      <c r="V49" s="23">
        <f>IF(OR(I49="",J49=""),"",J49-I49+1)</f>
        <v>0</v>
      </c>
      <c r="W49" s="23">
        <f>IF(B49="","",COUNTIF('Content Calendar'!$L$5:$L$604,B49))</f>
        <v>0</v>
      </c>
      <c r="X49" s="23">
        <f>IF(B49="","",COUNTIFS('Content Calendar'!$L$5:$L$604,B49,'Content Calendar'!$X$5:$X$604,"Published"))</f>
        <v>0</v>
      </c>
      <c r="Y49" s="23">
        <f>IF(B49="","",IF(COUNTIF(Performance!$I$5:$I$404,B49)=0,"",SUMIFS(Performance!$O$5:$O$404,Performance!$I$5:$I$404,B49)))</f>
        <v>0</v>
      </c>
      <c r="Z49" s="23">
        <f>IF(B49="","",IF(COUNTIF(Performance!$I$5:$I$404,B49)=0,"",SUMIFS(Performance!$Z$5:$Z$404,Performance!$I$5:$I$404,B49)))</f>
        <v>0</v>
      </c>
      <c r="AA49" s="24">
        <f>IF(OR(Y49="",Y49=0),"",Z49/Y49)</f>
        <v>0</v>
      </c>
      <c r="AB49" s="23">
        <f>IF(B49="","",IF(COUNTIF(Performance!$I$5:$I$404,B49)=0,"",SUMIFS(Performance!$U$5:$U$404,Performance!$I$5:$I$404,B49)))</f>
        <v>0</v>
      </c>
      <c r="AC49" s="25">
        <f>IF(P49="","",P49-N(Q49))</f>
        <v>0</v>
      </c>
      <c r="AD49" s="24">
        <f>IF(OR(P49="",P49=0),"",N(Q49)/P49)</f>
        <v>0</v>
      </c>
      <c r="AE49" s="25">
        <f>IF(OR(R49="",R49=0),"",N(Q49)/R49)</f>
        <v>0</v>
      </c>
      <c r="AF49" s="25">
        <f>IF(OR(S49="",S49=0),"",N(Q49)/S49)</f>
        <v>0</v>
      </c>
      <c r="AG49" s="24">
        <f>IF(OR(AB49="",AB49=0),"",N(S49)/AB49)</f>
        <v>0</v>
      </c>
      <c r="AH49" s="31">
        <f>IF(OR(Q49="",Q49=0),"",N(T49)/Q49)</f>
        <v>0</v>
      </c>
      <c r="AI49" s="25">
        <f>IF(AND(T49="",Q49=""),"",N(T49)-N(Q49))</f>
        <v>0</v>
      </c>
      <c r="AJ49" s="29">
        <f>IF(B49="","",IF(N(Q49)&gt;N(P49),"Over budget",IF(AND(U49="Running",W49=0),"Action - running with no posts planned",IF(AND(J49&lt;&gt;"",J49&lt;TODAY(),U49="Running"),"Overdue - mark it complete",IF(AND(AH49&lt;&gt;"",AH49&lt;RoasTarget),"Review - return below target","OK")))))</f>
        <v>0</v>
      </c>
    </row>
    <row r="50" spans="1:36">
      <c r="A50" s="41">
        <f>IF(B50="","",CampaignPrefix&amp;TEXT(ROW()-4,"000"))</f>
        <v>0</v>
      </c>
      <c r="V50" s="23">
        <f>IF(OR(I50="",J50=""),"",J50-I50+1)</f>
        <v>0</v>
      </c>
      <c r="W50" s="23">
        <f>IF(B50="","",COUNTIF('Content Calendar'!$L$5:$L$604,B50))</f>
        <v>0</v>
      </c>
      <c r="X50" s="23">
        <f>IF(B50="","",COUNTIFS('Content Calendar'!$L$5:$L$604,B50,'Content Calendar'!$X$5:$X$604,"Published"))</f>
        <v>0</v>
      </c>
      <c r="Y50" s="23">
        <f>IF(B50="","",IF(COUNTIF(Performance!$I$5:$I$404,B50)=0,"",SUMIFS(Performance!$O$5:$O$404,Performance!$I$5:$I$404,B50)))</f>
        <v>0</v>
      </c>
      <c r="Z50" s="23">
        <f>IF(B50="","",IF(COUNTIF(Performance!$I$5:$I$404,B50)=0,"",SUMIFS(Performance!$Z$5:$Z$404,Performance!$I$5:$I$404,B50)))</f>
        <v>0</v>
      </c>
      <c r="AA50" s="24">
        <f>IF(OR(Y50="",Y50=0),"",Z50/Y50)</f>
        <v>0</v>
      </c>
      <c r="AB50" s="23">
        <f>IF(B50="","",IF(COUNTIF(Performance!$I$5:$I$404,B50)=0,"",SUMIFS(Performance!$U$5:$U$404,Performance!$I$5:$I$404,B50)))</f>
        <v>0</v>
      </c>
      <c r="AC50" s="25">
        <f>IF(P50="","",P50-N(Q50))</f>
        <v>0</v>
      </c>
      <c r="AD50" s="24">
        <f>IF(OR(P50="",P50=0),"",N(Q50)/P50)</f>
        <v>0</v>
      </c>
      <c r="AE50" s="25">
        <f>IF(OR(R50="",R50=0),"",N(Q50)/R50)</f>
        <v>0</v>
      </c>
      <c r="AF50" s="25">
        <f>IF(OR(S50="",S50=0),"",N(Q50)/S50)</f>
        <v>0</v>
      </c>
      <c r="AG50" s="24">
        <f>IF(OR(AB50="",AB50=0),"",N(S50)/AB50)</f>
        <v>0</v>
      </c>
      <c r="AH50" s="31">
        <f>IF(OR(Q50="",Q50=0),"",N(T50)/Q50)</f>
        <v>0</v>
      </c>
      <c r="AI50" s="25">
        <f>IF(AND(T50="",Q50=""),"",N(T50)-N(Q50))</f>
        <v>0</v>
      </c>
      <c r="AJ50" s="29">
        <f>IF(B50="","",IF(N(Q50)&gt;N(P50),"Over budget",IF(AND(U50="Running",W50=0),"Action - running with no posts planned",IF(AND(J50&lt;&gt;"",J50&lt;TODAY(),U50="Running"),"Overdue - mark it complete",IF(AND(AH50&lt;&gt;"",AH50&lt;RoasTarget),"Review - return below target","OK")))))</f>
        <v>0</v>
      </c>
    </row>
    <row r="51" spans="1:36">
      <c r="A51" s="41">
        <f>IF(B51="","",CampaignPrefix&amp;TEXT(ROW()-4,"000"))</f>
        <v>0</v>
      </c>
      <c r="V51" s="23">
        <f>IF(OR(I51="",J51=""),"",J51-I51+1)</f>
        <v>0</v>
      </c>
      <c r="W51" s="23">
        <f>IF(B51="","",COUNTIF('Content Calendar'!$L$5:$L$604,B51))</f>
        <v>0</v>
      </c>
      <c r="X51" s="23">
        <f>IF(B51="","",COUNTIFS('Content Calendar'!$L$5:$L$604,B51,'Content Calendar'!$X$5:$X$604,"Published"))</f>
        <v>0</v>
      </c>
      <c r="Y51" s="23">
        <f>IF(B51="","",IF(COUNTIF(Performance!$I$5:$I$404,B51)=0,"",SUMIFS(Performance!$O$5:$O$404,Performance!$I$5:$I$404,B51)))</f>
        <v>0</v>
      </c>
      <c r="Z51" s="23">
        <f>IF(B51="","",IF(COUNTIF(Performance!$I$5:$I$404,B51)=0,"",SUMIFS(Performance!$Z$5:$Z$404,Performance!$I$5:$I$404,B51)))</f>
        <v>0</v>
      </c>
      <c r="AA51" s="24">
        <f>IF(OR(Y51="",Y51=0),"",Z51/Y51)</f>
        <v>0</v>
      </c>
      <c r="AB51" s="23">
        <f>IF(B51="","",IF(COUNTIF(Performance!$I$5:$I$404,B51)=0,"",SUMIFS(Performance!$U$5:$U$404,Performance!$I$5:$I$404,B51)))</f>
        <v>0</v>
      </c>
      <c r="AC51" s="25">
        <f>IF(P51="","",P51-N(Q51))</f>
        <v>0</v>
      </c>
      <c r="AD51" s="24">
        <f>IF(OR(P51="",P51=0),"",N(Q51)/P51)</f>
        <v>0</v>
      </c>
      <c r="AE51" s="25">
        <f>IF(OR(R51="",R51=0),"",N(Q51)/R51)</f>
        <v>0</v>
      </c>
      <c r="AF51" s="25">
        <f>IF(OR(S51="",S51=0),"",N(Q51)/S51)</f>
        <v>0</v>
      </c>
      <c r="AG51" s="24">
        <f>IF(OR(AB51="",AB51=0),"",N(S51)/AB51)</f>
        <v>0</v>
      </c>
      <c r="AH51" s="31">
        <f>IF(OR(Q51="",Q51=0),"",N(T51)/Q51)</f>
        <v>0</v>
      </c>
      <c r="AI51" s="25">
        <f>IF(AND(T51="",Q51=""),"",N(T51)-N(Q51))</f>
        <v>0</v>
      </c>
      <c r="AJ51" s="29">
        <f>IF(B51="","",IF(N(Q51)&gt;N(P51),"Over budget",IF(AND(U51="Running",W51=0),"Action - running with no posts planned",IF(AND(J51&lt;&gt;"",J51&lt;TODAY(),U51="Running"),"Overdue - mark it complete",IF(AND(AH51&lt;&gt;"",AH51&lt;RoasTarget),"Review - return below target","OK")))))</f>
        <v>0</v>
      </c>
    </row>
    <row r="52" spans="1:36">
      <c r="A52" s="41">
        <f>IF(B52="","",CampaignPrefix&amp;TEXT(ROW()-4,"000"))</f>
        <v>0</v>
      </c>
      <c r="V52" s="23">
        <f>IF(OR(I52="",J52=""),"",J52-I52+1)</f>
        <v>0</v>
      </c>
      <c r="W52" s="23">
        <f>IF(B52="","",COUNTIF('Content Calendar'!$L$5:$L$604,B52))</f>
        <v>0</v>
      </c>
      <c r="X52" s="23">
        <f>IF(B52="","",COUNTIFS('Content Calendar'!$L$5:$L$604,B52,'Content Calendar'!$X$5:$X$604,"Published"))</f>
        <v>0</v>
      </c>
      <c r="Y52" s="23">
        <f>IF(B52="","",IF(COUNTIF(Performance!$I$5:$I$404,B52)=0,"",SUMIFS(Performance!$O$5:$O$404,Performance!$I$5:$I$404,B52)))</f>
        <v>0</v>
      </c>
      <c r="Z52" s="23">
        <f>IF(B52="","",IF(COUNTIF(Performance!$I$5:$I$404,B52)=0,"",SUMIFS(Performance!$Z$5:$Z$404,Performance!$I$5:$I$404,B52)))</f>
        <v>0</v>
      </c>
      <c r="AA52" s="24">
        <f>IF(OR(Y52="",Y52=0),"",Z52/Y52)</f>
        <v>0</v>
      </c>
      <c r="AB52" s="23">
        <f>IF(B52="","",IF(COUNTIF(Performance!$I$5:$I$404,B52)=0,"",SUMIFS(Performance!$U$5:$U$404,Performance!$I$5:$I$404,B52)))</f>
        <v>0</v>
      </c>
      <c r="AC52" s="25">
        <f>IF(P52="","",P52-N(Q52))</f>
        <v>0</v>
      </c>
      <c r="AD52" s="24">
        <f>IF(OR(P52="",P52=0),"",N(Q52)/P52)</f>
        <v>0</v>
      </c>
      <c r="AE52" s="25">
        <f>IF(OR(R52="",R52=0),"",N(Q52)/R52)</f>
        <v>0</v>
      </c>
      <c r="AF52" s="25">
        <f>IF(OR(S52="",S52=0),"",N(Q52)/S52)</f>
        <v>0</v>
      </c>
      <c r="AG52" s="24">
        <f>IF(OR(AB52="",AB52=0),"",N(S52)/AB52)</f>
        <v>0</v>
      </c>
      <c r="AH52" s="31">
        <f>IF(OR(Q52="",Q52=0),"",N(T52)/Q52)</f>
        <v>0</v>
      </c>
      <c r="AI52" s="25">
        <f>IF(AND(T52="",Q52=""),"",N(T52)-N(Q52))</f>
        <v>0</v>
      </c>
      <c r="AJ52" s="29">
        <f>IF(B52="","",IF(N(Q52)&gt;N(P52),"Over budget",IF(AND(U52="Running",W52=0),"Action - running with no posts planned",IF(AND(J52&lt;&gt;"",J52&lt;TODAY(),U52="Running"),"Overdue - mark it complete",IF(AND(AH52&lt;&gt;"",AH52&lt;RoasTarget),"Review - return below target","OK")))))</f>
        <v>0</v>
      </c>
    </row>
    <row r="53" spans="1:36">
      <c r="A53" s="41">
        <f>IF(B53="","",CampaignPrefix&amp;TEXT(ROW()-4,"000"))</f>
        <v>0</v>
      </c>
      <c r="V53" s="23">
        <f>IF(OR(I53="",J53=""),"",J53-I53+1)</f>
        <v>0</v>
      </c>
      <c r="W53" s="23">
        <f>IF(B53="","",COUNTIF('Content Calendar'!$L$5:$L$604,B53))</f>
        <v>0</v>
      </c>
      <c r="X53" s="23">
        <f>IF(B53="","",COUNTIFS('Content Calendar'!$L$5:$L$604,B53,'Content Calendar'!$X$5:$X$604,"Published"))</f>
        <v>0</v>
      </c>
      <c r="Y53" s="23">
        <f>IF(B53="","",IF(COUNTIF(Performance!$I$5:$I$404,B53)=0,"",SUMIFS(Performance!$O$5:$O$404,Performance!$I$5:$I$404,B53)))</f>
        <v>0</v>
      </c>
      <c r="Z53" s="23">
        <f>IF(B53="","",IF(COUNTIF(Performance!$I$5:$I$404,B53)=0,"",SUMIFS(Performance!$Z$5:$Z$404,Performance!$I$5:$I$404,B53)))</f>
        <v>0</v>
      </c>
      <c r="AA53" s="24">
        <f>IF(OR(Y53="",Y53=0),"",Z53/Y53)</f>
        <v>0</v>
      </c>
      <c r="AB53" s="23">
        <f>IF(B53="","",IF(COUNTIF(Performance!$I$5:$I$404,B53)=0,"",SUMIFS(Performance!$U$5:$U$404,Performance!$I$5:$I$404,B53)))</f>
        <v>0</v>
      </c>
      <c r="AC53" s="25">
        <f>IF(P53="","",P53-N(Q53))</f>
        <v>0</v>
      </c>
      <c r="AD53" s="24">
        <f>IF(OR(P53="",P53=0),"",N(Q53)/P53)</f>
        <v>0</v>
      </c>
      <c r="AE53" s="25">
        <f>IF(OR(R53="",R53=0),"",N(Q53)/R53)</f>
        <v>0</v>
      </c>
      <c r="AF53" s="25">
        <f>IF(OR(S53="",S53=0),"",N(Q53)/S53)</f>
        <v>0</v>
      </c>
      <c r="AG53" s="24">
        <f>IF(OR(AB53="",AB53=0),"",N(S53)/AB53)</f>
        <v>0</v>
      </c>
      <c r="AH53" s="31">
        <f>IF(OR(Q53="",Q53=0),"",N(T53)/Q53)</f>
        <v>0</v>
      </c>
      <c r="AI53" s="25">
        <f>IF(AND(T53="",Q53=""),"",N(T53)-N(Q53))</f>
        <v>0</v>
      </c>
      <c r="AJ53" s="29">
        <f>IF(B53="","",IF(N(Q53)&gt;N(P53),"Over budget",IF(AND(U53="Running",W53=0),"Action - running with no posts planned",IF(AND(J53&lt;&gt;"",J53&lt;TODAY(),U53="Running"),"Overdue - mark it complete",IF(AND(AH53&lt;&gt;"",AH53&lt;RoasTarget),"Review - return below target","OK")))))</f>
        <v>0</v>
      </c>
    </row>
    <row r="54" spans="1:36">
      <c r="A54" s="41">
        <f>IF(B54="","",CampaignPrefix&amp;TEXT(ROW()-4,"000"))</f>
        <v>0</v>
      </c>
      <c r="V54" s="23">
        <f>IF(OR(I54="",J54=""),"",J54-I54+1)</f>
        <v>0</v>
      </c>
      <c r="W54" s="23">
        <f>IF(B54="","",COUNTIF('Content Calendar'!$L$5:$L$604,B54))</f>
        <v>0</v>
      </c>
      <c r="X54" s="23">
        <f>IF(B54="","",COUNTIFS('Content Calendar'!$L$5:$L$604,B54,'Content Calendar'!$X$5:$X$604,"Published"))</f>
        <v>0</v>
      </c>
      <c r="Y54" s="23">
        <f>IF(B54="","",IF(COUNTIF(Performance!$I$5:$I$404,B54)=0,"",SUMIFS(Performance!$O$5:$O$404,Performance!$I$5:$I$404,B54)))</f>
        <v>0</v>
      </c>
      <c r="Z54" s="23">
        <f>IF(B54="","",IF(COUNTIF(Performance!$I$5:$I$404,B54)=0,"",SUMIFS(Performance!$Z$5:$Z$404,Performance!$I$5:$I$404,B54)))</f>
        <v>0</v>
      </c>
      <c r="AA54" s="24">
        <f>IF(OR(Y54="",Y54=0),"",Z54/Y54)</f>
        <v>0</v>
      </c>
      <c r="AB54" s="23">
        <f>IF(B54="","",IF(COUNTIF(Performance!$I$5:$I$404,B54)=0,"",SUMIFS(Performance!$U$5:$U$404,Performance!$I$5:$I$404,B54)))</f>
        <v>0</v>
      </c>
      <c r="AC54" s="25">
        <f>IF(P54="","",P54-N(Q54))</f>
        <v>0</v>
      </c>
      <c r="AD54" s="24">
        <f>IF(OR(P54="",P54=0),"",N(Q54)/P54)</f>
        <v>0</v>
      </c>
      <c r="AE54" s="25">
        <f>IF(OR(R54="",R54=0),"",N(Q54)/R54)</f>
        <v>0</v>
      </c>
      <c r="AF54" s="25">
        <f>IF(OR(S54="",S54=0),"",N(Q54)/S54)</f>
        <v>0</v>
      </c>
      <c r="AG54" s="24">
        <f>IF(OR(AB54="",AB54=0),"",N(S54)/AB54)</f>
        <v>0</v>
      </c>
      <c r="AH54" s="31">
        <f>IF(OR(Q54="",Q54=0),"",N(T54)/Q54)</f>
        <v>0</v>
      </c>
      <c r="AI54" s="25">
        <f>IF(AND(T54="",Q54=""),"",N(T54)-N(Q54))</f>
        <v>0</v>
      </c>
      <c r="AJ54" s="29">
        <f>IF(B54="","",IF(N(Q54)&gt;N(P54),"Over budget",IF(AND(U54="Running",W54=0),"Action - running with no posts planned",IF(AND(J54&lt;&gt;"",J54&lt;TODAY(),U54="Running"),"Overdue - mark it complete",IF(AND(AH54&lt;&gt;"",AH54&lt;RoasTarget),"Review - return below target","OK")))))</f>
        <v>0</v>
      </c>
    </row>
    <row r="55" spans="1:36">
      <c r="A55" s="41">
        <f>IF(B55="","",CampaignPrefix&amp;TEXT(ROW()-4,"000"))</f>
        <v>0</v>
      </c>
      <c r="V55" s="23">
        <f>IF(OR(I55="",J55=""),"",J55-I55+1)</f>
        <v>0</v>
      </c>
      <c r="W55" s="23">
        <f>IF(B55="","",COUNTIF('Content Calendar'!$L$5:$L$604,B55))</f>
        <v>0</v>
      </c>
      <c r="X55" s="23">
        <f>IF(B55="","",COUNTIFS('Content Calendar'!$L$5:$L$604,B55,'Content Calendar'!$X$5:$X$604,"Published"))</f>
        <v>0</v>
      </c>
      <c r="Y55" s="23">
        <f>IF(B55="","",IF(COUNTIF(Performance!$I$5:$I$404,B55)=0,"",SUMIFS(Performance!$O$5:$O$404,Performance!$I$5:$I$404,B55)))</f>
        <v>0</v>
      </c>
      <c r="Z55" s="23">
        <f>IF(B55="","",IF(COUNTIF(Performance!$I$5:$I$404,B55)=0,"",SUMIFS(Performance!$Z$5:$Z$404,Performance!$I$5:$I$404,B55)))</f>
        <v>0</v>
      </c>
      <c r="AA55" s="24">
        <f>IF(OR(Y55="",Y55=0),"",Z55/Y55)</f>
        <v>0</v>
      </c>
      <c r="AB55" s="23">
        <f>IF(B55="","",IF(COUNTIF(Performance!$I$5:$I$404,B55)=0,"",SUMIFS(Performance!$U$5:$U$404,Performance!$I$5:$I$404,B55)))</f>
        <v>0</v>
      </c>
      <c r="AC55" s="25">
        <f>IF(P55="","",P55-N(Q55))</f>
        <v>0</v>
      </c>
      <c r="AD55" s="24">
        <f>IF(OR(P55="",P55=0),"",N(Q55)/P55)</f>
        <v>0</v>
      </c>
      <c r="AE55" s="25">
        <f>IF(OR(R55="",R55=0),"",N(Q55)/R55)</f>
        <v>0</v>
      </c>
      <c r="AF55" s="25">
        <f>IF(OR(S55="",S55=0),"",N(Q55)/S55)</f>
        <v>0</v>
      </c>
      <c r="AG55" s="24">
        <f>IF(OR(AB55="",AB55=0),"",N(S55)/AB55)</f>
        <v>0</v>
      </c>
      <c r="AH55" s="31">
        <f>IF(OR(Q55="",Q55=0),"",N(T55)/Q55)</f>
        <v>0</v>
      </c>
      <c r="AI55" s="25">
        <f>IF(AND(T55="",Q55=""),"",N(T55)-N(Q55))</f>
        <v>0</v>
      </c>
      <c r="AJ55" s="29">
        <f>IF(B55="","",IF(N(Q55)&gt;N(P55),"Over budget",IF(AND(U55="Running",W55=0),"Action - running with no posts planned",IF(AND(J55&lt;&gt;"",J55&lt;TODAY(),U55="Running"),"Overdue - mark it complete",IF(AND(AH55&lt;&gt;"",AH55&lt;RoasTarget),"Review - return below target","OK")))))</f>
        <v>0</v>
      </c>
    </row>
    <row r="56" spans="1:36">
      <c r="A56" s="41">
        <f>IF(B56="","",CampaignPrefix&amp;TEXT(ROW()-4,"000"))</f>
        <v>0</v>
      </c>
      <c r="V56" s="23">
        <f>IF(OR(I56="",J56=""),"",J56-I56+1)</f>
        <v>0</v>
      </c>
      <c r="W56" s="23">
        <f>IF(B56="","",COUNTIF('Content Calendar'!$L$5:$L$604,B56))</f>
        <v>0</v>
      </c>
      <c r="X56" s="23">
        <f>IF(B56="","",COUNTIFS('Content Calendar'!$L$5:$L$604,B56,'Content Calendar'!$X$5:$X$604,"Published"))</f>
        <v>0</v>
      </c>
      <c r="Y56" s="23">
        <f>IF(B56="","",IF(COUNTIF(Performance!$I$5:$I$404,B56)=0,"",SUMIFS(Performance!$O$5:$O$404,Performance!$I$5:$I$404,B56)))</f>
        <v>0</v>
      </c>
      <c r="Z56" s="23">
        <f>IF(B56="","",IF(COUNTIF(Performance!$I$5:$I$404,B56)=0,"",SUMIFS(Performance!$Z$5:$Z$404,Performance!$I$5:$I$404,B56)))</f>
        <v>0</v>
      </c>
      <c r="AA56" s="24">
        <f>IF(OR(Y56="",Y56=0),"",Z56/Y56)</f>
        <v>0</v>
      </c>
      <c r="AB56" s="23">
        <f>IF(B56="","",IF(COUNTIF(Performance!$I$5:$I$404,B56)=0,"",SUMIFS(Performance!$U$5:$U$404,Performance!$I$5:$I$404,B56)))</f>
        <v>0</v>
      </c>
      <c r="AC56" s="25">
        <f>IF(P56="","",P56-N(Q56))</f>
        <v>0</v>
      </c>
      <c r="AD56" s="24">
        <f>IF(OR(P56="",P56=0),"",N(Q56)/P56)</f>
        <v>0</v>
      </c>
      <c r="AE56" s="25">
        <f>IF(OR(R56="",R56=0),"",N(Q56)/R56)</f>
        <v>0</v>
      </c>
      <c r="AF56" s="25">
        <f>IF(OR(S56="",S56=0),"",N(Q56)/S56)</f>
        <v>0</v>
      </c>
      <c r="AG56" s="24">
        <f>IF(OR(AB56="",AB56=0),"",N(S56)/AB56)</f>
        <v>0</v>
      </c>
      <c r="AH56" s="31">
        <f>IF(OR(Q56="",Q56=0),"",N(T56)/Q56)</f>
        <v>0</v>
      </c>
      <c r="AI56" s="25">
        <f>IF(AND(T56="",Q56=""),"",N(T56)-N(Q56))</f>
        <v>0</v>
      </c>
      <c r="AJ56" s="29">
        <f>IF(B56="","",IF(N(Q56)&gt;N(P56),"Over budget",IF(AND(U56="Running",W56=0),"Action - running with no posts planned",IF(AND(J56&lt;&gt;"",J56&lt;TODAY(),U56="Running"),"Overdue - mark it complete",IF(AND(AH56&lt;&gt;"",AH56&lt;RoasTarget),"Review - return below target","OK")))))</f>
        <v>0</v>
      </c>
    </row>
    <row r="57" spans="1:36">
      <c r="A57" s="41">
        <f>IF(B57="","",CampaignPrefix&amp;TEXT(ROW()-4,"000"))</f>
        <v>0</v>
      </c>
      <c r="V57" s="23">
        <f>IF(OR(I57="",J57=""),"",J57-I57+1)</f>
        <v>0</v>
      </c>
      <c r="W57" s="23">
        <f>IF(B57="","",COUNTIF('Content Calendar'!$L$5:$L$604,B57))</f>
        <v>0</v>
      </c>
      <c r="X57" s="23">
        <f>IF(B57="","",COUNTIFS('Content Calendar'!$L$5:$L$604,B57,'Content Calendar'!$X$5:$X$604,"Published"))</f>
        <v>0</v>
      </c>
      <c r="Y57" s="23">
        <f>IF(B57="","",IF(COUNTIF(Performance!$I$5:$I$404,B57)=0,"",SUMIFS(Performance!$O$5:$O$404,Performance!$I$5:$I$404,B57)))</f>
        <v>0</v>
      </c>
      <c r="Z57" s="23">
        <f>IF(B57="","",IF(COUNTIF(Performance!$I$5:$I$404,B57)=0,"",SUMIFS(Performance!$Z$5:$Z$404,Performance!$I$5:$I$404,B57)))</f>
        <v>0</v>
      </c>
      <c r="AA57" s="24">
        <f>IF(OR(Y57="",Y57=0),"",Z57/Y57)</f>
        <v>0</v>
      </c>
      <c r="AB57" s="23">
        <f>IF(B57="","",IF(COUNTIF(Performance!$I$5:$I$404,B57)=0,"",SUMIFS(Performance!$U$5:$U$404,Performance!$I$5:$I$404,B57)))</f>
        <v>0</v>
      </c>
      <c r="AC57" s="25">
        <f>IF(P57="","",P57-N(Q57))</f>
        <v>0</v>
      </c>
      <c r="AD57" s="24">
        <f>IF(OR(P57="",P57=0),"",N(Q57)/P57)</f>
        <v>0</v>
      </c>
      <c r="AE57" s="25">
        <f>IF(OR(R57="",R57=0),"",N(Q57)/R57)</f>
        <v>0</v>
      </c>
      <c r="AF57" s="25">
        <f>IF(OR(S57="",S57=0),"",N(Q57)/S57)</f>
        <v>0</v>
      </c>
      <c r="AG57" s="24">
        <f>IF(OR(AB57="",AB57=0),"",N(S57)/AB57)</f>
        <v>0</v>
      </c>
      <c r="AH57" s="31">
        <f>IF(OR(Q57="",Q57=0),"",N(T57)/Q57)</f>
        <v>0</v>
      </c>
      <c r="AI57" s="25">
        <f>IF(AND(T57="",Q57=""),"",N(T57)-N(Q57))</f>
        <v>0</v>
      </c>
      <c r="AJ57" s="29">
        <f>IF(B57="","",IF(N(Q57)&gt;N(P57),"Over budget",IF(AND(U57="Running",W57=0),"Action - running with no posts planned",IF(AND(J57&lt;&gt;"",J57&lt;TODAY(),U57="Running"),"Overdue - mark it complete",IF(AND(AH57&lt;&gt;"",AH57&lt;RoasTarget),"Review - return below target","OK")))))</f>
        <v>0</v>
      </c>
    </row>
    <row r="58" spans="1:36">
      <c r="A58" s="41">
        <f>IF(B58="","",CampaignPrefix&amp;TEXT(ROW()-4,"000"))</f>
        <v>0</v>
      </c>
      <c r="V58" s="23">
        <f>IF(OR(I58="",J58=""),"",J58-I58+1)</f>
        <v>0</v>
      </c>
      <c r="W58" s="23">
        <f>IF(B58="","",COUNTIF('Content Calendar'!$L$5:$L$604,B58))</f>
        <v>0</v>
      </c>
      <c r="X58" s="23">
        <f>IF(B58="","",COUNTIFS('Content Calendar'!$L$5:$L$604,B58,'Content Calendar'!$X$5:$X$604,"Published"))</f>
        <v>0</v>
      </c>
      <c r="Y58" s="23">
        <f>IF(B58="","",IF(COUNTIF(Performance!$I$5:$I$404,B58)=0,"",SUMIFS(Performance!$O$5:$O$404,Performance!$I$5:$I$404,B58)))</f>
        <v>0</v>
      </c>
      <c r="Z58" s="23">
        <f>IF(B58="","",IF(COUNTIF(Performance!$I$5:$I$404,B58)=0,"",SUMIFS(Performance!$Z$5:$Z$404,Performance!$I$5:$I$404,B58)))</f>
        <v>0</v>
      </c>
      <c r="AA58" s="24">
        <f>IF(OR(Y58="",Y58=0),"",Z58/Y58)</f>
        <v>0</v>
      </c>
      <c r="AB58" s="23">
        <f>IF(B58="","",IF(COUNTIF(Performance!$I$5:$I$404,B58)=0,"",SUMIFS(Performance!$U$5:$U$404,Performance!$I$5:$I$404,B58)))</f>
        <v>0</v>
      </c>
      <c r="AC58" s="25">
        <f>IF(P58="","",P58-N(Q58))</f>
        <v>0</v>
      </c>
      <c r="AD58" s="24">
        <f>IF(OR(P58="",P58=0),"",N(Q58)/P58)</f>
        <v>0</v>
      </c>
      <c r="AE58" s="25">
        <f>IF(OR(R58="",R58=0),"",N(Q58)/R58)</f>
        <v>0</v>
      </c>
      <c r="AF58" s="25">
        <f>IF(OR(S58="",S58=0),"",N(Q58)/S58)</f>
        <v>0</v>
      </c>
      <c r="AG58" s="24">
        <f>IF(OR(AB58="",AB58=0),"",N(S58)/AB58)</f>
        <v>0</v>
      </c>
      <c r="AH58" s="31">
        <f>IF(OR(Q58="",Q58=0),"",N(T58)/Q58)</f>
        <v>0</v>
      </c>
      <c r="AI58" s="25">
        <f>IF(AND(T58="",Q58=""),"",N(T58)-N(Q58))</f>
        <v>0</v>
      </c>
      <c r="AJ58" s="29">
        <f>IF(B58="","",IF(N(Q58)&gt;N(P58),"Over budget",IF(AND(U58="Running",W58=0),"Action - running with no posts planned",IF(AND(J58&lt;&gt;"",J58&lt;TODAY(),U58="Running"),"Overdue - mark it complete",IF(AND(AH58&lt;&gt;"",AH58&lt;RoasTarget),"Review - return below target","OK")))))</f>
        <v>0</v>
      </c>
    </row>
    <row r="59" spans="1:36">
      <c r="A59" s="41">
        <f>IF(B59="","",CampaignPrefix&amp;TEXT(ROW()-4,"000"))</f>
        <v>0</v>
      </c>
      <c r="V59" s="23">
        <f>IF(OR(I59="",J59=""),"",J59-I59+1)</f>
        <v>0</v>
      </c>
      <c r="W59" s="23">
        <f>IF(B59="","",COUNTIF('Content Calendar'!$L$5:$L$604,B59))</f>
        <v>0</v>
      </c>
      <c r="X59" s="23">
        <f>IF(B59="","",COUNTIFS('Content Calendar'!$L$5:$L$604,B59,'Content Calendar'!$X$5:$X$604,"Published"))</f>
        <v>0</v>
      </c>
      <c r="Y59" s="23">
        <f>IF(B59="","",IF(COUNTIF(Performance!$I$5:$I$404,B59)=0,"",SUMIFS(Performance!$O$5:$O$404,Performance!$I$5:$I$404,B59)))</f>
        <v>0</v>
      </c>
      <c r="Z59" s="23">
        <f>IF(B59="","",IF(COUNTIF(Performance!$I$5:$I$404,B59)=0,"",SUMIFS(Performance!$Z$5:$Z$404,Performance!$I$5:$I$404,B59)))</f>
        <v>0</v>
      </c>
      <c r="AA59" s="24">
        <f>IF(OR(Y59="",Y59=0),"",Z59/Y59)</f>
        <v>0</v>
      </c>
      <c r="AB59" s="23">
        <f>IF(B59="","",IF(COUNTIF(Performance!$I$5:$I$404,B59)=0,"",SUMIFS(Performance!$U$5:$U$404,Performance!$I$5:$I$404,B59)))</f>
        <v>0</v>
      </c>
      <c r="AC59" s="25">
        <f>IF(P59="","",P59-N(Q59))</f>
        <v>0</v>
      </c>
      <c r="AD59" s="24">
        <f>IF(OR(P59="",P59=0),"",N(Q59)/P59)</f>
        <v>0</v>
      </c>
      <c r="AE59" s="25">
        <f>IF(OR(R59="",R59=0),"",N(Q59)/R59)</f>
        <v>0</v>
      </c>
      <c r="AF59" s="25">
        <f>IF(OR(S59="",S59=0),"",N(Q59)/S59)</f>
        <v>0</v>
      </c>
      <c r="AG59" s="24">
        <f>IF(OR(AB59="",AB59=0),"",N(S59)/AB59)</f>
        <v>0</v>
      </c>
      <c r="AH59" s="31">
        <f>IF(OR(Q59="",Q59=0),"",N(T59)/Q59)</f>
        <v>0</v>
      </c>
      <c r="AI59" s="25">
        <f>IF(AND(T59="",Q59=""),"",N(T59)-N(Q59))</f>
        <v>0</v>
      </c>
      <c r="AJ59" s="29">
        <f>IF(B59="","",IF(N(Q59)&gt;N(P59),"Over budget",IF(AND(U59="Running",W59=0),"Action - running with no posts planned",IF(AND(J59&lt;&gt;"",J59&lt;TODAY(),U59="Running"),"Overdue - mark it complete",IF(AND(AH59&lt;&gt;"",AH59&lt;RoasTarget),"Review - return below target","OK")))))</f>
        <v>0</v>
      </c>
    </row>
    <row r="60" spans="1:36">
      <c r="A60" s="41">
        <f>IF(B60="","",CampaignPrefix&amp;TEXT(ROW()-4,"000"))</f>
        <v>0</v>
      </c>
      <c r="V60" s="23">
        <f>IF(OR(I60="",J60=""),"",J60-I60+1)</f>
        <v>0</v>
      </c>
      <c r="W60" s="23">
        <f>IF(B60="","",COUNTIF('Content Calendar'!$L$5:$L$604,B60))</f>
        <v>0</v>
      </c>
      <c r="X60" s="23">
        <f>IF(B60="","",COUNTIFS('Content Calendar'!$L$5:$L$604,B60,'Content Calendar'!$X$5:$X$604,"Published"))</f>
        <v>0</v>
      </c>
      <c r="Y60" s="23">
        <f>IF(B60="","",IF(COUNTIF(Performance!$I$5:$I$404,B60)=0,"",SUMIFS(Performance!$O$5:$O$404,Performance!$I$5:$I$404,B60)))</f>
        <v>0</v>
      </c>
      <c r="Z60" s="23">
        <f>IF(B60="","",IF(COUNTIF(Performance!$I$5:$I$404,B60)=0,"",SUMIFS(Performance!$Z$5:$Z$404,Performance!$I$5:$I$404,B60)))</f>
        <v>0</v>
      </c>
      <c r="AA60" s="24">
        <f>IF(OR(Y60="",Y60=0),"",Z60/Y60)</f>
        <v>0</v>
      </c>
      <c r="AB60" s="23">
        <f>IF(B60="","",IF(COUNTIF(Performance!$I$5:$I$404,B60)=0,"",SUMIFS(Performance!$U$5:$U$404,Performance!$I$5:$I$404,B60)))</f>
        <v>0</v>
      </c>
      <c r="AC60" s="25">
        <f>IF(P60="","",P60-N(Q60))</f>
        <v>0</v>
      </c>
      <c r="AD60" s="24">
        <f>IF(OR(P60="",P60=0),"",N(Q60)/P60)</f>
        <v>0</v>
      </c>
      <c r="AE60" s="25">
        <f>IF(OR(R60="",R60=0),"",N(Q60)/R60)</f>
        <v>0</v>
      </c>
      <c r="AF60" s="25">
        <f>IF(OR(S60="",S60=0),"",N(Q60)/S60)</f>
        <v>0</v>
      </c>
      <c r="AG60" s="24">
        <f>IF(OR(AB60="",AB60=0),"",N(S60)/AB60)</f>
        <v>0</v>
      </c>
      <c r="AH60" s="31">
        <f>IF(OR(Q60="",Q60=0),"",N(T60)/Q60)</f>
        <v>0</v>
      </c>
      <c r="AI60" s="25">
        <f>IF(AND(T60="",Q60=""),"",N(T60)-N(Q60))</f>
        <v>0</v>
      </c>
      <c r="AJ60" s="29">
        <f>IF(B60="","",IF(N(Q60)&gt;N(P60),"Over budget",IF(AND(U60="Running",W60=0),"Action - running with no posts planned",IF(AND(J60&lt;&gt;"",J60&lt;TODAY(),U60="Running"),"Overdue - mark it complete",IF(AND(AH60&lt;&gt;"",AH60&lt;RoasTarget),"Review - return below target","OK")))))</f>
        <v>0</v>
      </c>
    </row>
    <row r="61" spans="1:36">
      <c r="A61" s="41">
        <f>IF(B61="","",CampaignPrefix&amp;TEXT(ROW()-4,"000"))</f>
        <v>0</v>
      </c>
      <c r="V61" s="23">
        <f>IF(OR(I61="",J61=""),"",J61-I61+1)</f>
        <v>0</v>
      </c>
      <c r="W61" s="23">
        <f>IF(B61="","",COUNTIF('Content Calendar'!$L$5:$L$604,B61))</f>
        <v>0</v>
      </c>
      <c r="X61" s="23">
        <f>IF(B61="","",COUNTIFS('Content Calendar'!$L$5:$L$604,B61,'Content Calendar'!$X$5:$X$604,"Published"))</f>
        <v>0</v>
      </c>
      <c r="Y61" s="23">
        <f>IF(B61="","",IF(COUNTIF(Performance!$I$5:$I$404,B61)=0,"",SUMIFS(Performance!$O$5:$O$404,Performance!$I$5:$I$404,B61)))</f>
        <v>0</v>
      </c>
      <c r="Z61" s="23">
        <f>IF(B61="","",IF(COUNTIF(Performance!$I$5:$I$404,B61)=0,"",SUMIFS(Performance!$Z$5:$Z$404,Performance!$I$5:$I$404,B61)))</f>
        <v>0</v>
      </c>
      <c r="AA61" s="24">
        <f>IF(OR(Y61="",Y61=0),"",Z61/Y61)</f>
        <v>0</v>
      </c>
      <c r="AB61" s="23">
        <f>IF(B61="","",IF(COUNTIF(Performance!$I$5:$I$404,B61)=0,"",SUMIFS(Performance!$U$5:$U$404,Performance!$I$5:$I$404,B61)))</f>
        <v>0</v>
      </c>
      <c r="AC61" s="25">
        <f>IF(P61="","",P61-N(Q61))</f>
        <v>0</v>
      </c>
      <c r="AD61" s="24">
        <f>IF(OR(P61="",P61=0),"",N(Q61)/P61)</f>
        <v>0</v>
      </c>
      <c r="AE61" s="25">
        <f>IF(OR(R61="",R61=0),"",N(Q61)/R61)</f>
        <v>0</v>
      </c>
      <c r="AF61" s="25">
        <f>IF(OR(S61="",S61=0),"",N(Q61)/S61)</f>
        <v>0</v>
      </c>
      <c r="AG61" s="24">
        <f>IF(OR(AB61="",AB61=0),"",N(S61)/AB61)</f>
        <v>0</v>
      </c>
      <c r="AH61" s="31">
        <f>IF(OR(Q61="",Q61=0),"",N(T61)/Q61)</f>
        <v>0</v>
      </c>
      <c r="AI61" s="25">
        <f>IF(AND(T61="",Q61=""),"",N(T61)-N(Q61))</f>
        <v>0</v>
      </c>
      <c r="AJ61" s="29">
        <f>IF(B61="","",IF(N(Q61)&gt;N(P61),"Over budget",IF(AND(U61="Running",W61=0),"Action - running with no posts planned",IF(AND(J61&lt;&gt;"",J61&lt;TODAY(),U61="Running"),"Overdue - mark it complete",IF(AND(AH61&lt;&gt;"",AH61&lt;RoasTarget),"Review - return below target","OK")))))</f>
        <v>0</v>
      </c>
    </row>
    <row r="62" spans="1:36">
      <c r="A62" s="41">
        <f>IF(B62="","",CampaignPrefix&amp;TEXT(ROW()-4,"000"))</f>
        <v>0</v>
      </c>
      <c r="V62" s="23">
        <f>IF(OR(I62="",J62=""),"",J62-I62+1)</f>
        <v>0</v>
      </c>
      <c r="W62" s="23">
        <f>IF(B62="","",COUNTIF('Content Calendar'!$L$5:$L$604,B62))</f>
        <v>0</v>
      </c>
      <c r="X62" s="23">
        <f>IF(B62="","",COUNTIFS('Content Calendar'!$L$5:$L$604,B62,'Content Calendar'!$X$5:$X$604,"Published"))</f>
        <v>0</v>
      </c>
      <c r="Y62" s="23">
        <f>IF(B62="","",IF(COUNTIF(Performance!$I$5:$I$404,B62)=0,"",SUMIFS(Performance!$O$5:$O$404,Performance!$I$5:$I$404,B62)))</f>
        <v>0</v>
      </c>
      <c r="Z62" s="23">
        <f>IF(B62="","",IF(COUNTIF(Performance!$I$5:$I$404,B62)=0,"",SUMIFS(Performance!$Z$5:$Z$404,Performance!$I$5:$I$404,B62)))</f>
        <v>0</v>
      </c>
      <c r="AA62" s="24">
        <f>IF(OR(Y62="",Y62=0),"",Z62/Y62)</f>
        <v>0</v>
      </c>
      <c r="AB62" s="23">
        <f>IF(B62="","",IF(COUNTIF(Performance!$I$5:$I$404,B62)=0,"",SUMIFS(Performance!$U$5:$U$404,Performance!$I$5:$I$404,B62)))</f>
        <v>0</v>
      </c>
      <c r="AC62" s="25">
        <f>IF(P62="","",P62-N(Q62))</f>
        <v>0</v>
      </c>
      <c r="AD62" s="24">
        <f>IF(OR(P62="",P62=0),"",N(Q62)/P62)</f>
        <v>0</v>
      </c>
      <c r="AE62" s="25">
        <f>IF(OR(R62="",R62=0),"",N(Q62)/R62)</f>
        <v>0</v>
      </c>
      <c r="AF62" s="25">
        <f>IF(OR(S62="",S62=0),"",N(Q62)/S62)</f>
        <v>0</v>
      </c>
      <c r="AG62" s="24">
        <f>IF(OR(AB62="",AB62=0),"",N(S62)/AB62)</f>
        <v>0</v>
      </c>
      <c r="AH62" s="31">
        <f>IF(OR(Q62="",Q62=0),"",N(T62)/Q62)</f>
        <v>0</v>
      </c>
      <c r="AI62" s="25">
        <f>IF(AND(T62="",Q62=""),"",N(T62)-N(Q62))</f>
        <v>0</v>
      </c>
      <c r="AJ62" s="29">
        <f>IF(B62="","",IF(N(Q62)&gt;N(P62),"Over budget",IF(AND(U62="Running",W62=0),"Action - running with no posts planned",IF(AND(J62&lt;&gt;"",J62&lt;TODAY(),U62="Running"),"Overdue - mark it complete",IF(AND(AH62&lt;&gt;"",AH62&lt;RoasTarget),"Review - return below target","OK")))))</f>
        <v>0</v>
      </c>
    </row>
    <row r="63" spans="1:36">
      <c r="A63" s="41">
        <f>IF(B63="","",CampaignPrefix&amp;TEXT(ROW()-4,"000"))</f>
        <v>0</v>
      </c>
      <c r="V63" s="23">
        <f>IF(OR(I63="",J63=""),"",J63-I63+1)</f>
        <v>0</v>
      </c>
      <c r="W63" s="23">
        <f>IF(B63="","",COUNTIF('Content Calendar'!$L$5:$L$604,B63))</f>
        <v>0</v>
      </c>
      <c r="X63" s="23">
        <f>IF(B63="","",COUNTIFS('Content Calendar'!$L$5:$L$604,B63,'Content Calendar'!$X$5:$X$604,"Published"))</f>
        <v>0</v>
      </c>
      <c r="Y63" s="23">
        <f>IF(B63="","",IF(COUNTIF(Performance!$I$5:$I$404,B63)=0,"",SUMIFS(Performance!$O$5:$O$404,Performance!$I$5:$I$404,B63)))</f>
        <v>0</v>
      </c>
      <c r="Z63" s="23">
        <f>IF(B63="","",IF(COUNTIF(Performance!$I$5:$I$404,B63)=0,"",SUMIFS(Performance!$Z$5:$Z$404,Performance!$I$5:$I$404,B63)))</f>
        <v>0</v>
      </c>
      <c r="AA63" s="24">
        <f>IF(OR(Y63="",Y63=0),"",Z63/Y63)</f>
        <v>0</v>
      </c>
      <c r="AB63" s="23">
        <f>IF(B63="","",IF(COUNTIF(Performance!$I$5:$I$404,B63)=0,"",SUMIFS(Performance!$U$5:$U$404,Performance!$I$5:$I$404,B63)))</f>
        <v>0</v>
      </c>
      <c r="AC63" s="25">
        <f>IF(P63="","",P63-N(Q63))</f>
        <v>0</v>
      </c>
      <c r="AD63" s="24">
        <f>IF(OR(P63="",P63=0),"",N(Q63)/P63)</f>
        <v>0</v>
      </c>
      <c r="AE63" s="25">
        <f>IF(OR(R63="",R63=0),"",N(Q63)/R63)</f>
        <v>0</v>
      </c>
      <c r="AF63" s="25">
        <f>IF(OR(S63="",S63=0),"",N(Q63)/S63)</f>
        <v>0</v>
      </c>
      <c r="AG63" s="24">
        <f>IF(OR(AB63="",AB63=0),"",N(S63)/AB63)</f>
        <v>0</v>
      </c>
      <c r="AH63" s="31">
        <f>IF(OR(Q63="",Q63=0),"",N(T63)/Q63)</f>
        <v>0</v>
      </c>
      <c r="AI63" s="25">
        <f>IF(AND(T63="",Q63=""),"",N(T63)-N(Q63))</f>
        <v>0</v>
      </c>
      <c r="AJ63" s="29">
        <f>IF(B63="","",IF(N(Q63)&gt;N(P63),"Over budget",IF(AND(U63="Running",W63=0),"Action - running with no posts planned",IF(AND(J63&lt;&gt;"",J63&lt;TODAY(),U63="Running"),"Overdue - mark it complete",IF(AND(AH63&lt;&gt;"",AH63&lt;RoasTarget),"Review - return below target","OK")))))</f>
        <v>0</v>
      </c>
    </row>
    <row r="64" spans="1:36">
      <c r="A64" s="41">
        <f>IF(B64="","",CampaignPrefix&amp;TEXT(ROW()-4,"000"))</f>
        <v>0</v>
      </c>
      <c r="V64" s="23">
        <f>IF(OR(I64="",J64=""),"",J64-I64+1)</f>
        <v>0</v>
      </c>
      <c r="W64" s="23">
        <f>IF(B64="","",COUNTIF('Content Calendar'!$L$5:$L$604,B64))</f>
        <v>0</v>
      </c>
      <c r="X64" s="23">
        <f>IF(B64="","",COUNTIFS('Content Calendar'!$L$5:$L$604,B64,'Content Calendar'!$X$5:$X$604,"Published"))</f>
        <v>0</v>
      </c>
      <c r="Y64" s="23">
        <f>IF(B64="","",IF(COUNTIF(Performance!$I$5:$I$404,B64)=0,"",SUMIFS(Performance!$O$5:$O$404,Performance!$I$5:$I$404,B64)))</f>
        <v>0</v>
      </c>
      <c r="Z64" s="23">
        <f>IF(B64="","",IF(COUNTIF(Performance!$I$5:$I$404,B64)=0,"",SUMIFS(Performance!$Z$5:$Z$404,Performance!$I$5:$I$404,B64)))</f>
        <v>0</v>
      </c>
      <c r="AA64" s="24">
        <f>IF(OR(Y64="",Y64=0),"",Z64/Y64)</f>
        <v>0</v>
      </c>
      <c r="AB64" s="23">
        <f>IF(B64="","",IF(COUNTIF(Performance!$I$5:$I$404,B64)=0,"",SUMIFS(Performance!$U$5:$U$404,Performance!$I$5:$I$404,B64)))</f>
        <v>0</v>
      </c>
      <c r="AC64" s="25">
        <f>IF(P64="","",P64-N(Q64))</f>
        <v>0</v>
      </c>
      <c r="AD64" s="24">
        <f>IF(OR(P64="",P64=0),"",N(Q64)/P64)</f>
        <v>0</v>
      </c>
      <c r="AE64" s="25">
        <f>IF(OR(R64="",R64=0),"",N(Q64)/R64)</f>
        <v>0</v>
      </c>
      <c r="AF64" s="25">
        <f>IF(OR(S64="",S64=0),"",N(Q64)/S64)</f>
        <v>0</v>
      </c>
      <c r="AG64" s="24">
        <f>IF(OR(AB64="",AB64=0),"",N(S64)/AB64)</f>
        <v>0</v>
      </c>
      <c r="AH64" s="31">
        <f>IF(OR(Q64="",Q64=0),"",N(T64)/Q64)</f>
        <v>0</v>
      </c>
      <c r="AI64" s="25">
        <f>IF(AND(T64="",Q64=""),"",N(T64)-N(Q64))</f>
        <v>0</v>
      </c>
      <c r="AJ64" s="29">
        <f>IF(B64="","",IF(N(Q64)&gt;N(P64),"Over budget",IF(AND(U64="Running",W64=0),"Action - running with no posts planned",IF(AND(J64&lt;&gt;"",J64&lt;TODAY(),U64="Running"),"Overdue - mark it complete",IF(AND(AH64&lt;&gt;"",AH64&lt;RoasTarget),"Review - return below target","OK")))))</f>
        <v>0</v>
      </c>
    </row>
  </sheetData>
  <sheetProtection password="EC7C" sheet="1" objects="1" scenarios="1" formatCells="0" formatColumns="0" formatRows="0" insertRows="0" insertHyperlinks="0" deleteRows="0" autoFilter="0"/>
  <autoFilter ref="A4:AK64"/>
  <mergeCells count="13">
    <mergeCell ref="A1:AH1"/>
    <mergeCell ref="AI1:AK1"/>
    <mergeCell ref="A2:AK2"/>
    <mergeCell ref="A3:B3"/>
    <mergeCell ref="C3:D3"/>
    <mergeCell ref="E3:F3"/>
    <mergeCell ref="G3:H3"/>
    <mergeCell ref="I3:J3"/>
    <mergeCell ref="K3:L3"/>
    <mergeCell ref="M3:N3"/>
    <mergeCell ref="O3:P3"/>
    <mergeCell ref="Q3:R3"/>
    <mergeCell ref="S3:AK3"/>
  </mergeCells>
  <conditionalFormatting sqref="AA5:AA64">
    <cfRule type="cellIs" dxfId="0" priority="32" operator="greaterThanOrEqual">
      <formula>TargetEngagement</formula>
    </cfRule>
    <cfRule type="cellIs" dxfId="2" priority="33" operator="lessThan">
      <formula>TargetEngagement</formula>
    </cfRule>
  </conditionalFormatting>
  <conditionalFormatting sqref="AC5:AC64">
    <cfRule type="cellIs" dxfId="1" priority="34" operator="lessThan">
      <formula>0</formula>
    </cfRule>
  </conditionalFormatting>
  <conditionalFormatting sqref="AD5:AD64">
    <cfRule type="cellIs" dxfId="1" priority="35" operator="greaterThan">
      <formula>1</formula>
    </cfRule>
    <cfRule type="dataBar" priority="36">
      <dataBar>
        <cfvo type="min" val="0"/>
        <cfvo type="max" val="0"/>
        <color rgb="FFF2665E"/>
      </dataBar>
    </cfRule>
  </conditionalFormatting>
  <conditionalFormatting sqref="AE5:AE64">
    <cfRule type="cellIs" dxfId="2" priority="37" operator="greaterThan">
      <formula>CplTarget</formula>
    </cfRule>
  </conditionalFormatting>
  <conditionalFormatting sqref="AH5:AH64">
    <cfRule type="cellIs" dxfId="0" priority="38" operator="greaterThanOrEqual">
      <formula>RoasTarget</formula>
    </cfRule>
    <cfRule type="cellIs" dxfId="2" priority="39" operator="lessThan">
      <formula>RoasTarget</formula>
    </cfRule>
  </conditionalFormatting>
  <conditionalFormatting sqref="AI5:AI64">
    <cfRule type="cellIs" dxfId="1" priority="40" operator="lessThan">
      <formula>0</formula>
    </cfRule>
  </conditionalFormatting>
  <conditionalFormatting sqref="AJ5:AJ64">
    <cfRule type="beginsWith" dxfId="0" priority="41" operator="beginsWith" text="OK">
      <formula>LEFT(AJ5,2)="OK"</formula>
    </cfRule>
    <cfRule type="containsText" dxfId="1" priority="42" operator="containsText" text="Overdue">
      <formula>NOT(ISERROR(SEARCH("Overdue",AJ5)))</formula>
    </cfRule>
    <cfRule type="containsText" dxfId="1" priority="43" operator="containsText" text="Late">
      <formula>NOT(ISERROR(SEARCH("Late",AJ5)))</formula>
    </cfRule>
    <cfRule type="containsText" dxfId="1" priority="44" operator="containsText" text="Missing">
      <formula>NOT(ISERROR(SEARCH("Missing",AJ5)))</formula>
    </cfRule>
    <cfRule type="containsText" dxfId="1" priority="45" operator="containsText" text="Conflict">
      <formula>NOT(ISERROR(SEARCH("Conflict",AJ5)))</formula>
    </cfRule>
    <cfRule type="containsText" dxfId="1" priority="46" operator="containsText" text="Expired">
      <formula>NOT(ISERROR(SEARCH("Expired",AJ5)))</formula>
    </cfRule>
    <cfRule type="containsText" dxfId="1" priority="47" operator="containsText" text="Duplicate">
      <formula>NOT(ISERROR(SEARCH("Duplicate",AJ5)))</formula>
    </cfRule>
    <cfRule type="containsText" dxfId="2" priority="48" operator="containsText" text="Action">
      <formula>NOT(ISERROR(SEARCH("Action",AJ5)))</formula>
    </cfRule>
    <cfRule type="containsText" dxfId="2" priority="49" operator="containsText" text="Due">
      <formula>NOT(ISERROR(SEARCH("Due",AJ5)))</formula>
    </cfRule>
    <cfRule type="containsText" dxfId="2" priority="50" operator="containsText" text="Check">
      <formula>NOT(ISERROR(SEARCH("Check",AJ5)))</formula>
    </cfRule>
    <cfRule type="containsText" dxfId="2" priority="51" operator="containsText" text="Add">
      <formula>NOT(ISERROR(SEARCH("Add",AJ5)))</formula>
    </cfRule>
    <cfRule type="containsText" dxfId="3" priority="52" operator="containsText" text="Today">
      <formula>NOT(ISERROR(SEARCH("Today",AJ5)))</formula>
    </cfRule>
    <cfRule type="containsText" dxfId="3" priority="53" operator="containsText" text="Upcoming">
      <formula>NOT(ISERROR(SEARCH("Upcoming",AJ5)))</formula>
    </cfRule>
  </conditionalFormatting>
  <conditionalFormatting sqref="P5:P64">
    <cfRule type="dataBar" priority="1">
      <dataBar>
        <cfvo type="min" val="0"/>
        <cfvo type="max" val="0"/>
        <color rgb="FF6350A8"/>
      </dataBar>
    </cfRule>
  </conditionalFormatting>
  <conditionalFormatting sqref="T5:T64">
    <cfRule type="cellIs" dxfId="5" priority="2" operator="greaterThan">
      <formula>0</formula>
    </cfRule>
  </conditionalFormatting>
  <conditionalFormatting sqref="U5:U64">
    <cfRule type="containsText" dxfId="0" priority="3" operator="containsText" text="Published">
      <formula>NOT(ISERROR(SEARCH("Published",U5)))</formula>
    </cfRule>
    <cfRule type="containsText" dxfId="0" priority="4" operator="containsText" text="Approved">
      <formula>NOT(ISERROR(SEARCH("Approved",U5)))</formula>
    </cfRule>
    <cfRule type="containsText" dxfId="0" priority="5" operator="containsText" text="Complete">
      <formula>NOT(ISERROR(SEARCH("Complete",U5)))</formula>
    </cfRule>
    <cfRule type="containsText" dxfId="0" priority="6" operator="containsText" text="Active">
      <formula>NOT(ISERROR(SEARCH("Active",U5)))</formula>
    </cfRule>
    <cfRule type="containsText" dxfId="0" priority="7" operator="containsText" text="Agreed">
      <formula>NOT(ISERROR(SEARCH("Agreed",U5)))</formula>
    </cfRule>
    <cfRule type="containsText" dxfId="0" priority="8" operator="containsText" text="Yes">
      <formula>NOT(ISERROR(SEARCH("Yes",U5)))</formula>
    </cfRule>
    <cfRule type="containsText" dxfId="0" priority="9" operator="containsText" text="Won">
      <formula>NOT(ISERROR(SEARCH("Won",U5)))</formula>
    </cfRule>
    <cfRule type="containsText" dxfId="3" priority="10" operator="containsText" text="Scheduled">
      <formula>NOT(ISERROR(SEARCH("Scheduled",U5)))</formula>
    </cfRule>
    <cfRule type="containsText" dxfId="3" priority="11" operator="containsText" text="In production">
      <formula>NOT(ISERROR(SEARCH("In production",U5)))</formula>
    </cfRule>
    <cfRule type="containsText" dxfId="3" priority="12" operator="containsText" text="Running">
      <formula>NOT(ISERROR(SEARCH("Running",U5)))</formula>
    </cfRule>
    <cfRule type="containsText" dxfId="3" priority="13" operator="containsText" text="Sent">
      <formula>NOT(ISERROR(SEARCH("Sent",U5)))</formula>
    </cfRule>
    <cfRule type="containsText" dxfId="3" priority="14" operator="containsText" text="Testing">
      <formula>NOT(ISERROR(SEARCH("Testing",U5)))</formula>
    </cfRule>
    <cfRule type="containsText" dxfId="2" priority="15" operator="containsText" text="Idea">
      <formula>NOT(ISERROR(SEARCH("Idea",U5)))</formula>
    </cfRule>
    <cfRule type="containsText" dxfId="2" priority="16" operator="containsText" text="Brief">
      <formula>NOT(ISERROR(SEARCH("Brief",U5)))</formula>
    </cfRule>
    <cfRule type="containsText" dxfId="2" priority="17" operator="containsText" text="Draft">
      <formula>NOT(ISERROR(SEARCH("Draft",U5)))</formula>
    </cfRule>
    <cfRule type="containsText" dxfId="2" priority="18" operator="containsText" text="Awaiting review">
      <formula>NOT(ISERROR(SEARCH("Awaiting review",U5)))</formula>
    </cfRule>
    <cfRule type="containsText" dxfId="2" priority="19" operator="containsText" text="Pending">
      <formula>NOT(ISERROR(SEARCH("Pending",U5)))</formula>
    </cfRule>
    <cfRule type="containsText" dxfId="2" priority="20" operator="containsText" text="On hold">
      <formula>NOT(ISERROR(SEARCH("On hold",U5)))</formula>
    </cfRule>
    <cfRule type="containsText" dxfId="1" priority="21" operator="containsText" text="Revision needed">
      <formula>NOT(ISERROR(SEARCH("Revision needed",U5)))</formula>
    </cfRule>
    <cfRule type="containsText" dxfId="1" priority="22" operator="containsText" text="Rejected">
      <formula>NOT(ISERROR(SEARCH("Rejected",U5)))</formula>
    </cfRule>
    <cfRule type="containsText" dxfId="1" priority="23" operator="containsText" text="Cancelled">
      <formula>NOT(ISERROR(SEARCH("Cancelled",U5)))</formula>
    </cfRule>
    <cfRule type="containsText" dxfId="1" priority="24" operator="containsText" text="Missed">
      <formula>NOT(ISERROR(SEARCH("Missed",U5)))</formula>
    </cfRule>
    <cfRule type="containsText" dxfId="1" priority="25" operator="containsText" text="Overdue">
      <formula>NOT(ISERROR(SEARCH("Overdue",U5)))</formula>
    </cfRule>
    <cfRule type="containsText" dxfId="1" priority="26" operator="containsText" text="Declined">
      <formula>NOT(ISERROR(SEARCH("Declined",U5)))</formula>
    </cfRule>
    <cfRule type="containsText" dxfId="4" priority="27" operator="containsText" text="Archived">
      <formula>NOT(ISERROR(SEARCH("Archived",U5)))</formula>
    </cfRule>
    <cfRule type="containsText" dxfId="4" priority="28" operator="containsText" text="Paused">
      <formula>NOT(ISERROR(SEARCH("Paused",U5)))</formula>
    </cfRule>
    <cfRule type="containsText" dxfId="4" priority="29" operator="containsText" text="Not started">
      <formula>NOT(ISERROR(SEARCH("Not started",U5)))</formula>
    </cfRule>
  </conditionalFormatting>
  <conditionalFormatting sqref="W5:W64">
    <cfRule type="dataBar" priority="30">
      <dataBar>
        <cfvo type="min" val="0"/>
        <cfvo type="max" val="0"/>
        <color rgb="FF6350A8"/>
      </dataBar>
    </cfRule>
  </conditionalFormatting>
  <conditionalFormatting sqref="Y5:Y64">
    <cfRule type="dataBar" priority="31">
      <dataBar>
        <cfvo type="min" val="0"/>
        <cfvo type="max" val="0"/>
        <color rgb="FF6350A8"/>
      </dataBar>
    </cfRule>
  </conditionalFormatting>
  <dataValidations count="12">
    <dataValidation type="list" allowBlank="1" showInputMessage="1" showErrorMessage="1" sqref="C5:C64">
      <formula1>ObjectiveList</formula1>
    </dataValidation>
    <dataValidation type="list" allowBlank="1" showInputMessage="1" showErrorMessage="1" sqref="F5:F64">
      <formula1>PersonaNames</formula1>
    </dataValidation>
    <dataValidation type="date" allowBlank="1" showInputMessage="1" showErrorMessage="1" errorTitle="Check the date" error="Enter a real date between 2000 and 2100." sqref="I5:I64">
      <formula1>36526</formula1>
      <formula2>73415</formula2>
    </dataValidation>
    <dataValidation type="date" allowBlank="1" showInputMessage="1" showErrorMessage="1" errorTitle="Check the date" error="Enter a real date between 2000 and 2100." sqref="J5:J64">
      <formula1>36526</formula1>
      <formula2>73415</formula2>
    </dataValidation>
    <dataValidation type="list" allowBlank="1" showInputMessage="1" showErrorMessage="1" sqref="K5:K64">
      <formula1>TeamNames</formula1>
    </dataValidation>
    <dataValidation type="list" allowBlank="1" showInputMessage="1" showErrorMessage="1" sqref="N5:N64">
      <formula1>CTAList</formula1>
    </dataValidation>
    <dataValidation type="decimal" allowBlank="1" showInputMessage="1" showErrorMessage="1" errorTitle="Check the value" error="Enter a number between 0 and 1000000000.0." sqref="P5:P64">
      <formula1>0</formula1>
      <formula2>1000000000.0</formula2>
    </dataValidation>
    <dataValidation type="decimal" allowBlank="1" showInputMessage="1" showErrorMessage="1" errorTitle="Check the value" error="Enter a number between 0 and 1000000000.0." sqref="Q5:Q64">
      <formula1>0</formula1>
      <formula2>1000000000.0</formula2>
    </dataValidation>
    <dataValidation type="whole" allowBlank="1" showInputMessage="1" showErrorMessage="1" errorTitle="Check the value" error="Enter a number between 0 and 10000000.0." sqref="R5:R64">
      <formula1>0</formula1>
      <formula2>10000000.0</formula2>
    </dataValidation>
    <dataValidation type="whole" allowBlank="1" showInputMessage="1" showErrorMessage="1" errorTitle="Check the value" error="Enter a number between 0 and 10000000.0." sqref="S5:S64">
      <formula1>0</formula1>
      <formula2>10000000.0</formula2>
    </dataValidation>
    <dataValidation type="decimal" allowBlank="1" showInputMessage="1" showErrorMessage="1" errorTitle="Check the value" error="Enter a number between 0 and 1000000000.0." sqref="T5:T64">
      <formula1>0</formula1>
      <formula2>1000000000.0</formula2>
    </dataValidation>
    <dataValidation type="list" allowBlank="1" showInputMessage="1" showErrorMessage="1" sqref="U5:U64">
      <formula1>CampaignStatusList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&amp;L&amp;"Calibri,Bold"&amp;12&amp;C&amp;"Calibri,Bold"&amp;11Campaigns&amp;R&amp;"Calibri,Italic"&amp;9Social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2.xml><?xml version="1.0" encoding="utf-8"?>
<worksheet xmlns="http://schemas.openxmlformats.org/spreadsheetml/2006/main" xmlns:r="http://schemas.openxmlformats.org/officeDocument/2006/relationships">
  <sheetPr>
    <tabColor rgb="FFF2665E"/>
    <pageSetUpPr fitToPage="1"/>
  </sheetPr>
  <dimension ref="A1:AF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24.7109375" style="15" customWidth="1"/>
    <col min="3" max="3" width="12.7109375" style="43" customWidth="1"/>
    <col min="4" max="4" width="20.7109375" style="15" customWidth="1"/>
    <col min="5" max="5" width="12.7109375" style="43" customWidth="1"/>
    <col min="6" max="6" width="12.7109375" style="43" customWidth="1"/>
    <col min="7" max="7" width="28.7109375" style="39" customWidth="1"/>
    <col min="8" max="8" width="28.7109375" style="39" customWidth="1"/>
    <col min="9" max="9" width="28.7109375" style="39" customWidth="1"/>
    <col min="10" max="10" width="28.7109375" style="39" customWidth="1"/>
    <col min="11" max="11" width="26.7109375" style="39" customWidth="1"/>
    <col min="12" max="12" width="22.7109375" style="15" customWidth="1"/>
    <col min="13" max="13" width="14.7109375" style="15" customWidth="1"/>
    <col min="14" max="14" width="10.7109375" style="34" customWidth="1"/>
    <col min="15" max="15" width="13.7109375" style="43" customWidth="1"/>
    <col min="16" max="16" width="24.7109375" style="39" customWidth="1"/>
    <col min="17" max="17" width="20.7109375" style="15" customWidth="1"/>
    <col min="18" max="18" width="12.7109375" style="36" customWidth="1"/>
    <col min="19" max="19" width="12.7109375" style="34" customWidth="1"/>
    <col min="20" max="20" width="12.7109375" style="34" customWidth="1"/>
    <col min="21" max="21" width="10.7109375" style="34" customWidth="1"/>
    <col min="22" max="22" width="13.7109375" style="36" customWidth="1"/>
    <col min="23" max="23" width="13.7109375" style="48" customWidth="1"/>
    <col min="24" max="24" width="11.7109375" style="23" customWidth="1"/>
    <col min="25" max="25" width="15.7109375" style="17" customWidth="1"/>
    <col min="26" max="26" width="10.7109375" style="23" customWidth="1"/>
    <col min="27" max="27" width="12.7109375" style="23" customWidth="1"/>
    <col min="28" max="28" width="12.7109375" style="25" customWidth="1"/>
    <col min="29" max="29" width="11.7109375" style="24" customWidth="1"/>
    <col min="30" max="30" width="12.7109375" style="31" customWidth="1"/>
    <col min="31" max="31" width="28.7109375" style="29" customWidth="1"/>
    <col min="32" max="32" width="30.7109375" style="39" customWidth="1"/>
  </cols>
  <sheetData>
    <row r="1" spans="1:32" ht="34" customHeight="1">
      <c r="A1" s="2" t="s">
        <v>1599</v>
      </c>
      <c r="B1" s="2"/>
      <c r="C1" s="2"/>
      <c r="D1" s="2"/>
      <c r="E1" s="2"/>
      <c r="F1" s="2"/>
      <c r="G1" s="2"/>
      <c r="H1" s="2"/>
      <c r="I1" s="2"/>
      <c r="J1" s="2"/>
      <c r="K1" s="2"/>
      <c r="L1" s="2"/>
      <c r="M1" s="2"/>
      <c r="N1" s="2"/>
      <c r="O1" s="2"/>
      <c r="P1" s="2"/>
      <c r="Q1" s="2"/>
      <c r="R1" s="2"/>
      <c r="S1" s="2"/>
      <c r="T1" s="2"/>
      <c r="U1" s="2"/>
      <c r="V1" s="2"/>
      <c r="W1" s="2"/>
      <c r="X1" s="2"/>
      <c r="Y1" s="2"/>
      <c r="Z1" s="2"/>
      <c r="AA1" s="2"/>
      <c r="AB1" s="2"/>
      <c r="AC1" s="2"/>
      <c r="AD1" s="3" t="s">
        <v>1</v>
      </c>
      <c r="AE1" s="3"/>
      <c r="AF1" s="3"/>
    </row>
    <row r="2" spans="1:32" ht="18" customHeight="1">
      <c r="A2" s="4" t="s">
        <v>1600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1601</v>
      </c>
      <c r="T3" s="38"/>
      <c r="U3" s="38"/>
      <c r="V3" s="38"/>
      <c r="W3" s="38"/>
      <c r="X3" s="38"/>
      <c r="Y3" s="38"/>
      <c r="Z3" s="38"/>
      <c r="AA3" s="38"/>
      <c r="AB3" s="38"/>
      <c r="AC3" s="38"/>
      <c r="AD3" s="38"/>
      <c r="AE3" s="38"/>
      <c r="AF3" s="38"/>
    </row>
    <row r="4" spans="1:32" ht="30" customHeight="1">
      <c r="A4" s="8" t="s">
        <v>766</v>
      </c>
      <c r="B4" s="8" t="s">
        <v>1602</v>
      </c>
      <c r="C4" s="9" t="s">
        <v>1603</v>
      </c>
      <c r="D4" s="9" t="s">
        <v>1604</v>
      </c>
      <c r="E4" s="9" t="s">
        <v>1605</v>
      </c>
      <c r="F4" s="9" t="s">
        <v>1606</v>
      </c>
      <c r="G4" s="9" t="s">
        <v>1607</v>
      </c>
      <c r="H4" s="9" t="s">
        <v>1608</v>
      </c>
      <c r="I4" s="9" t="s">
        <v>1609</v>
      </c>
      <c r="J4" s="9" t="s">
        <v>1610</v>
      </c>
      <c r="K4" s="9" t="s">
        <v>1611</v>
      </c>
      <c r="L4" s="9" t="s">
        <v>1612</v>
      </c>
      <c r="M4" s="9" t="s">
        <v>1613</v>
      </c>
      <c r="N4" s="9" t="s">
        <v>1614</v>
      </c>
      <c r="O4" s="9" t="s">
        <v>1615</v>
      </c>
      <c r="P4" s="9" t="s">
        <v>1616</v>
      </c>
      <c r="Q4" s="9" t="s">
        <v>1617</v>
      </c>
      <c r="R4" s="9" t="s">
        <v>97</v>
      </c>
      <c r="S4" s="9" t="s">
        <v>153</v>
      </c>
      <c r="T4" s="9" t="s">
        <v>1618</v>
      </c>
      <c r="U4" s="9" t="s">
        <v>170</v>
      </c>
      <c r="V4" s="9" t="s">
        <v>172</v>
      </c>
      <c r="W4" s="9" t="s">
        <v>221</v>
      </c>
      <c r="X4" s="9" t="s">
        <v>1619</v>
      </c>
      <c r="Y4" s="9" t="s">
        <v>1620</v>
      </c>
      <c r="Z4" s="9" t="s">
        <v>1621</v>
      </c>
      <c r="AA4" s="9" t="s">
        <v>1622</v>
      </c>
      <c r="AB4" s="9" t="s">
        <v>1623</v>
      </c>
      <c r="AC4" s="9" t="s">
        <v>1624</v>
      </c>
      <c r="AD4" s="9" t="s">
        <v>179</v>
      </c>
      <c r="AE4" s="9" t="s">
        <v>787</v>
      </c>
      <c r="AF4" s="9" t="s">
        <v>1625</v>
      </c>
    </row>
    <row r="5" spans="1:32">
      <c r="A5" s="41">
        <f>IF(B5="","","LA-"&amp;TEXT(ROW()-4,"000"))</f>
        <v>0</v>
      </c>
      <c r="B5" s="15" t="s">
        <v>1626</v>
      </c>
      <c r="C5" s="43">
        <v>46266</v>
      </c>
      <c r="D5" s="15" t="s">
        <v>925</v>
      </c>
      <c r="E5" s="43">
        <v>46252</v>
      </c>
      <c r="F5" s="43">
        <v>46280</v>
      </c>
      <c r="G5" s="39" t="s">
        <v>1627</v>
      </c>
      <c r="H5" s="39" t="s">
        <v>1628</v>
      </c>
      <c r="I5" s="39" t="s">
        <v>1629</v>
      </c>
      <c r="J5" s="39" t="s">
        <v>1630</v>
      </c>
      <c r="K5" s="39" t="s">
        <v>1631</v>
      </c>
      <c r="L5" s="15" t="s">
        <v>1632</v>
      </c>
      <c r="M5" s="15" t="s">
        <v>1633</v>
      </c>
      <c r="N5" s="34">
        <v>24</v>
      </c>
      <c r="O5" s="43">
        <v>46265</v>
      </c>
      <c r="P5" s="39" t="s">
        <v>1634</v>
      </c>
      <c r="Q5" s="15" t="s">
        <v>1635</v>
      </c>
      <c r="R5" s="36">
        <v>420</v>
      </c>
      <c r="S5" s="34">
        <v>1510</v>
      </c>
      <c r="T5" s="34">
        <v>20</v>
      </c>
      <c r="U5" s="34">
        <v>76</v>
      </c>
      <c r="V5" s="36">
        <v>2313.21</v>
      </c>
      <c r="W5" s="48" t="s">
        <v>504</v>
      </c>
      <c r="X5" s="23">
        <f>IF(C5="","",C5-TODAY())</f>
        <v>0</v>
      </c>
      <c r="Y5" s="17">
        <f>IF(C5="","",IF(TODAY()&lt;E5,"Not started yet",IF(TODAY()&lt;C5,"Teasing",IF(TODAY()=C5,"Launch day",IF(TODAY()&lt;=F5,"Follow-up","Finished")))))</f>
        <v>0</v>
      </c>
      <c r="Z5" s="23">
        <f>IF(OR(C5="",E5=""),"",C5-E5)</f>
        <v>0</v>
      </c>
      <c r="AA5" s="23">
        <f>IF(OR(E5="",F5=""),"",COUNTIFS('Content Calendar'!$B$5:$B$604,"&gt;="&amp;E5,'Content Calendar'!$B$5:$B$604,"&lt;="&amp;F5))</f>
        <v>0</v>
      </c>
      <c r="AB5" s="25">
        <f>IF(OR(U5="",U5=0),"",N(V5)/U5)</f>
        <v>0</v>
      </c>
      <c r="AC5" s="24">
        <f>IF(OR(T5="",T5=0),"",N(U5)/T5)</f>
        <v>0</v>
      </c>
      <c r="AD5" s="31">
        <f>IF(OR(R5="",R5=0),"",N(V5)/R5)</f>
        <v>0</v>
      </c>
      <c r="AE5" s="29">
        <f>IF(B5="","",IF(AND(Z5&lt;&gt;"",Z5&lt;7),"Action - less than a week of teasing",IF(AND(Y5="Teasing",AA5=0),"Action - nothing on the calendar yet",IF(AND(C5&lt;TODAY(),W5&lt;&gt;"Complete",W5&lt;&gt;"Cancelled"),"Overdue - close this launch off",IF(O5=TODAY(),"Today - send the last call","OK")))))</f>
        <v>0</v>
      </c>
      <c r="AF5" s="39" t="s">
        <v>1636</v>
      </c>
    </row>
    <row r="6" spans="1:32">
      <c r="A6" s="41">
        <f>IF(B6="","","LA-"&amp;TEXT(ROW()-4,"000"))</f>
        <v>0</v>
      </c>
      <c r="B6" s="15" t="s">
        <v>1637</v>
      </c>
      <c r="C6" s="43">
        <v>46318</v>
      </c>
      <c r="D6" s="15" t="s">
        <v>1049</v>
      </c>
      <c r="E6" s="43">
        <v>46304</v>
      </c>
      <c r="F6" s="43">
        <v>46332</v>
      </c>
      <c r="G6" s="39" t="s">
        <v>1627</v>
      </c>
      <c r="H6" s="39" t="s">
        <v>1628</v>
      </c>
      <c r="I6" s="39" t="s">
        <v>1629</v>
      </c>
      <c r="J6" s="39" t="s">
        <v>1630</v>
      </c>
      <c r="K6" s="39" t="s">
        <v>1631</v>
      </c>
      <c r="L6" s="15" t="s">
        <v>1632</v>
      </c>
      <c r="M6" s="15" t="s">
        <v>1633</v>
      </c>
      <c r="N6" s="34">
        <v>11</v>
      </c>
      <c r="O6" s="43">
        <v>46317</v>
      </c>
      <c r="P6" s="39" t="s">
        <v>1634</v>
      </c>
      <c r="Q6" s="15" t="s">
        <v>1635</v>
      </c>
      <c r="R6" s="36">
        <v>420</v>
      </c>
      <c r="S6" s="34">
        <v>1737</v>
      </c>
      <c r="T6" s="34">
        <v>108</v>
      </c>
      <c r="U6" s="34">
        <v>66</v>
      </c>
      <c r="V6" s="36">
        <v>3214.61</v>
      </c>
      <c r="W6" s="48" t="s">
        <v>418</v>
      </c>
      <c r="X6" s="23">
        <f>IF(C6="","",C6-TODAY())</f>
        <v>0</v>
      </c>
      <c r="Y6" s="17">
        <f>IF(C6="","",IF(TODAY()&lt;E6,"Not started yet",IF(TODAY()&lt;C6,"Teasing",IF(TODAY()=C6,"Launch day",IF(TODAY()&lt;=F6,"Follow-up","Finished")))))</f>
        <v>0</v>
      </c>
      <c r="Z6" s="23">
        <f>IF(OR(C6="",E6=""),"",C6-E6)</f>
        <v>0</v>
      </c>
      <c r="AA6" s="23">
        <f>IF(OR(E6="",F6=""),"",COUNTIFS('Content Calendar'!$B$5:$B$604,"&gt;="&amp;E6,'Content Calendar'!$B$5:$B$604,"&lt;="&amp;F6))</f>
        <v>0</v>
      </c>
      <c r="AB6" s="25">
        <f>IF(OR(U6="",U6=0),"",N(V6)/U6)</f>
        <v>0</v>
      </c>
      <c r="AC6" s="24">
        <f>IF(OR(T6="",T6=0),"",N(U6)/T6)</f>
        <v>0</v>
      </c>
      <c r="AD6" s="31">
        <f>IF(OR(R6="",R6=0),"",N(V6)/R6)</f>
        <v>0</v>
      </c>
      <c r="AE6" s="29">
        <f>IF(B6="","",IF(AND(Z6&lt;&gt;"",Z6&lt;7),"Action - less than a week of teasing",IF(AND(Y6="Teasing",AA6=0),"Action - nothing on the calendar yet",IF(AND(C6&lt;TODAY(),W6&lt;&gt;"Complete",W6&lt;&gt;"Cancelled"),"Overdue - close this launch off",IF(O6=TODAY(),"Today - send the last call","OK")))))</f>
        <v>0</v>
      </c>
      <c r="AF6" s="39" t="s">
        <v>205</v>
      </c>
    </row>
    <row r="7" spans="1:32">
      <c r="A7" s="41">
        <f>IF(B7="","","LA-"&amp;TEXT(ROW()-4,"000"))</f>
        <v>0</v>
      </c>
      <c r="X7" s="23">
        <f>IF(C7="","",C7-TODAY())</f>
        <v>0</v>
      </c>
      <c r="Y7" s="17">
        <f>IF(C7="","",IF(TODAY()&lt;E7,"Not started yet",IF(TODAY()&lt;C7,"Teasing",IF(TODAY()=C7,"Launch day",IF(TODAY()&lt;=F7,"Follow-up","Finished")))))</f>
        <v>0</v>
      </c>
      <c r="Z7" s="23">
        <f>IF(OR(C7="",E7=""),"",C7-E7)</f>
        <v>0</v>
      </c>
      <c r="AA7" s="23">
        <f>IF(OR(E7="",F7=""),"",COUNTIFS('Content Calendar'!$B$5:$B$604,"&gt;="&amp;E7,'Content Calendar'!$B$5:$B$604,"&lt;="&amp;F7))</f>
        <v>0</v>
      </c>
      <c r="AB7" s="25">
        <f>IF(OR(U7="",U7=0),"",N(V7)/U7)</f>
        <v>0</v>
      </c>
      <c r="AC7" s="24">
        <f>IF(OR(T7="",T7=0),"",N(U7)/T7)</f>
        <v>0</v>
      </c>
      <c r="AD7" s="31">
        <f>IF(OR(R7="",R7=0),"",N(V7)/R7)</f>
        <v>0</v>
      </c>
      <c r="AE7" s="29">
        <f>IF(B7="","",IF(AND(Z7&lt;&gt;"",Z7&lt;7),"Action - less than a week of teasing",IF(AND(Y7="Teasing",AA7=0),"Action - nothing on the calendar yet",IF(AND(C7&lt;TODAY(),W7&lt;&gt;"Complete",W7&lt;&gt;"Cancelled"),"Overdue - close this launch off",IF(O7=TODAY(),"Today - send the last call","OK")))))</f>
        <v>0</v>
      </c>
    </row>
    <row r="8" spans="1:32">
      <c r="A8" s="41">
        <f>IF(B8="","","LA-"&amp;TEXT(ROW()-4,"000"))</f>
        <v>0</v>
      </c>
      <c r="X8" s="23">
        <f>IF(C8="","",C8-TODAY())</f>
        <v>0</v>
      </c>
      <c r="Y8" s="17">
        <f>IF(C8="","",IF(TODAY()&lt;E8,"Not started yet",IF(TODAY()&lt;C8,"Teasing",IF(TODAY()=C8,"Launch day",IF(TODAY()&lt;=F8,"Follow-up","Finished")))))</f>
        <v>0</v>
      </c>
      <c r="Z8" s="23">
        <f>IF(OR(C8="",E8=""),"",C8-E8)</f>
        <v>0</v>
      </c>
      <c r="AA8" s="23">
        <f>IF(OR(E8="",F8=""),"",COUNTIFS('Content Calendar'!$B$5:$B$604,"&gt;="&amp;E8,'Content Calendar'!$B$5:$B$604,"&lt;="&amp;F8))</f>
        <v>0</v>
      </c>
      <c r="AB8" s="25">
        <f>IF(OR(U8="",U8=0),"",N(V8)/U8)</f>
        <v>0</v>
      </c>
      <c r="AC8" s="24">
        <f>IF(OR(T8="",T8=0),"",N(U8)/T8)</f>
        <v>0</v>
      </c>
      <c r="AD8" s="31">
        <f>IF(OR(R8="",R8=0),"",N(V8)/R8)</f>
        <v>0</v>
      </c>
      <c r="AE8" s="29">
        <f>IF(B8="","",IF(AND(Z8&lt;&gt;"",Z8&lt;7),"Action - less than a week of teasing",IF(AND(Y8="Teasing",AA8=0),"Action - nothing on the calendar yet",IF(AND(C8&lt;TODAY(),W8&lt;&gt;"Complete",W8&lt;&gt;"Cancelled"),"Overdue - close this launch off",IF(O8=TODAY(),"Today - send the last call","OK")))))</f>
        <v>0</v>
      </c>
    </row>
    <row r="9" spans="1:32">
      <c r="A9" s="41">
        <f>IF(B9="","","LA-"&amp;TEXT(ROW()-4,"000"))</f>
        <v>0</v>
      </c>
      <c r="X9" s="23">
        <f>IF(C9="","",C9-TODAY())</f>
        <v>0</v>
      </c>
      <c r="Y9" s="17">
        <f>IF(C9="","",IF(TODAY()&lt;E9,"Not started yet",IF(TODAY()&lt;C9,"Teasing",IF(TODAY()=C9,"Launch day",IF(TODAY()&lt;=F9,"Follow-up","Finished")))))</f>
        <v>0</v>
      </c>
      <c r="Z9" s="23">
        <f>IF(OR(C9="",E9=""),"",C9-E9)</f>
        <v>0</v>
      </c>
      <c r="AA9" s="23">
        <f>IF(OR(E9="",F9=""),"",COUNTIFS('Content Calendar'!$B$5:$B$604,"&gt;="&amp;E9,'Content Calendar'!$B$5:$B$604,"&lt;="&amp;F9))</f>
        <v>0</v>
      </c>
      <c r="AB9" s="25">
        <f>IF(OR(U9="",U9=0),"",N(V9)/U9)</f>
        <v>0</v>
      </c>
      <c r="AC9" s="24">
        <f>IF(OR(T9="",T9=0),"",N(U9)/T9)</f>
        <v>0</v>
      </c>
      <c r="AD9" s="31">
        <f>IF(OR(R9="",R9=0),"",N(V9)/R9)</f>
        <v>0</v>
      </c>
      <c r="AE9" s="29">
        <f>IF(B9="","",IF(AND(Z9&lt;&gt;"",Z9&lt;7),"Action - less than a week of teasing",IF(AND(Y9="Teasing",AA9=0),"Action - nothing on the calendar yet",IF(AND(C9&lt;TODAY(),W9&lt;&gt;"Complete",W9&lt;&gt;"Cancelled"),"Overdue - close this launch off",IF(O9=TODAY(),"Today - send the last call","OK")))))</f>
        <v>0</v>
      </c>
    </row>
    <row r="10" spans="1:32">
      <c r="A10" s="41">
        <f>IF(B10="","","LA-"&amp;TEXT(ROW()-4,"000"))</f>
        <v>0</v>
      </c>
      <c r="X10" s="23">
        <f>IF(C10="","",C10-TODAY())</f>
        <v>0</v>
      </c>
      <c r="Y10" s="17">
        <f>IF(C10="","",IF(TODAY()&lt;E10,"Not started yet",IF(TODAY()&lt;C10,"Teasing",IF(TODAY()=C10,"Launch day",IF(TODAY()&lt;=F10,"Follow-up","Finished")))))</f>
        <v>0</v>
      </c>
      <c r="Z10" s="23">
        <f>IF(OR(C10="",E10=""),"",C10-E10)</f>
        <v>0</v>
      </c>
      <c r="AA10" s="23">
        <f>IF(OR(E10="",F10=""),"",COUNTIFS('Content Calendar'!$B$5:$B$604,"&gt;="&amp;E10,'Content Calendar'!$B$5:$B$604,"&lt;="&amp;F10))</f>
        <v>0</v>
      </c>
      <c r="AB10" s="25">
        <f>IF(OR(U10="",U10=0),"",N(V10)/U10)</f>
        <v>0</v>
      </c>
      <c r="AC10" s="24">
        <f>IF(OR(T10="",T10=0),"",N(U10)/T10)</f>
        <v>0</v>
      </c>
      <c r="AD10" s="31">
        <f>IF(OR(R10="",R10=0),"",N(V10)/R10)</f>
        <v>0</v>
      </c>
      <c r="AE10" s="29">
        <f>IF(B10="","",IF(AND(Z10&lt;&gt;"",Z10&lt;7),"Action - less than a week of teasing",IF(AND(Y10="Teasing",AA10=0),"Action - nothing on the calendar yet",IF(AND(C10&lt;TODAY(),W10&lt;&gt;"Complete",W10&lt;&gt;"Cancelled"),"Overdue - close this launch off",IF(O10=TODAY(),"Today - send the last call","OK")))))</f>
        <v>0</v>
      </c>
    </row>
    <row r="11" spans="1:32">
      <c r="A11" s="41">
        <f>IF(B11="","","LA-"&amp;TEXT(ROW()-4,"000"))</f>
        <v>0</v>
      </c>
      <c r="X11" s="23">
        <f>IF(C11="","",C11-TODAY())</f>
        <v>0</v>
      </c>
      <c r="Y11" s="17">
        <f>IF(C11="","",IF(TODAY()&lt;E11,"Not started yet",IF(TODAY()&lt;C11,"Teasing",IF(TODAY()=C11,"Launch day",IF(TODAY()&lt;=F11,"Follow-up","Finished")))))</f>
        <v>0</v>
      </c>
      <c r="Z11" s="23">
        <f>IF(OR(C11="",E11=""),"",C11-E11)</f>
        <v>0</v>
      </c>
      <c r="AA11" s="23">
        <f>IF(OR(E11="",F11=""),"",COUNTIFS('Content Calendar'!$B$5:$B$604,"&gt;="&amp;E11,'Content Calendar'!$B$5:$B$604,"&lt;="&amp;F11))</f>
        <v>0</v>
      </c>
      <c r="AB11" s="25">
        <f>IF(OR(U11="",U11=0),"",N(V11)/U11)</f>
        <v>0</v>
      </c>
      <c r="AC11" s="24">
        <f>IF(OR(T11="",T11=0),"",N(U11)/T11)</f>
        <v>0</v>
      </c>
      <c r="AD11" s="31">
        <f>IF(OR(R11="",R11=0),"",N(V11)/R11)</f>
        <v>0</v>
      </c>
      <c r="AE11" s="29">
        <f>IF(B11="","",IF(AND(Z11&lt;&gt;"",Z11&lt;7),"Action - less than a week of teasing",IF(AND(Y11="Teasing",AA11=0),"Action - nothing on the calendar yet",IF(AND(C11&lt;TODAY(),W11&lt;&gt;"Complete",W11&lt;&gt;"Cancelled"),"Overdue - close this launch off",IF(O11=TODAY(),"Today - send the last call","OK")))))</f>
        <v>0</v>
      </c>
    </row>
    <row r="12" spans="1:32">
      <c r="A12" s="41">
        <f>IF(B12="","","LA-"&amp;TEXT(ROW()-4,"000"))</f>
        <v>0</v>
      </c>
      <c r="X12" s="23">
        <f>IF(C12="","",C12-TODAY())</f>
        <v>0</v>
      </c>
      <c r="Y12" s="17">
        <f>IF(C12="","",IF(TODAY()&lt;E12,"Not started yet",IF(TODAY()&lt;C12,"Teasing",IF(TODAY()=C12,"Launch day",IF(TODAY()&lt;=F12,"Follow-up","Finished")))))</f>
        <v>0</v>
      </c>
      <c r="Z12" s="23">
        <f>IF(OR(C12="",E12=""),"",C12-E12)</f>
        <v>0</v>
      </c>
      <c r="AA12" s="23">
        <f>IF(OR(E12="",F12=""),"",COUNTIFS('Content Calendar'!$B$5:$B$604,"&gt;="&amp;E12,'Content Calendar'!$B$5:$B$604,"&lt;="&amp;F12))</f>
        <v>0</v>
      </c>
      <c r="AB12" s="25">
        <f>IF(OR(U12="",U12=0),"",N(V12)/U12)</f>
        <v>0</v>
      </c>
      <c r="AC12" s="24">
        <f>IF(OR(T12="",T12=0),"",N(U12)/T12)</f>
        <v>0</v>
      </c>
      <c r="AD12" s="31">
        <f>IF(OR(R12="",R12=0),"",N(V12)/R12)</f>
        <v>0</v>
      </c>
      <c r="AE12" s="29">
        <f>IF(B12="","",IF(AND(Z12&lt;&gt;"",Z12&lt;7),"Action - less than a week of teasing",IF(AND(Y12="Teasing",AA12=0),"Action - nothing on the calendar yet",IF(AND(C12&lt;TODAY(),W12&lt;&gt;"Complete",W12&lt;&gt;"Cancelled"),"Overdue - close this launch off",IF(O12=TODAY(),"Today - send the last call","OK")))))</f>
        <v>0</v>
      </c>
    </row>
    <row r="13" spans="1:32">
      <c r="A13" s="41">
        <f>IF(B13="","","LA-"&amp;TEXT(ROW()-4,"000"))</f>
        <v>0</v>
      </c>
      <c r="X13" s="23">
        <f>IF(C13="","",C13-TODAY())</f>
        <v>0</v>
      </c>
      <c r="Y13" s="17">
        <f>IF(C13="","",IF(TODAY()&lt;E13,"Not started yet",IF(TODAY()&lt;C13,"Teasing",IF(TODAY()=C13,"Launch day",IF(TODAY()&lt;=F13,"Follow-up","Finished")))))</f>
        <v>0</v>
      </c>
      <c r="Z13" s="23">
        <f>IF(OR(C13="",E13=""),"",C13-E13)</f>
        <v>0</v>
      </c>
      <c r="AA13" s="23">
        <f>IF(OR(E13="",F13=""),"",COUNTIFS('Content Calendar'!$B$5:$B$604,"&gt;="&amp;E13,'Content Calendar'!$B$5:$B$604,"&lt;="&amp;F13))</f>
        <v>0</v>
      </c>
      <c r="AB13" s="25">
        <f>IF(OR(U13="",U13=0),"",N(V13)/U13)</f>
        <v>0</v>
      </c>
      <c r="AC13" s="24">
        <f>IF(OR(T13="",T13=0),"",N(U13)/T13)</f>
        <v>0</v>
      </c>
      <c r="AD13" s="31">
        <f>IF(OR(R13="",R13=0),"",N(V13)/R13)</f>
        <v>0</v>
      </c>
      <c r="AE13" s="29">
        <f>IF(B13="","",IF(AND(Z13&lt;&gt;"",Z13&lt;7),"Action - less than a week of teasing",IF(AND(Y13="Teasing",AA13=0),"Action - nothing on the calendar yet",IF(AND(C13&lt;TODAY(),W13&lt;&gt;"Complete",W13&lt;&gt;"Cancelled"),"Overdue - close this launch off",IF(O13=TODAY(),"Today - send the last call","OK")))))</f>
        <v>0</v>
      </c>
    </row>
    <row r="14" spans="1:32">
      <c r="A14" s="41">
        <f>IF(B14="","","LA-"&amp;TEXT(ROW()-4,"000"))</f>
        <v>0</v>
      </c>
      <c r="X14" s="23">
        <f>IF(C14="","",C14-TODAY())</f>
        <v>0</v>
      </c>
      <c r="Y14" s="17">
        <f>IF(C14="","",IF(TODAY()&lt;E14,"Not started yet",IF(TODAY()&lt;C14,"Teasing",IF(TODAY()=C14,"Launch day",IF(TODAY()&lt;=F14,"Follow-up","Finished")))))</f>
        <v>0</v>
      </c>
      <c r="Z14" s="23">
        <f>IF(OR(C14="",E14=""),"",C14-E14)</f>
        <v>0</v>
      </c>
      <c r="AA14" s="23">
        <f>IF(OR(E14="",F14=""),"",COUNTIFS('Content Calendar'!$B$5:$B$604,"&gt;="&amp;E14,'Content Calendar'!$B$5:$B$604,"&lt;="&amp;F14))</f>
        <v>0</v>
      </c>
      <c r="AB14" s="25">
        <f>IF(OR(U14="",U14=0),"",N(V14)/U14)</f>
        <v>0</v>
      </c>
      <c r="AC14" s="24">
        <f>IF(OR(T14="",T14=0),"",N(U14)/T14)</f>
        <v>0</v>
      </c>
      <c r="AD14" s="31">
        <f>IF(OR(R14="",R14=0),"",N(V14)/R14)</f>
        <v>0</v>
      </c>
      <c r="AE14" s="29">
        <f>IF(B14="","",IF(AND(Z14&lt;&gt;"",Z14&lt;7),"Action - less than a week of teasing",IF(AND(Y14="Teasing",AA14=0),"Action - nothing on the calendar yet",IF(AND(C14&lt;TODAY(),W14&lt;&gt;"Complete",W14&lt;&gt;"Cancelled"),"Overdue - close this launch off",IF(O14=TODAY(),"Today - send the last call","OK")))))</f>
        <v>0</v>
      </c>
    </row>
    <row r="15" spans="1:32">
      <c r="A15" s="41">
        <f>IF(B15="","","LA-"&amp;TEXT(ROW()-4,"000"))</f>
        <v>0</v>
      </c>
      <c r="X15" s="23">
        <f>IF(C15="","",C15-TODAY())</f>
        <v>0</v>
      </c>
      <c r="Y15" s="17">
        <f>IF(C15="","",IF(TODAY()&lt;E15,"Not started yet",IF(TODAY()&lt;C15,"Teasing",IF(TODAY()=C15,"Launch day",IF(TODAY()&lt;=F15,"Follow-up","Finished")))))</f>
        <v>0</v>
      </c>
      <c r="Z15" s="23">
        <f>IF(OR(C15="",E15=""),"",C15-E15)</f>
        <v>0</v>
      </c>
      <c r="AA15" s="23">
        <f>IF(OR(E15="",F15=""),"",COUNTIFS('Content Calendar'!$B$5:$B$604,"&gt;="&amp;E15,'Content Calendar'!$B$5:$B$604,"&lt;="&amp;F15))</f>
        <v>0</v>
      </c>
      <c r="AB15" s="25">
        <f>IF(OR(U15="",U15=0),"",N(V15)/U15)</f>
        <v>0</v>
      </c>
      <c r="AC15" s="24">
        <f>IF(OR(T15="",T15=0),"",N(U15)/T15)</f>
        <v>0</v>
      </c>
      <c r="AD15" s="31">
        <f>IF(OR(R15="",R15=0),"",N(V15)/R15)</f>
        <v>0</v>
      </c>
      <c r="AE15" s="29">
        <f>IF(B15="","",IF(AND(Z15&lt;&gt;"",Z15&lt;7),"Action - less than a week of teasing",IF(AND(Y15="Teasing",AA15=0),"Action - nothing on the calendar yet",IF(AND(C15&lt;TODAY(),W15&lt;&gt;"Complete",W15&lt;&gt;"Cancelled"),"Overdue - close this launch off",IF(O15=TODAY(),"Today - send the last call","OK")))))</f>
        <v>0</v>
      </c>
    </row>
    <row r="16" spans="1:32">
      <c r="A16" s="41">
        <f>IF(B16="","","LA-"&amp;TEXT(ROW()-4,"000"))</f>
        <v>0</v>
      </c>
      <c r="X16" s="23">
        <f>IF(C16="","",C16-TODAY())</f>
        <v>0</v>
      </c>
      <c r="Y16" s="17">
        <f>IF(C16="","",IF(TODAY()&lt;E16,"Not started yet",IF(TODAY()&lt;C16,"Teasing",IF(TODAY()=C16,"Launch day",IF(TODAY()&lt;=F16,"Follow-up","Finished")))))</f>
        <v>0</v>
      </c>
      <c r="Z16" s="23">
        <f>IF(OR(C16="",E16=""),"",C16-E16)</f>
        <v>0</v>
      </c>
      <c r="AA16" s="23">
        <f>IF(OR(E16="",F16=""),"",COUNTIFS('Content Calendar'!$B$5:$B$604,"&gt;="&amp;E16,'Content Calendar'!$B$5:$B$604,"&lt;="&amp;F16))</f>
        <v>0</v>
      </c>
      <c r="AB16" s="25">
        <f>IF(OR(U16="",U16=0),"",N(V16)/U16)</f>
        <v>0</v>
      </c>
      <c r="AC16" s="24">
        <f>IF(OR(T16="",T16=0),"",N(U16)/T16)</f>
        <v>0</v>
      </c>
      <c r="AD16" s="31">
        <f>IF(OR(R16="",R16=0),"",N(V16)/R16)</f>
        <v>0</v>
      </c>
      <c r="AE16" s="29">
        <f>IF(B16="","",IF(AND(Z16&lt;&gt;"",Z16&lt;7),"Action - less than a week of teasing",IF(AND(Y16="Teasing",AA16=0),"Action - nothing on the calendar yet",IF(AND(C16&lt;TODAY(),W16&lt;&gt;"Complete",W16&lt;&gt;"Cancelled"),"Overdue - close this launch off",IF(O16=TODAY(),"Today - send the last call","OK")))))</f>
        <v>0</v>
      </c>
    </row>
    <row r="17" spans="1:31">
      <c r="A17" s="41">
        <f>IF(B17="","","LA-"&amp;TEXT(ROW()-4,"000"))</f>
        <v>0</v>
      </c>
      <c r="X17" s="23">
        <f>IF(C17="","",C17-TODAY())</f>
        <v>0</v>
      </c>
      <c r="Y17" s="17">
        <f>IF(C17="","",IF(TODAY()&lt;E17,"Not started yet",IF(TODAY()&lt;C17,"Teasing",IF(TODAY()=C17,"Launch day",IF(TODAY()&lt;=F17,"Follow-up","Finished")))))</f>
        <v>0</v>
      </c>
      <c r="Z17" s="23">
        <f>IF(OR(C17="",E17=""),"",C17-E17)</f>
        <v>0</v>
      </c>
      <c r="AA17" s="23">
        <f>IF(OR(E17="",F17=""),"",COUNTIFS('Content Calendar'!$B$5:$B$604,"&gt;="&amp;E17,'Content Calendar'!$B$5:$B$604,"&lt;="&amp;F17))</f>
        <v>0</v>
      </c>
      <c r="AB17" s="25">
        <f>IF(OR(U17="",U17=0),"",N(V17)/U17)</f>
        <v>0</v>
      </c>
      <c r="AC17" s="24">
        <f>IF(OR(T17="",T17=0),"",N(U17)/T17)</f>
        <v>0</v>
      </c>
      <c r="AD17" s="31">
        <f>IF(OR(R17="",R17=0),"",N(V17)/R17)</f>
        <v>0</v>
      </c>
      <c r="AE17" s="29">
        <f>IF(B17="","",IF(AND(Z17&lt;&gt;"",Z17&lt;7),"Action - less than a week of teasing",IF(AND(Y17="Teasing",AA17=0),"Action - nothing on the calendar yet",IF(AND(C17&lt;TODAY(),W17&lt;&gt;"Complete",W17&lt;&gt;"Cancelled"),"Overdue - close this launch off",IF(O17=TODAY(),"Today - send the last call","OK")))))</f>
        <v>0</v>
      </c>
    </row>
    <row r="18" spans="1:31">
      <c r="A18" s="41">
        <f>IF(B18="","","LA-"&amp;TEXT(ROW()-4,"000"))</f>
        <v>0</v>
      </c>
      <c r="X18" s="23">
        <f>IF(C18="","",C18-TODAY())</f>
        <v>0</v>
      </c>
      <c r="Y18" s="17">
        <f>IF(C18="","",IF(TODAY()&lt;E18,"Not started yet",IF(TODAY()&lt;C18,"Teasing",IF(TODAY()=C18,"Launch day",IF(TODAY()&lt;=F18,"Follow-up","Finished")))))</f>
        <v>0</v>
      </c>
      <c r="Z18" s="23">
        <f>IF(OR(C18="",E18=""),"",C18-E18)</f>
        <v>0</v>
      </c>
      <c r="AA18" s="23">
        <f>IF(OR(E18="",F18=""),"",COUNTIFS('Content Calendar'!$B$5:$B$604,"&gt;="&amp;E18,'Content Calendar'!$B$5:$B$604,"&lt;="&amp;F18))</f>
        <v>0</v>
      </c>
      <c r="AB18" s="25">
        <f>IF(OR(U18="",U18=0),"",N(V18)/U18)</f>
        <v>0</v>
      </c>
      <c r="AC18" s="24">
        <f>IF(OR(T18="",T18=0),"",N(U18)/T18)</f>
        <v>0</v>
      </c>
      <c r="AD18" s="31">
        <f>IF(OR(R18="",R18=0),"",N(V18)/R18)</f>
        <v>0</v>
      </c>
      <c r="AE18" s="29">
        <f>IF(B18="","",IF(AND(Z18&lt;&gt;"",Z18&lt;7),"Action - less than a week of teasing",IF(AND(Y18="Teasing",AA18=0),"Action - nothing on the calendar yet",IF(AND(C18&lt;TODAY(),W18&lt;&gt;"Complete",W18&lt;&gt;"Cancelled"),"Overdue - close this launch off",IF(O18=TODAY(),"Today - send the last call","OK")))))</f>
        <v>0</v>
      </c>
    </row>
    <row r="19" spans="1:31">
      <c r="A19" s="41">
        <f>IF(B19="","","LA-"&amp;TEXT(ROW()-4,"000"))</f>
        <v>0</v>
      </c>
      <c r="X19" s="23">
        <f>IF(C19="","",C19-TODAY())</f>
        <v>0</v>
      </c>
      <c r="Y19" s="17">
        <f>IF(C19="","",IF(TODAY()&lt;E19,"Not started yet",IF(TODAY()&lt;C19,"Teasing",IF(TODAY()=C19,"Launch day",IF(TODAY()&lt;=F19,"Follow-up","Finished")))))</f>
        <v>0</v>
      </c>
      <c r="Z19" s="23">
        <f>IF(OR(C19="",E19=""),"",C19-E19)</f>
        <v>0</v>
      </c>
      <c r="AA19" s="23">
        <f>IF(OR(E19="",F19=""),"",COUNTIFS('Content Calendar'!$B$5:$B$604,"&gt;="&amp;E19,'Content Calendar'!$B$5:$B$604,"&lt;="&amp;F19))</f>
        <v>0</v>
      </c>
      <c r="AB19" s="25">
        <f>IF(OR(U19="",U19=0),"",N(V19)/U19)</f>
        <v>0</v>
      </c>
      <c r="AC19" s="24">
        <f>IF(OR(T19="",T19=0),"",N(U19)/T19)</f>
        <v>0</v>
      </c>
      <c r="AD19" s="31">
        <f>IF(OR(R19="",R19=0),"",N(V19)/R19)</f>
        <v>0</v>
      </c>
      <c r="AE19" s="29">
        <f>IF(B19="","",IF(AND(Z19&lt;&gt;"",Z19&lt;7),"Action - less than a week of teasing",IF(AND(Y19="Teasing",AA19=0),"Action - nothing on the calendar yet",IF(AND(C19&lt;TODAY(),W19&lt;&gt;"Complete",W19&lt;&gt;"Cancelled"),"Overdue - close this launch off",IF(O19=TODAY(),"Today - send the last call","OK")))))</f>
        <v>0</v>
      </c>
    </row>
    <row r="20" spans="1:31">
      <c r="A20" s="41">
        <f>IF(B20="","","LA-"&amp;TEXT(ROW()-4,"000"))</f>
        <v>0</v>
      </c>
      <c r="X20" s="23">
        <f>IF(C20="","",C20-TODAY())</f>
        <v>0</v>
      </c>
      <c r="Y20" s="17">
        <f>IF(C20="","",IF(TODAY()&lt;E20,"Not started yet",IF(TODAY()&lt;C20,"Teasing",IF(TODAY()=C20,"Launch day",IF(TODAY()&lt;=F20,"Follow-up","Finished")))))</f>
        <v>0</v>
      </c>
      <c r="Z20" s="23">
        <f>IF(OR(C20="",E20=""),"",C20-E20)</f>
        <v>0</v>
      </c>
      <c r="AA20" s="23">
        <f>IF(OR(E20="",F20=""),"",COUNTIFS('Content Calendar'!$B$5:$B$604,"&gt;="&amp;E20,'Content Calendar'!$B$5:$B$604,"&lt;="&amp;F20))</f>
        <v>0</v>
      </c>
      <c r="AB20" s="25">
        <f>IF(OR(U20="",U20=0),"",N(V20)/U20)</f>
        <v>0</v>
      </c>
      <c r="AC20" s="24">
        <f>IF(OR(T20="",T20=0),"",N(U20)/T20)</f>
        <v>0</v>
      </c>
      <c r="AD20" s="31">
        <f>IF(OR(R20="",R20=0),"",N(V20)/R20)</f>
        <v>0</v>
      </c>
      <c r="AE20" s="29">
        <f>IF(B20="","",IF(AND(Z20&lt;&gt;"",Z20&lt;7),"Action - less than a week of teasing",IF(AND(Y20="Teasing",AA20=0),"Action - nothing on the calendar yet",IF(AND(C20&lt;TODAY(),W20&lt;&gt;"Complete",W20&lt;&gt;"Cancelled"),"Overdue - close this launch off",IF(O20=TODAY(),"Today - send the last call","OK")))))</f>
        <v>0</v>
      </c>
    </row>
    <row r="21" spans="1:31">
      <c r="A21" s="41">
        <f>IF(B21="","","LA-"&amp;TEXT(ROW()-4,"000"))</f>
        <v>0</v>
      </c>
      <c r="X21" s="23">
        <f>IF(C21="","",C21-TODAY())</f>
        <v>0</v>
      </c>
      <c r="Y21" s="17">
        <f>IF(C21="","",IF(TODAY()&lt;E21,"Not started yet",IF(TODAY()&lt;C21,"Teasing",IF(TODAY()=C21,"Launch day",IF(TODAY()&lt;=F21,"Follow-up","Finished")))))</f>
        <v>0</v>
      </c>
      <c r="Z21" s="23">
        <f>IF(OR(C21="",E21=""),"",C21-E21)</f>
        <v>0</v>
      </c>
      <c r="AA21" s="23">
        <f>IF(OR(E21="",F21=""),"",COUNTIFS('Content Calendar'!$B$5:$B$604,"&gt;="&amp;E21,'Content Calendar'!$B$5:$B$604,"&lt;="&amp;F21))</f>
        <v>0</v>
      </c>
      <c r="AB21" s="25">
        <f>IF(OR(U21="",U21=0),"",N(V21)/U21)</f>
        <v>0</v>
      </c>
      <c r="AC21" s="24">
        <f>IF(OR(T21="",T21=0),"",N(U21)/T21)</f>
        <v>0</v>
      </c>
      <c r="AD21" s="31">
        <f>IF(OR(R21="",R21=0),"",N(V21)/R21)</f>
        <v>0</v>
      </c>
      <c r="AE21" s="29">
        <f>IF(B21="","",IF(AND(Z21&lt;&gt;"",Z21&lt;7),"Action - less than a week of teasing",IF(AND(Y21="Teasing",AA21=0),"Action - nothing on the calendar yet",IF(AND(C21&lt;TODAY(),W21&lt;&gt;"Complete",W21&lt;&gt;"Cancelled"),"Overdue - close this launch off",IF(O21=TODAY(),"Today - send the last call","OK")))))</f>
        <v>0</v>
      </c>
    </row>
    <row r="22" spans="1:31">
      <c r="A22" s="41">
        <f>IF(B22="","","LA-"&amp;TEXT(ROW()-4,"000"))</f>
        <v>0</v>
      </c>
      <c r="X22" s="23">
        <f>IF(C22="","",C22-TODAY())</f>
        <v>0</v>
      </c>
      <c r="Y22" s="17">
        <f>IF(C22="","",IF(TODAY()&lt;E22,"Not started yet",IF(TODAY()&lt;C22,"Teasing",IF(TODAY()=C22,"Launch day",IF(TODAY()&lt;=F22,"Follow-up","Finished")))))</f>
        <v>0</v>
      </c>
      <c r="Z22" s="23">
        <f>IF(OR(C22="",E22=""),"",C22-E22)</f>
        <v>0</v>
      </c>
      <c r="AA22" s="23">
        <f>IF(OR(E22="",F22=""),"",COUNTIFS('Content Calendar'!$B$5:$B$604,"&gt;="&amp;E22,'Content Calendar'!$B$5:$B$604,"&lt;="&amp;F22))</f>
        <v>0</v>
      </c>
      <c r="AB22" s="25">
        <f>IF(OR(U22="",U22=0),"",N(V22)/U22)</f>
        <v>0</v>
      </c>
      <c r="AC22" s="24">
        <f>IF(OR(T22="",T22=0),"",N(U22)/T22)</f>
        <v>0</v>
      </c>
      <c r="AD22" s="31">
        <f>IF(OR(R22="",R22=0),"",N(V22)/R22)</f>
        <v>0</v>
      </c>
      <c r="AE22" s="29">
        <f>IF(B22="","",IF(AND(Z22&lt;&gt;"",Z22&lt;7),"Action - less than a week of teasing",IF(AND(Y22="Teasing",AA22=0),"Action - nothing on the calendar yet",IF(AND(C22&lt;TODAY(),W22&lt;&gt;"Complete",W22&lt;&gt;"Cancelled"),"Overdue - close this launch off",IF(O22=TODAY(),"Today - send the last call","OK")))))</f>
        <v>0</v>
      </c>
    </row>
    <row r="23" spans="1:31">
      <c r="A23" s="41">
        <f>IF(B23="","","LA-"&amp;TEXT(ROW()-4,"000"))</f>
        <v>0</v>
      </c>
      <c r="X23" s="23">
        <f>IF(C23="","",C23-TODAY())</f>
        <v>0</v>
      </c>
      <c r="Y23" s="17">
        <f>IF(C23="","",IF(TODAY()&lt;E23,"Not started yet",IF(TODAY()&lt;C23,"Teasing",IF(TODAY()=C23,"Launch day",IF(TODAY()&lt;=F23,"Follow-up","Finished")))))</f>
        <v>0</v>
      </c>
      <c r="Z23" s="23">
        <f>IF(OR(C23="",E23=""),"",C23-E23)</f>
        <v>0</v>
      </c>
      <c r="AA23" s="23">
        <f>IF(OR(E23="",F23=""),"",COUNTIFS('Content Calendar'!$B$5:$B$604,"&gt;="&amp;E23,'Content Calendar'!$B$5:$B$604,"&lt;="&amp;F23))</f>
        <v>0</v>
      </c>
      <c r="AB23" s="25">
        <f>IF(OR(U23="",U23=0),"",N(V23)/U23)</f>
        <v>0</v>
      </c>
      <c r="AC23" s="24">
        <f>IF(OR(T23="",T23=0),"",N(U23)/T23)</f>
        <v>0</v>
      </c>
      <c r="AD23" s="31">
        <f>IF(OR(R23="",R23=0),"",N(V23)/R23)</f>
        <v>0</v>
      </c>
      <c r="AE23" s="29">
        <f>IF(B23="","",IF(AND(Z23&lt;&gt;"",Z23&lt;7),"Action - less than a week of teasing",IF(AND(Y23="Teasing",AA23=0),"Action - nothing on the calendar yet",IF(AND(C23&lt;TODAY(),W23&lt;&gt;"Complete",W23&lt;&gt;"Cancelled"),"Overdue - close this launch off",IF(O23=TODAY(),"Today - send the last call","OK")))))</f>
        <v>0</v>
      </c>
    </row>
    <row r="24" spans="1:31">
      <c r="A24" s="41">
        <f>IF(B24="","","LA-"&amp;TEXT(ROW()-4,"000"))</f>
        <v>0</v>
      </c>
      <c r="X24" s="23">
        <f>IF(C24="","",C24-TODAY())</f>
        <v>0</v>
      </c>
      <c r="Y24" s="17">
        <f>IF(C24="","",IF(TODAY()&lt;E24,"Not started yet",IF(TODAY()&lt;C24,"Teasing",IF(TODAY()=C24,"Launch day",IF(TODAY()&lt;=F24,"Follow-up","Finished")))))</f>
        <v>0</v>
      </c>
      <c r="Z24" s="23">
        <f>IF(OR(C24="",E24=""),"",C24-E24)</f>
        <v>0</v>
      </c>
      <c r="AA24" s="23">
        <f>IF(OR(E24="",F24=""),"",COUNTIFS('Content Calendar'!$B$5:$B$604,"&gt;="&amp;E24,'Content Calendar'!$B$5:$B$604,"&lt;="&amp;F24))</f>
        <v>0</v>
      </c>
      <c r="AB24" s="25">
        <f>IF(OR(U24="",U24=0),"",N(V24)/U24)</f>
        <v>0</v>
      </c>
      <c r="AC24" s="24">
        <f>IF(OR(T24="",T24=0),"",N(U24)/T24)</f>
        <v>0</v>
      </c>
      <c r="AD24" s="31">
        <f>IF(OR(R24="",R24=0),"",N(V24)/R24)</f>
        <v>0</v>
      </c>
      <c r="AE24" s="29">
        <f>IF(B24="","",IF(AND(Z24&lt;&gt;"",Z24&lt;7),"Action - less than a week of teasing",IF(AND(Y24="Teasing",AA24=0),"Action - nothing on the calendar yet",IF(AND(C24&lt;TODAY(),W24&lt;&gt;"Complete",W24&lt;&gt;"Cancelled"),"Overdue - close this launch off",IF(O24=TODAY(),"Today - send the last call","OK")))))</f>
        <v>0</v>
      </c>
    </row>
    <row r="25" spans="1:31">
      <c r="A25" s="41">
        <f>IF(B25="","","LA-"&amp;TEXT(ROW()-4,"000"))</f>
        <v>0</v>
      </c>
      <c r="X25" s="23">
        <f>IF(C25="","",C25-TODAY())</f>
        <v>0</v>
      </c>
      <c r="Y25" s="17">
        <f>IF(C25="","",IF(TODAY()&lt;E25,"Not started yet",IF(TODAY()&lt;C25,"Teasing",IF(TODAY()=C25,"Launch day",IF(TODAY()&lt;=F25,"Follow-up","Finished")))))</f>
        <v>0</v>
      </c>
      <c r="Z25" s="23">
        <f>IF(OR(C25="",E25=""),"",C25-E25)</f>
        <v>0</v>
      </c>
      <c r="AA25" s="23">
        <f>IF(OR(E25="",F25=""),"",COUNTIFS('Content Calendar'!$B$5:$B$604,"&gt;="&amp;E25,'Content Calendar'!$B$5:$B$604,"&lt;="&amp;F25))</f>
        <v>0</v>
      </c>
      <c r="AB25" s="25">
        <f>IF(OR(U25="",U25=0),"",N(V25)/U25)</f>
        <v>0</v>
      </c>
      <c r="AC25" s="24">
        <f>IF(OR(T25="",T25=0),"",N(U25)/T25)</f>
        <v>0</v>
      </c>
      <c r="AD25" s="31">
        <f>IF(OR(R25="",R25=0),"",N(V25)/R25)</f>
        <v>0</v>
      </c>
      <c r="AE25" s="29">
        <f>IF(B25="","",IF(AND(Z25&lt;&gt;"",Z25&lt;7),"Action - less than a week of teasing",IF(AND(Y25="Teasing",AA25=0),"Action - nothing on the calendar yet",IF(AND(C25&lt;TODAY(),W25&lt;&gt;"Complete",W25&lt;&gt;"Cancelled"),"Overdue - close this launch off",IF(O25=TODAY(),"Today - send the last call","OK")))))</f>
        <v>0</v>
      </c>
    </row>
    <row r="26" spans="1:31">
      <c r="A26" s="41">
        <f>IF(B26="","","LA-"&amp;TEXT(ROW()-4,"000"))</f>
        <v>0</v>
      </c>
      <c r="X26" s="23">
        <f>IF(C26="","",C26-TODAY())</f>
        <v>0</v>
      </c>
      <c r="Y26" s="17">
        <f>IF(C26="","",IF(TODAY()&lt;E26,"Not started yet",IF(TODAY()&lt;C26,"Teasing",IF(TODAY()=C26,"Launch day",IF(TODAY()&lt;=F26,"Follow-up","Finished")))))</f>
        <v>0</v>
      </c>
      <c r="Z26" s="23">
        <f>IF(OR(C26="",E26=""),"",C26-E26)</f>
        <v>0</v>
      </c>
      <c r="AA26" s="23">
        <f>IF(OR(E26="",F26=""),"",COUNTIFS('Content Calendar'!$B$5:$B$604,"&gt;="&amp;E26,'Content Calendar'!$B$5:$B$604,"&lt;="&amp;F26))</f>
        <v>0</v>
      </c>
      <c r="AB26" s="25">
        <f>IF(OR(U26="",U26=0),"",N(V26)/U26)</f>
        <v>0</v>
      </c>
      <c r="AC26" s="24">
        <f>IF(OR(T26="",T26=0),"",N(U26)/T26)</f>
        <v>0</v>
      </c>
      <c r="AD26" s="31">
        <f>IF(OR(R26="",R26=0),"",N(V26)/R26)</f>
        <v>0</v>
      </c>
      <c r="AE26" s="29">
        <f>IF(B26="","",IF(AND(Z26&lt;&gt;"",Z26&lt;7),"Action - less than a week of teasing",IF(AND(Y26="Teasing",AA26=0),"Action - nothing on the calendar yet",IF(AND(C26&lt;TODAY(),W26&lt;&gt;"Complete",W26&lt;&gt;"Cancelled"),"Overdue - close this launch off",IF(O26=TODAY(),"Today - send the last call","OK")))))</f>
        <v>0</v>
      </c>
    </row>
    <row r="27" spans="1:31">
      <c r="A27" s="41">
        <f>IF(B27="","","LA-"&amp;TEXT(ROW()-4,"000"))</f>
        <v>0</v>
      </c>
      <c r="X27" s="23">
        <f>IF(C27="","",C27-TODAY())</f>
        <v>0</v>
      </c>
      <c r="Y27" s="17">
        <f>IF(C27="","",IF(TODAY()&lt;E27,"Not started yet",IF(TODAY()&lt;C27,"Teasing",IF(TODAY()=C27,"Launch day",IF(TODAY()&lt;=F27,"Follow-up","Finished")))))</f>
        <v>0</v>
      </c>
      <c r="Z27" s="23">
        <f>IF(OR(C27="",E27=""),"",C27-E27)</f>
        <v>0</v>
      </c>
      <c r="AA27" s="23">
        <f>IF(OR(E27="",F27=""),"",COUNTIFS('Content Calendar'!$B$5:$B$604,"&gt;="&amp;E27,'Content Calendar'!$B$5:$B$604,"&lt;="&amp;F27))</f>
        <v>0</v>
      </c>
      <c r="AB27" s="25">
        <f>IF(OR(U27="",U27=0),"",N(V27)/U27)</f>
        <v>0</v>
      </c>
      <c r="AC27" s="24">
        <f>IF(OR(T27="",T27=0),"",N(U27)/T27)</f>
        <v>0</v>
      </c>
      <c r="AD27" s="31">
        <f>IF(OR(R27="",R27=0),"",N(V27)/R27)</f>
        <v>0</v>
      </c>
      <c r="AE27" s="29">
        <f>IF(B27="","",IF(AND(Z27&lt;&gt;"",Z27&lt;7),"Action - less than a week of teasing",IF(AND(Y27="Teasing",AA27=0),"Action - nothing on the calendar yet",IF(AND(C27&lt;TODAY(),W27&lt;&gt;"Complete",W27&lt;&gt;"Cancelled"),"Overdue - close this launch off",IF(O27=TODAY(),"Today - send the last call","OK")))))</f>
        <v>0</v>
      </c>
    </row>
    <row r="28" spans="1:31">
      <c r="A28" s="41">
        <f>IF(B28="","","LA-"&amp;TEXT(ROW()-4,"000"))</f>
        <v>0</v>
      </c>
      <c r="X28" s="23">
        <f>IF(C28="","",C28-TODAY())</f>
        <v>0</v>
      </c>
      <c r="Y28" s="17">
        <f>IF(C28="","",IF(TODAY()&lt;E28,"Not started yet",IF(TODAY()&lt;C28,"Teasing",IF(TODAY()=C28,"Launch day",IF(TODAY()&lt;=F28,"Follow-up","Finished")))))</f>
        <v>0</v>
      </c>
      <c r="Z28" s="23">
        <f>IF(OR(C28="",E28=""),"",C28-E28)</f>
        <v>0</v>
      </c>
      <c r="AA28" s="23">
        <f>IF(OR(E28="",F28=""),"",COUNTIFS('Content Calendar'!$B$5:$B$604,"&gt;="&amp;E28,'Content Calendar'!$B$5:$B$604,"&lt;="&amp;F28))</f>
        <v>0</v>
      </c>
      <c r="AB28" s="25">
        <f>IF(OR(U28="",U28=0),"",N(V28)/U28)</f>
        <v>0</v>
      </c>
      <c r="AC28" s="24">
        <f>IF(OR(T28="",T28=0),"",N(U28)/T28)</f>
        <v>0</v>
      </c>
      <c r="AD28" s="31">
        <f>IF(OR(R28="",R28=0),"",N(V28)/R28)</f>
        <v>0</v>
      </c>
      <c r="AE28" s="29">
        <f>IF(B28="","",IF(AND(Z28&lt;&gt;"",Z28&lt;7),"Action - less than a week of teasing",IF(AND(Y28="Teasing",AA28=0),"Action - nothing on the calendar yet",IF(AND(C28&lt;TODAY(),W28&lt;&gt;"Complete",W28&lt;&gt;"Cancelled"),"Overdue - close this launch off",IF(O28=TODAY(),"Today - send the last call","OK")))))</f>
        <v>0</v>
      </c>
    </row>
    <row r="29" spans="1:31">
      <c r="A29" s="41">
        <f>IF(B29="","","LA-"&amp;TEXT(ROW()-4,"000"))</f>
        <v>0</v>
      </c>
      <c r="X29" s="23">
        <f>IF(C29="","",C29-TODAY())</f>
        <v>0</v>
      </c>
      <c r="Y29" s="17">
        <f>IF(C29="","",IF(TODAY()&lt;E29,"Not started yet",IF(TODAY()&lt;C29,"Teasing",IF(TODAY()=C29,"Launch day",IF(TODAY()&lt;=F29,"Follow-up","Finished")))))</f>
        <v>0</v>
      </c>
      <c r="Z29" s="23">
        <f>IF(OR(C29="",E29=""),"",C29-E29)</f>
        <v>0</v>
      </c>
      <c r="AA29" s="23">
        <f>IF(OR(E29="",F29=""),"",COUNTIFS('Content Calendar'!$B$5:$B$604,"&gt;="&amp;E29,'Content Calendar'!$B$5:$B$604,"&lt;="&amp;F29))</f>
        <v>0</v>
      </c>
      <c r="AB29" s="25">
        <f>IF(OR(U29="",U29=0),"",N(V29)/U29)</f>
        <v>0</v>
      </c>
      <c r="AC29" s="24">
        <f>IF(OR(T29="",T29=0),"",N(U29)/T29)</f>
        <v>0</v>
      </c>
      <c r="AD29" s="31">
        <f>IF(OR(R29="",R29=0),"",N(V29)/R29)</f>
        <v>0</v>
      </c>
      <c r="AE29" s="29">
        <f>IF(B29="","",IF(AND(Z29&lt;&gt;"",Z29&lt;7),"Action - less than a week of teasing",IF(AND(Y29="Teasing",AA29=0),"Action - nothing on the calendar yet",IF(AND(C29&lt;TODAY(),W29&lt;&gt;"Complete",W29&lt;&gt;"Cancelled"),"Overdue - close this launch off",IF(O29=TODAY(),"Today - send the last call","OK")))))</f>
        <v>0</v>
      </c>
    </row>
    <row r="30" spans="1:31">
      <c r="A30" s="41">
        <f>IF(B30="","","LA-"&amp;TEXT(ROW()-4,"000"))</f>
        <v>0</v>
      </c>
      <c r="X30" s="23">
        <f>IF(C30="","",C30-TODAY())</f>
        <v>0</v>
      </c>
      <c r="Y30" s="17">
        <f>IF(C30="","",IF(TODAY()&lt;E30,"Not started yet",IF(TODAY()&lt;C30,"Teasing",IF(TODAY()=C30,"Launch day",IF(TODAY()&lt;=F30,"Follow-up","Finished")))))</f>
        <v>0</v>
      </c>
      <c r="Z30" s="23">
        <f>IF(OR(C30="",E30=""),"",C30-E30)</f>
        <v>0</v>
      </c>
      <c r="AA30" s="23">
        <f>IF(OR(E30="",F30=""),"",COUNTIFS('Content Calendar'!$B$5:$B$604,"&gt;="&amp;E30,'Content Calendar'!$B$5:$B$604,"&lt;="&amp;F30))</f>
        <v>0</v>
      </c>
      <c r="AB30" s="25">
        <f>IF(OR(U30="",U30=0),"",N(V30)/U30)</f>
        <v>0</v>
      </c>
      <c r="AC30" s="24">
        <f>IF(OR(T30="",T30=0),"",N(U30)/T30)</f>
        <v>0</v>
      </c>
      <c r="AD30" s="31">
        <f>IF(OR(R30="",R30=0),"",N(V30)/R30)</f>
        <v>0</v>
      </c>
      <c r="AE30" s="29">
        <f>IF(B30="","",IF(AND(Z30&lt;&gt;"",Z30&lt;7),"Action - less than a week of teasing",IF(AND(Y30="Teasing",AA30=0),"Action - nothing on the calendar yet",IF(AND(C30&lt;TODAY(),W30&lt;&gt;"Complete",W30&lt;&gt;"Cancelled"),"Overdue - close this launch off",IF(O30=TODAY(),"Today - send the last call","OK")))))</f>
        <v>0</v>
      </c>
    </row>
    <row r="31" spans="1:31">
      <c r="A31" s="41">
        <f>IF(B31="","","LA-"&amp;TEXT(ROW()-4,"000"))</f>
        <v>0</v>
      </c>
      <c r="X31" s="23">
        <f>IF(C31="","",C31-TODAY())</f>
        <v>0</v>
      </c>
      <c r="Y31" s="17">
        <f>IF(C31="","",IF(TODAY()&lt;E31,"Not started yet",IF(TODAY()&lt;C31,"Teasing",IF(TODAY()=C31,"Launch day",IF(TODAY()&lt;=F31,"Follow-up","Finished")))))</f>
        <v>0</v>
      </c>
      <c r="Z31" s="23">
        <f>IF(OR(C31="",E31=""),"",C31-E31)</f>
        <v>0</v>
      </c>
      <c r="AA31" s="23">
        <f>IF(OR(E31="",F31=""),"",COUNTIFS('Content Calendar'!$B$5:$B$604,"&gt;="&amp;E31,'Content Calendar'!$B$5:$B$604,"&lt;="&amp;F31))</f>
        <v>0</v>
      </c>
      <c r="AB31" s="25">
        <f>IF(OR(U31="",U31=0),"",N(V31)/U31)</f>
        <v>0</v>
      </c>
      <c r="AC31" s="24">
        <f>IF(OR(T31="",T31=0),"",N(U31)/T31)</f>
        <v>0</v>
      </c>
      <c r="AD31" s="31">
        <f>IF(OR(R31="",R31=0),"",N(V31)/R31)</f>
        <v>0</v>
      </c>
      <c r="AE31" s="29">
        <f>IF(B31="","",IF(AND(Z31&lt;&gt;"",Z31&lt;7),"Action - less than a week of teasing",IF(AND(Y31="Teasing",AA31=0),"Action - nothing on the calendar yet",IF(AND(C31&lt;TODAY(),W31&lt;&gt;"Complete",W31&lt;&gt;"Cancelled"),"Overdue - close this launch off",IF(O31=TODAY(),"Today - send the last call","OK")))))</f>
        <v>0</v>
      </c>
    </row>
    <row r="32" spans="1:31">
      <c r="A32" s="41">
        <f>IF(B32="","","LA-"&amp;TEXT(ROW()-4,"000"))</f>
        <v>0</v>
      </c>
      <c r="X32" s="23">
        <f>IF(C32="","",C32-TODAY())</f>
        <v>0</v>
      </c>
      <c r="Y32" s="17">
        <f>IF(C32="","",IF(TODAY()&lt;E32,"Not started yet",IF(TODAY()&lt;C32,"Teasing",IF(TODAY()=C32,"Launch day",IF(TODAY()&lt;=F32,"Follow-up","Finished")))))</f>
        <v>0</v>
      </c>
      <c r="Z32" s="23">
        <f>IF(OR(C32="",E32=""),"",C32-E32)</f>
        <v>0</v>
      </c>
      <c r="AA32" s="23">
        <f>IF(OR(E32="",F32=""),"",COUNTIFS('Content Calendar'!$B$5:$B$604,"&gt;="&amp;E32,'Content Calendar'!$B$5:$B$604,"&lt;="&amp;F32))</f>
        <v>0</v>
      </c>
      <c r="AB32" s="25">
        <f>IF(OR(U32="",U32=0),"",N(V32)/U32)</f>
        <v>0</v>
      </c>
      <c r="AC32" s="24">
        <f>IF(OR(T32="",T32=0),"",N(U32)/T32)</f>
        <v>0</v>
      </c>
      <c r="AD32" s="31">
        <f>IF(OR(R32="",R32=0),"",N(V32)/R32)</f>
        <v>0</v>
      </c>
      <c r="AE32" s="29">
        <f>IF(B32="","",IF(AND(Z32&lt;&gt;"",Z32&lt;7),"Action - less than a week of teasing",IF(AND(Y32="Teasing",AA32=0),"Action - nothing on the calendar yet",IF(AND(C32&lt;TODAY(),W32&lt;&gt;"Complete",W32&lt;&gt;"Cancelled"),"Overdue - close this launch off",IF(O32=TODAY(),"Today - send the last call","OK")))))</f>
        <v>0</v>
      </c>
    </row>
    <row r="33" spans="1:31">
      <c r="A33" s="41">
        <f>IF(B33="","","LA-"&amp;TEXT(ROW()-4,"000"))</f>
        <v>0</v>
      </c>
      <c r="X33" s="23">
        <f>IF(C33="","",C33-TODAY())</f>
        <v>0</v>
      </c>
      <c r="Y33" s="17">
        <f>IF(C33="","",IF(TODAY()&lt;E33,"Not started yet",IF(TODAY()&lt;C33,"Teasing",IF(TODAY()=C33,"Launch day",IF(TODAY()&lt;=F33,"Follow-up","Finished")))))</f>
        <v>0</v>
      </c>
      <c r="Z33" s="23">
        <f>IF(OR(C33="",E33=""),"",C33-E33)</f>
        <v>0</v>
      </c>
      <c r="AA33" s="23">
        <f>IF(OR(E33="",F33=""),"",COUNTIFS('Content Calendar'!$B$5:$B$604,"&gt;="&amp;E33,'Content Calendar'!$B$5:$B$604,"&lt;="&amp;F33))</f>
        <v>0</v>
      </c>
      <c r="AB33" s="25">
        <f>IF(OR(U33="",U33=0),"",N(V33)/U33)</f>
        <v>0</v>
      </c>
      <c r="AC33" s="24">
        <f>IF(OR(T33="",T33=0),"",N(U33)/T33)</f>
        <v>0</v>
      </c>
      <c r="AD33" s="31">
        <f>IF(OR(R33="",R33=0),"",N(V33)/R33)</f>
        <v>0</v>
      </c>
      <c r="AE33" s="29">
        <f>IF(B33="","",IF(AND(Z33&lt;&gt;"",Z33&lt;7),"Action - less than a week of teasing",IF(AND(Y33="Teasing",AA33=0),"Action - nothing on the calendar yet",IF(AND(C33&lt;TODAY(),W33&lt;&gt;"Complete",W33&lt;&gt;"Cancelled"),"Overdue - close this launch off",IF(O33=TODAY(),"Today - send the last call","OK")))))</f>
        <v>0</v>
      </c>
    </row>
    <row r="34" spans="1:31">
      <c r="A34" s="41">
        <f>IF(B34="","","LA-"&amp;TEXT(ROW()-4,"000"))</f>
        <v>0</v>
      </c>
      <c r="X34" s="23">
        <f>IF(C34="","",C34-TODAY())</f>
        <v>0</v>
      </c>
      <c r="Y34" s="17">
        <f>IF(C34="","",IF(TODAY()&lt;E34,"Not started yet",IF(TODAY()&lt;C34,"Teasing",IF(TODAY()=C34,"Launch day",IF(TODAY()&lt;=F34,"Follow-up","Finished")))))</f>
        <v>0</v>
      </c>
      <c r="Z34" s="23">
        <f>IF(OR(C34="",E34=""),"",C34-E34)</f>
        <v>0</v>
      </c>
      <c r="AA34" s="23">
        <f>IF(OR(E34="",F34=""),"",COUNTIFS('Content Calendar'!$B$5:$B$604,"&gt;="&amp;E34,'Content Calendar'!$B$5:$B$604,"&lt;="&amp;F34))</f>
        <v>0</v>
      </c>
      <c r="AB34" s="25">
        <f>IF(OR(U34="",U34=0),"",N(V34)/U34)</f>
        <v>0</v>
      </c>
      <c r="AC34" s="24">
        <f>IF(OR(T34="",T34=0),"",N(U34)/T34)</f>
        <v>0</v>
      </c>
      <c r="AD34" s="31">
        <f>IF(OR(R34="",R34=0),"",N(V34)/R34)</f>
        <v>0</v>
      </c>
      <c r="AE34" s="29">
        <f>IF(B34="","",IF(AND(Z34&lt;&gt;"",Z34&lt;7),"Action - less than a week of teasing",IF(AND(Y34="Teasing",AA34=0),"Action - nothing on the calendar yet",IF(AND(C34&lt;TODAY(),W34&lt;&gt;"Complete",W34&lt;&gt;"Cancelled"),"Overdue - close this launch off",IF(O34=TODAY(),"Today - send the last call","OK")))))</f>
        <v>0</v>
      </c>
    </row>
    <row r="35" spans="1:31">
      <c r="A35" s="41">
        <f>IF(B35="","","LA-"&amp;TEXT(ROW()-4,"000"))</f>
        <v>0</v>
      </c>
      <c r="X35" s="23">
        <f>IF(C35="","",C35-TODAY())</f>
        <v>0</v>
      </c>
      <c r="Y35" s="17">
        <f>IF(C35="","",IF(TODAY()&lt;E35,"Not started yet",IF(TODAY()&lt;C35,"Teasing",IF(TODAY()=C35,"Launch day",IF(TODAY()&lt;=F35,"Follow-up","Finished")))))</f>
        <v>0</v>
      </c>
      <c r="Z35" s="23">
        <f>IF(OR(C35="",E35=""),"",C35-E35)</f>
        <v>0</v>
      </c>
      <c r="AA35" s="23">
        <f>IF(OR(E35="",F35=""),"",COUNTIFS('Content Calendar'!$B$5:$B$604,"&gt;="&amp;E35,'Content Calendar'!$B$5:$B$604,"&lt;="&amp;F35))</f>
        <v>0</v>
      </c>
      <c r="AB35" s="25">
        <f>IF(OR(U35="",U35=0),"",N(V35)/U35)</f>
        <v>0</v>
      </c>
      <c r="AC35" s="24">
        <f>IF(OR(T35="",T35=0),"",N(U35)/T35)</f>
        <v>0</v>
      </c>
      <c r="AD35" s="31">
        <f>IF(OR(R35="",R35=0),"",N(V35)/R35)</f>
        <v>0</v>
      </c>
      <c r="AE35" s="29">
        <f>IF(B35="","",IF(AND(Z35&lt;&gt;"",Z35&lt;7),"Action - less than a week of teasing",IF(AND(Y35="Teasing",AA35=0),"Action - nothing on the calendar yet",IF(AND(C35&lt;TODAY(),W35&lt;&gt;"Complete",W35&lt;&gt;"Cancelled"),"Overdue - close this launch off",IF(O35=TODAY(),"Today - send the last call","OK")))))</f>
        <v>0</v>
      </c>
    </row>
    <row r="36" spans="1:31">
      <c r="A36" s="41">
        <f>IF(B36="","","LA-"&amp;TEXT(ROW()-4,"000"))</f>
        <v>0</v>
      </c>
      <c r="X36" s="23">
        <f>IF(C36="","",C36-TODAY())</f>
        <v>0</v>
      </c>
      <c r="Y36" s="17">
        <f>IF(C36="","",IF(TODAY()&lt;E36,"Not started yet",IF(TODAY()&lt;C36,"Teasing",IF(TODAY()=C36,"Launch day",IF(TODAY()&lt;=F36,"Follow-up","Finished")))))</f>
        <v>0</v>
      </c>
      <c r="Z36" s="23">
        <f>IF(OR(C36="",E36=""),"",C36-E36)</f>
        <v>0</v>
      </c>
      <c r="AA36" s="23">
        <f>IF(OR(E36="",F36=""),"",COUNTIFS('Content Calendar'!$B$5:$B$604,"&gt;="&amp;E36,'Content Calendar'!$B$5:$B$604,"&lt;="&amp;F36))</f>
        <v>0</v>
      </c>
      <c r="AB36" s="25">
        <f>IF(OR(U36="",U36=0),"",N(V36)/U36)</f>
        <v>0</v>
      </c>
      <c r="AC36" s="24">
        <f>IF(OR(T36="",T36=0),"",N(U36)/T36)</f>
        <v>0</v>
      </c>
      <c r="AD36" s="31">
        <f>IF(OR(R36="",R36=0),"",N(V36)/R36)</f>
        <v>0</v>
      </c>
      <c r="AE36" s="29">
        <f>IF(B36="","",IF(AND(Z36&lt;&gt;"",Z36&lt;7),"Action - less than a week of teasing",IF(AND(Y36="Teasing",AA36=0),"Action - nothing on the calendar yet",IF(AND(C36&lt;TODAY(),W36&lt;&gt;"Complete",W36&lt;&gt;"Cancelled"),"Overdue - close this launch off",IF(O36=TODAY(),"Today - send the last call","OK")))))</f>
        <v>0</v>
      </c>
    </row>
    <row r="37" spans="1:31">
      <c r="A37" s="41">
        <f>IF(B37="","","LA-"&amp;TEXT(ROW()-4,"000"))</f>
        <v>0</v>
      </c>
      <c r="X37" s="23">
        <f>IF(C37="","",C37-TODAY())</f>
        <v>0</v>
      </c>
      <c r="Y37" s="17">
        <f>IF(C37="","",IF(TODAY()&lt;E37,"Not started yet",IF(TODAY()&lt;C37,"Teasing",IF(TODAY()=C37,"Launch day",IF(TODAY()&lt;=F37,"Follow-up","Finished")))))</f>
        <v>0</v>
      </c>
      <c r="Z37" s="23">
        <f>IF(OR(C37="",E37=""),"",C37-E37)</f>
        <v>0</v>
      </c>
      <c r="AA37" s="23">
        <f>IF(OR(E37="",F37=""),"",COUNTIFS('Content Calendar'!$B$5:$B$604,"&gt;="&amp;E37,'Content Calendar'!$B$5:$B$604,"&lt;="&amp;F37))</f>
        <v>0</v>
      </c>
      <c r="AB37" s="25">
        <f>IF(OR(U37="",U37=0),"",N(V37)/U37)</f>
        <v>0</v>
      </c>
      <c r="AC37" s="24">
        <f>IF(OR(T37="",T37=0),"",N(U37)/T37)</f>
        <v>0</v>
      </c>
      <c r="AD37" s="31">
        <f>IF(OR(R37="",R37=0),"",N(V37)/R37)</f>
        <v>0</v>
      </c>
      <c r="AE37" s="29">
        <f>IF(B37="","",IF(AND(Z37&lt;&gt;"",Z37&lt;7),"Action - less than a week of teasing",IF(AND(Y37="Teasing",AA37=0),"Action - nothing on the calendar yet",IF(AND(C37&lt;TODAY(),W37&lt;&gt;"Complete",W37&lt;&gt;"Cancelled"),"Overdue - close this launch off",IF(O37=TODAY(),"Today - send the last call","OK")))))</f>
        <v>0</v>
      </c>
    </row>
    <row r="38" spans="1:31">
      <c r="A38" s="41">
        <f>IF(B38="","","LA-"&amp;TEXT(ROW()-4,"000"))</f>
        <v>0</v>
      </c>
      <c r="X38" s="23">
        <f>IF(C38="","",C38-TODAY())</f>
        <v>0</v>
      </c>
      <c r="Y38" s="17">
        <f>IF(C38="","",IF(TODAY()&lt;E38,"Not started yet",IF(TODAY()&lt;C38,"Teasing",IF(TODAY()=C38,"Launch day",IF(TODAY()&lt;=F38,"Follow-up","Finished")))))</f>
        <v>0</v>
      </c>
      <c r="Z38" s="23">
        <f>IF(OR(C38="",E38=""),"",C38-E38)</f>
        <v>0</v>
      </c>
      <c r="AA38" s="23">
        <f>IF(OR(E38="",F38=""),"",COUNTIFS('Content Calendar'!$B$5:$B$604,"&gt;="&amp;E38,'Content Calendar'!$B$5:$B$604,"&lt;="&amp;F38))</f>
        <v>0</v>
      </c>
      <c r="AB38" s="25">
        <f>IF(OR(U38="",U38=0),"",N(V38)/U38)</f>
        <v>0</v>
      </c>
      <c r="AC38" s="24">
        <f>IF(OR(T38="",T38=0),"",N(U38)/T38)</f>
        <v>0</v>
      </c>
      <c r="AD38" s="31">
        <f>IF(OR(R38="",R38=0),"",N(V38)/R38)</f>
        <v>0</v>
      </c>
      <c r="AE38" s="29">
        <f>IF(B38="","",IF(AND(Z38&lt;&gt;"",Z38&lt;7),"Action - less than a week of teasing",IF(AND(Y38="Teasing",AA38=0),"Action - nothing on the calendar yet",IF(AND(C38&lt;TODAY(),W38&lt;&gt;"Complete",W38&lt;&gt;"Cancelled"),"Overdue - close this launch off",IF(O38=TODAY(),"Today - send the last call","OK")))))</f>
        <v>0</v>
      </c>
    </row>
    <row r="39" spans="1:31">
      <c r="A39" s="41">
        <f>IF(B39="","","LA-"&amp;TEXT(ROW()-4,"000"))</f>
        <v>0</v>
      </c>
      <c r="X39" s="23">
        <f>IF(C39="","",C39-TODAY())</f>
        <v>0</v>
      </c>
      <c r="Y39" s="17">
        <f>IF(C39="","",IF(TODAY()&lt;E39,"Not started yet",IF(TODAY()&lt;C39,"Teasing",IF(TODAY()=C39,"Launch day",IF(TODAY()&lt;=F39,"Follow-up","Finished")))))</f>
        <v>0</v>
      </c>
      <c r="Z39" s="23">
        <f>IF(OR(C39="",E39=""),"",C39-E39)</f>
        <v>0</v>
      </c>
      <c r="AA39" s="23">
        <f>IF(OR(E39="",F39=""),"",COUNTIFS('Content Calendar'!$B$5:$B$604,"&gt;="&amp;E39,'Content Calendar'!$B$5:$B$604,"&lt;="&amp;F39))</f>
        <v>0</v>
      </c>
      <c r="AB39" s="25">
        <f>IF(OR(U39="",U39=0),"",N(V39)/U39)</f>
        <v>0</v>
      </c>
      <c r="AC39" s="24">
        <f>IF(OR(T39="",T39=0),"",N(U39)/T39)</f>
        <v>0</v>
      </c>
      <c r="AD39" s="31">
        <f>IF(OR(R39="",R39=0),"",N(V39)/R39)</f>
        <v>0</v>
      </c>
      <c r="AE39" s="29">
        <f>IF(B39="","",IF(AND(Z39&lt;&gt;"",Z39&lt;7),"Action - less than a week of teasing",IF(AND(Y39="Teasing",AA39=0),"Action - nothing on the calendar yet",IF(AND(C39&lt;TODAY(),W39&lt;&gt;"Complete",W39&lt;&gt;"Cancelled"),"Overdue - close this launch off",IF(O39=TODAY(),"Today - send the last call","OK")))))</f>
        <v>0</v>
      </c>
    </row>
    <row r="40" spans="1:31">
      <c r="A40" s="41">
        <f>IF(B40="","","LA-"&amp;TEXT(ROW()-4,"000"))</f>
        <v>0</v>
      </c>
      <c r="X40" s="23">
        <f>IF(C40="","",C40-TODAY())</f>
        <v>0</v>
      </c>
      <c r="Y40" s="17">
        <f>IF(C40="","",IF(TODAY()&lt;E40,"Not started yet",IF(TODAY()&lt;C40,"Teasing",IF(TODAY()=C40,"Launch day",IF(TODAY()&lt;=F40,"Follow-up","Finished")))))</f>
        <v>0</v>
      </c>
      <c r="Z40" s="23">
        <f>IF(OR(C40="",E40=""),"",C40-E40)</f>
        <v>0</v>
      </c>
      <c r="AA40" s="23">
        <f>IF(OR(E40="",F40=""),"",COUNTIFS('Content Calendar'!$B$5:$B$604,"&gt;="&amp;E40,'Content Calendar'!$B$5:$B$604,"&lt;="&amp;F40))</f>
        <v>0</v>
      </c>
      <c r="AB40" s="25">
        <f>IF(OR(U40="",U40=0),"",N(V40)/U40)</f>
        <v>0</v>
      </c>
      <c r="AC40" s="24">
        <f>IF(OR(T40="",T40=0),"",N(U40)/T40)</f>
        <v>0</v>
      </c>
      <c r="AD40" s="31">
        <f>IF(OR(R40="",R40=0),"",N(V40)/R40)</f>
        <v>0</v>
      </c>
      <c r="AE40" s="29">
        <f>IF(B40="","",IF(AND(Z40&lt;&gt;"",Z40&lt;7),"Action - less than a week of teasing",IF(AND(Y40="Teasing",AA40=0),"Action - nothing on the calendar yet",IF(AND(C40&lt;TODAY(),W40&lt;&gt;"Complete",W40&lt;&gt;"Cancelled"),"Overdue - close this launch off",IF(O40=TODAY(),"Today - send the last call","OK")))))</f>
        <v>0</v>
      </c>
    </row>
    <row r="41" spans="1:31">
      <c r="A41" s="41">
        <f>IF(B41="","","LA-"&amp;TEXT(ROW()-4,"000"))</f>
        <v>0</v>
      </c>
      <c r="X41" s="23">
        <f>IF(C41="","",C41-TODAY())</f>
        <v>0</v>
      </c>
      <c r="Y41" s="17">
        <f>IF(C41="","",IF(TODAY()&lt;E41,"Not started yet",IF(TODAY()&lt;C41,"Teasing",IF(TODAY()=C41,"Launch day",IF(TODAY()&lt;=F41,"Follow-up","Finished")))))</f>
        <v>0</v>
      </c>
      <c r="Z41" s="23">
        <f>IF(OR(C41="",E41=""),"",C41-E41)</f>
        <v>0</v>
      </c>
      <c r="AA41" s="23">
        <f>IF(OR(E41="",F41=""),"",COUNTIFS('Content Calendar'!$B$5:$B$604,"&gt;="&amp;E41,'Content Calendar'!$B$5:$B$604,"&lt;="&amp;F41))</f>
        <v>0</v>
      </c>
      <c r="AB41" s="25">
        <f>IF(OR(U41="",U41=0),"",N(V41)/U41)</f>
        <v>0</v>
      </c>
      <c r="AC41" s="24">
        <f>IF(OR(T41="",T41=0),"",N(U41)/T41)</f>
        <v>0</v>
      </c>
      <c r="AD41" s="31">
        <f>IF(OR(R41="",R41=0),"",N(V41)/R41)</f>
        <v>0</v>
      </c>
      <c r="AE41" s="29">
        <f>IF(B41="","",IF(AND(Z41&lt;&gt;"",Z41&lt;7),"Action - less than a week of teasing",IF(AND(Y41="Teasing",AA41=0),"Action - nothing on the calendar yet",IF(AND(C41&lt;TODAY(),W41&lt;&gt;"Complete",W41&lt;&gt;"Cancelled"),"Overdue - close this launch off",IF(O41=TODAY(),"Today - send the last call","OK")))))</f>
        <v>0</v>
      </c>
    </row>
    <row r="42" spans="1:31">
      <c r="A42" s="41">
        <f>IF(B42="","","LA-"&amp;TEXT(ROW()-4,"000"))</f>
        <v>0</v>
      </c>
      <c r="X42" s="23">
        <f>IF(C42="","",C42-TODAY())</f>
        <v>0</v>
      </c>
      <c r="Y42" s="17">
        <f>IF(C42="","",IF(TODAY()&lt;E42,"Not started yet",IF(TODAY()&lt;C42,"Teasing",IF(TODAY()=C42,"Launch day",IF(TODAY()&lt;=F42,"Follow-up","Finished")))))</f>
        <v>0</v>
      </c>
      <c r="Z42" s="23">
        <f>IF(OR(C42="",E42=""),"",C42-E42)</f>
        <v>0</v>
      </c>
      <c r="AA42" s="23">
        <f>IF(OR(E42="",F42=""),"",COUNTIFS('Content Calendar'!$B$5:$B$604,"&gt;="&amp;E42,'Content Calendar'!$B$5:$B$604,"&lt;="&amp;F42))</f>
        <v>0</v>
      </c>
      <c r="AB42" s="25">
        <f>IF(OR(U42="",U42=0),"",N(V42)/U42)</f>
        <v>0</v>
      </c>
      <c r="AC42" s="24">
        <f>IF(OR(T42="",T42=0),"",N(U42)/T42)</f>
        <v>0</v>
      </c>
      <c r="AD42" s="31">
        <f>IF(OR(R42="",R42=0),"",N(V42)/R42)</f>
        <v>0</v>
      </c>
      <c r="AE42" s="29">
        <f>IF(B42="","",IF(AND(Z42&lt;&gt;"",Z42&lt;7),"Action - less than a week of teasing",IF(AND(Y42="Teasing",AA42=0),"Action - nothing on the calendar yet",IF(AND(C42&lt;TODAY(),W42&lt;&gt;"Complete",W42&lt;&gt;"Cancelled"),"Overdue - close this launch off",IF(O42=TODAY(),"Today - send the last call","OK")))))</f>
        <v>0</v>
      </c>
    </row>
    <row r="43" spans="1:31">
      <c r="A43" s="41">
        <f>IF(B43="","","LA-"&amp;TEXT(ROW()-4,"000"))</f>
        <v>0</v>
      </c>
      <c r="X43" s="23">
        <f>IF(C43="","",C43-TODAY())</f>
        <v>0</v>
      </c>
      <c r="Y43" s="17">
        <f>IF(C43="","",IF(TODAY()&lt;E43,"Not started yet",IF(TODAY()&lt;C43,"Teasing",IF(TODAY()=C43,"Launch day",IF(TODAY()&lt;=F43,"Follow-up","Finished")))))</f>
        <v>0</v>
      </c>
      <c r="Z43" s="23">
        <f>IF(OR(C43="",E43=""),"",C43-E43)</f>
        <v>0</v>
      </c>
      <c r="AA43" s="23">
        <f>IF(OR(E43="",F43=""),"",COUNTIFS('Content Calendar'!$B$5:$B$604,"&gt;="&amp;E43,'Content Calendar'!$B$5:$B$604,"&lt;="&amp;F43))</f>
        <v>0</v>
      </c>
      <c r="AB43" s="25">
        <f>IF(OR(U43="",U43=0),"",N(V43)/U43)</f>
        <v>0</v>
      </c>
      <c r="AC43" s="24">
        <f>IF(OR(T43="",T43=0),"",N(U43)/T43)</f>
        <v>0</v>
      </c>
      <c r="AD43" s="31">
        <f>IF(OR(R43="",R43=0),"",N(V43)/R43)</f>
        <v>0</v>
      </c>
      <c r="AE43" s="29">
        <f>IF(B43="","",IF(AND(Z43&lt;&gt;"",Z43&lt;7),"Action - less than a week of teasing",IF(AND(Y43="Teasing",AA43=0),"Action - nothing on the calendar yet",IF(AND(C43&lt;TODAY(),W43&lt;&gt;"Complete",W43&lt;&gt;"Cancelled"),"Overdue - close this launch off",IF(O43=TODAY(),"Today - send the last call","OK")))))</f>
        <v>0</v>
      </c>
    </row>
    <row r="44" spans="1:31">
      <c r="A44" s="41">
        <f>IF(B44="","","LA-"&amp;TEXT(ROW()-4,"000"))</f>
        <v>0</v>
      </c>
      <c r="X44" s="23">
        <f>IF(C44="","",C44-TODAY())</f>
        <v>0</v>
      </c>
      <c r="Y44" s="17">
        <f>IF(C44="","",IF(TODAY()&lt;E44,"Not started yet",IF(TODAY()&lt;C44,"Teasing",IF(TODAY()=C44,"Launch day",IF(TODAY()&lt;=F44,"Follow-up","Finished")))))</f>
        <v>0</v>
      </c>
      <c r="Z44" s="23">
        <f>IF(OR(C44="",E44=""),"",C44-E44)</f>
        <v>0</v>
      </c>
      <c r="AA44" s="23">
        <f>IF(OR(E44="",F44=""),"",COUNTIFS('Content Calendar'!$B$5:$B$604,"&gt;="&amp;E44,'Content Calendar'!$B$5:$B$604,"&lt;="&amp;F44))</f>
        <v>0</v>
      </c>
      <c r="AB44" s="25">
        <f>IF(OR(U44="",U44=0),"",N(V44)/U44)</f>
        <v>0</v>
      </c>
      <c r="AC44" s="24">
        <f>IF(OR(T44="",T44=0),"",N(U44)/T44)</f>
        <v>0</v>
      </c>
      <c r="AD44" s="31">
        <f>IF(OR(R44="",R44=0),"",N(V44)/R44)</f>
        <v>0</v>
      </c>
      <c r="AE44" s="29">
        <f>IF(B44="","",IF(AND(Z44&lt;&gt;"",Z44&lt;7),"Action - less than a week of teasing",IF(AND(Y44="Teasing",AA44=0),"Action - nothing on the calendar yet",IF(AND(C44&lt;TODAY(),W44&lt;&gt;"Complete",W44&lt;&gt;"Cancelled"),"Overdue - close this launch off",IF(O44=TODAY(),"Today - send the last call","OK")))))</f>
        <v>0</v>
      </c>
    </row>
  </sheetData>
  <sheetProtection password="EC7C" sheet="1" objects="1" scenarios="1" formatCells="0" formatColumns="0" formatRows="0" insertRows="0" insertHyperlinks="0" deleteRows="0" autoFilter="0"/>
  <autoFilter ref="A4:AF44"/>
  <mergeCells count="13">
    <mergeCell ref="A1:AC1"/>
    <mergeCell ref="AD1:AF1"/>
    <mergeCell ref="A2:AF2"/>
    <mergeCell ref="A3:B3"/>
    <mergeCell ref="C3:D3"/>
    <mergeCell ref="E3:F3"/>
    <mergeCell ref="G3:H3"/>
    <mergeCell ref="I3:J3"/>
    <mergeCell ref="K3:L3"/>
    <mergeCell ref="M3:N3"/>
    <mergeCell ref="O3:P3"/>
    <mergeCell ref="Q3:R3"/>
    <mergeCell ref="S3:AF3"/>
  </mergeCells>
  <conditionalFormatting sqref="AA5:AA44">
    <cfRule type="dataBar" priority="33">
      <dataBar>
        <cfvo type="min" val="0"/>
        <cfvo type="max" val="0"/>
        <color rgb="FF6350A8"/>
      </dataBar>
    </cfRule>
  </conditionalFormatting>
  <conditionalFormatting sqref="AD5:AD44">
    <cfRule type="cellIs" dxfId="0" priority="34" operator="greaterThanOrEqual">
      <formula>RoasTarget</formula>
    </cfRule>
    <cfRule type="cellIs" dxfId="2" priority="35" operator="lessThan">
      <formula>RoasTarget</formula>
    </cfRule>
  </conditionalFormatting>
  <conditionalFormatting sqref="AE5:AE44">
    <cfRule type="beginsWith" dxfId="0" priority="36" operator="beginsWith" text="OK">
      <formula>LEFT(AE5,2)="OK"</formula>
    </cfRule>
    <cfRule type="containsText" dxfId="1" priority="37" operator="containsText" text="Overdue">
      <formula>NOT(ISERROR(SEARCH("Overdue",AE5)))</formula>
    </cfRule>
    <cfRule type="containsText" dxfId="1" priority="38" operator="containsText" text="Late">
      <formula>NOT(ISERROR(SEARCH("Late",AE5)))</formula>
    </cfRule>
    <cfRule type="containsText" dxfId="1" priority="39" operator="containsText" text="Missing">
      <formula>NOT(ISERROR(SEARCH("Missing",AE5)))</formula>
    </cfRule>
    <cfRule type="containsText" dxfId="1" priority="40" operator="containsText" text="Conflict">
      <formula>NOT(ISERROR(SEARCH("Conflict",AE5)))</formula>
    </cfRule>
    <cfRule type="containsText" dxfId="1" priority="41" operator="containsText" text="Expired">
      <formula>NOT(ISERROR(SEARCH("Expired",AE5)))</formula>
    </cfRule>
    <cfRule type="containsText" dxfId="1" priority="42" operator="containsText" text="Duplicate">
      <formula>NOT(ISERROR(SEARCH("Duplicate",AE5)))</formula>
    </cfRule>
    <cfRule type="containsText" dxfId="2" priority="43" operator="containsText" text="Action">
      <formula>NOT(ISERROR(SEARCH("Action",AE5)))</formula>
    </cfRule>
    <cfRule type="containsText" dxfId="2" priority="44" operator="containsText" text="Due">
      <formula>NOT(ISERROR(SEARCH("Due",AE5)))</formula>
    </cfRule>
    <cfRule type="containsText" dxfId="2" priority="45" operator="containsText" text="Check">
      <formula>NOT(ISERROR(SEARCH("Check",AE5)))</formula>
    </cfRule>
    <cfRule type="containsText" dxfId="2" priority="46" operator="containsText" text="Add">
      <formula>NOT(ISERROR(SEARCH("Add",AE5)))</formula>
    </cfRule>
    <cfRule type="containsText" dxfId="3" priority="47" operator="containsText" text="Today">
      <formula>NOT(ISERROR(SEARCH("Today",AE5)))</formula>
    </cfRule>
    <cfRule type="containsText" dxfId="3" priority="48" operator="containsText" text="Upcoming">
      <formula>NOT(ISERROR(SEARCH("Upcoming",AE5)))</formula>
    </cfRule>
  </conditionalFormatting>
  <conditionalFormatting sqref="V5:V44">
    <cfRule type="cellIs" dxfId="5" priority="1" operator="greaterThan">
      <formula>0</formula>
    </cfRule>
  </conditionalFormatting>
  <conditionalFormatting sqref="W5:W44">
    <cfRule type="containsText" dxfId="0" priority="2" operator="containsText" text="Published">
      <formula>NOT(ISERROR(SEARCH("Published",W5)))</formula>
    </cfRule>
    <cfRule type="containsText" dxfId="0" priority="3" operator="containsText" text="Approved">
      <formula>NOT(ISERROR(SEARCH("Approved",W5)))</formula>
    </cfRule>
    <cfRule type="containsText" dxfId="0" priority="4" operator="containsText" text="Complete">
      <formula>NOT(ISERROR(SEARCH("Complete",W5)))</formula>
    </cfRule>
    <cfRule type="containsText" dxfId="0" priority="5" operator="containsText" text="Active">
      <formula>NOT(ISERROR(SEARCH("Active",W5)))</formula>
    </cfRule>
    <cfRule type="containsText" dxfId="0" priority="6" operator="containsText" text="Agreed">
      <formula>NOT(ISERROR(SEARCH("Agreed",W5)))</formula>
    </cfRule>
    <cfRule type="containsText" dxfId="0" priority="7" operator="containsText" text="Yes">
      <formula>NOT(ISERROR(SEARCH("Yes",W5)))</formula>
    </cfRule>
    <cfRule type="containsText" dxfId="0" priority="8" operator="containsText" text="Won">
      <formula>NOT(ISERROR(SEARCH("Won",W5)))</formula>
    </cfRule>
    <cfRule type="containsText" dxfId="3" priority="9" operator="containsText" text="Scheduled">
      <formula>NOT(ISERROR(SEARCH("Scheduled",W5)))</formula>
    </cfRule>
    <cfRule type="containsText" dxfId="3" priority="10" operator="containsText" text="In production">
      <formula>NOT(ISERROR(SEARCH("In production",W5)))</formula>
    </cfRule>
    <cfRule type="containsText" dxfId="3" priority="11" operator="containsText" text="Running">
      <formula>NOT(ISERROR(SEARCH("Running",W5)))</formula>
    </cfRule>
    <cfRule type="containsText" dxfId="3" priority="12" operator="containsText" text="Sent">
      <formula>NOT(ISERROR(SEARCH("Sent",W5)))</formula>
    </cfRule>
    <cfRule type="containsText" dxfId="3" priority="13" operator="containsText" text="Testing">
      <formula>NOT(ISERROR(SEARCH("Testing",W5)))</formula>
    </cfRule>
    <cfRule type="containsText" dxfId="2" priority="14" operator="containsText" text="Idea">
      <formula>NOT(ISERROR(SEARCH("Idea",W5)))</formula>
    </cfRule>
    <cfRule type="containsText" dxfId="2" priority="15" operator="containsText" text="Brief">
      <formula>NOT(ISERROR(SEARCH("Brief",W5)))</formula>
    </cfRule>
    <cfRule type="containsText" dxfId="2" priority="16" operator="containsText" text="Draft">
      <formula>NOT(ISERROR(SEARCH("Draft",W5)))</formula>
    </cfRule>
    <cfRule type="containsText" dxfId="2" priority="17" operator="containsText" text="Awaiting review">
      <formula>NOT(ISERROR(SEARCH("Awaiting review",W5)))</formula>
    </cfRule>
    <cfRule type="containsText" dxfId="2" priority="18" operator="containsText" text="Pending">
      <formula>NOT(ISERROR(SEARCH("Pending",W5)))</formula>
    </cfRule>
    <cfRule type="containsText" dxfId="2" priority="19" operator="containsText" text="On hold">
      <formula>NOT(ISERROR(SEARCH("On hold",W5)))</formula>
    </cfRule>
    <cfRule type="containsText" dxfId="1" priority="20" operator="containsText" text="Revision needed">
      <formula>NOT(ISERROR(SEARCH("Revision needed",W5)))</formula>
    </cfRule>
    <cfRule type="containsText" dxfId="1" priority="21" operator="containsText" text="Rejected">
      <formula>NOT(ISERROR(SEARCH("Rejected",W5)))</formula>
    </cfRule>
    <cfRule type="containsText" dxfId="1" priority="22" operator="containsText" text="Cancelled">
      <formula>NOT(ISERROR(SEARCH("Cancelled",W5)))</formula>
    </cfRule>
    <cfRule type="containsText" dxfId="1" priority="23" operator="containsText" text="Missed">
      <formula>NOT(ISERROR(SEARCH("Missed",W5)))</formula>
    </cfRule>
    <cfRule type="containsText" dxfId="1" priority="24" operator="containsText" text="Overdue">
      <formula>NOT(ISERROR(SEARCH("Overdue",W5)))</formula>
    </cfRule>
    <cfRule type="containsText" dxfId="1" priority="25" operator="containsText" text="Declined">
      <formula>NOT(ISERROR(SEARCH("Declined",W5)))</formula>
    </cfRule>
    <cfRule type="containsText" dxfId="4" priority="26" operator="containsText" text="Archived">
      <formula>NOT(ISERROR(SEARCH("Archived",W5)))</formula>
    </cfRule>
    <cfRule type="containsText" dxfId="4" priority="27" operator="containsText" text="Paused">
      <formula>NOT(ISERROR(SEARCH("Paused",W5)))</formula>
    </cfRule>
    <cfRule type="containsText" dxfId="4" priority="28" operator="containsText" text="Not started">
      <formula>NOT(ISERROR(SEARCH("Not started",W5)))</formula>
    </cfRule>
  </conditionalFormatting>
  <conditionalFormatting sqref="Y5:Y44">
    <cfRule type="containsText" dxfId="1" priority="29" operator="containsText" text="Launch day">
      <formula>NOT(ISERROR(SEARCH("Launch day",Y5)))</formula>
    </cfRule>
    <cfRule type="containsText" dxfId="2" priority="30" operator="containsText" text="Teasing">
      <formula>NOT(ISERROR(SEARCH("Teasing",Y5)))</formula>
    </cfRule>
    <cfRule type="containsText" dxfId="3" priority="31" operator="containsText" text="Follow-up">
      <formula>NOT(ISERROR(SEARCH("Follow-up",Y5)))</formula>
    </cfRule>
  </conditionalFormatting>
  <conditionalFormatting sqref="Z5:Z44">
    <cfRule type="cellIs" dxfId="2" priority="32" operator="lessThan">
      <formula>7</formula>
    </cfRule>
  </conditionalFormatting>
  <dataValidations count="13">
    <dataValidation type="date" allowBlank="1" showInputMessage="1" showErrorMessage="1" errorTitle="Check the date" error="Enter a real date between 2000 and 2100." promptTitle="Launch date" prompt="The day it goes on sale. Everything else counts backwards and forwards from here." sqref="C5:C44">
      <formula1>36526</formula1>
      <formula2>73415</formula2>
    </dataValidation>
    <dataValidation type="list" allowBlank="1" showInputMessage="1" showErrorMessage="1" sqref="D5:D44">
      <formula1>CampaignNames</formula1>
    </dataValidation>
    <dataValidation type="date" allowBlank="1" showInputMessage="1" showErrorMessage="1" errorTitle="Check the date" error="Enter a real date between 2000 and 2100." sqref="E5:E44">
      <formula1>36526</formula1>
      <formula2>73415</formula2>
    </dataValidation>
    <dataValidation type="date" allowBlank="1" showInputMessage="1" showErrorMessage="1" errorTitle="Check the date" error="Enter a real date between 2000 and 2100." sqref="F5:F44">
      <formula1>36526</formula1>
      <formula2>73415</formula2>
    </dataValidation>
    <dataValidation type="whole" allowBlank="1" showInputMessage="1" showErrorMessage="1" errorTitle="Check the value" error="Enter a number between 0 and 1000000." sqref="N5:N44">
      <formula1>0</formula1>
      <formula2>1000000</formula2>
    </dataValidation>
    <dataValidation type="date" allowBlank="1" showInputMessage="1" showErrorMessage="1" errorTitle="Check the date" error="Enter a real date between 2000 and 2100." sqref="O5:O44">
      <formula1>36526</formula1>
      <formula2>73415</formula2>
    </dataValidation>
    <dataValidation type="list" allowBlank="1" showInputMessage="1" showErrorMessage="1" sqref="Q5:Q44">
      <formula1>InfluencerNames</formula1>
    </dataValidation>
    <dataValidation type="decimal" allowBlank="1" showInputMessage="1" showErrorMessage="1" errorTitle="Check the value" error="Enter a number between 0 and 1000000000.0." sqref="R5:R44">
      <formula1>0</formula1>
      <formula2>1000000000.0</formula2>
    </dataValidation>
    <dataValidation type="whole" allowBlank="1" showInputMessage="1" showErrorMessage="1" errorTitle="Check the value" error="Enter a number between 0 and 100000000.0." sqref="S5:S44">
      <formula1>0</formula1>
      <formula2>100000000.0</formula2>
    </dataValidation>
    <dataValidation type="whole" allowBlank="1" showInputMessage="1" showErrorMessage="1" errorTitle="Check the value" error="Enter a number between 0 and 10000000.0." sqref="T5:T44">
      <formula1>0</formula1>
      <formula2>10000000.0</formula2>
    </dataValidation>
    <dataValidation type="whole" allowBlank="1" showInputMessage="1" showErrorMessage="1" errorTitle="Check the value" error="Enter a number between 0 and 10000000.0." sqref="U5:U44">
      <formula1>0</formula1>
      <formula2>10000000.0</formula2>
    </dataValidation>
    <dataValidation type="decimal" allowBlank="1" showInputMessage="1" showErrorMessage="1" errorTitle="Check the value" error="Enter a number between 0 and 1000000000.0." sqref="V5:V44">
      <formula1>0</formula1>
      <formula2>1000000000.0</formula2>
    </dataValidation>
    <dataValidation type="list" allowBlank="1" showInputMessage="1" showErrorMessage="1" sqref="W5:W44">
      <formula1>CampaignStatusList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&amp;L&amp;"Calibri,Bold"&amp;12&amp;C&amp;"Calibri,Bold"&amp;11Launch Planner&amp;R&amp;"Calibri,Italic"&amp;9Social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3.xml><?xml version="1.0" encoding="utf-8"?>
<worksheet xmlns="http://schemas.openxmlformats.org/spreadsheetml/2006/main" xmlns:r="http://schemas.openxmlformats.org/officeDocument/2006/relationships">
  <sheetPr>
    <tabColor rgb="FF6350A8"/>
    <pageSetUpPr fitToPage="1"/>
  </sheetPr>
  <dimension ref="A1:R6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style="41" customWidth="1"/>
    <col min="2" max="2" width="12.7109375" style="43" customWidth="1"/>
    <col min="3" max="3" width="10.7109375" style="17" customWidth="1"/>
    <col min="4" max="4" width="24.7109375" style="15" customWidth="1"/>
    <col min="5" max="5" width="16.7109375" style="15" customWidth="1"/>
    <col min="6" max="6" width="34.7109375" style="39" customWidth="1"/>
    <col min="7" max="7" width="16.7109375" style="15" customWidth="1"/>
    <col min="8" max="8" width="20.7109375" style="15" customWidth="1"/>
    <col min="9" max="9" width="20.7109375" style="15" customWidth="1"/>
    <col min="10" max="10" width="13.7109375" style="34" customWidth="1"/>
    <col min="11" max="11" width="22.7109375" style="15" customWidth="1"/>
    <col min="12" max="12" width="12.7109375" style="36" customWidth="1"/>
    <col min="13" max="13" width="13.7109375" style="48" customWidth="1"/>
    <col min="14" max="14" width="12.7109375" style="16" customWidth="1"/>
    <col min="15" max="15" width="10.7109375" style="23" customWidth="1"/>
    <col min="16" max="16" width="11.7109375" style="23" customWidth="1"/>
    <col min="17" max="17" width="30.7109375" style="29" customWidth="1"/>
    <col min="18" max="18" width="26.7109375" style="39" customWidth="1"/>
  </cols>
  <sheetData>
    <row r="1" spans="1:18" ht="34" customHeight="1">
      <c r="A1" s="2" t="s">
        <v>1638</v>
      </c>
      <c r="B1" s="2"/>
      <c r="C1" s="2"/>
      <c r="D1" s="2"/>
      <c r="E1" s="2"/>
      <c r="F1" s="2"/>
      <c r="G1" s="2"/>
      <c r="H1" s="2"/>
      <c r="I1" s="2"/>
      <c r="J1" s="2"/>
      <c r="K1" s="2"/>
      <c r="L1" s="2"/>
      <c r="M1" s="2"/>
      <c r="N1" s="2"/>
      <c r="O1" s="2"/>
      <c r="P1" s="3" t="s">
        <v>1</v>
      </c>
      <c r="Q1" s="3"/>
      <c r="R1" s="3"/>
    </row>
    <row r="2" spans="1:18" ht="18" customHeight="1">
      <c r="A2" s="4" t="s">
        <v>1639</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8</v>
      </c>
      <c r="L3" s="5"/>
      <c r="M3" s="5" t="s">
        <v>125</v>
      </c>
      <c r="N3" s="5"/>
      <c r="O3" s="5" t="s">
        <v>126</v>
      </c>
      <c r="P3" s="5"/>
      <c r="Q3" s="5" t="s">
        <v>127</v>
      </c>
      <c r="R3" s="5"/>
    </row>
    <row r="4" spans="1:18" ht="30" customHeight="1">
      <c r="A4" s="8" t="s">
        <v>766</v>
      </c>
      <c r="B4" s="8" t="s">
        <v>202</v>
      </c>
      <c r="C4" s="9" t="s">
        <v>129</v>
      </c>
      <c r="D4" s="9" t="s">
        <v>1640</v>
      </c>
      <c r="E4" s="9" t="s">
        <v>1336</v>
      </c>
      <c r="F4" s="9" t="s">
        <v>1641</v>
      </c>
      <c r="G4" s="9" t="s">
        <v>906</v>
      </c>
      <c r="H4" s="9" t="s">
        <v>1604</v>
      </c>
      <c r="I4" s="9" t="s">
        <v>1565</v>
      </c>
      <c r="J4" s="9" t="s">
        <v>1642</v>
      </c>
      <c r="K4" s="9" t="s">
        <v>1643</v>
      </c>
      <c r="L4" s="9" t="s">
        <v>97</v>
      </c>
      <c r="M4" s="9" t="s">
        <v>221</v>
      </c>
      <c r="N4" s="9" t="s">
        <v>1644</v>
      </c>
      <c r="O4" s="9" t="s">
        <v>916</v>
      </c>
      <c r="P4" s="9" t="s">
        <v>136</v>
      </c>
      <c r="Q4" s="9" t="s">
        <v>787</v>
      </c>
      <c r="R4" s="9" t="s">
        <v>788</v>
      </c>
    </row>
    <row r="5" spans="1:18">
      <c r="A5" s="41">
        <f>IF(D5="","","SEA-"&amp;TEXT(ROW()-4,"000"))</f>
        <v>0</v>
      </c>
      <c r="B5" s="43">
        <v>46023</v>
      </c>
      <c r="C5" s="17">
        <f>IF(B5="","",TEXT(B5,"yyyy-mm"))</f>
        <v>0</v>
      </c>
      <c r="D5" s="15" t="s">
        <v>1645</v>
      </c>
      <c r="E5" s="15" t="s">
        <v>494</v>
      </c>
      <c r="F5" s="39" t="s">
        <v>1646</v>
      </c>
      <c r="G5" s="15" t="s">
        <v>881</v>
      </c>
      <c r="H5" s="15" t="s">
        <v>205</v>
      </c>
      <c r="I5" s="15" t="s">
        <v>1647</v>
      </c>
      <c r="J5" s="34">
        <v>7</v>
      </c>
      <c r="K5" s="15" t="s">
        <v>1350</v>
      </c>
      <c r="L5" s="36">
        <v>0</v>
      </c>
      <c r="M5" s="48" t="s">
        <v>252</v>
      </c>
      <c r="N5" s="16">
        <f>IF(B5="","",B5-N(J5))</f>
        <v>0</v>
      </c>
      <c r="O5" s="23">
        <f>IF(B5="","",B5-TODAY())</f>
        <v>0</v>
      </c>
      <c r="P5" s="23">
        <f>IF(B5="","",COUNTIFS('Content Calendar'!$B$5:$B$604,"&gt;="&amp;N5,'Content Calendar'!$B$5:$B$604,"&lt;="&amp;B5))</f>
        <v>0</v>
      </c>
      <c r="Q5" s="29">
        <f>IF(D5="","",IF(AND(B5&lt;TODAY(),M5&lt;&gt;"Complete",M5&lt;&gt;"Cancelled"),"Expired - the date has passed",IF(AND(N5&lt;=TODAY(),B5&gt;=TODAY(),P5=0),"Action - start planning this now",IF(AND(O5&gt;=0,O5&lt;=14),"Upcoming - within a fortnight","OK"))))</f>
        <v>0</v>
      </c>
      <c r="R5" s="39" t="s">
        <v>205</v>
      </c>
    </row>
    <row r="6" spans="1:18">
      <c r="A6" s="41">
        <f>IF(D6="","","SEA-"&amp;TEXT(ROW()-4,"000"))</f>
        <v>0</v>
      </c>
      <c r="B6" s="43">
        <v>46067</v>
      </c>
      <c r="C6" s="17">
        <f>IF(B6="","",TEXT(B6,"yyyy-mm"))</f>
        <v>0</v>
      </c>
      <c r="D6" s="15" t="s">
        <v>1648</v>
      </c>
      <c r="E6" s="15" t="s">
        <v>500</v>
      </c>
      <c r="F6" s="39" t="s">
        <v>1649</v>
      </c>
      <c r="G6" s="15" t="s">
        <v>881</v>
      </c>
      <c r="H6" s="15" t="s">
        <v>205</v>
      </c>
      <c r="I6" s="15" t="s">
        <v>1647</v>
      </c>
      <c r="J6" s="34">
        <v>7</v>
      </c>
      <c r="K6" s="15" t="s">
        <v>1350</v>
      </c>
      <c r="L6" s="36">
        <v>0</v>
      </c>
      <c r="M6" s="48" t="s">
        <v>252</v>
      </c>
      <c r="N6" s="16">
        <f>IF(B6="","",B6-N(J6))</f>
        <v>0</v>
      </c>
      <c r="O6" s="23">
        <f>IF(B6="","",B6-TODAY())</f>
        <v>0</v>
      </c>
      <c r="P6" s="23">
        <f>IF(B6="","",COUNTIFS('Content Calendar'!$B$5:$B$604,"&gt;="&amp;N6,'Content Calendar'!$B$5:$B$604,"&lt;="&amp;B6))</f>
        <v>0</v>
      </c>
      <c r="Q6" s="29">
        <f>IF(D6="","",IF(AND(B6&lt;TODAY(),M6&lt;&gt;"Complete",M6&lt;&gt;"Cancelled"),"Expired - the date has passed",IF(AND(N6&lt;=TODAY(),B6&gt;=TODAY(),P6=0),"Action - start planning this now",IF(AND(O6&gt;=0,O6&lt;=14),"Upcoming - within a fortnight","OK"))))</f>
        <v>0</v>
      </c>
      <c r="R6" s="39" t="s">
        <v>205</v>
      </c>
    </row>
    <row r="7" spans="1:18">
      <c r="A7" s="41">
        <f>IF(D7="","","SEA-"&amp;TEXT(ROW()-4,"000"))</f>
        <v>0</v>
      </c>
      <c r="B7" s="43">
        <v>46101</v>
      </c>
      <c r="C7" s="17">
        <f>IF(B7="","",TEXT(B7,"yyyy-mm"))</f>
        <v>0</v>
      </c>
      <c r="D7" s="15" t="s">
        <v>1650</v>
      </c>
      <c r="E7" s="15" t="s">
        <v>500</v>
      </c>
      <c r="F7" s="39" t="s">
        <v>1651</v>
      </c>
      <c r="G7" s="15" t="s">
        <v>881</v>
      </c>
      <c r="H7" s="15" t="s">
        <v>205</v>
      </c>
      <c r="I7" s="15" t="s">
        <v>1647</v>
      </c>
      <c r="J7" s="34">
        <v>7</v>
      </c>
      <c r="K7" s="15" t="s">
        <v>1350</v>
      </c>
      <c r="L7" s="36">
        <v>0</v>
      </c>
      <c r="M7" s="48" t="s">
        <v>252</v>
      </c>
      <c r="N7" s="16">
        <f>IF(B7="","",B7-N(J7))</f>
        <v>0</v>
      </c>
      <c r="O7" s="23">
        <f>IF(B7="","",B7-TODAY())</f>
        <v>0</v>
      </c>
      <c r="P7" s="23">
        <f>IF(B7="","",COUNTIFS('Content Calendar'!$B$5:$B$604,"&gt;="&amp;N7,'Content Calendar'!$B$5:$B$604,"&lt;="&amp;B7))</f>
        <v>0</v>
      </c>
      <c r="Q7" s="29">
        <f>IF(D7="","",IF(AND(B7&lt;TODAY(),M7&lt;&gt;"Complete",M7&lt;&gt;"Cancelled"),"Expired - the date has passed",IF(AND(N7&lt;=TODAY(),B7&gt;=TODAY(),P7=0),"Action - start planning this now",IF(AND(O7&gt;=0,O7&lt;=14),"Upcoming - within a fortnight","OK"))))</f>
        <v>0</v>
      </c>
      <c r="R7" s="39" t="s">
        <v>205</v>
      </c>
    </row>
    <row r="8" spans="1:18">
      <c r="A8" s="41">
        <f>IF(D8="","","SEA-"&amp;TEXT(ROW()-4,"000"))</f>
        <v>0</v>
      </c>
      <c r="B8" s="43">
        <v>46152</v>
      </c>
      <c r="C8" s="17">
        <f>IF(B8="","",TEXT(B8,"yyyy-mm"))</f>
        <v>0</v>
      </c>
      <c r="D8" s="15" t="s">
        <v>1652</v>
      </c>
      <c r="E8" s="15" t="s">
        <v>500</v>
      </c>
      <c r="F8" s="39" t="s">
        <v>971</v>
      </c>
      <c r="G8" s="15" t="s">
        <v>881</v>
      </c>
      <c r="H8" s="15" t="s">
        <v>205</v>
      </c>
      <c r="I8" s="15" t="s">
        <v>1647</v>
      </c>
      <c r="J8" s="34">
        <v>7</v>
      </c>
      <c r="K8" s="15" t="s">
        <v>1350</v>
      </c>
      <c r="L8" s="36">
        <v>0</v>
      </c>
      <c r="M8" s="48" t="s">
        <v>252</v>
      </c>
      <c r="N8" s="16">
        <f>IF(B8="","",B8-N(J8))</f>
        <v>0</v>
      </c>
      <c r="O8" s="23">
        <f>IF(B8="","",B8-TODAY())</f>
        <v>0</v>
      </c>
      <c r="P8" s="23">
        <f>IF(B8="","",COUNTIFS('Content Calendar'!$B$5:$B$604,"&gt;="&amp;N8,'Content Calendar'!$B$5:$B$604,"&lt;="&amp;B8))</f>
        <v>0</v>
      </c>
      <c r="Q8" s="29">
        <f>IF(D8="","",IF(AND(B8&lt;TODAY(),M8&lt;&gt;"Complete",M8&lt;&gt;"Cancelled"),"Expired - the date has passed",IF(AND(N8&lt;=TODAY(),B8&gt;=TODAY(),P8=0),"Action - start planning this now",IF(AND(O8&gt;=0,O8&lt;=14),"Upcoming - within a fortnight","OK"))))</f>
        <v>0</v>
      </c>
      <c r="R8" s="39" t="s">
        <v>205</v>
      </c>
    </row>
    <row r="9" spans="1:18">
      <c r="A9" s="41">
        <f>IF(D9="","","SEA-"&amp;TEXT(ROW()-4,"000"))</f>
        <v>0</v>
      </c>
      <c r="B9" s="43">
        <v>46194</v>
      </c>
      <c r="C9" s="17">
        <f>IF(B9="","",TEXT(B9,"yyyy-mm"))</f>
        <v>0</v>
      </c>
      <c r="D9" s="15" t="s">
        <v>1653</v>
      </c>
      <c r="E9" s="15" t="s">
        <v>500</v>
      </c>
      <c r="F9" s="39" t="s">
        <v>1654</v>
      </c>
      <c r="G9" s="15" t="s">
        <v>881</v>
      </c>
      <c r="H9" s="15" t="s">
        <v>205</v>
      </c>
      <c r="I9" s="15" t="s">
        <v>1647</v>
      </c>
      <c r="J9" s="34">
        <v>7</v>
      </c>
      <c r="K9" s="15" t="s">
        <v>1350</v>
      </c>
      <c r="L9" s="36">
        <v>0</v>
      </c>
      <c r="M9" s="48" t="s">
        <v>252</v>
      </c>
      <c r="N9" s="16">
        <f>IF(B9="","",B9-N(J9))</f>
        <v>0</v>
      </c>
      <c r="O9" s="23">
        <f>IF(B9="","",B9-TODAY())</f>
        <v>0</v>
      </c>
      <c r="P9" s="23">
        <f>IF(B9="","",COUNTIFS('Content Calendar'!$B$5:$B$604,"&gt;="&amp;N9,'Content Calendar'!$B$5:$B$604,"&lt;="&amp;B9))</f>
        <v>0</v>
      </c>
      <c r="Q9" s="29">
        <f>IF(D9="","",IF(AND(B9&lt;TODAY(),M9&lt;&gt;"Complete",M9&lt;&gt;"Cancelled"),"Expired - the date has passed",IF(AND(N9&lt;=TODAY(),B9&gt;=TODAY(),P9=0),"Action - start planning this now",IF(AND(O9&gt;=0,O9&lt;=14),"Upcoming - within a fortnight","OK"))))</f>
        <v>0</v>
      </c>
      <c r="R9" s="39" t="s">
        <v>205</v>
      </c>
    </row>
    <row r="10" spans="1:18">
      <c r="A10" s="41">
        <f>IF(D10="","","SEA-"&amp;TEXT(ROW()-4,"000"))</f>
        <v>0</v>
      </c>
      <c r="B10" s="43">
        <v>46254</v>
      </c>
      <c r="C10" s="17">
        <f>IF(B10="","",TEXT(B10,"yyyy-mm"))</f>
        <v>0</v>
      </c>
      <c r="D10" s="15" t="s">
        <v>1655</v>
      </c>
      <c r="E10" s="15" t="s">
        <v>497</v>
      </c>
      <c r="F10" s="39" t="s">
        <v>1656</v>
      </c>
      <c r="G10" s="15" t="s">
        <v>888</v>
      </c>
      <c r="H10" s="15" t="s">
        <v>205</v>
      </c>
      <c r="I10" s="15" t="s">
        <v>1647</v>
      </c>
      <c r="J10" s="34">
        <v>14</v>
      </c>
      <c r="K10" s="15" t="s">
        <v>1350</v>
      </c>
      <c r="L10" s="36">
        <v>250</v>
      </c>
      <c r="M10" s="48" t="s">
        <v>252</v>
      </c>
      <c r="N10" s="16">
        <f>IF(B10="","",B10-N(J10))</f>
        <v>0</v>
      </c>
      <c r="O10" s="23">
        <f>IF(B10="","",B10-TODAY())</f>
        <v>0</v>
      </c>
      <c r="P10" s="23">
        <f>IF(B10="","",COUNTIFS('Content Calendar'!$B$5:$B$604,"&gt;="&amp;N10,'Content Calendar'!$B$5:$B$604,"&lt;="&amp;B10))</f>
        <v>0</v>
      </c>
      <c r="Q10" s="29">
        <f>IF(D10="","",IF(AND(B10&lt;TODAY(),M10&lt;&gt;"Complete",M10&lt;&gt;"Cancelled"),"Expired - the date has passed",IF(AND(N10&lt;=TODAY(),B10&gt;=TODAY(),P10=0),"Action - start planning this now",IF(AND(O10&gt;=0,O10&lt;=14),"Upcoming - within a fortnight","OK"))))</f>
        <v>0</v>
      </c>
      <c r="R10" s="39" t="s">
        <v>205</v>
      </c>
    </row>
    <row r="11" spans="1:18">
      <c r="A11" s="41">
        <f>IF(D11="","","SEA-"&amp;TEXT(ROW()-4,"000"))</f>
        <v>0</v>
      </c>
      <c r="B11" s="43">
        <v>46287</v>
      </c>
      <c r="C11" s="17">
        <f>IF(B11="","",TEXT(B11,"yyyy-mm"))</f>
        <v>0</v>
      </c>
      <c r="D11" s="15" t="s">
        <v>1657</v>
      </c>
      <c r="E11" s="15" t="s">
        <v>500</v>
      </c>
      <c r="F11" s="39" t="s">
        <v>1658</v>
      </c>
      <c r="G11" s="15" t="s">
        <v>881</v>
      </c>
      <c r="H11" s="15" t="s">
        <v>205</v>
      </c>
      <c r="I11" s="15" t="s">
        <v>1647</v>
      </c>
      <c r="J11" s="34">
        <v>7</v>
      </c>
      <c r="K11" s="15" t="s">
        <v>1350</v>
      </c>
      <c r="L11" s="36">
        <v>0</v>
      </c>
      <c r="M11" s="48" t="s">
        <v>252</v>
      </c>
      <c r="N11" s="16">
        <f>IF(B11="","",B11-N(J11))</f>
        <v>0</v>
      </c>
      <c r="O11" s="23">
        <f>IF(B11="","",B11-TODAY())</f>
        <v>0</v>
      </c>
      <c r="P11" s="23">
        <f>IF(B11="","",COUNTIFS('Content Calendar'!$B$5:$B$604,"&gt;="&amp;N11,'Content Calendar'!$B$5:$B$604,"&lt;="&amp;B11))</f>
        <v>0</v>
      </c>
      <c r="Q11" s="29">
        <f>IF(D11="","",IF(AND(B11&lt;TODAY(),M11&lt;&gt;"Complete",M11&lt;&gt;"Cancelled"),"Expired - the date has passed",IF(AND(N11&lt;=TODAY(),B11&gt;=TODAY(),P11=0),"Action - start planning this now",IF(AND(O11&gt;=0,O11&lt;=14),"Upcoming - within a fortnight","OK"))))</f>
        <v>0</v>
      </c>
      <c r="R11" s="39" t="s">
        <v>205</v>
      </c>
    </row>
    <row r="12" spans="1:18">
      <c r="A12" s="41">
        <f>IF(D12="","","SEA-"&amp;TEXT(ROW()-4,"000"))</f>
        <v>0</v>
      </c>
      <c r="B12" s="43">
        <v>46326</v>
      </c>
      <c r="C12" s="17">
        <f>IF(B12="","",TEXT(B12,"yyyy-mm"))</f>
        <v>0</v>
      </c>
      <c r="D12" s="15" t="s">
        <v>1659</v>
      </c>
      <c r="E12" s="15" t="s">
        <v>494</v>
      </c>
      <c r="F12" s="39" t="s">
        <v>1660</v>
      </c>
      <c r="G12" s="15" t="s">
        <v>881</v>
      </c>
      <c r="H12" s="15" t="s">
        <v>205</v>
      </c>
      <c r="I12" s="15" t="s">
        <v>1647</v>
      </c>
      <c r="J12" s="34">
        <v>7</v>
      </c>
      <c r="K12" s="15" t="s">
        <v>1350</v>
      </c>
      <c r="L12" s="36">
        <v>0</v>
      </c>
      <c r="M12" s="48" t="s">
        <v>252</v>
      </c>
      <c r="N12" s="16">
        <f>IF(B12="","",B12-N(J12))</f>
        <v>0</v>
      </c>
      <c r="O12" s="23">
        <f>IF(B12="","",B12-TODAY())</f>
        <v>0</v>
      </c>
      <c r="P12" s="23">
        <f>IF(B12="","",COUNTIFS('Content Calendar'!$B$5:$B$604,"&gt;="&amp;N12,'Content Calendar'!$B$5:$B$604,"&lt;="&amp;B12))</f>
        <v>0</v>
      </c>
      <c r="Q12" s="29">
        <f>IF(D12="","",IF(AND(B12&lt;TODAY(),M12&lt;&gt;"Complete",M12&lt;&gt;"Cancelled"),"Expired - the date has passed",IF(AND(N12&lt;=TODAY(),B12&gt;=TODAY(),P12=0),"Action - start planning this now",IF(AND(O12&gt;=0,O12&lt;=14),"Upcoming - within a fortnight","OK"))))</f>
        <v>0</v>
      </c>
      <c r="R12" s="39" t="s">
        <v>205</v>
      </c>
    </row>
    <row r="13" spans="1:18">
      <c r="A13" s="41">
        <f>IF(D13="","","SEA-"&amp;TEXT(ROW()-4,"000"))</f>
        <v>0</v>
      </c>
      <c r="B13" s="43">
        <v>46353</v>
      </c>
      <c r="C13" s="17">
        <f>IF(B13="","",TEXT(B13,"yyyy-mm"))</f>
        <v>0</v>
      </c>
      <c r="D13" s="15" t="s">
        <v>1661</v>
      </c>
      <c r="E13" s="15" t="s">
        <v>497</v>
      </c>
      <c r="F13" s="39" t="s">
        <v>1662</v>
      </c>
      <c r="G13" s="15" t="s">
        <v>888</v>
      </c>
      <c r="H13" s="15" t="s">
        <v>1049</v>
      </c>
      <c r="I13" s="15" t="s">
        <v>1647</v>
      </c>
      <c r="J13" s="34">
        <v>14</v>
      </c>
      <c r="K13" s="15" t="s">
        <v>1378</v>
      </c>
      <c r="L13" s="36">
        <v>250</v>
      </c>
      <c r="M13" s="48" t="s">
        <v>252</v>
      </c>
      <c r="N13" s="16">
        <f>IF(B13="","",B13-N(J13))</f>
        <v>0</v>
      </c>
      <c r="O13" s="23">
        <f>IF(B13="","",B13-TODAY())</f>
        <v>0</v>
      </c>
      <c r="P13" s="23">
        <f>IF(B13="","",COUNTIFS('Content Calendar'!$B$5:$B$604,"&gt;="&amp;N13,'Content Calendar'!$B$5:$B$604,"&lt;="&amp;B13))</f>
        <v>0</v>
      </c>
      <c r="Q13" s="29">
        <f>IF(D13="","",IF(AND(B13&lt;TODAY(),M13&lt;&gt;"Complete",M13&lt;&gt;"Cancelled"),"Expired - the date has passed",IF(AND(N13&lt;=TODAY(),B13&gt;=TODAY(),P13=0),"Action - start planning this now",IF(AND(O13&gt;=0,O13&lt;=14),"Upcoming - within a fortnight","OK"))))</f>
        <v>0</v>
      </c>
      <c r="R13" s="39" t="s">
        <v>205</v>
      </c>
    </row>
    <row r="14" spans="1:18">
      <c r="A14" s="41">
        <f>IF(D14="","","SEA-"&amp;TEXT(ROW()-4,"000"))</f>
        <v>0</v>
      </c>
      <c r="B14" s="43">
        <v>46356</v>
      </c>
      <c r="C14" s="17">
        <f>IF(B14="","",TEXT(B14,"yyyy-mm"))</f>
        <v>0</v>
      </c>
      <c r="D14" s="15" t="s">
        <v>1663</v>
      </c>
      <c r="E14" s="15" t="s">
        <v>497</v>
      </c>
      <c r="F14" s="39" t="s">
        <v>1664</v>
      </c>
      <c r="G14" s="15" t="s">
        <v>888</v>
      </c>
      <c r="H14" s="15" t="s">
        <v>1049</v>
      </c>
      <c r="I14" s="15" t="s">
        <v>1647</v>
      </c>
      <c r="J14" s="34">
        <v>14</v>
      </c>
      <c r="K14" s="15" t="s">
        <v>1378</v>
      </c>
      <c r="L14" s="36">
        <v>250</v>
      </c>
      <c r="M14" s="48" t="s">
        <v>252</v>
      </c>
      <c r="N14" s="16">
        <f>IF(B14="","",B14-N(J14))</f>
        <v>0</v>
      </c>
      <c r="O14" s="23">
        <f>IF(B14="","",B14-TODAY())</f>
        <v>0</v>
      </c>
      <c r="P14" s="23">
        <f>IF(B14="","",COUNTIFS('Content Calendar'!$B$5:$B$604,"&gt;="&amp;N14,'Content Calendar'!$B$5:$B$604,"&lt;="&amp;B14))</f>
        <v>0</v>
      </c>
      <c r="Q14" s="29">
        <f>IF(D14="","",IF(AND(B14&lt;TODAY(),M14&lt;&gt;"Complete",M14&lt;&gt;"Cancelled"),"Expired - the date has passed",IF(AND(N14&lt;=TODAY(),B14&gt;=TODAY(),P14=0),"Action - start planning this now",IF(AND(O14&gt;=0,O14&lt;=14),"Upcoming - within a fortnight","OK"))))</f>
        <v>0</v>
      </c>
      <c r="R14" s="39" t="s">
        <v>205</v>
      </c>
    </row>
    <row r="15" spans="1:18">
      <c r="A15" s="41">
        <f>IF(D15="","","SEA-"&amp;TEXT(ROW()-4,"000"))</f>
        <v>0</v>
      </c>
      <c r="B15" s="43">
        <v>46368</v>
      </c>
      <c r="C15" s="17">
        <f>IF(B15="","",TEXT(B15,"yyyy-mm"))</f>
        <v>0</v>
      </c>
      <c r="D15" s="15" t="s">
        <v>1665</v>
      </c>
      <c r="E15" s="15" t="s">
        <v>496</v>
      </c>
      <c r="F15" s="39" t="s">
        <v>1666</v>
      </c>
      <c r="G15" s="15" t="s">
        <v>881</v>
      </c>
      <c r="H15" s="15" t="s">
        <v>1049</v>
      </c>
      <c r="I15" s="15" t="s">
        <v>1647</v>
      </c>
      <c r="J15" s="34">
        <v>7</v>
      </c>
      <c r="K15" s="15" t="s">
        <v>1378</v>
      </c>
      <c r="L15" s="36">
        <v>0</v>
      </c>
      <c r="M15" s="48" t="s">
        <v>252</v>
      </c>
      <c r="N15" s="16">
        <f>IF(B15="","",B15-N(J15))</f>
        <v>0</v>
      </c>
      <c r="O15" s="23">
        <f>IF(B15="","",B15-TODAY())</f>
        <v>0</v>
      </c>
      <c r="P15" s="23">
        <f>IF(B15="","",COUNTIFS('Content Calendar'!$B$5:$B$604,"&gt;="&amp;N15,'Content Calendar'!$B$5:$B$604,"&lt;="&amp;B15))</f>
        <v>0</v>
      </c>
      <c r="Q15" s="29">
        <f>IF(D15="","",IF(AND(B15&lt;TODAY(),M15&lt;&gt;"Complete",M15&lt;&gt;"Cancelled"),"Expired - the date has passed",IF(AND(N15&lt;=TODAY(),B15&gt;=TODAY(),P15=0),"Action - start planning this now",IF(AND(O15&gt;=0,O15&lt;=14),"Upcoming - within a fortnight","OK"))))</f>
        <v>0</v>
      </c>
      <c r="R15" s="39" t="s">
        <v>205</v>
      </c>
    </row>
    <row r="16" spans="1:18">
      <c r="A16" s="41">
        <f>IF(D16="","","SEA-"&amp;TEXT(ROW()-4,"000"))</f>
        <v>0</v>
      </c>
      <c r="B16" s="43">
        <v>46381</v>
      </c>
      <c r="C16" s="17">
        <f>IF(B16="","",TEXT(B16,"yyyy-mm"))</f>
        <v>0</v>
      </c>
      <c r="D16" s="15" t="s">
        <v>1667</v>
      </c>
      <c r="E16" s="15" t="s">
        <v>494</v>
      </c>
      <c r="F16" s="39" t="s">
        <v>1668</v>
      </c>
      <c r="G16" s="15" t="s">
        <v>881</v>
      </c>
      <c r="H16" s="15" t="s">
        <v>1049</v>
      </c>
      <c r="I16" s="15" t="s">
        <v>1647</v>
      </c>
      <c r="J16" s="34">
        <v>7</v>
      </c>
      <c r="K16" s="15" t="s">
        <v>1378</v>
      </c>
      <c r="L16" s="36">
        <v>0</v>
      </c>
      <c r="M16" s="48" t="s">
        <v>252</v>
      </c>
      <c r="N16" s="16">
        <f>IF(B16="","",B16-N(J16))</f>
        <v>0</v>
      </c>
      <c r="O16" s="23">
        <f>IF(B16="","",B16-TODAY())</f>
        <v>0</v>
      </c>
      <c r="P16" s="23">
        <f>IF(B16="","",COUNTIFS('Content Calendar'!$B$5:$B$604,"&gt;="&amp;N16,'Content Calendar'!$B$5:$B$604,"&lt;="&amp;B16))</f>
        <v>0</v>
      </c>
      <c r="Q16" s="29">
        <f>IF(D16="","",IF(AND(B16&lt;TODAY(),M16&lt;&gt;"Complete",M16&lt;&gt;"Cancelled"),"Expired - the date has passed",IF(AND(N16&lt;=TODAY(),B16&gt;=TODAY(),P16=0),"Action - start planning this now",IF(AND(O16&gt;=0,O16&lt;=14),"Upcoming - within a fortnight","OK"))))</f>
        <v>0</v>
      </c>
      <c r="R16" s="39" t="s">
        <v>205</v>
      </c>
    </row>
    <row r="17" spans="1:17">
      <c r="A17" s="41">
        <f>IF(D17="","","SEA-"&amp;TEXT(ROW()-4,"000"))</f>
        <v>0</v>
      </c>
      <c r="C17" s="17">
        <f>IF(B17="","",TEXT(B17,"yyyy-mm"))</f>
        <v>0</v>
      </c>
      <c r="N17" s="16">
        <f>IF(B17="","",B17-N(J17))</f>
        <v>0</v>
      </c>
      <c r="O17" s="23">
        <f>IF(B17="","",B17-TODAY())</f>
        <v>0</v>
      </c>
      <c r="P17" s="23">
        <f>IF(B17="","",COUNTIFS('Content Calendar'!$B$5:$B$604,"&gt;="&amp;N17,'Content Calendar'!$B$5:$B$604,"&lt;="&amp;B17))</f>
        <v>0</v>
      </c>
      <c r="Q17" s="29">
        <f>IF(D17="","",IF(AND(B17&lt;TODAY(),M17&lt;&gt;"Complete",M17&lt;&gt;"Cancelled"),"Expired - the date has passed",IF(AND(N17&lt;=TODAY(),B17&gt;=TODAY(),P17=0),"Action - start planning this now",IF(AND(O17&gt;=0,O17&lt;=14),"Upcoming - within a fortnight","OK"))))</f>
        <v>0</v>
      </c>
    </row>
    <row r="18" spans="1:17">
      <c r="A18" s="41">
        <f>IF(D18="","","SEA-"&amp;TEXT(ROW()-4,"000"))</f>
        <v>0</v>
      </c>
      <c r="C18" s="17">
        <f>IF(B18="","",TEXT(B18,"yyyy-mm"))</f>
        <v>0</v>
      </c>
      <c r="N18" s="16">
        <f>IF(B18="","",B18-N(J18))</f>
        <v>0</v>
      </c>
      <c r="O18" s="23">
        <f>IF(B18="","",B18-TODAY())</f>
        <v>0</v>
      </c>
      <c r="P18" s="23">
        <f>IF(B18="","",COUNTIFS('Content Calendar'!$B$5:$B$604,"&gt;="&amp;N18,'Content Calendar'!$B$5:$B$604,"&lt;="&amp;B18))</f>
        <v>0</v>
      </c>
      <c r="Q18" s="29">
        <f>IF(D18="","",IF(AND(B18&lt;TODAY(),M18&lt;&gt;"Complete",M18&lt;&gt;"Cancelled"),"Expired - the date has passed",IF(AND(N18&lt;=TODAY(),B18&gt;=TODAY(),P18=0),"Action - start planning this now",IF(AND(O18&gt;=0,O18&lt;=14),"Upcoming - within a fortnight","OK"))))</f>
        <v>0</v>
      </c>
    </row>
    <row r="19" spans="1:17">
      <c r="A19" s="41">
        <f>IF(D19="","","SEA-"&amp;TEXT(ROW()-4,"000"))</f>
        <v>0</v>
      </c>
      <c r="C19" s="17">
        <f>IF(B19="","",TEXT(B19,"yyyy-mm"))</f>
        <v>0</v>
      </c>
      <c r="N19" s="16">
        <f>IF(B19="","",B19-N(J19))</f>
        <v>0</v>
      </c>
      <c r="O19" s="23">
        <f>IF(B19="","",B19-TODAY())</f>
        <v>0</v>
      </c>
      <c r="P19" s="23">
        <f>IF(B19="","",COUNTIFS('Content Calendar'!$B$5:$B$604,"&gt;="&amp;N19,'Content Calendar'!$B$5:$B$604,"&lt;="&amp;B19))</f>
        <v>0</v>
      </c>
      <c r="Q19" s="29">
        <f>IF(D19="","",IF(AND(B19&lt;TODAY(),M19&lt;&gt;"Complete",M19&lt;&gt;"Cancelled"),"Expired - the date has passed",IF(AND(N19&lt;=TODAY(),B19&gt;=TODAY(),P19=0),"Action - start planning this now",IF(AND(O19&gt;=0,O19&lt;=14),"Upcoming - within a fortnight","OK"))))</f>
        <v>0</v>
      </c>
    </row>
    <row r="20" spans="1:17">
      <c r="A20" s="41">
        <f>IF(D20="","","SEA-"&amp;TEXT(ROW()-4,"000"))</f>
        <v>0</v>
      </c>
      <c r="C20" s="17">
        <f>IF(B20="","",TEXT(B20,"yyyy-mm"))</f>
        <v>0</v>
      </c>
      <c r="N20" s="16">
        <f>IF(B20="","",B20-N(J20))</f>
        <v>0</v>
      </c>
      <c r="O20" s="23">
        <f>IF(B20="","",B20-TODAY())</f>
        <v>0</v>
      </c>
      <c r="P20" s="23">
        <f>IF(B20="","",COUNTIFS('Content Calendar'!$B$5:$B$604,"&gt;="&amp;N20,'Content Calendar'!$B$5:$B$604,"&lt;="&amp;B20))</f>
        <v>0</v>
      </c>
      <c r="Q20" s="29">
        <f>IF(D20="","",IF(AND(B20&lt;TODAY(),M20&lt;&gt;"Complete",M20&lt;&gt;"Cancelled"),"Expired - the date has passed",IF(AND(N20&lt;=TODAY(),B20&gt;=TODAY(),P20=0),"Action - start planning this now",IF(AND(O20&gt;=0,O20&lt;=14),"Upcoming - within a fortnight","OK"))))</f>
        <v>0</v>
      </c>
    </row>
    <row r="21" spans="1:17">
      <c r="A21" s="41">
        <f>IF(D21="","","SEA-"&amp;TEXT(ROW()-4,"000"))</f>
        <v>0</v>
      </c>
      <c r="C21" s="17">
        <f>IF(B21="","",TEXT(B21,"yyyy-mm"))</f>
        <v>0</v>
      </c>
      <c r="N21" s="16">
        <f>IF(B21="","",B21-N(J21))</f>
        <v>0</v>
      </c>
      <c r="O21" s="23">
        <f>IF(B21="","",B21-TODAY())</f>
        <v>0</v>
      </c>
      <c r="P21" s="23">
        <f>IF(B21="","",COUNTIFS('Content Calendar'!$B$5:$B$604,"&gt;="&amp;N21,'Content Calendar'!$B$5:$B$604,"&lt;="&amp;B21))</f>
        <v>0</v>
      </c>
      <c r="Q21" s="29">
        <f>IF(D21="","",IF(AND(B21&lt;TODAY(),M21&lt;&gt;"Complete",M21&lt;&gt;"Cancelled"),"Expired - the date has passed",IF(AND(N21&lt;=TODAY(),B21&gt;=TODAY(),P21=0),"Action - start planning this now",IF(AND(O21&gt;=0,O21&lt;=14),"Upcoming - within a fortnight","OK"))))</f>
        <v>0</v>
      </c>
    </row>
    <row r="22" spans="1:17">
      <c r="A22" s="41">
        <f>IF(D22="","","SEA-"&amp;TEXT(ROW()-4,"000"))</f>
        <v>0</v>
      </c>
      <c r="C22" s="17">
        <f>IF(B22="","",TEXT(B22,"yyyy-mm"))</f>
        <v>0</v>
      </c>
      <c r="N22" s="16">
        <f>IF(B22="","",B22-N(J22))</f>
        <v>0</v>
      </c>
      <c r="O22" s="23">
        <f>IF(B22="","",B22-TODAY())</f>
        <v>0</v>
      </c>
      <c r="P22" s="23">
        <f>IF(B22="","",COUNTIFS('Content Calendar'!$B$5:$B$604,"&gt;="&amp;N22,'Content Calendar'!$B$5:$B$604,"&lt;="&amp;B22))</f>
        <v>0</v>
      </c>
      <c r="Q22" s="29">
        <f>IF(D22="","",IF(AND(B22&lt;TODAY(),M22&lt;&gt;"Complete",M22&lt;&gt;"Cancelled"),"Expired - the date has passed",IF(AND(N22&lt;=TODAY(),B22&gt;=TODAY(),P22=0),"Action - start planning this now",IF(AND(O22&gt;=0,O22&lt;=14),"Upcoming - within a fortnight","OK"))))</f>
        <v>0</v>
      </c>
    </row>
    <row r="23" spans="1:17">
      <c r="A23" s="41">
        <f>IF(D23="","","SEA-"&amp;TEXT(ROW()-4,"000"))</f>
        <v>0</v>
      </c>
      <c r="C23" s="17">
        <f>IF(B23="","",TEXT(B23,"yyyy-mm"))</f>
        <v>0</v>
      </c>
      <c r="N23" s="16">
        <f>IF(B23="","",B23-N(J23))</f>
        <v>0</v>
      </c>
      <c r="O23" s="23">
        <f>IF(B23="","",B23-TODAY())</f>
        <v>0</v>
      </c>
      <c r="P23" s="23">
        <f>IF(B23="","",COUNTIFS('Content Calendar'!$B$5:$B$604,"&gt;="&amp;N23,'Content Calendar'!$B$5:$B$604,"&lt;="&amp;B23))</f>
        <v>0</v>
      </c>
      <c r="Q23" s="29">
        <f>IF(D23="","",IF(AND(B23&lt;TODAY(),M23&lt;&gt;"Complete",M23&lt;&gt;"Cancelled"),"Expired - the date has passed",IF(AND(N23&lt;=TODAY(),B23&gt;=TODAY(),P23=0),"Action - start planning this now",IF(AND(O23&gt;=0,O23&lt;=14),"Upcoming - within a fortnight","OK"))))</f>
        <v>0</v>
      </c>
    </row>
    <row r="24" spans="1:17">
      <c r="A24" s="41">
        <f>IF(D24="","","SEA-"&amp;TEXT(ROW()-4,"000"))</f>
        <v>0</v>
      </c>
      <c r="C24" s="17">
        <f>IF(B24="","",TEXT(B24,"yyyy-mm"))</f>
        <v>0</v>
      </c>
      <c r="N24" s="16">
        <f>IF(B24="","",B24-N(J24))</f>
        <v>0</v>
      </c>
      <c r="O24" s="23">
        <f>IF(B24="","",B24-TODAY())</f>
        <v>0</v>
      </c>
      <c r="P24" s="23">
        <f>IF(B24="","",COUNTIFS('Content Calendar'!$B$5:$B$604,"&gt;="&amp;N24,'Content Calendar'!$B$5:$B$604,"&lt;="&amp;B24))</f>
        <v>0</v>
      </c>
      <c r="Q24" s="29">
        <f>IF(D24="","",IF(AND(B24&lt;TODAY(),M24&lt;&gt;"Complete",M24&lt;&gt;"Cancelled"),"Expired - the date has passed",IF(AND(N24&lt;=TODAY(),B24&gt;=TODAY(),P24=0),"Action - start planning this now",IF(AND(O24&gt;=0,O24&lt;=14),"Upcoming - within a fortnight","OK"))))</f>
        <v>0</v>
      </c>
    </row>
    <row r="25" spans="1:17">
      <c r="A25" s="41">
        <f>IF(D25="","","SEA-"&amp;TEXT(ROW()-4,"000"))</f>
        <v>0</v>
      </c>
      <c r="C25" s="17">
        <f>IF(B25="","",TEXT(B25,"yyyy-mm"))</f>
        <v>0</v>
      </c>
      <c r="N25" s="16">
        <f>IF(B25="","",B25-N(J25))</f>
        <v>0</v>
      </c>
      <c r="O25" s="23">
        <f>IF(B25="","",B25-TODAY())</f>
        <v>0</v>
      </c>
      <c r="P25" s="23">
        <f>IF(B25="","",COUNTIFS('Content Calendar'!$B$5:$B$604,"&gt;="&amp;N25,'Content Calendar'!$B$5:$B$604,"&lt;="&amp;B25))</f>
        <v>0</v>
      </c>
      <c r="Q25" s="29">
        <f>IF(D25="","",IF(AND(B25&lt;TODAY(),M25&lt;&gt;"Complete",M25&lt;&gt;"Cancelled"),"Expired - the date has passed",IF(AND(N25&lt;=TODAY(),B25&gt;=TODAY(),P25=0),"Action - start planning this now",IF(AND(O25&gt;=0,O25&lt;=14),"Upcoming - within a fortnight","OK"))))</f>
        <v>0</v>
      </c>
    </row>
    <row r="26" spans="1:17">
      <c r="A26" s="41">
        <f>IF(D26="","","SEA-"&amp;TEXT(ROW()-4,"000"))</f>
        <v>0</v>
      </c>
      <c r="C26" s="17">
        <f>IF(B26="","",TEXT(B26,"yyyy-mm"))</f>
        <v>0</v>
      </c>
      <c r="N26" s="16">
        <f>IF(B26="","",B26-N(J26))</f>
        <v>0</v>
      </c>
      <c r="O26" s="23">
        <f>IF(B26="","",B26-TODAY())</f>
        <v>0</v>
      </c>
      <c r="P26" s="23">
        <f>IF(B26="","",COUNTIFS('Content Calendar'!$B$5:$B$604,"&gt;="&amp;N26,'Content Calendar'!$B$5:$B$604,"&lt;="&amp;B26))</f>
        <v>0</v>
      </c>
      <c r="Q26" s="29">
        <f>IF(D26="","",IF(AND(B26&lt;TODAY(),M26&lt;&gt;"Complete",M26&lt;&gt;"Cancelled"),"Expired - the date has passed",IF(AND(N26&lt;=TODAY(),B26&gt;=TODAY(),P26=0),"Action - start planning this now",IF(AND(O26&gt;=0,O26&lt;=14),"Upcoming - within a fortnight","OK"))))</f>
        <v>0</v>
      </c>
    </row>
    <row r="27" spans="1:17">
      <c r="A27" s="41">
        <f>IF(D27="","","SEA-"&amp;TEXT(ROW()-4,"000"))</f>
        <v>0</v>
      </c>
      <c r="C27" s="17">
        <f>IF(B27="","",TEXT(B27,"yyyy-mm"))</f>
        <v>0</v>
      </c>
      <c r="N27" s="16">
        <f>IF(B27="","",B27-N(J27))</f>
        <v>0</v>
      </c>
      <c r="O27" s="23">
        <f>IF(B27="","",B27-TODAY())</f>
        <v>0</v>
      </c>
      <c r="P27" s="23">
        <f>IF(B27="","",COUNTIFS('Content Calendar'!$B$5:$B$604,"&gt;="&amp;N27,'Content Calendar'!$B$5:$B$604,"&lt;="&amp;B27))</f>
        <v>0</v>
      </c>
      <c r="Q27" s="29">
        <f>IF(D27="","",IF(AND(B27&lt;TODAY(),M27&lt;&gt;"Complete",M27&lt;&gt;"Cancelled"),"Expired - the date has passed",IF(AND(N27&lt;=TODAY(),B27&gt;=TODAY(),P27=0),"Action - start planning this now",IF(AND(O27&gt;=0,O27&lt;=14),"Upcoming - within a fortnight","OK"))))</f>
        <v>0</v>
      </c>
    </row>
    <row r="28" spans="1:17">
      <c r="A28" s="41">
        <f>IF(D28="","","SEA-"&amp;TEXT(ROW()-4,"000"))</f>
        <v>0</v>
      </c>
      <c r="C28" s="17">
        <f>IF(B28="","",TEXT(B28,"yyyy-mm"))</f>
        <v>0</v>
      </c>
      <c r="N28" s="16">
        <f>IF(B28="","",B28-N(J28))</f>
        <v>0</v>
      </c>
      <c r="O28" s="23">
        <f>IF(B28="","",B28-TODAY())</f>
        <v>0</v>
      </c>
      <c r="P28" s="23">
        <f>IF(B28="","",COUNTIFS('Content Calendar'!$B$5:$B$604,"&gt;="&amp;N28,'Content Calendar'!$B$5:$B$604,"&lt;="&amp;B28))</f>
        <v>0</v>
      </c>
      <c r="Q28" s="29">
        <f>IF(D28="","",IF(AND(B28&lt;TODAY(),M28&lt;&gt;"Complete",M28&lt;&gt;"Cancelled"),"Expired - the date has passed",IF(AND(N28&lt;=TODAY(),B28&gt;=TODAY(),P28=0),"Action - start planning this now",IF(AND(O28&gt;=0,O28&lt;=14),"Upcoming - within a fortnight","OK"))))</f>
        <v>0</v>
      </c>
    </row>
    <row r="29" spans="1:17">
      <c r="A29" s="41">
        <f>IF(D29="","","SEA-"&amp;TEXT(ROW()-4,"000"))</f>
        <v>0</v>
      </c>
      <c r="C29" s="17">
        <f>IF(B29="","",TEXT(B29,"yyyy-mm"))</f>
        <v>0</v>
      </c>
      <c r="N29" s="16">
        <f>IF(B29="","",B29-N(J29))</f>
        <v>0</v>
      </c>
      <c r="O29" s="23">
        <f>IF(B29="","",B29-TODAY())</f>
        <v>0</v>
      </c>
      <c r="P29" s="23">
        <f>IF(B29="","",COUNTIFS('Content Calendar'!$B$5:$B$604,"&gt;="&amp;N29,'Content Calendar'!$B$5:$B$604,"&lt;="&amp;B29))</f>
        <v>0</v>
      </c>
      <c r="Q29" s="29">
        <f>IF(D29="","",IF(AND(B29&lt;TODAY(),M29&lt;&gt;"Complete",M29&lt;&gt;"Cancelled"),"Expired - the date has passed",IF(AND(N29&lt;=TODAY(),B29&gt;=TODAY(),P29=0),"Action - start planning this now",IF(AND(O29&gt;=0,O29&lt;=14),"Upcoming - within a fortnight","OK"))))</f>
        <v>0</v>
      </c>
    </row>
    <row r="30" spans="1:17">
      <c r="A30" s="41">
        <f>IF(D30="","","SEA-"&amp;TEXT(ROW()-4,"000"))</f>
        <v>0</v>
      </c>
      <c r="C30" s="17">
        <f>IF(B30="","",TEXT(B30,"yyyy-mm"))</f>
        <v>0</v>
      </c>
      <c r="N30" s="16">
        <f>IF(B30="","",B30-N(J30))</f>
        <v>0</v>
      </c>
      <c r="O30" s="23">
        <f>IF(B30="","",B30-TODAY())</f>
        <v>0</v>
      </c>
      <c r="P30" s="23">
        <f>IF(B30="","",COUNTIFS('Content Calendar'!$B$5:$B$604,"&gt;="&amp;N30,'Content Calendar'!$B$5:$B$604,"&lt;="&amp;B30))</f>
        <v>0</v>
      </c>
      <c r="Q30" s="29">
        <f>IF(D30="","",IF(AND(B30&lt;TODAY(),M30&lt;&gt;"Complete",M30&lt;&gt;"Cancelled"),"Expired - the date has passed",IF(AND(N30&lt;=TODAY(),B30&gt;=TODAY(),P30=0),"Action - start planning this now",IF(AND(O30&gt;=0,O30&lt;=14),"Upcoming - within a fortnight","OK"))))</f>
        <v>0</v>
      </c>
    </row>
    <row r="31" spans="1:17">
      <c r="A31" s="41">
        <f>IF(D31="","","SEA-"&amp;TEXT(ROW()-4,"000"))</f>
        <v>0</v>
      </c>
      <c r="C31" s="17">
        <f>IF(B31="","",TEXT(B31,"yyyy-mm"))</f>
        <v>0</v>
      </c>
      <c r="N31" s="16">
        <f>IF(B31="","",B31-N(J31))</f>
        <v>0</v>
      </c>
      <c r="O31" s="23">
        <f>IF(B31="","",B31-TODAY())</f>
        <v>0</v>
      </c>
      <c r="P31" s="23">
        <f>IF(B31="","",COUNTIFS('Content Calendar'!$B$5:$B$604,"&gt;="&amp;N31,'Content Calendar'!$B$5:$B$604,"&lt;="&amp;B31))</f>
        <v>0</v>
      </c>
      <c r="Q31" s="29">
        <f>IF(D31="","",IF(AND(B31&lt;TODAY(),M31&lt;&gt;"Complete",M31&lt;&gt;"Cancelled"),"Expired - the date has passed",IF(AND(N31&lt;=TODAY(),B31&gt;=TODAY(),P31=0),"Action - start planning this now",IF(AND(O31&gt;=0,O31&lt;=14),"Upcoming - within a fortnight","OK"))))</f>
        <v>0</v>
      </c>
    </row>
    <row r="32" spans="1:17">
      <c r="A32" s="41">
        <f>IF(D32="","","SEA-"&amp;TEXT(ROW()-4,"000"))</f>
        <v>0</v>
      </c>
      <c r="C32" s="17">
        <f>IF(B32="","",TEXT(B32,"yyyy-mm"))</f>
        <v>0</v>
      </c>
      <c r="N32" s="16">
        <f>IF(B32="","",B32-N(J32))</f>
        <v>0</v>
      </c>
      <c r="O32" s="23">
        <f>IF(B32="","",B32-TODAY())</f>
        <v>0</v>
      </c>
      <c r="P32" s="23">
        <f>IF(B32="","",COUNTIFS('Content Calendar'!$B$5:$B$604,"&gt;="&amp;N32,'Content Calendar'!$B$5:$B$604,"&lt;="&amp;B32))</f>
        <v>0</v>
      </c>
      <c r="Q32" s="29">
        <f>IF(D32="","",IF(AND(B32&lt;TODAY(),M32&lt;&gt;"Complete",M32&lt;&gt;"Cancelled"),"Expired - the date has passed",IF(AND(N32&lt;=TODAY(),B32&gt;=TODAY(),P32=0),"Action - start planning this now",IF(AND(O32&gt;=0,O32&lt;=14),"Upcoming - within a fortnight","OK"))))</f>
        <v>0</v>
      </c>
    </row>
    <row r="33" spans="1:17">
      <c r="A33" s="41">
        <f>IF(D33="","","SEA-"&amp;TEXT(ROW()-4,"000"))</f>
        <v>0</v>
      </c>
      <c r="C33" s="17">
        <f>IF(B33="","",TEXT(B33,"yyyy-mm"))</f>
        <v>0</v>
      </c>
      <c r="N33" s="16">
        <f>IF(B33="","",B33-N(J33))</f>
        <v>0</v>
      </c>
      <c r="O33" s="23">
        <f>IF(B33="","",B33-TODAY())</f>
        <v>0</v>
      </c>
      <c r="P33" s="23">
        <f>IF(B33="","",COUNTIFS('Content Calendar'!$B$5:$B$604,"&gt;="&amp;N33,'Content Calendar'!$B$5:$B$604,"&lt;="&amp;B33))</f>
        <v>0</v>
      </c>
      <c r="Q33" s="29">
        <f>IF(D33="","",IF(AND(B33&lt;TODAY(),M33&lt;&gt;"Complete",M33&lt;&gt;"Cancelled"),"Expired - the date has passed",IF(AND(N33&lt;=TODAY(),B33&gt;=TODAY(),P33=0),"Action - start planning this now",IF(AND(O33&gt;=0,O33&lt;=14),"Upcoming - within a fortnight","OK"))))</f>
        <v>0</v>
      </c>
    </row>
    <row r="34" spans="1:17">
      <c r="A34" s="41">
        <f>IF(D34="","","SEA-"&amp;TEXT(ROW()-4,"000"))</f>
        <v>0</v>
      </c>
      <c r="C34" s="17">
        <f>IF(B34="","",TEXT(B34,"yyyy-mm"))</f>
        <v>0</v>
      </c>
      <c r="N34" s="16">
        <f>IF(B34="","",B34-N(J34))</f>
        <v>0</v>
      </c>
      <c r="O34" s="23">
        <f>IF(B34="","",B34-TODAY())</f>
        <v>0</v>
      </c>
      <c r="P34" s="23">
        <f>IF(B34="","",COUNTIFS('Content Calendar'!$B$5:$B$604,"&gt;="&amp;N34,'Content Calendar'!$B$5:$B$604,"&lt;="&amp;B34))</f>
        <v>0</v>
      </c>
      <c r="Q34" s="29">
        <f>IF(D34="","",IF(AND(B34&lt;TODAY(),M34&lt;&gt;"Complete",M34&lt;&gt;"Cancelled"),"Expired - the date has passed",IF(AND(N34&lt;=TODAY(),B34&gt;=TODAY(),P34=0),"Action - start planning this now",IF(AND(O34&gt;=0,O34&lt;=14),"Upcoming - within a fortnight","OK"))))</f>
        <v>0</v>
      </c>
    </row>
    <row r="35" spans="1:17">
      <c r="A35" s="41">
        <f>IF(D35="","","SEA-"&amp;TEXT(ROW()-4,"000"))</f>
        <v>0</v>
      </c>
      <c r="C35" s="17">
        <f>IF(B35="","",TEXT(B35,"yyyy-mm"))</f>
        <v>0</v>
      </c>
      <c r="N35" s="16">
        <f>IF(B35="","",B35-N(J35))</f>
        <v>0</v>
      </c>
      <c r="O35" s="23">
        <f>IF(B35="","",B35-TODAY())</f>
        <v>0</v>
      </c>
      <c r="P35" s="23">
        <f>IF(B35="","",COUNTIFS('Content Calendar'!$B$5:$B$604,"&gt;="&amp;N35,'Content Calendar'!$B$5:$B$604,"&lt;="&amp;B35))</f>
        <v>0</v>
      </c>
      <c r="Q35" s="29">
        <f>IF(D35="","",IF(AND(B35&lt;TODAY(),M35&lt;&gt;"Complete",M35&lt;&gt;"Cancelled"),"Expired - the date has passed",IF(AND(N35&lt;=TODAY(),B35&gt;=TODAY(),P35=0),"Action - start planning this now",IF(AND(O35&gt;=0,O35&lt;=14),"Upcoming - within a fortnight","OK"))))</f>
        <v>0</v>
      </c>
    </row>
    <row r="36" spans="1:17">
      <c r="A36" s="41">
        <f>IF(D36="","","SEA-"&amp;TEXT(ROW()-4,"000"))</f>
        <v>0</v>
      </c>
      <c r="C36" s="17">
        <f>IF(B36="","",TEXT(B36,"yyyy-mm"))</f>
        <v>0</v>
      </c>
      <c r="N36" s="16">
        <f>IF(B36="","",B36-N(J36))</f>
        <v>0</v>
      </c>
      <c r="O36" s="23">
        <f>IF(B36="","",B36-TODAY())</f>
        <v>0</v>
      </c>
      <c r="P36" s="23">
        <f>IF(B36="","",COUNTIFS('Content Calendar'!$B$5:$B$604,"&gt;="&amp;N36,'Content Calendar'!$B$5:$B$604,"&lt;="&amp;B36))</f>
        <v>0</v>
      </c>
      <c r="Q36" s="29">
        <f>IF(D36="","",IF(AND(B36&lt;TODAY(),M36&lt;&gt;"Complete",M36&lt;&gt;"Cancelled"),"Expired - the date has passed",IF(AND(N36&lt;=TODAY(),B36&gt;=TODAY(),P36=0),"Action - start planning this now",IF(AND(O36&gt;=0,O36&lt;=14),"Upcoming - within a fortnight","OK"))))</f>
        <v>0</v>
      </c>
    </row>
    <row r="37" spans="1:17">
      <c r="A37" s="41">
        <f>IF(D37="","","SEA-"&amp;TEXT(ROW()-4,"000"))</f>
        <v>0</v>
      </c>
      <c r="C37" s="17">
        <f>IF(B37="","",TEXT(B37,"yyyy-mm"))</f>
        <v>0</v>
      </c>
      <c r="N37" s="16">
        <f>IF(B37="","",B37-N(J37))</f>
        <v>0</v>
      </c>
      <c r="O37" s="23">
        <f>IF(B37="","",B37-TODAY())</f>
        <v>0</v>
      </c>
      <c r="P37" s="23">
        <f>IF(B37="","",COUNTIFS('Content Calendar'!$B$5:$B$604,"&gt;="&amp;N37,'Content Calendar'!$B$5:$B$604,"&lt;="&amp;B37))</f>
        <v>0</v>
      </c>
      <c r="Q37" s="29">
        <f>IF(D37="","",IF(AND(B37&lt;TODAY(),M37&lt;&gt;"Complete",M37&lt;&gt;"Cancelled"),"Expired - the date has passed",IF(AND(N37&lt;=TODAY(),B37&gt;=TODAY(),P37=0),"Action - start planning this now",IF(AND(O37&gt;=0,O37&lt;=14),"Upcoming - within a fortnight","OK"))))</f>
        <v>0</v>
      </c>
    </row>
    <row r="38" spans="1:17">
      <c r="A38" s="41">
        <f>IF(D38="","","SEA-"&amp;TEXT(ROW()-4,"000"))</f>
        <v>0</v>
      </c>
      <c r="C38" s="17">
        <f>IF(B38="","",TEXT(B38,"yyyy-mm"))</f>
        <v>0</v>
      </c>
      <c r="N38" s="16">
        <f>IF(B38="","",B38-N(J38))</f>
        <v>0</v>
      </c>
      <c r="O38" s="23">
        <f>IF(B38="","",B38-TODAY())</f>
        <v>0</v>
      </c>
      <c r="P38" s="23">
        <f>IF(B38="","",COUNTIFS('Content Calendar'!$B$5:$B$604,"&gt;="&amp;N38,'Content Calendar'!$B$5:$B$604,"&lt;="&amp;B38))</f>
        <v>0</v>
      </c>
      <c r="Q38" s="29">
        <f>IF(D38="","",IF(AND(B38&lt;TODAY(),M38&lt;&gt;"Complete",M38&lt;&gt;"Cancelled"),"Expired - the date has passed",IF(AND(N38&lt;=TODAY(),B38&gt;=TODAY(),P38=0),"Action - start planning this now",IF(AND(O38&gt;=0,O38&lt;=14),"Upcoming - within a fortnight","OK"))))</f>
        <v>0</v>
      </c>
    </row>
    <row r="39" spans="1:17">
      <c r="A39" s="41">
        <f>IF(D39="","","SEA-"&amp;TEXT(ROW()-4,"000"))</f>
        <v>0</v>
      </c>
      <c r="C39" s="17">
        <f>IF(B39="","",TEXT(B39,"yyyy-mm"))</f>
        <v>0</v>
      </c>
      <c r="N39" s="16">
        <f>IF(B39="","",B39-N(J39))</f>
        <v>0</v>
      </c>
      <c r="O39" s="23">
        <f>IF(B39="","",B39-TODAY())</f>
        <v>0</v>
      </c>
      <c r="P39" s="23">
        <f>IF(B39="","",COUNTIFS('Content Calendar'!$B$5:$B$604,"&gt;="&amp;N39,'Content Calendar'!$B$5:$B$604,"&lt;="&amp;B39))</f>
        <v>0</v>
      </c>
      <c r="Q39" s="29">
        <f>IF(D39="","",IF(AND(B39&lt;TODAY(),M39&lt;&gt;"Complete",M39&lt;&gt;"Cancelled"),"Expired - the date has passed",IF(AND(N39&lt;=TODAY(),B39&gt;=TODAY(),P39=0),"Action - start planning this now",IF(AND(O39&gt;=0,O39&lt;=14),"Upcoming - within a fortnight","OK"))))</f>
        <v>0</v>
      </c>
    </row>
    <row r="40" spans="1:17">
      <c r="A40" s="41">
        <f>IF(D40="","","SEA-"&amp;TEXT(ROW()-4,"000"))</f>
        <v>0</v>
      </c>
      <c r="C40" s="17">
        <f>IF(B40="","",TEXT(B40,"yyyy-mm"))</f>
        <v>0</v>
      </c>
      <c r="N40" s="16">
        <f>IF(B40="","",B40-N(J40))</f>
        <v>0</v>
      </c>
      <c r="O40" s="23">
        <f>IF(B40="","",B40-TODAY())</f>
        <v>0</v>
      </c>
      <c r="P40" s="23">
        <f>IF(B40="","",COUNTIFS('Content Calendar'!$B$5:$B$604,"&gt;="&amp;N40,'Content Calendar'!$B$5:$B$604,"&lt;="&amp;B40))</f>
        <v>0</v>
      </c>
      <c r="Q40" s="29">
        <f>IF(D40="","",IF(AND(B40&lt;TODAY(),M40&lt;&gt;"Complete",M40&lt;&gt;"Cancelled"),"Expired - the date has passed",IF(AND(N40&lt;=TODAY(),B40&gt;=TODAY(),P40=0),"Action - start planning this now",IF(AND(O40&gt;=0,O40&lt;=14),"Upcoming - within a fortnight","OK"))))</f>
        <v>0</v>
      </c>
    </row>
    <row r="41" spans="1:17">
      <c r="A41" s="41">
        <f>IF(D41="","","SEA-"&amp;TEXT(ROW()-4,"000"))</f>
        <v>0</v>
      </c>
      <c r="C41" s="17">
        <f>IF(B41="","",TEXT(B41,"yyyy-mm"))</f>
        <v>0</v>
      </c>
      <c r="N41" s="16">
        <f>IF(B41="","",B41-N(J41))</f>
        <v>0</v>
      </c>
      <c r="O41" s="23">
        <f>IF(B41="","",B41-TODAY())</f>
        <v>0</v>
      </c>
      <c r="P41" s="23">
        <f>IF(B41="","",COUNTIFS('Content Calendar'!$B$5:$B$604,"&gt;="&amp;N41,'Content Calendar'!$B$5:$B$604,"&lt;="&amp;B41))</f>
        <v>0</v>
      </c>
      <c r="Q41" s="29">
        <f>IF(D41="","",IF(AND(B41&lt;TODAY(),M41&lt;&gt;"Complete",M41&lt;&gt;"Cancelled"),"Expired - the date has passed",IF(AND(N41&lt;=TODAY(),B41&gt;=TODAY(),P41=0),"Action - start planning this now",IF(AND(O41&gt;=0,O41&lt;=14),"Upcoming - within a fortnight","OK"))))</f>
        <v>0</v>
      </c>
    </row>
    <row r="42" spans="1:17">
      <c r="A42" s="41">
        <f>IF(D42="","","SEA-"&amp;TEXT(ROW()-4,"000"))</f>
        <v>0</v>
      </c>
      <c r="C42" s="17">
        <f>IF(B42="","",TEXT(B42,"yyyy-mm"))</f>
        <v>0</v>
      </c>
      <c r="N42" s="16">
        <f>IF(B42="","",B42-N(J42))</f>
        <v>0</v>
      </c>
      <c r="O42" s="23">
        <f>IF(B42="","",B42-TODAY())</f>
        <v>0</v>
      </c>
      <c r="P42" s="23">
        <f>IF(B42="","",COUNTIFS('Content Calendar'!$B$5:$B$604,"&gt;="&amp;N42,'Content Calendar'!$B$5:$B$604,"&lt;="&amp;B42))</f>
        <v>0</v>
      </c>
      <c r="Q42" s="29">
        <f>IF(D42="","",IF(AND(B42&lt;TODAY(),M42&lt;&gt;"Complete",M42&lt;&gt;"Cancelled"),"Expired - the date has passed",IF(AND(N42&lt;=TODAY(),B42&gt;=TODAY(),P42=0),"Action - start planning this now",IF(AND(O42&gt;=0,O42&lt;=14),"Upcoming - within a fortnight","OK"))))</f>
        <v>0</v>
      </c>
    </row>
    <row r="43" spans="1:17">
      <c r="A43" s="41">
        <f>IF(D43="","","SEA-"&amp;TEXT(ROW()-4,"000"))</f>
        <v>0</v>
      </c>
      <c r="C43" s="17">
        <f>IF(B43="","",TEXT(B43,"yyyy-mm"))</f>
        <v>0</v>
      </c>
      <c r="N43" s="16">
        <f>IF(B43="","",B43-N(J43))</f>
        <v>0</v>
      </c>
      <c r="O43" s="23">
        <f>IF(B43="","",B43-TODAY())</f>
        <v>0</v>
      </c>
      <c r="P43" s="23">
        <f>IF(B43="","",COUNTIFS('Content Calendar'!$B$5:$B$604,"&gt;="&amp;N43,'Content Calendar'!$B$5:$B$604,"&lt;="&amp;B43))</f>
        <v>0</v>
      </c>
      <c r="Q43" s="29">
        <f>IF(D43="","",IF(AND(B43&lt;TODAY(),M43&lt;&gt;"Complete",M43&lt;&gt;"Cancelled"),"Expired - the date has passed",IF(AND(N43&lt;=TODAY(),B43&gt;=TODAY(),P43=0),"Action - start planning this now",IF(AND(O43&gt;=0,O43&lt;=14),"Upcoming - within a fortnight","OK"))))</f>
        <v>0</v>
      </c>
    </row>
    <row r="44" spans="1:17">
      <c r="A44" s="41">
        <f>IF(D44="","","SEA-"&amp;TEXT(ROW()-4,"000"))</f>
        <v>0</v>
      </c>
      <c r="C44" s="17">
        <f>IF(B44="","",TEXT(B44,"yyyy-mm"))</f>
        <v>0</v>
      </c>
      <c r="N44" s="16">
        <f>IF(B44="","",B44-N(J44))</f>
        <v>0</v>
      </c>
      <c r="O44" s="23">
        <f>IF(B44="","",B44-TODAY())</f>
        <v>0</v>
      </c>
      <c r="P44" s="23">
        <f>IF(B44="","",COUNTIFS('Content Calendar'!$B$5:$B$604,"&gt;="&amp;N44,'Content Calendar'!$B$5:$B$604,"&lt;="&amp;B44))</f>
        <v>0</v>
      </c>
      <c r="Q44" s="29">
        <f>IF(D44="","",IF(AND(B44&lt;TODAY(),M44&lt;&gt;"Complete",M44&lt;&gt;"Cancelled"),"Expired - the date has passed",IF(AND(N44&lt;=TODAY(),B44&gt;=TODAY(),P44=0),"Action - start planning this now",IF(AND(O44&gt;=0,O44&lt;=14),"Upcoming - within a fortnight","OK"))))</f>
        <v>0</v>
      </c>
    </row>
    <row r="45" spans="1:17">
      <c r="A45" s="41">
        <f>IF(D45="","","SEA-"&amp;TEXT(ROW()-4,"000"))</f>
        <v>0</v>
      </c>
      <c r="C45" s="17">
        <f>IF(B45="","",TEXT(B45,"yyyy-mm"))</f>
        <v>0</v>
      </c>
      <c r="N45" s="16">
        <f>IF(B45="","",B45-N(J45))</f>
        <v>0</v>
      </c>
      <c r="O45" s="23">
        <f>IF(B45="","",B45-TODAY())</f>
        <v>0</v>
      </c>
      <c r="P45" s="23">
        <f>IF(B45="","",COUNTIFS('Content Calendar'!$B$5:$B$604,"&gt;="&amp;N45,'Content Calendar'!$B$5:$B$604,"&lt;="&amp;B45))</f>
        <v>0</v>
      </c>
      <c r="Q45" s="29">
        <f>IF(D45="","",IF(AND(B45&lt;TODAY(),M45&lt;&gt;"Complete",M45&lt;&gt;"Cancelled"),"Expired - the date has passed",IF(AND(N45&lt;=TODAY(),B45&gt;=TODAY(),P45=0),"Action - start planning this now",IF(AND(O45&gt;=0,O45&lt;=14),"Upcoming - within a fortnight","OK"))))</f>
        <v>0</v>
      </c>
    </row>
    <row r="46" spans="1:17">
      <c r="A46" s="41">
        <f>IF(D46="","","SEA-"&amp;TEXT(ROW()-4,"000"))</f>
        <v>0</v>
      </c>
      <c r="C46" s="17">
        <f>IF(B46="","",TEXT(B46,"yyyy-mm"))</f>
        <v>0</v>
      </c>
      <c r="N46" s="16">
        <f>IF(B46="","",B46-N(J46))</f>
        <v>0</v>
      </c>
      <c r="O46" s="23">
        <f>IF(B46="","",B46-TODAY())</f>
        <v>0</v>
      </c>
      <c r="P46" s="23">
        <f>IF(B46="","",COUNTIFS('Content Calendar'!$B$5:$B$604,"&gt;="&amp;N46,'Content Calendar'!$B$5:$B$604,"&lt;="&amp;B46))</f>
        <v>0</v>
      </c>
      <c r="Q46" s="29">
        <f>IF(D46="","",IF(AND(B46&lt;TODAY(),M46&lt;&gt;"Complete",M46&lt;&gt;"Cancelled"),"Expired - the date has passed",IF(AND(N46&lt;=TODAY(),B46&gt;=TODAY(),P46=0),"Action - start planning this now",IF(AND(O46&gt;=0,O46&lt;=14),"Upcoming - within a fortnight","OK"))))</f>
        <v>0</v>
      </c>
    </row>
    <row r="47" spans="1:17">
      <c r="A47" s="41">
        <f>IF(D47="","","SEA-"&amp;TEXT(ROW()-4,"000"))</f>
        <v>0</v>
      </c>
      <c r="C47" s="17">
        <f>IF(B47="","",TEXT(B47,"yyyy-mm"))</f>
        <v>0</v>
      </c>
      <c r="N47" s="16">
        <f>IF(B47="","",B47-N(J47))</f>
        <v>0</v>
      </c>
      <c r="O47" s="23">
        <f>IF(B47="","",B47-TODAY())</f>
        <v>0</v>
      </c>
      <c r="P47" s="23">
        <f>IF(B47="","",COUNTIFS('Content Calendar'!$B$5:$B$604,"&gt;="&amp;N47,'Content Calendar'!$B$5:$B$604,"&lt;="&amp;B47))</f>
        <v>0</v>
      </c>
      <c r="Q47" s="29">
        <f>IF(D47="","",IF(AND(B47&lt;TODAY(),M47&lt;&gt;"Complete",M47&lt;&gt;"Cancelled"),"Expired - the date has passed",IF(AND(N47&lt;=TODAY(),B47&gt;=TODAY(),P47=0),"Action - start planning this now",IF(AND(O47&gt;=0,O47&lt;=14),"Upcoming - within a fortnight","OK"))))</f>
        <v>0</v>
      </c>
    </row>
    <row r="48" spans="1:17">
      <c r="A48" s="41">
        <f>IF(D48="","","SEA-"&amp;TEXT(ROW()-4,"000"))</f>
        <v>0</v>
      </c>
      <c r="C48" s="17">
        <f>IF(B48="","",TEXT(B48,"yyyy-mm"))</f>
        <v>0</v>
      </c>
      <c r="N48" s="16">
        <f>IF(B48="","",B48-N(J48))</f>
        <v>0</v>
      </c>
      <c r="O48" s="23">
        <f>IF(B48="","",B48-TODAY())</f>
        <v>0</v>
      </c>
      <c r="P48" s="23">
        <f>IF(B48="","",COUNTIFS('Content Calendar'!$B$5:$B$604,"&gt;="&amp;N48,'Content Calendar'!$B$5:$B$604,"&lt;="&amp;B48))</f>
        <v>0</v>
      </c>
      <c r="Q48" s="29">
        <f>IF(D48="","",IF(AND(B48&lt;TODAY(),M48&lt;&gt;"Complete",M48&lt;&gt;"Cancelled"),"Expired - the date has passed",IF(AND(N48&lt;=TODAY(),B48&gt;=TODAY(),P48=0),"Action - start planning this now",IF(AND(O48&gt;=0,O48&lt;=14),"Upcoming - within a fortnight","OK"))))</f>
        <v>0</v>
      </c>
    </row>
    <row r="49" spans="1:17">
      <c r="A49" s="41">
        <f>IF(D49="","","SEA-"&amp;TEXT(ROW()-4,"000"))</f>
        <v>0</v>
      </c>
      <c r="C49" s="17">
        <f>IF(B49="","",TEXT(B49,"yyyy-mm"))</f>
        <v>0</v>
      </c>
      <c r="N49" s="16">
        <f>IF(B49="","",B49-N(J49))</f>
        <v>0</v>
      </c>
      <c r="O49" s="23">
        <f>IF(B49="","",B49-TODAY())</f>
        <v>0</v>
      </c>
      <c r="P49" s="23">
        <f>IF(B49="","",COUNTIFS('Content Calendar'!$B$5:$B$604,"&gt;="&amp;N49,'Content Calendar'!$B$5:$B$604,"&lt;="&amp;B49))</f>
        <v>0</v>
      </c>
      <c r="Q49" s="29">
        <f>IF(D49="","",IF(AND(B49&lt;TODAY(),M49&lt;&gt;"Complete",M49&lt;&gt;"Cancelled"),"Expired - the date has passed",IF(AND(N49&lt;=TODAY(),B49&gt;=TODAY(),P49=0),"Action - start planning this now",IF(AND(O49&gt;=0,O49&lt;=14),"Upcoming - within a fortnight","OK"))))</f>
        <v>0</v>
      </c>
    </row>
    <row r="50" spans="1:17">
      <c r="A50" s="41">
        <f>IF(D50="","","SEA-"&amp;TEXT(ROW()-4,"000"))</f>
        <v>0</v>
      </c>
      <c r="C50" s="17">
        <f>IF(B50="","",TEXT(B50,"yyyy-mm"))</f>
        <v>0</v>
      </c>
      <c r="N50" s="16">
        <f>IF(B50="","",B50-N(J50))</f>
        <v>0</v>
      </c>
      <c r="O50" s="23">
        <f>IF(B50="","",B50-TODAY())</f>
        <v>0</v>
      </c>
      <c r="P50" s="23">
        <f>IF(B50="","",COUNTIFS('Content Calendar'!$B$5:$B$604,"&gt;="&amp;N50,'Content Calendar'!$B$5:$B$604,"&lt;="&amp;B50))</f>
        <v>0</v>
      </c>
      <c r="Q50" s="29">
        <f>IF(D50="","",IF(AND(B50&lt;TODAY(),M50&lt;&gt;"Complete",M50&lt;&gt;"Cancelled"),"Expired - the date has passed",IF(AND(N50&lt;=TODAY(),B50&gt;=TODAY(),P50=0),"Action - start planning this now",IF(AND(O50&gt;=0,O50&lt;=14),"Upcoming - within a fortnight","OK"))))</f>
        <v>0</v>
      </c>
    </row>
    <row r="51" spans="1:17">
      <c r="A51" s="41">
        <f>IF(D51="","","SEA-"&amp;TEXT(ROW()-4,"000"))</f>
        <v>0</v>
      </c>
      <c r="C51" s="17">
        <f>IF(B51="","",TEXT(B51,"yyyy-mm"))</f>
        <v>0</v>
      </c>
      <c r="N51" s="16">
        <f>IF(B51="","",B51-N(J51))</f>
        <v>0</v>
      </c>
      <c r="O51" s="23">
        <f>IF(B51="","",B51-TODAY())</f>
        <v>0</v>
      </c>
      <c r="P51" s="23">
        <f>IF(B51="","",COUNTIFS('Content Calendar'!$B$5:$B$604,"&gt;="&amp;N51,'Content Calendar'!$B$5:$B$604,"&lt;="&amp;B51))</f>
        <v>0</v>
      </c>
      <c r="Q51" s="29">
        <f>IF(D51="","",IF(AND(B51&lt;TODAY(),M51&lt;&gt;"Complete",M51&lt;&gt;"Cancelled"),"Expired - the date has passed",IF(AND(N51&lt;=TODAY(),B51&gt;=TODAY(),P51=0),"Action - start planning this now",IF(AND(O51&gt;=0,O51&lt;=14),"Upcoming - within a fortnight","OK"))))</f>
        <v>0</v>
      </c>
    </row>
    <row r="52" spans="1:17">
      <c r="A52" s="41">
        <f>IF(D52="","","SEA-"&amp;TEXT(ROW()-4,"000"))</f>
        <v>0</v>
      </c>
      <c r="C52" s="17">
        <f>IF(B52="","",TEXT(B52,"yyyy-mm"))</f>
        <v>0</v>
      </c>
      <c r="N52" s="16">
        <f>IF(B52="","",B52-N(J52))</f>
        <v>0</v>
      </c>
      <c r="O52" s="23">
        <f>IF(B52="","",B52-TODAY())</f>
        <v>0</v>
      </c>
      <c r="P52" s="23">
        <f>IF(B52="","",COUNTIFS('Content Calendar'!$B$5:$B$604,"&gt;="&amp;N52,'Content Calendar'!$B$5:$B$604,"&lt;="&amp;B52))</f>
        <v>0</v>
      </c>
      <c r="Q52" s="29">
        <f>IF(D52="","",IF(AND(B52&lt;TODAY(),M52&lt;&gt;"Complete",M52&lt;&gt;"Cancelled"),"Expired - the date has passed",IF(AND(N52&lt;=TODAY(),B52&gt;=TODAY(),P52=0),"Action - start planning this now",IF(AND(O52&gt;=0,O52&lt;=14),"Upcoming - within a fortnight","OK"))))</f>
        <v>0</v>
      </c>
    </row>
    <row r="53" spans="1:17">
      <c r="A53" s="41">
        <f>IF(D53="","","SEA-"&amp;TEXT(ROW()-4,"000"))</f>
        <v>0</v>
      </c>
      <c r="C53" s="17">
        <f>IF(B53="","",TEXT(B53,"yyyy-mm"))</f>
        <v>0</v>
      </c>
      <c r="N53" s="16">
        <f>IF(B53="","",B53-N(J53))</f>
        <v>0</v>
      </c>
      <c r="O53" s="23">
        <f>IF(B53="","",B53-TODAY())</f>
        <v>0</v>
      </c>
      <c r="P53" s="23">
        <f>IF(B53="","",COUNTIFS('Content Calendar'!$B$5:$B$604,"&gt;="&amp;N53,'Content Calendar'!$B$5:$B$604,"&lt;="&amp;B53))</f>
        <v>0</v>
      </c>
      <c r="Q53" s="29">
        <f>IF(D53="","",IF(AND(B53&lt;TODAY(),M53&lt;&gt;"Complete",M53&lt;&gt;"Cancelled"),"Expired - the date has passed",IF(AND(N53&lt;=TODAY(),B53&gt;=TODAY(),P53=0),"Action - start planning this now",IF(AND(O53&gt;=0,O53&lt;=14),"Upcoming - within a fortnight","OK"))))</f>
        <v>0</v>
      </c>
    </row>
    <row r="54" spans="1:17">
      <c r="A54" s="41">
        <f>IF(D54="","","SEA-"&amp;TEXT(ROW()-4,"000"))</f>
        <v>0</v>
      </c>
      <c r="C54" s="17">
        <f>IF(B54="","",TEXT(B54,"yyyy-mm"))</f>
        <v>0</v>
      </c>
      <c r="N54" s="16">
        <f>IF(B54="","",B54-N(J54))</f>
        <v>0</v>
      </c>
      <c r="O54" s="23">
        <f>IF(B54="","",B54-TODAY())</f>
        <v>0</v>
      </c>
      <c r="P54" s="23">
        <f>IF(B54="","",COUNTIFS('Content Calendar'!$B$5:$B$604,"&gt;="&amp;N54,'Content Calendar'!$B$5:$B$604,"&lt;="&amp;B54))</f>
        <v>0</v>
      </c>
      <c r="Q54" s="29">
        <f>IF(D54="","",IF(AND(B54&lt;TODAY(),M54&lt;&gt;"Complete",M54&lt;&gt;"Cancelled"),"Expired - the date has passed",IF(AND(N54&lt;=TODAY(),B54&gt;=TODAY(),P54=0),"Action - start planning this now",IF(AND(O54&gt;=0,O54&lt;=14),"Upcoming - within a fortnight","OK"))))</f>
        <v>0</v>
      </c>
    </row>
    <row r="55" spans="1:17">
      <c r="A55" s="41">
        <f>IF(D55="","","SEA-"&amp;TEXT(ROW()-4,"000"))</f>
        <v>0</v>
      </c>
      <c r="C55" s="17">
        <f>IF(B55="","",TEXT(B55,"yyyy-mm"))</f>
        <v>0</v>
      </c>
      <c r="N55" s="16">
        <f>IF(B55="","",B55-N(J55))</f>
        <v>0</v>
      </c>
      <c r="O55" s="23">
        <f>IF(B55="","",B55-TODAY())</f>
        <v>0</v>
      </c>
      <c r="P55" s="23">
        <f>IF(B55="","",COUNTIFS('Content Calendar'!$B$5:$B$604,"&gt;="&amp;N55,'Content Calendar'!$B$5:$B$604,"&lt;="&amp;B55))</f>
        <v>0</v>
      </c>
      <c r="Q55" s="29">
        <f>IF(D55="","",IF(AND(B55&lt;TODAY(),M55&lt;&gt;"Complete",M55&lt;&gt;"Cancelled"),"Expired - the date has passed",IF(AND(N55&lt;=TODAY(),B55&gt;=TODAY(),P55=0),"Action - start planning this now",IF(AND(O55&gt;=0,O55&lt;=14),"Upcoming - within a fortnight","OK"))))</f>
        <v>0</v>
      </c>
    </row>
    <row r="56" spans="1:17">
      <c r="A56" s="41">
        <f>IF(D56="","","SEA-"&amp;TEXT(ROW()-4,"000"))</f>
        <v>0</v>
      </c>
      <c r="C56" s="17">
        <f>IF(B56="","",TEXT(B56,"yyyy-mm"))</f>
        <v>0</v>
      </c>
      <c r="N56" s="16">
        <f>IF(B56="","",B56-N(J56))</f>
        <v>0</v>
      </c>
      <c r="O56" s="23">
        <f>IF(B56="","",B56-TODAY())</f>
        <v>0</v>
      </c>
      <c r="P56" s="23">
        <f>IF(B56="","",COUNTIFS('Content Calendar'!$B$5:$B$604,"&gt;="&amp;N56,'Content Calendar'!$B$5:$B$604,"&lt;="&amp;B56))</f>
        <v>0</v>
      </c>
      <c r="Q56" s="29">
        <f>IF(D56="","",IF(AND(B56&lt;TODAY(),M56&lt;&gt;"Complete",M56&lt;&gt;"Cancelled"),"Expired - the date has passed",IF(AND(N56&lt;=TODAY(),B56&gt;=TODAY(),P56=0),"Action - start planning this now",IF(AND(O56&gt;=0,O56&lt;=14),"Upcoming - within a fortnight","OK"))))</f>
        <v>0</v>
      </c>
    </row>
    <row r="57" spans="1:17">
      <c r="A57" s="41">
        <f>IF(D57="","","SEA-"&amp;TEXT(ROW()-4,"000"))</f>
        <v>0</v>
      </c>
      <c r="C57" s="17">
        <f>IF(B57="","",TEXT(B57,"yyyy-mm"))</f>
        <v>0</v>
      </c>
      <c r="N57" s="16">
        <f>IF(B57="","",B57-N(J57))</f>
        <v>0</v>
      </c>
      <c r="O57" s="23">
        <f>IF(B57="","",B57-TODAY())</f>
        <v>0</v>
      </c>
      <c r="P57" s="23">
        <f>IF(B57="","",COUNTIFS('Content Calendar'!$B$5:$B$604,"&gt;="&amp;N57,'Content Calendar'!$B$5:$B$604,"&lt;="&amp;B57))</f>
        <v>0</v>
      </c>
      <c r="Q57" s="29">
        <f>IF(D57="","",IF(AND(B57&lt;TODAY(),M57&lt;&gt;"Complete",M57&lt;&gt;"Cancelled"),"Expired - the date has passed",IF(AND(N57&lt;=TODAY(),B57&gt;=TODAY(),P57=0),"Action - start planning this now",IF(AND(O57&gt;=0,O57&lt;=14),"Upcoming - within a fortnight","OK"))))</f>
        <v>0</v>
      </c>
    </row>
    <row r="58" spans="1:17">
      <c r="A58" s="41">
        <f>IF(D58="","","SEA-"&amp;TEXT(ROW()-4,"000"))</f>
        <v>0</v>
      </c>
      <c r="C58" s="17">
        <f>IF(B58="","",TEXT(B58,"yyyy-mm"))</f>
        <v>0</v>
      </c>
      <c r="N58" s="16">
        <f>IF(B58="","",B58-N(J58))</f>
        <v>0</v>
      </c>
      <c r="O58" s="23">
        <f>IF(B58="","",B58-TODAY())</f>
        <v>0</v>
      </c>
      <c r="P58" s="23">
        <f>IF(B58="","",COUNTIFS('Content Calendar'!$B$5:$B$604,"&gt;="&amp;N58,'Content Calendar'!$B$5:$B$604,"&lt;="&amp;B58))</f>
        <v>0</v>
      </c>
      <c r="Q58" s="29">
        <f>IF(D58="","",IF(AND(B58&lt;TODAY(),M58&lt;&gt;"Complete",M58&lt;&gt;"Cancelled"),"Expired - the date has passed",IF(AND(N58&lt;=TODAY(),B58&gt;=TODAY(),P58=0),"Action - start planning this now",IF(AND(O58&gt;=0,O58&lt;=14),"Upcoming - within a fortnight","OK"))))</f>
        <v>0</v>
      </c>
    </row>
    <row r="59" spans="1:17">
      <c r="A59" s="41">
        <f>IF(D59="","","SEA-"&amp;TEXT(ROW()-4,"000"))</f>
        <v>0</v>
      </c>
      <c r="C59" s="17">
        <f>IF(B59="","",TEXT(B59,"yyyy-mm"))</f>
        <v>0</v>
      </c>
      <c r="N59" s="16">
        <f>IF(B59="","",B59-N(J59))</f>
        <v>0</v>
      </c>
      <c r="O59" s="23">
        <f>IF(B59="","",B59-TODAY())</f>
        <v>0</v>
      </c>
      <c r="P59" s="23">
        <f>IF(B59="","",COUNTIFS('Content Calendar'!$B$5:$B$604,"&gt;="&amp;N59,'Content Calendar'!$B$5:$B$604,"&lt;="&amp;B59))</f>
        <v>0</v>
      </c>
      <c r="Q59" s="29">
        <f>IF(D59="","",IF(AND(B59&lt;TODAY(),M59&lt;&gt;"Complete",M59&lt;&gt;"Cancelled"),"Expired - the date has passed",IF(AND(N59&lt;=TODAY(),B59&gt;=TODAY(),P59=0),"Action - start planning this now",IF(AND(O59&gt;=0,O59&lt;=14),"Upcoming - within a fortnight","OK"))))</f>
        <v>0</v>
      </c>
    </row>
    <row r="60" spans="1:17">
      <c r="A60" s="41">
        <f>IF(D60="","","SEA-"&amp;TEXT(ROW()-4,"000"))</f>
        <v>0</v>
      </c>
      <c r="C60" s="17">
        <f>IF(B60="","",TEXT(B60,"yyyy-mm"))</f>
        <v>0</v>
      </c>
      <c r="N60" s="16">
        <f>IF(B60="","",B60-N(J60))</f>
        <v>0</v>
      </c>
      <c r="O60" s="23">
        <f>IF(B60="","",B60-TODAY())</f>
        <v>0</v>
      </c>
      <c r="P60" s="23">
        <f>IF(B60="","",COUNTIFS('Content Calendar'!$B$5:$B$604,"&gt;="&amp;N60,'Content Calendar'!$B$5:$B$604,"&lt;="&amp;B60))</f>
        <v>0</v>
      </c>
      <c r="Q60" s="29">
        <f>IF(D60="","",IF(AND(B60&lt;TODAY(),M60&lt;&gt;"Complete",M60&lt;&gt;"Cancelled"),"Expired - the date has passed",IF(AND(N60&lt;=TODAY(),B60&gt;=TODAY(),P60=0),"Action - start planning this now",IF(AND(O60&gt;=0,O60&lt;=14),"Upcoming - within a fortnight","OK"))))</f>
        <v>0</v>
      </c>
    </row>
    <row r="61" spans="1:17">
      <c r="A61" s="41">
        <f>IF(D61="","","SEA-"&amp;TEXT(ROW()-4,"000"))</f>
        <v>0</v>
      </c>
      <c r="C61" s="17">
        <f>IF(B61="","",TEXT(B61,"yyyy-mm"))</f>
        <v>0</v>
      </c>
      <c r="N61" s="16">
        <f>IF(B61="","",B61-N(J61))</f>
        <v>0</v>
      </c>
      <c r="O61" s="23">
        <f>IF(B61="","",B61-TODAY())</f>
        <v>0</v>
      </c>
      <c r="P61" s="23">
        <f>IF(B61="","",COUNTIFS('Content Calendar'!$B$5:$B$604,"&gt;="&amp;N61,'Content Calendar'!$B$5:$B$604,"&lt;="&amp;B61))</f>
        <v>0</v>
      </c>
      <c r="Q61" s="29">
        <f>IF(D61="","",IF(AND(B61&lt;TODAY(),M61&lt;&gt;"Complete",M61&lt;&gt;"Cancelled"),"Expired - the date has passed",IF(AND(N61&lt;=TODAY(),B61&gt;=TODAY(),P61=0),"Action - start planning this now",IF(AND(O61&gt;=0,O61&lt;=14),"Upcoming - within a fortnight","OK"))))</f>
        <v>0</v>
      </c>
    </row>
    <row r="62" spans="1:17">
      <c r="A62" s="41">
        <f>IF(D62="","","SEA-"&amp;TEXT(ROW()-4,"000"))</f>
        <v>0</v>
      </c>
      <c r="C62" s="17">
        <f>IF(B62="","",TEXT(B62,"yyyy-mm"))</f>
        <v>0</v>
      </c>
      <c r="N62" s="16">
        <f>IF(B62="","",B62-N(J62))</f>
        <v>0</v>
      </c>
      <c r="O62" s="23">
        <f>IF(B62="","",B62-TODAY())</f>
        <v>0</v>
      </c>
      <c r="P62" s="23">
        <f>IF(B62="","",COUNTIFS('Content Calendar'!$B$5:$B$604,"&gt;="&amp;N62,'Content Calendar'!$B$5:$B$604,"&lt;="&amp;B62))</f>
        <v>0</v>
      </c>
      <c r="Q62" s="29">
        <f>IF(D62="","",IF(AND(B62&lt;TODAY(),M62&lt;&gt;"Complete",M62&lt;&gt;"Cancelled"),"Expired - the date has passed",IF(AND(N62&lt;=TODAY(),B62&gt;=TODAY(),P62=0),"Action - start planning this now",IF(AND(O62&gt;=0,O62&lt;=14),"Upcoming - within a fortnight","OK"))))</f>
        <v>0</v>
      </c>
    </row>
    <row r="63" spans="1:17">
      <c r="A63" s="41">
        <f>IF(D63="","","SEA-"&amp;TEXT(ROW()-4,"000"))</f>
        <v>0</v>
      </c>
      <c r="C63" s="17">
        <f>IF(B63="","",TEXT(B63,"yyyy-mm"))</f>
        <v>0</v>
      </c>
      <c r="N63" s="16">
        <f>IF(B63="","",B63-N(J63))</f>
        <v>0</v>
      </c>
      <c r="O63" s="23">
        <f>IF(B63="","",B63-TODAY())</f>
        <v>0</v>
      </c>
      <c r="P63" s="23">
        <f>IF(B63="","",COUNTIFS('Content Calendar'!$B$5:$B$604,"&gt;="&amp;N63,'Content Calendar'!$B$5:$B$604,"&lt;="&amp;B63))</f>
        <v>0</v>
      </c>
      <c r="Q63" s="29">
        <f>IF(D63="","",IF(AND(B63&lt;TODAY(),M63&lt;&gt;"Complete",M63&lt;&gt;"Cancelled"),"Expired - the date has passed",IF(AND(N63&lt;=TODAY(),B63&gt;=TODAY(),P63=0),"Action - start planning this now",IF(AND(O63&gt;=0,O63&lt;=14),"Upcoming - within a fortnight","OK"))))</f>
        <v>0</v>
      </c>
    </row>
    <row r="64" spans="1:17">
      <c r="A64" s="41">
        <f>IF(D64="","","SEA-"&amp;TEXT(ROW()-4,"000"))</f>
        <v>0</v>
      </c>
      <c r="C64" s="17">
        <f>IF(B64="","",TEXT(B64,"yyyy-mm"))</f>
        <v>0</v>
      </c>
      <c r="N64" s="16">
        <f>IF(B64="","",B64-N(J64))</f>
        <v>0</v>
      </c>
      <c r="O64" s="23">
        <f>IF(B64="","",B64-TODAY())</f>
        <v>0</v>
      </c>
      <c r="P64" s="23">
        <f>IF(B64="","",COUNTIFS('Content Calendar'!$B$5:$B$604,"&gt;="&amp;N64,'Content Calendar'!$B$5:$B$604,"&lt;="&amp;B64))</f>
        <v>0</v>
      </c>
      <c r="Q64" s="29">
        <f>IF(D64="","",IF(AND(B64&lt;TODAY(),M64&lt;&gt;"Complete",M64&lt;&gt;"Cancelled"),"Expired - the date has passed",IF(AND(N64&lt;=TODAY(),B64&gt;=TODAY(),P64=0),"Action - start planning this now",IF(AND(O64&gt;=0,O64&lt;=14),"Upcoming - within a fortnight","OK"))))</f>
        <v>0</v>
      </c>
    </row>
  </sheetData>
  <sheetProtection password="EC7C" sheet="1" objects="1" scenarios="1" formatCells="0" formatColumns="0" formatRows="0" insertRows="0" insertHyperlinks="0" deleteRows="0" autoFilter="0"/>
  <autoFilter ref="A4:R64"/>
  <mergeCells count="12">
    <mergeCell ref="A1:O1"/>
    <mergeCell ref="P1:R1"/>
    <mergeCell ref="A2:R2"/>
    <mergeCell ref="A3:B3"/>
    <mergeCell ref="C3:D3"/>
    <mergeCell ref="E3:F3"/>
    <mergeCell ref="G3:H3"/>
    <mergeCell ref="I3:J3"/>
    <mergeCell ref="K3:L3"/>
    <mergeCell ref="M3:N3"/>
    <mergeCell ref="O3:P3"/>
    <mergeCell ref="Q3:R3"/>
  </mergeCells>
  <conditionalFormatting sqref="M5:M64">
    <cfRule type="containsText" dxfId="0" priority="1" operator="containsText" text="Published">
      <formula>NOT(ISERROR(SEARCH("Published",M5)))</formula>
    </cfRule>
    <cfRule type="containsText" dxfId="0" priority="2" operator="containsText" text="Approved">
      <formula>NOT(ISERROR(SEARCH("Approved",M5)))</formula>
    </cfRule>
    <cfRule type="containsText" dxfId="0" priority="3" operator="containsText" text="Complete">
      <formula>NOT(ISERROR(SEARCH("Complete",M5)))</formula>
    </cfRule>
    <cfRule type="containsText" dxfId="0" priority="4" operator="containsText" text="Active">
      <formula>NOT(ISERROR(SEARCH("Active",M5)))</formula>
    </cfRule>
    <cfRule type="containsText" dxfId="0" priority="5" operator="containsText" text="Agreed">
      <formula>NOT(ISERROR(SEARCH("Agreed",M5)))</formula>
    </cfRule>
    <cfRule type="containsText" dxfId="0" priority="6" operator="containsText" text="Yes">
      <formula>NOT(ISERROR(SEARCH("Yes",M5)))</formula>
    </cfRule>
    <cfRule type="containsText" dxfId="0" priority="7" operator="containsText" text="Won">
      <formula>NOT(ISERROR(SEARCH("Won",M5)))</formula>
    </cfRule>
    <cfRule type="containsText" dxfId="3" priority="8" operator="containsText" text="Scheduled">
      <formula>NOT(ISERROR(SEARCH("Scheduled",M5)))</formula>
    </cfRule>
    <cfRule type="containsText" dxfId="3" priority="9" operator="containsText" text="In production">
      <formula>NOT(ISERROR(SEARCH("In production",M5)))</formula>
    </cfRule>
    <cfRule type="containsText" dxfId="3" priority="10" operator="containsText" text="Running">
      <formula>NOT(ISERROR(SEARCH("Running",M5)))</formula>
    </cfRule>
    <cfRule type="containsText" dxfId="3" priority="11" operator="containsText" text="Sent">
      <formula>NOT(ISERROR(SEARCH("Sent",M5)))</formula>
    </cfRule>
    <cfRule type="containsText" dxfId="3" priority="12" operator="containsText" text="Testing">
      <formula>NOT(ISERROR(SEARCH("Testing",M5)))</formula>
    </cfRule>
    <cfRule type="containsText" dxfId="2" priority="13" operator="containsText" text="Idea">
      <formula>NOT(ISERROR(SEARCH("Idea",M5)))</formula>
    </cfRule>
    <cfRule type="containsText" dxfId="2" priority="14" operator="containsText" text="Brief">
      <formula>NOT(ISERROR(SEARCH("Brief",M5)))</formula>
    </cfRule>
    <cfRule type="containsText" dxfId="2" priority="15" operator="containsText" text="Draft">
      <formula>NOT(ISERROR(SEARCH("Draft",M5)))</formula>
    </cfRule>
    <cfRule type="containsText" dxfId="2" priority="16" operator="containsText" text="Awaiting review">
      <formula>NOT(ISERROR(SEARCH("Awaiting review",M5)))</formula>
    </cfRule>
    <cfRule type="containsText" dxfId="2" priority="17" operator="containsText" text="Pending">
      <formula>NOT(ISERROR(SEARCH("Pending",M5)))</formula>
    </cfRule>
    <cfRule type="containsText" dxfId="2" priority="18" operator="containsText" text="On hold">
      <formula>NOT(ISERROR(SEARCH("On hold",M5)))</formula>
    </cfRule>
    <cfRule type="containsText" dxfId="1" priority="19" operator="containsText" text="Revision needed">
      <formula>NOT(ISERROR(SEARCH("Revision needed",M5)))</formula>
    </cfRule>
    <cfRule type="containsText" dxfId="1" priority="20" operator="containsText" text="Rejected">
      <formula>NOT(ISERROR(SEARCH("Rejected",M5)))</formula>
    </cfRule>
    <cfRule type="containsText" dxfId="1" priority="21" operator="containsText" text="Cancelled">
      <formula>NOT(ISERROR(SEARCH("Cancelled",M5)))</formula>
    </cfRule>
    <cfRule type="containsText" dxfId="1" priority="22" operator="containsText" text="Missed">
      <formula>NOT(ISERROR(SEARCH("Missed",M5)))</formula>
    </cfRule>
    <cfRule type="containsText" dxfId="1" priority="23" operator="containsText" text="Overdue">
      <formula>NOT(ISERROR(SEARCH("Overdue",M5)))</formula>
    </cfRule>
    <cfRule type="containsText" dxfId="1" priority="24" operator="containsText" text="Declined">
      <formula>NOT(ISERROR(SEARCH("Declined",M5)))</formula>
    </cfRule>
    <cfRule type="containsText" dxfId="4" priority="25" operator="containsText" text="Archived">
      <formula>NOT(ISERROR(SEARCH("Archived",M5)))</formula>
    </cfRule>
    <cfRule type="containsText" dxfId="4" priority="26" operator="containsText" text="Paused">
      <formula>NOT(ISERROR(SEARCH("Paused",M5)))</formula>
    </cfRule>
    <cfRule type="containsText" dxfId="4" priority="27" operator="containsText" text="Not started">
      <formula>NOT(ISERROR(SEARCH("Not started",M5)))</formula>
    </cfRule>
  </conditionalFormatting>
  <conditionalFormatting sqref="O5:O64">
    <cfRule type="cellIs" dxfId="2" priority="28" operator="between">
      <formula>0</formula>
      <formula>14</formula>
    </cfRule>
  </conditionalFormatting>
  <conditionalFormatting sqref="P5:P64">
    <cfRule type="dataBar" priority="29">
      <dataBar>
        <cfvo type="min" val="0"/>
        <cfvo type="max" val="0"/>
        <color rgb="FF6350A8"/>
      </dataBar>
    </cfRule>
  </conditionalFormatting>
  <conditionalFormatting sqref="Q5:Q64">
    <cfRule type="beginsWith" dxfId="0" priority="30" operator="beginsWith" text="OK">
      <formula>LEFT(Q5,2)="OK"</formula>
    </cfRule>
    <cfRule type="containsText" dxfId="1" priority="31" operator="containsText" text="Overdue">
      <formula>NOT(ISERROR(SEARCH("Overdue",Q5)))</formula>
    </cfRule>
    <cfRule type="containsText" dxfId="1" priority="32" operator="containsText" text="Late">
      <formula>NOT(ISERROR(SEARCH("Late",Q5)))</formula>
    </cfRule>
    <cfRule type="containsText" dxfId="1" priority="33" operator="containsText" text="Missing">
      <formula>NOT(ISERROR(SEARCH("Missing",Q5)))</formula>
    </cfRule>
    <cfRule type="containsText" dxfId="1" priority="34" operator="containsText" text="Conflict">
      <formula>NOT(ISERROR(SEARCH("Conflict",Q5)))</formula>
    </cfRule>
    <cfRule type="containsText" dxfId="1" priority="35" operator="containsText" text="Expired">
      <formula>NOT(ISERROR(SEARCH("Expired",Q5)))</formula>
    </cfRule>
    <cfRule type="containsText" dxfId="1" priority="36" operator="containsText" text="Duplicate">
      <formula>NOT(ISERROR(SEARCH("Duplicate",Q5)))</formula>
    </cfRule>
    <cfRule type="containsText" dxfId="2" priority="37" operator="containsText" text="Action">
      <formula>NOT(ISERROR(SEARCH("Action",Q5)))</formula>
    </cfRule>
    <cfRule type="containsText" dxfId="2" priority="38" operator="containsText" text="Due">
      <formula>NOT(ISERROR(SEARCH("Due",Q5)))</formula>
    </cfRule>
    <cfRule type="containsText" dxfId="2" priority="39" operator="containsText" text="Check">
      <formula>NOT(ISERROR(SEARCH("Check",Q5)))</formula>
    </cfRule>
    <cfRule type="containsText" dxfId="2" priority="40" operator="containsText" text="Add">
      <formula>NOT(ISERROR(SEARCH("Add",Q5)))</formula>
    </cfRule>
    <cfRule type="containsText" dxfId="3" priority="41" operator="containsText" text="Today">
      <formula>NOT(ISERROR(SEARCH("Today",Q5)))</formula>
    </cfRule>
    <cfRule type="containsText" dxfId="3" priority="42" operator="containsText" text="Upcoming">
      <formula>NOT(ISERROR(SEARCH("Upcoming",Q5)))</formula>
    </cfRule>
  </conditionalFormatting>
  <dataValidations count="7">
    <dataValidation type="date" allowBlank="1" showInputMessage="1" showErrorMessage="1" errorTitle="Check the date" error="Enter a real date between 2000 and 2100." sqref="B5:B64">
      <formula1>36526</formula1>
      <formula2>73415</formula2>
    </dataValidation>
    <dataValidation type="list" allowBlank="1" showInputMessage="1" showErrorMessage="1" sqref="E5:E64">
      <formula1>SeasonalTypeList</formula1>
    </dataValidation>
    <dataValidation type="list" allowBlank="1" showInputMessage="1" showErrorMessage="1" sqref="G5:G64">
      <formula1>PillarNames</formula1>
    </dataValidation>
    <dataValidation type="list" allowBlank="1" showInputMessage="1" showErrorMessage="1" sqref="H5:H64">
      <formula1>CampaignNames</formula1>
    </dataValidation>
    <dataValidation type="whole" allowBlank="1" showInputMessage="1" showErrorMessage="1" errorTitle="Check the value" error="Enter a number between 0 and 365." promptTitle="Plan this many days ahead" prompt="Pinterest wants 30-45 days, Instagram about 14." sqref="J5:J64">
      <formula1>0</formula1>
      <formula2>365</formula2>
    </dataValidation>
    <dataValidation type="decimal" allowBlank="1" showInputMessage="1" showErrorMessage="1" errorTitle="Check the value" error="Enter a number between 0 and 1000000000.0." sqref="L5:L64">
      <formula1>0</formula1>
      <formula2>1000000000.0</formula2>
    </dataValidation>
    <dataValidation type="list" allowBlank="1" showInputMessage="1" showErrorMessage="1" sqref="M5:M64">
      <formula1>CampaignStatusList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&amp;L&amp;"Calibri,Bold"&amp;12&amp;C&amp;"Calibri,Bold"&amp;11Seasonal Planner&amp;R&amp;"Calibri,Italic"&amp;9Social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4.xml><?xml version="1.0" encoding="utf-8"?>
<worksheet xmlns="http://schemas.openxmlformats.org/spreadsheetml/2006/main" xmlns:r="http://schemas.openxmlformats.org/officeDocument/2006/relationships">
  <sheetPr>
    <tabColor rgb="FF6350A8"/>
    <pageSetUpPr fitToPage="1"/>
  </sheetPr>
  <dimension ref="A1:AD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1" customWidth="1"/>
    <col min="2" max="2" width="20.7109375" style="15" customWidth="1"/>
    <col min="3" max="3" width="16.7109375" style="15" customWidth="1"/>
    <col min="4" max="4" width="26.7109375" style="42" customWidth="1"/>
    <col min="5" max="5" width="24.7109375" style="15" customWidth="1"/>
    <col min="6" max="6" width="22.7109375" style="15" customWidth="1"/>
    <col min="7" max="7" width="12.7109375" style="34" customWidth="1"/>
    <col min="8" max="8" width="13.7109375" style="35" customWidth="1"/>
    <col min="9" max="9" width="26.7109375" style="39" customWidth="1"/>
    <col min="10" max="10" width="18.7109375" style="15" customWidth="1"/>
    <col min="11" max="11" width="20.7109375" style="15" customWidth="1"/>
    <col min="12" max="12" width="12.7109375" style="43" customWidth="1"/>
    <col min="13" max="13" width="15.7109375" style="48" customWidth="1"/>
    <col min="14" max="14" width="24.7109375" style="39" customWidth="1"/>
    <col min="15" max="15" width="12.7109375" style="36" customWidth="1"/>
    <col min="16" max="16" width="28.7109375" style="39" customWidth="1"/>
    <col min="17" max="17" width="12.7109375" style="43" customWidth="1"/>
    <col min="18" max="18" width="15.7109375" style="48" customWidth="1"/>
    <col min="19" max="19" width="15.7109375" style="15" customWidth="1"/>
    <col min="20" max="20" width="12.7109375" style="36" customWidth="1"/>
    <col min="21" max="21" width="9.7109375" style="34" customWidth="1"/>
    <col min="22" max="22" width="9.7109375" style="34" customWidth="1"/>
    <col min="23" max="23" width="13.7109375" style="36" customWidth="1"/>
    <col min="24" max="24" width="12.7109375" style="25" customWidth="1"/>
    <col min="25" max="25" width="12.7109375" style="31" customWidth="1"/>
    <col min="26" max="26" width="13.7109375" style="25" customWidth="1"/>
    <col min="27" max="27" width="13.7109375" style="25" customWidth="1"/>
    <col min="28" max="28" width="13.7109375" style="29" customWidth="1"/>
    <col min="29" max="29" width="28.7109375" style="29" customWidth="1"/>
    <col min="30" max="30" width="26.7109375" style="39" customWidth="1"/>
  </cols>
  <sheetData>
    <row r="1" spans="1:30" ht="34" customHeight="1">
      <c r="A1" s="2" t="s">
        <v>1669</v>
      </c>
      <c r="B1" s="2"/>
      <c r="C1" s="2"/>
      <c r="D1" s="2"/>
      <c r="E1" s="2"/>
      <c r="F1" s="2"/>
      <c r="G1" s="2"/>
      <c r="H1" s="2"/>
      <c r="I1" s="2"/>
      <c r="J1" s="2"/>
      <c r="K1" s="2"/>
      <c r="L1" s="2"/>
      <c r="M1" s="2"/>
      <c r="N1" s="2"/>
      <c r="O1" s="2"/>
      <c r="P1" s="2"/>
      <c r="Q1" s="2"/>
      <c r="R1" s="2"/>
      <c r="S1" s="2"/>
      <c r="T1" s="2"/>
      <c r="U1" s="2"/>
      <c r="V1" s="2"/>
      <c r="W1" s="2"/>
      <c r="X1" s="2"/>
      <c r="Y1" s="2"/>
      <c r="Z1" s="2"/>
      <c r="AA1" s="2"/>
      <c r="AB1" s="3" t="s">
        <v>1</v>
      </c>
      <c r="AC1" s="3"/>
      <c r="AD1" s="3"/>
    </row>
    <row r="2" spans="1:30" ht="18" customHeight="1">
      <c r="A2" s="4" t="s">
        <v>1670</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1671</v>
      </c>
      <c r="T3" s="38"/>
      <c r="U3" s="38"/>
      <c r="V3" s="38"/>
      <c r="W3" s="38"/>
      <c r="X3" s="38"/>
      <c r="Y3" s="38"/>
      <c r="Z3" s="38"/>
      <c r="AA3" s="38"/>
      <c r="AB3" s="38"/>
      <c r="AC3" s="38"/>
      <c r="AD3" s="38"/>
    </row>
    <row r="4" spans="1:30" ht="30" customHeight="1">
      <c r="A4" s="8" t="s">
        <v>766</v>
      </c>
      <c r="B4" s="8" t="s">
        <v>1672</v>
      </c>
      <c r="C4" s="9" t="s">
        <v>1673</v>
      </c>
      <c r="D4" s="9" t="s">
        <v>1674</v>
      </c>
      <c r="E4" s="9" t="s">
        <v>1675</v>
      </c>
      <c r="F4" s="9" t="s">
        <v>507</v>
      </c>
      <c r="G4" s="9" t="s">
        <v>162</v>
      </c>
      <c r="H4" s="9" t="s">
        <v>1676</v>
      </c>
      <c r="I4" s="9" t="s">
        <v>1677</v>
      </c>
      <c r="J4" s="9" t="s">
        <v>543</v>
      </c>
      <c r="K4" s="9" t="s">
        <v>1604</v>
      </c>
      <c r="L4" s="9" t="s">
        <v>1678</v>
      </c>
      <c r="M4" s="9" t="s">
        <v>552</v>
      </c>
      <c r="N4" s="9" t="s">
        <v>1679</v>
      </c>
      <c r="O4" s="9" t="s">
        <v>1680</v>
      </c>
      <c r="P4" s="9" t="s">
        <v>1681</v>
      </c>
      <c r="Q4" s="9" t="s">
        <v>1682</v>
      </c>
      <c r="R4" s="9" t="s">
        <v>1683</v>
      </c>
      <c r="S4" s="9" t="s">
        <v>1684</v>
      </c>
      <c r="T4" s="9" t="s">
        <v>1685</v>
      </c>
      <c r="U4" s="9" t="s">
        <v>168</v>
      </c>
      <c r="V4" s="9" t="s">
        <v>170</v>
      </c>
      <c r="W4" s="9" t="s">
        <v>172</v>
      </c>
      <c r="X4" s="9" t="s">
        <v>1576</v>
      </c>
      <c r="Y4" s="9" t="s">
        <v>179</v>
      </c>
      <c r="Z4" s="9" t="s">
        <v>1686</v>
      </c>
      <c r="AA4" s="9" t="s">
        <v>1687</v>
      </c>
      <c r="AB4" s="9" t="s">
        <v>1688</v>
      </c>
      <c r="AC4" s="9" t="s">
        <v>787</v>
      </c>
      <c r="AD4" s="9" t="s">
        <v>788</v>
      </c>
    </row>
    <row r="5" spans="1:30">
      <c r="A5" s="41">
        <f>IF(B5="","","INF-"&amp;TEXT(ROW()-4,"000"))</f>
        <v>0</v>
      </c>
      <c r="B5" s="15" t="s">
        <v>1635</v>
      </c>
      <c r="C5" s="15" t="s">
        <v>1689</v>
      </c>
      <c r="D5" s="42" t="s">
        <v>1690</v>
      </c>
      <c r="E5" s="15" t="s">
        <v>1691</v>
      </c>
      <c r="F5" s="15" t="s">
        <v>1692</v>
      </c>
      <c r="G5" s="34">
        <v>24800</v>
      </c>
      <c r="H5" s="35">
        <v>0.052</v>
      </c>
      <c r="I5" s="39" t="s">
        <v>1693</v>
      </c>
      <c r="J5" s="15" t="s">
        <v>544</v>
      </c>
      <c r="K5" s="15" t="s">
        <v>1049</v>
      </c>
      <c r="L5" s="43">
        <v>46286</v>
      </c>
      <c r="M5" s="48" t="s">
        <v>557</v>
      </c>
      <c r="N5" s="39" t="s">
        <v>1694</v>
      </c>
      <c r="O5" s="36">
        <v>0</v>
      </c>
      <c r="P5" s="39" t="s">
        <v>1695</v>
      </c>
      <c r="Q5" s="43">
        <v>46316</v>
      </c>
      <c r="R5" s="48" t="s">
        <v>420</v>
      </c>
      <c r="S5" s="15" t="s">
        <v>1696</v>
      </c>
      <c r="T5" s="36">
        <v>60</v>
      </c>
      <c r="U5" s="34">
        <v>56</v>
      </c>
      <c r="V5" s="34">
        <v>8</v>
      </c>
      <c r="W5" s="36">
        <v>1808.03</v>
      </c>
      <c r="X5" s="25">
        <f>IF(OR(V5="",V5=0),"",N(T5)/V5)</f>
        <v>0</v>
      </c>
      <c r="Y5" s="31">
        <f>IF(OR(T5="",T5=0),"",N(W5)/T5)</f>
        <v>0</v>
      </c>
      <c r="Z5" s="25">
        <f>IF(AND(W5="",T5=""),"",N(W5)-N(T5))</f>
        <v>0</v>
      </c>
      <c r="AA5" s="25">
        <f>IF(OR(G5="",G5=0),"",N(T5)/(G5/1000))</f>
        <v>0</v>
      </c>
      <c r="AB5" s="29">
        <f>IF(B5="","",IF(Y5="","Not measured yet",IF(Y5&gt;=RoasTarget,"Yes - do it again",IF(Y5&gt;=1,"Maybe - it washed its face","No - it cost more than it made"))))</f>
        <v>0</v>
      </c>
      <c r="AC5" s="29">
        <f>IF(B5="","",IF(AND(M5="Contacted",L5&lt;&gt;"",TODAY()-L5&gt;7),"Action - follow up, no reply in a week",IF(AND(Q5&lt;&gt;"",Q5&lt;TODAY(),M5&lt;&gt;"Complete"),"Overdue - content not delivered",IF(AND(M5="Agreed",R5&lt;&gt;"Approved"),"Check - content still to approve","OK"))))</f>
        <v>0</v>
      </c>
      <c r="AD5" s="39" t="s">
        <v>205</v>
      </c>
    </row>
    <row r="6" spans="1:30">
      <c r="A6" s="41">
        <f>IF(B6="","","INF-"&amp;TEXT(ROW()-4,"000"))</f>
        <v>0</v>
      </c>
      <c r="B6" s="15" t="s">
        <v>1697</v>
      </c>
      <c r="C6" s="15" t="s">
        <v>1698</v>
      </c>
      <c r="D6" s="42" t="s">
        <v>1699</v>
      </c>
      <c r="E6" s="15" t="s">
        <v>1700</v>
      </c>
      <c r="F6" s="15" t="s">
        <v>1692</v>
      </c>
      <c r="G6" s="34">
        <v>61200</v>
      </c>
      <c r="H6" s="35">
        <v>0.031</v>
      </c>
      <c r="I6" s="39" t="s">
        <v>1693</v>
      </c>
      <c r="J6" s="15" t="s">
        <v>545</v>
      </c>
      <c r="K6" s="15" t="s">
        <v>1049</v>
      </c>
      <c r="L6" s="43">
        <v>46268</v>
      </c>
      <c r="M6" s="48" t="s">
        <v>504</v>
      </c>
      <c r="N6" s="39" t="s">
        <v>1694</v>
      </c>
      <c r="O6" s="36">
        <v>450</v>
      </c>
      <c r="P6" s="39" t="s">
        <v>1695</v>
      </c>
      <c r="Q6" s="43">
        <v>46298</v>
      </c>
      <c r="R6" s="48" t="s">
        <v>422</v>
      </c>
      <c r="S6" s="15" t="s">
        <v>1701</v>
      </c>
      <c r="T6" s="36">
        <v>450</v>
      </c>
      <c r="U6" s="34">
        <v>29</v>
      </c>
      <c r="V6" s="34">
        <v>1</v>
      </c>
      <c r="W6" s="36">
        <v>137.4</v>
      </c>
      <c r="X6" s="25">
        <f>IF(OR(V6="",V6=0),"",N(T6)/V6)</f>
        <v>0</v>
      </c>
      <c r="Y6" s="31">
        <f>IF(OR(T6="",T6=0),"",N(W6)/T6)</f>
        <v>0</v>
      </c>
      <c r="Z6" s="25">
        <f>IF(AND(W6="",T6=""),"",N(W6)-N(T6))</f>
        <v>0</v>
      </c>
      <c r="AA6" s="25">
        <f>IF(OR(G6="",G6=0),"",N(T6)/(G6/1000))</f>
        <v>0</v>
      </c>
      <c r="AB6" s="29">
        <f>IF(B6="","",IF(Y6="","Not measured yet",IF(Y6&gt;=RoasTarget,"Yes - do it again",IF(Y6&gt;=1,"Maybe - it washed its face","No - it cost more than it made"))))</f>
        <v>0</v>
      </c>
      <c r="AC6" s="29">
        <f>IF(B6="","",IF(AND(M6="Contacted",L6&lt;&gt;"",TODAY()-L6&gt;7),"Action - follow up, no reply in a week",IF(AND(Q6&lt;&gt;"",Q6&lt;TODAY(),M6&lt;&gt;"Complete"),"Overdue - content not delivered",IF(AND(M6="Agreed",R6&lt;&gt;"Approved"),"Check - content still to approve","OK"))))</f>
        <v>0</v>
      </c>
      <c r="AD6" s="39" t="s">
        <v>205</v>
      </c>
    </row>
    <row r="7" spans="1:30">
      <c r="A7" s="41">
        <f>IF(B7="","","INF-"&amp;TEXT(ROW()-4,"000"))</f>
        <v>0</v>
      </c>
      <c r="B7" s="15" t="s">
        <v>1702</v>
      </c>
      <c r="C7" s="15" t="s">
        <v>1703</v>
      </c>
      <c r="D7" s="42" t="s">
        <v>1704</v>
      </c>
      <c r="E7" s="15" t="s">
        <v>1705</v>
      </c>
      <c r="F7" s="15" t="s">
        <v>1692</v>
      </c>
      <c r="G7" s="34">
        <v>15400</v>
      </c>
      <c r="H7" s="35">
        <v>0.067</v>
      </c>
      <c r="I7" s="39" t="s">
        <v>1693</v>
      </c>
      <c r="J7" s="15" t="s">
        <v>546</v>
      </c>
      <c r="K7" s="15" t="s">
        <v>1049</v>
      </c>
      <c r="L7" s="43">
        <v>46300</v>
      </c>
      <c r="M7" s="48" t="s">
        <v>556</v>
      </c>
      <c r="N7" s="39" t="s">
        <v>1694</v>
      </c>
      <c r="O7" s="36">
        <v>0</v>
      </c>
      <c r="P7" s="39" t="s">
        <v>1695</v>
      </c>
      <c r="Q7" s="43">
        <v>46330</v>
      </c>
      <c r="R7" s="48" t="s">
        <v>420</v>
      </c>
      <c r="S7" s="15" t="s">
        <v>1706</v>
      </c>
      <c r="T7" s="36">
        <v>0</v>
      </c>
      <c r="U7" s="34">
        <v>34</v>
      </c>
      <c r="V7" s="34">
        <v>0</v>
      </c>
      <c r="W7" s="36">
        <v>2144.17</v>
      </c>
      <c r="X7" s="25">
        <f>IF(OR(V7="",V7=0),"",N(T7)/V7)</f>
        <v>0</v>
      </c>
      <c r="Y7" s="31">
        <f>IF(OR(T7="",T7=0),"",N(W7)/T7)</f>
        <v>0</v>
      </c>
      <c r="Z7" s="25">
        <f>IF(AND(W7="",T7=""),"",N(W7)-N(T7))</f>
        <v>0</v>
      </c>
      <c r="AA7" s="25">
        <f>IF(OR(G7="",G7=0),"",N(T7)/(G7/1000))</f>
        <v>0</v>
      </c>
      <c r="AB7" s="29">
        <f>IF(B7="","",IF(Y7="","Not measured yet",IF(Y7&gt;=RoasTarget,"Yes - do it again",IF(Y7&gt;=1,"Maybe - it washed its face","No - it cost more than it made"))))</f>
        <v>0</v>
      </c>
      <c r="AC7" s="29">
        <f>IF(B7="","",IF(AND(M7="Contacted",L7&lt;&gt;"",TODAY()-L7&gt;7),"Action - follow up, no reply in a week",IF(AND(Q7&lt;&gt;"",Q7&lt;TODAY(),M7&lt;&gt;"Complete"),"Overdue - content not delivered",IF(AND(M7="Agreed",R7&lt;&gt;"Approved"),"Check - content still to approve","OK"))))</f>
        <v>0</v>
      </c>
      <c r="AD7" s="39" t="s">
        <v>205</v>
      </c>
    </row>
    <row r="8" spans="1:30">
      <c r="A8" s="41">
        <f>IF(B8="","","INF-"&amp;TEXT(ROW()-4,"000"))</f>
        <v>0</v>
      </c>
      <c r="B8" s="15" t="s">
        <v>1707</v>
      </c>
      <c r="C8" s="15" t="s">
        <v>1708</v>
      </c>
      <c r="D8" s="42" t="s">
        <v>1709</v>
      </c>
      <c r="E8" s="15" t="s">
        <v>1710</v>
      </c>
      <c r="F8" s="15" t="s">
        <v>1692</v>
      </c>
      <c r="G8" s="34">
        <v>92000</v>
      </c>
      <c r="H8" s="35">
        <v>0.024</v>
      </c>
      <c r="I8" s="39" t="s">
        <v>1693</v>
      </c>
      <c r="J8" s="15" t="s">
        <v>549</v>
      </c>
      <c r="K8" s="15" t="s">
        <v>1049</v>
      </c>
      <c r="L8" s="43">
        <v>46303</v>
      </c>
      <c r="M8" s="48" t="s">
        <v>554</v>
      </c>
      <c r="N8" s="39" t="s">
        <v>205</v>
      </c>
      <c r="O8" s="36">
        <v>0</v>
      </c>
      <c r="P8" s="39" t="s">
        <v>1695</v>
      </c>
      <c r="Q8" s="43">
        <v>46333</v>
      </c>
      <c r="R8" s="48" t="s">
        <v>420</v>
      </c>
      <c r="S8" s="15" t="s">
        <v>1711</v>
      </c>
      <c r="T8" s="36">
        <v>0</v>
      </c>
      <c r="U8" s="34">
        <v>68</v>
      </c>
      <c r="V8" s="34">
        <v>24</v>
      </c>
      <c r="W8" s="36">
        <v>1849.94</v>
      </c>
      <c r="X8" s="25">
        <f>IF(OR(V8="",V8=0),"",N(T8)/V8)</f>
        <v>0</v>
      </c>
      <c r="Y8" s="31">
        <f>IF(OR(T8="",T8=0),"",N(W8)/T8)</f>
        <v>0</v>
      </c>
      <c r="Z8" s="25">
        <f>IF(AND(W8="",T8=""),"",N(W8)-N(T8))</f>
        <v>0</v>
      </c>
      <c r="AA8" s="25">
        <f>IF(OR(G8="",G8=0),"",N(T8)/(G8/1000))</f>
        <v>0</v>
      </c>
      <c r="AB8" s="29">
        <f>IF(B8="","",IF(Y8="","Not measured yet",IF(Y8&gt;=RoasTarget,"Yes - do it again",IF(Y8&gt;=1,"Maybe - it washed its face","No - it cost more than it made"))))</f>
        <v>0</v>
      </c>
      <c r="AC8" s="29">
        <f>IF(B8="","",IF(AND(M8="Contacted",L8&lt;&gt;"",TODAY()-L8&gt;7),"Action - follow up, no reply in a week",IF(AND(Q8&lt;&gt;"",Q8&lt;TODAY(),M8&lt;&gt;"Complete"),"Overdue - content not delivered",IF(AND(M8="Agreed",R8&lt;&gt;"Approved"),"Check - content still to approve","OK"))))</f>
        <v>0</v>
      </c>
      <c r="AD8" s="39" t="s">
        <v>205</v>
      </c>
    </row>
    <row r="9" spans="1:30">
      <c r="A9" s="41">
        <f>IF(B9="","","INF-"&amp;TEXT(ROW()-4,"000"))</f>
        <v>0</v>
      </c>
      <c r="X9" s="25">
        <f>IF(OR(V9="",V9=0),"",N(T9)/V9)</f>
        <v>0</v>
      </c>
      <c r="Y9" s="31">
        <f>IF(OR(T9="",T9=0),"",N(W9)/T9)</f>
        <v>0</v>
      </c>
      <c r="Z9" s="25">
        <f>IF(AND(W9="",T9=""),"",N(W9)-N(T9))</f>
        <v>0</v>
      </c>
      <c r="AA9" s="25">
        <f>IF(OR(G9="",G9=0),"",N(T9)/(G9/1000))</f>
        <v>0</v>
      </c>
      <c r="AB9" s="29">
        <f>IF(B9="","",IF(Y9="","Not measured yet",IF(Y9&gt;=RoasTarget,"Yes - do it again",IF(Y9&gt;=1,"Maybe - it washed its face","No - it cost more than it made"))))</f>
        <v>0</v>
      </c>
      <c r="AC9" s="29">
        <f>IF(B9="","",IF(AND(M9="Contacted",L9&lt;&gt;"",TODAY()-L9&gt;7),"Action - follow up, no reply in a week",IF(AND(Q9&lt;&gt;"",Q9&lt;TODAY(),M9&lt;&gt;"Complete"),"Overdue - content not delivered",IF(AND(M9="Agreed",R9&lt;&gt;"Approved"),"Check - content still to approve","OK"))))</f>
        <v>0</v>
      </c>
    </row>
    <row r="10" spans="1:30">
      <c r="A10" s="41">
        <f>IF(B10="","","INF-"&amp;TEXT(ROW()-4,"000"))</f>
        <v>0</v>
      </c>
      <c r="X10" s="25">
        <f>IF(OR(V10="",V10=0),"",N(T10)/V10)</f>
        <v>0</v>
      </c>
      <c r="Y10" s="31">
        <f>IF(OR(T10="",T10=0),"",N(W10)/T10)</f>
        <v>0</v>
      </c>
      <c r="Z10" s="25">
        <f>IF(AND(W10="",T10=""),"",N(W10)-N(T10))</f>
        <v>0</v>
      </c>
      <c r="AA10" s="25">
        <f>IF(OR(G10="",G10=0),"",N(T10)/(G10/1000))</f>
        <v>0</v>
      </c>
      <c r="AB10" s="29">
        <f>IF(B10="","",IF(Y10="","Not measured yet",IF(Y10&gt;=RoasTarget,"Yes - do it again",IF(Y10&gt;=1,"Maybe - it washed its face","No - it cost more than it made"))))</f>
        <v>0</v>
      </c>
      <c r="AC10" s="29">
        <f>IF(B10="","",IF(AND(M10="Contacted",L10&lt;&gt;"",TODAY()-L10&gt;7),"Action - follow up, no reply in a week",IF(AND(Q10&lt;&gt;"",Q10&lt;TODAY(),M10&lt;&gt;"Complete"),"Overdue - content not delivered",IF(AND(M10="Agreed",R10&lt;&gt;"Approved"),"Check - content still to approve","OK"))))</f>
        <v>0</v>
      </c>
    </row>
    <row r="11" spans="1:30">
      <c r="A11" s="41">
        <f>IF(B11="","","INF-"&amp;TEXT(ROW()-4,"000"))</f>
        <v>0</v>
      </c>
      <c r="X11" s="25">
        <f>IF(OR(V11="",V11=0),"",N(T11)/V11)</f>
        <v>0</v>
      </c>
      <c r="Y11" s="31">
        <f>IF(OR(T11="",T11=0),"",N(W11)/T11)</f>
        <v>0</v>
      </c>
      <c r="Z11" s="25">
        <f>IF(AND(W11="",T11=""),"",N(W11)-N(T11))</f>
        <v>0</v>
      </c>
      <c r="AA11" s="25">
        <f>IF(OR(G11="",G11=0),"",N(T11)/(G11/1000))</f>
        <v>0</v>
      </c>
      <c r="AB11" s="29">
        <f>IF(B11="","",IF(Y11="","Not measured yet",IF(Y11&gt;=RoasTarget,"Yes - do it again",IF(Y11&gt;=1,"Maybe - it washed its face","No - it cost more than it made"))))</f>
        <v>0</v>
      </c>
      <c r="AC11" s="29">
        <f>IF(B11="","",IF(AND(M11="Contacted",L11&lt;&gt;"",TODAY()-L11&gt;7),"Action - follow up, no reply in a week",IF(AND(Q11&lt;&gt;"",Q11&lt;TODAY(),M11&lt;&gt;"Complete"),"Overdue - content not delivered",IF(AND(M11="Agreed",R11&lt;&gt;"Approved"),"Check - content still to approve","OK"))))</f>
        <v>0</v>
      </c>
    </row>
    <row r="12" spans="1:30">
      <c r="A12" s="41">
        <f>IF(B12="","","INF-"&amp;TEXT(ROW()-4,"000"))</f>
        <v>0</v>
      </c>
      <c r="X12" s="25">
        <f>IF(OR(V12="",V12=0),"",N(T12)/V12)</f>
        <v>0</v>
      </c>
      <c r="Y12" s="31">
        <f>IF(OR(T12="",T12=0),"",N(W12)/T12)</f>
        <v>0</v>
      </c>
      <c r="Z12" s="25">
        <f>IF(AND(W12="",T12=""),"",N(W12)-N(T12))</f>
        <v>0</v>
      </c>
      <c r="AA12" s="25">
        <f>IF(OR(G12="",G12=0),"",N(T12)/(G12/1000))</f>
        <v>0</v>
      </c>
      <c r="AB12" s="29">
        <f>IF(B12="","",IF(Y12="","Not measured yet",IF(Y12&gt;=RoasTarget,"Yes - do it again",IF(Y12&gt;=1,"Maybe - it washed its face","No - it cost more than it made"))))</f>
        <v>0</v>
      </c>
      <c r="AC12" s="29">
        <f>IF(B12="","",IF(AND(M12="Contacted",L12&lt;&gt;"",TODAY()-L12&gt;7),"Action - follow up, no reply in a week",IF(AND(Q12&lt;&gt;"",Q12&lt;TODAY(),M12&lt;&gt;"Complete"),"Overdue - content not delivered",IF(AND(M12="Agreed",R12&lt;&gt;"Approved"),"Check - content still to approve","OK"))))</f>
        <v>0</v>
      </c>
    </row>
    <row r="13" spans="1:30">
      <c r="A13" s="41">
        <f>IF(B13="","","INF-"&amp;TEXT(ROW()-4,"000"))</f>
        <v>0</v>
      </c>
      <c r="X13" s="25">
        <f>IF(OR(V13="",V13=0),"",N(T13)/V13)</f>
        <v>0</v>
      </c>
      <c r="Y13" s="31">
        <f>IF(OR(T13="",T13=0),"",N(W13)/T13)</f>
        <v>0</v>
      </c>
      <c r="Z13" s="25">
        <f>IF(AND(W13="",T13=""),"",N(W13)-N(T13))</f>
        <v>0</v>
      </c>
      <c r="AA13" s="25">
        <f>IF(OR(G13="",G13=0),"",N(T13)/(G13/1000))</f>
        <v>0</v>
      </c>
      <c r="AB13" s="29">
        <f>IF(B13="","",IF(Y13="","Not measured yet",IF(Y13&gt;=RoasTarget,"Yes - do it again",IF(Y13&gt;=1,"Maybe - it washed its face","No - it cost more than it made"))))</f>
        <v>0</v>
      </c>
      <c r="AC13" s="29">
        <f>IF(B13="","",IF(AND(M13="Contacted",L13&lt;&gt;"",TODAY()-L13&gt;7),"Action - follow up, no reply in a week",IF(AND(Q13&lt;&gt;"",Q13&lt;TODAY(),M13&lt;&gt;"Complete"),"Overdue - content not delivered",IF(AND(M13="Agreed",R13&lt;&gt;"Approved"),"Check - content still to approve","OK"))))</f>
        <v>0</v>
      </c>
    </row>
    <row r="14" spans="1:30">
      <c r="A14" s="41">
        <f>IF(B14="","","INF-"&amp;TEXT(ROW()-4,"000"))</f>
        <v>0</v>
      </c>
      <c r="X14" s="25">
        <f>IF(OR(V14="",V14=0),"",N(T14)/V14)</f>
        <v>0</v>
      </c>
      <c r="Y14" s="31">
        <f>IF(OR(T14="",T14=0),"",N(W14)/T14)</f>
        <v>0</v>
      </c>
      <c r="Z14" s="25">
        <f>IF(AND(W14="",T14=""),"",N(W14)-N(T14))</f>
        <v>0</v>
      </c>
      <c r="AA14" s="25">
        <f>IF(OR(G14="",G14=0),"",N(T14)/(G14/1000))</f>
        <v>0</v>
      </c>
      <c r="AB14" s="29">
        <f>IF(B14="","",IF(Y14="","Not measured yet",IF(Y14&gt;=RoasTarget,"Yes - do it again",IF(Y14&gt;=1,"Maybe - it washed its face","No - it cost more than it made"))))</f>
        <v>0</v>
      </c>
      <c r="AC14" s="29">
        <f>IF(B14="","",IF(AND(M14="Contacted",L14&lt;&gt;"",TODAY()-L14&gt;7),"Action - follow up, no reply in a week",IF(AND(Q14&lt;&gt;"",Q14&lt;TODAY(),M14&lt;&gt;"Complete"),"Overdue - content not delivered",IF(AND(M14="Agreed",R14&lt;&gt;"Approved"),"Check - content still to approve","OK"))))</f>
        <v>0</v>
      </c>
    </row>
    <row r="15" spans="1:30">
      <c r="A15" s="41">
        <f>IF(B15="","","INF-"&amp;TEXT(ROW()-4,"000"))</f>
        <v>0</v>
      </c>
      <c r="X15" s="25">
        <f>IF(OR(V15="",V15=0),"",N(T15)/V15)</f>
        <v>0</v>
      </c>
      <c r="Y15" s="31">
        <f>IF(OR(T15="",T15=0),"",N(W15)/T15)</f>
        <v>0</v>
      </c>
      <c r="Z15" s="25">
        <f>IF(AND(W15="",T15=""),"",N(W15)-N(T15))</f>
        <v>0</v>
      </c>
      <c r="AA15" s="25">
        <f>IF(OR(G15="",G15=0),"",N(T15)/(G15/1000))</f>
        <v>0</v>
      </c>
      <c r="AB15" s="29">
        <f>IF(B15="","",IF(Y15="","Not measured yet",IF(Y15&gt;=RoasTarget,"Yes - do it again",IF(Y15&gt;=1,"Maybe - it washed its face","No - it cost more than it made"))))</f>
        <v>0</v>
      </c>
      <c r="AC15" s="29">
        <f>IF(B15="","",IF(AND(M15="Contacted",L15&lt;&gt;"",TODAY()-L15&gt;7),"Action - follow up, no reply in a week",IF(AND(Q15&lt;&gt;"",Q15&lt;TODAY(),M15&lt;&gt;"Complete"),"Overdue - content not delivered",IF(AND(M15="Agreed",R15&lt;&gt;"Approved"),"Check - content still to approve","OK"))))</f>
        <v>0</v>
      </c>
    </row>
    <row r="16" spans="1:30">
      <c r="A16" s="41">
        <f>IF(B16="","","INF-"&amp;TEXT(ROW()-4,"000"))</f>
        <v>0</v>
      </c>
      <c r="X16" s="25">
        <f>IF(OR(V16="",V16=0),"",N(T16)/V16)</f>
        <v>0</v>
      </c>
      <c r="Y16" s="31">
        <f>IF(OR(T16="",T16=0),"",N(W16)/T16)</f>
        <v>0</v>
      </c>
      <c r="Z16" s="25">
        <f>IF(AND(W16="",T16=""),"",N(W16)-N(T16))</f>
        <v>0</v>
      </c>
      <c r="AA16" s="25">
        <f>IF(OR(G16="",G16=0),"",N(T16)/(G16/1000))</f>
        <v>0</v>
      </c>
      <c r="AB16" s="29">
        <f>IF(B16="","",IF(Y16="","Not measured yet",IF(Y16&gt;=RoasTarget,"Yes - do it again",IF(Y16&gt;=1,"Maybe - it washed its face","No - it cost more than it made"))))</f>
        <v>0</v>
      </c>
      <c r="AC16" s="29">
        <f>IF(B16="","",IF(AND(M16="Contacted",L16&lt;&gt;"",TODAY()-L16&gt;7),"Action - follow up, no reply in a week",IF(AND(Q16&lt;&gt;"",Q16&lt;TODAY(),M16&lt;&gt;"Complete"),"Overdue - content not delivered",IF(AND(M16="Agreed",R16&lt;&gt;"Approved"),"Check - content still to approve","OK"))))</f>
        <v>0</v>
      </c>
    </row>
    <row r="17" spans="1:29">
      <c r="A17" s="41">
        <f>IF(B17="","","INF-"&amp;TEXT(ROW()-4,"000"))</f>
        <v>0</v>
      </c>
      <c r="X17" s="25">
        <f>IF(OR(V17="",V17=0),"",N(T17)/V17)</f>
        <v>0</v>
      </c>
      <c r="Y17" s="31">
        <f>IF(OR(T17="",T17=0),"",N(W17)/T17)</f>
        <v>0</v>
      </c>
      <c r="Z17" s="25">
        <f>IF(AND(W17="",T17=""),"",N(W17)-N(T17))</f>
        <v>0</v>
      </c>
      <c r="AA17" s="25">
        <f>IF(OR(G17="",G17=0),"",N(T17)/(G17/1000))</f>
        <v>0</v>
      </c>
      <c r="AB17" s="29">
        <f>IF(B17="","",IF(Y17="","Not measured yet",IF(Y17&gt;=RoasTarget,"Yes - do it again",IF(Y17&gt;=1,"Maybe - it washed its face","No - it cost more than it made"))))</f>
        <v>0</v>
      </c>
      <c r="AC17" s="29">
        <f>IF(B17="","",IF(AND(M17="Contacted",L17&lt;&gt;"",TODAY()-L17&gt;7),"Action - follow up, no reply in a week",IF(AND(Q17&lt;&gt;"",Q17&lt;TODAY(),M17&lt;&gt;"Complete"),"Overdue - content not delivered",IF(AND(M17="Agreed",R17&lt;&gt;"Approved"),"Check - content still to approve","OK"))))</f>
        <v>0</v>
      </c>
    </row>
    <row r="18" spans="1:29">
      <c r="A18" s="41">
        <f>IF(B18="","","INF-"&amp;TEXT(ROW()-4,"000"))</f>
        <v>0</v>
      </c>
      <c r="X18" s="25">
        <f>IF(OR(V18="",V18=0),"",N(T18)/V18)</f>
        <v>0</v>
      </c>
      <c r="Y18" s="31">
        <f>IF(OR(T18="",T18=0),"",N(W18)/T18)</f>
        <v>0</v>
      </c>
      <c r="Z18" s="25">
        <f>IF(AND(W18="",T18=""),"",N(W18)-N(T18))</f>
        <v>0</v>
      </c>
      <c r="AA18" s="25">
        <f>IF(OR(G18="",G18=0),"",N(T18)/(G18/1000))</f>
        <v>0</v>
      </c>
      <c r="AB18" s="29">
        <f>IF(B18="","",IF(Y18="","Not measured yet",IF(Y18&gt;=RoasTarget,"Yes - do it again",IF(Y18&gt;=1,"Maybe - it washed its face","No - it cost more than it made"))))</f>
        <v>0</v>
      </c>
      <c r="AC18" s="29">
        <f>IF(B18="","",IF(AND(M18="Contacted",L18&lt;&gt;"",TODAY()-L18&gt;7),"Action - follow up, no reply in a week",IF(AND(Q18&lt;&gt;"",Q18&lt;TODAY(),M18&lt;&gt;"Complete"),"Overdue - content not delivered",IF(AND(M18="Agreed",R18&lt;&gt;"Approved"),"Check - content still to approve","OK"))))</f>
        <v>0</v>
      </c>
    </row>
    <row r="19" spans="1:29">
      <c r="A19" s="41">
        <f>IF(B19="","","INF-"&amp;TEXT(ROW()-4,"000"))</f>
        <v>0</v>
      </c>
      <c r="X19" s="25">
        <f>IF(OR(V19="",V19=0),"",N(T19)/V19)</f>
        <v>0</v>
      </c>
      <c r="Y19" s="31">
        <f>IF(OR(T19="",T19=0),"",N(W19)/T19)</f>
        <v>0</v>
      </c>
      <c r="Z19" s="25">
        <f>IF(AND(W19="",T19=""),"",N(W19)-N(T19))</f>
        <v>0</v>
      </c>
      <c r="AA19" s="25">
        <f>IF(OR(G19="",G19=0),"",N(T19)/(G19/1000))</f>
        <v>0</v>
      </c>
      <c r="AB19" s="29">
        <f>IF(B19="","",IF(Y19="","Not measured yet",IF(Y19&gt;=RoasTarget,"Yes - do it again",IF(Y19&gt;=1,"Maybe - it washed its face","No - it cost more than it made"))))</f>
        <v>0</v>
      </c>
      <c r="AC19" s="29">
        <f>IF(B19="","",IF(AND(M19="Contacted",L19&lt;&gt;"",TODAY()-L19&gt;7),"Action - follow up, no reply in a week",IF(AND(Q19&lt;&gt;"",Q19&lt;TODAY(),M19&lt;&gt;"Complete"),"Overdue - content not delivered",IF(AND(M19="Agreed",R19&lt;&gt;"Approved"),"Check - content still to approve","OK"))))</f>
        <v>0</v>
      </c>
    </row>
    <row r="20" spans="1:29">
      <c r="A20" s="41">
        <f>IF(B20="","","INF-"&amp;TEXT(ROW()-4,"000"))</f>
        <v>0</v>
      </c>
      <c r="X20" s="25">
        <f>IF(OR(V20="",V20=0),"",N(T20)/V20)</f>
        <v>0</v>
      </c>
      <c r="Y20" s="31">
        <f>IF(OR(T20="",T20=0),"",N(W20)/T20)</f>
        <v>0</v>
      </c>
      <c r="Z20" s="25">
        <f>IF(AND(W20="",T20=""),"",N(W20)-N(T20))</f>
        <v>0</v>
      </c>
      <c r="AA20" s="25">
        <f>IF(OR(G20="",G20=0),"",N(T20)/(G20/1000))</f>
        <v>0</v>
      </c>
      <c r="AB20" s="29">
        <f>IF(B20="","",IF(Y20="","Not measured yet",IF(Y20&gt;=RoasTarget,"Yes - do it again",IF(Y20&gt;=1,"Maybe - it washed its face","No - it cost more than it made"))))</f>
        <v>0</v>
      </c>
      <c r="AC20" s="29">
        <f>IF(B20="","",IF(AND(M20="Contacted",L20&lt;&gt;"",TODAY()-L20&gt;7),"Action - follow up, no reply in a week",IF(AND(Q20&lt;&gt;"",Q20&lt;TODAY(),M20&lt;&gt;"Complete"),"Overdue - content not delivered",IF(AND(M20="Agreed",R20&lt;&gt;"Approved"),"Check - content still to approve","OK"))))</f>
        <v>0</v>
      </c>
    </row>
    <row r="21" spans="1:29">
      <c r="A21" s="41">
        <f>IF(B21="","","INF-"&amp;TEXT(ROW()-4,"000"))</f>
        <v>0</v>
      </c>
      <c r="X21" s="25">
        <f>IF(OR(V21="",V21=0),"",N(T21)/V21)</f>
        <v>0</v>
      </c>
      <c r="Y21" s="31">
        <f>IF(OR(T21="",T21=0),"",N(W21)/T21)</f>
        <v>0</v>
      </c>
      <c r="Z21" s="25">
        <f>IF(AND(W21="",T21=""),"",N(W21)-N(T21))</f>
        <v>0</v>
      </c>
      <c r="AA21" s="25">
        <f>IF(OR(G21="",G21=0),"",N(T21)/(G21/1000))</f>
        <v>0</v>
      </c>
      <c r="AB21" s="29">
        <f>IF(B21="","",IF(Y21="","Not measured yet",IF(Y21&gt;=RoasTarget,"Yes - do it again",IF(Y21&gt;=1,"Maybe - it washed its face","No - it cost more than it made"))))</f>
        <v>0</v>
      </c>
      <c r="AC21" s="29">
        <f>IF(B21="","",IF(AND(M21="Contacted",L21&lt;&gt;"",TODAY()-L21&gt;7),"Action - follow up, no reply in a week",IF(AND(Q21&lt;&gt;"",Q21&lt;TODAY(),M21&lt;&gt;"Complete"),"Overdue - content not delivered",IF(AND(M21="Agreed",R21&lt;&gt;"Approved"),"Check - content still to approve","OK"))))</f>
        <v>0</v>
      </c>
    </row>
    <row r="22" spans="1:29">
      <c r="A22" s="41">
        <f>IF(B22="","","INF-"&amp;TEXT(ROW()-4,"000"))</f>
        <v>0</v>
      </c>
      <c r="X22" s="25">
        <f>IF(OR(V22="",V22=0),"",N(T22)/V22)</f>
        <v>0</v>
      </c>
      <c r="Y22" s="31">
        <f>IF(OR(T22="",T22=0),"",N(W22)/T22)</f>
        <v>0</v>
      </c>
      <c r="Z22" s="25">
        <f>IF(AND(W22="",T22=""),"",N(W22)-N(T22))</f>
        <v>0</v>
      </c>
      <c r="AA22" s="25">
        <f>IF(OR(G22="",G22=0),"",N(T22)/(G22/1000))</f>
        <v>0</v>
      </c>
      <c r="AB22" s="29">
        <f>IF(B22="","",IF(Y22="","Not measured yet",IF(Y22&gt;=RoasTarget,"Yes - do it again",IF(Y22&gt;=1,"Maybe - it washed its face","No - it cost more than it made"))))</f>
        <v>0</v>
      </c>
      <c r="AC22" s="29">
        <f>IF(B22="","",IF(AND(M22="Contacted",L22&lt;&gt;"",TODAY()-L22&gt;7),"Action - follow up, no reply in a week",IF(AND(Q22&lt;&gt;"",Q22&lt;TODAY(),M22&lt;&gt;"Complete"),"Overdue - content not delivered",IF(AND(M22="Agreed",R22&lt;&gt;"Approved"),"Check - content still to approve","OK"))))</f>
        <v>0</v>
      </c>
    </row>
    <row r="23" spans="1:29">
      <c r="A23" s="41">
        <f>IF(B23="","","INF-"&amp;TEXT(ROW()-4,"000"))</f>
        <v>0</v>
      </c>
      <c r="X23" s="25">
        <f>IF(OR(V23="",V23=0),"",N(T23)/V23)</f>
        <v>0</v>
      </c>
      <c r="Y23" s="31">
        <f>IF(OR(T23="",T23=0),"",N(W23)/T23)</f>
        <v>0</v>
      </c>
      <c r="Z23" s="25">
        <f>IF(AND(W23="",T23=""),"",N(W23)-N(T23))</f>
        <v>0</v>
      </c>
      <c r="AA23" s="25">
        <f>IF(OR(G23="",G23=0),"",N(T23)/(G23/1000))</f>
        <v>0</v>
      </c>
      <c r="AB23" s="29">
        <f>IF(B23="","",IF(Y23="","Not measured yet",IF(Y23&gt;=RoasTarget,"Yes - do it again",IF(Y23&gt;=1,"Maybe - it washed its face","No - it cost more than it made"))))</f>
        <v>0</v>
      </c>
      <c r="AC23" s="29">
        <f>IF(B23="","",IF(AND(M23="Contacted",L23&lt;&gt;"",TODAY()-L23&gt;7),"Action - follow up, no reply in a week",IF(AND(Q23&lt;&gt;"",Q23&lt;TODAY(),M23&lt;&gt;"Complete"),"Overdue - content not delivered",IF(AND(M23="Agreed",R23&lt;&gt;"Approved"),"Check - content still to approve","OK"))))</f>
        <v>0</v>
      </c>
    </row>
    <row r="24" spans="1:29">
      <c r="A24" s="41">
        <f>IF(B24="","","INF-"&amp;TEXT(ROW()-4,"000"))</f>
        <v>0</v>
      </c>
      <c r="X24" s="25">
        <f>IF(OR(V24="",V24=0),"",N(T24)/V24)</f>
        <v>0</v>
      </c>
      <c r="Y24" s="31">
        <f>IF(OR(T24="",T24=0),"",N(W24)/T24)</f>
        <v>0</v>
      </c>
      <c r="Z24" s="25">
        <f>IF(AND(W24="",T24=""),"",N(W24)-N(T24))</f>
        <v>0</v>
      </c>
      <c r="AA24" s="25">
        <f>IF(OR(G24="",G24=0),"",N(T24)/(G24/1000))</f>
        <v>0</v>
      </c>
      <c r="AB24" s="29">
        <f>IF(B24="","",IF(Y24="","Not measured yet",IF(Y24&gt;=RoasTarget,"Yes - do it again",IF(Y24&gt;=1,"Maybe - it washed its face","No - it cost more than it made"))))</f>
        <v>0</v>
      </c>
      <c r="AC24" s="29">
        <f>IF(B24="","",IF(AND(M24="Contacted",L24&lt;&gt;"",TODAY()-L24&gt;7),"Action - follow up, no reply in a week",IF(AND(Q24&lt;&gt;"",Q24&lt;TODAY(),M24&lt;&gt;"Complete"),"Overdue - content not delivered",IF(AND(M24="Agreed",R24&lt;&gt;"Approved"),"Check - content still to approve","OK"))))</f>
        <v>0</v>
      </c>
    </row>
    <row r="25" spans="1:29">
      <c r="A25" s="41">
        <f>IF(B25="","","INF-"&amp;TEXT(ROW()-4,"000"))</f>
        <v>0</v>
      </c>
      <c r="X25" s="25">
        <f>IF(OR(V25="",V25=0),"",N(T25)/V25)</f>
        <v>0</v>
      </c>
      <c r="Y25" s="31">
        <f>IF(OR(T25="",T25=0),"",N(W25)/T25)</f>
        <v>0</v>
      </c>
      <c r="Z25" s="25">
        <f>IF(AND(W25="",T25=""),"",N(W25)-N(T25))</f>
        <v>0</v>
      </c>
      <c r="AA25" s="25">
        <f>IF(OR(G25="",G25=0),"",N(T25)/(G25/1000))</f>
        <v>0</v>
      </c>
      <c r="AB25" s="29">
        <f>IF(B25="","",IF(Y25="","Not measured yet",IF(Y25&gt;=RoasTarget,"Yes - do it again",IF(Y25&gt;=1,"Maybe - it washed its face","No - it cost more than it made"))))</f>
        <v>0</v>
      </c>
      <c r="AC25" s="29">
        <f>IF(B25="","",IF(AND(M25="Contacted",L25&lt;&gt;"",TODAY()-L25&gt;7),"Action - follow up, no reply in a week",IF(AND(Q25&lt;&gt;"",Q25&lt;TODAY(),M25&lt;&gt;"Complete"),"Overdue - content not delivered",IF(AND(M25="Agreed",R25&lt;&gt;"Approved"),"Check - content still to approve","OK"))))</f>
        <v>0</v>
      </c>
    </row>
    <row r="26" spans="1:29">
      <c r="A26" s="41">
        <f>IF(B26="","","INF-"&amp;TEXT(ROW()-4,"000"))</f>
        <v>0</v>
      </c>
      <c r="X26" s="25">
        <f>IF(OR(V26="",V26=0),"",N(T26)/V26)</f>
        <v>0</v>
      </c>
      <c r="Y26" s="31">
        <f>IF(OR(T26="",T26=0),"",N(W26)/T26)</f>
        <v>0</v>
      </c>
      <c r="Z26" s="25">
        <f>IF(AND(W26="",T26=""),"",N(W26)-N(T26))</f>
        <v>0</v>
      </c>
      <c r="AA26" s="25">
        <f>IF(OR(G26="",G26=0),"",N(T26)/(G26/1000))</f>
        <v>0</v>
      </c>
      <c r="AB26" s="29">
        <f>IF(B26="","",IF(Y26="","Not measured yet",IF(Y26&gt;=RoasTarget,"Yes - do it again",IF(Y26&gt;=1,"Maybe - it washed its face","No - it cost more than it made"))))</f>
        <v>0</v>
      </c>
      <c r="AC26" s="29">
        <f>IF(B26="","",IF(AND(M26="Contacted",L26&lt;&gt;"",TODAY()-L26&gt;7),"Action - follow up, no reply in a week",IF(AND(Q26&lt;&gt;"",Q26&lt;TODAY(),M26&lt;&gt;"Complete"),"Overdue - content not delivered",IF(AND(M26="Agreed",R26&lt;&gt;"Approved"),"Check - content still to approve","OK"))))</f>
        <v>0</v>
      </c>
    </row>
    <row r="27" spans="1:29">
      <c r="A27" s="41">
        <f>IF(B27="","","INF-"&amp;TEXT(ROW()-4,"000"))</f>
        <v>0</v>
      </c>
      <c r="X27" s="25">
        <f>IF(OR(V27="",V27=0),"",N(T27)/V27)</f>
        <v>0</v>
      </c>
      <c r="Y27" s="31">
        <f>IF(OR(T27="",T27=0),"",N(W27)/T27)</f>
        <v>0</v>
      </c>
      <c r="Z27" s="25">
        <f>IF(AND(W27="",T27=""),"",N(W27)-N(T27))</f>
        <v>0</v>
      </c>
      <c r="AA27" s="25">
        <f>IF(OR(G27="",G27=0),"",N(T27)/(G27/1000))</f>
        <v>0</v>
      </c>
      <c r="AB27" s="29">
        <f>IF(B27="","",IF(Y27="","Not measured yet",IF(Y27&gt;=RoasTarget,"Yes - do it again",IF(Y27&gt;=1,"Maybe - it washed its face","No - it cost more than it made"))))</f>
        <v>0</v>
      </c>
      <c r="AC27" s="29">
        <f>IF(B27="","",IF(AND(M27="Contacted",L27&lt;&gt;"",TODAY()-L27&gt;7),"Action - follow up, no reply in a week",IF(AND(Q27&lt;&gt;"",Q27&lt;TODAY(),M27&lt;&gt;"Complete"),"Overdue - content not delivered",IF(AND(M27="Agreed",R27&lt;&gt;"Approved"),"Check - content still to approve","OK"))))</f>
        <v>0</v>
      </c>
    </row>
    <row r="28" spans="1:29">
      <c r="A28" s="41">
        <f>IF(B28="","","INF-"&amp;TEXT(ROW()-4,"000"))</f>
        <v>0</v>
      </c>
      <c r="X28" s="25">
        <f>IF(OR(V28="",V28=0),"",N(T28)/V28)</f>
        <v>0</v>
      </c>
      <c r="Y28" s="31">
        <f>IF(OR(T28="",T28=0),"",N(W28)/T28)</f>
        <v>0</v>
      </c>
      <c r="Z28" s="25">
        <f>IF(AND(W28="",T28=""),"",N(W28)-N(T28))</f>
        <v>0</v>
      </c>
      <c r="AA28" s="25">
        <f>IF(OR(G28="",G28=0),"",N(T28)/(G28/1000))</f>
        <v>0</v>
      </c>
      <c r="AB28" s="29">
        <f>IF(B28="","",IF(Y28="","Not measured yet",IF(Y28&gt;=RoasTarget,"Yes - do it again",IF(Y28&gt;=1,"Maybe - it washed its face","No - it cost more than it made"))))</f>
        <v>0</v>
      </c>
      <c r="AC28" s="29">
        <f>IF(B28="","",IF(AND(M28="Contacted",L28&lt;&gt;"",TODAY()-L28&gt;7),"Action - follow up, no reply in a week",IF(AND(Q28&lt;&gt;"",Q28&lt;TODAY(),M28&lt;&gt;"Complete"),"Overdue - content not delivered",IF(AND(M28="Agreed",R28&lt;&gt;"Approved"),"Check - content still to approve","OK"))))</f>
        <v>0</v>
      </c>
    </row>
    <row r="29" spans="1:29">
      <c r="A29" s="41">
        <f>IF(B29="","","INF-"&amp;TEXT(ROW()-4,"000"))</f>
        <v>0</v>
      </c>
      <c r="X29" s="25">
        <f>IF(OR(V29="",V29=0),"",N(T29)/V29)</f>
        <v>0</v>
      </c>
      <c r="Y29" s="31">
        <f>IF(OR(T29="",T29=0),"",N(W29)/T29)</f>
        <v>0</v>
      </c>
      <c r="Z29" s="25">
        <f>IF(AND(W29="",T29=""),"",N(W29)-N(T29))</f>
        <v>0</v>
      </c>
      <c r="AA29" s="25">
        <f>IF(OR(G29="",G29=0),"",N(T29)/(G29/1000))</f>
        <v>0</v>
      </c>
      <c r="AB29" s="29">
        <f>IF(B29="","",IF(Y29="","Not measured yet",IF(Y29&gt;=RoasTarget,"Yes - do it again",IF(Y29&gt;=1,"Maybe - it washed its face","No - it cost more than it made"))))</f>
        <v>0</v>
      </c>
      <c r="AC29" s="29">
        <f>IF(B29="","",IF(AND(M29="Contacted",L29&lt;&gt;"",TODAY()-L29&gt;7),"Action - follow up, no reply in a week",IF(AND(Q29&lt;&gt;"",Q29&lt;TODAY(),M29&lt;&gt;"Complete"),"Overdue - content not delivered",IF(AND(M29="Agreed",R29&lt;&gt;"Approved"),"Check - content still to approve","OK"))))</f>
        <v>0</v>
      </c>
    </row>
    <row r="30" spans="1:29">
      <c r="A30" s="41">
        <f>IF(B30="","","INF-"&amp;TEXT(ROW()-4,"000"))</f>
        <v>0</v>
      </c>
      <c r="X30" s="25">
        <f>IF(OR(V30="",V30=0),"",N(T30)/V30)</f>
        <v>0</v>
      </c>
      <c r="Y30" s="31">
        <f>IF(OR(T30="",T30=0),"",N(W30)/T30)</f>
        <v>0</v>
      </c>
      <c r="Z30" s="25">
        <f>IF(AND(W30="",T30=""),"",N(W30)-N(T30))</f>
        <v>0</v>
      </c>
      <c r="AA30" s="25">
        <f>IF(OR(G30="",G30=0),"",N(T30)/(G30/1000))</f>
        <v>0</v>
      </c>
      <c r="AB30" s="29">
        <f>IF(B30="","",IF(Y30="","Not measured yet",IF(Y30&gt;=RoasTarget,"Yes - do it again",IF(Y30&gt;=1,"Maybe - it washed its face","No - it cost more than it made"))))</f>
        <v>0</v>
      </c>
      <c r="AC30" s="29">
        <f>IF(B30="","",IF(AND(M30="Contacted",L30&lt;&gt;"",TODAY()-L30&gt;7),"Action - follow up, no reply in a week",IF(AND(Q30&lt;&gt;"",Q30&lt;TODAY(),M30&lt;&gt;"Complete"),"Overdue - content not delivered",IF(AND(M30="Agreed",R30&lt;&gt;"Approved"),"Check - content still to approve","OK"))))</f>
        <v>0</v>
      </c>
    </row>
    <row r="31" spans="1:29">
      <c r="A31" s="41">
        <f>IF(B31="","","INF-"&amp;TEXT(ROW()-4,"000"))</f>
        <v>0</v>
      </c>
      <c r="X31" s="25">
        <f>IF(OR(V31="",V31=0),"",N(T31)/V31)</f>
        <v>0</v>
      </c>
      <c r="Y31" s="31">
        <f>IF(OR(T31="",T31=0),"",N(W31)/T31)</f>
        <v>0</v>
      </c>
      <c r="Z31" s="25">
        <f>IF(AND(W31="",T31=""),"",N(W31)-N(T31))</f>
        <v>0</v>
      </c>
      <c r="AA31" s="25">
        <f>IF(OR(G31="",G31=0),"",N(T31)/(G31/1000))</f>
        <v>0</v>
      </c>
      <c r="AB31" s="29">
        <f>IF(B31="","",IF(Y31="","Not measured yet",IF(Y31&gt;=RoasTarget,"Yes - do it again",IF(Y31&gt;=1,"Maybe - it washed its face","No - it cost more than it made"))))</f>
        <v>0</v>
      </c>
      <c r="AC31" s="29">
        <f>IF(B31="","",IF(AND(M31="Contacted",L31&lt;&gt;"",TODAY()-L31&gt;7),"Action - follow up, no reply in a week",IF(AND(Q31&lt;&gt;"",Q31&lt;TODAY(),M31&lt;&gt;"Complete"),"Overdue - content not delivered",IF(AND(M31="Agreed",R31&lt;&gt;"Approved"),"Check - content still to approve","OK"))))</f>
        <v>0</v>
      </c>
    </row>
    <row r="32" spans="1:29">
      <c r="A32" s="41">
        <f>IF(B32="","","INF-"&amp;TEXT(ROW()-4,"000"))</f>
        <v>0</v>
      </c>
      <c r="X32" s="25">
        <f>IF(OR(V32="",V32=0),"",N(T32)/V32)</f>
        <v>0</v>
      </c>
      <c r="Y32" s="31">
        <f>IF(OR(T32="",T32=0),"",N(W32)/T32)</f>
        <v>0</v>
      </c>
      <c r="Z32" s="25">
        <f>IF(AND(W32="",T32=""),"",N(W32)-N(T32))</f>
        <v>0</v>
      </c>
      <c r="AA32" s="25">
        <f>IF(OR(G32="",G32=0),"",N(T32)/(G32/1000))</f>
        <v>0</v>
      </c>
      <c r="AB32" s="29">
        <f>IF(B32="","",IF(Y32="","Not measured yet",IF(Y32&gt;=RoasTarget,"Yes - do it again",IF(Y32&gt;=1,"Maybe - it washed its face","No - it cost more than it made"))))</f>
        <v>0</v>
      </c>
      <c r="AC32" s="29">
        <f>IF(B32="","",IF(AND(M32="Contacted",L32&lt;&gt;"",TODAY()-L32&gt;7),"Action - follow up, no reply in a week",IF(AND(Q32&lt;&gt;"",Q32&lt;TODAY(),M32&lt;&gt;"Complete"),"Overdue - content not delivered",IF(AND(M32="Agreed",R32&lt;&gt;"Approved"),"Check - content still to approve","OK"))))</f>
        <v>0</v>
      </c>
    </row>
    <row r="33" spans="1:29">
      <c r="A33" s="41">
        <f>IF(B33="","","INF-"&amp;TEXT(ROW()-4,"000"))</f>
        <v>0</v>
      </c>
      <c r="X33" s="25">
        <f>IF(OR(V33="",V33=0),"",N(T33)/V33)</f>
        <v>0</v>
      </c>
      <c r="Y33" s="31">
        <f>IF(OR(T33="",T33=0),"",N(W33)/T33)</f>
        <v>0</v>
      </c>
      <c r="Z33" s="25">
        <f>IF(AND(W33="",T33=""),"",N(W33)-N(T33))</f>
        <v>0</v>
      </c>
      <c r="AA33" s="25">
        <f>IF(OR(G33="",G33=0),"",N(T33)/(G33/1000))</f>
        <v>0</v>
      </c>
      <c r="AB33" s="29">
        <f>IF(B33="","",IF(Y33="","Not measured yet",IF(Y33&gt;=RoasTarget,"Yes - do it again",IF(Y33&gt;=1,"Maybe - it washed its face","No - it cost more than it made"))))</f>
        <v>0</v>
      </c>
      <c r="AC33" s="29">
        <f>IF(B33="","",IF(AND(M33="Contacted",L33&lt;&gt;"",TODAY()-L33&gt;7),"Action - follow up, no reply in a week",IF(AND(Q33&lt;&gt;"",Q33&lt;TODAY(),M33&lt;&gt;"Complete"),"Overdue - content not delivered",IF(AND(M33="Agreed",R33&lt;&gt;"Approved"),"Check - content still to approve","OK"))))</f>
        <v>0</v>
      </c>
    </row>
    <row r="34" spans="1:29">
      <c r="A34" s="41">
        <f>IF(B34="","","INF-"&amp;TEXT(ROW()-4,"000"))</f>
        <v>0</v>
      </c>
      <c r="X34" s="25">
        <f>IF(OR(V34="",V34=0),"",N(T34)/V34)</f>
        <v>0</v>
      </c>
      <c r="Y34" s="31">
        <f>IF(OR(T34="",T34=0),"",N(W34)/T34)</f>
        <v>0</v>
      </c>
      <c r="Z34" s="25">
        <f>IF(AND(W34="",T34=""),"",N(W34)-N(T34))</f>
        <v>0</v>
      </c>
      <c r="AA34" s="25">
        <f>IF(OR(G34="",G34=0),"",N(T34)/(G34/1000))</f>
        <v>0</v>
      </c>
      <c r="AB34" s="29">
        <f>IF(B34="","",IF(Y34="","Not measured yet",IF(Y34&gt;=RoasTarget,"Yes - do it again",IF(Y34&gt;=1,"Maybe - it washed its face","No - it cost more than it made"))))</f>
        <v>0</v>
      </c>
      <c r="AC34" s="29">
        <f>IF(B34="","",IF(AND(M34="Contacted",L34&lt;&gt;"",TODAY()-L34&gt;7),"Action - follow up, no reply in a week",IF(AND(Q34&lt;&gt;"",Q34&lt;TODAY(),M34&lt;&gt;"Complete"),"Overdue - content not delivered",IF(AND(M34="Agreed",R34&lt;&gt;"Approved"),"Check - content still to approve","OK"))))</f>
        <v>0</v>
      </c>
    </row>
    <row r="35" spans="1:29">
      <c r="A35" s="41">
        <f>IF(B35="","","INF-"&amp;TEXT(ROW()-4,"000"))</f>
        <v>0</v>
      </c>
      <c r="X35" s="25">
        <f>IF(OR(V35="",V35=0),"",N(T35)/V35)</f>
        <v>0</v>
      </c>
      <c r="Y35" s="31">
        <f>IF(OR(T35="",T35=0),"",N(W35)/T35)</f>
        <v>0</v>
      </c>
      <c r="Z35" s="25">
        <f>IF(AND(W35="",T35=""),"",N(W35)-N(T35))</f>
        <v>0</v>
      </c>
      <c r="AA35" s="25">
        <f>IF(OR(G35="",G35=0),"",N(T35)/(G35/1000))</f>
        <v>0</v>
      </c>
      <c r="AB35" s="29">
        <f>IF(B35="","",IF(Y35="","Not measured yet",IF(Y35&gt;=RoasTarget,"Yes - do it again",IF(Y35&gt;=1,"Maybe - it washed its face","No - it cost more than it made"))))</f>
        <v>0</v>
      </c>
      <c r="AC35" s="29">
        <f>IF(B35="","",IF(AND(M35="Contacted",L35&lt;&gt;"",TODAY()-L35&gt;7),"Action - follow up, no reply in a week",IF(AND(Q35&lt;&gt;"",Q35&lt;TODAY(),M35&lt;&gt;"Complete"),"Overdue - content not delivered",IF(AND(M35="Agreed",R35&lt;&gt;"Approved"),"Check - content still to approve","OK"))))</f>
        <v>0</v>
      </c>
    </row>
    <row r="36" spans="1:29">
      <c r="A36" s="41">
        <f>IF(B36="","","INF-"&amp;TEXT(ROW()-4,"000"))</f>
        <v>0</v>
      </c>
      <c r="X36" s="25">
        <f>IF(OR(V36="",V36=0),"",N(T36)/V36)</f>
        <v>0</v>
      </c>
      <c r="Y36" s="31">
        <f>IF(OR(T36="",T36=0),"",N(W36)/T36)</f>
        <v>0</v>
      </c>
      <c r="Z36" s="25">
        <f>IF(AND(W36="",T36=""),"",N(W36)-N(T36))</f>
        <v>0</v>
      </c>
      <c r="AA36" s="25">
        <f>IF(OR(G36="",G36=0),"",N(T36)/(G36/1000))</f>
        <v>0</v>
      </c>
      <c r="AB36" s="29">
        <f>IF(B36="","",IF(Y36="","Not measured yet",IF(Y36&gt;=RoasTarget,"Yes - do it again",IF(Y36&gt;=1,"Maybe - it washed its face","No - it cost more than it made"))))</f>
        <v>0</v>
      </c>
      <c r="AC36" s="29">
        <f>IF(B36="","",IF(AND(M36="Contacted",L36&lt;&gt;"",TODAY()-L36&gt;7),"Action - follow up, no reply in a week",IF(AND(Q36&lt;&gt;"",Q36&lt;TODAY(),M36&lt;&gt;"Complete"),"Overdue - content not delivered",IF(AND(M36="Agreed",R36&lt;&gt;"Approved"),"Check - content still to approve","OK"))))</f>
        <v>0</v>
      </c>
    </row>
    <row r="37" spans="1:29">
      <c r="A37" s="41">
        <f>IF(B37="","","INF-"&amp;TEXT(ROW()-4,"000"))</f>
        <v>0</v>
      </c>
      <c r="X37" s="25">
        <f>IF(OR(V37="",V37=0),"",N(T37)/V37)</f>
        <v>0</v>
      </c>
      <c r="Y37" s="31">
        <f>IF(OR(T37="",T37=0),"",N(W37)/T37)</f>
        <v>0</v>
      </c>
      <c r="Z37" s="25">
        <f>IF(AND(W37="",T37=""),"",N(W37)-N(T37))</f>
        <v>0</v>
      </c>
      <c r="AA37" s="25">
        <f>IF(OR(G37="",G37=0),"",N(T37)/(G37/1000))</f>
        <v>0</v>
      </c>
      <c r="AB37" s="29">
        <f>IF(B37="","",IF(Y37="","Not measured yet",IF(Y37&gt;=RoasTarget,"Yes - do it again",IF(Y37&gt;=1,"Maybe - it washed its face","No - it cost more than it made"))))</f>
        <v>0</v>
      </c>
      <c r="AC37" s="29">
        <f>IF(B37="","",IF(AND(M37="Contacted",L37&lt;&gt;"",TODAY()-L37&gt;7),"Action - follow up, no reply in a week",IF(AND(Q37&lt;&gt;"",Q37&lt;TODAY(),M37&lt;&gt;"Complete"),"Overdue - content not delivered",IF(AND(M37="Agreed",R37&lt;&gt;"Approved"),"Check - content still to approve","OK"))))</f>
        <v>0</v>
      </c>
    </row>
    <row r="38" spans="1:29">
      <c r="A38" s="41">
        <f>IF(B38="","","INF-"&amp;TEXT(ROW()-4,"000"))</f>
        <v>0</v>
      </c>
      <c r="X38" s="25">
        <f>IF(OR(V38="",V38=0),"",N(T38)/V38)</f>
        <v>0</v>
      </c>
      <c r="Y38" s="31">
        <f>IF(OR(T38="",T38=0),"",N(W38)/T38)</f>
        <v>0</v>
      </c>
      <c r="Z38" s="25">
        <f>IF(AND(W38="",T38=""),"",N(W38)-N(T38))</f>
        <v>0</v>
      </c>
      <c r="AA38" s="25">
        <f>IF(OR(G38="",G38=0),"",N(T38)/(G38/1000))</f>
        <v>0</v>
      </c>
      <c r="AB38" s="29">
        <f>IF(B38="","",IF(Y38="","Not measured yet",IF(Y38&gt;=RoasTarget,"Yes - do it again",IF(Y38&gt;=1,"Maybe - it washed its face","No - it cost more than it made"))))</f>
        <v>0</v>
      </c>
      <c r="AC38" s="29">
        <f>IF(B38="","",IF(AND(M38="Contacted",L38&lt;&gt;"",TODAY()-L38&gt;7),"Action - follow up, no reply in a week",IF(AND(Q38&lt;&gt;"",Q38&lt;TODAY(),M38&lt;&gt;"Complete"),"Overdue - content not delivered",IF(AND(M38="Agreed",R38&lt;&gt;"Approved"),"Check - content still to approve","OK"))))</f>
        <v>0</v>
      </c>
    </row>
    <row r="39" spans="1:29">
      <c r="A39" s="41">
        <f>IF(B39="","","INF-"&amp;TEXT(ROW()-4,"000"))</f>
        <v>0</v>
      </c>
      <c r="X39" s="25">
        <f>IF(OR(V39="",V39=0),"",N(T39)/V39)</f>
        <v>0</v>
      </c>
      <c r="Y39" s="31">
        <f>IF(OR(T39="",T39=0),"",N(W39)/T39)</f>
        <v>0</v>
      </c>
      <c r="Z39" s="25">
        <f>IF(AND(W39="",T39=""),"",N(W39)-N(T39))</f>
        <v>0</v>
      </c>
      <c r="AA39" s="25">
        <f>IF(OR(G39="",G39=0),"",N(T39)/(G39/1000))</f>
        <v>0</v>
      </c>
      <c r="AB39" s="29">
        <f>IF(B39="","",IF(Y39="","Not measured yet",IF(Y39&gt;=RoasTarget,"Yes - do it again",IF(Y39&gt;=1,"Maybe - it washed its face","No - it cost more than it made"))))</f>
        <v>0</v>
      </c>
      <c r="AC39" s="29">
        <f>IF(B39="","",IF(AND(M39="Contacted",L39&lt;&gt;"",TODAY()-L39&gt;7),"Action - follow up, no reply in a week",IF(AND(Q39&lt;&gt;"",Q39&lt;TODAY(),M39&lt;&gt;"Complete"),"Overdue - content not delivered",IF(AND(M39="Agreed",R39&lt;&gt;"Approved"),"Check - content still to approve","OK"))))</f>
        <v>0</v>
      </c>
    </row>
    <row r="40" spans="1:29">
      <c r="A40" s="41">
        <f>IF(B40="","","INF-"&amp;TEXT(ROW()-4,"000"))</f>
        <v>0</v>
      </c>
      <c r="X40" s="25">
        <f>IF(OR(V40="",V40=0),"",N(T40)/V40)</f>
        <v>0</v>
      </c>
      <c r="Y40" s="31">
        <f>IF(OR(T40="",T40=0),"",N(W40)/T40)</f>
        <v>0</v>
      </c>
      <c r="Z40" s="25">
        <f>IF(AND(W40="",T40=""),"",N(W40)-N(T40))</f>
        <v>0</v>
      </c>
      <c r="AA40" s="25">
        <f>IF(OR(G40="",G40=0),"",N(T40)/(G40/1000))</f>
        <v>0</v>
      </c>
      <c r="AB40" s="29">
        <f>IF(B40="","",IF(Y40="","Not measured yet",IF(Y40&gt;=RoasTarget,"Yes - do it again",IF(Y40&gt;=1,"Maybe - it washed its face","No - it cost more than it made"))))</f>
        <v>0</v>
      </c>
      <c r="AC40" s="29">
        <f>IF(B40="","",IF(AND(M40="Contacted",L40&lt;&gt;"",TODAY()-L40&gt;7),"Action - follow up, no reply in a week",IF(AND(Q40&lt;&gt;"",Q40&lt;TODAY(),M40&lt;&gt;"Complete"),"Overdue - content not delivered",IF(AND(M40="Agreed",R40&lt;&gt;"Approved"),"Check - content still to approve","OK"))))</f>
        <v>0</v>
      </c>
    </row>
    <row r="41" spans="1:29">
      <c r="A41" s="41">
        <f>IF(B41="","","INF-"&amp;TEXT(ROW()-4,"000"))</f>
        <v>0</v>
      </c>
      <c r="X41" s="25">
        <f>IF(OR(V41="",V41=0),"",N(T41)/V41)</f>
        <v>0</v>
      </c>
      <c r="Y41" s="31">
        <f>IF(OR(T41="",T41=0),"",N(W41)/T41)</f>
        <v>0</v>
      </c>
      <c r="Z41" s="25">
        <f>IF(AND(W41="",T41=""),"",N(W41)-N(T41))</f>
        <v>0</v>
      </c>
      <c r="AA41" s="25">
        <f>IF(OR(G41="",G41=0),"",N(T41)/(G41/1000))</f>
        <v>0</v>
      </c>
      <c r="AB41" s="29">
        <f>IF(B41="","",IF(Y41="","Not measured yet",IF(Y41&gt;=RoasTarget,"Yes - do it again",IF(Y41&gt;=1,"Maybe - it washed its face","No - it cost more than it made"))))</f>
        <v>0</v>
      </c>
      <c r="AC41" s="29">
        <f>IF(B41="","",IF(AND(M41="Contacted",L41&lt;&gt;"",TODAY()-L41&gt;7),"Action - follow up, no reply in a week",IF(AND(Q41&lt;&gt;"",Q41&lt;TODAY(),M41&lt;&gt;"Complete"),"Overdue - content not delivered",IF(AND(M41="Agreed",R41&lt;&gt;"Approved"),"Check - content still to approve","OK"))))</f>
        <v>0</v>
      </c>
    </row>
    <row r="42" spans="1:29">
      <c r="A42" s="41">
        <f>IF(B42="","","INF-"&amp;TEXT(ROW()-4,"000"))</f>
        <v>0</v>
      </c>
      <c r="X42" s="25">
        <f>IF(OR(V42="",V42=0),"",N(T42)/V42)</f>
        <v>0</v>
      </c>
      <c r="Y42" s="31">
        <f>IF(OR(T42="",T42=0),"",N(W42)/T42)</f>
        <v>0</v>
      </c>
      <c r="Z42" s="25">
        <f>IF(AND(W42="",T42=""),"",N(W42)-N(T42))</f>
        <v>0</v>
      </c>
      <c r="AA42" s="25">
        <f>IF(OR(G42="",G42=0),"",N(T42)/(G42/1000))</f>
        <v>0</v>
      </c>
      <c r="AB42" s="29">
        <f>IF(B42="","",IF(Y42="","Not measured yet",IF(Y42&gt;=RoasTarget,"Yes - do it again",IF(Y42&gt;=1,"Maybe - it washed its face","No - it cost more than it made"))))</f>
        <v>0</v>
      </c>
      <c r="AC42" s="29">
        <f>IF(B42="","",IF(AND(M42="Contacted",L42&lt;&gt;"",TODAY()-L42&gt;7),"Action - follow up, no reply in a week",IF(AND(Q42&lt;&gt;"",Q42&lt;TODAY(),M42&lt;&gt;"Complete"),"Overdue - content not delivered",IF(AND(M42="Agreed",R42&lt;&gt;"Approved"),"Check - content still to approve","OK"))))</f>
        <v>0</v>
      </c>
    </row>
    <row r="43" spans="1:29">
      <c r="A43" s="41">
        <f>IF(B43="","","INF-"&amp;TEXT(ROW()-4,"000"))</f>
        <v>0</v>
      </c>
      <c r="X43" s="25">
        <f>IF(OR(V43="",V43=0),"",N(T43)/V43)</f>
        <v>0</v>
      </c>
      <c r="Y43" s="31">
        <f>IF(OR(T43="",T43=0),"",N(W43)/T43)</f>
        <v>0</v>
      </c>
      <c r="Z43" s="25">
        <f>IF(AND(W43="",T43=""),"",N(W43)-N(T43))</f>
        <v>0</v>
      </c>
      <c r="AA43" s="25">
        <f>IF(OR(G43="",G43=0),"",N(T43)/(G43/1000))</f>
        <v>0</v>
      </c>
      <c r="AB43" s="29">
        <f>IF(B43="","",IF(Y43="","Not measured yet",IF(Y43&gt;=RoasTarget,"Yes - do it again",IF(Y43&gt;=1,"Maybe - it washed its face","No - it cost more than it made"))))</f>
        <v>0</v>
      </c>
      <c r="AC43" s="29">
        <f>IF(B43="","",IF(AND(M43="Contacted",L43&lt;&gt;"",TODAY()-L43&gt;7),"Action - follow up, no reply in a week",IF(AND(Q43&lt;&gt;"",Q43&lt;TODAY(),M43&lt;&gt;"Complete"),"Overdue - content not delivered",IF(AND(M43="Agreed",R43&lt;&gt;"Approved"),"Check - content still to approve","OK"))))</f>
        <v>0</v>
      </c>
    </row>
    <row r="44" spans="1:29">
      <c r="A44" s="41">
        <f>IF(B44="","","INF-"&amp;TEXT(ROW()-4,"000"))</f>
        <v>0</v>
      </c>
      <c r="X44" s="25">
        <f>IF(OR(V44="",V44=0),"",N(T44)/V44)</f>
        <v>0</v>
      </c>
      <c r="Y44" s="31">
        <f>IF(OR(T44="",T44=0),"",N(W44)/T44)</f>
        <v>0</v>
      </c>
      <c r="Z44" s="25">
        <f>IF(AND(W44="",T44=""),"",N(W44)-N(T44))</f>
        <v>0</v>
      </c>
      <c r="AA44" s="25">
        <f>IF(OR(G44="",G44=0),"",N(T44)/(G44/1000))</f>
        <v>0</v>
      </c>
      <c r="AB44" s="29">
        <f>IF(B44="","",IF(Y44="","Not measured yet",IF(Y44&gt;=RoasTarget,"Yes - do it again",IF(Y44&gt;=1,"Maybe - it washed its face","No - it cost more than it made"))))</f>
        <v>0</v>
      </c>
      <c r="AC44" s="29">
        <f>IF(B44="","",IF(AND(M44="Contacted",L44&lt;&gt;"",TODAY()-L44&gt;7),"Action - follow up, no reply in a week",IF(AND(Q44&lt;&gt;"",Q44&lt;TODAY(),M44&lt;&gt;"Complete"),"Overdue - content not delivered",IF(AND(M44="Agreed",R44&lt;&gt;"Approved"),"Check - content still to approve","OK"))))</f>
        <v>0</v>
      </c>
    </row>
    <row r="45" spans="1:29">
      <c r="A45" s="41">
        <f>IF(B45="","","INF-"&amp;TEXT(ROW()-4,"000"))</f>
        <v>0</v>
      </c>
      <c r="X45" s="25">
        <f>IF(OR(V45="",V45=0),"",N(T45)/V45)</f>
        <v>0</v>
      </c>
      <c r="Y45" s="31">
        <f>IF(OR(T45="",T45=0),"",N(W45)/T45)</f>
        <v>0</v>
      </c>
      <c r="Z45" s="25">
        <f>IF(AND(W45="",T45=""),"",N(W45)-N(T45))</f>
        <v>0</v>
      </c>
      <c r="AA45" s="25">
        <f>IF(OR(G45="",G45=0),"",N(T45)/(G45/1000))</f>
        <v>0</v>
      </c>
      <c r="AB45" s="29">
        <f>IF(B45="","",IF(Y45="","Not measured yet",IF(Y45&gt;=RoasTarget,"Yes - do it again",IF(Y45&gt;=1,"Maybe - it washed its face","No - it cost more than it made"))))</f>
        <v>0</v>
      </c>
      <c r="AC45" s="29">
        <f>IF(B45="","",IF(AND(M45="Contacted",L45&lt;&gt;"",TODAY()-L45&gt;7),"Action - follow up, no reply in a week",IF(AND(Q45&lt;&gt;"",Q45&lt;TODAY(),M45&lt;&gt;"Complete"),"Overdue - content not delivered",IF(AND(M45="Agreed",R45&lt;&gt;"Approved"),"Check - content still to approve","OK"))))</f>
        <v>0</v>
      </c>
    </row>
    <row r="46" spans="1:29">
      <c r="A46" s="41">
        <f>IF(B46="","","INF-"&amp;TEXT(ROW()-4,"000"))</f>
        <v>0</v>
      </c>
      <c r="X46" s="25">
        <f>IF(OR(V46="",V46=0),"",N(T46)/V46)</f>
        <v>0</v>
      </c>
      <c r="Y46" s="31">
        <f>IF(OR(T46="",T46=0),"",N(W46)/T46)</f>
        <v>0</v>
      </c>
      <c r="Z46" s="25">
        <f>IF(AND(W46="",T46=""),"",N(W46)-N(T46))</f>
        <v>0</v>
      </c>
      <c r="AA46" s="25">
        <f>IF(OR(G46="",G46=0),"",N(T46)/(G46/1000))</f>
        <v>0</v>
      </c>
      <c r="AB46" s="29">
        <f>IF(B46="","",IF(Y46="","Not measured yet",IF(Y46&gt;=RoasTarget,"Yes - do it again",IF(Y46&gt;=1,"Maybe - it washed its face","No - it cost more than it made"))))</f>
        <v>0</v>
      </c>
      <c r="AC46" s="29">
        <f>IF(B46="","",IF(AND(M46="Contacted",L46&lt;&gt;"",TODAY()-L46&gt;7),"Action - follow up, no reply in a week",IF(AND(Q46&lt;&gt;"",Q46&lt;TODAY(),M46&lt;&gt;"Complete"),"Overdue - content not delivered",IF(AND(M46="Agreed",R46&lt;&gt;"Approved"),"Check - content still to approve","OK"))))</f>
        <v>0</v>
      </c>
    </row>
    <row r="47" spans="1:29">
      <c r="A47" s="41">
        <f>IF(B47="","","INF-"&amp;TEXT(ROW()-4,"000"))</f>
        <v>0</v>
      </c>
      <c r="X47" s="25">
        <f>IF(OR(V47="",V47=0),"",N(T47)/V47)</f>
        <v>0</v>
      </c>
      <c r="Y47" s="31">
        <f>IF(OR(T47="",T47=0),"",N(W47)/T47)</f>
        <v>0</v>
      </c>
      <c r="Z47" s="25">
        <f>IF(AND(W47="",T47=""),"",N(W47)-N(T47))</f>
        <v>0</v>
      </c>
      <c r="AA47" s="25">
        <f>IF(OR(G47="",G47=0),"",N(T47)/(G47/1000))</f>
        <v>0</v>
      </c>
      <c r="AB47" s="29">
        <f>IF(B47="","",IF(Y47="","Not measured yet",IF(Y47&gt;=RoasTarget,"Yes - do it again",IF(Y47&gt;=1,"Maybe - it washed its face","No - it cost more than it made"))))</f>
        <v>0</v>
      </c>
      <c r="AC47" s="29">
        <f>IF(B47="","",IF(AND(M47="Contacted",L47&lt;&gt;"",TODAY()-L47&gt;7),"Action - follow up, no reply in a week",IF(AND(Q47&lt;&gt;"",Q47&lt;TODAY(),M47&lt;&gt;"Complete"),"Overdue - content not delivered",IF(AND(M47="Agreed",R47&lt;&gt;"Approved"),"Check - content still to approve","OK"))))</f>
        <v>0</v>
      </c>
    </row>
    <row r="48" spans="1:29">
      <c r="A48" s="41">
        <f>IF(B48="","","INF-"&amp;TEXT(ROW()-4,"000"))</f>
        <v>0</v>
      </c>
      <c r="X48" s="25">
        <f>IF(OR(V48="",V48=0),"",N(T48)/V48)</f>
        <v>0</v>
      </c>
      <c r="Y48" s="31">
        <f>IF(OR(T48="",T48=0),"",N(W48)/T48)</f>
        <v>0</v>
      </c>
      <c r="Z48" s="25">
        <f>IF(AND(W48="",T48=""),"",N(W48)-N(T48))</f>
        <v>0</v>
      </c>
      <c r="AA48" s="25">
        <f>IF(OR(G48="",G48=0),"",N(T48)/(G48/1000))</f>
        <v>0</v>
      </c>
      <c r="AB48" s="29">
        <f>IF(B48="","",IF(Y48="","Not measured yet",IF(Y48&gt;=RoasTarget,"Yes - do it again",IF(Y48&gt;=1,"Maybe - it washed its face","No - it cost more than it made"))))</f>
        <v>0</v>
      </c>
      <c r="AC48" s="29">
        <f>IF(B48="","",IF(AND(M48="Contacted",L48&lt;&gt;"",TODAY()-L48&gt;7),"Action - follow up, no reply in a week",IF(AND(Q48&lt;&gt;"",Q48&lt;TODAY(),M48&lt;&gt;"Complete"),"Overdue - content not delivered",IF(AND(M48="Agreed",R48&lt;&gt;"Approved"),"Check - content still to approve","OK"))))</f>
        <v>0</v>
      </c>
    </row>
    <row r="49" spans="1:29">
      <c r="A49" s="41">
        <f>IF(B49="","","INF-"&amp;TEXT(ROW()-4,"000"))</f>
        <v>0</v>
      </c>
      <c r="X49" s="25">
        <f>IF(OR(V49="",V49=0),"",N(T49)/V49)</f>
        <v>0</v>
      </c>
      <c r="Y49" s="31">
        <f>IF(OR(T49="",T49=0),"",N(W49)/T49)</f>
        <v>0</v>
      </c>
      <c r="Z49" s="25">
        <f>IF(AND(W49="",T49=""),"",N(W49)-N(T49))</f>
        <v>0</v>
      </c>
      <c r="AA49" s="25">
        <f>IF(OR(G49="",G49=0),"",N(T49)/(G49/1000))</f>
        <v>0</v>
      </c>
      <c r="AB49" s="29">
        <f>IF(B49="","",IF(Y49="","Not measured yet",IF(Y49&gt;=RoasTarget,"Yes - do it again",IF(Y49&gt;=1,"Maybe - it washed its face","No - it cost more than it made"))))</f>
        <v>0</v>
      </c>
      <c r="AC49" s="29">
        <f>IF(B49="","",IF(AND(M49="Contacted",L49&lt;&gt;"",TODAY()-L49&gt;7),"Action - follow up, no reply in a week",IF(AND(Q49&lt;&gt;"",Q49&lt;TODAY(),M49&lt;&gt;"Complete"),"Overdue - content not delivered",IF(AND(M49="Agreed",R49&lt;&gt;"Approved"),"Check - content still to approve","OK"))))</f>
        <v>0</v>
      </c>
    </row>
    <row r="50" spans="1:29">
      <c r="A50" s="41">
        <f>IF(B50="","","INF-"&amp;TEXT(ROW()-4,"000"))</f>
        <v>0</v>
      </c>
      <c r="X50" s="25">
        <f>IF(OR(V50="",V50=0),"",N(T50)/V50)</f>
        <v>0</v>
      </c>
      <c r="Y50" s="31">
        <f>IF(OR(T50="",T50=0),"",N(W50)/T50)</f>
        <v>0</v>
      </c>
      <c r="Z50" s="25">
        <f>IF(AND(W50="",T50=""),"",N(W50)-N(T50))</f>
        <v>0</v>
      </c>
      <c r="AA50" s="25">
        <f>IF(OR(G50="",G50=0),"",N(T50)/(G50/1000))</f>
        <v>0</v>
      </c>
      <c r="AB50" s="29">
        <f>IF(B50="","",IF(Y50="","Not measured yet",IF(Y50&gt;=RoasTarget,"Yes - do it again",IF(Y50&gt;=1,"Maybe - it washed its face","No - it cost more than it made"))))</f>
        <v>0</v>
      </c>
      <c r="AC50" s="29">
        <f>IF(B50="","",IF(AND(M50="Contacted",L50&lt;&gt;"",TODAY()-L50&gt;7),"Action - follow up, no reply in a week",IF(AND(Q50&lt;&gt;"",Q50&lt;TODAY(),M50&lt;&gt;"Complete"),"Overdue - content not delivered",IF(AND(M50="Agreed",R50&lt;&gt;"Approved"),"Check - content still to approve","OK"))))</f>
        <v>0</v>
      </c>
    </row>
    <row r="51" spans="1:29">
      <c r="A51" s="41">
        <f>IF(B51="","","INF-"&amp;TEXT(ROW()-4,"000"))</f>
        <v>0</v>
      </c>
      <c r="X51" s="25">
        <f>IF(OR(V51="",V51=0),"",N(T51)/V51)</f>
        <v>0</v>
      </c>
      <c r="Y51" s="31">
        <f>IF(OR(T51="",T51=0),"",N(W51)/T51)</f>
        <v>0</v>
      </c>
      <c r="Z51" s="25">
        <f>IF(AND(W51="",T51=""),"",N(W51)-N(T51))</f>
        <v>0</v>
      </c>
      <c r="AA51" s="25">
        <f>IF(OR(G51="",G51=0),"",N(T51)/(G51/1000))</f>
        <v>0</v>
      </c>
      <c r="AB51" s="29">
        <f>IF(B51="","",IF(Y51="","Not measured yet",IF(Y51&gt;=RoasTarget,"Yes - do it again",IF(Y51&gt;=1,"Maybe - it washed its face","No - it cost more than it made"))))</f>
        <v>0</v>
      </c>
      <c r="AC51" s="29">
        <f>IF(B51="","",IF(AND(M51="Contacted",L51&lt;&gt;"",TODAY()-L51&gt;7),"Action - follow up, no reply in a week",IF(AND(Q51&lt;&gt;"",Q51&lt;TODAY(),M51&lt;&gt;"Complete"),"Overdue - content not delivered",IF(AND(M51="Agreed",R51&lt;&gt;"Approved"),"Check - content still to approve","OK"))))</f>
        <v>0</v>
      </c>
    </row>
    <row r="52" spans="1:29">
      <c r="A52" s="41">
        <f>IF(B52="","","INF-"&amp;TEXT(ROW()-4,"000"))</f>
        <v>0</v>
      </c>
      <c r="X52" s="25">
        <f>IF(OR(V52="",V52=0),"",N(T52)/V52)</f>
        <v>0</v>
      </c>
      <c r="Y52" s="31">
        <f>IF(OR(T52="",T52=0),"",N(W52)/T52)</f>
        <v>0</v>
      </c>
      <c r="Z52" s="25">
        <f>IF(AND(W52="",T52=""),"",N(W52)-N(T52))</f>
        <v>0</v>
      </c>
      <c r="AA52" s="25">
        <f>IF(OR(G52="",G52=0),"",N(T52)/(G52/1000))</f>
        <v>0</v>
      </c>
      <c r="AB52" s="29">
        <f>IF(B52="","",IF(Y52="","Not measured yet",IF(Y52&gt;=RoasTarget,"Yes - do it again",IF(Y52&gt;=1,"Maybe - it washed its face","No - it cost more than it made"))))</f>
        <v>0</v>
      </c>
      <c r="AC52" s="29">
        <f>IF(B52="","",IF(AND(M52="Contacted",L52&lt;&gt;"",TODAY()-L52&gt;7),"Action - follow up, no reply in a week",IF(AND(Q52&lt;&gt;"",Q52&lt;TODAY(),M52&lt;&gt;"Complete"),"Overdue - content not delivered",IF(AND(M52="Agreed",R52&lt;&gt;"Approved"),"Check - content still to approve","OK"))))</f>
        <v>0</v>
      </c>
    </row>
    <row r="53" spans="1:29">
      <c r="A53" s="41">
        <f>IF(B53="","","INF-"&amp;TEXT(ROW()-4,"000"))</f>
        <v>0</v>
      </c>
      <c r="X53" s="25">
        <f>IF(OR(V53="",V53=0),"",N(T53)/V53)</f>
        <v>0</v>
      </c>
      <c r="Y53" s="31">
        <f>IF(OR(T53="",T53=0),"",N(W53)/T53)</f>
        <v>0</v>
      </c>
      <c r="Z53" s="25">
        <f>IF(AND(W53="",T53=""),"",N(W53)-N(T53))</f>
        <v>0</v>
      </c>
      <c r="AA53" s="25">
        <f>IF(OR(G53="",G53=0),"",N(T53)/(G53/1000))</f>
        <v>0</v>
      </c>
      <c r="AB53" s="29">
        <f>IF(B53="","",IF(Y53="","Not measured yet",IF(Y53&gt;=RoasTarget,"Yes - do it again",IF(Y53&gt;=1,"Maybe - it washed its face","No - it cost more than it made"))))</f>
        <v>0</v>
      </c>
      <c r="AC53" s="29">
        <f>IF(B53="","",IF(AND(M53="Contacted",L53&lt;&gt;"",TODAY()-L53&gt;7),"Action - follow up, no reply in a week",IF(AND(Q53&lt;&gt;"",Q53&lt;TODAY(),M53&lt;&gt;"Complete"),"Overdue - content not delivered",IF(AND(M53="Agreed",R53&lt;&gt;"Approved"),"Check - content still to approve","OK"))))</f>
        <v>0</v>
      </c>
    </row>
    <row r="54" spans="1:29">
      <c r="A54" s="41">
        <f>IF(B54="","","INF-"&amp;TEXT(ROW()-4,"000"))</f>
        <v>0</v>
      </c>
      <c r="X54" s="25">
        <f>IF(OR(V54="",V54=0),"",N(T54)/V54)</f>
        <v>0</v>
      </c>
      <c r="Y54" s="31">
        <f>IF(OR(T54="",T54=0),"",N(W54)/T54)</f>
        <v>0</v>
      </c>
      <c r="Z54" s="25">
        <f>IF(AND(W54="",T54=""),"",N(W54)-N(T54))</f>
        <v>0</v>
      </c>
      <c r="AA54" s="25">
        <f>IF(OR(G54="",G54=0),"",N(T54)/(G54/1000))</f>
        <v>0</v>
      </c>
      <c r="AB54" s="29">
        <f>IF(B54="","",IF(Y54="","Not measured yet",IF(Y54&gt;=RoasTarget,"Yes - do it again",IF(Y54&gt;=1,"Maybe - it washed its face","No - it cost more than it made"))))</f>
        <v>0</v>
      </c>
      <c r="AC54" s="29">
        <f>IF(B54="","",IF(AND(M54="Contacted",L54&lt;&gt;"",TODAY()-L54&gt;7),"Action - follow up, no reply in a week",IF(AND(Q54&lt;&gt;"",Q54&lt;TODAY(),M54&lt;&gt;"Complete"),"Overdue - content not delivered",IF(AND(M54="Agreed",R54&lt;&gt;"Approved"),"Check - content still to approve","OK"))))</f>
        <v>0</v>
      </c>
    </row>
    <row r="55" spans="1:29">
      <c r="A55" s="41">
        <f>IF(B55="","","INF-"&amp;TEXT(ROW()-4,"000"))</f>
        <v>0</v>
      </c>
      <c r="X55" s="25">
        <f>IF(OR(V55="",V55=0),"",N(T55)/V55)</f>
        <v>0</v>
      </c>
      <c r="Y55" s="31">
        <f>IF(OR(T55="",T55=0),"",N(W55)/T55)</f>
        <v>0</v>
      </c>
      <c r="Z55" s="25">
        <f>IF(AND(W55="",T55=""),"",N(W55)-N(T55))</f>
        <v>0</v>
      </c>
      <c r="AA55" s="25">
        <f>IF(OR(G55="",G55=0),"",N(T55)/(G55/1000))</f>
        <v>0</v>
      </c>
      <c r="AB55" s="29">
        <f>IF(B55="","",IF(Y55="","Not measured yet",IF(Y55&gt;=RoasTarget,"Yes - do it again",IF(Y55&gt;=1,"Maybe - it washed its face","No - it cost more than it made"))))</f>
        <v>0</v>
      </c>
      <c r="AC55" s="29">
        <f>IF(B55="","",IF(AND(M55="Contacted",L55&lt;&gt;"",TODAY()-L55&gt;7),"Action - follow up, no reply in a week",IF(AND(Q55&lt;&gt;"",Q55&lt;TODAY(),M55&lt;&gt;"Complete"),"Overdue - content not delivered",IF(AND(M55="Agreed",R55&lt;&gt;"Approved"),"Check - content still to approve","OK"))))</f>
        <v>0</v>
      </c>
    </row>
    <row r="56" spans="1:29">
      <c r="A56" s="41">
        <f>IF(B56="","","INF-"&amp;TEXT(ROW()-4,"000"))</f>
        <v>0</v>
      </c>
      <c r="X56" s="25">
        <f>IF(OR(V56="",V56=0),"",N(T56)/V56)</f>
        <v>0</v>
      </c>
      <c r="Y56" s="31">
        <f>IF(OR(T56="",T56=0),"",N(W56)/T56)</f>
        <v>0</v>
      </c>
      <c r="Z56" s="25">
        <f>IF(AND(W56="",T56=""),"",N(W56)-N(T56))</f>
        <v>0</v>
      </c>
      <c r="AA56" s="25">
        <f>IF(OR(G56="",G56=0),"",N(T56)/(G56/1000))</f>
        <v>0</v>
      </c>
      <c r="AB56" s="29">
        <f>IF(B56="","",IF(Y56="","Not measured yet",IF(Y56&gt;=RoasTarget,"Yes - do it again",IF(Y56&gt;=1,"Maybe - it washed its face","No - it cost more than it made"))))</f>
        <v>0</v>
      </c>
      <c r="AC56" s="29">
        <f>IF(B56="","",IF(AND(M56="Contacted",L56&lt;&gt;"",TODAY()-L56&gt;7),"Action - follow up, no reply in a week",IF(AND(Q56&lt;&gt;"",Q56&lt;TODAY(),M56&lt;&gt;"Complete"),"Overdue - content not delivered",IF(AND(M56="Agreed",R56&lt;&gt;"Approved"),"Check - content still to approve","OK"))))</f>
        <v>0</v>
      </c>
    </row>
    <row r="57" spans="1:29">
      <c r="A57" s="41">
        <f>IF(B57="","","INF-"&amp;TEXT(ROW()-4,"000"))</f>
        <v>0</v>
      </c>
      <c r="X57" s="25">
        <f>IF(OR(V57="",V57=0),"",N(T57)/V57)</f>
        <v>0</v>
      </c>
      <c r="Y57" s="31">
        <f>IF(OR(T57="",T57=0),"",N(W57)/T57)</f>
        <v>0</v>
      </c>
      <c r="Z57" s="25">
        <f>IF(AND(W57="",T57=""),"",N(W57)-N(T57))</f>
        <v>0</v>
      </c>
      <c r="AA57" s="25">
        <f>IF(OR(G57="",G57=0),"",N(T57)/(G57/1000))</f>
        <v>0</v>
      </c>
      <c r="AB57" s="29">
        <f>IF(B57="","",IF(Y57="","Not measured yet",IF(Y57&gt;=RoasTarget,"Yes - do it again",IF(Y57&gt;=1,"Maybe - it washed its face","No - it cost more than it made"))))</f>
        <v>0</v>
      </c>
      <c r="AC57" s="29">
        <f>IF(B57="","",IF(AND(M57="Contacted",L57&lt;&gt;"",TODAY()-L57&gt;7),"Action - follow up, no reply in a week",IF(AND(Q57&lt;&gt;"",Q57&lt;TODAY(),M57&lt;&gt;"Complete"),"Overdue - content not delivered",IF(AND(M57="Agreed",R57&lt;&gt;"Approved"),"Check - content still to approve","OK"))))</f>
        <v>0</v>
      </c>
    </row>
    <row r="58" spans="1:29">
      <c r="A58" s="41">
        <f>IF(B58="","","INF-"&amp;TEXT(ROW()-4,"000"))</f>
        <v>0</v>
      </c>
      <c r="X58" s="25">
        <f>IF(OR(V58="",V58=0),"",N(T58)/V58)</f>
        <v>0</v>
      </c>
      <c r="Y58" s="31">
        <f>IF(OR(T58="",T58=0),"",N(W58)/T58)</f>
        <v>0</v>
      </c>
      <c r="Z58" s="25">
        <f>IF(AND(W58="",T58=""),"",N(W58)-N(T58))</f>
        <v>0</v>
      </c>
      <c r="AA58" s="25">
        <f>IF(OR(G58="",G58=0),"",N(T58)/(G58/1000))</f>
        <v>0</v>
      </c>
      <c r="AB58" s="29">
        <f>IF(B58="","",IF(Y58="","Not measured yet",IF(Y58&gt;=RoasTarget,"Yes - do it again",IF(Y58&gt;=1,"Maybe - it washed its face","No - it cost more than it made"))))</f>
        <v>0</v>
      </c>
      <c r="AC58" s="29">
        <f>IF(B58="","",IF(AND(M58="Contacted",L58&lt;&gt;"",TODAY()-L58&gt;7),"Action - follow up, no reply in a week",IF(AND(Q58&lt;&gt;"",Q58&lt;TODAY(),M58&lt;&gt;"Complete"),"Overdue - content not delivered",IF(AND(M58="Agreed",R58&lt;&gt;"Approved"),"Check - content still to approve","OK"))))</f>
        <v>0</v>
      </c>
    </row>
    <row r="59" spans="1:29">
      <c r="A59" s="41">
        <f>IF(B59="","","INF-"&amp;TEXT(ROW()-4,"000"))</f>
        <v>0</v>
      </c>
      <c r="X59" s="25">
        <f>IF(OR(V59="",V59=0),"",N(T59)/V59)</f>
        <v>0</v>
      </c>
      <c r="Y59" s="31">
        <f>IF(OR(T59="",T59=0),"",N(W59)/T59)</f>
        <v>0</v>
      </c>
      <c r="Z59" s="25">
        <f>IF(AND(W59="",T59=""),"",N(W59)-N(T59))</f>
        <v>0</v>
      </c>
      <c r="AA59" s="25">
        <f>IF(OR(G59="",G59=0),"",N(T59)/(G59/1000))</f>
        <v>0</v>
      </c>
      <c r="AB59" s="29">
        <f>IF(B59="","",IF(Y59="","Not measured yet",IF(Y59&gt;=RoasTarget,"Yes - do it again",IF(Y59&gt;=1,"Maybe - it washed its face","No - it cost more than it made"))))</f>
        <v>0</v>
      </c>
      <c r="AC59" s="29">
        <f>IF(B59="","",IF(AND(M59="Contacted",L59&lt;&gt;"",TODAY()-L59&gt;7),"Action - follow up, no reply in a week",IF(AND(Q59&lt;&gt;"",Q59&lt;TODAY(),M59&lt;&gt;"Complete"),"Overdue - content not delivered",IF(AND(M59="Agreed",R59&lt;&gt;"Approved"),"Check - content still to approve","OK"))))</f>
        <v>0</v>
      </c>
    </row>
    <row r="60" spans="1:29">
      <c r="A60" s="41">
        <f>IF(B60="","","INF-"&amp;TEXT(ROW()-4,"000"))</f>
        <v>0</v>
      </c>
      <c r="X60" s="25">
        <f>IF(OR(V60="",V60=0),"",N(T60)/V60)</f>
        <v>0</v>
      </c>
      <c r="Y60" s="31">
        <f>IF(OR(T60="",T60=0),"",N(W60)/T60)</f>
        <v>0</v>
      </c>
      <c r="Z60" s="25">
        <f>IF(AND(W60="",T60=""),"",N(W60)-N(T60))</f>
        <v>0</v>
      </c>
      <c r="AA60" s="25">
        <f>IF(OR(G60="",G60=0),"",N(T60)/(G60/1000))</f>
        <v>0</v>
      </c>
      <c r="AB60" s="29">
        <f>IF(B60="","",IF(Y60="","Not measured yet",IF(Y60&gt;=RoasTarget,"Yes - do it again",IF(Y60&gt;=1,"Maybe - it washed its face","No - it cost more than it made"))))</f>
        <v>0</v>
      </c>
      <c r="AC60" s="29">
        <f>IF(B60="","",IF(AND(M60="Contacted",L60&lt;&gt;"",TODAY()-L60&gt;7),"Action - follow up, no reply in a week",IF(AND(Q60&lt;&gt;"",Q60&lt;TODAY(),M60&lt;&gt;"Complete"),"Overdue - content not delivered",IF(AND(M60="Agreed",R60&lt;&gt;"Approved"),"Check - content still to approve","OK"))))</f>
        <v>0</v>
      </c>
    </row>
    <row r="61" spans="1:29">
      <c r="A61" s="41">
        <f>IF(B61="","","INF-"&amp;TEXT(ROW()-4,"000"))</f>
        <v>0</v>
      </c>
      <c r="X61" s="25">
        <f>IF(OR(V61="",V61=0),"",N(T61)/V61)</f>
        <v>0</v>
      </c>
      <c r="Y61" s="31">
        <f>IF(OR(T61="",T61=0),"",N(W61)/T61)</f>
        <v>0</v>
      </c>
      <c r="Z61" s="25">
        <f>IF(AND(W61="",T61=""),"",N(W61)-N(T61))</f>
        <v>0</v>
      </c>
      <c r="AA61" s="25">
        <f>IF(OR(G61="",G61=0),"",N(T61)/(G61/1000))</f>
        <v>0</v>
      </c>
      <c r="AB61" s="29">
        <f>IF(B61="","",IF(Y61="","Not measured yet",IF(Y61&gt;=RoasTarget,"Yes - do it again",IF(Y61&gt;=1,"Maybe - it washed its face","No - it cost more than it made"))))</f>
        <v>0</v>
      </c>
      <c r="AC61" s="29">
        <f>IF(B61="","",IF(AND(M61="Contacted",L61&lt;&gt;"",TODAY()-L61&gt;7),"Action - follow up, no reply in a week",IF(AND(Q61&lt;&gt;"",Q61&lt;TODAY(),M61&lt;&gt;"Complete"),"Overdue - content not delivered",IF(AND(M61="Agreed",R61&lt;&gt;"Approved"),"Check - content still to approve","OK"))))</f>
        <v>0</v>
      </c>
    </row>
    <row r="62" spans="1:29">
      <c r="A62" s="41">
        <f>IF(B62="","","INF-"&amp;TEXT(ROW()-4,"000"))</f>
        <v>0</v>
      </c>
      <c r="X62" s="25">
        <f>IF(OR(V62="",V62=0),"",N(T62)/V62)</f>
        <v>0</v>
      </c>
      <c r="Y62" s="31">
        <f>IF(OR(T62="",T62=0),"",N(W62)/T62)</f>
        <v>0</v>
      </c>
      <c r="Z62" s="25">
        <f>IF(AND(W62="",T62=""),"",N(W62)-N(T62))</f>
        <v>0</v>
      </c>
      <c r="AA62" s="25">
        <f>IF(OR(G62="",G62=0),"",N(T62)/(G62/1000))</f>
        <v>0</v>
      </c>
      <c r="AB62" s="29">
        <f>IF(B62="","",IF(Y62="","Not measured yet",IF(Y62&gt;=RoasTarget,"Yes - do it again",IF(Y62&gt;=1,"Maybe - it washed its face","No - it cost more than it made"))))</f>
        <v>0</v>
      </c>
      <c r="AC62" s="29">
        <f>IF(B62="","",IF(AND(M62="Contacted",L62&lt;&gt;"",TODAY()-L62&gt;7),"Action - follow up, no reply in a week",IF(AND(Q62&lt;&gt;"",Q62&lt;TODAY(),M62&lt;&gt;"Complete"),"Overdue - content not delivered",IF(AND(M62="Agreed",R62&lt;&gt;"Approved"),"Check - content still to approve","OK"))))</f>
        <v>0</v>
      </c>
    </row>
    <row r="63" spans="1:29">
      <c r="A63" s="41">
        <f>IF(B63="","","INF-"&amp;TEXT(ROW()-4,"000"))</f>
        <v>0</v>
      </c>
      <c r="X63" s="25">
        <f>IF(OR(V63="",V63=0),"",N(T63)/V63)</f>
        <v>0</v>
      </c>
      <c r="Y63" s="31">
        <f>IF(OR(T63="",T63=0),"",N(W63)/T63)</f>
        <v>0</v>
      </c>
      <c r="Z63" s="25">
        <f>IF(AND(W63="",T63=""),"",N(W63)-N(T63))</f>
        <v>0</v>
      </c>
      <c r="AA63" s="25">
        <f>IF(OR(G63="",G63=0),"",N(T63)/(G63/1000))</f>
        <v>0</v>
      </c>
      <c r="AB63" s="29">
        <f>IF(B63="","",IF(Y63="","Not measured yet",IF(Y63&gt;=RoasTarget,"Yes - do it again",IF(Y63&gt;=1,"Maybe - it washed its face","No - it cost more than it made"))))</f>
        <v>0</v>
      </c>
      <c r="AC63" s="29">
        <f>IF(B63="","",IF(AND(M63="Contacted",L63&lt;&gt;"",TODAY()-L63&gt;7),"Action - follow up, no reply in a week",IF(AND(Q63&lt;&gt;"",Q63&lt;TODAY(),M63&lt;&gt;"Complete"),"Overdue - content not delivered",IF(AND(M63="Agreed",R63&lt;&gt;"Approved"),"Check - content still to approve","OK"))))</f>
        <v>0</v>
      </c>
    </row>
    <row r="64" spans="1:29">
      <c r="A64" s="41">
        <f>IF(B64="","","INF-"&amp;TEXT(ROW()-4,"000"))</f>
        <v>0</v>
      </c>
      <c r="X64" s="25">
        <f>IF(OR(V64="",V64=0),"",N(T64)/V64)</f>
        <v>0</v>
      </c>
      <c r="Y64" s="31">
        <f>IF(OR(T64="",T64=0),"",N(W64)/T64)</f>
        <v>0</v>
      </c>
      <c r="Z64" s="25">
        <f>IF(AND(W64="",T64=""),"",N(W64)-N(T64))</f>
        <v>0</v>
      </c>
      <c r="AA64" s="25">
        <f>IF(OR(G64="",G64=0),"",N(T64)/(G64/1000))</f>
        <v>0</v>
      </c>
      <c r="AB64" s="29">
        <f>IF(B64="","",IF(Y64="","Not measured yet",IF(Y64&gt;=RoasTarget,"Yes - do it again",IF(Y64&gt;=1,"Maybe - it washed its face","No - it cost more than it made"))))</f>
        <v>0</v>
      </c>
      <c r="AC64" s="29">
        <f>IF(B64="","",IF(AND(M64="Contacted",L64&lt;&gt;"",TODAY()-L64&gt;7),"Action - follow up, no reply in a week",IF(AND(Q64&lt;&gt;"",Q64&lt;TODAY(),M64&lt;&gt;"Complete"),"Overdue - content not delivered",IF(AND(M64="Agreed",R64&lt;&gt;"Approved"),"Check - content still to approve","OK"))))</f>
        <v>0</v>
      </c>
    </row>
  </sheetData>
  <sheetProtection password="EC7C" sheet="1" objects="1" scenarios="1" formatCells="0" formatColumns="0" formatRows="0" insertRows="0" insertHyperlinks="0" deleteRows="0" autoFilter="0"/>
  <autoFilter ref="A4:AD64"/>
  <mergeCells count="13">
    <mergeCell ref="A1:AA1"/>
    <mergeCell ref="AB1:AD1"/>
    <mergeCell ref="A2:AD2"/>
    <mergeCell ref="A3:B3"/>
    <mergeCell ref="C3:D3"/>
    <mergeCell ref="E3:F3"/>
    <mergeCell ref="G3:H3"/>
    <mergeCell ref="I3:J3"/>
    <mergeCell ref="K3:L3"/>
    <mergeCell ref="M3:N3"/>
    <mergeCell ref="O3:P3"/>
    <mergeCell ref="Q3:R3"/>
    <mergeCell ref="S3:AD3"/>
  </mergeCells>
  <conditionalFormatting sqref="AB5:AB64">
    <cfRule type="containsText" dxfId="0" priority="62" operator="containsText" text="Yes">
      <formula>NOT(ISERROR(SEARCH("Yes",AB5)))</formula>
    </cfRule>
    <cfRule type="containsText" dxfId="2" priority="63" operator="containsText" text="Maybe">
      <formula>NOT(ISERROR(SEARCH("Maybe",AB5)))</formula>
    </cfRule>
    <cfRule type="containsText" dxfId="1" priority="64" operator="containsText" text="No -">
      <formula>NOT(ISERROR(SEARCH("No -",AB5)))</formula>
    </cfRule>
  </conditionalFormatting>
  <conditionalFormatting sqref="AC5:AC64">
    <cfRule type="beginsWith" dxfId="0" priority="65" operator="beginsWith" text="OK">
      <formula>LEFT(AC5,2)="OK"</formula>
    </cfRule>
    <cfRule type="containsText" dxfId="1" priority="66" operator="containsText" text="Overdue">
      <formula>NOT(ISERROR(SEARCH("Overdue",AC5)))</formula>
    </cfRule>
    <cfRule type="containsText" dxfId="1" priority="67" operator="containsText" text="Late">
      <formula>NOT(ISERROR(SEARCH("Late",AC5)))</formula>
    </cfRule>
    <cfRule type="containsText" dxfId="1" priority="68" operator="containsText" text="Missing">
      <formula>NOT(ISERROR(SEARCH("Missing",AC5)))</formula>
    </cfRule>
    <cfRule type="containsText" dxfId="1" priority="69" operator="containsText" text="Conflict">
      <formula>NOT(ISERROR(SEARCH("Conflict",AC5)))</formula>
    </cfRule>
    <cfRule type="containsText" dxfId="1" priority="70" operator="containsText" text="Expired">
      <formula>NOT(ISERROR(SEARCH("Expired",AC5)))</formula>
    </cfRule>
    <cfRule type="containsText" dxfId="1" priority="71" operator="containsText" text="Duplicate">
      <formula>NOT(ISERROR(SEARCH("Duplicate",AC5)))</formula>
    </cfRule>
    <cfRule type="containsText" dxfId="2" priority="72" operator="containsText" text="Action">
      <formula>NOT(ISERROR(SEARCH("Action",AC5)))</formula>
    </cfRule>
    <cfRule type="containsText" dxfId="2" priority="73" operator="containsText" text="Due">
      <formula>NOT(ISERROR(SEARCH("Due",AC5)))</formula>
    </cfRule>
    <cfRule type="containsText" dxfId="2" priority="74" operator="containsText" text="Check">
      <formula>NOT(ISERROR(SEARCH("Check",AC5)))</formula>
    </cfRule>
    <cfRule type="containsText" dxfId="2" priority="75" operator="containsText" text="Add">
      <formula>NOT(ISERROR(SEARCH("Add",AC5)))</formula>
    </cfRule>
    <cfRule type="containsText" dxfId="3" priority="76" operator="containsText" text="Today">
      <formula>NOT(ISERROR(SEARCH("Today",AC5)))</formula>
    </cfRule>
    <cfRule type="containsText" dxfId="3" priority="77" operator="containsText" text="Upcoming">
      <formula>NOT(ISERROR(SEARCH("Upcoming",AC5)))</formula>
    </cfRule>
  </conditionalFormatting>
  <conditionalFormatting sqref="G5:G64">
    <cfRule type="dataBar" priority="1">
      <dataBar>
        <cfvo type="min" val="0"/>
        <cfvo type="max" val="0"/>
        <color rgb="FF6350A8"/>
      </dataBar>
    </cfRule>
  </conditionalFormatting>
  <conditionalFormatting sqref="H5:H64">
    <cfRule type="cellIs" dxfId="0" priority="2" operator="greaterThanOrEqual">
      <formula>0.03</formula>
    </cfRule>
    <cfRule type="cellIs" dxfId="2" priority="3" operator="lessThan">
      <formula>0.01</formula>
    </cfRule>
  </conditionalFormatting>
  <conditionalFormatting sqref="M5:M64">
    <cfRule type="containsText" dxfId="0" priority="4" operator="containsText" text="Published">
      <formula>NOT(ISERROR(SEARCH("Published",M5)))</formula>
    </cfRule>
    <cfRule type="containsText" dxfId="0" priority="5" operator="containsText" text="Approved">
      <formula>NOT(ISERROR(SEARCH("Approved",M5)))</formula>
    </cfRule>
    <cfRule type="containsText" dxfId="0" priority="6" operator="containsText" text="Complete">
      <formula>NOT(ISERROR(SEARCH("Complete",M5)))</formula>
    </cfRule>
    <cfRule type="containsText" dxfId="0" priority="7" operator="containsText" text="Active">
      <formula>NOT(ISERROR(SEARCH("Active",M5)))</formula>
    </cfRule>
    <cfRule type="containsText" dxfId="0" priority="8" operator="containsText" text="Agreed">
      <formula>NOT(ISERROR(SEARCH("Agreed",M5)))</formula>
    </cfRule>
    <cfRule type="containsText" dxfId="0" priority="9" operator="containsText" text="Yes">
      <formula>NOT(ISERROR(SEARCH("Yes",M5)))</formula>
    </cfRule>
    <cfRule type="containsText" dxfId="0" priority="10" operator="containsText" text="Won">
      <formula>NOT(ISERROR(SEARCH("Won",M5)))</formula>
    </cfRule>
    <cfRule type="containsText" dxfId="3" priority="11" operator="containsText" text="Scheduled">
      <formula>NOT(ISERROR(SEARCH("Scheduled",M5)))</formula>
    </cfRule>
    <cfRule type="containsText" dxfId="3" priority="12" operator="containsText" text="In production">
      <formula>NOT(ISERROR(SEARCH("In production",M5)))</formula>
    </cfRule>
    <cfRule type="containsText" dxfId="3" priority="13" operator="containsText" text="Running">
      <formula>NOT(ISERROR(SEARCH("Running",M5)))</formula>
    </cfRule>
    <cfRule type="containsText" dxfId="3" priority="14" operator="containsText" text="Sent">
      <formula>NOT(ISERROR(SEARCH("Sent",M5)))</formula>
    </cfRule>
    <cfRule type="containsText" dxfId="3" priority="15" operator="containsText" text="Testing">
      <formula>NOT(ISERROR(SEARCH("Testing",M5)))</formula>
    </cfRule>
    <cfRule type="containsText" dxfId="2" priority="16" operator="containsText" text="Idea">
      <formula>NOT(ISERROR(SEARCH("Idea",M5)))</formula>
    </cfRule>
    <cfRule type="containsText" dxfId="2" priority="17" operator="containsText" text="Brief">
      <formula>NOT(ISERROR(SEARCH("Brief",M5)))</formula>
    </cfRule>
    <cfRule type="containsText" dxfId="2" priority="18" operator="containsText" text="Draft">
      <formula>NOT(ISERROR(SEARCH("Draft",M5)))</formula>
    </cfRule>
    <cfRule type="containsText" dxfId="2" priority="19" operator="containsText" text="Awaiting review">
      <formula>NOT(ISERROR(SEARCH("Awaiting review",M5)))</formula>
    </cfRule>
    <cfRule type="containsText" dxfId="2" priority="20" operator="containsText" text="Pending">
      <formula>NOT(ISERROR(SEARCH("Pending",M5)))</formula>
    </cfRule>
    <cfRule type="containsText" dxfId="2" priority="21" operator="containsText" text="On hold">
      <formula>NOT(ISERROR(SEARCH("On hold",M5)))</formula>
    </cfRule>
    <cfRule type="containsText" dxfId="1" priority="22" operator="containsText" text="Revision needed">
      <formula>NOT(ISERROR(SEARCH("Revision needed",M5)))</formula>
    </cfRule>
    <cfRule type="containsText" dxfId="1" priority="23" operator="containsText" text="Rejected">
      <formula>NOT(ISERROR(SEARCH("Rejected",M5)))</formula>
    </cfRule>
    <cfRule type="containsText" dxfId="1" priority="24" operator="containsText" text="Cancelled">
      <formula>NOT(ISERROR(SEARCH("Cancelled",M5)))</formula>
    </cfRule>
    <cfRule type="containsText" dxfId="1" priority="25" operator="containsText" text="Missed">
      <formula>NOT(ISERROR(SEARCH("Missed",M5)))</formula>
    </cfRule>
    <cfRule type="containsText" dxfId="1" priority="26" operator="containsText" text="Overdue">
      <formula>NOT(ISERROR(SEARCH("Overdue",M5)))</formula>
    </cfRule>
    <cfRule type="containsText" dxfId="1" priority="27" operator="containsText" text="Declined">
      <formula>NOT(ISERROR(SEARCH("Declined",M5)))</formula>
    </cfRule>
    <cfRule type="containsText" dxfId="4" priority="28" operator="containsText" text="Archived">
      <formula>NOT(ISERROR(SEARCH("Archived",M5)))</formula>
    </cfRule>
    <cfRule type="containsText" dxfId="4" priority="29" operator="containsText" text="Paused">
      <formula>NOT(ISERROR(SEARCH("Paused",M5)))</formula>
    </cfRule>
    <cfRule type="containsText" dxfId="4" priority="30" operator="containsText" text="Not started">
      <formula>NOT(ISERROR(SEARCH("Not started",M5)))</formula>
    </cfRule>
  </conditionalFormatting>
  <conditionalFormatting sqref="R5:R64">
    <cfRule type="containsText" dxfId="0" priority="31" operator="containsText" text="Published">
      <formula>NOT(ISERROR(SEARCH("Published",R5)))</formula>
    </cfRule>
    <cfRule type="containsText" dxfId="0" priority="32" operator="containsText" text="Approved">
      <formula>NOT(ISERROR(SEARCH("Approved",R5)))</formula>
    </cfRule>
    <cfRule type="containsText" dxfId="0" priority="33" operator="containsText" text="Complete">
      <formula>NOT(ISERROR(SEARCH("Complete",R5)))</formula>
    </cfRule>
    <cfRule type="containsText" dxfId="0" priority="34" operator="containsText" text="Active">
      <formula>NOT(ISERROR(SEARCH("Active",R5)))</formula>
    </cfRule>
    <cfRule type="containsText" dxfId="0" priority="35" operator="containsText" text="Agreed">
      <formula>NOT(ISERROR(SEARCH("Agreed",R5)))</formula>
    </cfRule>
    <cfRule type="containsText" dxfId="0" priority="36" operator="containsText" text="Yes">
      <formula>NOT(ISERROR(SEARCH("Yes",R5)))</formula>
    </cfRule>
    <cfRule type="containsText" dxfId="0" priority="37" operator="containsText" text="Won">
      <formula>NOT(ISERROR(SEARCH("Won",R5)))</formula>
    </cfRule>
    <cfRule type="containsText" dxfId="3" priority="38" operator="containsText" text="Scheduled">
      <formula>NOT(ISERROR(SEARCH("Scheduled",R5)))</formula>
    </cfRule>
    <cfRule type="containsText" dxfId="3" priority="39" operator="containsText" text="In production">
      <formula>NOT(ISERROR(SEARCH("In production",R5)))</formula>
    </cfRule>
    <cfRule type="containsText" dxfId="3" priority="40" operator="containsText" text="Running">
      <formula>NOT(ISERROR(SEARCH("Running",R5)))</formula>
    </cfRule>
    <cfRule type="containsText" dxfId="3" priority="41" operator="containsText" text="Sent">
      <formula>NOT(ISERROR(SEARCH("Sent",R5)))</formula>
    </cfRule>
    <cfRule type="containsText" dxfId="3" priority="42" operator="containsText" text="Testing">
      <formula>NOT(ISERROR(SEARCH("Testing",R5)))</formula>
    </cfRule>
    <cfRule type="containsText" dxfId="2" priority="43" operator="containsText" text="Idea">
      <formula>NOT(ISERROR(SEARCH("Idea",R5)))</formula>
    </cfRule>
    <cfRule type="containsText" dxfId="2" priority="44" operator="containsText" text="Brief">
      <formula>NOT(ISERROR(SEARCH("Brief",R5)))</formula>
    </cfRule>
    <cfRule type="containsText" dxfId="2" priority="45" operator="containsText" text="Draft">
      <formula>NOT(ISERROR(SEARCH("Draft",R5)))</formula>
    </cfRule>
    <cfRule type="containsText" dxfId="2" priority="46" operator="containsText" text="Awaiting review">
      <formula>NOT(ISERROR(SEARCH("Awaiting review",R5)))</formula>
    </cfRule>
    <cfRule type="containsText" dxfId="2" priority="47" operator="containsText" text="Pending">
      <formula>NOT(ISERROR(SEARCH("Pending",R5)))</formula>
    </cfRule>
    <cfRule type="containsText" dxfId="2" priority="48" operator="containsText" text="On hold">
      <formula>NOT(ISERROR(SEARCH("On hold",R5)))</formula>
    </cfRule>
    <cfRule type="containsText" dxfId="1" priority="49" operator="containsText" text="Revision needed">
      <formula>NOT(ISERROR(SEARCH("Revision needed",R5)))</formula>
    </cfRule>
    <cfRule type="containsText" dxfId="1" priority="50" operator="containsText" text="Rejected">
      <formula>NOT(ISERROR(SEARCH("Rejected",R5)))</formula>
    </cfRule>
    <cfRule type="containsText" dxfId="1" priority="51" operator="containsText" text="Cancelled">
      <formula>NOT(ISERROR(SEARCH("Cancelled",R5)))</formula>
    </cfRule>
    <cfRule type="containsText" dxfId="1" priority="52" operator="containsText" text="Missed">
      <formula>NOT(ISERROR(SEARCH("Missed",R5)))</formula>
    </cfRule>
    <cfRule type="containsText" dxfId="1" priority="53" operator="containsText" text="Overdue">
      <formula>NOT(ISERROR(SEARCH("Overdue",R5)))</formula>
    </cfRule>
    <cfRule type="containsText" dxfId="1" priority="54" operator="containsText" text="Declined">
      <formula>NOT(ISERROR(SEARCH("Declined",R5)))</formula>
    </cfRule>
    <cfRule type="containsText" dxfId="4" priority="55" operator="containsText" text="Archived">
      <formula>NOT(ISERROR(SEARCH("Archived",R5)))</formula>
    </cfRule>
    <cfRule type="containsText" dxfId="4" priority="56" operator="containsText" text="Paused">
      <formula>NOT(ISERROR(SEARCH("Paused",R5)))</formula>
    </cfRule>
    <cfRule type="containsText" dxfId="4" priority="57" operator="containsText" text="Not started">
      <formula>NOT(ISERROR(SEARCH("Not started",R5)))</formula>
    </cfRule>
  </conditionalFormatting>
  <conditionalFormatting sqref="W5:W64">
    <cfRule type="cellIs" dxfId="5" priority="58" operator="greaterThan">
      <formula>0</formula>
    </cfRule>
  </conditionalFormatting>
  <conditionalFormatting sqref="Y5:Y64">
    <cfRule type="cellIs" dxfId="0" priority="59" operator="greaterThanOrEqual">
      <formula>RoasTarget</formula>
    </cfRule>
    <cfRule type="cellIs" dxfId="1" priority="60" operator="lessThan">
      <formula>1</formula>
    </cfRule>
  </conditionalFormatting>
  <conditionalFormatting sqref="Z5:Z64">
    <cfRule type="cellIs" dxfId="1" priority="61" operator="lessThan">
      <formula>0</formula>
    </cfRule>
  </conditionalFormatting>
  <dataValidations count="13">
    <dataValidation type="whole" allowBlank="1" showInputMessage="1" showErrorMessage="1" errorTitle="Check the value" error="Enter a number between 0 and 1000000000.0." sqref="G5:G64">
      <formula1>0</formula1>
      <formula2>1000000000.0</formula2>
    </dataValidation>
    <dataValidation type="decimal" allowBlank="1" showInputMessage="1" showErrorMessage="1" errorTitle="Check the value" error="Enter a number between 0 and 1." promptTitle="Their engagement rate" prompt="Look at it before you look at follower count - 2-6% is healthy." sqref="H5:H64">
      <formula1>0</formula1>
      <formula2>1</formula2>
    </dataValidation>
    <dataValidation type="list" allowBlank="1" showInputMessage="1" showErrorMessage="1" sqref="J5:J64">
      <formula1>CollabTypeList</formula1>
    </dataValidation>
    <dataValidation type="list" allowBlank="1" showInputMessage="1" showErrorMessage="1" sqref="K5:K64">
      <formula1>CampaignNames</formula1>
    </dataValidation>
    <dataValidation type="date" allowBlank="1" showInputMessage="1" showErrorMessage="1" errorTitle="Check the date" error="Enter a real date between 2000 and 2100." sqref="L5:L64">
      <formula1>36526</formula1>
      <formula2>73415</formula2>
    </dataValidation>
    <dataValidation type="list" allowBlank="1" showInputMessage="1" showErrorMessage="1" sqref="M5:M64">
      <formula1>OutreachStatusList</formula1>
    </dataValidation>
    <dataValidation type="decimal" allowBlank="1" showInputMessage="1" showErrorMessage="1" errorTitle="Check the value" error="Enter a number between 0 and 100000000.0." sqref="O5:O64">
      <formula1>0</formula1>
      <formula2>100000000.0</formula2>
    </dataValidation>
    <dataValidation type="date" allowBlank="1" showInputMessage="1" showErrorMessage="1" errorTitle="Check the date" error="Enter a real date between 2000 and 2100." sqref="Q5:Q64">
      <formula1>36526</formula1>
      <formula2>73415</formula2>
    </dataValidation>
    <dataValidation type="list" allowBlank="1" showInputMessage="1" showErrorMessage="1" sqref="R5:R64">
      <formula1>ApprovalStatusList</formula1>
    </dataValidation>
    <dataValidation type="decimal" allowBlank="1" showInputMessage="1" showErrorMessage="1" errorTitle="Check the value" error="Enter a number between 0 and 100000000.0." promptTitle="Total cost" prompt="Fee plus product, postage and anything else you gave away." sqref="T5:T64">
      <formula1>0</formula1>
      <formula2>100000000.0</formula2>
    </dataValidation>
    <dataValidation type="whole" allowBlank="1" showInputMessage="1" showErrorMessage="1" errorTitle="Check the value" error="Enter a number between 0 and 10000000.0." sqref="U5:U64">
      <formula1>0</formula1>
      <formula2>10000000.0</formula2>
    </dataValidation>
    <dataValidation type="whole" allowBlank="1" showInputMessage="1" showErrorMessage="1" errorTitle="Check the value" error="Enter a number between 0 and 10000000.0." sqref="V5:V64">
      <formula1>0</formula1>
      <formula2>10000000.0</formula2>
    </dataValidation>
    <dataValidation type="decimal" allowBlank="1" showInputMessage="1" showErrorMessage="1" errorTitle="Check the value" error="Enter a number between 0 and 1000000000.0." sqref="W5:W64">
      <formula1>0</formula1>
      <formula2>1000000000.0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&amp;L&amp;"Calibri,Bold"&amp;12&amp;C&amp;"Calibri,Bold"&amp;11Influencers&amp;R&amp;"Calibri,Italic"&amp;9Social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5.xml><?xml version="1.0" encoding="utf-8"?>
<worksheet xmlns="http://schemas.openxmlformats.org/spreadsheetml/2006/main" xmlns:r="http://schemas.openxmlformats.org/officeDocument/2006/relationships">
  <sheetPr>
    <tabColor rgb="FF6350A8"/>
    <pageSetUpPr fitToPage="1"/>
  </sheetPr>
  <dimension ref="A1:U1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1" customWidth="1"/>
    <col min="2" max="2" width="22.7109375" style="15" customWidth="1"/>
    <col min="3" max="3" width="18.7109375" style="15" customWidth="1"/>
    <col min="4" max="4" width="13.7109375" style="15" customWidth="1"/>
    <col min="5" max="5" width="28.7109375" style="42" customWidth="1"/>
    <col min="6" max="6" width="14.7109375" style="15" customWidth="1"/>
    <col min="7" max="7" width="22.7109375" style="15" customWidth="1"/>
    <col min="8" max="8" width="36.7109375" style="39" customWidth="1"/>
    <col min="9" max="9" width="12.7109375" style="40" customWidth="1"/>
    <col min="10" max="10" width="14.7109375" style="48" customWidth="1"/>
    <col min="11" max="11" width="22.7109375" style="39" customWidth="1"/>
    <col min="12" max="12" width="12.7109375" style="43" customWidth="1"/>
    <col min="13" max="13" width="20.7109375" style="15" customWidth="1"/>
    <col min="14" max="14" width="15.7109375" style="48" customWidth="1"/>
    <col min="15" max="15" width="13.7109375" style="43" customWidth="1"/>
    <col min="16" max="16" width="24.7109375" style="15" customWidth="1"/>
    <col min="17" max="17" width="13.7109375" style="34" customWidth="1"/>
    <col min="18" max="18" width="12.7109375" style="23" customWidth="1"/>
    <col min="19" max="19" width="14.7109375" style="29" customWidth="1"/>
    <col min="20" max="20" width="28.7109375" style="29" customWidth="1"/>
    <col min="21" max="21" width="24.7109375" style="39" customWidth="1"/>
  </cols>
  <sheetData>
    <row r="1" spans="1:21" ht="34" customHeight="1">
      <c r="A1" s="2" t="s">
        <v>1712</v>
      </c>
      <c r="B1" s="2"/>
      <c r="C1" s="2"/>
      <c r="D1" s="2"/>
      <c r="E1" s="2"/>
      <c r="F1" s="2"/>
      <c r="G1" s="2"/>
      <c r="H1" s="2"/>
      <c r="I1" s="2"/>
      <c r="J1" s="2"/>
      <c r="K1" s="2"/>
      <c r="L1" s="2"/>
      <c r="M1" s="2"/>
      <c r="N1" s="2"/>
      <c r="O1" s="2"/>
      <c r="P1" s="2"/>
      <c r="Q1" s="2"/>
      <c r="R1" s="2"/>
      <c r="S1" s="3" t="s">
        <v>1</v>
      </c>
      <c r="T1" s="3"/>
      <c r="U1" s="3"/>
    </row>
    <row r="2" spans="1:21" ht="18" customHeight="1">
      <c r="A2" s="4" t="s">
        <v>1713</v>
      </c>
      <c r="B2" s="4"/>
      <c r="C2" s="4"/>
      <c r="D2" s="4"/>
      <c r="E2" s="4"/>
      <c r="F2" s="4"/>
      <c r="G2" s="4"/>
      <c r="H2" s="4"/>
      <c r="I2" s="4"/>
      <c r="J2" s="4"/>
      <c r="K2" s="4"/>
      <c r="L2" s="4"/>
      <c r="M2" s="4"/>
      <c r="N2" s="4"/>
      <c r="O2" s="4"/>
      <c r="P2" s="4"/>
      <c r="Q2" s="4"/>
      <c r="R2" s="4"/>
      <c r="S2" s="4"/>
      <c r="T2" s="4"/>
      <c r="U2" s="4"/>
    </row>
    <row r="3" spans="1:21" ht="16" customHeight="1">
      <c r="A3" s="5" t="s">
        <v>3</v>
      </c>
      <c r="B3" s="5"/>
      <c r="C3" s="5" t="s">
        <v>4</v>
      </c>
      <c r="D3" s="5"/>
      <c r="E3" s="5" t="s">
        <v>5</v>
      </c>
      <c r="F3" s="5"/>
      <c r="G3" s="5" t="s">
        <v>6</v>
      </c>
      <c r="H3" s="5"/>
      <c r="I3" s="5" t="s">
        <v>7</v>
      </c>
      <c r="J3" s="5"/>
      <c r="K3" s="5" t="s">
        <v>8</v>
      </c>
      <c r="L3" s="5"/>
      <c r="M3" s="5" t="s">
        <v>125</v>
      </c>
      <c r="N3" s="5"/>
      <c r="O3" s="5" t="s">
        <v>126</v>
      </c>
      <c r="P3" s="5"/>
      <c r="Q3" s="5" t="s">
        <v>127</v>
      </c>
      <c r="R3" s="5"/>
      <c r="S3" s="33"/>
      <c r="T3" s="33"/>
      <c r="U3" s="33"/>
    </row>
    <row r="4" spans="1:21" ht="30" customHeight="1">
      <c r="A4" s="8" t="s">
        <v>766</v>
      </c>
      <c r="B4" s="8" t="s">
        <v>1714</v>
      </c>
      <c r="C4" s="9" t="s">
        <v>1715</v>
      </c>
      <c r="D4" s="9" t="s">
        <v>192</v>
      </c>
      <c r="E4" s="9" t="s">
        <v>1716</v>
      </c>
      <c r="F4" s="9" t="s">
        <v>1336</v>
      </c>
      <c r="G4" s="9" t="s">
        <v>1717</v>
      </c>
      <c r="H4" s="9" t="s">
        <v>1718</v>
      </c>
      <c r="I4" s="9" t="s">
        <v>1719</v>
      </c>
      <c r="J4" s="9" t="s">
        <v>1720</v>
      </c>
      <c r="K4" s="9" t="s">
        <v>1721</v>
      </c>
      <c r="L4" s="9" t="s">
        <v>1722</v>
      </c>
      <c r="M4" s="9" t="s">
        <v>1723</v>
      </c>
      <c r="N4" s="9" t="s">
        <v>1724</v>
      </c>
      <c r="O4" s="9" t="s">
        <v>1725</v>
      </c>
      <c r="P4" s="9" t="s">
        <v>1726</v>
      </c>
      <c r="Q4" s="9" t="s">
        <v>1727</v>
      </c>
      <c r="R4" s="9" t="s">
        <v>1728</v>
      </c>
      <c r="S4" s="9" t="s">
        <v>1729</v>
      </c>
      <c r="T4" s="9" t="s">
        <v>787</v>
      </c>
      <c r="U4" s="9" t="s">
        <v>788</v>
      </c>
    </row>
    <row r="5" spans="1:21">
      <c r="A5" s="41">
        <f>IF(B5="","","UGC-"&amp;TEXT(ROW()-4,"000"))</f>
        <v>0</v>
      </c>
      <c r="B5" s="15" t="s">
        <v>1730</v>
      </c>
      <c r="C5" s="15" t="s">
        <v>565</v>
      </c>
      <c r="D5" s="15" t="s">
        <v>376</v>
      </c>
      <c r="E5" s="42" t="s">
        <v>1731</v>
      </c>
      <c r="F5" s="15" t="s">
        <v>521</v>
      </c>
      <c r="G5" s="15" t="s">
        <v>1732</v>
      </c>
      <c r="H5" s="39" t="s">
        <v>1733</v>
      </c>
      <c r="I5" s="40">
        <v>5</v>
      </c>
      <c r="J5" s="48" t="s">
        <v>562</v>
      </c>
      <c r="K5" s="39" t="s">
        <v>1734</v>
      </c>
      <c r="L5" s="43">
        <v>46636</v>
      </c>
      <c r="M5" s="15" t="s">
        <v>1735</v>
      </c>
      <c r="N5" s="48" t="s">
        <v>422</v>
      </c>
      <c r="O5" s="43">
        <v>46309</v>
      </c>
      <c r="P5" s="15" t="s">
        <v>1736</v>
      </c>
      <c r="Q5" s="34">
        <v>412</v>
      </c>
      <c r="R5" s="23">
        <f>IF(L5="","",L5-TODAY())</f>
        <v>0</v>
      </c>
      <c r="S5" s="29">
        <f>IF(B5="","",IF(J5&lt;&gt;"Granted","No - no permission yet",IF(AND(L5&lt;&gt;"",L5&lt;TODAY()),"No - rights expired",IF(N5&lt;&gt;"Approved","Check - not approved yet","Yes"))))</f>
        <v>0</v>
      </c>
      <c r="T5" s="29">
        <f>IF(B5="","",IF(J5="Requested","Action - chase the permission",IF(AND(S5="Yes",O5=""),"Plan - schedule this repost",IF(AND(O5&lt;&gt;"",O5&lt;TODAY(),N5="Approved"),"Overdue - repost date has passed",IF(AND(R5&lt;&gt;"",R5&lt;30,R5&gt;=0),"Check - rights expire soon","OK")))))</f>
        <v>0</v>
      </c>
      <c r="U5" s="39" t="s">
        <v>205</v>
      </c>
    </row>
    <row r="6" spans="1:21">
      <c r="A6" s="41">
        <f>IF(B6="","","UGC-"&amp;TEXT(ROW()-4,"000"))</f>
        <v>0</v>
      </c>
      <c r="B6" s="15" t="s">
        <v>1737</v>
      </c>
      <c r="C6" s="15" t="s">
        <v>566</v>
      </c>
      <c r="D6" s="15" t="s">
        <v>376</v>
      </c>
      <c r="E6" s="42" t="s">
        <v>1738</v>
      </c>
      <c r="F6" s="15" t="s">
        <v>403</v>
      </c>
      <c r="G6" s="15" t="s">
        <v>1739</v>
      </c>
      <c r="H6" s="39" t="s">
        <v>1733</v>
      </c>
      <c r="I6" s="40">
        <v>5</v>
      </c>
      <c r="J6" s="48" t="s">
        <v>562</v>
      </c>
      <c r="K6" s="39" t="s">
        <v>1734</v>
      </c>
      <c r="L6" s="43">
        <v>46636</v>
      </c>
      <c r="M6" s="15" t="s">
        <v>1740</v>
      </c>
      <c r="N6" s="48" t="s">
        <v>422</v>
      </c>
      <c r="O6" s="43">
        <v>46311</v>
      </c>
      <c r="P6" s="15" t="s">
        <v>1736</v>
      </c>
      <c r="Q6" s="34">
        <v>460</v>
      </c>
      <c r="R6" s="23">
        <f>IF(L6="","",L6-TODAY())</f>
        <v>0</v>
      </c>
      <c r="S6" s="29">
        <f>IF(B6="","",IF(J6&lt;&gt;"Granted","No - no permission yet",IF(AND(L6&lt;&gt;"",L6&lt;TODAY()),"No - rights expired",IF(N6&lt;&gt;"Approved","Check - not approved yet","Yes"))))</f>
        <v>0</v>
      </c>
      <c r="T6" s="29">
        <f>IF(B6="","",IF(J6="Requested","Action - chase the permission",IF(AND(S6="Yes",O6=""),"Plan - schedule this repost",IF(AND(O6&lt;&gt;"",O6&lt;TODAY(),N6="Approved"),"Overdue - repost date has passed",IF(AND(R6&lt;&gt;"",R6&lt;30,R6&gt;=0),"Check - rights expire soon","OK")))))</f>
        <v>0</v>
      </c>
      <c r="U6" s="39" t="s">
        <v>205</v>
      </c>
    </row>
    <row r="7" spans="1:21">
      <c r="A7" s="41">
        <f>IF(B7="","","UGC-"&amp;TEXT(ROW()-4,"000"))</f>
        <v>0</v>
      </c>
      <c r="B7" s="15" t="s">
        <v>1741</v>
      </c>
      <c r="C7" s="15" t="s">
        <v>488</v>
      </c>
      <c r="D7" s="15" t="s">
        <v>386</v>
      </c>
      <c r="E7" s="42" t="s">
        <v>1742</v>
      </c>
      <c r="F7" s="15" t="s">
        <v>521</v>
      </c>
      <c r="G7" s="15" t="s">
        <v>1743</v>
      </c>
      <c r="H7" s="39" t="s">
        <v>1733</v>
      </c>
      <c r="I7" s="40">
        <v>4</v>
      </c>
      <c r="J7" s="48" t="s">
        <v>562</v>
      </c>
      <c r="K7" s="39" t="s">
        <v>1734</v>
      </c>
      <c r="L7" s="43">
        <v>46636</v>
      </c>
      <c r="M7" s="15" t="s">
        <v>1744</v>
      </c>
      <c r="N7" s="48" t="s">
        <v>422</v>
      </c>
      <c r="O7" s="43">
        <v>46313</v>
      </c>
      <c r="P7" s="15" t="s">
        <v>1736</v>
      </c>
      <c r="Q7" s="34">
        <v>619</v>
      </c>
      <c r="R7" s="23">
        <f>IF(L7="","",L7-TODAY())</f>
        <v>0</v>
      </c>
      <c r="S7" s="29">
        <f>IF(B7="","",IF(J7&lt;&gt;"Granted","No - no permission yet",IF(AND(L7&lt;&gt;"",L7&lt;TODAY()),"No - rights expired",IF(N7&lt;&gt;"Approved","Check - not approved yet","Yes"))))</f>
        <v>0</v>
      </c>
      <c r="T7" s="29">
        <f>IF(B7="","",IF(J7="Requested","Action - chase the permission",IF(AND(S7="Yes",O7=""),"Plan - schedule this repost",IF(AND(O7&lt;&gt;"",O7&lt;TODAY(),N7="Approved"),"Overdue - repost date has passed",IF(AND(R7&lt;&gt;"",R7&lt;30,R7&gt;=0),"Check - rights expire soon","OK")))))</f>
        <v>0</v>
      </c>
      <c r="U7" s="39" t="s">
        <v>205</v>
      </c>
    </row>
    <row r="8" spans="1:21">
      <c r="A8" s="41">
        <f>IF(B8="","","UGC-"&amp;TEXT(ROW()-4,"000"))</f>
        <v>0</v>
      </c>
      <c r="B8" s="15" t="s">
        <v>1745</v>
      </c>
      <c r="C8" s="15" t="s">
        <v>567</v>
      </c>
      <c r="D8" s="15" t="s">
        <v>377</v>
      </c>
      <c r="E8" s="42" t="s">
        <v>1746</v>
      </c>
      <c r="F8" s="15" t="s">
        <v>403</v>
      </c>
      <c r="G8" s="15" t="s">
        <v>1747</v>
      </c>
      <c r="H8" s="39" t="s">
        <v>1733</v>
      </c>
      <c r="I8" s="40">
        <v>5</v>
      </c>
      <c r="J8" s="48" t="s">
        <v>561</v>
      </c>
      <c r="K8" s="39" t="s">
        <v>205</v>
      </c>
      <c r="M8" s="15" t="s">
        <v>1748</v>
      </c>
      <c r="N8" s="48" t="s">
        <v>420</v>
      </c>
      <c r="O8" s="43">
        <v>46315</v>
      </c>
      <c r="P8" s="15" t="s">
        <v>1736</v>
      </c>
      <c r="Q8" s="34">
        <v>568</v>
      </c>
      <c r="R8" s="23">
        <f>IF(L8="","",L8-TODAY())</f>
        <v>0</v>
      </c>
      <c r="S8" s="29">
        <f>IF(B8="","",IF(J8&lt;&gt;"Granted","No - no permission yet",IF(AND(L8&lt;&gt;"",L8&lt;TODAY()),"No - rights expired",IF(N8&lt;&gt;"Approved","Check - not approved yet","Yes"))))</f>
        <v>0</v>
      </c>
      <c r="T8" s="29">
        <f>IF(B8="","",IF(J8="Requested","Action - chase the permission",IF(AND(S8="Yes",O8=""),"Plan - schedule this repost",IF(AND(O8&lt;&gt;"",O8&lt;TODAY(),N8="Approved"),"Overdue - repost date has passed",IF(AND(R8&lt;&gt;"",R8&lt;30,R8&gt;=0),"Check - rights expire soon","OK")))))</f>
        <v>0</v>
      </c>
      <c r="U8" s="39" t="s">
        <v>205</v>
      </c>
    </row>
    <row r="9" spans="1:21">
      <c r="A9" s="41">
        <f>IF(B9="","","UGC-"&amp;TEXT(ROW()-4,"000"))</f>
        <v>0</v>
      </c>
      <c r="B9" s="15" t="s">
        <v>1749</v>
      </c>
      <c r="C9" s="15" t="s">
        <v>568</v>
      </c>
      <c r="D9" s="15" t="s">
        <v>376</v>
      </c>
      <c r="E9" s="42" t="s">
        <v>1750</v>
      </c>
      <c r="F9" s="15" t="s">
        <v>521</v>
      </c>
      <c r="G9" s="15" t="s">
        <v>1751</v>
      </c>
      <c r="H9" s="39" t="s">
        <v>1733</v>
      </c>
      <c r="I9" s="40">
        <v>4</v>
      </c>
      <c r="J9" s="48" t="s">
        <v>562</v>
      </c>
      <c r="K9" s="39" t="s">
        <v>1734</v>
      </c>
      <c r="L9" s="43">
        <v>46636</v>
      </c>
      <c r="M9" s="15" t="s">
        <v>1752</v>
      </c>
      <c r="N9" s="48" t="s">
        <v>422</v>
      </c>
      <c r="O9" s="43">
        <v>46317</v>
      </c>
      <c r="P9" s="15" t="s">
        <v>1736</v>
      </c>
      <c r="Q9" s="34">
        <v>544</v>
      </c>
      <c r="R9" s="23">
        <f>IF(L9="","",L9-TODAY())</f>
        <v>0</v>
      </c>
      <c r="S9" s="29">
        <f>IF(B9="","",IF(J9&lt;&gt;"Granted","No - no permission yet",IF(AND(L9&lt;&gt;"",L9&lt;TODAY()),"No - rights expired",IF(N9&lt;&gt;"Approved","Check - not approved yet","Yes"))))</f>
        <v>0</v>
      </c>
      <c r="T9" s="29">
        <f>IF(B9="","",IF(J9="Requested","Action - chase the permission",IF(AND(S9="Yes",O9=""),"Plan - schedule this repost",IF(AND(O9&lt;&gt;"",O9&lt;TODAY(),N9="Approved"),"Overdue - repost date has passed",IF(AND(R9&lt;&gt;"",R9&lt;30,R9&gt;=0),"Check - rights expire soon","OK")))))</f>
        <v>0</v>
      </c>
      <c r="U9" s="39" t="s">
        <v>205</v>
      </c>
    </row>
    <row r="10" spans="1:21">
      <c r="A10" s="41">
        <f>IF(B10="","","UGC-"&amp;TEXT(ROW()-4,"000"))</f>
        <v>0</v>
      </c>
      <c r="B10" s="15" t="s">
        <v>1753</v>
      </c>
      <c r="C10" s="15" t="s">
        <v>487</v>
      </c>
      <c r="D10" s="15" t="s">
        <v>376</v>
      </c>
      <c r="E10" s="42" t="s">
        <v>1754</v>
      </c>
      <c r="F10" s="15" t="s">
        <v>403</v>
      </c>
      <c r="G10" s="15" t="s">
        <v>1755</v>
      </c>
      <c r="H10" s="39" t="s">
        <v>1733</v>
      </c>
      <c r="I10" s="40">
        <v>5</v>
      </c>
      <c r="J10" s="48" t="s">
        <v>560</v>
      </c>
      <c r="K10" s="39" t="s">
        <v>205</v>
      </c>
      <c r="M10" s="15" t="s">
        <v>1756</v>
      </c>
      <c r="N10" s="48" t="s">
        <v>420</v>
      </c>
      <c r="O10" s="43">
        <v>46319</v>
      </c>
      <c r="P10" s="15" t="s">
        <v>1736</v>
      </c>
      <c r="Q10" s="34">
        <v>132</v>
      </c>
      <c r="R10" s="23">
        <f>IF(L10="","",L10-TODAY())</f>
        <v>0</v>
      </c>
      <c r="S10" s="29">
        <f>IF(B10="","",IF(J10&lt;&gt;"Granted","No - no permission yet",IF(AND(L10&lt;&gt;"",L10&lt;TODAY()),"No - rights expired",IF(N10&lt;&gt;"Approved","Check - not approved yet","Yes"))))</f>
        <v>0</v>
      </c>
      <c r="T10" s="29">
        <f>IF(B10="","",IF(J10="Requested","Action - chase the permission",IF(AND(S10="Yes",O10=""),"Plan - schedule this repost",IF(AND(O10&lt;&gt;"",O10&lt;TODAY(),N10="Approved"),"Overdue - repost date has passed",IF(AND(R10&lt;&gt;"",R10&lt;30,R10&gt;=0),"Check - rights expire soon","OK")))))</f>
        <v>0</v>
      </c>
      <c r="U10" s="39" t="s">
        <v>205</v>
      </c>
    </row>
    <row r="11" spans="1:21">
      <c r="A11" s="41">
        <f>IF(B11="","","UGC-"&amp;TEXT(ROW()-4,"000"))</f>
        <v>0</v>
      </c>
      <c r="R11" s="23">
        <f>IF(L11="","",L11-TODAY())</f>
        <v>0</v>
      </c>
      <c r="S11" s="29">
        <f>IF(B11="","",IF(J11&lt;&gt;"Granted","No - no permission yet",IF(AND(L11&lt;&gt;"",L11&lt;TODAY()),"No - rights expired",IF(N11&lt;&gt;"Approved","Check - not approved yet","Yes"))))</f>
        <v>0</v>
      </c>
      <c r="T11" s="29">
        <f>IF(B11="","",IF(J11="Requested","Action - chase the permission",IF(AND(S11="Yes",O11=""),"Plan - schedule this repost",IF(AND(O11&lt;&gt;"",O11&lt;TODAY(),N11="Approved"),"Overdue - repost date has passed",IF(AND(R11&lt;&gt;"",R11&lt;30,R11&gt;=0),"Check - rights expire soon","OK")))))</f>
        <v>0</v>
      </c>
    </row>
    <row r="12" spans="1:21">
      <c r="A12" s="41">
        <f>IF(B12="","","UGC-"&amp;TEXT(ROW()-4,"000"))</f>
        <v>0</v>
      </c>
      <c r="R12" s="23">
        <f>IF(L12="","",L12-TODAY())</f>
        <v>0</v>
      </c>
      <c r="S12" s="29">
        <f>IF(B12="","",IF(J12&lt;&gt;"Granted","No - no permission yet",IF(AND(L12&lt;&gt;"",L12&lt;TODAY()),"No - rights expired",IF(N12&lt;&gt;"Approved","Check - not approved yet","Yes"))))</f>
        <v>0</v>
      </c>
      <c r="T12" s="29">
        <f>IF(B12="","",IF(J12="Requested","Action - chase the permission",IF(AND(S12="Yes",O12=""),"Plan - schedule this repost",IF(AND(O12&lt;&gt;"",O12&lt;TODAY(),N12="Approved"),"Overdue - repost date has passed",IF(AND(R12&lt;&gt;"",R12&lt;30,R12&gt;=0),"Check - rights expire soon","OK")))))</f>
        <v>0</v>
      </c>
    </row>
    <row r="13" spans="1:21">
      <c r="A13" s="41">
        <f>IF(B13="","","UGC-"&amp;TEXT(ROW()-4,"000"))</f>
        <v>0</v>
      </c>
      <c r="R13" s="23">
        <f>IF(L13="","",L13-TODAY())</f>
        <v>0</v>
      </c>
      <c r="S13" s="29">
        <f>IF(B13="","",IF(J13&lt;&gt;"Granted","No - no permission yet",IF(AND(L13&lt;&gt;"",L13&lt;TODAY()),"No - rights expired",IF(N13&lt;&gt;"Approved","Check - not approved yet","Yes"))))</f>
        <v>0</v>
      </c>
      <c r="T13" s="29">
        <f>IF(B13="","",IF(J13="Requested","Action - chase the permission",IF(AND(S13="Yes",O13=""),"Plan - schedule this repost",IF(AND(O13&lt;&gt;"",O13&lt;TODAY(),N13="Approved"),"Overdue - repost date has passed",IF(AND(R13&lt;&gt;"",R13&lt;30,R13&gt;=0),"Check - rights expire soon","OK")))))</f>
        <v>0</v>
      </c>
    </row>
    <row r="14" spans="1:21">
      <c r="A14" s="41">
        <f>IF(B14="","","UGC-"&amp;TEXT(ROW()-4,"000"))</f>
        <v>0</v>
      </c>
      <c r="R14" s="23">
        <f>IF(L14="","",L14-TODAY())</f>
        <v>0</v>
      </c>
      <c r="S14" s="29">
        <f>IF(B14="","",IF(J14&lt;&gt;"Granted","No - no permission yet",IF(AND(L14&lt;&gt;"",L14&lt;TODAY()),"No - rights expired",IF(N14&lt;&gt;"Approved","Check - not approved yet","Yes"))))</f>
        <v>0</v>
      </c>
      <c r="T14" s="29">
        <f>IF(B14="","",IF(J14="Requested","Action - chase the permission",IF(AND(S14="Yes",O14=""),"Plan - schedule this repost",IF(AND(O14&lt;&gt;"",O14&lt;TODAY(),N14="Approved"),"Overdue - repost date has passed",IF(AND(R14&lt;&gt;"",R14&lt;30,R14&gt;=0),"Check - rights expire soon","OK")))))</f>
        <v>0</v>
      </c>
    </row>
    <row r="15" spans="1:21">
      <c r="A15" s="41">
        <f>IF(B15="","","UGC-"&amp;TEXT(ROW()-4,"000"))</f>
        <v>0</v>
      </c>
      <c r="R15" s="23">
        <f>IF(L15="","",L15-TODAY())</f>
        <v>0</v>
      </c>
      <c r="S15" s="29">
        <f>IF(B15="","",IF(J15&lt;&gt;"Granted","No - no permission yet",IF(AND(L15&lt;&gt;"",L15&lt;TODAY()),"No - rights expired",IF(N15&lt;&gt;"Approved","Check - not approved yet","Yes"))))</f>
        <v>0</v>
      </c>
      <c r="T15" s="29">
        <f>IF(B15="","",IF(J15="Requested","Action - chase the permission",IF(AND(S15="Yes",O15=""),"Plan - schedule this repost",IF(AND(O15&lt;&gt;"",O15&lt;TODAY(),N15="Approved"),"Overdue - repost date has passed",IF(AND(R15&lt;&gt;"",R15&lt;30,R15&gt;=0),"Check - rights expire soon","OK")))))</f>
        <v>0</v>
      </c>
    </row>
    <row r="16" spans="1:21">
      <c r="A16" s="41">
        <f>IF(B16="","","UGC-"&amp;TEXT(ROW()-4,"000"))</f>
        <v>0</v>
      </c>
      <c r="R16" s="23">
        <f>IF(L16="","",L16-TODAY())</f>
        <v>0</v>
      </c>
      <c r="S16" s="29">
        <f>IF(B16="","",IF(J16&lt;&gt;"Granted","No - no permission yet",IF(AND(L16&lt;&gt;"",L16&lt;TODAY()),"No - rights expired",IF(N16&lt;&gt;"Approved","Check - not approved yet","Yes"))))</f>
        <v>0</v>
      </c>
      <c r="T16" s="29">
        <f>IF(B16="","",IF(J16="Requested","Action - chase the permission",IF(AND(S16="Yes",O16=""),"Plan - schedule this repost",IF(AND(O16&lt;&gt;"",O16&lt;TODAY(),N16="Approved"),"Overdue - repost date has passed",IF(AND(R16&lt;&gt;"",R16&lt;30,R16&gt;=0),"Check - rights expire soon","OK")))))</f>
        <v>0</v>
      </c>
    </row>
    <row r="17" spans="1:20">
      <c r="A17" s="41">
        <f>IF(B17="","","UGC-"&amp;TEXT(ROW()-4,"000"))</f>
        <v>0</v>
      </c>
      <c r="R17" s="23">
        <f>IF(L17="","",L17-TODAY())</f>
        <v>0</v>
      </c>
      <c r="S17" s="29">
        <f>IF(B17="","",IF(J17&lt;&gt;"Granted","No - no permission yet",IF(AND(L17&lt;&gt;"",L17&lt;TODAY()),"No - rights expired",IF(N17&lt;&gt;"Approved","Check - not approved yet","Yes"))))</f>
        <v>0</v>
      </c>
      <c r="T17" s="29">
        <f>IF(B17="","",IF(J17="Requested","Action - chase the permission",IF(AND(S17="Yes",O17=""),"Plan - schedule this repost",IF(AND(O17&lt;&gt;"",O17&lt;TODAY(),N17="Approved"),"Overdue - repost date has passed",IF(AND(R17&lt;&gt;"",R17&lt;30,R17&gt;=0),"Check - rights expire soon","OK")))))</f>
        <v>0</v>
      </c>
    </row>
    <row r="18" spans="1:20">
      <c r="A18" s="41">
        <f>IF(B18="","","UGC-"&amp;TEXT(ROW()-4,"000"))</f>
        <v>0</v>
      </c>
      <c r="R18" s="23">
        <f>IF(L18="","",L18-TODAY())</f>
        <v>0</v>
      </c>
      <c r="S18" s="29">
        <f>IF(B18="","",IF(J18&lt;&gt;"Granted","No - no permission yet",IF(AND(L18&lt;&gt;"",L18&lt;TODAY()),"No - rights expired",IF(N18&lt;&gt;"Approved","Check - not approved yet","Yes"))))</f>
        <v>0</v>
      </c>
      <c r="T18" s="29">
        <f>IF(B18="","",IF(J18="Requested","Action - chase the permission",IF(AND(S18="Yes",O18=""),"Plan - schedule this repost",IF(AND(O18&lt;&gt;"",O18&lt;TODAY(),N18="Approved"),"Overdue - repost date has passed",IF(AND(R18&lt;&gt;"",R18&lt;30,R18&gt;=0),"Check - rights expire soon","OK")))))</f>
        <v>0</v>
      </c>
    </row>
    <row r="19" spans="1:20">
      <c r="A19" s="41">
        <f>IF(B19="","","UGC-"&amp;TEXT(ROW()-4,"000"))</f>
        <v>0</v>
      </c>
      <c r="R19" s="23">
        <f>IF(L19="","",L19-TODAY())</f>
        <v>0</v>
      </c>
      <c r="S19" s="29">
        <f>IF(B19="","",IF(J19&lt;&gt;"Granted","No - no permission yet",IF(AND(L19&lt;&gt;"",L19&lt;TODAY()),"No - rights expired",IF(N19&lt;&gt;"Approved","Check - not approved yet","Yes"))))</f>
        <v>0</v>
      </c>
      <c r="T19" s="29">
        <f>IF(B19="","",IF(J19="Requested","Action - chase the permission",IF(AND(S19="Yes",O19=""),"Plan - schedule this repost",IF(AND(O19&lt;&gt;"",O19&lt;TODAY(),N19="Approved"),"Overdue - repost date has passed",IF(AND(R19&lt;&gt;"",R19&lt;30,R19&gt;=0),"Check - rights expire soon","OK")))))</f>
        <v>0</v>
      </c>
    </row>
    <row r="20" spans="1:20">
      <c r="A20" s="41">
        <f>IF(B20="","","UGC-"&amp;TEXT(ROW()-4,"000"))</f>
        <v>0</v>
      </c>
      <c r="R20" s="23">
        <f>IF(L20="","",L20-TODAY())</f>
        <v>0</v>
      </c>
      <c r="S20" s="29">
        <f>IF(B20="","",IF(J20&lt;&gt;"Granted","No - no permission yet",IF(AND(L20&lt;&gt;"",L20&lt;TODAY()),"No - rights expired",IF(N20&lt;&gt;"Approved","Check - not approved yet","Yes"))))</f>
        <v>0</v>
      </c>
      <c r="T20" s="29">
        <f>IF(B20="","",IF(J20="Requested","Action - chase the permission",IF(AND(S20="Yes",O20=""),"Plan - schedule this repost",IF(AND(O20&lt;&gt;"",O20&lt;TODAY(),N20="Approved"),"Overdue - repost date has passed",IF(AND(R20&lt;&gt;"",R20&lt;30,R20&gt;=0),"Check - rights expire soon","OK")))))</f>
        <v>0</v>
      </c>
    </row>
    <row r="21" spans="1:20">
      <c r="A21" s="41">
        <f>IF(B21="","","UGC-"&amp;TEXT(ROW()-4,"000"))</f>
        <v>0</v>
      </c>
      <c r="R21" s="23">
        <f>IF(L21="","",L21-TODAY())</f>
        <v>0</v>
      </c>
      <c r="S21" s="29">
        <f>IF(B21="","",IF(J21&lt;&gt;"Granted","No - no permission yet",IF(AND(L21&lt;&gt;"",L21&lt;TODAY()),"No - rights expired",IF(N21&lt;&gt;"Approved","Check - not approved yet","Yes"))))</f>
        <v>0</v>
      </c>
      <c r="T21" s="29">
        <f>IF(B21="","",IF(J21="Requested","Action - chase the permission",IF(AND(S21="Yes",O21=""),"Plan - schedule this repost",IF(AND(O21&lt;&gt;"",O21&lt;TODAY(),N21="Approved"),"Overdue - repost date has passed",IF(AND(R21&lt;&gt;"",R21&lt;30,R21&gt;=0),"Check - rights expire soon","OK")))))</f>
        <v>0</v>
      </c>
    </row>
    <row r="22" spans="1:20">
      <c r="A22" s="41">
        <f>IF(B22="","","UGC-"&amp;TEXT(ROW()-4,"000"))</f>
        <v>0</v>
      </c>
      <c r="R22" s="23">
        <f>IF(L22="","",L22-TODAY())</f>
        <v>0</v>
      </c>
      <c r="S22" s="29">
        <f>IF(B22="","",IF(J22&lt;&gt;"Granted","No - no permission yet",IF(AND(L22&lt;&gt;"",L22&lt;TODAY()),"No - rights expired",IF(N22&lt;&gt;"Approved","Check - not approved yet","Yes"))))</f>
        <v>0</v>
      </c>
      <c r="T22" s="29">
        <f>IF(B22="","",IF(J22="Requested","Action - chase the permission",IF(AND(S22="Yes",O22=""),"Plan - schedule this repost",IF(AND(O22&lt;&gt;"",O22&lt;TODAY(),N22="Approved"),"Overdue - repost date has passed",IF(AND(R22&lt;&gt;"",R22&lt;30,R22&gt;=0),"Check - rights expire soon","OK")))))</f>
        <v>0</v>
      </c>
    </row>
    <row r="23" spans="1:20">
      <c r="A23" s="41">
        <f>IF(B23="","","UGC-"&amp;TEXT(ROW()-4,"000"))</f>
        <v>0</v>
      </c>
      <c r="R23" s="23">
        <f>IF(L23="","",L23-TODAY())</f>
        <v>0</v>
      </c>
      <c r="S23" s="29">
        <f>IF(B23="","",IF(J23&lt;&gt;"Granted","No - no permission yet",IF(AND(L23&lt;&gt;"",L23&lt;TODAY()),"No - rights expired",IF(N23&lt;&gt;"Approved","Check - not approved yet","Yes"))))</f>
        <v>0</v>
      </c>
      <c r="T23" s="29">
        <f>IF(B23="","",IF(J23="Requested","Action - chase the permission",IF(AND(S23="Yes",O23=""),"Plan - schedule this repost",IF(AND(O23&lt;&gt;"",O23&lt;TODAY(),N23="Approved"),"Overdue - repost date has passed",IF(AND(R23&lt;&gt;"",R23&lt;30,R23&gt;=0),"Check - rights expire soon","OK")))))</f>
        <v>0</v>
      </c>
    </row>
    <row r="24" spans="1:20">
      <c r="A24" s="41">
        <f>IF(B24="","","UGC-"&amp;TEXT(ROW()-4,"000"))</f>
        <v>0</v>
      </c>
      <c r="R24" s="23">
        <f>IF(L24="","",L24-TODAY())</f>
        <v>0</v>
      </c>
      <c r="S24" s="29">
        <f>IF(B24="","",IF(J24&lt;&gt;"Granted","No - no permission yet",IF(AND(L24&lt;&gt;"",L24&lt;TODAY()),"No - rights expired",IF(N24&lt;&gt;"Approved","Check - not approved yet","Yes"))))</f>
        <v>0</v>
      </c>
      <c r="T24" s="29">
        <f>IF(B24="","",IF(J24="Requested","Action - chase the permission",IF(AND(S24="Yes",O24=""),"Plan - schedule this repost",IF(AND(O24&lt;&gt;"",O24&lt;TODAY(),N24="Approved"),"Overdue - repost date has passed",IF(AND(R24&lt;&gt;"",R24&lt;30,R24&gt;=0),"Check - rights expire soon","OK")))))</f>
        <v>0</v>
      </c>
    </row>
    <row r="25" spans="1:20">
      <c r="A25" s="41">
        <f>IF(B25="","","UGC-"&amp;TEXT(ROW()-4,"000"))</f>
        <v>0</v>
      </c>
      <c r="R25" s="23">
        <f>IF(L25="","",L25-TODAY())</f>
        <v>0</v>
      </c>
      <c r="S25" s="29">
        <f>IF(B25="","",IF(J25&lt;&gt;"Granted","No - no permission yet",IF(AND(L25&lt;&gt;"",L25&lt;TODAY()),"No - rights expired",IF(N25&lt;&gt;"Approved","Check - not approved yet","Yes"))))</f>
        <v>0</v>
      </c>
      <c r="T25" s="29">
        <f>IF(B25="","",IF(J25="Requested","Action - chase the permission",IF(AND(S25="Yes",O25=""),"Plan - schedule this repost",IF(AND(O25&lt;&gt;"",O25&lt;TODAY(),N25="Approved"),"Overdue - repost date has passed",IF(AND(R25&lt;&gt;"",R25&lt;30,R25&gt;=0),"Check - rights expire soon","OK")))))</f>
        <v>0</v>
      </c>
    </row>
    <row r="26" spans="1:20">
      <c r="A26" s="41">
        <f>IF(B26="","","UGC-"&amp;TEXT(ROW()-4,"000"))</f>
        <v>0</v>
      </c>
      <c r="R26" s="23">
        <f>IF(L26="","",L26-TODAY())</f>
        <v>0</v>
      </c>
      <c r="S26" s="29">
        <f>IF(B26="","",IF(J26&lt;&gt;"Granted","No - no permission yet",IF(AND(L26&lt;&gt;"",L26&lt;TODAY()),"No - rights expired",IF(N26&lt;&gt;"Approved","Check - not approved yet","Yes"))))</f>
        <v>0</v>
      </c>
      <c r="T26" s="29">
        <f>IF(B26="","",IF(J26="Requested","Action - chase the permission",IF(AND(S26="Yes",O26=""),"Plan - schedule this repost",IF(AND(O26&lt;&gt;"",O26&lt;TODAY(),N26="Approved"),"Overdue - repost date has passed",IF(AND(R26&lt;&gt;"",R26&lt;30,R26&gt;=0),"Check - rights expire soon","OK")))))</f>
        <v>0</v>
      </c>
    </row>
    <row r="27" spans="1:20">
      <c r="A27" s="41">
        <f>IF(B27="","","UGC-"&amp;TEXT(ROW()-4,"000"))</f>
        <v>0</v>
      </c>
      <c r="R27" s="23">
        <f>IF(L27="","",L27-TODAY())</f>
        <v>0</v>
      </c>
      <c r="S27" s="29">
        <f>IF(B27="","",IF(J27&lt;&gt;"Granted","No - no permission yet",IF(AND(L27&lt;&gt;"",L27&lt;TODAY()),"No - rights expired",IF(N27&lt;&gt;"Approved","Check - not approved yet","Yes"))))</f>
        <v>0</v>
      </c>
      <c r="T27" s="29">
        <f>IF(B27="","",IF(J27="Requested","Action - chase the permission",IF(AND(S27="Yes",O27=""),"Plan - schedule this repost",IF(AND(O27&lt;&gt;"",O27&lt;TODAY(),N27="Approved"),"Overdue - repost date has passed",IF(AND(R27&lt;&gt;"",R27&lt;30,R27&gt;=0),"Check - rights expire soon","OK")))))</f>
        <v>0</v>
      </c>
    </row>
    <row r="28" spans="1:20">
      <c r="A28" s="41">
        <f>IF(B28="","","UGC-"&amp;TEXT(ROW()-4,"000"))</f>
        <v>0</v>
      </c>
      <c r="R28" s="23">
        <f>IF(L28="","",L28-TODAY())</f>
        <v>0</v>
      </c>
      <c r="S28" s="29">
        <f>IF(B28="","",IF(J28&lt;&gt;"Granted","No - no permission yet",IF(AND(L28&lt;&gt;"",L28&lt;TODAY()),"No - rights expired",IF(N28&lt;&gt;"Approved","Check - not approved yet","Yes"))))</f>
        <v>0</v>
      </c>
      <c r="T28" s="29">
        <f>IF(B28="","",IF(J28="Requested","Action - chase the permission",IF(AND(S28="Yes",O28=""),"Plan - schedule this repost",IF(AND(O28&lt;&gt;"",O28&lt;TODAY(),N28="Approved"),"Overdue - repost date has passed",IF(AND(R28&lt;&gt;"",R28&lt;30,R28&gt;=0),"Check - rights expire soon","OK")))))</f>
        <v>0</v>
      </c>
    </row>
    <row r="29" spans="1:20">
      <c r="A29" s="41">
        <f>IF(B29="","","UGC-"&amp;TEXT(ROW()-4,"000"))</f>
        <v>0</v>
      </c>
      <c r="R29" s="23">
        <f>IF(L29="","",L29-TODAY())</f>
        <v>0</v>
      </c>
      <c r="S29" s="29">
        <f>IF(B29="","",IF(J29&lt;&gt;"Granted","No - no permission yet",IF(AND(L29&lt;&gt;"",L29&lt;TODAY()),"No - rights expired",IF(N29&lt;&gt;"Approved","Check - not approved yet","Yes"))))</f>
        <v>0</v>
      </c>
      <c r="T29" s="29">
        <f>IF(B29="","",IF(J29="Requested","Action - chase the permission",IF(AND(S29="Yes",O29=""),"Plan - schedule this repost",IF(AND(O29&lt;&gt;"",O29&lt;TODAY(),N29="Approved"),"Overdue - repost date has passed",IF(AND(R29&lt;&gt;"",R29&lt;30,R29&gt;=0),"Check - rights expire soon","OK")))))</f>
        <v>0</v>
      </c>
    </row>
    <row r="30" spans="1:20">
      <c r="A30" s="41">
        <f>IF(B30="","","UGC-"&amp;TEXT(ROW()-4,"000"))</f>
        <v>0</v>
      </c>
      <c r="R30" s="23">
        <f>IF(L30="","",L30-TODAY())</f>
        <v>0</v>
      </c>
      <c r="S30" s="29">
        <f>IF(B30="","",IF(J30&lt;&gt;"Granted","No - no permission yet",IF(AND(L30&lt;&gt;"",L30&lt;TODAY()),"No - rights expired",IF(N30&lt;&gt;"Approved","Check - not approved yet","Yes"))))</f>
        <v>0</v>
      </c>
      <c r="T30" s="29">
        <f>IF(B30="","",IF(J30="Requested","Action - chase the permission",IF(AND(S30="Yes",O30=""),"Plan - schedule this repost",IF(AND(O30&lt;&gt;"",O30&lt;TODAY(),N30="Approved"),"Overdue - repost date has passed",IF(AND(R30&lt;&gt;"",R30&lt;30,R30&gt;=0),"Check - rights expire soon","OK")))))</f>
        <v>0</v>
      </c>
    </row>
    <row r="31" spans="1:20">
      <c r="A31" s="41">
        <f>IF(B31="","","UGC-"&amp;TEXT(ROW()-4,"000"))</f>
        <v>0</v>
      </c>
      <c r="R31" s="23">
        <f>IF(L31="","",L31-TODAY())</f>
        <v>0</v>
      </c>
      <c r="S31" s="29">
        <f>IF(B31="","",IF(J31&lt;&gt;"Granted","No - no permission yet",IF(AND(L31&lt;&gt;"",L31&lt;TODAY()),"No - rights expired",IF(N31&lt;&gt;"Approved","Check - not approved yet","Yes"))))</f>
        <v>0</v>
      </c>
      <c r="T31" s="29">
        <f>IF(B31="","",IF(J31="Requested","Action - chase the permission",IF(AND(S31="Yes",O31=""),"Plan - schedule this repost",IF(AND(O31&lt;&gt;"",O31&lt;TODAY(),N31="Approved"),"Overdue - repost date has passed",IF(AND(R31&lt;&gt;"",R31&lt;30,R31&gt;=0),"Check - rights expire soon","OK")))))</f>
        <v>0</v>
      </c>
    </row>
    <row r="32" spans="1:20">
      <c r="A32" s="41">
        <f>IF(B32="","","UGC-"&amp;TEXT(ROW()-4,"000"))</f>
        <v>0</v>
      </c>
      <c r="R32" s="23">
        <f>IF(L32="","",L32-TODAY())</f>
        <v>0</v>
      </c>
      <c r="S32" s="29">
        <f>IF(B32="","",IF(J32&lt;&gt;"Granted","No - no permission yet",IF(AND(L32&lt;&gt;"",L32&lt;TODAY()),"No - rights expired",IF(N32&lt;&gt;"Approved","Check - not approved yet","Yes"))))</f>
        <v>0</v>
      </c>
      <c r="T32" s="29">
        <f>IF(B32="","",IF(J32="Requested","Action - chase the permission",IF(AND(S32="Yes",O32=""),"Plan - schedule this repost",IF(AND(O32&lt;&gt;"",O32&lt;TODAY(),N32="Approved"),"Overdue - repost date has passed",IF(AND(R32&lt;&gt;"",R32&lt;30,R32&gt;=0),"Check - rights expire soon","OK")))))</f>
        <v>0</v>
      </c>
    </row>
    <row r="33" spans="1:20">
      <c r="A33" s="41">
        <f>IF(B33="","","UGC-"&amp;TEXT(ROW()-4,"000"))</f>
        <v>0</v>
      </c>
      <c r="R33" s="23">
        <f>IF(L33="","",L33-TODAY())</f>
        <v>0</v>
      </c>
      <c r="S33" s="29">
        <f>IF(B33="","",IF(J33&lt;&gt;"Granted","No - no permission yet",IF(AND(L33&lt;&gt;"",L33&lt;TODAY()),"No - rights expired",IF(N33&lt;&gt;"Approved","Check - not approved yet","Yes"))))</f>
        <v>0</v>
      </c>
      <c r="T33" s="29">
        <f>IF(B33="","",IF(J33="Requested","Action - chase the permission",IF(AND(S33="Yes",O33=""),"Plan - schedule this repost",IF(AND(O33&lt;&gt;"",O33&lt;TODAY(),N33="Approved"),"Overdue - repost date has passed",IF(AND(R33&lt;&gt;"",R33&lt;30,R33&gt;=0),"Check - rights expire soon","OK")))))</f>
        <v>0</v>
      </c>
    </row>
    <row r="34" spans="1:20">
      <c r="A34" s="41">
        <f>IF(B34="","","UGC-"&amp;TEXT(ROW()-4,"000"))</f>
        <v>0</v>
      </c>
      <c r="R34" s="23">
        <f>IF(L34="","",L34-TODAY())</f>
        <v>0</v>
      </c>
      <c r="S34" s="29">
        <f>IF(B34="","",IF(J34&lt;&gt;"Granted","No - no permission yet",IF(AND(L34&lt;&gt;"",L34&lt;TODAY()),"No - rights expired",IF(N34&lt;&gt;"Approved","Check - not approved yet","Yes"))))</f>
        <v>0</v>
      </c>
      <c r="T34" s="29">
        <f>IF(B34="","",IF(J34="Requested","Action - chase the permission",IF(AND(S34="Yes",O34=""),"Plan - schedule this repost",IF(AND(O34&lt;&gt;"",O34&lt;TODAY(),N34="Approved"),"Overdue - repost date has passed",IF(AND(R34&lt;&gt;"",R34&lt;30,R34&gt;=0),"Check - rights expire soon","OK")))))</f>
        <v>0</v>
      </c>
    </row>
    <row r="35" spans="1:20">
      <c r="A35" s="41">
        <f>IF(B35="","","UGC-"&amp;TEXT(ROW()-4,"000"))</f>
        <v>0</v>
      </c>
      <c r="R35" s="23">
        <f>IF(L35="","",L35-TODAY())</f>
        <v>0</v>
      </c>
      <c r="S35" s="29">
        <f>IF(B35="","",IF(J35&lt;&gt;"Granted","No - no permission yet",IF(AND(L35&lt;&gt;"",L35&lt;TODAY()),"No - rights expired",IF(N35&lt;&gt;"Approved","Check - not approved yet","Yes"))))</f>
        <v>0</v>
      </c>
      <c r="T35" s="29">
        <f>IF(B35="","",IF(J35="Requested","Action - chase the permission",IF(AND(S35="Yes",O35=""),"Plan - schedule this repost",IF(AND(O35&lt;&gt;"",O35&lt;TODAY(),N35="Approved"),"Overdue - repost date has passed",IF(AND(R35&lt;&gt;"",R35&lt;30,R35&gt;=0),"Check - rights expire soon","OK")))))</f>
        <v>0</v>
      </c>
    </row>
    <row r="36" spans="1:20">
      <c r="A36" s="41">
        <f>IF(B36="","","UGC-"&amp;TEXT(ROW()-4,"000"))</f>
        <v>0</v>
      </c>
      <c r="R36" s="23">
        <f>IF(L36="","",L36-TODAY())</f>
        <v>0</v>
      </c>
      <c r="S36" s="29">
        <f>IF(B36="","",IF(J36&lt;&gt;"Granted","No - no permission yet",IF(AND(L36&lt;&gt;"",L36&lt;TODAY()),"No - rights expired",IF(N36&lt;&gt;"Approved","Check - not approved yet","Yes"))))</f>
        <v>0</v>
      </c>
      <c r="T36" s="29">
        <f>IF(B36="","",IF(J36="Requested","Action - chase the permission",IF(AND(S36="Yes",O36=""),"Plan - schedule this repost",IF(AND(O36&lt;&gt;"",O36&lt;TODAY(),N36="Approved"),"Overdue - repost date has passed",IF(AND(R36&lt;&gt;"",R36&lt;30,R36&gt;=0),"Check - rights expire soon","OK")))))</f>
        <v>0</v>
      </c>
    </row>
    <row r="37" spans="1:20">
      <c r="A37" s="41">
        <f>IF(B37="","","UGC-"&amp;TEXT(ROW()-4,"000"))</f>
        <v>0</v>
      </c>
      <c r="R37" s="23">
        <f>IF(L37="","",L37-TODAY())</f>
        <v>0</v>
      </c>
      <c r="S37" s="29">
        <f>IF(B37="","",IF(J37&lt;&gt;"Granted","No - no permission yet",IF(AND(L37&lt;&gt;"",L37&lt;TODAY()),"No - rights expired",IF(N37&lt;&gt;"Approved","Check - not approved yet","Yes"))))</f>
        <v>0</v>
      </c>
      <c r="T37" s="29">
        <f>IF(B37="","",IF(J37="Requested","Action - chase the permission",IF(AND(S37="Yes",O37=""),"Plan - schedule this repost",IF(AND(O37&lt;&gt;"",O37&lt;TODAY(),N37="Approved"),"Overdue - repost date has passed",IF(AND(R37&lt;&gt;"",R37&lt;30,R37&gt;=0),"Check - rights expire soon","OK")))))</f>
        <v>0</v>
      </c>
    </row>
    <row r="38" spans="1:20">
      <c r="A38" s="41">
        <f>IF(B38="","","UGC-"&amp;TEXT(ROW()-4,"000"))</f>
        <v>0</v>
      </c>
      <c r="R38" s="23">
        <f>IF(L38="","",L38-TODAY())</f>
        <v>0</v>
      </c>
      <c r="S38" s="29">
        <f>IF(B38="","",IF(J38&lt;&gt;"Granted","No - no permission yet",IF(AND(L38&lt;&gt;"",L38&lt;TODAY()),"No - rights expired",IF(N38&lt;&gt;"Approved","Check - not approved yet","Yes"))))</f>
        <v>0</v>
      </c>
      <c r="T38" s="29">
        <f>IF(B38="","",IF(J38="Requested","Action - chase the permission",IF(AND(S38="Yes",O38=""),"Plan - schedule this repost",IF(AND(O38&lt;&gt;"",O38&lt;TODAY(),N38="Approved"),"Overdue - repost date has passed",IF(AND(R38&lt;&gt;"",R38&lt;30,R38&gt;=0),"Check - rights expire soon","OK")))))</f>
        <v>0</v>
      </c>
    </row>
    <row r="39" spans="1:20">
      <c r="A39" s="41">
        <f>IF(B39="","","UGC-"&amp;TEXT(ROW()-4,"000"))</f>
        <v>0</v>
      </c>
      <c r="R39" s="23">
        <f>IF(L39="","",L39-TODAY())</f>
        <v>0</v>
      </c>
      <c r="S39" s="29">
        <f>IF(B39="","",IF(J39&lt;&gt;"Granted","No - no permission yet",IF(AND(L39&lt;&gt;"",L39&lt;TODAY()),"No - rights expired",IF(N39&lt;&gt;"Approved","Check - not approved yet","Yes"))))</f>
        <v>0</v>
      </c>
      <c r="T39" s="29">
        <f>IF(B39="","",IF(J39="Requested","Action - chase the permission",IF(AND(S39="Yes",O39=""),"Plan - schedule this repost",IF(AND(O39&lt;&gt;"",O39&lt;TODAY(),N39="Approved"),"Overdue - repost date has passed",IF(AND(R39&lt;&gt;"",R39&lt;30,R39&gt;=0),"Check - rights expire soon","OK")))))</f>
        <v>0</v>
      </c>
    </row>
    <row r="40" spans="1:20">
      <c r="A40" s="41">
        <f>IF(B40="","","UGC-"&amp;TEXT(ROW()-4,"000"))</f>
        <v>0</v>
      </c>
      <c r="R40" s="23">
        <f>IF(L40="","",L40-TODAY())</f>
        <v>0</v>
      </c>
      <c r="S40" s="29">
        <f>IF(B40="","",IF(J40&lt;&gt;"Granted","No - no permission yet",IF(AND(L40&lt;&gt;"",L40&lt;TODAY()),"No - rights expired",IF(N40&lt;&gt;"Approved","Check - not approved yet","Yes"))))</f>
        <v>0</v>
      </c>
      <c r="T40" s="29">
        <f>IF(B40="","",IF(J40="Requested","Action - chase the permission",IF(AND(S40="Yes",O40=""),"Plan - schedule this repost",IF(AND(O40&lt;&gt;"",O40&lt;TODAY(),N40="Approved"),"Overdue - repost date has passed",IF(AND(R40&lt;&gt;"",R40&lt;30,R40&gt;=0),"Check - rights expire soon","OK")))))</f>
        <v>0</v>
      </c>
    </row>
    <row r="41" spans="1:20">
      <c r="A41" s="41">
        <f>IF(B41="","","UGC-"&amp;TEXT(ROW()-4,"000"))</f>
        <v>0</v>
      </c>
      <c r="R41" s="23">
        <f>IF(L41="","",L41-TODAY())</f>
        <v>0</v>
      </c>
      <c r="S41" s="29">
        <f>IF(B41="","",IF(J41&lt;&gt;"Granted","No - no permission yet",IF(AND(L41&lt;&gt;"",L41&lt;TODAY()),"No - rights expired",IF(N41&lt;&gt;"Approved","Check - not approved yet","Yes"))))</f>
        <v>0</v>
      </c>
      <c r="T41" s="29">
        <f>IF(B41="","",IF(J41="Requested","Action - chase the permission",IF(AND(S41="Yes",O41=""),"Plan - schedule this repost",IF(AND(O41&lt;&gt;"",O41&lt;TODAY(),N41="Approved"),"Overdue - repost date has passed",IF(AND(R41&lt;&gt;"",R41&lt;30,R41&gt;=0),"Check - rights expire soon","OK")))))</f>
        <v>0</v>
      </c>
    </row>
    <row r="42" spans="1:20">
      <c r="A42" s="41">
        <f>IF(B42="","","UGC-"&amp;TEXT(ROW()-4,"000"))</f>
        <v>0</v>
      </c>
      <c r="R42" s="23">
        <f>IF(L42="","",L42-TODAY())</f>
        <v>0</v>
      </c>
      <c r="S42" s="29">
        <f>IF(B42="","",IF(J42&lt;&gt;"Granted","No - no permission yet",IF(AND(L42&lt;&gt;"",L42&lt;TODAY()),"No - rights expired",IF(N42&lt;&gt;"Approved","Check - not approved yet","Yes"))))</f>
        <v>0</v>
      </c>
      <c r="T42" s="29">
        <f>IF(B42="","",IF(J42="Requested","Action - chase the permission",IF(AND(S42="Yes",O42=""),"Plan - schedule this repost",IF(AND(O42&lt;&gt;"",O42&lt;TODAY(),N42="Approved"),"Overdue - repost date has passed",IF(AND(R42&lt;&gt;"",R42&lt;30,R42&gt;=0),"Check - rights expire soon","OK")))))</f>
        <v>0</v>
      </c>
    </row>
    <row r="43" spans="1:20">
      <c r="A43" s="41">
        <f>IF(B43="","","UGC-"&amp;TEXT(ROW()-4,"000"))</f>
        <v>0</v>
      </c>
      <c r="R43" s="23">
        <f>IF(L43="","",L43-TODAY())</f>
        <v>0</v>
      </c>
      <c r="S43" s="29">
        <f>IF(B43="","",IF(J43&lt;&gt;"Granted","No - no permission yet",IF(AND(L43&lt;&gt;"",L43&lt;TODAY()),"No - rights expired",IF(N43&lt;&gt;"Approved","Check - not approved yet","Yes"))))</f>
        <v>0</v>
      </c>
      <c r="T43" s="29">
        <f>IF(B43="","",IF(J43="Requested","Action - chase the permission",IF(AND(S43="Yes",O43=""),"Plan - schedule this repost",IF(AND(O43&lt;&gt;"",O43&lt;TODAY(),N43="Approved"),"Overdue - repost date has passed",IF(AND(R43&lt;&gt;"",R43&lt;30,R43&gt;=0),"Check - rights expire soon","OK")))))</f>
        <v>0</v>
      </c>
    </row>
    <row r="44" spans="1:20">
      <c r="A44" s="41">
        <f>IF(B44="","","UGC-"&amp;TEXT(ROW()-4,"000"))</f>
        <v>0</v>
      </c>
      <c r="R44" s="23">
        <f>IF(L44="","",L44-TODAY())</f>
        <v>0</v>
      </c>
      <c r="S44" s="29">
        <f>IF(B44="","",IF(J44&lt;&gt;"Granted","No - no permission yet",IF(AND(L44&lt;&gt;"",L44&lt;TODAY()),"No - rights expired",IF(N44&lt;&gt;"Approved","Check - not approved yet","Yes"))))</f>
        <v>0</v>
      </c>
      <c r="T44" s="29">
        <f>IF(B44="","",IF(J44="Requested","Action - chase the permission",IF(AND(S44="Yes",O44=""),"Plan - schedule this repost",IF(AND(O44&lt;&gt;"",O44&lt;TODAY(),N44="Approved"),"Overdue - repost date has passed",IF(AND(R44&lt;&gt;"",R44&lt;30,R44&gt;=0),"Check - rights expire soon","OK")))))</f>
        <v>0</v>
      </c>
    </row>
    <row r="45" spans="1:20">
      <c r="A45" s="41">
        <f>IF(B45="","","UGC-"&amp;TEXT(ROW()-4,"000"))</f>
        <v>0</v>
      </c>
      <c r="R45" s="23">
        <f>IF(L45="","",L45-TODAY())</f>
        <v>0</v>
      </c>
      <c r="S45" s="29">
        <f>IF(B45="","",IF(J45&lt;&gt;"Granted","No - no permission yet",IF(AND(L45&lt;&gt;"",L45&lt;TODAY()),"No - rights expired",IF(N45&lt;&gt;"Approved","Check - not approved yet","Yes"))))</f>
        <v>0</v>
      </c>
      <c r="T45" s="29">
        <f>IF(B45="","",IF(J45="Requested","Action - chase the permission",IF(AND(S45="Yes",O45=""),"Plan - schedule this repost",IF(AND(O45&lt;&gt;"",O45&lt;TODAY(),N45="Approved"),"Overdue - repost date has passed",IF(AND(R45&lt;&gt;"",R45&lt;30,R45&gt;=0),"Check - rights expire soon","OK")))))</f>
        <v>0</v>
      </c>
    </row>
    <row r="46" spans="1:20">
      <c r="A46" s="41">
        <f>IF(B46="","","UGC-"&amp;TEXT(ROW()-4,"000"))</f>
        <v>0</v>
      </c>
      <c r="R46" s="23">
        <f>IF(L46="","",L46-TODAY())</f>
        <v>0</v>
      </c>
      <c r="S46" s="29">
        <f>IF(B46="","",IF(J46&lt;&gt;"Granted","No - no permission yet",IF(AND(L46&lt;&gt;"",L46&lt;TODAY()),"No - rights expired",IF(N46&lt;&gt;"Approved","Check - not approved yet","Yes"))))</f>
        <v>0</v>
      </c>
      <c r="T46" s="29">
        <f>IF(B46="","",IF(J46="Requested","Action - chase the permission",IF(AND(S46="Yes",O46=""),"Plan - schedule this repost",IF(AND(O46&lt;&gt;"",O46&lt;TODAY(),N46="Approved"),"Overdue - repost date has passed",IF(AND(R46&lt;&gt;"",R46&lt;30,R46&gt;=0),"Check - rights expire soon","OK")))))</f>
        <v>0</v>
      </c>
    </row>
    <row r="47" spans="1:20">
      <c r="A47" s="41">
        <f>IF(B47="","","UGC-"&amp;TEXT(ROW()-4,"000"))</f>
        <v>0</v>
      </c>
      <c r="R47" s="23">
        <f>IF(L47="","",L47-TODAY())</f>
        <v>0</v>
      </c>
      <c r="S47" s="29">
        <f>IF(B47="","",IF(J47&lt;&gt;"Granted","No - no permission yet",IF(AND(L47&lt;&gt;"",L47&lt;TODAY()),"No - rights expired",IF(N47&lt;&gt;"Approved","Check - not approved yet","Yes"))))</f>
        <v>0</v>
      </c>
      <c r="T47" s="29">
        <f>IF(B47="","",IF(J47="Requested","Action - chase the permission",IF(AND(S47="Yes",O47=""),"Plan - schedule this repost",IF(AND(O47&lt;&gt;"",O47&lt;TODAY(),N47="Approved"),"Overdue - repost date has passed",IF(AND(R47&lt;&gt;"",R47&lt;30,R47&gt;=0),"Check - rights expire soon","OK")))))</f>
        <v>0</v>
      </c>
    </row>
    <row r="48" spans="1:20">
      <c r="A48" s="41">
        <f>IF(B48="","","UGC-"&amp;TEXT(ROW()-4,"000"))</f>
        <v>0</v>
      </c>
      <c r="R48" s="23">
        <f>IF(L48="","",L48-TODAY())</f>
        <v>0</v>
      </c>
      <c r="S48" s="29">
        <f>IF(B48="","",IF(J48&lt;&gt;"Granted","No - no permission yet",IF(AND(L48&lt;&gt;"",L48&lt;TODAY()),"No - rights expired",IF(N48&lt;&gt;"Approved","Check - not approved yet","Yes"))))</f>
        <v>0</v>
      </c>
      <c r="T48" s="29">
        <f>IF(B48="","",IF(J48="Requested","Action - chase the permission",IF(AND(S48="Yes",O48=""),"Plan - schedule this repost",IF(AND(O48&lt;&gt;"",O48&lt;TODAY(),N48="Approved"),"Overdue - repost date has passed",IF(AND(R48&lt;&gt;"",R48&lt;30,R48&gt;=0),"Check - rights expire soon","OK")))))</f>
        <v>0</v>
      </c>
    </row>
    <row r="49" spans="1:20">
      <c r="A49" s="41">
        <f>IF(B49="","","UGC-"&amp;TEXT(ROW()-4,"000"))</f>
        <v>0</v>
      </c>
      <c r="R49" s="23">
        <f>IF(L49="","",L49-TODAY())</f>
        <v>0</v>
      </c>
      <c r="S49" s="29">
        <f>IF(B49="","",IF(J49&lt;&gt;"Granted","No - no permission yet",IF(AND(L49&lt;&gt;"",L49&lt;TODAY()),"No - rights expired",IF(N49&lt;&gt;"Approved","Check - not approved yet","Yes"))))</f>
        <v>0</v>
      </c>
      <c r="T49" s="29">
        <f>IF(B49="","",IF(J49="Requested","Action - chase the permission",IF(AND(S49="Yes",O49=""),"Plan - schedule this repost",IF(AND(O49&lt;&gt;"",O49&lt;TODAY(),N49="Approved"),"Overdue - repost date has passed",IF(AND(R49&lt;&gt;"",R49&lt;30,R49&gt;=0),"Check - rights expire soon","OK")))))</f>
        <v>0</v>
      </c>
    </row>
    <row r="50" spans="1:20">
      <c r="A50" s="41">
        <f>IF(B50="","","UGC-"&amp;TEXT(ROW()-4,"000"))</f>
        <v>0</v>
      </c>
      <c r="R50" s="23">
        <f>IF(L50="","",L50-TODAY())</f>
        <v>0</v>
      </c>
      <c r="S50" s="29">
        <f>IF(B50="","",IF(J50&lt;&gt;"Granted","No - no permission yet",IF(AND(L50&lt;&gt;"",L50&lt;TODAY()),"No - rights expired",IF(N50&lt;&gt;"Approved","Check - not approved yet","Yes"))))</f>
        <v>0</v>
      </c>
      <c r="T50" s="29">
        <f>IF(B50="","",IF(J50="Requested","Action - chase the permission",IF(AND(S50="Yes",O50=""),"Plan - schedule this repost",IF(AND(O50&lt;&gt;"",O50&lt;TODAY(),N50="Approved"),"Overdue - repost date has passed",IF(AND(R50&lt;&gt;"",R50&lt;30,R50&gt;=0),"Check - rights expire soon","OK")))))</f>
        <v>0</v>
      </c>
    </row>
    <row r="51" spans="1:20">
      <c r="A51" s="41">
        <f>IF(B51="","","UGC-"&amp;TEXT(ROW()-4,"000"))</f>
        <v>0</v>
      </c>
      <c r="R51" s="23">
        <f>IF(L51="","",L51-TODAY())</f>
        <v>0</v>
      </c>
      <c r="S51" s="29">
        <f>IF(B51="","",IF(J51&lt;&gt;"Granted","No - no permission yet",IF(AND(L51&lt;&gt;"",L51&lt;TODAY()),"No - rights expired",IF(N51&lt;&gt;"Approved","Check - not approved yet","Yes"))))</f>
        <v>0</v>
      </c>
      <c r="T51" s="29">
        <f>IF(B51="","",IF(J51="Requested","Action - chase the permission",IF(AND(S51="Yes",O51=""),"Plan - schedule this repost",IF(AND(O51&lt;&gt;"",O51&lt;TODAY(),N51="Approved"),"Overdue - repost date has passed",IF(AND(R51&lt;&gt;"",R51&lt;30,R51&gt;=0),"Check - rights expire soon","OK")))))</f>
        <v>0</v>
      </c>
    </row>
    <row r="52" spans="1:20">
      <c r="A52" s="41">
        <f>IF(B52="","","UGC-"&amp;TEXT(ROW()-4,"000"))</f>
        <v>0</v>
      </c>
      <c r="R52" s="23">
        <f>IF(L52="","",L52-TODAY())</f>
        <v>0</v>
      </c>
      <c r="S52" s="29">
        <f>IF(B52="","",IF(J52&lt;&gt;"Granted","No - no permission yet",IF(AND(L52&lt;&gt;"",L52&lt;TODAY()),"No - rights expired",IF(N52&lt;&gt;"Approved","Check - not approved yet","Yes"))))</f>
        <v>0</v>
      </c>
      <c r="T52" s="29">
        <f>IF(B52="","",IF(J52="Requested","Action - chase the permission",IF(AND(S52="Yes",O52=""),"Plan - schedule this repost",IF(AND(O52&lt;&gt;"",O52&lt;TODAY(),N52="Approved"),"Overdue - repost date has passed",IF(AND(R52&lt;&gt;"",R52&lt;30,R52&gt;=0),"Check - rights expire soon","OK")))))</f>
        <v>0</v>
      </c>
    </row>
    <row r="53" spans="1:20">
      <c r="A53" s="41">
        <f>IF(B53="","","UGC-"&amp;TEXT(ROW()-4,"000"))</f>
        <v>0</v>
      </c>
      <c r="R53" s="23">
        <f>IF(L53="","",L53-TODAY())</f>
        <v>0</v>
      </c>
      <c r="S53" s="29">
        <f>IF(B53="","",IF(J53&lt;&gt;"Granted","No - no permission yet",IF(AND(L53&lt;&gt;"",L53&lt;TODAY()),"No - rights expired",IF(N53&lt;&gt;"Approved","Check - not approved yet","Yes"))))</f>
        <v>0</v>
      </c>
      <c r="T53" s="29">
        <f>IF(B53="","",IF(J53="Requested","Action - chase the permission",IF(AND(S53="Yes",O53=""),"Plan - schedule this repost",IF(AND(O53&lt;&gt;"",O53&lt;TODAY(),N53="Approved"),"Overdue - repost date has passed",IF(AND(R53&lt;&gt;"",R53&lt;30,R53&gt;=0),"Check - rights expire soon","OK")))))</f>
        <v>0</v>
      </c>
    </row>
    <row r="54" spans="1:20">
      <c r="A54" s="41">
        <f>IF(B54="","","UGC-"&amp;TEXT(ROW()-4,"000"))</f>
        <v>0</v>
      </c>
      <c r="R54" s="23">
        <f>IF(L54="","",L54-TODAY())</f>
        <v>0</v>
      </c>
      <c r="S54" s="29">
        <f>IF(B54="","",IF(J54&lt;&gt;"Granted","No - no permission yet",IF(AND(L54&lt;&gt;"",L54&lt;TODAY()),"No - rights expired",IF(N54&lt;&gt;"Approved","Check - not approved yet","Yes"))))</f>
        <v>0</v>
      </c>
      <c r="T54" s="29">
        <f>IF(B54="","",IF(J54="Requested","Action - chase the permission",IF(AND(S54="Yes",O54=""),"Plan - schedule this repost",IF(AND(O54&lt;&gt;"",O54&lt;TODAY(),N54="Approved"),"Overdue - repost date has passed",IF(AND(R54&lt;&gt;"",R54&lt;30,R54&gt;=0),"Check - rights expire soon","OK")))))</f>
        <v>0</v>
      </c>
    </row>
    <row r="55" spans="1:20">
      <c r="A55" s="41">
        <f>IF(B55="","","UGC-"&amp;TEXT(ROW()-4,"000"))</f>
        <v>0</v>
      </c>
      <c r="R55" s="23">
        <f>IF(L55="","",L55-TODAY())</f>
        <v>0</v>
      </c>
      <c r="S55" s="29">
        <f>IF(B55="","",IF(J55&lt;&gt;"Granted","No - no permission yet",IF(AND(L55&lt;&gt;"",L55&lt;TODAY()),"No - rights expired",IF(N55&lt;&gt;"Approved","Check - not approved yet","Yes"))))</f>
        <v>0</v>
      </c>
      <c r="T55" s="29">
        <f>IF(B55="","",IF(J55="Requested","Action - chase the permission",IF(AND(S55="Yes",O55=""),"Plan - schedule this repost",IF(AND(O55&lt;&gt;"",O55&lt;TODAY(),N55="Approved"),"Overdue - repost date has passed",IF(AND(R55&lt;&gt;"",R55&lt;30,R55&gt;=0),"Check - rights expire soon","OK")))))</f>
        <v>0</v>
      </c>
    </row>
    <row r="56" spans="1:20">
      <c r="A56" s="41">
        <f>IF(B56="","","UGC-"&amp;TEXT(ROW()-4,"000"))</f>
        <v>0</v>
      </c>
      <c r="R56" s="23">
        <f>IF(L56="","",L56-TODAY())</f>
        <v>0</v>
      </c>
      <c r="S56" s="29">
        <f>IF(B56="","",IF(J56&lt;&gt;"Granted","No - no permission yet",IF(AND(L56&lt;&gt;"",L56&lt;TODAY()),"No - rights expired",IF(N56&lt;&gt;"Approved","Check - not approved yet","Yes"))))</f>
        <v>0</v>
      </c>
      <c r="T56" s="29">
        <f>IF(B56="","",IF(J56="Requested","Action - chase the permission",IF(AND(S56="Yes",O56=""),"Plan - schedule this repost",IF(AND(O56&lt;&gt;"",O56&lt;TODAY(),N56="Approved"),"Overdue - repost date has passed",IF(AND(R56&lt;&gt;"",R56&lt;30,R56&gt;=0),"Check - rights expire soon","OK")))))</f>
        <v>0</v>
      </c>
    </row>
    <row r="57" spans="1:20">
      <c r="A57" s="41">
        <f>IF(B57="","","UGC-"&amp;TEXT(ROW()-4,"000"))</f>
        <v>0</v>
      </c>
      <c r="R57" s="23">
        <f>IF(L57="","",L57-TODAY())</f>
        <v>0</v>
      </c>
      <c r="S57" s="29">
        <f>IF(B57="","",IF(J57&lt;&gt;"Granted","No - no permission yet",IF(AND(L57&lt;&gt;"",L57&lt;TODAY()),"No - rights expired",IF(N57&lt;&gt;"Approved","Check - not approved yet","Yes"))))</f>
        <v>0</v>
      </c>
      <c r="T57" s="29">
        <f>IF(B57="","",IF(J57="Requested","Action - chase the permission",IF(AND(S57="Yes",O57=""),"Plan - schedule this repost",IF(AND(O57&lt;&gt;"",O57&lt;TODAY(),N57="Approved"),"Overdue - repost date has passed",IF(AND(R57&lt;&gt;"",R57&lt;30,R57&gt;=0),"Check - rights expire soon","OK")))))</f>
        <v>0</v>
      </c>
    </row>
    <row r="58" spans="1:20">
      <c r="A58" s="41">
        <f>IF(B58="","","UGC-"&amp;TEXT(ROW()-4,"000"))</f>
        <v>0</v>
      </c>
      <c r="R58" s="23">
        <f>IF(L58="","",L58-TODAY())</f>
        <v>0</v>
      </c>
      <c r="S58" s="29">
        <f>IF(B58="","",IF(J58&lt;&gt;"Granted","No - no permission yet",IF(AND(L58&lt;&gt;"",L58&lt;TODAY()),"No - rights expired",IF(N58&lt;&gt;"Approved","Check - not approved yet","Yes"))))</f>
        <v>0</v>
      </c>
      <c r="T58" s="29">
        <f>IF(B58="","",IF(J58="Requested","Action - chase the permission",IF(AND(S58="Yes",O58=""),"Plan - schedule this repost",IF(AND(O58&lt;&gt;"",O58&lt;TODAY(),N58="Approved"),"Overdue - repost date has passed",IF(AND(R58&lt;&gt;"",R58&lt;30,R58&gt;=0),"Check - rights expire soon","OK")))))</f>
        <v>0</v>
      </c>
    </row>
    <row r="59" spans="1:20">
      <c r="A59" s="41">
        <f>IF(B59="","","UGC-"&amp;TEXT(ROW()-4,"000"))</f>
        <v>0</v>
      </c>
      <c r="R59" s="23">
        <f>IF(L59="","",L59-TODAY())</f>
        <v>0</v>
      </c>
      <c r="S59" s="29">
        <f>IF(B59="","",IF(J59&lt;&gt;"Granted","No - no permission yet",IF(AND(L59&lt;&gt;"",L59&lt;TODAY()),"No - rights expired",IF(N59&lt;&gt;"Approved","Check - not approved yet","Yes"))))</f>
        <v>0</v>
      </c>
      <c r="T59" s="29">
        <f>IF(B59="","",IF(J59="Requested","Action - chase the permission",IF(AND(S59="Yes",O59=""),"Plan - schedule this repost",IF(AND(O59&lt;&gt;"",O59&lt;TODAY(),N59="Approved"),"Overdue - repost date has passed",IF(AND(R59&lt;&gt;"",R59&lt;30,R59&gt;=0),"Check - rights expire soon","OK")))))</f>
        <v>0</v>
      </c>
    </row>
    <row r="60" spans="1:20">
      <c r="A60" s="41">
        <f>IF(B60="","","UGC-"&amp;TEXT(ROW()-4,"000"))</f>
        <v>0</v>
      </c>
      <c r="R60" s="23">
        <f>IF(L60="","",L60-TODAY())</f>
        <v>0</v>
      </c>
      <c r="S60" s="29">
        <f>IF(B60="","",IF(J60&lt;&gt;"Granted","No - no permission yet",IF(AND(L60&lt;&gt;"",L60&lt;TODAY()),"No - rights expired",IF(N60&lt;&gt;"Approved","Check - not approved yet","Yes"))))</f>
        <v>0</v>
      </c>
      <c r="T60" s="29">
        <f>IF(B60="","",IF(J60="Requested","Action - chase the permission",IF(AND(S60="Yes",O60=""),"Plan - schedule this repost",IF(AND(O60&lt;&gt;"",O60&lt;TODAY(),N60="Approved"),"Overdue - repost date has passed",IF(AND(R60&lt;&gt;"",R60&lt;30,R60&gt;=0),"Check - rights expire soon","OK")))))</f>
        <v>0</v>
      </c>
    </row>
    <row r="61" spans="1:20">
      <c r="A61" s="41">
        <f>IF(B61="","","UGC-"&amp;TEXT(ROW()-4,"000"))</f>
        <v>0</v>
      </c>
      <c r="R61" s="23">
        <f>IF(L61="","",L61-TODAY())</f>
        <v>0</v>
      </c>
      <c r="S61" s="29">
        <f>IF(B61="","",IF(J61&lt;&gt;"Granted","No - no permission yet",IF(AND(L61&lt;&gt;"",L61&lt;TODAY()),"No - rights expired",IF(N61&lt;&gt;"Approved","Check - not approved yet","Yes"))))</f>
        <v>0</v>
      </c>
      <c r="T61" s="29">
        <f>IF(B61="","",IF(J61="Requested","Action - chase the permission",IF(AND(S61="Yes",O61=""),"Plan - schedule this repost",IF(AND(O61&lt;&gt;"",O61&lt;TODAY(),N61="Approved"),"Overdue - repost date has passed",IF(AND(R61&lt;&gt;"",R61&lt;30,R61&gt;=0),"Check - rights expire soon","OK")))))</f>
        <v>0</v>
      </c>
    </row>
    <row r="62" spans="1:20">
      <c r="A62" s="41">
        <f>IF(B62="","","UGC-"&amp;TEXT(ROW()-4,"000"))</f>
        <v>0</v>
      </c>
      <c r="R62" s="23">
        <f>IF(L62="","",L62-TODAY())</f>
        <v>0</v>
      </c>
      <c r="S62" s="29">
        <f>IF(B62="","",IF(J62&lt;&gt;"Granted","No - no permission yet",IF(AND(L62&lt;&gt;"",L62&lt;TODAY()),"No - rights expired",IF(N62&lt;&gt;"Approved","Check - not approved yet","Yes"))))</f>
        <v>0</v>
      </c>
      <c r="T62" s="29">
        <f>IF(B62="","",IF(J62="Requested","Action - chase the permission",IF(AND(S62="Yes",O62=""),"Plan - schedule this repost",IF(AND(O62&lt;&gt;"",O62&lt;TODAY(),N62="Approved"),"Overdue - repost date has passed",IF(AND(R62&lt;&gt;"",R62&lt;30,R62&gt;=0),"Check - rights expire soon","OK")))))</f>
        <v>0</v>
      </c>
    </row>
    <row r="63" spans="1:20">
      <c r="A63" s="41">
        <f>IF(B63="","","UGC-"&amp;TEXT(ROW()-4,"000"))</f>
        <v>0</v>
      </c>
      <c r="R63" s="23">
        <f>IF(L63="","",L63-TODAY())</f>
        <v>0</v>
      </c>
      <c r="S63" s="29">
        <f>IF(B63="","",IF(J63&lt;&gt;"Granted","No - no permission yet",IF(AND(L63&lt;&gt;"",L63&lt;TODAY()),"No - rights expired",IF(N63&lt;&gt;"Approved","Check - not approved yet","Yes"))))</f>
        <v>0</v>
      </c>
      <c r="T63" s="29">
        <f>IF(B63="","",IF(J63="Requested","Action - chase the permission",IF(AND(S63="Yes",O63=""),"Plan - schedule this repost",IF(AND(O63&lt;&gt;"",O63&lt;TODAY(),N63="Approved"),"Overdue - repost date has passed",IF(AND(R63&lt;&gt;"",R63&lt;30,R63&gt;=0),"Check - rights expire soon","OK")))))</f>
        <v>0</v>
      </c>
    </row>
    <row r="64" spans="1:20">
      <c r="A64" s="41">
        <f>IF(B64="","","UGC-"&amp;TEXT(ROW()-4,"000"))</f>
        <v>0</v>
      </c>
      <c r="R64" s="23">
        <f>IF(L64="","",L64-TODAY())</f>
        <v>0</v>
      </c>
      <c r="S64" s="29">
        <f>IF(B64="","",IF(J64&lt;&gt;"Granted","No - no permission yet",IF(AND(L64&lt;&gt;"",L64&lt;TODAY()),"No - rights expired",IF(N64&lt;&gt;"Approved","Check - not approved yet","Yes"))))</f>
        <v>0</v>
      </c>
      <c r="T64" s="29">
        <f>IF(B64="","",IF(J64="Requested","Action - chase the permission",IF(AND(S64="Yes",O64=""),"Plan - schedule this repost",IF(AND(O64&lt;&gt;"",O64&lt;TODAY(),N64="Approved"),"Overdue - repost date has passed",IF(AND(R64&lt;&gt;"",R64&lt;30,R64&gt;=0),"Check - rights expire soon","OK")))))</f>
        <v>0</v>
      </c>
    </row>
    <row r="65" spans="1:20">
      <c r="A65" s="41">
        <f>IF(B65="","","UGC-"&amp;TEXT(ROW()-4,"000"))</f>
        <v>0</v>
      </c>
      <c r="R65" s="23">
        <f>IF(L65="","",L65-TODAY())</f>
        <v>0</v>
      </c>
      <c r="S65" s="29">
        <f>IF(B65="","",IF(J65&lt;&gt;"Granted","No - no permission yet",IF(AND(L65&lt;&gt;"",L65&lt;TODAY()),"No - rights expired",IF(N65&lt;&gt;"Approved","Check - not approved yet","Yes"))))</f>
        <v>0</v>
      </c>
      <c r="T65" s="29">
        <f>IF(B65="","",IF(J65="Requested","Action - chase the permission",IF(AND(S65="Yes",O65=""),"Plan - schedule this repost",IF(AND(O65&lt;&gt;"",O65&lt;TODAY(),N65="Approved"),"Overdue - repost date has passed",IF(AND(R65&lt;&gt;"",R65&lt;30,R65&gt;=0),"Check - rights expire soon","OK")))))</f>
        <v>0</v>
      </c>
    </row>
    <row r="66" spans="1:20">
      <c r="A66" s="41">
        <f>IF(B66="","","UGC-"&amp;TEXT(ROW()-4,"000"))</f>
        <v>0</v>
      </c>
      <c r="R66" s="23">
        <f>IF(L66="","",L66-TODAY())</f>
        <v>0</v>
      </c>
      <c r="S66" s="29">
        <f>IF(B66="","",IF(J66&lt;&gt;"Granted","No - no permission yet",IF(AND(L66&lt;&gt;"",L66&lt;TODAY()),"No - rights expired",IF(N66&lt;&gt;"Approved","Check - not approved yet","Yes"))))</f>
        <v>0</v>
      </c>
      <c r="T66" s="29">
        <f>IF(B66="","",IF(J66="Requested","Action - chase the permission",IF(AND(S66="Yes",O66=""),"Plan - schedule this repost",IF(AND(O66&lt;&gt;"",O66&lt;TODAY(),N66="Approved"),"Overdue - repost date has passed",IF(AND(R66&lt;&gt;"",R66&lt;30,R66&gt;=0),"Check - rights expire soon","OK")))))</f>
        <v>0</v>
      </c>
    </row>
    <row r="67" spans="1:20">
      <c r="A67" s="41">
        <f>IF(B67="","","UGC-"&amp;TEXT(ROW()-4,"000"))</f>
        <v>0</v>
      </c>
      <c r="R67" s="23">
        <f>IF(L67="","",L67-TODAY())</f>
        <v>0</v>
      </c>
      <c r="S67" s="29">
        <f>IF(B67="","",IF(J67&lt;&gt;"Granted","No - no permission yet",IF(AND(L67&lt;&gt;"",L67&lt;TODAY()),"No - rights expired",IF(N67&lt;&gt;"Approved","Check - not approved yet","Yes"))))</f>
        <v>0</v>
      </c>
      <c r="T67" s="29">
        <f>IF(B67="","",IF(J67="Requested","Action - chase the permission",IF(AND(S67="Yes",O67=""),"Plan - schedule this repost",IF(AND(O67&lt;&gt;"",O67&lt;TODAY(),N67="Approved"),"Overdue - repost date has passed",IF(AND(R67&lt;&gt;"",R67&lt;30,R67&gt;=0),"Check - rights expire soon","OK")))))</f>
        <v>0</v>
      </c>
    </row>
    <row r="68" spans="1:20">
      <c r="A68" s="41">
        <f>IF(B68="","","UGC-"&amp;TEXT(ROW()-4,"000"))</f>
        <v>0</v>
      </c>
      <c r="R68" s="23">
        <f>IF(L68="","",L68-TODAY())</f>
        <v>0</v>
      </c>
      <c r="S68" s="29">
        <f>IF(B68="","",IF(J68&lt;&gt;"Granted","No - no permission yet",IF(AND(L68&lt;&gt;"",L68&lt;TODAY()),"No - rights expired",IF(N68&lt;&gt;"Approved","Check - not approved yet","Yes"))))</f>
        <v>0</v>
      </c>
      <c r="T68" s="29">
        <f>IF(B68="","",IF(J68="Requested","Action - chase the permission",IF(AND(S68="Yes",O68=""),"Plan - schedule this repost",IF(AND(O68&lt;&gt;"",O68&lt;TODAY(),N68="Approved"),"Overdue - repost date has passed",IF(AND(R68&lt;&gt;"",R68&lt;30,R68&gt;=0),"Check - rights expire soon","OK")))))</f>
        <v>0</v>
      </c>
    </row>
    <row r="69" spans="1:20">
      <c r="A69" s="41">
        <f>IF(B69="","","UGC-"&amp;TEXT(ROW()-4,"000"))</f>
        <v>0</v>
      </c>
      <c r="R69" s="23">
        <f>IF(L69="","",L69-TODAY())</f>
        <v>0</v>
      </c>
      <c r="S69" s="29">
        <f>IF(B69="","",IF(J69&lt;&gt;"Granted","No - no permission yet",IF(AND(L69&lt;&gt;"",L69&lt;TODAY()),"No - rights expired",IF(N69&lt;&gt;"Approved","Check - not approved yet","Yes"))))</f>
        <v>0</v>
      </c>
      <c r="T69" s="29">
        <f>IF(B69="","",IF(J69="Requested","Action - chase the permission",IF(AND(S69="Yes",O69=""),"Plan - schedule this repost",IF(AND(O69&lt;&gt;"",O69&lt;TODAY(),N69="Approved"),"Overdue - repost date has passed",IF(AND(R69&lt;&gt;"",R69&lt;30,R69&gt;=0),"Check - rights expire soon","OK")))))</f>
        <v>0</v>
      </c>
    </row>
    <row r="70" spans="1:20">
      <c r="A70" s="41">
        <f>IF(B70="","","UGC-"&amp;TEXT(ROW()-4,"000"))</f>
        <v>0</v>
      </c>
      <c r="R70" s="23">
        <f>IF(L70="","",L70-TODAY())</f>
        <v>0</v>
      </c>
      <c r="S70" s="29">
        <f>IF(B70="","",IF(J70&lt;&gt;"Granted","No - no permission yet",IF(AND(L70&lt;&gt;"",L70&lt;TODAY()),"No - rights expired",IF(N70&lt;&gt;"Approved","Check - not approved yet","Yes"))))</f>
        <v>0</v>
      </c>
      <c r="T70" s="29">
        <f>IF(B70="","",IF(J70="Requested","Action - chase the permission",IF(AND(S70="Yes",O70=""),"Plan - schedule this repost",IF(AND(O70&lt;&gt;"",O70&lt;TODAY(),N70="Approved"),"Overdue - repost date has passed",IF(AND(R70&lt;&gt;"",R70&lt;30,R70&gt;=0),"Check - rights expire soon","OK")))))</f>
        <v>0</v>
      </c>
    </row>
    <row r="71" spans="1:20">
      <c r="A71" s="41">
        <f>IF(B71="","","UGC-"&amp;TEXT(ROW()-4,"000"))</f>
        <v>0</v>
      </c>
      <c r="R71" s="23">
        <f>IF(L71="","",L71-TODAY())</f>
        <v>0</v>
      </c>
      <c r="S71" s="29">
        <f>IF(B71="","",IF(J71&lt;&gt;"Granted","No - no permission yet",IF(AND(L71&lt;&gt;"",L71&lt;TODAY()),"No - rights expired",IF(N71&lt;&gt;"Approved","Check - not approved yet","Yes"))))</f>
        <v>0</v>
      </c>
      <c r="T71" s="29">
        <f>IF(B71="","",IF(J71="Requested","Action - chase the permission",IF(AND(S71="Yes",O71=""),"Plan - schedule this repost",IF(AND(O71&lt;&gt;"",O71&lt;TODAY(),N71="Approved"),"Overdue - repost date has passed",IF(AND(R71&lt;&gt;"",R71&lt;30,R71&gt;=0),"Check - rights expire soon","OK")))))</f>
        <v>0</v>
      </c>
    </row>
    <row r="72" spans="1:20">
      <c r="A72" s="41">
        <f>IF(B72="","","UGC-"&amp;TEXT(ROW()-4,"000"))</f>
        <v>0</v>
      </c>
      <c r="R72" s="23">
        <f>IF(L72="","",L72-TODAY())</f>
        <v>0</v>
      </c>
      <c r="S72" s="29">
        <f>IF(B72="","",IF(J72&lt;&gt;"Granted","No - no permission yet",IF(AND(L72&lt;&gt;"",L72&lt;TODAY()),"No - rights expired",IF(N72&lt;&gt;"Approved","Check - not approved yet","Yes"))))</f>
        <v>0</v>
      </c>
      <c r="T72" s="29">
        <f>IF(B72="","",IF(J72="Requested","Action - chase the permission",IF(AND(S72="Yes",O72=""),"Plan - schedule this repost",IF(AND(O72&lt;&gt;"",O72&lt;TODAY(),N72="Approved"),"Overdue - repost date has passed",IF(AND(R72&lt;&gt;"",R72&lt;30,R72&gt;=0),"Check - rights expire soon","OK")))))</f>
        <v>0</v>
      </c>
    </row>
    <row r="73" spans="1:20">
      <c r="A73" s="41">
        <f>IF(B73="","","UGC-"&amp;TEXT(ROW()-4,"000"))</f>
        <v>0</v>
      </c>
      <c r="R73" s="23">
        <f>IF(L73="","",L73-TODAY())</f>
        <v>0</v>
      </c>
      <c r="S73" s="29">
        <f>IF(B73="","",IF(J73&lt;&gt;"Granted","No - no permission yet",IF(AND(L73&lt;&gt;"",L73&lt;TODAY()),"No - rights expired",IF(N73&lt;&gt;"Approved","Check - not approved yet","Yes"))))</f>
        <v>0</v>
      </c>
      <c r="T73" s="29">
        <f>IF(B73="","",IF(J73="Requested","Action - chase the permission",IF(AND(S73="Yes",O73=""),"Plan - schedule this repost",IF(AND(O73&lt;&gt;"",O73&lt;TODAY(),N73="Approved"),"Overdue - repost date has passed",IF(AND(R73&lt;&gt;"",R73&lt;30,R73&gt;=0),"Check - rights expire soon","OK")))))</f>
        <v>0</v>
      </c>
    </row>
    <row r="74" spans="1:20">
      <c r="A74" s="41">
        <f>IF(B74="","","UGC-"&amp;TEXT(ROW()-4,"000"))</f>
        <v>0</v>
      </c>
      <c r="R74" s="23">
        <f>IF(L74="","",L74-TODAY())</f>
        <v>0</v>
      </c>
      <c r="S74" s="29">
        <f>IF(B74="","",IF(J74&lt;&gt;"Granted","No - no permission yet",IF(AND(L74&lt;&gt;"",L74&lt;TODAY()),"No - rights expired",IF(N74&lt;&gt;"Approved","Check - not approved yet","Yes"))))</f>
        <v>0</v>
      </c>
      <c r="T74" s="29">
        <f>IF(B74="","",IF(J74="Requested","Action - chase the permission",IF(AND(S74="Yes",O74=""),"Plan - schedule this repost",IF(AND(O74&lt;&gt;"",O74&lt;TODAY(),N74="Approved"),"Overdue - repost date has passed",IF(AND(R74&lt;&gt;"",R74&lt;30,R74&gt;=0),"Check - rights expire soon","OK")))))</f>
        <v>0</v>
      </c>
    </row>
    <row r="75" spans="1:20">
      <c r="A75" s="41">
        <f>IF(B75="","","UGC-"&amp;TEXT(ROW()-4,"000"))</f>
        <v>0</v>
      </c>
      <c r="R75" s="23">
        <f>IF(L75="","",L75-TODAY())</f>
        <v>0</v>
      </c>
      <c r="S75" s="29">
        <f>IF(B75="","",IF(J75&lt;&gt;"Granted","No - no permission yet",IF(AND(L75&lt;&gt;"",L75&lt;TODAY()),"No - rights expired",IF(N75&lt;&gt;"Approved","Check - not approved yet","Yes"))))</f>
        <v>0</v>
      </c>
      <c r="T75" s="29">
        <f>IF(B75="","",IF(J75="Requested","Action - chase the permission",IF(AND(S75="Yes",O75=""),"Plan - schedule this repost",IF(AND(O75&lt;&gt;"",O75&lt;TODAY(),N75="Approved"),"Overdue - repost date has passed",IF(AND(R75&lt;&gt;"",R75&lt;30,R75&gt;=0),"Check - rights expire soon","OK")))))</f>
        <v>0</v>
      </c>
    </row>
    <row r="76" spans="1:20">
      <c r="A76" s="41">
        <f>IF(B76="","","UGC-"&amp;TEXT(ROW()-4,"000"))</f>
        <v>0</v>
      </c>
      <c r="R76" s="23">
        <f>IF(L76="","",L76-TODAY())</f>
        <v>0</v>
      </c>
      <c r="S76" s="29">
        <f>IF(B76="","",IF(J76&lt;&gt;"Granted","No - no permission yet",IF(AND(L76&lt;&gt;"",L76&lt;TODAY()),"No - rights expired",IF(N76&lt;&gt;"Approved","Check - not approved yet","Yes"))))</f>
        <v>0</v>
      </c>
      <c r="T76" s="29">
        <f>IF(B76="","",IF(J76="Requested","Action - chase the permission",IF(AND(S76="Yes",O76=""),"Plan - schedule this repost",IF(AND(O76&lt;&gt;"",O76&lt;TODAY(),N76="Approved"),"Overdue - repost date has passed",IF(AND(R76&lt;&gt;"",R76&lt;30,R76&gt;=0),"Check - rights expire soon","OK")))))</f>
        <v>0</v>
      </c>
    </row>
    <row r="77" spans="1:20">
      <c r="A77" s="41">
        <f>IF(B77="","","UGC-"&amp;TEXT(ROW()-4,"000"))</f>
        <v>0</v>
      </c>
      <c r="R77" s="23">
        <f>IF(L77="","",L77-TODAY())</f>
        <v>0</v>
      </c>
      <c r="S77" s="29">
        <f>IF(B77="","",IF(J77&lt;&gt;"Granted","No - no permission yet",IF(AND(L77&lt;&gt;"",L77&lt;TODAY()),"No - rights expired",IF(N77&lt;&gt;"Approved","Check - not approved yet","Yes"))))</f>
        <v>0</v>
      </c>
      <c r="T77" s="29">
        <f>IF(B77="","",IF(J77="Requested","Action - chase the permission",IF(AND(S77="Yes",O77=""),"Plan - schedule this repost",IF(AND(O77&lt;&gt;"",O77&lt;TODAY(),N77="Approved"),"Overdue - repost date has passed",IF(AND(R77&lt;&gt;"",R77&lt;30,R77&gt;=0),"Check - rights expire soon","OK")))))</f>
        <v>0</v>
      </c>
    </row>
    <row r="78" spans="1:20">
      <c r="A78" s="41">
        <f>IF(B78="","","UGC-"&amp;TEXT(ROW()-4,"000"))</f>
        <v>0</v>
      </c>
      <c r="R78" s="23">
        <f>IF(L78="","",L78-TODAY())</f>
        <v>0</v>
      </c>
      <c r="S78" s="29">
        <f>IF(B78="","",IF(J78&lt;&gt;"Granted","No - no permission yet",IF(AND(L78&lt;&gt;"",L78&lt;TODAY()),"No - rights expired",IF(N78&lt;&gt;"Approved","Check - not approved yet","Yes"))))</f>
        <v>0</v>
      </c>
      <c r="T78" s="29">
        <f>IF(B78="","",IF(J78="Requested","Action - chase the permission",IF(AND(S78="Yes",O78=""),"Plan - schedule this repost",IF(AND(O78&lt;&gt;"",O78&lt;TODAY(),N78="Approved"),"Overdue - repost date has passed",IF(AND(R78&lt;&gt;"",R78&lt;30,R78&gt;=0),"Check - rights expire soon","OK")))))</f>
        <v>0</v>
      </c>
    </row>
    <row r="79" spans="1:20">
      <c r="A79" s="41">
        <f>IF(B79="","","UGC-"&amp;TEXT(ROW()-4,"000"))</f>
        <v>0</v>
      </c>
      <c r="R79" s="23">
        <f>IF(L79="","",L79-TODAY())</f>
        <v>0</v>
      </c>
      <c r="S79" s="29">
        <f>IF(B79="","",IF(J79&lt;&gt;"Granted","No - no permission yet",IF(AND(L79&lt;&gt;"",L79&lt;TODAY()),"No - rights expired",IF(N79&lt;&gt;"Approved","Check - not approved yet","Yes"))))</f>
        <v>0</v>
      </c>
      <c r="T79" s="29">
        <f>IF(B79="","",IF(J79="Requested","Action - chase the permission",IF(AND(S79="Yes",O79=""),"Plan - schedule this repost",IF(AND(O79&lt;&gt;"",O79&lt;TODAY(),N79="Approved"),"Overdue - repost date has passed",IF(AND(R79&lt;&gt;"",R79&lt;30,R79&gt;=0),"Check - rights expire soon","OK")))))</f>
        <v>0</v>
      </c>
    </row>
    <row r="80" spans="1:20">
      <c r="A80" s="41">
        <f>IF(B80="","","UGC-"&amp;TEXT(ROW()-4,"000"))</f>
        <v>0</v>
      </c>
      <c r="R80" s="23">
        <f>IF(L80="","",L80-TODAY())</f>
        <v>0</v>
      </c>
      <c r="S80" s="29">
        <f>IF(B80="","",IF(J80&lt;&gt;"Granted","No - no permission yet",IF(AND(L80&lt;&gt;"",L80&lt;TODAY()),"No - rights expired",IF(N80&lt;&gt;"Approved","Check - not approved yet","Yes"))))</f>
        <v>0</v>
      </c>
      <c r="T80" s="29">
        <f>IF(B80="","",IF(J80="Requested","Action - chase the permission",IF(AND(S80="Yes",O80=""),"Plan - schedule this repost",IF(AND(O80&lt;&gt;"",O80&lt;TODAY(),N80="Approved"),"Overdue - repost date has passed",IF(AND(R80&lt;&gt;"",R80&lt;30,R80&gt;=0),"Check - rights expire soon","OK")))))</f>
        <v>0</v>
      </c>
    </row>
    <row r="81" spans="1:20">
      <c r="A81" s="41">
        <f>IF(B81="","","UGC-"&amp;TEXT(ROW()-4,"000"))</f>
        <v>0</v>
      </c>
      <c r="R81" s="23">
        <f>IF(L81="","",L81-TODAY())</f>
        <v>0</v>
      </c>
      <c r="S81" s="29">
        <f>IF(B81="","",IF(J81&lt;&gt;"Granted","No - no permission yet",IF(AND(L81&lt;&gt;"",L81&lt;TODAY()),"No - rights expired",IF(N81&lt;&gt;"Approved","Check - not approved yet","Yes"))))</f>
        <v>0</v>
      </c>
      <c r="T81" s="29">
        <f>IF(B81="","",IF(J81="Requested","Action - chase the permission",IF(AND(S81="Yes",O81=""),"Plan - schedule this repost",IF(AND(O81&lt;&gt;"",O81&lt;TODAY(),N81="Approved"),"Overdue - repost date has passed",IF(AND(R81&lt;&gt;"",R81&lt;30,R81&gt;=0),"Check - rights expire soon","OK")))))</f>
        <v>0</v>
      </c>
    </row>
    <row r="82" spans="1:20">
      <c r="A82" s="41">
        <f>IF(B82="","","UGC-"&amp;TEXT(ROW()-4,"000"))</f>
        <v>0</v>
      </c>
      <c r="R82" s="23">
        <f>IF(L82="","",L82-TODAY())</f>
        <v>0</v>
      </c>
      <c r="S82" s="29">
        <f>IF(B82="","",IF(J82&lt;&gt;"Granted","No - no permission yet",IF(AND(L82&lt;&gt;"",L82&lt;TODAY()),"No - rights expired",IF(N82&lt;&gt;"Approved","Check - not approved yet","Yes"))))</f>
        <v>0</v>
      </c>
      <c r="T82" s="29">
        <f>IF(B82="","",IF(J82="Requested","Action - chase the permission",IF(AND(S82="Yes",O82=""),"Plan - schedule this repost",IF(AND(O82&lt;&gt;"",O82&lt;TODAY(),N82="Approved"),"Overdue - repost date has passed",IF(AND(R82&lt;&gt;"",R82&lt;30,R82&gt;=0),"Check - rights expire soon","OK")))))</f>
        <v>0</v>
      </c>
    </row>
    <row r="83" spans="1:20">
      <c r="A83" s="41">
        <f>IF(B83="","","UGC-"&amp;TEXT(ROW()-4,"000"))</f>
        <v>0</v>
      </c>
      <c r="R83" s="23">
        <f>IF(L83="","",L83-TODAY())</f>
        <v>0</v>
      </c>
      <c r="S83" s="29">
        <f>IF(B83="","",IF(J83&lt;&gt;"Granted","No - no permission yet",IF(AND(L83&lt;&gt;"",L83&lt;TODAY()),"No - rights expired",IF(N83&lt;&gt;"Approved","Check - not approved yet","Yes"))))</f>
        <v>0</v>
      </c>
      <c r="T83" s="29">
        <f>IF(B83="","",IF(J83="Requested","Action - chase the permission",IF(AND(S83="Yes",O83=""),"Plan - schedule this repost",IF(AND(O83&lt;&gt;"",O83&lt;TODAY(),N83="Approved"),"Overdue - repost date has passed",IF(AND(R83&lt;&gt;"",R83&lt;30,R83&gt;=0),"Check - rights expire soon","OK")))))</f>
        <v>0</v>
      </c>
    </row>
    <row r="84" spans="1:20">
      <c r="A84" s="41">
        <f>IF(B84="","","UGC-"&amp;TEXT(ROW()-4,"000"))</f>
        <v>0</v>
      </c>
      <c r="R84" s="23">
        <f>IF(L84="","",L84-TODAY())</f>
        <v>0</v>
      </c>
      <c r="S84" s="29">
        <f>IF(B84="","",IF(J84&lt;&gt;"Granted","No - no permission yet",IF(AND(L84&lt;&gt;"",L84&lt;TODAY()),"No - rights expired",IF(N84&lt;&gt;"Approved","Check - not approved yet","Yes"))))</f>
        <v>0</v>
      </c>
      <c r="T84" s="29">
        <f>IF(B84="","",IF(J84="Requested","Action - chase the permission",IF(AND(S84="Yes",O84=""),"Plan - schedule this repost",IF(AND(O84&lt;&gt;"",O84&lt;TODAY(),N84="Approved"),"Overdue - repost date has passed",IF(AND(R84&lt;&gt;"",R84&lt;30,R84&gt;=0),"Check - rights expire soon","OK")))))</f>
        <v>0</v>
      </c>
    </row>
    <row r="85" spans="1:20">
      <c r="A85" s="41">
        <f>IF(B85="","","UGC-"&amp;TEXT(ROW()-4,"000"))</f>
        <v>0</v>
      </c>
      <c r="R85" s="23">
        <f>IF(L85="","",L85-TODAY())</f>
        <v>0</v>
      </c>
      <c r="S85" s="29">
        <f>IF(B85="","",IF(J85&lt;&gt;"Granted","No - no permission yet",IF(AND(L85&lt;&gt;"",L85&lt;TODAY()),"No - rights expired",IF(N85&lt;&gt;"Approved","Check - not approved yet","Yes"))))</f>
        <v>0</v>
      </c>
      <c r="T85" s="29">
        <f>IF(B85="","",IF(J85="Requested","Action - chase the permission",IF(AND(S85="Yes",O85=""),"Plan - schedule this repost",IF(AND(O85&lt;&gt;"",O85&lt;TODAY(),N85="Approved"),"Overdue - repost date has passed",IF(AND(R85&lt;&gt;"",R85&lt;30,R85&gt;=0),"Check - rights expire soon","OK")))))</f>
        <v>0</v>
      </c>
    </row>
    <row r="86" spans="1:20">
      <c r="A86" s="41">
        <f>IF(B86="","","UGC-"&amp;TEXT(ROW()-4,"000"))</f>
        <v>0</v>
      </c>
      <c r="R86" s="23">
        <f>IF(L86="","",L86-TODAY())</f>
        <v>0</v>
      </c>
      <c r="S86" s="29">
        <f>IF(B86="","",IF(J86&lt;&gt;"Granted","No - no permission yet",IF(AND(L86&lt;&gt;"",L86&lt;TODAY()),"No - rights expired",IF(N86&lt;&gt;"Approved","Check - not approved yet","Yes"))))</f>
        <v>0</v>
      </c>
      <c r="T86" s="29">
        <f>IF(B86="","",IF(J86="Requested","Action - chase the permission",IF(AND(S86="Yes",O86=""),"Plan - schedule this repost",IF(AND(O86&lt;&gt;"",O86&lt;TODAY(),N86="Approved"),"Overdue - repost date has passed",IF(AND(R86&lt;&gt;"",R86&lt;30,R86&gt;=0),"Check - rights expire soon","OK")))))</f>
        <v>0</v>
      </c>
    </row>
    <row r="87" spans="1:20">
      <c r="A87" s="41">
        <f>IF(B87="","","UGC-"&amp;TEXT(ROW()-4,"000"))</f>
        <v>0</v>
      </c>
      <c r="R87" s="23">
        <f>IF(L87="","",L87-TODAY())</f>
        <v>0</v>
      </c>
      <c r="S87" s="29">
        <f>IF(B87="","",IF(J87&lt;&gt;"Granted","No - no permission yet",IF(AND(L87&lt;&gt;"",L87&lt;TODAY()),"No - rights expired",IF(N87&lt;&gt;"Approved","Check - not approved yet","Yes"))))</f>
        <v>0</v>
      </c>
      <c r="T87" s="29">
        <f>IF(B87="","",IF(J87="Requested","Action - chase the permission",IF(AND(S87="Yes",O87=""),"Plan - schedule this repost",IF(AND(O87&lt;&gt;"",O87&lt;TODAY(),N87="Approved"),"Overdue - repost date has passed",IF(AND(R87&lt;&gt;"",R87&lt;30,R87&gt;=0),"Check - rights expire soon","OK")))))</f>
        <v>0</v>
      </c>
    </row>
    <row r="88" spans="1:20">
      <c r="A88" s="41">
        <f>IF(B88="","","UGC-"&amp;TEXT(ROW()-4,"000"))</f>
        <v>0</v>
      </c>
      <c r="R88" s="23">
        <f>IF(L88="","",L88-TODAY())</f>
        <v>0</v>
      </c>
      <c r="S88" s="29">
        <f>IF(B88="","",IF(J88&lt;&gt;"Granted","No - no permission yet",IF(AND(L88&lt;&gt;"",L88&lt;TODAY()),"No - rights expired",IF(N88&lt;&gt;"Approved","Check - not approved yet","Yes"))))</f>
        <v>0</v>
      </c>
      <c r="T88" s="29">
        <f>IF(B88="","",IF(J88="Requested","Action - chase the permission",IF(AND(S88="Yes",O88=""),"Plan - schedule this repost",IF(AND(O88&lt;&gt;"",O88&lt;TODAY(),N88="Approved"),"Overdue - repost date has passed",IF(AND(R88&lt;&gt;"",R88&lt;30,R88&gt;=0),"Check - rights expire soon","OK")))))</f>
        <v>0</v>
      </c>
    </row>
    <row r="89" spans="1:20">
      <c r="A89" s="41">
        <f>IF(B89="","","UGC-"&amp;TEXT(ROW()-4,"000"))</f>
        <v>0</v>
      </c>
      <c r="R89" s="23">
        <f>IF(L89="","",L89-TODAY())</f>
        <v>0</v>
      </c>
      <c r="S89" s="29">
        <f>IF(B89="","",IF(J89&lt;&gt;"Granted","No - no permission yet",IF(AND(L89&lt;&gt;"",L89&lt;TODAY()),"No - rights expired",IF(N89&lt;&gt;"Approved","Check - not approved yet","Yes"))))</f>
        <v>0</v>
      </c>
      <c r="T89" s="29">
        <f>IF(B89="","",IF(J89="Requested","Action - chase the permission",IF(AND(S89="Yes",O89=""),"Plan - schedule this repost",IF(AND(O89&lt;&gt;"",O89&lt;TODAY(),N89="Approved"),"Overdue - repost date has passed",IF(AND(R89&lt;&gt;"",R89&lt;30,R89&gt;=0),"Check - rights expire soon","OK")))))</f>
        <v>0</v>
      </c>
    </row>
    <row r="90" spans="1:20">
      <c r="A90" s="41">
        <f>IF(B90="","","UGC-"&amp;TEXT(ROW()-4,"000"))</f>
        <v>0</v>
      </c>
      <c r="R90" s="23">
        <f>IF(L90="","",L90-TODAY())</f>
        <v>0</v>
      </c>
      <c r="S90" s="29">
        <f>IF(B90="","",IF(J90&lt;&gt;"Granted","No - no permission yet",IF(AND(L90&lt;&gt;"",L90&lt;TODAY()),"No - rights expired",IF(N90&lt;&gt;"Approved","Check - not approved yet","Yes"))))</f>
        <v>0</v>
      </c>
      <c r="T90" s="29">
        <f>IF(B90="","",IF(J90="Requested","Action - chase the permission",IF(AND(S90="Yes",O90=""),"Plan - schedule this repost",IF(AND(O90&lt;&gt;"",O90&lt;TODAY(),N90="Approved"),"Overdue - repost date has passed",IF(AND(R90&lt;&gt;"",R90&lt;30,R90&gt;=0),"Check - rights expire soon","OK")))))</f>
        <v>0</v>
      </c>
    </row>
    <row r="91" spans="1:20">
      <c r="A91" s="41">
        <f>IF(B91="","","UGC-"&amp;TEXT(ROW()-4,"000"))</f>
        <v>0</v>
      </c>
      <c r="R91" s="23">
        <f>IF(L91="","",L91-TODAY())</f>
        <v>0</v>
      </c>
      <c r="S91" s="29">
        <f>IF(B91="","",IF(J91&lt;&gt;"Granted","No - no permission yet",IF(AND(L91&lt;&gt;"",L91&lt;TODAY()),"No - rights expired",IF(N91&lt;&gt;"Approved","Check - not approved yet","Yes"))))</f>
        <v>0</v>
      </c>
      <c r="T91" s="29">
        <f>IF(B91="","",IF(J91="Requested","Action - chase the permission",IF(AND(S91="Yes",O91=""),"Plan - schedule this repost",IF(AND(O91&lt;&gt;"",O91&lt;TODAY(),N91="Approved"),"Overdue - repost date has passed",IF(AND(R91&lt;&gt;"",R91&lt;30,R91&gt;=0),"Check - rights expire soon","OK")))))</f>
        <v>0</v>
      </c>
    </row>
    <row r="92" spans="1:20">
      <c r="A92" s="41">
        <f>IF(B92="","","UGC-"&amp;TEXT(ROW()-4,"000"))</f>
        <v>0</v>
      </c>
      <c r="R92" s="23">
        <f>IF(L92="","",L92-TODAY())</f>
        <v>0</v>
      </c>
      <c r="S92" s="29">
        <f>IF(B92="","",IF(J92&lt;&gt;"Granted","No - no permission yet",IF(AND(L92&lt;&gt;"",L92&lt;TODAY()),"No - rights expired",IF(N92&lt;&gt;"Approved","Check - not approved yet","Yes"))))</f>
        <v>0</v>
      </c>
      <c r="T92" s="29">
        <f>IF(B92="","",IF(J92="Requested","Action - chase the permission",IF(AND(S92="Yes",O92=""),"Plan - schedule this repost",IF(AND(O92&lt;&gt;"",O92&lt;TODAY(),N92="Approved"),"Overdue - repost date has passed",IF(AND(R92&lt;&gt;"",R92&lt;30,R92&gt;=0),"Check - rights expire soon","OK")))))</f>
        <v>0</v>
      </c>
    </row>
    <row r="93" spans="1:20">
      <c r="A93" s="41">
        <f>IF(B93="","","UGC-"&amp;TEXT(ROW()-4,"000"))</f>
        <v>0</v>
      </c>
      <c r="R93" s="23">
        <f>IF(L93="","",L93-TODAY())</f>
        <v>0</v>
      </c>
      <c r="S93" s="29">
        <f>IF(B93="","",IF(J93&lt;&gt;"Granted","No - no permission yet",IF(AND(L93&lt;&gt;"",L93&lt;TODAY()),"No - rights expired",IF(N93&lt;&gt;"Approved","Check - not approved yet","Yes"))))</f>
        <v>0</v>
      </c>
      <c r="T93" s="29">
        <f>IF(B93="","",IF(J93="Requested","Action - chase the permission",IF(AND(S93="Yes",O93=""),"Plan - schedule this repost",IF(AND(O93&lt;&gt;"",O93&lt;TODAY(),N93="Approved"),"Overdue - repost date has passed",IF(AND(R93&lt;&gt;"",R93&lt;30,R93&gt;=0),"Check - rights expire soon","OK")))))</f>
        <v>0</v>
      </c>
    </row>
    <row r="94" spans="1:20">
      <c r="A94" s="41">
        <f>IF(B94="","","UGC-"&amp;TEXT(ROW()-4,"000"))</f>
        <v>0</v>
      </c>
      <c r="R94" s="23">
        <f>IF(L94="","",L94-TODAY())</f>
        <v>0</v>
      </c>
      <c r="S94" s="29">
        <f>IF(B94="","",IF(J94&lt;&gt;"Granted","No - no permission yet",IF(AND(L94&lt;&gt;"",L94&lt;TODAY()),"No - rights expired",IF(N94&lt;&gt;"Approved","Check - not approved yet","Yes"))))</f>
        <v>0</v>
      </c>
      <c r="T94" s="29">
        <f>IF(B94="","",IF(J94="Requested","Action - chase the permission",IF(AND(S94="Yes",O94=""),"Plan - schedule this repost",IF(AND(O94&lt;&gt;"",O94&lt;TODAY(),N94="Approved"),"Overdue - repost date has passed",IF(AND(R94&lt;&gt;"",R94&lt;30,R94&gt;=0),"Check - rights expire soon","OK")))))</f>
        <v>0</v>
      </c>
    </row>
    <row r="95" spans="1:20">
      <c r="A95" s="41">
        <f>IF(B95="","","UGC-"&amp;TEXT(ROW()-4,"000"))</f>
        <v>0</v>
      </c>
      <c r="R95" s="23">
        <f>IF(L95="","",L95-TODAY())</f>
        <v>0</v>
      </c>
      <c r="S95" s="29">
        <f>IF(B95="","",IF(J95&lt;&gt;"Granted","No - no permission yet",IF(AND(L95&lt;&gt;"",L95&lt;TODAY()),"No - rights expired",IF(N95&lt;&gt;"Approved","Check - not approved yet","Yes"))))</f>
        <v>0</v>
      </c>
      <c r="T95" s="29">
        <f>IF(B95="","",IF(J95="Requested","Action - chase the permission",IF(AND(S95="Yes",O95=""),"Plan - schedule this repost",IF(AND(O95&lt;&gt;"",O95&lt;TODAY(),N95="Approved"),"Overdue - repost date has passed",IF(AND(R95&lt;&gt;"",R95&lt;30,R95&gt;=0),"Check - rights expire soon","OK")))))</f>
        <v>0</v>
      </c>
    </row>
    <row r="96" spans="1:20">
      <c r="A96" s="41">
        <f>IF(B96="","","UGC-"&amp;TEXT(ROW()-4,"000"))</f>
        <v>0</v>
      </c>
      <c r="R96" s="23">
        <f>IF(L96="","",L96-TODAY())</f>
        <v>0</v>
      </c>
      <c r="S96" s="29">
        <f>IF(B96="","",IF(J96&lt;&gt;"Granted","No - no permission yet",IF(AND(L96&lt;&gt;"",L96&lt;TODAY()),"No - rights expired",IF(N96&lt;&gt;"Approved","Check - not approved yet","Yes"))))</f>
        <v>0</v>
      </c>
      <c r="T96" s="29">
        <f>IF(B96="","",IF(J96="Requested","Action - chase the permission",IF(AND(S96="Yes",O96=""),"Plan - schedule this repost",IF(AND(O96&lt;&gt;"",O96&lt;TODAY(),N96="Approved"),"Overdue - repost date has passed",IF(AND(R96&lt;&gt;"",R96&lt;30,R96&gt;=0),"Check - rights expire soon","OK")))))</f>
        <v>0</v>
      </c>
    </row>
    <row r="97" spans="1:20">
      <c r="A97" s="41">
        <f>IF(B97="","","UGC-"&amp;TEXT(ROW()-4,"000"))</f>
        <v>0</v>
      </c>
      <c r="R97" s="23">
        <f>IF(L97="","",L97-TODAY())</f>
        <v>0</v>
      </c>
      <c r="S97" s="29">
        <f>IF(B97="","",IF(J97&lt;&gt;"Granted","No - no permission yet",IF(AND(L97&lt;&gt;"",L97&lt;TODAY()),"No - rights expired",IF(N97&lt;&gt;"Approved","Check - not approved yet","Yes"))))</f>
        <v>0</v>
      </c>
      <c r="T97" s="29">
        <f>IF(B97="","",IF(J97="Requested","Action - chase the permission",IF(AND(S97="Yes",O97=""),"Plan - schedule this repost",IF(AND(O97&lt;&gt;"",O97&lt;TODAY(),N97="Approved"),"Overdue - repost date has passed",IF(AND(R97&lt;&gt;"",R97&lt;30,R97&gt;=0),"Check - rights expire soon","OK")))))</f>
        <v>0</v>
      </c>
    </row>
    <row r="98" spans="1:20">
      <c r="A98" s="41">
        <f>IF(B98="","","UGC-"&amp;TEXT(ROW()-4,"000"))</f>
        <v>0</v>
      </c>
      <c r="R98" s="23">
        <f>IF(L98="","",L98-TODAY())</f>
        <v>0</v>
      </c>
      <c r="S98" s="29">
        <f>IF(B98="","",IF(J98&lt;&gt;"Granted","No - no permission yet",IF(AND(L98&lt;&gt;"",L98&lt;TODAY()),"No - rights expired",IF(N98&lt;&gt;"Approved","Check - not approved yet","Yes"))))</f>
        <v>0</v>
      </c>
      <c r="T98" s="29">
        <f>IF(B98="","",IF(J98="Requested","Action - chase the permission",IF(AND(S98="Yes",O98=""),"Plan - schedule this repost",IF(AND(O98&lt;&gt;"",O98&lt;TODAY(),N98="Approved"),"Overdue - repost date has passed",IF(AND(R98&lt;&gt;"",R98&lt;30,R98&gt;=0),"Check - rights expire soon","OK")))))</f>
        <v>0</v>
      </c>
    </row>
    <row r="99" spans="1:20">
      <c r="A99" s="41">
        <f>IF(B99="","","UGC-"&amp;TEXT(ROW()-4,"000"))</f>
        <v>0</v>
      </c>
      <c r="R99" s="23">
        <f>IF(L99="","",L99-TODAY())</f>
        <v>0</v>
      </c>
      <c r="S99" s="29">
        <f>IF(B99="","",IF(J99&lt;&gt;"Granted","No - no permission yet",IF(AND(L99&lt;&gt;"",L99&lt;TODAY()),"No - rights expired",IF(N99&lt;&gt;"Approved","Check - not approved yet","Yes"))))</f>
        <v>0</v>
      </c>
      <c r="T99" s="29">
        <f>IF(B99="","",IF(J99="Requested","Action - chase the permission",IF(AND(S99="Yes",O99=""),"Plan - schedule this repost",IF(AND(O99&lt;&gt;"",O99&lt;TODAY(),N99="Approved"),"Overdue - repost date has passed",IF(AND(R99&lt;&gt;"",R99&lt;30,R99&gt;=0),"Check - rights expire soon","OK")))))</f>
        <v>0</v>
      </c>
    </row>
    <row r="100" spans="1:20">
      <c r="A100" s="41">
        <f>IF(B100="","","UGC-"&amp;TEXT(ROW()-4,"000"))</f>
        <v>0</v>
      </c>
      <c r="R100" s="23">
        <f>IF(L100="","",L100-TODAY())</f>
        <v>0</v>
      </c>
      <c r="S100" s="29">
        <f>IF(B100="","",IF(J100&lt;&gt;"Granted","No - no permission yet",IF(AND(L100&lt;&gt;"",L100&lt;TODAY()),"No - rights expired",IF(N100&lt;&gt;"Approved","Check - not approved yet","Yes"))))</f>
        <v>0</v>
      </c>
      <c r="T100" s="29">
        <f>IF(B100="","",IF(J100="Requested","Action - chase the permission",IF(AND(S100="Yes",O100=""),"Plan - schedule this repost",IF(AND(O100&lt;&gt;"",O100&lt;TODAY(),N100="Approved"),"Overdue - repost date has passed",IF(AND(R100&lt;&gt;"",R100&lt;30,R100&gt;=0),"Check - rights expire soon","OK")))))</f>
        <v>0</v>
      </c>
    </row>
    <row r="101" spans="1:20">
      <c r="A101" s="41">
        <f>IF(B101="","","UGC-"&amp;TEXT(ROW()-4,"000"))</f>
        <v>0</v>
      </c>
      <c r="R101" s="23">
        <f>IF(L101="","",L101-TODAY())</f>
        <v>0</v>
      </c>
      <c r="S101" s="29">
        <f>IF(B101="","",IF(J101&lt;&gt;"Granted","No - no permission yet",IF(AND(L101&lt;&gt;"",L101&lt;TODAY()),"No - rights expired",IF(N101&lt;&gt;"Approved","Check - not approved yet","Yes"))))</f>
        <v>0</v>
      </c>
      <c r="T101" s="29">
        <f>IF(B101="","",IF(J101="Requested","Action - chase the permission",IF(AND(S101="Yes",O101=""),"Plan - schedule this repost",IF(AND(O101&lt;&gt;"",O101&lt;TODAY(),N101="Approved"),"Overdue - repost date has passed",IF(AND(R101&lt;&gt;"",R101&lt;30,R101&gt;=0),"Check - rights expire soon","OK")))))</f>
        <v>0</v>
      </c>
    </row>
    <row r="102" spans="1:20">
      <c r="A102" s="41">
        <f>IF(B102="","","UGC-"&amp;TEXT(ROW()-4,"000"))</f>
        <v>0</v>
      </c>
      <c r="R102" s="23">
        <f>IF(L102="","",L102-TODAY())</f>
        <v>0</v>
      </c>
      <c r="S102" s="29">
        <f>IF(B102="","",IF(J102&lt;&gt;"Granted","No - no permission yet",IF(AND(L102&lt;&gt;"",L102&lt;TODAY()),"No - rights expired",IF(N102&lt;&gt;"Approved","Check - not approved yet","Yes"))))</f>
        <v>0</v>
      </c>
      <c r="T102" s="29">
        <f>IF(B102="","",IF(J102="Requested","Action - chase the permission",IF(AND(S102="Yes",O102=""),"Plan - schedule this repost",IF(AND(O102&lt;&gt;"",O102&lt;TODAY(),N102="Approved"),"Overdue - repost date has passed",IF(AND(R102&lt;&gt;"",R102&lt;30,R102&gt;=0),"Check - rights expire soon","OK")))))</f>
        <v>0</v>
      </c>
    </row>
    <row r="103" spans="1:20">
      <c r="A103" s="41">
        <f>IF(B103="","","UGC-"&amp;TEXT(ROW()-4,"000"))</f>
        <v>0</v>
      </c>
      <c r="R103" s="23">
        <f>IF(L103="","",L103-TODAY())</f>
        <v>0</v>
      </c>
      <c r="S103" s="29">
        <f>IF(B103="","",IF(J103&lt;&gt;"Granted","No - no permission yet",IF(AND(L103&lt;&gt;"",L103&lt;TODAY()),"No - rights expired",IF(N103&lt;&gt;"Approved","Check - not approved yet","Yes"))))</f>
        <v>0</v>
      </c>
      <c r="T103" s="29">
        <f>IF(B103="","",IF(J103="Requested","Action - chase the permission",IF(AND(S103="Yes",O103=""),"Plan - schedule this repost",IF(AND(O103&lt;&gt;"",O103&lt;TODAY(),N103="Approved"),"Overdue - repost date has passed",IF(AND(R103&lt;&gt;"",R103&lt;30,R103&gt;=0),"Check - rights expire soon","OK")))))</f>
        <v>0</v>
      </c>
    </row>
    <row r="104" spans="1:20">
      <c r="A104" s="41">
        <f>IF(B104="","","UGC-"&amp;TEXT(ROW()-4,"000"))</f>
        <v>0</v>
      </c>
      <c r="R104" s="23">
        <f>IF(L104="","",L104-TODAY())</f>
        <v>0</v>
      </c>
      <c r="S104" s="29">
        <f>IF(B104="","",IF(J104&lt;&gt;"Granted","No - no permission yet",IF(AND(L104&lt;&gt;"",L104&lt;TODAY()),"No - rights expired",IF(N104&lt;&gt;"Approved","Check - not approved yet","Yes"))))</f>
        <v>0</v>
      </c>
      <c r="T104" s="29">
        <f>IF(B104="","",IF(J104="Requested","Action - chase the permission",IF(AND(S104="Yes",O104=""),"Plan - schedule this repost",IF(AND(O104&lt;&gt;"",O104&lt;TODAY(),N104="Approved"),"Overdue - repost date has passed",IF(AND(R104&lt;&gt;"",R104&lt;30,R104&gt;=0),"Check - rights expire soon","OK")))))</f>
        <v>0</v>
      </c>
    </row>
  </sheetData>
  <sheetProtection password="EC7C" sheet="1" objects="1" scenarios="1" formatCells="0" formatColumns="0" formatRows="0" insertRows="0" insertHyperlinks="0" deleteRows="0" autoFilter="0"/>
  <autoFilter ref="A4:U1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I5:I104">
    <cfRule type="colorScale" priority="1">
      <colorScale>
        <cfvo type="min" val="0"/>
        <cfvo type="percentile" val="50"/>
        <cfvo type="max" val="0"/>
        <color rgb="FFFBD9DD"/>
        <color rgb="FFFFF1CF"/>
        <color rgb="FFD9F2E4"/>
      </colorScale>
    </cfRule>
  </conditionalFormatting>
  <conditionalFormatting sqref="J5:J104">
    <cfRule type="containsText" dxfId="1" priority="2" operator="containsText" text="Not requested">
      <formula>NOT(ISERROR(SEARCH("Not requested",J5)))</formula>
    </cfRule>
    <cfRule type="containsText" dxfId="1" priority="3" operator="containsText" text="Refused">
      <formula>NOT(ISERROR(SEARCH("Refused",J5)))</formula>
    </cfRule>
    <cfRule type="containsText" dxfId="1" priority="4" operator="containsText" text="Expired">
      <formula>NOT(ISERROR(SEARCH("Expired",J5)))</formula>
    </cfRule>
    <cfRule type="containsText" dxfId="2" priority="5" operator="containsText" text="Requested">
      <formula>NOT(ISERROR(SEARCH("Requested",J5)))</formula>
    </cfRule>
    <cfRule type="containsText" dxfId="0" priority="6" operator="containsText" text="Granted">
      <formula>NOT(ISERROR(SEARCH("Granted",J5)))</formula>
    </cfRule>
  </conditionalFormatting>
  <conditionalFormatting sqref="N5:N104">
    <cfRule type="containsText" dxfId="0" priority="7" operator="containsText" text="Published">
      <formula>NOT(ISERROR(SEARCH("Published",N5)))</formula>
    </cfRule>
    <cfRule type="containsText" dxfId="0" priority="8" operator="containsText" text="Approved">
      <formula>NOT(ISERROR(SEARCH("Approved",N5)))</formula>
    </cfRule>
    <cfRule type="containsText" dxfId="0" priority="9" operator="containsText" text="Complete">
      <formula>NOT(ISERROR(SEARCH("Complete",N5)))</formula>
    </cfRule>
    <cfRule type="containsText" dxfId="0" priority="10" operator="containsText" text="Active">
      <formula>NOT(ISERROR(SEARCH("Active",N5)))</formula>
    </cfRule>
    <cfRule type="containsText" dxfId="0" priority="11" operator="containsText" text="Agreed">
      <formula>NOT(ISERROR(SEARCH("Agreed",N5)))</formula>
    </cfRule>
    <cfRule type="containsText" dxfId="0" priority="12" operator="containsText" text="Yes">
      <formula>NOT(ISERROR(SEARCH("Yes",N5)))</formula>
    </cfRule>
    <cfRule type="containsText" dxfId="0" priority="13" operator="containsText" text="Won">
      <formula>NOT(ISERROR(SEARCH("Won",N5)))</formula>
    </cfRule>
    <cfRule type="containsText" dxfId="3" priority="14" operator="containsText" text="Scheduled">
      <formula>NOT(ISERROR(SEARCH("Scheduled",N5)))</formula>
    </cfRule>
    <cfRule type="containsText" dxfId="3" priority="15" operator="containsText" text="In production">
      <formula>NOT(ISERROR(SEARCH("In production",N5)))</formula>
    </cfRule>
    <cfRule type="containsText" dxfId="3" priority="16" operator="containsText" text="Running">
      <formula>NOT(ISERROR(SEARCH("Running",N5)))</formula>
    </cfRule>
    <cfRule type="containsText" dxfId="3" priority="17" operator="containsText" text="Sent">
      <formula>NOT(ISERROR(SEARCH("Sent",N5)))</formula>
    </cfRule>
    <cfRule type="containsText" dxfId="3" priority="18" operator="containsText" text="Testing">
      <formula>NOT(ISERROR(SEARCH("Testing",N5)))</formula>
    </cfRule>
    <cfRule type="containsText" dxfId="2" priority="19" operator="containsText" text="Idea">
      <formula>NOT(ISERROR(SEARCH("Idea",N5)))</formula>
    </cfRule>
    <cfRule type="containsText" dxfId="2" priority="20" operator="containsText" text="Brief">
      <formula>NOT(ISERROR(SEARCH("Brief",N5)))</formula>
    </cfRule>
    <cfRule type="containsText" dxfId="2" priority="21" operator="containsText" text="Draft">
      <formula>NOT(ISERROR(SEARCH("Draft",N5)))</formula>
    </cfRule>
    <cfRule type="containsText" dxfId="2" priority="22" operator="containsText" text="Awaiting review">
      <formula>NOT(ISERROR(SEARCH("Awaiting review",N5)))</formula>
    </cfRule>
    <cfRule type="containsText" dxfId="2" priority="23" operator="containsText" text="Pending">
      <formula>NOT(ISERROR(SEARCH("Pending",N5)))</formula>
    </cfRule>
    <cfRule type="containsText" dxfId="2" priority="24" operator="containsText" text="On hold">
      <formula>NOT(ISERROR(SEARCH("On hold",N5)))</formula>
    </cfRule>
    <cfRule type="containsText" dxfId="1" priority="25" operator="containsText" text="Revision needed">
      <formula>NOT(ISERROR(SEARCH("Revision needed",N5)))</formula>
    </cfRule>
    <cfRule type="containsText" dxfId="1" priority="26" operator="containsText" text="Rejected">
      <formula>NOT(ISERROR(SEARCH("Rejected",N5)))</formula>
    </cfRule>
    <cfRule type="containsText" dxfId="1" priority="27" operator="containsText" text="Cancelled">
      <formula>NOT(ISERROR(SEARCH("Cancelled",N5)))</formula>
    </cfRule>
    <cfRule type="containsText" dxfId="1" priority="28" operator="containsText" text="Missed">
      <formula>NOT(ISERROR(SEARCH("Missed",N5)))</formula>
    </cfRule>
    <cfRule type="containsText" dxfId="1" priority="29" operator="containsText" text="Overdue">
      <formula>NOT(ISERROR(SEARCH("Overdue",N5)))</formula>
    </cfRule>
    <cfRule type="containsText" dxfId="1" priority="30" operator="containsText" text="Declined">
      <formula>NOT(ISERROR(SEARCH("Declined",N5)))</formula>
    </cfRule>
    <cfRule type="containsText" dxfId="4" priority="31" operator="containsText" text="Archived">
      <formula>NOT(ISERROR(SEARCH("Archived",N5)))</formula>
    </cfRule>
    <cfRule type="containsText" dxfId="4" priority="32" operator="containsText" text="Paused">
      <formula>NOT(ISERROR(SEARCH("Paused",N5)))</formula>
    </cfRule>
    <cfRule type="containsText" dxfId="4" priority="33" operator="containsText" text="Not started">
      <formula>NOT(ISERROR(SEARCH("Not started",N5)))</formula>
    </cfRule>
  </conditionalFormatting>
  <conditionalFormatting sqref="R5:R104">
    <cfRule type="cellIs" dxfId="2" priority="34" operator="lessThan">
      <formula>30</formula>
    </cfRule>
    <cfRule type="cellIs" dxfId="1" priority="35" operator="lessThan">
      <formula>0</formula>
    </cfRule>
  </conditionalFormatting>
  <conditionalFormatting sqref="S5:S104">
    <cfRule type="containsText" dxfId="0" priority="36" operator="containsText" text="Yes">
      <formula>NOT(ISERROR(SEARCH("Yes",S5)))</formula>
    </cfRule>
    <cfRule type="containsText" dxfId="2" priority="37" operator="containsText" text="Check">
      <formula>NOT(ISERROR(SEARCH("Check",S5)))</formula>
    </cfRule>
    <cfRule type="containsText" dxfId="1" priority="38" operator="containsText" text="No -">
      <formula>NOT(ISERROR(SEARCH("No -",S5)))</formula>
    </cfRule>
  </conditionalFormatting>
  <conditionalFormatting sqref="T5:T104">
    <cfRule type="beginsWith" dxfId="0" priority="39" operator="beginsWith" text="OK">
      <formula>LEFT(T5,2)="OK"</formula>
    </cfRule>
    <cfRule type="containsText" dxfId="1" priority="40" operator="containsText" text="Overdue">
      <formula>NOT(ISERROR(SEARCH("Overdue",T5)))</formula>
    </cfRule>
    <cfRule type="containsText" dxfId="1" priority="41" operator="containsText" text="Late">
      <formula>NOT(ISERROR(SEARCH("Late",T5)))</formula>
    </cfRule>
    <cfRule type="containsText" dxfId="1" priority="42" operator="containsText" text="Missing">
      <formula>NOT(ISERROR(SEARCH("Missing",T5)))</formula>
    </cfRule>
    <cfRule type="containsText" dxfId="1" priority="43" operator="containsText" text="Conflict">
      <formula>NOT(ISERROR(SEARCH("Conflict",T5)))</formula>
    </cfRule>
    <cfRule type="containsText" dxfId="1" priority="44" operator="containsText" text="Expired">
      <formula>NOT(ISERROR(SEARCH("Expired",T5)))</formula>
    </cfRule>
    <cfRule type="containsText" dxfId="1" priority="45" operator="containsText" text="Duplicate">
      <formula>NOT(ISERROR(SEARCH("Duplicate",T5)))</formula>
    </cfRule>
    <cfRule type="containsText" dxfId="2" priority="46" operator="containsText" text="Action">
      <formula>NOT(ISERROR(SEARCH("Action",T5)))</formula>
    </cfRule>
    <cfRule type="containsText" dxfId="2" priority="47" operator="containsText" text="Due">
      <formula>NOT(ISERROR(SEARCH("Due",T5)))</formula>
    </cfRule>
    <cfRule type="containsText" dxfId="2" priority="48" operator="containsText" text="Check">
      <formula>NOT(ISERROR(SEARCH("Check",T5)))</formula>
    </cfRule>
    <cfRule type="containsText" dxfId="2" priority="49" operator="containsText" text="Add">
      <formula>NOT(ISERROR(SEARCH("Add",T5)))</formula>
    </cfRule>
    <cfRule type="containsText" dxfId="3" priority="50" operator="containsText" text="Today">
      <formula>NOT(ISERROR(SEARCH("Today",T5)))</formula>
    </cfRule>
    <cfRule type="containsText" dxfId="3" priority="51" operator="containsText" text="Upcoming">
      <formula>NOT(ISERROR(SEARCH("Upcoming",T5)))</formula>
    </cfRule>
  </conditionalFormatting>
  <dataValidations count="9">
    <dataValidation type="list" allowBlank="1" showInputMessage="1" showErrorMessage="1" sqref="C5:C104">
      <formula1>UGCSourceList</formula1>
    </dataValidation>
    <dataValidation type="list" allowBlank="1" showInputMessage="1" showErrorMessage="1" sqref="D5:D104">
      <formula1>PlatformList</formula1>
    </dataValidation>
    <dataValidation type="list" allowBlank="1" showInputMessage="1" showErrorMessage="1" sqref="F5:F104">
      <formula1>AssetTypeList</formula1>
    </dataValidation>
    <dataValidation type="whole" allowBlank="1" showInputMessage="1" showErrorMessage="1" errorTitle="Score 1-10" error="Enter a whole number from 1 (low) to 10 (high)." sqref="I5:I104">
      <formula1>1</formula1>
      <formula2>10</formula2>
    </dataValidation>
    <dataValidation type="list" allowBlank="1" showInputMessage="1" showErrorMessage="1" promptTitle="Permission" prompt="Always ask before you repost. A screenshot of the yes is worth keeping." sqref="J5:J104">
      <formula1>UGCPermissionList</formula1>
    </dataValidation>
    <dataValidation type="date" allowBlank="1" showInputMessage="1" showErrorMessage="1" errorTitle="Check the date" error="Enter a real date between 2000 and 2100." sqref="L5:L104">
      <formula1>36526</formula1>
      <formula2>73415</formula2>
    </dataValidation>
    <dataValidation type="list" allowBlank="1" showInputMessage="1" showErrorMessage="1" sqref="N5:N104">
      <formula1>ApprovalStatusList</formula1>
    </dataValidation>
    <dataValidation type="date" allowBlank="1" showInputMessage="1" showErrorMessage="1" errorTitle="Check the date" error="Enter a real date between 2000 and 2100." sqref="O5:O104">
      <formula1>36526</formula1>
      <formula2>73415</formula2>
    </dataValidation>
    <dataValidation type="whole" allowBlank="1" showInputMessage="1" showErrorMessage="1" errorTitle="Check the value" error="Enter a number between 0 and 100000000.0." sqref="Q5:Q104">
      <formula1>0</formula1>
      <formula2>100000000.0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&amp;L&amp;"Calibri,Bold"&amp;12&amp;C&amp;"Calibri,Bold"&amp;11UGC Tracker&amp;R&amp;"Calibri,Italic"&amp;9Social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6.xml><?xml version="1.0" encoding="utf-8"?>
<worksheet xmlns="http://schemas.openxmlformats.org/spreadsheetml/2006/main" xmlns:r="http://schemas.openxmlformats.org/officeDocument/2006/relationships">
  <sheetPr>
    <tabColor rgb="FFF2665E"/>
    <pageSetUpPr fitToPage="1"/>
  </sheetPr>
  <dimension ref="A1:V15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3.7109375" style="15" customWidth="1"/>
    <col min="3" max="3" width="30.7109375" style="17" customWidth="1"/>
    <col min="4" max="4" width="13.7109375" style="17" customWidth="1"/>
    <col min="5" max="5" width="12.7109375" style="16" customWidth="1"/>
    <col min="6" max="6" width="13.7109375" style="24" customWidth="1"/>
    <col min="7" max="7" width="14.7109375" style="15" customWidth="1"/>
    <col min="8" max="8" width="14.7109375" style="15" customWidth="1"/>
    <col min="9" max="9" width="32.7109375" style="39" customWidth="1"/>
    <col min="10" max="10" width="28.7109375" style="39" customWidth="1"/>
    <col min="11" max="11" width="30.7109375" style="39" customWidth="1"/>
    <col min="12" max="12" width="18.7109375" style="15" customWidth="1"/>
    <col min="13" max="13" width="13.7109375" style="15" customWidth="1"/>
    <col min="14" max="14" width="16.7109375" style="15" customWidth="1"/>
    <col min="15" max="15" width="12.7109375" style="43" customWidth="1"/>
    <col min="16" max="16" width="14.7109375" style="48" customWidth="1"/>
    <col min="17" max="17" width="12.7109375" style="43" customWidth="1"/>
    <col min="18" max="18" width="26.7109375" style="42" customWidth="1"/>
    <col min="19" max="19" width="11.7109375" style="23" customWidth="1"/>
    <col min="20" max="20" width="10.7109375" style="23" customWidth="1"/>
    <col min="21" max="21" width="28.7109375" style="29" customWidth="1"/>
    <col min="22" max="22" width="24.7109375" style="39" customWidth="1"/>
  </cols>
  <sheetData>
    <row r="1" spans="1:22" ht="34" customHeight="1">
      <c r="A1" s="2" t="s">
        <v>1757</v>
      </c>
      <c r="B1" s="2"/>
      <c r="C1" s="2"/>
      <c r="D1" s="2"/>
      <c r="E1" s="2"/>
      <c r="F1" s="2"/>
      <c r="G1" s="2"/>
      <c r="H1" s="2"/>
      <c r="I1" s="2"/>
      <c r="J1" s="2"/>
      <c r="K1" s="2"/>
      <c r="L1" s="2"/>
      <c r="M1" s="2"/>
      <c r="N1" s="2"/>
      <c r="O1" s="2"/>
      <c r="P1" s="2"/>
      <c r="Q1" s="2"/>
      <c r="R1" s="2"/>
      <c r="S1" s="2"/>
      <c r="T1" s="3" t="s">
        <v>1</v>
      </c>
      <c r="U1" s="3"/>
      <c r="V1" s="3"/>
    </row>
    <row r="2" spans="1:22" ht="18" customHeight="1">
      <c r="A2" s="4" t="s">
        <v>1758</v>
      </c>
      <c r="B2" s="4"/>
      <c r="C2" s="4"/>
      <c r="D2" s="4"/>
      <c r="E2" s="4"/>
      <c r="F2" s="4"/>
      <c r="G2" s="4"/>
      <c r="H2" s="4"/>
      <c r="I2" s="4"/>
      <c r="J2" s="4"/>
      <c r="K2" s="4"/>
      <c r="L2" s="4"/>
      <c r="M2" s="4"/>
      <c r="N2" s="4"/>
      <c r="O2" s="4"/>
      <c r="P2" s="4"/>
      <c r="Q2" s="4"/>
      <c r="R2" s="4"/>
      <c r="S2" s="4"/>
      <c r="T2" s="4"/>
      <c r="U2" s="4"/>
      <c r="V2" s="4"/>
    </row>
    <row r="3" spans="1:22" ht="16" customHeight="1">
      <c r="A3" s="5" t="s">
        <v>3</v>
      </c>
      <c r="B3" s="5"/>
      <c r="C3" s="5" t="s">
        <v>4</v>
      </c>
      <c r="D3" s="5"/>
      <c r="E3" s="5" t="s">
        <v>5</v>
      </c>
      <c r="F3" s="5"/>
      <c r="G3" s="5" t="s">
        <v>6</v>
      </c>
      <c r="H3" s="5"/>
      <c r="I3" s="5" t="s">
        <v>7</v>
      </c>
      <c r="J3" s="5"/>
      <c r="K3" s="5" t="s">
        <v>8</v>
      </c>
      <c r="L3" s="5"/>
      <c r="M3" s="5" t="s">
        <v>125</v>
      </c>
      <c r="N3" s="5"/>
      <c r="O3" s="5" t="s">
        <v>126</v>
      </c>
      <c r="P3" s="5"/>
      <c r="Q3" s="5" t="s">
        <v>127</v>
      </c>
      <c r="R3" s="5"/>
      <c r="S3" s="33"/>
      <c r="T3" s="33"/>
      <c r="U3" s="33"/>
      <c r="V3" s="33"/>
    </row>
    <row r="4" spans="1:22" ht="30" customHeight="1">
      <c r="A4" s="8" t="s">
        <v>766</v>
      </c>
      <c r="B4" s="8" t="s">
        <v>1759</v>
      </c>
      <c r="C4" s="9" t="s">
        <v>1760</v>
      </c>
      <c r="D4" s="9" t="s">
        <v>1761</v>
      </c>
      <c r="E4" s="9" t="s">
        <v>1762</v>
      </c>
      <c r="F4" s="9" t="s">
        <v>148</v>
      </c>
      <c r="G4" s="9" t="s">
        <v>1763</v>
      </c>
      <c r="H4" s="9" t="s">
        <v>1764</v>
      </c>
      <c r="I4" s="9" t="s">
        <v>1765</v>
      </c>
      <c r="J4" s="9" t="s">
        <v>1766</v>
      </c>
      <c r="K4" s="9" t="s">
        <v>1767</v>
      </c>
      <c r="L4" s="9" t="s">
        <v>437</v>
      </c>
      <c r="M4" s="9" t="s">
        <v>1768</v>
      </c>
      <c r="N4" s="9" t="s">
        <v>222</v>
      </c>
      <c r="O4" s="9" t="s">
        <v>1769</v>
      </c>
      <c r="P4" s="9" t="s">
        <v>221</v>
      </c>
      <c r="Q4" s="9" t="s">
        <v>1770</v>
      </c>
      <c r="R4" s="9" t="s">
        <v>1771</v>
      </c>
      <c r="S4" s="9" t="s">
        <v>1772</v>
      </c>
      <c r="T4" s="9" t="s">
        <v>224</v>
      </c>
      <c r="U4" s="9" t="s">
        <v>787</v>
      </c>
      <c r="V4" s="9" t="s">
        <v>788</v>
      </c>
    </row>
    <row r="5" spans="1:22">
      <c r="A5" s="41">
        <f>IF(B5="","","RP-"&amp;TEXT(ROW()-4,"000"))</f>
        <v>0</v>
      </c>
      <c r="B5" s="15" t="s">
        <v>1212</v>
      </c>
      <c r="C5" s="17">
        <f>IF(B5="","",IFERROR(INDEX('Content Calendar'!$H$5:$H$604,MATCH(B5,'Content Calendar'!$A$5:$A$604,0)),"Not found"))</f>
        <v>0</v>
      </c>
      <c r="D5" s="17">
        <f>IF(B5="","",IFERROR(INDEX('Content Calendar'!$G$5:$G$604,MATCH(B5,'Content Calendar'!$A$5:$A$604,0)),"Not found"))</f>
        <v>0</v>
      </c>
      <c r="E5" s="16">
        <f>IF(B5="","",IFERROR(INDEX('Content Calendar'!$B$5:$B$604,MATCH(B5,'Content Calendar'!$A$5:$A$604,0)),"Not found"))</f>
        <v>0</v>
      </c>
      <c r="F5" s="24">
        <f>IF(B5="","",IFERROR(SUMIFS(Performance!$Z$5:$Z$404,Performance!$B$5:$B$404,B5)/SUMIFS(Performance!$O$5:$O$404,Performance!$B$5:$B$404,B5),""))</f>
        <v>0</v>
      </c>
      <c r="G5" s="15" t="s">
        <v>378</v>
      </c>
      <c r="H5" s="15" t="s">
        <v>408</v>
      </c>
      <c r="I5" s="39" t="s">
        <v>1773</v>
      </c>
      <c r="J5" s="39" t="s">
        <v>1774</v>
      </c>
      <c r="K5" s="39" t="s">
        <v>1775</v>
      </c>
      <c r="L5" s="15" t="s">
        <v>439</v>
      </c>
      <c r="M5" s="15" t="s">
        <v>928</v>
      </c>
      <c r="N5" s="15" t="s">
        <v>797</v>
      </c>
      <c r="O5" s="43">
        <v>46292</v>
      </c>
      <c r="P5" s="48" t="s">
        <v>138</v>
      </c>
      <c r="Q5" s="43">
        <v>46296</v>
      </c>
      <c r="R5" s="42" t="s">
        <v>1776</v>
      </c>
      <c r="S5" s="23">
        <f>IF(B5="","",COUNTIF(Repurposing!$B$5:$B$154,B5))</f>
        <v>0</v>
      </c>
      <c r="T5" s="23">
        <f>IF(OR(O5="",P5="Published",P5="Not suitable"),"",MAX(0,TODAY()-O5))</f>
        <v>0</v>
      </c>
      <c r="U5" s="29">
        <f>IF(B5="","",IF(C5="Not found","Check - content ID not on the calendar",IF(AND(P5="Published",R5=""),"Add - link missing",IF(AND(T5&lt;&gt;"",T5&gt;0),"Overdue - past the deadline",IF(AND(P5="Planned",O5=""),"Add - no deadline set","OK")))))</f>
        <v>0</v>
      </c>
      <c r="V5" s="39" t="s">
        <v>205</v>
      </c>
    </row>
    <row r="6" spans="1:22">
      <c r="A6" s="41">
        <f>IF(B6="","","RP-"&amp;TEXT(ROW()-4,"000"))</f>
        <v>0</v>
      </c>
      <c r="B6" s="15" t="s">
        <v>1518</v>
      </c>
      <c r="C6" s="17">
        <f>IF(B6="","",IFERROR(INDEX('Content Calendar'!$H$5:$H$604,MATCH(B6,'Content Calendar'!$A$5:$A$604,0)),"Not found"))</f>
        <v>0</v>
      </c>
      <c r="D6" s="17">
        <f>IF(B6="","",IFERROR(INDEX('Content Calendar'!$G$5:$G$604,MATCH(B6,'Content Calendar'!$A$5:$A$604,0)),"Not found"))</f>
        <v>0</v>
      </c>
      <c r="E6" s="16">
        <f>IF(B6="","",IFERROR(INDEX('Content Calendar'!$B$5:$B$604,MATCH(B6,'Content Calendar'!$A$5:$A$604,0)),"Not found"))</f>
        <v>0</v>
      </c>
      <c r="F6" s="24">
        <f>IF(B6="","",IFERROR(SUMIFS(Performance!$Z$5:$Z$404,Performance!$B$5:$B$404,B6)/SUMIFS(Performance!$O$5:$O$404,Performance!$B$5:$B$404,B6),""))</f>
        <v>0</v>
      </c>
      <c r="G6" s="15" t="s">
        <v>376</v>
      </c>
      <c r="H6" s="15" t="s">
        <v>397</v>
      </c>
      <c r="I6" s="39" t="s">
        <v>1777</v>
      </c>
      <c r="J6" s="39" t="s">
        <v>1774</v>
      </c>
      <c r="K6" s="39" t="s">
        <v>1778</v>
      </c>
      <c r="L6" s="15" t="s">
        <v>439</v>
      </c>
      <c r="M6" s="15" t="s">
        <v>934</v>
      </c>
      <c r="N6" s="15" t="s">
        <v>801</v>
      </c>
      <c r="O6" s="43">
        <v>46296</v>
      </c>
      <c r="P6" s="48" t="s">
        <v>138</v>
      </c>
      <c r="Q6" s="43">
        <v>46300</v>
      </c>
      <c r="R6" s="42" t="s">
        <v>1779</v>
      </c>
      <c r="S6" s="23">
        <f>IF(B6="","",COUNTIF(Repurposing!$B$5:$B$154,B6))</f>
        <v>0</v>
      </c>
      <c r="T6" s="23">
        <f>IF(OR(O6="",P6="Published",P6="Not suitable"),"",MAX(0,TODAY()-O6))</f>
        <v>0</v>
      </c>
      <c r="U6" s="29">
        <f>IF(B6="","",IF(C6="Not found","Check - content ID not on the calendar",IF(AND(P6="Published",R6=""),"Add - link missing",IF(AND(T6&lt;&gt;"",T6&gt;0),"Overdue - past the deadline",IF(AND(P6="Planned",O6=""),"Add - no deadline set","OK")))))</f>
        <v>0</v>
      </c>
      <c r="V6" s="39" t="s">
        <v>205</v>
      </c>
    </row>
    <row r="7" spans="1:22">
      <c r="A7" s="41">
        <f>IF(B7="","","RP-"&amp;TEXT(ROW()-4,"000"))</f>
        <v>0</v>
      </c>
      <c r="B7" s="15" t="s">
        <v>1479</v>
      </c>
      <c r="C7" s="17">
        <f>IF(B7="","",IFERROR(INDEX('Content Calendar'!$H$5:$H$604,MATCH(B7,'Content Calendar'!$A$5:$A$604,0)),"Not found"))</f>
        <v>0</v>
      </c>
      <c r="D7" s="17">
        <f>IF(B7="","",IFERROR(INDEX('Content Calendar'!$G$5:$G$604,MATCH(B7,'Content Calendar'!$A$5:$A$604,0)),"Not found"))</f>
        <v>0</v>
      </c>
      <c r="E7" s="16">
        <f>IF(B7="","",IFERROR(INDEX('Content Calendar'!$B$5:$B$604,MATCH(B7,'Content Calendar'!$A$5:$A$604,0)),"Not found"))</f>
        <v>0</v>
      </c>
      <c r="F7" s="24">
        <f>IF(B7="","",IFERROR(SUMIFS(Performance!$Z$5:$Z$404,Performance!$B$5:$B$404,B7)/SUMIFS(Performance!$O$5:$O$404,Performance!$B$5:$B$404,B7),""))</f>
        <v>0</v>
      </c>
      <c r="G7" s="15" t="s">
        <v>379</v>
      </c>
      <c r="H7" s="15" t="s">
        <v>400</v>
      </c>
      <c r="I7" s="39" t="s">
        <v>1780</v>
      </c>
      <c r="J7" s="39" t="s">
        <v>1774</v>
      </c>
      <c r="K7" s="39" t="s">
        <v>1781</v>
      </c>
      <c r="L7" s="15" t="s">
        <v>439</v>
      </c>
      <c r="M7" s="15" t="s">
        <v>940</v>
      </c>
      <c r="N7" s="15" t="s">
        <v>804</v>
      </c>
      <c r="O7" s="43">
        <v>46300</v>
      </c>
      <c r="P7" s="48" t="s">
        <v>138</v>
      </c>
      <c r="Q7" s="43">
        <v>46304</v>
      </c>
      <c r="R7" s="42" t="s">
        <v>1782</v>
      </c>
      <c r="S7" s="23">
        <f>IF(B7="","",COUNTIF(Repurposing!$B$5:$B$154,B7))</f>
        <v>0</v>
      </c>
      <c r="T7" s="23">
        <f>IF(OR(O7="",P7="Published",P7="Not suitable"),"",MAX(0,TODAY()-O7))</f>
        <v>0</v>
      </c>
      <c r="U7" s="29">
        <f>IF(B7="","",IF(C7="Not found","Check - content ID not on the calendar",IF(AND(P7="Published",R7=""),"Add - link missing",IF(AND(T7&lt;&gt;"",T7&gt;0),"Overdue - past the deadline",IF(AND(P7="Planned",O7=""),"Add - no deadline set","OK")))))</f>
        <v>0</v>
      </c>
      <c r="V7" s="39" t="s">
        <v>205</v>
      </c>
    </row>
    <row r="8" spans="1:22">
      <c r="A8" s="41">
        <f>IF(B8="","","RP-"&amp;TEXT(ROW()-4,"000"))</f>
        <v>0</v>
      </c>
      <c r="B8" s="15" t="s">
        <v>1485</v>
      </c>
      <c r="C8" s="17">
        <f>IF(B8="","",IFERROR(INDEX('Content Calendar'!$H$5:$H$604,MATCH(B8,'Content Calendar'!$A$5:$A$604,0)),"Not found"))</f>
        <v>0</v>
      </c>
      <c r="D8" s="17">
        <f>IF(B8="","",IFERROR(INDEX('Content Calendar'!$G$5:$G$604,MATCH(B8,'Content Calendar'!$A$5:$A$604,0)),"Not found"))</f>
        <v>0</v>
      </c>
      <c r="E8" s="16">
        <f>IF(B8="","",IFERROR(INDEX('Content Calendar'!$B$5:$B$604,MATCH(B8,'Content Calendar'!$A$5:$A$604,0)),"Not found"))</f>
        <v>0</v>
      </c>
      <c r="F8" s="24">
        <f>IF(B8="","",IFERROR(SUMIFS(Performance!$Z$5:$Z$404,Performance!$B$5:$B$404,B8)/SUMIFS(Performance!$O$5:$O$404,Performance!$B$5:$B$404,B8),""))</f>
        <v>0</v>
      </c>
      <c r="G8" s="15" t="s">
        <v>380</v>
      </c>
      <c r="H8" s="15" t="s">
        <v>396</v>
      </c>
      <c r="I8" s="39" t="s">
        <v>1783</v>
      </c>
      <c r="J8" s="39" t="s">
        <v>1774</v>
      </c>
      <c r="K8" s="39" t="s">
        <v>1784</v>
      </c>
      <c r="L8" s="15" t="s">
        <v>439</v>
      </c>
      <c r="M8" s="15" t="s">
        <v>946</v>
      </c>
      <c r="N8" s="15" t="s">
        <v>281</v>
      </c>
      <c r="O8" s="43">
        <v>46304</v>
      </c>
      <c r="P8" s="48" t="s">
        <v>138</v>
      </c>
      <c r="Q8" s="43">
        <v>46308</v>
      </c>
      <c r="R8" s="42" t="s">
        <v>1785</v>
      </c>
      <c r="S8" s="23">
        <f>IF(B8="","",COUNTIF(Repurposing!$B$5:$B$154,B8))</f>
        <v>0</v>
      </c>
      <c r="T8" s="23">
        <f>IF(OR(O8="",P8="Published",P8="Not suitable"),"",MAX(0,TODAY()-O8))</f>
        <v>0</v>
      </c>
      <c r="U8" s="29">
        <f>IF(B8="","",IF(C8="Not found","Check - content ID not on the calendar",IF(AND(P8="Published",R8=""),"Add - link missing",IF(AND(T8&lt;&gt;"",T8&gt;0),"Overdue - past the deadline",IF(AND(P8="Planned",O8=""),"Add - no deadline set","OK")))))</f>
        <v>0</v>
      </c>
      <c r="V8" s="39" t="s">
        <v>205</v>
      </c>
    </row>
    <row r="9" spans="1:22">
      <c r="A9" s="41">
        <f>IF(B9="","","RP-"&amp;TEXT(ROW()-4,"000"))</f>
        <v>0</v>
      </c>
      <c r="B9" s="15" t="s">
        <v>1533</v>
      </c>
      <c r="C9" s="17">
        <f>IF(B9="","",IFERROR(INDEX('Content Calendar'!$H$5:$H$604,MATCH(B9,'Content Calendar'!$A$5:$A$604,0)),"Not found"))</f>
        <v>0</v>
      </c>
      <c r="D9" s="17">
        <f>IF(B9="","",IFERROR(INDEX('Content Calendar'!$G$5:$G$604,MATCH(B9,'Content Calendar'!$A$5:$A$604,0)),"Not found"))</f>
        <v>0</v>
      </c>
      <c r="E9" s="16">
        <f>IF(B9="","",IFERROR(INDEX('Content Calendar'!$B$5:$B$604,MATCH(B9,'Content Calendar'!$A$5:$A$604,0)),"Not found"))</f>
        <v>0</v>
      </c>
      <c r="F9" s="24">
        <f>IF(B9="","",IFERROR(SUMIFS(Performance!$Z$5:$Z$404,Performance!$B$5:$B$404,B9)/SUMIFS(Performance!$O$5:$O$404,Performance!$B$5:$B$404,B9),""))</f>
        <v>0</v>
      </c>
      <c r="G9" s="15" t="s">
        <v>377</v>
      </c>
      <c r="H9" s="15" t="s">
        <v>398</v>
      </c>
      <c r="I9" s="39" t="s">
        <v>1786</v>
      </c>
      <c r="J9" s="39" t="s">
        <v>1774</v>
      </c>
      <c r="K9" s="39" t="s">
        <v>1787</v>
      </c>
      <c r="L9" s="15" t="s">
        <v>439</v>
      </c>
      <c r="M9" s="15" t="s">
        <v>952</v>
      </c>
      <c r="N9" s="15" t="s">
        <v>797</v>
      </c>
      <c r="O9" s="43">
        <v>46308</v>
      </c>
      <c r="P9" s="48" t="s">
        <v>138</v>
      </c>
      <c r="Q9" s="43">
        <v>46312</v>
      </c>
      <c r="R9" s="42" t="s">
        <v>1788</v>
      </c>
      <c r="S9" s="23">
        <f>IF(B9="","",COUNTIF(Repurposing!$B$5:$B$154,B9))</f>
        <v>0</v>
      </c>
      <c r="T9" s="23">
        <f>IF(OR(O9="",P9="Published",P9="Not suitable"),"",MAX(0,TODAY()-O9))</f>
        <v>0</v>
      </c>
      <c r="U9" s="29">
        <f>IF(B9="","",IF(C9="Not found","Check - content ID not on the calendar",IF(AND(P9="Published",R9=""),"Add - link missing",IF(AND(T9&lt;&gt;"",T9&gt;0),"Overdue - past the deadline",IF(AND(P9="Planned",O9=""),"Add - no deadline set","OK")))))</f>
        <v>0</v>
      </c>
      <c r="V9" s="39" t="s">
        <v>205</v>
      </c>
    </row>
    <row r="10" spans="1:22">
      <c r="A10" s="41">
        <f>IF(B10="","","RP-"&amp;TEXT(ROW()-4,"000"))</f>
        <v>0</v>
      </c>
      <c r="B10" s="15" t="s">
        <v>1789</v>
      </c>
      <c r="C10" s="17">
        <f>IF(B10="","",IFERROR(INDEX('Content Calendar'!$H$5:$H$604,MATCH(B10,'Content Calendar'!$A$5:$A$604,0)),"Not found"))</f>
        <v>0</v>
      </c>
      <c r="D10" s="17">
        <f>IF(B10="","",IFERROR(INDEX('Content Calendar'!$G$5:$G$604,MATCH(B10,'Content Calendar'!$A$5:$A$604,0)),"Not found"))</f>
        <v>0</v>
      </c>
      <c r="E10" s="16">
        <f>IF(B10="","",IFERROR(INDEX('Content Calendar'!$B$5:$B$604,MATCH(B10,'Content Calendar'!$A$5:$A$604,0)),"Not found"))</f>
        <v>0</v>
      </c>
      <c r="F10" s="24">
        <f>IF(B10="","",IFERROR(SUMIFS(Performance!$Z$5:$Z$404,Performance!$B$5:$B$404,B10)/SUMIFS(Performance!$O$5:$O$404,Performance!$B$5:$B$404,B10),""))</f>
        <v>0</v>
      </c>
      <c r="G10" s="15" t="s">
        <v>376</v>
      </c>
      <c r="H10" s="15" t="s">
        <v>399</v>
      </c>
      <c r="I10" s="39" t="s">
        <v>1777</v>
      </c>
      <c r="J10" s="39" t="s">
        <v>1774</v>
      </c>
      <c r="K10" s="39" t="s">
        <v>1790</v>
      </c>
      <c r="L10" s="15" t="s">
        <v>439</v>
      </c>
      <c r="M10" s="15" t="s">
        <v>957</v>
      </c>
      <c r="N10" s="15" t="s">
        <v>801</v>
      </c>
      <c r="O10" s="43">
        <v>46312</v>
      </c>
      <c r="P10" s="48" t="s">
        <v>252</v>
      </c>
      <c r="Q10" s="43">
        <v>46318</v>
      </c>
      <c r="R10" s="42" t="s">
        <v>205</v>
      </c>
      <c r="S10" s="23">
        <f>IF(B10="","",COUNTIF(Repurposing!$B$5:$B$154,B10))</f>
        <v>0</v>
      </c>
      <c r="T10" s="23">
        <f>IF(OR(O10="",P10="Published",P10="Not suitable"),"",MAX(0,TODAY()-O10))</f>
        <v>0</v>
      </c>
      <c r="U10" s="29">
        <f>IF(B10="","",IF(C10="Not found","Check - content ID not on the calendar",IF(AND(P10="Published",R10=""),"Add - link missing",IF(AND(T10&lt;&gt;"",T10&gt;0),"Overdue - past the deadline",IF(AND(P10="Planned",O10=""),"Add - no deadline set","OK")))))</f>
        <v>0</v>
      </c>
      <c r="V10" s="39" t="s">
        <v>205</v>
      </c>
    </row>
    <row r="11" spans="1:22">
      <c r="A11" s="41">
        <f>IF(B11="","","RP-"&amp;TEXT(ROW()-4,"000"))</f>
        <v>0</v>
      </c>
      <c r="B11" s="15" t="s">
        <v>1791</v>
      </c>
      <c r="C11" s="17">
        <f>IF(B11="","",IFERROR(INDEX('Content Calendar'!$H$5:$H$604,MATCH(B11,'Content Calendar'!$A$5:$A$604,0)),"Not found"))</f>
        <v>0</v>
      </c>
      <c r="D11" s="17">
        <f>IF(B11="","",IFERROR(INDEX('Content Calendar'!$G$5:$G$604,MATCH(B11,'Content Calendar'!$A$5:$A$604,0)),"Not found"))</f>
        <v>0</v>
      </c>
      <c r="E11" s="16">
        <f>IF(B11="","",IFERROR(INDEX('Content Calendar'!$B$5:$B$604,MATCH(B11,'Content Calendar'!$A$5:$A$604,0)),"Not found"))</f>
        <v>0</v>
      </c>
      <c r="F11" s="24">
        <f>IF(B11="","",IFERROR(SUMIFS(Performance!$Z$5:$Z$404,Performance!$B$5:$B$404,B11)/SUMIFS(Performance!$O$5:$O$404,Performance!$B$5:$B$404,B11),""))</f>
        <v>0</v>
      </c>
      <c r="G11" s="15" t="s">
        <v>378</v>
      </c>
      <c r="H11" s="15" t="s">
        <v>409</v>
      </c>
      <c r="I11" s="39" t="s">
        <v>1773</v>
      </c>
      <c r="J11" s="39" t="s">
        <v>1774</v>
      </c>
      <c r="K11" s="39" t="s">
        <v>1792</v>
      </c>
      <c r="L11" s="15" t="s">
        <v>439</v>
      </c>
      <c r="M11" s="15" t="s">
        <v>962</v>
      </c>
      <c r="N11" s="15" t="s">
        <v>804</v>
      </c>
      <c r="O11" s="43">
        <v>46316</v>
      </c>
      <c r="P11" s="48" t="s">
        <v>252</v>
      </c>
      <c r="Q11" s="43">
        <v>46319</v>
      </c>
      <c r="R11" s="42" t="s">
        <v>205</v>
      </c>
      <c r="S11" s="23">
        <f>IF(B11="","",COUNTIF(Repurposing!$B$5:$B$154,B11))</f>
        <v>0</v>
      </c>
      <c r="T11" s="23">
        <f>IF(OR(O11="",P11="Published",P11="Not suitable"),"",MAX(0,TODAY()-O11))</f>
        <v>0</v>
      </c>
      <c r="U11" s="29">
        <f>IF(B11="","",IF(C11="Not found","Check - content ID not on the calendar",IF(AND(P11="Published",R11=""),"Add - link missing",IF(AND(T11&lt;&gt;"",T11&gt;0),"Overdue - past the deadline",IF(AND(P11="Planned",O11=""),"Add - no deadline set","OK")))))</f>
        <v>0</v>
      </c>
      <c r="V11" s="39" t="s">
        <v>205</v>
      </c>
    </row>
    <row r="12" spans="1:22">
      <c r="A12" s="41">
        <f>IF(B12="","","RP-"&amp;TEXT(ROW()-4,"000"))</f>
        <v>0</v>
      </c>
      <c r="B12" s="15" t="s">
        <v>1453</v>
      </c>
      <c r="C12" s="17">
        <f>IF(B12="","",IFERROR(INDEX('Content Calendar'!$H$5:$H$604,MATCH(B12,'Content Calendar'!$A$5:$A$604,0)),"Not found"))</f>
        <v>0</v>
      </c>
      <c r="D12" s="17">
        <f>IF(B12="","",IFERROR(INDEX('Content Calendar'!$G$5:$G$604,MATCH(B12,'Content Calendar'!$A$5:$A$604,0)),"Not found"))</f>
        <v>0</v>
      </c>
      <c r="E12" s="16">
        <f>IF(B12="","",IFERROR(INDEX('Content Calendar'!$B$5:$B$604,MATCH(B12,'Content Calendar'!$A$5:$A$604,0)),"Not found"))</f>
        <v>0</v>
      </c>
      <c r="F12" s="24">
        <f>IF(B12="","",IFERROR(SUMIFS(Performance!$Z$5:$Z$404,Performance!$B$5:$B$404,B12)/SUMIFS(Performance!$O$5:$O$404,Performance!$B$5:$B$404,B12),""))</f>
        <v>0</v>
      </c>
      <c r="G12" s="15" t="s">
        <v>376</v>
      </c>
      <c r="H12" s="15" t="s">
        <v>398</v>
      </c>
      <c r="I12" s="39" t="s">
        <v>1777</v>
      </c>
      <c r="J12" s="39" t="s">
        <v>1774</v>
      </c>
      <c r="K12" s="39" t="s">
        <v>1793</v>
      </c>
      <c r="L12" s="15" t="s">
        <v>439</v>
      </c>
      <c r="M12" s="15" t="s">
        <v>967</v>
      </c>
      <c r="N12" s="15" t="s">
        <v>281</v>
      </c>
      <c r="O12" s="43">
        <v>46320</v>
      </c>
      <c r="P12" s="48" t="s">
        <v>252</v>
      </c>
      <c r="Q12" s="43">
        <v>46320</v>
      </c>
      <c r="R12" s="42" t="s">
        <v>205</v>
      </c>
      <c r="S12" s="23">
        <f>IF(B12="","",COUNTIF(Repurposing!$B$5:$B$154,B12))</f>
        <v>0</v>
      </c>
      <c r="T12" s="23">
        <f>IF(OR(O12="",P12="Published",P12="Not suitable"),"",MAX(0,TODAY()-O12))</f>
        <v>0</v>
      </c>
      <c r="U12" s="29">
        <f>IF(B12="","",IF(C12="Not found","Check - content ID not on the calendar",IF(AND(P12="Published",R12=""),"Add - link missing",IF(AND(T12&lt;&gt;"",T12&gt;0),"Overdue - past the deadline",IF(AND(P12="Planned",O12=""),"Add - no deadline set","OK")))))</f>
        <v>0</v>
      </c>
      <c r="V12" s="39" t="s">
        <v>205</v>
      </c>
    </row>
    <row r="13" spans="1:22">
      <c r="A13" s="41">
        <f>IF(B13="","","RP-"&amp;TEXT(ROW()-4,"000"))</f>
        <v>0</v>
      </c>
      <c r="C13" s="17">
        <f>IF(B13="","",IFERROR(INDEX('Content Calendar'!$H$5:$H$604,MATCH(B13,'Content Calendar'!$A$5:$A$604,0)),"Not found"))</f>
        <v>0</v>
      </c>
      <c r="D13" s="17">
        <f>IF(B13="","",IFERROR(INDEX('Content Calendar'!$G$5:$G$604,MATCH(B13,'Content Calendar'!$A$5:$A$604,0)),"Not found"))</f>
        <v>0</v>
      </c>
      <c r="E13" s="16">
        <f>IF(B13="","",IFERROR(INDEX('Content Calendar'!$B$5:$B$604,MATCH(B13,'Content Calendar'!$A$5:$A$604,0)),"Not found"))</f>
        <v>0</v>
      </c>
      <c r="F13" s="24">
        <f>IF(B13="","",IFERROR(SUMIFS(Performance!$Z$5:$Z$404,Performance!$B$5:$B$404,B13)/SUMIFS(Performance!$O$5:$O$404,Performance!$B$5:$B$404,B13),""))</f>
        <v>0</v>
      </c>
      <c r="S13" s="23">
        <f>IF(B13="","",COUNTIF(Repurposing!$B$5:$B$154,B13))</f>
        <v>0</v>
      </c>
      <c r="T13" s="23">
        <f>IF(OR(O13="",P13="Published",P13="Not suitable"),"",MAX(0,TODAY()-O13))</f>
        <v>0</v>
      </c>
      <c r="U13" s="29">
        <f>IF(B13="","",IF(C13="Not found","Check - content ID not on the calendar",IF(AND(P13="Published",R13=""),"Add - link missing",IF(AND(T13&lt;&gt;"",T13&gt;0),"Overdue - past the deadline",IF(AND(P13="Planned",O13=""),"Add - no deadline set","OK")))))</f>
        <v>0</v>
      </c>
    </row>
    <row r="14" spans="1:22">
      <c r="A14" s="41">
        <f>IF(B14="","","RP-"&amp;TEXT(ROW()-4,"000"))</f>
        <v>0</v>
      </c>
      <c r="C14" s="17">
        <f>IF(B14="","",IFERROR(INDEX('Content Calendar'!$H$5:$H$604,MATCH(B14,'Content Calendar'!$A$5:$A$604,0)),"Not found"))</f>
        <v>0</v>
      </c>
      <c r="D14" s="17">
        <f>IF(B14="","",IFERROR(INDEX('Content Calendar'!$G$5:$G$604,MATCH(B14,'Content Calendar'!$A$5:$A$604,0)),"Not found"))</f>
        <v>0</v>
      </c>
      <c r="E14" s="16">
        <f>IF(B14="","",IFERROR(INDEX('Content Calendar'!$B$5:$B$604,MATCH(B14,'Content Calendar'!$A$5:$A$604,0)),"Not found"))</f>
        <v>0</v>
      </c>
      <c r="F14" s="24">
        <f>IF(B14="","",IFERROR(SUMIFS(Performance!$Z$5:$Z$404,Performance!$B$5:$B$404,B14)/SUMIFS(Performance!$O$5:$O$404,Performance!$B$5:$B$404,B14),""))</f>
        <v>0</v>
      </c>
      <c r="S14" s="23">
        <f>IF(B14="","",COUNTIF(Repurposing!$B$5:$B$154,B14))</f>
        <v>0</v>
      </c>
      <c r="T14" s="23">
        <f>IF(OR(O14="",P14="Published",P14="Not suitable"),"",MAX(0,TODAY()-O14))</f>
        <v>0</v>
      </c>
      <c r="U14" s="29">
        <f>IF(B14="","",IF(C14="Not found","Check - content ID not on the calendar",IF(AND(P14="Published",R14=""),"Add - link missing",IF(AND(T14&lt;&gt;"",T14&gt;0),"Overdue - past the deadline",IF(AND(P14="Planned",O14=""),"Add - no deadline set","OK")))))</f>
        <v>0</v>
      </c>
    </row>
    <row r="15" spans="1:22">
      <c r="A15" s="41">
        <f>IF(B15="","","RP-"&amp;TEXT(ROW()-4,"000"))</f>
        <v>0</v>
      </c>
      <c r="C15" s="17">
        <f>IF(B15="","",IFERROR(INDEX('Content Calendar'!$H$5:$H$604,MATCH(B15,'Content Calendar'!$A$5:$A$604,0)),"Not found"))</f>
        <v>0</v>
      </c>
      <c r="D15" s="17">
        <f>IF(B15="","",IFERROR(INDEX('Content Calendar'!$G$5:$G$604,MATCH(B15,'Content Calendar'!$A$5:$A$604,0)),"Not found"))</f>
        <v>0</v>
      </c>
      <c r="E15" s="16">
        <f>IF(B15="","",IFERROR(INDEX('Content Calendar'!$B$5:$B$604,MATCH(B15,'Content Calendar'!$A$5:$A$604,0)),"Not found"))</f>
        <v>0</v>
      </c>
      <c r="F15" s="24">
        <f>IF(B15="","",IFERROR(SUMIFS(Performance!$Z$5:$Z$404,Performance!$B$5:$B$404,B15)/SUMIFS(Performance!$O$5:$O$404,Performance!$B$5:$B$404,B15),""))</f>
        <v>0</v>
      </c>
      <c r="S15" s="23">
        <f>IF(B15="","",COUNTIF(Repurposing!$B$5:$B$154,B15))</f>
        <v>0</v>
      </c>
      <c r="T15" s="23">
        <f>IF(OR(O15="",P15="Published",P15="Not suitable"),"",MAX(0,TODAY()-O15))</f>
        <v>0</v>
      </c>
      <c r="U15" s="29">
        <f>IF(B15="","",IF(C15="Not found","Check - content ID not on the calendar",IF(AND(P15="Published",R15=""),"Add - link missing",IF(AND(T15&lt;&gt;"",T15&gt;0),"Overdue - past the deadline",IF(AND(P15="Planned",O15=""),"Add - no deadline set","OK")))))</f>
        <v>0</v>
      </c>
    </row>
    <row r="16" spans="1:22">
      <c r="A16" s="41">
        <f>IF(B16="","","RP-"&amp;TEXT(ROW()-4,"000"))</f>
        <v>0</v>
      </c>
      <c r="C16" s="17">
        <f>IF(B16="","",IFERROR(INDEX('Content Calendar'!$H$5:$H$604,MATCH(B16,'Content Calendar'!$A$5:$A$604,0)),"Not found"))</f>
        <v>0</v>
      </c>
      <c r="D16" s="17">
        <f>IF(B16="","",IFERROR(INDEX('Content Calendar'!$G$5:$G$604,MATCH(B16,'Content Calendar'!$A$5:$A$604,0)),"Not found"))</f>
        <v>0</v>
      </c>
      <c r="E16" s="16">
        <f>IF(B16="","",IFERROR(INDEX('Content Calendar'!$B$5:$B$604,MATCH(B16,'Content Calendar'!$A$5:$A$604,0)),"Not found"))</f>
        <v>0</v>
      </c>
      <c r="F16" s="24">
        <f>IF(B16="","",IFERROR(SUMIFS(Performance!$Z$5:$Z$404,Performance!$B$5:$B$404,B16)/SUMIFS(Performance!$O$5:$O$404,Performance!$B$5:$B$404,B16),""))</f>
        <v>0</v>
      </c>
      <c r="S16" s="23">
        <f>IF(B16="","",COUNTIF(Repurposing!$B$5:$B$154,B16))</f>
        <v>0</v>
      </c>
      <c r="T16" s="23">
        <f>IF(OR(O16="",P16="Published",P16="Not suitable"),"",MAX(0,TODAY()-O16))</f>
        <v>0</v>
      </c>
      <c r="U16" s="29">
        <f>IF(B16="","",IF(C16="Not found","Check - content ID not on the calendar",IF(AND(P16="Published",R16=""),"Add - link missing",IF(AND(T16&lt;&gt;"",T16&gt;0),"Overdue - past the deadline",IF(AND(P16="Planned",O16=""),"Add - no deadline set","OK")))))</f>
        <v>0</v>
      </c>
    </row>
    <row r="17" spans="1:21">
      <c r="A17" s="41">
        <f>IF(B17="","","RP-"&amp;TEXT(ROW()-4,"000"))</f>
        <v>0</v>
      </c>
      <c r="C17" s="17">
        <f>IF(B17="","",IFERROR(INDEX('Content Calendar'!$H$5:$H$604,MATCH(B17,'Content Calendar'!$A$5:$A$604,0)),"Not found"))</f>
        <v>0</v>
      </c>
      <c r="D17" s="17">
        <f>IF(B17="","",IFERROR(INDEX('Content Calendar'!$G$5:$G$604,MATCH(B17,'Content Calendar'!$A$5:$A$604,0)),"Not found"))</f>
        <v>0</v>
      </c>
      <c r="E17" s="16">
        <f>IF(B17="","",IFERROR(INDEX('Content Calendar'!$B$5:$B$604,MATCH(B17,'Content Calendar'!$A$5:$A$604,0)),"Not found"))</f>
        <v>0</v>
      </c>
      <c r="F17" s="24">
        <f>IF(B17="","",IFERROR(SUMIFS(Performance!$Z$5:$Z$404,Performance!$B$5:$B$404,B17)/SUMIFS(Performance!$O$5:$O$404,Performance!$B$5:$B$404,B17),""))</f>
        <v>0</v>
      </c>
      <c r="S17" s="23">
        <f>IF(B17="","",COUNTIF(Repurposing!$B$5:$B$154,B17))</f>
        <v>0</v>
      </c>
      <c r="T17" s="23">
        <f>IF(OR(O17="",P17="Published",P17="Not suitable"),"",MAX(0,TODAY()-O17))</f>
        <v>0</v>
      </c>
      <c r="U17" s="29">
        <f>IF(B17="","",IF(C17="Not found","Check - content ID not on the calendar",IF(AND(P17="Published",R17=""),"Add - link missing",IF(AND(T17&lt;&gt;"",T17&gt;0),"Overdue - past the deadline",IF(AND(P17="Planned",O17=""),"Add - no deadline set","OK")))))</f>
        <v>0</v>
      </c>
    </row>
    <row r="18" spans="1:21">
      <c r="A18" s="41">
        <f>IF(B18="","","RP-"&amp;TEXT(ROW()-4,"000"))</f>
        <v>0</v>
      </c>
      <c r="C18" s="17">
        <f>IF(B18="","",IFERROR(INDEX('Content Calendar'!$H$5:$H$604,MATCH(B18,'Content Calendar'!$A$5:$A$604,0)),"Not found"))</f>
        <v>0</v>
      </c>
      <c r="D18" s="17">
        <f>IF(B18="","",IFERROR(INDEX('Content Calendar'!$G$5:$G$604,MATCH(B18,'Content Calendar'!$A$5:$A$604,0)),"Not found"))</f>
        <v>0</v>
      </c>
      <c r="E18" s="16">
        <f>IF(B18="","",IFERROR(INDEX('Content Calendar'!$B$5:$B$604,MATCH(B18,'Content Calendar'!$A$5:$A$604,0)),"Not found"))</f>
        <v>0</v>
      </c>
      <c r="F18" s="24">
        <f>IF(B18="","",IFERROR(SUMIFS(Performance!$Z$5:$Z$404,Performance!$B$5:$B$404,B18)/SUMIFS(Performance!$O$5:$O$404,Performance!$B$5:$B$404,B18),""))</f>
        <v>0</v>
      </c>
      <c r="S18" s="23">
        <f>IF(B18="","",COUNTIF(Repurposing!$B$5:$B$154,B18))</f>
        <v>0</v>
      </c>
      <c r="T18" s="23">
        <f>IF(OR(O18="",P18="Published",P18="Not suitable"),"",MAX(0,TODAY()-O18))</f>
        <v>0</v>
      </c>
      <c r="U18" s="29">
        <f>IF(B18="","",IF(C18="Not found","Check - content ID not on the calendar",IF(AND(P18="Published",R18=""),"Add - link missing",IF(AND(T18&lt;&gt;"",T18&gt;0),"Overdue - past the deadline",IF(AND(P18="Planned",O18=""),"Add - no deadline set","OK")))))</f>
        <v>0</v>
      </c>
    </row>
    <row r="19" spans="1:21">
      <c r="A19" s="41">
        <f>IF(B19="","","RP-"&amp;TEXT(ROW()-4,"000"))</f>
        <v>0</v>
      </c>
      <c r="C19" s="17">
        <f>IF(B19="","",IFERROR(INDEX('Content Calendar'!$H$5:$H$604,MATCH(B19,'Content Calendar'!$A$5:$A$604,0)),"Not found"))</f>
        <v>0</v>
      </c>
      <c r="D19" s="17">
        <f>IF(B19="","",IFERROR(INDEX('Content Calendar'!$G$5:$G$604,MATCH(B19,'Content Calendar'!$A$5:$A$604,0)),"Not found"))</f>
        <v>0</v>
      </c>
      <c r="E19" s="16">
        <f>IF(B19="","",IFERROR(INDEX('Content Calendar'!$B$5:$B$604,MATCH(B19,'Content Calendar'!$A$5:$A$604,0)),"Not found"))</f>
        <v>0</v>
      </c>
      <c r="F19" s="24">
        <f>IF(B19="","",IFERROR(SUMIFS(Performance!$Z$5:$Z$404,Performance!$B$5:$B$404,B19)/SUMIFS(Performance!$O$5:$O$404,Performance!$B$5:$B$404,B19),""))</f>
        <v>0</v>
      </c>
      <c r="S19" s="23">
        <f>IF(B19="","",COUNTIF(Repurposing!$B$5:$B$154,B19))</f>
        <v>0</v>
      </c>
      <c r="T19" s="23">
        <f>IF(OR(O19="",P19="Published",P19="Not suitable"),"",MAX(0,TODAY()-O19))</f>
        <v>0</v>
      </c>
      <c r="U19" s="29">
        <f>IF(B19="","",IF(C19="Not found","Check - content ID not on the calendar",IF(AND(P19="Published",R19=""),"Add - link missing",IF(AND(T19&lt;&gt;"",T19&gt;0),"Overdue - past the deadline",IF(AND(P19="Planned",O19=""),"Add - no deadline set","OK")))))</f>
        <v>0</v>
      </c>
    </row>
    <row r="20" spans="1:21">
      <c r="A20" s="41">
        <f>IF(B20="","","RP-"&amp;TEXT(ROW()-4,"000"))</f>
        <v>0</v>
      </c>
      <c r="C20" s="17">
        <f>IF(B20="","",IFERROR(INDEX('Content Calendar'!$H$5:$H$604,MATCH(B20,'Content Calendar'!$A$5:$A$604,0)),"Not found"))</f>
        <v>0</v>
      </c>
      <c r="D20" s="17">
        <f>IF(B20="","",IFERROR(INDEX('Content Calendar'!$G$5:$G$604,MATCH(B20,'Content Calendar'!$A$5:$A$604,0)),"Not found"))</f>
        <v>0</v>
      </c>
      <c r="E20" s="16">
        <f>IF(B20="","",IFERROR(INDEX('Content Calendar'!$B$5:$B$604,MATCH(B20,'Content Calendar'!$A$5:$A$604,0)),"Not found"))</f>
        <v>0</v>
      </c>
      <c r="F20" s="24">
        <f>IF(B20="","",IFERROR(SUMIFS(Performance!$Z$5:$Z$404,Performance!$B$5:$B$404,B20)/SUMIFS(Performance!$O$5:$O$404,Performance!$B$5:$B$404,B20),""))</f>
        <v>0</v>
      </c>
      <c r="S20" s="23">
        <f>IF(B20="","",COUNTIF(Repurposing!$B$5:$B$154,B20))</f>
        <v>0</v>
      </c>
      <c r="T20" s="23">
        <f>IF(OR(O20="",P20="Published",P20="Not suitable"),"",MAX(0,TODAY()-O20))</f>
        <v>0</v>
      </c>
      <c r="U20" s="29">
        <f>IF(B20="","",IF(C20="Not found","Check - content ID not on the calendar",IF(AND(P20="Published",R20=""),"Add - link missing",IF(AND(T20&lt;&gt;"",T20&gt;0),"Overdue - past the deadline",IF(AND(P20="Planned",O20=""),"Add - no deadline set","OK")))))</f>
        <v>0</v>
      </c>
    </row>
    <row r="21" spans="1:21">
      <c r="A21" s="41">
        <f>IF(B21="","","RP-"&amp;TEXT(ROW()-4,"000"))</f>
        <v>0</v>
      </c>
      <c r="C21" s="17">
        <f>IF(B21="","",IFERROR(INDEX('Content Calendar'!$H$5:$H$604,MATCH(B21,'Content Calendar'!$A$5:$A$604,0)),"Not found"))</f>
        <v>0</v>
      </c>
      <c r="D21" s="17">
        <f>IF(B21="","",IFERROR(INDEX('Content Calendar'!$G$5:$G$604,MATCH(B21,'Content Calendar'!$A$5:$A$604,0)),"Not found"))</f>
        <v>0</v>
      </c>
      <c r="E21" s="16">
        <f>IF(B21="","",IFERROR(INDEX('Content Calendar'!$B$5:$B$604,MATCH(B21,'Content Calendar'!$A$5:$A$604,0)),"Not found"))</f>
        <v>0</v>
      </c>
      <c r="F21" s="24">
        <f>IF(B21="","",IFERROR(SUMIFS(Performance!$Z$5:$Z$404,Performance!$B$5:$B$404,B21)/SUMIFS(Performance!$O$5:$O$404,Performance!$B$5:$B$404,B21),""))</f>
        <v>0</v>
      </c>
      <c r="S21" s="23">
        <f>IF(B21="","",COUNTIF(Repurposing!$B$5:$B$154,B21))</f>
        <v>0</v>
      </c>
      <c r="T21" s="23">
        <f>IF(OR(O21="",P21="Published",P21="Not suitable"),"",MAX(0,TODAY()-O21))</f>
        <v>0</v>
      </c>
      <c r="U21" s="29">
        <f>IF(B21="","",IF(C21="Not found","Check - content ID not on the calendar",IF(AND(P21="Published",R21=""),"Add - link missing",IF(AND(T21&lt;&gt;"",T21&gt;0),"Overdue - past the deadline",IF(AND(P21="Planned",O21=""),"Add - no deadline set","OK")))))</f>
        <v>0</v>
      </c>
    </row>
    <row r="22" spans="1:21">
      <c r="A22" s="41">
        <f>IF(B22="","","RP-"&amp;TEXT(ROW()-4,"000"))</f>
        <v>0</v>
      </c>
      <c r="C22" s="17">
        <f>IF(B22="","",IFERROR(INDEX('Content Calendar'!$H$5:$H$604,MATCH(B22,'Content Calendar'!$A$5:$A$604,0)),"Not found"))</f>
        <v>0</v>
      </c>
      <c r="D22" s="17">
        <f>IF(B22="","",IFERROR(INDEX('Content Calendar'!$G$5:$G$604,MATCH(B22,'Content Calendar'!$A$5:$A$604,0)),"Not found"))</f>
        <v>0</v>
      </c>
      <c r="E22" s="16">
        <f>IF(B22="","",IFERROR(INDEX('Content Calendar'!$B$5:$B$604,MATCH(B22,'Content Calendar'!$A$5:$A$604,0)),"Not found"))</f>
        <v>0</v>
      </c>
      <c r="F22" s="24">
        <f>IF(B22="","",IFERROR(SUMIFS(Performance!$Z$5:$Z$404,Performance!$B$5:$B$404,B22)/SUMIFS(Performance!$O$5:$O$404,Performance!$B$5:$B$404,B22),""))</f>
        <v>0</v>
      </c>
      <c r="S22" s="23">
        <f>IF(B22="","",COUNTIF(Repurposing!$B$5:$B$154,B22))</f>
        <v>0</v>
      </c>
      <c r="T22" s="23">
        <f>IF(OR(O22="",P22="Published",P22="Not suitable"),"",MAX(0,TODAY()-O22))</f>
        <v>0</v>
      </c>
      <c r="U22" s="29">
        <f>IF(B22="","",IF(C22="Not found","Check - content ID not on the calendar",IF(AND(P22="Published",R22=""),"Add - link missing",IF(AND(T22&lt;&gt;"",T22&gt;0),"Overdue - past the deadline",IF(AND(P22="Planned",O22=""),"Add - no deadline set","OK")))))</f>
        <v>0</v>
      </c>
    </row>
    <row r="23" spans="1:21">
      <c r="A23" s="41">
        <f>IF(B23="","","RP-"&amp;TEXT(ROW()-4,"000"))</f>
        <v>0</v>
      </c>
      <c r="C23" s="17">
        <f>IF(B23="","",IFERROR(INDEX('Content Calendar'!$H$5:$H$604,MATCH(B23,'Content Calendar'!$A$5:$A$604,0)),"Not found"))</f>
        <v>0</v>
      </c>
      <c r="D23" s="17">
        <f>IF(B23="","",IFERROR(INDEX('Content Calendar'!$G$5:$G$604,MATCH(B23,'Content Calendar'!$A$5:$A$604,0)),"Not found"))</f>
        <v>0</v>
      </c>
      <c r="E23" s="16">
        <f>IF(B23="","",IFERROR(INDEX('Content Calendar'!$B$5:$B$604,MATCH(B23,'Content Calendar'!$A$5:$A$604,0)),"Not found"))</f>
        <v>0</v>
      </c>
      <c r="F23" s="24">
        <f>IF(B23="","",IFERROR(SUMIFS(Performance!$Z$5:$Z$404,Performance!$B$5:$B$404,B23)/SUMIFS(Performance!$O$5:$O$404,Performance!$B$5:$B$404,B23),""))</f>
        <v>0</v>
      </c>
      <c r="S23" s="23">
        <f>IF(B23="","",COUNTIF(Repurposing!$B$5:$B$154,B23))</f>
        <v>0</v>
      </c>
      <c r="T23" s="23">
        <f>IF(OR(O23="",P23="Published",P23="Not suitable"),"",MAX(0,TODAY()-O23))</f>
        <v>0</v>
      </c>
      <c r="U23" s="29">
        <f>IF(B23="","",IF(C23="Not found","Check - content ID not on the calendar",IF(AND(P23="Published",R23=""),"Add - link missing",IF(AND(T23&lt;&gt;"",T23&gt;0),"Overdue - past the deadline",IF(AND(P23="Planned",O23=""),"Add - no deadline set","OK")))))</f>
        <v>0</v>
      </c>
    </row>
    <row r="24" spans="1:21">
      <c r="A24" s="41">
        <f>IF(B24="","","RP-"&amp;TEXT(ROW()-4,"000"))</f>
        <v>0</v>
      </c>
      <c r="C24" s="17">
        <f>IF(B24="","",IFERROR(INDEX('Content Calendar'!$H$5:$H$604,MATCH(B24,'Content Calendar'!$A$5:$A$604,0)),"Not found"))</f>
        <v>0</v>
      </c>
      <c r="D24" s="17">
        <f>IF(B24="","",IFERROR(INDEX('Content Calendar'!$G$5:$G$604,MATCH(B24,'Content Calendar'!$A$5:$A$604,0)),"Not found"))</f>
        <v>0</v>
      </c>
      <c r="E24" s="16">
        <f>IF(B24="","",IFERROR(INDEX('Content Calendar'!$B$5:$B$604,MATCH(B24,'Content Calendar'!$A$5:$A$604,0)),"Not found"))</f>
        <v>0</v>
      </c>
      <c r="F24" s="24">
        <f>IF(B24="","",IFERROR(SUMIFS(Performance!$Z$5:$Z$404,Performance!$B$5:$B$404,B24)/SUMIFS(Performance!$O$5:$O$404,Performance!$B$5:$B$404,B24),""))</f>
        <v>0</v>
      </c>
      <c r="S24" s="23">
        <f>IF(B24="","",COUNTIF(Repurposing!$B$5:$B$154,B24))</f>
        <v>0</v>
      </c>
      <c r="T24" s="23">
        <f>IF(OR(O24="",P24="Published",P24="Not suitable"),"",MAX(0,TODAY()-O24))</f>
        <v>0</v>
      </c>
      <c r="U24" s="29">
        <f>IF(B24="","",IF(C24="Not found","Check - content ID not on the calendar",IF(AND(P24="Published",R24=""),"Add - link missing",IF(AND(T24&lt;&gt;"",T24&gt;0),"Overdue - past the deadline",IF(AND(P24="Planned",O24=""),"Add - no deadline set","OK")))))</f>
        <v>0</v>
      </c>
    </row>
    <row r="25" spans="1:21">
      <c r="A25" s="41">
        <f>IF(B25="","","RP-"&amp;TEXT(ROW()-4,"000"))</f>
        <v>0</v>
      </c>
      <c r="C25" s="17">
        <f>IF(B25="","",IFERROR(INDEX('Content Calendar'!$H$5:$H$604,MATCH(B25,'Content Calendar'!$A$5:$A$604,0)),"Not found"))</f>
        <v>0</v>
      </c>
      <c r="D25" s="17">
        <f>IF(B25="","",IFERROR(INDEX('Content Calendar'!$G$5:$G$604,MATCH(B25,'Content Calendar'!$A$5:$A$604,0)),"Not found"))</f>
        <v>0</v>
      </c>
      <c r="E25" s="16">
        <f>IF(B25="","",IFERROR(INDEX('Content Calendar'!$B$5:$B$604,MATCH(B25,'Content Calendar'!$A$5:$A$604,0)),"Not found"))</f>
        <v>0</v>
      </c>
      <c r="F25" s="24">
        <f>IF(B25="","",IFERROR(SUMIFS(Performance!$Z$5:$Z$404,Performance!$B$5:$B$404,B25)/SUMIFS(Performance!$O$5:$O$404,Performance!$B$5:$B$404,B25),""))</f>
        <v>0</v>
      </c>
      <c r="S25" s="23">
        <f>IF(B25="","",COUNTIF(Repurposing!$B$5:$B$154,B25))</f>
        <v>0</v>
      </c>
      <c r="T25" s="23">
        <f>IF(OR(O25="",P25="Published",P25="Not suitable"),"",MAX(0,TODAY()-O25))</f>
        <v>0</v>
      </c>
      <c r="U25" s="29">
        <f>IF(B25="","",IF(C25="Not found","Check - content ID not on the calendar",IF(AND(P25="Published",R25=""),"Add - link missing",IF(AND(T25&lt;&gt;"",T25&gt;0),"Overdue - past the deadline",IF(AND(P25="Planned",O25=""),"Add - no deadline set","OK")))))</f>
        <v>0</v>
      </c>
    </row>
    <row r="26" spans="1:21">
      <c r="A26" s="41">
        <f>IF(B26="","","RP-"&amp;TEXT(ROW()-4,"000"))</f>
        <v>0</v>
      </c>
      <c r="C26" s="17">
        <f>IF(B26="","",IFERROR(INDEX('Content Calendar'!$H$5:$H$604,MATCH(B26,'Content Calendar'!$A$5:$A$604,0)),"Not found"))</f>
        <v>0</v>
      </c>
      <c r="D26" s="17">
        <f>IF(B26="","",IFERROR(INDEX('Content Calendar'!$G$5:$G$604,MATCH(B26,'Content Calendar'!$A$5:$A$604,0)),"Not found"))</f>
        <v>0</v>
      </c>
      <c r="E26" s="16">
        <f>IF(B26="","",IFERROR(INDEX('Content Calendar'!$B$5:$B$604,MATCH(B26,'Content Calendar'!$A$5:$A$604,0)),"Not found"))</f>
        <v>0</v>
      </c>
      <c r="F26" s="24">
        <f>IF(B26="","",IFERROR(SUMIFS(Performance!$Z$5:$Z$404,Performance!$B$5:$B$404,B26)/SUMIFS(Performance!$O$5:$O$404,Performance!$B$5:$B$404,B26),""))</f>
        <v>0</v>
      </c>
      <c r="S26" s="23">
        <f>IF(B26="","",COUNTIF(Repurposing!$B$5:$B$154,B26))</f>
        <v>0</v>
      </c>
      <c r="T26" s="23">
        <f>IF(OR(O26="",P26="Published",P26="Not suitable"),"",MAX(0,TODAY()-O26))</f>
        <v>0</v>
      </c>
      <c r="U26" s="29">
        <f>IF(B26="","",IF(C26="Not found","Check - content ID not on the calendar",IF(AND(P26="Published",R26=""),"Add - link missing",IF(AND(T26&lt;&gt;"",T26&gt;0),"Overdue - past the deadline",IF(AND(P26="Planned",O26=""),"Add - no deadline set","OK")))))</f>
        <v>0</v>
      </c>
    </row>
    <row r="27" spans="1:21">
      <c r="A27" s="41">
        <f>IF(B27="","","RP-"&amp;TEXT(ROW()-4,"000"))</f>
        <v>0</v>
      </c>
      <c r="C27" s="17">
        <f>IF(B27="","",IFERROR(INDEX('Content Calendar'!$H$5:$H$604,MATCH(B27,'Content Calendar'!$A$5:$A$604,0)),"Not found"))</f>
        <v>0</v>
      </c>
      <c r="D27" s="17">
        <f>IF(B27="","",IFERROR(INDEX('Content Calendar'!$G$5:$G$604,MATCH(B27,'Content Calendar'!$A$5:$A$604,0)),"Not found"))</f>
        <v>0</v>
      </c>
      <c r="E27" s="16">
        <f>IF(B27="","",IFERROR(INDEX('Content Calendar'!$B$5:$B$604,MATCH(B27,'Content Calendar'!$A$5:$A$604,0)),"Not found"))</f>
        <v>0</v>
      </c>
      <c r="F27" s="24">
        <f>IF(B27="","",IFERROR(SUMIFS(Performance!$Z$5:$Z$404,Performance!$B$5:$B$404,B27)/SUMIFS(Performance!$O$5:$O$404,Performance!$B$5:$B$404,B27),""))</f>
        <v>0</v>
      </c>
      <c r="S27" s="23">
        <f>IF(B27="","",COUNTIF(Repurposing!$B$5:$B$154,B27))</f>
        <v>0</v>
      </c>
      <c r="T27" s="23">
        <f>IF(OR(O27="",P27="Published",P27="Not suitable"),"",MAX(0,TODAY()-O27))</f>
        <v>0</v>
      </c>
      <c r="U27" s="29">
        <f>IF(B27="","",IF(C27="Not found","Check - content ID not on the calendar",IF(AND(P27="Published",R27=""),"Add - link missing",IF(AND(T27&lt;&gt;"",T27&gt;0),"Overdue - past the deadline",IF(AND(P27="Planned",O27=""),"Add - no deadline set","OK")))))</f>
        <v>0</v>
      </c>
    </row>
    <row r="28" spans="1:21">
      <c r="A28" s="41">
        <f>IF(B28="","","RP-"&amp;TEXT(ROW()-4,"000"))</f>
        <v>0</v>
      </c>
      <c r="C28" s="17">
        <f>IF(B28="","",IFERROR(INDEX('Content Calendar'!$H$5:$H$604,MATCH(B28,'Content Calendar'!$A$5:$A$604,0)),"Not found"))</f>
        <v>0</v>
      </c>
      <c r="D28" s="17">
        <f>IF(B28="","",IFERROR(INDEX('Content Calendar'!$G$5:$G$604,MATCH(B28,'Content Calendar'!$A$5:$A$604,0)),"Not found"))</f>
        <v>0</v>
      </c>
      <c r="E28" s="16">
        <f>IF(B28="","",IFERROR(INDEX('Content Calendar'!$B$5:$B$604,MATCH(B28,'Content Calendar'!$A$5:$A$604,0)),"Not found"))</f>
        <v>0</v>
      </c>
      <c r="F28" s="24">
        <f>IF(B28="","",IFERROR(SUMIFS(Performance!$Z$5:$Z$404,Performance!$B$5:$B$404,B28)/SUMIFS(Performance!$O$5:$O$404,Performance!$B$5:$B$404,B28),""))</f>
        <v>0</v>
      </c>
      <c r="S28" s="23">
        <f>IF(B28="","",COUNTIF(Repurposing!$B$5:$B$154,B28))</f>
        <v>0</v>
      </c>
      <c r="T28" s="23">
        <f>IF(OR(O28="",P28="Published",P28="Not suitable"),"",MAX(0,TODAY()-O28))</f>
        <v>0</v>
      </c>
      <c r="U28" s="29">
        <f>IF(B28="","",IF(C28="Not found","Check - content ID not on the calendar",IF(AND(P28="Published",R28=""),"Add - link missing",IF(AND(T28&lt;&gt;"",T28&gt;0),"Overdue - past the deadline",IF(AND(P28="Planned",O28=""),"Add - no deadline set","OK")))))</f>
        <v>0</v>
      </c>
    </row>
    <row r="29" spans="1:21">
      <c r="A29" s="41">
        <f>IF(B29="","","RP-"&amp;TEXT(ROW()-4,"000"))</f>
        <v>0</v>
      </c>
      <c r="C29" s="17">
        <f>IF(B29="","",IFERROR(INDEX('Content Calendar'!$H$5:$H$604,MATCH(B29,'Content Calendar'!$A$5:$A$604,0)),"Not found"))</f>
        <v>0</v>
      </c>
      <c r="D29" s="17">
        <f>IF(B29="","",IFERROR(INDEX('Content Calendar'!$G$5:$G$604,MATCH(B29,'Content Calendar'!$A$5:$A$604,0)),"Not found"))</f>
        <v>0</v>
      </c>
      <c r="E29" s="16">
        <f>IF(B29="","",IFERROR(INDEX('Content Calendar'!$B$5:$B$604,MATCH(B29,'Content Calendar'!$A$5:$A$604,0)),"Not found"))</f>
        <v>0</v>
      </c>
      <c r="F29" s="24">
        <f>IF(B29="","",IFERROR(SUMIFS(Performance!$Z$5:$Z$404,Performance!$B$5:$B$404,B29)/SUMIFS(Performance!$O$5:$O$404,Performance!$B$5:$B$404,B29),""))</f>
        <v>0</v>
      </c>
      <c r="S29" s="23">
        <f>IF(B29="","",COUNTIF(Repurposing!$B$5:$B$154,B29))</f>
        <v>0</v>
      </c>
      <c r="T29" s="23">
        <f>IF(OR(O29="",P29="Published",P29="Not suitable"),"",MAX(0,TODAY()-O29))</f>
        <v>0</v>
      </c>
      <c r="U29" s="29">
        <f>IF(B29="","",IF(C29="Not found","Check - content ID not on the calendar",IF(AND(P29="Published",R29=""),"Add - link missing",IF(AND(T29&lt;&gt;"",T29&gt;0),"Overdue - past the deadline",IF(AND(P29="Planned",O29=""),"Add - no deadline set","OK")))))</f>
        <v>0</v>
      </c>
    </row>
    <row r="30" spans="1:21">
      <c r="A30" s="41">
        <f>IF(B30="","","RP-"&amp;TEXT(ROW()-4,"000"))</f>
        <v>0</v>
      </c>
      <c r="C30" s="17">
        <f>IF(B30="","",IFERROR(INDEX('Content Calendar'!$H$5:$H$604,MATCH(B30,'Content Calendar'!$A$5:$A$604,0)),"Not found"))</f>
        <v>0</v>
      </c>
      <c r="D30" s="17">
        <f>IF(B30="","",IFERROR(INDEX('Content Calendar'!$G$5:$G$604,MATCH(B30,'Content Calendar'!$A$5:$A$604,0)),"Not found"))</f>
        <v>0</v>
      </c>
      <c r="E30" s="16">
        <f>IF(B30="","",IFERROR(INDEX('Content Calendar'!$B$5:$B$604,MATCH(B30,'Content Calendar'!$A$5:$A$604,0)),"Not found"))</f>
        <v>0</v>
      </c>
      <c r="F30" s="24">
        <f>IF(B30="","",IFERROR(SUMIFS(Performance!$Z$5:$Z$404,Performance!$B$5:$B$404,B30)/SUMIFS(Performance!$O$5:$O$404,Performance!$B$5:$B$404,B30),""))</f>
        <v>0</v>
      </c>
      <c r="S30" s="23">
        <f>IF(B30="","",COUNTIF(Repurposing!$B$5:$B$154,B30))</f>
        <v>0</v>
      </c>
      <c r="T30" s="23">
        <f>IF(OR(O30="",P30="Published",P30="Not suitable"),"",MAX(0,TODAY()-O30))</f>
        <v>0</v>
      </c>
      <c r="U30" s="29">
        <f>IF(B30="","",IF(C30="Not found","Check - content ID not on the calendar",IF(AND(P30="Published",R30=""),"Add - link missing",IF(AND(T30&lt;&gt;"",T30&gt;0),"Overdue - past the deadline",IF(AND(P30="Planned",O30=""),"Add - no deadline set","OK")))))</f>
        <v>0</v>
      </c>
    </row>
    <row r="31" spans="1:21">
      <c r="A31" s="41">
        <f>IF(B31="","","RP-"&amp;TEXT(ROW()-4,"000"))</f>
        <v>0</v>
      </c>
      <c r="C31" s="17">
        <f>IF(B31="","",IFERROR(INDEX('Content Calendar'!$H$5:$H$604,MATCH(B31,'Content Calendar'!$A$5:$A$604,0)),"Not found"))</f>
        <v>0</v>
      </c>
      <c r="D31" s="17">
        <f>IF(B31="","",IFERROR(INDEX('Content Calendar'!$G$5:$G$604,MATCH(B31,'Content Calendar'!$A$5:$A$604,0)),"Not found"))</f>
        <v>0</v>
      </c>
      <c r="E31" s="16">
        <f>IF(B31="","",IFERROR(INDEX('Content Calendar'!$B$5:$B$604,MATCH(B31,'Content Calendar'!$A$5:$A$604,0)),"Not found"))</f>
        <v>0</v>
      </c>
      <c r="F31" s="24">
        <f>IF(B31="","",IFERROR(SUMIFS(Performance!$Z$5:$Z$404,Performance!$B$5:$B$404,B31)/SUMIFS(Performance!$O$5:$O$404,Performance!$B$5:$B$404,B31),""))</f>
        <v>0</v>
      </c>
      <c r="S31" s="23">
        <f>IF(B31="","",COUNTIF(Repurposing!$B$5:$B$154,B31))</f>
        <v>0</v>
      </c>
      <c r="T31" s="23">
        <f>IF(OR(O31="",P31="Published",P31="Not suitable"),"",MAX(0,TODAY()-O31))</f>
        <v>0</v>
      </c>
      <c r="U31" s="29">
        <f>IF(B31="","",IF(C31="Not found","Check - content ID not on the calendar",IF(AND(P31="Published",R31=""),"Add - link missing",IF(AND(T31&lt;&gt;"",T31&gt;0),"Overdue - past the deadline",IF(AND(P31="Planned",O31=""),"Add - no deadline set","OK")))))</f>
        <v>0</v>
      </c>
    </row>
    <row r="32" spans="1:21">
      <c r="A32" s="41">
        <f>IF(B32="","","RP-"&amp;TEXT(ROW()-4,"000"))</f>
        <v>0</v>
      </c>
      <c r="C32" s="17">
        <f>IF(B32="","",IFERROR(INDEX('Content Calendar'!$H$5:$H$604,MATCH(B32,'Content Calendar'!$A$5:$A$604,0)),"Not found"))</f>
        <v>0</v>
      </c>
      <c r="D32" s="17">
        <f>IF(B32="","",IFERROR(INDEX('Content Calendar'!$G$5:$G$604,MATCH(B32,'Content Calendar'!$A$5:$A$604,0)),"Not found"))</f>
        <v>0</v>
      </c>
      <c r="E32" s="16">
        <f>IF(B32="","",IFERROR(INDEX('Content Calendar'!$B$5:$B$604,MATCH(B32,'Content Calendar'!$A$5:$A$604,0)),"Not found"))</f>
        <v>0</v>
      </c>
      <c r="F32" s="24">
        <f>IF(B32="","",IFERROR(SUMIFS(Performance!$Z$5:$Z$404,Performance!$B$5:$B$404,B32)/SUMIFS(Performance!$O$5:$O$404,Performance!$B$5:$B$404,B32),""))</f>
        <v>0</v>
      </c>
      <c r="S32" s="23">
        <f>IF(B32="","",COUNTIF(Repurposing!$B$5:$B$154,B32))</f>
        <v>0</v>
      </c>
      <c r="T32" s="23">
        <f>IF(OR(O32="",P32="Published",P32="Not suitable"),"",MAX(0,TODAY()-O32))</f>
        <v>0</v>
      </c>
      <c r="U32" s="29">
        <f>IF(B32="","",IF(C32="Not found","Check - content ID not on the calendar",IF(AND(P32="Published",R32=""),"Add - link missing",IF(AND(T32&lt;&gt;"",T32&gt;0),"Overdue - past the deadline",IF(AND(P32="Planned",O32=""),"Add - no deadline set","OK")))))</f>
        <v>0</v>
      </c>
    </row>
    <row r="33" spans="1:21">
      <c r="A33" s="41">
        <f>IF(B33="","","RP-"&amp;TEXT(ROW()-4,"000"))</f>
        <v>0</v>
      </c>
      <c r="C33" s="17">
        <f>IF(B33="","",IFERROR(INDEX('Content Calendar'!$H$5:$H$604,MATCH(B33,'Content Calendar'!$A$5:$A$604,0)),"Not found"))</f>
        <v>0</v>
      </c>
      <c r="D33" s="17">
        <f>IF(B33="","",IFERROR(INDEX('Content Calendar'!$G$5:$G$604,MATCH(B33,'Content Calendar'!$A$5:$A$604,0)),"Not found"))</f>
        <v>0</v>
      </c>
      <c r="E33" s="16">
        <f>IF(B33="","",IFERROR(INDEX('Content Calendar'!$B$5:$B$604,MATCH(B33,'Content Calendar'!$A$5:$A$604,0)),"Not found"))</f>
        <v>0</v>
      </c>
      <c r="F33" s="24">
        <f>IF(B33="","",IFERROR(SUMIFS(Performance!$Z$5:$Z$404,Performance!$B$5:$B$404,B33)/SUMIFS(Performance!$O$5:$O$404,Performance!$B$5:$B$404,B33),""))</f>
        <v>0</v>
      </c>
      <c r="S33" s="23">
        <f>IF(B33="","",COUNTIF(Repurposing!$B$5:$B$154,B33))</f>
        <v>0</v>
      </c>
      <c r="T33" s="23">
        <f>IF(OR(O33="",P33="Published",P33="Not suitable"),"",MAX(0,TODAY()-O33))</f>
        <v>0</v>
      </c>
      <c r="U33" s="29">
        <f>IF(B33="","",IF(C33="Not found","Check - content ID not on the calendar",IF(AND(P33="Published",R33=""),"Add - link missing",IF(AND(T33&lt;&gt;"",T33&gt;0),"Overdue - past the deadline",IF(AND(P33="Planned",O33=""),"Add - no deadline set","OK")))))</f>
        <v>0</v>
      </c>
    </row>
    <row r="34" spans="1:21">
      <c r="A34" s="41">
        <f>IF(B34="","","RP-"&amp;TEXT(ROW()-4,"000"))</f>
        <v>0</v>
      </c>
      <c r="C34" s="17">
        <f>IF(B34="","",IFERROR(INDEX('Content Calendar'!$H$5:$H$604,MATCH(B34,'Content Calendar'!$A$5:$A$604,0)),"Not found"))</f>
        <v>0</v>
      </c>
      <c r="D34" s="17">
        <f>IF(B34="","",IFERROR(INDEX('Content Calendar'!$G$5:$G$604,MATCH(B34,'Content Calendar'!$A$5:$A$604,0)),"Not found"))</f>
        <v>0</v>
      </c>
      <c r="E34" s="16">
        <f>IF(B34="","",IFERROR(INDEX('Content Calendar'!$B$5:$B$604,MATCH(B34,'Content Calendar'!$A$5:$A$604,0)),"Not found"))</f>
        <v>0</v>
      </c>
      <c r="F34" s="24">
        <f>IF(B34="","",IFERROR(SUMIFS(Performance!$Z$5:$Z$404,Performance!$B$5:$B$404,B34)/SUMIFS(Performance!$O$5:$O$404,Performance!$B$5:$B$404,B34),""))</f>
        <v>0</v>
      </c>
      <c r="S34" s="23">
        <f>IF(B34="","",COUNTIF(Repurposing!$B$5:$B$154,B34))</f>
        <v>0</v>
      </c>
      <c r="T34" s="23">
        <f>IF(OR(O34="",P34="Published",P34="Not suitable"),"",MAX(0,TODAY()-O34))</f>
        <v>0</v>
      </c>
      <c r="U34" s="29">
        <f>IF(B34="","",IF(C34="Not found","Check - content ID not on the calendar",IF(AND(P34="Published",R34=""),"Add - link missing",IF(AND(T34&lt;&gt;"",T34&gt;0),"Overdue - past the deadline",IF(AND(P34="Planned",O34=""),"Add - no deadline set","OK")))))</f>
        <v>0</v>
      </c>
    </row>
    <row r="35" spans="1:21">
      <c r="A35" s="41">
        <f>IF(B35="","","RP-"&amp;TEXT(ROW()-4,"000"))</f>
        <v>0</v>
      </c>
      <c r="C35" s="17">
        <f>IF(B35="","",IFERROR(INDEX('Content Calendar'!$H$5:$H$604,MATCH(B35,'Content Calendar'!$A$5:$A$604,0)),"Not found"))</f>
        <v>0</v>
      </c>
      <c r="D35" s="17">
        <f>IF(B35="","",IFERROR(INDEX('Content Calendar'!$G$5:$G$604,MATCH(B35,'Content Calendar'!$A$5:$A$604,0)),"Not found"))</f>
        <v>0</v>
      </c>
      <c r="E35" s="16">
        <f>IF(B35="","",IFERROR(INDEX('Content Calendar'!$B$5:$B$604,MATCH(B35,'Content Calendar'!$A$5:$A$604,0)),"Not found"))</f>
        <v>0</v>
      </c>
      <c r="F35" s="24">
        <f>IF(B35="","",IFERROR(SUMIFS(Performance!$Z$5:$Z$404,Performance!$B$5:$B$404,B35)/SUMIFS(Performance!$O$5:$O$404,Performance!$B$5:$B$404,B35),""))</f>
        <v>0</v>
      </c>
      <c r="S35" s="23">
        <f>IF(B35="","",COUNTIF(Repurposing!$B$5:$B$154,B35))</f>
        <v>0</v>
      </c>
      <c r="T35" s="23">
        <f>IF(OR(O35="",P35="Published",P35="Not suitable"),"",MAX(0,TODAY()-O35))</f>
        <v>0</v>
      </c>
      <c r="U35" s="29">
        <f>IF(B35="","",IF(C35="Not found","Check - content ID not on the calendar",IF(AND(P35="Published",R35=""),"Add - link missing",IF(AND(T35&lt;&gt;"",T35&gt;0),"Overdue - past the deadline",IF(AND(P35="Planned",O35=""),"Add - no deadline set","OK")))))</f>
        <v>0</v>
      </c>
    </row>
    <row r="36" spans="1:21">
      <c r="A36" s="41">
        <f>IF(B36="","","RP-"&amp;TEXT(ROW()-4,"000"))</f>
        <v>0</v>
      </c>
      <c r="C36" s="17">
        <f>IF(B36="","",IFERROR(INDEX('Content Calendar'!$H$5:$H$604,MATCH(B36,'Content Calendar'!$A$5:$A$604,0)),"Not found"))</f>
        <v>0</v>
      </c>
      <c r="D36" s="17">
        <f>IF(B36="","",IFERROR(INDEX('Content Calendar'!$G$5:$G$604,MATCH(B36,'Content Calendar'!$A$5:$A$604,0)),"Not found"))</f>
        <v>0</v>
      </c>
      <c r="E36" s="16">
        <f>IF(B36="","",IFERROR(INDEX('Content Calendar'!$B$5:$B$604,MATCH(B36,'Content Calendar'!$A$5:$A$604,0)),"Not found"))</f>
        <v>0</v>
      </c>
      <c r="F36" s="24">
        <f>IF(B36="","",IFERROR(SUMIFS(Performance!$Z$5:$Z$404,Performance!$B$5:$B$404,B36)/SUMIFS(Performance!$O$5:$O$404,Performance!$B$5:$B$404,B36),""))</f>
        <v>0</v>
      </c>
      <c r="S36" s="23">
        <f>IF(B36="","",COUNTIF(Repurposing!$B$5:$B$154,B36))</f>
        <v>0</v>
      </c>
      <c r="T36" s="23">
        <f>IF(OR(O36="",P36="Published",P36="Not suitable"),"",MAX(0,TODAY()-O36))</f>
        <v>0</v>
      </c>
      <c r="U36" s="29">
        <f>IF(B36="","",IF(C36="Not found","Check - content ID not on the calendar",IF(AND(P36="Published",R36=""),"Add - link missing",IF(AND(T36&lt;&gt;"",T36&gt;0),"Overdue - past the deadline",IF(AND(P36="Planned",O36=""),"Add - no deadline set","OK")))))</f>
        <v>0</v>
      </c>
    </row>
    <row r="37" spans="1:21">
      <c r="A37" s="41">
        <f>IF(B37="","","RP-"&amp;TEXT(ROW()-4,"000"))</f>
        <v>0</v>
      </c>
      <c r="C37" s="17">
        <f>IF(B37="","",IFERROR(INDEX('Content Calendar'!$H$5:$H$604,MATCH(B37,'Content Calendar'!$A$5:$A$604,0)),"Not found"))</f>
        <v>0</v>
      </c>
      <c r="D37" s="17">
        <f>IF(B37="","",IFERROR(INDEX('Content Calendar'!$G$5:$G$604,MATCH(B37,'Content Calendar'!$A$5:$A$604,0)),"Not found"))</f>
        <v>0</v>
      </c>
      <c r="E37" s="16">
        <f>IF(B37="","",IFERROR(INDEX('Content Calendar'!$B$5:$B$604,MATCH(B37,'Content Calendar'!$A$5:$A$604,0)),"Not found"))</f>
        <v>0</v>
      </c>
      <c r="F37" s="24">
        <f>IF(B37="","",IFERROR(SUMIFS(Performance!$Z$5:$Z$404,Performance!$B$5:$B$404,B37)/SUMIFS(Performance!$O$5:$O$404,Performance!$B$5:$B$404,B37),""))</f>
        <v>0</v>
      </c>
      <c r="S37" s="23">
        <f>IF(B37="","",COUNTIF(Repurposing!$B$5:$B$154,B37))</f>
        <v>0</v>
      </c>
      <c r="T37" s="23">
        <f>IF(OR(O37="",P37="Published",P37="Not suitable"),"",MAX(0,TODAY()-O37))</f>
        <v>0</v>
      </c>
      <c r="U37" s="29">
        <f>IF(B37="","",IF(C37="Not found","Check - content ID not on the calendar",IF(AND(P37="Published",R37=""),"Add - link missing",IF(AND(T37&lt;&gt;"",T37&gt;0),"Overdue - past the deadline",IF(AND(P37="Planned",O37=""),"Add - no deadline set","OK")))))</f>
        <v>0</v>
      </c>
    </row>
    <row r="38" spans="1:21">
      <c r="A38" s="41">
        <f>IF(B38="","","RP-"&amp;TEXT(ROW()-4,"000"))</f>
        <v>0</v>
      </c>
      <c r="C38" s="17">
        <f>IF(B38="","",IFERROR(INDEX('Content Calendar'!$H$5:$H$604,MATCH(B38,'Content Calendar'!$A$5:$A$604,0)),"Not found"))</f>
        <v>0</v>
      </c>
      <c r="D38" s="17">
        <f>IF(B38="","",IFERROR(INDEX('Content Calendar'!$G$5:$G$604,MATCH(B38,'Content Calendar'!$A$5:$A$604,0)),"Not found"))</f>
        <v>0</v>
      </c>
      <c r="E38" s="16">
        <f>IF(B38="","",IFERROR(INDEX('Content Calendar'!$B$5:$B$604,MATCH(B38,'Content Calendar'!$A$5:$A$604,0)),"Not found"))</f>
        <v>0</v>
      </c>
      <c r="F38" s="24">
        <f>IF(B38="","",IFERROR(SUMIFS(Performance!$Z$5:$Z$404,Performance!$B$5:$B$404,B38)/SUMIFS(Performance!$O$5:$O$404,Performance!$B$5:$B$404,B38),""))</f>
        <v>0</v>
      </c>
      <c r="S38" s="23">
        <f>IF(B38="","",COUNTIF(Repurposing!$B$5:$B$154,B38))</f>
        <v>0</v>
      </c>
      <c r="T38" s="23">
        <f>IF(OR(O38="",P38="Published",P38="Not suitable"),"",MAX(0,TODAY()-O38))</f>
        <v>0</v>
      </c>
      <c r="U38" s="29">
        <f>IF(B38="","",IF(C38="Not found","Check - content ID not on the calendar",IF(AND(P38="Published",R38=""),"Add - link missing",IF(AND(T38&lt;&gt;"",T38&gt;0),"Overdue - past the deadline",IF(AND(P38="Planned",O38=""),"Add - no deadline set","OK")))))</f>
        <v>0</v>
      </c>
    </row>
    <row r="39" spans="1:21">
      <c r="A39" s="41">
        <f>IF(B39="","","RP-"&amp;TEXT(ROW()-4,"000"))</f>
        <v>0</v>
      </c>
      <c r="C39" s="17">
        <f>IF(B39="","",IFERROR(INDEX('Content Calendar'!$H$5:$H$604,MATCH(B39,'Content Calendar'!$A$5:$A$604,0)),"Not found"))</f>
        <v>0</v>
      </c>
      <c r="D39" s="17">
        <f>IF(B39="","",IFERROR(INDEX('Content Calendar'!$G$5:$G$604,MATCH(B39,'Content Calendar'!$A$5:$A$604,0)),"Not found"))</f>
        <v>0</v>
      </c>
      <c r="E39" s="16">
        <f>IF(B39="","",IFERROR(INDEX('Content Calendar'!$B$5:$B$604,MATCH(B39,'Content Calendar'!$A$5:$A$604,0)),"Not found"))</f>
        <v>0</v>
      </c>
      <c r="F39" s="24">
        <f>IF(B39="","",IFERROR(SUMIFS(Performance!$Z$5:$Z$404,Performance!$B$5:$B$404,B39)/SUMIFS(Performance!$O$5:$O$404,Performance!$B$5:$B$404,B39),""))</f>
        <v>0</v>
      </c>
      <c r="S39" s="23">
        <f>IF(B39="","",COUNTIF(Repurposing!$B$5:$B$154,B39))</f>
        <v>0</v>
      </c>
      <c r="T39" s="23">
        <f>IF(OR(O39="",P39="Published",P39="Not suitable"),"",MAX(0,TODAY()-O39))</f>
        <v>0</v>
      </c>
      <c r="U39" s="29">
        <f>IF(B39="","",IF(C39="Not found","Check - content ID not on the calendar",IF(AND(P39="Published",R39=""),"Add - link missing",IF(AND(T39&lt;&gt;"",T39&gt;0),"Overdue - past the deadline",IF(AND(P39="Planned",O39=""),"Add - no deadline set","OK")))))</f>
        <v>0</v>
      </c>
    </row>
    <row r="40" spans="1:21">
      <c r="A40" s="41">
        <f>IF(B40="","","RP-"&amp;TEXT(ROW()-4,"000"))</f>
        <v>0</v>
      </c>
      <c r="C40" s="17">
        <f>IF(B40="","",IFERROR(INDEX('Content Calendar'!$H$5:$H$604,MATCH(B40,'Content Calendar'!$A$5:$A$604,0)),"Not found"))</f>
        <v>0</v>
      </c>
      <c r="D40" s="17">
        <f>IF(B40="","",IFERROR(INDEX('Content Calendar'!$G$5:$G$604,MATCH(B40,'Content Calendar'!$A$5:$A$604,0)),"Not found"))</f>
        <v>0</v>
      </c>
      <c r="E40" s="16">
        <f>IF(B40="","",IFERROR(INDEX('Content Calendar'!$B$5:$B$604,MATCH(B40,'Content Calendar'!$A$5:$A$604,0)),"Not found"))</f>
        <v>0</v>
      </c>
      <c r="F40" s="24">
        <f>IF(B40="","",IFERROR(SUMIFS(Performance!$Z$5:$Z$404,Performance!$B$5:$B$404,B40)/SUMIFS(Performance!$O$5:$O$404,Performance!$B$5:$B$404,B40),""))</f>
        <v>0</v>
      </c>
      <c r="S40" s="23">
        <f>IF(B40="","",COUNTIF(Repurposing!$B$5:$B$154,B40))</f>
        <v>0</v>
      </c>
      <c r="T40" s="23">
        <f>IF(OR(O40="",P40="Published",P40="Not suitable"),"",MAX(0,TODAY()-O40))</f>
        <v>0</v>
      </c>
      <c r="U40" s="29">
        <f>IF(B40="","",IF(C40="Not found","Check - content ID not on the calendar",IF(AND(P40="Published",R40=""),"Add - link missing",IF(AND(T40&lt;&gt;"",T40&gt;0),"Overdue - past the deadline",IF(AND(P40="Planned",O40=""),"Add - no deadline set","OK")))))</f>
        <v>0</v>
      </c>
    </row>
    <row r="41" spans="1:21">
      <c r="A41" s="41">
        <f>IF(B41="","","RP-"&amp;TEXT(ROW()-4,"000"))</f>
        <v>0</v>
      </c>
      <c r="C41" s="17">
        <f>IF(B41="","",IFERROR(INDEX('Content Calendar'!$H$5:$H$604,MATCH(B41,'Content Calendar'!$A$5:$A$604,0)),"Not found"))</f>
        <v>0</v>
      </c>
      <c r="D41" s="17">
        <f>IF(B41="","",IFERROR(INDEX('Content Calendar'!$G$5:$G$604,MATCH(B41,'Content Calendar'!$A$5:$A$604,0)),"Not found"))</f>
        <v>0</v>
      </c>
      <c r="E41" s="16">
        <f>IF(B41="","",IFERROR(INDEX('Content Calendar'!$B$5:$B$604,MATCH(B41,'Content Calendar'!$A$5:$A$604,0)),"Not found"))</f>
        <v>0</v>
      </c>
      <c r="F41" s="24">
        <f>IF(B41="","",IFERROR(SUMIFS(Performance!$Z$5:$Z$404,Performance!$B$5:$B$404,B41)/SUMIFS(Performance!$O$5:$O$404,Performance!$B$5:$B$404,B41),""))</f>
        <v>0</v>
      </c>
      <c r="S41" s="23">
        <f>IF(B41="","",COUNTIF(Repurposing!$B$5:$B$154,B41))</f>
        <v>0</v>
      </c>
      <c r="T41" s="23">
        <f>IF(OR(O41="",P41="Published",P41="Not suitable"),"",MAX(0,TODAY()-O41))</f>
        <v>0</v>
      </c>
      <c r="U41" s="29">
        <f>IF(B41="","",IF(C41="Not found","Check - content ID not on the calendar",IF(AND(P41="Published",R41=""),"Add - link missing",IF(AND(T41&lt;&gt;"",T41&gt;0),"Overdue - past the deadline",IF(AND(P41="Planned",O41=""),"Add - no deadline set","OK")))))</f>
        <v>0</v>
      </c>
    </row>
    <row r="42" spans="1:21">
      <c r="A42" s="41">
        <f>IF(B42="","","RP-"&amp;TEXT(ROW()-4,"000"))</f>
        <v>0</v>
      </c>
      <c r="C42" s="17">
        <f>IF(B42="","",IFERROR(INDEX('Content Calendar'!$H$5:$H$604,MATCH(B42,'Content Calendar'!$A$5:$A$604,0)),"Not found"))</f>
        <v>0</v>
      </c>
      <c r="D42" s="17">
        <f>IF(B42="","",IFERROR(INDEX('Content Calendar'!$G$5:$G$604,MATCH(B42,'Content Calendar'!$A$5:$A$604,0)),"Not found"))</f>
        <v>0</v>
      </c>
      <c r="E42" s="16">
        <f>IF(B42="","",IFERROR(INDEX('Content Calendar'!$B$5:$B$604,MATCH(B42,'Content Calendar'!$A$5:$A$604,0)),"Not found"))</f>
        <v>0</v>
      </c>
      <c r="F42" s="24">
        <f>IF(B42="","",IFERROR(SUMIFS(Performance!$Z$5:$Z$404,Performance!$B$5:$B$404,B42)/SUMIFS(Performance!$O$5:$O$404,Performance!$B$5:$B$404,B42),""))</f>
        <v>0</v>
      </c>
      <c r="S42" s="23">
        <f>IF(B42="","",COUNTIF(Repurposing!$B$5:$B$154,B42))</f>
        <v>0</v>
      </c>
      <c r="T42" s="23">
        <f>IF(OR(O42="",P42="Published",P42="Not suitable"),"",MAX(0,TODAY()-O42))</f>
        <v>0</v>
      </c>
      <c r="U42" s="29">
        <f>IF(B42="","",IF(C42="Not found","Check - content ID not on the calendar",IF(AND(P42="Published",R42=""),"Add - link missing",IF(AND(T42&lt;&gt;"",T42&gt;0),"Overdue - past the deadline",IF(AND(P42="Planned",O42=""),"Add - no deadline set","OK")))))</f>
        <v>0</v>
      </c>
    </row>
    <row r="43" spans="1:21">
      <c r="A43" s="41">
        <f>IF(B43="","","RP-"&amp;TEXT(ROW()-4,"000"))</f>
        <v>0</v>
      </c>
      <c r="C43" s="17">
        <f>IF(B43="","",IFERROR(INDEX('Content Calendar'!$H$5:$H$604,MATCH(B43,'Content Calendar'!$A$5:$A$604,0)),"Not found"))</f>
        <v>0</v>
      </c>
      <c r="D43" s="17">
        <f>IF(B43="","",IFERROR(INDEX('Content Calendar'!$G$5:$G$604,MATCH(B43,'Content Calendar'!$A$5:$A$604,0)),"Not found"))</f>
        <v>0</v>
      </c>
      <c r="E43" s="16">
        <f>IF(B43="","",IFERROR(INDEX('Content Calendar'!$B$5:$B$604,MATCH(B43,'Content Calendar'!$A$5:$A$604,0)),"Not found"))</f>
        <v>0</v>
      </c>
      <c r="F43" s="24">
        <f>IF(B43="","",IFERROR(SUMIFS(Performance!$Z$5:$Z$404,Performance!$B$5:$B$404,B43)/SUMIFS(Performance!$O$5:$O$404,Performance!$B$5:$B$404,B43),""))</f>
        <v>0</v>
      </c>
      <c r="S43" s="23">
        <f>IF(B43="","",COUNTIF(Repurposing!$B$5:$B$154,B43))</f>
        <v>0</v>
      </c>
      <c r="T43" s="23">
        <f>IF(OR(O43="",P43="Published",P43="Not suitable"),"",MAX(0,TODAY()-O43))</f>
        <v>0</v>
      </c>
      <c r="U43" s="29">
        <f>IF(B43="","",IF(C43="Not found","Check - content ID not on the calendar",IF(AND(P43="Published",R43=""),"Add - link missing",IF(AND(T43&lt;&gt;"",T43&gt;0),"Overdue - past the deadline",IF(AND(P43="Planned",O43=""),"Add - no deadline set","OK")))))</f>
        <v>0</v>
      </c>
    </row>
    <row r="44" spans="1:21">
      <c r="A44" s="41">
        <f>IF(B44="","","RP-"&amp;TEXT(ROW()-4,"000"))</f>
        <v>0</v>
      </c>
      <c r="C44" s="17">
        <f>IF(B44="","",IFERROR(INDEX('Content Calendar'!$H$5:$H$604,MATCH(B44,'Content Calendar'!$A$5:$A$604,0)),"Not found"))</f>
        <v>0</v>
      </c>
      <c r="D44" s="17">
        <f>IF(B44="","",IFERROR(INDEX('Content Calendar'!$G$5:$G$604,MATCH(B44,'Content Calendar'!$A$5:$A$604,0)),"Not found"))</f>
        <v>0</v>
      </c>
      <c r="E44" s="16">
        <f>IF(B44="","",IFERROR(INDEX('Content Calendar'!$B$5:$B$604,MATCH(B44,'Content Calendar'!$A$5:$A$604,0)),"Not found"))</f>
        <v>0</v>
      </c>
      <c r="F44" s="24">
        <f>IF(B44="","",IFERROR(SUMIFS(Performance!$Z$5:$Z$404,Performance!$B$5:$B$404,B44)/SUMIFS(Performance!$O$5:$O$404,Performance!$B$5:$B$404,B44),""))</f>
        <v>0</v>
      </c>
      <c r="S44" s="23">
        <f>IF(B44="","",COUNTIF(Repurposing!$B$5:$B$154,B44))</f>
        <v>0</v>
      </c>
      <c r="T44" s="23">
        <f>IF(OR(O44="",P44="Published",P44="Not suitable"),"",MAX(0,TODAY()-O44))</f>
        <v>0</v>
      </c>
      <c r="U44" s="29">
        <f>IF(B44="","",IF(C44="Not found","Check - content ID not on the calendar",IF(AND(P44="Published",R44=""),"Add - link missing",IF(AND(T44&lt;&gt;"",T44&gt;0),"Overdue - past the deadline",IF(AND(P44="Planned",O44=""),"Add - no deadline set","OK")))))</f>
        <v>0</v>
      </c>
    </row>
    <row r="45" spans="1:21">
      <c r="A45" s="41">
        <f>IF(B45="","","RP-"&amp;TEXT(ROW()-4,"000"))</f>
        <v>0</v>
      </c>
      <c r="C45" s="17">
        <f>IF(B45="","",IFERROR(INDEX('Content Calendar'!$H$5:$H$604,MATCH(B45,'Content Calendar'!$A$5:$A$604,0)),"Not found"))</f>
        <v>0</v>
      </c>
      <c r="D45" s="17">
        <f>IF(B45="","",IFERROR(INDEX('Content Calendar'!$G$5:$G$604,MATCH(B45,'Content Calendar'!$A$5:$A$604,0)),"Not found"))</f>
        <v>0</v>
      </c>
      <c r="E45" s="16">
        <f>IF(B45="","",IFERROR(INDEX('Content Calendar'!$B$5:$B$604,MATCH(B45,'Content Calendar'!$A$5:$A$604,0)),"Not found"))</f>
        <v>0</v>
      </c>
      <c r="F45" s="24">
        <f>IF(B45="","",IFERROR(SUMIFS(Performance!$Z$5:$Z$404,Performance!$B$5:$B$404,B45)/SUMIFS(Performance!$O$5:$O$404,Performance!$B$5:$B$404,B45),""))</f>
        <v>0</v>
      </c>
      <c r="S45" s="23">
        <f>IF(B45="","",COUNTIF(Repurposing!$B$5:$B$154,B45))</f>
        <v>0</v>
      </c>
      <c r="T45" s="23">
        <f>IF(OR(O45="",P45="Published",P45="Not suitable"),"",MAX(0,TODAY()-O45))</f>
        <v>0</v>
      </c>
      <c r="U45" s="29">
        <f>IF(B45="","",IF(C45="Not found","Check - content ID not on the calendar",IF(AND(P45="Published",R45=""),"Add - link missing",IF(AND(T45&lt;&gt;"",T45&gt;0),"Overdue - past the deadline",IF(AND(P45="Planned",O45=""),"Add - no deadline set","OK")))))</f>
        <v>0</v>
      </c>
    </row>
    <row r="46" spans="1:21">
      <c r="A46" s="41">
        <f>IF(B46="","","RP-"&amp;TEXT(ROW()-4,"000"))</f>
        <v>0</v>
      </c>
      <c r="C46" s="17">
        <f>IF(B46="","",IFERROR(INDEX('Content Calendar'!$H$5:$H$604,MATCH(B46,'Content Calendar'!$A$5:$A$604,0)),"Not found"))</f>
        <v>0</v>
      </c>
      <c r="D46" s="17">
        <f>IF(B46="","",IFERROR(INDEX('Content Calendar'!$G$5:$G$604,MATCH(B46,'Content Calendar'!$A$5:$A$604,0)),"Not found"))</f>
        <v>0</v>
      </c>
      <c r="E46" s="16">
        <f>IF(B46="","",IFERROR(INDEX('Content Calendar'!$B$5:$B$604,MATCH(B46,'Content Calendar'!$A$5:$A$604,0)),"Not found"))</f>
        <v>0</v>
      </c>
      <c r="F46" s="24">
        <f>IF(B46="","",IFERROR(SUMIFS(Performance!$Z$5:$Z$404,Performance!$B$5:$B$404,B46)/SUMIFS(Performance!$O$5:$O$404,Performance!$B$5:$B$404,B46),""))</f>
        <v>0</v>
      </c>
      <c r="S46" s="23">
        <f>IF(B46="","",COUNTIF(Repurposing!$B$5:$B$154,B46))</f>
        <v>0</v>
      </c>
      <c r="T46" s="23">
        <f>IF(OR(O46="",P46="Published",P46="Not suitable"),"",MAX(0,TODAY()-O46))</f>
        <v>0</v>
      </c>
      <c r="U46" s="29">
        <f>IF(B46="","",IF(C46="Not found","Check - content ID not on the calendar",IF(AND(P46="Published",R46=""),"Add - link missing",IF(AND(T46&lt;&gt;"",T46&gt;0),"Overdue - past the deadline",IF(AND(P46="Planned",O46=""),"Add - no deadline set","OK")))))</f>
        <v>0</v>
      </c>
    </row>
    <row r="47" spans="1:21">
      <c r="A47" s="41">
        <f>IF(B47="","","RP-"&amp;TEXT(ROW()-4,"000"))</f>
        <v>0</v>
      </c>
      <c r="C47" s="17">
        <f>IF(B47="","",IFERROR(INDEX('Content Calendar'!$H$5:$H$604,MATCH(B47,'Content Calendar'!$A$5:$A$604,0)),"Not found"))</f>
        <v>0</v>
      </c>
      <c r="D47" s="17">
        <f>IF(B47="","",IFERROR(INDEX('Content Calendar'!$G$5:$G$604,MATCH(B47,'Content Calendar'!$A$5:$A$604,0)),"Not found"))</f>
        <v>0</v>
      </c>
      <c r="E47" s="16">
        <f>IF(B47="","",IFERROR(INDEX('Content Calendar'!$B$5:$B$604,MATCH(B47,'Content Calendar'!$A$5:$A$604,0)),"Not found"))</f>
        <v>0</v>
      </c>
      <c r="F47" s="24">
        <f>IF(B47="","",IFERROR(SUMIFS(Performance!$Z$5:$Z$404,Performance!$B$5:$B$404,B47)/SUMIFS(Performance!$O$5:$O$404,Performance!$B$5:$B$404,B47),""))</f>
        <v>0</v>
      </c>
      <c r="S47" s="23">
        <f>IF(B47="","",COUNTIF(Repurposing!$B$5:$B$154,B47))</f>
        <v>0</v>
      </c>
      <c r="T47" s="23">
        <f>IF(OR(O47="",P47="Published",P47="Not suitable"),"",MAX(0,TODAY()-O47))</f>
        <v>0</v>
      </c>
      <c r="U47" s="29">
        <f>IF(B47="","",IF(C47="Not found","Check - content ID not on the calendar",IF(AND(P47="Published",R47=""),"Add - link missing",IF(AND(T47&lt;&gt;"",T47&gt;0),"Overdue - past the deadline",IF(AND(P47="Planned",O47=""),"Add - no deadline set","OK")))))</f>
        <v>0</v>
      </c>
    </row>
    <row r="48" spans="1:21">
      <c r="A48" s="41">
        <f>IF(B48="","","RP-"&amp;TEXT(ROW()-4,"000"))</f>
        <v>0</v>
      </c>
      <c r="C48" s="17">
        <f>IF(B48="","",IFERROR(INDEX('Content Calendar'!$H$5:$H$604,MATCH(B48,'Content Calendar'!$A$5:$A$604,0)),"Not found"))</f>
        <v>0</v>
      </c>
      <c r="D48" s="17">
        <f>IF(B48="","",IFERROR(INDEX('Content Calendar'!$G$5:$G$604,MATCH(B48,'Content Calendar'!$A$5:$A$604,0)),"Not found"))</f>
        <v>0</v>
      </c>
      <c r="E48" s="16">
        <f>IF(B48="","",IFERROR(INDEX('Content Calendar'!$B$5:$B$604,MATCH(B48,'Content Calendar'!$A$5:$A$604,0)),"Not found"))</f>
        <v>0</v>
      </c>
      <c r="F48" s="24">
        <f>IF(B48="","",IFERROR(SUMIFS(Performance!$Z$5:$Z$404,Performance!$B$5:$B$404,B48)/SUMIFS(Performance!$O$5:$O$404,Performance!$B$5:$B$404,B48),""))</f>
        <v>0</v>
      </c>
      <c r="S48" s="23">
        <f>IF(B48="","",COUNTIF(Repurposing!$B$5:$B$154,B48))</f>
        <v>0</v>
      </c>
      <c r="T48" s="23">
        <f>IF(OR(O48="",P48="Published",P48="Not suitable"),"",MAX(0,TODAY()-O48))</f>
        <v>0</v>
      </c>
      <c r="U48" s="29">
        <f>IF(B48="","",IF(C48="Not found","Check - content ID not on the calendar",IF(AND(P48="Published",R48=""),"Add - link missing",IF(AND(T48&lt;&gt;"",T48&gt;0),"Overdue - past the deadline",IF(AND(P48="Planned",O48=""),"Add - no deadline set","OK")))))</f>
        <v>0</v>
      </c>
    </row>
    <row r="49" spans="1:21">
      <c r="A49" s="41">
        <f>IF(B49="","","RP-"&amp;TEXT(ROW()-4,"000"))</f>
        <v>0</v>
      </c>
      <c r="C49" s="17">
        <f>IF(B49="","",IFERROR(INDEX('Content Calendar'!$H$5:$H$604,MATCH(B49,'Content Calendar'!$A$5:$A$604,0)),"Not found"))</f>
        <v>0</v>
      </c>
      <c r="D49" s="17">
        <f>IF(B49="","",IFERROR(INDEX('Content Calendar'!$G$5:$G$604,MATCH(B49,'Content Calendar'!$A$5:$A$604,0)),"Not found"))</f>
        <v>0</v>
      </c>
      <c r="E49" s="16">
        <f>IF(B49="","",IFERROR(INDEX('Content Calendar'!$B$5:$B$604,MATCH(B49,'Content Calendar'!$A$5:$A$604,0)),"Not found"))</f>
        <v>0</v>
      </c>
      <c r="F49" s="24">
        <f>IF(B49="","",IFERROR(SUMIFS(Performance!$Z$5:$Z$404,Performance!$B$5:$B$404,B49)/SUMIFS(Performance!$O$5:$O$404,Performance!$B$5:$B$404,B49),""))</f>
        <v>0</v>
      </c>
      <c r="S49" s="23">
        <f>IF(B49="","",COUNTIF(Repurposing!$B$5:$B$154,B49))</f>
        <v>0</v>
      </c>
      <c r="T49" s="23">
        <f>IF(OR(O49="",P49="Published",P49="Not suitable"),"",MAX(0,TODAY()-O49))</f>
        <v>0</v>
      </c>
      <c r="U49" s="29">
        <f>IF(B49="","",IF(C49="Not found","Check - content ID not on the calendar",IF(AND(P49="Published",R49=""),"Add - link missing",IF(AND(T49&lt;&gt;"",T49&gt;0),"Overdue - past the deadline",IF(AND(P49="Planned",O49=""),"Add - no deadline set","OK")))))</f>
        <v>0</v>
      </c>
    </row>
    <row r="50" spans="1:21">
      <c r="A50" s="41">
        <f>IF(B50="","","RP-"&amp;TEXT(ROW()-4,"000"))</f>
        <v>0</v>
      </c>
      <c r="C50" s="17">
        <f>IF(B50="","",IFERROR(INDEX('Content Calendar'!$H$5:$H$604,MATCH(B50,'Content Calendar'!$A$5:$A$604,0)),"Not found"))</f>
        <v>0</v>
      </c>
      <c r="D50" s="17">
        <f>IF(B50="","",IFERROR(INDEX('Content Calendar'!$G$5:$G$604,MATCH(B50,'Content Calendar'!$A$5:$A$604,0)),"Not found"))</f>
        <v>0</v>
      </c>
      <c r="E50" s="16">
        <f>IF(B50="","",IFERROR(INDEX('Content Calendar'!$B$5:$B$604,MATCH(B50,'Content Calendar'!$A$5:$A$604,0)),"Not found"))</f>
        <v>0</v>
      </c>
      <c r="F50" s="24">
        <f>IF(B50="","",IFERROR(SUMIFS(Performance!$Z$5:$Z$404,Performance!$B$5:$B$404,B50)/SUMIFS(Performance!$O$5:$O$404,Performance!$B$5:$B$404,B50),""))</f>
        <v>0</v>
      </c>
      <c r="S50" s="23">
        <f>IF(B50="","",COUNTIF(Repurposing!$B$5:$B$154,B50))</f>
        <v>0</v>
      </c>
      <c r="T50" s="23">
        <f>IF(OR(O50="",P50="Published",P50="Not suitable"),"",MAX(0,TODAY()-O50))</f>
        <v>0</v>
      </c>
      <c r="U50" s="29">
        <f>IF(B50="","",IF(C50="Not found","Check - content ID not on the calendar",IF(AND(P50="Published",R50=""),"Add - link missing",IF(AND(T50&lt;&gt;"",T50&gt;0),"Overdue - past the deadline",IF(AND(P50="Planned",O50=""),"Add - no deadline set","OK")))))</f>
        <v>0</v>
      </c>
    </row>
    <row r="51" spans="1:21">
      <c r="A51" s="41">
        <f>IF(B51="","","RP-"&amp;TEXT(ROW()-4,"000"))</f>
        <v>0</v>
      </c>
      <c r="C51" s="17">
        <f>IF(B51="","",IFERROR(INDEX('Content Calendar'!$H$5:$H$604,MATCH(B51,'Content Calendar'!$A$5:$A$604,0)),"Not found"))</f>
        <v>0</v>
      </c>
      <c r="D51" s="17">
        <f>IF(B51="","",IFERROR(INDEX('Content Calendar'!$G$5:$G$604,MATCH(B51,'Content Calendar'!$A$5:$A$604,0)),"Not found"))</f>
        <v>0</v>
      </c>
      <c r="E51" s="16">
        <f>IF(B51="","",IFERROR(INDEX('Content Calendar'!$B$5:$B$604,MATCH(B51,'Content Calendar'!$A$5:$A$604,0)),"Not found"))</f>
        <v>0</v>
      </c>
      <c r="F51" s="24">
        <f>IF(B51="","",IFERROR(SUMIFS(Performance!$Z$5:$Z$404,Performance!$B$5:$B$404,B51)/SUMIFS(Performance!$O$5:$O$404,Performance!$B$5:$B$404,B51),""))</f>
        <v>0</v>
      </c>
      <c r="S51" s="23">
        <f>IF(B51="","",COUNTIF(Repurposing!$B$5:$B$154,B51))</f>
        <v>0</v>
      </c>
      <c r="T51" s="23">
        <f>IF(OR(O51="",P51="Published",P51="Not suitable"),"",MAX(0,TODAY()-O51))</f>
        <v>0</v>
      </c>
      <c r="U51" s="29">
        <f>IF(B51="","",IF(C51="Not found","Check - content ID not on the calendar",IF(AND(P51="Published",R51=""),"Add - link missing",IF(AND(T51&lt;&gt;"",T51&gt;0),"Overdue - past the deadline",IF(AND(P51="Planned",O51=""),"Add - no deadline set","OK")))))</f>
        <v>0</v>
      </c>
    </row>
    <row r="52" spans="1:21">
      <c r="A52" s="41">
        <f>IF(B52="","","RP-"&amp;TEXT(ROW()-4,"000"))</f>
        <v>0</v>
      </c>
      <c r="C52" s="17">
        <f>IF(B52="","",IFERROR(INDEX('Content Calendar'!$H$5:$H$604,MATCH(B52,'Content Calendar'!$A$5:$A$604,0)),"Not found"))</f>
        <v>0</v>
      </c>
      <c r="D52" s="17">
        <f>IF(B52="","",IFERROR(INDEX('Content Calendar'!$G$5:$G$604,MATCH(B52,'Content Calendar'!$A$5:$A$604,0)),"Not found"))</f>
        <v>0</v>
      </c>
      <c r="E52" s="16">
        <f>IF(B52="","",IFERROR(INDEX('Content Calendar'!$B$5:$B$604,MATCH(B52,'Content Calendar'!$A$5:$A$604,0)),"Not found"))</f>
        <v>0</v>
      </c>
      <c r="F52" s="24">
        <f>IF(B52="","",IFERROR(SUMIFS(Performance!$Z$5:$Z$404,Performance!$B$5:$B$404,B52)/SUMIFS(Performance!$O$5:$O$404,Performance!$B$5:$B$404,B52),""))</f>
        <v>0</v>
      </c>
      <c r="S52" s="23">
        <f>IF(B52="","",COUNTIF(Repurposing!$B$5:$B$154,B52))</f>
        <v>0</v>
      </c>
      <c r="T52" s="23">
        <f>IF(OR(O52="",P52="Published",P52="Not suitable"),"",MAX(0,TODAY()-O52))</f>
        <v>0</v>
      </c>
      <c r="U52" s="29">
        <f>IF(B52="","",IF(C52="Not found","Check - content ID not on the calendar",IF(AND(P52="Published",R52=""),"Add - link missing",IF(AND(T52&lt;&gt;"",T52&gt;0),"Overdue - past the deadline",IF(AND(P52="Planned",O52=""),"Add - no deadline set","OK")))))</f>
        <v>0</v>
      </c>
    </row>
    <row r="53" spans="1:21">
      <c r="A53" s="41">
        <f>IF(B53="","","RP-"&amp;TEXT(ROW()-4,"000"))</f>
        <v>0</v>
      </c>
      <c r="C53" s="17">
        <f>IF(B53="","",IFERROR(INDEX('Content Calendar'!$H$5:$H$604,MATCH(B53,'Content Calendar'!$A$5:$A$604,0)),"Not found"))</f>
        <v>0</v>
      </c>
      <c r="D53" s="17">
        <f>IF(B53="","",IFERROR(INDEX('Content Calendar'!$G$5:$G$604,MATCH(B53,'Content Calendar'!$A$5:$A$604,0)),"Not found"))</f>
        <v>0</v>
      </c>
      <c r="E53" s="16">
        <f>IF(B53="","",IFERROR(INDEX('Content Calendar'!$B$5:$B$604,MATCH(B53,'Content Calendar'!$A$5:$A$604,0)),"Not found"))</f>
        <v>0</v>
      </c>
      <c r="F53" s="24">
        <f>IF(B53="","",IFERROR(SUMIFS(Performance!$Z$5:$Z$404,Performance!$B$5:$B$404,B53)/SUMIFS(Performance!$O$5:$O$404,Performance!$B$5:$B$404,B53),""))</f>
        <v>0</v>
      </c>
      <c r="S53" s="23">
        <f>IF(B53="","",COUNTIF(Repurposing!$B$5:$B$154,B53))</f>
        <v>0</v>
      </c>
      <c r="T53" s="23">
        <f>IF(OR(O53="",P53="Published",P53="Not suitable"),"",MAX(0,TODAY()-O53))</f>
        <v>0</v>
      </c>
      <c r="U53" s="29">
        <f>IF(B53="","",IF(C53="Not found","Check - content ID not on the calendar",IF(AND(P53="Published",R53=""),"Add - link missing",IF(AND(T53&lt;&gt;"",T53&gt;0),"Overdue - past the deadline",IF(AND(P53="Planned",O53=""),"Add - no deadline set","OK")))))</f>
        <v>0</v>
      </c>
    </row>
    <row r="54" spans="1:21">
      <c r="A54" s="41">
        <f>IF(B54="","","RP-"&amp;TEXT(ROW()-4,"000"))</f>
        <v>0</v>
      </c>
      <c r="C54" s="17">
        <f>IF(B54="","",IFERROR(INDEX('Content Calendar'!$H$5:$H$604,MATCH(B54,'Content Calendar'!$A$5:$A$604,0)),"Not found"))</f>
        <v>0</v>
      </c>
      <c r="D54" s="17">
        <f>IF(B54="","",IFERROR(INDEX('Content Calendar'!$G$5:$G$604,MATCH(B54,'Content Calendar'!$A$5:$A$604,0)),"Not found"))</f>
        <v>0</v>
      </c>
      <c r="E54" s="16">
        <f>IF(B54="","",IFERROR(INDEX('Content Calendar'!$B$5:$B$604,MATCH(B54,'Content Calendar'!$A$5:$A$604,0)),"Not found"))</f>
        <v>0</v>
      </c>
      <c r="F54" s="24">
        <f>IF(B54="","",IFERROR(SUMIFS(Performance!$Z$5:$Z$404,Performance!$B$5:$B$404,B54)/SUMIFS(Performance!$O$5:$O$404,Performance!$B$5:$B$404,B54),""))</f>
        <v>0</v>
      </c>
      <c r="S54" s="23">
        <f>IF(B54="","",COUNTIF(Repurposing!$B$5:$B$154,B54))</f>
        <v>0</v>
      </c>
      <c r="T54" s="23">
        <f>IF(OR(O54="",P54="Published",P54="Not suitable"),"",MAX(0,TODAY()-O54))</f>
        <v>0</v>
      </c>
      <c r="U54" s="29">
        <f>IF(B54="","",IF(C54="Not found","Check - content ID not on the calendar",IF(AND(P54="Published",R54=""),"Add - link missing",IF(AND(T54&lt;&gt;"",T54&gt;0),"Overdue - past the deadline",IF(AND(P54="Planned",O54=""),"Add - no deadline set","OK")))))</f>
        <v>0</v>
      </c>
    </row>
    <row r="55" spans="1:21">
      <c r="A55" s="41">
        <f>IF(B55="","","RP-"&amp;TEXT(ROW()-4,"000"))</f>
        <v>0</v>
      </c>
      <c r="C55" s="17">
        <f>IF(B55="","",IFERROR(INDEX('Content Calendar'!$H$5:$H$604,MATCH(B55,'Content Calendar'!$A$5:$A$604,0)),"Not found"))</f>
        <v>0</v>
      </c>
      <c r="D55" s="17">
        <f>IF(B55="","",IFERROR(INDEX('Content Calendar'!$G$5:$G$604,MATCH(B55,'Content Calendar'!$A$5:$A$604,0)),"Not found"))</f>
        <v>0</v>
      </c>
      <c r="E55" s="16">
        <f>IF(B55="","",IFERROR(INDEX('Content Calendar'!$B$5:$B$604,MATCH(B55,'Content Calendar'!$A$5:$A$604,0)),"Not found"))</f>
        <v>0</v>
      </c>
      <c r="F55" s="24">
        <f>IF(B55="","",IFERROR(SUMIFS(Performance!$Z$5:$Z$404,Performance!$B$5:$B$404,B55)/SUMIFS(Performance!$O$5:$O$404,Performance!$B$5:$B$404,B55),""))</f>
        <v>0</v>
      </c>
      <c r="S55" s="23">
        <f>IF(B55="","",COUNTIF(Repurposing!$B$5:$B$154,B55))</f>
        <v>0</v>
      </c>
      <c r="T55" s="23">
        <f>IF(OR(O55="",P55="Published",P55="Not suitable"),"",MAX(0,TODAY()-O55))</f>
        <v>0</v>
      </c>
      <c r="U55" s="29">
        <f>IF(B55="","",IF(C55="Not found","Check - content ID not on the calendar",IF(AND(P55="Published",R55=""),"Add - link missing",IF(AND(T55&lt;&gt;"",T55&gt;0),"Overdue - past the deadline",IF(AND(P55="Planned",O55=""),"Add - no deadline set","OK")))))</f>
        <v>0</v>
      </c>
    </row>
    <row r="56" spans="1:21">
      <c r="A56" s="41">
        <f>IF(B56="","","RP-"&amp;TEXT(ROW()-4,"000"))</f>
        <v>0</v>
      </c>
      <c r="C56" s="17">
        <f>IF(B56="","",IFERROR(INDEX('Content Calendar'!$H$5:$H$604,MATCH(B56,'Content Calendar'!$A$5:$A$604,0)),"Not found"))</f>
        <v>0</v>
      </c>
      <c r="D56" s="17">
        <f>IF(B56="","",IFERROR(INDEX('Content Calendar'!$G$5:$G$604,MATCH(B56,'Content Calendar'!$A$5:$A$604,0)),"Not found"))</f>
        <v>0</v>
      </c>
      <c r="E56" s="16">
        <f>IF(B56="","",IFERROR(INDEX('Content Calendar'!$B$5:$B$604,MATCH(B56,'Content Calendar'!$A$5:$A$604,0)),"Not found"))</f>
        <v>0</v>
      </c>
      <c r="F56" s="24">
        <f>IF(B56="","",IFERROR(SUMIFS(Performance!$Z$5:$Z$404,Performance!$B$5:$B$404,B56)/SUMIFS(Performance!$O$5:$O$404,Performance!$B$5:$B$404,B56),""))</f>
        <v>0</v>
      </c>
      <c r="S56" s="23">
        <f>IF(B56="","",COUNTIF(Repurposing!$B$5:$B$154,B56))</f>
        <v>0</v>
      </c>
      <c r="T56" s="23">
        <f>IF(OR(O56="",P56="Published",P56="Not suitable"),"",MAX(0,TODAY()-O56))</f>
        <v>0</v>
      </c>
      <c r="U56" s="29">
        <f>IF(B56="","",IF(C56="Not found","Check - content ID not on the calendar",IF(AND(P56="Published",R56=""),"Add - link missing",IF(AND(T56&lt;&gt;"",T56&gt;0),"Overdue - past the deadline",IF(AND(P56="Planned",O56=""),"Add - no deadline set","OK")))))</f>
        <v>0</v>
      </c>
    </row>
    <row r="57" spans="1:21">
      <c r="A57" s="41">
        <f>IF(B57="","","RP-"&amp;TEXT(ROW()-4,"000"))</f>
        <v>0</v>
      </c>
      <c r="C57" s="17">
        <f>IF(B57="","",IFERROR(INDEX('Content Calendar'!$H$5:$H$604,MATCH(B57,'Content Calendar'!$A$5:$A$604,0)),"Not found"))</f>
        <v>0</v>
      </c>
      <c r="D57" s="17">
        <f>IF(B57="","",IFERROR(INDEX('Content Calendar'!$G$5:$G$604,MATCH(B57,'Content Calendar'!$A$5:$A$604,0)),"Not found"))</f>
        <v>0</v>
      </c>
      <c r="E57" s="16">
        <f>IF(B57="","",IFERROR(INDEX('Content Calendar'!$B$5:$B$604,MATCH(B57,'Content Calendar'!$A$5:$A$604,0)),"Not found"))</f>
        <v>0</v>
      </c>
      <c r="F57" s="24">
        <f>IF(B57="","",IFERROR(SUMIFS(Performance!$Z$5:$Z$404,Performance!$B$5:$B$404,B57)/SUMIFS(Performance!$O$5:$O$404,Performance!$B$5:$B$404,B57),""))</f>
        <v>0</v>
      </c>
      <c r="S57" s="23">
        <f>IF(B57="","",COUNTIF(Repurposing!$B$5:$B$154,B57))</f>
        <v>0</v>
      </c>
      <c r="T57" s="23">
        <f>IF(OR(O57="",P57="Published",P57="Not suitable"),"",MAX(0,TODAY()-O57))</f>
        <v>0</v>
      </c>
      <c r="U57" s="29">
        <f>IF(B57="","",IF(C57="Not found","Check - content ID not on the calendar",IF(AND(P57="Published",R57=""),"Add - link missing",IF(AND(T57&lt;&gt;"",T57&gt;0),"Overdue - past the deadline",IF(AND(P57="Planned",O57=""),"Add - no deadline set","OK")))))</f>
        <v>0</v>
      </c>
    </row>
    <row r="58" spans="1:21">
      <c r="A58" s="41">
        <f>IF(B58="","","RP-"&amp;TEXT(ROW()-4,"000"))</f>
        <v>0</v>
      </c>
      <c r="C58" s="17">
        <f>IF(B58="","",IFERROR(INDEX('Content Calendar'!$H$5:$H$604,MATCH(B58,'Content Calendar'!$A$5:$A$604,0)),"Not found"))</f>
        <v>0</v>
      </c>
      <c r="D58" s="17">
        <f>IF(B58="","",IFERROR(INDEX('Content Calendar'!$G$5:$G$604,MATCH(B58,'Content Calendar'!$A$5:$A$604,0)),"Not found"))</f>
        <v>0</v>
      </c>
      <c r="E58" s="16">
        <f>IF(B58="","",IFERROR(INDEX('Content Calendar'!$B$5:$B$604,MATCH(B58,'Content Calendar'!$A$5:$A$604,0)),"Not found"))</f>
        <v>0</v>
      </c>
      <c r="F58" s="24">
        <f>IF(B58="","",IFERROR(SUMIFS(Performance!$Z$5:$Z$404,Performance!$B$5:$B$404,B58)/SUMIFS(Performance!$O$5:$O$404,Performance!$B$5:$B$404,B58),""))</f>
        <v>0</v>
      </c>
      <c r="S58" s="23">
        <f>IF(B58="","",COUNTIF(Repurposing!$B$5:$B$154,B58))</f>
        <v>0</v>
      </c>
      <c r="T58" s="23">
        <f>IF(OR(O58="",P58="Published",P58="Not suitable"),"",MAX(0,TODAY()-O58))</f>
        <v>0</v>
      </c>
      <c r="U58" s="29">
        <f>IF(B58="","",IF(C58="Not found","Check - content ID not on the calendar",IF(AND(P58="Published",R58=""),"Add - link missing",IF(AND(T58&lt;&gt;"",T58&gt;0),"Overdue - past the deadline",IF(AND(P58="Planned",O58=""),"Add - no deadline set","OK")))))</f>
        <v>0</v>
      </c>
    </row>
    <row r="59" spans="1:21">
      <c r="A59" s="41">
        <f>IF(B59="","","RP-"&amp;TEXT(ROW()-4,"000"))</f>
        <v>0</v>
      </c>
      <c r="C59" s="17">
        <f>IF(B59="","",IFERROR(INDEX('Content Calendar'!$H$5:$H$604,MATCH(B59,'Content Calendar'!$A$5:$A$604,0)),"Not found"))</f>
        <v>0</v>
      </c>
      <c r="D59" s="17">
        <f>IF(B59="","",IFERROR(INDEX('Content Calendar'!$G$5:$G$604,MATCH(B59,'Content Calendar'!$A$5:$A$604,0)),"Not found"))</f>
        <v>0</v>
      </c>
      <c r="E59" s="16">
        <f>IF(B59="","",IFERROR(INDEX('Content Calendar'!$B$5:$B$604,MATCH(B59,'Content Calendar'!$A$5:$A$604,0)),"Not found"))</f>
        <v>0</v>
      </c>
      <c r="F59" s="24">
        <f>IF(B59="","",IFERROR(SUMIFS(Performance!$Z$5:$Z$404,Performance!$B$5:$B$404,B59)/SUMIFS(Performance!$O$5:$O$404,Performance!$B$5:$B$404,B59),""))</f>
        <v>0</v>
      </c>
      <c r="S59" s="23">
        <f>IF(B59="","",COUNTIF(Repurposing!$B$5:$B$154,B59))</f>
        <v>0</v>
      </c>
      <c r="T59" s="23">
        <f>IF(OR(O59="",P59="Published",P59="Not suitable"),"",MAX(0,TODAY()-O59))</f>
        <v>0</v>
      </c>
      <c r="U59" s="29">
        <f>IF(B59="","",IF(C59="Not found","Check - content ID not on the calendar",IF(AND(P59="Published",R59=""),"Add - link missing",IF(AND(T59&lt;&gt;"",T59&gt;0),"Overdue - past the deadline",IF(AND(P59="Planned",O59=""),"Add - no deadline set","OK")))))</f>
        <v>0</v>
      </c>
    </row>
    <row r="60" spans="1:21">
      <c r="A60" s="41">
        <f>IF(B60="","","RP-"&amp;TEXT(ROW()-4,"000"))</f>
        <v>0</v>
      </c>
      <c r="C60" s="17">
        <f>IF(B60="","",IFERROR(INDEX('Content Calendar'!$H$5:$H$604,MATCH(B60,'Content Calendar'!$A$5:$A$604,0)),"Not found"))</f>
        <v>0</v>
      </c>
      <c r="D60" s="17">
        <f>IF(B60="","",IFERROR(INDEX('Content Calendar'!$G$5:$G$604,MATCH(B60,'Content Calendar'!$A$5:$A$604,0)),"Not found"))</f>
        <v>0</v>
      </c>
      <c r="E60" s="16">
        <f>IF(B60="","",IFERROR(INDEX('Content Calendar'!$B$5:$B$604,MATCH(B60,'Content Calendar'!$A$5:$A$604,0)),"Not found"))</f>
        <v>0</v>
      </c>
      <c r="F60" s="24">
        <f>IF(B60="","",IFERROR(SUMIFS(Performance!$Z$5:$Z$404,Performance!$B$5:$B$404,B60)/SUMIFS(Performance!$O$5:$O$404,Performance!$B$5:$B$404,B60),""))</f>
        <v>0</v>
      </c>
      <c r="S60" s="23">
        <f>IF(B60="","",COUNTIF(Repurposing!$B$5:$B$154,B60))</f>
        <v>0</v>
      </c>
      <c r="T60" s="23">
        <f>IF(OR(O60="",P60="Published",P60="Not suitable"),"",MAX(0,TODAY()-O60))</f>
        <v>0</v>
      </c>
      <c r="U60" s="29">
        <f>IF(B60="","",IF(C60="Not found","Check - content ID not on the calendar",IF(AND(P60="Published",R60=""),"Add - link missing",IF(AND(T60&lt;&gt;"",T60&gt;0),"Overdue - past the deadline",IF(AND(P60="Planned",O60=""),"Add - no deadline set","OK")))))</f>
        <v>0</v>
      </c>
    </row>
    <row r="61" spans="1:21">
      <c r="A61" s="41">
        <f>IF(B61="","","RP-"&amp;TEXT(ROW()-4,"000"))</f>
        <v>0</v>
      </c>
      <c r="C61" s="17">
        <f>IF(B61="","",IFERROR(INDEX('Content Calendar'!$H$5:$H$604,MATCH(B61,'Content Calendar'!$A$5:$A$604,0)),"Not found"))</f>
        <v>0</v>
      </c>
      <c r="D61" s="17">
        <f>IF(B61="","",IFERROR(INDEX('Content Calendar'!$G$5:$G$604,MATCH(B61,'Content Calendar'!$A$5:$A$604,0)),"Not found"))</f>
        <v>0</v>
      </c>
      <c r="E61" s="16">
        <f>IF(B61="","",IFERROR(INDEX('Content Calendar'!$B$5:$B$604,MATCH(B61,'Content Calendar'!$A$5:$A$604,0)),"Not found"))</f>
        <v>0</v>
      </c>
      <c r="F61" s="24">
        <f>IF(B61="","",IFERROR(SUMIFS(Performance!$Z$5:$Z$404,Performance!$B$5:$B$404,B61)/SUMIFS(Performance!$O$5:$O$404,Performance!$B$5:$B$404,B61),""))</f>
        <v>0</v>
      </c>
      <c r="S61" s="23">
        <f>IF(B61="","",COUNTIF(Repurposing!$B$5:$B$154,B61))</f>
        <v>0</v>
      </c>
      <c r="T61" s="23">
        <f>IF(OR(O61="",P61="Published",P61="Not suitable"),"",MAX(0,TODAY()-O61))</f>
        <v>0</v>
      </c>
      <c r="U61" s="29">
        <f>IF(B61="","",IF(C61="Not found","Check - content ID not on the calendar",IF(AND(P61="Published",R61=""),"Add - link missing",IF(AND(T61&lt;&gt;"",T61&gt;0),"Overdue - past the deadline",IF(AND(P61="Planned",O61=""),"Add - no deadline set","OK")))))</f>
        <v>0</v>
      </c>
    </row>
    <row r="62" spans="1:21">
      <c r="A62" s="41">
        <f>IF(B62="","","RP-"&amp;TEXT(ROW()-4,"000"))</f>
        <v>0</v>
      </c>
      <c r="C62" s="17">
        <f>IF(B62="","",IFERROR(INDEX('Content Calendar'!$H$5:$H$604,MATCH(B62,'Content Calendar'!$A$5:$A$604,0)),"Not found"))</f>
        <v>0</v>
      </c>
      <c r="D62" s="17">
        <f>IF(B62="","",IFERROR(INDEX('Content Calendar'!$G$5:$G$604,MATCH(B62,'Content Calendar'!$A$5:$A$604,0)),"Not found"))</f>
        <v>0</v>
      </c>
      <c r="E62" s="16">
        <f>IF(B62="","",IFERROR(INDEX('Content Calendar'!$B$5:$B$604,MATCH(B62,'Content Calendar'!$A$5:$A$604,0)),"Not found"))</f>
        <v>0</v>
      </c>
      <c r="F62" s="24">
        <f>IF(B62="","",IFERROR(SUMIFS(Performance!$Z$5:$Z$404,Performance!$B$5:$B$404,B62)/SUMIFS(Performance!$O$5:$O$404,Performance!$B$5:$B$404,B62),""))</f>
        <v>0</v>
      </c>
      <c r="S62" s="23">
        <f>IF(B62="","",COUNTIF(Repurposing!$B$5:$B$154,B62))</f>
        <v>0</v>
      </c>
      <c r="T62" s="23">
        <f>IF(OR(O62="",P62="Published",P62="Not suitable"),"",MAX(0,TODAY()-O62))</f>
        <v>0</v>
      </c>
      <c r="U62" s="29">
        <f>IF(B62="","",IF(C62="Not found","Check - content ID not on the calendar",IF(AND(P62="Published",R62=""),"Add - link missing",IF(AND(T62&lt;&gt;"",T62&gt;0),"Overdue - past the deadline",IF(AND(P62="Planned",O62=""),"Add - no deadline set","OK")))))</f>
        <v>0</v>
      </c>
    </row>
    <row r="63" spans="1:21">
      <c r="A63" s="41">
        <f>IF(B63="","","RP-"&amp;TEXT(ROW()-4,"000"))</f>
        <v>0</v>
      </c>
      <c r="C63" s="17">
        <f>IF(B63="","",IFERROR(INDEX('Content Calendar'!$H$5:$H$604,MATCH(B63,'Content Calendar'!$A$5:$A$604,0)),"Not found"))</f>
        <v>0</v>
      </c>
      <c r="D63" s="17">
        <f>IF(B63="","",IFERROR(INDEX('Content Calendar'!$G$5:$G$604,MATCH(B63,'Content Calendar'!$A$5:$A$604,0)),"Not found"))</f>
        <v>0</v>
      </c>
      <c r="E63" s="16">
        <f>IF(B63="","",IFERROR(INDEX('Content Calendar'!$B$5:$B$604,MATCH(B63,'Content Calendar'!$A$5:$A$604,0)),"Not found"))</f>
        <v>0</v>
      </c>
      <c r="F63" s="24">
        <f>IF(B63="","",IFERROR(SUMIFS(Performance!$Z$5:$Z$404,Performance!$B$5:$B$404,B63)/SUMIFS(Performance!$O$5:$O$404,Performance!$B$5:$B$404,B63),""))</f>
        <v>0</v>
      </c>
      <c r="S63" s="23">
        <f>IF(B63="","",COUNTIF(Repurposing!$B$5:$B$154,B63))</f>
        <v>0</v>
      </c>
      <c r="T63" s="23">
        <f>IF(OR(O63="",P63="Published",P63="Not suitable"),"",MAX(0,TODAY()-O63))</f>
        <v>0</v>
      </c>
      <c r="U63" s="29">
        <f>IF(B63="","",IF(C63="Not found","Check - content ID not on the calendar",IF(AND(P63="Published",R63=""),"Add - link missing",IF(AND(T63&lt;&gt;"",T63&gt;0),"Overdue - past the deadline",IF(AND(P63="Planned",O63=""),"Add - no deadline set","OK")))))</f>
        <v>0</v>
      </c>
    </row>
    <row r="64" spans="1:21">
      <c r="A64" s="41">
        <f>IF(B64="","","RP-"&amp;TEXT(ROW()-4,"000"))</f>
        <v>0</v>
      </c>
      <c r="C64" s="17">
        <f>IF(B64="","",IFERROR(INDEX('Content Calendar'!$H$5:$H$604,MATCH(B64,'Content Calendar'!$A$5:$A$604,0)),"Not found"))</f>
        <v>0</v>
      </c>
      <c r="D64" s="17">
        <f>IF(B64="","",IFERROR(INDEX('Content Calendar'!$G$5:$G$604,MATCH(B64,'Content Calendar'!$A$5:$A$604,0)),"Not found"))</f>
        <v>0</v>
      </c>
      <c r="E64" s="16">
        <f>IF(B64="","",IFERROR(INDEX('Content Calendar'!$B$5:$B$604,MATCH(B64,'Content Calendar'!$A$5:$A$604,0)),"Not found"))</f>
        <v>0</v>
      </c>
      <c r="F64" s="24">
        <f>IF(B64="","",IFERROR(SUMIFS(Performance!$Z$5:$Z$404,Performance!$B$5:$B$404,B64)/SUMIFS(Performance!$O$5:$O$404,Performance!$B$5:$B$404,B64),""))</f>
        <v>0</v>
      </c>
      <c r="S64" s="23">
        <f>IF(B64="","",COUNTIF(Repurposing!$B$5:$B$154,B64))</f>
        <v>0</v>
      </c>
      <c r="T64" s="23">
        <f>IF(OR(O64="",P64="Published",P64="Not suitable"),"",MAX(0,TODAY()-O64))</f>
        <v>0</v>
      </c>
      <c r="U64" s="29">
        <f>IF(B64="","",IF(C64="Not found","Check - content ID not on the calendar",IF(AND(P64="Published",R64=""),"Add - link missing",IF(AND(T64&lt;&gt;"",T64&gt;0),"Overdue - past the deadline",IF(AND(P64="Planned",O64=""),"Add - no deadline set","OK")))))</f>
        <v>0</v>
      </c>
    </row>
    <row r="65" spans="1:21">
      <c r="A65" s="41">
        <f>IF(B65="","","RP-"&amp;TEXT(ROW()-4,"000"))</f>
        <v>0</v>
      </c>
      <c r="C65" s="17">
        <f>IF(B65="","",IFERROR(INDEX('Content Calendar'!$H$5:$H$604,MATCH(B65,'Content Calendar'!$A$5:$A$604,0)),"Not found"))</f>
        <v>0</v>
      </c>
      <c r="D65" s="17">
        <f>IF(B65="","",IFERROR(INDEX('Content Calendar'!$G$5:$G$604,MATCH(B65,'Content Calendar'!$A$5:$A$604,0)),"Not found"))</f>
        <v>0</v>
      </c>
      <c r="E65" s="16">
        <f>IF(B65="","",IFERROR(INDEX('Content Calendar'!$B$5:$B$604,MATCH(B65,'Content Calendar'!$A$5:$A$604,0)),"Not found"))</f>
        <v>0</v>
      </c>
      <c r="F65" s="24">
        <f>IF(B65="","",IFERROR(SUMIFS(Performance!$Z$5:$Z$404,Performance!$B$5:$B$404,B65)/SUMIFS(Performance!$O$5:$O$404,Performance!$B$5:$B$404,B65),""))</f>
        <v>0</v>
      </c>
      <c r="S65" s="23">
        <f>IF(B65="","",COUNTIF(Repurposing!$B$5:$B$154,B65))</f>
        <v>0</v>
      </c>
      <c r="T65" s="23">
        <f>IF(OR(O65="",P65="Published",P65="Not suitable"),"",MAX(0,TODAY()-O65))</f>
        <v>0</v>
      </c>
      <c r="U65" s="29">
        <f>IF(B65="","",IF(C65="Not found","Check - content ID not on the calendar",IF(AND(P65="Published",R65=""),"Add - link missing",IF(AND(T65&lt;&gt;"",T65&gt;0),"Overdue - past the deadline",IF(AND(P65="Planned",O65=""),"Add - no deadline set","OK")))))</f>
        <v>0</v>
      </c>
    </row>
    <row r="66" spans="1:21">
      <c r="A66" s="41">
        <f>IF(B66="","","RP-"&amp;TEXT(ROW()-4,"000"))</f>
        <v>0</v>
      </c>
      <c r="C66" s="17">
        <f>IF(B66="","",IFERROR(INDEX('Content Calendar'!$H$5:$H$604,MATCH(B66,'Content Calendar'!$A$5:$A$604,0)),"Not found"))</f>
        <v>0</v>
      </c>
      <c r="D66" s="17">
        <f>IF(B66="","",IFERROR(INDEX('Content Calendar'!$G$5:$G$604,MATCH(B66,'Content Calendar'!$A$5:$A$604,0)),"Not found"))</f>
        <v>0</v>
      </c>
      <c r="E66" s="16">
        <f>IF(B66="","",IFERROR(INDEX('Content Calendar'!$B$5:$B$604,MATCH(B66,'Content Calendar'!$A$5:$A$604,0)),"Not found"))</f>
        <v>0</v>
      </c>
      <c r="F66" s="24">
        <f>IF(B66="","",IFERROR(SUMIFS(Performance!$Z$5:$Z$404,Performance!$B$5:$B$404,B66)/SUMIFS(Performance!$O$5:$O$404,Performance!$B$5:$B$404,B66),""))</f>
        <v>0</v>
      </c>
      <c r="S66" s="23">
        <f>IF(B66="","",COUNTIF(Repurposing!$B$5:$B$154,B66))</f>
        <v>0</v>
      </c>
      <c r="T66" s="23">
        <f>IF(OR(O66="",P66="Published",P66="Not suitable"),"",MAX(0,TODAY()-O66))</f>
        <v>0</v>
      </c>
      <c r="U66" s="29">
        <f>IF(B66="","",IF(C66="Not found","Check - content ID not on the calendar",IF(AND(P66="Published",R66=""),"Add - link missing",IF(AND(T66&lt;&gt;"",T66&gt;0),"Overdue - past the deadline",IF(AND(P66="Planned",O66=""),"Add - no deadline set","OK")))))</f>
        <v>0</v>
      </c>
    </row>
    <row r="67" spans="1:21">
      <c r="A67" s="41">
        <f>IF(B67="","","RP-"&amp;TEXT(ROW()-4,"000"))</f>
        <v>0</v>
      </c>
      <c r="C67" s="17">
        <f>IF(B67="","",IFERROR(INDEX('Content Calendar'!$H$5:$H$604,MATCH(B67,'Content Calendar'!$A$5:$A$604,0)),"Not found"))</f>
        <v>0</v>
      </c>
      <c r="D67" s="17">
        <f>IF(B67="","",IFERROR(INDEX('Content Calendar'!$G$5:$G$604,MATCH(B67,'Content Calendar'!$A$5:$A$604,0)),"Not found"))</f>
        <v>0</v>
      </c>
      <c r="E67" s="16">
        <f>IF(B67="","",IFERROR(INDEX('Content Calendar'!$B$5:$B$604,MATCH(B67,'Content Calendar'!$A$5:$A$604,0)),"Not found"))</f>
        <v>0</v>
      </c>
      <c r="F67" s="24">
        <f>IF(B67="","",IFERROR(SUMIFS(Performance!$Z$5:$Z$404,Performance!$B$5:$B$404,B67)/SUMIFS(Performance!$O$5:$O$404,Performance!$B$5:$B$404,B67),""))</f>
        <v>0</v>
      </c>
      <c r="S67" s="23">
        <f>IF(B67="","",COUNTIF(Repurposing!$B$5:$B$154,B67))</f>
        <v>0</v>
      </c>
      <c r="T67" s="23">
        <f>IF(OR(O67="",P67="Published",P67="Not suitable"),"",MAX(0,TODAY()-O67))</f>
        <v>0</v>
      </c>
      <c r="U67" s="29">
        <f>IF(B67="","",IF(C67="Not found","Check - content ID not on the calendar",IF(AND(P67="Published",R67=""),"Add - link missing",IF(AND(T67&lt;&gt;"",T67&gt;0),"Overdue - past the deadline",IF(AND(P67="Planned",O67=""),"Add - no deadline set","OK")))))</f>
        <v>0</v>
      </c>
    </row>
    <row r="68" spans="1:21">
      <c r="A68" s="41">
        <f>IF(B68="","","RP-"&amp;TEXT(ROW()-4,"000"))</f>
        <v>0</v>
      </c>
      <c r="C68" s="17">
        <f>IF(B68="","",IFERROR(INDEX('Content Calendar'!$H$5:$H$604,MATCH(B68,'Content Calendar'!$A$5:$A$604,0)),"Not found"))</f>
        <v>0</v>
      </c>
      <c r="D68" s="17">
        <f>IF(B68="","",IFERROR(INDEX('Content Calendar'!$G$5:$G$604,MATCH(B68,'Content Calendar'!$A$5:$A$604,0)),"Not found"))</f>
        <v>0</v>
      </c>
      <c r="E68" s="16">
        <f>IF(B68="","",IFERROR(INDEX('Content Calendar'!$B$5:$B$604,MATCH(B68,'Content Calendar'!$A$5:$A$604,0)),"Not found"))</f>
        <v>0</v>
      </c>
      <c r="F68" s="24">
        <f>IF(B68="","",IFERROR(SUMIFS(Performance!$Z$5:$Z$404,Performance!$B$5:$B$404,B68)/SUMIFS(Performance!$O$5:$O$404,Performance!$B$5:$B$404,B68),""))</f>
        <v>0</v>
      </c>
      <c r="S68" s="23">
        <f>IF(B68="","",COUNTIF(Repurposing!$B$5:$B$154,B68))</f>
        <v>0</v>
      </c>
      <c r="T68" s="23">
        <f>IF(OR(O68="",P68="Published",P68="Not suitable"),"",MAX(0,TODAY()-O68))</f>
        <v>0</v>
      </c>
      <c r="U68" s="29">
        <f>IF(B68="","",IF(C68="Not found","Check - content ID not on the calendar",IF(AND(P68="Published",R68=""),"Add - link missing",IF(AND(T68&lt;&gt;"",T68&gt;0),"Overdue - past the deadline",IF(AND(P68="Planned",O68=""),"Add - no deadline set","OK")))))</f>
        <v>0</v>
      </c>
    </row>
    <row r="69" spans="1:21">
      <c r="A69" s="41">
        <f>IF(B69="","","RP-"&amp;TEXT(ROW()-4,"000"))</f>
        <v>0</v>
      </c>
      <c r="C69" s="17">
        <f>IF(B69="","",IFERROR(INDEX('Content Calendar'!$H$5:$H$604,MATCH(B69,'Content Calendar'!$A$5:$A$604,0)),"Not found"))</f>
        <v>0</v>
      </c>
      <c r="D69" s="17">
        <f>IF(B69="","",IFERROR(INDEX('Content Calendar'!$G$5:$G$604,MATCH(B69,'Content Calendar'!$A$5:$A$604,0)),"Not found"))</f>
        <v>0</v>
      </c>
      <c r="E69" s="16">
        <f>IF(B69="","",IFERROR(INDEX('Content Calendar'!$B$5:$B$604,MATCH(B69,'Content Calendar'!$A$5:$A$604,0)),"Not found"))</f>
        <v>0</v>
      </c>
      <c r="F69" s="24">
        <f>IF(B69="","",IFERROR(SUMIFS(Performance!$Z$5:$Z$404,Performance!$B$5:$B$404,B69)/SUMIFS(Performance!$O$5:$O$404,Performance!$B$5:$B$404,B69),""))</f>
        <v>0</v>
      </c>
      <c r="S69" s="23">
        <f>IF(B69="","",COUNTIF(Repurposing!$B$5:$B$154,B69))</f>
        <v>0</v>
      </c>
      <c r="T69" s="23">
        <f>IF(OR(O69="",P69="Published",P69="Not suitable"),"",MAX(0,TODAY()-O69))</f>
        <v>0</v>
      </c>
      <c r="U69" s="29">
        <f>IF(B69="","",IF(C69="Not found","Check - content ID not on the calendar",IF(AND(P69="Published",R69=""),"Add - link missing",IF(AND(T69&lt;&gt;"",T69&gt;0),"Overdue - past the deadline",IF(AND(P69="Planned",O69=""),"Add - no deadline set","OK")))))</f>
        <v>0</v>
      </c>
    </row>
    <row r="70" spans="1:21">
      <c r="A70" s="41">
        <f>IF(B70="","","RP-"&amp;TEXT(ROW()-4,"000"))</f>
        <v>0</v>
      </c>
      <c r="C70" s="17">
        <f>IF(B70="","",IFERROR(INDEX('Content Calendar'!$H$5:$H$604,MATCH(B70,'Content Calendar'!$A$5:$A$604,0)),"Not found"))</f>
        <v>0</v>
      </c>
      <c r="D70" s="17">
        <f>IF(B70="","",IFERROR(INDEX('Content Calendar'!$G$5:$G$604,MATCH(B70,'Content Calendar'!$A$5:$A$604,0)),"Not found"))</f>
        <v>0</v>
      </c>
      <c r="E70" s="16">
        <f>IF(B70="","",IFERROR(INDEX('Content Calendar'!$B$5:$B$604,MATCH(B70,'Content Calendar'!$A$5:$A$604,0)),"Not found"))</f>
        <v>0</v>
      </c>
      <c r="F70" s="24">
        <f>IF(B70="","",IFERROR(SUMIFS(Performance!$Z$5:$Z$404,Performance!$B$5:$B$404,B70)/SUMIFS(Performance!$O$5:$O$404,Performance!$B$5:$B$404,B70),""))</f>
        <v>0</v>
      </c>
      <c r="S70" s="23">
        <f>IF(B70="","",COUNTIF(Repurposing!$B$5:$B$154,B70))</f>
        <v>0</v>
      </c>
      <c r="T70" s="23">
        <f>IF(OR(O70="",P70="Published",P70="Not suitable"),"",MAX(0,TODAY()-O70))</f>
        <v>0</v>
      </c>
      <c r="U70" s="29">
        <f>IF(B70="","",IF(C70="Not found","Check - content ID not on the calendar",IF(AND(P70="Published",R70=""),"Add - link missing",IF(AND(T70&lt;&gt;"",T70&gt;0),"Overdue - past the deadline",IF(AND(P70="Planned",O70=""),"Add - no deadline set","OK")))))</f>
        <v>0</v>
      </c>
    </row>
    <row r="71" spans="1:21">
      <c r="A71" s="41">
        <f>IF(B71="","","RP-"&amp;TEXT(ROW()-4,"000"))</f>
        <v>0</v>
      </c>
      <c r="C71" s="17">
        <f>IF(B71="","",IFERROR(INDEX('Content Calendar'!$H$5:$H$604,MATCH(B71,'Content Calendar'!$A$5:$A$604,0)),"Not found"))</f>
        <v>0</v>
      </c>
      <c r="D71" s="17">
        <f>IF(B71="","",IFERROR(INDEX('Content Calendar'!$G$5:$G$604,MATCH(B71,'Content Calendar'!$A$5:$A$604,0)),"Not found"))</f>
        <v>0</v>
      </c>
      <c r="E71" s="16">
        <f>IF(B71="","",IFERROR(INDEX('Content Calendar'!$B$5:$B$604,MATCH(B71,'Content Calendar'!$A$5:$A$604,0)),"Not found"))</f>
        <v>0</v>
      </c>
      <c r="F71" s="24">
        <f>IF(B71="","",IFERROR(SUMIFS(Performance!$Z$5:$Z$404,Performance!$B$5:$B$404,B71)/SUMIFS(Performance!$O$5:$O$404,Performance!$B$5:$B$404,B71),""))</f>
        <v>0</v>
      </c>
      <c r="S71" s="23">
        <f>IF(B71="","",COUNTIF(Repurposing!$B$5:$B$154,B71))</f>
        <v>0</v>
      </c>
      <c r="T71" s="23">
        <f>IF(OR(O71="",P71="Published",P71="Not suitable"),"",MAX(0,TODAY()-O71))</f>
        <v>0</v>
      </c>
      <c r="U71" s="29">
        <f>IF(B71="","",IF(C71="Not found","Check - content ID not on the calendar",IF(AND(P71="Published",R71=""),"Add - link missing",IF(AND(T71&lt;&gt;"",T71&gt;0),"Overdue - past the deadline",IF(AND(P71="Planned",O71=""),"Add - no deadline set","OK")))))</f>
        <v>0</v>
      </c>
    </row>
    <row r="72" spans="1:21">
      <c r="A72" s="41">
        <f>IF(B72="","","RP-"&amp;TEXT(ROW()-4,"000"))</f>
        <v>0</v>
      </c>
      <c r="C72" s="17">
        <f>IF(B72="","",IFERROR(INDEX('Content Calendar'!$H$5:$H$604,MATCH(B72,'Content Calendar'!$A$5:$A$604,0)),"Not found"))</f>
        <v>0</v>
      </c>
      <c r="D72" s="17">
        <f>IF(B72="","",IFERROR(INDEX('Content Calendar'!$G$5:$G$604,MATCH(B72,'Content Calendar'!$A$5:$A$604,0)),"Not found"))</f>
        <v>0</v>
      </c>
      <c r="E72" s="16">
        <f>IF(B72="","",IFERROR(INDEX('Content Calendar'!$B$5:$B$604,MATCH(B72,'Content Calendar'!$A$5:$A$604,0)),"Not found"))</f>
        <v>0</v>
      </c>
      <c r="F72" s="24">
        <f>IF(B72="","",IFERROR(SUMIFS(Performance!$Z$5:$Z$404,Performance!$B$5:$B$404,B72)/SUMIFS(Performance!$O$5:$O$404,Performance!$B$5:$B$404,B72),""))</f>
        <v>0</v>
      </c>
      <c r="S72" s="23">
        <f>IF(B72="","",COUNTIF(Repurposing!$B$5:$B$154,B72))</f>
        <v>0</v>
      </c>
      <c r="T72" s="23">
        <f>IF(OR(O72="",P72="Published",P72="Not suitable"),"",MAX(0,TODAY()-O72))</f>
        <v>0</v>
      </c>
      <c r="U72" s="29">
        <f>IF(B72="","",IF(C72="Not found","Check - content ID not on the calendar",IF(AND(P72="Published",R72=""),"Add - link missing",IF(AND(T72&lt;&gt;"",T72&gt;0),"Overdue - past the deadline",IF(AND(P72="Planned",O72=""),"Add - no deadline set","OK")))))</f>
        <v>0</v>
      </c>
    </row>
    <row r="73" spans="1:21">
      <c r="A73" s="41">
        <f>IF(B73="","","RP-"&amp;TEXT(ROW()-4,"000"))</f>
        <v>0</v>
      </c>
      <c r="C73" s="17">
        <f>IF(B73="","",IFERROR(INDEX('Content Calendar'!$H$5:$H$604,MATCH(B73,'Content Calendar'!$A$5:$A$604,0)),"Not found"))</f>
        <v>0</v>
      </c>
      <c r="D73" s="17">
        <f>IF(B73="","",IFERROR(INDEX('Content Calendar'!$G$5:$G$604,MATCH(B73,'Content Calendar'!$A$5:$A$604,0)),"Not found"))</f>
        <v>0</v>
      </c>
      <c r="E73" s="16">
        <f>IF(B73="","",IFERROR(INDEX('Content Calendar'!$B$5:$B$604,MATCH(B73,'Content Calendar'!$A$5:$A$604,0)),"Not found"))</f>
        <v>0</v>
      </c>
      <c r="F73" s="24">
        <f>IF(B73="","",IFERROR(SUMIFS(Performance!$Z$5:$Z$404,Performance!$B$5:$B$404,B73)/SUMIFS(Performance!$O$5:$O$404,Performance!$B$5:$B$404,B73),""))</f>
        <v>0</v>
      </c>
      <c r="S73" s="23">
        <f>IF(B73="","",COUNTIF(Repurposing!$B$5:$B$154,B73))</f>
        <v>0</v>
      </c>
      <c r="T73" s="23">
        <f>IF(OR(O73="",P73="Published",P73="Not suitable"),"",MAX(0,TODAY()-O73))</f>
        <v>0</v>
      </c>
      <c r="U73" s="29">
        <f>IF(B73="","",IF(C73="Not found","Check - content ID not on the calendar",IF(AND(P73="Published",R73=""),"Add - link missing",IF(AND(T73&lt;&gt;"",T73&gt;0),"Overdue - past the deadline",IF(AND(P73="Planned",O73=""),"Add - no deadline set","OK")))))</f>
        <v>0</v>
      </c>
    </row>
    <row r="74" spans="1:21">
      <c r="A74" s="41">
        <f>IF(B74="","","RP-"&amp;TEXT(ROW()-4,"000"))</f>
        <v>0</v>
      </c>
      <c r="C74" s="17">
        <f>IF(B74="","",IFERROR(INDEX('Content Calendar'!$H$5:$H$604,MATCH(B74,'Content Calendar'!$A$5:$A$604,0)),"Not found"))</f>
        <v>0</v>
      </c>
      <c r="D74" s="17">
        <f>IF(B74="","",IFERROR(INDEX('Content Calendar'!$G$5:$G$604,MATCH(B74,'Content Calendar'!$A$5:$A$604,0)),"Not found"))</f>
        <v>0</v>
      </c>
      <c r="E74" s="16">
        <f>IF(B74="","",IFERROR(INDEX('Content Calendar'!$B$5:$B$604,MATCH(B74,'Content Calendar'!$A$5:$A$604,0)),"Not found"))</f>
        <v>0</v>
      </c>
      <c r="F74" s="24">
        <f>IF(B74="","",IFERROR(SUMIFS(Performance!$Z$5:$Z$404,Performance!$B$5:$B$404,B74)/SUMIFS(Performance!$O$5:$O$404,Performance!$B$5:$B$404,B74),""))</f>
        <v>0</v>
      </c>
      <c r="S74" s="23">
        <f>IF(B74="","",COUNTIF(Repurposing!$B$5:$B$154,B74))</f>
        <v>0</v>
      </c>
      <c r="T74" s="23">
        <f>IF(OR(O74="",P74="Published",P74="Not suitable"),"",MAX(0,TODAY()-O74))</f>
        <v>0</v>
      </c>
      <c r="U74" s="29">
        <f>IF(B74="","",IF(C74="Not found","Check - content ID not on the calendar",IF(AND(P74="Published",R74=""),"Add - link missing",IF(AND(T74&lt;&gt;"",T74&gt;0),"Overdue - past the deadline",IF(AND(P74="Planned",O74=""),"Add - no deadline set","OK")))))</f>
        <v>0</v>
      </c>
    </row>
    <row r="75" spans="1:21">
      <c r="A75" s="41">
        <f>IF(B75="","","RP-"&amp;TEXT(ROW()-4,"000"))</f>
        <v>0</v>
      </c>
      <c r="C75" s="17">
        <f>IF(B75="","",IFERROR(INDEX('Content Calendar'!$H$5:$H$604,MATCH(B75,'Content Calendar'!$A$5:$A$604,0)),"Not found"))</f>
        <v>0</v>
      </c>
      <c r="D75" s="17">
        <f>IF(B75="","",IFERROR(INDEX('Content Calendar'!$G$5:$G$604,MATCH(B75,'Content Calendar'!$A$5:$A$604,0)),"Not found"))</f>
        <v>0</v>
      </c>
      <c r="E75" s="16">
        <f>IF(B75="","",IFERROR(INDEX('Content Calendar'!$B$5:$B$604,MATCH(B75,'Content Calendar'!$A$5:$A$604,0)),"Not found"))</f>
        <v>0</v>
      </c>
      <c r="F75" s="24">
        <f>IF(B75="","",IFERROR(SUMIFS(Performance!$Z$5:$Z$404,Performance!$B$5:$B$404,B75)/SUMIFS(Performance!$O$5:$O$404,Performance!$B$5:$B$404,B75),""))</f>
        <v>0</v>
      </c>
      <c r="S75" s="23">
        <f>IF(B75="","",COUNTIF(Repurposing!$B$5:$B$154,B75))</f>
        <v>0</v>
      </c>
      <c r="T75" s="23">
        <f>IF(OR(O75="",P75="Published",P75="Not suitable"),"",MAX(0,TODAY()-O75))</f>
        <v>0</v>
      </c>
      <c r="U75" s="29">
        <f>IF(B75="","",IF(C75="Not found","Check - content ID not on the calendar",IF(AND(P75="Published",R75=""),"Add - link missing",IF(AND(T75&lt;&gt;"",T75&gt;0),"Overdue - past the deadline",IF(AND(P75="Planned",O75=""),"Add - no deadline set","OK")))))</f>
        <v>0</v>
      </c>
    </row>
    <row r="76" spans="1:21">
      <c r="A76" s="41">
        <f>IF(B76="","","RP-"&amp;TEXT(ROW()-4,"000"))</f>
        <v>0</v>
      </c>
      <c r="C76" s="17">
        <f>IF(B76="","",IFERROR(INDEX('Content Calendar'!$H$5:$H$604,MATCH(B76,'Content Calendar'!$A$5:$A$604,0)),"Not found"))</f>
        <v>0</v>
      </c>
      <c r="D76" s="17">
        <f>IF(B76="","",IFERROR(INDEX('Content Calendar'!$G$5:$G$604,MATCH(B76,'Content Calendar'!$A$5:$A$604,0)),"Not found"))</f>
        <v>0</v>
      </c>
      <c r="E76" s="16">
        <f>IF(B76="","",IFERROR(INDEX('Content Calendar'!$B$5:$B$604,MATCH(B76,'Content Calendar'!$A$5:$A$604,0)),"Not found"))</f>
        <v>0</v>
      </c>
      <c r="F76" s="24">
        <f>IF(B76="","",IFERROR(SUMIFS(Performance!$Z$5:$Z$404,Performance!$B$5:$B$404,B76)/SUMIFS(Performance!$O$5:$O$404,Performance!$B$5:$B$404,B76),""))</f>
        <v>0</v>
      </c>
      <c r="S76" s="23">
        <f>IF(B76="","",COUNTIF(Repurposing!$B$5:$B$154,B76))</f>
        <v>0</v>
      </c>
      <c r="T76" s="23">
        <f>IF(OR(O76="",P76="Published",P76="Not suitable"),"",MAX(0,TODAY()-O76))</f>
        <v>0</v>
      </c>
      <c r="U76" s="29">
        <f>IF(B76="","",IF(C76="Not found","Check - content ID not on the calendar",IF(AND(P76="Published",R76=""),"Add - link missing",IF(AND(T76&lt;&gt;"",T76&gt;0),"Overdue - past the deadline",IF(AND(P76="Planned",O76=""),"Add - no deadline set","OK")))))</f>
        <v>0</v>
      </c>
    </row>
    <row r="77" spans="1:21">
      <c r="A77" s="41">
        <f>IF(B77="","","RP-"&amp;TEXT(ROW()-4,"000"))</f>
        <v>0</v>
      </c>
      <c r="C77" s="17">
        <f>IF(B77="","",IFERROR(INDEX('Content Calendar'!$H$5:$H$604,MATCH(B77,'Content Calendar'!$A$5:$A$604,0)),"Not found"))</f>
        <v>0</v>
      </c>
      <c r="D77" s="17">
        <f>IF(B77="","",IFERROR(INDEX('Content Calendar'!$G$5:$G$604,MATCH(B77,'Content Calendar'!$A$5:$A$604,0)),"Not found"))</f>
        <v>0</v>
      </c>
      <c r="E77" s="16">
        <f>IF(B77="","",IFERROR(INDEX('Content Calendar'!$B$5:$B$604,MATCH(B77,'Content Calendar'!$A$5:$A$604,0)),"Not found"))</f>
        <v>0</v>
      </c>
      <c r="F77" s="24">
        <f>IF(B77="","",IFERROR(SUMIFS(Performance!$Z$5:$Z$404,Performance!$B$5:$B$404,B77)/SUMIFS(Performance!$O$5:$O$404,Performance!$B$5:$B$404,B77),""))</f>
        <v>0</v>
      </c>
      <c r="S77" s="23">
        <f>IF(B77="","",COUNTIF(Repurposing!$B$5:$B$154,B77))</f>
        <v>0</v>
      </c>
      <c r="T77" s="23">
        <f>IF(OR(O77="",P77="Published",P77="Not suitable"),"",MAX(0,TODAY()-O77))</f>
        <v>0</v>
      </c>
      <c r="U77" s="29">
        <f>IF(B77="","",IF(C77="Not found","Check - content ID not on the calendar",IF(AND(P77="Published",R77=""),"Add - link missing",IF(AND(T77&lt;&gt;"",T77&gt;0),"Overdue - past the deadline",IF(AND(P77="Planned",O77=""),"Add - no deadline set","OK")))))</f>
        <v>0</v>
      </c>
    </row>
    <row r="78" spans="1:21">
      <c r="A78" s="41">
        <f>IF(B78="","","RP-"&amp;TEXT(ROW()-4,"000"))</f>
        <v>0</v>
      </c>
      <c r="C78" s="17">
        <f>IF(B78="","",IFERROR(INDEX('Content Calendar'!$H$5:$H$604,MATCH(B78,'Content Calendar'!$A$5:$A$604,0)),"Not found"))</f>
        <v>0</v>
      </c>
      <c r="D78" s="17">
        <f>IF(B78="","",IFERROR(INDEX('Content Calendar'!$G$5:$G$604,MATCH(B78,'Content Calendar'!$A$5:$A$604,0)),"Not found"))</f>
        <v>0</v>
      </c>
      <c r="E78" s="16">
        <f>IF(B78="","",IFERROR(INDEX('Content Calendar'!$B$5:$B$604,MATCH(B78,'Content Calendar'!$A$5:$A$604,0)),"Not found"))</f>
        <v>0</v>
      </c>
      <c r="F78" s="24">
        <f>IF(B78="","",IFERROR(SUMIFS(Performance!$Z$5:$Z$404,Performance!$B$5:$B$404,B78)/SUMIFS(Performance!$O$5:$O$404,Performance!$B$5:$B$404,B78),""))</f>
        <v>0</v>
      </c>
      <c r="S78" s="23">
        <f>IF(B78="","",COUNTIF(Repurposing!$B$5:$B$154,B78))</f>
        <v>0</v>
      </c>
      <c r="T78" s="23">
        <f>IF(OR(O78="",P78="Published",P78="Not suitable"),"",MAX(0,TODAY()-O78))</f>
        <v>0</v>
      </c>
      <c r="U78" s="29">
        <f>IF(B78="","",IF(C78="Not found","Check - content ID not on the calendar",IF(AND(P78="Published",R78=""),"Add - link missing",IF(AND(T78&lt;&gt;"",T78&gt;0),"Overdue - past the deadline",IF(AND(P78="Planned",O78=""),"Add - no deadline set","OK")))))</f>
        <v>0</v>
      </c>
    </row>
    <row r="79" spans="1:21">
      <c r="A79" s="41">
        <f>IF(B79="","","RP-"&amp;TEXT(ROW()-4,"000"))</f>
        <v>0</v>
      </c>
      <c r="C79" s="17">
        <f>IF(B79="","",IFERROR(INDEX('Content Calendar'!$H$5:$H$604,MATCH(B79,'Content Calendar'!$A$5:$A$604,0)),"Not found"))</f>
        <v>0</v>
      </c>
      <c r="D79" s="17">
        <f>IF(B79="","",IFERROR(INDEX('Content Calendar'!$G$5:$G$604,MATCH(B79,'Content Calendar'!$A$5:$A$604,0)),"Not found"))</f>
        <v>0</v>
      </c>
      <c r="E79" s="16">
        <f>IF(B79="","",IFERROR(INDEX('Content Calendar'!$B$5:$B$604,MATCH(B79,'Content Calendar'!$A$5:$A$604,0)),"Not found"))</f>
        <v>0</v>
      </c>
      <c r="F79" s="24">
        <f>IF(B79="","",IFERROR(SUMIFS(Performance!$Z$5:$Z$404,Performance!$B$5:$B$404,B79)/SUMIFS(Performance!$O$5:$O$404,Performance!$B$5:$B$404,B79),""))</f>
        <v>0</v>
      </c>
      <c r="S79" s="23">
        <f>IF(B79="","",COUNTIF(Repurposing!$B$5:$B$154,B79))</f>
        <v>0</v>
      </c>
      <c r="T79" s="23">
        <f>IF(OR(O79="",P79="Published",P79="Not suitable"),"",MAX(0,TODAY()-O79))</f>
        <v>0</v>
      </c>
      <c r="U79" s="29">
        <f>IF(B79="","",IF(C79="Not found","Check - content ID not on the calendar",IF(AND(P79="Published",R79=""),"Add - link missing",IF(AND(T79&lt;&gt;"",T79&gt;0),"Overdue - past the deadline",IF(AND(P79="Planned",O79=""),"Add - no deadline set","OK")))))</f>
        <v>0</v>
      </c>
    </row>
    <row r="80" spans="1:21">
      <c r="A80" s="41">
        <f>IF(B80="","","RP-"&amp;TEXT(ROW()-4,"000"))</f>
        <v>0</v>
      </c>
      <c r="C80" s="17">
        <f>IF(B80="","",IFERROR(INDEX('Content Calendar'!$H$5:$H$604,MATCH(B80,'Content Calendar'!$A$5:$A$604,0)),"Not found"))</f>
        <v>0</v>
      </c>
      <c r="D80" s="17">
        <f>IF(B80="","",IFERROR(INDEX('Content Calendar'!$G$5:$G$604,MATCH(B80,'Content Calendar'!$A$5:$A$604,0)),"Not found"))</f>
        <v>0</v>
      </c>
      <c r="E80" s="16">
        <f>IF(B80="","",IFERROR(INDEX('Content Calendar'!$B$5:$B$604,MATCH(B80,'Content Calendar'!$A$5:$A$604,0)),"Not found"))</f>
        <v>0</v>
      </c>
      <c r="F80" s="24">
        <f>IF(B80="","",IFERROR(SUMIFS(Performance!$Z$5:$Z$404,Performance!$B$5:$B$404,B80)/SUMIFS(Performance!$O$5:$O$404,Performance!$B$5:$B$404,B80),""))</f>
        <v>0</v>
      </c>
      <c r="S80" s="23">
        <f>IF(B80="","",COUNTIF(Repurposing!$B$5:$B$154,B80))</f>
        <v>0</v>
      </c>
      <c r="T80" s="23">
        <f>IF(OR(O80="",P80="Published",P80="Not suitable"),"",MAX(0,TODAY()-O80))</f>
        <v>0</v>
      </c>
      <c r="U80" s="29">
        <f>IF(B80="","",IF(C80="Not found","Check - content ID not on the calendar",IF(AND(P80="Published",R80=""),"Add - link missing",IF(AND(T80&lt;&gt;"",T80&gt;0),"Overdue - past the deadline",IF(AND(P80="Planned",O80=""),"Add - no deadline set","OK")))))</f>
        <v>0</v>
      </c>
    </row>
    <row r="81" spans="1:21">
      <c r="A81" s="41">
        <f>IF(B81="","","RP-"&amp;TEXT(ROW()-4,"000"))</f>
        <v>0</v>
      </c>
      <c r="C81" s="17">
        <f>IF(B81="","",IFERROR(INDEX('Content Calendar'!$H$5:$H$604,MATCH(B81,'Content Calendar'!$A$5:$A$604,0)),"Not found"))</f>
        <v>0</v>
      </c>
      <c r="D81" s="17">
        <f>IF(B81="","",IFERROR(INDEX('Content Calendar'!$G$5:$G$604,MATCH(B81,'Content Calendar'!$A$5:$A$604,0)),"Not found"))</f>
        <v>0</v>
      </c>
      <c r="E81" s="16">
        <f>IF(B81="","",IFERROR(INDEX('Content Calendar'!$B$5:$B$604,MATCH(B81,'Content Calendar'!$A$5:$A$604,0)),"Not found"))</f>
        <v>0</v>
      </c>
      <c r="F81" s="24">
        <f>IF(B81="","",IFERROR(SUMIFS(Performance!$Z$5:$Z$404,Performance!$B$5:$B$404,B81)/SUMIFS(Performance!$O$5:$O$404,Performance!$B$5:$B$404,B81),""))</f>
        <v>0</v>
      </c>
      <c r="S81" s="23">
        <f>IF(B81="","",COUNTIF(Repurposing!$B$5:$B$154,B81))</f>
        <v>0</v>
      </c>
      <c r="T81" s="23">
        <f>IF(OR(O81="",P81="Published",P81="Not suitable"),"",MAX(0,TODAY()-O81))</f>
        <v>0</v>
      </c>
      <c r="U81" s="29">
        <f>IF(B81="","",IF(C81="Not found","Check - content ID not on the calendar",IF(AND(P81="Published",R81=""),"Add - link missing",IF(AND(T81&lt;&gt;"",T81&gt;0),"Overdue - past the deadline",IF(AND(P81="Planned",O81=""),"Add - no deadline set","OK")))))</f>
        <v>0</v>
      </c>
    </row>
    <row r="82" spans="1:21">
      <c r="A82" s="41">
        <f>IF(B82="","","RP-"&amp;TEXT(ROW()-4,"000"))</f>
        <v>0</v>
      </c>
      <c r="C82" s="17">
        <f>IF(B82="","",IFERROR(INDEX('Content Calendar'!$H$5:$H$604,MATCH(B82,'Content Calendar'!$A$5:$A$604,0)),"Not found"))</f>
        <v>0</v>
      </c>
      <c r="D82" s="17">
        <f>IF(B82="","",IFERROR(INDEX('Content Calendar'!$G$5:$G$604,MATCH(B82,'Content Calendar'!$A$5:$A$604,0)),"Not found"))</f>
        <v>0</v>
      </c>
      <c r="E82" s="16">
        <f>IF(B82="","",IFERROR(INDEX('Content Calendar'!$B$5:$B$604,MATCH(B82,'Content Calendar'!$A$5:$A$604,0)),"Not found"))</f>
        <v>0</v>
      </c>
      <c r="F82" s="24">
        <f>IF(B82="","",IFERROR(SUMIFS(Performance!$Z$5:$Z$404,Performance!$B$5:$B$404,B82)/SUMIFS(Performance!$O$5:$O$404,Performance!$B$5:$B$404,B82),""))</f>
        <v>0</v>
      </c>
      <c r="S82" s="23">
        <f>IF(B82="","",COUNTIF(Repurposing!$B$5:$B$154,B82))</f>
        <v>0</v>
      </c>
      <c r="T82" s="23">
        <f>IF(OR(O82="",P82="Published",P82="Not suitable"),"",MAX(0,TODAY()-O82))</f>
        <v>0</v>
      </c>
      <c r="U82" s="29">
        <f>IF(B82="","",IF(C82="Not found","Check - content ID not on the calendar",IF(AND(P82="Published",R82=""),"Add - link missing",IF(AND(T82&lt;&gt;"",T82&gt;0),"Overdue - past the deadline",IF(AND(P82="Planned",O82=""),"Add - no deadline set","OK")))))</f>
        <v>0</v>
      </c>
    </row>
    <row r="83" spans="1:21">
      <c r="A83" s="41">
        <f>IF(B83="","","RP-"&amp;TEXT(ROW()-4,"000"))</f>
        <v>0</v>
      </c>
      <c r="C83" s="17">
        <f>IF(B83="","",IFERROR(INDEX('Content Calendar'!$H$5:$H$604,MATCH(B83,'Content Calendar'!$A$5:$A$604,0)),"Not found"))</f>
        <v>0</v>
      </c>
      <c r="D83" s="17">
        <f>IF(B83="","",IFERROR(INDEX('Content Calendar'!$G$5:$G$604,MATCH(B83,'Content Calendar'!$A$5:$A$604,0)),"Not found"))</f>
        <v>0</v>
      </c>
      <c r="E83" s="16">
        <f>IF(B83="","",IFERROR(INDEX('Content Calendar'!$B$5:$B$604,MATCH(B83,'Content Calendar'!$A$5:$A$604,0)),"Not found"))</f>
        <v>0</v>
      </c>
      <c r="F83" s="24">
        <f>IF(B83="","",IFERROR(SUMIFS(Performance!$Z$5:$Z$404,Performance!$B$5:$B$404,B83)/SUMIFS(Performance!$O$5:$O$404,Performance!$B$5:$B$404,B83),""))</f>
        <v>0</v>
      </c>
      <c r="S83" s="23">
        <f>IF(B83="","",COUNTIF(Repurposing!$B$5:$B$154,B83))</f>
        <v>0</v>
      </c>
      <c r="T83" s="23">
        <f>IF(OR(O83="",P83="Published",P83="Not suitable"),"",MAX(0,TODAY()-O83))</f>
        <v>0</v>
      </c>
      <c r="U83" s="29">
        <f>IF(B83="","",IF(C83="Not found","Check - content ID not on the calendar",IF(AND(P83="Published",R83=""),"Add - link missing",IF(AND(T83&lt;&gt;"",T83&gt;0),"Overdue - past the deadline",IF(AND(P83="Planned",O83=""),"Add - no deadline set","OK")))))</f>
        <v>0</v>
      </c>
    </row>
    <row r="84" spans="1:21">
      <c r="A84" s="41">
        <f>IF(B84="","","RP-"&amp;TEXT(ROW()-4,"000"))</f>
        <v>0</v>
      </c>
      <c r="C84" s="17">
        <f>IF(B84="","",IFERROR(INDEX('Content Calendar'!$H$5:$H$604,MATCH(B84,'Content Calendar'!$A$5:$A$604,0)),"Not found"))</f>
        <v>0</v>
      </c>
      <c r="D84" s="17">
        <f>IF(B84="","",IFERROR(INDEX('Content Calendar'!$G$5:$G$604,MATCH(B84,'Content Calendar'!$A$5:$A$604,0)),"Not found"))</f>
        <v>0</v>
      </c>
      <c r="E84" s="16">
        <f>IF(B84="","",IFERROR(INDEX('Content Calendar'!$B$5:$B$604,MATCH(B84,'Content Calendar'!$A$5:$A$604,0)),"Not found"))</f>
        <v>0</v>
      </c>
      <c r="F84" s="24">
        <f>IF(B84="","",IFERROR(SUMIFS(Performance!$Z$5:$Z$404,Performance!$B$5:$B$404,B84)/SUMIFS(Performance!$O$5:$O$404,Performance!$B$5:$B$404,B84),""))</f>
        <v>0</v>
      </c>
      <c r="S84" s="23">
        <f>IF(B84="","",COUNTIF(Repurposing!$B$5:$B$154,B84))</f>
        <v>0</v>
      </c>
      <c r="T84" s="23">
        <f>IF(OR(O84="",P84="Published",P84="Not suitable"),"",MAX(0,TODAY()-O84))</f>
        <v>0</v>
      </c>
      <c r="U84" s="29">
        <f>IF(B84="","",IF(C84="Not found","Check - content ID not on the calendar",IF(AND(P84="Published",R84=""),"Add - link missing",IF(AND(T84&lt;&gt;"",T84&gt;0),"Overdue - past the deadline",IF(AND(P84="Planned",O84=""),"Add - no deadline set","OK")))))</f>
        <v>0</v>
      </c>
    </row>
    <row r="85" spans="1:21">
      <c r="A85" s="41">
        <f>IF(B85="","","RP-"&amp;TEXT(ROW()-4,"000"))</f>
        <v>0</v>
      </c>
      <c r="C85" s="17">
        <f>IF(B85="","",IFERROR(INDEX('Content Calendar'!$H$5:$H$604,MATCH(B85,'Content Calendar'!$A$5:$A$604,0)),"Not found"))</f>
        <v>0</v>
      </c>
      <c r="D85" s="17">
        <f>IF(B85="","",IFERROR(INDEX('Content Calendar'!$G$5:$G$604,MATCH(B85,'Content Calendar'!$A$5:$A$604,0)),"Not found"))</f>
        <v>0</v>
      </c>
      <c r="E85" s="16">
        <f>IF(B85="","",IFERROR(INDEX('Content Calendar'!$B$5:$B$604,MATCH(B85,'Content Calendar'!$A$5:$A$604,0)),"Not found"))</f>
        <v>0</v>
      </c>
      <c r="F85" s="24">
        <f>IF(B85="","",IFERROR(SUMIFS(Performance!$Z$5:$Z$404,Performance!$B$5:$B$404,B85)/SUMIFS(Performance!$O$5:$O$404,Performance!$B$5:$B$404,B85),""))</f>
        <v>0</v>
      </c>
      <c r="S85" s="23">
        <f>IF(B85="","",COUNTIF(Repurposing!$B$5:$B$154,B85))</f>
        <v>0</v>
      </c>
      <c r="T85" s="23">
        <f>IF(OR(O85="",P85="Published",P85="Not suitable"),"",MAX(0,TODAY()-O85))</f>
        <v>0</v>
      </c>
      <c r="U85" s="29">
        <f>IF(B85="","",IF(C85="Not found","Check - content ID not on the calendar",IF(AND(P85="Published",R85=""),"Add - link missing",IF(AND(T85&lt;&gt;"",T85&gt;0),"Overdue - past the deadline",IF(AND(P85="Planned",O85=""),"Add - no deadline set","OK")))))</f>
        <v>0</v>
      </c>
    </row>
    <row r="86" spans="1:21">
      <c r="A86" s="41">
        <f>IF(B86="","","RP-"&amp;TEXT(ROW()-4,"000"))</f>
        <v>0</v>
      </c>
      <c r="C86" s="17">
        <f>IF(B86="","",IFERROR(INDEX('Content Calendar'!$H$5:$H$604,MATCH(B86,'Content Calendar'!$A$5:$A$604,0)),"Not found"))</f>
        <v>0</v>
      </c>
      <c r="D86" s="17">
        <f>IF(B86="","",IFERROR(INDEX('Content Calendar'!$G$5:$G$604,MATCH(B86,'Content Calendar'!$A$5:$A$604,0)),"Not found"))</f>
        <v>0</v>
      </c>
      <c r="E86" s="16">
        <f>IF(B86="","",IFERROR(INDEX('Content Calendar'!$B$5:$B$604,MATCH(B86,'Content Calendar'!$A$5:$A$604,0)),"Not found"))</f>
        <v>0</v>
      </c>
      <c r="F86" s="24">
        <f>IF(B86="","",IFERROR(SUMIFS(Performance!$Z$5:$Z$404,Performance!$B$5:$B$404,B86)/SUMIFS(Performance!$O$5:$O$404,Performance!$B$5:$B$404,B86),""))</f>
        <v>0</v>
      </c>
      <c r="S86" s="23">
        <f>IF(B86="","",COUNTIF(Repurposing!$B$5:$B$154,B86))</f>
        <v>0</v>
      </c>
      <c r="T86" s="23">
        <f>IF(OR(O86="",P86="Published",P86="Not suitable"),"",MAX(0,TODAY()-O86))</f>
        <v>0</v>
      </c>
      <c r="U86" s="29">
        <f>IF(B86="","",IF(C86="Not found","Check - content ID not on the calendar",IF(AND(P86="Published",R86=""),"Add - link missing",IF(AND(T86&lt;&gt;"",T86&gt;0),"Overdue - past the deadline",IF(AND(P86="Planned",O86=""),"Add - no deadline set","OK")))))</f>
        <v>0</v>
      </c>
    </row>
    <row r="87" spans="1:21">
      <c r="A87" s="41">
        <f>IF(B87="","","RP-"&amp;TEXT(ROW()-4,"000"))</f>
        <v>0</v>
      </c>
      <c r="C87" s="17">
        <f>IF(B87="","",IFERROR(INDEX('Content Calendar'!$H$5:$H$604,MATCH(B87,'Content Calendar'!$A$5:$A$604,0)),"Not found"))</f>
        <v>0</v>
      </c>
      <c r="D87" s="17">
        <f>IF(B87="","",IFERROR(INDEX('Content Calendar'!$G$5:$G$604,MATCH(B87,'Content Calendar'!$A$5:$A$604,0)),"Not found"))</f>
        <v>0</v>
      </c>
      <c r="E87" s="16">
        <f>IF(B87="","",IFERROR(INDEX('Content Calendar'!$B$5:$B$604,MATCH(B87,'Content Calendar'!$A$5:$A$604,0)),"Not found"))</f>
        <v>0</v>
      </c>
      <c r="F87" s="24">
        <f>IF(B87="","",IFERROR(SUMIFS(Performance!$Z$5:$Z$404,Performance!$B$5:$B$404,B87)/SUMIFS(Performance!$O$5:$O$404,Performance!$B$5:$B$404,B87),""))</f>
        <v>0</v>
      </c>
      <c r="S87" s="23">
        <f>IF(B87="","",COUNTIF(Repurposing!$B$5:$B$154,B87))</f>
        <v>0</v>
      </c>
      <c r="T87" s="23">
        <f>IF(OR(O87="",P87="Published",P87="Not suitable"),"",MAX(0,TODAY()-O87))</f>
        <v>0</v>
      </c>
      <c r="U87" s="29">
        <f>IF(B87="","",IF(C87="Not found","Check - content ID not on the calendar",IF(AND(P87="Published",R87=""),"Add - link missing",IF(AND(T87&lt;&gt;"",T87&gt;0),"Overdue - past the deadline",IF(AND(P87="Planned",O87=""),"Add - no deadline set","OK")))))</f>
        <v>0</v>
      </c>
    </row>
    <row r="88" spans="1:21">
      <c r="A88" s="41">
        <f>IF(B88="","","RP-"&amp;TEXT(ROW()-4,"000"))</f>
        <v>0</v>
      </c>
      <c r="C88" s="17">
        <f>IF(B88="","",IFERROR(INDEX('Content Calendar'!$H$5:$H$604,MATCH(B88,'Content Calendar'!$A$5:$A$604,0)),"Not found"))</f>
        <v>0</v>
      </c>
      <c r="D88" s="17">
        <f>IF(B88="","",IFERROR(INDEX('Content Calendar'!$G$5:$G$604,MATCH(B88,'Content Calendar'!$A$5:$A$604,0)),"Not found"))</f>
        <v>0</v>
      </c>
      <c r="E88" s="16">
        <f>IF(B88="","",IFERROR(INDEX('Content Calendar'!$B$5:$B$604,MATCH(B88,'Content Calendar'!$A$5:$A$604,0)),"Not found"))</f>
        <v>0</v>
      </c>
      <c r="F88" s="24">
        <f>IF(B88="","",IFERROR(SUMIFS(Performance!$Z$5:$Z$404,Performance!$B$5:$B$404,B88)/SUMIFS(Performance!$O$5:$O$404,Performance!$B$5:$B$404,B88),""))</f>
        <v>0</v>
      </c>
      <c r="S88" s="23">
        <f>IF(B88="","",COUNTIF(Repurposing!$B$5:$B$154,B88))</f>
        <v>0</v>
      </c>
      <c r="T88" s="23">
        <f>IF(OR(O88="",P88="Published",P88="Not suitable"),"",MAX(0,TODAY()-O88))</f>
        <v>0</v>
      </c>
      <c r="U88" s="29">
        <f>IF(B88="","",IF(C88="Not found","Check - content ID not on the calendar",IF(AND(P88="Published",R88=""),"Add - link missing",IF(AND(T88&lt;&gt;"",T88&gt;0),"Overdue - past the deadline",IF(AND(P88="Planned",O88=""),"Add - no deadline set","OK")))))</f>
        <v>0</v>
      </c>
    </row>
    <row r="89" spans="1:21">
      <c r="A89" s="41">
        <f>IF(B89="","","RP-"&amp;TEXT(ROW()-4,"000"))</f>
        <v>0</v>
      </c>
      <c r="C89" s="17">
        <f>IF(B89="","",IFERROR(INDEX('Content Calendar'!$H$5:$H$604,MATCH(B89,'Content Calendar'!$A$5:$A$604,0)),"Not found"))</f>
        <v>0</v>
      </c>
      <c r="D89" s="17">
        <f>IF(B89="","",IFERROR(INDEX('Content Calendar'!$G$5:$G$604,MATCH(B89,'Content Calendar'!$A$5:$A$604,0)),"Not found"))</f>
        <v>0</v>
      </c>
      <c r="E89" s="16">
        <f>IF(B89="","",IFERROR(INDEX('Content Calendar'!$B$5:$B$604,MATCH(B89,'Content Calendar'!$A$5:$A$604,0)),"Not found"))</f>
        <v>0</v>
      </c>
      <c r="F89" s="24">
        <f>IF(B89="","",IFERROR(SUMIFS(Performance!$Z$5:$Z$404,Performance!$B$5:$B$404,B89)/SUMIFS(Performance!$O$5:$O$404,Performance!$B$5:$B$404,B89),""))</f>
        <v>0</v>
      </c>
      <c r="S89" s="23">
        <f>IF(B89="","",COUNTIF(Repurposing!$B$5:$B$154,B89))</f>
        <v>0</v>
      </c>
      <c r="T89" s="23">
        <f>IF(OR(O89="",P89="Published",P89="Not suitable"),"",MAX(0,TODAY()-O89))</f>
        <v>0</v>
      </c>
      <c r="U89" s="29">
        <f>IF(B89="","",IF(C89="Not found","Check - content ID not on the calendar",IF(AND(P89="Published",R89=""),"Add - link missing",IF(AND(T89&lt;&gt;"",T89&gt;0),"Overdue - past the deadline",IF(AND(P89="Planned",O89=""),"Add - no deadline set","OK")))))</f>
        <v>0</v>
      </c>
    </row>
    <row r="90" spans="1:21">
      <c r="A90" s="41">
        <f>IF(B90="","","RP-"&amp;TEXT(ROW()-4,"000"))</f>
        <v>0</v>
      </c>
      <c r="C90" s="17">
        <f>IF(B90="","",IFERROR(INDEX('Content Calendar'!$H$5:$H$604,MATCH(B90,'Content Calendar'!$A$5:$A$604,0)),"Not found"))</f>
        <v>0</v>
      </c>
      <c r="D90" s="17">
        <f>IF(B90="","",IFERROR(INDEX('Content Calendar'!$G$5:$G$604,MATCH(B90,'Content Calendar'!$A$5:$A$604,0)),"Not found"))</f>
        <v>0</v>
      </c>
      <c r="E90" s="16">
        <f>IF(B90="","",IFERROR(INDEX('Content Calendar'!$B$5:$B$604,MATCH(B90,'Content Calendar'!$A$5:$A$604,0)),"Not found"))</f>
        <v>0</v>
      </c>
      <c r="F90" s="24">
        <f>IF(B90="","",IFERROR(SUMIFS(Performance!$Z$5:$Z$404,Performance!$B$5:$B$404,B90)/SUMIFS(Performance!$O$5:$O$404,Performance!$B$5:$B$404,B90),""))</f>
        <v>0</v>
      </c>
      <c r="S90" s="23">
        <f>IF(B90="","",COUNTIF(Repurposing!$B$5:$B$154,B90))</f>
        <v>0</v>
      </c>
      <c r="T90" s="23">
        <f>IF(OR(O90="",P90="Published",P90="Not suitable"),"",MAX(0,TODAY()-O90))</f>
        <v>0</v>
      </c>
      <c r="U90" s="29">
        <f>IF(B90="","",IF(C90="Not found","Check - content ID not on the calendar",IF(AND(P90="Published",R90=""),"Add - link missing",IF(AND(T90&lt;&gt;"",T90&gt;0),"Overdue - past the deadline",IF(AND(P90="Planned",O90=""),"Add - no deadline set","OK")))))</f>
        <v>0</v>
      </c>
    </row>
    <row r="91" spans="1:21">
      <c r="A91" s="41">
        <f>IF(B91="","","RP-"&amp;TEXT(ROW()-4,"000"))</f>
        <v>0</v>
      </c>
      <c r="C91" s="17">
        <f>IF(B91="","",IFERROR(INDEX('Content Calendar'!$H$5:$H$604,MATCH(B91,'Content Calendar'!$A$5:$A$604,0)),"Not found"))</f>
        <v>0</v>
      </c>
      <c r="D91" s="17">
        <f>IF(B91="","",IFERROR(INDEX('Content Calendar'!$G$5:$G$604,MATCH(B91,'Content Calendar'!$A$5:$A$604,0)),"Not found"))</f>
        <v>0</v>
      </c>
      <c r="E91" s="16">
        <f>IF(B91="","",IFERROR(INDEX('Content Calendar'!$B$5:$B$604,MATCH(B91,'Content Calendar'!$A$5:$A$604,0)),"Not found"))</f>
        <v>0</v>
      </c>
      <c r="F91" s="24">
        <f>IF(B91="","",IFERROR(SUMIFS(Performance!$Z$5:$Z$404,Performance!$B$5:$B$404,B91)/SUMIFS(Performance!$O$5:$O$404,Performance!$B$5:$B$404,B91),""))</f>
        <v>0</v>
      </c>
      <c r="S91" s="23">
        <f>IF(B91="","",COUNTIF(Repurposing!$B$5:$B$154,B91))</f>
        <v>0</v>
      </c>
      <c r="T91" s="23">
        <f>IF(OR(O91="",P91="Published",P91="Not suitable"),"",MAX(0,TODAY()-O91))</f>
        <v>0</v>
      </c>
      <c r="U91" s="29">
        <f>IF(B91="","",IF(C91="Not found","Check - content ID not on the calendar",IF(AND(P91="Published",R91=""),"Add - link missing",IF(AND(T91&lt;&gt;"",T91&gt;0),"Overdue - past the deadline",IF(AND(P91="Planned",O91=""),"Add - no deadline set","OK")))))</f>
        <v>0</v>
      </c>
    </row>
    <row r="92" spans="1:21">
      <c r="A92" s="41">
        <f>IF(B92="","","RP-"&amp;TEXT(ROW()-4,"000"))</f>
        <v>0</v>
      </c>
      <c r="C92" s="17">
        <f>IF(B92="","",IFERROR(INDEX('Content Calendar'!$H$5:$H$604,MATCH(B92,'Content Calendar'!$A$5:$A$604,0)),"Not found"))</f>
        <v>0</v>
      </c>
      <c r="D92" s="17">
        <f>IF(B92="","",IFERROR(INDEX('Content Calendar'!$G$5:$G$604,MATCH(B92,'Content Calendar'!$A$5:$A$604,0)),"Not found"))</f>
        <v>0</v>
      </c>
      <c r="E92" s="16">
        <f>IF(B92="","",IFERROR(INDEX('Content Calendar'!$B$5:$B$604,MATCH(B92,'Content Calendar'!$A$5:$A$604,0)),"Not found"))</f>
        <v>0</v>
      </c>
      <c r="F92" s="24">
        <f>IF(B92="","",IFERROR(SUMIFS(Performance!$Z$5:$Z$404,Performance!$B$5:$B$404,B92)/SUMIFS(Performance!$O$5:$O$404,Performance!$B$5:$B$404,B92),""))</f>
        <v>0</v>
      </c>
      <c r="S92" s="23">
        <f>IF(B92="","",COUNTIF(Repurposing!$B$5:$B$154,B92))</f>
        <v>0</v>
      </c>
      <c r="T92" s="23">
        <f>IF(OR(O92="",P92="Published",P92="Not suitable"),"",MAX(0,TODAY()-O92))</f>
        <v>0</v>
      </c>
      <c r="U92" s="29">
        <f>IF(B92="","",IF(C92="Not found","Check - content ID not on the calendar",IF(AND(P92="Published",R92=""),"Add - link missing",IF(AND(T92&lt;&gt;"",T92&gt;0),"Overdue - past the deadline",IF(AND(P92="Planned",O92=""),"Add - no deadline set","OK")))))</f>
        <v>0</v>
      </c>
    </row>
    <row r="93" spans="1:21">
      <c r="A93" s="41">
        <f>IF(B93="","","RP-"&amp;TEXT(ROW()-4,"000"))</f>
        <v>0</v>
      </c>
      <c r="C93" s="17">
        <f>IF(B93="","",IFERROR(INDEX('Content Calendar'!$H$5:$H$604,MATCH(B93,'Content Calendar'!$A$5:$A$604,0)),"Not found"))</f>
        <v>0</v>
      </c>
      <c r="D93" s="17">
        <f>IF(B93="","",IFERROR(INDEX('Content Calendar'!$G$5:$G$604,MATCH(B93,'Content Calendar'!$A$5:$A$604,0)),"Not found"))</f>
        <v>0</v>
      </c>
      <c r="E93" s="16">
        <f>IF(B93="","",IFERROR(INDEX('Content Calendar'!$B$5:$B$604,MATCH(B93,'Content Calendar'!$A$5:$A$604,0)),"Not found"))</f>
        <v>0</v>
      </c>
      <c r="F93" s="24">
        <f>IF(B93="","",IFERROR(SUMIFS(Performance!$Z$5:$Z$404,Performance!$B$5:$B$404,B93)/SUMIFS(Performance!$O$5:$O$404,Performance!$B$5:$B$404,B93),""))</f>
        <v>0</v>
      </c>
      <c r="S93" s="23">
        <f>IF(B93="","",COUNTIF(Repurposing!$B$5:$B$154,B93))</f>
        <v>0</v>
      </c>
      <c r="T93" s="23">
        <f>IF(OR(O93="",P93="Published",P93="Not suitable"),"",MAX(0,TODAY()-O93))</f>
        <v>0</v>
      </c>
      <c r="U93" s="29">
        <f>IF(B93="","",IF(C93="Not found","Check - content ID not on the calendar",IF(AND(P93="Published",R93=""),"Add - link missing",IF(AND(T93&lt;&gt;"",T93&gt;0),"Overdue - past the deadline",IF(AND(P93="Planned",O93=""),"Add - no deadline set","OK")))))</f>
        <v>0</v>
      </c>
    </row>
    <row r="94" spans="1:21">
      <c r="A94" s="41">
        <f>IF(B94="","","RP-"&amp;TEXT(ROW()-4,"000"))</f>
        <v>0</v>
      </c>
      <c r="C94" s="17">
        <f>IF(B94="","",IFERROR(INDEX('Content Calendar'!$H$5:$H$604,MATCH(B94,'Content Calendar'!$A$5:$A$604,0)),"Not found"))</f>
        <v>0</v>
      </c>
      <c r="D94" s="17">
        <f>IF(B94="","",IFERROR(INDEX('Content Calendar'!$G$5:$G$604,MATCH(B94,'Content Calendar'!$A$5:$A$604,0)),"Not found"))</f>
        <v>0</v>
      </c>
      <c r="E94" s="16">
        <f>IF(B94="","",IFERROR(INDEX('Content Calendar'!$B$5:$B$604,MATCH(B94,'Content Calendar'!$A$5:$A$604,0)),"Not found"))</f>
        <v>0</v>
      </c>
      <c r="F94" s="24">
        <f>IF(B94="","",IFERROR(SUMIFS(Performance!$Z$5:$Z$404,Performance!$B$5:$B$404,B94)/SUMIFS(Performance!$O$5:$O$404,Performance!$B$5:$B$404,B94),""))</f>
        <v>0</v>
      </c>
      <c r="S94" s="23">
        <f>IF(B94="","",COUNTIF(Repurposing!$B$5:$B$154,B94))</f>
        <v>0</v>
      </c>
      <c r="T94" s="23">
        <f>IF(OR(O94="",P94="Published",P94="Not suitable"),"",MAX(0,TODAY()-O94))</f>
        <v>0</v>
      </c>
      <c r="U94" s="29">
        <f>IF(B94="","",IF(C94="Not found","Check - content ID not on the calendar",IF(AND(P94="Published",R94=""),"Add - link missing",IF(AND(T94&lt;&gt;"",T94&gt;0),"Overdue - past the deadline",IF(AND(P94="Planned",O94=""),"Add - no deadline set","OK")))))</f>
        <v>0</v>
      </c>
    </row>
    <row r="95" spans="1:21">
      <c r="A95" s="41">
        <f>IF(B95="","","RP-"&amp;TEXT(ROW()-4,"000"))</f>
        <v>0</v>
      </c>
      <c r="C95" s="17">
        <f>IF(B95="","",IFERROR(INDEX('Content Calendar'!$H$5:$H$604,MATCH(B95,'Content Calendar'!$A$5:$A$604,0)),"Not found"))</f>
        <v>0</v>
      </c>
      <c r="D95" s="17">
        <f>IF(B95="","",IFERROR(INDEX('Content Calendar'!$G$5:$G$604,MATCH(B95,'Content Calendar'!$A$5:$A$604,0)),"Not found"))</f>
        <v>0</v>
      </c>
      <c r="E95" s="16">
        <f>IF(B95="","",IFERROR(INDEX('Content Calendar'!$B$5:$B$604,MATCH(B95,'Content Calendar'!$A$5:$A$604,0)),"Not found"))</f>
        <v>0</v>
      </c>
      <c r="F95" s="24">
        <f>IF(B95="","",IFERROR(SUMIFS(Performance!$Z$5:$Z$404,Performance!$B$5:$B$404,B95)/SUMIFS(Performance!$O$5:$O$404,Performance!$B$5:$B$404,B95),""))</f>
        <v>0</v>
      </c>
      <c r="S95" s="23">
        <f>IF(B95="","",COUNTIF(Repurposing!$B$5:$B$154,B95))</f>
        <v>0</v>
      </c>
      <c r="T95" s="23">
        <f>IF(OR(O95="",P95="Published",P95="Not suitable"),"",MAX(0,TODAY()-O95))</f>
        <v>0</v>
      </c>
      <c r="U95" s="29">
        <f>IF(B95="","",IF(C95="Not found","Check - content ID not on the calendar",IF(AND(P95="Published",R95=""),"Add - link missing",IF(AND(T95&lt;&gt;"",T95&gt;0),"Overdue - past the deadline",IF(AND(P95="Planned",O95=""),"Add - no deadline set","OK")))))</f>
        <v>0</v>
      </c>
    </row>
    <row r="96" spans="1:21">
      <c r="A96" s="41">
        <f>IF(B96="","","RP-"&amp;TEXT(ROW()-4,"000"))</f>
        <v>0</v>
      </c>
      <c r="C96" s="17">
        <f>IF(B96="","",IFERROR(INDEX('Content Calendar'!$H$5:$H$604,MATCH(B96,'Content Calendar'!$A$5:$A$604,0)),"Not found"))</f>
        <v>0</v>
      </c>
      <c r="D96" s="17">
        <f>IF(B96="","",IFERROR(INDEX('Content Calendar'!$G$5:$G$604,MATCH(B96,'Content Calendar'!$A$5:$A$604,0)),"Not found"))</f>
        <v>0</v>
      </c>
      <c r="E96" s="16">
        <f>IF(B96="","",IFERROR(INDEX('Content Calendar'!$B$5:$B$604,MATCH(B96,'Content Calendar'!$A$5:$A$604,0)),"Not found"))</f>
        <v>0</v>
      </c>
      <c r="F96" s="24">
        <f>IF(B96="","",IFERROR(SUMIFS(Performance!$Z$5:$Z$404,Performance!$B$5:$B$404,B96)/SUMIFS(Performance!$O$5:$O$404,Performance!$B$5:$B$404,B96),""))</f>
        <v>0</v>
      </c>
      <c r="S96" s="23">
        <f>IF(B96="","",COUNTIF(Repurposing!$B$5:$B$154,B96))</f>
        <v>0</v>
      </c>
      <c r="T96" s="23">
        <f>IF(OR(O96="",P96="Published",P96="Not suitable"),"",MAX(0,TODAY()-O96))</f>
        <v>0</v>
      </c>
      <c r="U96" s="29">
        <f>IF(B96="","",IF(C96="Not found","Check - content ID not on the calendar",IF(AND(P96="Published",R96=""),"Add - link missing",IF(AND(T96&lt;&gt;"",T96&gt;0),"Overdue - past the deadline",IF(AND(P96="Planned",O96=""),"Add - no deadline set","OK")))))</f>
        <v>0</v>
      </c>
    </row>
    <row r="97" spans="1:21">
      <c r="A97" s="41">
        <f>IF(B97="","","RP-"&amp;TEXT(ROW()-4,"000"))</f>
        <v>0</v>
      </c>
      <c r="C97" s="17">
        <f>IF(B97="","",IFERROR(INDEX('Content Calendar'!$H$5:$H$604,MATCH(B97,'Content Calendar'!$A$5:$A$604,0)),"Not found"))</f>
        <v>0</v>
      </c>
      <c r="D97" s="17">
        <f>IF(B97="","",IFERROR(INDEX('Content Calendar'!$G$5:$G$604,MATCH(B97,'Content Calendar'!$A$5:$A$604,0)),"Not found"))</f>
        <v>0</v>
      </c>
      <c r="E97" s="16">
        <f>IF(B97="","",IFERROR(INDEX('Content Calendar'!$B$5:$B$604,MATCH(B97,'Content Calendar'!$A$5:$A$604,0)),"Not found"))</f>
        <v>0</v>
      </c>
      <c r="F97" s="24">
        <f>IF(B97="","",IFERROR(SUMIFS(Performance!$Z$5:$Z$404,Performance!$B$5:$B$404,B97)/SUMIFS(Performance!$O$5:$O$404,Performance!$B$5:$B$404,B97),""))</f>
        <v>0</v>
      </c>
      <c r="S97" s="23">
        <f>IF(B97="","",COUNTIF(Repurposing!$B$5:$B$154,B97))</f>
        <v>0</v>
      </c>
      <c r="T97" s="23">
        <f>IF(OR(O97="",P97="Published",P97="Not suitable"),"",MAX(0,TODAY()-O97))</f>
        <v>0</v>
      </c>
      <c r="U97" s="29">
        <f>IF(B97="","",IF(C97="Not found","Check - content ID not on the calendar",IF(AND(P97="Published",R97=""),"Add - link missing",IF(AND(T97&lt;&gt;"",T97&gt;0),"Overdue - past the deadline",IF(AND(P97="Planned",O97=""),"Add - no deadline set","OK")))))</f>
        <v>0</v>
      </c>
    </row>
    <row r="98" spans="1:21">
      <c r="A98" s="41">
        <f>IF(B98="","","RP-"&amp;TEXT(ROW()-4,"000"))</f>
        <v>0</v>
      </c>
      <c r="C98" s="17">
        <f>IF(B98="","",IFERROR(INDEX('Content Calendar'!$H$5:$H$604,MATCH(B98,'Content Calendar'!$A$5:$A$604,0)),"Not found"))</f>
        <v>0</v>
      </c>
      <c r="D98" s="17">
        <f>IF(B98="","",IFERROR(INDEX('Content Calendar'!$G$5:$G$604,MATCH(B98,'Content Calendar'!$A$5:$A$604,0)),"Not found"))</f>
        <v>0</v>
      </c>
      <c r="E98" s="16">
        <f>IF(B98="","",IFERROR(INDEX('Content Calendar'!$B$5:$B$604,MATCH(B98,'Content Calendar'!$A$5:$A$604,0)),"Not found"))</f>
        <v>0</v>
      </c>
      <c r="F98" s="24">
        <f>IF(B98="","",IFERROR(SUMIFS(Performance!$Z$5:$Z$404,Performance!$B$5:$B$404,B98)/SUMIFS(Performance!$O$5:$O$404,Performance!$B$5:$B$404,B98),""))</f>
        <v>0</v>
      </c>
      <c r="S98" s="23">
        <f>IF(B98="","",COUNTIF(Repurposing!$B$5:$B$154,B98))</f>
        <v>0</v>
      </c>
      <c r="T98" s="23">
        <f>IF(OR(O98="",P98="Published",P98="Not suitable"),"",MAX(0,TODAY()-O98))</f>
        <v>0</v>
      </c>
      <c r="U98" s="29">
        <f>IF(B98="","",IF(C98="Not found","Check - content ID not on the calendar",IF(AND(P98="Published",R98=""),"Add - link missing",IF(AND(T98&lt;&gt;"",T98&gt;0),"Overdue - past the deadline",IF(AND(P98="Planned",O98=""),"Add - no deadline set","OK")))))</f>
        <v>0</v>
      </c>
    </row>
    <row r="99" spans="1:21">
      <c r="A99" s="41">
        <f>IF(B99="","","RP-"&amp;TEXT(ROW()-4,"000"))</f>
        <v>0</v>
      </c>
      <c r="C99" s="17">
        <f>IF(B99="","",IFERROR(INDEX('Content Calendar'!$H$5:$H$604,MATCH(B99,'Content Calendar'!$A$5:$A$604,0)),"Not found"))</f>
        <v>0</v>
      </c>
      <c r="D99" s="17">
        <f>IF(B99="","",IFERROR(INDEX('Content Calendar'!$G$5:$G$604,MATCH(B99,'Content Calendar'!$A$5:$A$604,0)),"Not found"))</f>
        <v>0</v>
      </c>
      <c r="E99" s="16">
        <f>IF(B99="","",IFERROR(INDEX('Content Calendar'!$B$5:$B$604,MATCH(B99,'Content Calendar'!$A$5:$A$604,0)),"Not found"))</f>
        <v>0</v>
      </c>
      <c r="F99" s="24">
        <f>IF(B99="","",IFERROR(SUMIFS(Performance!$Z$5:$Z$404,Performance!$B$5:$B$404,B99)/SUMIFS(Performance!$O$5:$O$404,Performance!$B$5:$B$404,B99),""))</f>
        <v>0</v>
      </c>
      <c r="S99" s="23">
        <f>IF(B99="","",COUNTIF(Repurposing!$B$5:$B$154,B99))</f>
        <v>0</v>
      </c>
      <c r="T99" s="23">
        <f>IF(OR(O99="",P99="Published",P99="Not suitable"),"",MAX(0,TODAY()-O99))</f>
        <v>0</v>
      </c>
      <c r="U99" s="29">
        <f>IF(B99="","",IF(C99="Not found","Check - content ID not on the calendar",IF(AND(P99="Published",R99=""),"Add - link missing",IF(AND(T99&lt;&gt;"",T99&gt;0),"Overdue - past the deadline",IF(AND(P99="Planned",O99=""),"Add - no deadline set","OK")))))</f>
        <v>0</v>
      </c>
    </row>
    <row r="100" spans="1:21">
      <c r="A100" s="41">
        <f>IF(B100="","","RP-"&amp;TEXT(ROW()-4,"000"))</f>
        <v>0</v>
      </c>
      <c r="C100" s="17">
        <f>IF(B100="","",IFERROR(INDEX('Content Calendar'!$H$5:$H$604,MATCH(B100,'Content Calendar'!$A$5:$A$604,0)),"Not found"))</f>
        <v>0</v>
      </c>
      <c r="D100" s="17">
        <f>IF(B100="","",IFERROR(INDEX('Content Calendar'!$G$5:$G$604,MATCH(B100,'Content Calendar'!$A$5:$A$604,0)),"Not found"))</f>
        <v>0</v>
      </c>
      <c r="E100" s="16">
        <f>IF(B100="","",IFERROR(INDEX('Content Calendar'!$B$5:$B$604,MATCH(B100,'Content Calendar'!$A$5:$A$604,0)),"Not found"))</f>
        <v>0</v>
      </c>
      <c r="F100" s="24">
        <f>IF(B100="","",IFERROR(SUMIFS(Performance!$Z$5:$Z$404,Performance!$B$5:$B$404,B100)/SUMIFS(Performance!$O$5:$O$404,Performance!$B$5:$B$404,B100),""))</f>
        <v>0</v>
      </c>
      <c r="S100" s="23">
        <f>IF(B100="","",COUNTIF(Repurposing!$B$5:$B$154,B100))</f>
        <v>0</v>
      </c>
      <c r="T100" s="23">
        <f>IF(OR(O100="",P100="Published",P100="Not suitable"),"",MAX(0,TODAY()-O100))</f>
        <v>0</v>
      </c>
      <c r="U100" s="29">
        <f>IF(B100="","",IF(C100="Not found","Check - content ID not on the calendar",IF(AND(P100="Published",R100=""),"Add - link missing",IF(AND(T100&lt;&gt;"",T100&gt;0),"Overdue - past the deadline",IF(AND(P100="Planned",O100=""),"Add - no deadline set","OK")))))</f>
        <v>0</v>
      </c>
    </row>
    <row r="101" spans="1:21">
      <c r="A101" s="41">
        <f>IF(B101="","","RP-"&amp;TEXT(ROW()-4,"000"))</f>
        <v>0</v>
      </c>
      <c r="C101" s="17">
        <f>IF(B101="","",IFERROR(INDEX('Content Calendar'!$H$5:$H$604,MATCH(B101,'Content Calendar'!$A$5:$A$604,0)),"Not found"))</f>
        <v>0</v>
      </c>
      <c r="D101" s="17">
        <f>IF(B101="","",IFERROR(INDEX('Content Calendar'!$G$5:$G$604,MATCH(B101,'Content Calendar'!$A$5:$A$604,0)),"Not found"))</f>
        <v>0</v>
      </c>
      <c r="E101" s="16">
        <f>IF(B101="","",IFERROR(INDEX('Content Calendar'!$B$5:$B$604,MATCH(B101,'Content Calendar'!$A$5:$A$604,0)),"Not found"))</f>
        <v>0</v>
      </c>
      <c r="F101" s="24">
        <f>IF(B101="","",IFERROR(SUMIFS(Performance!$Z$5:$Z$404,Performance!$B$5:$B$404,B101)/SUMIFS(Performance!$O$5:$O$404,Performance!$B$5:$B$404,B101),""))</f>
        <v>0</v>
      </c>
      <c r="S101" s="23">
        <f>IF(B101="","",COUNTIF(Repurposing!$B$5:$B$154,B101))</f>
        <v>0</v>
      </c>
      <c r="T101" s="23">
        <f>IF(OR(O101="",P101="Published",P101="Not suitable"),"",MAX(0,TODAY()-O101))</f>
        <v>0</v>
      </c>
      <c r="U101" s="29">
        <f>IF(B101="","",IF(C101="Not found","Check - content ID not on the calendar",IF(AND(P101="Published",R101=""),"Add - link missing",IF(AND(T101&lt;&gt;"",T101&gt;0),"Overdue - past the deadline",IF(AND(P101="Planned",O101=""),"Add - no deadline set","OK")))))</f>
        <v>0</v>
      </c>
    </row>
    <row r="102" spans="1:21">
      <c r="A102" s="41">
        <f>IF(B102="","","RP-"&amp;TEXT(ROW()-4,"000"))</f>
        <v>0</v>
      </c>
      <c r="C102" s="17">
        <f>IF(B102="","",IFERROR(INDEX('Content Calendar'!$H$5:$H$604,MATCH(B102,'Content Calendar'!$A$5:$A$604,0)),"Not found"))</f>
        <v>0</v>
      </c>
      <c r="D102" s="17">
        <f>IF(B102="","",IFERROR(INDEX('Content Calendar'!$G$5:$G$604,MATCH(B102,'Content Calendar'!$A$5:$A$604,0)),"Not found"))</f>
        <v>0</v>
      </c>
      <c r="E102" s="16">
        <f>IF(B102="","",IFERROR(INDEX('Content Calendar'!$B$5:$B$604,MATCH(B102,'Content Calendar'!$A$5:$A$604,0)),"Not found"))</f>
        <v>0</v>
      </c>
      <c r="F102" s="24">
        <f>IF(B102="","",IFERROR(SUMIFS(Performance!$Z$5:$Z$404,Performance!$B$5:$B$404,B102)/SUMIFS(Performance!$O$5:$O$404,Performance!$B$5:$B$404,B102),""))</f>
        <v>0</v>
      </c>
      <c r="S102" s="23">
        <f>IF(B102="","",COUNTIF(Repurposing!$B$5:$B$154,B102))</f>
        <v>0</v>
      </c>
      <c r="T102" s="23">
        <f>IF(OR(O102="",P102="Published",P102="Not suitable"),"",MAX(0,TODAY()-O102))</f>
        <v>0</v>
      </c>
      <c r="U102" s="29">
        <f>IF(B102="","",IF(C102="Not found","Check - content ID not on the calendar",IF(AND(P102="Published",R102=""),"Add - link missing",IF(AND(T102&lt;&gt;"",T102&gt;0),"Overdue - past the deadline",IF(AND(P102="Planned",O102=""),"Add - no deadline set","OK")))))</f>
        <v>0</v>
      </c>
    </row>
    <row r="103" spans="1:21">
      <c r="A103" s="41">
        <f>IF(B103="","","RP-"&amp;TEXT(ROW()-4,"000"))</f>
        <v>0</v>
      </c>
      <c r="C103" s="17">
        <f>IF(B103="","",IFERROR(INDEX('Content Calendar'!$H$5:$H$604,MATCH(B103,'Content Calendar'!$A$5:$A$604,0)),"Not found"))</f>
        <v>0</v>
      </c>
      <c r="D103" s="17">
        <f>IF(B103="","",IFERROR(INDEX('Content Calendar'!$G$5:$G$604,MATCH(B103,'Content Calendar'!$A$5:$A$604,0)),"Not found"))</f>
        <v>0</v>
      </c>
      <c r="E103" s="16">
        <f>IF(B103="","",IFERROR(INDEX('Content Calendar'!$B$5:$B$604,MATCH(B103,'Content Calendar'!$A$5:$A$604,0)),"Not found"))</f>
        <v>0</v>
      </c>
      <c r="F103" s="24">
        <f>IF(B103="","",IFERROR(SUMIFS(Performance!$Z$5:$Z$404,Performance!$B$5:$B$404,B103)/SUMIFS(Performance!$O$5:$O$404,Performance!$B$5:$B$404,B103),""))</f>
        <v>0</v>
      </c>
      <c r="S103" s="23">
        <f>IF(B103="","",COUNTIF(Repurposing!$B$5:$B$154,B103))</f>
        <v>0</v>
      </c>
      <c r="T103" s="23">
        <f>IF(OR(O103="",P103="Published",P103="Not suitable"),"",MAX(0,TODAY()-O103))</f>
        <v>0</v>
      </c>
      <c r="U103" s="29">
        <f>IF(B103="","",IF(C103="Not found","Check - content ID not on the calendar",IF(AND(P103="Published",R103=""),"Add - link missing",IF(AND(T103&lt;&gt;"",T103&gt;0),"Overdue - past the deadline",IF(AND(P103="Planned",O103=""),"Add - no deadline set","OK")))))</f>
        <v>0</v>
      </c>
    </row>
    <row r="104" spans="1:21">
      <c r="A104" s="41">
        <f>IF(B104="","","RP-"&amp;TEXT(ROW()-4,"000"))</f>
        <v>0</v>
      </c>
      <c r="C104" s="17">
        <f>IF(B104="","",IFERROR(INDEX('Content Calendar'!$H$5:$H$604,MATCH(B104,'Content Calendar'!$A$5:$A$604,0)),"Not found"))</f>
        <v>0</v>
      </c>
      <c r="D104" s="17">
        <f>IF(B104="","",IFERROR(INDEX('Content Calendar'!$G$5:$G$604,MATCH(B104,'Content Calendar'!$A$5:$A$604,0)),"Not found"))</f>
        <v>0</v>
      </c>
      <c r="E104" s="16">
        <f>IF(B104="","",IFERROR(INDEX('Content Calendar'!$B$5:$B$604,MATCH(B104,'Content Calendar'!$A$5:$A$604,0)),"Not found"))</f>
        <v>0</v>
      </c>
      <c r="F104" s="24">
        <f>IF(B104="","",IFERROR(SUMIFS(Performance!$Z$5:$Z$404,Performance!$B$5:$B$404,B104)/SUMIFS(Performance!$O$5:$O$404,Performance!$B$5:$B$404,B104),""))</f>
        <v>0</v>
      </c>
      <c r="S104" s="23">
        <f>IF(B104="","",COUNTIF(Repurposing!$B$5:$B$154,B104))</f>
        <v>0</v>
      </c>
      <c r="T104" s="23">
        <f>IF(OR(O104="",P104="Published",P104="Not suitable"),"",MAX(0,TODAY()-O104))</f>
        <v>0</v>
      </c>
      <c r="U104" s="29">
        <f>IF(B104="","",IF(C104="Not found","Check - content ID not on the calendar",IF(AND(P104="Published",R104=""),"Add - link missing",IF(AND(T104&lt;&gt;"",T104&gt;0),"Overdue - past the deadline",IF(AND(P104="Planned",O104=""),"Add - no deadline set","OK")))))</f>
        <v>0</v>
      </c>
    </row>
    <row r="105" spans="1:21">
      <c r="A105" s="41">
        <f>IF(B105="","","RP-"&amp;TEXT(ROW()-4,"000"))</f>
        <v>0</v>
      </c>
      <c r="C105" s="17">
        <f>IF(B105="","",IFERROR(INDEX('Content Calendar'!$H$5:$H$604,MATCH(B105,'Content Calendar'!$A$5:$A$604,0)),"Not found"))</f>
        <v>0</v>
      </c>
      <c r="D105" s="17">
        <f>IF(B105="","",IFERROR(INDEX('Content Calendar'!$G$5:$G$604,MATCH(B105,'Content Calendar'!$A$5:$A$604,0)),"Not found"))</f>
        <v>0</v>
      </c>
      <c r="E105" s="16">
        <f>IF(B105="","",IFERROR(INDEX('Content Calendar'!$B$5:$B$604,MATCH(B105,'Content Calendar'!$A$5:$A$604,0)),"Not found"))</f>
        <v>0</v>
      </c>
      <c r="F105" s="24">
        <f>IF(B105="","",IFERROR(SUMIFS(Performance!$Z$5:$Z$404,Performance!$B$5:$B$404,B105)/SUMIFS(Performance!$O$5:$O$404,Performance!$B$5:$B$404,B105),""))</f>
        <v>0</v>
      </c>
      <c r="S105" s="23">
        <f>IF(B105="","",COUNTIF(Repurposing!$B$5:$B$154,B105))</f>
        <v>0</v>
      </c>
      <c r="T105" s="23">
        <f>IF(OR(O105="",P105="Published",P105="Not suitable"),"",MAX(0,TODAY()-O105))</f>
        <v>0</v>
      </c>
      <c r="U105" s="29">
        <f>IF(B105="","",IF(C105="Not found","Check - content ID not on the calendar",IF(AND(P105="Published",R105=""),"Add - link missing",IF(AND(T105&lt;&gt;"",T105&gt;0),"Overdue - past the deadline",IF(AND(P105="Planned",O105=""),"Add - no deadline set","OK")))))</f>
        <v>0</v>
      </c>
    </row>
    <row r="106" spans="1:21">
      <c r="A106" s="41">
        <f>IF(B106="","","RP-"&amp;TEXT(ROW()-4,"000"))</f>
        <v>0</v>
      </c>
      <c r="C106" s="17">
        <f>IF(B106="","",IFERROR(INDEX('Content Calendar'!$H$5:$H$604,MATCH(B106,'Content Calendar'!$A$5:$A$604,0)),"Not found"))</f>
        <v>0</v>
      </c>
      <c r="D106" s="17">
        <f>IF(B106="","",IFERROR(INDEX('Content Calendar'!$G$5:$G$604,MATCH(B106,'Content Calendar'!$A$5:$A$604,0)),"Not found"))</f>
        <v>0</v>
      </c>
      <c r="E106" s="16">
        <f>IF(B106="","",IFERROR(INDEX('Content Calendar'!$B$5:$B$604,MATCH(B106,'Content Calendar'!$A$5:$A$604,0)),"Not found"))</f>
        <v>0</v>
      </c>
      <c r="F106" s="24">
        <f>IF(B106="","",IFERROR(SUMIFS(Performance!$Z$5:$Z$404,Performance!$B$5:$B$404,B106)/SUMIFS(Performance!$O$5:$O$404,Performance!$B$5:$B$404,B106),""))</f>
        <v>0</v>
      </c>
      <c r="S106" s="23">
        <f>IF(B106="","",COUNTIF(Repurposing!$B$5:$B$154,B106))</f>
        <v>0</v>
      </c>
      <c r="T106" s="23">
        <f>IF(OR(O106="",P106="Published",P106="Not suitable"),"",MAX(0,TODAY()-O106))</f>
        <v>0</v>
      </c>
      <c r="U106" s="29">
        <f>IF(B106="","",IF(C106="Not found","Check - content ID not on the calendar",IF(AND(P106="Published",R106=""),"Add - link missing",IF(AND(T106&lt;&gt;"",T106&gt;0),"Overdue - past the deadline",IF(AND(P106="Planned",O106=""),"Add - no deadline set","OK")))))</f>
        <v>0</v>
      </c>
    </row>
    <row r="107" spans="1:21">
      <c r="A107" s="41">
        <f>IF(B107="","","RP-"&amp;TEXT(ROW()-4,"000"))</f>
        <v>0</v>
      </c>
      <c r="C107" s="17">
        <f>IF(B107="","",IFERROR(INDEX('Content Calendar'!$H$5:$H$604,MATCH(B107,'Content Calendar'!$A$5:$A$604,0)),"Not found"))</f>
        <v>0</v>
      </c>
      <c r="D107" s="17">
        <f>IF(B107="","",IFERROR(INDEX('Content Calendar'!$G$5:$G$604,MATCH(B107,'Content Calendar'!$A$5:$A$604,0)),"Not found"))</f>
        <v>0</v>
      </c>
      <c r="E107" s="16">
        <f>IF(B107="","",IFERROR(INDEX('Content Calendar'!$B$5:$B$604,MATCH(B107,'Content Calendar'!$A$5:$A$604,0)),"Not found"))</f>
        <v>0</v>
      </c>
      <c r="F107" s="24">
        <f>IF(B107="","",IFERROR(SUMIFS(Performance!$Z$5:$Z$404,Performance!$B$5:$B$404,B107)/SUMIFS(Performance!$O$5:$O$404,Performance!$B$5:$B$404,B107),""))</f>
        <v>0</v>
      </c>
      <c r="S107" s="23">
        <f>IF(B107="","",COUNTIF(Repurposing!$B$5:$B$154,B107))</f>
        <v>0</v>
      </c>
      <c r="T107" s="23">
        <f>IF(OR(O107="",P107="Published",P107="Not suitable"),"",MAX(0,TODAY()-O107))</f>
        <v>0</v>
      </c>
      <c r="U107" s="29">
        <f>IF(B107="","",IF(C107="Not found","Check - content ID not on the calendar",IF(AND(P107="Published",R107=""),"Add - link missing",IF(AND(T107&lt;&gt;"",T107&gt;0),"Overdue - past the deadline",IF(AND(P107="Planned",O107=""),"Add - no deadline set","OK")))))</f>
        <v>0</v>
      </c>
    </row>
    <row r="108" spans="1:21">
      <c r="A108" s="41">
        <f>IF(B108="","","RP-"&amp;TEXT(ROW()-4,"000"))</f>
        <v>0</v>
      </c>
      <c r="C108" s="17">
        <f>IF(B108="","",IFERROR(INDEX('Content Calendar'!$H$5:$H$604,MATCH(B108,'Content Calendar'!$A$5:$A$604,0)),"Not found"))</f>
        <v>0</v>
      </c>
      <c r="D108" s="17">
        <f>IF(B108="","",IFERROR(INDEX('Content Calendar'!$G$5:$G$604,MATCH(B108,'Content Calendar'!$A$5:$A$604,0)),"Not found"))</f>
        <v>0</v>
      </c>
      <c r="E108" s="16">
        <f>IF(B108="","",IFERROR(INDEX('Content Calendar'!$B$5:$B$604,MATCH(B108,'Content Calendar'!$A$5:$A$604,0)),"Not found"))</f>
        <v>0</v>
      </c>
      <c r="F108" s="24">
        <f>IF(B108="","",IFERROR(SUMIFS(Performance!$Z$5:$Z$404,Performance!$B$5:$B$404,B108)/SUMIFS(Performance!$O$5:$O$404,Performance!$B$5:$B$404,B108),""))</f>
        <v>0</v>
      </c>
      <c r="S108" s="23">
        <f>IF(B108="","",COUNTIF(Repurposing!$B$5:$B$154,B108))</f>
        <v>0</v>
      </c>
      <c r="T108" s="23">
        <f>IF(OR(O108="",P108="Published",P108="Not suitable"),"",MAX(0,TODAY()-O108))</f>
        <v>0</v>
      </c>
      <c r="U108" s="29">
        <f>IF(B108="","",IF(C108="Not found","Check - content ID not on the calendar",IF(AND(P108="Published",R108=""),"Add - link missing",IF(AND(T108&lt;&gt;"",T108&gt;0),"Overdue - past the deadline",IF(AND(P108="Planned",O108=""),"Add - no deadline set","OK")))))</f>
        <v>0</v>
      </c>
    </row>
    <row r="109" spans="1:21">
      <c r="A109" s="41">
        <f>IF(B109="","","RP-"&amp;TEXT(ROW()-4,"000"))</f>
        <v>0</v>
      </c>
      <c r="C109" s="17">
        <f>IF(B109="","",IFERROR(INDEX('Content Calendar'!$H$5:$H$604,MATCH(B109,'Content Calendar'!$A$5:$A$604,0)),"Not found"))</f>
        <v>0</v>
      </c>
      <c r="D109" s="17">
        <f>IF(B109="","",IFERROR(INDEX('Content Calendar'!$G$5:$G$604,MATCH(B109,'Content Calendar'!$A$5:$A$604,0)),"Not found"))</f>
        <v>0</v>
      </c>
      <c r="E109" s="16">
        <f>IF(B109="","",IFERROR(INDEX('Content Calendar'!$B$5:$B$604,MATCH(B109,'Content Calendar'!$A$5:$A$604,0)),"Not found"))</f>
        <v>0</v>
      </c>
      <c r="F109" s="24">
        <f>IF(B109="","",IFERROR(SUMIFS(Performance!$Z$5:$Z$404,Performance!$B$5:$B$404,B109)/SUMIFS(Performance!$O$5:$O$404,Performance!$B$5:$B$404,B109),""))</f>
        <v>0</v>
      </c>
      <c r="S109" s="23">
        <f>IF(B109="","",COUNTIF(Repurposing!$B$5:$B$154,B109))</f>
        <v>0</v>
      </c>
      <c r="T109" s="23">
        <f>IF(OR(O109="",P109="Published",P109="Not suitable"),"",MAX(0,TODAY()-O109))</f>
        <v>0</v>
      </c>
      <c r="U109" s="29">
        <f>IF(B109="","",IF(C109="Not found","Check - content ID not on the calendar",IF(AND(P109="Published",R109=""),"Add - link missing",IF(AND(T109&lt;&gt;"",T109&gt;0),"Overdue - past the deadline",IF(AND(P109="Planned",O109=""),"Add - no deadline set","OK")))))</f>
        <v>0</v>
      </c>
    </row>
    <row r="110" spans="1:21">
      <c r="A110" s="41">
        <f>IF(B110="","","RP-"&amp;TEXT(ROW()-4,"000"))</f>
        <v>0</v>
      </c>
      <c r="C110" s="17">
        <f>IF(B110="","",IFERROR(INDEX('Content Calendar'!$H$5:$H$604,MATCH(B110,'Content Calendar'!$A$5:$A$604,0)),"Not found"))</f>
        <v>0</v>
      </c>
      <c r="D110" s="17">
        <f>IF(B110="","",IFERROR(INDEX('Content Calendar'!$G$5:$G$604,MATCH(B110,'Content Calendar'!$A$5:$A$604,0)),"Not found"))</f>
        <v>0</v>
      </c>
      <c r="E110" s="16">
        <f>IF(B110="","",IFERROR(INDEX('Content Calendar'!$B$5:$B$604,MATCH(B110,'Content Calendar'!$A$5:$A$604,0)),"Not found"))</f>
        <v>0</v>
      </c>
      <c r="F110" s="24">
        <f>IF(B110="","",IFERROR(SUMIFS(Performance!$Z$5:$Z$404,Performance!$B$5:$B$404,B110)/SUMIFS(Performance!$O$5:$O$404,Performance!$B$5:$B$404,B110),""))</f>
        <v>0</v>
      </c>
      <c r="S110" s="23">
        <f>IF(B110="","",COUNTIF(Repurposing!$B$5:$B$154,B110))</f>
        <v>0</v>
      </c>
      <c r="T110" s="23">
        <f>IF(OR(O110="",P110="Published",P110="Not suitable"),"",MAX(0,TODAY()-O110))</f>
        <v>0</v>
      </c>
      <c r="U110" s="29">
        <f>IF(B110="","",IF(C110="Not found","Check - content ID not on the calendar",IF(AND(P110="Published",R110=""),"Add - link missing",IF(AND(T110&lt;&gt;"",T110&gt;0),"Overdue - past the deadline",IF(AND(P110="Planned",O110=""),"Add - no deadline set","OK")))))</f>
        <v>0</v>
      </c>
    </row>
    <row r="111" spans="1:21">
      <c r="A111" s="41">
        <f>IF(B111="","","RP-"&amp;TEXT(ROW()-4,"000"))</f>
        <v>0</v>
      </c>
      <c r="C111" s="17">
        <f>IF(B111="","",IFERROR(INDEX('Content Calendar'!$H$5:$H$604,MATCH(B111,'Content Calendar'!$A$5:$A$604,0)),"Not found"))</f>
        <v>0</v>
      </c>
      <c r="D111" s="17">
        <f>IF(B111="","",IFERROR(INDEX('Content Calendar'!$G$5:$G$604,MATCH(B111,'Content Calendar'!$A$5:$A$604,0)),"Not found"))</f>
        <v>0</v>
      </c>
      <c r="E111" s="16">
        <f>IF(B111="","",IFERROR(INDEX('Content Calendar'!$B$5:$B$604,MATCH(B111,'Content Calendar'!$A$5:$A$604,0)),"Not found"))</f>
        <v>0</v>
      </c>
      <c r="F111" s="24">
        <f>IF(B111="","",IFERROR(SUMIFS(Performance!$Z$5:$Z$404,Performance!$B$5:$B$404,B111)/SUMIFS(Performance!$O$5:$O$404,Performance!$B$5:$B$404,B111),""))</f>
        <v>0</v>
      </c>
      <c r="S111" s="23">
        <f>IF(B111="","",COUNTIF(Repurposing!$B$5:$B$154,B111))</f>
        <v>0</v>
      </c>
      <c r="T111" s="23">
        <f>IF(OR(O111="",P111="Published",P111="Not suitable"),"",MAX(0,TODAY()-O111))</f>
        <v>0</v>
      </c>
      <c r="U111" s="29">
        <f>IF(B111="","",IF(C111="Not found","Check - content ID not on the calendar",IF(AND(P111="Published",R111=""),"Add - link missing",IF(AND(T111&lt;&gt;"",T111&gt;0),"Overdue - past the deadline",IF(AND(P111="Planned",O111=""),"Add - no deadline set","OK")))))</f>
        <v>0</v>
      </c>
    </row>
    <row r="112" spans="1:21">
      <c r="A112" s="41">
        <f>IF(B112="","","RP-"&amp;TEXT(ROW()-4,"000"))</f>
        <v>0</v>
      </c>
      <c r="C112" s="17">
        <f>IF(B112="","",IFERROR(INDEX('Content Calendar'!$H$5:$H$604,MATCH(B112,'Content Calendar'!$A$5:$A$604,0)),"Not found"))</f>
        <v>0</v>
      </c>
      <c r="D112" s="17">
        <f>IF(B112="","",IFERROR(INDEX('Content Calendar'!$G$5:$G$604,MATCH(B112,'Content Calendar'!$A$5:$A$604,0)),"Not found"))</f>
        <v>0</v>
      </c>
      <c r="E112" s="16">
        <f>IF(B112="","",IFERROR(INDEX('Content Calendar'!$B$5:$B$604,MATCH(B112,'Content Calendar'!$A$5:$A$604,0)),"Not found"))</f>
        <v>0</v>
      </c>
      <c r="F112" s="24">
        <f>IF(B112="","",IFERROR(SUMIFS(Performance!$Z$5:$Z$404,Performance!$B$5:$B$404,B112)/SUMIFS(Performance!$O$5:$O$404,Performance!$B$5:$B$404,B112),""))</f>
        <v>0</v>
      </c>
      <c r="S112" s="23">
        <f>IF(B112="","",COUNTIF(Repurposing!$B$5:$B$154,B112))</f>
        <v>0</v>
      </c>
      <c r="T112" s="23">
        <f>IF(OR(O112="",P112="Published",P112="Not suitable"),"",MAX(0,TODAY()-O112))</f>
        <v>0</v>
      </c>
      <c r="U112" s="29">
        <f>IF(B112="","",IF(C112="Not found","Check - content ID not on the calendar",IF(AND(P112="Published",R112=""),"Add - link missing",IF(AND(T112&lt;&gt;"",T112&gt;0),"Overdue - past the deadline",IF(AND(P112="Planned",O112=""),"Add - no deadline set","OK")))))</f>
        <v>0</v>
      </c>
    </row>
    <row r="113" spans="1:21">
      <c r="A113" s="41">
        <f>IF(B113="","","RP-"&amp;TEXT(ROW()-4,"000"))</f>
        <v>0</v>
      </c>
      <c r="C113" s="17">
        <f>IF(B113="","",IFERROR(INDEX('Content Calendar'!$H$5:$H$604,MATCH(B113,'Content Calendar'!$A$5:$A$604,0)),"Not found"))</f>
        <v>0</v>
      </c>
      <c r="D113" s="17">
        <f>IF(B113="","",IFERROR(INDEX('Content Calendar'!$G$5:$G$604,MATCH(B113,'Content Calendar'!$A$5:$A$604,0)),"Not found"))</f>
        <v>0</v>
      </c>
      <c r="E113" s="16">
        <f>IF(B113="","",IFERROR(INDEX('Content Calendar'!$B$5:$B$604,MATCH(B113,'Content Calendar'!$A$5:$A$604,0)),"Not found"))</f>
        <v>0</v>
      </c>
      <c r="F113" s="24">
        <f>IF(B113="","",IFERROR(SUMIFS(Performance!$Z$5:$Z$404,Performance!$B$5:$B$404,B113)/SUMIFS(Performance!$O$5:$O$404,Performance!$B$5:$B$404,B113),""))</f>
        <v>0</v>
      </c>
      <c r="S113" s="23">
        <f>IF(B113="","",COUNTIF(Repurposing!$B$5:$B$154,B113))</f>
        <v>0</v>
      </c>
      <c r="T113" s="23">
        <f>IF(OR(O113="",P113="Published",P113="Not suitable"),"",MAX(0,TODAY()-O113))</f>
        <v>0</v>
      </c>
      <c r="U113" s="29">
        <f>IF(B113="","",IF(C113="Not found","Check - content ID not on the calendar",IF(AND(P113="Published",R113=""),"Add - link missing",IF(AND(T113&lt;&gt;"",T113&gt;0),"Overdue - past the deadline",IF(AND(P113="Planned",O113=""),"Add - no deadline set","OK")))))</f>
        <v>0</v>
      </c>
    </row>
    <row r="114" spans="1:21">
      <c r="A114" s="41">
        <f>IF(B114="","","RP-"&amp;TEXT(ROW()-4,"000"))</f>
        <v>0</v>
      </c>
      <c r="C114" s="17">
        <f>IF(B114="","",IFERROR(INDEX('Content Calendar'!$H$5:$H$604,MATCH(B114,'Content Calendar'!$A$5:$A$604,0)),"Not found"))</f>
        <v>0</v>
      </c>
      <c r="D114" s="17">
        <f>IF(B114="","",IFERROR(INDEX('Content Calendar'!$G$5:$G$604,MATCH(B114,'Content Calendar'!$A$5:$A$604,0)),"Not found"))</f>
        <v>0</v>
      </c>
      <c r="E114" s="16">
        <f>IF(B114="","",IFERROR(INDEX('Content Calendar'!$B$5:$B$604,MATCH(B114,'Content Calendar'!$A$5:$A$604,0)),"Not found"))</f>
        <v>0</v>
      </c>
      <c r="F114" s="24">
        <f>IF(B114="","",IFERROR(SUMIFS(Performance!$Z$5:$Z$404,Performance!$B$5:$B$404,B114)/SUMIFS(Performance!$O$5:$O$404,Performance!$B$5:$B$404,B114),""))</f>
        <v>0</v>
      </c>
      <c r="S114" s="23">
        <f>IF(B114="","",COUNTIF(Repurposing!$B$5:$B$154,B114))</f>
        <v>0</v>
      </c>
      <c r="T114" s="23">
        <f>IF(OR(O114="",P114="Published",P114="Not suitable"),"",MAX(0,TODAY()-O114))</f>
        <v>0</v>
      </c>
      <c r="U114" s="29">
        <f>IF(B114="","",IF(C114="Not found","Check - content ID not on the calendar",IF(AND(P114="Published",R114=""),"Add - link missing",IF(AND(T114&lt;&gt;"",T114&gt;0),"Overdue - past the deadline",IF(AND(P114="Planned",O114=""),"Add - no deadline set","OK")))))</f>
        <v>0</v>
      </c>
    </row>
    <row r="115" spans="1:21">
      <c r="A115" s="41">
        <f>IF(B115="","","RP-"&amp;TEXT(ROW()-4,"000"))</f>
        <v>0</v>
      </c>
      <c r="C115" s="17">
        <f>IF(B115="","",IFERROR(INDEX('Content Calendar'!$H$5:$H$604,MATCH(B115,'Content Calendar'!$A$5:$A$604,0)),"Not found"))</f>
        <v>0</v>
      </c>
      <c r="D115" s="17">
        <f>IF(B115="","",IFERROR(INDEX('Content Calendar'!$G$5:$G$604,MATCH(B115,'Content Calendar'!$A$5:$A$604,0)),"Not found"))</f>
        <v>0</v>
      </c>
      <c r="E115" s="16">
        <f>IF(B115="","",IFERROR(INDEX('Content Calendar'!$B$5:$B$604,MATCH(B115,'Content Calendar'!$A$5:$A$604,0)),"Not found"))</f>
        <v>0</v>
      </c>
      <c r="F115" s="24">
        <f>IF(B115="","",IFERROR(SUMIFS(Performance!$Z$5:$Z$404,Performance!$B$5:$B$404,B115)/SUMIFS(Performance!$O$5:$O$404,Performance!$B$5:$B$404,B115),""))</f>
        <v>0</v>
      </c>
      <c r="S115" s="23">
        <f>IF(B115="","",COUNTIF(Repurposing!$B$5:$B$154,B115))</f>
        <v>0</v>
      </c>
      <c r="T115" s="23">
        <f>IF(OR(O115="",P115="Published",P115="Not suitable"),"",MAX(0,TODAY()-O115))</f>
        <v>0</v>
      </c>
      <c r="U115" s="29">
        <f>IF(B115="","",IF(C115="Not found","Check - content ID not on the calendar",IF(AND(P115="Published",R115=""),"Add - link missing",IF(AND(T115&lt;&gt;"",T115&gt;0),"Overdue - past the deadline",IF(AND(P115="Planned",O115=""),"Add - no deadline set","OK")))))</f>
        <v>0</v>
      </c>
    </row>
    <row r="116" spans="1:21">
      <c r="A116" s="41">
        <f>IF(B116="","","RP-"&amp;TEXT(ROW()-4,"000"))</f>
        <v>0</v>
      </c>
      <c r="C116" s="17">
        <f>IF(B116="","",IFERROR(INDEX('Content Calendar'!$H$5:$H$604,MATCH(B116,'Content Calendar'!$A$5:$A$604,0)),"Not found"))</f>
        <v>0</v>
      </c>
      <c r="D116" s="17">
        <f>IF(B116="","",IFERROR(INDEX('Content Calendar'!$G$5:$G$604,MATCH(B116,'Content Calendar'!$A$5:$A$604,0)),"Not found"))</f>
        <v>0</v>
      </c>
      <c r="E116" s="16">
        <f>IF(B116="","",IFERROR(INDEX('Content Calendar'!$B$5:$B$604,MATCH(B116,'Content Calendar'!$A$5:$A$604,0)),"Not found"))</f>
        <v>0</v>
      </c>
      <c r="F116" s="24">
        <f>IF(B116="","",IFERROR(SUMIFS(Performance!$Z$5:$Z$404,Performance!$B$5:$B$404,B116)/SUMIFS(Performance!$O$5:$O$404,Performance!$B$5:$B$404,B116),""))</f>
        <v>0</v>
      </c>
      <c r="S116" s="23">
        <f>IF(B116="","",COUNTIF(Repurposing!$B$5:$B$154,B116))</f>
        <v>0</v>
      </c>
      <c r="T116" s="23">
        <f>IF(OR(O116="",P116="Published",P116="Not suitable"),"",MAX(0,TODAY()-O116))</f>
        <v>0</v>
      </c>
      <c r="U116" s="29">
        <f>IF(B116="","",IF(C116="Not found","Check - content ID not on the calendar",IF(AND(P116="Published",R116=""),"Add - link missing",IF(AND(T116&lt;&gt;"",T116&gt;0),"Overdue - past the deadline",IF(AND(P116="Planned",O116=""),"Add - no deadline set","OK")))))</f>
        <v>0</v>
      </c>
    </row>
    <row r="117" spans="1:21">
      <c r="A117" s="41">
        <f>IF(B117="","","RP-"&amp;TEXT(ROW()-4,"000"))</f>
        <v>0</v>
      </c>
      <c r="C117" s="17">
        <f>IF(B117="","",IFERROR(INDEX('Content Calendar'!$H$5:$H$604,MATCH(B117,'Content Calendar'!$A$5:$A$604,0)),"Not found"))</f>
        <v>0</v>
      </c>
      <c r="D117" s="17">
        <f>IF(B117="","",IFERROR(INDEX('Content Calendar'!$G$5:$G$604,MATCH(B117,'Content Calendar'!$A$5:$A$604,0)),"Not found"))</f>
        <v>0</v>
      </c>
      <c r="E117" s="16">
        <f>IF(B117="","",IFERROR(INDEX('Content Calendar'!$B$5:$B$604,MATCH(B117,'Content Calendar'!$A$5:$A$604,0)),"Not found"))</f>
        <v>0</v>
      </c>
      <c r="F117" s="24">
        <f>IF(B117="","",IFERROR(SUMIFS(Performance!$Z$5:$Z$404,Performance!$B$5:$B$404,B117)/SUMIFS(Performance!$O$5:$O$404,Performance!$B$5:$B$404,B117),""))</f>
        <v>0</v>
      </c>
      <c r="S117" s="23">
        <f>IF(B117="","",COUNTIF(Repurposing!$B$5:$B$154,B117))</f>
        <v>0</v>
      </c>
      <c r="T117" s="23">
        <f>IF(OR(O117="",P117="Published",P117="Not suitable"),"",MAX(0,TODAY()-O117))</f>
        <v>0</v>
      </c>
      <c r="U117" s="29">
        <f>IF(B117="","",IF(C117="Not found","Check - content ID not on the calendar",IF(AND(P117="Published",R117=""),"Add - link missing",IF(AND(T117&lt;&gt;"",T117&gt;0),"Overdue - past the deadline",IF(AND(P117="Planned",O117=""),"Add - no deadline set","OK")))))</f>
        <v>0</v>
      </c>
    </row>
    <row r="118" spans="1:21">
      <c r="A118" s="41">
        <f>IF(B118="","","RP-"&amp;TEXT(ROW()-4,"000"))</f>
        <v>0</v>
      </c>
      <c r="C118" s="17">
        <f>IF(B118="","",IFERROR(INDEX('Content Calendar'!$H$5:$H$604,MATCH(B118,'Content Calendar'!$A$5:$A$604,0)),"Not found"))</f>
        <v>0</v>
      </c>
      <c r="D118" s="17">
        <f>IF(B118="","",IFERROR(INDEX('Content Calendar'!$G$5:$G$604,MATCH(B118,'Content Calendar'!$A$5:$A$604,0)),"Not found"))</f>
        <v>0</v>
      </c>
      <c r="E118" s="16">
        <f>IF(B118="","",IFERROR(INDEX('Content Calendar'!$B$5:$B$604,MATCH(B118,'Content Calendar'!$A$5:$A$604,0)),"Not found"))</f>
        <v>0</v>
      </c>
      <c r="F118" s="24">
        <f>IF(B118="","",IFERROR(SUMIFS(Performance!$Z$5:$Z$404,Performance!$B$5:$B$404,B118)/SUMIFS(Performance!$O$5:$O$404,Performance!$B$5:$B$404,B118),""))</f>
        <v>0</v>
      </c>
      <c r="S118" s="23">
        <f>IF(B118="","",COUNTIF(Repurposing!$B$5:$B$154,B118))</f>
        <v>0</v>
      </c>
      <c r="T118" s="23">
        <f>IF(OR(O118="",P118="Published",P118="Not suitable"),"",MAX(0,TODAY()-O118))</f>
        <v>0</v>
      </c>
      <c r="U118" s="29">
        <f>IF(B118="","",IF(C118="Not found","Check - content ID not on the calendar",IF(AND(P118="Published",R118=""),"Add - link missing",IF(AND(T118&lt;&gt;"",T118&gt;0),"Overdue - past the deadline",IF(AND(P118="Planned",O118=""),"Add - no deadline set","OK")))))</f>
        <v>0</v>
      </c>
    </row>
    <row r="119" spans="1:21">
      <c r="A119" s="41">
        <f>IF(B119="","","RP-"&amp;TEXT(ROW()-4,"000"))</f>
        <v>0</v>
      </c>
      <c r="C119" s="17">
        <f>IF(B119="","",IFERROR(INDEX('Content Calendar'!$H$5:$H$604,MATCH(B119,'Content Calendar'!$A$5:$A$604,0)),"Not found"))</f>
        <v>0</v>
      </c>
      <c r="D119" s="17">
        <f>IF(B119="","",IFERROR(INDEX('Content Calendar'!$G$5:$G$604,MATCH(B119,'Content Calendar'!$A$5:$A$604,0)),"Not found"))</f>
        <v>0</v>
      </c>
      <c r="E119" s="16">
        <f>IF(B119="","",IFERROR(INDEX('Content Calendar'!$B$5:$B$604,MATCH(B119,'Content Calendar'!$A$5:$A$604,0)),"Not found"))</f>
        <v>0</v>
      </c>
      <c r="F119" s="24">
        <f>IF(B119="","",IFERROR(SUMIFS(Performance!$Z$5:$Z$404,Performance!$B$5:$B$404,B119)/SUMIFS(Performance!$O$5:$O$404,Performance!$B$5:$B$404,B119),""))</f>
        <v>0</v>
      </c>
      <c r="S119" s="23">
        <f>IF(B119="","",COUNTIF(Repurposing!$B$5:$B$154,B119))</f>
        <v>0</v>
      </c>
      <c r="T119" s="23">
        <f>IF(OR(O119="",P119="Published",P119="Not suitable"),"",MAX(0,TODAY()-O119))</f>
        <v>0</v>
      </c>
      <c r="U119" s="29">
        <f>IF(B119="","",IF(C119="Not found","Check - content ID not on the calendar",IF(AND(P119="Published",R119=""),"Add - link missing",IF(AND(T119&lt;&gt;"",T119&gt;0),"Overdue - past the deadline",IF(AND(P119="Planned",O119=""),"Add - no deadline set","OK")))))</f>
        <v>0</v>
      </c>
    </row>
    <row r="120" spans="1:21">
      <c r="A120" s="41">
        <f>IF(B120="","","RP-"&amp;TEXT(ROW()-4,"000"))</f>
        <v>0</v>
      </c>
      <c r="C120" s="17">
        <f>IF(B120="","",IFERROR(INDEX('Content Calendar'!$H$5:$H$604,MATCH(B120,'Content Calendar'!$A$5:$A$604,0)),"Not found"))</f>
        <v>0</v>
      </c>
      <c r="D120" s="17">
        <f>IF(B120="","",IFERROR(INDEX('Content Calendar'!$G$5:$G$604,MATCH(B120,'Content Calendar'!$A$5:$A$604,0)),"Not found"))</f>
        <v>0</v>
      </c>
      <c r="E120" s="16">
        <f>IF(B120="","",IFERROR(INDEX('Content Calendar'!$B$5:$B$604,MATCH(B120,'Content Calendar'!$A$5:$A$604,0)),"Not found"))</f>
        <v>0</v>
      </c>
      <c r="F120" s="24">
        <f>IF(B120="","",IFERROR(SUMIFS(Performance!$Z$5:$Z$404,Performance!$B$5:$B$404,B120)/SUMIFS(Performance!$O$5:$O$404,Performance!$B$5:$B$404,B120),""))</f>
        <v>0</v>
      </c>
      <c r="S120" s="23">
        <f>IF(B120="","",COUNTIF(Repurposing!$B$5:$B$154,B120))</f>
        <v>0</v>
      </c>
      <c r="T120" s="23">
        <f>IF(OR(O120="",P120="Published",P120="Not suitable"),"",MAX(0,TODAY()-O120))</f>
        <v>0</v>
      </c>
      <c r="U120" s="29">
        <f>IF(B120="","",IF(C120="Not found","Check - content ID not on the calendar",IF(AND(P120="Published",R120=""),"Add - link missing",IF(AND(T120&lt;&gt;"",T120&gt;0),"Overdue - past the deadline",IF(AND(P120="Planned",O120=""),"Add - no deadline set","OK")))))</f>
        <v>0</v>
      </c>
    </row>
    <row r="121" spans="1:21">
      <c r="A121" s="41">
        <f>IF(B121="","","RP-"&amp;TEXT(ROW()-4,"000"))</f>
        <v>0</v>
      </c>
      <c r="C121" s="17">
        <f>IF(B121="","",IFERROR(INDEX('Content Calendar'!$H$5:$H$604,MATCH(B121,'Content Calendar'!$A$5:$A$604,0)),"Not found"))</f>
        <v>0</v>
      </c>
      <c r="D121" s="17">
        <f>IF(B121="","",IFERROR(INDEX('Content Calendar'!$G$5:$G$604,MATCH(B121,'Content Calendar'!$A$5:$A$604,0)),"Not found"))</f>
        <v>0</v>
      </c>
      <c r="E121" s="16">
        <f>IF(B121="","",IFERROR(INDEX('Content Calendar'!$B$5:$B$604,MATCH(B121,'Content Calendar'!$A$5:$A$604,0)),"Not found"))</f>
        <v>0</v>
      </c>
      <c r="F121" s="24">
        <f>IF(B121="","",IFERROR(SUMIFS(Performance!$Z$5:$Z$404,Performance!$B$5:$B$404,B121)/SUMIFS(Performance!$O$5:$O$404,Performance!$B$5:$B$404,B121),""))</f>
        <v>0</v>
      </c>
      <c r="S121" s="23">
        <f>IF(B121="","",COUNTIF(Repurposing!$B$5:$B$154,B121))</f>
        <v>0</v>
      </c>
      <c r="T121" s="23">
        <f>IF(OR(O121="",P121="Published",P121="Not suitable"),"",MAX(0,TODAY()-O121))</f>
        <v>0</v>
      </c>
      <c r="U121" s="29">
        <f>IF(B121="","",IF(C121="Not found","Check - content ID not on the calendar",IF(AND(P121="Published",R121=""),"Add - link missing",IF(AND(T121&lt;&gt;"",T121&gt;0),"Overdue - past the deadline",IF(AND(P121="Planned",O121=""),"Add - no deadline set","OK")))))</f>
        <v>0</v>
      </c>
    </row>
    <row r="122" spans="1:21">
      <c r="A122" s="41">
        <f>IF(B122="","","RP-"&amp;TEXT(ROW()-4,"000"))</f>
        <v>0</v>
      </c>
      <c r="C122" s="17">
        <f>IF(B122="","",IFERROR(INDEX('Content Calendar'!$H$5:$H$604,MATCH(B122,'Content Calendar'!$A$5:$A$604,0)),"Not found"))</f>
        <v>0</v>
      </c>
      <c r="D122" s="17">
        <f>IF(B122="","",IFERROR(INDEX('Content Calendar'!$G$5:$G$604,MATCH(B122,'Content Calendar'!$A$5:$A$604,0)),"Not found"))</f>
        <v>0</v>
      </c>
      <c r="E122" s="16">
        <f>IF(B122="","",IFERROR(INDEX('Content Calendar'!$B$5:$B$604,MATCH(B122,'Content Calendar'!$A$5:$A$604,0)),"Not found"))</f>
        <v>0</v>
      </c>
      <c r="F122" s="24">
        <f>IF(B122="","",IFERROR(SUMIFS(Performance!$Z$5:$Z$404,Performance!$B$5:$B$404,B122)/SUMIFS(Performance!$O$5:$O$404,Performance!$B$5:$B$404,B122),""))</f>
        <v>0</v>
      </c>
      <c r="S122" s="23">
        <f>IF(B122="","",COUNTIF(Repurposing!$B$5:$B$154,B122))</f>
        <v>0</v>
      </c>
      <c r="T122" s="23">
        <f>IF(OR(O122="",P122="Published",P122="Not suitable"),"",MAX(0,TODAY()-O122))</f>
        <v>0</v>
      </c>
      <c r="U122" s="29">
        <f>IF(B122="","",IF(C122="Not found","Check - content ID not on the calendar",IF(AND(P122="Published",R122=""),"Add - link missing",IF(AND(T122&lt;&gt;"",T122&gt;0),"Overdue - past the deadline",IF(AND(P122="Planned",O122=""),"Add - no deadline set","OK")))))</f>
        <v>0</v>
      </c>
    </row>
    <row r="123" spans="1:21">
      <c r="A123" s="41">
        <f>IF(B123="","","RP-"&amp;TEXT(ROW()-4,"000"))</f>
        <v>0</v>
      </c>
      <c r="C123" s="17">
        <f>IF(B123="","",IFERROR(INDEX('Content Calendar'!$H$5:$H$604,MATCH(B123,'Content Calendar'!$A$5:$A$604,0)),"Not found"))</f>
        <v>0</v>
      </c>
      <c r="D123" s="17">
        <f>IF(B123="","",IFERROR(INDEX('Content Calendar'!$G$5:$G$604,MATCH(B123,'Content Calendar'!$A$5:$A$604,0)),"Not found"))</f>
        <v>0</v>
      </c>
      <c r="E123" s="16">
        <f>IF(B123="","",IFERROR(INDEX('Content Calendar'!$B$5:$B$604,MATCH(B123,'Content Calendar'!$A$5:$A$604,0)),"Not found"))</f>
        <v>0</v>
      </c>
      <c r="F123" s="24">
        <f>IF(B123="","",IFERROR(SUMIFS(Performance!$Z$5:$Z$404,Performance!$B$5:$B$404,B123)/SUMIFS(Performance!$O$5:$O$404,Performance!$B$5:$B$404,B123),""))</f>
        <v>0</v>
      </c>
      <c r="S123" s="23">
        <f>IF(B123="","",COUNTIF(Repurposing!$B$5:$B$154,B123))</f>
        <v>0</v>
      </c>
      <c r="T123" s="23">
        <f>IF(OR(O123="",P123="Published",P123="Not suitable"),"",MAX(0,TODAY()-O123))</f>
        <v>0</v>
      </c>
      <c r="U123" s="29">
        <f>IF(B123="","",IF(C123="Not found","Check - content ID not on the calendar",IF(AND(P123="Published",R123=""),"Add - link missing",IF(AND(T123&lt;&gt;"",T123&gt;0),"Overdue - past the deadline",IF(AND(P123="Planned",O123=""),"Add - no deadline set","OK")))))</f>
        <v>0</v>
      </c>
    </row>
    <row r="124" spans="1:21">
      <c r="A124" s="41">
        <f>IF(B124="","","RP-"&amp;TEXT(ROW()-4,"000"))</f>
        <v>0</v>
      </c>
      <c r="C124" s="17">
        <f>IF(B124="","",IFERROR(INDEX('Content Calendar'!$H$5:$H$604,MATCH(B124,'Content Calendar'!$A$5:$A$604,0)),"Not found"))</f>
        <v>0</v>
      </c>
      <c r="D124" s="17">
        <f>IF(B124="","",IFERROR(INDEX('Content Calendar'!$G$5:$G$604,MATCH(B124,'Content Calendar'!$A$5:$A$604,0)),"Not found"))</f>
        <v>0</v>
      </c>
      <c r="E124" s="16">
        <f>IF(B124="","",IFERROR(INDEX('Content Calendar'!$B$5:$B$604,MATCH(B124,'Content Calendar'!$A$5:$A$604,0)),"Not found"))</f>
        <v>0</v>
      </c>
      <c r="F124" s="24">
        <f>IF(B124="","",IFERROR(SUMIFS(Performance!$Z$5:$Z$404,Performance!$B$5:$B$404,B124)/SUMIFS(Performance!$O$5:$O$404,Performance!$B$5:$B$404,B124),""))</f>
        <v>0</v>
      </c>
      <c r="S124" s="23">
        <f>IF(B124="","",COUNTIF(Repurposing!$B$5:$B$154,B124))</f>
        <v>0</v>
      </c>
      <c r="T124" s="23">
        <f>IF(OR(O124="",P124="Published",P124="Not suitable"),"",MAX(0,TODAY()-O124))</f>
        <v>0</v>
      </c>
      <c r="U124" s="29">
        <f>IF(B124="","",IF(C124="Not found","Check - content ID not on the calendar",IF(AND(P124="Published",R124=""),"Add - link missing",IF(AND(T124&lt;&gt;"",T124&gt;0),"Overdue - past the deadline",IF(AND(P124="Planned",O124=""),"Add - no deadline set","OK")))))</f>
        <v>0</v>
      </c>
    </row>
    <row r="125" spans="1:21">
      <c r="A125" s="41">
        <f>IF(B125="","","RP-"&amp;TEXT(ROW()-4,"000"))</f>
        <v>0</v>
      </c>
      <c r="C125" s="17">
        <f>IF(B125="","",IFERROR(INDEX('Content Calendar'!$H$5:$H$604,MATCH(B125,'Content Calendar'!$A$5:$A$604,0)),"Not found"))</f>
        <v>0</v>
      </c>
      <c r="D125" s="17">
        <f>IF(B125="","",IFERROR(INDEX('Content Calendar'!$G$5:$G$604,MATCH(B125,'Content Calendar'!$A$5:$A$604,0)),"Not found"))</f>
        <v>0</v>
      </c>
      <c r="E125" s="16">
        <f>IF(B125="","",IFERROR(INDEX('Content Calendar'!$B$5:$B$604,MATCH(B125,'Content Calendar'!$A$5:$A$604,0)),"Not found"))</f>
        <v>0</v>
      </c>
      <c r="F125" s="24">
        <f>IF(B125="","",IFERROR(SUMIFS(Performance!$Z$5:$Z$404,Performance!$B$5:$B$404,B125)/SUMIFS(Performance!$O$5:$O$404,Performance!$B$5:$B$404,B125),""))</f>
        <v>0</v>
      </c>
      <c r="S125" s="23">
        <f>IF(B125="","",COUNTIF(Repurposing!$B$5:$B$154,B125))</f>
        <v>0</v>
      </c>
      <c r="T125" s="23">
        <f>IF(OR(O125="",P125="Published",P125="Not suitable"),"",MAX(0,TODAY()-O125))</f>
        <v>0</v>
      </c>
      <c r="U125" s="29">
        <f>IF(B125="","",IF(C125="Not found","Check - content ID not on the calendar",IF(AND(P125="Published",R125=""),"Add - link missing",IF(AND(T125&lt;&gt;"",T125&gt;0),"Overdue - past the deadline",IF(AND(P125="Planned",O125=""),"Add - no deadline set","OK")))))</f>
        <v>0</v>
      </c>
    </row>
    <row r="126" spans="1:21">
      <c r="A126" s="41">
        <f>IF(B126="","","RP-"&amp;TEXT(ROW()-4,"000"))</f>
        <v>0</v>
      </c>
      <c r="C126" s="17">
        <f>IF(B126="","",IFERROR(INDEX('Content Calendar'!$H$5:$H$604,MATCH(B126,'Content Calendar'!$A$5:$A$604,0)),"Not found"))</f>
        <v>0</v>
      </c>
      <c r="D126" s="17">
        <f>IF(B126="","",IFERROR(INDEX('Content Calendar'!$G$5:$G$604,MATCH(B126,'Content Calendar'!$A$5:$A$604,0)),"Not found"))</f>
        <v>0</v>
      </c>
      <c r="E126" s="16">
        <f>IF(B126="","",IFERROR(INDEX('Content Calendar'!$B$5:$B$604,MATCH(B126,'Content Calendar'!$A$5:$A$604,0)),"Not found"))</f>
        <v>0</v>
      </c>
      <c r="F126" s="24">
        <f>IF(B126="","",IFERROR(SUMIFS(Performance!$Z$5:$Z$404,Performance!$B$5:$B$404,B126)/SUMIFS(Performance!$O$5:$O$404,Performance!$B$5:$B$404,B126),""))</f>
        <v>0</v>
      </c>
      <c r="S126" s="23">
        <f>IF(B126="","",COUNTIF(Repurposing!$B$5:$B$154,B126))</f>
        <v>0</v>
      </c>
      <c r="T126" s="23">
        <f>IF(OR(O126="",P126="Published",P126="Not suitable"),"",MAX(0,TODAY()-O126))</f>
        <v>0</v>
      </c>
      <c r="U126" s="29">
        <f>IF(B126="","",IF(C126="Not found","Check - content ID not on the calendar",IF(AND(P126="Published",R126=""),"Add - link missing",IF(AND(T126&lt;&gt;"",T126&gt;0),"Overdue - past the deadline",IF(AND(P126="Planned",O126=""),"Add - no deadline set","OK")))))</f>
        <v>0</v>
      </c>
    </row>
    <row r="127" spans="1:21">
      <c r="A127" s="41">
        <f>IF(B127="","","RP-"&amp;TEXT(ROW()-4,"000"))</f>
        <v>0</v>
      </c>
      <c r="C127" s="17">
        <f>IF(B127="","",IFERROR(INDEX('Content Calendar'!$H$5:$H$604,MATCH(B127,'Content Calendar'!$A$5:$A$604,0)),"Not found"))</f>
        <v>0</v>
      </c>
      <c r="D127" s="17">
        <f>IF(B127="","",IFERROR(INDEX('Content Calendar'!$G$5:$G$604,MATCH(B127,'Content Calendar'!$A$5:$A$604,0)),"Not found"))</f>
        <v>0</v>
      </c>
      <c r="E127" s="16">
        <f>IF(B127="","",IFERROR(INDEX('Content Calendar'!$B$5:$B$604,MATCH(B127,'Content Calendar'!$A$5:$A$604,0)),"Not found"))</f>
        <v>0</v>
      </c>
      <c r="F127" s="24">
        <f>IF(B127="","",IFERROR(SUMIFS(Performance!$Z$5:$Z$404,Performance!$B$5:$B$404,B127)/SUMIFS(Performance!$O$5:$O$404,Performance!$B$5:$B$404,B127),""))</f>
        <v>0</v>
      </c>
      <c r="S127" s="23">
        <f>IF(B127="","",COUNTIF(Repurposing!$B$5:$B$154,B127))</f>
        <v>0</v>
      </c>
      <c r="T127" s="23">
        <f>IF(OR(O127="",P127="Published",P127="Not suitable"),"",MAX(0,TODAY()-O127))</f>
        <v>0</v>
      </c>
      <c r="U127" s="29">
        <f>IF(B127="","",IF(C127="Not found","Check - content ID not on the calendar",IF(AND(P127="Published",R127=""),"Add - link missing",IF(AND(T127&lt;&gt;"",T127&gt;0),"Overdue - past the deadline",IF(AND(P127="Planned",O127=""),"Add - no deadline set","OK")))))</f>
        <v>0</v>
      </c>
    </row>
    <row r="128" spans="1:21">
      <c r="A128" s="41">
        <f>IF(B128="","","RP-"&amp;TEXT(ROW()-4,"000"))</f>
        <v>0</v>
      </c>
      <c r="C128" s="17">
        <f>IF(B128="","",IFERROR(INDEX('Content Calendar'!$H$5:$H$604,MATCH(B128,'Content Calendar'!$A$5:$A$604,0)),"Not found"))</f>
        <v>0</v>
      </c>
      <c r="D128" s="17">
        <f>IF(B128="","",IFERROR(INDEX('Content Calendar'!$G$5:$G$604,MATCH(B128,'Content Calendar'!$A$5:$A$604,0)),"Not found"))</f>
        <v>0</v>
      </c>
      <c r="E128" s="16">
        <f>IF(B128="","",IFERROR(INDEX('Content Calendar'!$B$5:$B$604,MATCH(B128,'Content Calendar'!$A$5:$A$604,0)),"Not found"))</f>
        <v>0</v>
      </c>
      <c r="F128" s="24">
        <f>IF(B128="","",IFERROR(SUMIFS(Performance!$Z$5:$Z$404,Performance!$B$5:$B$404,B128)/SUMIFS(Performance!$O$5:$O$404,Performance!$B$5:$B$404,B128),""))</f>
        <v>0</v>
      </c>
      <c r="S128" s="23">
        <f>IF(B128="","",COUNTIF(Repurposing!$B$5:$B$154,B128))</f>
        <v>0</v>
      </c>
      <c r="T128" s="23">
        <f>IF(OR(O128="",P128="Published",P128="Not suitable"),"",MAX(0,TODAY()-O128))</f>
        <v>0</v>
      </c>
      <c r="U128" s="29">
        <f>IF(B128="","",IF(C128="Not found","Check - content ID not on the calendar",IF(AND(P128="Published",R128=""),"Add - link missing",IF(AND(T128&lt;&gt;"",T128&gt;0),"Overdue - past the deadline",IF(AND(P128="Planned",O128=""),"Add - no deadline set","OK")))))</f>
        <v>0</v>
      </c>
    </row>
    <row r="129" spans="1:21">
      <c r="A129" s="41">
        <f>IF(B129="","","RP-"&amp;TEXT(ROW()-4,"000"))</f>
        <v>0</v>
      </c>
      <c r="C129" s="17">
        <f>IF(B129="","",IFERROR(INDEX('Content Calendar'!$H$5:$H$604,MATCH(B129,'Content Calendar'!$A$5:$A$604,0)),"Not found"))</f>
        <v>0</v>
      </c>
      <c r="D129" s="17">
        <f>IF(B129="","",IFERROR(INDEX('Content Calendar'!$G$5:$G$604,MATCH(B129,'Content Calendar'!$A$5:$A$604,0)),"Not found"))</f>
        <v>0</v>
      </c>
      <c r="E129" s="16">
        <f>IF(B129="","",IFERROR(INDEX('Content Calendar'!$B$5:$B$604,MATCH(B129,'Content Calendar'!$A$5:$A$604,0)),"Not found"))</f>
        <v>0</v>
      </c>
      <c r="F129" s="24">
        <f>IF(B129="","",IFERROR(SUMIFS(Performance!$Z$5:$Z$404,Performance!$B$5:$B$404,B129)/SUMIFS(Performance!$O$5:$O$404,Performance!$B$5:$B$404,B129),""))</f>
        <v>0</v>
      </c>
      <c r="S129" s="23">
        <f>IF(B129="","",COUNTIF(Repurposing!$B$5:$B$154,B129))</f>
        <v>0</v>
      </c>
      <c r="T129" s="23">
        <f>IF(OR(O129="",P129="Published",P129="Not suitable"),"",MAX(0,TODAY()-O129))</f>
        <v>0</v>
      </c>
      <c r="U129" s="29">
        <f>IF(B129="","",IF(C129="Not found","Check - content ID not on the calendar",IF(AND(P129="Published",R129=""),"Add - link missing",IF(AND(T129&lt;&gt;"",T129&gt;0),"Overdue - past the deadline",IF(AND(P129="Planned",O129=""),"Add - no deadline set","OK")))))</f>
        <v>0</v>
      </c>
    </row>
    <row r="130" spans="1:21">
      <c r="A130" s="41">
        <f>IF(B130="","","RP-"&amp;TEXT(ROW()-4,"000"))</f>
        <v>0</v>
      </c>
      <c r="C130" s="17">
        <f>IF(B130="","",IFERROR(INDEX('Content Calendar'!$H$5:$H$604,MATCH(B130,'Content Calendar'!$A$5:$A$604,0)),"Not found"))</f>
        <v>0</v>
      </c>
      <c r="D130" s="17">
        <f>IF(B130="","",IFERROR(INDEX('Content Calendar'!$G$5:$G$604,MATCH(B130,'Content Calendar'!$A$5:$A$604,0)),"Not found"))</f>
        <v>0</v>
      </c>
      <c r="E130" s="16">
        <f>IF(B130="","",IFERROR(INDEX('Content Calendar'!$B$5:$B$604,MATCH(B130,'Content Calendar'!$A$5:$A$604,0)),"Not found"))</f>
        <v>0</v>
      </c>
      <c r="F130" s="24">
        <f>IF(B130="","",IFERROR(SUMIFS(Performance!$Z$5:$Z$404,Performance!$B$5:$B$404,B130)/SUMIFS(Performance!$O$5:$O$404,Performance!$B$5:$B$404,B130),""))</f>
        <v>0</v>
      </c>
      <c r="S130" s="23">
        <f>IF(B130="","",COUNTIF(Repurposing!$B$5:$B$154,B130))</f>
        <v>0</v>
      </c>
      <c r="T130" s="23">
        <f>IF(OR(O130="",P130="Published",P130="Not suitable"),"",MAX(0,TODAY()-O130))</f>
        <v>0</v>
      </c>
      <c r="U130" s="29">
        <f>IF(B130="","",IF(C130="Not found","Check - content ID not on the calendar",IF(AND(P130="Published",R130=""),"Add - link missing",IF(AND(T130&lt;&gt;"",T130&gt;0),"Overdue - past the deadline",IF(AND(P130="Planned",O130=""),"Add - no deadline set","OK")))))</f>
        <v>0</v>
      </c>
    </row>
    <row r="131" spans="1:21">
      <c r="A131" s="41">
        <f>IF(B131="","","RP-"&amp;TEXT(ROW()-4,"000"))</f>
        <v>0</v>
      </c>
      <c r="C131" s="17">
        <f>IF(B131="","",IFERROR(INDEX('Content Calendar'!$H$5:$H$604,MATCH(B131,'Content Calendar'!$A$5:$A$604,0)),"Not found"))</f>
        <v>0</v>
      </c>
      <c r="D131" s="17">
        <f>IF(B131="","",IFERROR(INDEX('Content Calendar'!$G$5:$G$604,MATCH(B131,'Content Calendar'!$A$5:$A$604,0)),"Not found"))</f>
        <v>0</v>
      </c>
      <c r="E131" s="16">
        <f>IF(B131="","",IFERROR(INDEX('Content Calendar'!$B$5:$B$604,MATCH(B131,'Content Calendar'!$A$5:$A$604,0)),"Not found"))</f>
        <v>0</v>
      </c>
      <c r="F131" s="24">
        <f>IF(B131="","",IFERROR(SUMIFS(Performance!$Z$5:$Z$404,Performance!$B$5:$B$404,B131)/SUMIFS(Performance!$O$5:$O$404,Performance!$B$5:$B$404,B131),""))</f>
        <v>0</v>
      </c>
      <c r="S131" s="23">
        <f>IF(B131="","",COUNTIF(Repurposing!$B$5:$B$154,B131))</f>
        <v>0</v>
      </c>
      <c r="T131" s="23">
        <f>IF(OR(O131="",P131="Published",P131="Not suitable"),"",MAX(0,TODAY()-O131))</f>
        <v>0</v>
      </c>
      <c r="U131" s="29">
        <f>IF(B131="","",IF(C131="Not found","Check - content ID not on the calendar",IF(AND(P131="Published",R131=""),"Add - link missing",IF(AND(T131&lt;&gt;"",T131&gt;0),"Overdue - past the deadline",IF(AND(P131="Planned",O131=""),"Add - no deadline set","OK")))))</f>
        <v>0</v>
      </c>
    </row>
    <row r="132" spans="1:21">
      <c r="A132" s="41">
        <f>IF(B132="","","RP-"&amp;TEXT(ROW()-4,"000"))</f>
        <v>0</v>
      </c>
      <c r="C132" s="17">
        <f>IF(B132="","",IFERROR(INDEX('Content Calendar'!$H$5:$H$604,MATCH(B132,'Content Calendar'!$A$5:$A$604,0)),"Not found"))</f>
        <v>0</v>
      </c>
      <c r="D132" s="17">
        <f>IF(B132="","",IFERROR(INDEX('Content Calendar'!$G$5:$G$604,MATCH(B132,'Content Calendar'!$A$5:$A$604,0)),"Not found"))</f>
        <v>0</v>
      </c>
      <c r="E132" s="16">
        <f>IF(B132="","",IFERROR(INDEX('Content Calendar'!$B$5:$B$604,MATCH(B132,'Content Calendar'!$A$5:$A$604,0)),"Not found"))</f>
        <v>0</v>
      </c>
      <c r="F132" s="24">
        <f>IF(B132="","",IFERROR(SUMIFS(Performance!$Z$5:$Z$404,Performance!$B$5:$B$404,B132)/SUMIFS(Performance!$O$5:$O$404,Performance!$B$5:$B$404,B132),""))</f>
        <v>0</v>
      </c>
      <c r="S132" s="23">
        <f>IF(B132="","",COUNTIF(Repurposing!$B$5:$B$154,B132))</f>
        <v>0</v>
      </c>
      <c r="T132" s="23">
        <f>IF(OR(O132="",P132="Published",P132="Not suitable"),"",MAX(0,TODAY()-O132))</f>
        <v>0</v>
      </c>
      <c r="U132" s="29">
        <f>IF(B132="","",IF(C132="Not found","Check - content ID not on the calendar",IF(AND(P132="Published",R132=""),"Add - link missing",IF(AND(T132&lt;&gt;"",T132&gt;0),"Overdue - past the deadline",IF(AND(P132="Planned",O132=""),"Add - no deadline set","OK")))))</f>
        <v>0</v>
      </c>
    </row>
    <row r="133" spans="1:21">
      <c r="A133" s="41">
        <f>IF(B133="","","RP-"&amp;TEXT(ROW()-4,"000"))</f>
        <v>0</v>
      </c>
      <c r="C133" s="17">
        <f>IF(B133="","",IFERROR(INDEX('Content Calendar'!$H$5:$H$604,MATCH(B133,'Content Calendar'!$A$5:$A$604,0)),"Not found"))</f>
        <v>0</v>
      </c>
      <c r="D133" s="17">
        <f>IF(B133="","",IFERROR(INDEX('Content Calendar'!$G$5:$G$604,MATCH(B133,'Content Calendar'!$A$5:$A$604,0)),"Not found"))</f>
        <v>0</v>
      </c>
      <c r="E133" s="16">
        <f>IF(B133="","",IFERROR(INDEX('Content Calendar'!$B$5:$B$604,MATCH(B133,'Content Calendar'!$A$5:$A$604,0)),"Not found"))</f>
        <v>0</v>
      </c>
      <c r="F133" s="24">
        <f>IF(B133="","",IFERROR(SUMIFS(Performance!$Z$5:$Z$404,Performance!$B$5:$B$404,B133)/SUMIFS(Performance!$O$5:$O$404,Performance!$B$5:$B$404,B133),""))</f>
        <v>0</v>
      </c>
      <c r="S133" s="23">
        <f>IF(B133="","",COUNTIF(Repurposing!$B$5:$B$154,B133))</f>
        <v>0</v>
      </c>
      <c r="T133" s="23">
        <f>IF(OR(O133="",P133="Published",P133="Not suitable"),"",MAX(0,TODAY()-O133))</f>
        <v>0</v>
      </c>
      <c r="U133" s="29">
        <f>IF(B133="","",IF(C133="Not found","Check - content ID not on the calendar",IF(AND(P133="Published",R133=""),"Add - link missing",IF(AND(T133&lt;&gt;"",T133&gt;0),"Overdue - past the deadline",IF(AND(P133="Planned",O133=""),"Add - no deadline set","OK")))))</f>
        <v>0</v>
      </c>
    </row>
    <row r="134" spans="1:21">
      <c r="A134" s="41">
        <f>IF(B134="","","RP-"&amp;TEXT(ROW()-4,"000"))</f>
        <v>0</v>
      </c>
      <c r="C134" s="17">
        <f>IF(B134="","",IFERROR(INDEX('Content Calendar'!$H$5:$H$604,MATCH(B134,'Content Calendar'!$A$5:$A$604,0)),"Not found"))</f>
        <v>0</v>
      </c>
      <c r="D134" s="17">
        <f>IF(B134="","",IFERROR(INDEX('Content Calendar'!$G$5:$G$604,MATCH(B134,'Content Calendar'!$A$5:$A$604,0)),"Not found"))</f>
        <v>0</v>
      </c>
      <c r="E134" s="16">
        <f>IF(B134="","",IFERROR(INDEX('Content Calendar'!$B$5:$B$604,MATCH(B134,'Content Calendar'!$A$5:$A$604,0)),"Not found"))</f>
        <v>0</v>
      </c>
      <c r="F134" s="24">
        <f>IF(B134="","",IFERROR(SUMIFS(Performance!$Z$5:$Z$404,Performance!$B$5:$B$404,B134)/SUMIFS(Performance!$O$5:$O$404,Performance!$B$5:$B$404,B134),""))</f>
        <v>0</v>
      </c>
      <c r="S134" s="23">
        <f>IF(B134="","",COUNTIF(Repurposing!$B$5:$B$154,B134))</f>
        <v>0</v>
      </c>
      <c r="T134" s="23">
        <f>IF(OR(O134="",P134="Published",P134="Not suitable"),"",MAX(0,TODAY()-O134))</f>
        <v>0</v>
      </c>
      <c r="U134" s="29">
        <f>IF(B134="","",IF(C134="Not found","Check - content ID not on the calendar",IF(AND(P134="Published",R134=""),"Add - link missing",IF(AND(T134&lt;&gt;"",T134&gt;0),"Overdue - past the deadline",IF(AND(P134="Planned",O134=""),"Add - no deadline set","OK")))))</f>
        <v>0</v>
      </c>
    </row>
    <row r="135" spans="1:21">
      <c r="A135" s="41">
        <f>IF(B135="","","RP-"&amp;TEXT(ROW()-4,"000"))</f>
        <v>0</v>
      </c>
      <c r="C135" s="17">
        <f>IF(B135="","",IFERROR(INDEX('Content Calendar'!$H$5:$H$604,MATCH(B135,'Content Calendar'!$A$5:$A$604,0)),"Not found"))</f>
        <v>0</v>
      </c>
      <c r="D135" s="17">
        <f>IF(B135="","",IFERROR(INDEX('Content Calendar'!$G$5:$G$604,MATCH(B135,'Content Calendar'!$A$5:$A$604,0)),"Not found"))</f>
        <v>0</v>
      </c>
      <c r="E135" s="16">
        <f>IF(B135="","",IFERROR(INDEX('Content Calendar'!$B$5:$B$604,MATCH(B135,'Content Calendar'!$A$5:$A$604,0)),"Not found"))</f>
        <v>0</v>
      </c>
      <c r="F135" s="24">
        <f>IF(B135="","",IFERROR(SUMIFS(Performance!$Z$5:$Z$404,Performance!$B$5:$B$404,B135)/SUMIFS(Performance!$O$5:$O$404,Performance!$B$5:$B$404,B135),""))</f>
        <v>0</v>
      </c>
      <c r="S135" s="23">
        <f>IF(B135="","",COUNTIF(Repurposing!$B$5:$B$154,B135))</f>
        <v>0</v>
      </c>
      <c r="T135" s="23">
        <f>IF(OR(O135="",P135="Published",P135="Not suitable"),"",MAX(0,TODAY()-O135))</f>
        <v>0</v>
      </c>
      <c r="U135" s="29">
        <f>IF(B135="","",IF(C135="Not found","Check - content ID not on the calendar",IF(AND(P135="Published",R135=""),"Add - link missing",IF(AND(T135&lt;&gt;"",T135&gt;0),"Overdue - past the deadline",IF(AND(P135="Planned",O135=""),"Add - no deadline set","OK")))))</f>
        <v>0</v>
      </c>
    </row>
    <row r="136" spans="1:21">
      <c r="A136" s="41">
        <f>IF(B136="","","RP-"&amp;TEXT(ROW()-4,"000"))</f>
        <v>0</v>
      </c>
      <c r="C136" s="17">
        <f>IF(B136="","",IFERROR(INDEX('Content Calendar'!$H$5:$H$604,MATCH(B136,'Content Calendar'!$A$5:$A$604,0)),"Not found"))</f>
        <v>0</v>
      </c>
      <c r="D136" s="17">
        <f>IF(B136="","",IFERROR(INDEX('Content Calendar'!$G$5:$G$604,MATCH(B136,'Content Calendar'!$A$5:$A$604,0)),"Not found"))</f>
        <v>0</v>
      </c>
      <c r="E136" s="16">
        <f>IF(B136="","",IFERROR(INDEX('Content Calendar'!$B$5:$B$604,MATCH(B136,'Content Calendar'!$A$5:$A$604,0)),"Not found"))</f>
        <v>0</v>
      </c>
      <c r="F136" s="24">
        <f>IF(B136="","",IFERROR(SUMIFS(Performance!$Z$5:$Z$404,Performance!$B$5:$B$404,B136)/SUMIFS(Performance!$O$5:$O$404,Performance!$B$5:$B$404,B136),""))</f>
        <v>0</v>
      </c>
      <c r="S136" s="23">
        <f>IF(B136="","",COUNTIF(Repurposing!$B$5:$B$154,B136))</f>
        <v>0</v>
      </c>
      <c r="T136" s="23">
        <f>IF(OR(O136="",P136="Published",P136="Not suitable"),"",MAX(0,TODAY()-O136))</f>
        <v>0</v>
      </c>
      <c r="U136" s="29">
        <f>IF(B136="","",IF(C136="Not found","Check - content ID not on the calendar",IF(AND(P136="Published",R136=""),"Add - link missing",IF(AND(T136&lt;&gt;"",T136&gt;0),"Overdue - past the deadline",IF(AND(P136="Planned",O136=""),"Add - no deadline set","OK")))))</f>
        <v>0</v>
      </c>
    </row>
    <row r="137" spans="1:21">
      <c r="A137" s="41">
        <f>IF(B137="","","RP-"&amp;TEXT(ROW()-4,"000"))</f>
        <v>0</v>
      </c>
      <c r="C137" s="17">
        <f>IF(B137="","",IFERROR(INDEX('Content Calendar'!$H$5:$H$604,MATCH(B137,'Content Calendar'!$A$5:$A$604,0)),"Not found"))</f>
        <v>0</v>
      </c>
      <c r="D137" s="17">
        <f>IF(B137="","",IFERROR(INDEX('Content Calendar'!$G$5:$G$604,MATCH(B137,'Content Calendar'!$A$5:$A$604,0)),"Not found"))</f>
        <v>0</v>
      </c>
      <c r="E137" s="16">
        <f>IF(B137="","",IFERROR(INDEX('Content Calendar'!$B$5:$B$604,MATCH(B137,'Content Calendar'!$A$5:$A$604,0)),"Not found"))</f>
        <v>0</v>
      </c>
      <c r="F137" s="24">
        <f>IF(B137="","",IFERROR(SUMIFS(Performance!$Z$5:$Z$404,Performance!$B$5:$B$404,B137)/SUMIFS(Performance!$O$5:$O$404,Performance!$B$5:$B$404,B137),""))</f>
        <v>0</v>
      </c>
      <c r="S137" s="23">
        <f>IF(B137="","",COUNTIF(Repurposing!$B$5:$B$154,B137))</f>
        <v>0</v>
      </c>
      <c r="T137" s="23">
        <f>IF(OR(O137="",P137="Published",P137="Not suitable"),"",MAX(0,TODAY()-O137))</f>
        <v>0</v>
      </c>
      <c r="U137" s="29">
        <f>IF(B137="","",IF(C137="Not found","Check - content ID not on the calendar",IF(AND(P137="Published",R137=""),"Add - link missing",IF(AND(T137&lt;&gt;"",T137&gt;0),"Overdue - past the deadline",IF(AND(P137="Planned",O137=""),"Add - no deadline set","OK")))))</f>
        <v>0</v>
      </c>
    </row>
    <row r="138" spans="1:21">
      <c r="A138" s="41">
        <f>IF(B138="","","RP-"&amp;TEXT(ROW()-4,"000"))</f>
        <v>0</v>
      </c>
      <c r="C138" s="17">
        <f>IF(B138="","",IFERROR(INDEX('Content Calendar'!$H$5:$H$604,MATCH(B138,'Content Calendar'!$A$5:$A$604,0)),"Not found"))</f>
        <v>0</v>
      </c>
      <c r="D138" s="17">
        <f>IF(B138="","",IFERROR(INDEX('Content Calendar'!$G$5:$G$604,MATCH(B138,'Content Calendar'!$A$5:$A$604,0)),"Not found"))</f>
        <v>0</v>
      </c>
      <c r="E138" s="16">
        <f>IF(B138="","",IFERROR(INDEX('Content Calendar'!$B$5:$B$604,MATCH(B138,'Content Calendar'!$A$5:$A$604,0)),"Not found"))</f>
        <v>0</v>
      </c>
      <c r="F138" s="24">
        <f>IF(B138="","",IFERROR(SUMIFS(Performance!$Z$5:$Z$404,Performance!$B$5:$B$404,B138)/SUMIFS(Performance!$O$5:$O$404,Performance!$B$5:$B$404,B138),""))</f>
        <v>0</v>
      </c>
      <c r="S138" s="23">
        <f>IF(B138="","",COUNTIF(Repurposing!$B$5:$B$154,B138))</f>
        <v>0</v>
      </c>
      <c r="T138" s="23">
        <f>IF(OR(O138="",P138="Published",P138="Not suitable"),"",MAX(0,TODAY()-O138))</f>
        <v>0</v>
      </c>
      <c r="U138" s="29">
        <f>IF(B138="","",IF(C138="Not found","Check - content ID not on the calendar",IF(AND(P138="Published",R138=""),"Add - link missing",IF(AND(T138&lt;&gt;"",T138&gt;0),"Overdue - past the deadline",IF(AND(P138="Planned",O138=""),"Add - no deadline set","OK")))))</f>
        <v>0</v>
      </c>
    </row>
    <row r="139" spans="1:21">
      <c r="A139" s="41">
        <f>IF(B139="","","RP-"&amp;TEXT(ROW()-4,"000"))</f>
        <v>0</v>
      </c>
      <c r="C139" s="17">
        <f>IF(B139="","",IFERROR(INDEX('Content Calendar'!$H$5:$H$604,MATCH(B139,'Content Calendar'!$A$5:$A$604,0)),"Not found"))</f>
        <v>0</v>
      </c>
      <c r="D139" s="17">
        <f>IF(B139="","",IFERROR(INDEX('Content Calendar'!$G$5:$G$604,MATCH(B139,'Content Calendar'!$A$5:$A$604,0)),"Not found"))</f>
        <v>0</v>
      </c>
      <c r="E139" s="16">
        <f>IF(B139="","",IFERROR(INDEX('Content Calendar'!$B$5:$B$604,MATCH(B139,'Content Calendar'!$A$5:$A$604,0)),"Not found"))</f>
        <v>0</v>
      </c>
      <c r="F139" s="24">
        <f>IF(B139="","",IFERROR(SUMIFS(Performance!$Z$5:$Z$404,Performance!$B$5:$B$404,B139)/SUMIFS(Performance!$O$5:$O$404,Performance!$B$5:$B$404,B139),""))</f>
        <v>0</v>
      </c>
      <c r="S139" s="23">
        <f>IF(B139="","",COUNTIF(Repurposing!$B$5:$B$154,B139))</f>
        <v>0</v>
      </c>
      <c r="T139" s="23">
        <f>IF(OR(O139="",P139="Published",P139="Not suitable"),"",MAX(0,TODAY()-O139))</f>
        <v>0</v>
      </c>
      <c r="U139" s="29">
        <f>IF(B139="","",IF(C139="Not found","Check - content ID not on the calendar",IF(AND(P139="Published",R139=""),"Add - link missing",IF(AND(T139&lt;&gt;"",T139&gt;0),"Overdue - past the deadline",IF(AND(P139="Planned",O139=""),"Add - no deadline set","OK")))))</f>
        <v>0</v>
      </c>
    </row>
    <row r="140" spans="1:21">
      <c r="A140" s="41">
        <f>IF(B140="","","RP-"&amp;TEXT(ROW()-4,"000"))</f>
        <v>0</v>
      </c>
      <c r="C140" s="17">
        <f>IF(B140="","",IFERROR(INDEX('Content Calendar'!$H$5:$H$604,MATCH(B140,'Content Calendar'!$A$5:$A$604,0)),"Not found"))</f>
        <v>0</v>
      </c>
      <c r="D140" s="17">
        <f>IF(B140="","",IFERROR(INDEX('Content Calendar'!$G$5:$G$604,MATCH(B140,'Content Calendar'!$A$5:$A$604,0)),"Not found"))</f>
        <v>0</v>
      </c>
      <c r="E140" s="16">
        <f>IF(B140="","",IFERROR(INDEX('Content Calendar'!$B$5:$B$604,MATCH(B140,'Content Calendar'!$A$5:$A$604,0)),"Not found"))</f>
        <v>0</v>
      </c>
      <c r="F140" s="24">
        <f>IF(B140="","",IFERROR(SUMIFS(Performance!$Z$5:$Z$404,Performance!$B$5:$B$404,B140)/SUMIFS(Performance!$O$5:$O$404,Performance!$B$5:$B$404,B140),""))</f>
        <v>0</v>
      </c>
      <c r="S140" s="23">
        <f>IF(B140="","",COUNTIF(Repurposing!$B$5:$B$154,B140))</f>
        <v>0</v>
      </c>
      <c r="T140" s="23">
        <f>IF(OR(O140="",P140="Published",P140="Not suitable"),"",MAX(0,TODAY()-O140))</f>
        <v>0</v>
      </c>
      <c r="U140" s="29">
        <f>IF(B140="","",IF(C140="Not found","Check - content ID not on the calendar",IF(AND(P140="Published",R140=""),"Add - link missing",IF(AND(T140&lt;&gt;"",T140&gt;0),"Overdue - past the deadline",IF(AND(P140="Planned",O140=""),"Add - no deadline set","OK")))))</f>
        <v>0</v>
      </c>
    </row>
    <row r="141" spans="1:21">
      <c r="A141" s="41">
        <f>IF(B141="","","RP-"&amp;TEXT(ROW()-4,"000"))</f>
        <v>0</v>
      </c>
      <c r="C141" s="17">
        <f>IF(B141="","",IFERROR(INDEX('Content Calendar'!$H$5:$H$604,MATCH(B141,'Content Calendar'!$A$5:$A$604,0)),"Not found"))</f>
        <v>0</v>
      </c>
      <c r="D141" s="17">
        <f>IF(B141="","",IFERROR(INDEX('Content Calendar'!$G$5:$G$604,MATCH(B141,'Content Calendar'!$A$5:$A$604,0)),"Not found"))</f>
        <v>0</v>
      </c>
      <c r="E141" s="16">
        <f>IF(B141="","",IFERROR(INDEX('Content Calendar'!$B$5:$B$604,MATCH(B141,'Content Calendar'!$A$5:$A$604,0)),"Not found"))</f>
        <v>0</v>
      </c>
      <c r="F141" s="24">
        <f>IF(B141="","",IFERROR(SUMIFS(Performance!$Z$5:$Z$404,Performance!$B$5:$B$404,B141)/SUMIFS(Performance!$O$5:$O$404,Performance!$B$5:$B$404,B141),""))</f>
        <v>0</v>
      </c>
      <c r="S141" s="23">
        <f>IF(B141="","",COUNTIF(Repurposing!$B$5:$B$154,B141))</f>
        <v>0</v>
      </c>
      <c r="T141" s="23">
        <f>IF(OR(O141="",P141="Published",P141="Not suitable"),"",MAX(0,TODAY()-O141))</f>
        <v>0</v>
      </c>
      <c r="U141" s="29">
        <f>IF(B141="","",IF(C141="Not found","Check - content ID not on the calendar",IF(AND(P141="Published",R141=""),"Add - link missing",IF(AND(T141&lt;&gt;"",T141&gt;0),"Overdue - past the deadline",IF(AND(P141="Planned",O141=""),"Add - no deadline set","OK")))))</f>
        <v>0</v>
      </c>
    </row>
    <row r="142" spans="1:21">
      <c r="A142" s="41">
        <f>IF(B142="","","RP-"&amp;TEXT(ROW()-4,"000"))</f>
        <v>0</v>
      </c>
      <c r="C142" s="17">
        <f>IF(B142="","",IFERROR(INDEX('Content Calendar'!$H$5:$H$604,MATCH(B142,'Content Calendar'!$A$5:$A$604,0)),"Not found"))</f>
        <v>0</v>
      </c>
      <c r="D142" s="17">
        <f>IF(B142="","",IFERROR(INDEX('Content Calendar'!$G$5:$G$604,MATCH(B142,'Content Calendar'!$A$5:$A$604,0)),"Not found"))</f>
        <v>0</v>
      </c>
      <c r="E142" s="16">
        <f>IF(B142="","",IFERROR(INDEX('Content Calendar'!$B$5:$B$604,MATCH(B142,'Content Calendar'!$A$5:$A$604,0)),"Not found"))</f>
        <v>0</v>
      </c>
      <c r="F142" s="24">
        <f>IF(B142="","",IFERROR(SUMIFS(Performance!$Z$5:$Z$404,Performance!$B$5:$B$404,B142)/SUMIFS(Performance!$O$5:$O$404,Performance!$B$5:$B$404,B142),""))</f>
        <v>0</v>
      </c>
      <c r="S142" s="23">
        <f>IF(B142="","",COUNTIF(Repurposing!$B$5:$B$154,B142))</f>
        <v>0</v>
      </c>
      <c r="T142" s="23">
        <f>IF(OR(O142="",P142="Published",P142="Not suitable"),"",MAX(0,TODAY()-O142))</f>
        <v>0</v>
      </c>
      <c r="U142" s="29">
        <f>IF(B142="","",IF(C142="Not found","Check - content ID not on the calendar",IF(AND(P142="Published",R142=""),"Add - link missing",IF(AND(T142&lt;&gt;"",T142&gt;0),"Overdue - past the deadline",IF(AND(P142="Planned",O142=""),"Add - no deadline set","OK")))))</f>
        <v>0</v>
      </c>
    </row>
    <row r="143" spans="1:21">
      <c r="A143" s="41">
        <f>IF(B143="","","RP-"&amp;TEXT(ROW()-4,"000"))</f>
        <v>0</v>
      </c>
      <c r="C143" s="17">
        <f>IF(B143="","",IFERROR(INDEX('Content Calendar'!$H$5:$H$604,MATCH(B143,'Content Calendar'!$A$5:$A$604,0)),"Not found"))</f>
        <v>0</v>
      </c>
      <c r="D143" s="17">
        <f>IF(B143="","",IFERROR(INDEX('Content Calendar'!$G$5:$G$604,MATCH(B143,'Content Calendar'!$A$5:$A$604,0)),"Not found"))</f>
        <v>0</v>
      </c>
      <c r="E143" s="16">
        <f>IF(B143="","",IFERROR(INDEX('Content Calendar'!$B$5:$B$604,MATCH(B143,'Content Calendar'!$A$5:$A$604,0)),"Not found"))</f>
        <v>0</v>
      </c>
      <c r="F143" s="24">
        <f>IF(B143="","",IFERROR(SUMIFS(Performance!$Z$5:$Z$404,Performance!$B$5:$B$404,B143)/SUMIFS(Performance!$O$5:$O$404,Performance!$B$5:$B$404,B143),""))</f>
        <v>0</v>
      </c>
      <c r="S143" s="23">
        <f>IF(B143="","",COUNTIF(Repurposing!$B$5:$B$154,B143))</f>
        <v>0</v>
      </c>
      <c r="T143" s="23">
        <f>IF(OR(O143="",P143="Published",P143="Not suitable"),"",MAX(0,TODAY()-O143))</f>
        <v>0</v>
      </c>
      <c r="U143" s="29">
        <f>IF(B143="","",IF(C143="Not found","Check - content ID not on the calendar",IF(AND(P143="Published",R143=""),"Add - link missing",IF(AND(T143&lt;&gt;"",T143&gt;0),"Overdue - past the deadline",IF(AND(P143="Planned",O143=""),"Add - no deadline set","OK")))))</f>
        <v>0</v>
      </c>
    </row>
    <row r="144" spans="1:21">
      <c r="A144" s="41">
        <f>IF(B144="","","RP-"&amp;TEXT(ROW()-4,"000"))</f>
        <v>0</v>
      </c>
      <c r="C144" s="17">
        <f>IF(B144="","",IFERROR(INDEX('Content Calendar'!$H$5:$H$604,MATCH(B144,'Content Calendar'!$A$5:$A$604,0)),"Not found"))</f>
        <v>0</v>
      </c>
      <c r="D144" s="17">
        <f>IF(B144="","",IFERROR(INDEX('Content Calendar'!$G$5:$G$604,MATCH(B144,'Content Calendar'!$A$5:$A$604,0)),"Not found"))</f>
        <v>0</v>
      </c>
      <c r="E144" s="16">
        <f>IF(B144="","",IFERROR(INDEX('Content Calendar'!$B$5:$B$604,MATCH(B144,'Content Calendar'!$A$5:$A$604,0)),"Not found"))</f>
        <v>0</v>
      </c>
      <c r="F144" s="24">
        <f>IF(B144="","",IFERROR(SUMIFS(Performance!$Z$5:$Z$404,Performance!$B$5:$B$404,B144)/SUMIFS(Performance!$O$5:$O$404,Performance!$B$5:$B$404,B144),""))</f>
        <v>0</v>
      </c>
      <c r="S144" s="23">
        <f>IF(B144="","",COUNTIF(Repurposing!$B$5:$B$154,B144))</f>
        <v>0</v>
      </c>
      <c r="T144" s="23">
        <f>IF(OR(O144="",P144="Published",P144="Not suitable"),"",MAX(0,TODAY()-O144))</f>
        <v>0</v>
      </c>
      <c r="U144" s="29">
        <f>IF(B144="","",IF(C144="Not found","Check - content ID not on the calendar",IF(AND(P144="Published",R144=""),"Add - link missing",IF(AND(T144&lt;&gt;"",T144&gt;0),"Overdue - past the deadline",IF(AND(P144="Planned",O144=""),"Add - no deadline set","OK")))))</f>
        <v>0</v>
      </c>
    </row>
    <row r="145" spans="1:21">
      <c r="A145" s="41">
        <f>IF(B145="","","RP-"&amp;TEXT(ROW()-4,"000"))</f>
        <v>0</v>
      </c>
      <c r="C145" s="17">
        <f>IF(B145="","",IFERROR(INDEX('Content Calendar'!$H$5:$H$604,MATCH(B145,'Content Calendar'!$A$5:$A$604,0)),"Not found"))</f>
        <v>0</v>
      </c>
      <c r="D145" s="17">
        <f>IF(B145="","",IFERROR(INDEX('Content Calendar'!$G$5:$G$604,MATCH(B145,'Content Calendar'!$A$5:$A$604,0)),"Not found"))</f>
        <v>0</v>
      </c>
      <c r="E145" s="16">
        <f>IF(B145="","",IFERROR(INDEX('Content Calendar'!$B$5:$B$604,MATCH(B145,'Content Calendar'!$A$5:$A$604,0)),"Not found"))</f>
        <v>0</v>
      </c>
      <c r="F145" s="24">
        <f>IF(B145="","",IFERROR(SUMIFS(Performance!$Z$5:$Z$404,Performance!$B$5:$B$404,B145)/SUMIFS(Performance!$O$5:$O$404,Performance!$B$5:$B$404,B145),""))</f>
        <v>0</v>
      </c>
      <c r="S145" s="23">
        <f>IF(B145="","",COUNTIF(Repurposing!$B$5:$B$154,B145))</f>
        <v>0</v>
      </c>
      <c r="T145" s="23">
        <f>IF(OR(O145="",P145="Published",P145="Not suitable"),"",MAX(0,TODAY()-O145))</f>
        <v>0</v>
      </c>
      <c r="U145" s="29">
        <f>IF(B145="","",IF(C145="Not found","Check - content ID not on the calendar",IF(AND(P145="Published",R145=""),"Add - link missing",IF(AND(T145&lt;&gt;"",T145&gt;0),"Overdue - past the deadline",IF(AND(P145="Planned",O145=""),"Add - no deadline set","OK")))))</f>
        <v>0</v>
      </c>
    </row>
    <row r="146" spans="1:21">
      <c r="A146" s="41">
        <f>IF(B146="","","RP-"&amp;TEXT(ROW()-4,"000"))</f>
        <v>0</v>
      </c>
      <c r="C146" s="17">
        <f>IF(B146="","",IFERROR(INDEX('Content Calendar'!$H$5:$H$604,MATCH(B146,'Content Calendar'!$A$5:$A$604,0)),"Not found"))</f>
        <v>0</v>
      </c>
      <c r="D146" s="17">
        <f>IF(B146="","",IFERROR(INDEX('Content Calendar'!$G$5:$G$604,MATCH(B146,'Content Calendar'!$A$5:$A$604,0)),"Not found"))</f>
        <v>0</v>
      </c>
      <c r="E146" s="16">
        <f>IF(B146="","",IFERROR(INDEX('Content Calendar'!$B$5:$B$604,MATCH(B146,'Content Calendar'!$A$5:$A$604,0)),"Not found"))</f>
        <v>0</v>
      </c>
      <c r="F146" s="24">
        <f>IF(B146="","",IFERROR(SUMIFS(Performance!$Z$5:$Z$404,Performance!$B$5:$B$404,B146)/SUMIFS(Performance!$O$5:$O$404,Performance!$B$5:$B$404,B146),""))</f>
        <v>0</v>
      </c>
      <c r="S146" s="23">
        <f>IF(B146="","",COUNTIF(Repurposing!$B$5:$B$154,B146))</f>
        <v>0</v>
      </c>
      <c r="T146" s="23">
        <f>IF(OR(O146="",P146="Published",P146="Not suitable"),"",MAX(0,TODAY()-O146))</f>
        <v>0</v>
      </c>
      <c r="U146" s="29">
        <f>IF(B146="","",IF(C146="Not found","Check - content ID not on the calendar",IF(AND(P146="Published",R146=""),"Add - link missing",IF(AND(T146&lt;&gt;"",T146&gt;0),"Overdue - past the deadline",IF(AND(P146="Planned",O146=""),"Add - no deadline set","OK")))))</f>
        <v>0</v>
      </c>
    </row>
    <row r="147" spans="1:21">
      <c r="A147" s="41">
        <f>IF(B147="","","RP-"&amp;TEXT(ROW()-4,"000"))</f>
        <v>0</v>
      </c>
      <c r="C147" s="17">
        <f>IF(B147="","",IFERROR(INDEX('Content Calendar'!$H$5:$H$604,MATCH(B147,'Content Calendar'!$A$5:$A$604,0)),"Not found"))</f>
        <v>0</v>
      </c>
      <c r="D147" s="17">
        <f>IF(B147="","",IFERROR(INDEX('Content Calendar'!$G$5:$G$604,MATCH(B147,'Content Calendar'!$A$5:$A$604,0)),"Not found"))</f>
        <v>0</v>
      </c>
      <c r="E147" s="16">
        <f>IF(B147="","",IFERROR(INDEX('Content Calendar'!$B$5:$B$604,MATCH(B147,'Content Calendar'!$A$5:$A$604,0)),"Not found"))</f>
        <v>0</v>
      </c>
      <c r="F147" s="24">
        <f>IF(B147="","",IFERROR(SUMIFS(Performance!$Z$5:$Z$404,Performance!$B$5:$B$404,B147)/SUMIFS(Performance!$O$5:$O$404,Performance!$B$5:$B$404,B147),""))</f>
        <v>0</v>
      </c>
      <c r="S147" s="23">
        <f>IF(B147="","",COUNTIF(Repurposing!$B$5:$B$154,B147))</f>
        <v>0</v>
      </c>
      <c r="T147" s="23">
        <f>IF(OR(O147="",P147="Published",P147="Not suitable"),"",MAX(0,TODAY()-O147))</f>
        <v>0</v>
      </c>
      <c r="U147" s="29">
        <f>IF(B147="","",IF(C147="Not found","Check - content ID not on the calendar",IF(AND(P147="Published",R147=""),"Add - link missing",IF(AND(T147&lt;&gt;"",T147&gt;0),"Overdue - past the deadline",IF(AND(P147="Planned",O147=""),"Add - no deadline set","OK")))))</f>
        <v>0</v>
      </c>
    </row>
    <row r="148" spans="1:21">
      <c r="A148" s="41">
        <f>IF(B148="","","RP-"&amp;TEXT(ROW()-4,"000"))</f>
        <v>0</v>
      </c>
      <c r="C148" s="17">
        <f>IF(B148="","",IFERROR(INDEX('Content Calendar'!$H$5:$H$604,MATCH(B148,'Content Calendar'!$A$5:$A$604,0)),"Not found"))</f>
        <v>0</v>
      </c>
      <c r="D148" s="17">
        <f>IF(B148="","",IFERROR(INDEX('Content Calendar'!$G$5:$G$604,MATCH(B148,'Content Calendar'!$A$5:$A$604,0)),"Not found"))</f>
        <v>0</v>
      </c>
      <c r="E148" s="16">
        <f>IF(B148="","",IFERROR(INDEX('Content Calendar'!$B$5:$B$604,MATCH(B148,'Content Calendar'!$A$5:$A$604,0)),"Not found"))</f>
        <v>0</v>
      </c>
      <c r="F148" s="24">
        <f>IF(B148="","",IFERROR(SUMIFS(Performance!$Z$5:$Z$404,Performance!$B$5:$B$404,B148)/SUMIFS(Performance!$O$5:$O$404,Performance!$B$5:$B$404,B148),""))</f>
        <v>0</v>
      </c>
      <c r="S148" s="23">
        <f>IF(B148="","",COUNTIF(Repurposing!$B$5:$B$154,B148))</f>
        <v>0</v>
      </c>
      <c r="T148" s="23">
        <f>IF(OR(O148="",P148="Published",P148="Not suitable"),"",MAX(0,TODAY()-O148))</f>
        <v>0</v>
      </c>
      <c r="U148" s="29">
        <f>IF(B148="","",IF(C148="Not found","Check - content ID not on the calendar",IF(AND(P148="Published",R148=""),"Add - link missing",IF(AND(T148&lt;&gt;"",T148&gt;0),"Overdue - past the deadline",IF(AND(P148="Planned",O148=""),"Add - no deadline set","OK")))))</f>
        <v>0</v>
      </c>
    </row>
    <row r="149" spans="1:21">
      <c r="A149" s="41">
        <f>IF(B149="","","RP-"&amp;TEXT(ROW()-4,"000"))</f>
        <v>0</v>
      </c>
      <c r="C149" s="17">
        <f>IF(B149="","",IFERROR(INDEX('Content Calendar'!$H$5:$H$604,MATCH(B149,'Content Calendar'!$A$5:$A$604,0)),"Not found"))</f>
        <v>0</v>
      </c>
      <c r="D149" s="17">
        <f>IF(B149="","",IFERROR(INDEX('Content Calendar'!$G$5:$G$604,MATCH(B149,'Content Calendar'!$A$5:$A$604,0)),"Not found"))</f>
        <v>0</v>
      </c>
      <c r="E149" s="16">
        <f>IF(B149="","",IFERROR(INDEX('Content Calendar'!$B$5:$B$604,MATCH(B149,'Content Calendar'!$A$5:$A$604,0)),"Not found"))</f>
        <v>0</v>
      </c>
      <c r="F149" s="24">
        <f>IF(B149="","",IFERROR(SUMIFS(Performance!$Z$5:$Z$404,Performance!$B$5:$B$404,B149)/SUMIFS(Performance!$O$5:$O$404,Performance!$B$5:$B$404,B149),""))</f>
        <v>0</v>
      </c>
      <c r="S149" s="23">
        <f>IF(B149="","",COUNTIF(Repurposing!$B$5:$B$154,B149))</f>
        <v>0</v>
      </c>
      <c r="T149" s="23">
        <f>IF(OR(O149="",P149="Published",P149="Not suitable"),"",MAX(0,TODAY()-O149))</f>
        <v>0</v>
      </c>
      <c r="U149" s="29">
        <f>IF(B149="","",IF(C149="Not found","Check - content ID not on the calendar",IF(AND(P149="Published",R149=""),"Add - link missing",IF(AND(T149&lt;&gt;"",T149&gt;0),"Overdue - past the deadline",IF(AND(P149="Planned",O149=""),"Add - no deadline set","OK")))))</f>
        <v>0</v>
      </c>
    </row>
    <row r="150" spans="1:21">
      <c r="A150" s="41">
        <f>IF(B150="","","RP-"&amp;TEXT(ROW()-4,"000"))</f>
        <v>0</v>
      </c>
      <c r="C150" s="17">
        <f>IF(B150="","",IFERROR(INDEX('Content Calendar'!$H$5:$H$604,MATCH(B150,'Content Calendar'!$A$5:$A$604,0)),"Not found"))</f>
        <v>0</v>
      </c>
      <c r="D150" s="17">
        <f>IF(B150="","",IFERROR(INDEX('Content Calendar'!$G$5:$G$604,MATCH(B150,'Content Calendar'!$A$5:$A$604,0)),"Not found"))</f>
        <v>0</v>
      </c>
      <c r="E150" s="16">
        <f>IF(B150="","",IFERROR(INDEX('Content Calendar'!$B$5:$B$604,MATCH(B150,'Content Calendar'!$A$5:$A$604,0)),"Not found"))</f>
        <v>0</v>
      </c>
      <c r="F150" s="24">
        <f>IF(B150="","",IFERROR(SUMIFS(Performance!$Z$5:$Z$404,Performance!$B$5:$B$404,B150)/SUMIFS(Performance!$O$5:$O$404,Performance!$B$5:$B$404,B150),""))</f>
        <v>0</v>
      </c>
      <c r="S150" s="23">
        <f>IF(B150="","",COUNTIF(Repurposing!$B$5:$B$154,B150))</f>
        <v>0</v>
      </c>
      <c r="T150" s="23">
        <f>IF(OR(O150="",P150="Published",P150="Not suitable"),"",MAX(0,TODAY()-O150))</f>
        <v>0</v>
      </c>
      <c r="U150" s="29">
        <f>IF(B150="","",IF(C150="Not found","Check - content ID not on the calendar",IF(AND(P150="Published",R150=""),"Add - link missing",IF(AND(T150&lt;&gt;"",T150&gt;0),"Overdue - past the deadline",IF(AND(P150="Planned",O150=""),"Add - no deadline set","OK")))))</f>
        <v>0</v>
      </c>
    </row>
    <row r="151" spans="1:21">
      <c r="A151" s="41">
        <f>IF(B151="","","RP-"&amp;TEXT(ROW()-4,"000"))</f>
        <v>0</v>
      </c>
      <c r="C151" s="17">
        <f>IF(B151="","",IFERROR(INDEX('Content Calendar'!$H$5:$H$604,MATCH(B151,'Content Calendar'!$A$5:$A$604,0)),"Not found"))</f>
        <v>0</v>
      </c>
      <c r="D151" s="17">
        <f>IF(B151="","",IFERROR(INDEX('Content Calendar'!$G$5:$G$604,MATCH(B151,'Content Calendar'!$A$5:$A$604,0)),"Not found"))</f>
        <v>0</v>
      </c>
      <c r="E151" s="16">
        <f>IF(B151="","",IFERROR(INDEX('Content Calendar'!$B$5:$B$604,MATCH(B151,'Content Calendar'!$A$5:$A$604,0)),"Not found"))</f>
        <v>0</v>
      </c>
      <c r="F151" s="24">
        <f>IF(B151="","",IFERROR(SUMIFS(Performance!$Z$5:$Z$404,Performance!$B$5:$B$404,B151)/SUMIFS(Performance!$O$5:$O$404,Performance!$B$5:$B$404,B151),""))</f>
        <v>0</v>
      </c>
      <c r="S151" s="23">
        <f>IF(B151="","",COUNTIF(Repurposing!$B$5:$B$154,B151))</f>
        <v>0</v>
      </c>
      <c r="T151" s="23">
        <f>IF(OR(O151="",P151="Published",P151="Not suitable"),"",MAX(0,TODAY()-O151))</f>
        <v>0</v>
      </c>
      <c r="U151" s="29">
        <f>IF(B151="","",IF(C151="Not found","Check - content ID not on the calendar",IF(AND(P151="Published",R151=""),"Add - link missing",IF(AND(T151&lt;&gt;"",T151&gt;0),"Overdue - past the deadline",IF(AND(P151="Planned",O151=""),"Add - no deadline set","OK")))))</f>
        <v>0</v>
      </c>
    </row>
    <row r="152" spans="1:21">
      <c r="A152" s="41">
        <f>IF(B152="","","RP-"&amp;TEXT(ROW()-4,"000"))</f>
        <v>0</v>
      </c>
      <c r="C152" s="17">
        <f>IF(B152="","",IFERROR(INDEX('Content Calendar'!$H$5:$H$604,MATCH(B152,'Content Calendar'!$A$5:$A$604,0)),"Not found"))</f>
        <v>0</v>
      </c>
      <c r="D152" s="17">
        <f>IF(B152="","",IFERROR(INDEX('Content Calendar'!$G$5:$G$604,MATCH(B152,'Content Calendar'!$A$5:$A$604,0)),"Not found"))</f>
        <v>0</v>
      </c>
      <c r="E152" s="16">
        <f>IF(B152="","",IFERROR(INDEX('Content Calendar'!$B$5:$B$604,MATCH(B152,'Content Calendar'!$A$5:$A$604,0)),"Not found"))</f>
        <v>0</v>
      </c>
      <c r="F152" s="24">
        <f>IF(B152="","",IFERROR(SUMIFS(Performance!$Z$5:$Z$404,Performance!$B$5:$B$404,B152)/SUMIFS(Performance!$O$5:$O$404,Performance!$B$5:$B$404,B152),""))</f>
        <v>0</v>
      </c>
      <c r="S152" s="23">
        <f>IF(B152="","",COUNTIF(Repurposing!$B$5:$B$154,B152))</f>
        <v>0</v>
      </c>
      <c r="T152" s="23">
        <f>IF(OR(O152="",P152="Published",P152="Not suitable"),"",MAX(0,TODAY()-O152))</f>
        <v>0</v>
      </c>
      <c r="U152" s="29">
        <f>IF(B152="","",IF(C152="Not found","Check - content ID not on the calendar",IF(AND(P152="Published",R152=""),"Add - link missing",IF(AND(T152&lt;&gt;"",T152&gt;0),"Overdue - past the deadline",IF(AND(P152="Planned",O152=""),"Add - no deadline set","OK")))))</f>
        <v>0</v>
      </c>
    </row>
    <row r="153" spans="1:21">
      <c r="A153" s="41">
        <f>IF(B153="","","RP-"&amp;TEXT(ROW()-4,"000"))</f>
        <v>0</v>
      </c>
      <c r="C153" s="17">
        <f>IF(B153="","",IFERROR(INDEX('Content Calendar'!$H$5:$H$604,MATCH(B153,'Content Calendar'!$A$5:$A$604,0)),"Not found"))</f>
        <v>0</v>
      </c>
      <c r="D153" s="17">
        <f>IF(B153="","",IFERROR(INDEX('Content Calendar'!$G$5:$G$604,MATCH(B153,'Content Calendar'!$A$5:$A$604,0)),"Not found"))</f>
        <v>0</v>
      </c>
      <c r="E153" s="16">
        <f>IF(B153="","",IFERROR(INDEX('Content Calendar'!$B$5:$B$604,MATCH(B153,'Content Calendar'!$A$5:$A$604,0)),"Not found"))</f>
        <v>0</v>
      </c>
      <c r="F153" s="24">
        <f>IF(B153="","",IFERROR(SUMIFS(Performance!$Z$5:$Z$404,Performance!$B$5:$B$404,B153)/SUMIFS(Performance!$O$5:$O$404,Performance!$B$5:$B$404,B153),""))</f>
        <v>0</v>
      </c>
      <c r="S153" s="23">
        <f>IF(B153="","",COUNTIF(Repurposing!$B$5:$B$154,B153))</f>
        <v>0</v>
      </c>
      <c r="T153" s="23">
        <f>IF(OR(O153="",P153="Published",P153="Not suitable"),"",MAX(0,TODAY()-O153))</f>
        <v>0</v>
      </c>
      <c r="U153" s="29">
        <f>IF(B153="","",IF(C153="Not found","Check - content ID not on the calendar",IF(AND(P153="Published",R153=""),"Add - link missing",IF(AND(T153&lt;&gt;"",T153&gt;0),"Overdue - past the deadline",IF(AND(P153="Planned",O153=""),"Add - no deadline set","OK")))))</f>
        <v>0</v>
      </c>
    </row>
    <row r="154" spans="1:21">
      <c r="A154" s="41">
        <f>IF(B154="","","RP-"&amp;TEXT(ROW()-4,"000"))</f>
        <v>0</v>
      </c>
      <c r="C154" s="17">
        <f>IF(B154="","",IFERROR(INDEX('Content Calendar'!$H$5:$H$604,MATCH(B154,'Content Calendar'!$A$5:$A$604,0)),"Not found"))</f>
        <v>0</v>
      </c>
      <c r="D154" s="17">
        <f>IF(B154="","",IFERROR(INDEX('Content Calendar'!$G$5:$G$604,MATCH(B154,'Content Calendar'!$A$5:$A$604,0)),"Not found"))</f>
        <v>0</v>
      </c>
      <c r="E154" s="16">
        <f>IF(B154="","",IFERROR(INDEX('Content Calendar'!$B$5:$B$604,MATCH(B154,'Content Calendar'!$A$5:$A$604,0)),"Not found"))</f>
        <v>0</v>
      </c>
      <c r="F154" s="24">
        <f>IF(B154="","",IFERROR(SUMIFS(Performance!$Z$5:$Z$404,Performance!$B$5:$B$404,B154)/SUMIFS(Performance!$O$5:$O$404,Performance!$B$5:$B$404,B154),""))</f>
        <v>0</v>
      </c>
      <c r="S154" s="23">
        <f>IF(B154="","",COUNTIF(Repurposing!$B$5:$B$154,B154))</f>
        <v>0</v>
      </c>
      <c r="T154" s="23">
        <f>IF(OR(O154="",P154="Published",P154="Not suitable"),"",MAX(0,TODAY()-O154))</f>
        <v>0</v>
      </c>
      <c r="U154" s="29">
        <f>IF(B154="","",IF(C154="Not found","Check - content ID not on the calendar",IF(AND(P154="Published",R154=""),"Add - link missing",IF(AND(T154&lt;&gt;"",T154&gt;0),"Overdue - past the deadline",IF(AND(P154="Planned",O154=""),"Add - no deadline set","OK")))))</f>
        <v>0</v>
      </c>
    </row>
  </sheetData>
  <sheetProtection password="EC7C" sheet="1" objects="1" scenarios="1" formatCells="0" formatColumns="0" formatRows="0" insertRows="0" insertHyperlinks="0" deleteRows="0" autoFilter="0"/>
  <autoFilter ref="A4:V154"/>
  <mergeCells count="13">
    <mergeCell ref="A1:S1"/>
    <mergeCell ref="T1:V1"/>
    <mergeCell ref="A2:V2"/>
    <mergeCell ref="A3:B3"/>
    <mergeCell ref="C3:D3"/>
    <mergeCell ref="E3:F3"/>
    <mergeCell ref="G3:H3"/>
    <mergeCell ref="I3:J3"/>
    <mergeCell ref="K3:L3"/>
    <mergeCell ref="M3:N3"/>
    <mergeCell ref="O3:P3"/>
    <mergeCell ref="Q3:R3"/>
    <mergeCell ref="S3:V3"/>
  </mergeCells>
  <conditionalFormatting sqref="F5:F154">
    <cfRule type="cellIs" dxfId="0" priority="1" operator="greaterThanOrEqual">
      <formula>TargetEngagement</formula>
    </cfRule>
    <cfRule type="cellIs" dxfId="2" priority="2" operator="lessThan">
      <formula>TargetEngagement</formula>
    </cfRule>
  </conditionalFormatting>
  <conditionalFormatting sqref="P5:P154">
    <cfRule type="containsText" dxfId="0" priority="3" operator="containsText" text="Published">
      <formula>NOT(ISERROR(SEARCH("Published",P5)))</formula>
    </cfRule>
    <cfRule type="containsText" dxfId="0" priority="4" operator="containsText" text="Approved">
      <formula>NOT(ISERROR(SEARCH("Approved",P5)))</formula>
    </cfRule>
    <cfRule type="containsText" dxfId="0" priority="5" operator="containsText" text="Complete">
      <formula>NOT(ISERROR(SEARCH("Complete",P5)))</formula>
    </cfRule>
    <cfRule type="containsText" dxfId="0" priority="6" operator="containsText" text="Active">
      <formula>NOT(ISERROR(SEARCH("Active",P5)))</formula>
    </cfRule>
    <cfRule type="containsText" dxfId="0" priority="7" operator="containsText" text="Agreed">
      <formula>NOT(ISERROR(SEARCH("Agreed",P5)))</formula>
    </cfRule>
    <cfRule type="containsText" dxfId="0" priority="8" operator="containsText" text="Yes">
      <formula>NOT(ISERROR(SEARCH("Yes",P5)))</formula>
    </cfRule>
    <cfRule type="containsText" dxfId="0" priority="9" operator="containsText" text="Won">
      <formula>NOT(ISERROR(SEARCH("Won",P5)))</formula>
    </cfRule>
    <cfRule type="containsText" dxfId="3" priority="10" operator="containsText" text="Scheduled">
      <formula>NOT(ISERROR(SEARCH("Scheduled",P5)))</formula>
    </cfRule>
    <cfRule type="containsText" dxfId="3" priority="11" operator="containsText" text="In production">
      <formula>NOT(ISERROR(SEARCH("In production",P5)))</formula>
    </cfRule>
    <cfRule type="containsText" dxfId="3" priority="12" operator="containsText" text="Running">
      <formula>NOT(ISERROR(SEARCH("Running",P5)))</formula>
    </cfRule>
    <cfRule type="containsText" dxfId="3" priority="13" operator="containsText" text="Sent">
      <formula>NOT(ISERROR(SEARCH("Sent",P5)))</formula>
    </cfRule>
    <cfRule type="containsText" dxfId="3" priority="14" operator="containsText" text="Testing">
      <formula>NOT(ISERROR(SEARCH("Testing",P5)))</formula>
    </cfRule>
    <cfRule type="containsText" dxfId="2" priority="15" operator="containsText" text="Idea">
      <formula>NOT(ISERROR(SEARCH("Idea",P5)))</formula>
    </cfRule>
    <cfRule type="containsText" dxfId="2" priority="16" operator="containsText" text="Brief">
      <formula>NOT(ISERROR(SEARCH("Brief",P5)))</formula>
    </cfRule>
    <cfRule type="containsText" dxfId="2" priority="17" operator="containsText" text="Draft">
      <formula>NOT(ISERROR(SEARCH("Draft",P5)))</formula>
    </cfRule>
    <cfRule type="containsText" dxfId="2" priority="18" operator="containsText" text="Awaiting review">
      <formula>NOT(ISERROR(SEARCH("Awaiting review",P5)))</formula>
    </cfRule>
    <cfRule type="containsText" dxfId="2" priority="19" operator="containsText" text="Pending">
      <formula>NOT(ISERROR(SEARCH("Pending",P5)))</formula>
    </cfRule>
    <cfRule type="containsText" dxfId="2" priority="20" operator="containsText" text="On hold">
      <formula>NOT(ISERROR(SEARCH("On hold",P5)))</formula>
    </cfRule>
    <cfRule type="containsText" dxfId="1" priority="21" operator="containsText" text="Revision needed">
      <formula>NOT(ISERROR(SEARCH("Revision needed",P5)))</formula>
    </cfRule>
    <cfRule type="containsText" dxfId="1" priority="22" operator="containsText" text="Rejected">
      <formula>NOT(ISERROR(SEARCH("Rejected",P5)))</formula>
    </cfRule>
    <cfRule type="containsText" dxfId="1" priority="23" operator="containsText" text="Cancelled">
      <formula>NOT(ISERROR(SEARCH("Cancelled",P5)))</formula>
    </cfRule>
    <cfRule type="containsText" dxfId="1" priority="24" operator="containsText" text="Missed">
      <formula>NOT(ISERROR(SEARCH("Missed",P5)))</formula>
    </cfRule>
    <cfRule type="containsText" dxfId="1" priority="25" operator="containsText" text="Overdue">
      <formula>NOT(ISERROR(SEARCH("Overdue",P5)))</formula>
    </cfRule>
    <cfRule type="containsText" dxfId="1" priority="26" operator="containsText" text="Declined">
      <formula>NOT(ISERROR(SEARCH("Declined",P5)))</formula>
    </cfRule>
    <cfRule type="containsText" dxfId="4" priority="27" operator="containsText" text="Archived">
      <formula>NOT(ISERROR(SEARCH("Archived",P5)))</formula>
    </cfRule>
    <cfRule type="containsText" dxfId="4" priority="28" operator="containsText" text="Paused">
      <formula>NOT(ISERROR(SEARCH("Paused",P5)))</formula>
    </cfRule>
    <cfRule type="containsText" dxfId="4" priority="29" operator="containsText" text="Not started">
      <formula>NOT(ISERROR(SEARCH("Not started",P5)))</formula>
    </cfRule>
  </conditionalFormatting>
  <conditionalFormatting sqref="T5:T154">
    <cfRule type="cellIs" dxfId="2" priority="30" operator="greaterThan">
      <formula>0</formula>
    </cfRule>
  </conditionalFormatting>
  <conditionalFormatting sqref="U5:U154">
    <cfRule type="beginsWith" dxfId="0" priority="31" operator="beginsWith" text="OK">
      <formula>LEFT(U5,2)="OK"</formula>
    </cfRule>
    <cfRule type="containsText" dxfId="1" priority="32" operator="containsText" text="Overdue">
      <formula>NOT(ISERROR(SEARCH("Overdue",U5)))</formula>
    </cfRule>
    <cfRule type="containsText" dxfId="1" priority="33" operator="containsText" text="Late">
      <formula>NOT(ISERROR(SEARCH("Late",U5)))</formula>
    </cfRule>
    <cfRule type="containsText" dxfId="1" priority="34" operator="containsText" text="Missing">
      <formula>NOT(ISERROR(SEARCH("Missing",U5)))</formula>
    </cfRule>
    <cfRule type="containsText" dxfId="1" priority="35" operator="containsText" text="Conflict">
      <formula>NOT(ISERROR(SEARCH("Conflict",U5)))</formula>
    </cfRule>
    <cfRule type="containsText" dxfId="1" priority="36" operator="containsText" text="Expired">
      <formula>NOT(ISERROR(SEARCH("Expired",U5)))</formula>
    </cfRule>
    <cfRule type="containsText" dxfId="1" priority="37" operator="containsText" text="Duplicate">
      <formula>NOT(ISERROR(SEARCH("Duplicate",U5)))</formula>
    </cfRule>
    <cfRule type="containsText" dxfId="2" priority="38" operator="containsText" text="Action">
      <formula>NOT(ISERROR(SEARCH("Action",U5)))</formula>
    </cfRule>
    <cfRule type="containsText" dxfId="2" priority="39" operator="containsText" text="Due">
      <formula>NOT(ISERROR(SEARCH("Due",U5)))</formula>
    </cfRule>
    <cfRule type="containsText" dxfId="2" priority="40" operator="containsText" text="Check">
      <formula>NOT(ISERROR(SEARCH("Check",U5)))</formula>
    </cfRule>
    <cfRule type="containsText" dxfId="2" priority="41" operator="containsText" text="Add">
      <formula>NOT(ISERROR(SEARCH("Add",U5)))</formula>
    </cfRule>
    <cfRule type="containsText" dxfId="3" priority="42" operator="containsText" text="Today">
      <formula>NOT(ISERROR(SEARCH("Today",U5)))</formula>
    </cfRule>
    <cfRule type="containsText" dxfId="3" priority="43" operator="containsText" text="Upcoming">
      <formula>NOT(ISERROR(SEARCH("Upcoming",U5)))</formula>
    </cfRule>
  </conditionalFormatting>
  <dataValidations count="9">
    <dataValidation type="list" allowBlank="1" showInputMessage="1" showErrorMessage="1" promptTitle="Original content ID" prompt="The post you are reusing. Pick its C-0000 ID." sqref="B5:B154">
      <formula1>ContentIDs</formula1>
    </dataValidation>
    <dataValidation type="list" allowBlank="1" showInputMessage="1" showErrorMessage="1" sqref="G5:G154">
      <formula1>PlatformList</formula1>
    </dataValidation>
    <dataValidation type="list" allowBlank="1" showInputMessage="1" showErrorMessage="1" sqref="H5:H154">
      <formula1>FormatList</formula1>
    </dataValidation>
    <dataValidation type="list" allowBlank="1" showInputMessage="1" showErrorMessage="1" sqref="L5:L154">
      <formula1>CTAList</formula1>
    </dataValidation>
    <dataValidation type="list" allowBlank="1" showInputMessage="1" showErrorMessage="1" sqref="M5:M154">
      <formula1>AssetIDs</formula1>
    </dataValidation>
    <dataValidation type="list" allowBlank="1" showInputMessage="1" showErrorMessage="1" sqref="N5:N154">
      <formula1>TeamNames</formula1>
    </dataValidation>
    <dataValidation type="date" allowBlank="1" showInputMessage="1" showErrorMessage="1" errorTitle="Check the date" error="Enter a real date between 2000 and 2100." sqref="O5:O154">
      <formula1>36526</formula1>
      <formula2>73415</formula2>
    </dataValidation>
    <dataValidation type="list" allowBlank="1" showInputMessage="1" showErrorMessage="1" sqref="P5:P154">
      <formula1>RepurposeStatusList</formula1>
    </dataValidation>
    <dataValidation type="date" allowBlank="1" showInputMessage="1" showErrorMessage="1" errorTitle="Check the date" error="Enter a real date between 2000 and 2100." sqref="Q5:Q154">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&amp;L&amp;"Calibri,Bold"&amp;12&amp;C&amp;"Calibri,Bold"&amp;11Repurposing&amp;R&amp;"Calibri,Italic"&amp;9Social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7.xml><?xml version="1.0" encoding="utf-8"?>
<worksheet xmlns="http://schemas.openxmlformats.org/spreadsheetml/2006/main" xmlns:r="http://schemas.openxmlformats.org/officeDocument/2006/relationships">
  <sheetPr>
    <tabColor rgb="FF6350A8"/>
    <pageSetUpPr fitToPage="1"/>
  </sheetPr>
  <dimension ref="A1:X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1" customWidth="1"/>
    <col min="2" max="2" width="20.7109375" style="15" customWidth="1"/>
    <col min="3" max="3" width="13.7109375" style="15" customWidth="1"/>
    <col min="4" max="4" width="26.7109375" style="42" customWidth="1"/>
    <col min="5" max="5" width="22.7109375" style="15" customWidth="1"/>
    <col min="6" max="6" width="12.7109375" style="34" customWidth="1"/>
    <col min="7" max="7" width="18.7109375" style="15" customWidth="1"/>
    <col min="8" max="8" width="30.7109375" style="39" customWidth="1"/>
    <col min="9" max="9" width="24.7109375" style="39" customWidth="1"/>
    <col min="10" max="10" width="30.7109375" style="39" customWidth="1"/>
    <col min="11" max="11" width="13.7109375" style="35" customWidth="1"/>
    <col min="12" max="12" width="26.7109375" style="39" customWidth="1"/>
    <col min="13" max="13" width="28.7109375" style="39" customWidth="1"/>
    <col min="14" max="14" width="26.7109375" style="39" customWidth="1"/>
    <col min="15" max="15" width="26.7109375" style="39" customWidth="1"/>
    <col min="16" max="16" width="28.7109375" style="39" customWidth="1"/>
    <col min="17" max="17" width="28.7109375" style="39" customWidth="1"/>
    <col min="18" max="18" width="12.7109375" style="43" customWidth="1"/>
    <col min="19" max="19" width="22.7109375" style="15" customWidth="1"/>
    <col min="20" max="20" width="13.7109375" style="24" customWidth="1"/>
    <col min="21" max="21" width="11.7109375" style="23" customWidth="1"/>
    <col min="22" max="22" width="11.7109375" style="23" customWidth="1"/>
    <col min="23" max="23" width="28.7109375" style="29" customWidth="1"/>
    <col min="24" max="24" width="24.7109375" style="39" customWidth="1"/>
  </cols>
  <sheetData>
    <row r="1" spans="1:24" ht="34" customHeight="1">
      <c r="A1" s="2" t="s">
        <v>1794</v>
      </c>
      <c r="B1" s="2"/>
      <c r="C1" s="2"/>
      <c r="D1" s="2"/>
      <c r="E1" s="2"/>
      <c r="F1" s="2"/>
      <c r="G1" s="2"/>
      <c r="H1" s="2"/>
      <c r="I1" s="2"/>
      <c r="J1" s="2"/>
      <c r="K1" s="2"/>
      <c r="L1" s="2"/>
      <c r="M1" s="2"/>
      <c r="N1" s="2"/>
      <c r="O1" s="2"/>
      <c r="P1" s="2"/>
      <c r="Q1" s="2"/>
      <c r="R1" s="2"/>
      <c r="S1" s="2"/>
      <c r="T1" s="2"/>
      <c r="U1" s="2"/>
      <c r="V1" s="3" t="s">
        <v>1</v>
      </c>
      <c r="W1" s="3"/>
      <c r="X1" s="3"/>
    </row>
    <row r="2" spans="1:24" ht="18" customHeight="1">
      <c r="A2" s="4" t="s">
        <v>1795</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1796</v>
      </c>
      <c r="T3" s="38"/>
      <c r="U3" s="38"/>
      <c r="V3" s="38"/>
      <c r="W3" s="38"/>
      <c r="X3" s="38"/>
    </row>
    <row r="4" spans="1:24" ht="30" customHeight="1">
      <c r="A4" s="8" t="s">
        <v>766</v>
      </c>
      <c r="B4" s="8" t="s">
        <v>1797</v>
      </c>
      <c r="C4" s="9" t="s">
        <v>192</v>
      </c>
      <c r="D4" s="9" t="s">
        <v>1674</v>
      </c>
      <c r="E4" s="9" t="s">
        <v>1798</v>
      </c>
      <c r="F4" s="9" t="s">
        <v>162</v>
      </c>
      <c r="G4" s="9" t="s">
        <v>1799</v>
      </c>
      <c r="H4" s="9" t="s">
        <v>1800</v>
      </c>
      <c r="I4" s="9" t="s">
        <v>1801</v>
      </c>
      <c r="J4" s="9" t="s">
        <v>1802</v>
      </c>
      <c r="K4" s="9" t="s">
        <v>1676</v>
      </c>
      <c r="L4" s="9" t="s">
        <v>1803</v>
      </c>
      <c r="M4" s="9" t="s">
        <v>1804</v>
      </c>
      <c r="N4" s="9" t="s">
        <v>1805</v>
      </c>
      <c r="O4" s="9" t="s">
        <v>1806</v>
      </c>
      <c r="P4" s="9" t="s">
        <v>1807</v>
      </c>
      <c r="Q4" s="9" t="s">
        <v>1808</v>
      </c>
      <c r="R4" s="9" t="s">
        <v>1191</v>
      </c>
      <c r="S4" s="9" t="s">
        <v>1809</v>
      </c>
      <c r="T4" s="9" t="s">
        <v>1810</v>
      </c>
      <c r="U4" s="9" t="s">
        <v>1811</v>
      </c>
      <c r="V4" s="9" t="s">
        <v>1812</v>
      </c>
      <c r="W4" s="9" t="s">
        <v>787</v>
      </c>
      <c r="X4" s="9" t="s">
        <v>788</v>
      </c>
    </row>
    <row r="5" spans="1:24">
      <c r="A5" s="41">
        <f>IF(B5="","","COM-"&amp;TEXT(ROW()-4,"000"))</f>
        <v>0</v>
      </c>
      <c r="B5" s="15" t="s">
        <v>1202</v>
      </c>
      <c r="C5" s="15" t="s">
        <v>376</v>
      </c>
      <c r="D5" s="42" t="s">
        <v>1813</v>
      </c>
      <c r="E5" s="15" t="s">
        <v>1814</v>
      </c>
      <c r="F5" s="34">
        <v>48200</v>
      </c>
      <c r="G5" s="15" t="s">
        <v>1815</v>
      </c>
      <c r="H5" s="39" t="s">
        <v>1816</v>
      </c>
      <c r="I5" s="39" t="s">
        <v>1817</v>
      </c>
      <c r="J5" s="39" t="s">
        <v>1818</v>
      </c>
      <c r="K5" s="35">
        <v>0.05</v>
      </c>
      <c r="L5" s="39" t="s">
        <v>1819</v>
      </c>
      <c r="M5" s="39" t="s">
        <v>1820</v>
      </c>
      <c r="N5" s="39" t="s">
        <v>1821</v>
      </c>
      <c r="O5" s="39" t="s">
        <v>1822</v>
      </c>
      <c r="P5" s="39" t="s">
        <v>1823</v>
      </c>
      <c r="Q5" s="39" t="s">
        <v>1824</v>
      </c>
      <c r="R5" s="43">
        <v>46299</v>
      </c>
      <c r="S5" s="15" t="s">
        <v>1813</v>
      </c>
      <c r="T5" s="24">
        <f>IF(K5="","",K5-TargetEngagement)</f>
        <v>0</v>
      </c>
      <c r="U5" s="23">
        <f>IF(B5="","",COUNTIF('Idea Bank'!$O$5:$O$304,B5))</f>
        <v>0</v>
      </c>
      <c r="V5" s="23">
        <f>IF(R5="","",TODAY()-R5)</f>
        <v>0</v>
      </c>
      <c r="W5" s="29">
        <f>IF(B5="","",IF(OR(R5="",V5&gt;60),"Action - review this account again",IF(P5="","Add - no gap identified yet",IF(U5=0,"Add - no ideas captured from them","OK"))))</f>
        <v>0</v>
      </c>
      <c r="X5" s="39" t="s">
        <v>205</v>
      </c>
    </row>
    <row r="6" spans="1:24">
      <c r="A6" s="41">
        <f>IF(B6="","","COM-"&amp;TEXT(ROW()-4,"000"))</f>
        <v>0</v>
      </c>
      <c r="B6" s="15" t="s">
        <v>1825</v>
      </c>
      <c r="C6" s="15" t="s">
        <v>377</v>
      </c>
      <c r="D6" s="42" t="s">
        <v>1826</v>
      </c>
      <c r="E6" s="15" t="s">
        <v>1814</v>
      </c>
      <c r="F6" s="34">
        <v>112000</v>
      </c>
      <c r="G6" s="15" t="s">
        <v>1827</v>
      </c>
      <c r="H6" s="39" t="s">
        <v>462</v>
      </c>
      <c r="I6" s="39" t="s">
        <v>1817</v>
      </c>
      <c r="J6" s="39" t="s">
        <v>1818</v>
      </c>
      <c r="K6" s="35">
        <v>0.041</v>
      </c>
      <c r="L6" s="39" t="s">
        <v>205</v>
      </c>
      <c r="M6" s="39" t="s">
        <v>1820</v>
      </c>
      <c r="N6" s="39" t="s">
        <v>1821</v>
      </c>
      <c r="O6" s="39" t="s">
        <v>1822</v>
      </c>
      <c r="P6" s="39" t="s">
        <v>1823</v>
      </c>
      <c r="Q6" s="39" t="s">
        <v>1824</v>
      </c>
      <c r="R6" s="43">
        <v>46296</v>
      </c>
      <c r="S6" s="15" t="s">
        <v>1826</v>
      </c>
      <c r="T6" s="24">
        <f>IF(K6="","",K6-TargetEngagement)</f>
        <v>0</v>
      </c>
      <c r="U6" s="23">
        <f>IF(B6="","",COUNTIF('Idea Bank'!$O$5:$O$304,B6))</f>
        <v>0</v>
      </c>
      <c r="V6" s="23">
        <f>IF(R6="","",TODAY()-R6)</f>
        <v>0</v>
      </c>
      <c r="W6" s="29">
        <f>IF(B6="","",IF(OR(R6="",V6&gt;60),"Action - review this account again",IF(P6="","Add - no gap identified yet",IF(U6=0,"Add - no ideas captured from them","OK"))))</f>
        <v>0</v>
      </c>
      <c r="X6" s="39" t="s">
        <v>205</v>
      </c>
    </row>
    <row r="7" spans="1:24">
      <c r="A7" s="41">
        <f>IF(B7="","","COM-"&amp;TEXT(ROW()-4,"000"))</f>
        <v>0</v>
      </c>
      <c r="B7" s="15" t="s">
        <v>1828</v>
      </c>
      <c r="C7" s="15" t="s">
        <v>378</v>
      </c>
      <c r="D7" s="42" t="s">
        <v>1829</v>
      </c>
      <c r="E7" s="15" t="s">
        <v>1814</v>
      </c>
      <c r="F7" s="34">
        <v>26400</v>
      </c>
      <c r="G7" s="15" t="s">
        <v>1830</v>
      </c>
      <c r="H7" s="39" t="s">
        <v>1831</v>
      </c>
      <c r="I7" s="39" t="s">
        <v>1817</v>
      </c>
      <c r="J7" s="39" t="s">
        <v>1818</v>
      </c>
      <c r="K7" s="35">
        <v>0.043</v>
      </c>
      <c r="L7" s="39" t="s">
        <v>205</v>
      </c>
      <c r="M7" s="39" t="s">
        <v>1820</v>
      </c>
      <c r="N7" s="39" t="s">
        <v>1821</v>
      </c>
      <c r="O7" s="39" t="s">
        <v>1822</v>
      </c>
      <c r="P7" s="39" t="s">
        <v>1823</v>
      </c>
      <c r="Q7" s="39" t="s">
        <v>1824</v>
      </c>
      <c r="R7" s="43">
        <v>46293</v>
      </c>
      <c r="S7" s="15" t="s">
        <v>1829</v>
      </c>
      <c r="T7" s="24">
        <f>IF(K7="","",K7-TargetEngagement)</f>
        <v>0</v>
      </c>
      <c r="U7" s="23">
        <f>IF(B7="","",COUNTIF('Idea Bank'!$O$5:$O$304,B7))</f>
        <v>0</v>
      </c>
      <c r="V7" s="23">
        <f>IF(R7="","",TODAY()-R7)</f>
        <v>0</v>
      </c>
      <c r="W7" s="29">
        <f>IF(B7="","",IF(OR(R7="",V7&gt;60),"Action - review this account again",IF(P7="","Add - no gap identified yet",IF(U7=0,"Add - no ideas captured from them","OK"))))</f>
        <v>0</v>
      </c>
      <c r="X7" s="39" t="s">
        <v>205</v>
      </c>
    </row>
    <row r="8" spans="1:24">
      <c r="A8" s="41">
        <f>IF(B8="","","COM-"&amp;TEXT(ROW()-4,"000"))</f>
        <v>0</v>
      </c>
      <c r="B8" s="15" t="s">
        <v>1832</v>
      </c>
      <c r="C8" s="15" t="s">
        <v>376</v>
      </c>
      <c r="D8" s="42" t="s">
        <v>1833</v>
      </c>
      <c r="E8" s="15" t="s">
        <v>1814</v>
      </c>
      <c r="F8" s="34">
        <v>18900</v>
      </c>
      <c r="G8" s="15" t="s">
        <v>1834</v>
      </c>
      <c r="H8" s="39" t="s">
        <v>1835</v>
      </c>
      <c r="I8" s="39" t="s">
        <v>1817</v>
      </c>
      <c r="J8" s="39" t="s">
        <v>1818</v>
      </c>
      <c r="K8" s="35">
        <v>0.023</v>
      </c>
      <c r="L8" s="39" t="s">
        <v>205</v>
      </c>
      <c r="M8" s="39" t="s">
        <v>1820</v>
      </c>
      <c r="N8" s="39" t="s">
        <v>1821</v>
      </c>
      <c r="O8" s="39" t="s">
        <v>1822</v>
      </c>
      <c r="P8" s="39" t="s">
        <v>1823</v>
      </c>
      <c r="Q8" s="39" t="s">
        <v>1824</v>
      </c>
      <c r="R8" s="43">
        <v>46290</v>
      </c>
      <c r="S8" s="15" t="s">
        <v>1833</v>
      </c>
      <c r="T8" s="24">
        <f>IF(K8="","",K8-TargetEngagement)</f>
        <v>0</v>
      </c>
      <c r="U8" s="23">
        <f>IF(B8="","",COUNTIF('Idea Bank'!$O$5:$O$304,B8))</f>
        <v>0</v>
      </c>
      <c r="V8" s="23">
        <f>IF(R8="","",TODAY()-R8)</f>
        <v>0</v>
      </c>
      <c r="W8" s="29">
        <f>IF(B8="","",IF(OR(R8="",V8&gt;60),"Action - review this account again",IF(P8="","Add - no gap identified yet",IF(U8=0,"Add - no ideas captured from them","OK"))))</f>
        <v>0</v>
      </c>
      <c r="X8" s="39" t="s">
        <v>205</v>
      </c>
    </row>
    <row r="9" spans="1:24">
      <c r="A9" s="41">
        <f>IF(B9="","","COM-"&amp;TEXT(ROW()-4,"000"))</f>
        <v>0</v>
      </c>
      <c r="T9" s="24">
        <f>IF(K9="","",K9-TargetEngagement)</f>
        <v>0</v>
      </c>
      <c r="U9" s="23">
        <f>IF(B9="","",COUNTIF('Idea Bank'!$O$5:$O$304,B9))</f>
        <v>0</v>
      </c>
      <c r="V9" s="23">
        <f>IF(R9="","",TODAY()-R9)</f>
        <v>0</v>
      </c>
      <c r="W9" s="29">
        <f>IF(B9="","",IF(OR(R9="",V9&gt;60),"Action - review this account again",IF(P9="","Add - no gap identified yet",IF(U9=0,"Add - no ideas captured from them","OK"))))</f>
        <v>0</v>
      </c>
    </row>
    <row r="10" spans="1:24">
      <c r="A10" s="41">
        <f>IF(B10="","","COM-"&amp;TEXT(ROW()-4,"000"))</f>
        <v>0</v>
      </c>
      <c r="T10" s="24">
        <f>IF(K10="","",K10-TargetEngagement)</f>
        <v>0</v>
      </c>
      <c r="U10" s="23">
        <f>IF(B10="","",COUNTIF('Idea Bank'!$O$5:$O$304,B10))</f>
        <v>0</v>
      </c>
      <c r="V10" s="23">
        <f>IF(R10="","",TODAY()-R10)</f>
        <v>0</v>
      </c>
      <c r="W10" s="29">
        <f>IF(B10="","",IF(OR(R10="",V10&gt;60),"Action - review this account again",IF(P10="","Add - no gap identified yet",IF(U10=0,"Add - no ideas captured from them","OK"))))</f>
        <v>0</v>
      </c>
    </row>
    <row r="11" spans="1:24">
      <c r="A11" s="41">
        <f>IF(B11="","","COM-"&amp;TEXT(ROW()-4,"000"))</f>
        <v>0</v>
      </c>
      <c r="T11" s="24">
        <f>IF(K11="","",K11-TargetEngagement)</f>
        <v>0</v>
      </c>
      <c r="U11" s="23">
        <f>IF(B11="","",COUNTIF('Idea Bank'!$O$5:$O$304,B11))</f>
        <v>0</v>
      </c>
      <c r="V11" s="23">
        <f>IF(R11="","",TODAY()-R11)</f>
        <v>0</v>
      </c>
      <c r="W11" s="29">
        <f>IF(B11="","",IF(OR(R11="",V11&gt;60),"Action - review this account again",IF(P11="","Add - no gap identified yet",IF(U11=0,"Add - no ideas captured from them","OK"))))</f>
        <v>0</v>
      </c>
    </row>
    <row r="12" spans="1:24">
      <c r="A12" s="41">
        <f>IF(B12="","","COM-"&amp;TEXT(ROW()-4,"000"))</f>
        <v>0</v>
      </c>
      <c r="T12" s="24">
        <f>IF(K12="","",K12-TargetEngagement)</f>
        <v>0</v>
      </c>
      <c r="U12" s="23">
        <f>IF(B12="","",COUNTIF('Idea Bank'!$O$5:$O$304,B12))</f>
        <v>0</v>
      </c>
      <c r="V12" s="23">
        <f>IF(R12="","",TODAY()-R12)</f>
        <v>0</v>
      </c>
      <c r="W12" s="29">
        <f>IF(B12="","",IF(OR(R12="",V12&gt;60),"Action - review this account again",IF(P12="","Add - no gap identified yet",IF(U12=0,"Add - no ideas captured from them","OK"))))</f>
        <v>0</v>
      </c>
    </row>
    <row r="13" spans="1:24">
      <c r="A13" s="41">
        <f>IF(B13="","","COM-"&amp;TEXT(ROW()-4,"000"))</f>
        <v>0</v>
      </c>
      <c r="T13" s="24">
        <f>IF(K13="","",K13-TargetEngagement)</f>
        <v>0</v>
      </c>
      <c r="U13" s="23">
        <f>IF(B13="","",COUNTIF('Idea Bank'!$O$5:$O$304,B13))</f>
        <v>0</v>
      </c>
      <c r="V13" s="23">
        <f>IF(R13="","",TODAY()-R13)</f>
        <v>0</v>
      </c>
      <c r="W13" s="29">
        <f>IF(B13="","",IF(OR(R13="",V13&gt;60),"Action - review this account again",IF(P13="","Add - no gap identified yet",IF(U13=0,"Add - no ideas captured from them","OK"))))</f>
        <v>0</v>
      </c>
    </row>
    <row r="14" spans="1:24">
      <c r="A14" s="41">
        <f>IF(B14="","","COM-"&amp;TEXT(ROW()-4,"000"))</f>
        <v>0</v>
      </c>
      <c r="T14" s="24">
        <f>IF(K14="","",K14-TargetEngagement)</f>
        <v>0</v>
      </c>
      <c r="U14" s="23">
        <f>IF(B14="","",COUNTIF('Idea Bank'!$O$5:$O$304,B14))</f>
        <v>0</v>
      </c>
      <c r="V14" s="23">
        <f>IF(R14="","",TODAY()-R14)</f>
        <v>0</v>
      </c>
      <c r="W14" s="29">
        <f>IF(B14="","",IF(OR(R14="",V14&gt;60),"Action - review this account again",IF(P14="","Add - no gap identified yet",IF(U14=0,"Add - no ideas captured from them","OK"))))</f>
        <v>0</v>
      </c>
    </row>
    <row r="15" spans="1:24">
      <c r="A15" s="41">
        <f>IF(B15="","","COM-"&amp;TEXT(ROW()-4,"000"))</f>
        <v>0</v>
      </c>
      <c r="T15" s="24">
        <f>IF(K15="","",K15-TargetEngagement)</f>
        <v>0</v>
      </c>
      <c r="U15" s="23">
        <f>IF(B15="","",COUNTIF('Idea Bank'!$O$5:$O$304,B15))</f>
        <v>0</v>
      </c>
      <c r="V15" s="23">
        <f>IF(R15="","",TODAY()-R15)</f>
        <v>0</v>
      </c>
      <c r="W15" s="29">
        <f>IF(B15="","",IF(OR(R15="",V15&gt;60),"Action - review this account again",IF(P15="","Add - no gap identified yet",IF(U15=0,"Add - no ideas captured from them","OK"))))</f>
        <v>0</v>
      </c>
    </row>
    <row r="16" spans="1:24">
      <c r="A16" s="41">
        <f>IF(B16="","","COM-"&amp;TEXT(ROW()-4,"000"))</f>
        <v>0</v>
      </c>
      <c r="T16" s="24">
        <f>IF(K16="","",K16-TargetEngagement)</f>
        <v>0</v>
      </c>
      <c r="U16" s="23">
        <f>IF(B16="","",COUNTIF('Idea Bank'!$O$5:$O$304,B16))</f>
        <v>0</v>
      </c>
      <c r="V16" s="23">
        <f>IF(R16="","",TODAY()-R16)</f>
        <v>0</v>
      </c>
      <c r="W16" s="29">
        <f>IF(B16="","",IF(OR(R16="",V16&gt;60),"Action - review this account again",IF(P16="","Add - no gap identified yet",IF(U16=0,"Add - no ideas captured from them","OK"))))</f>
        <v>0</v>
      </c>
    </row>
    <row r="17" spans="1:23">
      <c r="A17" s="41">
        <f>IF(B17="","","COM-"&amp;TEXT(ROW()-4,"000"))</f>
        <v>0</v>
      </c>
      <c r="T17" s="24">
        <f>IF(K17="","",K17-TargetEngagement)</f>
        <v>0</v>
      </c>
      <c r="U17" s="23">
        <f>IF(B17="","",COUNTIF('Idea Bank'!$O$5:$O$304,B17))</f>
        <v>0</v>
      </c>
      <c r="V17" s="23">
        <f>IF(R17="","",TODAY()-R17)</f>
        <v>0</v>
      </c>
      <c r="W17" s="29">
        <f>IF(B17="","",IF(OR(R17="",V17&gt;60),"Action - review this account again",IF(P17="","Add - no gap identified yet",IF(U17=0,"Add - no ideas captured from them","OK"))))</f>
        <v>0</v>
      </c>
    </row>
    <row r="18" spans="1:23">
      <c r="A18" s="41">
        <f>IF(B18="","","COM-"&amp;TEXT(ROW()-4,"000"))</f>
        <v>0</v>
      </c>
      <c r="T18" s="24">
        <f>IF(K18="","",K18-TargetEngagement)</f>
        <v>0</v>
      </c>
      <c r="U18" s="23">
        <f>IF(B18="","",COUNTIF('Idea Bank'!$O$5:$O$304,B18))</f>
        <v>0</v>
      </c>
      <c r="V18" s="23">
        <f>IF(R18="","",TODAY()-R18)</f>
        <v>0</v>
      </c>
      <c r="W18" s="29">
        <f>IF(B18="","",IF(OR(R18="",V18&gt;60),"Action - review this account again",IF(P18="","Add - no gap identified yet",IF(U18=0,"Add - no ideas captured from them","OK"))))</f>
        <v>0</v>
      </c>
    </row>
    <row r="19" spans="1:23">
      <c r="A19" s="41">
        <f>IF(B19="","","COM-"&amp;TEXT(ROW()-4,"000"))</f>
        <v>0</v>
      </c>
      <c r="T19" s="24">
        <f>IF(K19="","",K19-TargetEngagement)</f>
        <v>0</v>
      </c>
      <c r="U19" s="23">
        <f>IF(B19="","",COUNTIF('Idea Bank'!$O$5:$O$304,B19))</f>
        <v>0</v>
      </c>
      <c r="V19" s="23">
        <f>IF(R19="","",TODAY()-R19)</f>
        <v>0</v>
      </c>
      <c r="W19" s="29">
        <f>IF(B19="","",IF(OR(R19="",V19&gt;60),"Action - review this account again",IF(P19="","Add - no gap identified yet",IF(U19=0,"Add - no ideas captured from them","OK"))))</f>
        <v>0</v>
      </c>
    </row>
    <row r="20" spans="1:23">
      <c r="A20" s="41">
        <f>IF(B20="","","COM-"&amp;TEXT(ROW()-4,"000"))</f>
        <v>0</v>
      </c>
      <c r="T20" s="24">
        <f>IF(K20="","",K20-TargetEngagement)</f>
        <v>0</v>
      </c>
      <c r="U20" s="23">
        <f>IF(B20="","",COUNTIF('Idea Bank'!$O$5:$O$304,B20))</f>
        <v>0</v>
      </c>
      <c r="V20" s="23">
        <f>IF(R20="","",TODAY()-R20)</f>
        <v>0</v>
      </c>
      <c r="W20" s="29">
        <f>IF(B20="","",IF(OR(R20="",V20&gt;60),"Action - review this account again",IF(P20="","Add - no gap identified yet",IF(U20=0,"Add - no ideas captured from them","OK"))))</f>
        <v>0</v>
      </c>
    </row>
    <row r="21" spans="1:23">
      <c r="A21" s="41">
        <f>IF(B21="","","COM-"&amp;TEXT(ROW()-4,"000"))</f>
        <v>0</v>
      </c>
      <c r="T21" s="24">
        <f>IF(K21="","",K21-TargetEngagement)</f>
        <v>0</v>
      </c>
      <c r="U21" s="23">
        <f>IF(B21="","",COUNTIF('Idea Bank'!$O$5:$O$304,B21))</f>
        <v>0</v>
      </c>
      <c r="V21" s="23">
        <f>IF(R21="","",TODAY()-R21)</f>
        <v>0</v>
      </c>
      <c r="W21" s="29">
        <f>IF(B21="","",IF(OR(R21="",V21&gt;60),"Action - review this account again",IF(P21="","Add - no gap identified yet",IF(U21=0,"Add - no ideas captured from them","OK"))))</f>
        <v>0</v>
      </c>
    </row>
    <row r="22" spans="1:23">
      <c r="A22" s="41">
        <f>IF(B22="","","COM-"&amp;TEXT(ROW()-4,"000"))</f>
        <v>0</v>
      </c>
      <c r="T22" s="24">
        <f>IF(K22="","",K22-TargetEngagement)</f>
        <v>0</v>
      </c>
      <c r="U22" s="23">
        <f>IF(B22="","",COUNTIF('Idea Bank'!$O$5:$O$304,B22))</f>
        <v>0</v>
      </c>
      <c r="V22" s="23">
        <f>IF(R22="","",TODAY()-R22)</f>
        <v>0</v>
      </c>
      <c r="W22" s="29">
        <f>IF(B22="","",IF(OR(R22="",V22&gt;60),"Action - review this account again",IF(P22="","Add - no gap identified yet",IF(U22=0,"Add - no ideas captured from them","OK"))))</f>
        <v>0</v>
      </c>
    </row>
    <row r="23" spans="1:23">
      <c r="A23" s="41">
        <f>IF(B23="","","COM-"&amp;TEXT(ROW()-4,"000"))</f>
        <v>0</v>
      </c>
      <c r="T23" s="24">
        <f>IF(K23="","",K23-TargetEngagement)</f>
        <v>0</v>
      </c>
      <c r="U23" s="23">
        <f>IF(B23="","",COUNTIF('Idea Bank'!$O$5:$O$304,B23))</f>
        <v>0</v>
      </c>
      <c r="V23" s="23">
        <f>IF(R23="","",TODAY()-R23)</f>
        <v>0</v>
      </c>
      <c r="W23" s="29">
        <f>IF(B23="","",IF(OR(R23="",V23&gt;60),"Action - review this account again",IF(P23="","Add - no gap identified yet",IF(U23=0,"Add - no ideas captured from them","OK"))))</f>
        <v>0</v>
      </c>
    </row>
    <row r="24" spans="1:23">
      <c r="A24" s="41">
        <f>IF(B24="","","COM-"&amp;TEXT(ROW()-4,"000"))</f>
        <v>0</v>
      </c>
      <c r="T24" s="24">
        <f>IF(K24="","",K24-TargetEngagement)</f>
        <v>0</v>
      </c>
      <c r="U24" s="23">
        <f>IF(B24="","",COUNTIF('Idea Bank'!$O$5:$O$304,B24))</f>
        <v>0</v>
      </c>
      <c r="V24" s="23">
        <f>IF(R24="","",TODAY()-R24)</f>
        <v>0</v>
      </c>
      <c r="W24" s="29">
        <f>IF(B24="","",IF(OR(R24="",V24&gt;60),"Action - review this account again",IF(P24="","Add - no gap identified yet",IF(U24=0,"Add - no ideas captured from them","OK"))))</f>
        <v>0</v>
      </c>
    </row>
    <row r="25" spans="1:23">
      <c r="A25" s="41">
        <f>IF(B25="","","COM-"&amp;TEXT(ROW()-4,"000"))</f>
        <v>0</v>
      </c>
      <c r="T25" s="24">
        <f>IF(K25="","",K25-TargetEngagement)</f>
        <v>0</v>
      </c>
      <c r="U25" s="23">
        <f>IF(B25="","",COUNTIF('Idea Bank'!$O$5:$O$304,B25))</f>
        <v>0</v>
      </c>
      <c r="V25" s="23">
        <f>IF(R25="","",TODAY()-R25)</f>
        <v>0</v>
      </c>
      <c r="W25" s="29">
        <f>IF(B25="","",IF(OR(R25="",V25&gt;60),"Action - review this account again",IF(P25="","Add - no gap identified yet",IF(U25=0,"Add - no ideas captured from them","OK"))))</f>
        <v>0</v>
      </c>
    </row>
    <row r="26" spans="1:23">
      <c r="A26" s="41">
        <f>IF(B26="","","COM-"&amp;TEXT(ROW()-4,"000"))</f>
        <v>0</v>
      </c>
      <c r="T26" s="24">
        <f>IF(K26="","",K26-TargetEngagement)</f>
        <v>0</v>
      </c>
      <c r="U26" s="23">
        <f>IF(B26="","",COUNTIF('Idea Bank'!$O$5:$O$304,B26))</f>
        <v>0</v>
      </c>
      <c r="V26" s="23">
        <f>IF(R26="","",TODAY()-R26)</f>
        <v>0</v>
      </c>
      <c r="W26" s="29">
        <f>IF(B26="","",IF(OR(R26="",V26&gt;60),"Action - review this account again",IF(P26="","Add - no gap identified yet",IF(U26=0,"Add - no ideas captured from them","OK"))))</f>
        <v>0</v>
      </c>
    </row>
    <row r="27" spans="1:23">
      <c r="A27" s="41">
        <f>IF(B27="","","COM-"&amp;TEXT(ROW()-4,"000"))</f>
        <v>0</v>
      </c>
      <c r="T27" s="24">
        <f>IF(K27="","",K27-TargetEngagement)</f>
        <v>0</v>
      </c>
      <c r="U27" s="23">
        <f>IF(B27="","",COUNTIF('Idea Bank'!$O$5:$O$304,B27))</f>
        <v>0</v>
      </c>
      <c r="V27" s="23">
        <f>IF(R27="","",TODAY()-R27)</f>
        <v>0</v>
      </c>
      <c r="W27" s="29">
        <f>IF(B27="","",IF(OR(R27="",V27&gt;60),"Action - review this account again",IF(P27="","Add - no gap identified yet",IF(U27=0,"Add - no ideas captured from them","OK"))))</f>
        <v>0</v>
      </c>
    </row>
    <row r="28" spans="1:23">
      <c r="A28" s="41">
        <f>IF(B28="","","COM-"&amp;TEXT(ROW()-4,"000"))</f>
        <v>0</v>
      </c>
      <c r="T28" s="24">
        <f>IF(K28="","",K28-TargetEngagement)</f>
        <v>0</v>
      </c>
      <c r="U28" s="23">
        <f>IF(B28="","",COUNTIF('Idea Bank'!$O$5:$O$304,B28))</f>
        <v>0</v>
      </c>
      <c r="V28" s="23">
        <f>IF(R28="","",TODAY()-R28)</f>
        <v>0</v>
      </c>
      <c r="W28" s="29">
        <f>IF(B28="","",IF(OR(R28="",V28&gt;60),"Action - review this account again",IF(P28="","Add - no gap identified yet",IF(U28=0,"Add - no ideas captured from them","OK"))))</f>
        <v>0</v>
      </c>
    </row>
    <row r="29" spans="1:23">
      <c r="A29" s="41">
        <f>IF(B29="","","COM-"&amp;TEXT(ROW()-4,"000"))</f>
        <v>0</v>
      </c>
      <c r="T29" s="24">
        <f>IF(K29="","",K29-TargetEngagement)</f>
        <v>0</v>
      </c>
      <c r="U29" s="23">
        <f>IF(B29="","",COUNTIF('Idea Bank'!$O$5:$O$304,B29))</f>
        <v>0</v>
      </c>
      <c r="V29" s="23">
        <f>IF(R29="","",TODAY()-R29)</f>
        <v>0</v>
      </c>
      <c r="W29" s="29">
        <f>IF(B29="","",IF(OR(R29="",V29&gt;60),"Action - review this account again",IF(P29="","Add - no gap identified yet",IF(U29=0,"Add - no ideas captured from them","OK"))))</f>
        <v>0</v>
      </c>
    </row>
    <row r="30" spans="1:23">
      <c r="A30" s="41">
        <f>IF(B30="","","COM-"&amp;TEXT(ROW()-4,"000"))</f>
        <v>0</v>
      </c>
      <c r="T30" s="24">
        <f>IF(K30="","",K30-TargetEngagement)</f>
        <v>0</v>
      </c>
      <c r="U30" s="23">
        <f>IF(B30="","",COUNTIF('Idea Bank'!$O$5:$O$304,B30))</f>
        <v>0</v>
      </c>
      <c r="V30" s="23">
        <f>IF(R30="","",TODAY()-R30)</f>
        <v>0</v>
      </c>
      <c r="W30" s="29">
        <f>IF(B30="","",IF(OR(R30="",V30&gt;60),"Action - review this account again",IF(P30="","Add - no gap identified yet",IF(U30=0,"Add - no ideas captured from them","OK"))))</f>
        <v>0</v>
      </c>
    </row>
    <row r="31" spans="1:23">
      <c r="A31" s="41">
        <f>IF(B31="","","COM-"&amp;TEXT(ROW()-4,"000"))</f>
        <v>0</v>
      </c>
      <c r="T31" s="24">
        <f>IF(K31="","",K31-TargetEngagement)</f>
        <v>0</v>
      </c>
      <c r="U31" s="23">
        <f>IF(B31="","",COUNTIF('Idea Bank'!$O$5:$O$304,B31))</f>
        <v>0</v>
      </c>
      <c r="V31" s="23">
        <f>IF(R31="","",TODAY()-R31)</f>
        <v>0</v>
      </c>
      <c r="W31" s="29">
        <f>IF(B31="","",IF(OR(R31="",V31&gt;60),"Action - review this account again",IF(P31="","Add - no gap identified yet",IF(U31=0,"Add - no ideas captured from them","OK"))))</f>
        <v>0</v>
      </c>
    </row>
    <row r="32" spans="1:23">
      <c r="A32" s="41">
        <f>IF(B32="","","COM-"&amp;TEXT(ROW()-4,"000"))</f>
        <v>0</v>
      </c>
      <c r="T32" s="24">
        <f>IF(K32="","",K32-TargetEngagement)</f>
        <v>0</v>
      </c>
      <c r="U32" s="23">
        <f>IF(B32="","",COUNTIF('Idea Bank'!$O$5:$O$304,B32))</f>
        <v>0</v>
      </c>
      <c r="V32" s="23">
        <f>IF(R32="","",TODAY()-R32)</f>
        <v>0</v>
      </c>
      <c r="W32" s="29">
        <f>IF(B32="","",IF(OR(R32="",V32&gt;60),"Action - review this account again",IF(P32="","Add - no gap identified yet",IF(U32=0,"Add - no ideas captured from them","OK"))))</f>
        <v>0</v>
      </c>
    </row>
    <row r="33" spans="1:23">
      <c r="A33" s="41">
        <f>IF(B33="","","COM-"&amp;TEXT(ROW()-4,"000"))</f>
        <v>0</v>
      </c>
      <c r="T33" s="24">
        <f>IF(K33="","",K33-TargetEngagement)</f>
        <v>0</v>
      </c>
      <c r="U33" s="23">
        <f>IF(B33="","",COUNTIF('Idea Bank'!$O$5:$O$304,B33))</f>
        <v>0</v>
      </c>
      <c r="V33" s="23">
        <f>IF(R33="","",TODAY()-R33)</f>
        <v>0</v>
      </c>
      <c r="W33" s="29">
        <f>IF(B33="","",IF(OR(R33="",V33&gt;60),"Action - review this account again",IF(P33="","Add - no gap identified yet",IF(U33=0,"Add - no ideas captured from them","OK"))))</f>
        <v>0</v>
      </c>
    </row>
    <row r="34" spans="1:23">
      <c r="A34" s="41">
        <f>IF(B34="","","COM-"&amp;TEXT(ROW()-4,"000"))</f>
        <v>0</v>
      </c>
      <c r="T34" s="24">
        <f>IF(K34="","",K34-TargetEngagement)</f>
        <v>0</v>
      </c>
      <c r="U34" s="23">
        <f>IF(B34="","",COUNTIF('Idea Bank'!$O$5:$O$304,B34))</f>
        <v>0</v>
      </c>
      <c r="V34" s="23">
        <f>IF(R34="","",TODAY()-R34)</f>
        <v>0</v>
      </c>
      <c r="W34" s="29">
        <f>IF(B34="","",IF(OR(R34="",V34&gt;60),"Action - review this account again",IF(P34="","Add - no gap identified yet",IF(U34=0,"Add - no ideas captured from them","OK"))))</f>
        <v>0</v>
      </c>
    </row>
    <row r="35" spans="1:23">
      <c r="A35" s="41">
        <f>IF(B35="","","COM-"&amp;TEXT(ROW()-4,"000"))</f>
        <v>0</v>
      </c>
      <c r="T35" s="24">
        <f>IF(K35="","",K35-TargetEngagement)</f>
        <v>0</v>
      </c>
      <c r="U35" s="23">
        <f>IF(B35="","",COUNTIF('Idea Bank'!$O$5:$O$304,B35))</f>
        <v>0</v>
      </c>
      <c r="V35" s="23">
        <f>IF(R35="","",TODAY()-R35)</f>
        <v>0</v>
      </c>
      <c r="W35" s="29">
        <f>IF(B35="","",IF(OR(R35="",V35&gt;60),"Action - review this account again",IF(P35="","Add - no gap identified yet",IF(U35=0,"Add - no ideas captured from them","OK"))))</f>
        <v>0</v>
      </c>
    </row>
    <row r="36" spans="1:23">
      <c r="A36" s="41">
        <f>IF(B36="","","COM-"&amp;TEXT(ROW()-4,"000"))</f>
        <v>0</v>
      </c>
      <c r="T36" s="24">
        <f>IF(K36="","",K36-TargetEngagement)</f>
        <v>0</v>
      </c>
      <c r="U36" s="23">
        <f>IF(B36="","",COUNTIF('Idea Bank'!$O$5:$O$304,B36))</f>
        <v>0</v>
      </c>
      <c r="V36" s="23">
        <f>IF(R36="","",TODAY()-R36)</f>
        <v>0</v>
      </c>
      <c r="W36" s="29">
        <f>IF(B36="","",IF(OR(R36="",V36&gt;60),"Action - review this account again",IF(P36="","Add - no gap identified yet",IF(U36=0,"Add - no ideas captured from them","OK"))))</f>
        <v>0</v>
      </c>
    </row>
    <row r="37" spans="1:23">
      <c r="A37" s="41">
        <f>IF(B37="","","COM-"&amp;TEXT(ROW()-4,"000"))</f>
        <v>0</v>
      </c>
      <c r="T37" s="24">
        <f>IF(K37="","",K37-TargetEngagement)</f>
        <v>0</v>
      </c>
      <c r="U37" s="23">
        <f>IF(B37="","",COUNTIF('Idea Bank'!$O$5:$O$304,B37))</f>
        <v>0</v>
      </c>
      <c r="V37" s="23">
        <f>IF(R37="","",TODAY()-R37)</f>
        <v>0</v>
      </c>
      <c r="W37" s="29">
        <f>IF(B37="","",IF(OR(R37="",V37&gt;60),"Action - review this account again",IF(P37="","Add - no gap identified yet",IF(U37=0,"Add - no ideas captured from them","OK"))))</f>
        <v>0</v>
      </c>
    </row>
    <row r="38" spans="1:23">
      <c r="A38" s="41">
        <f>IF(B38="","","COM-"&amp;TEXT(ROW()-4,"000"))</f>
        <v>0</v>
      </c>
      <c r="T38" s="24">
        <f>IF(K38="","",K38-TargetEngagement)</f>
        <v>0</v>
      </c>
      <c r="U38" s="23">
        <f>IF(B38="","",COUNTIF('Idea Bank'!$O$5:$O$304,B38))</f>
        <v>0</v>
      </c>
      <c r="V38" s="23">
        <f>IF(R38="","",TODAY()-R38)</f>
        <v>0</v>
      </c>
      <c r="W38" s="29">
        <f>IF(B38="","",IF(OR(R38="",V38&gt;60),"Action - review this account again",IF(P38="","Add - no gap identified yet",IF(U38=0,"Add - no ideas captured from them","OK"))))</f>
        <v>0</v>
      </c>
    </row>
    <row r="39" spans="1:23">
      <c r="A39" s="41">
        <f>IF(B39="","","COM-"&amp;TEXT(ROW()-4,"000"))</f>
        <v>0</v>
      </c>
      <c r="T39" s="24">
        <f>IF(K39="","",K39-TargetEngagement)</f>
        <v>0</v>
      </c>
      <c r="U39" s="23">
        <f>IF(B39="","",COUNTIF('Idea Bank'!$O$5:$O$304,B39))</f>
        <v>0</v>
      </c>
      <c r="V39" s="23">
        <f>IF(R39="","",TODAY()-R39)</f>
        <v>0</v>
      </c>
      <c r="W39" s="29">
        <f>IF(B39="","",IF(OR(R39="",V39&gt;60),"Action - review this account again",IF(P39="","Add - no gap identified yet",IF(U39=0,"Add - no ideas captured from them","OK"))))</f>
        <v>0</v>
      </c>
    </row>
    <row r="40" spans="1:23">
      <c r="A40" s="41">
        <f>IF(B40="","","COM-"&amp;TEXT(ROW()-4,"000"))</f>
        <v>0</v>
      </c>
      <c r="T40" s="24">
        <f>IF(K40="","",K40-TargetEngagement)</f>
        <v>0</v>
      </c>
      <c r="U40" s="23">
        <f>IF(B40="","",COUNTIF('Idea Bank'!$O$5:$O$304,B40))</f>
        <v>0</v>
      </c>
      <c r="V40" s="23">
        <f>IF(R40="","",TODAY()-R40)</f>
        <v>0</v>
      </c>
      <c r="W40" s="29">
        <f>IF(B40="","",IF(OR(R40="",V40&gt;60),"Action - review this account again",IF(P40="","Add - no gap identified yet",IF(U40=0,"Add - no ideas captured from them","OK"))))</f>
        <v>0</v>
      </c>
    </row>
    <row r="41" spans="1:23">
      <c r="A41" s="41">
        <f>IF(B41="","","COM-"&amp;TEXT(ROW()-4,"000"))</f>
        <v>0</v>
      </c>
      <c r="T41" s="24">
        <f>IF(K41="","",K41-TargetEngagement)</f>
        <v>0</v>
      </c>
      <c r="U41" s="23">
        <f>IF(B41="","",COUNTIF('Idea Bank'!$O$5:$O$304,B41))</f>
        <v>0</v>
      </c>
      <c r="V41" s="23">
        <f>IF(R41="","",TODAY()-R41)</f>
        <v>0</v>
      </c>
      <c r="W41" s="29">
        <f>IF(B41="","",IF(OR(R41="",V41&gt;60),"Action - review this account again",IF(P41="","Add - no gap identified yet",IF(U41=0,"Add - no ideas captured from them","OK"))))</f>
        <v>0</v>
      </c>
    </row>
    <row r="42" spans="1:23">
      <c r="A42" s="41">
        <f>IF(B42="","","COM-"&amp;TEXT(ROW()-4,"000"))</f>
        <v>0</v>
      </c>
      <c r="T42" s="24">
        <f>IF(K42="","",K42-TargetEngagement)</f>
        <v>0</v>
      </c>
      <c r="U42" s="23">
        <f>IF(B42="","",COUNTIF('Idea Bank'!$O$5:$O$304,B42))</f>
        <v>0</v>
      </c>
      <c r="V42" s="23">
        <f>IF(R42="","",TODAY()-R42)</f>
        <v>0</v>
      </c>
      <c r="W42" s="29">
        <f>IF(B42="","",IF(OR(R42="",V42&gt;60),"Action - review this account again",IF(P42="","Add - no gap identified yet",IF(U42=0,"Add - no ideas captured from them","OK"))))</f>
        <v>0</v>
      </c>
    </row>
    <row r="43" spans="1:23">
      <c r="A43" s="41">
        <f>IF(B43="","","COM-"&amp;TEXT(ROW()-4,"000"))</f>
        <v>0</v>
      </c>
      <c r="T43" s="24">
        <f>IF(K43="","",K43-TargetEngagement)</f>
        <v>0</v>
      </c>
      <c r="U43" s="23">
        <f>IF(B43="","",COUNTIF('Idea Bank'!$O$5:$O$304,B43))</f>
        <v>0</v>
      </c>
      <c r="V43" s="23">
        <f>IF(R43="","",TODAY()-R43)</f>
        <v>0</v>
      </c>
      <c r="W43" s="29">
        <f>IF(B43="","",IF(OR(R43="",V43&gt;60),"Action - review this account again",IF(P43="","Add - no gap identified yet",IF(U43=0,"Add - no ideas captured from them","OK"))))</f>
        <v>0</v>
      </c>
    </row>
    <row r="44" spans="1:23">
      <c r="A44" s="41">
        <f>IF(B44="","","COM-"&amp;TEXT(ROW()-4,"000"))</f>
        <v>0</v>
      </c>
      <c r="T44" s="24">
        <f>IF(K44="","",K44-TargetEngagement)</f>
        <v>0</v>
      </c>
      <c r="U44" s="23">
        <f>IF(B44="","",COUNTIF('Idea Bank'!$O$5:$O$304,B44))</f>
        <v>0</v>
      </c>
      <c r="V44" s="23">
        <f>IF(R44="","",TODAY()-R44)</f>
        <v>0</v>
      </c>
      <c r="W44" s="29">
        <f>IF(B44="","",IF(OR(R44="",V44&gt;60),"Action - review this account again",IF(P44="","Add - no gap identified yet",IF(U44=0,"Add - no ideas captured from them","OK"))))</f>
        <v>0</v>
      </c>
    </row>
  </sheetData>
  <sheetProtection password="EC7C" sheet="1" objects="1" scenarios="1" formatCells="0" formatColumns="0" formatRows="0" insertRows="0" insertHyperlinks="0" deleteRows="0" autoFilter="0"/>
  <autoFilter ref="A4:X4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F5:F44">
    <cfRule type="dataBar" priority="1">
      <dataBar>
        <cfvo type="min" val="0"/>
        <cfvo type="max" val="0"/>
        <color rgb="FF6350A8"/>
      </dataBar>
    </cfRule>
  </conditionalFormatting>
  <conditionalFormatting sqref="K5:K44">
    <cfRule type="cellIs" dxfId="0" priority="2" operator="greaterThanOrEqual">
      <formula>TargetEngagement</formula>
    </cfRule>
    <cfRule type="cellIs" dxfId="2" priority="3" operator="lessThan">
      <formula>TargetEngagement</formula>
    </cfRule>
  </conditionalFormatting>
  <conditionalFormatting sqref="T5:T44">
    <cfRule type="cellIs" dxfId="1" priority="4" operator="greaterThan">
      <formula>0</formula>
    </cfRule>
    <cfRule type="cellIs" dxfId="0" priority="5" operator="lessThanOrEqual">
      <formula>0</formula>
    </cfRule>
  </conditionalFormatting>
  <conditionalFormatting sqref="V5:V44">
    <cfRule type="cellIs" dxfId="2" priority="6" operator="greaterThan">
      <formula>60</formula>
    </cfRule>
  </conditionalFormatting>
  <conditionalFormatting sqref="W5:W44">
    <cfRule type="beginsWith" dxfId="0" priority="7" operator="beginsWith" text="OK">
      <formula>LEFT(W5,2)="OK"</formula>
    </cfRule>
    <cfRule type="containsText" dxfId="1" priority="8" operator="containsText" text="Overdue">
      <formula>NOT(ISERROR(SEARCH("Overdue",W5)))</formula>
    </cfRule>
    <cfRule type="containsText" dxfId="1" priority="9" operator="containsText" text="Late">
      <formula>NOT(ISERROR(SEARCH("Late",W5)))</formula>
    </cfRule>
    <cfRule type="containsText" dxfId="1" priority="10" operator="containsText" text="Missing">
      <formula>NOT(ISERROR(SEARCH("Missing",W5)))</formula>
    </cfRule>
    <cfRule type="containsText" dxfId="1" priority="11" operator="containsText" text="Conflict">
      <formula>NOT(ISERROR(SEARCH("Conflict",W5)))</formula>
    </cfRule>
    <cfRule type="containsText" dxfId="1" priority="12" operator="containsText" text="Expired">
      <formula>NOT(ISERROR(SEARCH("Expired",W5)))</formula>
    </cfRule>
    <cfRule type="containsText" dxfId="1" priority="13" operator="containsText" text="Duplicate">
      <formula>NOT(ISERROR(SEARCH("Duplicate",W5)))</formula>
    </cfRule>
    <cfRule type="containsText" dxfId="2" priority="14" operator="containsText" text="Action">
      <formula>NOT(ISERROR(SEARCH("Action",W5)))</formula>
    </cfRule>
    <cfRule type="containsText" dxfId="2" priority="15" operator="containsText" text="Due">
      <formula>NOT(ISERROR(SEARCH("Due",W5)))</formula>
    </cfRule>
    <cfRule type="containsText" dxfId="2" priority="16" operator="containsText" text="Check">
      <formula>NOT(ISERROR(SEARCH("Check",W5)))</formula>
    </cfRule>
    <cfRule type="containsText" dxfId="2" priority="17" operator="containsText" text="Add">
      <formula>NOT(ISERROR(SEARCH("Add",W5)))</formula>
    </cfRule>
    <cfRule type="containsText" dxfId="3" priority="18" operator="containsText" text="Today">
      <formula>NOT(ISERROR(SEARCH("Today",W5)))</formula>
    </cfRule>
    <cfRule type="containsText" dxfId="3" priority="19" operator="containsText" text="Upcoming">
      <formula>NOT(ISERROR(SEARCH("Upcoming",W5)))</formula>
    </cfRule>
  </conditionalFormatting>
  <dataValidations count="4">
    <dataValidation type="list" allowBlank="1" showInputMessage="1" showErrorMessage="1" sqref="C5:C44">
      <formula1>PlatformList</formula1>
    </dataValidation>
    <dataValidation type="whole" allowBlank="1" showInputMessage="1" showErrorMessage="1" errorTitle="Check the value" error="Enter a number between 0 and 1000000000.0." sqref="F5:F44">
      <formula1>0</formula1>
      <formula2>1000000000.0</formula2>
    </dataValidation>
    <dataValidation type="decimal" allowBlank="1" showInputMessage="1" showErrorMessage="1" errorTitle="Check the value" error="Enter a number between 0 and 1." promptTitle="Their engagement rate" prompt="Engagements divided by followers on a handful of recent posts - near enough is good enough." sqref="K5:K44">
      <formula1>0</formula1>
      <formula2>1</formula2>
    </dataValidation>
    <dataValidation type="date" allowBlank="1" showInputMessage="1" showErrorMessage="1" errorTitle="Check the date" error="Enter a real date between 2000 and 2100." sqref="R5:R44">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&amp;L&amp;"Calibri,Bold"&amp;12&amp;C&amp;"Calibri,Bold"&amp;11Competitors&amp;R&amp;"Calibri,Italic"&amp;9Social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8.xml><?xml version="1.0" encoding="utf-8"?>
<worksheet xmlns="http://schemas.openxmlformats.org/spreadsheetml/2006/main" xmlns:r="http://schemas.openxmlformats.org/officeDocument/2006/relationships">
  <sheetPr>
    <tabColor rgb="FF6350A8"/>
    <pageSetUpPr fitToPage="1"/>
  </sheetPr>
  <dimension ref="A1:W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24.7109375" style="15" customWidth="1"/>
    <col min="3" max="3" width="14.7109375" style="15" customWidth="1"/>
    <col min="4" max="4" width="13.7109375" style="15" customWidth="1"/>
    <col min="5" max="5" width="12.7109375" style="43" customWidth="1"/>
    <col min="6" max="6" width="26.7109375" style="42" customWidth="1"/>
    <col min="7" max="7" width="22.7109375" style="15" customWidth="1"/>
    <col min="8" max="8" width="20.7109375" style="15" customWidth="1"/>
    <col min="9" max="9" width="18.7109375" style="15" customWidth="1"/>
    <col min="10" max="10" width="13.7109375" style="40" customWidth="1"/>
    <col min="11" max="11" width="32.7109375" style="39" customWidth="1"/>
    <col min="12" max="12" width="16.7109375" style="15" customWidth="1"/>
    <col min="13" max="13" width="12.7109375" style="43" customWidth="1"/>
    <col min="14" max="14" width="15.7109375" style="48" customWidth="1"/>
    <col min="15" max="15" width="12.7109375" style="43" customWidth="1"/>
    <col min="16" max="16" width="12.7109375" style="34" customWidth="1"/>
    <col min="17" max="17" width="12.7109375" style="34" customWidth="1"/>
    <col min="18" max="18" width="12.7109375" style="24" customWidth="1"/>
    <col min="19" max="19" width="9.7109375" style="23" customWidth="1"/>
    <col min="20" max="20" width="10.7109375" style="23" customWidth="1"/>
    <col min="21" max="21" width="28.7109375" style="39" customWidth="1"/>
    <col min="22" max="22" width="28.7109375" style="29" customWidth="1"/>
    <col min="23" max="23" width="24.7109375" style="39" customWidth="1"/>
  </cols>
  <sheetData>
    <row r="1" spans="1:23" ht="34" customHeight="1">
      <c r="A1" s="2" t="s">
        <v>1836</v>
      </c>
      <c r="B1" s="2"/>
      <c r="C1" s="2"/>
      <c r="D1" s="2"/>
      <c r="E1" s="2"/>
      <c r="F1" s="2"/>
      <c r="G1" s="2"/>
      <c r="H1" s="2"/>
      <c r="I1" s="2"/>
      <c r="J1" s="2"/>
      <c r="K1" s="2"/>
      <c r="L1" s="2"/>
      <c r="M1" s="2"/>
      <c r="N1" s="2"/>
      <c r="O1" s="2"/>
      <c r="P1" s="2"/>
      <c r="Q1" s="2"/>
      <c r="R1" s="2"/>
      <c r="S1" s="2"/>
      <c r="T1" s="2"/>
      <c r="U1" s="3" t="s">
        <v>1</v>
      </c>
      <c r="V1" s="3"/>
      <c r="W1" s="3"/>
    </row>
    <row r="2" spans="1:23" ht="18" customHeight="1">
      <c r="A2" s="4" t="s">
        <v>1837</v>
      </c>
      <c r="B2" s="4"/>
      <c r="C2" s="4"/>
      <c r="D2" s="4"/>
      <c r="E2" s="4"/>
      <c r="F2" s="4"/>
      <c r="G2" s="4"/>
      <c r="H2" s="4"/>
      <c r="I2" s="4"/>
      <c r="J2" s="4"/>
      <c r="K2" s="4"/>
      <c r="L2" s="4"/>
      <c r="M2" s="4"/>
      <c r="N2" s="4"/>
      <c r="O2" s="4"/>
      <c r="P2" s="4"/>
      <c r="Q2" s="4"/>
      <c r="R2" s="4"/>
      <c r="S2" s="4"/>
      <c r="T2" s="4"/>
      <c r="U2" s="4"/>
      <c r="V2" s="4"/>
      <c r="W2" s="4"/>
    </row>
    <row r="3" spans="1:23"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1838</v>
      </c>
      <c r="T3" s="38"/>
      <c r="U3" s="38"/>
      <c r="V3" s="38"/>
      <c r="W3" s="38"/>
    </row>
    <row r="4" spans="1:23" ht="30" customHeight="1">
      <c r="A4" s="8" t="s">
        <v>766</v>
      </c>
      <c r="B4" s="8" t="s">
        <v>1839</v>
      </c>
      <c r="C4" s="9" t="s">
        <v>1336</v>
      </c>
      <c r="D4" s="9" t="s">
        <v>192</v>
      </c>
      <c r="E4" s="9" t="s">
        <v>1840</v>
      </c>
      <c r="F4" s="9" t="s">
        <v>1841</v>
      </c>
      <c r="G4" s="9" t="s">
        <v>1842</v>
      </c>
      <c r="H4" s="9" t="s">
        <v>619</v>
      </c>
      <c r="I4" s="9" t="s">
        <v>1843</v>
      </c>
      <c r="J4" s="9" t="s">
        <v>1844</v>
      </c>
      <c r="K4" s="9" t="s">
        <v>1845</v>
      </c>
      <c r="L4" s="9" t="s">
        <v>222</v>
      </c>
      <c r="M4" s="9" t="s">
        <v>1846</v>
      </c>
      <c r="N4" s="9" t="s">
        <v>221</v>
      </c>
      <c r="O4" s="9" t="s">
        <v>1847</v>
      </c>
      <c r="P4" s="9" t="s">
        <v>1848</v>
      </c>
      <c r="Q4" s="9" t="s">
        <v>153</v>
      </c>
      <c r="R4" s="9" t="s">
        <v>155</v>
      </c>
      <c r="S4" s="9" t="s">
        <v>1849</v>
      </c>
      <c r="T4" s="9" t="s">
        <v>1850</v>
      </c>
      <c r="U4" s="9" t="s">
        <v>1851</v>
      </c>
      <c r="V4" s="9" t="s">
        <v>787</v>
      </c>
      <c r="W4" s="9" t="s">
        <v>788</v>
      </c>
    </row>
    <row r="5" spans="1:23">
      <c r="A5" s="41">
        <f>IF(B5="","","TR-"&amp;TEXT(ROW()-4,"000"))</f>
        <v>0</v>
      </c>
      <c r="B5" s="15" t="s">
        <v>1852</v>
      </c>
      <c r="C5" s="15" t="s">
        <v>526</v>
      </c>
      <c r="D5" s="15" t="s">
        <v>377</v>
      </c>
      <c r="E5" s="43">
        <v>46302</v>
      </c>
      <c r="F5" s="42" t="s">
        <v>1853</v>
      </c>
      <c r="G5" s="15" t="s">
        <v>1852</v>
      </c>
      <c r="H5" s="15" t="s">
        <v>1852</v>
      </c>
      <c r="I5" s="15" t="s">
        <v>834</v>
      </c>
      <c r="J5" s="40">
        <v>9</v>
      </c>
      <c r="K5" s="39" t="s">
        <v>1854</v>
      </c>
      <c r="L5" s="15" t="s">
        <v>797</v>
      </c>
      <c r="M5" s="43">
        <v>46316</v>
      </c>
      <c r="N5" s="48" t="s">
        <v>418</v>
      </c>
      <c r="P5" s="34">
        <v>0</v>
      </c>
      <c r="Q5" s="34">
        <v>0</v>
      </c>
      <c r="R5" s="24">
        <f>IF(OR(P5="",P5=0),"",N(Q5)/P5)</f>
        <v>0</v>
      </c>
      <c r="S5" s="23">
        <f>IF(E5="","",TODAY()-E5)</f>
        <v>0</v>
      </c>
      <c r="T5" s="23">
        <f>IF(OR(M5="",O5&lt;&gt;""),"",M5-TODAY())</f>
        <v>0</v>
      </c>
      <c r="U5" s="39" t="s">
        <v>205</v>
      </c>
      <c r="V5" s="29">
        <f>IF(B5="","",IF(AND(O5="",M5&lt;&gt;"",M5&lt;TODAY()),"Expired - the moment has passed",IF(AND(O5="",J5&gt;=8),"Action - strong fit, make it now",IF(AND(O5="",S5&gt;TrendWindowDays),"Check - this has been sitting here a while","OK"))))</f>
        <v>0</v>
      </c>
      <c r="W5" s="39" t="s">
        <v>205</v>
      </c>
    </row>
    <row r="6" spans="1:23">
      <c r="A6" s="41">
        <f>IF(B6="","","TR-"&amp;TEXT(ROW()-4,"000"))</f>
        <v>0</v>
      </c>
      <c r="B6" s="15" t="s">
        <v>1855</v>
      </c>
      <c r="C6" s="15" t="s">
        <v>267</v>
      </c>
      <c r="D6" s="15" t="s">
        <v>377</v>
      </c>
      <c r="E6" s="43">
        <v>46297</v>
      </c>
      <c r="F6" s="42" t="s">
        <v>1856</v>
      </c>
      <c r="G6" s="15" t="s">
        <v>205</v>
      </c>
      <c r="H6" s="15" t="s">
        <v>1855</v>
      </c>
      <c r="I6" s="15" t="s">
        <v>834</v>
      </c>
      <c r="J6" s="40">
        <v>7</v>
      </c>
      <c r="K6" s="39" t="s">
        <v>1857</v>
      </c>
      <c r="L6" s="15" t="s">
        <v>797</v>
      </c>
      <c r="M6" s="43">
        <v>46311</v>
      </c>
      <c r="N6" s="48" t="s">
        <v>418</v>
      </c>
      <c r="P6" s="34">
        <v>0</v>
      </c>
      <c r="Q6" s="34">
        <v>0</v>
      </c>
      <c r="R6" s="24">
        <f>IF(OR(P6="",P6=0),"",N(Q6)/P6)</f>
        <v>0</v>
      </c>
      <c r="S6" s="23">
        <f>IF(E6="","",TODAY()-E6)</f>
        <v>0</v>
      </c>
      <c r="T6" s="23">
        <f>IF(OR(M6="",O6&lt;&gt;""),"",M6-TODAY())</f>
        <v>0</v>
      </c>
      <c r="U6" s="39" t="s">
        <v>205</v>
      </c>
      <c r="V6" s="29">
        <f>IF(B6="","",IF(AND(O6="",M6&lt;&gt;"",M6&lt;TODAY()),"Expired - the moment has passed",IF(AND(O6="",J6&gt;=8),"Action - strong fit, make it now",IF(AND(O6="",S6&gt;TrendWindowDays),"Check - this has been sitting here a while","OK"))))</f>
        <v>0</v>
      </c>
      <c r="W6" s="39" t="s">
        <v>205</v>
      </c>
    </row>
    <row r="7" spans="1:23">
      <c r="A7" s="41">
        <f>IF(B7="","","TR-"&amp;TEXT(ROW()-4,"000"))</f>
        <v>0</v>
      </c>
      <c r="B7" s="15" t="s">
        <v>1203</v>
      </c>
      <c r="C7" s="15" t="s">
        <v>267</v>
      </c>
      <c r="D7" s="15" t="s">
        <v>376</v>
      </c>
      <c r="E7" s="43">
        <v>46290</v>
      </c>
      <c r="F7" s="42" t="s">
        <v>1858</v>
      </c>
      <c r="G7" s="15" t="s">
        <v>205</v>
      </c>
      <c r="H7" s="15" t="s">
        <v>1203</v>
      </c>
      <c r="I7" s="15" t="s">
        <v>834</v>
      </c>
      <c r="J7" s="40">
        <v>8</v>
      </c>
      <c r="K7" s="39" t="s">
        <v>1859</v>
      </c>
      <c r="L7" s="15" t="s">
        <v>797</v>
      </c>
      <c r="M7" s="43">
        <v>46304</v>
      </c>
      <c r="N7" s="48" t="s">
        <v>138</v>
      </c>
      <c r="O7" s="43">
        <v>46295</v>
      </c>
      <c r="P7" s="34">
        <v>16669</v>
      </c>
      <c r="Q7" s="34">
        <v>1369</v>
      </c>
      <c r="R7" s="24">
        <f>IF(OR(P7="",P7=0),"",N(Q7)/P7)</f>
        <v>0</v>
      </c>
      <c r="S7" s="23">
        <f>IF(E7="","",TODAY()-E7)</f>
        <v>0</v>
      </c>
      <c r="T7" s="23">
        <f>IF(OR(M7="",O7&lt;&gt;""),"",M7-TODAY())</f>
        <v>0</v>
      </c>
      <c r="U7" s="39" t="s">
        <v>1860</v>
      </c>
      <c r="V7" s="29">
        <f>IF(B7="","",IF(AND(O7="",M7&lt;&gt;"",M7&lt;TODAY()),"Expired - the moment has passed",IF(AND(O7="",J7&gt;=8),"Action - strong fit, make it now",IF(AND(O7="",S7&gt;TrendWindowDays),"Check - this has been sitting here a while","OK"))))</f>
        <v>0</v>
      </c>
      <c r="W7" s="39" t="s">
        <v>205</v>
      </c>
    </row>
    <row r="8" spans="1:23">
      <c r="A8" s="41">
        <f>IF(B8="","","TR-"&amp;TEXT(ROW()-4,"000"))</f>
        <v>0</v>
      </c>
      <c r="B8" s="15" t="s">
        <v>1861</v>
      </c>
      <c r="C8" s="15" t="s">
        <v>619</v>
      </c>
      <c r="D8" s="15" t="s">
        <v>376</v>
      </c>
      <c r="E8" s="43">
        <v>46304</v>
      </c>
      <c r="F8" s="42" t="s">
        <v>1862</v>
      </c>
      <c r="G8" s="15" t="s">
        <v>205</v>
      </c>
      <c r="H8" s="15" t="s">
        <v>1861</v>
      </c>
      <c r="I8" s="15" t="s">
        <v>834</v>
      </c>
      <c r="J8" s="40">
        <v>9</v>
      </c>
      <c r="K8" s="39" t="s">
        <v>1863</v>
      </c>
      <c r="L8" s="15" t="s">
        <v>797</v>
      </c>
      <c r="M8" s="43">
        <v>46318</v>
      </c>
      <c r="N8" s="48" t="s">
        <v>418</v>
      </c>
      <c r="P8" s="34">
        <v>0</v>
      </c>
      <c r="Q8" s="34">
        <v>0</v>
      </c>
      <c r="R8" s="24">
        <f>IF(OR(P8="",P8=0),"",N(Q8)/P8)</f>
        <v>0</v>
      </c>
      <c r="S8" s="23">
        <f>IF(E8="","",TODAY()-E8)</f>
        <v>0</v>
      </c>
      <c r="T8" s="23">
        <f>IF(OR(M8="",O8&lt;&gt;""),"",M8-TODAY())</f>
        <v>0</v>
      </c>
      <c r="U8" s="39" t="s">
        <v>205</v>
      </c>
      <c r="V8" s="29">
        <f>IF(B8="","",IF(AND(O8="",M8&lt;&gt;"",M8&lt;TODAY()),"Expired - the moment has passed",IF(AND(O8="",J8&gt;=8),"Action - strong fit, make it now",IF(AND(O8="",S8&gt;TrendWindowDays),"Check - this has been sitting here a while","OK"))))</f>
        <v>0</v>
      </c>
      <c r="W8" s="39" t="s">
        <v>205</v>
      </c>
    </row>
    <row r="9" spans="1:23">
      <c r="A9" s="41">
        <f>IF(B9="","","TR-"&amp;TEXT(ROW()-4,"000"))</f>
        <v>0</v>
      </c>
      <c r="B9" s="15" t="s">
        <v>1864</v>
      </c>
      <c r="C9" s="15" t="s">
        <v>267</v>
      </c>
      <c r="D9" s="15" t="s">
        <v>378</v>
      </c>
      <c r="E9" s="43">
        <v>46284</v>
      </c>
      <c r="F9" s="42" t="s">
        <v>1865</v>
      </c>
      <c r="G9" s="15" t="s">
        <v>205</v>
      </c>
      <c r="H9" s="15" t="s">
        <v>1864</v>
      </c>
      <c r="I9" s="15" t="s">
        <v>834</v>
      </c>
      <c r="J9" s="40">
        <v>6</v>
      </c>
      <c r="K9" s="39" t="s">
        <v>1866</v>
      </c>
      <c r="L9" s="15" t="s">
        <v>797</v>
      </c>
      <c r="M9" s="43">
        <v>46298</v>
      </c>
      <c r="N9" s="48" t="s">
        <v>138</v>
      </c>
      <c r="O9" s="43">
        <v>46289</v>
      </c>
      <c r="P9" s="34">
        <v>19629</v>
      </c>
      <c r="Q9" s="34">
        <v>1016</v>
      </c>
      <c r="R9" s="24">
        <f>IF(OR(P9="",P9=0),"",N(Q9)/P9)</f>
        <v>0</v>
      </c>
      <c r="S9" s="23">
        <f>IF(E9="","",TODAY()-E9)</f>
        <v>0</v>
      </c>
      <c r="T9" s="23">
        <f>IF(OR(M9="",O9&lt;&gt;""),"",M9-TODAY())</f>
        <v>0</v>
      </c>
      <c r="U9" s="39" t="s">
        <v>1860</v>
      </c>
      <c r="V9" s="29">
        <f>IF(B9="","",IF(AND(O9="",M9&lt;&gt;"",M9&lt;TODAY()),"Expired - the moment has passed",IF(AND(O9="",J9&gt;=8),"Action - strong fit, make it now",IF(AND(O9="",S9&gt;TrendWindowDays),"Check - this has been sitting here a while","OK"))))</f>
        <v>0</v>
      </c>
      <c r="W9" s="39" t="s">
        <v>205</v>
      </c>
    </row>
    <row r="10" spans="1:23">
      <c r="A10" s="41">
        <f>IF(B10="","","TR-"&amp;TEXT(ROW()-4,"000"))</f>
        <v>0</v>
      </c>
      <c r="R10" s="24">
        <f>IF(OR(P10="",P10=0),"",N(Q10)/P10)</f>
        <v>0</v>
      </c>
      <c r="S10" s="23">
        <f>IF(E10="","",TODAY()-E10)</f>
        <v>0</v>
      </c>
      <c r="T10" s="23">
        <f>IF(OR(M10="",O10&lt;&gt;""),"",M10-TODAY())</f>
        <v>0</v>
      </c>
      <c r="V10" s="29">
        <f>IF(B10="","",IF(AND(O10="",M10&lt;&gt;"",M10&lt;TODAY()),"Expired - the moment has passed",IF(AND(O10="",J10&gt;=8),"Action - strong fit, make it now",IF(AND(O10="",S10&gt;TrendWindowDays),"Check - this has been sitting here a while","OK"))))</f>
        <v>0</v>
      </c>
    </row>
    <row r="11" spans="1:23">
      <c r="A11" s="41">
        <f>IF(B11="","","TR-"&amp;TEXT(ROW()-4,"000"))</f>
        <v>0</v>
      </c>
      <c r="R11" s="24">
        <f>IF(OR(P11="",P11=0),"",N(Q11)/P11)</f>
        <v>0</v>
      </c>
      <c r="S11" s="23">
        <f>IF(E11="","",TODAY()-E11)</f>
        <v>0</v>
      </c>
      <c r="T11" s="23">
        <f>IF(OR(M11="",O11&lt;&gt;""),"",M11-TODAY())</f>
        <v>0</v>
      </c>
      <c r="V11" s="29">
        <f>IF(B11="","",IF(AND(O11="",M11&lt;&gt;"",M11&lt;TODAY()),"Expired - the moment has passed",IF(AND(O11="",J11&gt;=8),"Action - strong fit, make it now",IF(AND(O11="",S11&gt;TrendWindowDays),"Check - this has been sitting here a while","OK"))))</f>
        <v>0</v>
      </c>
    </row>
    <row r="12" spans="1:23">
      <c r="A12" s="41">
        <f>IF(B12="","","TR-"&amp;TEXT(ROW()-4,"000"))</f>
        <v>0</v>
      </c>
      <c r="R12" s="24">
        <f>IF(OR(P12="",P12=0),"",N(Q12)/P12)</f>
        <v>0</v>
      </c>
      <c r="S12" s="23">
        <f>IF(E12="","",TODAY()-E12)</f>
        <v>0</v>
      </c>
      <c r="T12" s="23">
        <f>IF(OR(M12="",O12&lt;&gt;""),"",M12-TODAY())</f>
        <v>0</v>
      </c>
      <c r="V12" s="29">
        <f>IF(B12="","",IF(AND(O12="",M12&lt;&gt;"",M12&lt;TODAY()),"Expired - the moment has passed",IF(AND(O12="",J12&gt;=8),"Action - strong fit, make it now",IF(AND(O12="",S12&gt;TrendWindowDays),"Check - this has been sitting here a while","OK"))))</f>
        <v>0</v>
      </c>
    </row>
    <row r="13" spans="1:23">
      <c r="A13" s="41">
        <f>IF(B13="","","TR-"&amp;TEXT(ROW()-4,"000"))</f>
        <v>0</v>
      </c>
      <c r="R13" s="24">
        <f>IF(OR(P13="",P13=0),"",N(Q13)/P13)</f>
        <v>0</v>
      </c>
      <c r="S13" s="23">
        <f>IF(E13="","",TODAY()-E13)</f>
        <v>0</v>
      </c>
      <c r="T13" s="23">
        <f>IF(OR(M13="",O13&lt;&gt;""),"",M13-TODAY())</f>
        <v>0</v>
      </c>
      <c r="V13" s="29">
        <f>IF(B13="","",IF(AND(O13="",M13&lt;&gt;"",M13&lt;TODAY()),"Expired - the moment has passed",IF(AND(O13="",J13&gt;=8),"Action - strong fit, make it now",IF(AND(O13="",S13&gt;TrendWindowDays),"Check - this has been sitting here a while","OK"))))</f>
        <v>0</v>
      </c>
    </row>
    <row r="14" spans="1:23">
      <c r="A14" s="41">
        <f>IF(B14="","","TR-"&amp;TEXT(ROW()-4,"000"))</f>
        <v>0</v>
      </c>
      <c r="R14" s="24">
        <f>IF(OR(P14="",P14=0),"",N(Q14)/P14)</f>
        <v>0</v>
      </c>
      <c r="S14" s="23">
        <f>IF(E14="","",TODAY()-E14)</f>
        <v>0</v>
      </c>
      <c r="T14" s="23">
        <f>IF(OR(M14="",O14&lt;&gt;""),"",M14-TODAY())</f>
        <v>0</v>
      </c>
      <c r="V14" s="29">
        <f>IF(B14="","",IF(AND(O14="",M14&lt;&gt;"",M14&lt;TODAY()),"Expired - the moment has passed",IF(AND(O14="",J14&gt;=8),"Action - strong fit, make it now",IF(AND(O14="",S14&gt;TrendWindowDays),"Check - this has been sitting here a while","OK"))))</f>
        <v>0</v>
      </c>
    </row>
    <row r="15" spans="1:23">
      <c r="A15" s="41">
        <f>IF(B15="","","TR-"&amp;TEXT(ROW()-4,"000"))</f>
        <v>0</v>
      </c>
      <c r="R15" s="24">
        <f>IF(OR(P15="",P15=0),"",N(Q15)/P15)</f>
        <v>0</v>
      </c>
      <c r="S15" s="23">
        <f>IF(E15="","",TODAY()-E15)</f>
        <v>0</v>
      </c>
      <c r="T15" s="23">
        <f>IF(OR(M15="",O15&lt;&gt;""),"",M15-TODAY())</f>
        <v>0</v>
      </c>
      <c r="V15" s="29">
        <f>IF(B15="","",IF(AND(O15="",M15&lt;&gt;"",M15&lt;TODAY()),"Expired - the moment has passed",IF(AND(O15="",J15&gt;=8),"Action - strong fit, make it now",IF(AND(O15="",S15&gt;TrendWindowDays),"Check - this has been sitting here a while","OK"))))</f>
        <v>0</v>
      </c>
    </row>
    <row r="16" spans="1:23">
      <c r="A16" s="41">
        <f>IF(B16="","","TR-"&amp;TEXT(ROW()-4,"000"))</f>
        <v>0</v>
      </c>
      <c r="R16" s="24">
        <f>IF(OR(P16="",P16=0),"",N(Q16)/P16)</f>
        <v>0</v>
      </c>
      <c r="S16" s="23">
        <f>IF(E16="","",TODAY()-E16)</f>
        <v>0</v>
      </c>
      <c r="T16" s="23">
        <f>IF(OR(M16="",O16&lt;&gt;""),"",M16-TODAY())</f>
        <v>0</v>
      </c>
      <c r="V16" s="29">
        <f>IF(B16="","",IF(AND(O16="",M16&lt;&gt;"",M16&lt;TODAY()),"Expired - the moment has passed",IF(AND(O16="",J16&gt;=8),"Action - strong fit, make it now",IF(AND(O16="",S16&gt;TrendWindowDays),"Check - this has been sitting here a while","OK"))))</f>
        <v>0</v>
      </c>
    </row>
    <row r="17" spans="1:22">
      <c r="A17" s="41">
        <f>IF(B17="","","TR-"&amp;TEXT(ROW()-4,"000"))</f>
        <v>0</v>
      </c>
      <c r="R17" s="24">
        <f>IF(OR(P17="",P17=0),"",N(Q17)/P17)</f>
        <v>0</v>
      </c>
      <c r="S17" s="23">
        <f>IF(E17="","",TODAY()-E17)</f>
        <v>0</v>
      </c>
      <c r="T17" s="23">
        <f>IF(OR(M17="",O17&lt;&gt;""),"",M17-TODAY())</f>
        <v>0</v>
      </c>
      <c r="V17" s="29">
        <f>IF(B17="","",IF(AND(O17="",M17&lt;&gt;"",M17&lt;TODAY()),"Expired - the moment has passed",IF(AND(O17="",J17&gt;=8),"Action - strong fit, make it now",IF(AND(O17="",S17&gt;TrendWindowDays),"Check - this has been sitting here a while","OK"))))</f>
        <v>0</v>
      </c>
    </row>
    <row r="18" spans="1:22">
      <c r="A18" s="41">
        <f>IF(B18="","","TR-"&amp;TEXT(ROW()-4,"000"))</f>
        <v>0</v>
      </c>
      <c r="R18" s="24">
        <f>IF(OR(P18="",P18=0),"",N(Q18)/P18)</f>
        <v>0</v>
      </c>
      <c r="S18" s="23">
        <f>IF(E18="","",TODAY()-E18)</f>
        <v>0</v>
      </c>
      <c r="T18" s="23">
        <f>IF(OR(M18="",O18&lt;&gt;""),"",M18-TODAY())</f>
        <v>0</v>
      </c>
      <c r="V18" s="29">
        <f>IF(B18="","",IF(AND(O18="",M18&lt;&gt;"",M18&lt;TODAY()),"Expired - the moment has passed",IF(AND(O18="",J18&gt;=8),"Action - strong fit, make it now",IF(AND(O18="",S18&gt;TrendWindowDays),"Check - this has been sitting here a while","OK"))))</f>
        <v>0</v>
      </c>
    </row>
    <row r="19" spans="1:22">
      <c r="A19" s="41">
        <f>IF(B19="","","TR-"&amp;TEXT(ROW()-4,"000"))</f>
        <v>0</v>
      </c>
      <c r="R19" s="24">
        <f>IF(OR(P19="",P19=0),"",N(Q19)/P19)</f>
        <v>0</v>
      </c>
      <c r="S19" s="23">
        <f>IF(E19="","",TODAY()-E19)</f>
        <v>0</v>
      </c>
      <c r="T19" s="23">
        <f>IF(OR(M19="",O19&lt;&gt;""),"",M19-TODAY())</f>
        <v>0</v>
      </c>
      <c r="V19" s="29">
        <f>IF(B19="","",IF(AND(O19="",M19&lt;&gt;"",M19&lt;TODAY()),"Expired - the moment has passed",IF(AND(O19="",J19&gt;=8),"Action - strong fit, make it now",IF(AND(O19="",S19&gt;TrendWindowDays),"Check - this has been sitting here a while","OK"))))</f>
        <v>0</v>
      </c>
    </row>
    <row r="20" spans="1:22">
      <c r="A20" s="41">
        <f>IF(B20="","","TR-"&amp;TEXT(ROW()-4,"000"))</f>
        <v>0</v>
      </c>
      <c r="R20" s="24">
        <f>IF(OR(P20="",P20=0),"",N(Q20)/P20)</f>
        <v>0</v>
      </c>
      <c r="S20" s="23">
        <f>IF(E20="","",TODAY()-E20)</f>
        <v>0</v>
      </c>
      <c r="T20" s="23">
        <f>IF(OR(M20="",O20&lt;&gt;""),"",M20-TODAY())</f>
        <v>0</v>
      </c>
      <c r="V20" s="29">
        <f>IF(B20="","",IF(AND(O20="",M20&lt;&gt;"",M20&lt;TODAY()),"Expired - the moment has passed",IF(AND(O20="",J20&gt;=8),"Action - strong fit, make it now",IF(AND(O20="",S20&gt;TrendWindowDays),"Check - this has been sitting here a while","OK"))))</f>
        <v>0</v>
      </c>
    </row>
    <row r="21" spans="1:22">
      <c r="A21" s="41">
        <f>IF(B21="","","TR-"&amp;TEXT(ROW()-4,"000"))</f>
        <v>0</v>
      </c>
      <c r="R21" s="24">
        <f>IF(OR(P21="",P21=0),"",N(Q21)/P21)</f>
        <v>0</v>
      </c>
      <c r="S21" s="23">
        <f>IF(E21="","",TODAY()-E21)</f>
        <v>0</v>
      </c>
      <c r="T21" s="23">
        <f>IF(OR(M21="",O21&lt;&gt;""),"",M21-TODAY())</f>
        <v>0</v>
      </c>
      <c r="V21" s="29">
        <f>IF(B21="","",IF(AND(O21="",M21&lt;&gt;"",M21&lt;TODAY()),"Expired - the moment has passed",IF(AND(O21="",J21&gt;=8),"Action - strong fit, make it now",IF(AND(O21="",S21&gt;TrendWindowDays),"Check - this has been sitting here a while","OK"))))</f>
        <v>0</v>
      </c>
    </row>
    <row r="22" spans="1:22">
      <c r="A22" s="41">
        <f>IF(B22="","","TR-"&amp;TEXT(ROW()-4,"000"))</f>
        <v>0</v>
      </c>
      <c r="R22" s="24">
        <f>IF(OR(P22="",P22=0),"",N(Q22)/P22)</f>
        <v>0</v>
      </c>
      <c r="S22" s="23">
        <f>IF(E22="","",TODAY()-E22)</f>
        <v>0</v>
      </c>
      <c r="T22" s="23">
        <f>IF(OR(M22="",O22&lt;&gt;""),"",M22-TODAY())</f>
        <v>0</v>
      </c>
      <c r="V22" s="29">
        <f>IF(B22="","",IF(AND(O22="",M22&lt;&gt;"",M22&lt;TODAY()),"Expired - the moment has passed",IF(AND(O22="",J22&gt;=8),"Action - strong fit, make it now",IF(AND(O22="",S22&gt;TrendWindowDays),"Check - this has been sitting here a while","OK"))))</f>
        <v>0</v>
      </c>
    </row>
    <row r="23" spans="1:22">
      <c r="A23" s="41">
        <f>IF(B23="","","TR-"&amp;TEXT(ROW()-4,"000"))</f>
        <v>0</v>
      </c>
      <c r="R23" s="24">
        <f>IF(OR(P23="",P23=0),"",N(Q23)/P23)</f>
        <v>0</v>
      </c>
      <c r="S23" s="23">
        <f>IF(E23="","",TODAY()-E23)</f>
        <v>0</v>
      </c>
      <c r="T23" s="23">
        <f>IF(OR(M23="",O23&lt;&gt;""),"",M23-TODAY())</f>
        <v>0</v>
      </c>
      <c r="V23" s="29">
        <f>IF(B23="","",IF(AND(O23="",M23&lt;&gt;"",M23&lt;TODAY()),"Expired - the moment has passed",IF(AND(O23="",J23&gt;=8),"Action - strong fit, make it now",IF(AND(O23="",S23&gt;TrendWindowDays),"Check - this has been sitting here a while","OK"))))</f>
        <v>0</v>
      </c>
    </row>
    <row r="24" spans="1:22">
      <c r="A24" s="41">
        <f>IF(B24="","","TR-"&amp;TEXT(ROW()-4,"000"))</f>
        <v>0</v>
      </c>
      <c r="R24" s="24">
        <f>IF(OR(P24="",P24=0),"",N(Q24)/P24)</f>
        <v>0</v>
      </c>
      <c r="S24" s="23">
        <f>IF(E24="","",TODAY()-E24)</f>
        <v>0</v>
      </c>
      <c r="T24" s="23">
        <f>IF(OR(M24="",O24&lt;&gt;""),"",M24-TODAY())</f>
        <v>0</v>
      </c>
      <c r="V24" s="29">
        <f>IF(B24="","",IF(AND(O24="",M24&lt;&gt;"",M24&lt;TODAY()),"Expired - the moment has passed",IF(AND(O24="",J24&gt;=8),"Action - strong fit, make it now",IF(AND(O24="",S24&gt;TrendWindowDays),"Check - this has been sitting here a while","OK"))))</f>
        <v>0</v>
      </c>
    </row>
    <row r="25" spans="1:22">
      <c r="A25" s="41">
        <f>IF(B25="","","TR-"&amp;TEXT(ROW()-4,"000"))</f>
        <v>0</v>
      </c>
      <c r="R25" s="24">
        <f>IF(OR(P25="",P25=0),"",N(Q25)/P25)</f>
        <v>0</v>
      </c>
      <c r="S25" s="23">
        <f>IF(E25="","",TODAY()-E25)</f>
        <v>0</v>
      </c>
      <c r="T25" s="23">
        <f>IF(OR(M25="",O25&lt;&gt;""),"",M25-TODAY())</f>
        <v>0</v>
      </c>
      <c r="V25" s="29">
        <f>IF(B25="","",IF(AND(O25="",M25&lt;&gt;"",M25&lt;TODAY()),"Expired - the moment has passed",IF(AND(O25="",J25&gt;=8),"Action - strong fit, make it now",IF(AND(O25="",S25&gt;TrendWindowDays),"Check - this has been sitting here a while","OK"))))</f>
        <v>0</v>
      </c>
    </row>
    <row r="26" spans="1:22">
      <c r="A26" s="41">
        <f>IF(B26="","","TR-"&amp;TEXT(ROW()-4,"000"))</f>
        <v>0</v>
      </c>
      <c r="R26" s="24">
        <f>IF(OR(P26="",P26=0),"",N(Q26)/P26)</f>
        <v>0</v>
      </c>
      <c r="S26" s="23">
        <f>IF(E26="","",TODAY()-E26)</f>
        <v>0</v>
      </c>
      <c r="T26" s="23">
        <f>IF(OR(M26="",O26&lt;&gt;""),"",M26-TODAY())</f>
        <v>0</v>
      </c>
      <c r="V26" s="29">
        <f>IF(B26="","",IF(AND(O26="",M26&lt;&gt;"",M26&lt;TODAY()),"Expired - the moment has passed",IF(AND(O26="",J26&gt;=8),"Action - strong fit, make it now",IF(AND(O26="",S26&gt;TrendWindowDays),"Check - this has been sitting here a while","OK"))))</f>
        <v>0</v>
      </c>
    </row>
    <row r="27" spans="1:22">
      <c r="A27" s="41">
        <f>IF(B27="","","TR-"&amp;TEXT(ROW()-4,"000"))</f>
        <v>0</v>
      </c>
      <c r="R27" s="24">
        <f>IF(OR(P27="",P27=0),"",N(Q27)/P27)</f>
        <v>0</v>
      </c>
      <c r="S27" s="23">
        <f>IF(E27="","",TODAY()-E27)</f>
        <v>0</v>
      </c>
      <c r="T27" s="23">
        <f>IF(OR(M27="",O27&lt;&gt;""),"",M27-TODAY())</f>
        <v>0</v>
      </c>
      <c r="V27" s="29">
        <f>IF(B27="","",IF(AND(O27="",M27&lt;&gt;"",M27&lt;TODAY()),"Expired - the moment has passed",IF(AND(O27="",J27&gt;=8),"Action - strong fit, make it now",IF(AND(O27="",S27&gt;TrendWindowDays),"Check - this has been sitting here a while","OK"))))</f>
        <v>0</v>
      </c>
    </row>
    <row r="28" spans="1:22">
      <c r="A28" s="41">
        <f>IF(B28="","","TR-"&amp;TEXT(ROW()-4,"000"))</f>
        <v>0</v>
      </c>
      <c r="R28" s="24">
        <f>IF(OR(P28="",P28=0),"",N(Q28)/P28)</f>
        <v>0</v>
      </c>
      <c r="S28" s="23">
        <f>IF(E28="","",TODAY()-E28)</f>
        <v>0</v>
      </c>
      <c r="T28" s="23">
        <f>IF(OR(M28="",O28&lt;&gt;""),"",M28-TODAY())</f>
        <v>0</v>
      </c>
      <c r="V28" s="29">
        <f>IF(B28="","",IF(AND(O28="",M28&lt;&gt;"",M28&lt;TODAY()),"Expired - the moment has passed",IF(AND(O28="",J28&gt;=8),"Action - strong fit, make it now",IF(AND(O28="",S28&gt;TrendWindowDays),"Check - this has been sitting here a while","OK"))))</f>
        <v>0</v>
      </c>
    </row>
    <row r="29" spans="1:22">
      <c r="A29" s="41">
        <f>IF(B29="","","TR-"&amp;TEXT(ROW()-4,"000"))</f>
        <v>0</v>
      </c>
      <c r="R29" s="24">
        <f>IF(OR(P29="",P29=0),"",N(Q29)/P29)</f>
        <v>0</v>
      </c>
      <c r="S29" s="23">
        <f>IF(E29="","",TODAY()-E29)</f>
        <v>0</v>
      </c>
      <c r="T29" s="23">
        <f>IF(OR(M29="",O29&lt;&gt;""),"",M29-TODAY())</f>
        <v>0</v>
      </c>
      <c r="V29" s="29">
        <f>IF(B29="","",IF(AND(O29="",M29&lt;&gt;"",M29&lt;TODAY()),"Expired - the moment has passed",IF(AND(O29="",J29&gt;=8),"Action - strong fit, make it now",IF(AND(O29="",S29&gt;TrendWindowDays),"Check - this has been sitting here a while","OK"))))</f>
        <v>0</v>
      </c>
    </row>
    <row r="30" spans="1:22">
      <c r="A30" s="41">
        <f>IF(B30="","","TR-"&amp;TEXT(ROW()-4,"000"))</f>
        <v>0</v>
      </c>
      <c r="R30" s="24">
        <f>IF(OR(P30="",P30=0),"",N(Q30)/P30)</f>
        <v>0</v>
      </c>
      <c r="S30" s="23">
        <f>IF(E30="","",TODAY()-E30)</f>
        <v>0</v>
      </c>
      <c r="T30" s="23">
        <f>IF(OR(M30="",O30&lt;&gt;""),"",M30-TODAY())</f>
        <v>0</v>
      </c>
      <c r="V30" s="29">
        <f>IF(B30="","",IF(AND(O30="",M30&lt;&gt;"",M30&lt;TODAY()),"Expired - the moment has passed",IF(AND(O30="",J30&gt;=8),"Action - strong fit, make it now",IF(AND(O30="",S30&gt;TrendWindowDays),"Check - this has been sitting here a while","OK"))))</f>
        <v>0</v>
      </c>
    </row>
    <row r="31" spans="1:22">
      <c r="A31" s="41">
        <f>IF(B31="","","TR-"&amp;TEXT(ROW()-4,"000"))</f>
        <v>0</v>
      </c>
      <c r="R31" s="24">
        <f>IF(OR(P31="",P31=0),"",N(Q31)/P31)</f>
        <v>0</v>
      </c>
      <c r="S31" s="23">
        <f>IF(E31="","",TODAY()-E31)</f>
        <v>0</v>
      </c>
      <c r="T31" s="23">
        <f>IF(OR(M31="",O31&lt;&gt;""),"",M31-TODAY())</f>
        <v>0</v>
      </c>
      <c r="V31" s="29">
        <f>IF(B31="","",IF(AND(O31="",M31&lt;&gt;"",M31&lt;TODAY()),"Expired - the moment has passed",IF(AND(O31="",J31&gt;=8),"Action - strong fit, make it now",IF(AND(O31="",S31&gt;TrendWindowDays),"Check - this has been sitting here a while","OK"))))</f>
        <v>0</v>
      </c>
    </row>
    <row r="32" spans="1:22">
      <c r="A32" s="41">
        <f>IF(B32="","","TR-"&amp;TEXT(ROW()-4,"000"))</f>
        <v>0</v>
      </c>
      <c r="R32" s="24">
        <f>IF(OR(P32="",P32=0),"",N(Q32)/P32)</f>
        <v>0</v>
      </c>
      <c r="S32" s="23">
        <f>IF(E32="","",TODAY()-E32)</f>
        <v>0</v>
      </c>
      <c r="T32" s="23">
        <f>IF(OR(M32="",O32&lt;&gt;""),"",M32-TODAY())</f>
        <v>0</v>
      </c>
      <c r="V32" s="29">
        <f>IF(B32="","",IF(AND(O32="",M32&lt;&gt;"",M32&lt;TODAY()),"Expired - the moment has passed",IF(AND(O32="",J32&gt;=8),"Action - strong fit, make it now",IF(AND(O32="",S32&gt;TrendWindowDays),"Check - this has been sitting here a while","OK"))))</f>
        <v>0</v>
      </c>
    </row>
    <row r="33" spans="1:22">
      <c r="A33" s="41">
        <f>IF(B33="","","TR-"&amp;TEXT(ROW()-4,"000"))</f>
        <v>0</v>
      </c>
      <c r="R33" s="24">
        <f>IF(OR(P33="",P33=0),"",N(Q33)/P33)</f>
        <v>0</v>
      </c>
      <c r="S33" s="23">
        <f>IF(E33="","",TODAY()-E33)</f>
        <v>0</v>
      </c>
      <c r="T33" s="23">
        <f>IF(OR(M33="",O33&lt;&gt;""),"",M33-TODAY())</f>
        <v>0</v>
      </c>
      <c r="V33" s="29">
        <f>IF(B33="","",IF(AND(O33="",M33&lt;&gt;"",M33&lt;TODAY()),"Expired - the moment has passed",IF(AND(O33="",J33&gt;=8),"Action - strong fit, make it now",IF(AND(O33="",S33&gt;TrendWindowDays),"Check - this has been sitting here a while","OK"))))</f>
        <v>0</v>
      </c>
    </row>
    <row r="34" spans="1:22">
      <c r="A34" s="41">
        <f>IF(B34="","","TR-"&amp;TEXT(ROW()-4,"000"))</f>
        <v>0</v>
      </c>
      <c r="R34" s="24">
        <f>IF(OR(P34="",P34=0),"",N(Q34)/P34)</f>
        <v>0</v>
      </c>
      <c r="S34" s="23">
        <f>IF(E34="","",TODAY()-E34)</f>
        <v>0</v>
      </c>
      <c r="T34" s="23">
        <f>IF(OR(M34="",O34&lt;&gt;""),"",M34-TODAY())</f>
        <v>0</v>
      </c>
      <c r="V34" s="29">
        <f>IF(B34="","",IF(AND(O34="",M34&lt;&gt;"",M34&lt;TODAY()),"Expired - the moment has passed",IF(AND(O34="",J34&gt;=8),"Action - strong fit, make it now",IF(AND(O34="",S34&gt;TrendWindowDays),"Check - this has been sitting here a while","OK"))))</f>
        <v>0</v>
      </c>
    </row>
    <row r="35" spans="1:22">
      <c r="A35" s="41">
        <f>IF(B35="","","TR-"&amp;TEXT(ROW()-4,"000"))</f>
        <v>0</v>
      </c>
      <c r="R35" s="24">
        <f>IF(OR(P35="",P35=0),"",N(Q35)/P35)</f>
        <v>0</v>
      </c>
      <c r="S35" s="23">
        <f>IF(E35="","",TODAY()-E35)</f>
        <v>0</v>
      </c>
      <c r="T35" s="23">
        <f>IF(OR(M35="",O35&lt;&gt;""),"",M35-TODAY())</f>
        <v>0</v>
      </c>
      <c r="V35" s="29">
        <f>IF(B35="","",IF(AND(O35="",M35&lt;&gt;"",M35&lt;TODAY()),"Expired - the moment has passed",IF(AND(O35="",J35&gt;=8),"Action - strong fit, make it now",IF(AND(O35="",S35&gt;TrendWindowDays),"Check - this has been sitting here a while","OK"))))</f>
        <v>0</v>
      </c>
    </row>
    <row r="36" spans="1:22">
      <c r="A36" s="41">
        <f>IF(B36="","","TR-"&amp;TEXT(ROW()-4,"000"))</f>
        <v>0</v>
      </c>
      <c r="R36" s="24">
        <f>IF(OR(P36="",P36=0),"",N(Q36)/P36)</f>
        <v>0</v>
      </c>
      <c r="S36" s="23">
        <f>IF(E36="","",TODAY()-E36)</f>
        <v>0</v>
      </c>
      <c r="T36" s="23">
        <f>IF(OR(M36="",O36&lt;&gt;""),"",M36-TODAY())</f>
        <v>0</v>
      </c>
      <c r="V36" s="29">
        <f>IF(B36="","",IF(AND(O36="",M36&lt;&gt;"",M36&lt;TODAY()),"Expired - the moment has passed",IF(AND(O36="",J36&gt;=8),"Action - strong fit, make it now",IF(AND(O36="",S36&gt;TrendWindowDays),"Check - this has been sitting here a while","OK"))))</f>
        <v>0</v>
      </c>
    </row>
    <row r="37" spans="1:22">
      <c r="A37" s="41">
        <f>IF(B37="","","TR-"&amp;TEXT(ROW()-4,"000"))</f>
        <v>0</v>
      </c>
      <c r="R37" s="24">
        <f>IF(OR(P37="",P37=0),"",N(Q37)/P37)</f>
        <v>0</v>
      </c>
      <c r="S37" s="23">
        <f>IF(E37="","",TODAY()-E37)</f>
        <v>0</v>
      </c>
      <c r="T37" s="23">
        <f>IF(OR(M37="",O37&lt;&gt;""),"",M37-TODAY())</f>
        <v>0</v>
      </c>
      <c r="V37" s="29">
        <f>IF(B37="","",IF(AND(O37="",M37&lt;&gt;"",M37&lt;TODAY()),"Expired - the moment has passed",IF(AND(O37="",J37&gt;=8),"Action - strong fit, make it now",IF(AND(O37="",S37&gt;TrendWindowDays),"Check - this has been sitting here a while","OK"))))</f>
        <v>0</v>
      </c>
    </row>
    <row r="38" spans="1:22">
      <c r="A38" s="41">
        <f>IF(B38="","","TR-"&amp;TEXT(ROW()-4,"000"))</f>
        <v>0</v>
      </c>
      <c r="R38" s="24">
        <f>IF(OR(P38="",P38=0),"",N(Q38)/P38)</f>
        <v>0</v>
      </c>
      <c r="S38" s="23">
        <f>IF(E38="","",TODAY()-E38)</f>
        <v>0</v>
      </c>
      <c r="T38" s="23">
        <f>IF(OR(M38="",O38&lt;&gt;""),"",M38-TODAY())</f>
        <v>0</v>
      </c>
      <c r="V38" s="29">
        <f>IF(B38="","",IF(AND(O38="",M38&lt;&gt;"",M38&lt;TODAY()),"Expired - the moment has passed",IF(AND(O38="",J38&gt;=8),"Action - strong fit, make it now",IF(AND(O38="",S38&gt;TrendWindowDays),"Check - this has been sitting here a while","OK"))))</f>
        <v>0</v>
      </c>
    </row>
    <row r="39" spans="1:22">
      <c r="A39" s="41">
        <f>IF(B39="","","TR-"&amp;TEXT(ROW()-4,"000"))</f>
        <v>0</v>
      </c>
      <c r="R39" s="24">
        <f>IF(OR(P39="",P39=0),"",N(Q39)/P39)</f>
        <v>0</v>
      </c>
      <c r="S39" s="23">
        <f>IF(E39="","",TODAY()-E39)</f>
        <v>0</v>
      </c>
      <c r="T39" s="23">
        <f>IF(OR(M39="",O39&lt;&gt;""),"",M39-TODAY())</f>
        <v>0</v>
      </c>
      <c r="V39" s="29">
        <f>IF(B39="","",IF(AND(O39="",M39&lt;&gt;"",M39&lt;TODAY()),"Expired - the moment has passed",IF(AND(O39="",J39&gt;=8),"Action - strong fit, make it now",IF(AND(O39="",S39&gt;TrendWindowDays),"Check - this has been sitting here a while","OK"))))</f>
        <v>0</v>
      </c>
    </row>
    <row r="40" spans="1:22">
      <c r="A40" s="41">
        <f>IF(B40="","","TR-"&amp;TEXT(ROW()-4,"000"))</f>
        <v>0</v>
      </c>
      <c r="R40" s="24">
        <f>IF(OR(P40="",P40=0),"",N(Q40)/P40)</f>
        <v>0</v>
      </c>
      <c r="S40" s="23">
        <f>IF(E40="","",TODAY()-E40)</f>
        <v>0</v>
      </c>
      <c r="T40" s="23">
        <f>IF(OR(M40="",O40&lt;&gt;""),"",M40-TODAY())</f>
        <v>0</v>
      </c>
      <c r="V40" s="29">
        <f>IF(B40="","",IF(AND(O40="",M40&lt;&gt;"",M40&lt;TODAY()),"Expired - the moment has passed",IF(AND(O40="",J40&gt;=8),"Action - strong fit, make it now",IF(AND(O40="",S40&gt;TrendWindowDays),"Check - this has been sitting here a while","OK"))))</f>
        <v>0</v>
      </c>
    </row>
    <row r="41" spans="1:22">
      <c r="A41" s="41">
        <f>IF(B41="","","TR-"&amp;TEXT(ROW()-4,"000"))</f>
        <v>0</v>
      </c>
      <c r="R41" s="24">
        <f>IF(OR(P41="",P41=0),"",N(Q41)/P41)</f>
        <v>0</v>
      </c>
      <c r="S41" s="23">
        <f>IF(E41="","",TODAY()-E41)</f>
        <v>0</v>
      </c>
      <c r="T41" s="23">
        <f>IF(OR(M41="",O41&lt;&gt;""),"",M41-TODAY())</f>
        <v>0</v>
      </c>
      <c r="V41" s="29">
        <f>IF(B41="","",IF(AND(O41="",M41&lt;&gt;"",M41&lt;TODAY()),"Expired - the moment has passed",IF(AND(O41="",J41&gt;=8),"Action - strong fit, make it now",IF(AND(O41="",S41&gt;TrendWindowDays),"Check - this has been sitting here a while","OK"))))</f>
        <v>0</v>
      </c>
    </row>
    <row r="42" spans="1:22">
      <c r="A42" s="41">
        <f>IF(B42="","","TR-"&amp;TEXT(ROW()-4,"000"))</f>
        <v>0</v>
      </c>
      <c r="R42" s="24">
        <f>IF(OR(P42="",P42=0),"",N(Q42)/P42)</f>
        <v>0</v>
      </c>
      <c r="S42" s="23">
        <f>IF(E42="","",TODAY()-E42)</f>
        <v>0</v>
      </c>
      <c r="T42" s="23">
        <f>IF(OR(M42="",O42&lt;&gt;""),"",M42-TODAY())</f>
        <v>0</v>
      </c>
      <c r="V42" s="29">
        <f>IF(B42="","",IF(AND(O42="",M42&lt;&gt;"",M42&lt;TODAY()),"Expired - the moment has passed",IF(AND(O42="",J42&gt;=8),"Action - strong fit, make it now",IF(AND(O42="",S42&gt;TrendWindowDays),"Check - this has been sitting here a while","OK"))))</f>
        <v>0</v>
      </c>
    </row>
    <row r="43" spans="1:22">
      <c r="A43" s="41">
        <f>IF(B43="","","TR-"&amp;TEXT(ROW()-4,"000"))</f>
        <v>0</v>
      </c>
      <c r="R43" s="24">
        <f>IF(OR(P43="",P43=0),"",N(Q43)/P43)</f>
        <v>0</v>
      </c>
      <c r="S43" s="23">
        <f>IF(E43="","",TODAY()-E43)</f>
        <v>0</v>
      </c>
      <c r="T43" s="23">
        <f>IF(OR(M43="",O43&lt;&gt;""),"",M43-TODAY())</f>
        <v>0</v>
      </c>
      <c r="V43" s="29">
        <f>IF(B43="","",IF(AND(O43="",M43&lt;&gt;"",M43&lt;TODAY()),"Expired - the moment has passed",IF(AND(O43="",J43&gt;=8),"Action - strong fit, make it now",IF(AND(O43="",S43&gt;TrendWindowDays),"Check - this has been sitting here a while","OK"))))</f>
        <v>0</v>
      </c>
    </row>
    <row r="44" spans="1:22">
      <c r="A44" s="41">
        <f>IF(B44="","","TR-"&amp;TEXT(ROW()-4,"000"))</f>
        <v>0</v>
      </c>
      <c r="R44" s="24">
        <f>IF(OR(P44="",P44=0),"",N(Q44)/P44)</f>
        <v>0</v>
      </c>
      <c r="S44" s="23">
        <f>IF(E44="","",TODAY()-E44)</f>
        <v>0</v>
      </c>
      <c r="T44" s="23">
        <f>IF(OR(M44="",O44&lt;&gt;""),"",M44-TODAY())</f>
        <v>0</v>
      </c>
      <c r="V44" s="29">
        <f>IF(B44="","",IF(AND(O44="",M44&lt;&gt;"",M44&lt;TODAY()),"Expired - the moment has passed",IF(AND(O44="",J44&gt;=8),"Action - strong fit, make it now",IF(AND(O44="",S44&gt;TrendWindowDays),"Check - this has been sitting here a while","OK"))))</f>
        <v>0</v>
      </c>
    </row>
    <row r="45" spans="1:22">
      <c r="A45" s="41">
        <f>IF(B45="","","TR-"&amp;TEXT(ROW()-4,"000"))</f>
        <v>0</v>
      </c>
      <c r="R45" s="24">
        <f>IF(OR(P45="",P45=0),"",N(Q45)/P45)</f>
        <v>0</v>
      </c>
      <c r="S45" s="23">
        <f>IF(E45="","",TODAY()-E45)</f>
        <v>0</v>
      </c>
      <c r="T45" s="23">
        <f>IF(OR(M45="",O45&lt;&gt;""),"",M45-TODAY())</f>
        <v>0</v>
      </c>
      <c r="V45" s="29">
        <f>IF(B45="","",IF(AND(O45="",M45&lt;&gt;"",M45&lt;TODAY()),"Expired - the moment has passed",IF(AND(O45="",J45&gt;=8),"Action - strong fit, make it now",IF(AND(O45="",S45&gt;TrendWindowDays),"Check - this has been sitting here a while","OK"))))</f>
        <v>0</v>
      </c>
    </row>
    <row r="46" spans="1:22">
      <c r="A46" s="41">
        <f>IF(B46="","","TR-"&amp;TEXT(ROW()-4,"000"))</f>
        <v>0</v>
      </c>
      <c r="R46" s="24">
        <f>IF(OR(P46="",P46=0),"",N(Q46)/P46)</f>
        <v>0</v>
      </c>
      <c r="S46" s="23">
        <f>IF(E46="","",TODAY()-E46)</f>
        <v>0</v>
      </c>
      <c r="T46" s="23">
        <f>IF(OR(M46="",O46&lt;&gt;""),"",M46-TODAY())</f>
        <v>0</v>
      </c>
      <c r="V46" s="29">
        <f>IF(B46="","",IF(AND(O46="",M46&lt;&gt;"",M46&lt;TODAY()),"Expired - the moment has passed",IF(AND(O46="",J46&gt;=8),"Action - strong fit, make it now",IF(AND(O46="",S46&gt;TrendWindowDays),"Check - this has been sitting here a while","OK"))))</f>
        <v>0</v>
      </c>
    </row>
    <row r="47" spans="1:22">
      <c r="A47" s="41">
        <f>IF(B47="","","TR-"&amp;TEXT(ROW()-4,"000"))</f>
        <v>0</v>
      </c>
      <c r="R47" s="24">
        <f>IF(OR(P47="",P47=0),"",N(Q47)/P47)</f>
        <v>0</v>
      </c>
      <c r="S47" s="23">
        <f>IF(E47="","",TODAY()-E47)</f>
        <v>0</v>
      </c>
      <c r="T47" s="23">
        <f>IF(OR(M47="",O47&lt;&gt;""),"",M47-TODAY())</f>
        <v>0</v>
      </c>
      <c r="V47" s="29">
        <f>IF(B47="","",IF(AND(O47="",M47&lt;&gt;"",M47&lt;TODAY()),"Expired - the moment has passed",IF(AND(O47="",J47&gt;=8),"Action - strong fit, make it now",IF(AND(O47="",S47&gt;TrendWindowDays),"Check - this has been sitting here a while","OK"))))</f>
        <v>0</v>
      </c>
    </row>
    <row r="48" spans="1:22">
      <c r="A48" s="41">
        <f>IF(B48="","","TR-"&amp;TEXT(ROW()-4,"000"))</f>
        <v>0</v>
      </c>
      <c r="R48" s="24">
        <f>IF(OR(P48="",P48=0),"",N(Q48)/P48)</f>
        <v>0</v>
      </c>
      <c r="S48" s="23">
        <f>IF(E48="","",TODAY()-E48)</f>
        <v>0</v>
      </c>
      <c r="T48" s="23">
        <f>IF(OR(M48="",O48&lt;&gt;""),"",M48-TODAY())</f>
        <v>0</v>
      </c>
      <c r="V48" s="29">
        <f>IF(B48="","",IF(AND(O48="",M48&lt;&gt;"",M48&lt;TODAY()),"Expired - the moment has passed",IF(AND(O48="",J48&gt;=8),"Action - strong fit, make it now",IF(AND(O48="",S48&gt;TrendWindowDays),"Check - this has been sitting here a while","OK"))))</f>
        <v>0</v>
      </c>
    </row>
    <row r="49" spans="1:22">
      <c r="A49" s="41">
        <f>IF(B49="","","TR-"&amp;TEXT(ROW()-4,"000"))</f>
        <v>0</v>
      </c>
      <c r="R49" s="24">
        <f>IF(OR(P49="",P49=0),"",N(Q49)/P49)</f>
        <v>0</v>
      </c>
      <c r="S49" s="23">
        <f>IF(E49="","",TODAY()-E49)</f>
        <v>0</v>
      </c>
      <c r="T49" s="23">
        <f>IF(OR(M49="",O49&lt;&gt;""),"",M49-TODAY())</f>
        <v>0</v>
      </c>
      <c r="V49" s="29">
        <f>IF(B49="","",IF(AND(O49="",M49&lt;&gt;"",M49&lt;TODAY()),"Expired - the moment has passed",IF(AND(O49="",J49&gt;=8),"Action - strong fit, make it now",IF(AND(O49="",S49&gt;TrendWindowDays),"Check - this has been sitting here a while","OK"))))</f>
        <v>0</v>
      </c>
    </row>
    <row r="50" spans="1:22">
      <c r="A50" s="41">
        <f>IF(B50="","","TR-"&amp;TEXT(ROW()-4,"000"))</f>
        <v>0</v>
      </c>
      <c r="R50" s="24">
        <f>IF(OR(P50="",P50=0),"",N(Q50)/P50)</f>
        <v>0</v>
      </c>
      <c r="S50" s="23">
        <f>IF(E50="","",TODAY()-E50)</f>
        <v>0</v>
      </c>
      <c r="T50" s="23">
        <f>IF(OR(M50="",O50&lt;&gt;""),"",M50-TODAY())</f>
        <v>0</v>
      </c>
      <c r="V50" s="29">
        <f>IF(B50="","",IF(AND(O50="",M50&lt;&gt;"",M50&lt;TODAY()),"Expired - the moment has passed",IF(AND(O50="",J50&gt;=8),"Action - strong fit, make it now",IF(AND(O50="",S50&gt;TrendWindowDays),"Check - this has been sitting here a while","OK"))))</f>
        <v>0</v>
      </c>
    </row>
    <row r="51" spans="1:22">
      <c r="A51" s="41">
        <f>IF(B51="","","TR-"&amp;TEXT(ROW()-4,"000"))</f>
        <v>0</v>
      </c>
      <c r="R51" s="24">
        <f>IF(OR(P51="",P51=0),"",N(Q51)/P51)</f>
        <v>0</v>
      </c>
      <c r="S51" s="23">
        <f>IF(E51="","",TODAY()-E51)</f>
        <v>0</v>
      </c>
      <c r="T51" s="23">
        <f>IF(OR(M51="",O51&lt;&gt;""),"",M51-TODAY())</f>
        <v>0</v>
      </c>
      <c r="V51" s="29">
        <f>IF(B51="","",IF(AND(O51="",M51&lt;&gt;"",M51&lt;TODAY()),"Expired - the moment has passed",IF(AND(O51="",J51&gt;=8),"Action - strong fit, make it now",IF(AND(O51="",S51&gt;TrendWindowDays),"Check - this has been sitting here a while","OK"))))</f>
        <v>0</v>
      </c>
    </row>
    <row r="52" spans="1:22">
      <c r="A52" s="41">
        <f>IF(B52="","","TR-"&amp;TEXT(ROW()-4,"000"))</f>
        <v>0</v>
      </c>
      <c r="R52" s="24">
        <f>IF(OR(P52="",P52=0),"",N(Q52)/P52)</f>
        <v>0</v>
      </c>
      <c r="S52" s="23">
        <f>IF(E52="","",TODAY()-E52)</f>
        <v>0</v>
      </c>
      <c r="T52" s="23">
        <f>IF(OR(M52="",O52&lt;&gt;""),"",M52-TODAY())</f>
        <v>0</v>
      </c>
      <c r="V52" s="29">
        <f>IF(B52="","",IF(AND(O52="",M52&lt;&gt;"",M52&lt;TODAY()),"Expired - the moment has passed",IF(AND(O52="",J52&gt;=8),"Action - strong fit, make it now",IF(AND(O52="",S52&gt;TrendWindowDays),"Check - this has been sitting here a while","OK"))))</f>
        <v>0</v>
      </c>
    </row>
    <row r="53" spans="1:22">
      <c r="A53" s="41">
        <f>IF(B53="","","TR-"&amp;TEXT(ROW()-4,"000"))</f>
        <v>0</v>
      </c>
      <c r="R53" s="24">
        <f>IF(OR(P53="",P53=0),"",N(Q53)/P53)</f>
        <v>0</v>
      </c>
      <c r="S53" s="23">
        <f>IF(E53="","",TODAY()-E53)</f>
        <v>0</v>
      </c>
      <c r="T53" s="23">
        <f>IF(OR(M53="",O53&lt;&gt;""),"",M53-TODAY())</f>
        <v>0</v>
      </c>
      <c r="V53" s="29">
        <f>IF(B53="","",IF(AND(O53="",M53&lt;&gt;"",M53&lt;TODAY()),"Expired - the moment has passed",IF(AND(O53="",J53&gt;=8),"Action - strong fit, make it now",IF(AND(O53="",S53&gt;TrendWindowDays),"Check - this has been sitting here a while","OK"))))</f>
        <v>0</v>
      </c>
    </row>
    <row r="54" spans="1:22">
      <c r="A54" s="41">
        <f>IF(B54="","","TR-"&amp;TEXT(ROW()-4,"000"))</f>
        <v>0</v>
      </c>
      <c r="R54" s="24">
        <f>IF(OR(P54="",P54=0),"",N(Q54)/P54)</f>
        <v>0</v>
      </c>
      <c r="S54" s="23">
        <f>IF(E54="","",TODAY()-E54)</f>
        <v>0</v>
      </c>
      <c r="T54" s="23">
        <f>IF(OR(M54="",O54&lt;&gt;""),"",M54-TODAY())</f>
        <v>0</v>
      </c>
      <c r="V54" s="29">
        <f>IF(B54="","",IF(AND(O54="",M54&lt;&gt;"",M54&lt;TODAY()),"Expired - the moment has passed",IF(AND(O54="",J54&gt;=8),"Action - strong fit, make it now",IF(AND(O54="",S54&gt;TrendWindowDays),"Check - this has been sitting here a while","OK"))))</f>
        <v>0</v>
      </c>
    </row>
    <row r="55" spans="1:22">
      <c r="A55" s="41">
        <f>IF(B55="","","TR-"&amp;TEXT(ROW()-4,"000"))</f>
        <v>0</v>
      </c>
      <c r="R55" s="24">
        <f>IF(OR(P55="",P55=0),"",N(Q55)/P55)</f>
        <v>0</v>
      </c>
      <c r="S55" s="23">
        <f>IF(E55="","",TODAY()-E55)</f>
        <v>0</v>
      </c>
      <c r="T55" s="23">
        <f>IF(OR(M55="",O55&lt;&gt;""),"",M55-TODAY())</f>
        <v>0</v>
      </c>
      <c r="V55" s="29">
        <f>IF(B55="","",IF(AND(O55="",M55&lt;&gt;"",M55&lt;TODAY()),"Expired - the moment has passed",IF(AND(O55="",J55&gt;=8),"Action - strong fit, make it now",IF(AND(O55="",S55&gt;TrendWindowDays),"Check - this has been sitting here a while","OK"))))</f>
        <v>0</v>
      </c>
    </row>
    <row r="56" spans="1:22">
      <c r="A56" s="41">
        <f>IF(B56="","","TR-"&amp;TEXT(ROW()-4,"000"))</f>
        <v>0</v>
      </c>
      <c r="R56" s="24">
        <f>IF(OR(P56="",P56=0),"",N(Q56)/P56)</f>
        <v>0</v>
      </c>
      <c r="S56" s="23">
        <f>IF(E56="","",TODAY()-E56)</f>
        <v>0</v>
      </c>
      <c r="T56" s="23">
        <f>IF(OR(M56="",O56&lt;&gt;""),"",M56-TODAY())</f>
        <v>0</v>
      </c>
      <c r="V56" s="29">
        <f>IF(B56="","",IF(AND(O56="",M56&lt;&gt;"",M56&lt;TODAY()),"Expired - the moment has passed",IF(AND(O56="",J56&gt;=8),"Action - strong fit, make it now",IF(AND(O56="",S56&gt;TrendWindowDays),"Check - this has been sitting here a while","OK"))))</f>
        <v>0</v>
      </c>
    </row>
    <row r="57" spans="1:22">
      <c r="A57" s="41">
        <f>IF(B57="","","TR-"&amp;TEXT(ROW()-4,"000"))</f>
        <v>0</v>
      </c>
      <c r="R57" s="24">
        <f>IF(OR(P57="",P57=0),"",N(Q57)/P57)</f>
        <v>0</v>
      </c>
      <c r="S57" s="23">
        <f>IF(E57="","",TODAY()-E57)</f>
        <v>0</v>
      </c>
      <c r="T57" s="23">
        <f>IF(OR(M57="",O57&lt;&gt;""),"",M57-TODAY())</f>
        <v>0</v>
      </c>
      <c r="V57" s="29">
        <f>IF(B57="","",IF(AND(O57="",M57&lt;&gt;"",M57&lt;TODAY()),"Expired - the moment has passed",IF(AND(O57="",J57&gt;=8),"Action - strong fit, make it now",IF(AND(O57="",S57&gt;TrendWindowDays),"Check - this has been sitting here a while","OK"))))</f>
        <v>0</v>
      </c>
    </row>
    <row r="58" spans="1:22">
      <c r="A58" s="41">
        <f>IF(B58="","","TR-"&amp;TEXT(ROW()-4,"000"))</f>
        <v>0</v>
      </c>
      <c r="R58" s="24">
        <f>IF(OR(P58="",P58=0),"",N(Q58)/P58)</f>
        <v>0</v>
      </c>
      <c r="S58" s="23">
        <f>IF(E58="","",TODAY()-E58)</f>
        <v>0</v>
      </c>
      <c r="T58" s="23">
        <f>IF(OR(M58="",O58&lt;&gt;""),"",M58-TODAY())</f>
        <v>0</v>
      </c>
      <c r="V58" s="29">
        <f>IF(B58="","",IF(AND(O58="",M58&lt;&gt;"",M58&lt;TODAY()),"Expired - the moment has passed",IF(AND(O58="",J58&gt;=8),"Action - strong fit, make it now",IF(AND(O58="",S58&gt;TrendWindowDays),"Check - this has been sitting here a while","OK"))))</f>
        <v>0</v>
      </c>
    </row>
    <row r="59" spans="1:22">
      <c r="A59" s="41">
        <f>IF(B59="","","TR-"&amp;TEXT(ROW()-4,"000"))</f>
        <v>0</v>
      </c>
      <c r="R59" s="24">
        <f>IF(OR(P59="",P59=0),"",N(Q59)/P59)</f>
        <v>0</v>
      </c>
      <c r="S59" s="23">
        <f>IF(E59="","",TODAY()-E59)</f>
        <v>0</v>
      </c>
      <c r="T59" s="23">
        <f>IF(OR(M59="",O59&lt;&gt;""),"",M59-TODAY())</f>
        <v>0</v>
      </c>
      <c r="V59" s="29">
        <f>IF(B59="","",IF(AND(O59="",M59&lt;&gt;"",M59&lt;TODAY()),"Expired - the moment has passed",IF(AND(O59="",J59&gt;=8),"Action - strong fit, make it now",IF(AND(O59="",S59&gt;TrendWindowDays),"Check - this has been sitting here a while","OK"))))</f>
        <v>0</v>
      </c>
    </row>
    <row r="60" spans="1:22">
      <c r="A60" s="41">
        <f>IF(B60="","","TR-"&amp;TEXT(ROW()-4,"000"))</f>
        <v>0</v>
      </c>
      <c r="R60" s="24">
        <f>IF(OR(P60="",P60=0),"",N(Q60)/P60)</f>
        <v>0</v>
      </c>
      <c r="S60" s="23">
        <f>IF(E60="","",TODAY()-E60)</f>
        <v>0</v>
      </c>
      <c r="T60" s="23">
        <f>IF(OR(M60="",O60&lt;&gt;""),"",M60-TODAY())</f>
        <v>0</v>
      </c>
      <c r="V60" s="29">
        <f>IF(B60="","",IF(AND(O60="",M60&lt;&gt;"",M60&lt;TODAY()),"Expired - the moment has passed",IF(AND(O60="",J60&gt;=8),"Action - strong fit, make it now",IF(AND(O60="",S60&gt;TrendWindowDays),"Check - this has been sitting here a while","OK"))))</f>
        <v>0</v>
      </c>
    </row>
    <row r="61" spans="1:22">
      <c r="A61" s="41">
        <f>IF(B61="","","TR-"&amp;TEXT(ROW()-4,"000"))</f>
        <v>0</v>
      </c>
      <c r="R61" s="24">
        <f>IF(OR(P61="",P61=0),"",N(Q61)/P61)</f>
        <v>0</v>
      </c>
      <c r="S61" s="23">
        <f>IF(E61="","",TODAY()-E61)</f>
        <v>0</v>
      </c>
      <c r="T61" s="23">
        <f>IF(OR(M61="",O61&lt;&gt;""),"",M61-TODAY())</f>
        <v>0</v>
      </c>
      <c r="V61" s="29">
        <f>IF(B61="","",IF(AND(O61="",M61&lt;&gt;"",M61&lt;TODAY()),"Expired - the moment has passed",IF(AND(O61="",J61&gt;=8),"Action - strong fit, make it now",IF(AND(O61="",S61&gt;TrendWindowDays),"Check - this has been sitting here a while","OK"))))</f>
        <v>0</v>
      </c>
    </row>
    <row r="62" spans="1:22">
      <c r="A62" s="41">
        <f>IF(B62="","","TR-"&amp;TEXT(ROW()-4,"000"))</f>
        <v>0</v>
      </c>
      <c r="R62" s="24">
        <f>IF(OR(P62="",P62=0),"",N(Q62)/P62)</f>
        <v>0</v>
      </c>
      <c r="S62" s="23">
        <f>IF(E62="","",TODAY()-E62)</f>
        <v>0</v>
      </c>
      <c r="T62" s="23">
        <f>IF(OR(M62="",O62&lt;&gt;""),"",M62-TODAY())</f>
        <v>0</v>
      </c>
      <c r="V62" s="29">
        <f>IF(B62="","",IF(AND(O62="",M62&lt;&gt;"",M62&lt;TODAY()),"Expired - the moment has passed",IF(AND(O62="",J62&gt;=8),"Action - strong fit, make it now",IF(AND(O62="",S62&gt;TrendWindowDays),"Check - this has been sitting here a while","OK"))))</f>
        <v>0</v>
      </c>
    </row>
    <row r="63" spans="1:22">
      <c r="A63" s="41">
        <f>IF(B63="","","TR-"&amp;TEXT(ROW()-4,"000"))</f>
        <v>0</v>
      </c>
      <c r="R63" s="24">
        <f>IF(OR(P63="",P63=0),"",N(Q63)/P63)</f>
        <v>0</v>
      </c>
      <c r="S63" s="23">
        <f>IF(E63="","",TODAY()-E63)</f>
        <v>0</v>
      </c>
      <c r="T63" s="23">
        <f>IF(OR(M63="",O63&lt;&gt;""),"",M63-TODAY())</f>
        <v>0</v>
      </c>
      <c r="V63" s="29">
        <f>IF(B63="","",IF(AND(O63="",M63&lt;&gt;"",M63&lt;TODAY()),"Expired - the moment has passed",IF(AND(O63="",J63&gt;=8),"Action - strong fit, make it now",IF(AND(O63="",S63&gt;TrendWindowDays),"Check - this has been sitting here a while","OK"))))</f>
        <v>0</v>
      </c>
    </row>
    <row r="64" spans="1:22">
      <c r="A64" s="41">
        <f>IF(B64="","","TR-"&amp;TEXT(ROW()-4,"000"))</f>
        <v>0</v>
      </c>
      <c r="R64" s="24">
        <f>IF(OR(P64="",P64=0),"",N(Q64)/P64)</f>
        <v>0</v>
      </c>
      <c r="S64" s="23">
        <f>IF(E64="","",TODAY()-E64)</f>
        <v>0</v>
      </c>
      <c r="T64" s="23">
        <f>IF(OR(M64="",O64&lt;&gt;""),"",M64-TODAY())</f>
        <v>0</v>
      </c>
      <c r="V64" s="29">
        <f>IF(B64="","",IF(AND(O64="",M64&lt;&gt;"",M64&lt;TODAY()),"Expired - the moment has passed",IF(AND(O64="",J64&gt;=8),"Action - strong fit, make it now",IF(AND(O64="",S64&gt;TrendWindowDays),"Check - this has been sitting here a while","OK"))))</f>
        <v>0</v>
      </c>
    </row>
    <row r="65" spans="1:22">
      <c r="A65" s="41">
        <f>IF(B65="","","TR-"&amp;TEXT(ROW()-4,"000"))</f>
        <v>0</v>
      </c>
      <c r="R65" s="24">
        <f>IF(OR(P65="",P65=0),"",N(Q65)/P65)</f>
        <v>0</v>
      </c>
      <c r="S65" s="23">
        <f>IF(E65="","",TODAY()-E65)</f>
        <v>0</v>
      </c>
      <c r="T65" s="23">
        <f>IF(OR(M65="",O65&lt;&gt;""),"",M65-TODAY())</f>
        <v>0</v>
      </c>
      <c r="V65" s="29">
        <f>IF(B65="","",IF(AND(O65="",M65&lt;&gt;"",M65&lt;TODAY()),"Expired - the moment has passed",IF(AND(O65="",J65&gt;=8),"Action - strong fit, make it now",IF(AND(O65="",S65&gt;TrendWindowDays),"Check - this has been sitting here a while","OK"))))</f>
        <v>0</v>
      </c>
    </row>
    <row r="66" spans="1:22">
      <c r="A66" s="41">
        <f>IF(B66="","","TR-"&amp;TEXT(ROW()-4,"000"))</f>
        <v>0</v>
      </c>
      <c r="R66" s="24">
        <f>IF(OR(P66="",P66=0),"",N(Q66)/P66)</f>
        <v>0</v>
      </c>
      <c r="S66" s="23">
        <f>IF(E66="","",TODAY()-E66)</f>
        <v>0</v>
      </c>
      <c r="T66" s="23">
        <f>IF(OR(M66="",O66&lt;&gt;""),"",M66-TODAY())</f>
        <v>0</v>
      </c>
      <c r="V66" s="29">
        <f>IF(B66="","",IF(AND(O66="",M66&lt;&gt;"",M66&lt;TODAY()),"Expired - the moment has passed",IF(AND(O66="",J66&gt;=8),"Action - strong fit, make it now",IF(AND(O66="",S66&gt;TrendWindowDays),"Check - this has been sitting here a while","OK"))))</f>
        <v>0</v>
      </c>
    </row>
    <row r="67" spans="1:22">
      <c r="A67" s="41">
        <f>IF(B67="","","TR-"&amp;TEXT(ROW()-4,"000"))</f>
        <v>0</v>
      </c>
      <c r="R67" s="24">
        <f>IF(OR(P67="",P67=0),"",N(Q67)/P67)</f>
        <v>0</v>
      </c>
      <c r="S67" s="23">
        <f>IF(E67="","",TODAY()-E67)</f>
        <v>0</v>
      </c>
      <c r="T67" s="23">
        <f>IF(OR(M67="",O67&lt;&gt;""),"",M67-TODAY())</f>
        <v>0</v>
      </c>
      <c r="V67" s="29">
        <f>IF(B67="","",IF(AND(O67="",M67&lt;&gt;"",M67&lt;TODAY()),"Expired - the moment has passed",IF(AND(O67="",J67&gt;=8),"Action - strong fit, make it now",IF(AND(O67="",S67&gt;TrendWindowDays),"Check - this has been sitting here a while","OK"))))</f>
        <v>0</v>
      </c>
    </row>
    <row r="68" spans="1:22">
      <c r="A68" s="41">
        <f>IF(B68="","","TR-"&amp;TEXT(ROW()-4,"000"))</f>
        <v>0</v>
      </c>
      <c r="R68" s="24">
        <f>IF(OR(P68="",P68=0),"",N(Q68)/P68)</f>
        <v>0</v>
      </c>
      <c r="S68" s="23">
        <f>IF(E68="","",TODAY()-E68)</f>
        <v>0</v>
      </c>
      <c r="T68" s="23">
        <f>IF(OR(M68="",O68&lt;&gt;""),"",M68-TODAY())</f>
        <v>0</v>
      </c>
      <c r="V68" s="29">
        <f>IF(B68="","",IF(AND(O68="",M68&lt;&gt;"",M68&lt;TODAY()),"Expired - the moment has passed",IF(AND(O68="",J68&gt;=8),"Action - strong fit, make it now",IF(AND(O68="",S68&gt;TrendWindowDays),"Check - this has been sitting here a while","OK"))))</f>
        <v>0</v>
      </c>
    </row>
    <row r="69" spans="1:22">
      <c r="A69" s="41">
        <f>IF(B69="","","TR-"&amp;TEXT(ROW()-4,"000"))</f>
        <v>0</v>
      </c>
      <c r="R69" s="24">
        <f>IF(OR(P69="",P69=0),"",N(Q69)/P69)</f>
        <v>0</v>
      </c>
      <c r="S69" s="23">
        <f>IF(E69="","",TODAY()-E69)</f>
        <v>0</v>
      </c>
      <c r="T69" s="23">
        <f>IF(OR(M69="",O69&lt;&gt;""),"",M69-TODAY())</f>
        <v>0</v>
      </c>
      <c r="V69" s="29">
        <f>IF(B69="","",IF(AND(O69="",M69&lt;&gt;"",M69&lt;TODAY()),"Expired - the moment has passed",IF(AND(O69="",J69&gt;=8),"Action - strong fit, make it now",IF(AND(O69="",S69&gt;TrendWindowDays),"Check - this has been sitting here a while","OK"))))</f>
        <v>0</v>
      </c>
    </row>
    <row r="70" spans="1:22">
      <c r="A70" s="41">
        <f>IF(B70="","","TR-"&amp;TEXT(ROW()-4,"000"))</f>
        <v>0</v>
      </c>
      <c r="R70" s="24">
        <f>IF(OR(P70="",P70=0),"",N(Q70)/P70)</f>
        <v>0</v>
      </c>
      <c r="S70" s="23">
        <f>IF(E70="","",TODAY()-E70)</f>
        <v>0</v>
      </c>
      <c r="T70" s="23">
        <f>IF(OR(M70="",O70&lt;&gt;""),"",M70-TODAY())</f>
        <v>0</v>
      </c>
      <c r="V70" s="29">
        <f>IF(B70="","",IF(AND(O70="",M70&lt;&gt;"",M70&lt;TODAY()),"Expired - the moment has passed",IF(AND(O70="",J70&gt;=8),"Action - strong fit, make it now",IF(AND(O70="",S70&gt;TrendWindowDays),"Check - this has been sitting here a while","OK"))))</f>
        <v>0</v>
      </c>
    </row>
    <row r="71" spans="1:22">
      <c r="A71" s="41">
        <f>IF(B71="","","TR-"&amp;TEXT(ROW()-4,"000"))</f>
        <v>0</v>
      </c>
      <c r="R71" s="24">
        <f>IF(OR(P71="",P71=0),"",N(Q71)/P71)</f>
        <v>0</v>
      </c>
      <c r="S71" s="23">
        <f>IF(E71="","",TODAY()-E71)</f>
        <v>0</v>
      </c>
      <c r="T71" s="23">
        <f>IF(OR(M71="",O71&lt;&gt;""),"",M71-TODAY())</f>
        <v>0</v>
      </c>
      <c r="V71" s="29">
        <f>IF(B71="","",IF(AND(O71="",M71&lt;&gt;"",M71&lt;TODAY()),"Expired - the moment has passed",IF(AND(O71="",J71&gt;=8),"Action - strong fit, make it now",IF(AND(O71="",S71&gt;TrendWindowDays),"Check - this has been sitting here a while","OK"))))</f>
        <v>0</v>
      </c>
    </row>
    <row r="72" spans="1:22">
      <c r="A72" s="41">
        <f>IF(B72="","","TR-"&amp;TEXT(ROW()-4,"000"))</f>
        <v>0</v>
      </c>
      <c r="R72" s="24">
        <f>IF(OR(P72="",P72=0),"",N(Q72)/P72)</f>
        <v>0</v>
      </c>
      <c r="S72" s="23">
        <f>IF(E72="","",TODAY()-E72)</f>
        <v>0</v>
      </c>
      <c r="T72" s="23">
        <f>IF(OR(M72="",O72&lt;&gt;""),"",M72-TODAY())</f>
        <v>0</v>
      </c>
      <c r="V72" s="29">
        <f>IF(B72="","",IF(AND(O72="",M72&lt;&gt;"",M72&lt;TODAY()),"Expired - the moment has passed",IF(AND(O72="",J72&gt;=8),"Action - strong fit, make it now",IF(AND(O72="",S72&gt;TrendWindowDays),"Check - this has been sitting here a while","OK"))))</f>
        <v>0</v>
      </c>
    </row>
    <row r="73" spans="1:22">
      <c r="A73" s="41">
        <f>IF(B73="","","TR-"&amp;TEXT(ROW()-4,"000"))</f>
        <v>0</v>
      </c>
      <c r="R73" s="24">
        <f>IF(OR(P73="",P73=0),"",N(Q73)/P73)</f>
        <v>0</v>
      </c>
      <c r="S73" s="23">
        <f>IF(E73="","",TODAY()-E73)</f>
        <v>0</v>
      </c>
      <c r="T73" s="23">
        <f>IF(OR(M73="",O73&lt;&gt;""),"",M73-TODAY())</f>
        <v>0</v>
      </c>
      <c r="V73" s="29">
        <f>IF(B73="","",IF(AND(O73="",M73&lt;&gt;"",M73&lt;TODAY()),"Expired - the moment has passed",IF(AND(O73="",J73&gt;=8),"Action - strong fit, make it now",IF(AND(O73="",S73&gt;TrendWindowDays),"Check - this has been sitting here a while","OK"))))</f>
        <v>0</v>
      </c>
    </row>
    <row r="74" spans="1:22">
      <c r="A74" s="41">
        <f>IF(B74="","","TR-"&amp;TEXT(ROW()-4,"000"))</f>
        <v>0</v>
      </c>
      <c r="R74" s="24">
        <f>IF(OR(P74="",P74=0),"",N(Q74)/P74)</f>
        <v>0</v>
      </c>
      <c r="S74" s="23">
        <f>IF(E74="","",TODAY()-E74)</f>
        <v>0</v>
      </c>
      <c r="T74" s="23">
        <f>IF(OR(M74="",O74&lt;&gt;""),"",M74-TODAY())</f>
        <v>0</v>
      </c>
      <c r="V74" s="29">
        <f>IF(B74="","",IF(AND(O74="",M74&lt;&gt;"",M74&lt;TODAY()),"Expired - the moment has passed",IF(AND(O74="",J74&gt;=8),"Action - strong fit, make it now",IF(AND(O74="",S74&gt;TrendWindowDays),"Check - this has been sitting here a while","OK"))))</f>
        <v>0</v>
      </c>
    </row>
    <row r="75" spans="1:22">
      <c r="A75" s="41">
        <f>IF(B75="","","TR-"&amp;TEXT(ROW()-4,"000"))</f>
        <v>0</v>
      </c>
      <c r="R75" s="24">
        <f>IF(OR(P75="",P75=0),"",N(Q75)/P75)</f>
        <v>0</v>
      </c>
      <c r="S75" s="23">
        <f>IF(E75="","",TODAY()-E75)</f>
        <v>0</v>
      </c>
      <c r="T75" s="23">
        <f>IF(OR(M75="",O75&lt;&gt;""),"",M75-TODAY())</f>
        <v>0</v>
      </c>
      <c r="V75" s="29">
        <f>IF(B75="","",IF(AND(O75="",M75&lt;&gt;"",M75&lt;TODAY()),"Expired - the moment has passed",IF(AND(O75="",J75&gt;=8),"Action - strong fit, make it now",IF(AND(O75="",S75&gt;TrendWindowDays),"Check - this has been sitting here a while","OK"))))</f>
        <v>0</v>
      </c>
    </row>
    <row r="76" spans="1:22">
      <c r="A76" s="41">
        <f>IF(B76="","","TR-"&amp;TEXT(ROW()-4,"000"))</f>
        <v>0</v>
      </c>
      <c r="R76" s="24">
        <f>IF(OR(P76="",P76=0),"",N(Q76)/P76)</f>
        <v>0</v>
      </c>
      <c r="S76" s="23">
        <f>IF(E76="","",TODAY()-E76)</f>
        <v>0</v>
      </c>
      <c r="T76" s="23">
        <f>IF(OR(M76="",O76&lt;&gt;""),"",M76-TODAY())</f>
        <v>0</v>
      </c>
      <c r="V76" s="29">
        <f>IF(B76="","",IF(AND(O76="",M76&lt;&gt;"",M76&lt;TODAY()),"Expired - the moment has passed",IF(AND(O76="",J76&gt;=8),"Action - strong fit, make it now",IF(AND(O76="",S76&gt;TrendWindowDays),"Check - this has been sitting here a while","OK"))))</f>
        <v>0</v>
      </c>
    </row>
    <row r="77" spans="1:22">
      <c r="A77" s="41">
        <f>IF(B77="","","TR-"&amp;TEXT(ROW()-4,"000"))</f>
        <v>0</v>
      </c>
      <c r="R77" s="24">
        <f>IF(OR(P77="",P77=0),"",N(Q77)/P77)</f>
        <v>0</v>
      </c>
      <c r="S77" s="23">
        <f>IF(E77="","",TODAY()-E77)</f>
        <v>0</v>
      </c>
      <c r="T77" s="23">
        <f>IF(OR(M77="",O77&lt;&gt;""),"",M77-TODAY())</f>
        <v>0</v>
      </c>
      <c r="V77" s="29">
        <f>IF(B77="","",IF(AND(O77="",M77&lt;&gt;"",M77&lt;TODAY()),"Expired - the moment has passed",IF(AND(O77="",J77&gt;=8),"Action - strong fit, make it now",IF(AND(O77="",S77&gt;TrendWindowDays),"Check - this has been sitting here a while","OK"))))</f>
        <v>0</v>
      </c>
    </row>
    <row r="78" spans="1:22">
      <c r="A78" s="41">
        <f>IF(B78="","","TR-"&amp;TEXT(ROW()-4,"000"))</f>
        <v>0</v>
      </c>
      <c r="R78" s="24">
        <f>IF(OR(P78="",P78=0),"",N(Q78)/P78)</f>
        <v>0</v>
      </c>
      <c r="S78" s="23">
        <f>IF(E78="","",TODAY()-E78)</f>
        <v>0</v>
      </c>
      <c r="T78" s="23">
        <f>IF(OR(M78="",O78&lt;&gt;""),"",M78-TODAY())</f>
        <v>0</v>
      </c>
      <c r="V78" s="29">
        <f>IF(B78="","",IF(AND(O78="",M78&lt;&gt;"",M78&lt;TODAY()),"Expired - the moment has passed",IF(AND(O78="",J78&gt;=8),"Action - strong fit, make it now",IF(AND(O78="",S78&gt;TrendWindowDays),"Check - this has been sitting here a while","OK"))))</f>
        <v>0</v>
      </c>
    </row>
    <row r="79" spans="1:22">
      <c r="A79" s="41">
        <f>IF(B79="","","TR-"&amp;TEXT(ROW()-4,"000"))</f>
        <v>0</v>
      </c>
      <c r="R79" s="24">
        <f>IF(OR(P79="",P79=0),"",N(Q79)/P79)</f>
        <v>0</v>
      </c>
      <c r="S79" s="23">
        <f>IF(E79="","",TODAY()-E79)</f>
        <v>0</v>
      </c>
      <c r="T79" s="23">
        <f>IF(OR(M79="",O79&lt;&gt;""),"",M79-TODAY())</f>
        <v>0</v>
      </c>
      <c r="V79" s="29">
        <f>IF(B79="","",IF(AND(O79="",M79&lt;&gt;"",M79&lt;TODAY()),"Expired - the moment has passed",IF(AND(O79="",J79&gt;=8),"Action - strong fit, make it now",IF(AND(O79="",S79&gt;TrendWindowDays),"Check - this has been sitting here a while","OK"))))</f>
        <v>0</v>
      </c>
    </row>
    <row r="80" spans="1:22">
      <c r="A80" s="41">
        <f>IF(B80="","","TR-"&amp;TEXT(ROW()-4,"000"))</f>
        <v>0</v>
      </c>
      <c r="R80" s="24">
        <f>IF(OR(P80="",P80=0),"",N(Q80)/P80)</f>
        <v>0</v>
      </c>
      <c r="S80" s="23">
        <f>IF(E80="","",TODAY()-E80)</f>
        <v>0</v>
      </c>
      <c r="T80" s="23">
        <f>IF(OR(M80="",O80&lt;&gt;""),"",M80-TODAY())</f>
        <v>0</v>
      </c>
      <c r="V80" s="29">
        <f>IF(B80="","",IF(AND(O80="",M80&lt;&gt;"",M80&lt;TODAY()),"Expired - the moment has passed",IF(AND(O80="",J80&gt;=8),"Action - strong fit, make it now",IF(AND(O80="",S80&gt;TrendWindowDays),"Check - this has been sitting here a while","OK"))))</f>
        <v>0</v>
      </c>
    </row>
    <row r="81" spans="1:22">
      <c r="A81" s="41">
        <f>IF(B81="","","TR-"&amp;TEXT(ROW()-4,"000"))</f>
        <v>0</v>
      </c>
      <c r="R81" s="24">
        <f>IF(OR(P81="",P81=0),"",N(Q81)/P81)</f>
        <v>0</v>
      </c>
      <c r="S81" s="23">
        <f>IF(E81="","",TODAY()-E81)</f>
        <v>0</v>
      </c>
      <c r="T81" s="23">
        <f>IF(OR(M81="",O81&lt;&gt;""),"",M81-TODAY())</f>
        <v>0</v>
      </c>
      <c r="V81" s="29">
        <f>IF(B81="","",IF(AND(O81="",M81&lt;&gt;"",M81&lt;TODAY()),"Expired - the moment has passed",IF(AND(O81="",J81&gt;=8),"Action - strong fit, make it now",IF(AND(O81="",S81&gt;TrendWindowDays),"Check - this has been sitting here a while","OK"))))</f>
        <v>0</v>
      </c>
    </row>
    <row r="82" spans="1:22">
      <c r="A82" s="41">
        <f>IF(B82="","","TR-"&amp;TEXT(ROW()-4,"000"))</f>
        <v>0</v>
      </c>
      <c r="R82" s="24">
        <f>IF(OR(P82="",P82=0),"",N(Q82)/P82)</f>
        <v>0</v>
      </c>
      <c r="S82" s="23">
        <f>IF(E82="","",TODAY()-E82)</f>
        <v>0</v>
      </c>
      <c r="T82" s="23">
        <f>IF(OR(M82="",O82&lt;&gt;""),"",M82-TODAY())</f>
        <v>0</v>
      </c>
      <c r="V82" s="29">
        <f>IF(B82="","",IF(AND(O82="",M82&lt;&gt;"",M82&lt;TODAY()),"Expired - the moment has passed",IF(AND(O82="",J82&gt;=8),"Action - strong fit, make it now",IF(AND(O82="",S82&gt;TrendWindowDays),"Check - this has been sitting here a while","OK"))))</f>
        <v>0</v>
      </c>
    </row>
    <row r="83" spans="1:22">
      <c r="A83" s="41">
        <f>IF(B83="","","TR-"&amp;TEXT(ROW()-4,"000"))</f>
        <v>0</v>
      </c>
      <c r="R83" s="24">
        <f>IF(OR(P83="",P83=0),"",N(Q83)/P83)</f>
        <v>0</v>
      </c>
      <c r="S83" s="23">
        <f>IF(E83="","",TODAY()-E83)</f>
        <v>0</v>
      </c>
      <c r="T83" s="23">
        <f>IF(OR(M83="",O83&lt;&gt;""),"",M83-TODAY())</f>
        <v>0</v>
      </c>
      <c r="V83" s="29">
        <f>IF(B83="","",IF(AND(O83="",M83&lt;&gt;"",M83&lt;TODAY()),"Expired - the moment has passed",IF(AND(O83="",J83&gt;=8),"Action - strong fit, make it now",IF(AND(O83="",S83&gt;TrendWindowDays),"Check - this has been sitting here a while","OK"))))</f>
        <v>0</v>
      </c>
    </row>
    <row r="84" spans="1:22">
      <c r="A84" s="41">
        <f>IF(B84="","","TR-"&amp;TEXT(ROW()-4,"000"))</f>
        <v>0</v>
      </c>
      <c r="R84" s="24">
        <f>IF(OR(P84="",P84=0),"",N(Q84)/P84)</f>
        <v>0</v>
      </c>
      <c r="S84" s="23">
        <f>IF(E84="","",TODAY()-E84)</f>
        <v>0</v>
      </c>
      <c r="T84" s="23">
        <f>IF(OR(M84="",O84&lt;&gt;""),"",M84-TODAY())</f>
        <v>0</v>
      </c>
      <c r="V84" s="29">
        <f>IF(B84="","",IF(AND(O84="",M84&lt;&gt;"",M84&lt;TODAY()),"Expired - the moment has passed",IF(AND(O84="",J84&gt;=8),"Action - strong fit, make it now",IF(AND(O84="",S84&gt;TrendWindowDays),"Check - this has been sitting here a while","OK"))))</f>
        <v>0</v>
      </c>
    </row>
  </sheetData>
  <sheetProtection password="EC7C" sheet="1" objects="1" scenarios="1" formatCells="0" formatColumns="0" formatRows="0" insertRows="0" insertHyperlinks="0" deleteRows="0" autoFilter="0"/>
  <autoFilter ref="A4:W84"/>
  <mergeCells count="13">
    <mergeCell ref="A1:T1"/>
    <mergeCell ref="U1:W1"/>
    <mergeCell ref="A2:W2"/>
    <mergeCell ref="A3:B3"/>
    <mergeCell ref="C3:D3"/>
    <mergeCell ref="E3:F3"/>
    <mergeCell ref="G3:H3"/>
    <mergeCell ref="I3:J3"/>
    <mergeCell ref="K3:L3"/>
    <mergeCell ref="M3:N3"/>
    <mergeCell ref="O3:P3"/>
    <mergeCell ref="Q3:R3"/>
    <mergeCell ref="S3:W3"/>
  </mergeCells>
  <conditionalFormatting sqref="J5:J84">
    <cfRule type="colorScale" priority="1">
      <colorScale>
        <cfvo type="min" val="0"/>
        <cfvo type="percentile" val="50"/>
        <cfvo type="max" val="0"/>
        <color rgb="FFFBD9DD"/>
        <color rgb="FFFFF1CF"/>
        <color rgb="FFD9F2E4"/>
      </colorScale>
    </cfRule>
  </conditionalFormatting>
  <conditionalFormatting sqref="N5:N84">
    <cfRule type="containsText" dxfId="0" priority="2" operator="containsText" text="Published">
      <formula>NOT(ISERROR(SEARCH("Published",N5)))</formula>
    </cfRule>
    <cfRule type="containsText" dxfId="0" priority="3" operator="containsText" text="Approved">
      <formula>NOT(ISERROR(SEARCH("Approved",N5)))</formula>
    </cfRule>
    <cfRule type="containsText" dxfId="0" priority="4" operator="containsText" text="Complete">
      <formula>NOT(ISERROR(SEARCH("Complete",N5)))</formula>
    </cfRule>
    <cfRule type="containsText" dxfId="0" priority="5" operator="containsText" text="Active">
      <formula>NOT(ISERROR(SEARCH("Active",N5)))</formula>
    </cfRule>
    <cfRule type="containsText" dxfId="0" priority="6" operator="containsText" text="Agreed">
      <formula>NOT(ISERROR(SEARCH("Agreed",N5)))</formula>
    </cfRule>
    <cfRule type="containsText" dxfId="0" priority="7" operator="containsText" text="Yes">
      <formula>NOT(ISERROR(SEARCH("Yes",N5)))</formula>
    </cfRule>
    <cfRule type="containsText" dxfId="0" priority="8" operator="containsText" text="Won">
      <formula>NOT(ISERROR(SEARCH("Won",N5)))</formula>
    </cfRule>
    <cfRule type="containsText" dxfId="3" priority="9" operator="containsText" text="Scheduled">
      <formula>NOT(ISERROR(SEARCH("Scheduled",N5)))</formula>
    </cfRule>
    <cfRule type="containsText" dxfId="3" priority="10" operator="containsText" text="In production">
      <formula>NOT(ISERROR(SEARCH("In production",N5)))</formula>
    </cfRule>
    <cfRule type="containsText" dxfId="3" priority="11" operator="containsText" text="Running">
      <formula>NOT(ISERROR(SEARCH("Running",N5)))</formula>
    </cfRule>
    <cfRule type="containsText" dxfId="3" priority="12" operator="containsText" text="Sent">
      <formula>NOT(ISERROR(SEARCH("Sent",N5)))</formula>
    </cfRule>
    <cfRule type="containsText" dxfId="3" priority="13" operator="containsText" text="Testing">
      <formula>NOT(ISERROR(SEARCH("Testing",N5)))</formula>
    </cfRule>
    <cfRule type="containsText" dxfId="2" priority="14" operator="containsText" text="Idea">
      <formula>NOT(ISERROR(SEARCH("Idea",N5)))</formula>
    </cfRule>
    <cfRule type="containsText" dxfId="2" priority="15" operator="containsText" text="Brief">
      <formula>NOT(ISERROR(SEARCH("Brief",N5)))</formula>
    </cfRule>
    <cfRule type="containsText" dxfId="2" priority="16" operator="containsText" text="Draft">
      <formula>NOT(ISERROR(SEARCH("Draft",N5)))</formula>
    </cfRule>
    <cfRule type="containsText" dxfId="2" priority="17" operator="containsText" text="Awaiting review">
      <formula>NOT(ISERROR(SEARCH("Awaiting review",N5)))</formula>
    </cfRule>
    <cfRule type="containsText" dxfId="2" priority="18" operator="containsText" text="Pending">
      <formula>NOT(ISERROR(SEARCH("Pending",N5)))</formula>
    </cfRule>
    <cfRule type="containsText" dxfId="2" priority="19" operator="containsText" text="On hold">
      <formula>NOT(ISERROR(SEARCH("On hold",N5)))</formula>
    </cfRule>
    <cfRule type="containsText" dxfId="1" priority="20" operator="containsText" text="Revision needed">
      <formula>NOT(ISERROR(SEARCH("Revision needed",N5)))</formula>
    </cfRule>
    <cfRule type="containsText" dxfId="1" priority="21" operator="containsText" text="Rejected">
      <formula>NOT(ISERROR(SEARCH("Rejected",N5)))</formula>
    </cfRule>
    <cfRule type="containsText" dxfId="1" priority="22" operator="containsText" text="Cancelled">
      <formula>NOT(ISERROR(SEARCH("Cancelled",N5)))</formula>
    </cfRule>
    <cfRule type="containsText" dxfId="1" priority="23" operator="containsText" text="Missed">
      <formula>NOT(ISERROR(SEARCH("Missed",N5)))</formula>
    </cfRule>
    <cfRule type="containsText" dxfId="1" priority="24" operator="containsText" text="Overdue">
      <formula>NOT(ISERROR(SEARCH("Overdue",N5)))</formula>
    </cfRule>
    <cfRule type="containsText" dxfId="1" priority="25" operator="containsText" text="Declined">
      <formula>NOT(ISERROR(SEARCH("Declined",N5)))</formula>
    </cfRule>
    <cfRule type="containsText" dxfId="4" priority="26" operator="containsText" text="Archived">
      <formula>NOT(ISERROR(SEARCH("Archived",N5)))</formula>
    </cfRule>
    <cfRule type="containsText" dxfId="4" priority="27" operator="containsText" text="Paused">
      <formula>NOT(ISERROR(SEARCH("Paused",N5)))</formula>
    </cfRule>
    <cfRule type="containsText" dxfId="4" priority="28" operator="containsText" text="Not started">
      <formula>NOT(ISERROR(SEARCH("Not started",N5)))</formula>
    </cfRule>
  </conditionalFormatting>
  <conditionalFormatting sqref="T5:T84">
    <cfRule type="cellIs" dxfId="2" priority="29" operator="lessThan">
      <formula>3</formula>
    </cfRule>
    <cfRule type="cellIs" dxfId="1" priority="30" operator="lessThan">
      <formula>0</formula>
    </cfRule>
  </conditionalFormatting>
  <conditionalFormatting sqref="V5:V84">
    <cfRule type="beginsWith" dxfId="0" priority="31" operator="beginsWith" text="OK">
      <formula>LEFT(V5,2)="OK"</formula>
    </cfRule>
    <cfRule type="containsText" dxfId="1" priority="32" operator="containsText" text="Overdue">
      <formula>NOT(ISERROR(SEARCH("Overdue",V5)))</formula>
    </cfRule>
    <cfRule type="containsText" dxfId="1" priority="33" operator="containsText" text="Late">
      <formula>NOT(ISERROR(SEARCH("Late",V5)))</formula>
    </cfRule>
    <cfRule type="containsText" dxfId="1" priority="34" operator="containsText" text="Missing">
      <formula>NOT(ISERROR(SEARCH("Missing",V5)))</formula>
    </cfRule>
    <cfRule type="containsText" dxfId="1" priority="35" operator="containsText" text="Conflict">
      <formula>NOT(ISERROR(SEARCH("Conflict",V5)))</formula>
    </cfRule>
    <cfRule type="containsText" dxfId="1" priority="36" operator="containsText" text="Expired">
      <formula>NOT(ISERROR(SEARCH("Expired",V5)))</formula>
    </cfRule>
    <cfRule type="containsText" dxfId="1" priority="37" operator="containsText" text="Duplicate">
      <formula>NOT(ISERROR(SEARCH("Duplicate",V5)))</formula>
    </cfRule>
    <cfRule type="containsText" dxfId="2" priority="38" operator="containsText" text="Action">
      <formula>NOT(ISERROR(SEARCH("Action",V5)))</formula>
    </cfRule>
    <cfRule type="containsText" dxfId="2" priority="39" operator="containsText" text="Due">
      <formula>NOT(ISERROR(SEARCH("Due",V5)))</formula>
    </cfRule>
    <cfRule type="containsText" dxfId="2" priority="40" operator="containsText" text="Check">
      <formula>NOT(ISERROR(SEARCH("Check",V5)))</formula>
    </cfRule>
    <cfRule type="containsText" dxfId="2" priority="41" operator="containsText" text="Add">
      <formula>NOT(ISERROR(SEARCH("Add",V5)))</formula>
    </cfRule>
    <cfRule type="containsText" dxfId="3" priority="42" operator="containsText" text="Today">
      <formula>NOT(ISERROR(SEARCH("Today",V5)))</formula>
    </cfRule>
    <cfRule type="containsText" dxfId="3" priority="43" operator="containsText" text="Upcoming">
      <formula>NOT(ISERROR(SEARCH("Upcoming",V5)))</formula>
    </cfRule>
  </conditionalFormatting>
  <dataValidations count="11">
    <dataValidation type="list" allowBlank="1" showInputMessage="1" showErrorMessage="1" sqref="C5:C84">
      <formula1>TrendTypeList</formula1>
    </dataValidation>
    <dataValidation type="list" allowBlank="1" showInputMessage="1" showErrorMessage="1" sqref="D5:D84">
      <formula1>PlatformList</formula1>
    </dataValidation>
    <dataValidation type="date" allowBlank="1" showInputMessage="1" showErrorMessage="1" errorTitle="Check the date" error="Enter a real date between 2000 and 2100." sqref="E5:E84">
      <formula1>36526</formula1>
      <formula2>73415</formula2>
    </dataValidation>
    <dataValidation type="list" allowBlank="1" showInputMessage="1" showErrorMessage="1" sqref="I5:I84">
      <formula1>PersonaNames</formula1>
    </dataValidation>
    <dataValidation type="whole" allowBlank="1" showInputMessage="1" showErrorMessage="1" errorTitle="Score 1-10" error="Enter a whole number from 1 (low) to 10 (high)." promptTitle="Fit for your brand (1-10)" prompt="Only ride a trend if it fits. A forced trend reads as a forced trend." sqref="J5:J84">
      <formula1>1</formula1>
      <formula2>10</formula2>
    </dataValidation>
    <dataValidation type="list" allowBlank="1" showInputMessage="1" showErrorMessage="1" sqref="L5:L84">
      <formula1>TeamNames</formula1>
    </dataValidation>
    <dataValidation type="date" allowBlank="1" showInputMessage="1" showErrorMessage="1" errorTitle="Check the date" error="Enter a real date between 2000 and 2100." promptTitle="Use it before" prompt="Trends go stale fast - a fortnight is usually the whole window." sqref="M5:M84">
      <formula1>36526</formula1>
      <formula2>73415</formula2>
    </dataValidation>
    <dataValidation type="list" allowBlank="1" showInputMessage="1" showErrorMessage="1" sqref="N5:N84">
      <formula1>ContentStatusList</formula1>
    </dataValidation>
    <dataValidation type="date" allowBlank="1" showInputMessage="1" showErrorMessage="1" errorTitle="Check the date" error="Enter a real date between 2000 and 2100." sqref="O5:O84">
      <formula1>36526</formula1>
      <formula2>73415</formula2>
    </dataValidation>
    <dataValidation type="whole" allowBlank="1" showInputMessage="1" showErrorMessage="1" errorTitle="Check the value" error="Enter a number between 0 and 1000000000.0." sqref="P5:P84">
      <formula1>0</formula1>
      <formula2>1000000000.0</formula2>
    </dataValidation>
    <dataValidation type="whole" allowBlank="1" showInputMessage="1" showErrorMessage="1" errorTitle="Check the value" error="Enter a number between 0 and 100000000.0." sqref="Q5:Q84">
      <formula1>0</formula1>
      <formula2>100000000.0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&amp;L&amp;"Calibri,Bold"&amp;12&amp;C&amp;"Calibri,Bold"&amp;11Trends&amp;R&amp;"Calibri,Italic"&amp;9Social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29.xml><?xml version="1.0" encoding="utf-8"?>
<worksheet xmlns="http://schemas.openxmlformats.org/spreadsheetml/2006/main" xmlns:r="http://schemas.openxmlformats.org/officeDocument/2006/relationships">
  <sheetPr>
    <tabColor rgb="FF3B2A6B"/>
    <pageSetUpPr fitToPage="1"/>
  </sheetPr>
  <dimension ref="A1:AO154"/>
  <sheetViews>
    <sheetView workbookViewId="0">
      <pane xSplit="5" ySplit="4" topLeftCell="F5" activePane="bottomRight" state="frozen"/>
      <selection pane="topRight" activeCell="F1" sqref="F1"/>
      <selection pane="bottomLeft" activeCell="A5" sqref="A5"/>
      <selection pane="bottomRight"/>
    </sheetView>
  </sheetViews>
  <sheetFormatPr defaultRowHeight="15"/>
  <cols>
    <col min="1" max="1" width="9.7109375" style="41" customWidth="1"/>
    <col min="2" max="2" width="12.7109375" style="43" customWidth="1"/>
    <col min="3" max="3" width="10.7109375" style="17" customWidth="1"/>
    <col min="4" max="4" width="13.7109375" style="15" customWidth="1"/>
    <col min="5" max="5" width="20.7109375" style="15" customWidth="1"/>
    <col min="6" max="6" width="13.7109375" style="34" customWidth="1"/>
    <col min="7" max="7" width="13.7109375" style="34" customWidth="1"/>
    <col min="8" max="8" width="10.7109375" style="34" customWidth="1"/>
    <col min="9" max="9" width="11.7109375" style="34" customWidth="1"/>
    <col min="10" max="10" width="12.7109375" style="34" customWidth="1"/>
    <col min="11" max="11" width="12.7109375" style="34" customWidth="1"/>
    <col min="12" max="12" width="12.7109375" style="34" customWidth="1"/>
    <col min="13" max="13" width="10.7109375" style="34" customWidth="1"/>
    <col min="14" max="14" width="10.7109375" style="34" customWidth="1"/>
    <col min="15" max="15" width="10.7109375" style="34" customWidth="1"/>
    <col min="16" max="16" width="10.7109375" style="34" customWidth="1"/>
    <col min="17" max="17" width="12.7109375" style="34" customWidth="1"/>
    <col min="18" max="18" width="11.7109375" style="34" customWidth="1"/>
    <col min="19" max="19" width="12.7109375" style="34" customWidth="1"/>
    <col min="20" max="20" width="10.7109375" style="34" customWidth="1"/>
    <col min="21" max="21" width="13.7109375" style="36" customWidth="1"/>
    <col min="22" max="22" width="12.7109375" style="36" customWidth="1"/>
    <col min="23" max="23" width="12.7109375" style="23" customWidth="1"/>
    <col min="24" max="24" width="11.7109375" style="23" customWidth="1"/>
    <col min="25" max="25" width="11.7109375" style="24" customWidth="1"/>
    <col min="26" max="26" width="12.7109375" style="23" customWidth="1"/>
    <col min="27" max="27" width="12.7109375" style="24" customWidth="1"/>
    <col min="28" max="28" width="12.7109375" style="23" customWidth="1"/>
    <col min="29" max="29" width="13.7109375" style="23" customWidth="1"/>
    <col min="30" max="30" width="12.7109375" style="24" customWidth="1"/>
    <col min="31" max="31" width="11.7109375" style="24" customWidth="1"/>
    <col min="32" max="32" width="11.7109375" style="24" customWidth="1"/>
    <col min="33" max="33" width="11.7109375" style="24" customWidth="1"/>
    <col min="34" max="34" width="11.7109375" style="25" customWidth="1"/>
    <col min="35" max="35" width="12.7109375" style="31" customWidth="1"/>
    <col min="36" max="36" width="12.7109375" style="23" hidden="1" customWidth="1"/>
    <col min="37" max="37" width="13.7109375" style="24" customWidth="1"/>
    <col min="38" max="38" width="12.7109375" style="23" hidden="1" customWidth="1"/>
    <col min="39" max="39" width="13.7109375" style="29" customWidth="1"/>
    <col min="40" max="40" width="28.7109375" style="29" customWidth="1"/>
    <col min="41" max="41" width="26.7109375" style="39" customWidth="1"/>
  </cols>
  <sheetData>
    <row r="1" spans="1:41" ht="34" customHeight="1">
      <c r="A1" s="2" t="s">
        <v>1867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t="s">
        <v>1</v>
      </c>
      <c r="AN1" s="3"/>
      <c r="AO1" s="3"/>
    </row>
    <row r="2" spans="1:41" ht="18" customHeight="1">
      <c r="A2" s="4" t="s">
        <v>1868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1869</v>
      </c>
      <c r="T3" s="38"/>
      <c r="U3" s="38"/>
      <c r="V3" s="38"/>
      <c r="W3" s="38"/>
      <c r="X3" s="38"/>
      <c r="Y3" s="38"/>
      <c r="Z3" s="38"/>
      <c r="AA3" s="38"/>
      <c r="AB3" s="38"/>
      <c r="AC3" s="38"/>
      <c r="AD3" s="38"/>
      <c r="AE3" s="38"/>
      <c r="AF3" s="38"/>
      <c r="AG3" s="38"/>
      <c r="AH3" s="38"/>
      <c r="AI3" s="38"/>
      <c r="AJ3" s="38"/>
      <c r="AK3" s="38"/>
      <c r="AL3" s="38"/>
      <c r="AM3" s="38"/>
      <c r="AN3" s="38"/>
      <c r="AO3" s="38"/>
    </row>
    <row r="4" spans="1:41" ht="30" customHeight="1">
      <c r="A4" s="8" t="s">
        <v>766</v>
      </c>
      <c r="B4" s="8" t="s">
        <v>129</v>
      </c>
      <c r="C4" s="9" t="s">
        <v>133</v>
      </c>
      <c r="D4" s="9" t="s">
        <v>192</v>
      </c>
      <c r="E4" s="9" t="s">
        <v>1870</v>
      </c>
      <c r="F4" s="9" t="s">
        <v>1871</v>
      </c>
      <c r="G4" s="9" t="s">
        <v>1872</v>
      </c>
      <c r="H4" s="9" t="s">
        <v>1873</v>
      </c>
      <c r="I4" s="9" t="s">
        <v>1874</v>
      </c>
      <c r="J4" s="9" t="s">
        <v>149</v>
      </c>
      <c r="K4" s="9" t="s">
        <v>151</v>
      </c>
      <c r="L4" s="9" t="s">
        <v>153</v>
      </c>
      <c r="M4" s="9" t="s">
        <v>1875</v>
      </c>
      <c r="N4" s="9" t="s">
        <v>1402</v>
      </c>
      <c r="O4" s="9" t="s">
        <v>1401</v>
      </c>
      <c r="P4" s="9" t="s">
        <v>1400</v>
      </c>
      <c r="Q4" s="9" t="s">
        <v>1399</v>
      </c>
      <c r="R4" s="9" t="s">
        <v>166</v>
      </c>
      <c r="S4" s="9" t="s">
        <v>1876</v>
      </c>
      <c r="T4" s="9" t="s">
        <v>170</v>
      </c>
      <c r="U4" s="9" t="s">
        <v>172</v>
      </c>
      <c r="V4" s="9" t="s">
        <v>175</v>
      </c>
      <c r="W4" s="9" t="s">
        <v>1877</v>
      </c>
      <c r="X4" s="9" t="s">
        <v>1878</v>
      </c>
      <c r="Y4" s="9" t="s">
        <v>1879</v>
      </c>
      <c r="Z4" s="9" t="s">
        <v>1880</v>
      </c>
      <c r="AA4" s="9" t="s">
        <v>155</v>
      </c>
      <c r="AB4" s="9" t="s">
        <v>159</v>
      </c>
      <c r="AC4" s="9" t="s">
        <v>1881</v>
      </c>
      <c r="AD4" s="9" t="s">
        <v>1882</v>
      </c>
      <c r="AE4" s="9" t="s">
        <v>1883</v>
      </c>
      <c r="AF4" s="9" t="s">
        <v>1884</v>
      </c>
      <c r="AG4" s="9" t="s">
        <v>1624</v>
      </c>
      <c r="AH4" s="9" t="s">
        <v>181</v>
      </c>
      <c r="AI4" s="9" t="s">
        <v>179</v>
      </c>
      <c r="AJ4" s="9" t="s">
        <v>1885</v>
      </c>
      <c r="AK4" s="9" t="s">
        <v>1886</v>
      </c>
      <c r="AL4" s="9" t="s">
        <v>1887</v>
      </c>
      <c r="AM4" s="9" t="s">
        <v>922</v>
      </c>
      <c r="AN4" s="9" t="s">
        <v>787</v>
      </c>
      <c r="AO4" s="9" t="s">
        <v>788</v>
      </c>
    </row>
    <row r="5" spans="1:41">
      <c r="A5" s="41">
        <f>IF(E5="","","AN-"&amp;TEXT(ROW()-4,"0000"))</f>
        <v>0</v>
      </c>
      <c r="B5" s="43">
        <v>46235</v>
      </c>
      <c r="C5" s="17">
        <f>IF(B5="","",TEXT(B5,"yyyy-mm"))</f>
        <v>0</v>
      </c>
      <c r="D5" s="15" t="s">
        <v>376</v>
      </c>
      <c r="E5" s="15" t="s">
        <v>278</v>
      </c>
      <c r="F5" s="34">
        <v>7880</v>
      </c>
      <c r="G5" s="34">
        <v>8026</v>
      </c>
      <c r="H5" s="34">
        <v>15</v>
      </c>
      <c r="I5" s="34">
        <v>5</v>
      </c>
      <c r="J5" s="34">
        <v>21364</v>
      </c>
      <c r="K5" s="34">
        <v>26811</v>
      </c>
      <c r="L5" s="34">
        <v>1289</v>
      </c>
      <c r="M5" s="34">
        <v>953</v>
      </c>
      <c r="N5" s="34">
        <v>128</v>
      </c>
      <c r="O5" s="34">
        <v>103</v>
      </c>
      <c r="P5" s="34">
        <v>103</v>
      </c>
      <c r="Q5" s="34">
        <v>747</v>
      </c>
      <c r="R5" s="34">
        <v>253</v>
      </c>
      <c r="S5" s="34">
        <v>37</v>
      </c>
      <c r="T5" s="34">
        <v>11</v>
      </c>
      <c r="U5" s="36">
        <v>507.59</v>
      </c>
      <c r="V5" s="36">
        <v>122.72</v>
      </c>
      <c r="W5" s="23">
        <f>IF(G5="","",G5-N(F5)+N(H5))</f>
        <v>0</v>
      </c>
      <c r="X5" s="23">
        <f>IF(G5="","",G5-N(F5))</f>
        <v>0</v>
      </c>
      <c r="Y5" s="24">
        <f>IF(OR(F5="",F5=0),"",X5/F5)</f>
        <v>0</v>
      </c>
      <c r="Z5" s="23">
        <f>IF(OR(B5="",D5=""),"",COUNTIFS('Content Calendar'!$G$5:$G$604,D5,'Content Calendar'!$D$5:$D$604,C5,'Content Calendar'!$X$5:$X$604,"Published"))</f>
        <v>0</v>
      </c>
      <c r="AA5" s="24">
        <f>IF(OR(J5="",J5=0),"",N(L5)/J5)</f>
        <v>0</v>
      </c>
      <c r="AB5" s="23">
        <f>IF(OR(I5="",I5=0),"",ROUND(N(J5)/I5,0))</f>
        <v>0</v>
      </c>
      <c r="AC5" s="23">
        <f>IF(OR(I5="",I5=0),"",ROUND(N(L5)/I5,0))</f>
        <v>0</v>
      </c>
      <c r="AD5" s="24">
        <f>IF(OR(G5="",G5=0),"",N(J5)/G5)</f>
        <v>0</v>
      </c>
      <c r="AE5" s="24">
        <f>IF(OR(J5="",J5=0),"",N(R5)/J5)</f>
        <v>0</v>
      </c>
      <c r="AF5" s="24">
        <f>IF(OR(R5="",R5=0),"",N(S5)/R5)</f>
        <v>0</v>
      </c>
      <c r="AG5" s="24">
        <f>IF(OR(S5="",S5=0),"",N(T5)/S5)</f>
        <v>0</v>
      </c>
      <c r="AH5" s="25">
        <f>IF(OR(S5="",S5=0,V5=""),"",V5/S5)</f>
        <v>0</v>
      </c>
      <c r="AI5" s="31">
        <f>IF(OR(V5="",V5=0),"",N(U5)/V5)</f>
        <v>0</v>
      </c>
      <c r="AJ5" s="23">
        <f>IF(B5="","",SUMIFS(Analytics!$J$5:$J$154,Analytics!$E$5:$E$154,E5,Analytics!$C$5:$C$154,TEXT(EDATE(B5,-1),"yyyy-mm")))</f>
        <v>0</v>
      </c>
      <c r="AK5" s="24">
        <f>IF(OR(AJ5="",AJ5=0),"",N(J5)/AJ5-1)</f>
        <v>0</v>
      </c>
      <c r="AL5" s="23">
        <f>IF(B5="","",SUMIFS(Analytics!$G$5:$G$154,Analytics!$E$5:$E$154,E5,Analytics!$C$5:$C$154,TEXT(EDATE(B5,-1),"yyyy-mm")))</f>
        <v>0</v>
      </c>
      <c r="AM5" s="29">
        <f>IF(E5="","",IF(COUNTIFS(Analytics!$E$5:$E$154,E5,Analytics!$C$5:$C$154,C5)&gt;1,"Duplicate","OK"))</f>
        <v>0</v>
      </c>
      <c r="AN5" s="29">
        <f>IF(E5="","",IF(AM5="Duplicate","Duplicate - this month is entered twice",IF(AND(J5&lt;&gt;"",AA5&lt;TargetEngagement),"Check - engagement below target",IF(X5&lt;0,"Check - followers went down",IF(AND(I5&lt;&gt;"",Z5&lt;&gt;"",I5&lt;&gt;Z5),"Check - post count does not match the calendar","OK")))))</f>
        <v>0</v>
      </c>
      <c r="AO5" s="39" t="s">
        <v>205</v>
      </c>
    </row>
    <row r="6" spans="1:41">
      <c r="A6" s="41">
        <f>IF(E6="","","AN-"&amp;TEXT(ROW()-4,"0000"))</f>
        <v>0</v>
      </c>
      <c r="B6" s="43">
        <v>46266</v>
      </c>
      <c r="C6" s="17">
        <f>IF(B6="","",TEXT(B6,"yyyy-mm"))</f>
        <v>0</v>
      </c>
      <c r="D6" s="15" t="s">
        <v>376</v>
      </c>
      <c r="E6" s="15" t="s">
        <v>278</v>
      </c>
      <c r="F6" s="34">
        <v>8026</v>
      </c>
      <c r="G6" s="34">
        <v>8193</v>
      </c>
      <c r="H6" s="34">
        <v>19</v>
      </c>
      <c r="I6" s="34">
        <v>9</v>
      </c>
      <c r="J6" s="34">
        <v>39967</v>
      </c>
      <c r="K6" s="34">
        <v>49854</v>
      </c>
      <c r="L6" s="34">
        <v>1842</v>
      </c>
      <c r="M6" s="34">
        <v>1363</v>
      </c>
      <c r="N6" s="34">
        <v>184</v>
      </c>
      <c r="O6" s="34">
        <v>147</v>
      </c>
      <c r="P6" s="34">
        <v>147</v>
      </c>
      <c r="Q6" s="34">
        <v>1398</v>
      </c>
      <c r="R6" s="34">
        <v>273</v>
      </c>
      <c r="S6" s="34">
        <v>27</v>
      </c>
      <c r="T6" s="34">
        <v>9</v>
      </c>
      <c r="U6" s="36">
        <v>574.03</v>
      </c>
      <c r="V6" s="36">
        <v>103.46</v>
      </c>
      <c r="W6" s="23">
        <f>IF(G6="","",G6-N(F6)+N(H6))</f>
        <v>0</v>
      </c>
      <c r="X6" s="23">
        <f>IF(G6="","",G6-N(F6))</f>
        <v>0</v>
      </c>
      <c r="Y6" s="24">
        <f>IF(OR(F6="",F6=0),"",X6/F6)</f>
        <v>0</v>
      </c>
      <c r="Z6" s="23">
        <f>IF(OR(B6="",D6=""),"",COUNTIFS('Content Calendar'!$G$5:$G$604,D6,'Content Calendar'!$D$5:$D$604,C6,'Content Calendar'!$X$5:$X$604,"Published"))</f>
        <v>0</v>
      </c>
      <c r="AA6" s="24">
        <f>IF(OR(J6="",J6=0),"",N(L6)/J6)</f>
        <v>0</v>
      </c>
      <c r="AB6" s="23">
        <f>IF(OR(I6="",I6=0),"",ROUND(N(J6)/I6,0))</f>
        <v>0</v>
      </c>
      <c r="AC6" s="23">
        <f>IF(OR(I6="",I6=0),"",ROUND(N(L6)/I6,0))</f>
        <v>0</v>
      </c>
      <c r="AD6" s="24">
        <f>IF(OR(G6="",G6=0),"",N(J6)/G6)</f>
        <v>0</v>
      </c>
      <c r="AE6" s="24">
        <f>IF(OR(J6="",J6=0),"",N(R6)/J6)</f>
        <v>0</v>
      </c>
      <c r="AF6" s="24">
        <f>IF(OR(R6="",R6=0),"",N(S6)/R6)</f>
        <v>0</v>
      </c>
      <c r="AG6" s="24">
        <f>IF(OR(S6="",S6=0),"",N(T6)/S6)</f>
        <v>0</v>
      </c>
      <c r="AH6" s="25">
        <f>IF(OR(S6="",S6=0,V6=""),"",V6/S6)</f>
        <v>0</v>
      </c>
      <c r="AI6" s="31">
        <f>IF(OR(V6="",V6=0),"",N(U6)/V6)</f>
        <v>0</v>
      </c>
      <c r="AJ6" s="23">
        <f>IF(B6="","",SUMIFS(Analytics!$J$5:$J$154,Analytics!$E$5:$E$154,E6,Analytics!$C$5:$C$154,TEXT(EDATE(B6,-1),"yyyy-mm")))</f>
        <v>0</v>
      </c>
      <c r="AK6" s="24">
        <f>IF(OR(AJ6="",AJ6=0),"",N(J6)/AJ6-1)</f>
        <v>0</v>
      </c>
      <c r="AL6" s="23">
        <f>IF(B6="","",SUMIFS(Analytics!$G$5:$G$154,Analytics!$E$5:$E$154,E6,Analytics!$C$5:$C$154,TEXT(EDATE(B6,-1),"yyyy-mm")))</f>
        <v>0</v>
      </c>
      <c r="AM6" s="29">
        <f>IF(E6="","",IF(COUNTIFS(Analytics!$E$5:$E$154,E6,Analytics!$C$5:$C$154,C6)&gt;1,"Duplicate","OK"))</f>
        <v>0</v>
      </c>
      <c r="AN6" s="29">
        <f>IF(E6="","",IF(AM6="Duplicate","Duplicate - this month is entered twice",IF(AND(J6&lt;&gt;"",AA6&lt;TargetEngagement),"Check - engagement below target",IF(X6&lt;0,"Check - followers went down",IF(AND(I6&lt;&gt;"",Z6&lt;&gt;"",I6&lt;&gt;Z6),"Check - post count does not match the calendar","OK")))))</f>
        <v>0</v>
      </c>
      <c r="AO6" s="39" t="s">
        <v>205</v>
      </c>
    </row>
    <row r="7" spans="1:41">
      <c r="A7" s="41">
        <f>IF(E7="","","AN-"&amp;TEXT(ROW()-4,"0000"))</f>
        <v>0</v>
      </c>
      <c r="B7" s="43">
        <v>46296</v>
      </c>
      <c r="C7" s="17">
        <f>IF(B7="","",TEXT(B7,"yyyy-mm"))</f>
        <v>0</v>
      </c>
      <c r="D7" s="15" t="s">
        <v>376</v>
      </c>
      <c r="E7" s="15" t="s">
        <v>278</v>
      </c>
      <c r="F7" s="34">
        <v>8193</v>
      </c>
      <c r="G7" s="34">
        <v>8344</v>
      </c>
      <c r="H7" s="34">
        <v>28</v>
      </c>
      <c r="I7" s="34">
        <v>4</v>
      </c>
      <c r="J7" s="34">
        <v>17110</v>
      </c>
      <c r="K7" s="34">
        <v>20890</v>
      </c>
      <c r="L7" s="34">
        <v>1065</v>
      </c>
      <c r="M7" s="34">
        <v>788</v>
      </c>
      <c r="N7" s="34">
        <v>106</v>
      </c>
      <c r="O7" s="34">
        <v>85</v>
      </c>
      <c r="P7" s="34">
        <v>85</v>
      </c>
      <c r="Q7" s="34">
        <v>598</v>
      </c>
      <c r="R7" s="34">
        <v>201</v>
      </c>
      <c r="S7" s="34">
        <v>21</v>
      </c>
      <c r="T7" s="34">
        <v>6</v>
      </c>
      <c r="U7" s="36">
        <v>351.38</v>
      </c>
      <c r="V7" s="36">
        <v>130.08</v>
      </c>
      <c r="W7" s="23">
        <f>IF(G7="","",G7-N(F7)+N(H7))</f>
        <v>0</v>
      </c>
      <c r="X7" s="23">
        <f>IF(G7="","",G7-N(F7))</f>
        <v>0</v>
      </c>
      <c r="Y7" s="24">
        <f>IF(OR(F7="",F7=0),"",X7/F7)</f>
        <v>0</v>
      </c>
      <c r="Z7" s="23">
        <f>IF(OR(B7="",D7=""),"",COUNTIFS('Content Calendar'!$G$5:$G$604,D7,'Content Calendar'!$D$5:$D$604,C7,'Content Calendar'!$X$5:$X$604,"Published"))</f>
        <v>0</v>
      </c>
      <c r="AA7" s="24">
        <f>IF(OR(J7="",J7=0),"",N(L7)/J7)</f>
        <v>0</v>
      </c>
      <c r="AB7" s="23">
        <f>IF(OR(I7="",I7=0),"",ROUND(N(J7)/I7,0))</f>
        <v>0</v>
      </c>
      <c r="AC7" s="23">
        <f>IF(OR(I7="",I7=0),"",ROUND(N(L7)/I7,0))</f>
        <v>0</v>
      </c>
      <c r="AD7" s="24">
        <f>IF(OR(G7="",G7=0),"",N(J7)/G7)</f>
        <v>0</v>
      </c>
      <c r="AE7" s="24">
        <f>IF(OR(J7="",J7=0),"",N(R7)/J7)</f>
        <v>0</v>
      </c>
      <c r="AF7" s="24">
        <f>IF(OR(R7="",R7=0),"",N(S7)/R7)</f>
        <v>0</v>
      </c>
      <c r="AG7" s="24">
        <f>IF(OR(S7="",S7=0),"",N(T7)/S7)</f>
        <v>0</v>
      </c>
      <c r="AH7" s="25">
        <f>IF(OR(S7="",S7=0,V7=""),"",V7/S7)</f>
        <v>0</v>
      </c>
      <c r="AI7" s="31">
        <f>IF(OR(V7="",V7=0),"",N(U7)/V7)</f>
        <v>0</v>
      </c>
      <c r="AJ7" s="23">
        <f>IF(B7="","",SUMIFS(Analytics!$J$5:$J$154,Analytics!$E$5:$E$154,E7,Analytics!$C$5:$C$154,TEXT(EDATE(B7,-1),"yyyy-mm")))</f>
        <v>0</v>
      </c>
      <c r="AK7" s="24">
        <f>IF(OR(AJ7="",AJ7=0),"",N(J7)/AJ7-1)</f>
        <v>0</v>
      </c>
      <c r="AL7" s="23">
        <f>IF(B7="","",SUMIFS(Analytics!$G$5:$G$154,Analytics!$E$5:$E$154,E7,Analytics!$C$5:$C$154,TEXT(EDATE(B7,-1),"yyyy-mm")))</f>
        <v>0</v>
      </c>
      <c r="AM7" s="29">
        <f>IF(E7="","",IF(COUNTIFS(Analytics!$E$5:$E$154,E7,Analytics!$C$5:$C$154,C7)&gt;1,"Duplicate","OK"))</f>
        <v>0</v>
      </c>
      <c r="AN7" s="29">
        <f>IF(E7="","",IF(AM7="Duplicate","Duplicate - this month is entered twice",IF(AND(J7&lt;&gt;"",AA7&lt;TargetEngagement),"Check - engagement below target",IF(X7&lt;0,"Check - followers went down",IF(AND(I7&lt;&gt;"",Z7&lt;&gt;"",I7&lt;&gt;Z7),"Check - post count does not match the calendar","OK")))))</f>
        <v>0</v>
      </c>
      <c r="AO7" s="39" t="s">
        <v>205</v>
      </c>
    </row>
    <row r="8" spans="1:41">
      <c r="A8" s="41">
        <f>IF(E8="","","AN-"&amp;TEXT(ROW()-4,"0000"))</f>
        <v>0</v>
      </c>
      <c r="B8" s="43">
        <v>46235</v>
      </c>
      <c r="C8" s="17">
        <f>IF(B8="","",TEXT(B8,"yyyy-mm"))</f>
        <v>0</v>
      </c>
      <c r="D8" s="15" t="s">
        <v>377</v>
      </c>
      <c r="E8" s="15" t="s">
        <v>278</v>
      </c>
      <c r="F8" s="34">
        <v>4480</v>
      </c>
      <c r="G8" s="34">
        <v>4705</v>
      </c>
      <c r="H8" s="34">
        <v>18</v>
      </c>
      <c r="I8" s="34">
        <v>2</v>
      </c>
      <c r="J8" s="34">
        <v>21805</v>
      </c>
      <c r="K8" s="34">
        <v>29975</v>
      </c>
      <c r="L8" s="34">
        <v>1188</v>
      </c>
      <c r="M8" s="34">
        <v>879</v>
      </c>
      <c r="N8" s="34">
        <v>118</v>
      </c>
      <c r="O8" s="34">
        <v>95</v>
      </c>
      <c r="P8" s="34">
        <v>95</v>
      </c>
      <c r="Q8" s="34">
        <v>763</v>
      </c>
      <c r="R8" s="34">
        <v>165</v>
      </c>
      <c r="S8" s="34">
        <v>25</v>
      </c>
      <c r="T8" s="34">
        <v>5</v>
      </c>
      <c r="U8" s="36">
        <v>203.4</v>
      </c>
      <c r="V8" s="36">
        <v>61.32</v>
      </c>
      <c r="W8" s="23">
        <f>IF(G8="","",G8-N(F8)+N(H8))</f>
        <v>0</v>
      </c>
      <c r="X8" s="23">
        <f>IF(G8="","",G8-N(F8))</f>
        <v>0</v>
      </c>
      <c r="Y8" s="24">
        <f>IF(OR(F8="",F8=0),"",X8/F8)</f>
        <v>0</v>
      </c>
      <c r="Z8" s="23">
        <f>IF(OR(B8="",D8=""),"",COUNTIFS('Content Calendar'!$G$5:$G$604,D8,'Content Calendar'!$D$5:$D$604,C8,'Content Calendar'!$X$5:$X$604,"Published"))</f>
        <v>0</v>
      </c>
      <c r="AA8" s="24">
        <f>IF(OR(J8="",J8=0),"",N(L8)/J8)</f>
        <v>0</v>
      </c>
      <c r="AB8" s="23">
        <f>IF(OR(I8="",I8=0),"",ROUND(N(J8)/I8,0))</f>
        <v>0</v>
      </c>
      <c r="AC8" s="23">
        <f>IF(OR(I8="",I8=0),"",ROUND(N(L8)/I8,0))</f>
        <v>0</v>
      </c>
      <c r="AD8" s="24">
        <f>IF(OR(G8="",G8=0),"",N(J8)/G8)</f>
        <v>0</v>
      </c>
      <c r="AE8" s="24">
        <f>IF(OR(J8="",J8=0),"",N(R8)/J8)</f>
        <v>0</v>
      </c>
      <c r="AF8" s="24">
        <f>IF(OR(R8="",R8=0),"",N(S8)/R8)</f>
        <v>0</v>
      </c>
      <c r="AG8" s="24">
        <f>IF(OR(S8="",S8=0),"",N(T8)/S8)</f>
        <v>0</v>
      </c>
      <c r="AH8" s="25">
        <f>IF(OR(S8="",S8=0,V8=""),"",V8/S8)</f>
        <v>0</v>
      </c>
      <c r="AI8" s="31">
        <f>IF(OR(V8="",V8=0),"",N(U8)/V8)</f>
        <v>0</v>
      </c>
      <c r="AJ8" s="23">
        <f>IF(B8="","",SUMIFS(Analytics!$J$5:$J$154,Analytics!$E$5:$E$154,E8,Analytics!$C$5:$C$154,TEXT(EDATE(B8,-1),"yyyy-mm")))</f>
        <v>0</v>
      </c>
      <c r="AK8" s="24">
        <f>IF(OR(AJ8="",AJ8=0),"",N(J8)/AJ8-1)</f>
        <v>0</v>
      </c>
      <c r="AL8" s="23">
        <f>IF(B8="","",SUMIFS(Analytics!$G$5:$G$154,Analytics!$E$5:$E$154,E8,Analytics!$C$5:$C$154,TEXT(EDATE(B8,-1),"yyyy-mm")))</f>
        <v>0</v>
      </c>
      <c r="AM8" s="29">
        <f>IF(E8="","",IF(COUNTIFS(Analytics!$E$5:$E$154,E8,Analytics!$C$5:$C$154,C8)&gt;1,"Duplicate","OK"))</f>
        <v>0</v>
      </c>
      <c r="AN8" s="29">
        <f>IF(E8="","",IF(AM8="Duplicate","Duplicate - this month is entered twice",IF(AND(J8&lt;&gt;"",AA8&lt;TargetEngagement),"Check - engagement below target",IF(X8&lt;0,"Check - followers went down",IF(AND(I8&lt;&gt;"",Z8&lt;&gt;"",I8&lt;&gt;Z8),"Check - post count does not match the calendar","OK")))))</f>
        <v>0</v>
      </c>
      <c r="AO8" s="39" t="s">
        <v>205</v>
      </c>
    </row>
    <row r="9" spans="1:41">
      <c r="A9" s="41">
        <f>IF(E9="","","AN-"&amp;TEXT(ROW()-4,"0000"))</f>
        <v>0</v>
      </c>
      <c r="B9" s="43">
        <v>46266</v>
      </c>
      <c r="C9" s="17">
        <f>IF(B9="","",TEXT(B9,"yyyy-mm"))</f>
        <v>0</v>
      </c>
      <c r="D9" s="15" t="s">
        <v>377</v>
      </c>
      <c r="E9" s="15" t="s">
        <v>278</v>
      </c>
      <c r="F9" s="34">
        <v>4705</v>
      </c>
      <c r="G9" s="34">
        <v>4994</v>
      </c>
      <c r="H9" s="34">
        <v>9</v>
      </c>
      <c r="I9" s="34">
        <v>4</v>
      </c>
      <c r="J9" s="34">
        <v>40385</v>
      </c>
      <c r="K9" s="34">
        <v>59307</v>
      </c>
      <c r="L9" s="34">
        <v>1522</v>
      </c>
      <c r="M9" s="34">
        <v>1126</v>
      </c>
      <c r="N9" s="34">
        <v>152</v>
      </c>
      <c r="O9" s="34">
        <v>121</v>
      </c>
      <c r="P9" s="34">
        <v>121</v>
      </c>
      <c r="Q9" s="34">
        <v>1413</v>
      </c>
      <c r="R9" s="34">
        <v>721</v>
      </c>
      <c r="S9" s="34">
        <v>114</v>
      </c>
      <c r="T9" s="34">
        <v>34</v>
      </c>
      <c r="U9" s="36">
        <v>2411.32</v>
      </c>
      <c r="V9" s="36">
        <v>82.41</v>
      </c>
      <c r="W9" s="23">
        <f>IF(G9="","",G9-N(F9)+N(H9))</f>
        <v>0</v>
      </c>
      <c r="X9" s="23">
        <f>IF(G9="","",G9-N(F9))</f>
        <v>0</v>
      </c>
      <c r="Y9" s="24">
        <f>IF(OR(F9="",F9=0),"",X9/F9)</f>
        <v>0</v>
      </c>
      <c r="Z9" s="23">
        <f>IF(OR(B9="",D9=""),"",COUNTIFS('Content Calendar'!$G$5:$G$604,D9,'Content Calendar'!$D$5:$D$604,C9,'Content Calendar'!$X$5:$X$604,"Published"))</f>
        <v>0</v>
      </c>
      <c r="AA9" s="24">
        <f>IF(OR(J9="",J9=0),"",N(L9)/J9)</f>
        <v>0</v>
      </c>
      <c r="AB9" s="23">
        <f>IF(OR(I9="",I9=0),"",ROUND(N(J9)/I9,0))</f>
        <v>0</v>
      </c>
      <c r="AC9" s="23">
        <f>IF(OR(I9="",I9=0),"",ROUND(N(L9)/I9,0))</f>
        <v>0</v>
      </c>
      <c r="AD9" s="24">
        <f>IF(OR(G9="",G9=0),"",N(J9)/G9)</f>
        <v>0</v>
      </c>
      <c r="AE9" s="24">
        <f>IF(OR(J9="",J9=0),"",N(R9)/J9)</f>
        <v>0</v>
      </c>
      <c r="AF9" s="24">
        <f>IF(OR(R9="",R9=0),"",N(S9)/R9)</f>
        <v>0</v>
      </c>
      <c r="AG9" s="24">
        <f>IF(OR(S9="",S9=0),"",N(T9)/S9)</f>
        <v>0</v>
      </c>
      <c r="AH9" s="25">
        <f>IF(OR(S9="",S9=0,V9=""),"",V9/S9)</f>
        <v>0</v>
      </c>
      <c r="AI9" s="31">
        <f>IF(OR(V9="",V9=0),"",N(U9)/V9)</f>
        <v>0</v>
      </c>
      <c r="AJ9" s="23">
        <f>IF(B9="","",SUMIFS(Analytics!$J$5:$J$154,Analytics!$E$5:$E$154,E9,Analytics!$C$5:$C$154,TEXT(EDATE(B9,-1),"yyyy-mm")))</f>
        <v>0</v>
      </c>
      <c r="AK9" s="24">
        <f>IF(OR(AJ9="",AJ9=0),"",N(J9)/AJ9-1)</f>
        <v>0</v>
      </c>
      <c r="AL9" s="23">
        <f>IF(B9="","",SUMIFS(Analytics!$G$5:$G$154,Analytics!$E$5:$E$154,E9,Analytics!$C$5:$C$154,TEXT(EDATE(B9,-1),"yyyy-mm")))</f>
        <v>0</v>
      </c>
      <c r="AM9" s="29">
        <f>IF(E9="","",IF(COUNTIFS(Analytics!$E$5:$E$154,E9,Analytics!$C$5:$C$154,C9)&gt;1,"Duplicate","OK"))</f>
        <v>0</v>
      </c>
      <c r="AN9" s="29">
        <f>IF(E9="","",IF(AM9="Duplicate","Duplicate - this month is entered twice",IF(AND(J9&lt;&gt;"",AA9&lt;TargetEngagement),"Check - engagement below target",IF(X9&lt;0,"Check - followers went down",IF(AND(I9&lt;&gt;"",Z9&lt;&gt;"",I9&lt;&gt;Z9),"Check - post count does not match the calendar","OK")))))</f>
        <v>0</v>
      </c>
      <c r="AO9" s="39" t="s">
        <v>205</v>
      </c>
    </row>
    <row r="10" spans="1:41">
      <c r="A10" s="41">
        <f>IF(E10="","","AN-"&amp;TEXT(ROW()-4,"0000"))</f>
        <v>0</v>
      </c>
      <c r="B10" s="43">
        <v>46296</v>
      </c>
      <c r="C10" s="17">
        <f>IF(B10="","",TEXT(B10,"yyyy-mm"))</f>
        <v>0</v>
      </c>
      <c r="D10" s="15" t="s">
        <v>377</v>
      </c>
      <c r="E10" s="15" t="s">
        <v>278</v>
      </c>
      <c r="F10" s="34">
        <v>4994</v>
      </c>
      <c r="G10" s="34">
        <v>5226</v>
      </c>
      <c r="H10" s="34">
        <v>8</v>
      </c>
      <c r="I10" s="34">
        <v>2</v>
      </c>
      <c r="J10" s="34">
        <v>19700</v>
      </c>
      <c r="K10" s="34">
        <v>27318</v>
      </c>
      <c r="L10" s="34">
        <v>1319</v>
      </c>
      <c r="M10" s="34">
        <v>976</v>
      </c>
      <c r="N10" s="34">
        <v>131</v>
      </c>
      <c r="O10" s="34">
        <v>105</v>
      </c>
      <c r="P10" s="34">
        <v>105</v>
      </c>
      <c r="Q10" s="34">
        <v>689</v>
      </c>
      <c r="R10" s="34">
        <v>210</v>
      </c>
      <c r="S10" s="34">
        <v>30</v>
      </c>
      <c r="T10" s="34">
        <v>6</v>
      </c>
      <c r="U10" s="36">
        <v>380.86</v>
      </c>
      <c r="V10" s="36">
        <v>65.37</v>
      </c>
      <c r="W10" s="23">
        <f>IF(G10="","",G10-N(F10)+N(H10))</f>
        <v>0</v>
      </c>
      <c r="X10" s="23">
        <f>IF(G10="","",G10-N(F10))</f>
        <v>0</v>
      </c>
      <c r="Y10" s="24">
        <f>IF(OR(F10="",F10=0),"",X10/F10)</f>
        <v>0</v>
      </c>
      <c r="Z10" s="23">
        <f>IF(OR(B10="",D10=""),"",COUNTIFS('Content Calendar'!$G$5:$G$604,D10,'Content Calendar'!$D$5:$D$604,C10,'Content Calendar'!$X$5:$X$604,"Published"))</f>
        <v>0</v>
      </c>
      <c r="AA10" s="24">
        <f>IF(OR(J10="",J10=0),"",N(L10)/J10)</f>
        <v>0</v>
      </c>
      <c r="AB10" s="23">
        <f>IF(OR(I10="",I10=0),"",ROUND(N(J10)/I10,0))</f>
        <v>0</v>
      </c>
      <c r="AC10" s="23">
        <f>IF(OR(I10="",I10=0),"",ROUND(N(L10)/I10,0))</f>
        <v>0</v>
      </c>
      <c r="AD10" s="24">
        <f>IF(OR(G10="",G10=0),"",N(J10)/G10)</f>
        <v>0</v>
      </c>
      <c r="AE10" s="24">
        <f>IF(OR(J10="",J10=0),"",N(R10)/J10)</f>
        <v>0</v>
      </c>
      <c r="AF10" s="24">
        <f>IF(OR(R10="",R10=0),"",N(S10)/R10)</f>
        <v>0</v>
      </c>
      <c r="AG10" s="24">
        <f>IF(OR(S10="",S10=0),"",N(T10)/S10)</f>
        <v>0</v>
      </c>
      <c r="AH10" s="25">
        <f>IF(OR(S10="",S10=0,V10=""),"",V10/S10)</f>
        <v>0</v>
      </c>
      <c r="AI10" s="31">
        <f>IF(OR(V10="",V10=0),"",N(U10)/V10)</f>
        <v>0</v>
      </c>
      <c r="AJ10" s="23">
        <f>IF(B10="","",SUMIFS(Analytics!$J$5:$J$154,Analytics!$E$5:$E$154,E10,Analytics!$C$5:$C$154,TEXT(EDATE(B10,-1),"yyyy-mm")))</f>
        <v>0</v>
      </c>
      <c r="AK10" s="24">
        <f>IF(OR(AJ10="",AJ10=0),"",N(J10)/AJ10-1)</f>
        <v>0</v>
      </c>
      <c r="AL10" s="23">
        <f>IF(B10="","",SUMIFS(Analytics!$G$5:$G$154,Analytics!$E$5:$E$154,E10,Analytics!$C$5:$C$154,TEXT(EDATE(B10,-1),"yyyy-mm")))</f>
        <v>0</v>
      </c>
      <c r="AM10" s="29">
        <f>IF(E10="","",IF(COUNTIFS(Analytics!$E$5:$E$154,E10,Analytics!$C$5:$C$154,C10)&gt;1,"Duplicate","OK"))</f>
        <v>0</v>
      </c>
      <c r="AN10" s="29">
        <f>IF(E10="","",IF(AM10="Duplicate","Duplicate - this month is entered twice",IF(AND(J10&lt;&gt;"",AA10&lt;TargetEngagement),"Check - engagement below target",IF(X10&lt;0,"Check - followers went down",IF(AND(I10&lt;&gt;"",Z10&lt;&gt;"",I10&lt;&gt;Z10),"Check - post count does not match the calendar","OK")))))</f>
        <v>0</v>
      </c>
      <c r="AO10" s="39" t="s">
        <v>205</v>
      </c>
    </row>
    <row r="11" spans="1:41">
      <c r="A11" s="41">
        <f>IF(E11="","","AN-"&amp;TEXT(ROW()-4,"0000"))</f>
        <v>0</v>
      </c>
      <c r="B11" s="43">
        <v>46235</v>
      </c>
      <c r="C11" s="17">
        <f>IF(B11="","",TEXT(B11,"yyyy-mm"))</f>
        <v>0</v>
      </c>
      <c r="D11" s="15" t="s">
        <v>378</v>
      </c>
      <c r="E11" s="15" t="s">
        <v>278</v>
      </c>
      <c r="F11" s="34">
        <v>2910</v>
      </c>
      <c r="G11" s="34">
        <v>2987</v>
      </c>
      <c r="H11" s="34">
        <v>20</v>
      </c>
      <c r="I11" s="34">
        <v>2</v>
      </c>
      <c r="J11" s="34">
        <v>8441</v>
      </c>
      <c r="K11" s="34">
        <v>10750</v>
      </c>
      <c r="L11" s="34">
        <v>479</v>
      </c>
      <c r="M11" s="34">
        <v>354</v>
      </c>
      <c r="N11" s="34">
        <v>47</v>
      </c>
      <c r="O11" s="34">
        <v>38</v>
      </c>
      <c r="P11" s="34">
        <v>38</v>
      </c>
      <c r="Q11" s="34">
        <v>295</v>
      </c>
      <c r="R11" s="34">
        <v>85</v>
      </c>
      <c r="S11" s="34">
        <v>9</v>
      </c>
      <c r="T11" s="34">
        <v>2</v>
      </c>
      <c r="U11" s="36">
        <v>134.49</v>
      </c>
      <c r="V11" s="36">
        <v>39.7</v>
      </c>
      <c r="W11" s="23">
        <f>IF(G11="","",G11-N(F11)+N(H11))</f>
        <v>0</v>
      </c>
      <c r="X11" s="23">
        <f>IF(G11="","",G11-N(F11))</f>
        <v>0</v>
      </c>
      <c r="Y11" s="24">
        <f>IF(OR(F11="",F11=0),"",X11/F11)</f>
        <v>0</v>
      </c>
      <c r="Z11" s="23">
        <f>IF(OR(B11="",D11=""),"",COUNTIFS('Content Calendar'!$G$5:$G$604,D11,'Content Calendar'!$D$5:$D$604,C11,'Content Calendar'!$X$5:$X$604,"Published"))</f>
        <v>0</v>
      </c>
      <c r="AA11" s="24">
        <f>IF(OR(J11="",J11=0),"",N(L11)/J11)</f>
        <v>0</v>
      </c>
      <c r="AB11" s="23">
        <f>IF(OR(I11="",I11=0),"",ROUND(N(J11)/I11,0))</f>
        <v>0</v>
      </c>
      <c r="AC11" s="23">
        <f>IF(OR(I11="",I11=0),"",ROUND(N(L11)/I11,0))</f>
        <v>0</v>
      </c>
      <c r="AD11" s="24">
        <f>IF(OR(G11="",G11=0),"",N(J11)/G11)</f>
        <v>0</v>
      </c>
      <c r="AE11" s="24">
        <f>IF(OR(J11="",J11=0),"",N(R11)/J11)</f>
        <v>0</v>
      </c>
      <c r="AF11" s="24">
        <f>IF(OR(R11="",R11=0),"",N(S11)/R11)</f>
        <v>0</v>
      </c>
      <c r="AG11" s="24">
        <f>IF(OR(S11="",S11=0),"",N(T11)/S11)</f>
        <v>0</v>
      </c>
      <c r="AH11" s="25">
        <f>IF(OR(S11="",S11=0,V11=""),"",V11/S11)</f>
        <v>0</v>
      </c>
      <c r="AI11" s="31">
        <f>IF(OR(V11="",V11=0),"",N(U11)/V11)</f>
        <v>0</v>
      </c>
      <c r="AJ11" s="23">
        <f>IF(B11="","",SUMIFS(Analytics!$J$5:$J$154,Analytics!$E$5:$E$154,E11,Analytics!$C$5:$C$154,TEXT(EDATE(B11,-1),"yyyy-mm")))</f>
        <v>0</v>
      </c>
      <c r="AK11" s="24">
        <f>IF(OR(AJ11="",AJ11=0),"",N(J11)/AJ11-1)</f>
        <v>0</v>
      </c>
      <c r="AL11" s="23">
        <f>IF(B11="","",SUMIFS(Analytics!$G$5:$G$154,Analytics!$E$5:$E$154,E11,Analytics!$C$5:$C$154,TEXT(EDATE(B11,-1),"yyyy-mm")))</f>
        <v>0</v>
      </c>
      <c r="AM11" s="29">
        <f>IF(E11="","",IF(COUNTIFS(Analytics!$E$5:$E$154,E11,Analytics!$C$5:$C$154,C11)&gt;1,"Duplicate","OK"))</f>
        <v>0</v>
      </c>
      <c r="AN11" s="29">
        <f>IF(E11="","",IF(AM11="Duplicate","Duplicate - this month is entered twice",IF(AND(J11&lt;&gt;"",AA11&lt;TargetEngagement),"Check - engagement below target",IF(X11&lt;0,"Check - followers went down",IF(AND(I11&lt;&gt;"",Z11&lt;&gt;"",I11&lt;&gt;Z11),"Check - post count does not match the calendar","OK")))))</f>
        <v>0</v>
      </c>
      <c r="AO11" s="39" t="s">
        <v>205</v>
      </c>
    </row>
    <row r="12" spans="1:41">
      <c r="A12" s="41">
        <f>IF(E12="","","AN-"&amp;TEXT(ROW()-4,"0000"))</f>
        <v>0</v>
      </c>
      <c r="B12" s="43">
        <v>46266</v>
      </c>
      <c r="C12" s="17">
        <f>IF(B12="","",TEXT(B12,"yyyy-mm"))</f>
        <v>0</v>
      </c>
      <c r="D12" s="15" t="s">
        <v>378</v>
      </c>
      <c r="E12" s="15" t="s">
        <v>278</v>
      </c>
      <c r="F12" s="34">
        <v>2987</v>
      </c>
      <c r="G12" s="34">
        <v>3080</v>
      </c>
      <c r="H12" s="34">
        <v>4</v>
      </c>
      <c r="I12" s="34">
        <v>4</v>
      </c>
      <c r="J12" s="34">
        <v>14435</v>
      </c>
      <c r="K12" s="34">
        <v>20572</v>
      </c>
      <c r="L12" s="34">
        <v>838</v>
      </c>
      <c r="M12" s="34">
        <v>620</v>
      </c>
      <c r="N12" s="34">
        <v>83</v>
      </c>
      <c r="O12" s="34">
        <v>67</v>
      </c>
      <c r="P12" s="34">
        <v>67</v>
      </c>
      <c r="Q12" s="34">
        <v>505</v>
      </c>
      <c r="R12" s="34">
        <v>182</v>
      </c>
      <c r="S12" s="34">
        <v>27</v>
      </c>
      <c r="T12" s="34">
        <v>7</v>
      </c>
      <c r="U12" s="36">
        <v>441.38</v>
      </c>
      <c r="V12" s="36">
        <v>51.39</v>
      </c>
      <c r="W12" s="23">
        <f>IF(G12="","",G12-N(F12)+N(H12))</f>
        <v>0</v>
      </c>
      <c r="X12" s="23">
        <f>IF(G12="","",G12-N(F12))</f>
        <v>0</v>
      </c>
      <c r="Y12" s="24">
        <f>IF(OR(F12="",F12=0),"",X12/F12)</f>
        <v>0</v>
      </c>
      <c r="Z12" s="23">
        <f>IF(OR(B12="",D12=""),"",COUNTIFS('Content Calendar'!$G$5:$G$604,D12,'Content Calendar'!$D$5:$D$604,C12,'Content Calendar'!$X$5:$X$604,"Published"))</f>
        <v>0</v>
      </c>
      <c r="AA12" s="24">
        <f>IF(OR(J12="",J12=0),"",N(L12)/J12)</f>
        <v>0</v>
      </c>
      <c r="AB12" s="23">
        <f>IF(OR(I12="",I12=0),"",ROUND(N(J12)/I12,0))</f>
        <v>0</v>
      </c>
      <c r="AC12" s="23">
        <f>IF(OR(I12="",I12=0),"",ROUND(N(L12)/I12,0))</f>
        <v>0</v>
      </c>
      <c r="AD12" s="24">
        <f>IF(OR(G12="",G12=0),"",N(J12)/G12)</f>
        <v>0</v>
      </c>
      <c r="AE12" s="24">
        <f>IF(OR(J12="",J12=0),"",N(R12)/J12)</f>
        <v>0</v>
      </c>
      <c r="AF12" s="24">
        <f>IF(OR(R12="",R12=0),"",N(S12)/R12)</f>
        <v>0</v>
      </c>
      <c r="AG12" s="24">
        <f>IF(OR(S12="",S12=0),"",N(T12)/S12)</f>
        <v>0</v>
      </c>
      <c r="AH12" s="25">
        <f>IF(OR(S12="",S12=0,V12=""),"",V12/S12)</f>
        <v>0</v>
      </c>
      <c r="AI12" s="31">
        <f>IF(OR(V12="",V12=0),"",N(U12)/V12)</f>
        <v>0</v>
      </c>
      <c r="AJ12" s="23">
        <f>IF(B12="","",SUMIFS(Analytics!$J$5:$J$154,Analytics!$E$5:$E$154,E12,Analytics!$C$5:$C$154,TEXT(EDATE(B12,-1),"yyyy-mm")))</f>
        <v>0</v>
      </c>
      <c r="AK12" s="24">
        <f>IF(OR(AJ12="",AJ12=0),"",N(J12)/AJ12-1)</f>
        <v>0</v>
      </c>
      <c r="AL12" s="23">
        <f>IF(B12="","",SUMIFS(Analytics!$G$5:$G$154,Analytics!$E$5:$E$154,E12,Analytics!$C$5:$C$154,TEXT(EDATE(B12,-1),"yyyy-mm")))</f>
        <v>0</v>
      </c>
      <c r="AM12" s="29">
        <f>IF(E12="","",IF(COUNTIFS(Analytics!$E$5:$E$154,E12,Analytics!$C$5:$C$154,C12)&gt;1,"Duplicate","OK"))</f>
        <v>0</v>
      </c>
      <c r="AN12" s="29">
        <f>IF(E12="","",IF(AM12="Duplicate","Duplicate - this month is entered twice",IF(AND(J12&lt;&gt;"",AA12&lt;TargetEngagement),"Check - engagement below target",IF(X12&lt;0,"Check - followers went down",IF(AND(I12&lt;&gt;"",Z12&lt;&gt;"",I12&lt;&gt;Z12),"Check - post count does not match the calendar","OK")))))</f>
        <v>0</v>
      </c>
      <c r="AO12" s="39" t="s">
        <v>205</v>
      </c>
    </row>
    <row r="13" spans="1:41">
      <c r="A13" s="41">
        <f>IF(E13="","","AN-"&amp;TEXT(ROW()-4,"0000"))</f>
        <v>0</v>
      </c>
      <c r="B13" s="43">
        <v>46296</v>
      </c>
      <c r="C13" s="17">
        <f>IF(B13="","",TEXT(B13,"yyyy-mm"))</f>
        <v>0</v>
      </c>
      <c r="D13" s="15" t="s">
        <v>378</v>
      </c>
      <c r="E13" s="15" t="s">
        <v>278</v>
      </c>
      <c r="F13" s="34">
        <v>3080</v>
      </c>
      <c r="G13" s="34">
        <v>3119</v>
      </c>
      <c r="H13" s="34">
        <v>24</v>
      </c>
      <c r="I13" s="34">
        <v>1</v>
      </c>
      <c r="J13" s="34">
        <v>3562</v>
      </c>
      <c r="K13" s="34">
        <v>5074</v>
      </c>
      <c r="L13" s="34">
        <v>160</v>
      </c>
      <c r="M13" s="34">
        <v>118</v>
      </c>
      <c r="N13" s="34">
        <v>16</v>
      </c>
      <c r="O13" s="34">
        <v>12</v>
      </c>
      <c r="P13" s="34">
        <v>12</v>
      </c>
      <c r="Q13" s="34">
        <v>124</v>
      </c>
      <c r="R13" s="34">
        <v>69</v>
      </c>
      <c r="S13" s="34">
        <v>11</v>
      </c>
      <c r="T13" s="34">
        <v>4</v>
      </c>
      <c r="U13" s="36">
        <v>206.18</v>
      </c>
      <c r="V13" s="36">
        <v>32.17</v>
      </c>
      <c r="W13" s="23">
        <f>IF(G13="","",G13-N(F13)+N(H13))</f>
        <v>0</v>
      </c>
      <c r="X13" s="23">
        <f>IF(G13="","",G13-N(F13))</f>
        <v>0</v>
      </c>
      <c r="Y13" s="24">
        <f>IF(OR(F13="",F13=0),"",X13/F13)</f>
        <v>0</v>
      </c>
      <c r="Z13" s="23">
        <f>IF(OR(B13="",D13=""),"",COUNTIFS('Content Calendar'!$G$5:$G$604,D13,'Content Calendar'!$D$5:$D$604,C13,'Content Calendar'!$X$5:$X$604,"Published"))</f>
        <v>0</v>
      </c>
      <c r="AA13" s="24">
        <f>IF(OR(J13="",J13=0),"",N(L13)/J13)</f>
        <v>0</v>
      </c>
      <c r="AB13" s="23">
        <f>IF(OR(I13="",I13=0),"",ROUND(N(J13)/I13,0))</f>
        <v>0</v>
      </c>
      <c r="AC13" s="23">
        <f>IF(OR(I13="",I13=0),"",ROUND(N(L13)/I13,0))</f>
        <v>0</v>
      </c>
      <c r="AD13" s="24">
        <f>IF(OR(G13="",G13=0),"",N(J13)/G13)</f>
        <v>0</v>
      </c>
      <c r="AE13" s="24">
        <f>IF(OR(J13="",J13=0),"",N(R13)/J13)</f>
        <v>0</v>
      </c>
      <c r="AF13" s="24">
        <f>IF(OR(R13="",R13=0),"",N(S13)/R13)</f>
        <v>0</v>
      </c>
      <c r="AG13" s="24">
        <f>IF(OR(S13="",S13=0),"",N(T13)/S13)</f>
        <v>0</v>
      </c>
      <c r="AH13" s="25">
        <f>IF(OR(S13="",S13=0,V13=""),"",V13/S13)</f>
        <v>0</v>
      </c>
      <c r="AI13" s="31">
        <f>IF(OR(V13="",V13=0),"",N(U13)/V13)</f>
        <v>0</v>
      </c>
      <c r="AJ13" s="23">
        <f>IF(B13="","",SUMIFS(Analytics!$J$5:$J$154,Analytics!$E$5:$E$154,E13,Analytics!$C$5:$C$154,TEXT(EDATE(B13,-1),"yyyy-mm")))</f>
        <v>0</v>
      </c>
      <c r="AK13" s="24">
        <f>IF(OR(AJ13="",AJ13=0),"",N(J13)/AJ13-1)</f>
        <v>0</v>
      </c>
      <c r="AL13" s="23">
        <f>IF(B13="","",SUMIFS(Analytics!$G$5:$G$154,Analytics!$E$5:$E$154,E13,Analytics!$C$5:$C$154,TEXT(EDATE(B13,-1),"yyyy-mm")))</f>
        <v>0</v>
      </c>
      <c r="AM13" s="29">
        <f>IF(E13="","",IF(COUNTIFS(Analytics!$E$5:$E$154,E13,Analytics!$C$5:$C$154,C13)&gt;1,"Duplicate","OK"))</f>
        <v>0</v>
      </c>
      <c r="AN13" s="29">
        <f>IF(E13="","",IF(AM13="Duplicate","Duplicate - this month is entered twice",IF(AND(J13&lt;&gt;"",AA13&lt;TargetEngagement),"Check - engagement below target",IF(X13&lt;0,"Check - followers went down",IF(AND(I13&lt;&gt;"",Z13&lt;&gt;"",I13&lt;&gt;Z13),"Check - post count does not match the calendar","OK")))))</f>
        <v>0</v>
      </c>
      <c r="AO13" s="39" t="s">
        <v>205</v>
      </c>
    </row>
    <row r="14" spans="1:41">
      <c r="A14" s="41">
        <f>IF(E14="","","AN-"&amp;TEXT(ROW()-4,"0000"))</f>
        <v>0</v>
      </c>
      <c r="B14" s="43">
        <v>46235</v>
      </c>
      <c r="C14" s="17">
        <f>IF(B14="","",TEXT(B14,"yyyy-mm"))</f>
        <v>0</v>
      </c>
      <c r="D14" s="15" t="s">
        <v>379</v>
      </c>
      <c r="E14" s="15" t="s">
        <v>278</v>
      </c>
      <c r="F14" s="34">
        <v>1105</v>
      </c>
      <c r="G14" s="34">
        <v>1204</v>
      </c>
      <c r="H14" s="34">
        <v>10</v>
      </c>
      <c r="I14" s="34">
        <v>1</v>
      </c>
      <c r="J14" s="34">
        <v>2246</v>
      </c>
      <c r="K14" s="34">
        <v>2986</v>
      </c>
      <c r="L14" s="34">
        <v>98</v>
      </c>
      <c r="M14" s="34">
        <v>72</v>
      </c>
      <c r="N14" s="34">
        <v>9</v>
      </c>
      <c r="O14" s="34">
        <v>7</v>
      </c>
      <c r="P14" s="34">
        <v>7</v>
      </c>
      <c r="Q14" s="34">
        <v>78</v>
      </c>
      <c r="R14" s="34">
        <v>26</v>
      </c>
      <c r="S14" s="34">
        <v>4</v>
      </c>
      <c r="T14" s="34">
        <v>1</v>
      </c>
      <c r="U14" s="36">
        <v>67.16</v>
      </c>
      <c r="V14" s="36">
        <v>0</v>
      </c>
      <c r="W14" s="23">
        <f>IF(G14="","",G14-N(F14)+N(H14))</f>
        <v>0</v>
      </c>
      <c r="X14" s="23">
        <f>IF(G14="","",G14-N(F14))</f>
        <v>0</v>
      </c>
      <c r="Y14" s="24">
        <f>IF(OR(F14="",F14=0),"",X14/F14)</f>
        <v>0</v>
      </c>
      <c r="Z14" s="23">
        <f>IF(OR(B14="",D14=""),"",COUNTIFS('Content Calendar'!$G$5:$G$604,D14,'Content Calendar'!$D$5:$D$604,C14,'Content Calendar'!$X$5:$X$604,"Published"))</f>
        <v>0</v>
      </c>
      <c r="AA14" s="24">
        <f>IF(OR(J14="",J14=0),"",N(L14)/J14)</f>
        <v>0</v>
      </c>
      <c r="AB14" s="23">
        <f>IF(OR(I14="",I14=0),"",ROUND(N(J14)/I14,0))</f>
        <v>0</v>
      </c>
      <c r="AC14" s="23">
        <f>IF(OR(I14="",I14=0),"",ROUND(N(L14)/I14,0))</f>
        <v>0</v>
      </c>
      <c r="AD14" s="24">
        <f>IF(OR(G14="",G14=0),"",N(J14)/G14)</f>
        <v>0</v>
      </c>
      <c r="AE14" s="24">
        <f>IF(OR(J14="",J14=0),"",N(R14)/J14)</f>
        <v>0</v>
      </c>
      <c r="AF14" s="24">
        <f>IF(OR(R14="",R14=0),"",N(S14)/R14)</f>
        <v>0</v>
      </c>
      <c r="AG14" s="24">
        <f>IF(OR(S14="",S14=0),"",N(T14)/S14)</f>
        <v>0</v>
      </c>
      <c r="AH14" s="25">
        <f>IF(OR(S14="",S14=0,V14=""),"",V14/S14)</f>
        <v>0</v>
      </c>
      <c r="AI14" s="31">
        <f>IF(OR(V14="",V14=0),"",N(U14)/V14)</f>
        <v>0</v>
      </c>
      <c r="AJ14" s="23">
        <f>IF(B14="","",SUMIFS(Analytics!$J$5:$J$154,Analytics!$E$5:$E$154,E14,Analytics!$C$5:$C$154,TEXT(EDATE(B14,-1),"yyyy-mm")))</f>
        <v>0</v>
      </c>
      <c r="AK14" s="24">
        <f>IF(OR(AJ14="",AJ14=0),"",N(J14)/AJ14-1)</f>
        <v>0</v>
      </c>
      <c r="AL14" s="23">
        <f>IF(B14="","",SUMIFS(Analytics!$G$5:$G$154,Analytics!$E$5:$E$154,E14,Analytics!$C$5:$C$154,TEXT(EDATE(B14,-1),"yyyy-mm")))</f>
        <v>0</v>
      </c>
      <c r="AM14" s="29">
        <f>IF(E14="","",IF(COUNTIFS(Analytics!$E$5:$E$154,E14,Analytics!$C$5:$C$154,C14)&gt;1,"Duplicate","OK"))</f>
        <v>0</v>
      </c>
      <c r="AN14" s="29">
        <f>IF(E14="","",IF(AM14="Duplicate","Duplicate - this month is entered twice",IF(AND(J14&lt;&gt;"",AA14&lt;TargetEngagement),"Check - engagement below target",IF(X14&lt;0,"Check - followers went down",IF(AND(I14&lt;&gt;"",Z14&lt;&gt;"",I14&lt;&gt;Z14),"Check - post count does not match the calendar","OK")))))</f>
        <v>0</v>
      </c>
      <c r="AO14" s="39" t="s">
        <v>205</v>
      </c>
    </row>
    <row r="15" spans="1:41">
      <c r="A15" s="41">
        <f>IF(E15="","","AN-"&amp;TEXT(ROW()-4,"0000"))</f>
        <v>0</v>
      </c>
      <c r="B15" s="43">
        <v>46266</v>
      </c>
      <c r="C15" s="17">
        <f>IF(B15="","",TEXT(B15,"yyyy-mm"))</f>
        <v>0</v>
      </c>
      <c r="D15" s="15" t="s">
        <v>379</v>
      </c>
      <c r="E15" s="15" t="s">
        <v>278</v>
      </c>
      <c r="F15" s="34">
        <v>1204</v>
      </c>
      <c r="G15" s="34">
        <v>1290</v>
      </c>
      <c r="H15" s="34">
        <v>10</v>
      </c>
      <c r="I15" s="34">
        <v>2</v>
      </c>
      <c r="J15" s="34">
        <v>3794</v>
      </c>
      <c r="K15" s="34">
        <v>5526</v>
      </c>
      <c r="L15" s="34">
        <v>234</v>
      </c>
      <c r="M15" s="34">
        <v>173</v>
      </c>
      <c r="N15" s="34">
        <v>23</v>
      </c>
      <c r="O15" s="34">
        <v>18</v>
      </c>
      <c r="P15" s="34">
        <v>18</v>
      </c>
      <c r="Q15" s="34">
        <v>132</v>
      </c>
      <c r="R15" s="34">
        <v>51</v>
      </c>
      <c r="S15" s="34">
        <v>8</v>
      </c>
      <c r="T15" s="34">
        <v>2</v>
      </c>
      <c r="U15" s="36">
        <v>117.3</v>
      </c>
      <c r="V15" s="36">
        <v>0</v>
      </c>
      <c r="W15" s="23">
        <f>IF(G15="","",G15-N(F15)+N(H15))</f>
        <v>0</v>
      </c>
      <c r="X15" s="23">
        <f>IF(G15="","",G15-N(F15))</f>
        <v>0</v>
      </c>
      <c r="Y15" s="24">
        <f>IF(OR(F15="",F15=0),"",X15/F15)</f>
        <v>0</v>
      </c>
      <c r="Z15" s="23">
        <f>IF(OR(B15="",D15=""),"",COUNTIFS('Content Calendar'!$G$5:$G$604,D15,'Content Calendar'!$D$5:$D$604,C15,'Content Calendar'!$X$5:$X$604,"Published"))</f>
        <v>0</v>
      </c>
      <c r="AA15" s="24">
        <f>IF(OR(J15="",J15=0),"",N(L15)/J15)</f>
        <v>0</v>
      </c>
      <c r="AB15" s="23">
        <f>IF(OR(I15="",I15=0),"",ROUND(N(J15)/I15,0))</f>
        <v>0</v>
      </c>
      <c r="AC15" s="23">
        <f>IF(OR(I15="",I15=0),"",ROUND(N(L15)/I15,0))</f>
        <v>0</v>
      </c>
      <c r="AD15" s="24">
        <f>IF(OR(G15="",G15=0),"",N(J15)/G15)</f>
        <v>0</v>
      </c>
      <c r="AE15" s="24">
        <f>IF(OR(J15="",J15=0),"",N(R15)/J15)</f>
        <v>0</v>
      </c>
      <c r="AF15" s="24">
        <f>IF(OR(R15="",R15=0),"",N(S15)/R15)</f>
        <v>0</v>
      </c>
      <c r="AG15" s="24">
        <f>IF(OR(S15="",S15=0),"",N(T15)/S15)</f>
        <v>0</v>
      </c>
      <c r="AH15" s="25">
        <f>IF(OR(S15="",S15=0,V15=""),"",V15/S15)</f>
        <v>0</v>
      </c>
      <c r="AI15" s="31">
        <f>IF(OR(V15="",V15=0),"",N(U15)/V15)</f>
        <v>0</v>
      </c>
      <c r="AJ15" s="23">
        <f>IF(B15="","",SUMIFS(Analytics!$J$5:$J$154,Analytics!$E$5:$E$154,E15,Analytics!$C$5:$C$154,TEXT(EDATE(B15,-1),"yyyy-mm")))</f>
        <v>0</v>
      </c>
      <c r="AK15" s="24">
        <f>IF(OR(AJ15="",AJ15=0),"",N(J15)/AJ15-1)</f>
        <v>0</v>
      </c>
      <c r="AL15" s="23">
        <f>IF(B15="","",SUMIFS(Analytics!$G$5:$G$154,Analytics!$E$5:$E$154,E15,Analytics!$C$5:$C$154,TEXT(EDATE(B15,-1),"yyyy-mm")))</f>
        <v>0</v>
      </c>
      <c r="AM15" s="29">
        <f>IF(E15="","",IF(COUNTIFS(Analytics!$E$5:$E$154,E15,Analytics!$C$5:$C$154,C15)&gt;1,"Duplicate","OK"))</f>
        <v>0</v>
      </c>
      <c r="AN15" s="29">
        <f>IF(E15="","",IF(AM15="Duplicate","Duplicate - this month is entered twice",IF(AND(J15&lt;&gt;"",AA15&lt;TargetEngagement),"Check - engagement below target",IF(X15&lt;0,"Check - followers went down",IF(AND(I15&lt;&gt;"",Z15&lt;&gt;"",I15&lt;&gt;Z15),"Check - post count does not match the calendar","OK")))))</f>
        <v>0</v>
      </c>
      <c r="AO15" s="39" t="s">
        <v>205</v>
      </c>
    </row>
    <row r="16" spans="1:41">
      <c r="A16" s="41">
        <f>IF(E16="","","AN-"&amp;TEXT(ROW()-4,"0000"))</f>
        <v>0</v>
      </c>
      <c r="B16" s="43">
        <v>46296</v>
      </c>
      <c r="C16" s="17">
        <f>IF(B16="","",TEXT(B16,"yyyy-mm"))</f>
        <v>0</v>
      </c>
      <c r="D16" s="15" t="s">
        <v>379</v>
      </c>
      <c r="E16" s="15" t="s">
        <v>278</v>
      </c>
      <c r="F16" s="34">
        <v>1290</v>
      </c>
      <c r="G16" s="34">
        <v>1320</v>
      </c>
      <c r="H16" s="34">
        <v>26</v>
      </c>
      <c r="I16" s="34">
        <v>1</v>
      </c>
      <c r="J16" s="34">
        <v>2397</v>
      </c>
      <c r="K16" s="34">
        <v>3295</v>
      </c>
      <c r="L16" s="34">
        <v>90</v>
      </c>
      <c r="M16" s="34">
        <v>66</v>
      </c>
      <c r="N16" s="34">
        <v>9</v>
      </c>
      <c r="O16" s="34">
        <v>7</v>
      </c>
      <c r="P16" s="34">
        <v>7</v>
      </c>
      <c r="Q16" s="34">
        <v>83</v>
      </c>
      <c r="R16" s="34">
        <v>36</v>
      </c>
      <c r="S16" s="34">
        <v>3</v>
      </c>
      <c r="T16" s="34">
        <v>1</v>
      </c>
      <c r="U16" s="36">
        <v>66.86</v>
      </c>
      <c r="V16" s="36">
        <v>0</v>
      </c>
      <c r="W16" s="23">
        <f>IF(G16="","",G16-N(F16)+N(H16))</f>
        <v>0</v>
      </c>
      <c r="X16" s="23">
        <f>IF(G16="","",G16-N(F16))</f>
        <v>0</v>
      </c>
      <c r="Y16" s="24">
        <f>IF(OR(F16="",F16=0),"",X16/F16)</f>
        <v>0</v>
      </c>
      <c r="Z16" s="23">
        <f>IF(OR(B16="",D16=""),"",COUNTIFS('Content Calendar'!$G$5:$G$604,D16,'Content Calendar'!$D$5:$D$604,C16,'Content Calendar'!$X$5:$X$604,"Published"))</f>
        <v>0</v>
      </c>
      <c r="AA16" s="24">
        <f>IF(OR(J16="",J16=0),"",N(L16)/J16)</f>
        <v>0</v>
      </c>
      <c r="AB16" s="23">
        <f>IF(OR(I16="",I16=0),"",ROUND(N(J16)/I16,0))</f>
        <v>0</v>
      </c>
      <c r="AC16" s="23">
        <f>IF(OR(I16="",I16=0),"",ROUND(N(L16)/I16,0))</f>
        <v>0</v>
      </c>
      <c r="AD16" s="24">
        <f>IF(OR(G16="",G16=0),"",N(J16)/G16)</f>
        <v>0</v>
      </c>
      <c r="AE16" s="24">
        <f>IF(OR(J16="",J16=0),"",N(R16)/J16)</f>
        <v>0</v>
      </c>
      <c r="AF16" s="24">
        <f>IF(OR(R16="",R16=0),"",N(S16)/R16)</f>
        <v>0</v>
      </c>
      <c r="AG16" s="24">
        <f>IF(OR(S16="",S16=0),"",N(T16)/S16)</f>
        <v>0</v>
      </c>
      <c r="AH16" s="25">
        <f>IF(OR(S16="",S16=0,V16=""),"",V16/S16)</f>
        <v>0</v>
      </c>
      <c r="AI16" s="31">
        <f>IF(OR(V16="",V16=0),"",N(U16)/V16)</f>
        <v>0</v>
      </c>
      <c r="AJ16" s="23">
        <f>IF(B16="","",SUMIFS(Analytics!$J$5:$J$154,Analytics!$E$5:$E$154,E16,Analytics!$C$5:$C$154,TEXT(EDATE(B16,-1),"yyyy-mm")))</f>
        <v>0</v>
      </c>
      <c r="AK16" s="24">
        <f>IF(OR(AJ16="",AJ16=0),"",N(J16)/AJ16-1)</f>
        <v>0</v>
      </c>
      <c r="AL16" s="23">
        <f>IF(B16="","",SUMIFS(Analytics!$G$5:$G$154,Analytics!$E$5:$E$154,E16,Analytics!$C$5:$C$154,TEXT(EDATE(B16,-1),"yyyy-mm")))</f>
        <v>0</v>
      </c>
      <c r="AM16" s="29">
        <f>IF(E16="","",IF(COUNTIFS(Analytics!$E$5:$E$154,E16,Analytics!$C$5:$C$154,C16)&gt;1,"Duplicate","OK"))</f>
        <v>0</v>
      </c>
      <c r="AN16" s="29">
        <f>IF(E16="","",IF(AM16="Duplicate","Duplicate - this month is entered twice",IF(AND(J16&lt;&gt;"",AA16&lt;TargetEngagement),"Check - engagement below target",IF(X16&lt;0,"Check - followers went down",IF(AND(I16&lt;&gt;"",Z16&lt;&gt;"",I16&lt;&gt;Z16),"Check - post count does not match the calendar","OK")))))</f>
        <v>0</v>
      </c>
      <c r="AO16" s="39" t="s">
        <v>205</v>
      </c>
    </row>
    <row r="17" spans="1:41">
      <c r="A17" s="41">
        <f>IF(E17="","","AN-"&amp;TEXT(ROW()-4,"0000"))</f>
        <v>0</v>
      </c>
      <c r="B17" s="43">
        <v>46235</v>
      </c>
      <c r="C17" s="17">
        <f>IF(B17="","",TEXT(B17,"yyyy-mm"))</f>
        <v>0</v>
      </c>
      <c r="D17" s="15" t="s">
        <v>380</v>
      </c>
      <c r="E17" s="15" t="s">
        <v>278</v>
      </c>
      <c r="F17" s="34">
        <v>2550</v>
      </c>
      <c r="G17" s="34">
        <v>2629</v>
      </c>
      <c r="H17" s="34">
        <v>13</v>
      </c>
      <c r="I17" s="34">
        <v>2</v>
      </c>
      <c r="J17" s="34">
        <v>3172</v>
      </c>
      <c r="K17" s="34">
        <v>4146</v>
      </c>
      <c r="L17" s="34">
        <v>198</v>
      </c>
      <c r="M17" s="34">
        <v>146</v>
      </c>
      <c r="N17" s="34">
        <v>19</v>
      </c>
      <c r="O17" s="34">
        <v>15</v>
      </c>
      <c r="P17" s="34">
        <v>15</v>
      </c>
      <c r="Q17" s="34">
        <v>111</v>
      </c>
      <c r="R17" s="34">
        <v>24</v>
      </c>
      <c r="S17" s="34">
        <v>2</v>
      </c>
      <c r="T17" s="34">
        <v>0</v>
      </c>
      <c r="U17" s="36">
        <v>0</v>
      </c>
      <c r="V17" s="36">
        <v>55.54</v>
      </c>
      <c r="W17" s="23">
        <f>IF(G17="","",G17-N(F17)+N(H17))</f>
        <v>0</v>
      </c>
      <c r="X17" s="23">
        <f>IF(G17="","",G17-N(F17))</f>
        <v>0</v>
      </c>
      <c r="Y17" s="24">
        <f>IF(OR(F17="",F17=0),"",X17/F17)</f>
        <v>0</v>
      </c>
      <c r="Z17" s="23">
        <f>IF(OR(B17="",D17=""),"",COUNTIFS('Content Calendar'!$G$5:$G$604,D17,'Content Calendar'!$D$5:$D$604,C17,'Content Calendar'!$X$5:$X$604,"Published"))</f>
        <v>0</v>
      </c>
      <c r="AA17" s="24">
        <f>IF(OR(J17="",J17=0),"",N(L17)/J17)</f>
        <v>0</v>
      </c>
      <c r="AB17" s="23">
        <f>IF(OR(I17="",I17=0),"",ROUND(N(J17)/I17,0))</f>
        <v>0</v>
      </c>
      <c r="AC17" s="23">
        <f>IF(OR(I17="",I17=0),"",ROUND(N(L17)/I17,0))</f>
        <v>0</v>
      </c>
      <c r="AD17" s="24">
        <f>IF(OR(G17="",G17=0),"",N(J17)/G17)</f>
        <v>0</v>
      </c>
      <c r="AE17" s="24">
        <f>IF(OR(J17="",J17=0),"",N(R17)/J17)</f>
        <v>0</v>
      </c>
      <c r="AF17" s="24">
        <f>IF(OR(R17="",R17=0),"",N(S17)/R17)</f>
        <v>0</v>
      </c>
      <c r="AG17" s="24">
        <f>IF(OR(S17="",S17=0),"",N(T17)/S17)</f>
        <v>0</v>
      </c>
      <c r="AH17" s="25">
        <f>IF(OR(S17="",S17=0,V17=""),"",V17/S17)</f>
        <v>0</v>
      </c>
      <c r="AI17" s="31">
        <f>IF(OR(V17="",V17=0),"",N(U17)/V17)</f>
        <v>0</v>
      </c>
      <c r="AJ17" s="23">
        <f>IF(B17="","",SUMIFS(Analytics!$J$5:$J$154,Analytics!$E$5:$E$154,E17,Analytics!$C$5:$C$154,TEXT(EDATE(B17,-1),"yyyy-mm")))</f>
        <v>0</v>
      </c>
      <c r="AK17" s="24">
        <f>IF(OR(AJ17="",AJ17=0),"",N(J17)/AJ17-1)</f>
        <v>0</v>
      </c>
      <c r="AL17" s="23">
        <f>IF(B17="","",SUMIFS(Analytics!$G$5:$G$154,Analytics!$E$5:$E$154,E17,Analytics!$C$5:$C$154,TEXT(EDATE(B17,-1),"yyyy-mm")))</f>
        <v>0</v>
      </c>
      <c r="AM17" s="29">
        <f>IF(E17="","",IF(COUNTIFS(Analytics!$E$5:$E$154,E17,Analytics!$C$5:$C$154,C17)&gt;1,"Duplicate","OK"))</f>
        <v>0</v>
      </c>
      <c r="AN17" s="29">
        <f>IF(E17="","",IF(AM17="Duplicate","Duplicate - this month is entered twice",IF(AND(J17&lt;&gt;"",AA17&lt;TargetEngagement),"Check - engagement below target",IF(X17&lt;0,"Check - followers went down",IF(AND(I17&lt;&gt;"",Z17&lt;&gt;"",I17&lt;&gt;Z17),"Check - post count does not match the calendar","OK")))))</f>
        <v>0</v>
      </c>
      <c r="AO17" s="39" t="s">
        <v>205</v>
      </c>
    </row>
    <row r="18" spans="1:41">
      <c r="A18" s="41">
        <f>IF(E18="","","AN-"&amp;TEXT(ROW()-4,"0000"))</f>
        <v>0</v>
      </c>
      <c r="B18" s="43">
        <v>46266</v>
      </c>
      <c r="C18" s="17">
        <f>IF(B18="","",TEXT(B18,"yyyy-mm"))</f>
        <v>0</v>
      </c>
      <c r="D18" s="15" t="s">
        <v>380</v>
      </c>
      <c r="E18" s="15" t="s">
        <v>278</v>
      </c>
      <c r="F18" s="34">
        <v>2629</v>
      </c>
      <c r="G18" s="34">
        <v>2672</v>
      </c>
      <c r="H18" s="34">
        <v>14</v>
      </c>
      <c r="I18" s="34">
        <v>2</v>
      </c>
      <c r="J18" s="34">
        <v>3688</v>
      </c>
      <c r="K18" s="34">
        <v>5116</v>
      </c>
      <c r="L18" s="34">
        <v>255</v>
      </c>
      <c r="M18" s="34">
        <v>188</v>
      </c>
      <c r="N18" s="34">
        <v>25</v>
      </c>
      <c r="O18" s="34">
        <v>20</v>
      </c>
      <c r="P18" s="34">
        <v>20</v>
      </c>
      <c r="Q18" s="34">
        <v>129</v>
      </c>
      <c r="R18" s="34">
        <v>42</v>
      </c>
      <c r="S18" s="34">
        <v>6</v>
      </c>
      <c r="T18" s="34">
        <v>1</v>
      </c>
      <c r="U18" s="36">
        <v>47.59</v>
      </c>
      <c r="V18" s="36">
        <v>50.62</v>
      </c>
      <c r="W18" s="23">
        <f>IF(G18="","",G18-N(F18)+N(H18))</f>
        <v>0</v>
      </c>
      <c r="X18" s="23">
        <f>IF(G18="","",G18-N(F18))</f>
        <v>0</v>
      </c>
      <c r="Y18" s="24">
        <f>IF(OR(F18="",F18=0),"",X18/F18)</f>
        <v>0</v>
      </c>
      <c r="Z18" s="23">
        <f>IF(OR(B18="",D18=""),"",COUNTIFS('Content Calendar'!$G$5:$G$604,D18,'Content Calendar'!$D$5:$D$604,C18,'Content Calendar'!$X$5:$X$604,"Published"))</f>
        <v>0</v>
      </c>
      <c r="AA18" s="24">
        <f>IF(OR(J18="",J18=0),"",N(L18)/J18)</f>
        <v>0</v>
      </c>
      <c r="AB18" s="23">
        <f>IF(OR(I18="",I18=0),"",ROUND(N(J18)/I18,0))</f>
        <v>0</v>
      </c>
      <c r="AC18" s="23">
        <f>IF(OR(I18="",I18=0),"",ROUND(N(L18)/I18,0))</f>
        <v>0</v>
      </c>
      <c r="AD18" s="24">
        <f>IF(OR(G18="",G18=0),"",N(J18)/G18)</f>
        <v>0</v>
      </c>
      <c r="AE18" s="24">
        <f>IF(OR(J18="",J18=0),"",N(R18)/J18)</f>
        <v>0</v>
      </c>
      <c r="AF18" s="24">
        <f>IF(OR(R18="",R18=0),"",N(S18)/R18)</f>
        <v>0</v>
      </c>
      <c r="AG18" s="24">
        <f>IF(OR(S18="",S18=0),"",N(T18)/S18)</f>
        <v>0</v>
      </c>
      <c r="AH18" s="25">
        <f>IF(OR(S18="",S18=0,V18=""),"",V18/S18)</f>
        <v>0</v>
      </c>
      <c r="AI18" s="31">
        <f>IF(OR(V18="",V18=0),"",N(U18)/V18)</f>
        <v>0</v>
      </c>
      <c r="AJ18" s="23">
        <f>IF(B18="","",SUMIFS(Analytics!$J$5:$J$154,Analytics!$E$5:$E$154,E18,Analytics!$C$5:$C$154,TEXT(EDATE(B18,-1),"yyyy-mm")))</f>
        <v>0</v>
      </c>
      <c r="AK18" s="24">
        <f>IF(OR(AJ18="",AJ18=0),"",N(J18)/AJ18-1)</f>
        <v>0</v>
      </c>
      <c r="AL18" s="23">
        <f>IF(B18="","",SUMIFS(Analytics!$G$5:$G$154,Analytics!$E$5:$E$154,E18,Analytics!$C$5:$C$154,TEXT(EDATE(B18,-1),"yyyy-mm")))</f>
        <v>0</v>
      </c>
      <c r="AM18" s="29">
        <f>IF(E18="","",IF(COUNTIFS(Analytics!$E$5:$E$154,E18,Analytics!$C$5:$C$154,C18)&gt;1,"Duplicate","OK"))</f>
        <v>0</v>
      </c>
      <c r="AN18" s="29">
        <f>IF(E18="","",IF(AM18="Duplicate","Duplicate - this month is entered twice",IF(AND(J18&lt;&gt;"",AA18&lt;TargetEngagement),"Check - engagement below target",IF(X18&lt;0,"Check - followers went down",IF(AND(I18&lt;&gt;"",Z18&lt;&gt;"",I18&lt;&gt;Z18),"Check - post count does not match the calendar","OK")))))</f>
        <v>0</v>
      </c>
      <c r="AO18" s="39" t="s">
        <v>205</v>
      </c>
    </row>
    <row r="19" spans="1:41">
      <c r="A19" s="41">
        <f>IF(E19="","","AN-"&amp;TEXT(ROW()-4,"0000"))</f>
        <v>0</v>
      </c>
      <c r="B19" s="43">
        <v>46296</v>
      </c>
      <c r="C19" s="17">
        <f>IF(B19="","",TEXT(B19,"yyyy-mm"))</f>
        <v>0</v>
      </c>
      <c r="D19" s="15" t="s">
        <v>380</v>
      </c>
      <c r="E19" s="15" t="s">
        <v>278</v>
      </c>
      <c r="F19" s="34">
        <v>2672</v>
      </c>
      <c r="G19" s="34">
        <v>2658</v>
      </c>
      <c r="H19" s="34">
        <v>24</v>
      </c>
      <c r="I19" s="34">
        <v>1</v>
      </c>
      <c r="J19" s="34">
        <v>1866</v>
      </c>
      <c r="K19" s="34">
        <v>2314</v>
      </c>
      <c r="L19" s="34">
        <v>106</v>
      </c>
      <c r="M19" s="34">
        <v>78</v>
      </c>
      <c r="N19" s="34">
        <v>10</v>
      </c>
      <c r="O19" s="34">
        <v>8</v>
      </c>
      <c r="P19" s="34">
        <v>8</v>
      </c>
      <c r="Q19" s="34">
        <v>65</v>
      </c>
      <c r="R19" s="34">
        <v>13</v>
      </c>
      <c r="S19" s="34">
        <v>1</v>
      </c>
      <c r="T19" s="34">
        <v>0</v>
      </c>
      <c r="U19" s="36">
        <v>0</v>
      </c>
      <c r="V19" s="36">
        <v>47.57</v>
      </c>
      <c r="W19" s="23">
        <f>IF(G19="","",G19-N(F19)+N(H19))</f>
        <v>0</v>
      </c>
      <c r="X19" s="23">
        <f>IF(G19="","",G19-N(F19))</f>
        <v>0</v>
      </c>
      <c r="Y19" s="24">
        <f>IF(OR(F19="",F19=0),"",X19/F19)</f>
        <v>0</v>
      </c>
      <c r="Z19" s="23">
        <f>IF(OR(B19="",D19=""),"",COUNTIFS('Content Calendar'!$G$5:$G$604,D19,'Content Calendar'!$D$5:$D$604,C19,'Content Calendar'!$X$5:$X$604,"Published"))</f>
        <v>0</v>
      </c>
      <c r="AA19" s="24">
        <f>IF(OR(J19="",J19=0),"",N(L19)/J19)</f>
        <v>0</v>
      </c>
      <c r="AB19" s="23">
        <f>IF(OR(I19="",I19=0),"",ROUND(N(J19)/I19,0))</f>
        <v>0</v>
      </c>
      <c r="AC19" s="23">
        <f>IF(OR(I19="",I19=0),"",ROUND(N(L19)/I19,0))</f>
        <v>0</v>
      </c>
      <c r="AD19" s="24">
        <f>IF(OR(G19="",G19=0),"",N(J19)/G19)</f>
        <v>0</v>
      </c>
      <c r="AE19" s="24">
        <f>IF(OR(J19="",J19=0),"",N(R19)/J19)</f>
        <v>0</v>
      </c>
      <c r="AF19" s="24">
        <f>IF(OR(R19="",R19=0),"",N(S19)/R19)</f>
        <v>0</v>
      </c>
      <c r="AG19" s="24">
        <f>IF(OR(S19="",S19=0),"",N(T19)/S19)</f>
        <v>0</v>
      </c>
      <c r="AH19" s="25">
        <f>IF(OR(S19="",S19=0,V19=""),"",V19/S19)</f>
        <v>0</v>
      </c>
      <c r="AI19" s="31">
        <f>IF(OR(V19="",V19=0),"",N(U19)/V19)</f>
        <v>0</v>
      </c>
      <c r="AJ19" s="23">
        <f>IF(B19="","",SUMIFS(Analytics!$J$5:$J$154,Analytics!$E$5:$E$154,E19,Analytics!$C$5:$C$154,TEXT(EDATE(B19,-1),"yyyy-mm")))</f>
        <v>0</v>
      </c>
      <c r="AK19" s="24">
        <f>IF(OR(AJ19="",AJ19=0),"",N(J19)/AJ19-1)</f>
        <v>0</v>
      </c>
      <c r="AL19" s="23">
        <f>IF(B19="","",SUMIFS(Analytics!$G$5:$G$154,Analytics!$E$5:$E$154,E19,Analytics!$C$5:$C$154,TEXT(EDATE(B19,-1),"yyyy-mm")))</f>
        <v>0</v>
      </c>
      <c r="AM19" s="29">
        <f>IF(E19="","",IF(COUNTIFS(Analytics!$E$5:$E$154,E19,Analytics!$C$5:$C$154,C19)&gt;1,"Duplicate","OK"))</f>
        <v>0</v>
      </c>
      <c r="AN19" s="29">
        <f>IF(E19="","",IF(AM19="Duplicate","Duplicate - this month is entered twice",IF(AND(J19&lt;&gt;"",AA19&lt;TargetEngagement),"Check - engagement below target",IF(X19&lt;0,"Check - followers went down",IF(AND(I19&lt;&gt;"",Z19&lt;&gt;"",I19&lt;&gt;Z19),"Check - post count does not match the calendar","OK")))))</f>
        <v>0</v>
      </c>
      <c r="AO19" s="39" t="s">
        <v>205</v>
      </c>
    </row>
    <row r="20" spans="1:41">
      <c r="A20" s="41">
        <f>IF(E20="","","AN-"&amp;TEXT(ROW()-4,"0000"))</f>
        <v>0</v>
      </c>
      <c r="C20" s="17">
        <f>IF(B20="","",TEXT(B20,"yyyy-mm"))</f>
        <v>0</v>
      </c>
      <c r="W20" s="23">
        <f>IF(G20="","",G20-N(F20)+N(H20))</f>
        <v>0</v>
      </c>
      <c r="X20" s="23">
        <f>IF(G20="","",G20-N(F20))</f>
        <v>0</v>
      </c>
      <c r="Y20" s="24">
        <f>IF(OR(F20="",F20=0),"",X20/F20)</f>
        <v>0</v>
      </c>
      <c r="Z20" s="23">
        <f>IF(OR(B20="",D20=""),"",COUNTIFS('Content Calendar'!$G$5:$G$604,D20,'Content Calendar'!$D$5:$D$604,C20,'Content Calendar'!$X$5:$X$604,"Published"))</f>
        <v>0</v>
      </c>
      <c r="AA20" s="24">
        <f>IF(OR(J20="",J20=0),"",N(L20)/J20)</f>
        <v>0</v>
      </c>
      <c r="AB20" s="23">
        <f>IF(OR(I20="",I20=0),"",ROUND(N(J20)/I20,0))</f>
        <v>0</v>
      </c>
      <c r="AC20" s="23">
        <f>IF(OR(I20="",I20=0),"",ROUND(N(L20)/I20,0))</f>
        <v>0</v>
      </c>
      <c r="AD20" s="24">
        <f>IF(OR(G20="",G20=0),"",N(J20)/G20)</f>
        <v>0</v>
      </c>
      <c r="AE20" s="24">
        <f>IF(OR(J20="",J20=0),"",N(R20)/J20)</f>
        <v>0</v>
      </c>
      <c r="AF20" s="24">
        <f>IF(OR(R20="",R20=0),"",N(S20)/R20)</f>
        <v>0</v>
      </c>
      <c r="AG20" s="24">
        <f>IF(OR(S20="",S20=0),"",N(T20)/S20)</f>
        <v>0</v>
      </c>
      <c r="AH20" s="25">
        <f>IF(OR(S20="",S20=0,V20=""),"",V20/S20)</f>
        <v>0</v>
      </c>
      <c r="AI20" s="31">
        <f>IF(OR(V20="",V20=0),"",N(U20)/V20)</f>
        <v>0</v>
      </c>
      <c r="AJ20" s="23">
        <f>IF(B20="","",SUMIFS(Analytics!$J$5:$J$154,Analytics!$E$5:$E$154,E20,Analytics!$C$5:$C$154,TEXT(EDATE(B20,-1),"yyyy-mm")))</f>
        <v>0</v>
      </c>
      <c r="AK20" s="24">
        <f>IF(OR(AJ20="",AJ20=0),"",N(J20)/AJ20-1)</f>
        <v>0</v>
      </c>
      <c r="AL20" s="23">
        <f>IF(B20="","",SUMIFS(Analytics!$G$5:$G$154,Analytics!$E$5:$E$154,E20,Analytics!$C$5:$C$154,TEXT(EDATE(B20,-1),"yyyy-mm")))</f>
        <v>0</v>
      </c>
      <c r="AM20" s="29">
        <f>IF(E20="","",IF(COUNTIFS(Analytics!$E$5:$E$154,E20,Analytics!$C$5:$C$154,C20)&gt;1,"Duplicate","OK"))</f>
        <v>0</v>
      </c>
      <c r="AN20" s="29">
        <f>IF(E20="","",IF(AM20="Duplicate","Duplicate - this month is entered twice",IF(AND(J20&lt;&gt;"",AA20&lt;TargetEngagement),"Check - engagement below target",IF(X20&lt;0,"Check - followers went down",IF(AND(I20&lt;&gt;"",Z20&lt;&gt;"",I20&lt;&gt;Z20),"Check - post count does not match the calendar","OK")))))</f>
        <v>0</v>
      </c>
    </row>
    <row r="21" spans="1:41">
      <c r="A21" s="41">
        <f>IF(E21="","","AN-"&amp;TEXT(ROW()-4,"0000"))</f>
        <v>0</v>
      </c>
      <c r="C21" s="17">
        <f>IF(B21="","",TEXT(B21,"yyyy-mm"))</f>
        <v>0</v>
      </c>
      <c r="W21" s="23">
        <f>IF(G21="","",G21-N(F21)+N(H21))</f>
        <v>0</v>
      </c>
      <c r="X21" s="23">
        <f>IF(G21="","",G21-N(F21))</f>
        <v>0</v>
      </c>
      <c r="Y21" s="24">
        <f>IF(OR(F21="",F21=0),"",X21/F21)</f>
        <v>0</v>
      </c>
      <c r="Z21" s="23">
        <f>IF(OR(B21="",D21=""),"",COUNTIFS('Content Calendar'!$G$5:$G$604,D21,'Content Calendar'!$D$5:$D$604,C21,'Content Calendar'!$X$5:$X$604,"Published"))</f>
        <v>0</v>
      </c>
      <c r="AA21" s="24">
        <f>IF(OR(J21="",J21=0),"",N(L21)/J21)</f>
        <v>0</v>
      </c>
      <c r="AB21" s="23">
        <f>IF(OR(I21="",I21=0),"",ROUND(N(J21)/I21,0))</f>
        <v>0</v>
      </c>
      <c r="AC21" s="23">
        <f>IF(OR(I21="",I21=0),"",ROUND(N(L21)/I21,0))</f>
        <v>0</v>
      </c>
      <c r="AD21" s="24">
        <f>IF(OR(G21="",G21=0),"",N(J21)/G21)</f>
        <v>0</v>
      </c>
      <c r="AE21" s="24">
        <f>IF(OR(J21="",J21=0),"",N(R21)/J21)</f>
        <v>0</v>
      </c>
      <c r="AF21" s="24">
        <f>IF(OR(R21="",R21=0),"",N(S21)/R21)</f>
        <v>0</v>
      </c>
      <c r="AG21" s="24">
        <f>IF(OR(S21="",S21=0),"",N(T21)/S21)</f>
        <v>0</v>
      </c>
      <c r="AH21" s="25">
        <f>IF(OR(S21="",S21=0,V21=""),"",V21/S21)</f>
        <v>0</v>
      </c>
      <c r="AI21" s="31">
        <f>IF(OR(V21="",V21=0),"",N(U21)/V21)</f>
        <v>0</v>
      </c>
      <c r="AJ21" s="23">
        <f>IF(B21="","",SUMIFS(Analytics!$J$5:$J$154,Analytics!$E$5:$E$154,E21,Analytics!$C$5:$C$154,TEXT(EDATE(B21,-1),"yyyy-mm")))</f>
        <v>0</v>
      </c>
      <c r="AK21" s="24">
        <f>IF(OR(AJ21="",AJ21=0),"",N(J21)/AJ21-1)</f>
        <v>0</v>
      </c>
      <c r="AL21" s="23">
        <f>IF(B21="","",SUMIFS(Analytics!$G$5:$G$154,Analytics!$E$5:$E$154,E21,Analytics!$C$5:$C$154,TEXT(EDATE(B21,-1),"yyyy-mm")))</f>
        <v>0</v>
      </c>
      <c r="AM21" s="29">
        <f>IF(E21="","",IF(COUNTIFS(Analytics!$E$5:$E$154,E21,Analytics!$C$5:$C$154,C21)&gt;1,"Duplicate","OK"))</f>
        <v>0</v>
      </c>
      <c r="AN21" s="29">
        <f>IF(E21="","",IF(AM21="Duplicate","Duplicate - this month is entered twice",IF(AND(J21&lt;&gt;"",AA21&lt;TargetEngagement),"Check - engagement below target",IF(X21&lt;0,"Check - followers went down",IF(AND(I21&lt;&gt;"",Z21&lt;&gt;"",I21&lt;&gt;Z21),"Check - post count does not match the calendar","OK")))))</f>
        <v>0</v>
      </c>
    </row>
    <row r="22" spans="1:41">
      <c r="A22" s="41">
        <f>IF(E22="","","AN-"&amp;TEXT(ROW()-4,"0000"))</f>
        <v>0</v>
      </c>
      <c r="C22" s="17">
        <f>IF(B22="","",TEXT(B22,"yyyy-mm"))</f>
        <v>0</v>
      </c>
      <c r="W22" s="23">
        <f>IF(G22="","",G22-N(F22)+N(H22))</f>
        <v>0</v>
      </c>
      <c r="X22" s="23">
        <f>IF(G22="","",G22-N(F22))</f>
        <v>0</v>
      </c>
      <c r="Y22" s="24">
        <f>IF(OR(F22="",F22=0),"",X22/F22)</f>
        <v>0</v>
      </c>
      <c r="Z22" s="23">
        <f>IF(OR(B22="",D22=""),"",COUNTIFS('Content Calendar'!$G$5:$G$604,D22,'Content Calendar'!$D$5:$D$604,C22,'Content Calendar'!$X$5:$X$604,"Published"))</f>
        <v>0</v>
      </c>
      <c r="AA22" s="24">
        <f>IF(OR(J22="",J22=0),"",N(L22)/J22)</f>
        <v>0</v>
      </c>
      <c r="AB22" s="23">
        <f>IF(OR(I22="",I22=0),"",ROUND(N(J22)/I22,0))</f>
        <v>0</v>
      </c>
      <c r="AC22" s="23">
        <f>IF(OR(I22="",I22=0),"",ROUND(N(L22)/I22,0))</f>
        <v>0</v>
      </c>
      <c r="AD22" s="24">
        <f>IF(OR(G22="",G22=0),"",N(J22)/G22)</f>
        <v>0</v>
      </c>
      <c r="AE22" s="24">
        <f>IF(OR(J22="",J22=0),"",N(R22)/J22)</f>
        <v>0</v>
      </c>
      <c r="AF22" s="24">
        <f>IF(OR(R22="",R22=0),"",N(S22)/R22)</f>
        <v>0</v>
      </c>
      <c r="AG22" s="24">
        <f>IF(OR(S22="",S22=0),"",N(T22)/S22)</f>
        <v>0</v>
      </c>
      <c r="AH22" s="25">
        <f>IF(OR(S22="",S22=0,V22=""),"",V22/S22)</f>
        <v>0</v>
      </c>
      <c r="AI22" s="31">
        <f>IF(OR(V22="",V22=0),"",N(U22)/V22)</f>
        <v>0</v>
      </c>
      <c r="AJ22" s="23">
        <f>IF(B22="","",SUMIFS(Analytics!$J$5:$J$154,Analytics!$E$5:$E$154,E22,Analytics!$C$5:$C$154,TEXT(EDATE(B22,-1),"yyyy-mm")))</f>
        <v>0</v>
      </c>
      <c r="AK22" s="24">
        <f>IF(OR(AJ22="",AJ22=0),"",N(J22)/AJ22-1)</f>
        <v>0</v>
      </c>
      <c r="AL22" s="23">
        <f>IF(B22="","",SUMIFS(Analytics!$G$5:$G$154,Analytics!$E$5:$E$154,E22,Analytics!$C$5:$C$154,TEXT(EDATE(B22,-1),"yyyy-mm")))</f>
        <v>0</v>
      </c>
      <c r="AM22" s="29">
        <f>IF(E22="","",IF(COUNTIFS(Analytics!$E$5:$E$154,E22,Analytics!$C$5:$C$154,C22)&gt;1,"Duplicate","OK"))</f>
        <v>0</v>
      </c>
      <c r="AN22" s="29">
        <f>IF(E22="","",IF(AM22="Duplicate","Duplicate - this month is entered twice",IF(AND(J22&lt;&gt;"",AA22&lt;TargetEngagement),"Check - engagement below target",IF(X22&lt;0,"Check - followers went down",IF(AND(I22&lt;&gt;"",Z22&lt;&gt;"",I22&lt;&gt;Z22),"Check - post count does not match the calendar","OK")))))</f>
        <v>0</v>
      </c>
    </row>
    <row r="23" spans="1:41">
      <c r="A23" s="41">
        <f>IF(E23="","","AN-"&amp;TEXT(ROW()-4,"0000"))</f>
        <v>0</v>
      </c>
      <c r="C23" s="17">
        <f>IF(B23="","",TEXT(B23,"yyyy-mm"))</f>
        <v>0</v>
      </c>
      <c r="W23" s="23">
        <f>IF(G23="","",G23-N(F23)+N(H23))</f>
        <v>0</v>
      </c>
      <c r="X23" s="23">
        <f>IF(G23="","",G23-N(F23))</f>
        <v>0</v>
      </c>
      <c r="Y23" s="24">
        <f>IF(OR(F23="",F23=0),"",X23/F23)</f>
        <v>0</v>
      </c>
      <c r="Z23" s="23">
        <f>IF(OR(B23="",D23=""),"",COUNTIFS('Content Calendar'!$G$5:$G$604,D23,'Content Calendar'!$D$5:$D$604,C23,'Content Calendar'!$X$5:$X$604,"Published"))</f>
        <v>0</v>
      </c>
      <c r="AA23" s="24">
        <f>IF(OR(J23="",J23=0),"",N(L23)/J23)</f>
        <v>0</v>
      </c>
      <c r="AB23" s="23">
        <f>IF(OR(I23="",I23=0),"",ROUND(N(J23)/I23,0))</f>
        <v>0</v>
      </c>
      <c r="AC23" s="23">
        <f>IF(OR(I23="",I23=0),"",ROUND(N(L23)/I23,0))</f>
        <v>0</v>
      </c>
      <c r="AD23" s="24">
        <f>IF(OR(G23="",G23=0),"",N(J23)/G23)</f>
        <v>0</v>
      </c>
      <c r="AE23" s="24">
        <f>IF(OR(J23="",J23=0),"",N(R23)/J23)</f>
        <v>0</v>
      </c>
      <c r="AF23" s="24">
        <f>IF(OR(R23="",R23=0),"",N(S23)/R23)</f>
        <v>0</v>
      </c>
      <c r="AG23" s="24">
        <f>IF(OR(S23="",S23=0),"",N(T23)/S23)</f>
        <v>0</v>
      </c>
      <c r="AH23" s="25">
        <f>IF(OR(S23="",S23=0,V23=""),"",V23/S23)</f>
        <v>0</v>
      </c>
      <c r="AI23" s="31">
        <f>IF(OR(V23="",V23=0),"",N(U23)/V23)</f>
        <v>0</v>
      </c>
      <c r="AJ23" s="23">
        <f>IF(B23="","",SUMIFS(Analytics!$J$5:$J$154,Analytics!$E$5:$E$154,E23,Analytics!$C$5:$C$154,TEXT(EDATE(B23,-1),"yyyy-mm")))</f>
        <v>0</v>
      </c>
      <c r="AK23" s="24">
        <f>IF(OR(AJ23="",AJ23=0),"",N(J23)/AJ23-1)</f>
        <v>0</v>
      </c>
      <c r="AL23" s="23">
        <f>IF(B23="","",SUMIFS(Analytics!$G$5:$G$154,Analytics!$E$5:$E$154,E23,Analytics!$C$5:$C$154,TEXT(EDATE(B23,-1),"yyyy-mm")))</f>
        <v>0</v>
      </c>
      <c r="AM23" s="29">
        <f>IF(E23="","",IF(COUNTIFS(Analytics!$E$5:$E$154,E23,Analytics!$C$5:$C$154,C23)&gt;1,"Duplicate","OK"))</f>
        <v>0</v>
      </c>
      <c r="AN23" s="29">
        <f>IF(E23="","",IF(AM23="Duplicate","Duplicate - this month is entered twice",IF(AND(J23&lt;&gt;"",AA23&lt;TargetEngagement),"Check - engagement below target",IF(X23&lt;0,"Check - followers went down",IF(AND(I23&lt;&gt;"",Z23&lt;&gt;"",I23&lt;&gt;Z23),"Check - post count does not match the calendar","OK")))))</f>
        <v>0</v>
      </c>
    </row>
    <row r="24" spans="1:41">
      <c r="A24" s="41">
        <f>IF(E24="","","AN-"&amp;TEXT(ROW()-4,"0000"))</f>
        <v>0</v>
      </c>
      <c r="C24" s="17">
        <f>IF(B24="","",TEXT(B24,"yyyy-mm"))</f>
        <v>0</v>
      </c>
      <c r="W24" s="23">
        <f>IF(G24="","",G24-N(F24)+N(H24))</f>
        <v>0</v>
      </c>
      <c r="X24" s="23">
        <f>IF(G24="","",G24-N(F24))</f>
        <v>0</v>
      </c>
      <c r="Y24" s="24">
        <f>IF(OR(F24="",F24=0),"",X24/F24)</f>
        <v>0</v>
      </c>
      <c r="Z24" s="23">
        <f>IF(OR(B24="",D24=""),"",COUNTIFS('Content Calendar'!$G$5:$G$604,D24,'Content Calendar'!$D$5:$D$604,C24,'Content Calendar'!$X$5:$X$604,"Published"))</f>
        <v>0</v>
      </c>
      <c r="AA24" s="24">
        <f>IF(OR(J24="",J24=0),"",N(L24)/J24)</f>
        <v>0</v>
      </c>
      <c r="AB24" s="23">
        <f>IF(OR(I24="",I24=0),"",ROUND(N(J24)/I24,0))</f>
        <v>0</v>
      </c>
      <c r="AC24" s="23">
        <f>IF(OR(I24="",I24=0),"",ROUND(N(L24)/I24,0))</f>
        <v>0</v>
      </c>
      <c r="AD24" s="24">
        <f>IF(OR(G24="",G24=0),"",N(J24)/G24)</f>
        <v>0</v>
      </c>
      <c r="AE24" s="24">
        <f>IF(OR(J24="",J24=0),"",N(R24)/J24)</f>
        <v>0</v>
      </c>
      <c r="AF24" s="24">
        <f>IF(OR(R24="",R24=0),"",N(S24)/R24)</f>
        <v>0</v>
      </c>
      <c r="AG24" s="24">
        <f>IF(OR(S24="",S24=0),"",N(T24)/S24)</f>
        <v>0</v>
      </c>
      <c r="AH24" s="25">
        <f>IF(OR(S24="",S24=0,V24=""),"",V24/S24)</f>
        <v>0</v>
      </c>
      <c r="AI24" s="31">
        <f>IF(OR(V24="",V24=0),"",N(U24)/V24)</f>
        <v>0</v>
      </c>
      <c r="AJ24" s="23">
        <f>IF(B24="","",SUMIFS(Analytics!$J$5:$J$154,Analytics!$E$5:$E$154,E24,Analytics!$C$5:$C$154,TEXT(EDATE(B24,-1),"yyyy-mm")))</f>
        <v>0</v>
      </c>
      <c r="AK24" s="24">
        <f>IF(OR(AJ24="",AJ24=0),"",N(J24)/AJ24-1)</f>
        <v>0</v>
      </c>
      <c r="AL24" s="23">
        <f>IF(B24="","",SUMIFS(Analytics!$G$5:$G$154,Analytics!$E$5:$E$154,E24,Analytics!$C$5:$C$154,TEXT(EDATE(B24,-1),"yyyy-mm")))</f>
        <v>0</v>
      </c>
      <c r="AM24" s="29">
        <f>IF(E24="","",IF(COUNTIFS(Analytics!$E$5:$E$154,E24,Analytics!$C$5:$C$154,C24)&gt;1,"Duplicate","OK"))</f>
        <v>0</v>
      </c>
      <c r="AN24" s="29">
        <f>IF(E24="","",IF(AM24="Duplicate","Duplicate - this month is entered twice",IF(AND(J24&lt;&gt;"",AA24&lt;TargetEngagement),"Check - engagement below target",IF(X24&lt;0,"Check - followers went down",IF(AND(I24&lt;&gt;"",Z24&lt;&gt;"",I24&lt;&gt;Z24),"Check - post count does not match the calendar","OK")))))</f>
        <v>0</v>
      </c>
    </row>
    <row r="25" spans="1:41">
      <c r="A25" s="41">
        <f>IF(E25="","","AN-"&amp;TEXT(ROW()-4,"0000"))</f>
        <v>0</v>
      </c>
      <c r="C25" s="17">
        <f>IF(B25="","",TEXT(B25,"yyyy-mm"))</f>
        <v>0</v>
      </c>
      <c r="W25" s="23">
        <f>IF(G25="","",G25-N(F25)+N(H25))</f>
        <v>0</v>
      </c>
      <c r="X25" s="23">
        <f>IF(G25="","",G25-N(F25))</f>
        <v>0</v>
      </c>
      <c r="Y25" s="24">
        <f>IF(OR(F25="",F25=0),"",X25/F25)</f>
        <v>0</v>
      </c>
      <c r="Z25" s="23">
        <f>IF(OR(B25="",D25=""),"",COUNTIFS('Content Calendar'!$G$5:$G$604,D25,'Content Calendar'!$D$5:$D$604,C25,'Content Calendar'!$X$5:$X$604,"Published"))</f>
        <v>0</v>
      </c>
      <c r="AA25" s="24">
        <f>IF(OR(J25="",J25=0),"",N(L25)/J25)</f>
        <v>0</v>
      </c>
      <c r="AB25" s="23">
        <f>IF(OR(I25="",I25=0),"",ROUND(N(J25)/I25,0))</f>
        <v>0</v>
      </c>
      <c r="AC25" s="23">
        <f>IF(OR(I25="",I25=0),"",ROUND(N(L25)/I25,0))</f>
        <v>0</v>
      </c>
      <c r="AD25" s="24">
        <f>IF(OR(G25="",G25=0),"",N(J25)/G25)</f>
        <v>0</v>
      </c>
      <c r="AE25" s="24">
        <f>IF(OR(J25="",J25=0),"",N(R25)/J25)</f>
        <v>0</v>
      </c>
      <c r="AF25" s="24">
        <f>IF(OR(R25="",R25=0),"",N(S25)/R25)</f>
        <v>0</v>
      </c>
      <c r="AG25" s="24">
        <f>IF(OR(S25="",S25=0),"",N(T25)/S25)</f>
        <v>0</v>
      </c>
      <c r="AH25" s="25">
        <f>IF(OR(S25="",S25=0,V25=""),"",V25/S25)</f>
        <v>0</v>
      </c>
      <c r="AI25" s="31">
        <f>IF(OR(V25="",V25=0),"",N(U25)/V25)</f>
        <v>0</v>
      </c>
      <c r="AJ25" s="23">
        <f>IF(B25="","",SUMIFS(Analytics!$J$5:$J$154,Analytics!$E$5:$E$154,E25,Analytics!$C$5:$C$154,TEXT(EDATE(B25,-1),"yyyy-mm")))</f>
        <v>0</v>
      </c>
      <c r="AK25" s="24">
        <f>IF(OR(AJ25="",AJ25=0),"",N(J25)/AJ25-1)</f>
        <v>0</v>
      </c>
      <c r="AL25" s="23">
        <f>IF(B25="","",SUMIFS(Analytics!$G$5:$G$154,Analytics!$E$5:$E$154,E25,Analytics!$C$5:$C$154,TEXT(EDATE(B25,-1),"yyyy-mm")))</f>
        <v>0</v>
      </c>
      <c r="AM25" s="29">
        <f>IF(E25="","",IF(COUNTIFS(Analytics!$E$5:$E$154,E25,Analytics!$C$5:$C$154,C25)&gt;1,"Duplicate","OK"))</f>
        <v>0</v>
      </c>
      <c r="AN25" s="29">
        <f>IF(E25="","",IF(AM25="Duplicate","Duplicate - this month is entered twice",IF(AND(J25&lt;&gt;"",AA25&lt;TargetEngagement),"Check - engagement below target",IF(X25&lt;0,"Check - followers went down",IF(AND(I25&lt;&gt;"",Z25&lt;&gt;"",I25&lt;&gt;Z25),"Check - post count does not match the calendar","OK")))))</f>
        <v>0</v>
      </c>
    </row>
    <row r="26" spans="1:41">
      <c r="A26" s="41">
        <f>IF(E26="","","AN-"&amp;TEXT(ROW()-4,"0000"))</f>
        <v>0</v>
      </c>
      <c r="C26" s="17">
        <f>IF(B26="","",TEXT(B26,"yyyy-mm"))</f>
        <v>0</v>
      </c>
      <c r="W26" s="23">
        <f>IF(G26="","",G26-N(F26)+N(H26))</f>
        <v>0</v>
      </c>
      <c r="X26" s="23">
        <f>IF(G26="","",G26-N(F26))</f>
        <v>0</v>
      </c>
      <c r="Y26" s="24">
        <f>IF(OR(F26="",F26=0),"",X26/F26)</f>
        <v>0</v>
      </c>
      <c r="Z26" s="23">
        <f>IF(OR(B26="",D26=""),"",COUNTIFS('Content Calendar'!$G$5:$G$604,D26,'Content Calendar'!$D$5:$D$604,C26,'Content Calendar'!$X$5:$X$604,"Published"))</f>
        <v>0</v>
      </c>
      <c r="AA26" s="24">
        <f>IF(OR(J26="",J26=0),"",N(L26)/J26)</f>
        <v>0</v>
      </c>
      <c r="AB26" s="23">
        <f>IF(OR(I26="",I26=0),"",ROUND(N(J26)/I26,0))</f>
        <v>0</v>
      </c>
      <c r="AC26" s="23">
        <f>IF(OR(I26="",I26=0),"",ROUND(N(L26)/I26,0))</f>
        <v>0</v>
      </c>
      <c r="AD26" s="24">
        <f>IF(OR(G26="",G26=0),"",N(J26)/G26)</f>
        <v>0</v>
      </c>
      <c r="AE26" s="24">
        <f>IF(OR(J26="",J26=0),"",N(R26)/J26)</f>
        <v>0</v>
      </c>
      <c r="AF26" s="24">
        <f>IF(OR(R26="",R26=0),"",N(S26)/R26)</f>
        <v>0</v>
      </c>
      <c r="AG26" s="24">
        <f>IF(OR(S26="",S26=0),"",N(T26)/S26)</f>
        <v>0</v>
      </c>
      <c r="AH26" s="25">
        <f>IF(OR(S26="",S26=0,V26=""),"",V26/S26)</f>
        <v>0</v>
      </c>
      <c r="AI26" s="31">
        <f>IF(OR(V26="",V26=0),"",N(U26)/V26)</f>
        <v>0</v>
      </c>
      <c r="AJ26" s="23">
        <f>IF(B26="","",SUMIFS(Analytics!$J$5:$J$154,Analytics!$E$5:$E$154,E26,Analytics!$C$5:$C$154,TEXT(EDATE(B26,-1),"yyyy-mm")))</f>
        <v>0</v>
      </c>
      <c r="AK26" s="24">
        <f>IF(OR(AJ26="",AJ26=0),"",N(J26)/AJ26-1)</f>
        <v>0</v>
      </c>
      <c r="AL26" s="23">
        <f>IF(B26="","",SUMIFS(Analytics!$G$5:$G$154,Analytics!$E$5:$E$154,E26,Analytics!$C$5:$C$154,TEXT(EDATE(B26,-1),"yyyy-mm")))</f>
        <v>0</v>
      </c>
      <c r="AM26" s="29">
        <f>IF(E26="","",IF(COUNTIFS(Analytics!$E$5:$E$154,E26,Analytics!$C$5:$C$154,C26)&gt;1,"Duplicate","OK"))</f>
        <v>0</v>
      </c>
      <c r="AN26" s="29">
        <f>IF(E26="","",IF(AM26="Duplicate","Duplicate - this month is entered twice",IF(AND(J26&lt;&gt;"",AA26&lt;TargetEngagement),"Check - engagement below target",IF(X26&lt;0,"Check - followers went down",IF(AND(I26&lt;&gt;"",Z26&lt;&gt;"",I26&lt;&gt;Z26),"Check - post count does not match the calendar","OK")))))</f>
        <v>0</v>
      </c>
    </row>
    <row r="27" spans="1:41">
      <c r="A27" s="41">
        <f>IF(E27="","","AN-"&amp;TEXT(ROW()-4,"0000"))</f>
        <v>0</v>
      </c>
      <c r="C27" s="17">
        <f>IF(B27="","",TEXT(B27,"yyyy-mm"))</f>
        <v>0</v>
      </c>
      <c r="W27" s="23">
        <f>IF(G27="","",G27-N(F27)+N(H27))</f>
        <v>0</v>
      </c>
      <c r="X27" s="23">
        <f>IF(G27="","",G27-N(F27))</f>
        <v>0</v>
      </c>
      <c r="Y27" s="24">
        <f>IF(OR(F27="",F27=0),"",X27/F27)</f>
        <v>0</v>
      </c>
      <c r="Z27" s="23">
        <f>IF(OR(B27="",D27=""),"",COUNTIFS('Content Calendar'!$G$5:$G$604,D27,'Content Calendar'!$D$5:$D$604,C27,'Content Calendar'!$X$5:$X$604,"Published"))</f>
        <v>0</v>
      </c>
      <c r="AA27" s="24">
        <f>IF(OR(J27="",J27=0),"",N(L27)/J27)</f>
        <v>0</v>
      </c>
      <c r="AB27" s="23">
        <f>IF(OR(I27="",I27=0),"",ROUND(N(J27)/I27,0))</f>
        <v>0</v>
      </c>
      <c r="AC27" s="23">
        <f>IF(OR(I27="",I27=0),"",ROUND(N(L27)/I27,0))</f>
        <v>0</v>
      </c>
      <c r="AD27" s="24">
        <f>IF(OR(G27="",G27=0),"",N(J27)/G27)</f>
        <v>0</v>
      </c>
      <c r="AE27" s="24">
        <f>IF(OR(J27="",J27=0),"",N(R27)/J27)</f>
        <v>0</v>
      </c>
      <c r="AF27" s="24">
        <f>IF(OR(R27="",R27=0),"",N(S27)/R27)</f>
        <v>0</v>
      </c>
      <c r="AG27" s="24">
        <f>IF(OR(S27="",S27=0),"",N(T27)/S27)</f>
        <v>0</v>
      </c>
      <c r="AH27" s="25">
        <f>IF(OR(S27="",S27=0,V27=""),"",V27/S27)</f>
        <v>0</v>
      </c>
      <c r="AI27" s="31">
        <f>IF(OR(V27="",V27=0),"",N(U27)/V27)</f>
        <v>0</v>
      </c>
      <c r="AJ27" s="23">
        <f>IF(B27="","",SUMIFS(Analytics!$J$5:$J$154,Analytics!$E$5:$E$154,E27,Analytics!$C$5:$C$154,TEXT(EDATE(B27,-1),"yyyy-mm")))</f>
        <v>0</v>
      </c>
      <c r="AK27" s="24">
        <f>IF(OR(AJ27="",AJ27=0),"",N(J27)/AJ27-1)</f>
        <v>0</v>
      </c>
      <c r="AL27" s="23">
        <f>IF(B27="","",SUMIFS(Analytics!$G$5:$G$154,Analytics!$E$5:$E$154,E27,Analytics!$C$5:$C$154,TEXT(EDATE(B27,-1),"yyyy-mm")))</f>
        <v>0</v>
      </c>
      <c r="AM27" s="29">
        <f>IF(E27="","",IF(COUNTIFS(Analytics!$E$5:$E$154,E27,Analytics!$C$5:$C$154,C27)&gt;1,"Duplicate","OK"))</f>
        <v>0</v>
      </c>
      <c r="AN27" s="29">
        <f>IF(E27="","",IF(AM27="Duplicate","Duplicate - this month is entered twice",IF(AND(J27&lt;&gt;"",AA27&lt;TargetEngagement),"Check - engagement below target",IF(X27&lt;0,"Check - followers went down",IF(AND(I27&lt;&gt;"",Z27&lt;&gt;"",I27&lt;&gt;Z27),"Check - post count does not match the calendar","OK")))))</f>
        <v>0</v>
      </c>
    </row>
    <row r="28" spans="1:41">
      <c r="A28" s="41">
        <f>IF(E28="","","AN-"&amp;TEXT(ROW()-4,"0000"))</f>
        <v>0</v>
      </c>
      <c r="C28" s="17">
        <f>IF(B28="","",TEXT(B28,"yyyy-mm"))</f>
        <v>0</v>
      </c>
      <c r="W28" s="23">
        <f>IF(G28="","",G28-N(F28)+N(H28))</f>
        <v>0</v>
      </c>
      <c r="X28" s="23">
        <f>IF(G28="","",G28-N(F28))</f>
        <v>0</v>
      </c>
      <c r="Y28" s="24">
        <f>IF(OR(F28="",F28=0),"",X28/F28)</f>
        <v>0</v>
      </c>
      <c r="Z28" s="23">
        <f>IF(OR(B28="",D28=""),"",COUNTIFS('Content Calendar'!$G$5:$G$604,D28,'Content Calendar'!$D$5:$D$604,C28,'Content Calendar'!$X$5:$X$604,"Published"))</f>
        <v>0</v>
      </c>
      <c r="AA28" s="24">
        <f>IF(OR(J28="",J28=0),"",N(L28)/J28)</f>
        <v>0</v>
      </c>
      <c r="AB28" s="23">
        <f>IF(OR(I28="",I28=0),"",ROUND(N(J28)/I28,0))</f>
        <v>0</v>
      </c>
      <c r="AC28" s="23">
        <f>IF(OR(I28="",I28=0),"",ROUND(N(L28)/I28,0))</f>
        <v>0</v>
      </c>
      <c r="AD28" s="24">
        <f>IF(OR(G28="",G28=0),"",N(J28)/G28)</f>
        <v>0</v>
      </c>
      <c r="AE28" s="24">
        <f>IF(OR(J28="",J28=0),"",N(R28)/J28)</f>
        <v>0</v>
      </c>
      <c r="AF28" s="24">
        <f>IF(OR(R28="",R28=0),"",N(S28)/R28)</f>
        <v>0</v>
      </c>
      <c r="AG28" s="24">
        <f>IF(OR(S28="",S28=0),"",N(T28)/S28)</f>
        <v>0</v>
      </c>
      <c r="AH28" s="25">
        <f>IF(OR(S28="",S28=0,V28=""),"",V28/S28)</f>
        <v>0</v>
      </c>
      <c r="AI28" s="31">
        <f>IF(OR(V28="",V28=0),"",N(U28)/V28)</f>
        <v>0</v>
      </c>
      <c r="AJ28" s="23">
        <f>IF(B28="","",SUMIFS(Analytics!$J$5:$J$154,Analytics!$E$5:$E$154,E28,Analytics!$C$5:$C$154,TEXT(EDATE(B28,-1),"yyyy-mm")))</f>
        <v>0</v>
      </c>
      <c r="AK28" s="24">
        <f>IF(OR(AJ28="",AJ28=0),"",N(J28)/AJ28-1)</f>
        <v>0</v>
      </c>
      <c r="AL28" s="23">
        <f>IF(B28="","",SUMIFS(Analytics!$G$5:$G$154,Analytics!$E$5:$E$154,E28,Analytics!$C$5:$C$154,TEXT(EDATE(B28,-1),"yyyy-mm")))</f>
        <v>0</v>
      </c>
      <c r="AM28" s="29">
        <f>IF(E28="","",IF(COUNTIFS(Analytics!$E$5:$E$154,E28,Analytics!$C$5:$C$154,C28)&gt;1,"Duplicate","OK"))</f>
        <v>0</v>
      </c>
      <c r="AN28" s="29">
        <f>IF(E28="","",IF(AM28="Duplicate","Duplicate - this month is entered twice",IF(AND(J28&lt;&gt;"",AA28&lt;TargetEngagement),"Check - engagement below target",IF(X28&lt;0,"Check - followers went down",IF(AND(I28&lt;&gt;"",Z28&lt;&gt;"",I28&lt;&gt;Z28),"Check - post count does not match the calendar","OK")))))</f>
        <v>0</v>
      </c>
    </row>
    <row r="29" spans="1:41">
      <c r="A29" s="41">
        <f>IF(E29="","","AN-"&amp;TEXT(ROW()-4,"0000"))</f>
        <v>0</v>
      </c>
      <c r="C29" s="17">
        <f>IF(B29="","",TEXT(B29,"yyyy-mm"))</f>
        <v>0</v>
      </c>
      <c r="W29" s="23">
        <f>IF(G29="","",G29-N(F29)+N(H29))</f>
        <v>0</v>
      </c>
      <c r="X29" s="23">
        <f>IF(G29="","",G29-N(F29))</f>
        <v>0</v>
      </c>
      <c r="Y29" s="24">
        <f>IF(OR(F29="",F29=0),"",X29/F29)</f>
        <v>0</v>
      </c>
      <c r="Z29" s="23">
        <f>IF(OR(B29="",D29=""),"",COUNTIFS('Content Calendar'!$G$5:$G$604,D29,'Content Calendar'!$D$5:$D$604,C29,'Content Calendar'!$X$5:$X$604,"Published"))</f>
        <v>0</v>
      </c>
      <c r="AA29" s="24">
        <f>IF(OR(J29="",J29=0),"",N(L29)/J29)</f>
        <v>0</v>
      </c>
      <c r="AB29" s="23">
        <f>IF(OR(I29="",I29=0),"",ROUND(N(J29)/I29,0))</f>
        <v>0</v>
      </c>
      <c r="AC29" s="23">
        <f>IF(OR(I29="",I29=0),"",ROUND(N(L29)/I29,0))</f>
        <v>0</v>
      </c>
      <c r="AD29" s="24">
        <f>IF(OR(G29="",G29=0),"",N(J29)/G29)</f>
        <v>0</v>
      </c>
      <c r="AE29" s="24">
        <f>IF(OR(J29="",J29=0),"",N(R29)/J29)</f>
        <v>0</v>
      </c>
      <c r="AF29" s="24">
        <f>IF(OR(R29="",R29=0),"",N(S29)/R29)</f>
        <v>0</v>
      </c>
      <c r="AG29" s="24">
        <f>IF(OR(S29="",S29=0),"",N(T29)/S29)</f>
        <v>0</v>
      </c>
      <c r="AH29" s="25">
        <f>IF(OR(S29="",S29=0,V29=""),"",V29/S29)</f>
        <v>0</v>
      </c>
      <c r="AI29" s="31">
        <f>IF(OR(V29="",V29=0),"",N(U29)/V29)</f>
        <v>0</v>
      </c>
      <c r="AJ29" s="23">
        <f>IF(B29="","",SUMIFS(Analytics!$J$5:$J$154,Analytics!$E$5:$E$154,E29,Analytics!$C$5:$C$154,TEXT(EDATE(B29,-1),"yyyy-mm")))</f>
        <v>0</v>
      </c>
      <c r="AK29" s="24">
        <f>IF(OR(AJ29="",AJ29=0),"",N(J29)/AJ29-1)</f>
        <v>0</v>
      </c>
      <c r="AL29" s="23">
        <f>IF(B29="","",SUMIFS(Analytics!$G$5:$G$154,Analytics!$E$5:$E$154,E29,Analytics!$C$5:$C$154,TEXT(EDATE(B29,-1),"yyyy-mm")))</f>
        <v>0</v>
      </c>
      <c r="AM29" s="29">
        <f>IF(E29="","",IF(COUNTIFS(Analytics!$E$5:$E$154,E29,Analytics!$C$5:$C$154,C29)&gt;1,"Duplicate","OK"))</f>
        <v>0</v>
      </c>
      <c r="AN29" s="29">
        <f>IF(E29="","",IF(AM29="Duplicate","Duplicate - this month is entered twice",IF(AND(J29&lt;&gt;"",AA29&lt;TargetEngagement),"Check - engagement below target",IF(X29&lt;0,"Check - followers went down",IF(AND(I29&lt;&gt;"",Z29&lt;&gt;"",I29&lt;&gt;Z29),"Check - post count does not match the calendar","OK")))))</f>
        <v>0</v>
      </c>
    </row>
    <row r="30" spans="1:41">
      <c r="A30" s="41">
        <f>IF(E30="","","AN-"&amp;TEXT(ROW()-4,"0000"))</f>
        <v>0</v>
      </c>
      <c r="C30" s="17">
        <f>IF(B30="","",TEXT(B30,"yyyy-mm"))</f>
        <v>0</v>
      </c>
      <c r="W30" s="23">
        <f>IF(G30="","",G30-N(F30)+N(H30))</f>
        <v>0</v>
      </c>
      <c r="X30" s="23">
        <f>IF(G30="","",G30-N(F30))</f>
        <v>0</v>
      </c>
      <c r="Y30" s="24">
        <f>IF(OR(F30="",F30=0),"",X30/F30)</f>
        <v>0</v>
      </c>
      <c r="Z30" s="23">
        <f>IF(OR(B30="",D30=""),"",COUNTIFS('Content Calendar'!$G$5:$G$604,D30,'Content Calendar'!$D$5:$D$604,C30,'Content Calendar'!$X$5:$X$604,"Published"))</f>
        <v>0</v>
      </c>
      <c r="AA30" s="24">
        <f>IF(OR(J30="",J30=0),"",N(L30)/J30)</f>
        <v>0</v>
      </c>
      <c r="AB30" s="23">
        <f>IF(OR(I30="",I30=0),"",ROUND(N(J30)/I30,0))</f>
        <v>0</v>
      </c>
      <c r="AC30" s="23">
        <f>IF(OR(I30="",I30=0),"",ROUND(N(L30)/I30,0))</f>
        <v>0</v>
      </c>
      <c r="AD30" s="24">
        <f>IF(OR(G30="",G30=0),"",N(J30)/G30)</f>
        <v>0</v>
      </c>
      <c r="AE30" s="24">
        <f>IF(OR(J30="",J30=0),"",N(R30)/J30)</f>
        <v>0</v>
      </c>
      <c r="AF30" s="24">
        <f>IF(OR(R30="",R30=0),"",N(S30)/R30)</f>
        <v>0</v>
      </c>
      <c r="AG30" s="24">
        <f>IF(OR(S30="",S30=0),"",N(T30)/S30)</f>
        <v>0</v>
      </c>
      <c r="AH30" s="25">
        <f>IF(OR(S30="",S30=0,V30=""),"",V30/S30)</f>
        <v>0</v>
      </c>
      <c r="AI30" s="31">
        <f>IF(OR(V30="",V30=0),"",N(U30)/V30)</f>
        <v>0</v>
      </c>
      <c r="AJ30" s="23">
        <f>IF(B30="","",SUMIFS(Analytics!$J$5:$J$154,Analytics!$E$5:$E$154,E30,Analytics!$C$5:$C$154,TEXT(EDATE(B30,-1),"yyyy-mm")))</f>
        <v>0</v>
      </c>
      <c r="AK30" s="24">
        <f>IF(OR(AJ30="",AJ30=0),"",N(J30)/AJ30-1)</f>
        <v>0</v>
      </c>
      <c r="AL30" s="23">
        <f>IF(B30="","",SUMIFS(Analytics!$G$5:$G$154,Analytics!$E$5:$E$154,E30,Analytics!$C$5:$C$154,TEXT(EDATE(B30,-1),"yyyy-mm")))</f>
        <v>0</v>
      </c>
      <c r="AM30" s="29">
        <f>IF(E30="","",IF(COUNTIFS(Analytics!$E$5:$E$154,E30,Analytics!$C$5:$C$154,C30)&gt;1,"Duplicate","OK"))</f>
        <v>0</v>
      </c>
      <c r="AN30" s="29">
        <f>IF(E30="","",IF(AM30="Duplicate","Duplicate - this month is entered twice",IF(AND(J30&lt;&gt;"",AA30&lt;TargetEngagement),"Check - engagement below target",IF(X30&lt;0,"Check - followers went down",IF(AND(I30&lt;&gt;"",Z30&lt;&gt;"",I30&lt;&gt;Z30),"Check - post count does not match the calendar","OK")))))</f>
        <v>0</v>
      </c>
    </row>
    <row r="31" spans="1:41">
      <c r="A31" s="41">
        <f>IF(E31="","","AN-"&amp;TEXT(ROW()-4,"0000"))</f>
        <v>0</v>
      </c>
      <c r="C31" s="17">
        <f>IF(B31="","",TEXT(B31,"yyyy-mm"))</f>
        <v>0</v>
      </c>
      <c r="W31" s="23">
        <f>IF(G31="","",G31-N(F31)+N(H31))</f>
        <v>0</v>
      </c>
      <c r="X31" s="23">
        <f>IF(G31="","",G31-N(F31))</f>
        <v>0</v>
      </c>
      <c r="Y31" s="24">
        <f>IF(OR(F31="",F31=0),"",X31/F31)</f>
        <v>0</v>
      </c>
      <c r="Z31" s="23">
        <f>IF(OR(B31="",D31=""),"",COUNTIFS('Content Calendar'!$G$5:$G$604,D31,'Content Calendar'!$D$5:$D$604,C31,'Content Calendar'!$X$5:$X$604,"Published"))</f>
        <v>0</v>
      </c>
      <c r="AA31" s="24">
        <f>IF(OR(J31="",J31=0),"",N(L31)/J31)</f>
        <v>0</v>
      </c>
      <c r="AB31" s="23">
        <f>IF(OR(I31="",I31=0),"",ROUND(N(J31)/I31,0))</f>
        <v>0</v>
      </c>
      <c r="AC31" s="23">
        <f>IF(OR(I31="",I31=0),"",ROUND(N(L31)/I31,0))</f>
        <v>0</v>
      </c>
      <c r="AD31" s="24">
        <f>IF(OR(G31="",G31=0),"",N(J31)/G31)</f>
        <v>0</v>
      </c>
      <c r="AE31" s="24">
        <f>IF(OR(J31="",J31=0),"",N(R31)/J31)</f>
        <v>0</v>
      </c>
      <c r="AF31" s="24">
        <f>IF(OR(R31="",R31=0),"",N(S31)/R31)</f>
        <v>0</v>
      </c>
      <c r="AG31" s="24">
        <f>IF(OR(S31="",S31=0),"",N(T31)/S31)</f>
        <v>0</v>
      </c>
      <c r="AH31" s="25">
        <f>IF(OR(S31="",S31=0,V31=""),"",V31/S31)</f>
        <v>0</v>
      </c>
      <c r="AI31" s="31">
        <f>IF(OR(V31="",V31=0),"",N(U31)/V31)</f>
        <v>0</v>
      </c>
      <c r="AJ31" s="23">
        <f>IF(B31="","",SUMIFS(Analytics!$J$5:$J$154,Analytics!$E$5:$E$154,E31,Analytics!$C$5:$C$154,TEXT(EDATE(B31,-1),"yyyy-mm")))</f>
        <v>0</v>
      </c>
      <c r="AK31" s="24">
        <f>IF(OR(AJ31="",AJ31=0),"",N(J31)/AJ31-1)</f>
        <v>0</v>
      </c>
      <c r="AL31" s="23">
        <f>IF(B31="","",SUMIFS(Analytics!$G$5:$G$154,Analytics!$E$5:$E$154,E31,Analytics!$C$5:$C$154,TEXT(EDATE(B31,-1),"yyyy-mm")))</f>
        <v>0</v>
      </c>
      <c r="AM31" s="29">
        <f>IF(E31="","",IF(COUNTIFS(Analytics!$E$5:$E$154,E31,Analytics!$C$5:$C$154,C31)&gt;1,"Duplicate","OK"))</f>
        <v>0</v>
      </c>
      <c r="AN31" s="29">
        <f>IF(E31="","",IF(AM31="Duplicate","Duplicate - this month is entered twice",IF(AND(J31&lt;&gt;"",AA31&lt;TargetEngagement),"Check - engagement below target",IF(X31&lt;0,"Check - followers went down",IF(AND(I31&lt;&gt;"",Z31&lt;&gt;"",I31&lt;&gt;Z31),"Check - post count does not match the calendar","OK")))))</f>
        <v>0</v>
      </c>
    </row>
    <row r="32" spans="1:41">
      <c r="A32" s="41">
        <f>IF(E32="","","AN-"&amp;TEXT(ROW()-4,"0000"))</f>
        <v>0</v>
      </c>
      <c r="C32" s="17">
        <f>IF(B32="","",TEXT(B32,"yyyy-mm"))</f>
        <v>0</v>
      </c>
      <c r="W32" s="23">
        <f>IF(G32="","",G32-N(F32)+N(H32))</f>
        <v>0</v>
      </c>
      <c r="X32" s="23">
        <f>IF(G32="","",G32-N(F32))</f>
        <v>0</v>
      </c>
      <c r="Y32" s="24">
        <f>IF(OR(F32="",F32=0),"",X32/F32)</f>
        <v>0</v>
      </c>
      <c r="Z32" s="23">
        <f>IF(OR(B32="",D32=""),"",COUNTIFS('Content Calendar'!$G$5:$G$604,D32,'Content Calendar'!$D$5:$D$604,C32,'Content Calendar'!$X$5:$X$604,"Published"))</f>
        <v>0</v>
      </c>
      <c r="AA32" s="24">
        <f>IF(OR(J32="",J32=0),"",N(L32)/J32)</f>
        <v>0</v>
      </c>
      <c r="AB32" s="23">
        <f>IF(OR(I32="",I32=0),"",ROUND(N(J32)/I32,0))</f>
        <v>0</v>
      </c>
      <c r="AC32" s="23">
        <f>IF(OR(I32="",I32=0),"",ROUND(N(L32)/I32,0))</f>
        <v>0</v>
      </c>
      <c r="AD32" s="24">
        <f>IF(OR(G32="",G32=0),"",N(J32)/G32)</f>
        <v>0</v>
      </c>
      <c r="AE32" s="24">
        <f>IF(OR(J32="",J32=0),"",N(R32)/J32)</f>
        <v>0</v>
      </c>
      <c r="AF32" s="24">
        <f>IF(OR(R32="",R32=0),"",N(S32)/R32)</f>
        <v>0</v>
      </c>
      <c r="AG32" s="24">
        <f>IF(OR(S32="",S32=0),"",N(T32)/S32)</f>
        <v>0</v>
      </c>
      <c r="AH32" s="25">
        <f>IF(OR(S32="",S32=0,V32=""),"",V32/S32)</f>
        <v>0</v>
      </c>
      <c r="AI32" s="31">
        <f>IF(OR(V32="",V32=0),"",N(U32)/V32)</f>
        <v>0</v>
      </c>
      <c r="AJ32" s="23">
        <f>IF(B32="","",SUMIFS(Analytics!$J$5:$J$154,Analytics!$E$5:$E$154,E32,Analytics!$C$5:$C$154,TEXT(EDATE(B32,-1),"yyyy-mm")))</f>
        <v>0</v>
      </c>
      <c r="AK32" s="24">
        <f>IF(OR(AJ32="",AJ32=0),"",N(J32)/AJ32-1)</f>
        <v>0</v>
      </c>
      <c r="AL32" s="23">
        <f>IF(B32="","",SUMIFS(Analytics!$G$5:$G$154,Analytics!$E$5:$E$154,E32,Analytics!$C$5:$C$154,TEXT(EDATE(B32,-1),"yyyy-mm")))</f>
        <v>0</v>
      </c>
      <c r="AM32" s="29">
        <f>IF(E32="","",IF(COUNTIFS(Analytics!$E$5:$E$154,E32,Analytics!$C$5:$C$154,C32)&gt;1,"Duplicate","OK"))</f>
        <v>0</v>
      </c>
      <c r="AN32" s="29">
        <f>IF(E32="","",IF(AM32="Duplicate","Duplicate - this month is entered twice",IF(AND(J32&lt;&gt;"",AA32&lt;TargetEngagement),"Check - engagement below target",IF(X32&lt;0,"Check - followers went down",IF(AND(I32&lt;&gt;"",Z32&lt;&gt;"",I32&lt;&gt;Z32),"Check - post count does not match the calendar","OK")))))</f>
        <v>0</v>
      </c>
    </row>
    <row r="33" spans="1:40">
      <c r="A33" s="41">
        <f>IF(E33="","","AN-"&amp;TEXT(ROW()-4,"0000"))</f>
        <v>0</v>
      </c>
      <c r="C33" s="17">
        <f>IF(B33="","",TEXT(B33,"yyyy-mm"))</f>
        <v>0</v>
      </c>
      <c r="W33" s="23">
        <f>IF(G33="","",G33-N(F33)+N(H33))</f>
        <v>0</v>
      </c>
      <c r="X33" s="23">
        <f>IF(G33="","",G33-N(F33))</f>
        <v>0</v>
      </c>
      <c r="Y33" s="24">
        <f>IF(OR(F33="",F33=0),"",X33/F33)</f>
        <v>0</v>
      </c>
      <c r="Z33" s="23">
        <f>IF(OR(B33="",D33=""),"",COUNTIFS('Content Calendar'!$G$5:$G$604,D33,'Content Calendar'!$D$5:$D$604,C33,'Content Calendar'!$X$5:$X$604,"Published"))</f>
        <v>0</v>
      </c>
      <c r="AA33" s="24">
        <f>IF(OR(J33="",J33=0),"",N(L33)/J33)</f>
        <v>0</v>
      </c>
      <c r="AB33" s="23">
        <f>IF(OR(I33="",I33=0),"",ROUND(N(J33)/I33,0))</f>
        <v>0</v>
      </c>
      <c r="AC33" s="23">
        <f>IF(OR(I33="",I33=0),"",ROUND(N(L33)/I33,0))</f>
        <v>0</v>
      </c>
      <c r="AD33" s="24">
        <f>IF(OR(G33="",G33=0),"",N(J33)/G33)</f>
        <v>0</v>
      </c>
      <c r="AE33" s="24">
        <f>IF(OR(J33="",J33=0),"",N(R33)/J33)</f>
        <v>0</v>
      </c>
      <c r="AF33" s="24">
        <f>IF(OR(R33="",R33=0),"",N(S33)/R33)</f>
        <v>0</v>
      </c>
      <c r="AG33" s="24">
        <f>IF(OR(S33="",S33=0),"",N(T33)/S33)</f>
        <v>0</v>
      </c>
      <c r="AH33" s="25">
        <f>IF(OR(S33="",S33=0,V33=""),"",V33/S33)</f>
        <v>0</v>
      </c>
      <c r="AI33" s="31">
        <f>IF(OR(V33="",V33=0),"",N(U33)/V33)</f>
        <v>0</v>
      </c>
      <c r="AJ33" s="23">
        <f>IF(B33="","",SUMIFS(Analytics!$J$5:$J$154,Analytics!$E$5:$E$154,E33,Analytics!$C$5:$C$154,TEXT(EDATE(B33,-1),"yyyy-mm")))</f>
        <v>0</v>
      </c>
      <c r="AK33" s="24">
        <f>IF(OR(AJ33="",AJ33=0),"",N(J33)/AJ33-1)</f>
        <v>0</v>
      </c>
      <c r="AL33" s="23">
        <f>IF(B33="","",SUMIFS(Analytics!$G$5:$G$154,Analytics!$E$5:$E$154,E33,Analytics!$C$5:$C$154,TEXT(EDATE(B33,-1),"yyyy-mm")))</f>
        <v>0</v>
      </c>
      <c r="AM33" s="29">
        <f>IF(E33="","",IF(COUNTIFS(Analytics!$E$5:$E$154,E33,Analytics!$C$5:$C$154,C33)&gt;1,"Duplicate","OK"))</f>
        <v>0</v>
      </c>
      <c r="AN33" s="29">
        <f>IF(E33="","",IF(AM33="Duplicate","Duplicate - this month is entered twice",IF(AND(J33&lt;&gt;"",AA33&lt;TargetEngagement),"Check - engagement below target",IF(X33&lt;0,"Check - followers went down",IF(AND(I33&lt;&gt;"",Z33&lt;&gt;"",I33&lt;&gt;Z33),"Check - post count does not match the calendar","OK")))))</f>
        <v>0</v>
      </c>
    </row>
    <row r="34" spans="1:40">
      <c r="A34" s="41">
        <f>IF(E34="","","AN-"&amp;TEXT(ROW()-4,"0000"))</f>
        <v>0</v>
      </c>
      <c r="C34" s="17">
        <f>IF(B34="","",TEXT(B34,"yyyy-mm"))</f>
        <v>0</v>
      </c>
      <c r="W34" s="23">
        <f>IF(G34="","",G34-N(F34)+N(H34))</f>
        <v>0</v>
      </c>
      <c r="X34" s="23">
        <f>IF(G34="","",G34-N(F34))</f>
        <v>0</v>
      </c>
      <c r="Y34" s="24">
        <f>IF(OR(F34="",F34=0),"",X34/F34)</f>
        <v>0</v>
      </c>
      <c r="Z34" s="23">
        <f>IF(OR(B34="",D34=""),"",COUNTIFS('Content Calendar'!$G$5:$G$604,D34,'Content Calendar'!$D$5:$D$604,C34,'Content Calendar'!$X$5:$X$604,"Published"))</f>
        <v>0</v>
      </c>
      <c r="AA34" s="24">
        <f>IF(OR(J34="",J34=0),"",N(L34)/J34)</f>
        <v>0</v>
      </c>
      <c r="AB34" s="23">
        <f>IF(OR(I34="",I34=0),"",ROUND(N(J34)/I34,0))</f>
        <v>0</v>
      </c>
      <c r="AC34" s="23">
        <f>IF(OR(I34="",I34=0),"",ROUND(N(L34)/I34,0))</f>
        <v>0</v>
      </c>
      <c r="AD34" s="24">
        <f>IF(OR(G34="",G34=0),"",N(J34)/G34)</f>
        <v>0</v>
      </c>
      <c r="AE34" s="24">
        <f>IF(OR(J34="",J34=0),"",N(R34)/J34)</f>
        <v>0</v>
      </c>
      <c r="AF34" s="24">
        <f>IF(OR(R34="",R34=0),"",N(S34)/R34)</f>
        <v>0</v>
      </c>
      <c r="AG34" s="24">
        <f>IF(OR(S34="",S34=0),"",N(T34)/S34)</f>
        <v>0</v>
      </c>
      <c r="AH34" s="25">
        <f>IF(OR(S34="",S34=0,V34=""),"",V34/S34)</f>
        <v>0</v>
      </c>
      <c r="AI34" s="31">
        <f>IF(OR(V34="",V34=0),"",N(U34)/V34)</f>
        <v>0</v>
      </c>
      <c r="AJ34" s="23">
        <f>IF(B34="","",SUMIFS(Analytics!$J$5:$J$154,Analytics!$E$5:$E$154,E34,Analytics!$C$5:$C$154,TEXT(EDATE(B34,-1),"yyyy-mm")))</f>
        <v>0</v>
      </c>
      <c r="AK34" s="24">
        <f>IF(OR(AJ34="",AJ34=0),"",N(J34)/AJ34-1)</f>
        <v>0</v>
      </c>
      <c r="AL34" s="23">
        <f>IF(B34="","",SUMIFS(Analytics!$G$5:$G$154,Analytics!$E$5:$E$154,E34,Analytics!$C$5:$C$154,TEXT(EDATE(B34,-1),"yyyy-mm")))</f>
        <v>0</v>
      </c>
      <c r="AM34" s="29">
        <f>IF(E34="","",IF(COUNTIFS(Analytics!$E$5:$E$154,E34,Analytics!$C$5:$C$154,C34)&gt;1,"Duplicate","OK"))</f>
        <v>0</v>
      </c>
      <c r="AN34" s="29">
        <f>IF(E34="","",IF(AM34="Duplicate","Duplicate - this month is entered twice",IF(AND(J34&lt;&gt;"",AA34&lt;TargetEngagement),"Check - engagement below target",IF(X34&lt;0,"Check - followers went down",IF(AND(I34&lt;&gt;"",Z34&lt;&gt;"",I34&lt;&gt;Z34),"Check - post count does not match the calendar","OK")))))</f>
        <v>0</v>
      </c>
    </row>
    <row r="35" spans="1:40">
      <c r="A35" s="41">
        <f>IF(E35="","","AN-"&amp;TEXT(ROW()-4,"0000"))</f>
        <v>0</v>
      </c>
      <c r="C35" s="17">
        <f>IF(B35="","",TEXT(B35,"yyyy-mm"))</f>
        <v>0</v>
      </c>
      <c r="W35" s="23">
        <f>IF(G35="","",G35-N(F35)+N(H35))</f>
        <v>0</v>
      </c>
      <c r="X35" s="23">
        <f>IF(G35="","",G35-N(F35))</f>
        <v>0</v>
      </c>
      <c r="Y35" s="24">
        <f>IF(OR(F35="",F35=0),"",X35/F35)</f>
        <v>0</v>
      </c>
      <c r="Z35" s="23">
        <f>IF(OR(B35="",D35=""),"",COUNTIFS('Content Calendar'!$G$5:$G$604,D35,'Content Calendar'!$D$5:$D$604,C35,'Content Calendar'!$X$5:$X$604,"Published"))</f>
        <v>0</v>
      </c>
      <c r="AA35" s="24">
        <f>IF(OR(J35="",J35=0),"",N(L35)/J35)</f>
        <v>0</v>
      </c>
      <c r="AB35" s="23">
        <f>IF(OR(I35="",I35=0),"",ROUND(N(J35)/I35,0))</f>
        <v>0</v>
      </c>
      <c r="AC35" s="23">
        <f>IF(OR(I35="",I35=0),"",ROUND(N(L35)/I35,0))</f>
        <v>0</v>
      </c>
      <c r="AD35" s="24">
        <f>IF(OR(G35="",G35=0),"",N(J35)/G35)</f>
        <v>0</v>
      </c>
      <c r="AE35" s="24">
        <f>IF(OR(J35="",J35=0),"",N(R35)/J35)</f>
        <v>0</v>
      </c>
      <c r="AF35" s="24">
        <f>IF(OR(R35="",R35=0),"",N(S35)/R35)</f>
        <v>0</v>
      </c>
      <c r="AG35" s="24">
        <f>IF(OR(S35="",S35=0),"",N(T35)/S35)</f>
        <v>0</v>
      </c>
      <c r="AH35" s="25">
        <f>IF(OR(S35="",S35=0,V35=""),"",V35/S35)</f>
        <v>0</v>
      </c>
      <c r="AI35" s="31">
        <f>IF(OR(V35="",V35=0),"",N(U35)/V35)</f>
        <v>0</v>
      </c>
      <c r="AJ35" s="23">
        <f>IF(B35="","",SUMIFS(Analytics!$J$5:$J$154,Analytics!$E$5:$E$154,E35,Analytics!$C$5:$C$154,TEXT(EDATE(B35,-1),"yyyy-mm")))</f>
        <v>0</v>
      </c>
      <c r="AK35" s="24">
        <f>IF(OR(AJ35="",AJ35=0),"",N(J35)/AJ35-1)</f>
        <v>0</v>
      </c>
      <c r="AL35" s="23">
        <f>IF(B35="","",SUMIFS(Analytics!$G$5:$G$154,Analytics!$E$5:$E$154,E35,Analytics!$C$5:$C$154,TEXT(EDATE(B35,-1),"yyyy-mm")))</f>
        <v>0</v>
      </c>
      <c r="AM35" s="29">
        <f>IF(E35="","",IF(COUNTIFS(Analytics!$E$5:$E$154,E35,Analytics!$C$5:$C$154,C35)&gt;1,"Duplicate","OK"))</f>
        <v>0</v>
      </c>
      <c r="AN35" s="29">
        <f>IF(E35="","",IF(AM35="Duplicate","Duplicate - this month is entered twice",IF(AND(J35&lt;&gt;"",AA35&lt;TargetEngagement),"Check - engagement below target",IF(X35&lt;0,"Check - followers went down",IF(AND(I35&lt;&gt;"",Z35&lt;&gt;"",I35&lt;&gt;Z35),"Check - post count does not match the calendar","OK")))))</f>
        <v>0</v>
      </c>
    </row>
    <row r="36" spans="1:40">
      <c r="A36" s="41">
        <f>IF(E36="","","AN-"&amp;TEXT(ROW()-4,"0000"))</f>
        <v>0</v>
      </c>
      <c r="C36" s="17">
        <f>IF(B36="","",TEXT(B36,"yyyy-mm"))</f>
        <v>0</v>
      </c>
      <c r="W36" s="23">
        <f>IF(G36="","",G36-N(F36)+N(H36))</f>
        <v>0</v>
      </c>
      <c r="X36" s="23">
        <f>IF(G36="","",G36-N(F36))</f>
        <v>0</v>
      </c>
      <c r="Y36" s="24">
        <f>IF(OR(F36="",F36=0),"",X36/F36)</f>
        <v>0</v>
      </c>
      <c r="Z36" s="23">
        <f>IF(OR(B36="",D36=""),"",COUNTIFS('Content Calendar'!$G$5:$G$604,D36,'Content Calendar'!$D$5:$D$604,C36,'Content Calendar'!$X$5:$X$604,"Published"))</f>
        <v>0</v>
      </c>
      <c r="AA36" s="24">
        <f>IF(OR(J36="",J36=0),"",N(L36)/J36)</f>
        <v>0</v>
      </c>
      <c r="AB36" s="23">
        <f>IF(OR(I36="",I36=0),"",ROUND(N(J36)/I36,0))</f>
        <v>0</v>
      </c>
      <c r="AC36" s="23">
        <f>IF(OR(I36="",I36=0),"",ROUND(N(L36)/I36,0))</f>
        <v>0</v>
      </c>
      <c r="AD36" s="24">
        <f>IF(OR(G36="",G36=0),"",N(J36)/G36)</f>
        <v>0</v>
      </c>
      <c r="AE36" s="24">
        <f>IF(OR(J36="",J36=0),"",N(R36)/J36)</f>
        <v>0</v>
      </c>
      <c r="AF36" s="24">
        <f>IF(OR(R36="",R36=0),"",N(S36)/R36)</f>
        <v>0</v>
      </c>
      <c r="AG36" s="24">
        <f>IF(OR(S36="",S36=0),"",N(T36)/S36)</f>
        <v>0</v>
      </c>
      <c r="AH36" s="25">
        <f>IF(OR(S36="",S36=0,V36=""),"",V36/S36)</f>
        <v>0</v>
      </c>
      <c r="AI36" s="31">
        <f>IF(OR(V36="",V36=0),"",N(U36)/V36)</f>
        <v>0</v>
      </c>
      <c r="AJ36" s="23">
        <f>IF(B36="","",SUMIFS(Analytics!$J$5:$J$154,Analytics!$E$5:$E$154,E36,Analytics!$C$5:$C$154,TEXT(EDATE(B36,-1),"yyyy-mm")))</f>
        <v>0</v>
      </c>
      <c r="AK36" s="24">
        <f>IF(OR(AJ36="",AJ36=0),"",N(J36)/AJ36-1)</f>
        <v>0</v>
      </c>
      <c r="AL36" s="23">
        <f>IF(B36="","",SUMIFS(Analytics!$G$5:$G$154,Analytics!$E$5:$E$154,E36,Analytics!$C$5:$C$154,TEXT(EDATE(B36,-1),"yyyy-mm")))</f>
        <v>0</v>
      </c>
      <c r="AM36" s="29">
        <f>IF(E36="","",IF(COUNTIFS(Analytics!$E$5:$E$154,E36,Analytics!$C$5:$C$154,C36)&gt;1,"Duplicate","OK"))</f>
        <v>0</v>
      </c>
      <c r="AN36" s="29">
        <f>IF(E36="","",IF(AM36="Duplicate","Duplicate - this month is entered twice",IF(AND(J36&lt;&gt;"",AA36&lt;TargetEngagement),"Check - engagement below target",IF(X36&lt;0,"Check - followers went down",IF(AND(I36&lt;&gt;"",Z36&lt;&gt;"",I36&lt;&gt;Z36),"Check - post count does not match the calendar","OK")))))</f>
        <v>0</v>
      </c>
    </row>
    <row r="37" spans="1:40">
      <c r="A37" s="41">
        <f>IF(E37="","","AN-"&amp;TEXT(ROW()-4,"0000"))</f>
        <v>0</v>
      </c>
      <c r="C37" s="17">
        <f>IF(B37="","",TEXT(B37,"yyyy-mm"))</f>
        <v>0</v>
      </c>
      <c r="W37" s="23">
        <f>IF(G37="","",G37-N(F37)+N(H37))</f>
        <v>0</v>
      </c>
      <c r="X37" s="23">
        <f>IF(G37="","",G37-N(F37))</f>
        <v>0</v>
      </c>
      <c r="Y37" s="24">
        <f>IF(OR(F37="",F37=0),"",X37/F37)</f>
        <v>0</v>
      </c>
      <c r="Z37" s="23">
        <f>IF(OR(B37="",D37=""),"",COUNTIFS('Content Calendar'!$G$5:$G$604,D37,'Content Calendar'!$D$5:$D$604,C37,'Content Calendar'!$X$5:$X$604,"Published"))</f>
        <v>0</v>
      </c>
      <c r="AA37" s="24">
        <f>IF(OR(J37="",J37=0),"",N(L37)/J37)</f>
        <v>0</v>
      </c>
      <c r="AB37" s="23">
        <f>IF(OR(I37="",I37=0),"",ROUND(N(J37)/I37,0))</f>
        <v>0</v>
      </c>
      <c r="AC37" s="23">
        <f>IF(OR(I37="",I37=0),"",ROUND(N(L37)/I37,0))</f>
        <v>0</v>
      </c>
      <c r="AD37" s="24">
        <f>IF(OR(G37="",G37=0),"",N(J37)/G37)</f>
        <v>0</v>
      </c>
      <c r="AE37" s="24">
        <f>IF(OR(J37="",J37=0),"",N(R37)/J37)</f>
        <v>0</v>
      </c>
      <c r="AF37" s="24">
        <f>IF(OR(R37="",R37=0),"",N(S37)/R37)</f>
        <v>0</v>
      </c>
      <c r="AG37" s="24">
        <f>IF(OR(S37="",S37=0),"",N(T37)/S37)</f>
        <v>0</v>
      </c>
      <c r="AH37" s="25">
        <f>IF(OR(S37="",S37=0,V37=""),"",V37/S37)</f>
        <v>0</v>
      </c>
      <c r="AI37" s="31">
        <f>IF(OR(V37="",V37=0),"",N(U37)/V37)</f>
        <v>0</v>
      </c>
      <c r="AJ37" s="23">
        <f>IF(B37="","",SUMIFS(Analytics!$J$5:$J$154,Analytics!$E$5:$E$154,E37,Analytics!$C$5:$C$154,TEXT(EDATE(B37,-1),"yyyy-mm")))</f>
        <v>0</v>
      </c>
      <c r="AK37" s="24">
        <f>IF(OR(AJ37="",AJ37=0),"",N(J37)/AJ37-1)</f>
        <v>0</v>
      </c>
      <c r="AL37" s="23">
        <f>IF(B37="","",SUMIFS(Analytics!$G$5:$G$154,Analytics!$E$5:$E$154,E37,Analytics!$C$5:$C$154,TEXT(EDATE(B37,-1),"yyyy-mm")))</f>
        <v>0</v>
      </c>
      <c r="AM37" s="29">
        <f>IF(E37="","",IF(COUNTIFS(Analytics!$E$5:$E$154,E37,Analytics!$C$5:$C$154,C37)&gt;1,"Duplicate","OK"))</f>
        <v>0</v>
      </c>
      <c r="AN37" s="29">
        <f>IF(E37="","",IF(AM37="Duplicate","Duplicate - this month is entered twice",IF(AND(J37&lt;&gt;"",AA37&lt;TargetEngagement),"Check - engagement below target",IF(X37&lt;0,"Check - followers went down",IF(AND(I37&lt;&gt;"",Z37&lt;&gt;"",I37&lt;&gt;Z37),"Check - post count does not match the calendar","OK")))))</f>
        <v>0</v>
      </c>
    </row>
    <row r="38" spans="1:40">
      <c r="A38" s="41">
        <f>IF(E38="","","AN-"&amp;TEXT(ROW()-4,"0000"))</f>
        <v>0</v>
      </c>
      <c r="C38" s="17">
        <f>IF(B38="","",TEXT(B38,"yyyy-mm"))</f>
        <v>0</v>
      </c>
      <c r="W38" s="23">
        <f>IF(G38="","",G38-N(F38)+N(H38))</f>
        <v>0</v>
      </c>
      <c r="X38" s="23">
        <f>IF(G38="","",G38-N(F38))</f>
        <v>0</v>
      </c>
      <c r="Y38" s="24">
        <f>IF(OR(F38="",F38=0),"",X38/F38)</f>
        <v>0</v>
      </c>
      <c r="Z38" s="23">
        <f>IF(OR(B38="",D38=""),"",COUNTIFS('Content Calendar'!$G$5:$G$604,D38,'Content Calendar'!$D$5:$D$604,C38,'Content Calendar'!$X$5:$X$604,"Published"))</f>
        <v>0</v>
      </c>
      <c r="AA38" s="24">
        <f>IF(OR(J38="",J38=0),"",N(L38)/J38)</f>
        <v>0</v>
      </c>
      <c r="AB38" s="23">
        <f>IF(OR(I38="",I38=0),"",ROUND(N(J38)/I38,0))</f>
        <v>0</v>
      </c>
      <c r="AC38" s="23">
        <f>IF(OR(I38="",I38=0),"",ROUND(N(L38)/I38,0))</f>
        <v>0</v>
      </c>
      <c r="AD38" s="24">
        <f>IF(OR(G38="",G38=0),"",N(J38)/G38)</f>
        <v>0</v>
      </c>
      <c r="AE38" s="24">
        <f>IF(OR(J38="",J38=0),"",N(R38)/J38)</f>
        <v>0</v>
      </c>
      <c r="AF38" s="24">
        <f>IF(OR(R38="",R38=0),"",N(S38)/R38)</f>
        <v>0</v>
      </c>
      <c r="AG38" s="24">
        <f>IF(OR(S38="",S38=0),"",N(T38)/S38)</f>
        <v>0</v>
      </c>
      <c r="AH38" s="25">
        <f>IF(OR(S38="",S38=0,V38=""),"",V38/S38)</f>
        <v>0</v>
      </c>
      <c r="AI38" s="31">
        <f>IF(OR(V38="",V38=0),"",N(U38)/V38)</f>
        <v>0</v>
      </c>
      <c r="AJ38" s="23">
        <f>IF(B38="","",SUMIFS(Analytics!$J$5:$J$154,Analytics!$E$5:$E$154,E38,Analytics!$C$5:$C$154,TEXT(EDATE(B38,-1),"yyyy-mm")))</f>
        <v>0</v>
      </c>
      <c r="AK38" s="24">
        <f>IF(OR(AJ38="",AJ38=0),"",N(J38)/AJ38-1)</f>
        <v>0</v>
      </c>
      <c r="AL38" s="23">
        <f>IF(B38="","",SUMIFS(Analytics!$G$5:$G$154,Analytics!$E$5:$E$154,E38,Analytics!$C$5:$C$154,TEXT(EDATE(B38,-1),"yyyy-mm")))</f>
        <v>0</v>
      </c>
      <c r="AM38" s="29">
        <f>IF(E38="","",IF(COUNTIFS(Analytics!$E$5:$E$154,E38,Analytics!$C$5:$C$154,C38)&gt;1,"Duplicate","OK"))</f>
        <v>0</v>
      </c>
      <c r="AN38" s="29">
        <f>IF(E38="","",IF(AM38="Duplicate","Duplicate - this month is entered twice",IF(AND(J38&lt;&gt;"",AA38&lt;TargetEngagement),"Check - engagement below target",IF(X38&lt;0,"Check - followers went down",IF(AND(I38&lt;&gt;"",Z38&lt;&gt;"",I38&lt;&gt;Z38),"Check - post count does not match the calendar","OK")))))</f>
        <v>0</v>
      </c>
    </row>
    <row r="39" spans="1:40">
      <c r="A39" s="41">
        <f>IF(E39="","","AN-"&amp;TEXT(ROW()-4,"0000"))</f>
        <v>0</v>
      </c>
      <c r="C39" s="17">
        <f>IF(B39="","",TEXT(B39,"yyyy-mm"))</f>
        <v>0</v>
      </c>
      <c r="W39" s="23">
        <f>IF(G39="","",G39-N(F39)+N(H39))</f>
        <v>0</v>
      </c>
      <c r="X39" s="23">
        <f>IF(G39="","",G39-N(F39))</f>
        <v>0</v>
      </c>
      <c r="Y39" s="24">
        <f>IF(OR(F39="",F39=0),"",X39/F39)</f>
        <v>0</v>
      </c>
      <c r="Z39" s="23">
        <f>IF(OR(B39="",D39=""),"",COUNTIFS('Content Calendar'!$G$5:$G$604,D39,'Content Calendar'!$D$5:$D$604,C39,'Content Calendar'!$X$5:$X$604,"Published"))</f>
        <v>0</v>
      </c>
      <c r="AA39" s="24">
        <f>IF(OR(J39="",J39=0),"",N(L39)/J39)</f>
        <v>0</v>
      </c>
      <c r="AB39" s="23">
        <f>IF(OR(I39="",I39=0),"",ROUND(N(J39)/I39,0))</f>
        <v>0</v>
      </c>
      <c r="AC39" s="23">
        <f>IF(OR(I39="",I39=0),"",ROUND(N(L39)/I39,0))</f>
        <v>0</v>
      </c>
      <c r="AD39" s="24">
        <f>IF(OR(G39="",G39=0),"",N(J39)/G39)</f>
        <v>0</v>
      </c>
      <c r="AE39" s="24">
        <f>IF(OR(J39="",J39=0),"",N(R39)/J39)</f>
        <v>0</v>
      </c>
      <c r="AF39" s="24">
        <f>IF(OR(R39="",R39=0),"",N(S39)/R39)</f>
        <v>0</v>
      </c>
      <c r="AG39" s="24">
        <f>IF(OR(S39="",S39=0),"",N(T39)/S39)</f>
        <v>0</v>
      </c>
      <c r="AH39" s="25">
        <f>IF(OR(S39="",S39=0,V39=""),"",V39/S39)</f>
        <v>0</v>
      </c>
      <c r="AI39" s="31">
        <f>IF(OR(V39="",V39=0),"",N(U39)/V39)</f>
        <v>0</v>
      </c>
      <c r="AJ39" s="23">
        <f>IF(B39="","",SUMIFS(Analytics!$J$5:$J$154,Analytics!$E$5:$E$154,E39,Analytics!$C$5:$C$154,TEXT(EDATE(B39,-1),"yyyy-mm")))</f>
        <v>0</v>
      </c>
      <c r="AK39" s="24">
        <f>IF(OR(AJ39="",AJ39=0),"",N(J39)/AJ39-1)</f>
        <v>0</v>
      </c>
      <c r="AL39" s="23">
        <f>IF(B39="","",SUMIFS(Analytics!$G$5:$G$154,Analytics!$E$5:$E$154,E39,Analytics!$C$5:$C$154,TEXT(EDATE(B39,-1),"yyyy-mm")))</f>
        <v>0</v>
      </c>
      <c r="AM39" s="29">
        <f>IF(E39="","",IF(COUNTIFS(Analytics!$E$5:$E$154,E39,Analytics!$C$5:$C$154,C39)&gt;1,"Duplicate","OK"))</f>
        <v>0</v>
      </c>
      <c r="AN39" s="29">
        <f>IF(E39="","",IF(AM39="Duplicate","Duplicate - this month is entered twice",IF(AND(J39&lt;&gt;"",AA39&lt;TargetEngagement),"Check - engagement below target",IF(X39&lt;0,"Check - followers went down",IF(AND(I39&lt;&gt;"",Z39&lt;&gt;"",I39&lt;&gt;Z39),"Check - post count does not match the calendar","OK")))))</f>
        <v>0</v>
      </c>
    </row>
    <row r="40" spans="1:40">
      <c r="A40" s="41">
        <f>IF(E40="","","AN-"&amp;TEXT(ROW()-4,"0000"))</f>
        <v>0</v>
      </c>
      <c r="C40" s="17">
        <f>IF(B40="","",TEXT(B40,"yyyy-mm"))</f>
        <v>0</v>
      </c>
      <c r="W40" s="23">
        <f>IF(G40="","",G40-N(F40)+N(H40))</f>
        <v>0</v>
      </c>
      <c r="X40" s="23">
        <f>IF(G40="","",G40-N(F40))</f>
        <v>0</v>
      </c>
      <c r="Y40" s="24">
        <f>IF(OR(F40="",F40=0),"",X40/F40)</f>
        <v>0</v>
      </c>
      <c r="Z40" s="23">
        <f>IF(OR(B40="",D40=""),"",COUNTIFS('Content Calendar'!$G$5:$G$604,D40,'Content Calendar'!$D$5:$D$604,C40,'Content Calendar'!$X$5:$X$604,"Published"))</f>
        <v>0</v>
      </c>
      <c r="AA40" s="24">
        <f>IF(OR(J40="",J40=0),"",N(L40)/J40)</f>
        <v>0</v>
      </c>
      <c r="AB40" s="23">
        <f>IF(OR(I40="",I40=0),"",ROUND(N(J40)/I40,0))</f>
        <v>0</v>
      </c>
      <c r="AC40" s="23">
        <f>IF(OR(I40="",I40=0),"",ROUND(N(L40)/I40,0))</f>
        <v>0</v>
      </c>
      <c r="AD40" s="24">
        <f>IF(OR(G40="",G40=0),"",N(J40)/G40)</f>
        <v>0</v>
      </c>
      <c r="AE40" s="24">
        <f>IF(OR(J40="",J40=0),"",N(R40)/J40)</f>
        <v>0</v>
      </c>
      <c r="AF40" s="24">
        <f>IF(OR(R40="",R40=0),"",N(S40)/R40)</f>
        <v>0</v>
      </c>
      <c r="AG40" s="24">
        <f>IF(OR(S40="",S40=0),"",N(T40)/S40)</f>
        <v>0</v>
      </c>
      <c r="AH40" s="25">
        <f>IF(OR(S40="",S40=0,V40=""),"",V40/S40)</f>
        <v>0</v>
      </c>
      <c r="AI40" s="31">
        <f>IF(OR(V40="",V40=0),"",N(U40)/V40)</f>
        <v>0</v>
      </c>
      <c r="AJ40" s="23">
        <f>IF(B40="","",SUMIFS(Analytics!$J$5:$J$154,Analytics!$E$5:$E$154,E40,Analytics!$C$5:$C$154,TEXT(EDATE(B40,-1),"yyyy-mm")))</f>
        <v>0</v>
      </c>
      <c r="AK40" s="24">
        <f>IF(OR(AJ40="",AJ40=0),"",N(J40)/AJ40-1)</f>
        <v>0</v>
      </c>
      <c r="AL40" s="23">
        <f>IF(B40="","",SUMIFS(Analytics!$G$5:$G$154,Analytics!$E$5:$E$154,E40,Analytics!$C$5:$C$154,TEXT(EDATE(B40,-1),"yyyy-mm")))</f>
        <v>0</v>
      </c>
      <c r="AM40" s="29">
        <f>IF(E40="","",IF(COUNTIFS(Analytics!$E$5:$E$154,E40,Analytics!$C$5:$C$154,C40)&gt;1,"Duplicate","OK"))</f>
        <v>0</v>
      </c>
      <c r="AN40" s="29">
        <f>IF(E40="","",IF(AM40="Duplicate","Duplicate - this month is entered twice",IF(AND(J40&lt;&gt;"",AA40&lt;TargetEngagement),"Check - engagement below target",IF(X40&lt;0,"Check - followers went down",IF(AND(I40&lt;&gt;"",Z40&lt;&gt;"",I40&lt;&gt;Z40),"Check - post count does not match the calendar","OK")))))</f>
        <v>0</v>
      </c>
    </row>
    <row r="41" spans="1:40">
      <c r="A41" s="41">
        <f>IF(E41="","","AN-"&amp;TEXT(ROW()-4,"0000"))</f>
        <v>0</v>
      </c>
      <c r="C41" s="17">
        <f>IF(B41="","",TEXT(B41,"yyyy-mm"))</f>
        <v>0</v>
      </c>
      <c r="W41" s="23">
        <f>IF(G41="","",G41-N(F41)+N(H41))</f>
        <v>0</v>
      </c>
      <c r="X41" s="23">
        <f>IF(G41="","",G41-N(F41))</f>
        <v>0</v>
      </c>
      <c r="Y41" s="24">
        <f>IF(OR(F41="",F41=0),"",X41/F41)</f>
        <v>0</v>
      </c>
      <c r="Z41" s="23">
        <f>IF(OR(B41="",D41=""),"",COUNTIFS('Content Calendar'!$G$5:$G$604,D41,'Content Calendar'!$D$5:$D$604,C41,'Content Calendar'!$X$5:$X$604,"Published"))</f>
        <v>0</v>
      </c>
      <c r="AA41" s="24">
        <f>IF(OR(J41="",J41=0),"",N(L41)/J41)</f>
        <v>0</v>
      </c>
      <c r="AB41" s="23">
        <f>IF(OR(I41="",I41=0),"",ROUND(N(J41)/I41,0))</f>
        <v>0</v>
      </c>
      <c r="AC41" s="23">
        <f>IF(OR(I41="",I41=0),"",ROUND(N(L41)/I41,0))</f>
        <v>0</v>
      </c>
      <c r="AD41" s="24">
        <f>IF(OR(G41="",G41=0),"",N(J41)/G41)</f>
        <v>0</v>
      </c>
      <c r="AE41" s="24">
        <f>IF(OR(J41="",J41=0),"",N(R41)/J41)</f>
        <v>0</v>
      </c>
      <c r="AF41" s="24">
        <f>IF(OR(R41="",R41=0),"",N(S41)/R41)</f>
        <v>0</v>
      </c>
      <c r="AG41" s="24">
        <f>IF(OR(S41="",S41=0),"",N(T41)/S41)</f>
        <v>0</v>
      </c>
      <c r="AH41" s="25">
        <f>IF(OR(S41="",S41=0,V41=""),"",V41/S41)</f>
        <v>0</v>
      </c>
      <c r="AI41" s="31">
        <f>IF(OR(V41="",V41=0),"",N(U41)/V41)</f>
        <v>0</v>
      </c>
      <c r="AJ41" s="23">
        <f>IF(B41="","",SUMIFS(Analytics!$J$5:$J$154,Analytics!$E$5:$E$154,E41,Analytics!$C$5:$C$154,TEXT(EDATE(B41,-1),"yyyy-mm")))</f>
        <v>0</v>
      </c>
      <c r="AK41" s="24">
        <f>IF(OR(AJ41="",AJ41=0),"",N(J41)/AJ41-1)</f>
        <v>0</v>
      </c>
      <c r="AL41" s="23">
        <f>IF(B41="","",SUMIFS(Analytics!$G$5:$G$154,Analytics!$E$5:$E$154,E41,Analytics!$C$5:$C$154,TEXT(EDATE(B41,-1),"yyyy-mm")))</f>
        <v>0</v>
      </c>
      <c r="AM41" s="29">
        <f>IF(E41="","",IF(COUNTIFS(Analytics!$E$5:$E$154,E41,Analytics!$C$5:$C$154,C41)&gt;1,"Duplicate","OK"))</f>
        <v>0</v>
      </c>
      <c r="AN41" s="29">
        <f>IF(E41="","",IF(AM41="Duplicate","Duplicate - this month is entered twice",IF(AND(J41&lt;&gt;"",AA41&lt;TargetEngagement),"Check - engagement below target",IF(X41&lt;0,"Check - followers went down",IF(AND(I41&lt;&gt;"",Z41&lt;&gt;"",I41&lt;&gt;Z41),"Check - post count does not match the calendar","OK")))))</f>
        <v>0</v>
      </c>
    </row>
    <row r="42" spans="1:40">
      <c r="A42" s="41">
        <f>IF(E42="","","AN-"&amp;TEXT(ROW()-4,"0000"))</f>
        <v>0</v>
      </c>
      <c r="C42" s="17">
        <f>IF(B42="","",TEXT(B42,"yyyy-mm"))</f>
        <v>0</v>
      </c>
      <c r="W42" s="23">
        <f>IF(G42="","",G42-N(F42)+N(H42))</f>
        <v>0</v>
      </c>
      <c r="X42" s="23">
        <f>IF(G42="","",G42-N(F42))</f>
        <v>0</v>
      </c>
      <c r="Y42" s="24">
        <f>IF(OR(F42="",F42=0),"",X42/F42)</f>
        <v>0</v>
      </c>
      <c r="Z42" s="23">
        <f>IF(OR(B42="",D42=""),"",COUNTIFS('Content Calendar'!$G$5:$G$604,D42,'Content Calendar'!$D$5:$D$604,C42,'Content Calendar'!$X$5:$X$604,"Published"))</f>
        <v>0</v>
      </c>
      <c r="AA42" s="24">
        <f>IF(OR(J42="",J42=0),"",N(L42)/J42)</f>
        <v>0</v>
      </c>
      <c r="AB42" s="23">
        <f>IF(OR(I42="",I42=0),"",ROUND(N(J42)/I42,0))</f>
        <v>0</v>
      </c>
      <c r="AC42" s="23">
        <f>IF(OR(I42="",I42=0),"",ROUND(N(L42)/I42,0))</f>
        <v>0</v>
      </c>
      <c r="AD42" s="24">
        <f>IF(OR(G42="",G42=0),"",N(J42)/G42)</f>
        <v>0</v>
      </c>
      <c r="AE42" s="24">
        <f>IF(OR(J42="",J42=0),"",N(R42)/J42)</f>
        <v>0</v>
      </c>
      <c r="AF42" s="24">
        <f>IF(OR(R42="",R42=0),"",N(S42)/R42)</f>
        <v>0</v>
      </c>
      <c r="AG42" s="24">
        <f>IF(OR(S42="",S42=0),"",N(T42)/S42)</f>
        <v>0</v>
      </c>
      <c r="AH42" s="25">
        <f>IF(OR(S42="",S42=0,V42=""),"",V42/S42)</f>
        <v>0</v>
      </c>
      <c r="AI42" s="31">
        <f>IF(OR(V42="",V42=0),"",N(U42)/V42)</f>
        <v>0</v>
      </c>
      <c r="AJ42" s="23">
        <f>IF(B42="","",SUMIFS(Analytics!$J$5:$J$154,Analytics!$E$5:$E$154,E42,Analytics!$C$5:$C$154,TEXT(EDATE(B42,-1),"yyyy-mm")))</f>
        <v>0</v>
      </c>
      <c r="AK42" s="24">
        <f>IF(OR(AJ42="",AJ42=0),"",N(J42)/AJ42-1)</f>
        <v>0</v>
      </c>
      <c r="AL42" s="23">
        <f>IF(B42="","",SUMIFS(Analytics!$G$5:$G$154,Analytics!$E$5:$E$154,E42,Analytics!$C$5:$C$154,TEXT(EDATE(B42,-1),"yyyy-mm")))</f>
        <v>0</v>
      </c>
      <c r="AM42" s="29">
        <f>IF(E42="","",IF(COUNTIFS(Analytics!$E$5:$E$154,E42,Analytics!$C$5:$C$154,C42)&gt;1,"Duplicate","OK"))</f>
        <v>0</v>
      </c>
      <c r="AN42" s="29">
        <f>IF(E42="","",IF(AM42="Duplicate","Duplicate - this month is entered twice",IF(AND(J42&lt;&gt;"",AA42&lt;TargetEngagement),"Check - engagement below target",IF(X42&lt;0,"Check - followers went down",IF(AND(I42&lt;&gt;"",Z42&lt;&gt;"",I42&lt;&gt;Z42),"Check - post count does not match the calendar","OK")))))</f>
        <v>0</v>
      </c>
    </row>
    <row r="43" spans="1:40">
      <c r="A43" s="41">
        <f>IF(E43="","","AN-"&amp;TEXT(ROW()-4,"0000"))</f>
        <v>0</v>
      </c>
      <c r="C43" s="17">
        <f>IF(B43="","",TEXT(B43,"yyyy-mm"))</f>
        <v>0</v>
      </c>
      <c r="W43" s="23">
        <f>IF(G43="","",G43-N(F43)+N(H43))</f>
        <v>0</v>
      </c>
      <c r="X43" s="23">
        <f>IF(G43="","",G43-N(F43))</f>
        <v>0</v>
      </c>
      <c r="Y43" s="24">
        <f>IF(OR(F43="",F43=0),"",X43/F43)</f>
        <v>0</v>
      </c>
      <c r="Z43" s="23">
        <f>IF(OR(B43="",D43=""),"",COUNTIFS('Content Calendar'!$G$5:$G$604,D43,'Content Calendar'!$D$5:$D$604,C43,'Content Calendar'!$X$5:$X$604,"Published"))</f>
        <v>0</v>
      </c>
      <c r="AA43" s="24">
        <f>IF(OR(J43="",J43=0),"",N(L43)/J43)</f>
        <v>0</v>
      </c>
      <c r="AB43" s="23">
        <f>IF(OR(I43="",I43=0),"",ROUND(N(J43)/I43,0))</f>
        <v>0</v>
      </c>
      <c r="AC43" s="23">
        <f>IF(OR(I43="",I43=0),"",ROUND(N(L43)/I43,0))</f>
        <v>0</v>
      </c>
      <c r="AD43" s="24">
        <f>IF(OR(G43="",G43=0),"",N(J43)/G43)</f>
        <v>0</v>
      </c>
      <c r="AE43" s="24">
        <f>IF(OR(J43="",J43=0),"",N(R43)/J43)</f>
        <v>0</v>
      </c>
      <c r="AF43" s="24">
        <f>IF(OR(R43="",R43=0),"",N(S43)/R43)</f>
        <v>0</v>
      </c>
      <c r="AG43" s="24">
        <f>IF(OR(S43="",S43=0),"",N(T43)/S43)</f>
        <v>0</v>
      </c>
      <c r="AH43" s="25">
        <f>IF(OR(S43="",S43=0,V43=""),"",V43/S43)</f>
        <v>0</v>
      </c>
      <c r="AI43" s="31">
        <f>IF(OR(V43="",V43=0),"",N(U43)/V43)</f>
        <v>0</v>
      </c>
      <c r="AJ43" s="23">
        <f>IF(B43="","",SUMIFS(Analytics!$J$5:$J$154,Analytics!$E$5:$E$154,E43,Analytics!$C$5:$C$154,TEXT(EDATE(B43,-1),"yyyy-mm")))</f>
        <v>0</v>
      </c>
      <c r="AK43" s="24">
        <f>IF(OR(AJ43="",AJ43=0),"",N(J43)/AJ43-1)</f>
        <v>0</v>
      </c>
      <c r="AL43" s="23">
        <f>IF(B43="","",SUMIFS(Analytics!$G$5:$G$154,Analytics!$E$5:$E$154,E43,Analytics!$C$5:$C$154,TEXT(EDATE(B43,-1),"yyyy-mm")))</f>
        <v>0</v>
      </c>
      <c r="AM43" s="29">
        <f>IF(E43="","",IF(COUNTIFS(Analytics!$E$5:$E$154,E43,Analytics!$C$5:$C$154,C43)&gt;1,"Duplicate","OK"))</f>
        <v>0</v>
      </c>
      <c r="AN43" s="29">
        <f>IF(E43="","",IF(AM43="Duplicate","Duplicate - this month is entered twice",IF(AND(J43&lt;&gt;"",AA43&lt;TargetEngagement),"Check - engagement below target",IF(X43&lt;0,"Check - followers went down",IF(AND(I43&lt;&gt;"",Z43&lt;&gt;"",I43&lt;&gt;Z43),"Check - post count does not match the calendar","OK")))))</f>
        <v>0</v>
      </c>
    </row>
    <row r="44" spans="1:40">
      <c r="A44" s="41">
        <f>IF(E44="","","AN-"&amp;TEXT(ROW()-4,"0000"))</f>
        <v>0</v>
      </c>
      <c r="C44" s="17">
        <f>IF(B44="","",TEXT(B44,"yyyy-mm"))</f>
        <v>0</v>
      </c>
      <c r="W44" s="23">
        <f>IF(G44="","",G44-N(F44)+N(H44))</f>
        <v>0</v>
      </c>
      <c r="X44" s="23">
        <f>IF(G44="","",G44-N(F44))</f>
        <v>0</v>
      </c>
      <c r="Y44" s="24">
        <f>IF(OR(F44="",F44=0),"",X44/F44)</f>
        <v>0</v>
      </c>
      <c r="Z44" s="23">
        <f>IF(OR(B44="",D44=""),"",COUNTIFS('Content Calendar'!$G$5:$G$604,D44,'Content Calendar'!$D$5:$D$604,C44,'Content Calendar'!$X$5:$X$604,"Published"))</f>
        <v>0</v>
      </c>
      <c r="AA44" s="24">
        <f>IF(OR(J44="",J44=0),"",N(L44)/J44)</f>
        <v>0</v>
      </c>
      <c r="AB44" s="23">
        <f>IF(OR(I44="",I44=0),"",ROUND(N(J44)/I44,0))</f>
        <v>0</v>
      </c>
      <c r="AC44" s="23">
        <f>IF(OR(I44="",I44=0),"",ROUND(N(L44)/I44,0))</f>
        <v>0</v>
      </c>
      <c r="AD44" s="24">
        <f>IF(OR(G44="",G44=0),"",N(J44)/G44)</f>
        <v>0</v>
      </c>
      <c r="AE44" s="24">
        <f>IF(OR(J44="",J44=0),"",N(R44)/J44)</f>
        <v>0</v>
      </c>
      <c r="AF44" s="24">
        <f>IF(OR(R44="",R44=0),"",N(S44)/R44)</f>
        <v>0</v>
      </c>
      <c r="AG44" s="24">
        <f>IF(OR(S44="",S44=0),"",N(T44)/S44)</f>
        <v>0</v>
      </c>
      <c r="AH44" s="25">
        <f>IF(OR(S44="",S44=0,V44=""),"",V44/S44)</f>
        <v>0</v>
      </c>
      <c r="AI44" s="31">
        <f>IF(OR(V44="",V44=0),"",N(U44)/V44)</f>
        <v>0</v>
      </c>
      <c r="AJ44" s="23">
        <f>IF(B44="","",SUMIFS(Analytics!$J$5:$J$154,Analytics!$E$5:$E$154,E44,Analytics!$C$5:$C$154,TEXT(EDATE(B44,-1),"yyyy-mm")))</f>
        <v>0</v>
      </c>
      <c r="AK44" s="24">
        <f>IF(OR(AJ44="",AJ44=0),"",N(J44)/AJ44-1)</f>
        <v>0</v>
      </c>
      <c r="AL44" s="23">
        <f>IF(B44="","",SUMIFS(Analytics!$G$5:$G$154,Analytics!$E$5:$E$154,E44,Analytics!$C$5:$C$154,TEXT(EDATE(B44,-1),"yyyy-mm")))</f>
        <v>0</v>
      </c>
      <c r="AM44" s="29">
        <f>IF(E44="","",IF(COUNTIFS(Analytics!$E$5:$E$154,E44,Analytics!$C$5:$C$154,C44)&gt;1,"Duplicate","OK"))</f>
        <v>0</v>
      </c>
      <c r="AN44" s="29">
        <f>IF(E44="","",IF(AM44="Duplicate","Duplicate - this month is entered twice",IF(AND(J44&lt;&gt;"",AA44&lt;TargetEngagement),"Check - engagement below target",IF(X44&lt;0,"Check - followers went down",IF(AND(I44&lt;&gt;"",Z44&lt;&gt;"",I44&lt;&gt;Z44),"Check - post count does not match the calendar","OK")))))</f>
        <v>0</v>
      </c>
    </row>
    <row r="45" spans="1:40">
      <c r="A45" s="41">
        <f>IF(E45="","","AN-"&amp;TEXT(ROW()-4,"0000"))</f>
        <v>0</v>
      </c>
      <c r="C45" s="17">
        <f>IF(B45="","",TEXT(B45,"yyyy-mm"))</f>
        <v>0</v>
      </c>
      <c r="W45" s="23">
        <f>IF(G45="","",G45-N(F45)+N(H45))</f>
        <v>0</v>
      </c>
      <c r="X45" s="23">
        <f>IF(G45="","",G45-N(F45))</f>
        <v>0</v>
      </c>
      <c r="Y45" s="24">
        <f>IF(OR(F45="",F45=0),"",X45/F45)</f>
        <v>0</v>
      </c>
      <c r="Z45" s="23">
        <f>IF(OR(B45="",D45=""),"",COUNTIFS('Content Calendar'!$G$5:$G$604,D45,'Content Calendar'!$D$5:$D$604,C45,'Content Calendar'!$X$5:$X$604,"Published"))</f>
        <v>0</v>
      </c>
      <c r="AA45" s="24">
        <f>IF(OR(J45="",J45=0),"",N(L45)/J45)</f>
        <v>0</v>
      </c>
      <c r="AB45" s="23">
        <f>IF(OR(I45="",I45=0),"",ROUND(N(J45)/I45,0))</f>
        <v>0</v>
      </c>
      <c r="AC45" s="23">
        <f>IF(OR(I45="",I45=0),"",ROUND(N(L45)/I45,0))</f>
        <v>0</v>
      </c>
      <c r="AD45" s="24">
        <f>IF(OR(G45="",G45=0),"",N(J45)/G45)</f>
        <v>0</v>
      </c>
      <c r="AE45" s="24">
        <f>IF(OR(J45="",J45=0),"",N(R45)/J45)</f>
        <v>0</v>
      </c>
      <c r="AF45" s="24">
        <f>IF(OR(R45="",R45=0),"",N(S45)/R45)</f>
        <v>0</v>
      </c>
      <c r="AG45" s="24">
        <f>IF(OR(S45="",S45=0),"",N(T45)/S45)</f>
        <v>0</v>
      </c>
      <c r="AH45" s="25">
        <f>IF(OR(S45="",S45=0,V45=""),"",V45/S45)</f>
        <v>0</v>
      </c>
      <c r="AI45" s="31">
        <f>IF(OR(V45="",V45=0),"",N(U45)/V45)</f>
        <v>0</v>
      </c>
      <c r="AJ45" s="23">
        <f>IF(B45="","",SUMIFS(Analytics!$J$5:$J$154,Analytics!$E$5:$E$154,E45,Analytics!$C$5:$C$154,TEXT(EDATE(B45,-1),"yyyy-mm")))</f>
        <v>0</v>
      </c>
      <c r="AK45" s="24">
        <f>IF(OR(AJ45="",AJ45=0),"",N(J45)/AJ45-1)</f>
        <v>0</v>
      </c>
      <c r="AL45" s="23">
        <f>IF(B45="","",SUMIFS(Analytics!$G$5:$G$154,Analytics!$E$5:$E$154,E45,Analytics!$C$5:$C$154,TEXT(EDATE(B45,-1),"yyyy-mm")))</f>
        <v>0</v>
      </c>
      <c r="AM45" s="29">
        <f>IF(E45="","",IF(COUNTIFS(Analytics!$E$5:$E$154,E45,Analytics!$C$5:$C$154,C45)&gt;1,"Duplicate","OK"))</f>
        <v>0</v>
      </c>
      <c r="AN45" s="29">
        <f>IF(E45="","",IF(AM45="Duplicate","Duplicate - this month is entered twice",IF(AND(J45&lt;&gt;"",AA45&lt;TargetEngagement),"Check - engagement below target",IF(X45&lt;0,"Check - followers went down",IF(AND(I45&lt;&gt;"",Z45&lt;&gt;"",I45&lt;&gt;Z45),"Check - post count does not match the calendar","OK")))))</f>
        <v>0</v>
      </c>
    </row>
    <row r="46" spans="1:40">
      <c r="A46" s="41">
        <f>IF(E46="","","AN-"&amp;TEXT(ROW()-4,"0000"))</f>
        <v>0</v>
      </c>
      <c r="C46" s="17">
        <f>IF(B46="","",TEXT(B46,"yyyy-mm"))</f>
        <v>0</v>
      </c>
      <c r="W46" s="23">
        <f>IF(G46="","",G46-N(F46)+N(H46))</f>
        <v>0</v>
      </c>
      <c r="X46" s="23">
        <f>IF(G46="","",G46-N(F46))</f>
        <v>0</v>
      </c>
      <c r="Y46" s="24">
        <f>IF(OR(F46="",F46=0),"",X46/F46)</f>
        <v>0</v>
      </c>
      <c r="Z46" s="23">
        <f>IF(OR(B46="",D46=""),"",COUNTIFS('Content Calendar'!$G$5:$G$604,D46,'Content Calendar'!$D$5:$D$604,C46,'Content Calendar'!$X$5:$X$604,"Published"))</f>
        <v>0</v>
      </c>
      <c r="AA46" s="24">
        <f>IF(OR(J46="",J46=0),"",N(L46)/J46)</f>
        <v>0</v>
      </c>
      <c r="AB46" s="23">
        <f>IF(OR(I46="",I46=0),"",ROUND(N(J46)/I46,0))</f>
        <v>0</v>
      </c>
      <c r="AC46" s="23">
        <f>IF(OR(I46="",I46=0),"",ROUND(N(L46)/I46,0))</f>
        <v>0</v>
      </c>
      <c r="AD46" s="24">
        <f>IF(OR(G46="",G46=0),"",N(J46)/G46)</f>
        <v>0</v>
      </c>
      <c r="AE46" s="24">
        <f>IF(OR(J46="",J46=0),"",N(R46)/J46)</f>
        <v>0</v>
      </c>
      <c r="AF46" s="24">
        <f>IF(OR(R46="",R46=0),"",N(S46)/R46)</f>
        <v>0</v>
      </c>
      <c r="AG46" s="24">
        <f>IF(OR(S46="",S46=0),"",N(T46)/S46)</f>
        <v>0</v>
      </c>
      <c r="AH46" s="25">
        <f>IF(OR(S46="",S46=0,V46=""),"",V46/S46)</f>
        <v>0</v>
      </c>
      <c r="AI46" s="31">
        <f>IF(OR(V46="",V46=0),"",N(U46)/V46)</f>
        <v>0</v>
      </c>
      <c r="AJ46" s="23">
        <f>IF(B46="","",SUMIFS(Analytics!$J$5:$J$154,Analytics!$E$5:$E$154,E46,Analytics!$C$5:$C$154,TEXT(EDATE(B46,-1),"yyyy-mm")))</f>
        <v>0</v>
      </c>
      <c r="AK46" s="24">
        <f>IF(OR(AJ46="",AJ46=0),"",N(J46)/AJ46-1)</f>
        <v>0</v>
      </c>
      <c r="AL46" s="23">
        <f>IF(B46="","",SUMIFS(Analytics!$G$5:$G$154,Analytics!$E$5:$E$154,E46,Analytics!$C$5:$C$154,TEXT(EDATE(B46,-1),"yyyy-mm")))</f>
        <v>0</v>
      </c>
      <c r="AM46" s="29">
        <f>IF(E46="","",IF(COUNTIFS(Analytics!$E$5:$E$154,E46,Analytics!$C$5:$C$154,C46)&gt;1,"Duplicate","OK"))</f>
        <v>0</v>
      </c>
      <c r="AN46" s="29">
        <f>IF(E46="","",IF(AM46="Duplicate","Duplicate - this month is entered twice",IF(AND(J46&lt;&gt;"",AA46&lt;TargetEngagement),"Check - engagement below target",IF(X46&lt;0,"Check - followers went down",IF(AND(I46&lt;&gt;"",Z46&lt;&gt;"",I46&lt;&gt;Z46),"Check - post count does not match the calendar","OK")))))</f>
        <v>0</v>
      </c>
    </row>
    <row r="47" spans="1:40">
      <c r="A47" s="41">
        <f>IF(E47="","","AN-"&amp;TEXT(ROW()-4,"0000"))</f>
        <v>0</v>
      </c>
      <c r="C47" s="17">
        <f>IF(B47="","",TEXT(B47,"yyyy-mm"))</f>
        <v>0</v>
      </c>
      <c r="W47" s="23">
        <f>IF(G47="","",G47-N(F47)+N(H47))</f>
        <v>0</v>
      </c>
      <c r="X47" s="23">
        <f>IF(G47="","",G47-N(F47))</f>
        <v>0</v>
      </c>
      <c r="Y47" s="24">
        <f>IF(OR(F47="",F47=0),"",X47/F47)</f>
        <v>0</v>
      </c>
      <c r="Z47" s="23">
        <f>IF(OR(B47="",D47=""),"",COUNTIFS('Content Calendar'!$G$5:$G$604,D47,'Content Calendar'!$D$5:$D$604,C47,'Content Calendar'!$X$5:$X$604,"Published"))</f>
        <v>0</v>
      </c>
      <c r="AA47" s="24">
        <f>IF(OR(J47="",J47=0),"",N(L47)/J47)</f>
        <v>0</v>
      </c>
      <c r="AB47" s="23">
        <f>IF(OR(I47="",I47=0),"",ROUND(N(J47)/I47,0))</f>
        <v>0</v>
      </c>
      <c r="AC47" s="23">
        <f>IF(OR(I47="",I47=0),"",ROUND(N(L47)/I47,0))</f>
        <v>0</v>
      </c>
      <c r="AD47" s="24">
        <f>IF(OR(G47="",G47=0),"",N(J47)/G47)</f>
        <v>0</v>
      </c>
      <c r="AE47" s="24">
        <f>IF(OR(J47="",J47=0),"",N(R47)/J47)</f>
        <v>0</v>
      </c>
      <c r="AF47" s="24">
        <f>IF(OR(R47="",R47=0),"",N(S47)/R47)</f>
        <v>0</v>
      </c>
      <c r="AG47" s="24">
        <f>IF(OR(S47="",S47=0),"",N(T47)/S47)</f>
        <v>0</v>
      </c>
      <c r="AH47" s="25">
        <f>IF(OR(S47="",S47=0,V47=""),"",V47/S47)</f>
        <v>0</v>
      </c>
      <c r="AI47" s="31">
        <f>IF(OR(V47="",V47=0),"",N(U47)/V47)</f>
        <v>0</v>
      </c>
      <c r="AJ47" s="23">
        <f>IF(B47="","",SUMIFS(Analytics!$J$5:$J$154,Analytics!$E$5:$E$154,E47,Analytics!$C$5:$C$154,TEXT(EDATE(B47,-1),"yyyy-mm")))</f>
        <v>0</v>
      </c>
      <c r="AK47" s="24">
        <f>IF(OR(AJ47="",AJ47=0),"",N(J47)/AJ47-1)</f>
        <v>0</v>
      </c>
      <c r="AL47" s="23">
        <f>IF(B47="","",SUMIFS(Analytics!$G$5:$G$154,Analytics!$E$5:$E$154,E47,Analytics!$C$5:$C$154,TEXT(EDATE(B47,-1),"yyyy-mm")))</f>
        <v>0</v>
      </c>
      <c r="AM47" s="29">
        <f>IF(E47="","",IF(COUNTIFS(Analytics!$E$5:$E$154,E47,Analytics!$C$5:$C$154,C47)&gt;1,"Duplicate","OK"))</f>
        <v>0</v>
      </c>
      <c r="AN47" s="29">
        <f>IF(E47="","",IF(AM47="Duplicate","Duplicate - this month is entered twice",IF(AND(J47&lt;&gt;"",AA47&lt;TargetEngagement),"Check - engagement below target",IF(X47&lt;0,"Check - followers went down",IF(AND(I47&lt;&gt;"",Z47&lt;&gt;"",I47&lt;&gt;Z47),"Check - post count does not match the calendar","OK")))))</f>
        <v>0</v>
      </c>
    </row>
    <row r="48" spans="1:40">
      <c r="A48" s="41">
        <f>IF(E48="","","AN-"&amp;TEXT(ROW()-4,"0000"))</f>
        <v>0</v>
      </c>
      <c r="C48" s="17">
        <f>IF(B48="","",TEXT(B48,"yyyy-mm"))</f>
        <v>0</v>
      </c>
      <c r="W48" s="23">
        <f>IF(G48="","",G48-N(F48)+N(H48))</f>
        <v>0</v>
      </c>
      <c r="X48" s="23">
        <f>IF(G48="","",G48-N(F48))</f>
        <v>0</v>
      </c>
      <c r="Y48" s="24">
        <f>IF(OR(F48="",F48=0),"",X48/F48)</f>
        <v>0</v>
      </c>
      <c r="Z48" s="23">
        <f>IF(OR(B48="",D48=""),"",COUNTIFS('Content Calendar'!$G$5:$G$604,D48,'Content Calendar'!$D$5:$D$604,C48,'Content Calendar'!$X$5:$X$604,"Published"))</f>
        <v>0</v>
      </c>
      <c r="AA48" s="24">
        <f>IF(OR(J48="",J48=0),"",N(L48)/J48)</f>
        <v>0</v>
      </c>
      <c r="AB48" s="23">
        <f>IF(OR(I48="",I48=0),"",ROUND(N(J48)/I48,0))</f>
        <v>0</v>
      </c>
      <c r="AC48" s="23">
        <f>IF(OR(I48="",I48=0),"",ROUND(N(L48)/I48,0))</f>
        <v>0</v>
      </c>
      <c r="AD48" s="24">
        <f>IF(OR(G48="",G48=0),"",N(J48)/G48)</f>
        <v>0</v>
      </c>
      <c r="AE48" s="24">
        <f>IF(OR(J48="",J48=0),"",N(R48)/J48)</f>
        <v>0</v>
      </c>
      <c r="AF48" s="24">
        <f>IF(OR(R48="",R48=0),"",N(S48)/R48)</f>
        <v>0</v>
      </c>
      <c r="AG48" s="24">
        <f>IF(OR(S48="",S48=0),"",N(T48)/S48)</f>
        <v>0</v>
      </c>
      <c r="AH48" s="25">
        <f>IF(OR(S48="",S48=0,V48=""),"",V48/S48)</f>
        <v>0</v>
      </c>
      <c r="AI48" s="31">
        <f>IF(OR(V48="",V48=0),"",N(U48)/V48)</f>
        <v>0</v>
      </c>
      <c r="AJ48" s="23">
        <f>IF(B48="","",SUMIFS(Analytics!$J$5:$J$154,Analytics!$E$5:$E$154,E48,Analytics!$C$5:$C$154,TEXT(EDATE(B48,-1),"yyyy-mm")))</f>
        <v>0</v>
      </c>
      <c r="AK48" s="24">
        <f>IF(OR(AJ48="",AJ48=0),"",N(J48)/AJ48-1)</f>
        <v>0</v>
      </c>
      <c r="AL48" s="23">
        <f>IF(B48="","",SUMIFS(Analytics!$G$5:$G$154,Analytics!$E$5:$E$154,E48,Analytics!$C$5:$C$154,TEXT(EDATE(B48,-1),"yyyy-mm")))</f>
        <v>0</v>
      </c>
      <c r="AM48" s="29">
        <f>IF(E48="","",IF(COUNTIFS(Analytics!$E$5:$E$154,E48,Analytics!$C$5:$C$154,C48)&gt;1,"Duplicate","OK"))</f>
        <v>0</v>
      </c>
      <c r="AN48" s="29">
        <f>IF(E48="","",IF(AM48="Duplicate","Duplicate - this month is entered twice",IF(AND(J48&lt;&gt;"",AA48&lt;TargetEngagement),"Check - engagement below target",IF(X48&lt;0,"Check - followers went down",IF(AND(I48&lt;&gt;"",Z48&lt;&gt;"",I48&lt;&gt;Z48),"Check - post count does not match the calendar","OK")))))</f>
        <v>0</v>
      </c>
    </row>
    <row r="49" spans="1:40">
      <c r="A49" s="41">
        <f>IF(E49="","","AN-"&amp;TEXT(ROW()-4,"0000"))</f>
        <v>0</v>
      </c>
      <c r="C49" s="17">
        <f>IF(B49="","",TEXT(B49,"yyyy-mm"))</f>
        <v>0</v>
      </c>
      <c r="W49" s="23">
        <f>IF(G49="","",G49-N(F49)+N(H49))</f>
        <v>0</v>
      </c>
      <c r="X49" s="23">
        <f>IF(G49="","",G49-N(F49))</f>
        <v>0</v>
      </c>
      <c r="Y49" s="24">
        <f>IF(OR(F49="",F49=0),"",X49/F49)</f>
        <v>0</v>
      </c>
      <c r="Z49" s="23">
        <f>IF(OR(B49="",D49=""),"",COUNTIFS('Content Calendar'!$G$5:$G$604,D49,'Content Calendar'!$D$5:$D$604,C49,'Content Calendar'!$X$5:$X$604,"Published"))</f>
        <v>0</v>
      </c>
      <c r="AA49" s="24">
        <f>IF(OR(J49="",J49=0),"",N(L49)/J49)</f>
        <v>0</v>
      </c>
      <c r="AB49" s="23">
        <f>IF(OR(I49="",I49=0),"",ROUND(N(J49)/I49,0))</f>
        <v>0</v>
      </c>
      <c r="AC49" s="23">
        <f>IF(OR(I49="",I49=0),"",ROUND(N(L49)/I49,0))</f>
        <v>0</v>
      </c>
      <c r="AD49" s="24">
        <f>IF(OR(G49="",G49=0),"",N(J49)/G49)</f>
        <v>0</v>
      </c>
      <c r="AE49" s="24">
        <f>IF(OR(J49="",J49=0),"",N(R49)/J49)</f>
        <v>0</v>
      </c>
      <c r="AF49" s="24">
        <f>IF(OR(R49="",R49=0),"",N(S49)/R49)</f>
        <v>0</v>
      </c>
      <c r="AG49" s="24">
        <f>IF(OR(S49="",S49=0),"",N(T49)/S49)</f>
        <v>0</v>
      </c>
      <c r="AH49" s="25">
        <f>IF(OR(S49="",S49=0,V49=""),"",V49/S49)</f>
        <v>0</v>
      </c>
      <c r="AI49" s="31">
        <f>IF(OR(V49="",V49=0),"",N(U49)/V49)</f>
        <v>0</v>
      </c>
      <c r="AJ49" s="23">
        <f>IF(B49="","",SUMIFS(Analytics!$J$5:$J$154,Analytics!$E$5:$E$154,E49,Analytics!$C$5:$C$154,TEXT(EDATE(B49,-1),"yyyy-mm")))</f>
        <v>0</v>
      </c>
      <c r="AK49" s="24">
        <f>IF(OR(AJ49="",AJ49=0),"",N(J49)/AJ49-1)</f>
        <v>0</v>
      </c>
      <c r="AL49" s="23">
        <f>IF(B49="","",SUMIFS(Analytics!$G$5:$G$154,Analytics!$E$5:$E$154,E49,Analytics!$C$5:$C$154,TEXT(EDATE(B49,-1),"yyyy-mm")))</f>
        <v>0</v>
      </c>
      <c r="AM49" s="29">
        <f>IF(E49="","",IF(COUNTIFS(Analytics!$E$5:$E$154,E49,Analytics!$C$5:$C$154,C49)&gt;1,"Duplicate","OK"))</f>
        <v>0</v>
      </c>
      <c r="AN49" s="29">
        <f>IF(E49="","",IF(AM49="Duplicate","Duplicate - this month is entered twice",IF(AND(J49&lt;&gt;"",AA49&lt;TargetEngagement),"Check - engagement below target",IF(X49&lt;0,"Check - followers went down",IF(AND(I49&lt;&gt;"",Z49&lt;&gt;"",I49&lt;&gt;Z49),"Check - post count does not match the calendar","OK")))))</f>
        <v>0</v>
      </c>
    </row>
    <row r="50" spans="1:40">
      <c r="A50" s="41">
        <f>IF(E50="","","AN-"&amp;TEXT(ROW()-4,"0000"))</f>
        <v>0</v>
      </c>
      <c r="C50" s="17">
        <f>IF(B50="","",TEXT(B50,"yyyy-mm"))</f>
        <v>0</v>
      </c>
      <c r="W50" s="23">
        <f>IF(G50="","",G50-N(F50)+N(H50))</f>
        <v>0</v>
      </c>
      <c r="X50" s="23">
        <f>IF(G50="","",G50-N(F50))</f>
        <v>0</v>
      </c>
      <c r="Y50" s="24">
        <f>IF(OR(F50="",F50=0),"",X50/F50)</f>
        <v>0</v>
      </c>
      <c r="Z50" s="23">
        <f>IF(OR(B50="",D50=""),"",COUNTIFS('Content Calendar'!$G$5:$G$604,D50,'Content Calendar'!$D$5:$D$604,C50,'Content Calendar'!$X$5:$X$604,"Published"))</f>
        <v>0</v>
      </c>
      <c r="AA50" s="24">
        <f>IF(OR(J50="",J50=0),"",N(L50)/J50)</f>
        <v>0</v>
      </c>
      <c r="AB50" s="23">
        <f>IF(OR(I50="",I50=0),"",ROUND(N(J50)/I50,0))</f>
        <v>0</v>
      </c>
      <c r="AC50" s="23">
        <f>IF(OR(I50="",I50=0),"",ROUND(N(L50)/I50,0))</f>
        <v>0</v>
      </c>
      <c r="AD50" s="24">
        <f>IF(OR(G50="",G50=0),"",N(J50)/G50)</f>
        <v>0</v>
      </c>
      <c r="AE50" s="24">
        <f>IF(OR(J50="",J50=0),"",N(R50)/J50)</f>
        <v>0</v>
      </c>
      <c r="AF50" s="24">
        <f>IF(OR(R50="",R50=0),"",N(S50)/R50)</f>
        <v>0</v>
      </c>
      <c r="AG50" s="24">
        <f>IF(OR(S50="",S50=0),"",N(T50)/S50)</f>
        <v>0</v>
      </c>
      <c r="AH50" s="25">
        <f>IF(OR(S50="",S50=0,V50=""),"",V50/S50)</f>
        <v>0</v>
      </c>
      <c r="AI50" s="31">
        <f>IF(OR(V50="",V50=0),"",N(U50)/V50)</f>
        <v>0</v>
      </c>
      <c r="AJ50" s="23">
        <f>IF(B50="","",SUMIFS(Analytics!$J$5:$J$154,Analytics!$E$5:$E$154,E50,Analytics!$C$5:$C$154,TEXT(EDATE(B50,-1),"yyyy-mm")))</f>
        <v>0</v>
      </c>
      <c r="AK50" s="24">
        <f>IF(OR(AJ50="",AJ50=0),"",N(J50)/AJ50-1)</f>
        <v>0</v>
      </c>
      <c r="AL50" s="23">
        <f>IF(B50="","",SUMIFS(Analytics!$G$5:$G$154,Analytics!$E$5:$E$154,E50,Analytics!$C$5:$C$154,TEXT(EDATE(B50,-1),"yyyy-mm")))</f>
        <v>0</v>
      </c>
      <c r="AM50" s="29">
        <f>IF(E50="","",IF(COUNTIFS(Analytics!$E$5:$E$154,E50,Analytics!$C$5:$C$154,C50)&gt;1,"Duplicate","OK"))</f>
        <v>0</v>
      </c>
      <c r="AN50" s="29">
        <f>IF(E50="","",IF(AM50="Duplicate","Duplicate - this month is entered twice",IF(AND(J50&lt;&gt;"",AA50&lt;TargetEngagement),"Check - engagement below target",IF(X50&lt;0,"Check - followers went down",IF(AND(I50&lt;&gt;"",Z50&lt;&gt;"",I50&lt;&gt;Z50),"Check - post count does not match the calendar","OK")))))</f>
        <v>0</v>
      </c>
    </row>
    <row r="51" spans="1:40">
      <c r="A51" s="41">
        <f>IF(E51="","","AN-"&amp;TEXT(ROW()-4,"0000"))</f>
        <v>0</v>
      </c>
      <c r="C51" s="17">
        <f>IF(B51="","",TEXT(B51,"yyyy-mm"))</f>
        <v>0</v>
      </c>
      <c r="W51" s="23">
        <f>IF(G51="","",G51-N(F51)+N(H51))</f>
        <v>0</v>
      </c>
      <c r="X51" s="23">
        <f>IF(G51="","",G51-N(F51))</f>
        <v>0</v>
      </c>
      <c r="Y51" s="24">
        <f>IF(OR(F51="",F51=0),"",X51/F51)</f>
        <v>0</v>
      </c>
      <c r="Z51" s="23">
        <f>IF(OR(B51="",D51=""),"",COUNTIFS('Content Calendar'!$G$5:$G$604,D51,'Content Calendar'!$D$5:$D$604,C51,'Content Calendar'!$X$5:$X$604,"Published"))</f>
        <v>0</v>
      </c>
      <c r="AA51" s="24">
        <f>IF(OR(J51="",J51=0),"",N(L51)/J51)</f>
        <v>0</v>
      </c>
      <c r="AB51" s="23">
        <f>IF(OR(I51="",I51=0),"",ROUND(N(J51)/I51,0))</f>
        <v>0</v>
      </c>
      <c r="AC51" s="23">
        <f>IF(OR(I51="",I51=0),"",ROUND(N(L51)/I51,0))</f>
        <v>0</v>
      </c>
      <c r="AD51" s="24">
        <f>IF(OR(G51="",G51=0),"",N(J51)/G51)</f>
        <v>0</v>
      </c>
      <c r="AE51" s="24">
        <f>IF(OR(J51="",J51=0),"",N(R51)/J51)</f>
        <v>0</v>
      </c>
      <c r="AF51" s="24">
        <f>IF(OR(R51="",R51=0),"",N(S51)/R51)</f>
        <v>0</v>
      </c>
      <c r="AG51" s="24">
        <f>IF(OR(S51="",S51=0),"",N(T51)/S51)</f>
        <v>0</v>
      </c>
      <c r="AH51" s="25">
        <f>IF(OR(S51="",S51=0,V51=""),"",V51/S51)</f>
        <v>0</v>
      </c>
      <c r="AI51" s="31">
        <f>IF(OR(V51="",V51=0),"",N(U51)/V51)</f>
        <v>0</v>
      </c>
      <c r="AJ51" s="23">
        <f>IF(B51="","",SUMIFS(Analytics!$J$5:$J$154,Analytics!$E$5:$E$154,E51,Analytics!$C$5:$C$154,TEXT(EDATE(B51,-1),"yyyy-mm")))</f>
        <v>0</v>
      </c>
      <c r="AK51" s="24">
        <f>IF(OR(AJ51="",AJ51=0),"",N(J51)/AJ51-1)</f>
        <v>0</v>
      </c>
      <c r="AL51" s="23">
        <f>IF(B51="","",SUMIFS(Analytics!$G$5:$G$154,Analytics!$E$5:$E$154,E51,Analytics!$C$5:$C$154,TEXT(EDATE(B51,-1),"yyyy-mm")))</f>
        <v>0</v>
      </c>
      <c r="AM51" s="29">
        <f>IF(E51="","",IF(COUNTIFS(Analytics!$E$5:$E$154,E51,Analytics!$C$5:$C$154,C51)&gt;1,"Duplicate","OK"))</f>
        <v>0</v>
      </c>
      <c r="AN51" s="29">
        <f>IF(E51="","",IF(AM51="Duplicate","Duplicate - this month is entered twice",IF(AND(J51&lt;&gt;"",AA51&lt;TargetEngagement),"Check - engagement below target",IF(X51&lt;0,"Check - followers went down",IF(AND(I51&lt;&gt;"",Z51&lt;&gt;"",I51&lt;&gt;Z51),"Check - post count does not match the calendar","OK")))))</f>
        <v>0</v>
      </c>
    </row>
    <row r="52" spans="1:40">
      <c r="A52" s="41">
        <f>IF(E52="","","AN-"&amp;TEXT(ROW()-4,"0000"))</f>
        <v>0</v>
      </c>
      <c r="C52" s="17">
        <f>IF(B52="","",TEXT(B52,"yyyy-mm"))</f>
        <v>0</v>
      </c>
      <c r="W52" s="23">
        <f>IF(G52="","",G52-N(F52)+N(H52))</f>
        <v>0</v>
      </c>
      <c r="X52" s="23">
        <f>IF(G52="","",G52-N(F52))</f>
        <v>0</v>
      </c>
      <c r="Y52" s="24">
        <f>IF(OR(F52="",F52=0),"",X52/F52)</f>
        <v>0</v>
      </c>
      <c r="Z52" s="23">
        <f>IF(OR(B52="",D52=""),"",COUNTIFS('Content Calendar'!$G$5:$G$604,D52,'Content Calendar'!$D$5:$D$604,C52,'Content Calendar'!$X$5:$X$604,"Published"))</f>
        <v>0</v>
      </c>
      <c r="AA52" s="24">
        <f>IF(OR(J52="",J52=0),"",N(L52)/J52)</f>
        <v>0</v>
      </c>
      <c r="AB52" s="23">
        <f>IF(OR(I52="",I52=0),"",ROUND(N(J52)/I52,0))</f>
        <v>0</v>
      </c>
      <c r="AC52" s="23">
        <f>IF(OR(I52="",I52=0),"",ROUND(N(L52)/I52,0))</f>
        <v>0</v>
      </c>
      <c r="AD52" s="24">
        <f>IF(OR(G52="",G52=0),"",N(J52)/G52)</f>
        <v>0</v>
      </c>
      <c r="AE52" s="24">
        <f>IF(OR(J52="",J52=0),"",N(R52)/J52)</f>
        <v>0</v>
      </c>
      <c r="AF52" s="24">
        <f>IF(OR(R52="",R52=0),"",N(S52)/R52)</f>
        <v>0</v>
      </c>
      <c r="AG52" s="24">
        <f>IF(OR(S52="",S52=0),"",N(T52)/S52)</f>
        <v>0</v>
      </c>
      <c r="AH52" s="25">
        <f>IF(OR(S52="",S52=0,V52=""),"",V52/S52)</f>
        <v>0</v>
      </c>
      <c r="AI52" s="31">
        <f>IF(OR(V52="",V52=0),"",N(U52)/V52)</f>
        <v>0</v>
      </c>
      <c r="AJ52" s="23">
        <f>IF(B52="","",SUMIFS(Analytics!$J$5:$J$154,Analytics!$E$5:$E$154,E52,Analytics!$C$5:$C$154,TEXT(EDATE(B52,-1),"yyyy-mm")))</f>
        <v>0</v>
      </c>
      <c r="AK52" s="24">
        <f>IF(OR(AJ52="",AJ52=0),"",N(J52)/AJ52-1)</f>
        <v>0</v>
      </c>
      <c r="AL52" s="23">
        <f>IF(B52="","",SUMIFS(Analytics!$G$5:$G$154,Analytics!$E$5:$E$154,E52,Analytics!$C$5:$C$154,TEXT(EDATE(B52,-1),"yyyy-mm")))</f>
        <v>0</v>
      </c>
      <c r="AM52" s="29">
        <f>IF(E52="","",IF(COUNTIFS(Analytics!$E$5:$E$154,E52,Analytics!$C$5:$C$154,C52)&gt;1,"Duplicate","OK"))</f>
        <v>0</v>
      </c>
      <c r="AN52" s="29">
        <f>IF(E52="","",IF(AM52="Duplicate","Duplicate - this month is entered twice",IF(AND(J52&lt;&gt;"",AA52&lt;TargetEngagement),"Check - engagement below target",IF(X52&lt;0,"Check - followers went down",IF(AND(I52&lt;&gt;"",Z52&lt;&gt;"",I52&lt;&gt;Z52),"Check - post count does not match the calendar","OK")))))</f>
        <v>0</v>
      </c>
    </row>
    <row r="53" spans="1:40">
      <c r="A53" s="41">
        <f>IF(E53="","","AN-"&amp;TEXT(ROW()-4,"0000"))</f>
        <v>0</v>
      </c>
      <c r="C53" s="17">
        <f>IF(B53="","",TEXT(B53,"yyyy-mm"))</f>
        <v>0</v>
      </c>
      <c r="W53" s="23">
        <f>IF(G53="","",G53-N(F53)+N(H53))</f>
        <v>0</v>
      </c>
      <c r="X53" s="23">
        <f>IF(G53="","",G53-N(F53))</f>
        <v>0</v>
      </c>
      <c r="Y53" s="24">
        <f>IF(OR(F53="",F53=0),"",X53/F53)</f>
        <v>0</v>
      </c>
      <c r="Z53" s="23">
        <f>IF(OR(B53="",D53=""),"",COUNTIFS('Content Calendar'!$G$5:$G$604,D53,'Content Calendar'!$D$5:$D$604,C53,'Content Calendar'!$X$5:$X$604,"Published"))</f>
        <v>0</v>
      </c>
      <c r="AA53" s="24">
        <f>IF(OR(J53="",J53=0),"",N(L53)/J53)</f>
        <v>0</v>
      </c>
      <c r="AB53" s="23">
        <f>IF(OR(I53="",I53=0),"",ROUND(N(J53)/I53,0))</f>
        <v>0</v>
      </c>
      <c r="AC53" s="23">
        <f>IF(OR(I53="",I53=0),"",ROUND(N(L53)/I53,0))</f>
        <v>0</v>
      </c>
      <c r="AD53" s="24">
        <f>IF(OR(G53="",G53=0),"",N(J53)/G53)</f>
        <v>0</v>
      </c>
      <c r="AE53" s="24">
        <f>IF(OR(J53="",J53=0),"",N(R53)/J53)</f>
        <v>0</v>
      </c>
      <c r="AF53" s="24">
        <f>IF(OR(R53="",R53=0),"",N(S53)/R53)</f>
        <v>0</v>
      </c>
      <c r="AG53" s="24">
        <f>IF(OR(S53="",S53=0),"",N(T53)/S53)</f>
        <v>0</v>
      </c>
      <c r="AH53" s="25">
        <f>IF(OR(S53="",S53=0,V53=""),"",V53/S53)</f>
        <v>0</v>
      </c>
      <c r="AI53" s="31">
        <f>IF(OR(V53="",V53=0),"",N(U53)/V53)</f>
        <v>0</v>
      </c>
      <c r="AJ53" s="23">
        <f>IF(B53="","",SUMIFS(Analytics!$J$5:$J$154,Analytics!$E$5:$E$154,E53,Analytics!$C$5:$C$154,TEXT(EDATE(B53,-1),"yyyy-mm")))</f>
        <v>0</v>
      </c>
      <c r="AK53" s="24">
        <f>IF(OR(AJ53="",AJ53=0),"",N(J53)/AJ53-1)</f>
        <v>0</v>
      </c>
      <c r="AL53" s="23">
        <f>IF(B53="","",SUMIFS(Analytics!$G$5:$G$154,Analytics!$E$5:$E$154,E53,Analytics!$C$5:$C$154,TEXT(EDATE(B53,-1),"yyyy-mm")))</f>
        <v>0</v>
      </c>
      <c r="AM53" s="29">
        <f>IF(E53="","",IF(COUNTIFS(Analytics!$E$5:$E$154,E53,Analytics!$C$5:$C$154,C53)&gt;1,"Duplicate","OK"))</f>
        <v>0</v>
      </c>
      <c r="AN53" s="29">
        <f>IF(E53="","",IF(AM53="Duplicate","Duplicate - this month is entered twice",IF(AND(J53&lt;&gt;"",AA53&lt;TargetEngagement),"Check - engagement below target",IF(X53&lt;0,"Check - followers went down",IF(AND(I53&lt;&gt;"",Z53&lt;&gt;"",I53&lt;&gt;Z53),"Check - post count does not match the calendar","OK")))))</f>
        <v>0</v>
      </c>
    </row>
    <row r="54" spans="1:40">
      <c r="A54" s="41">
        <f>IF(E54="","","AN-"&amp;TEXT(ROW()-4,"0000"))</f>
        <v>0</v>
      </c>
      <c r="C54" s="17">
        <f>IF(B54="","",TEXT(B54,"yyyy-mm"))</f>
        <v>0</v>
      </c>
      <c r="W54" s="23">
        <f>IF(G54="","",G54-N(F54)+N(H54))</f>
        <v>0</v>
      </c>
      <c r="X54" s="23">
        <f>IF(G54="","",G54-N(F54))</f>
        <v>0</v>
      </c>
      <c r="Y54" s="24">
        <f>IF(OR(F54="",F54=0),"",X54/F54)</f>
        <v>0</v>
      </c>
      <c r="Z54" s="23">
        <f>IF(OR(B54="",D54=""),"",COUNTIFS('Content Calendar'!$G$5:$G$604,D54,'Content Calendar'!$D$5:$D$604,C54,'Content Calendar'!$X$5:$X$604,"Published"))</f>
        <v>0</v>
      </c>
      <c r="AA54" s="24">
        <f>IF(OR(J54="",J54=0),"",N(L54)/J54)</f>
        <v>0</v>
      </c>
      <c r="AB54" s="23">
        <f>IF(OR(I54="",I54=0),"",ROUND(N(J54)/I54,0))</f>
        <v>0</v>
      </c>
      <c r="AC54" s="23">
        <f>IF(OR(I54="",I54=0),"",ROUND(N(L54)/I54,0))</f>
        <v>0</v>
      </c>
      <c r="AD54" s="24">
        <f>IF(OR(G54="",G54=0),"",N(J54)/G54)</f>
        <v>0</v>
      </c>
      <c r="AE54" s="24">
        <f>IF(OR(J54="",J54=0),"",N(R54)/J54)</f>
        <v>0</v>
      </c>
      <c r="AF54" s="24">
        <f>IF(OR(R54="",R54=0),"",N(S54)/R54)</f>
        <v>0</v>
      </c>
      <c r="AG54" s="24">
        <f>IF(OR(S54="",S54=0),"",N(T54)/S54)</f>
        <v>0</v>
      </c>
      <c r="AH54" s="25">
        <f>IF(OR(S54="",S54=0,V54=""),"",V54/S54)</f>
        <v>0</v>
      </c>
      <c r="AI54" s="31">
        <f>IF(OR(V54="",V54=0),"",N(U54)/V54)</f>
        <v>0</v>
      </c>
      <c r="AJ54" s="23">
        <f>IF(B54="","",SUMIFS(Analytics!$J$5:$J$154,Analytics!$E$5:$E$154,E54,Analytics!$C$5:$C$154,TEXT(EDATE(B54,-1),"yyyy-mm")))</f>
        <v>0</v>
      </c>
      <c r="AK54" s="24">
        <f>IF(OR(AJ54="",AJ54=0),"",N(J54)/AJ54-1)</f>
        <v>0</v>
      </c>
      <c r="AL54" s="23">
        <f>IF(B54="","",SUMIFS(Analytics!$G$5:$G$154,Analytics!$E$5:$E$154,E54,Analytics!$C$5:$C$154,TEXT(EDATE(B54,-1),"yyyy-mm")))</f>
        <v>0</v>
      </c>
      <c r="AM54" s="29">
        <f>IF(E54="","",IF(COUNTIFS(Analytics!$E$5:$E$154,E54,Analytics!$C$5:$C$154,C54)&gt;1,"Duplicate","OK"))</f>
        <v>0</v>
      </c>
      <c r="AN54" s="29">
        <f>IF(E54="","",IF(AM54="Duplicate","Duplicate - this month is entered twice",IF(AND(J54&lt;&gt;"",AA54&lt;TargetEngagement),"Check - engagement below target",IF(X54&lt;0,"Check - followers went down",IF(AND(I54&lt;&gt;"",Z54&lt;&gt;"",I54&lt;&gt;Z54),"Check - post count does not match the calendar","OK")))))</f>
        <v>0</v>
      </c>
    </row>
    <row r="55" spans="1:40">
      <c r="A55" s="41">
        <f>IF(E55="","","AN-"&amp;TEXT(ROW()-4,"0000"))</f>
        <v>0</v>
      </c>
      <c r="C55" s="17">
        <f>IF(B55="","",TEXT(B55,"yyyy-mm"))</f>
        <v>0</v>
      </c>
      <c r="W55" s="23">
        <f>IF(G55="","",G55-N(F55)+N(H55))</f>
        <v>0</v>
      </c>
      <c r="X55" s="23">
        <f>IF(G55="","",G55-N(F55))</f>
        <v>0</v>
      </c>
      <c r="Y55" s="24">
        <f>IF(OR(F55="",F55=0),"",X55/F55)</f>
        <v>0</v>
      </c>
      <c r="Z55" s="23">
        <f>IF(OR(B55="",D55=""),"",COUNTIFS('Content Calendar'!$G$5:$G$604,D55,'Content Calendar'!$D$5:$D$604,C55,'Content Calendar'!$X$5:$X$604,"Published"))</f>
        <v>0</v>
      </c>
      <c r="AA55" s="24">
        <f>IF(OR(J55="",J55=0),"",N(L55)/J55)</f>
        <v>0</v>
      </c>
      <c r="AB55" s="23">
        <f>IF(OR(I55="",I55=0),"",ROUND(N(J55)/I55,0))</f>
        <v>0</v>
      </c>
      <c r="AC55" s="23">
        <f>IF(OR(I55="",I55=0),"",ROUND(N(L55)/I55,0))</f>
        <v>0</v>
      </c>
      <c r="AD55" s="24">
        <f>IF(OR(G55="",G55=0),"",N(J55)/G55)</f>
        <v>0</v>
      </c>
      <c r="AE55" s="24">
        <f>IF(OR(J55="",J55=0),"",N(R55)/J55)</f>
        <v>0</v>
      </c>
      <c r="AF55" s="24">
        <f>IF(OR(R55="",R55=0),"",N(S55)/R55)</f>
        <v>0</v>
      </c>
      <c r="AG55" s="24">
        <f>IF(OR(S55="",S55=0),"",N(T55)/S55)</f>
        <v>0</v>
      </c>
      <c r="AH55" s="25">
        <f>IF(OR(S55="",S55=0,V55=""),"",V55/S55)</f>
        <v>0</v>
      </c>
      <c r="AI55" s="31">
        <f>IF(OR(V55="",V55=0),"",N(U55)/V55)</f>
        <v>0</v>
      </c>
      <c r="AJ55" s="23">
        <f>IF(B55="","",SUMIFS(Analytics!$J$5:$J$154,Analytics!$E$5:$E$154,E55,Analytics!$C$5:$C$154,TEXT(EDATE(B55,-1),"yyyy-mm")))</f>
        <v>0</v>
      </c>
      <c r="AK55" s="24">
        <f>IF(OR(AJ55="",AJ55=0),"",N(J55)/AJ55-1)</f>
        <v>0</v>
      </c>
      <c r="AL55" s="23">
        <f>IF(B55="","",SUMIFS(Analytics!$G$5:$G$154,Analytics!$E$5:$E$154,E55,Analytics!$C$5:$C$154,TEXT(EDATE(B55,-1),"yyyy-mm")))</f>
        <v>0</v>
      </c>
      <c r="AM55" s="29">
        <f>IF(E55="","",IF(COUNTIFS(Analytics!$E$5:$E$154,E55,Analytics!$C$5:$C$154,C55)&gt;1,"Duplicate","OK"))</f>
        <v>0</v>
      </c>
      <c r="AN55" s="29">
        <f>IF(E55="","",IF(AM55="Duplicate","Duplicate - this month is entered twice",IF(AND(J55&lt;&gt;"",AA55&lt;TargetEngagement),"Check - engagement below target",IF(X55&lt;0,"Check - followers went down",IF(AND(I55&lt;&gt;"",Z55&lt;&gt;"",I55&lt;&gt;Z55),"Check - post count does not match the calendar","OK")))))</f>
        <v>0</v>
      </c>
    </row>
    <row r="56" spans="1:40">
      <c r="A56" s="41">
        <f>IF(E56="","","AN-"&amp;TEXT(ROW()-4,"0000"))</f>
        <v>0</v>
      </c>
      <c r="C56" s="17">
        <f>IF(B56="","",TEXT(B56,"yyyy-mm"))</f>
        <v>0</v>
      </c>
      <c r="W56" s="23">
        <f>IF(G56="","",G56-N(F56)+N(H56))</f>
        <v>0</v>
      </c>
      <c r="X56" s="23">
        <f>IF(G56="","",G56-N(F56))</f>
        <v>0</v>
      </c>
      <c r="Y56" s="24">
        <f>IF(OR(F56="",F56=0),"",X56/F56)</f>
        <v>0</v>
      </c>
      <c r="Z56" s="23">
        <f>IF(OR(B56="",D56=""),"",COUNTIFS('Content Calendar'!$G$5:$G$604,D56,'Content Calendar'!$D$5:$D$604,C56,'Content Calendar'!$X$5:$X$604,"Published"))</f>
        <v>0</v>
      </c>
      <c r="AA56" s="24">
        <f>IF(OR(J56="",J56=0),"",N(L56)/J56)</f>
        <v>0</v>
      </c>
      <c r="AB56" s="23">
        <f>IF(OR(I56="",I56=0),"",ROUND(N(J56)/I56,0))</f>
        <v>0</v>
      </c>
      <c r="AC56" s="23">
        <f>IF(OR(I56="",I56=0),"",ROUND(N(L56)/I56,0))</f>
        <v>0</v>
      </c>
      <c r="AD56" s="24">
        <f>IF(OR(G56="",G56=0),"",N(J56)/G56)</f>
        <v>0</v>
      </c>
      <c r="AE56" s="24">
        <f>IF(OR(J56="",J56=0),"",N(R56)/J56)</f>
        <v>0</v>
      </c>
      <c r="AF56" s="24">
        <f>IF(OR(R56="",R56=0),"",N(S56)/R56)</f>
        <v>0</v>
      </c>
      <c r="AG56" s="24">
        <f>IF(OR(S56="",S56=0),"",N(T56)/S56)</f>
        <v>0</v>
      </c>
      <c r="AH56" s="25">
        <f>IF(OR(S56="",S56=0,V56=""),"",V56/S56)</f>
        <v>0</v>
      </c>
      <c r="AI56" s="31">
        <f>IF(OR(V56="",V56=0),"",N(U56)/V56)</f>
        <v>0</v>
      </c>
      <c r="AJ56" s="23">
        <f>IF(B56="","",SUMIFS(Analytics!$J$5:$J$154,Analytics!$E$5:$E$154,E56,Analytics!$C$5:$C$154,TEXT(EDATE(B56,-1),"yyyy-mm")))</f>
        <v>0</v>
      </c>
      <c r="AK56" s="24">
        <f>IF(OR(AJ56="",AJ56=0),"",N(J56)/AJ56-1)</f>
        <v>0</v>
      </c>
      <c r="AL56" s="23">
        <f>IF(B56="","",SUMIFS(Analytics!$G$5:$G$154,Analytics!$E$5:$E$154,E56,Analytics!$C$5:$C$154,TEXT(EDATE(B56,-1),"yyyy-mm")))</f>
        <v>0</v>
      </c>
      <c r="AM56" s="29">
        <f>IF(E56="","",IF(COUNTIFS(Analytics!$E$5:$E$154,E56,Analytics!$C$5:$C$154,C56)&gt;1,"Duplicate","OK"))</f>
        <v>0</v>
      </c>
      <c r="AN56" s="29">
        <f>IF(E56="","",IF(AM56="Duplicate","Duplicate - this month is entered twice",IF(AND(J56&lt;&gt;"",AA56&lt;TargetEngagement),"Check - engagement below target",IF(X56&lt;0,"Check - followers went down",IF(AND(I56&lt;&gt;"",Z56&lt;&gt;"",I56&lt;&gt;Z56),"Check - post count does not match the calendar","OK")))))</f>
        <v>0</v>
      </c>
    </row>
    <row r="57" spans="1:40">
      <c r="A57" s="41">
        <f>IF(E57="","","AN-"&amp;TEXT(ROW()-4,"0000"))</f>
        <v>0</v>
      </c>
      <c r="C57" s="17">
        <f>IF(B57="","",TEXT(B57,"yyyy-mm"))</f>
        <v>0</v>
      </c>
      <c r="W57" s="23">
        <f>IF(G57="","",G57-N(F57)+N(H57))</f>
        <v>0</v>
      </c>
      <c r="X57" s="23">
        <f>IF(G57="","",G57-N(F57))</f>
        <v>0</v>
      </c>
      <c r="Y57" s="24">
        <f>IF(OR(F57="",F57=0),"",X57/F57)</f>
        <v>0</v>
      </c>
      <c r="Z57" s="23">
        <f>IF(OR(B57="",D57=""),"",COUNTIFS('Content Calendar'!$G$5:$G$604,D57,'Content Calendar'!$D$5:$D$604,C57,'Content Calendar'!$X$5:$X$604,"Published"))</f>
        <v>0</v>
      </c>
      <c r="AA57" s="24">
        <f>IF(OR(J57="",J57=0),"",N(L57)/J57)</f>
        <v>0</v>
      </c>
      <c r="AB57" s="23">
        <f>IF(OR(I57="",I57=0),"",ROUND(N(J57)/I57,0))</f>
        <v>0</v>
      </c>
      <c r="AC57" s="23">
        <f>IF(OR(I57="",I57=0),"",ROUND(N(L57)/I57,0))</f>
        <v>0</v>
      </c>
      <c r="AD57" s="24">
        <f>IF(OR(G57="",G57=0),"",N(J57)/G57)</f>
        <v>0</v>
      </c>
      <c r="AE57" s="24">
        <f>IF(OR(J57="",J57=0),"",N(R57)/J57)</f>
        <v>0</v>
      </c>
      <c r="AF57" s="24">
        <f>IF(OR(R57="",R57=0),"",N(S57)/R57)</f>
        <v>0</v>
      </c>
      <c r="AG57" s="24">
        <f>IF(OR(S57="",S57=0),"",N(T57)/S57)</f>
        <v>0</v>
      </c>
      <c r="AH57" s="25">
        <f>IF(OR(S57="",S57=0,V57=""),"",V57/S57)</f>
        <v>0</v>
      </c>
      <c r="AI57" s="31">
        <f>IF(OR(V57="",V57=0),"",N(U57)/V57)</f>
        <v>0</v>
      </c>
      <c r="AJ57" s="23">
        <f>IF(B57="","",SUMIFS(Analytics!$J$5:$J$154,Analytics!$E$5:$E$154,E57,Analytics!$C$5:$C$154,TEXT(EDATE(B57,-1),"yyyy-mm")))</f>
        <v>0</v>
      </c>
      <c r="AK57" s="24">
        <f>IF(OR(AJ57="",AJ57=0),"",N(J57)/AJ57-1)</f>
        <v>0</v>
      </c>
      <c r="AL57" s="23">
        <f>IF(B57="","",SUMIFS(Analytics!$G$5:$G$154,Analytics!$E$5:$E$154,E57,Analytics!$C$5:$C$154,TEXT(EDATE(B57,-1),"yyyy-mm")))</f>
        <v>0</v>
      </c>
      <c r="AM57" s="29">
        <f>IF(E57="","",IF(COUNTIFS(Analytics!$E$5:$E$154,E57,Analytics!$C$5:$C$154,C57)&gt;1,"Duplicate","OK"))</f>
        <v>0</v>
      </c>
      <c r="AN57" s="29">
        <f>IF(E57="","",IF(AM57="Duplicate","Duplicate - this month is entered twice",IF(AND(J57&lt;&gt;"",AA57&lt;TargetEngagement),"Check - engagement below target",IF(X57&lt;0,"Check - followers went down",IF(AND(I57&lt;&gt;"",Z57&lt;&gt;"",I57&lt;&gt;Z57),"Check - post count does not match the calendar","OK")))))</f>
        <v>0</v>
      </c>
    </row>
    <row r="58" spans="1:40">
      <c r="A58" s="41">
        <f>IF(E58="","","AN-"&amp;TEXT(ROW()-4,"0000"))</f>
        <v>0</v>
      </c>
      <c r="C58" s="17">
        <f>IF(B58="","",TEXT(B58,"yyyy-mm"))</f>
        <v>0</v>
      </c>
      <c r="W58" s="23">
        <f>IF(G58="","",G58-N(F58)+N(H58))</f>
        <v>0</v>
      </c>
      <c r="X58" s="23">
        <f>IF(G58="","",G58-N(F58))</f>
        <v>0</v>
      </c>
      <c r="Y58" s="24">
        <f>IF(OR(F58="",F58=0),"",X58/F58)</f>
        <v>0</v>
      </c>
      <c r="Z58" s="23">
        <f>IF(OR(B58="",D58=""),"",COUNTIFS('Content Calendar'!$G$5:$G$604,D58,'Content Calendar'!$D$5:$D$604,C58,'Content Calendar'!$X$5:$X$604,"Published"))</f>
        <v>0</v>
      </c>
      <c r="AA58" s="24">
        <f>IF(OR(J58="",J58=0),"",N(L58)/J58)</f>
        <v>0</v>
      </c>
      <c r="AB58" s="23">
        <f>IF(OR(I58="",I58=0),"",ROUND(N(J58)/I58,0))</f>
        <v>0</v>
      </c>
      <c r="AC58" s="23">
        <f>IF(OR(I58="",I58=0),"",ROUND(N(L58)/I58,0))</f>
        <v>0</v>
      </c>
      <c r="AD58" s="24">
        <f>IF(OR(G58="",G58=0),"",N(J58)/G58)</f>
        <v>0</v>
      </c>
      <c r="AE58" s="24">
        <f>IF(OR(J58="",J58=0),"",N(R58)/J58)</f>
        <v>0</v>
      </c>
      <c r="AF58" s="24">
        <f>IF(OR(R58="",R58=0),"",N(S58)/R58)</f>
        <v>0</v>
      </c>
      <c r="AG58" s="24">
        <f>IF(OR(S58="",S58=0),"",N(T58)/S58)</f>
        <v>0</v>
      </c>
      <c r="AH58" s="25">
        <f>IF(OR(S58="",S58=0,V58=""),"",V58/S58)</f>
        <v>0</v>
      </c>
      <c r="AI58" s="31">
        <f>IF(OR(V58="",V58=0),"",N(U58)/V58)</f>
        <v>0</v>
      </c>
      <c r="AJ58" s="23">
        <f>IF(B58="","",SUMIFS(Analytics!$J$5:$J$154,Analytics!$E$5:$E$154,E58,Analytics!$C$5:$C$154,TEXT(EDATE(B58,-1),"yyyy-mm")))</f>
        <v>0</v>
      </c>
      <c r="AK58" s="24">
        <f>IF(OR(AJ58="",AJ58=0),"",N(J58)/AJ58-1)</f>
        <v>0</v>
      </c>
      <c r="AL58" s="23">
        <f>IF(B58="","",SUMIFS(Analytics!$G$5:$G$154,Analytics!$E$5:$E$154,E58,Analytics!$C$5:$C$154,TEXT(EDATE(B58,-1),"yyyy-mm")))</f>
        <v>0</v>
      </c>
      <c r="AM58" s="29">
        <f>IF(E58="","",IF(COUNTIFS(Analytics!$E$5:$E$154,E58,Analytics!$C$5:$C$154,C58)&gt;1,"Duplicate","OK"))</f>
        <v>0</v>
      </c>
      <c r="AN58" s="29">
        <f>IF(E58="","",IF(AM58="Duplicate","Duplicate - this month is entered twice",IF(AND(J58&lt;&gt;"",AA58&lt;TargetEngagement),"Check - engagement below target",IF(X58&lt;0,"Check - followers went down",IF(AND(I58&lt;&gt;"",Z58&lt;&gt;"",I58&lt;&gt;Z58),"Check - post count does not match the calendar","OK")))))</f>
        <v>0</v>
      </c>
    </row>
    <row r="59" spans="1:40">
      <c r="A59" s="41">
        <f>IF(E59="","","AN-"&amp;TEXT(ROW()-4,"0000"))</f>
        <v>0</v>
      </c>
      <c r="C59" s="17">
        <f>IF(B59="","",TEXT(B59,"yyyy-mm"))</f>
        <v>0</v>
      </c>
      <c r="W59" s="23">
        <f>IF(G59="","",G59-N(F59)+N(H59))</f>
        <v>0</v>
      </c>
      <c r="X59" s="23">
        <f>IF(G59="","",G59-N(F59))</f>
        <v>0</v>
      </c>
      <c r="Y59" s="24">
        <f>IF(OR(F59="",F59=0),"",X59/F59)</f>
        <v>0</v>
      </c>
      <c r="Z59" s="23">
        <f>IF(OR(B59="",D59=""),"",COUNTIFS('Content Calendar'!$G$5:$G$604,D59,'Content Calendar'!$D$5:$D$604,C59,'Content Calendar'!$X$5:$X$604,"Published"))</f>
        <v>0</v>
      </c>
      <c r="AA59" s="24">
        <f>IF(OR(J59="",J59=0),"",N(L59)/J59)</f>
        <v>0</v>
      </c>
      <c r="AB59" s="23">
        <f>IF(OR(I59="",I59=0),"",ROUND(N(J59)/I59,0))</f>
        <v>0</v>
      </c>
      <c r="AC59" s="23">
        <f>IF(OR(I59="",I59=0),"",ROUND(N(L59)/I59,0))</f>
        <v>0</v>
      </c>
      <c r="AD59" s="24">
        <f>IF(OR(G59="",G59=0),"",N(J59)/G59)</f>
        <v>0</v>
      </c>
      <c r="AE59" s="24">
        <f>IF(OR(J59="",J59=0),"",N(R59)/J59)</f>
        <v>0</v>
      </c>
      <c r="AF59" s="24">
        <f>IF(OR(R59="",R59=0),"",N(S59)/R59)</f>
        <v>0</v>
      </c>
      <c r="AG59" s="24">
        <f>IF(OR(S59="",S59=0),"",N(T59)/S59)</f>
        <v>0</v>
      </c>
      <c r="AH59" s="25">
        <f>IF(OR(S59="",S59=0,V59=""),"",V59/S59)</f>
        <v>0</v>
      </c>
      <c r="AI59" s="31">
        <f>IF(OR(V59="",V59=0),"",N(U59)/V59)</f>
        <v>0</v>
      </c>
      <c r="AJ59" s="23">
        <f>IF(B59="","",SUMIFS(Analytics!$J$5:$J$154,Analytics!$E$5:$E$154,E59,Analytics!$C$5:$C$154,TEXT(EDATE(B59,-1),"yyyy-mm")))</f>
        <v>0</v>
      </c>
      <c r="AK59" s="24">
        <f>IF(OR(AJ59="",AJ59=0),"",N(J59)/AJ59-1)</f>
        <v>0</v>
      </c>
      <c r="AL59" s="23">
        <f>IF(B59="","",SUMIFS(Analytics!$G$5:$G$154,Analytics!$E$5:$E$154,E59,Analytics!$C$5:$C$154,TEXT(EDATE(B59,-1),"yyyy-mm")))</f>
        <v>0</v>
      </c>
      <c r="AM59" s="29">
        <f>IF(E59="","",IF(COUNTIFS(Analytics!$E$5:$E$154,E59,Analytics!$C$5:$C$154,C59)&gt;1,"Duplicate","OK"))</f>
        <v>0</v>
      </c>
      <c r="AN59" s="29">
        <f>IF(E59="","",IF(AM59="Duplicate","Duplicate - this month is entered twice",IF(AND(J59&lt;&gt;"",AA59&lt;TargetEngagement),"Check - engagement below target",IF(X59&lt;0,"Check - followers went down",IF(AND(I59&lt;&gt;"",Z59&lt;&gt;"",I59&lt;&gt;Z59),"Check - post count does not match the calendar","OK")))))</f>
        <v>0</v>
      </c>
    </row>
    <row r="60" spans="1:40">
      <c r="A60" s="41">
        <f>IF(E60="","","AN-"&amp;TEXT(ROW()-4,"0000"))</f>
        <v>0</v>
      </c>
      <c r="C60" s="17">
        <f>IF(B60="","",TEXT(B60,"yyyy-mm"))</f>
        <v>0</v>
      </c>
      <c r="W60" s="23">
        <f>IF(G60="","",G60-N(F60)+N(H60))</f>
        <v>0</v>
      </c>
      <c r="X60" s="23">
        <f>IF(G60="","",G60-N(F60))</f>
        <v>0</v>
      </c>
      <c r="Y60" s="24">
        <f>IF(OR(F60="",F60=0),"",X60/F60)</f>
        <v>0</v>
      </c>
      <c r="Z60" s="23">
        <f>IF(OR(B60="",D60=""),"",COUNTIFS('Content Calendar'!$G$5:$G$604,D60,'Content Calendar'!$D$5:$D$604,C60,'Content Calendar'!$X$5:$X$604,"Published"))</f>
        <v>0</v>
      </c>
      <c r="AA60" s="24">
        <f>IF(OR(J60="",J60=0),"",N(L60)/J60)</f>
        <v>0</v>
      </c>
      <c r="AB60" s="23">
        <f>IF(OR(I60="",I60=0),"",ROUND(N(J60)/I60,0))</f>
        <v>0</v>
      </c>
      <c r="AC60" s="23">
        <f>IF(OR(I60="",I60=0),"",ROUND(N(L60)/I60,0))</f>
        <v>0</v>
      </c>
      <c r="AD60" s="24">
        <f>IF(OR(G60="",G60=0),"",N(J60)/G60)</f>
        <v>0</v>
      </c>
      <c r="AE60" s="24">
        <f>IF(OR(J60="",J60=0),"",N(R60)/J60)</f>
        <v>0</v>
      </c>
      <c r="AF60" s="24">
        <f>IF(OR(R60="",R60=0),"",N(S60)/R60)</f>
        <v>0</v>
      </c>
      <c r="AG60" s="24">
        <f>IF(OR(S60="",S60=0),"",N(T60)/S60)</f>
        <v>0</v>
      </c>
      <c r="AH60" s="25">
        <f>IF(OR(S60="",S60=0,V60=""),"",V60/S60)</f>
        <v>0</v>
      </c>
      <c r="AI60" s="31">
        <f>IF(OR(V60="",V60=0),"",N(U60)/V60)</f>
        <v>0</v>
      </c>
      <c r="AJ60" s="23">
        <f>IF(B60="","",SUMIFS(Analytics!$J$5:$J$154,Analytics!$E$5:$E$154,E60,Analytics!$C$5:$C$154,TEXT(EDATE(B60,-1),"yyyy-mm")))</f>
        <v>0</v>
      </c>
      <c r="AK60" s="24">
        <f>IF(OR(AJ60="",AJ60=0),"",N(J60)/AJ60-1)</f>
        <v>0</v>
      </c>
      <c r="AL60" s="23">
        <f>IF(B60="","",SUMIFS(Analytics!$G$5:$G$154,Analytics!$E$5:$E$154,E60,Analytics!$C$5:$C$154,TEXT(EDATE(B60,-1),"yyyy-mm")))</f>
        <v>0</v>
      </c>
      <c r="AM60" s="29">
        <f>IF(E60="","",IF(COUNTIFS(Analytics!$E$5:$E$154,E60,Analytics!$C$5:$C$154,C60)&gt;1,"Duplicate","OK"))</f>
        <v>0</v>
      </c>
      <c r="AN60" s="29">
        <f>IF(E60="","",IF(AM60="Duplicate","Duplicate - this month is entered twice",IF(AND(J60&lt;&gt;"",AA60&lt;TargetEngagement),"Check - engagement below target",IF(X60&lt;0,"Check - followers went down",IF(AND(I60&lt;&gt;"",Z60&lt;&gt;"",I60&lt;&gt;Z60),"Check - post count does not match the calendar","OK")))))</f>
        <v>0</v>
      </c>
    </row>
    <row r="61" spans="1:40">
      <c r="A61" s="41">
        <f>IF(E61="","","AN-"&amp;TEXT(ROW()-4,"0000"))</f>
        <v>0</v>
      </c>
      <c r="C61" s="17">
        <f>IF(B61="","",TEXT(B61,"yyyy-mm"))</f>
        <v>0</v>
      </c>
      <c r="W61" s="23">
        <f>IF(G61="","",G61-N(F61)+N(H61))</f>
        <v>0</v>
      </c>
      <c r="X61" s="23">
        <f>IF(G61="","",G61-N(F61))</f>
        <v>0</v>
      </c>
      <c r="Y61" s="24">
        <f>IF(OR(F61="",F61=0),"",X61/F61)</f>
        <v>0</v>
      </c>
      <c r="Z61" s="23">
        <f>IF(OR(B61="",D61=""),"",COUNTIFS('Content Calendar'!$G$5:$G$604,D61,'Content Calendar'!$D$5:$D$604,C61,'Content Calendar'!$X$5:$X$604,"Published"))</f>
        <v>0</v>
      </c>
      <c r="AA61" s="24">
        <f>IF(OR(J61="",J61=0),"",N(L61)/J61)</f>
        <v>0</v>
      </c>
      <c r="AB61" s="23">
        <f>IF(OR(I61="",I61=0),"",ROUND(N(J61)/I61,0))</f>
        <v>0</v>
      </c>
      <c r="AC61" s="23">
        <f>IF(OR(I61="",I61=0),"",ROUND(N(L61)/I61,0))</f>
        <v>0</v>
      </c>
      <c r="AD61" s="24">
        <f>IF(OR(G61="",G61=0),"",N(J61)/G61)</f>
        <v>0</v>
      </c>
      <c r="AE61" s="24">
        <f>IF(OR(J61="",J61=0),"",N(R61)/J61)</f>
        <v>0</v>
      </c>
      <c r="AF61" s="24">
        <f>IF(OR(R61="",R61=0),"",N(S61)/R61)</f>
        <v>0</v>
      </c>
      <c r="AG61" s="24">
        <f>IF(OR(S61="",S61=0),"",N(T61)/S61)</f>
        <v>0</v>
      </c>
      <c r="AH61" s="25">
        <f>IF(OR(S61="",S61=0,V61=""),"",V61/S61)</f>
        <v>0</v>
      </c>
      <c r="AI61" s="31">
        <f>IF(OR(V61="",V61=0),"",N(U61)/V61)</f>
        <v>0</v>
      </c>
      <c r="AJ61" s="23">
        <f>IF(B61="","",SUMIFS(Analytics!$J$5:$J$154,Analytics!$E$5:$E$154,E61,Analytics!$C$5:$C$154,TEXT(EDATE(B61,-1),"yyyy-mm")))</f>
        <v>0</v>
      </c>
      <c r="AK61" s="24">
        <f>IF(OR(AJ61="",AJ61=0),"",N(J61)/AJ61-1)</f>
        <v>0</v>
      </c>
      <c r="AL61" s="23">
        <f>IF(B61="","",SUMIFS(Analytics!$G$5:$G$154,Analytics!$E$5:$E$154,E61,Analytics!$C$5:$C$154,TEXT(EDATE(B61,-1),"yyyy-mm")))</f>
        <v>0</v>
      </c>
      <c r="AM61" s="29">
        <f>IF(E61="","",IF(COUNTIFS(Analytics!$E$5:$E$154,E61,Analytics!$C$5:$C$154,C61)&gt;1,"Duplicate","OK"))</f>
        <v>0</v>
      </c>
      <c r="AN61" s="29">
        <f>IF(E61="","",IF(AM61="Duplicate","Duplicate - this month is entered twice",IF(AND(J61&lt;&gt;"",AA61&lt;TargetEngagement),"Check - engagement below target",IF(X61&lt;0,"Check - followers went down",IF(AND(I61&lt;&gt;"",Z61&lt;&gt;"",I61&lt;&gt;Z61),"Check - post count does not match the calendar","OK")))))</f>
        <v>0</v>
      </c>
    </row>
    <row r="62" spans="1:40">
      <c r="A62" s="41">
        <f>IF(E62="","","AN-"&amp;TEXT(ROW()-4,"0000"))</f>
        <v>0</v>
      </c>
      <c r="C62" s="17">
        <f>IF(B62="","",TEXT(B62,"yyyy-mm"))</f>
        <v>0</v>
      </c>
      <c r="W62" s="23">
        <f>IF(G62="","",G62-N(F62)+N(H62))</f>
        <v>0</v>
      </c>
      <c r="X62" s="23">
        <f>IF(G62="","",G62-N(F62))</f>
        <v>0</v>
      </c>
      <c r="Y62" s="24">
        <f>IF(OR(F62="",F62=0),"",X62/F62)</f>
        <v>0</v>
      </c>
      <c r="Z62" s="23">
        <f>IF(OR(B62="",D62=""),"",COUNTIFS('Content Calendar'!$G$5:$G$604,D62,'Content Calendar'!$D$5:$D$604,C62,'Content Calendar'!$X$5:$X$604,"Published"))</f>
        <v>0</v>
      </c>
      <c r="AA62" s="24">
        <f>IF(OR(J62="",J62=0),"",N(L62)/J62)</f>
        <v>0</v>
      </c>
      <c r="AB62" s="23">
        <f>IF(OR(I62="",I62=0),"",ROUND(N(J62)/I62,0))</f>
        <v>0</v>
      </c>
      <c r="AC62" s="23">
        <f>IF(OR(I62="",I62=0),"",ROUND(N(L62)/I62,0))</f>
        <v>0</v>
      </c>
      <c r="AD62" s="24">
        <f>IF(OR(G62="",G62=0),"",N(J62)/G62)</f>
        <v>0</v>
      </c>
      <c r="AE62" s="24">
        <f>IF(OR(J62="",J62=0),"",N(R62)/J62)</f>
        <v>0</v>
      </c>
      <c r="AF62" s="24">
        <f>IF(OR(R62="",R62=0),"",N(S62)/R62)</f>
        <v>0</v>
      </c>
      <c r="AG62" s="24">
        <f>IF(OR(S62="",S62=0),"",N(T62)/S62)</f>
        <v>0</v>
      </c>
      <c r="AH62" s="25">
        <f>IF(OR(S62="",S62=0,V62=""),"",V62/S62)</f>
        <v>0</v>
      </c>
      <c r="AI62" s="31">
        <f>IF(OR(V62="",V62=0),"",N(U62)/V62)</f>
        <v>0</v>
      </c>
      <c r="AJ62" s="23">
        <f>IF(B62="","",SUMIFS(Analytics!$J$5:$J$154,Analytics!$E$5:$E$154,E62,Analytics!$C$5:$C$154,TEXT(EDATE(B62,-1),"yyyy-mm")))</f>
        <v>0</v>
      </c>
      <c r="AK62" s="24">
        <f>IF(OR(AJ62="",AJ62=0),"",N(J62)/AJ62-1)</f>
        <v>0</v>
      </c>
      <c r="AL62" s="23">
        <f>IF(B62="","",SUMIFS(Analytics!$G$5:$G$154,Analytics!$E$5:$E$154,E62,Analytics!$C$5:$C$154,TEXT(EDATE(B62,-1),"yyyy-mm")))</f>
        <v>0</v>
      </c>
      <c r="AM62" s="29">
        <f>IF(E62="","",IF(COUNTIFS(Analytics!$E$5:$E$154,E62,Analytics!$C$5:$C$154,C62)&gt;1,"Duplicate","OK"))</f>
        <v>0</v>
      </c>
      <c r="AN62" s="29">
        <f>IF(E62="","",IF(AM62="Duplicate","Duplicate - this month is entered twice",IF(AND(J62&lt;&gt;"",AA62&lt;TargetEngagement),"Check - engagement below target",IF(X62&lt;0,"Check - followers went down",IF(AND(I62&lt;&gt;"",Z62&lt;&gt;"",I62&lt;&gt;Z62),"Check - post count does not match the calendar","OK")))))</f>
        <v>0</v>
      </c>
    </row>
    <row r="63" spans="1:40">
      <c r="A63" s="41">
        <f>IF(E63="","","AN-"&amp;TEXT(ROW()-4,"0000"))</f>
        <v>0</v>
      </c>
      <c r="C63" s="17">
        <f>IF(B63="","",TEXT(B63,"yyyy-mm"))</f>
        <v>0</v>
      </c>
      <c r="W63" s="23">
        <f>IF(G63="","",G63-N(F63)+N(H63))</f>
        <v>0</v>
      </c>
      <c r="X63" s="23">
        <f>IF(G63="","",G63-N(F63))</f>
        <v>0</v>
      </c>
      <c r="Y63" s="24">
        <f>IF(OR(F63="",F63=0),"",X63/F63)</f>
        <v>0</v>
      </c>
      <c r="Z63" s="23">
        <f>IF(OR(B63="",D63=""),"",COUNTIFS('Content Calendar'!$G$5:$G$604,D63,'Content Calendar'!$D$5:$D$604,C63,'Content Calendar'!$X$5:$X$604,"Published"))</f>
        <v>0</v>
      </c>
      <c r="AA63" s="24">
        <f>IF(OR(J63="",J63=0),"",N(L63)/J63)</f>
        <v>0</v>
      </c>
      <c r="AB63" s="23">
        <f>IF(OR(I63="",I63=0),"",ROUND(N(J63)/I63,0))</f>
        <v>0</v>
      </c>
      <c r="AC63" s="23">
        <f>IF(OR(I63="",I63=0),"",ROUND(N(L63)/I63,0))</f>
        <v>0</v>
      </c>
      <c r="AD63" s="24">
        <f>IF(OR(G63="",G63=0),"",N(J63)/G63)</f>
        <v>0</v>
      </c>
      <c r="AE63" s="24">
        <f>IF(OR(J63="",J63=0),"",N(R63)/J63)</f>
        <v>0</v>
      </c>
      <c r="AF63" s="24">
        <f>IF(OR(R63="",R63=0),"",N(S63)/R63)</f>
        <v>0</v>
      </c>
      <c r="AG63" s="24">
        <f>IF(OR(S63="",S63=0),"",N(T63)/S63)</f>
        <v>0</v>
      </c>
      <c r="AH63" s="25">
        <f>IF(OR(S63="",S63=0,V63=""),"",V63/S63)</f>
        <v>0</v>
      </c>
      <c r="AI63" s="31">
        <f>IF(OR(V63="",V63=0),"",N(U63)/V63)</f>
        <v>0</v>
      </c>
      <c r="AJ63" s="23">
        <f>IF(B63="","",SUMIFS(Analytics!$J$5:$J$154,Analytics!$E$5:$E$154,E63,Analytics!$C$5:$C$154,TEXT(EDATE(B63,-1),"yyyy-mm")))</f>
        <v>0</v>
      </c>
      <c r="AK63" s="24">
        <f>IF(OR(AJ63="",AJ63=0),"",N(J63)/AJ63-1)</f>
        <v>0</v>
      </c>
      <c r="AL63" s="23">
        <f>IF(B63="","",SUMIFS(Analytics!$G$5:$G$154,Analytics!$E$5:$E$154,E63,Analytics!$C$5:$C$154,TEXT(EDATE(B63,-1),"yyyy-mm")))</f>
        <v>0</v>
      </c>
      <c r="AM63" s="29">
        <f>IF(E63="","",IF(COUNTIFS(Analytics!$E$5:$E$154,E63,Analytics!$C$5:$C$154,C63)&gt;1,"Duplicate","OK"))</f>
        <v>0</v>
      </c>
      <c r="AN63" s="29">
        <f>IF(E63="","",IF(AM63="Duplicate","Duplicate - this month is entered twice",IF(AND(J63&lt;&gt;"",AA63&lt;TargetEngagement),"Check - engagement below target",IF(X63&lt;0,"Check - followers went down",IF(AND(I63&lt;&gt;"",Z63&lt;&gt;"",I63&lt;&gt;Z63),"Check - post count does not match the calendar","OK")))))</f>
        <v>0</v>
      </c>
    </row>
    <row r="64" spans="1:40">
      <c r="A64" s="41">
        <f>IF(E64="","","AN-"&amp;TEXT(ROW()-4,"0000"))</f>
        <v>0</v>
      </c>
      <c r="C64" s="17">
        <f>IF(B64="","",TEXT(B64,"yyyy-mm"))</f>
        <v>0</v>
      </c>
      <c r="W64" s="23">
        <f>IF(G64="","",G64-N(F64)+N(H64))</f>
        <v>0</v>
      </c>
      <c r="X64" s="23">
        <f>IF(G64="","",G64-N(F64))</f>
        <v>0</v>
      </c>
      <c r="Y64" s="24">
        <f>IF(OR(F64="",F64=0),"",X64/F64)</f>
        <v>0</v>
      </c>
      <c r="Z64" s="23">
        <f>IF(OR(B64="",D64=""),"",COUNTIFS('Content Calendar'!$G$5:$G$604,D64,'Content Calendar'!$D$5:$D$604,C64,'Content Calendar'!$X$5:$X$604,"Published"))</f>
        <v>0</v>
      </c>
      <c r="AA64" s="24">
        <f>IF(OR(J64="",J64=0),"",N(L64)/J64)</f>
        <v>0</v>
      </c>
      <c r="AB64" s="23">
        <f>IF(OR(I64="",I64=0),"",ROUND(N(J64)/I64,0))</f>
        <v>0</v>
      </c>
      <c r="AC64" s="23">
        <f>IF(OR(I64="",I64=0),"",ROUND(N(L64)/I64,0))</f>
        <v>0</v>
      </c>
      <c r="AD64" s="24">
        <f>IF(OR(G64="",G64=0),"",N(J64)/G64)</f>
        <v>0</v>
      </c>
      <c r="AE64" s="24">
        <f>IF(OR(J64="",J64=0),"",N(R64)/J64)</f>
        <v>0</v>
      </c>
      <c r="AF64" s="24">
        <f>IF(OR(R64="",R64=0),"",N(S64)/R64)</f>
        <v>0</v>
      </c>
      <c r="AG64" s="24">
        <f>IF(OR(S64="",S64=0),"",N(T64)/S64)</f>
        <v>0</v>
      </c>
      <c r="AH64" s="25">
        <f>IF(OR(S64="",S64=0,V64=""),"",V64/S64)</f>
        <v>0</v>
      </c>
      <c r="AI64" s="31">
        <f>IF(OR(V64="",V64=0),"",N(U64)/V64)</f>
        <v>0</v>
      </c>
      <c r="AJ64" s="23">
        <f>IF(B64="","",SUMIFS(Analytics!$J$5:$J$154,Analytics!$E$5:$E$154,E64,Analytics!$C$5:$C$154,TEXT(EDATE(B64,-1),"yyyy-mm")))</f>
        <v>0</v>
      </c>
      <c r="AK64" s="24">
        <f>IF(OR(AJ64="",AJ64=0),"",N(J64)/AJ64-1)</f>
        <v>0</v>
      </c>
      <c r="AL64" s="23">
        <f>IF(B64="","",SUMIFS(Analytics!$G$5:$G$154,Analytics!$E$5:$E$154,E64,Analytics!$C$5:$C$154,TEXT(EDATE(B64,-1),"yyyy-mm")))</f>
        <v>0</v>
      </c>
      <c r="AM64" s="29">
        <f>IF(E64="","",IF(COUNTIFS(Analytics!$E$5:$E$154,E64,Analytics!$C$5:$C$154,C64)&gt;1,"Duplicate","OK"))</f>
        <v>0</v>
      </c>
      <c r="AN64" s="29">
        <f>IF(E64="","",IF(AM64="Duplicate","Duplicate - this month is entered twice",IF(AND(J64&lt;&gt;"",AA64&lt;TargetEngagement),"Check - engagement below target",IF(X64&lt;0,"Check - followers went down",IF(AND(I64&lt;&gt;"",Z64&lt;&gt;"",I64&lt;&gt;Z64),"Check - post count does not match the calendar","OK")))))</f>
        <v>0</v>
      </c>
    </row>
    <row r="65" spans="1:40">
      <c r="A65" s="41">
        <f>IF(E65="","","AN-"&amp;TEXT(ROW()-4,"0000"))</f>
        <v>0</v>
      </c>
      <c r="C65" s="17">
        <f>IF(B65="","",TEXT(B65,"yyyy-mm"))</f>
        <v>0</v>
      </c>
      <c r="W65" s="23">
        <f>IF(G65="","",G65-N(F65)+N(H65))</f>
        <v>0</v>
      </c>
      <c r="X65" s="23">
        <f>IF(G65="","",G65-N(F65))</f>
        <v>0</v>
      </c>
      <c r="Y65" s="24">
        <f>IF(OR(F65="",F65=0),"",X65/F65)</f>
        <v>0</v>
      </c>
      <c r="Z65" s="23">
        <f>IF(OR(B65="",D65=""),"",COUNTIFS('Content Calendar'!$G$5:$G$604,D65,'Content Calendar'!$D$5:$D$604,C65,'Content Calendar'!$X$5:$X$604,"Published"))</f>
        <v>0</v>
      </c>
      <c r="AA65" s="24">
        <f>IF(OR(J65="",J65=0),"",N(L65)/J65)</f>
        <v>0</v>
      </c>
      <c r="AB65" s="23">
        <f>IF(OR(I65="",I65=0),"",ROUND(N(J65)/I65,0))</f>
        <v>0</v>
      </c>
      <c r="AC65" s="23">
        <f>IF(OR(I65="",I65=0),"",ROUND(N(L65)/I65,0))</f>
        <v>0</v>
      </c>
      <c r="AD65" s="24">
        <f>IF(OR(G65="",G65=0),"",N(J65)/G65)</f>
        <v>0</v>
      </c>
      <c r="AE65" s="24">
        <f>IF(OR(J65="",J65=0),"",N(R65)/J65)</f>
        <v>0</v>
      </c>
      <c r="AF65" s="24">
        <f>IF(OR(R65="",R65=0),"",N(S65)/R65)</f>
        <v>0</v>
      </c>
      <c r="AG65" s="24">
        <f>IF(OR(S65="",S65=0),"",N(T65)/S65)</f>
        <v>0</v>
      </c>
      <c r="AH65" s="25">
        <f>IF(OR(S65="",S65=0,V65=""),"",V65/S65)</f>
        <v>0</v>
      </c>
      <c r="AI65" s="31">
        <f>IF(OR(V65="",V65=0),"",N(U65)/V65)</f>
        <v>0</v>
      </c>
      <c r="AJ65" s="23">
        <f>IF(B65="","",SUMIFS(Analytics!$J$5:$J$154,Analytics!$E$5:$E$154,E65,Analytics!$C$5:$C$154,TEXT(EDATE(B65,-1),"yyyy-mm")))</f>
        <v>0</v>
      </c>
      <c r="AK65" s="24">
        <f>IF(OR(AJ65="",AJ65=0),"",N(J65)/AJ65-1)</f>
        <v>0</v>
      </c>
      <c r="AL65" s="23">
        <f>IF(B65="","",SUMIFS(Analytics!$G$5:$G$154,Analytics!$E$5:$E$154,E65,Analytics!$C$5:$C$154,TEXT(EDATE(B65,-1),"yyyy-mm")))</f>
        <v>0</v>
      </c>
      <c r="AM65" s="29">
        <f>IF(E65="","",IF(COUNTIFS(Analytics!$E$5:$E$154,E65,Analytics!$C$5:$C$154,C65)&gt;1,"Duplicate","OK"))</f>
        <v>0</v>
      </c>
      <c r="AN65" s="29">
        <f>IF(E65="","",IF(AM65="Duplicate","Duplicate - this month is entered twice",IF(AND(J65&lt;&gt;"",AA65&lt;TargetEngagement),"Check - engagement below target",IF(X65&lt;0,"Check - followers went down",IF(AND(I65&lt;&gt;"",Z65&lt;&gt;"",I65&lt;&gt;Z65),"Check - post count does not match the calendar","OK")))))</f>
        <v>0</v>
      </c>
    </row>
    <row r="66" spans="1:40">
      <c r="A66" s="41">
        <f>IF(E66="","","AN-"&amp;TEXT(ROW()-4,"0000"))</f>
        <v>0</v>
      </c>
      <c r="C66" s="17">
        <f>IF(B66="","",TEXT(B66,"yyyy-mm"))</f>
        <v>0</v>
      </c>
      <c r="W66" s="23">
        <f>IF(G66="","",G66-N(F66)+N(H66))</f>
        <v>0</v>
      </c>
      <c r="X66" s="23">
        <f>IF(G66="","",G66-N(F66))</f>
        <v>0</v>
      </c>
      <c r="Y66" s="24">
        <f>IF(OR(F66="",F66=0),"",X66/F66)</f>
        <v>0</v>
      </c>
      <c r="Z66" s="23">
        <f>IF(OR(B66="",D66=""),"",COUNTIFS('Content Calendar'!$G$5:$G$604,D66,'Content Calendar'!$D$5:$D$604,C66,'Content Calendar'!$X$5:$X$604,"Published"))</f>
        <v>0</v>
      </c>
      <c r="AA66" s="24">
        <f>IF(OR(J66="",J66=0),"",N(L66)/J66)</f>
        <v>0</v>
      </c>
      <c r="AB66" s="23">
        <f>IF(OR(I66="",I66=0),"",ROUND(N(J66)/I66,0))</f>
        <v>0</v>
      </c>
      <c r="AC66" s="23">
        <f>IF(OR(I66="",I66=0),"",ROUND(N(L66)/I66,0))</f>
        <v>0</v>
      </c>
      <c r="AD66" s="24">
        <f>IF(OR(G66="",G66=0),"",N(J66)/G66)</f>
        <v>0</v>
      </c>
      <c r="AE66" s="24">
        <f>IF(OR(J66="",J66=0),"",N(R66)/J66)</f>
        <v>0</v>
      </c>
      <c r="AF66" s="24">
        <f>IF(OR(R66="",R66=0),"",N(S66)/R66)</f>
        <v>0</v>
      </c>
      <c r="AG66" s="24">
        <f>IF(OR(S66="",S66=0),"",N(T66)/S66)</f>
        <v>0</v>
      </c>
      <c r="AH66" s="25">
        <f>IF(OR(S66="",S66=0,V66=""),"",V66/S66)</f>
        <v>0</v>
      </c>
      <c r="AI66" s="31">
        <f>IF(OR(V66="",V66=0),"",N(U66)/V66)</f>
        <v>0</v>
      </c>
      <c r="AJ66" s="23">
        <f>IF(B66="","",SUMIFS(Analytics!$J$5:$J$154,Analytics!$E$5:$E$154,E66,Analytics!$C$5:$C$154,TEXT(EDATE(B66,-1),"yyyy-mm")))</f>
        <v>0</v>
      </c>
      <c r="AK66" s="24">
        <f>IF(OR(AJ66="",AJ66=0),"",N(J66)/AJ66-1)</f>
        <v>0</v>
      </c>
      <c r="AL66" s="23">
        <f>IF(B66="","",SUMIFS(Analytics!$G$5:$G$154,Analytics!$E$5:$E$154,E66,Analytics!$C$5:$C$154,TEXT(EDATE(B66,-1),"yyyy-mm")))</f>
        <v>0</v>
      </c>
      <c r="AM66" s="29">
        <f>IF(E66="","",IF(COUNTIFS(Analytics!$E$5:$E$154,E66,Analytics!$C$5:$C$154,C66)&gt;1,"Duplicate","OK"))</f>
        <v>0</v>
      </c>
      <c r="AN66" s="29">
        <f>IF(E66="","",IF(AM66="Duplicate","Duplicate - this month is entered twice",IF(AND(J66&lt;&gt;"",AA66&lt;TargetEngagement),"Check - engagement below target",IF(X66&lt;0,"Check - followers went down",IF(AND(I66&lt;&gt;"",Z66&lt;&gt;"",I66&lt;&gt;Z66),"Check - post count does not match the calendar","OK")))))</f>
        <v>0</v>
      </c>
    </row>
    <row r="67" spans="1:40">
      <c r="A67" s="41">
        <f>IF(E67="","","AN-"&amp;TEXT(ROW()-4,"0000"))</f>
        <v>0</v>
      </c>
      <c r="C67" s="17">
        <f>IF(B67="","",TEXT(B67,"yyyy-mm"))</f>
        <v>0</v>
      </c>
      <c r="W67" s="23">
        <f>IF(G67="","",G67-N(F67)+N(H67))</f>
        <v>0</v>
      </c>
      <c r="X67" s="23">
        <f>IF(G67="","",G67-N(F67))</f>
        <v>0</v>
      </c>
      <c r="Y67" s="24">
        <f>IF(OR(F67="",F67=0),"",X67/F67)</f>
        <v>0</v>
      </c>
      <c r="Z67" s="23">
        <f>IF(OR(B67="",D67=""),"",COUNTIFS('Content Calendar'!$G$5:$G$604,D67,'Content Calendar'!$D$5:$D$604,C67,'Content Calendar'!$X$5:$X$604,"Published"))</f>
        <v>0</v>
      </c>
      <c r="AA67" s="24">
        <f>IF(OR(J67="",J67=0),"",N(L67)/J67)</f>
        <v>0</v>
      </c>
      <c r="AB67" s="23">
        <f>IF(OR(I67="",I67=0),"",ROUND(N(J67)/I67,0))</f>
        <v>0</v>
      </c>
      <c r="AC67" s="23">
        <f>IF(OR(I67="",I67=0),"",ROUND(N(L67)/I67,0))</f>
        <v>0</v>
      </c>
      <c r="AD67" s="24">
        <f>IF(OR(G67="",G67=0),"",N(J67)/G67)</f>
        <v>0</v>
      </c>
      <c r="AE67" s="24">
        <f>IF(OR(J67="",J67=0),"",N(R67)/J67)</f>
        <v>0</v>
      </c>
      <c r="AF67" s="24">
        <f>IF(OR(R67="",R67=0),"",N(S67)/R67)</f>
        <v>0</v>
      </c>
      <c r="AG67" s="24">
        <f>IF(OR(S67="",S67=0),"",N(T67)/S67)</f>
        <v>0</v>
      </c>
      <c r="AH67" s="25">
        <f>IF(OR(S67="",S67=0,V67=""),"",V67/S67)</f>
        <v>0</v>
      </c>
      <c r="AI67" s="31">
        <f>IF(OR(V67="",V67=0),"",N(U67)/V67)</f>
        <v>0</v>
      </c>
      <c r="AJ67" s="23">
        <f>IF(B67="","",SUMIFS(Analytics!$J$5:$J$154,Analytics!$E$5:$E$154,E67,Analytics!$C$5:$C$154,TEXT(EDATE(B67,-1),"yyyy-mm")))</f>
        <v>0</v>
      </c>
      <c r="AK67" s="24">
        <f>IF(OR(AJ67="",AJ67=0),"",N(J67)/AJ67-1)</f>
        <v>0</v>
      </c>
      <c r="AL67" s="23">
        <f>IF(B67="","",SUMIFS(Analytics!$G$5:$G$154,Analytics!$E$5:$E$154,E67,Analytics!$C$5:$C$154,TEXT(EDATE(B67,-1),"yyyy-mm")))</f>
        <v>0</v>
      </c>
      <c r="AM67" s="29">
        <f>IF(E67="","",IF(COUNTIFS(Analytics!$E$5:$E$154,E67,Analytics!$C$5:$C$154,C67)&gt;1,"Duplicate","OK"))</f>
        <v>0</v>
      </c>
      <c r="AN67" s="29">
        <f>IF(E67="","",IF(AM67="Duplicate","Duplicate - this month is entered twice",IF(AND(J67&lt;&gt;"",AA67&lt;TargetEngagement),"Check - engagement below target",IF(X67&lt;0,"Check - followers went down",IF(AND(I67&lt;&gt;"",Z67&lt;&gt;"",I67&lt;&gt;Z67),"Check - post count does not match the calendar","OK")))))</f>
        <v>0</v>
      </c>
    </row>
    <row r="68" spans="1:40">
      <c r="A68" s="41">
        <f>IF(E68="","","AN-"&amp;TEXT(ROW()-4,"0000"))</f>
        <v>0</v>
      </c>
      <c r="C68" s="17">
        <f>IF(B68="","",TEXT(B68,"yyyy-mm"))</f>
        <v>0</v>
      </c>
      <c r="W68" s="23">
        <f>IF(G68="","",G68-N(F68)+N(H68))</f>
        <v>0</v>
      </c>
      <c r="X68" s="23">
        <f>IF(G68="","",G68-N(F68))</f>
        <v>0</v>
      </c>
      <c r="Y68" s="24">
        <f>IF(OR(F68="",F68=0),"",X68/F68)</f>
        <v>0</v>
      </c>
      <c r="Z68" s="23">
        <f>IF(OR(B68="",D68=""),"",COUNTIFS('Content Calendar'!$G$5:$G$604,D68,'Content Calendar'!$D$5:$D$604,C68,'Content Calendar'!$X$5:$X$604,"Published"))</f>
        <v>0</v>
      </c>
      <c r="AA68" s="24">
        <f>IF(OR(J68="",J68=0),"",N(L68)/J68)</f>
        <v>0</v>
      </c>
      <c r="AB68" s="23">
        <f>IF(OR(I68="",I68=0),"",ROUND(N(J68)/I68,0))</f>
        <v>0</v>
      </c>
      <c r="AC68" s="23">
        <f>IF(OR(I68="",I68=0),"",ROUND(N(L68)/I68,0))</f>
        <v>0</v>
      </c>
      <c r="AD68" s="24">
        <f>IF(OR(G68="",G68=0),"",N(J68)/G68)</f>
        <v>0</v>
      </c>
      <c r="AE68" s="24">
        <f>IF(OR(J68="",J68=0),"",N(R68)/J68)</f>
        <v>0</v>
      </c>
      <c r="AF68" s="24">
        <f>IF(OR(R68="",R68=0),"",N(S68)/R68)</f>
        <v>0</v>
      </c>
      <c r="AG68" s="24">
        <f>IF(OR(S68="",S68=0),"",N(T68)/S68)</f>
        <v>0</v>
      </c>
      <c r="AH68" s="25">
        <f>IF(OR(S68="",S68=0,V68=""),"",V68/S68)</f>
        <v>0</v>
      </c>
      <c r="AI68" s="31">
        <f>IF(OR(V68="",V68=0),"",N(U68)/V68)</f>
        <v>0</v>
      </c>
      <c r="AJ68" s="23">
        <f>IF(B68="","",SUMIFS(Analytics!$J$5:$J$154,Analytics!$E$5:$E$154,E68,Analytics!$C$5:$C$154,TEXT(EDATE(B68,-1),"yyyy-mm")))</f>
        <v>0</v>
      </c>
      <c r="AK68" s="24">
        <f>IF(OR(AJ68="",AJ68=0),"",N(J68)/AJ68-1)</f>
        <v>0</v>
      </c>
      <c r="AL68" s="23">
        <f>IF(B68="","",SUMIFS(Analytics!$G$5:$G$154,Analytics!$E$5:$E$154,E68,Analytics!$C$5:$C$154,TEXT(EDATE(B68,-1),"yyyy-mm")))</f>
        <v>0</v>
      </c>
      <c r="AM68" s="29">
        <f>IF(E68="","",IF(COUNTIFS(Analytics!$E$5:$E$154,E68,Analytics!$C$5:$C$154,C68)&gt;1,"Duplicate","OK"))</f>
        <v>0</v>
      </c>
      <c r="AN68" s="29">
        <f>IF(E68="","",IF(AM68="Duplicate","Duplicate - this month is entered twice",IF(AND(J68&lt;&gt;"",AA68&lt;TargetEngagement),"Check - engagement below target",IF(X68&lt;0,"Check - followers went down",IF(AND(I68&lt;&gt;"",Z68&lt;&gt;"",I68&lt;&gt;Z68),"Check - post count does not match the calendar","OK")))))</f>
        <v>0</v>
      </c>
    </row>
    <row r="69" spans="1:40">
      <c r="A69" s="41">
        <f>IF(E69="","","AN-"&amp;TEXT(ROW()-4,"0000"))</f>
        <v>0</v>
      </c>
      <c r="C69" s="17">
        <f>IF(B69="","",TEXT(B69,"yyyy-mm"))</f>
        <v>0</v>
      </c>
      <c r="W69" s="23">
        <f>IF(G69="","",G69-N(F69)+N(H69))</f>
        <v>0</v>
      </c>
      <c r="X69" s="23">
        <f>IF(G69="","",G69-N(F69))</f>
        <v>0</v>
      </c>
      <c r="Y69" s="24">
        <f>IF(OR(F69="",F69=0),"",X69/F69)</f>
        <v>0</v>
      </c>
      <c r="Z69" s="23">
        <f>IF(OR(B69="",D69=""),"",COUNTIFS('Content Calendar'!$G$5:$G$604,D69,'Content Calendar'!$D$5:$D$604,C69,'Content Calendar'!$X$5:$X$604,"Published"))</f>
        <v>0</v>
      </c>
      <c r="AA69" s="24">
        <f>IF(OR(J69="",J69=0),"",N(L69)/J69)</f>
        <v>0</v>
      </c>
      <c r="AB69" s="23">
        <f>IF(OR(I69="",I69=0),"",ROUND(N(J69)/I69,0))</f>
        <v>0</v>
      </c>
      <c r="AC69" s="23">
        <f>IF(OR(I69="",I69=0),"",ROUND(N(L69)/I69,0))</f>
        <v>0</v>
      </c>
      <c r="AD69" s="24">
        <f>IF(OR(G69="",G69=0),"",N(J69)/G69)</f>
        <v>0</v>
      </c>
      <c r="AE69" s="24">
        <f>IF(OR(J69="",J69=0),"",N(R69)/J69)</f>
        <v>0</v>
      </c>
      <c r="AF69" s="24">
        <f>IF(OR(R69="",R69=0),"",N(S69)/R69)</f>
        <v>0</v>
      </c>
      <c r="AG69" s="24">
        <f>IF(OR(S69="",S69=0),"",N(T69)/S69)</f>
        <v>0</v>
      </c>
      <c r="AH69" s="25">
        <f>IF(OR(S69="",S69=0,V69=""),"",V69/S69)</f>
        <v>0</v>
      </c>
      <c r="AI69" s="31">
        <f>IF(OR(V69="",V69=0),"",N(U69)/V69)</f>
        <v>0</v>
      </c>
      <c r="AJ69" s="23">
        <f>IF(B69="","",SUMIFS(Analytics!$J$5:$J$154,Analytics!$E$5:$E$154,E69,Analytics!$C$5:$C$154,TEXT(EDATE(B69,-1),"yyyy-mm")))</f>
        <v>0</v>
      </c>
      <c r="AK69" s="24">
        <f>IF(OR(AJ69="",AJ69=0),"",N(J69)/AJ69-1)</f>
        <v>0</v>
      </c>
      <c r="AL69" s="23">
        <f>IF(B69="","",SUMIFS(Analytics!$G$5:$G$154,Analytics!$E$5:$E$154,E69,Analytics!$C$5:$C$154,TEXT(EDATE(B69,-1),"yyyy-mm")))</f>
        <v>0</v>
      </c>
      <c r="AM69" s="29">
        <f>IF(E69="","",IF(COUNTIFS(Analytics!$E$5:$E$154,E69,Analytics!$C$5:$C$154,C69)&gt;1,"Duplicate","OK"))</f>
        <v>0</v>
      </c>
      <c r="AN69" s="29">
        <f>IF(E69="","",IF(AM69="Duplicate","Duplicate - this month is entered twice",IF(AND(J69&lt;&gt;"",AA69&lt;TargetEngagement),"Check - engagement below target",IF(X69&lt;0,"Check - followers went down",IF(AND(I69&lt;&gt;"",Z69&lt;&gt;"",I69&lt;&gt;Z69),"Check - post count does not match the calendar","OK")))))</f>
        <v>0</v>
      </c>
    </row>
    <row r="70" spans="1:40">
      <c r="A70" s="41">
        <f>IF(E70="","","AN-"&amp;TEXT(ROW()-4,"0000"))</f>
        <v>0</v>
      </c>
      <c r="C70" s="17">
        <f>IF(B70="","",TEXT(B70,"yyyy-mm"))</f>
        <v>0</v>
      </c>
      <c r="W70" s="23">
        <f>IF(G70="","",G70-N(F70)+N(H70))</f>
        <v>0</v>
      </c>
      <c r="X70" s="23">
        <f>IF(G70="","",G70-N(F70))</f>
        <v>0</v>
      </c>
      <c r="Y70" s="24">
        <f>IF(OR(F70="",F70=0),"",X70/F70)</f>
        <v>0</v>
      </c>
      <c r="Z70" s="23">
        <f>IF(OR(B70="",D70=""),"",COUNTIFS('Content Calendar'!$G$5:$G$604,D70,'Content Calendar'!$D$5:$D$604,C70,'Content Calendar'!$X$5:$X$604,"Published"))</f>
        <v>0</v>
      </c>
      <c r="AA70" s="24">
        <f>IF(OR(J70="",J70=0),"",N(L70)/J70)</f>
        <v>0</v>
      </c>
      <c r="AB70" s="23">
        <f>IF(OR(I70="",I70=0),"",ROUND(N(J70)/I70,0))</f>
        <v>0</v>
      </c>
      <c r="AC70" s="23">
        <f>IF(OR(I70="",I70=0),"",ROUND(N(L70)/I70,0))</f>
        <v>0</v>
      </c>
      <c r="AD70" s="24">
        <f>IF(OR(G70="",G70=0),"",N(J70)/G70)</f>
        <v>0</v>
      </c>
      <c r="AE70" s="24">
        <f>IF(OR(J70="",J70=0),"",N(R70)/J70)</f>
        <v>0</v>
      </c>
      <c r="AF70" s="24">
        <f>IF(OR(R70="",R70=0),"",N(S70)/R70)</f>
        <v>0</v>
      </c>
      <c r="AG70" s="24">
        <f>IF(OR(S70="",S70=0),"",N(T70)/S70)</f>
        <v>0</v>
      </c>
      <c r="AH70" s="25">
        <f>IF(OR(S70="",S70=0,V70=""),"",V70/S70)</f>
        <v>0</v>
      </c>
      <c r="AI70" s="31">
        <f>IF(OR(V70="",V70=0),"",N(U70)/V70)</f>
        <v>0</v>
      </c>
      <c r="AJ70" s="23">
        <f>IF(B70="","",SUMIFS(Analytics!$J$5:$J$154,Analytics!$E$5:$E$154,E70,Analytics!$C$5:$C$154,TEXT(EDATE(B70,-1),"yyyy-mm")))</f>
        <v>0</v>
      </c>
      <c r="AK70" s="24">
        <f>IF(OR(AJ70="",AJ70=0),"",N(J70)/AJ70-1)</f>
        <v>0</v>
      </c>
      <c r="AL70" s="23">
        <f>IF(B70="","",SUMIFS(Analytics!$G$5:$G$154,Analytics!$E$5:$E$154,E70,Analytics!$C$5:$C$154,TEXT(EDATE(B70,-1),"yyyy-mm")))</f>
        <v>0</v>
      </c>
      <c r="AM70" s="29">
        <f>IF(E70="","",IF(COUNTIFS(Analytics!$E$5:$E$154,E70,Analytics!$C$5:$C$154,C70)&gt;1,"Duplicate","OK"))</f>
        <v>0</v>
      </c>
      <c r="AN70" s="29">
        <f>IF(E70="","",IF(AM70="Duplicate","Duplicate - this month is entered twice",IF(AND(J70&lt;&gt;"",AA70&lt;TargetEngagement),"Check - engagement below target",IF(X70&lt;0,"Check - followers went down",IF(AND(I70&lt;&gt;"",Z70&lt;&gt;"",I70&lt;&gt;Z70),"Check - post count does not match the calendar","OK")))))</f>
        <v>0</v>
      </c>
    </row>
    <row r="71" spans="1:40">
      <c r="A71" s="41">
        <f>IF(E71="","","AN-"&amp;TEXT(ROW()-4,"0000"))</f>
        <v>0</v>
      </c>
      <c r="C71" s="17">
        <f>IF(B71="","",TEXT(B71,"yyyy-mm"))</f>
        <v>0</v>
      </c>
      <c r="W71" s="23">
        <f>IF(G71="","",G71-N(F71)+N(H71))</f>
        <v>0</v>
      </c>
      <c r="X71" s="23">
        <f>IF(G71="","",G71-N(F71))</f>
        <v>0</v>
      </c>
      <c r="Y71" s="24">
        <f>IF(OR(F71="",F71=0),"",X71/F71)</f>
        <v>0</v>
      </c>
      <c r="Z71" s="23">
        <f>IF(OR(B71="",D71=""),"",COUNTIFS('Content Calendar'!$G$5:$G$604,D71,'Content Calendar'!$D$5:$D$604,C71,'Content Calendar'!$X$5:$X$604,"Published"))</f>
        <v>0</v>
      </c>
      <c r="AA71" s="24">
        <f>IF(OR(J71="",J71=0),"",N(L71)/J71)</f>
        <v>0</v>
      </c>
      <c r="AB71" s="23">
        <f>IF(OR(I71="",I71=0),"",ROUND(N(J71)/I71,0))</f>
        <v>0</v>
      </c>
      <c r="AC71" s="23">
        <f>IF(OR(I71="",I71=0),"",ROUND(N(L71)/I71,0))</f>
        <v>0</v>
      </c>
      <c r="AD71" s="24">
        <f>IF(OR(G71="",G71=0),"",N(J71)/G71)</f>
        <v>0</v>
      </c>
      <c r="AE71" s="24">
        <f>IF(OR(J71="",J71=0),"",N(R71)/J71)</f>
        <v>0</v>
      </c>
      <c r="AF71" s="24">
        <f>IF(OR(R71="",R71=0),"",N(S71)/R71)</f>
        <v>0</v>
      </c>
      <c r="AG71" s="24">
        <f>IF(OR(S71="",S71=0),"",N(T71)/S71)</f>
        <v>0</v>
      </c>
      <c r="AH71" s="25">
        <f>IF(OR(S71="",S71=0,V71=""),"",V71/S71)</f>
        <v>0</v>
      </c>
      <c r="AI71" s="31">
        <f>IF(OR(V71="",V71=0),"",N(U71)/V71)</f>
        <v>0</v>
      </c>
      <c r="AJ71" s="23">
        <f>IF(B71="","",SUMIFS(Analytics!$J$5:$J$154,Analytics!$E$5:$E$154,E71,Analytics!$C$5:$C$154,TEXT(EDATE(B71,-1),"yyyy-mm")))</f>
        <v>0</v>
      </c>
      <c r="AK71" s="24">
        <f>IF(OR(AJ71="",AJ71=0),"",N(J71)/AJ71-1)</f>
        <v>0</v>
      </c>
      <c r="AL71" s="23">
        <f>IF(B71="","",SUMIFS(Analytics!$G$5:$G$154,Analytics!$E$5:$E$154,E71,Analytics!$C$5:$C$154,TEXT(EDATE(B71,-1),"yyyy-mm")))</f>
        <v>0</v>
      </c>
      <c r="AM71" s="29">
        <f>IF(E71="","",IF(COUNTIFS(Analytics!$E$5:$E$154,E71,Analytics!$C$5:$C$154,C71)&gt;1,"Duplicate","OK"))</f>
        <v>0</v>
      </c>
      <c r="AN71" s="29">
        <f>IF(E71="","",IF(AM71="Duplicate","Duplicate - this month is entered twice",IF(AND(J71&lt;&gt;"",AA71&lt;TargetEngagement),"Check - engagement below target",IF(X71&lt;0,"Check - followers went down",IF(AND(I71&lt;&gt;"",Z71&lt;&gt;"",I71&lt;&gt;Z71),"Check - post count does not match the calendar","OK")))))</f>
        <v>0</v>
      </c>
    </row>
    <row r="72" spans="1:40">
      <c r="A72" s="41">
        <f>IF(E72="","","AN-"&amp;TEXT(ROW()-4,"0000"))</f>
        <v>0</v>
      </c>
      <c r="C72" s="17">
        <f>IF(B72="","",TEXT(B72,"yyyy-mm"))</f>
        <v>0</v>
      </c>
      <c r="W72" s="23">
        <f>IF(G72="","",G72-N(F72)+N(H72))</f>
        <v>0</v>
      </c>
      <c r="X72" s="23">
        <f>IF(G72="","",G72-N(F72))</f>
        <v>0</v>
      </c>
      <c r="Y72" s="24">
        <f>IF(OR(F72="",F72=0),"",X72/F72)</f>
        <v>0</v>
      </c>
      <c r="Z72" s="23">
        <f>IF(OR(B72="",D72=""),"",COUNTIFS('Content Calendar'!$G$5:$G$604,D72,'Content Calendar'!$D$5:$D$604,C72,'Content Calendar'!$X$5:$X$604,"Published"))</f>
        <v>0</v>
      </c>
      <c r="AA72" s="24">
        <f>IF(OR(J72="",J72=0),"",N(L72)/J72)</f>
        <v>0</v>
      </c>
      <c r="AB72" s="23">
        <f>IF(OR(I72="",I72=0),"",ROUND(N(J72)/I72,0))</f>
        <v>0</v>
      </c>
      <c r="AC72" s="23">
        <f>IF(OR(I72="",I72=0),"",ROUND(N(L72)/I72,0))</f>
        <v>0</v>
      </c>
      <c r="AD72" s="24">
        <f>IF(OR(G72="",G72=0),"",N(J72)/G72)</f>
        <v>0</v>
      </c>
      <c r="AE72" s="24">
        <f>IF(OR(J72="",J72=0),"",N(R72)/J72)</f>
        <v>0</v>
      </c>
      <c r="AF72" s="24">
        <f>IF(OR(R72="",R72=0),"",N(S72)/R72)</f>
        <v>0</v>
      </c>
      <c r="AG72" s="24">
        <f>IF(OR(S72="",S72=0),"",N(T72)/S72)</f>
        <v>0</v>
      </c>
      <c r="AH72" s="25">
        <f>IF(OR(S72="",S72=0,V72=""),"",V72/S72)</f>
        <v>0</v>
      </c>
      <c r="AI72" s="31">
        <f>IF(OR(V72="",V72=0),"",N(U72)/V72)</f>
        <v>0</v>
      </c>
      <c r="AJ72" s="23">
        <f>IF(B72="","",SUMIFS(Analytics!$J$5:$J$154,Analytics!$E$5:$E$154,E72,Analytics!$C$5:$C$154,TEXT(EDATE(B72,-1),"yyyy-mm")))</f>
        <v>0</v>
      </c>
      <c r="AK72" s="24">
        <f>IF(OR(AJ72="",AJ72=0),"",N(J72)/AJ72-1)</f>
        <v>0</v>
      </c>
      <c r="AL72" s="23">
        <f>IF(B72="","",SUMIFS(Analytics!$G$5:$G$154,Analytics!$E$5:$E$154,E72,Analytics!$C$5:$C$154,TEXT(EDATE(B72,-1),"yyyy-mm")))</f>
        <v>0</v>
      </c>
      <c r="AM72" s="29">
        <f>IF(E72="","",IF(COUNTIFS(Analytics!$E$5:$E$154,E72,Analytics!$C$5:$C$154,C72)&gt;1,"Duplicate","OK"))</f>
        <v>0</v>
      </c>
      <c r="AN72" s="29">
        <f>IF(E72="","",IF(AM72="Duplicate","Duplicate - this month is entered twice",IF(AND(J72&lt;&gt;"",AA72&lt;TargetEngagement),"Check - engagement below target",IF(X72&lt;0,"Check - followers went down",IF(AND(I72&lt;&gt;"",Z72&lt;&gt;"",I72&lt;&gt;Z72),"Check - post count does not match the calendar","OK")))))</f>
        <v>0</v>
      </c>
    </row>
    <row r="73" spans="1:40">
      <c r="A73" s="41">
        <f>IF(E73="","","AN-"&amp;TEXT(ROW()-4,"0000"))</f>
        <v>0</v>
      </c>
      <c r="C73" s="17">
        <f>IF(B73="","",TEXT(B73,"yyyy-mm"))</f>
        <v>0</v>
      </c>
      <c r="W73" s="23">
        <f>IF(G73="","",G73-N(F73)+N(H73))</f>
        <v>0</v>
      </c>
      <c r="X73" s="23">
        <f>IF(G73="","",G73-N(F73))</f>
        <v>0</v>
      </c>
      <c r="Y73" s="24">
        <f>IF(OR(F73="",F73=0),"",X73/F73)</f>
        <v>0</v>
      </c>
      <c r="Z73" s="23">
        <f>IF(OR(B73="",D73=""),"",COUNTIFS('Content Calendar'!$G$5:$G$604,D73,'Content Calendar'!$D$5:$D$604,C73,'Content Calendar'!$X$5:$X$604,"Published"))</f>
        <v>0</v>
      </c>
      <c r="AA73" s="24">
        <f>IF(OR(J73="",J73=0),"",N(L73)/J73)</f>
        <v>0</v>
      </c>
      <c r="AB73" s="23">
        <f>IF(OR(I73="",I73=0),"",ROUND(N(J73)/I73,0))</f>
        <v>0</v>
      </c>
      <c r="AC73" s="23">
        <f>IF(OR(I73="",I73=0),"",ROUND(N(L73)/I73,0))</f>
        <v>0</v>
      </c>
      <c r="AD73" s="24">
        <f>IF(OR(G73="",G73=0),"",N(J73)/G73)</f>
        <v>0</v>
      </c>
      <c r="AE73" s="24">
        <f>IF(OR(J73="",J73=0),"",N(R73)/J73)</f>
        <v>0</v>
      </c>
      <c r="AF73" s="24">
        <f>IF(OR(R73="",R73=0),"",N(S73)/R73)</f>
        <v>0</v>
      </c>
      <c r="AG73" s="24">
        <f>IF(OR(S73="",S73=0),"",N(T73)/S73)</f>
        <v>0</v>
      </c>
      <c r="AH73" s="25">
        <f>IF(OR(S73="",S73=0,V73=""),"",V73/S73)</f>
        <v>0</v>
      </c>
      <c r="AI73" s="31">
        <f>IF(OR(V73="",V73=0),"",N(U73)/V73)</f>
        <v>0</v>
      </c>
      <c r="AJ73" s="23">
        <f>IF(B73="","",SUMIFS(Analytics!$J$5:$J$154,Analytics!$E$5:$E$154,E73,Analytics!$C$5:$C$154,TEXT(EDATE(B73,-1),"yyyy-mm")))</f>
        <v>0</v>
      </c>
      <c r="AK73" s="24">
        <f>IF(OR(AJ73="",AJ73=0),"",N(J73)/AJ73-1)</f>
        <v>0</v>
      </c>
      <c r="AL73" s="23">
        <f>IF(B73="","",SUMIFS(Analytics!$G$5:$G$154,Analytics!$E$5:$E$154,E73,Analytics!$C$5:$C$154,TEXT(EDATE(B73,-1),"yyyy-mm")))</f>
        <v>0</v>
      </c>
      <c r="AM73" s="29">
        <f>IF(E73="","",IF(COUNTIFS(Analytics!$E$5:$E$154,E73,Analytics!$C$5:$C$154,C73)&gt;1,"Duplicate","OK"))</f>
        <v>0</v>
      </c>
      <c r="AN73" s="29">
        <f>IF(E73="","",IF(AM73="Duplicate","Duplicate - this month is entered twice",IF(AND(J73&lt;&gt;"",AA73&lt;TargetEngagement),"Check - engagement below target",IF(X73&lt;0,"Check - followers went down",IF(AND(I73&lt;&gt;"",Z73&lt;&gt;"",I73&lt;&gt;Z73),"Check - post count does not match the calendar","OK")))))</f>
        <v>0</v>
      </c>
    </row>
    <row r="74" spans="1:40">
      <c r="A74" s="41">
        <f>IF(E74="","","AN-"&amp;TEXT(ROW()-4,"0000"))</f>
        <v>0</v>
      </c>
      <c r="C74" s="17">
        <f>IF(B74="","",TEXT(B74,"yyyy-mm"))</f>
        <v>0</v>
      </c>
      <c r="W74" s="23">
        <f>IF(G74="","",G74-N(F74)+N(H74))</f>
        <v>0</v>
      </c>
      <c r="X74" s="23">
        <f>IF(G74="","",G74-N(F74))</f>
        <v>0</v>
      </c>
      <c r="Y74" s="24">
        <f>IF(OR(F74="",F74=0),"",X74/F74)</f>
        <v>0</v>
      </c>
      <c r="Z74" s="23">
        <f>IF(OR(B74="",D74=""),"",COUNTIFS('Content Calendar'!$G$5:$G$604,D74,'Content Calendar'!$D$5:$D$604,C74,'Content Calendar'!$X$5:$X$604,"Published"))</f>
        <v>0</v>
      </c>
      <c r="AA74" s="24">
        <f>IF(OR(J74="",J74=0),"",N(L74)/J74)</f>
        <v>0</v>
      </c>
      <c r="AB74" s="23">
        <f>IF(OR(I74="",I74=0),"",ROUND(N(J74)/I74,0))</f>
        <v>0</v>
      </c>
      <c r="AC74" s="23">
        <f>IF(OR(I74="",I74=0),"",ROUND(N(L74)/I74,0))</f>
        <v>0</v>
      </c>
      <c r="AD74" s="24">
        <f>IF(OR(G74="",G74=0),"",N(J74)/G74)</f>
        <v>0</v>
      </c>
      <c r="AE74" s="24">
        <f>IF(OR(J74="",J74=0),"",N(R74)/J74)</f>
        <v>0</v>
      </c>
      <c r="AF74" s="24">
        <f>IF(OR(R74="",R74=0),"",N(S74)/R74)</f>
        <v>0</v>
      </c>
      <c r="AG74" s="24">
        <f>IF(OR(S74="",S74=0),"",N(T74)/S74)</f>
        <v>0</v>
      </c>
      <c r="AH74" s="25">
        <f>IF(OR(S74="",S74=0,V74=""),"",V74/S74)</f>
        <v>0</v>
      </c>
      <c r="AI74" s="31">
        <f>IF(OR(V74="",V74=0),"",N(U74)/V74)</f>
        <v>0</v>
      </c>
      <c r="AJ74" s="23">
        <f>IF(B74="","",SUMIFS(Analytics!$J$5:$J$154,Analytics!$E$5:$E$154,E74,Analytics!$C$5:$C$154,TEXT(EDATE(B74,-1),"yyyy-mm")))</f>
        <v>0</v>
      </c>
      <c r="AK74" s="24">
        <f>IF(OR(AJ74="",AJ74=0),"",N(J74)/AJ74-1)</f>
        <v>0</v>
      </c>
      <c r="AL74" s="23">
        <f>IF(B74="","",SUMIFS(Analytics!$G$5:$G$154,Analytics!$E$5:$E$154,E74,Analytics!$C$5:$C$154,TEXT(EDATE(B74,-1),"yyyy-mm")))</f>
        <v>0</v>
      </c>
      <c r="AM74" s="29">
        <f>IF(E74="","",IF(COUNTIFS(Analytics!$E$5:$E$154,E74,Analytics!$C$5:$C$154,C74)&gt;1,"Duplicate","OK"))</f>
        <v>0</v>
      </c>
      <c r="AN74" s="29">
        <f>IF(E74="","",IF(AM74="Duplicate","Duplicate - this month is entered twice",IF(AND(J74&lt;&gt;"",AA74&lt;TargetEngagement),"Check - engagement below target",IF(X74&lt;0,"Check - followers went down",IF(AND(I74&lt;&gt;"",Z74&lt;&gt;"",I74&lt;&gt;Z74),"Check - post count does not match the calendar","OK")))))</f>
        <v>0</v>
      </c>
    </row>
    <row r="75" spans="1:40">
      <c r="A75" s="41">
        <f>IF(E75="","","AN-"&amp;TEXT(ROW()-4,"0000"))</f>
        <v>0</v>
      </c>
      <c r="C75" s="17">
        <f>IF(B75="","",TEXT(B75,"yyyy-mm"))</f>
        <v>0</v>
      </c>
      <c r="W75" s="23">
        <f>IF(G75="","",G75-N(F75)+N(H75))</f>
        <v>0</v>
      </c>
      <c r="X75" s="23">
        <f>IF(G75="","",G75-N(F75))</f>
        <v>0</v>
      </c>
      <c r="Y75" s="24">
        <f>IF(OR(F75="",F75=0),"",X75/F75)</f>
        <v>0</v>
      </c>
      <c r="Z75" s="23">
        <f>IF(OR(B75="",D75=""),"",COUNTIFS('Content Calendar'!$G$5:$G$604,D75,'Content Calendar'!$D$5:$D$604,C75,'Content Calendar'!$X$5:$X$604,"Published"))</f>
        <v>0</v>
      </c>
      <c r="AA75" s="24">
        <f>IF(OR(J75="",J75=0),"",N(L75)/J75)</f>
        <v>0</v>
      </c>
      <c r="AB75" s="23">
        <f>IF(OR(I75="",I75=0),"",ROUND(N(J75)/I75,0))</f>
        <v>0</v>
      </c>
      <c r="AC75" s="23">
        <f>IF(OR(I75="",I75=0),"",ROUND(N(L75)/I75,0))</f>
        <v>0</v>
      </c>
      <c r="AD75" s="24">
        <f>IF(OR(G75="",G75=0),"",N(J75)/G75)</f>
        <v>0</v>
      </c>
      <c r="AE75" s="24">
        <f>IF(OR(J75="",J75=0),"",N(R75)/J75)</f>
        <v>0</v>
      </c>
      <c r="AF75" s="24">
        <f>IF(OR(R75="",R75=0),"",N(S75)/R75)</f>
        <v>0</v>
      </c>
      <c r="AG75" s="24">
        <f>IF(OR(S75="",S75=0),"",N(T75)/S75)</f>
        <v>0</v>
      </c>
      <c r="AH75" s="25">
        <f>IF(OR(S75="",S75=0,V75=""),"",V75/S75)</f>
        <v>0</v>
      </c>
      <c r="AI75" s="31">
        <f>IF(OR(V75="",V75=0),"",N(U75)/V75)</f>
        <v>0</v>
      </c>
      <c r="AJ75" s="23">
        <f>IF(B75="","",SUMIFS(Analytics!$J$5:$J$154,Analytics!$E$5:$E$154,E75,Analytics!$C$5:$C$154,TEXT(EDATE(B75,-1),"yyyy-mm")))</f>
        <v>0</v>
      </c>
      <c r="AK75" s="24">
        <f>IF(OR(AJ75="",AJ75=0),"",N(J75)/AJ75-1)</f>
        <v>0</v>
      </c>
      <c r="AL75" s="23">
        <f>IF(B75="","",SUMIFS(Analytics!$G$5:$G$154,Analytics!$E$5:$E$154,E75,Analytics!$C$5:$C$154,TEXT(EDATE(B75,-1),"yyyy-mm")))</f>
        <v>0</v>
      </c>
      <c r="AM75" s="29">
        <f>IF(E75="","",IF(COUNTIFS(Analytics!$E$5:$E$154,E75,Analytics!$C$5:$C$154,C75)&gt;1,"Duplicate","OK"))</f>
        <v>0</v>
      </c>
      <c r="AN75" s="29">
        <f>IF(E75="","",IF(AM75="Duplicate","Duplicate - this month is entered twice",IF(AND(J75&lt;&gt;"",AA75&lt;TargetEngagement),"Check - engagement below target",IF(X75&lt;0,"Check - followers went down",IF(AND(I75&lt;&gt;"",Z75&lt;&gt;"",I75&lt;&gt;Z75),"Check - post count does not match the calendar","OK")))))</f>
        <v>0</v>
      </c>
    </row>
    <row r="76" spans="1:40">
      <c r="A76" s="41">
        <f>IF(E76="","","AN-"&amp;TEXT(ROW()-4,"0000"))</f>
        <v>0</v>
      </c>
      <c r="C76" s="17">
        <f>IF(B76="","",TEXT(B76,"yyyy-mm"))</f>
        <v>0</v>
      </c>
      <c r="W76" s="23">
        <f>IF(G76="","",G76-N(F76)+N(H76))</f>
        <v>0</v>
      </c>
      <c r="X76" s="23">
        <f>IF(G76="","",G76-N(F76))</f>
        <v>0</v>
      </c>
      <c r="Y76" s="24">
        <f>IF(OR(F76="",F76=0),"",X76/F76)</f>
        <v>0</v>
      </c>
      <c r="Z76" s="23">
        <f>IF(OR(B76="",D76=""),"",COUNTIFS('Content Calendar'!$G$5:$G$604,D76,'Content Calendar'!$D$5:$D$604,C76,'Content Calendar'!$X$5:$X$604,"Published"))</f>
        <v>0</v>
      </c>
      <c r="AA76" s="24">
        <f>IF(OR(J76="",J76=0),"",N(L76)/J76)</f>
        <v>0</v>
      </c>
      <c r="AB76" s="23">
        <f>IF(OR(I76="",I76=0),"",ROUND(N(J76)/I76,0))</f>
        <v>0</v>
      </c>
      <c r="AC76" s="23">
        <f>IF(OR(I76="",I76=0),"",ROUND(N(L76)/I76,0))</f>
        <v>0</v>
      </c>
      <c r="AD76" s="24">
        <f>IF(OR(G76="",G76=0),"",N(J76)/G76)</f>
        <v>0</v>
      </c>
      <c r="AE76" s="24">
        <f>IF(OR(J76="",J76=0),"",N(R76)/J76)</f>
        <v>0</v>
      </c>
      <c r="AF76" s="24">
        <f>IF(OR(R76="",R76=0),"",N(S76)/R76)</f>
        <v>0</v>
      </c>
      <c r="AG76" s="24">
        <f>IF(OR(S76="",S76=0),"",N(T76)/S76)</f>
        <v>0</v>
      </c>
      <c r="AH76" s="25">
        <f>IF(OR(S76="",S76=0,V76=""),"",V76/S76)</f>
        <v>0</v>
      </c>
      <c r="AI76" s="31">
        <f>IF(OR(V76="",V76=0),"",N(U76)/V76)</f>
        <v>0</v>
      </c>
      <c r="AJ76" s="23">
        <f>IF(B76="","",SUMIFS(Analytics!$J$5:$J$154,Analytics!$E$5:$E$154,E76,Analytics!$C$5:$C$154,TEXT(EDATE(B76,-1),"yyyy-mm")))</f>
        <v>0</v>
      </c>
      <c r="AK76" s="24">
        <f>IF(OR(AJ76="",AJ76=0),"",N(J76)/AJ76-1)</f>
        <v>0</v>
      </c>
      <c r="AL76" s="23">
        <f>IF(B76="","",SUMIFS(Analytics!$G$5:$G$154,Analytics!$E$5:$E$154,E76,Analytics!$C$5:$C$154,TEXT(EDATE(B76,-1),"yyyy-mm")))</f>
        <v>0</v>
      </c>
      <c r="AM76" s="29">
        <f>IF(E76="","",IF(COUNTIFS(Analytics!$E$5:$E$154,E76,Analytics!$C$5:$C$154,C76)&gt;1,"Duplicate","OK"))</f>
        <v>0</v>
      </c>
      <c r="AN76" s="29">
        <f>IF(E76="","",IF(AM76="Duplicate","Duplicate - this month is entered twice",IF(AND(J76&lt;&gt;"",AA76&lt;TargetEngagement),"Check - engagement below target",IF(X76&lt;0,"Check - followers went down",IF(AND(I76&lt;&gt;"",Z76&lt;&gt;"",I76&lt;&gt;Z76),"Check - post count does not match the calendar","OK")))))</f>
        <v>0</v>
      </c>
    </row>
    <row r="77" spans="1:40">
      <c r="A77" s="41">
        <f>IF(E77="","","AN-"&amp;TEXT(ROW()-4,"0000"))</f>
        <v>0</v>
      </c>
      <c r="C77" s="17">
        <f>IF(B77="","",TEXT(B77,"yyyy-mm"))</f>
        <v>0</v>
      </c>
      <c r="W77" s="23">
        <f>IF(G77="","",G77-N(F77)+N(H77))</f>
        <v>0</v>
      </c>
      <c r="X77" s="23">
        <f>IF(G77="","",G77-N(F77))</f>
        <v>0</v>
      </c>
      <c r="Y77" s="24">
        <f>IF(OR(F77="",F77=0),"",X77/F77)</f>
        <v>0</v>
      </c>
      <c r="Z77" s="23">
        <f>IF(OR(B77="",D77=""),"",COUNTIFS('Content Calendar'!$G$5:$G$604,D77,'Content Calendar'!$D$5:$D$604,C77,'Content Calendar'!$X$5:$X$604,"Published"))</f>
        <v>0</v>
      </c>
      <c r="AA77" s="24">
        <f>IF(OR(J77="",J77=0),"",N(L77)/J77)</f>
        <v>0</v>
      </c>
      <c r="AB77" s="23">
        <f>IF(OR(I77="",I77=0),"",ROUND(N(J77)/I77,0))</f>
        <v>0</v>
      </c>
      <c r="AC77" s="23">
        <f>IF(OR(I77="",I77=0),"",ROUND(N(L77)/I77,0))</f>
        <v>0</v>
      </c>
      <c r="AD77" s="24">
        <f>IF(OR(G77="",G77=0),"",N(J77)/G77)</f>
        <v>0</v>
      </c>
      <c r="AE77" s="24">
        <f>IF(OR(J77="",J77=0),"",N(R77)/J77)</f>
        <v>0</v>
      </c>
      <c r="AF77" s="24">
        <f>IF(OR(R77="",R77=0),"",N(S77)/R77)</f>
        <v>0</v>
      </c>
      <c r="AG77" s="24">
        <f>IF(OR(S77="",S77=0),"",N(T77)/S77)</f>
        <v>0</v>
      </c>
      <c r="AH77" s="25">
        <f>IF(OR(S77="",S77=0,V77=""),"",V77/S77)</f>
        <v>0</v>
      </c>
      <c r="AI77" s="31">
        <f>IF(OR(V77="",V77=0),"",N(U77)/V77)</f>
        <v>0</v>
      </c>
      <c r="AJ77" s="23">
        <f>IF(B77="","",SUMIFS(Analytics!$J$5:$J$154,Analytics!$E$5:$E$154,E77,Analytics!$C$5:$C$154,TEXT(EDATE(B77,-1),"yyyy-mm")))</f>
        <v>0</v>
      </c>
      <c r="AK77" s="24">
        <f>IF(OR(AJ77="",AJ77=0),"",N(J77)/AJ77-1)</f>
        <v>0</v>
      </c>
      <c r="AL77" s="23">
        <f>IF(B77="","",SUMIFS(Analytics!$G$5:$G$154,Analytics!$E$5:$E$154,E77,Analytics!$C$5:$C$154,TEXT(EDATE(B77,-1),"yyyy-mm")))</f>
        <v>0</v>
      </c>
      <c r="AM77" s="29">
        <f>IF(E77="","",IF(COUNTIFS(Analytics!$E$5:$E$154,E77,Analytics!$C$5:$C$154,C77)&gt;1,"Duplicate","OK"))</f>
        <v>0</v>
      </c>
      <c r="AN77" s="29">
        <f>IF(E77="","",IF(AM77="Duplicate","Duplicate - this month is entered twice",IF(AND(J77&lt;&gt;"",AA77&lt;TargetEngagement),"Check - engagement below target",IF(X77&lt;0,"Check - followers went down",IF(AND(I77&lt;&gt;"",Z77&lt;&gt;"",I77&lt;&gt;Z77),"Check - post count does not match the calendar","OK")))))</f>
        <v>0</v>
      </c>
    </row>
    <row r="78" spans="1:40">
      <c r="A78" s="41">
        <f>IF(E78="","","AN-"&amp;TEXT(ROW()-4,"0000"))</f>
        <v>0</v>
      </c>
      <c r="C78" s="17">
        <f>IF(B78="","",TEXT(B78,"yyyy-mm"))</f>
        <v>0</v>
      </c>
      <c r="W78" s="23">
        <f>IF(G78="","",G78-N(F78)+N(H78))</f>
        <v>0</v>
      </c>
      <c r="X78" s="23">
        <f>IF(G78="","",G78-N(F78))</f>
        <v>0</v>
      </c>
      <c r="Y78" s="24">
        <f>IF(OR(F78="",F78=0),"",X78/F78)</f>
        <v>0</v>
      </c>
      <c r="Z78" s="23">
        <f>IF(OR(B78="",D78=""),"",COUNTIFS('Content Calendar'!$G$5:$G$604,D78,'Content Calendar'!$D$5:$D$604,C78,'Content Calendar'!$X$5:$X$604,"Published"))</f>
        <v>0</v>
      </c>
      <c r="AA78" s="24">
        <f>IF(OR(J78="",J78=0),"",N(L78)/J78)</f>
        <v>0</v>
      </c>
      <c r="AB78" s="23">
        <f>IF(OR(I78="",I78=0),"",ROUND(N(J78)/I78,0))</f>
        <v>0</v>
      </c>
      <c r="AC78" s="23">
        <f>IF(OR(I78="",I78=0),"",ROUND(N(L78)/I78,0))</f>
        <v>0</v>
      </c>
      <c r="AD78" s="24">
        <f>IF(OR(G78="",G78=0),"",N(J78)/G78)</f>
        <v>0</v>
      </c>
      <c r="AE78" s="24">
        <f>IF(OR(J78="",J78=0),"",N(R78)/J78)</f>
        <v>0</v>
      </c>
      <c r="AF78" s="24">
        <f>IF(OR(R78="",R78=0),"",N(S78)/R78)</f>
        <v>0</v>
      </c>
      <c r="AG78" s="24">
        <f>IF(OR(S78="",S78=0),"",N(T78)/S78)</f>
        <v>0</v>
      </c>
      <c r="AH78" s="25">
        <f>IF(OR(S78="",S78=0,V78=""),"",V78/S78)</f>
        <v>0</v>
      </c>
      <c r="AI78" s="31">
        <f>IF(OR(V78="",V78=0),"",N(U78)/V78)</f>
        <v>0</v>
      </c>
      <c r="AJ78" s="23">
        <f>IF(B78="","",SUMIFS(Analytics!$J$5:$J$154,Analytics!$E$5:$E$154,E78,Analytics!$C$5:$C$154,TEXT(EDATE(B78,-1),"yyyy-mm")))</f>
        <v>0</v>
      </c>
      <c r="AK78" s="24">
        <f>IF(OR(AJ78="",AJ78=0),"",N(J78)/AJ78-1)</f>
        <v>0</v>
      </c>
      <c r="AL78" s="23">
        <f>IF(B78="","",SUMIFS(Analytics!$G$5:$G$154,Analytics!$E$5:$E$154,E78,Analytics!$C$5:$C$154,TEXT(EDATE(B78,-1),"yyyy-mm")))</f>
        <v>0</v>
      </c>
      <c r="AM78" s="29">
        <f>IF(E78="","",IF(COUNTIFS(Analytics!$E$5:$E$154,E78,Analytics!$C$5:$C$154,C78)&gt;1,"Duplicate","OK"))</f>
        <v>0</v>
      </c>
      <c r="AN78" s="29">
        <f>IF(E78="","",IF(AM78="Duplicate","Duplicate - this month is entered twice",IF(AND(J78&lt;&gt;"",AA78&lt;TargetEngagement),"Check - engagement below target",IF(X78&lt;0,"Check - followers went down",IF(AND(I78&lt;&gt;"",Z78&lt;&gt;"",I78&lt;&gt;Z78),"Check - post count does not match the calendar","OK")))))</f>
        <v>0</v>
      </c>
    </row>
    <row r="79" spans="1:40">
      <c r="A79" s="41">
        <f>IF(E79="","","AN-"&amp;TEXT(ROW()-4,"0000"))</f>
        <v>0</v>
      </c>
      <c r="C79" s="17">
        <f>IF(B79="","",TEXT(B79,"yyyy-mm"))</f>
        <v>0</v>
      </c>
      <c r="W79" s="23">
        <f>IF(G79="","",G79-N(F79)+N(H79))</f>
        <v>0</v>
      </c>
      <c r="X79" s="23">
        <f>IF(G79="","",G79-N(F79))</f>
        <v>0</v>
      </c>
      <c r="Y79" s="24">
        <f>IF(OR(F79="",F79=0),"",X79/F79)</f>
        <v>0</v>
      </c>
      <c r="Z79" s="23">
        <f>IF(OR(B79="",D79=""),"",COUNTIFS('Content Calendar'!$G$5:$G$604,D79,'Content Calendar'!$D$5:$D$604,C79,'Content Calendar'!$X$5:$X$604,"Published"))</f>
        <v>0</v>
      </c>
      <c r="AA79" s="24">
        <f>IF(OR(J79="",J79=0),"",N(L79)/J79)</f>
        <v>0</v>
      </c>
      <c r="AB79" s="23">
        <f>IF(OR(I79="",I79=0),"",ROUND(N(J79)/I79,0))</f>
        <v>0</v>
      </c>
      <c r="AC79" s="23">
        <f>IF(OR(I79="",I79=0),"",ROUND(N(L79)/I79,0))</f>
        <v>0</v>
      </c>
      <c r="AD79" s="24">
        <f>IF(OR(G79="",G79=0),"",N(J79)/G79)</f>
        <v>0</v>
      </c>
      <c r="AE79" s="24">
        <f>IF(OR(J79="",J79=0),"",N(R79)/J79)</f>
        <v>0</v>
      </c>
      <c r="AF79" s="24">
        <f>IF(OR(R79="",R79=0),"",N(S79)/R79)</f>
        <v>0</v>
      </c>
      <c r="AG79" s="24">
        <f>IF(OR(S79="",S79=0),"",N(T79)/S79)</f>
        <v>0</v>
      </c>
      <c r="AH79" s="25">
        <f>IF(OR(S79="",S79=0,V79=""),"",V79/S79)</f>
        <v>0</v>
      </c>
      <c r="AI79" s="31">
        <f>IF(OR(V79="",V79=0),"",N(U79)/V79)</f>
        <v>0</v>
      </c>
      <c r="AJ79" s="23">
        <f>IF(B79="","",SUMIFS(Analytics!$J$5:$J$154,Analytics!$E$5:$E$154,E79,Analytics!$C$5:$C$154,TEXT(EDATE(B79,-1),"yyyy-mm")))</f>
        <v>0</v>
      </c>
      <c r="AK79" s="24">
        <f>IF(OR(AJ79="",AJ79=0),"",N(J79)/AJ79-1)</f>
        <v>0</v>
      </c>
      <c r="AL79" s="23">
        <f>IF(B79="","",SUMIFS(Analytics!$G$5:$G$154,Analytics!$E$5:$E$154,E79,Analytics!$C$5:$C$154,TEXT(EDATE(B79,-1),"yyyy-mm")))</f>
        <v>0</v>
      </c>
      <c r="AM79" s="29">
        <f>IF(E79="","",IF(COUNTIFS(Analytics!$E$5:$E$154,E79,Analytics!$C$5:$C$154,C79)&gt;1,"Duplicate","OK"))</f>
        <v>0</v>
      </c>
      <c r="AN79" s="29">
        <f>IF(E79="","",IF(AM79="Duplicate","Duplicate - this month is entered twice",IF(AND(J79&lt;&gt;"",AA79&lt;TargetEngagement),"Check - engagement below target",IF(X79&lt;0,"Check - followers went down",IF(AND(I79&lt;&gt;"",Z79&lt;&gt;"",I79&lt;&gt;Z79),"Check - post count does not match the calendar","OK")))))</f>
        <v>0</v>
      </c>
    </row>
    <row r="80" spans="1:40">
      <c r="A80" s="41">
        <f>IF(E80="","","AN-"&amp;TEXT(ROW()-4,"0000"))</f>
        <v>0</v>
      </c>
      <c r="C80" s="17">
        <f>IF(B80="","",TEXT(B80,"yyyy-mm"))</f>
        <v>0</v>
      </c>
      <c r="W80" s="23">
        <f>IF(G80="","",G80-N(F80)+N(H80))</f>
        <v>0</v>
      </c>
      <c r="X80" s="23">
        <f>IF(G80="","",G80-N(F80))</f>
        <v>0</v>
      </c>
      <c r="Y80" s="24">
        <f>IF(OR(F80="",F80=0),"",X80/F80)</f>
        <v>0</v>
      </c>
      <c r="Z80" s="23">
        <f>IF(OR(B80="",D80=""),"",COUNTIFS('Content Calendar'!$G$5:$G$604,D80,'Content Calendar'!$D$5:$D$604,C80,'Content Calendar'!$X$5:$X$604,"Published"))</f>
        <v>0</v>
      </c>
      <c r="AA80" s="24">
        <f>IF(OR(J80="",J80=0),"",N(L80)/J80)</f>
        <v>0</v>
      </c>
      <c r="AB80" s="23">
        <f>IF(OR(I80="",I80=0),"",ROUND(N(J80)/I80,0))</f>
        <v>0</v>
      </c>
      <c r="AC80" s="23">
        <f>IF(OR(I80="",I80=0),"",ROUND(N(L80)/I80,0))</f>
        <v>0</v>
      </c>
      <c r="AD80" s="24">
        <f>IF(OR(G80="",G80=0),"",N(J80)/G80)</f>
        <v>0</v>
      </c>
      <c r="AE80" s="24">
        <f>IF(OR(J80="",J80=0),"",N(R80)/J80)</f>
        <v>0</v>
      </c>
      <c r="AF80" s="24">
        <f>IF(OR(R80="",R80=0),"",N(S80)/R80)</f>
        <v>0</v>
      </c>
      <c r="AG80" s="24">
        <f>IF(OR(S80="",S80=0),"",N(T80)/S80)</f>
        <v>0</v>
      </c>
      <c r="AH80" s="25">
        <f>IF(OR(S80="",S80=0,V80=""),"",V80/S80)</f>
        <v>0</v>
      </c>
      <c r="AI80" s="31">
        <f>IF(OR(V80="",V80=0),"",N(U80)/V80)</f>
        <v>0</v>
      </c>
      <c r="AJ80" s="23">
        <f>IF(B80="","",SUMIFS(Analytics!$J$5:$J$154,Analytics!$E$5:$E$154,E80,Analytics!$C$5:$C$154,TEXT(EDATE(B80,-1),"yyyy-mm")))</f>
        <v>0</v>
      </c>
      <c r="AK80" s="24">
        <f>IF(OR(AJ80="",AJ80=0),"",N(J80)/AJ80-1)</f>
        <v>0</v>
      </c>
      <c r="AL80" s="23">
        <f>IF(B80="","",SUMIFS(Analytics!$G$5:$G$154,Analytics!$E$5:$E$154,E80,Analytics!$C$5:$C$154,TEXT(EDATE(B80,-1),"yyyy-mm")))</f>
        <v>0</v>
      </c>
      <c r="AM80" s="29">
        <f>IF(E80="","",IF(COUNTIFS(Analytics!$E$5:$E$154,E80,Analytics!$C$5:$C$154,C80)&gt;1,"Duplicate","OK"))</f>
        <v>0</v>
      </c>
      <c r="AN80" s="29">
        <f>IF(E80="","",IF(AM80="Duplicate","Duplicate - this month is entered twice",IF(AND(J80&lt;&gt;"",AA80&lt;TargetEngagement),"Check - engagement below target",IF(X80&lt;0,"Check - followers went down",IF(AND(I80&lt;&gt;"",Z80&lt;&gt;"",I80&lt;&gt;Z80),"Check - post count does not match the calendar","OK")))))</f>
        <v>0</v>
      </c>
    </row>
    <row r="81" spans="1:40">
      <c r="A81" s="41">
        <f>IF(E81="","","AN-"&amp;TEXT(ROW()-4,"0000"))</f>
        <v>0</v>
      </c>
      <c r="C81" s="17">
        <f>IF(B81="","",TEXT(B81,"yyyy-mm"))</f>
        <v>0</v>
      </c>
      <c r="W81" s="23">
        <f>IF(G81="","",G81-N(F81)+N(H81))</f>
        <v>0</v>
      </c>
      <c r="X81" s="23">
        <f>IF(G81="","",G81-N(F81))</f>
        <v>0</v>
      </c>
      <c r="Y81" s="24">
        <f>IF(OR(F81="",F81=0),"",X81/F81)</f>
        <v>0</v>
      </c>
      <c r="Z81" s="23">
        <f>IF(OR(B81="",D81=""),"",COUNTIFS('Content Calendar'!$G$5:$G$604,D81,'Content Calendar'!$D$5:$D$604,C81,'Content Calendar'!$X$5:$X$604,"Published"))</f>
        <v>0</v>
      </c>
      <c r="AA81" s="24">
        <f>IF(OR(J81="",J81=0),"",N(L81)/J81)</f>
        <v>0</v>
      </c>
      <c r="AB81" s="23">
        <f>IF(OR(I81="",I81=0),"",ROUND(N(J81)/I81,0))</f>
        <v>0</v>
      </c>
      <c r="AC81" s="23">
        <f>IF(OR(I81="",I81=0),"",ROUND(N(L81)/I81,0))</f>
        <v>0</v>
      </c>
      <c r="AD81" s="24">
        <f>IF(OR(G81="",G81=0),"",N(J81)/G81)</f>
        <v>0</v>
      </c>
      <c r="AE81" s="24">
        <f>IF(OR(J81="",J81=0),"",N(R81)/J81)</f>
        <v>0</v>
      </c>
      <c r="AF81" s="24">
        <f>IF(OR(R81="",R81=0),"",N(S81)/R81)</f>
        <v>0</v>
      </c>
      <c r="AG81" s="24">
        <f>IF(OR(S81="",S81=0),"",N(T81)/S81)</f>
        <v>0</v>
      </c>
      <c r="AH81" s="25">
        <f>IF(OR(S81="",S81=0,V81=""),"",V81/S81)</f>
        <v>0</v>
      </c>
      <c r="AI81" s="31">
        <f>IF(OR(V81="",V81=0),"",N(U81)/V81)</f>
        <v>0</v>
      </c>
      <c r="AJ81" s="23">
        <f>IF(B81="","",SUMIFS(Analytics!$J$5:$J$154,Analytics!$E$5:$E$154,E81,Analytics!$C$5:$C$154,TEXT(EDATE(B81,-1),"yyyy-mm")))</f>
        <v>0</v>
      </c>
      <c r="AK81" s="24">
        <f>IF(OR(AJ81="",AJ81=0),"",N(J81)/AJ81-1)</f>
        <v>0</v>
      </c>
      <c r="AL81" s="23">
        <f>IF(B81="","",SUMIFS(Analytics!$G$5:$G$154,Analytics!$E$5:$E$154,E81,Analytics!$C$5:$C$154,TEXT(EDATE(B81,-1),"yyyy-mm")))</f>
        <v>0</v>
      </c>
      <c r="AM81" s="29">
        <f>IF(E81="","",IF(COUNTIFS(Analytics!$E$5:$E$154,E81,Analytics!$C$5:$C$154,C81)&gt;1,"Duplicate","OK"))</f>
        <v>0</v>
      </c>
      <c r="AN81" s="29">
        <f>IF(E81="","",IF(AM81="Duplicate","Duplicate - this month is entered twice",IF(AND(J81&lt;&gt;"",AA81&lt;TargetEngagement),"Check - engagement below target",IF(X81&lt;0,"Check - followers went down",IF(AND(I81&lt;&gt;"",Z81&lt;&gt;"",I81&lt;&gt;Z81),"Check - post count does not match the calendar","OK")))))</f>
        <v>0</v>
      </c>
    </row>
    <row r="82" spans="1:40">
      <c r="A82" s="41">
        <f>IF(E82="","","AN-"&amp;TEXT(ROW()-4,"0000"))</f>
        <v>0</v>
      </c>
      <c r="C82" s="17">
        <f>IF(B82="","",TEXT(B82,"yyyy-mm"))</f>
        <v>0</v>
      </c>
      <c r="W82" s="23">
        <f>IF(G82="","",G82-N(F82)+N(H82))</f>
        <v>0</v>
      </c>
      <c r="X82" s="23">
        <f>IF(G82="","",G82-N(F82))</f>
        <v>0</v>
      </c>
      <c r="Y82" s="24">
        <f>IF(OR(F82="",F82=0),"",X82/F82)</f>
        <v>0</v>
      </c>
      <c r="Z82" s="23">
        <f>IF(OR(B82="",D82=""),"",COUNTIFS('Content Calendar'!$G$5:$G$604,D82,'Content Calendar'!$D$5:$D$604,C82,'Content Calendar'!$X$5:$X$604,"Published"))</f>
        <v>0</v>
      </c>
      <c r="AA82" s="24">
        <f>IF(OR(J82="",J82=0),"",N(L82)/J82)</f>
        <v>0</v>
      </c>
      <c r="AB82" s="23">
        <f>IF(OR(I82="",I82=0),"",ROUND(N(J82)/I82,0))</f>
        <v>0</v>
      </c>
      <c r="AC82" s="23">
        <f>IF(OR(I82="",I82=0),"",ROUND(N(L82)/I82,0))</f>
        <v>0</v>
      </c>
      <c r="AD82" s="24">
        <f>IF(OR(G82="",G82=0),"",N(J82)/G82)</f>
        <v>0</v>
      </c>
      <c r="AE82" s="24">
        <f>IF(OR(J82="",J82=0),"",N(R82)/J82)</f>
        <v>0</v>
      </c>
      <c r="AF82" s="24">
        <f>IF(OR(R82="",R82=0),"",N(S82)/R82)</f>
        <v>0</v>
      </c>
      <c r="AG82" s="24">
        <f>IF(OR(S82="",S82=0),"",N(T82)/S82)</f>
        <v>0</v>
      </c>
      <c r="AH82" s="25">
        <f>IF(OR(S82="",S82=0,V82=""),"",V82/S82)</f>
        <v>0</v>
      </c>
      <c r="AI82" s="31">
        <f>IF(OR(V82="",V82=0),"",N(U82)/V82)</f>
        <v>0</v>
      </c>
      <c r="AJ82" s="23">
        <f>IF(B82="","",SUMIFS(Analytics!$J$5:$J$154,Analytics!$E$5:$E$154,E82,Analytics!$C$5:$C$154,TEXT(EDATE(B82,-1),"yyyy-mm")))</f>
        <v>0</v>
      </c>
      <c r="AK82" s="24">
        <f>IF(OR(AJ82="",AJ82=0),"",N(J82)/AJ82-1)</f>
        <v>0</v>
      </c>
      <c r="AL82" s="23">
        <f>IF(B82="","",SUMIFS(Analytics!$G$5:$G$154,Analytics!$E$5:$E$154,E82,Analytics!$C$5:$C$154,TEXT(EDATE(B82,-1),"yyyy-mm")))</f>
        <v>0</v>
      </c>
      <c r="AM82" s="29">
        <f>IF(E82="","",IF(COUNTIFS(Analytics!$E$5:$E$154,E82,Analytics!$C$5:$C$154,C82)&gt;1,"Duplicate","OK"))</f>
        <v>0</v>
      </c>
      <c r="AN82" s="29">
        <f>IF(E82="","",IF(AM82="Duplicate","Duplicate - this month is entered twice",IF(AND(J82&lt;&gt;"",AA82&lt;TargetEngagement),"Check - engagement below target",IF(X82&lt;0,"Check - followers went down",IF(AND(I82&lt;&gt;"",Z82&lt;&gt;"",I82&lt;&gt;Z82),"Check - post count does not match the calendar","OK")))))</f>
        <v>0</v>
      </c>
    </row>
    <row r="83" spans="1:40">
      <c r="A83" s="41">
        <f>IF(E83="","","AN-"&amp;TEXT(ROW()-4,"0000"))</f>
        <v>0</v>
      </c>
      <c r="C83" s="17">
        <f>IF(B83="","",TEXT(B83,"yyyy-mm"))</f>
        <v>0</v>
      </c>
      <c r="W83" s="23">
        <f>IF(G83="","",G83-N(F83)+N(H83))</f>
        <v>0</v>
      </c>
      <c r="X83" s="23">
        <f>IF(G83="","",G83-N(F83))</f>
        <v>0</v>
      </c>
      <c r="Y83" s="24">
        <f>IF(OR(F83="",F83=0),"",X83/F83)</f>
        <v>0</v>
      </c>
      <c r="Z83" s="23">
        <f>IF(OR(B83="",D83=""),"",COUNTIFS('Content Calendar'!$G$5:$G$604,D83,'Content Calendar'!$D$5:$D$604,C83,'Content Calendar'!$X$5:$X$604,"Published"))</f>
        <v>0</v>
      </c>
      <c r="AA83" s="24">
        <f>IF(OR(J83="",J83=0),"",N(L83)/J83)</f>
        <v>0</v>
      </c>
      <c r="AB83" s="23">
        <f>IF(OR(I83="",I83=0),"",ROUND(N(J83)/I83,0))</f>
        <v>0</v>
      </c>
      <c r="AC83" s="23">
        <f>IF(OR(I83="",I83=0),"",ROUND(N(L83)/I83,0))</f>
        <v>0</v>
      </c>
      <c r="AD83" s="24">
        <f>IF(OR(G83="",G83=0),"",N(J83)/G83)</f>
        <v>0</v>
      </c>
      <c r="AE83" s="24">
        <f>IF(OR(J83="",J83=0),"",N(R83)/J83)</f>
        <v>0</v>
      </c>
      <c r="AF83" s="24">
        <f>IF(OR(R83="",R83=0),"",N(S83)/R83)</f>
        <v>0</v>
      </c>
      <c r="AG83" s="24">
        <f>IF(OR(S83="",S83=0),"",N(T83)/S83)</f>
        <v>0</v>
      </c>
      <c r="AH83" s="25">
        <f>IF(OR(S83="",S83=0,V83=""),"",V83/S83)</f>
        <v>0</v>
      </c>
      <c r="AI83" s="31">
        <f>IF(OR(V83="",V83=0),"",N(U83)/V83)</f>
        <v>0</v>
      </c>
      <c r="AJ83" s="23">
        <f>IF(B83="","",SUMIFS(Analytics!$J$5:$J$154,Analytics!$E$5:$E$154,E83,Analytics!$C$5:$C$154,TEXT(EDATE(B83,-1),"yyyy-mm")))</f>
        <v>0</v>
      </c>
      <c r="AK83" s="24">
        <f>IF(OR(AJ83="",AJ83=0),"",N(J83)/AJ83-1)</f>
        <v>0</v>
      </c>
      <c r="AL83" s="23">
        <f>IF(B83="","",SUMIFS(Analytics!$G$5:$G$154,Analytics!$E$5:$E$154,E83,Analytics!$C$5:$C$154,TEXT(EDATE(B83,-1),"yyyy-mm")))</f>
        <v>0</v>
      </c>
      <c r="AM83" s="29">
        <f>IF(E83="","",IF(COUNTIFS(Analytics!$E$5:$E$154,E83,Analytics!$C$5:$C$154,C83)&gt;1,"Duplicate","OK"))</f>
        <v>0</v>
      </c>
      <c r="AN83" s="29">
        <f>IF(E83="","",IF(AM83="Duplicate","Duplicate - this month is entered twice",IF(AND(J83&lt;&gt;"",AA83&lt;TargetEngagement),"Check - engagement below target",IF(X83&lt;0,"Check - followers went down",IF(AND(I83&lt;&gt;"",Z83&lt;&gt;"",I83&lt;&gt;Z83),"Check - post count does not match the calendar","OK")))))</f>
        <v>0</v>
      </c>
    </row>
    <row r="84" spans="1:40">
      <c r="A84" s="41">
        <f>IF(E84="","","AN-"&amp;TEXT(ROW()-4,"0000"))</f>
        <v>0</v>
      </c>
      <c r="C84" s="17">
        <f>IF(B84="","",TEXT(B84,"yyyy-mm"))</f>
        <v>0</v>
      </c>
      <c r="W84" s="23">
        <f>IF(G84="","",G84-N(F84)+N(H84))</f>
        <v>0</v>
      </c>
      <c r="X84" s="23">
        <f>IF(G84="","",G84-N(F84))</f>
        <v>0</v>
      </c>
      <c r="Y84" s="24">
        <f>IF(OR(F84="",F84=0),"",X84/F84)</f>
        <v>0</v>
      </c>
      <c r="Z84" s="23">
        <f>IF(OR(B84="",D84=""),"",COUNTIFS('Content Calendar'!$G$5:$G$604,D84,'Content Calendar'!$D$5:$D$604,C84,'Content Calendar'!$X$5:$X$604,"Published"))</f>
        <v>0</v>
      </c>
      <c r="AA84" s="24">
        <f>IF(OR(J84="",J84=0),"",N(L84)/J84)</f>
        <v>0</v>
      </c>
      <c r="AB84" s="23">
        <f>IF(OR(I84="",I84=0),"",ROUND(N(J84)/I84,0))</f>
        <v>0</v>
      </c>
      <c r="AC84" s="23">
        <f>IF(OR(I84="",I84=0),"",ROUND(N(L84)/I84,0))</f>
        <v>0</v>
      </c>
      <c r="AD84" s="24">
        <f>IF(OR(G84="",G84=0),"",N(J84)/G84)</f>
        <v>0</v>
      </c>
      <c r="AE84" s="24">
        <f>IF(OR(J84="",J84=0),"",N(R84)/J84)</f>
        <v>0</v>
      </c>
      <c r="AF84" s="24">
        <f>IF(OR(R84="",R84=0),"",N(S84)/R84)</f>
        <v>0</v>
      </c>
      <c r="AG84" s="24">
        <f>IF(OR(S84="",S84=0),"",N(T84)/S84)</f>
        <v>0</v>
      </c>
      <c r="AH84" s="25">
        <f>IF(OR(S84="",S84=0,V84=""),"",V84/S84)</f>
        <v>0</v>
      </c>
      <c r="AI84" s="31">
        <f>IF(OR(V84="",V84=0),"",N(U84)/V84)</f>
        <v>0</v>
      </c>
      <c r="AJ84" s="23">
        <f>IF(B84="","",SUMIFS(Analytics!$J$5:$J$154,Analytics!$E$5:$E$154,E84,Analytics!$C$5:$C$154,TEXT(EDATE(B84,-1),"yyyy-mm")))</f>
        <v>0</v>
      </c>
      <c r="AK84" s="24">
        <f>IF(OR(AJ84="",AJ84=0),"",N(J84)/AJ84-1)</f>
        <v>0</v>
      </c>
      <c r="AL84" s="23">
        <f>IF(B84="","",SUMIFS(Analytics!$G$5:$G$154,Analytics!$E$5:$E$154,E84,Analytics!$C$5:$C$154,TEXT(EDATE(B84,-1),"yyyy-mm")))</f>
        <v>0</v>
      </c>
      <c r="AM84" s="29">
        <f>IF(E84="","",IF(COUNTIFS(Analytics!$E$5:$E$154,E84,Analytics!$C$5:$C$154,C84)&gt;1,"Duplicate","OK"))</f>
        <v>0</v>
      </c>
      <c r="AN84" s="29">
        <f>IF(E84="","",IF(AM84="Duplicate","Duplicate - this month is entered twice",IF(AND(J84&lt;&gt;"",AA84&lt;TargetEngagement),"Check - engagement below target",IF(X84&lt;0,"Check - followers went down",IF(AND(I84&lt;&gt;"",Z84&lt;&gt;"",I84&lt;&gt;Z84),"Check - post count does not match the calendar","OK")))))</f>
        <v>0</v>
      </c>
    </row>
    <row r="85" spans="1:40">
      <c r="A85" s="41">
        <f>IF(E85="","","AN-"&amp;TEXT(ROW()-4,"0000"))</f>
        <v>0</v>
      </c>
      <c r="C85" s="17">
        <f>IF(B85="","",TEXT(B85,"yyyy-mm"))</f>
        <v>0</v>
      </c>
      <c r="W85" s="23">
        <f>IF(G85="","",G85-N(F85)+N(H85))</f>
        <v>0</v>
      </c>
      <c r="X85" s="23">
        <f>IF(G85="","",G85-N(F85))</f>
        <v>0</v>
      </c>
      <c r="Y85" s="24">
        <f>IF(OR(F85="",F85=0),"",X85/F85)</f>
        <v>0</v>
      </c>
      <c r="Z85" s="23">
        <f>IF(OR(B85="",D85=""),"",COUNTIFS('Content Calendar'!$G$5:$G$604,D85,'Content Calendar'!$D$5:$D$604,C85,'Content Calendar'!$X$5:$X$604,"Published"))</f>
        <v>0</v>
      </c>
      <c r="AA85" s="24">
        <f>IF(OR(J85="",J85=0),"",N(L85)/J85)</f>
        <v>0</v>
      </c>
      <c r="AB85" s="23">
        <f>IF(OR(I85="",I85=0),"",ROUND(N(J85)/I85,0))</f>
        <v>0</v>
      </c>
      <c r="AC85" s="23">
        <f>IF(OR(I85="",I85=0),"",ROUND(N(L85)/I85,0))</f>
        <v>0</v>
      </c>
      <c r="AD85" s="24">
        <f>IF(OR(G85="",G85=0),"",N(J85)/G85)</f>
        <v>0</v>
      </c>
      <c r="AE85" s="24">
        <f>IF(OR(J85="",J85=0),"",N(R85)/J85)</f>
        <v>0</v>
      </c>
      <c r="AF85" s="24">
        <f>IF(OR(R85="",R85=0),"",N(S85)/R85)</f>
        <v>0</v>
      </c>
      <c r="AG85" s="24">
        <f>IF(OR(S85="",S85=0),"",N(T85)/S85)</f>
        <v>0</v>
      </c>
      <c r="AH85" s="25">
        <f>IF(OR(S85="",S85=0,V85=""),"",V85/S85)</f>
        <v>0</v>
      </c>
      <c r="AI85" s="31">
        <f>IF(OR(V85="",V85=0),"",N(U85)/V85)</f>
        <v>0</v>
      </c>
      <c r="AJ85" s="23">
        <f>IF(B85="","",SUMIFS(Analytics!$J$5:$J$154,Analytics!$E$5:$E$154,E85,Analytics!$C$5:$C$154,TEXT(EDATE(B85,-1),"yyyy-mm")))</f>
        <v>0</v>
      </c>
      <c r="AK85" s="24">
        <f>IF(OR(AJ85="",AJ85=0),"",N(J85)/AJ85-1)</f>
        <v>0</v>
      </c>
      <c r="AL85" s="23">
        <f>IF(B85="","",SUMIFS(Analytics!$G$5:$G$154,Analytics!$E$5:$E$154,E85,Analytics!$C$5:$C$154,TEXT(EDATE(B85,-1),"yyyy-mm")))</f>
        <v>0</v>
      </c>
      <c r="AM85" s="29">
        <f>IF(E85="","",IF(COUNTIFS(Analytics!$E$5:$E$154,E85,Analytics!$C$5:$C$154,C85)&gt;1,"Duplicate","OK"))</f>
        <v>0</v>
      </c>
      <c r="AN85" s="29">
        <f>IF(E85="","",IF(AM85="Duplicate","Duplicate - this month is entered twice",IF(AND(J85&lt;&gt;"",AA85&lt;TargetEngagement),"Check - engagement below target",IF(X85&lt;0,"Check - followers went down",IF(AND(I85&lt;&gt;"",Z85&lt;&gt;"",I85&lt;&gt;Z85),"Check - post count does not match the calendar","OK")))))</f>
        <v>0</v>
      </c>
    </row>
    <row r="86" spans="1:40">
      <c r="A86" s="41">
        <f>IF(E86="","","AN-"&amp;TEXT(ROW()-4,"0000"))</f>
        <v>0</v>
      </c>
      <c r="C86" s="17">
        <f>IF(B86="","",TEXT(B86,"yyyy-mm"))</f>
        <v>0</v>
      </c>
      <c r="W86" s="23">
        <f>IF(G86="","",G86-N(F86)+N(H86))</f>
        <v>0</v>
      </c>
      <c r="X86" s="23">
        <f>IF(G86="","",G86-N(F86))</f>
        <v>0</v>
      </c>
      <c r="Y86" s="24">
        <f>IF(OR(F86="",F86=0),"",X86/F86)</f>
        <v>0</v>
      </c>
      <c r="Z86" s="23">
        <f>IF(OR(B86="",D86=""),"",COUNTIFS('Content Calendar'!$G$5:$G$604,D86,'Content Calendar'!$D$5:$D$604,C86,'Content Calendar'!$X$5:$X$604,"Published"))</f>
        <v>0</v>
      </c>
      <c r="AA86" s="24">
        <f>IF(OR(J86="",J86=0),"",N(L86)/J86)</f>
        <v>0</v>
      </c>
      <c r="AB86" s="23">
        <f>IF(OR(I86="",I86=0),"",ROUND(N(J86)/I86,0))</f>
        <v>0</v>
      </c>
      <c r="AC86" s="23">
        <f>IF(OR(I86="",I86=0),"",ROUND(N(L86)/I86,0))</f>
        <v>0</v>
      </c>
      <c r="AD86" s="24">
        <f>IF(OR(G86="",G86=0),"",N(J86)/G86)</f>
        <v>0</v>
      </c>
      <c r="AE86" s="24">
        <f>IF(OR(J86="",J86=0),"",N(R86)/J86)</f>
        <v>0</v>
      </c>
      <c r="AF86" s="24">
        <f>IF(OR(R86="",R86=0),"",N(S86)/R86)</f>
        <v>0</v>
      </c>
      <c r="AG86" s="24">
        <f>IF(OR(S86="",S86=0),"",N(T86)/S86)</f>
        <v>0</v>
      </c>
      <c r="AH86" s="25">
        <f>IF(OR(S86="",S86=0,V86=""),"",V86/S86)</f>
        <v>0</v>
      </c>
      <c r="AI86" s="31">
        <f>IF(OR(V86="",V86=0),"",N(U86)/V86)</f>
        <v>0</v>
      </c>
      <c r="AJ86" s="23">
        <f>IF(B86="","",SUMIFS(Analytics!$J$5:$J$154,Analytics!$E$5:$E$154,E86,Analytics!$C$5:$C$154,TEXT(EDATE(B86,-1),"yyyy-mm")))</f>
        <v>0</v>
      </c>
      <c r="AK86" s="24">
        <f>IF(OR(AJ86="",AJ86=0),"",N(J86)/AJ86-1)</f>
        <v>0</v>
      </c>
      <c r="AL86" s="23">
        <f>IF(B86="","",SUMIFS(Analytics!$G$5:$G$154,Analytics!$E$5:$E$154,E86,Analytics!$C$5:$C$154,TEXT(EDATE(B86,-1),"yyyy-mm")))</f>
        <v>0</v>
      </c>
      <c r="AM86" s="29">
        <f>IF(E86="","",IF(COUNTIFS(Analytics!$E$5:$E$154,E86,Analytics!$C$5:$C$154,C86)&gt;1,"Duplicate","OK"))</f>
        <v>0</v>
      </c>
      <c r="AN86" s="29">
        <f>IF(E86="","",IF(AM86="Duplicate","Duplicate - this month is entered twice",IF(AND(J86&lt;&gt;"",AA86&lt;TargetEngagement),"Check - engagement below target",IF(X86&lt;0,"Check - followers went down",IF(AND(I86&lt;&gt;"",Z86&lt;&gt;"",I86&lt;&gt;Z86),"Check - post count does not match the calendar","OK")))))</f>
        <v>0</v>
      </c>
    </row>
    <row r="87" spans="1:40">
      <c r="A87" s="41">
        <f>IF(E87="","","AN-"&amp;TEXT(ROW()-4,"0000"))</f>
        <v>0</v>
      </c>
      <c r="C87" s="17">
        <f>IF(B87="","",TEXT(B87,"yyyy-mm"))</f>
        <v>0</v>
      </c>
      <c r="W87" s="23">
        <f>IF(G87="","",G87-N(F87)+N(H87))</f>
        <v>0</v>
      </c>
      <c r="X87" s="23">
        <f>IF(G87="","",G87-N(F87))</f>
        <v>0</v>
      </c>
      <c r="Y87" s="24">
        <f>IF(OR(F87="",F87=0),"",X87/F87)</f>
        <v>0</v>
      </c>
      <c r="Z87" s="23">
        <f>IF(OR(B87="",D87=""),"",COUNTIFS('Content Calendar'!$G$5:$G$604,D87,'Content Calendar'!$D$5:$D$604,C87,'Content Calendar'!$X$5:$X$604,"Published"))</f>
        <v>0</v>
      </c>
      <c r="AA87" s="24">
        <f>IF(OR(J87="",J87=0),"",N(L87)/J87)</f>
        <v>0</v>
      </c>
      <c r="AB87" s="23">
        <f>IF(OR(I87="",I87=0),"",ROUND(N(J87)/I87,0))</f>
        <v>0</v>
      </c>
      <c r="AC87" s="23">
        <f>IF(OR(I87="",I87=0),"",ROUND(N(L87)/I87,0))</f>
        <v>0</v>
      </c>
      <c r="AD87" s="24">
        <f>IF(OR(G87="",G87=0),"",N(J87)/G87)</f>
        <v>0</v>
      </c>
      <c r="AE87" s="24">
        <f>IF(OR(J87="",J87=0),"",N(R87)/J87)</f>
        <v>0</v>
      </c>
      <c r="AF87" s="24">
        <f>IF(OR(R87="",R87=0),"",N(S87)/R87)</f>
        <v>0</v>
      </c>
      <c r="AG87" s="24">
        <f>IF(OR(S87="",S87=0),"",N(T87)/S87)</f>
        <v>0</v>
      </c>
      <c r="AH87" s="25">
        <f>IF(OR(S87="",S87=0,V87=""),"",V87/S87)</f>
        <v>0</v>
      </c>
      <c r="AI87" s="31">
        <f>IF(OR(V87="",V87=0),"",N(U87)/V87)</f>
        <v>0</v>
      </c>
      <c r="AJ87" s="23">
        <f>IF(B87="","",SUMIFS(Analytics!$J$5:$J$154,Analytics!$E$5:$E$154,E87,Analytics!$C$5:$C$154,TEXT(EDATE(B87,-1),"yyyy-mm")))</f>
        <v>0</v>
      </c>
      <c r="AK87" s="24">
        <f>IF(OR(AJ87="",AJ87=0),"",N(J87)/AJ87-1)</f>
        <v>0</v>
      </c>
      <c r="AL87" s="23">
        <f>IF(B87="","",SUMIFS(Analytics!$G$5:$G$154,Analytics!$E$5:$E$154,E87,Analytics!$C$5:$C$154,TEXT(EDATE(B87,-1),"yyyy-mm")))</f>
        <v>0</v>
      </c>
      <c r="AM87" s="29">
        <f>IF(E87="","",IF(COUNTIFS(Analytics!$E$5:$E$154,E87,Analytics!$C$5:$C$154,C87)&gt;1,"Duplicate","OK"))</f>
        <v>0</v>
      </c>
      <c r="AN87" s="29">
        <f>IF(E87="","",IF(AM87="Duplicate","Duplicate - this month is entered twice",IF(AND(J87&lt;&gt;"",AA87&lt;TargetEngagement),"Check - engagement below target",IF(X87&lt;0,"Check - followers went down",IF(AND(I87&lt;&gt;"",Z87&lt;&gt;"",I87&lt;&gt;Z87),"Check - post count does not match the calendar","OK")))))</f>
        <v>0</v>
      </c>
    </row>
    <row r="88" spans="1:40">
      <c r="A88" s="41">
        <f>IF(E88="","","AN-"&amp;TEXT(ROW()-4,"0000"))</f>
        <v>0</v>
      </c>
      <c r="C88" s="17">
        <f>IF(B88="","",TEXT(B88,"yyyy-mm"))</f>
        <v>0</v>
      </c>
      <c r="W88" s="23">
        <f>IF(G88="","",G88-N(F88)+N(H88))</f>
        <v>0</v>
      </c>
      <c r="X88" s="23">
        <f>IF(G88="","",G88-N(F88))</f>
        <v>0</v>
      </c>
      <c r="Y88" s="24">
        <f>IF(OR(F88="",F88=0),"",X88/F88)</f>
        <v>0</v>
      </c>
      <c r="Z88" s="23">
        <f>IF(OR(B88="",D88=""),"",COUNTIFS('Content Calendar'!$G$5:$G$604,D88,'Content Calendar'!$D$5:$D$604,C88,'Content Calendar'!$X$5:$X$604,"Published"))</f>
        <v>0</v>
      </c>
      <c r="AA88" s="24">
        <f>IF(OR(J88="",J88=0),"",N(L88)/J88)</f>
        <v>0</v>
      </c>
      <c r="AB88" s="23">
        <f>IF(OR(I88="",I88=0),"",ROUND(N(J88)/I88,0))</f>
        <v>0</v>
      </c>
      <c r="AC88" s="23">
        <f>IF(OR(I88="",I88=0),"",ROUND(N(L88)/I88,0))</f>
        <v>0</v>
      </c>
      <c r="AD88" s="24">
        <f>IF(OR(G88="",G88=0),"",N(J88)/G88)</f>
        <v>0</v>
      </c>
      <c r="AE88" s="24">
        <f>IF(OR(J88="",J88=0),"",N(R88)/J88)</f>
        <v>0</v>
      </c>
      <c r="AF88" s="24">
        <f>IF(OR(R88="",R88=0),"",N(S88)/R88)</f>
        <v>0</v>
      </c>
      <c r="AG88" s="24">
        <f>IF(OR(S88="",S88=0),"",N(T88)/S88)</f>
        <v>0</v>
      </c>
      <c r="AH88" s="25">
        <f>IF(OR(S88="",S88=0,V88=""),"",V88/S88)</f>
        <v>0</v>
      </c>
      <c r="AI88" s="31">
        <f>IF(OR(V88="",V88=0),"",N(U88)/V88)</f>
        <v>0</v>
      </c>
      <c r="AJ88" s="23">
        <f>IF(B88="","",SUMIFS(Analytics!$J$5:$J$154,Analytics!$E$5:$E$154,E88,Analytics!$C$5:$C$154,TEXT(EDATE(B88,-1),"yyyy-mm")))</f>
        <v>0</v>
      </c>
      <c r="AK88" s="24">
        <f>IF(OR(AJ88="",AJ88=0),"",N(J88)/AJ88-1)</f>
        <v>0</v>
      </c>
      <c r="AL88" s="23">
        <f>IF(B88="","",SUMIFS(Analytics!$G$5:$G$154,Analytics!$E$5:$E$154,E88,Analytics!$C$5:$C$154,TEXT(EDATE(B88,-1),"yyyy-mm")))</f>
        <v>0</v>
      </c>
      <c r="AM88" s="29">
        <f>IF(E88="","",IF(COUNTIFS(Analytics!$E$5:$E$154,E88,Analytics!$C$5:$C$154,C88)&gt;1,"Duplicate","OK"))</f>
        <v>0</v>
      </c>
      <c r="AN88" s="29">
        <f>IF(E88="","",IF(AM88="Duplicate","Duplicate - this month is entered twice",IF(AND(J88&lt;&gt;"",AA88&lt;TargetEngagement),"Check - engagement below target",IF(X88&lt;0,"Check - followers went down",IF(AND(I88&lt;&gt;"",Z88&lt;&gt;"",I88&lt;&gt;Z88),"Check - post count does not match the calendar","OK")))))</f>
        <v>0</v>
      </c>
    </row>
    <row r="89" spans="1:40">
      <c r="A89" s="41">
        <f>IF(E89="","","AN-"&amp;TEXT(ROW()-4,"0000"))</f>
        <v>0</v>
      </c>
      <c r="C89" s="17">
        <f>IF(B89="","",TEXT(B89,"yyyy-mm"))</f>
        <v>0</v>
      </c>
      <c r="W89" s="23">
        <f>IF(G89="","",G89-N(F89)+N(H89))</f>
        <v>0</v>
      </c>
      <c r="X89" s="23">
        <f>IF(G89="","",G89-N(F89))</f>
        <v>0</v>
      </c>
      <c r="Y89" s="24">
        <f>IF(OR(F89="",F89=0),"",X89/F89)</f>
        <v>0</v>
      </c>
      <c r="Z89" s="23">
        <f>IF(OR(B89="",D89=""),"",COUNTIFS('Content Calendar'!$G$5:$G$604,D89,'Content Calendar'!$D$5:$D$604,C89,'Content Calendar'!$X$5:$X$604,"Published"))</f>
        <v>0</v>
      </c>
      <c r="AA89" s="24">
        <f>IF(OR(J89="",J89=0),"",N(L89)/J89)</f>
        <v>0</v>
      </c>
      <c r="AB89" s="23">
        <f>IF(OR(I89="",I89=0),"",ROUND(N(J89)/I89,0))</f>
        <v>0</v>
      </c>
      <c r="AC89" s="23">
        <f>IF(OR(I89="",I89=0),"",ROUND(N(L89)/I89,0))</f>
        <v>0</v>
      </c>
      <c r="AD89" s="24">
        <f>IF(OR(G89="",G89=0),"",N(J89)/G89)</f>
        <v>0</v>
      </c>
      <c r="AE89" s="24">
        <f>IF(OR(J89="",J89=0),"",N(R89)/J89)</f>
        <v>0</v>
      </c>
      <c r="AF89" s="24">
        <f>IF(OR(R89="",R89=0),"",N(S89)/R89)</f>
        <v>0</v>
      </c>
      <c r="AG89" s="24">
        <f>IF(OR(S89="",S89=0),"",N(T89)/S89)</f>
        <v>0</v>
      </c>
      <c r="AH89" s="25">
        <f>IF(OR(S89="",S89=0,V89=""),"",V89/S89)</f>
        <v>0</v>
      </c>
      <c r="AI89" s="31">
        <f>IF(OR(V89="",V89=0),"",N(U89)/V89)</f>
        <v>0</v>
      </c>
      <c r="AJ89" s="23">
        <f>IF(B89="","",SUMIFS(Analytics!$J$5:$J$154,Analytics!$E$5:$E$154,E89,Analytics!$C$5:$C$154,TEXT(EDATE(B89,-1),"yyyy-mm")))</f>
        <v>0</v>
      </c>
      <c r="AK89" s="24">
        <f>IF(OR(AJ89="",AJ89=0),"",N(J89)/AJ89-1)</f>
        <v>0</v>
      </c>
      <c r="AL89" s="23">
        <f>IF(B89="","",SUMIFS(Analytics!$G$5:$G$154,Analytics!$E$5:$E$154,E89,Analytics!$C$5:$C$154,TEXT(EDATE(B89,-1),"yyyy-mm")))</f>
        <v>0</v>
      </c>
      <c r="AM89" s="29">
        <f>IF(E89="","",IF(COUNTIFS(Analytics!$E$5:$E$154,E89,Analytics!$C$5:$C$154,C89)&gt;1,"Duplicate","OK"))</f>
        <v>0</v>
      </c>
      <c r="AN89" s="29">
        <f>IF(E89="","",IF(AM89="Duplicate","Duplicate - this month is entered twice",IF(AND(J89&lt;&gt;"",AA89&lt;TargetEngagement),"Check - engagement below target",IF(X89&lt;0,"Check - followers went down",IF(AND(I89&lt;&gt;"",Z89&lt;&gt;"",I89&lt;&gt;Z89),"Check - post count does not match the calendar","OK")))))</f>
        <v>0</v>
      </c>
    </row>
    <row r="90" spans="1:40">
      <c r="A90" s="41">
        <f>IF(E90="","","AN-"&amp;TEXT(ROW()-4,"0000"))</f>
        <v>0</v>
      </c>
      <c r="C90" s="17">
        <f>IF(B90="","",TEXT(B90,"yyyy-mm"))</f>
        <v>0</v>
      </c>
      <c r="W90" s="23">
        <f>IF(G90="","",G90-N(F90)+N(H90))</f>
        <v>0</v>
      </c>
      <c r="X90" s="23">
        <f>IF(G90="","",G90-N(F90))</f>
        <v>0</v>
      </c>
      <c r="Y90" s="24">
        <f>IF(OR(F90="",F90=0),"",X90/F90)</f>
        <v>0</v>
      </c>
      <c r="Z90" s="23">
        <f>IF(OR(B90="",D90=""),"",COUNTIFS('Content Calendar'!$G$5:$G$604,D90,'Content Calendar'!$D$5:$D$604,C90,'Content Calendar'!$X$5:$X$604,"Published"))</f>
        <v>0</v>
      </c>
      <c r="AA90" s="24">
        <f>IF(OR(J90="",J90=0),"",N(L90)/J90)</f>
        <v>0</v>
      </c>
      <c r="AB90" s="23">
        <f>IF(OR(I90="",I90=0),"",ROUND(N(J90)/I90,0))</f>
        <v>0</v>
      </c>
      <c r="AC90" s="23">
        <f>IF(OR(I90="",I90=0),"",ROUND(N(L90)/I90,0))</f>
        <v>0</v>
      </c>
      <c r="AD90" s="24">
        <f>IF(OR(G90="",G90=0),"",N(J90)/G90)</f>
        <v>0</v>
      </c>
      <c r="AE90" s="24">
        <f>IF(OR(J90="",J90=0),"",N(R90)/J90)</f>
        <v>0</v>
      </c>
      <c r="AF90" s="24">
        <f>IF(OR(R90="",R90=0),"",N(S90)/R90)</f>
        <v>0</v>
      </c>
      <c r="AG90" s="24">
        <f>IF(OR(S90="",S90=0),"",N(T90)/S90)</f>
        <v>0</v>
      </c>
      <c r="AH90" s="25">
        <f>IF(OR(S90="",S90=0,V90=""),"",V90/S90)</f>
        <v>0</v>
      </c>
      <c r="AI90" s="31">
        <f>IF(OR(V90="",V90=0),"",N(U90)/V90)</f>
        <v>0</v>
      </c>
      <c r="AJ90" s="23">
        <f>IF(B90="","",SUMIFS(Analytics!$J$5:$J$154,Analytics!$E$5:$E$154,E90,Analytics!$C$5:$C$154,TEXT(EDATE(B90,-1),"yyyy-mm")))</f>
        <v>0</v>
      </c>
      <c r="AK90" s="24">
        <f>IF(OR(AJ90="",AJ90=0),"",N(J90)/AJ90-1)</f>
        <v>0</v>
      </c>
      <c r="AL90" s="23">
        <f>IF(B90="","",SUMIFS(Analytics!$G$5:$G$154,Analytics!$E$5:$E$154,E90,Analytics!$C$5:$C$154,TEXT(EDATE(B90,-1),"yyyy-mm")))</f>
        <v>0</v>
      </c>
      <c r="AM90" s="29">
        <f>IF(E90="","",IF(COUNTIFS(Analytics!$E$5:$E$154,E90,Analytics!$C$5:$C$154,C90)&gt;1,"Duplicate","OK"))</f>
        <v>0</v>
      </c>
      <c r="AN90" s="29">
        <f>IF(E90="","",IF(AM90="Duplicate","Duplicate - this month is entered twice",IF(AND(J90&lt;&gt;"",AA90&lt;TargetEngagement),"Check - engagement below target",IF(X90&lt;0,"Check - followers went down",IF(AND(I90&lt;&gt;"",Z90&lt;&gt;"",I90&lt;&gt;Z90),"Check - post count does not match the calendar","OK")))))</f>
        <v>0</v>
      </c>
    </row>
    <row r="91" spans="1:40">
      <c r="A91" s="41">
        <f>IF(E91="","","AN-"&amp;TEXT(ROW()-4,"0000"))</f>
        <v>0</v>
      </c>
      <c r="C91" s="17">
        <f>IF(B91="","",TEXT(B91,"yyyy-mm"))</f>
        <v>0</v>
      </c>
      <c r="W91" s="23">
        <f>IF(G91="","",G91-N(F91)+N(H91))</f>
        <v>0</v>
      </c>
      <c r="X91" s="23">
        <f>IF(G91="","",G91-N(F91))</f>
        <v>0</v>
      </c>
      <c r="Y91" s="24">
        <f>IF(OR(F91="",F91=0),"",X91/F91)</f>
        <v>0</v>
      </c>
      <c r="Z91" s="23">
        <f>IF(OR(B91="",D91=""),"",COUNTIFS('Content Calendar'!$G$5:$G$604,D91,'Content Calendar'!$D$5:$D$604,C91,'Content Calendar'!$X$5:$X$604,"Published"))</f>
        <v>0</v>
      </c>
      <c r="AA91" s="24">
        <f>IF(OR(J91="",J91=0),"",N(L91)/J91)</f>
        <v>0</v>
      </c>
      <c r="AB91" s="23">
        <f>IF(OR(I91="",I91=0),"",ROUND(N(J91)/I91,0))</f>
        <v>0</v>
      </c>
      <c r="AC91" s="23">
        <f>IF(OR(I91="",I91=0),"",ROUND(N(L91)/I91,0))</f>
        <v>0</v>
      </c>
      <c r="AD91" s="24">
        <f>IF(OR(G91="",G91=0),"",N(J91)/G91)</f>
        <v>0</v>
      </c>
      <c r="AE91" s="24">
        <f>IF(OR(J91="",J91=0),"",N(R91)/J91)</f>
        <v>0</v>
      </c>
      <c r="AF91" s="24">
        <f>IF(OR(R91="",R91=0),"",N(S91)/R91)</f>
        <v>0</v>
      </c>
      <c r="AG91" s="24">
        <f>IF(OR(S91="",S91=0),"",N(T91)/S91)</f>
        <v>0</v>
      </c>
      <c r="AH91" s="25">
        <f>IF(OR(S91="",S91=0,V91=""),"",V91/S91)</f>
        <v>0</v>
      </c>
      <c r="AI91" s="31">
        <f>IF(OR(V91="",V91=0),"",N(U91)/V91)</f>
        <v>0</v>
      </c>
      <c r="AJ91" s="23">
        <f>IF(B91="","",SUMIFS(Analytics!$J$5:$J$154,Analytics!$E$5:$E$154,E91,Analytics!$C$5:$C$154,TEXT(EDATE(B91,-1),"yyyy-mm")))</f>
        <v>0</v>
      </c>
      <c r="AK91" s="24">
        <f>IF(OR(AJ91="",AJ91=0),"",N(J91)/AJ91-1)</f>
        <v>0</v>
      </c>
      <c r="AL91" s="23">
        <f>IF(B91="","",SUMIFS(Analytics!$G$5:$G$154,Analytics!$E$5:$E$154,E91,Analytics!$C$5:$C$154,TEXT(EDATE(B91,-1),"yyyy-mm")))</f>
        <v>0</v>
      </c>
      <c r="AM91" s="29">
        <f>IF(E91="","",IF(COUNTIFS(Analytics!$E$5:$E$154,E91,Analytics!$C$5:$C$154,C91)&gt;1,"Duplicate","OK"))</f>
        <v>0</v>
      </c>
      <c r="AN91" s="29">
        <f>IF(E91="","",IF(AM91="Duplicate","Duplicate - this month is entered twice",IF(AND(J91&lt;&gt;"",AA91&lt;TargetEngagement),"Check - engagement below target",IF(X91&lt;0,"Check - followers went down",IF(AND(I91&lt;&gt;"",Z91&lt;&gt;"",I91&lt;&gt;Z91),"Check - post count does not match the calendar","OK")))))</f>
        <v>0</v>
      </c>
    </row>
    <row r="92" spans="1:40">
      <c r="A92" s="41">
        <f>IF(E92="","","AN-"&amp;TEXT(ROW()-4,"0000"))</f>
        <v>0</v>
      </c>
      <c r="C92" s="17">
        <f>IF(B92="","",TEXT(B92,"yyyy-mm"))</f>
        <v>0</v>
      </c>
      <c r="W92" s="23">
        <f>IF(G92="","",G92-N(F92)+N(H92))</f>
        <v>0</v>
      </c>
      <c r="X92" s="23">
        <f>IF(G92="","",G92-N(F92))</f>
        <v>0</v>
      </c>
      <c r="Y92" s="24">
        <f>IF(OR(F92="",F92=0),"",X92/F92)</f>
        <v>0</v>
      </c>
      <c r="Z92" s="23">
        <f>IF(OR(B92="",D92=""),"",COUNTIFS('Content Calendar'!$G$5:$G$604,D92,'Content Calendar'!$D$5:$D$604,C92,'Content Calendar'!$X$5:$X$604,"Published"))</f>
        <v>0</v>
      </c>
      <c r="AA92" s="24">
        <f>IF(OR(J92="",J92=0),"",N(L92)/J92)</f>
        <v>0</v>
      </c>
      <c r="AB92" s="23">
        <f>IF(OR(I92="",I92=0),"",ROUND(N(J92)/I92,0))</f>
        <v>0</v>
      </c>
      <c r="AC92" s="23">
        <f>IF(OR(I92="",I92=0),"",ROUND(N(L92)/I92,0))</f>
        <v>0</v>
      </c>
      <c r="AD92" s="24">
        <f>IF(OR(G92="",G92=0),"",N(J92)/G92)</f>
        <v>0</v>
      </c>
      <c r="AE92" s="24">
        <f>IF(OR(J92="",J92=0),"",N(R92)/J92)</f>
        <v>0</v>
      </c>
      <c r="AF92" s="24">
        <f>IF(OR(R92="",R92=0),"",N(S92)/R92)</f>
        <v>0</v>
      </c>
      <c r="AG92" s="24">
        <f>IF(OR(S92="",S92=0),"",N(T92)/S92)</f>
        <v>0</v>
      </c>
      <c r="AH92" s="25">
        <f>IF(OR(S92="",S92=0,V92=""),"",V92/S92)</f>
        <v>0</v>
      </c>
      <c r="AI92" s="31">
        <f>IF(OR(V92="",V92=0),"",N(U92)/V92)</f>
        <v>0</v>
      </c>
      <c r="AJ92" s="23">
        <f>IF(B92="","",SUMIFS(Analytics!$J$5:$J$154,Analytics!$E$5:$E$154,E92,Analytics!$C$5:$C$154,TEXT(EDATE(B92,-1),"yyyy-mm")))</f>
        <v>0</v>
      </c>
      <c r="AK92" s="24">
        <f>IF(OR(AJ92="",AJ92=0),"",N(J92)/AJ92-1)</f>
        <v>0</v>
      </c>
      <c r="AL92" s="23">
        <f>IF(B92="","",SUMIFS(Analytics!$G$5:$G$154,Analytics!$E$5:$E$154,E92,Analytics!$C$5:$C$154,TEXT(EDATE(B92,-1),"yyyy-mm")))</f>
        <v>0</v>
      </c>
      <c r="AM92" s="29">
        <f>IF(E92="","",IF(COUNTIFS(Analytics!$E$5:$E$154,E92,Analytics!$C$5:$C$154,C92)&gt;1,"Duplicate","OK"))</f>
        <v>0</v>
      </c>
      <c r="AN92" s="29">
        <f>IF(E92="","",IF(AM92="Duplicate","Duplicate - this month is entered twice",IF(AND(J92&lt;&gt;"",AA92&lt;TargetEngagement),"Check - engagement below target",IF(X92&lt;0,"Check - followers went down",IF(AND(I92&lt;&gt;"",Z92&lt;&gt;"",I92&lt;&gt;Z92),"Check - post count does not match the calendar","OK")))))</f>
        <v>0</v>
      </c>
    </row>
    <row r="93" spans="1:40">
      <c r="A93" s="41">
        <f>IF(E93="","","AN-"&amp;TEXT(ROW()-4,"0000"))</f>
        <v>0</v>
      </c>
      <c r="C93" s="17">
        <f>IF(B93="","",TEXT(B93,"yyyy-mm"))</f>
        <v>0</v>
      </c>
      <c r="W93" s="23">
        <f>IF(G93="","",G93-N(F93)+N(H93))</f>
        <v>0</v>
      </c>
      <c r="X93" s="23">
        <f>IF(G93="","",G93-N(F93))</f>
        <v>0</v>
      </c>
      <c r="Y93" s="24">
        <f>IF(OR(F93="",F93=0),"",X93/F93)</f>
        <v>0</v>
      </c>
      <c r="Z93" s="23">
        <f>IF(OR(B93="",D93=""),"",COUNTIFS('Content Calendar'!$G$5:$G$604,D93,'Content Calendar'!$D$5:$D$604,C93,'Content Calendar'!$X$5:$X$604,"Published"))</f>
        <v>0</v>
      </c>
      <c r="AA93" s="24">
        <f>IF(OR(J93="",J93=0),"",N(L93)/J93)</f>
        <v>0</v>
      </c>
      <c r="AB93" s="23">
        <f>IF(OR(I93="",I93=0),"",ROUND(N(J93)/I93,0))</f>
        <v>0</v>
      </c>
      <c r="AC93" s="23">
        <f>IF(OR(I93="",I93=0),"",ROUND(N(L93)/I93,0))</f>
        <v>0</v>
      </c>
      <c r="AD93" s="24">
        <f>IF(OR(G93="",G93=0),"",N(J93)/G93)</f>
        <v>0</v>
      </c>
      <c r="AE93" s="24">
        <f>IF(OR(J93="",J93=0),"",N(R93)/J93)</f>
        <v>0</v>
      </c>
      <c r="AF93" s="24">
        <f>IF(OR(R93="",R93=0),"",N(S93)/R93)</f>
        <v>0</v>
      </c>
      <c r="AG93" s="24">
        <f>IF(OR(S93="",S93=0),"",N(T93)/S93)</f>
        <v>0</v>
      </c>
      <c r="AH93" s="25">
        <f>IF(OR(S93="",S93=0,V93=""),"",V93/S93)</f>
        <v>0</v>
      </c>
      <c r="AI93" s="31">
        <f>IF(OR(V93="",V93=0),"",N(U93)/V93)</f>
        <v>0</v>
      </c>
      <c r="AJ93" s="23">
        <f>IF(B93="","",SUMIFS(Analytics!$J$5:$J$154,Analytics!$E$5:$E$154,E93,Analytics!$C$5:$C$154,TEXT(EDATE(B93,-1),"yyyy-mm")))</f>
        <v>0</v>
      </c>
      <c r="AK93" s="24">
        <f>IF(OR(AJ93="",AJ93=0),"",N(J93)/AJ93-1)</f>
        <v>0</v>
      </c>
      <c r="AL93" s="23">
        <f>IF(B93="","",SUMIFS(Analytics!$G$5:$G$154,Analytics!$E$5:$E$154,E93,Analytics!$C$5:$C$154,TEXT(EDATE(B93,-1),"yyyy-mm")))</f>
        <v>0</v>
      </c>
      <c r="AM93" s="29">
        <f>IF(E93="","",IF(COUNTIFS(Analytics!$E$5:$E$154,E93,Analytics!$C$5:$C$154,C93)&gt;1,"Duplicate","OK"))</f>
        <v>0</v>
      </c>
      <c r="AN93" s="29">
        <f>IF(E93="","",IF(AM93="Duplicate","Duplicate - this month is entered twice",IF(AND(J93&lt;&gt;"",AA93&lt;TargetEngagement),"Check - engagement below target",IF(X93&lt;0,"Check - followers went down",IF(AND(I93&lt;&gt;"",Z93&lt;&gt;"",I93&lt;&gt;Z93),"Check - post count does not match the calendar","OK")))))</f>
        <v>0</v>
      </c>
    </row>
    <row r="94" spans="1:40">
      <c r="A94" s="41">
        <f>IF(E94="","","AN-"&amp;TEXT(ROW()-4,"0000"))</f>
        <v>0</v>
      </c>
      <c r="C94" s="17">
        <f>IF(B94="","",TEXT(B94,"yyyy-mm"))</f>
        <v>0</v>
      </c>
      <c r="W94" s="23">
        <f>IF(G94="","",G94-N(F94)+N(H94))</f>
        <v>0</v>
      </c>
      <c r="X94" s="23">
        <f>IF(G94="","",G94-N(F94))</f>
        <v>0</v>
      </c>
      <c r="Y94" s="24">
        <f>IF(OR(F94="",F94=0),"",X94/F94)</f>
        <v>0</v>
      </c>
      <c r="Z94" s="23">
        <f>IF(OR(B94="",D94=""),"",COUNTIFS('Content Calendar'!$G$5:$G$604,D94,'Content Calendar'!$D$5:$D$604,C94,'Content Calendar'!$X$5:$X$604,"Published"))</f>
        <v>0</v>
      </c>
      <c r="AA94" s="24">
        <f>IF(OR(J94="",J94=0),"",N(L94)/J94)</f>
        <v>0</v>
      </c>
      <c r="AB94" s="23">
        <f>IF(OR(I94="",I94=0),"",ROUND(N(J94)/I94,0))</f>
        <v>0</v>
      </c>
      <c r="AC94" s="23">
        <f>IF(OR(I94="",I94=0),"",ROUND(N(L94)/I94,0))</f>
        <v>0</v>
      </c>
      <c r="AD94" s="24">
        <f>IF(OR(G94="",G94=0),"",N(J94)/G94)</f>
        <v>0</v>
      </c>
      <c r="AE94" s="24">
        <f>IF(OR(J94="",J94=0),"",N(R94)/J94)</f>
        <v>0</v>
      </c>
      <c r="AF94" s="24">
        <f>IF(OR(R94="",R94=0),"",N(S94)/R94)</f>
        <v>0</v>
      </c>
      <c r="AG94" s="24">
        <f>IF(OR(S94="",S94=0),"",N(T94)/S94)</f>
        <v>0</v>
      </c>
      <c r="AH94" s="25">
        <f>IF(OR(S94="",S94=0,V94=""),"",V94/S94)</f>
        <v>0</v>
      </c>
      <c r="AI94" s="31">
        <f>IF(OR(V94="",V94=0),"",N(U94)/V94)</f>
        <v>0</v>
      </c>
      <c r="AJ94" s="23">
        <f>IF(B94="","",SUMIFS(Analytics!$J$5:$J$154,Analytics!$E$5:$E$154,E94,Analytics!$C$5:$C$154,TEXT(EDATE(B94,-1),"yyyy-mm")))</f>
        <v>0</v>
      </c>
      <c r="AK94" s="24">
        <f>IF(OR(AJ94="",AJ94=0),"",N(J94)/AJ94-1)</f>
        <v>0</v>
      </c>
      <c r="AL94" s="23">
        <f>IF(B94="","",SUMIFS(Analytics!$G$5:$G$154,Analytics!$E$5:$E$154,E94,Analytics!$C$5:$C$154,TEXT(EDATE(B94,-1),"yyyy-mm")))</f>
        <v>0</v>
      </c>
      <c r="AM94" s="29">
        <f>IF(E94="","",IF(COUNTIFS(Analytics!$E$5:$E$154,E94,Analytics!$C$5:$C$154,C94)&gt;1,"Duplicate","OK"))</f>
        <v>0</v>
      </c>
      <c r="AN94" s="29">
        <f>IF(E94="","",IF(AM94="Duplicate","Duplicate - this month is entered twice",IF(AND(J94&lt;&gt;"",AA94&lt;TargetEngagement),"Check - engagement below target",IF(X94&lt;0,"Check - followers went down",IF(AND(I94&lt;&gt;"",Z94&lt;&gt;"",I94&lt;&gt;Z94),"Check - post count does not match the calendar","OK")))))</f>
        <v>0</v>
      </c>
    </row>
    <row r="95" spans="1:40">
      <c r="A95" s="41">
        <f>IF(E95="","","AN-"&amp;TEXT(ROW()-4,"0000"))</f>
        <v>0</v>
      </c>
      <c r="C95" s="17">
        <f>IF(B95="","",TEXT(B95,"yyyy-mm"))</f>
        <v>0</v>
      </c>
      <c r="W95" s="23">
        <f>IF(G95="","",G95-N(F95)+N(H95))</f>
        <v>0</v>
      </c>
      <c r="X95" s="23">
        <f>IF(G95="","",G95-N(F95))</f>
        <v>0</v>
      </c>
      <c r="Y95" s="24">
        <f>IF(OR(F95="",F95=0),"",X95/F95)</f>
        <v>0</v>
      </c>
      <c r="Z95" s="23">
        <f>IF(OR(B95="",D95=""),"",COUNTIFS('Content Calendar'!$G$5:$G$604,D95,'Content Calendar'!$D$5:$D$604,C95,'Content Calendar'!$X$5:$X$604,"Published"))</f>
        <v>0</v>
      </c>
      <c r="AA95" s="24">
        <f>IF(OR(J95="",J95=0),"",N(L95)/J95)</f>
        <v>0</v>
      </c>
      <c r="AB95" s="23">
        <f>IF(OR(I95="",I95=0),"",ROUND(N(J95)/I95,0))</f>
        <v>0</v>
      </c>
      <c r="AC95" s="23">
        <f>IF(OR(I95="",I95=0),"",ROUND(N(L95)/I95,0))</f>
        <v>0</v>
      </c>
      <c r="AD95" s="24">
        <f>IF(OR(G95="",G95=0),"",N(J95)/G95)</f>
        <v>0</v>
      </c>
      <c r="AE95" s="24">
        <f>IF(OR(J95="",J95=0),"",N(R95)/J95)</f>
        <v>0</v>
      </c>
      <c r="AF95" s="24">
        <f>IF(OR(R95="",R95=0),"",N(S95)/R95)</f>
        <v>0</v>
      </c>
      <c r="AG95" s="24">
        <f>IF(OR(S95="",S95=0),"",N(T95)/S95)</f>
        <v>0</v>
      </c>
      <c r="AH95" s="25">
        <f>IF(OR(S95="",S95=0,V95=""),"",V95/S95)</f>
        <v>0</v>
      </c>
      <c r="AI95" s="31">
        <f>IF(OR(V95="",V95=0),"",N(U95)/V95)</f>
        <v>0</v>
      </c>
      <c r="AJ95" s="23">
        <f>IF(B95="","",SUMIFS(Analytics!$J$5:$J$154,Analytics!$E$5:$E$154,E95,Analytics!$C$5:$C$154,TEXT(EDATE(B95,-1),"yyyy-mm")))</f>
        <v>0</v>
      </c>
      <c r="AK95" s="24">
        <f>IF(OR(AJ95="",AJ95=0),"",N(J95)/AJ95-1)</f>
        <v>0</v>
      </c>
      <c r="AL95" s="23">
        <f>IF(B95="","",SUMIFS(Analytics!$G$5:$G$154,Analytics!$E$5:$E$154,E95,Analytics!$C$5:$C$154,TEXT(EDATE(B95,-1),"yyyy-mm")))</f>
        <v>0</v>
      </c>
      <c r="AM95" s="29">
        <f>IF(E95="","",IF(COUNTIFS(Analytics!$E$5:$E$154,E95,Analytics!$C$5:$C$154,C95)&gt;1,"Duplicate","OK"))</f>
        <v>0</v>
      </c>
      <c r="AN95" s="29">
        <f>IF(E95="","",IF(AM95="Duplicate","Duplicate - this month is entered twice",IF(AND(J95&lt;&gt;"",AA95&lt;TargetEngagement),"Check - engagement below target",IF(X95&lt;0,"Check - followers went down",IF(AND(I95&lt;&gt;"",Z95&lt;&gt;"",I95&lt;&gt;Z95),"Check - post count does not match the calendar","OK")))))</f>
        <v>0</v>
      </c>
    </row>
    <row r="96" spans="1:40">
      <c r="A96" s="41">
        <f>IF(E96="","","AN-"&amp;TEXT(ROW()-4,"0000"))</f>
        <v>0</v>
      </c>
      <c r="C96" s="17">
        <f>IF(B96="","",TEXT(B96,"yyyy-mm"))</f>
        <v>0</v>
      </c>
      <c r="W96" s="23">
        <f>IF(G96="","",G96-N(F96)+N(H96))</f>
        <v>0</v>
      </c>
      <c r="X96" s="23">
        <f>IF(G96="","",G96-N(F96))</f>
        <v>0</v>
      </c>
      <c r="Y96" s="24">
        <f>IF(OR(F96="",F96=0),"",X96/F96)</f>
        <v>0</v>
      </c>
      <c r="Z96" s="23">
        <f>IF(OR(B96="",D96=""),"",COUNTIFS('Content Calendar'!$G$5:$G$604,D96,'Content Calendar'!$D$5:$D$604,C96,'Content Calendar'!$X$5:$X$604,"Published"))</f>
        <v>0</v>
      </c>
      <c r="AA96" s="24">
        <f>IF(OR(J96="",J96=0),"",N(L96)/J96)</f>
        <v>0</v>
      </c>
      <c r="AB96" s="23">
        <f>IF(OR(I96="",I96=0),"",ROUND(N(J96)/I96,0))</f>
        <v>0</v>
      </c>
      <c r="AC96" s="23">
        <f>IF(OR(I96="",I96=0),"",ROUND(N(L96)/I96,0))</f>
        <v>0</v>
      </c>
      <c r="AD96" s="24">
        <f>IF(OR(G96="",G96=0),"",N(J96)/G96)</f>
        <v>0</v>
      </c>
      <c r="AE96" s="24">
        <f>IF(OR(J96="",J96=0),"",N(R96)/J96)</f>
        <v>0</v>
      </c>
      <c r="AF96" s="24">
        <f>IF(OR(R96="",R96=0),"",N(S96)/R96)</f>
        <v>0</v>
      </c>
      <c r="AG96" s="24">
        <f>IF(OR(S96="",S96=0),"",N(T96)/S96)</f>
        <v>0</v>
      </c>
      <c r="AH96" s="25">
        <f>IF(OR(S96="",S96=0,V96=""),"",V96/S96)</f>
        <v>0</v>
      </c>
      <c r="AI96" s="31">
        <f>IF(OR(V96="",V96=0),"",N(U96)/V96)</f>
        <v>0</v>
      </c>
      <c r="AJ96" s="23">
        <f>IF(B96="","",SUMIFS(Analytics!$J$5:$J$154,Analytics!$E$5:$E$154,E96,Analytics!$C$5:$C$154,TEXT(EDATE(B96,-1),"yyyy-mm")))</f>
        <v>0</v>
      </c>
      <c r="AK96" s="24">
        <f>IF(OR(AJ96="",AJ96=0),"",N(J96)/AJ96-1)</f>
        <v>0</v>
      </c>
      <c r="AL96" s="23">
        <f>IF(B96="","",SUMIFS(Analytics!$G$5:$G$154,Analytics!$E$5:$E$154,E96,Analytics!$C$5:$C$154,TEXT(EDATE(B96,-1),"yyyy-mm")))</f>
        <v>0</v>
      </c>
      <c r="AM96" s="29">
        <f>IF(E96="","",IF(COUNTIFS(Analytics!$E$5:$E$154,E96,Analytics!$C$5:$C$154,C96)&gt;1,"Duplicate","OK"))</f>
        <v>0</v>
      </c>
      <c r="AN96" s="29">
        <f>IF(E96="","",IF(AM96="Duplicate","Duplicate - this month is entered twice",IF(AND(J96&lt;&gt;"",AA96&lt;TargetEngagement),"Check - engagement below target",IF(X96&lt;0,"Check - followers went down",IF(AND(I96&lt;&gt;"",Z96&lt;&gt;"",I96&lt;&gt;Z96),"Check - post count does not match the calendar","OK")))))</f>
        <v>0</v>
      </c>
    </row>
    <row r="97" spans="1:40">
      <c r="A97" s="41">
        <f>IF(E97="","","AN-"&amp;TEXT(ROW()-4,"0000"))</f>
        <v>0</v>
      </c>
      <c r="C97" s="17">
        <f>IF(B97="","",TEXT(B97,"yyyy-mm"))</f>
        <v>0</v>
      </c>
      <c r="W97" s="23">
        <f>IF(G97="","",G97-N(F97)+N(H97))</f>
        <v>0</v>
      </c>
      <c r="X97" s="23">
        <f>IF(G97="","",G97-N(F97))</f>
        <v>0</v>
      </c>
      <c r="Y97" s="24">
        <f>IF(OR(F97="",F97=0),"",X97/F97)</f>
        <v>0</v>
      </c>
      <c r="Z97" s="23">
        <f>IF(OR(B97="",D97=""),"",COUNTIFS('Content Calendar'!$G$5:$G$604,D97,'Content Calendar'!$D$5:$D$604,C97,'Content Calendar'!$X$5:$X$604,"Published"))</f>
        <v>0</v>
      </c>
      <c r="AA97" s="24">
        <f>IF(OR(J97="",J97=0),"",N(L97)/J97)</f>
        <v>0</v>
      </c>
      <c r="AB97" s="23">
        <f>IF(OR(I97="",I97=0),"",ROUND(N(J97)/I97,0))</f>
        <v>0</v>
      </c>
      <c r="AC97" s="23">
        <f>IF(OR(I97="",I97=0),"",ROUND(N(L97)/I97,0))</f>
        <v>0</v>
      </c>
      <c r="AD97" s="24">
        <f>IF(OR(G97="",G97=0),"",N(J97)/G97)</f>
        <v>0</v>
      </c>
      <c r="AE97" s="24">
        <f>IF(OR(J97="",J97=0),"",N(R97)/J97)</f>
        <v>0</v>
      </c>
      <c r="AF97" s="24">
        <f>IF(OR(R97="",R97=0),"",N(S97)/R97)</f>
        <v>0</v>
      </c>
      <c r="AG97" s="24">
        <f>IF(OR(S97="",S97=0),"",N(T97)/S97)</f>
        <v>0</v>
      </c>
      <c r="AH97" s="25">
        <f>IF(OR(S97="",S97=0,V97=""),"",V97/S97)</f>
        <v>0</v>
      </c>
      <c r="AI97" s="31">
        <f>IF(OR(V97="",V97=0),"",N(U97)/V97)</f>
        <v>0</v>
      </c>
      <c r="AJ97" s="23">
        <f>IF(B97="","",SUMIFS(Analytics!$J$5:$J$154,Analytics!$E$5:$E$154,E97,Analytics!$C$5:$C$154,TEXT(EDATE(B97,-1),"yyyy-mm")))</f>
        <v>0</v>
      </c>
      <c r="AK97" s="24">
        <f>IF(OR(AJ97="",AJ97=0),"",N(J97)/AJ97-1)</f>
        <v>0</v>
      </c>
      <c r="AL97" s="23">
        <f>IF(B97="","",SUMIFS(Analytics!$G$5:$G$154,Analytics!$E$5:$E$154,E97,Analytics!$C$5:$C$154,TEXT(EDATE(B97,-1),"yyyy-mm")))</f>
        <v>0</v>
      </c>
      <c r="AM97" s="29">
        <f>IF(E97="","",IF(COUNTIFS(Analytics!$E$5:$E$154,E97,Analytics!$C$5:$C$154,C97)&gt;1,"Duplicate","OK"))</f>
        <v>0</v>
      </c>
      <c r="AN97" s="29">
        <f>IF(E97="","",IF(AM97="Duplicate","Duplicate - this month is entered twice",IF(AND(J97&lt;&gt;"",AA97&lt;TargetEngagement),"Check - engagement below target",IF(X97&lt;0,"Check - followers went down",IF(AND(I97&lt;&gt;"",Z97&lt;&gt;"",I97&lt;&gt;Z97),"Check - post count does not match the calendar","OK")))))</f>
        <v>0</v>
      </c>
    </row>
    <row r="98" spans="1:40">
      <c r="A98" s="41">
        <f>IF(E98="","","AN-"&amp;TEXT(ROW()-4,"0000"))</f>
        <v>0</v>
      </c>
      <c r="C98" s="17">
        <f>IF(B98="","",TEXT(B98,"yyyy-mm"))</f>
        <v>0</v>
      </c>
      <c r="W98" s="23">
        <f>IF(G98="","",G98-N(F98)+N(H98))</f>
        <v>0</v>
      </c>
      <c r="X98" s="23">
        <f>IF(G98="","",G98-N(F98))</f>
        <v>0</v>
      </c>
      <c r="Y98" s="24">
        <f>IF(OR(F98="",F98=0),"",X98/F98)</f>
        <v>0</v>
      </c>
      <c r="Z98" s="23">
        <f>IF(OR(B98="",D98=""),"",COUNTIFS('Content Calendar'!$G$5:$G$604,D98,'Content Calendar'!$D$5:$D$604,C98,'Content Calendar'!$X$5:$X$604,"Published"))</f>
        <v>0</v>
      </c>
      <c r="AA98" s="24">
        <f>IF(OR(J98="",J98=0),"",N(L98)/J98)</f>
        <v>0</v>
      </c>
      <c r="AB98" s="23">
        <f>IF(OR(I98="",I98=0),"",ROUND(N(J98)/I98,0))</f>
        <v>0</v>
      </c>
      <c r="AC98" s="23">
        <f>IF(OR(I98="",I98=0),"",ROUND(N(L98)/I98,0))</f>
        <v>0</v>
      </c>
      <c r="AD98" s="24">
        <f>IF(OR(G98="",G98=0),"",N(J98)/G98)</f>
        <v>0</v>
      </c>
      <c r="AE98" s="24">
        <f>IF(OR(J98="",J98=0),"",N(R98)/J98)</f>
        <v>0</v>
      </c>
      <c r="AF98" s="24">
        <f>IF(OR(R98="",R98=0),"",N(S98)/R98)</f>
        <v>0</v>
      </c>
      <c r="AG98" s="24">
        <f>IF(OR(S98="",S98=0),"",N(T98)/S98)</f>
        <v>0</v>
      </c>
      <c r="AH98" s="25">
        <f>IF(OR(S98="",S98=0,V98=""),"",V98/S98)</f>
        <v>0</v>
      </c>
      <c r="AI98" s="31">
        <f>IF(OR(V98="",V98=0),"",N(U98)/V98)</f>
        <v>0</v>
      </c>
      <c r="AJ98" s="23">
        <f>IF(B98="","",SUMIFS(Analytics!$J$5:$J$154,Analytics!$E$5:$E$154,E98,Analytics!$C$5:$C$154,TEXT(EDATE(B98,-1),"yyyy-mm")))</f>
        <v>0</v>
      </c>
      <c r="AK98" s="24">
        <f>IF(OR(AJ98="",AJ98=0),"",N(J98)/AJ98-1)</f>
        <v>0</v>
      </c>
      <c r="AL98" s="23">
        <f>IF(B98="","",SUMIFS(Analytics!$G$5:$G$154,Analytics!$E$5:$E$154,E98,Analytics!$C$5:$C$154,TEXT(EDATE(B98,-1),"yyyy-mm")))</f>
        <v>0</v>
      </c>
      <c r="AM98" s="29">
        <f>IF(E98="","",IF(COUNTIFS(Analytics!$E$5:$E$154,E98,Analytics!$C$5:$C$154,C98)&gt;1,"Duplicate","OK"))</f>
        <v>0</v>
      </c>
      <c r="AN98" s="29">
        <f>IF(E98="","",IF(AM98="Duplicate","Duplicate - this month is entered twice",IF(AND(J98&lt;&gt;"",AA98&lt;TargetEngagement),"Check - engagement below target",IF(X98&lt;0,"Check - followers went down",IF(AND(I98&lt;&gt;"",Z98&lt;&gt;"",I98&lt;&gt;Z98),"Check - post count does not match the calendar","OK")))))</f>
        <v>0</v>
      </c>
    </row>
    <row r="99" spans="1:40">
      <c r="A99" s="41">
        <f>IF(E99="","","AN-"&amp;TEXT(ROW()-4,"0000"))</f>
        <v>0</v>
      </c>
      <c r="C99" s="17">
        <f>IF(B99="","",TEXT(B99,"yyyy-mm"))</f>
        <v>0</v>
      </c>
      <c r="W99" s="23">
        <f>IF(G99="","",G99-N(F99)+N(H99))</f>
        <v>0</v>
      </c>
      <c r="X99" s="23">
        <f>IF(G99="","",G99-N(F99))</f>
        <v>0</v>
      </c>
      <c r="Y99" s="24">
        <f>IF(OR(F99="",F99=0),"",X99/F99)</f>
        <v>0</v>
      </c>
      <c r="Z99" s="23">
        <f>IF(OR(B99="",D99=""),"",COUNTIFS('Content Calendar'!$G$5:$G$604,D99,'Content Calendar'!$D$5:$D$604,C99,'Content Calendar'!$X$5:$X$604,"Published"))</f>
        <v>0</v>
      </c>
      <c r="AA99" s="24">
        <f>IF(OR(J99="",J99=0),"",N(L99)/J99)</f>
        <v>0</v>
      </c>
      <c r="AB99" s="23">
        <f>IF(OR(I99="",I99=0),"",ROUND(N(J99)/I99,0))</f>
        <v>0</v>
      </c>
      <c r="AC99" s="23">
        <f>IF(OR(I99="",I99=0),"",ROUND(N(L99)/I99,0))</f>
        <v>0</v>
      </c>
      <c r="AD99" s="24">
        <f>IF(OR(G99="",G99=0),"",N(J99)/G99)</f>
        <v>0</v>
      </c>
      <c r="AE99" s="24">
        <f>IF(OR(J99="",J99=0),"",N(R99)/J99)</f>
        <v>0</v>
      </c>
      <c r="AF99" s="24">
        <f>IF(OR(R99="",R99=0),"",N(S99)/R99)</f>
        <v>0</v>
      </c>
      <c r="AG99" s="24">
        <f>IF(OR(S99="",S99=0),"",N(T99)/S99)</f>
        <v>0</v>
      </c>
      <c r="AH99" s="25">
        <f>IF(OR(S99="",S99=0,V99=""),"",V99/S99)</f>
        <v>0</v>
      </c>
      <c r="AI99" s="31">
        <f>IF(OR(V99="",V99=0),"",N(U99)/V99)</f>
        <v>0</v>
      </c>
      <c r="AJ99" s="23">
        <f>IF(B99="","",SUMIFS(Analytics!$J$5:$J$154,Analytics!$E$5:$E$154,E99,Analytics!$C$5:$C$154,TEXT(EDATE(B99,-1),"yyyy-mm")))</f>
        <v>0</v>
      </c>
      <c r="AK99" s="24">
        <f>IF(OR(AJ99="",AJ99=0),"",N(J99)/AJ99-1)</f>
        <v>0</v>
      </c>
      <c r="AL99" s="23">
        <f>IF(B99="","",SUMIFS(Analytics!$G$5:$G$154,Analytics!$E$5:$E$154,E99,Analytics!$C$5:$C$154,TEXT(EDATE(B99,-1),"yyyy-mm")))</f>
        <v>0</v>
      </c>
      <c r="AM99" s="29">
        <f>IF(E99="","",IF(COUNTIFS(Analytics!$E$5:$E$154,E99,Analytics!$C$5:$C$154,C99)&gt;1,"Duplicate","OK"))</f>
        <v>0</v>
      </c>
      <c r="AN99" s="29">
        <f>IF(E99="","",IF(AM99="Duplicate","Duplicate - this month is entered twice",IF(AND(J99&lt;&gt;"",AA99&lt;TargetEngagement),"Check - engagement below target",IF(X99&lt;0,"Check - followers went down",IF(AND(I99&lt;&gt;"",Z99&lt;&gt;"",I99&lt;&gt;Z99),"Check - post count does not match the calendar","OK")))))</f>
        <v>0</v>
      </c>
    </row>
    <row r="100" spans="1:40">
      <c r="A100" s="41">
        <f>IF(E100="","","AN-"&amp;TEXT(ROW()-4,"0000"))</f>
        <v>0</v>
      </c>
      <c r="C100" s="17">
        <f>IF(B100="","",TEXT(B100,"yyyy-mm"))</f>
        <v>0</v>
      </c>
      <c r="W100" s="23">
        <f>IF(G100="","",G100-N(F100)+N(H100))</f>
        <v>0</v>
      </c>
      <c r="X100" s="23">
        <f>IF(G100="","",G100-N(F100))</f>
        <v>0</v>
      </c>
      <c r="Y100" s="24">
        <f>IF(OR(F100="",F100=0),"",X100/F100)</f>
        <v>0</v>
      </c>
      <c r="Z100" s="23">
        <f>IF(OR(B100="",D100=""),"",COUNTIFS('Content Calendar'!$G$5:$G$604,D100,'Content Calendar'!$D$5:$D$604,C100,'Content Calendar'!$X$5:$X$604,"Published"))</f>
        <v>0</v>
      </c>
      <c r="AA100" s="24">
        <f>IF(OR(J100="",J100=0),"",N(L100)/J100)</f>
        <v>0</v>
      </c>
      <c r="AB100" s="23">
        <f>IF(OR(I100="",I100=0),"",ROUND(N(J100)/I100,0))</f>
        <v>0</v>
      </c>
      <c r="AC100" s="23">
        <f>IF(OR(I100="",I100=0),"",ROUND(N(L100)/I100,0))</f>
        <v>0</v>
      </c>
      <c r="AD100" s="24">
        <f>IF(OR(G100="",G100=0),"",N(J100)/G100)</f>
        <v>0</v>
      </c>
      <c r="AE100" s="24">
        <f>IF(OR(J100="",J100=0),"",N(R100)/J100)</f>
        <v>0</v>
      </c>
      <c r="AF100" s="24">
        <f>IF(OR(R100="",R100=0),"",N(S100)/R100)</f>
        <v>0</v>
      </c>
      <c r="AG100" s="24">
        <f>IF(OR(S100="",S100=0),"",N(T100)/S100)</f>
        <v>0</v>
      </c>
      <c r="AH100" s="25">
        <f>IF(OR(S100="",S100=0,V100=""),"",V100/S100)</f>
        <v>0</v>
      </c>
      <c r="AI100" s="31">
        <f>IF(OR(V100="",V100=0),"",N(U100)/V100)</f>
        <v>0</v>
      </c>
      <c r="AJ100" s="23">
        <f>IF(B100="","",SUMIFS(Analytics!$J$5:$J$154,Analytics!$E$5:$E$154,E100,Analytics!$C$5:$C$154,TEXT(EDATE(B100,-1),"yyyy-mm")))</f>
        <v>0</v>
      </c>
      <c r="AK100" s="24">
        <f>IF(OR(AJ100="",AJ100=0),"",N(J100)/AJ100-1)</f>
        <v>0</v>
      </c>
      <c r="AL100" s="23">
        <f>IF(B100="","",SUMIFS(Analytics!$G$5:$G$154,Analytics!$E$5:$E$154,E100,Analytics!$C$5:$C$154,TEXT(EDATE(B100,-1),"yyyy-mm")))</f>
        <v>0</v>
      </c>
      <c r="AM100" s="29">
        <f>IF(E100="","",IF(COUNTIFS(Analytics!$E$5:$E$154,E100,Analytics!$C$5:$C$154,C100)&gt;1,"Duplicate","OK"))</f>
        <v>0</v>
      </c>
      <c r="AN100" s="29">
        <f>IF(E100="","",IF(AM100="Duplicate","Duplicate - this month is entered twice",IF(AND(J100&lt;&gt;"",AA100&lt;TargetEngagement),"Check - engagement below target",IF(X100&lt;0,"Check - followers went down",IF(AND(I100&lt;&gt;"",Z100&lt;&gt;"",I100&lt;&gt;Z100),"Check - post count does not match the calendar","OK")))))</f>
        <v>0</v>
      </c>
    </row>
    <row r="101" spans="1:40">
      <c r="A101" s="41">
        <f>IF(E101="","","AN-"&amp;TEXT(ROW()-4,"0000"))</f>
        <v>0</v>
      </c>
      <c r="C101" s="17">
        <f>IF(B101="","",TEXT(B101,"yyyy-mm"))</f>
        <v>0</v>
      </c>
      <c r="W101" s="23">
        <f>IF(G101="","",G101-N(F101)+N(H101))</f>
        <v>0</v>
      </c>
      <c r="X101" s="23">
        <f>IF(G101="","",G101-N(F101))</f>
        <v>0</v>
      </c>
      <c r="Y101" s="24">
        <f>IF(OR(F101="",F101=0),"",X101/F101)</f>
        <v>0</v>
      </c>
      <c r="Z101" s="23">
        <f>IF(OR(B101="",D101=""),"",COUNTIFS('Content Calendar'!$G$5:$G$604,D101,'Content Calendar'!$D$5:$D$604,C101,'Content Calendar'!$X$5:$X$604,"Published"))</f>
        <v>0</v>
      </c>
      <c r="AA101" s="24">
        <f>IF(OR(J101="",J101=0),"",N(L101)/J101)</f>
        <v>0</v>
      </c>
      <c r="AB101" s="23">
        <f>IF(OR(I101="",I101=0),"",ROUND(N(J101)/I101,0))</f>
        <v>0</v>
      </c>
      <c r="AC101" s="23">
        <f>IF(OR(I101="",I101=0),"",ROUND(N(L101)/I101,0))</f>
        <v>0</v>
      </c>
      <c r="AD101" s="24">
        <f>IF(OR(G101="",G101=0),"",N(J101)/G101)</f>
        <v>0</v>
      </c>
      <c r="AE101" s="24">
        <f>IF(OR(J101="",J101=0),"",N(R101)/J101)</f>
        <v>0</v>
      </c>
      <c r="AF101" s="24">
        <f>IF(OR(R101="",R101=0),"",N(S101)/R101)</f>
        <v>0</v>
      </c>
      <c r="AG101" s="24">
        <f>IF(OR(S101="",S101=0),"",N(T101)/S101)</f>
        <v>0</v>
      </c>
      <c r="AH101" s="25">
        <f>IF(OR(S101="",S101=0,V101=""),"",V101/S101)</f>
        <v>0</v>
      </c>
      <c r="AI101" s="31">
        <f>IF(OR(V101="",V101=0),"",N(U101)/V101)</f>
        <v>0</v>
      </c>
      <c r="AJ101" s="23">
        <f>IF(B101="","",SUMIFS(Analytics!$J$5:$J$154,Analytics!$E$5:$E$154,E101,Analytics!$C$5:$C$154,TEXT(EDATE(B101,-1),"yyyy-mm")))</f>
        <v>0</v>
      </c>
      <c r="AK101" s="24">
        <f>IF(OR(AJ101="",AJ101=0),"",N(J101)/AJ101-1)</f>
        <v>0</v>
      </c>
      <c r="AL101" s="23">
        <f>IF(B101="","",SUMIFS(Analytics!$G$5:$G$154,Analytics!$E$5:$E$154,E101,Analytics!$C$5:$C$154,TEXT(EDATE(B101,-1),"yyyy-mm")))</f>
        <v>0</v>
      </c>
      <c r="AM101" s="29">
        <f>IF(E101="","",IF(COUNTIFS(Analytics!$E$5:$E$154,E101,Analytics!$C$5:$C$154,C101)&gt;1,"Duplicate","OK"))</f>
        <v>0</v>
      </c>
      <c r="AN101" s="29">
        <f>IF(E101="","",IF(AM101="Duplicate","Duplicate - this month is entered twice",IF(AND(J101&lt;&gt;"",AA101&lt;TargetEngagement),"Check - engagement below target",IF(X101&lt;0,"Check - followers went down",IF(AND(I101&lt;&gt;"",Z101&lt;&gt;"",I101&lt;&gt;Z101),"Check - post count does not match the calendar","OK")))))</f>
        <v>0</v>
      </c>
    </row>
    <row r="102" spans="1:40">
      <c r="A102" s="41">
        <f>IF(E102="","","AN-"&amp;TEXT(ROW()-4,"0000"))</f>
        <v>0</v>
      </c>
      <c r="C102" s="17">
        <f>IF(B102="","",TEXT(B102,"yyyy-mm"))</f>
        <v>0</v>
      </c>
      <c r="W102" s="23">
        <f>IF(G102="","",G102-N(F102)+N(H102))</f>
        <v>0</v>
      </c>
      <c r="X102" s="23">
        <f>IF(G102="","",G102-N(F102))</f>
        <v>0</v>
      </c>
      <c r="Y102" s="24">
        <f>IF(OR(F102="",F102=0),"",X102/F102)</f>
        <v>0</v>
      </c>
      <c r="Z102" s="23">
        <f>IF(OR(B102="",D102=""),"",COUNTIFS('Content Calendar'!$G$5:$G$604,D102,'Content Calendar'!$D$5:$D$604,C102,'Content Calendar'!$X$5:$X$604,"Published"))</f>
        <v>0</v>
      </c>
      <c r="AA102" s="24">
        <f>IF(OR(J102="",J102=0),"",N(L102)/J102)</f>
        <v>0</v>
      </c>
      <c r="AB102" s="23">
        <f>IF(OR(I102="",I102=0),"",ROUND(N(J102)/I102,0))</f>
        <v>0</v>
      </c>
      <c r="AC102" s="23">
        <f>IF(OR(I102="",I102=0),"",ROUND(N(L102)/I102,0))</f>
        <v>0</v>
      </c>
      <c r="AD102" s="24">
        <f>IF(OR(G102="",G102=0),"",N(J102)/G102)</f>
        <v>0</v>
      </c>
      <c r="AE102" s="24">
        <f>IF(OR(J102="",J102=0),"",N(R102)/J102)</f>
        <v>0</v>
      </c>
      <c r="AF102" s="24">
        <f>IF(OR(R102="",R102=0),"",N(S102)/R102)</f>
        <v>0</v>
      </c>
      <c r="AG102" s="24">
        <f>IF(OR(S102="",S102=0),"",N(T102)/S102)</f>
        <v>0</v>
      </c>
      <c r="AH102" s="25">
        <f>IF(OR(S102="",S102=0,V102=""),"",V102/S102)</f>
        <v>0</v>
      </c>
      <c r="AI102" s="31">
        <f>IF(OR(V102="",V102=0),"",N(U102)/V102)</f>
        <v>0</v>
      </c>
      <c r="AJ102" s="23">
        <f>IF(B102="","",SUMIFS(Analytics!$J$5:$J$154,Analytics!$E$5:$E$154,E102,Analytics!$C$5:$C$154,TEXT(EDATE(B102,-1),"yyyy-mm")))</f>
        <v>0</v>
      </c>
      <c r="AK102" s="24">
        <f>IF(OR(AJ102="",AJ102=0),"",N(J102)/AJ102-1)</f>
        <v>0</v>
      </c>
      <c r="AL102" s="23">
        <f>IF(B102="","",SUMIFS(Analytics!$G$5:$G$154,Analytics!$E$5:$E$154,E102,Analytics!$C$5:$C$154,TEXT(EDATE(B102,-1),"yyyy-mm")))</f>
        <v>0</v>
      </c>
      <c r="AM102" s="29">
        <f>IF(E102="","",IF(COUNTIFS(Analytics!$E$5:$E$154,E102,Analytics!$C$5:$C$154,C102)&gt;1,"Duplicate","OK"))</f>
        <v>0</v>
      </c>
      <c r="AN102" s="29">
        <f>IF(E102="","",IF(AM102="Duplicate","Duplicate - this month is entered twice",IF(AND(J102&lt;&gt;"",AA102&lt;TargetEngagement),"Check - engagement below target",IF(X102&lt;0,"Check - followers went down",IF(AND(I102&lt;&gt;"",Z102&lt;&gt;"",I102&lt;&gt;Z102),"Check - post count does not match the calendar","OK")))))</f>
        <v>0</v>
      </c>
    </row>
    <row r="103" spans="1:40">
      <c r="A103" s="41">
        <f>IF(E103="","","AN-"&amp;TEXT(ROW()-4,"0000"))</f>
        <v>0</v>
      </c>
      <c r="C103" s="17">
        <f>IF(B103="","",TEXT(B103,"yyyy-mm"))</f>
        <v>0</v>
      </c>
      <c r="W103" s="23">
        <f>IF(G103="","",G103-N(F103)+N(H103))</f>
        <v>0</v>
      </c>
      <c r="X103" s="23">
        <f>IF(G103="","",G103-N(F103))</f>
        <v>0</v>
      </c>
      <c r="Y103" s="24">
        <f>IF(OR(F103="",F103=0),"",X103/F103)</f>
        <v>0</v>
      </c>
      <c r="Z103" s="23">
        <f>IF(OR(B103="",D103=""),"",COUNTIFS('Content Calendar'!$G$5:$G$604,D103,'Content Calendar'!$D$5:$D$604,C103,'Content Calendar'!$X$5:$X$604,"Published"))</f>
        <v>0</v>
      </c>
      <c r="AA103" s="24">
        <f>IF(OR(J103="",J103=0),"",N(L103)/J103)</f>
        <v>0</v>
      </c>
      <c r="AB103" s="23">
        <f>IF(OR(I103="",I103=0),"",ROUND(N(J103)/I103,0))</f>
        <v>0</v>
      </c>
      <c r="AC103" s="23">
        <f>IF(OR(I103="",I103=0),"",ROUND(N(L103)/I103,0))</f>
        <v>0</v>
      </c>
      <c r="AD103" s="24">
        <f>IF(OR(G103="",G103=0),"",N(J103)/G103)</f>
        <v>0</v>
      </c>
      <c r="AE103" s="24">
        <f>IF(OR(J103="",J103=0),"",N(R103)/J103)</f>
        <v>0</v>
      </c>
      <c r="AF103" s="24">
        <f>IF(OR(R103="",R103=0),"",N(S103)/R103)</f>
        <v>0</v>
      </c>
      <c r="AG103" s="24">
        <f>IF(OR(S103="",S103=0),"",N(T103)/S103)</f>
        <v>0</v>
      </c>
      <c r="AH103" s="25">
        <f>IF(OR(S103="",S103=0,V103=""),"",V103/S103)</f>
        <v>0</v>
      </c>
      <c r="AI103" s="31">
        <f>IF(OR(V103="",V103=0),"",N(U103)/V103)</f>
        <v>0</v>
      </c>
      <c r="AJ103" s="23">
        <f>IF(B103="","",SUMIFS(Analytics!$J$5:$J$154,Analytics!$E$5:$E$154,E103,Analytics!$C$5:$C$154,TEXT(EDATE(B103,-1),"yyyy-mm")))</f>
        <v>0</v>
      </c>
      <c r="AK103" s="24">
        <f>IF(OR(AJ103="",AJ103=0),"",N(J103)/AJ103-1)</f>
        <v>0</v>
      </c>
      <c r="AL103" s="23">
        <f>IF(B103="","",SUMIFS(Analytics!$G$5:$G$154,Analytics!$E$5:$E$154,E103,Analytics!$C$5:$C$154,TEXT(EDATE(B103,-1),"yyyy-mm")))</f>
        <v>0</v>
      </c>
      <c r="AM103" s="29">
        <f>IF(E103="","",IF(COUNTIFS(Analytics!$E$5:$E$154,E103,Analytics!$C$5:$C$154,C103)&gt;1,"Duplicate","OK"))</f>
        <v>0</v>
      </c>
      <c r="AN103" s="29">
        <f>IF(E103="","",IF(AM103="Duplicate","Duplicate - this month is entered twice",IF(AND(J103&lt;&gt;"",AA103&lt;TargetEngagement),"Check - engagement below target",IF(X103&lt;0,"Check - followers went down",IF(AND(I103&lt;&gt;"",Z103&lt;&gt;"",I103&lt;&gt;Z103),"Check - post count does not match the calendar","OK")))))</f>
        <v>0</v>
      </c>
    </row>
    <row r="104" spans="1:40">
      <c r="A104" s="41">
        <f>IF(E104="","","AN-"&amp;TEXT(ROW()-4,"0000"))</f>
        <v>0</v>
      </c>
      <c r="C104" s="17">
        <f>IF(B104="","",TEXT(B104,"yyyy-mm"))</f>
        <v>0</v>
      </c>
      <c r="W104" s="23">
        <f>IF(G104="","",G104-N(F104)+N(H104))</f>
        <v>0</v>
      </c>
      <c r="X104" s="23">
        <f>IF(G104="","",G104-N(F104))</f>
        <v>0</v>
      </c>
      <c r="Y104" s="24">
        <f>IF(OR(F104="",F104=0),"",X104/F104)</f>
        <v>0</v>
      </c>
      <c r="Z104" s="23">
        <f>IF(OR(B104="",D104=""),"",COUNTIFS('Content Calendar'!$G$5:$G$604,D104,'Content Calendar'!$D$5:$D$604,C104,'Content Calendar'!$X$5:$X$604,"Published"))</f>
        <v>0</v>
      </c>
      <c r="AA104" s="24">
        <f>IF(OR(J104="",J104=0),"",N(L104)/J104)</f>
        <v>0</v>
      </c>
      <c r="AB104" s="23">
        <f>IF(OR(I104="",I104=0),"",ROUND(N(J104)/I104,0))</f>
        <v>0</v>
      </c>
      <c r="AC104" s="23">
        <f>IF(OR(I104="",I104=0),"",ROUND(N(L104)/I104,0))</f>
        <v>0</v>
      </c>
      <c r="AD104" s="24">
        <f>IF(OR(G104="",G104=0),"",N(J104)/G104)</f>
        <v>0</v>
      </c>
      <c r="AE104" s="24">
        <f>IF(OR(J104="",J104=0),"",N(R104)/J104)</f>
        <v>0</v>
      </c>
      <c r="AF104" s="24">
        <f>IF(OR(R104="",R104=0),"",N(S104)/R104)</f>
        <v>0</v>
      </c>
      <c r="AG104" s="24">
        <f>IF(OR(S104="",S104=0),"",N(T104)/S104)</f>
        <v>0</v>
      </c>
      <c r="AH104" s="25">
        <f>IF(OR(S104="",S104=0,V104=""),"",V104/S104)</f>
        <v>0</v>
      </c>
      <c r="AI104" s="31">
        <f>IF(OR(V104="",V104=0),"",N(U104)/V104)</f>
        <v>0</v>
      </c>
      <c r="AJ104" s="23">
        <f>IF(B104="","",SUMIFS(Analytics!$J$5:$J$154,Analytics!$E$5:$E$154,E104,Analytics!$C$5:$C$154,TEXT(EDATE(B104,-1),"yyyy-mm")))</f>
        <v>0</v>
      </c>
      <c r="AK104" s="24">
        <f>IF(OR(AJ104="",AJ104=0),"",N(J104)/AJ104-1)</f>
        <v>0</v>
      </c>
      <c r="AL104" s="23">
        <f>IF(B104="","",SUMIFS(Analytics!$G$5:$G$154,Analytics!$E$5:$E$154,E104,Analytics!$C$5:$C$154,TEXT(EDATE(B104,-1),"yyyy-mm")))</f>
        <v>0</v>
      </c>
      <c r="AM104" s="29">
        <f>IF(E104="","",IF(COUNTIFS(Analytics!$E$5:$E$154,E104,Analytics!$C$5:$C$154,C104)&gt;1,"Duplicate","OK"))</f>
        <v>0</v>
      </c>
      <c r="AN104" s="29">
        <f>IF(E104="","",IF(AM104="Duplicate","Duplicate - this month is entered twice",IF(AND(J104&lt;&gt;"",AA104&lt;TargetEngagement),"Check - engagement below target",IF(X104&lt;0,"Check - followers went down",IF(AND(I104&lt;&gt;"",Z104&lt;&gt;"",I104&lt;&gt;Z104),"Check - post count does not match the calendar","OK")))))</f>
        <v>0</v>
      </c>
    </row>
    <row r="105" spans="1:40">
      <c r="A105" s="41">
        <f>IF(E105="","","AN-"&amp;TEXT(ROW()-4,"0000"))</f>
        <v>0</v>
      </c>
      <c r="C105" s="17">
        <f>IF(B105="","",TEXT(B105,"yyyy-mm"))</f>
        <v>0</v>
      </c>
      <c r="W105" s="23">
        <f>IF(G105="","",G105-N(F105)+N(H105))</f>
        <v>0</v>
      </c>
      <c r="X105" s="23">
        <f>IF(G105="","",G105-N(F105))</f>
        <v>0</v>
      </c>
      <c r="Y105" s="24">
        <f>IF(OR(F105="",F105=0),"",X105/F105)</f>
        <v>0</v>
      </c>
      <c r="Z105" s="23">
        <f>IF(OR(B105="",D105=""),"",COUNTIFS('Content Calendar'!$G$5:$G$604,D105,'Content Calendar'!$D$5:$D$604,C105,'Content Calendar'!$X$5:$X$604,"Published"))</f>
        <v>0</v>
      </c>
      <c r="AA105" s="24">
        <f>IF(OR(J105="",J105=0),"",N(L105)/J105)</f>
        <v>0</v>
      </c>
      <c r="AB105" s="23">
        <f>IF(OR(I105="",I105=0),"",ROUND(N(J105)/I105,0))</f>
        <v>0</v>
      </c>
      <c r="AC105" s="23">
        <f>IF(OR(I105="",I105=0),"",ROUND(N(L105)/I105,0))</f>
        <v>0</v>
      </c>
      <c r="AD105" s="24">
        <f>IF(OR(G105="",G105=0),"",N(J105)/G105)</f>
        <v>0</v>
      </c>
      <c r="AE105" s="24">
        <f>IF(OR(J105="",J105=0),"",N(R105)/J105)</f>
        <v>0</v>
      </c>
      <c r="AF105" s="24">
        <f>IF(OR(R105="",R105=0),"",N(S105)/R105)</f>
        <v>0</v>
      </c>
      <c r="AG105" s="24">
        <f>IF(OR(S105="",S105=0),"",N(T105)/S105)</f>
        <v>0</v>
      </c>
      <c r="AH105" s="25">
        <f>IF(OR(S105="",S105=0,V105=""),"",V105/S105)</f>
        <v>0</v>
      </c>
      <c r="AI105" s="31">
        <f>IF(OR(V105="",V105=0),"",N(U105)/V105)</f>
        <v>0</v>
      </c>
      <c r="AJ105" s="23">
        <f>IF(B105="","",SUMIFS(Analytics!$J$5:$J$154,Analytics!$E$5:$E$154,E105,Analytics!$C$5:$C$154,TEXT(EDATE(B105,-1),"yyyy-mm")))</f>
        <v>0</v>
      </c>
      <c r="AK105" s="24">
        <f>IF(OR(AJ105="",AJ105=0),"",N(J105)/AJ105-1)</f>
        <v>0</v>
      </c>
      <c r="AL105" s="23">
        <f>IF(B105="","",SUMIFS(Analytics!$G$5:$G$154,Analytics!$E$5:$E$154,E105,Analytics!$C$5:$C$154,TEXT(EDATE(B105,-1),"yyyy-mm")))</f>
        <v>0</v>
      </c>
      <c r="AM105" s="29">
        <f>IF(E105="","",IF(COUNTIFS(Analytics!$E$5:$E$154,E105,Analytics!$C$5:$C$154,C105)&gt;1,"Duplicate","OK"))</f>
        <v>0</v>
      </c>
      <c r="AN105" s="29">
        <f>IF(E105="","",IF(AM105="Duplicate","Duplicate - this month is entered twice",IF(AND(J105&lt;&gt;"",AA105&lt;TargetEngagement),"Check - engagement below target",IF(X105&lt;0,"Check - followers went down",IF(AND(I105&lt;&gt;"",Z105&lt;&gt;"",I105&lt;&gt;Z105),"Check - post count does not match the calendar","OK")))))</f>
        <v>0</v>
      </c>
    </row>
    <row r="106" spans="1:40">
      <c r="A106" s="41">
        <f>IF(E106="","","AN-"&amp;TEXT(ROW()-4,"0000"))</f>
        <v>0</v>
      </c>
      <c r="C106" s="17">
        <f>IF(B106="","",TEXT(B106,"yyyy-mm"))</f>
        <v>0</v>
      </c>
      <c r="W106" s="23">
        <f>IF(G106="","",G106-N(F106)+N(H106))</f>
        <v>0</v>
      </c>
      <c r="X106" s="23">
        <f>IF(G106="","",G106-N(F106))</f>
        <v>0</v>
      </c>
      <c r="Y106" s="24">
        <f>IF(OR(F106="",F106=0),"",X106/F106)</f>
        <v>0</v>
      </c>
      <c r="Z106" s="23">
        <f>IF(OR(B106="",D106=""),"",COUNTIFS('Content Calendar'!$G$5:$G$604,D106,'Content Calendar'!$D$5:$D$604,C106,'Content Calendar'!$X$5:$X$604,"Published"))</f>
        <v>0</v>
      </c>
      <c r="AA106" s="24">
        <f>IF(OR(J106="",J106=0),"",N(L106)/J106)</f>
        <v>0</v>
      </c>
      <c r="AB106" s="23">
        <f>IF(OR(I106="",I106=0),"",ROUND(N(J106)/I106,0))</f>
        <v>0</v>
      </c>
      <c r="AC106" s="23">
        <f>IF(OR(I106="",I106=0),"",ROUND(N(L106)/I106,0))</f>
        <v>0</v>
      </c>
      <c r="AD106" s="24">
        <f>IF(OR(G106="",G106=0),"",N(J106)/G106)</f>
        <v>0</v>
      </c>
      <c r="AE106" s="24">
        <f>IF(OR(J106="",J106=0),"",N(R106)/J106)</f>
        <v>0</v>
      </c>
      <c r="AF106" s="24">
        <f>IF(OR(R106="",R106=0),"",N(S106)/R106)</f>
        <v>0</v>
      </c>
      <c r="AG106" s="24">
        <f>IF(OR(S106="",S106=0),"",N(T106)/S106)</f>
        <v>0</v>
      </c>
      <c r="AH106" s="25">
        <f>IF(OR(S106="",S106=0,V106=""),"",V106/S106)</f>
        <v>0</v>
      </c>
      <c r="AI106" s="31">
        <f>IF(OR(V106="",V106=0),"",N(U106)/V106)</f>
        <v>0</v>
      </c>
      <c r="AJ106" s="23">
        <f>IF(B106="","",SUMIFS(Analytics!$J$5:$J$154,Analytics!$E$5:$E$154,E106,Analytics!$C$5:$C$154,TEXT(EDATE(B106,-1),"yyyy-mm")))</f>
        <v>0</v>
      </c>
      <c r="AK106" s="24">
        <f>IF(OR(AJ106="",AJ106=0),"",N(J106)/AJ106-1)</f>
        <v>0</v>
      </c>
      <c r="AL106" s="23">
        <f>IF(B106="","",SUMIFS(Analytics!$G$5:$G$154,Analytics!$E$5:$E$154,E106,Analytics!$C$5:$C$154,TEXT(EDATE(B106,-1),"yyyy-mm")))</f>
        <v>0</v>
      </c>
      <c r="AM106" s="29">
        <f>IF(E106="","",IF(COUNTIFS(Analytics!$E$5:$E$154,E106,Analytics!$C$5:$C$154,C106)&gt;1,"Duplicate","OK"))</f>
        <v>0</v>
      </c>
      <c r="AN106" s="29">
        <f>IF(E106="","",IF(AM106="Duplicate","Duplicate - this month is entered twice",IF(AND(J106&lt;&gt;"",AA106&lt;TargetEngagement),"Check - engagement below target",IF(X106&lt;0,"Check - followers went down",IF(AND(I106&lt;&gt;"",Z106&lt;&gt;"",I106&lt;&gt;Z106),"Check - post count does not match the calendar","OK")))))</f>
        <v>0</v>
      </c>
    </row>
    <row r="107" spans="1:40">
      <c r="A107" s="41">
        <f>IF(E107="","","AN-"&amp;TEXT(ROW()-4,"0000"))</f>
        <v>0</v>
      </c>
      <c r="C107" s="17">
        <f>IF(B107="","",TEXT(B107,"yyyy-mm"))</f>
        <v>0</v>
      </c>
      <c r="W107" s="23">
        <f>IF(G107="","",G107-N(F107)+N(H107))</f>
        <v>0</v>
      </c>
      <c r="X107" s="23">
        <f>IF(G107="","",G107-N(F107))</f>
        <v>0</v>
      </c>
      <c r="Y107" s="24">
        <f>IF(OR(F107="",F107=0),"",X107/F107)</f>
        <v>0</v>
      </c>
      <c r="Z107" s="23">
        <f>IF(OR(B107="",D107=""),"",COUNTIFS('Content Calendar'!$G$5:$G$604,D107,'Content Calendar'!$D$5:$D$604,C107,'Content Calendar'!$X$5:$X$604,"Published"))</f>
        <v>0</v>
      </c>
      <c r="AA107" s="24">
        <f>IF(OR(J107="",J107=0),"",N(L107)/J107)</f>
        <v>0</v>
      </c>
      <c r="AB107" s="23">
        <f>IF(OR(I107="",I107=0),"",ROUND(N(J107)/I107,0))</f>
        <v>0</v>
      </c>
      <c r="AC107" s="23">
        <f>IF(OR(I107="",I107=0),"",ROUND(N(L107)/I107,0))</f>
        <v>0</v>
      </c>
      <c r="AD107" s="24">
        <f>IF(OR(G107="",G107=0),"",N(J107)/G107)</f>
        <v>0</v>
      </c>
      <c r="AE107" s="24">
        <f>IF(OR(J107="",J107=0),"",N(R107)/J107)</f>
        <v>0</v>
      </c>
      <c r="AF107" s="24">
        <f>IF(OR(R107="",R107=0),"",N(S107)/R107)</f>
        <v>0</v>
      </c>
      <c r="AG107" s="24">
        <f>IF(OR(S107="",S107=0),"",N(T107)/S107)</f>
        <v>0</v>
      </c>
      <c r="AH107" s="25">
        <f>IF(OR(S107="",S107=0,V107=""),"",V107/S107)</f>
        <v>0</v>
      </c>
      <c r="AI107" s="31">
        <f>IF(OR(V107="",V107=0),"",N(U107)/V107)</f>
        <v>0</v>
      </c>
      <c r="AJ107" s="23">
        <f>IF(B107="","",SUMIFS(Analytics!$J$5:$J$154,Analytics!$E$5:$E$154,E107,Analytics!$C$5:$C$154,TEXT(EDATE(B107,-1),"yyyy-mm")))</f>
        <v>0</v>
      </c>
      <c r="AK107" s="24">
        <f>IF(OR(AJ107="",AJ107=0),"",N(J107)/AJ107-1)</f>
        <v>0</v>
      </c>
      <c r="AL107" s="23">
        <f>IF(B107="","",SUMIFS(Analytics!$G$5:$G$154,Analytics!$E$5:$E$154,E107,Analytics!$C$5:$C$154,TEXT(EDATE(B107,-1),"yyyy-mm")))</f>
        <v>0</v>
      </c>
      <c r="AM107" s="29">
        <f>IF(E107="","",IF(COUNTIFS(Analytics!$E$5:$E$154,E107,Analytics!$C$5:$C$154,C107)&gt;1,"Duplicate","OK"))</f>
        <v>0</v>
      </c>
      <c r="AN107" s="29">
        <f>IF(E107="","",IF(AM107="Duplicate","Duplicate - this month is entered twice",IF(AND(J107&lt;&gt;"",AA107&lt;TargetEngagement),"Check - engagement below target",IF(X107&lt;0,"Check - followers went down",IF(AND(I107&lt;&gt;"",Z107&lt;&gt;"",I107&lt;&gt;Z107),"Check - post count does not match the calendar","OK")))))</f>
        <v>0</v>
      </c>
    </row>
    <row r="108" spans="1:40">
      <c r="A108" s="41">
        <f>IF(E108="","","AN-"&amp;TEXT(ROW()-4,"0000"))</f>
        <v>0</v>
      </c>
      <c r="C108" s="17">
        <f>IF(B108="","",TEXT(B108,"yyyy-mm"))</f>
        <v>0</v>
      </c>
      <c r="W108" s="23">
        <f>IF(G108="","",G108-N(F108)+N(H108))</f>
        <v>0</v>
      </c>
      <c r="X108" s="23">
        <f>IF(G108="","",G108-N(F108))</f>
        <v>0</v>
      </c>
      <c r="Y108" s="24">
        <f>IF(OR(F108="",F108=0),"",X108/F108)</f>
        <v>0</v>
      </c>
      <c r="Z108" s="23">
        <f>IF(OR(B108="",D108=""),"",COUNTIFS('Content Calendar'!$G$5:$G$604,D108,'Content Calendar'!$D$5:$D$604,C108,'Content Calendar'!$X$5:$X$604,"Published"))</f>
        <v>0</v>
      </c>
      <c r="AA108" s="24">
        <f>IF(OR(J108="",J108=0),"",N(L108)/J108)</f>
        <v>0</v>
      </c>
      <c r="AB108" s="23">
        <f>IF(OR(I108="",I108=0),"",ROUND(N(J108)/I108,0))</f>
        <v>0</v>
      </c>
      <c r="AC108" s="23">
        <f>IF(OR(I108="",I108=0),"",ROUND(N(L108)/I108,0))</f>
        <v>0</v>
      </c>
      <c r="AD108" s="24">
        <f>IF(OR(G108="",G108=0),"",N(J108)/G108)</f>
        <v>0</v>
      </c>
      <c r="AE108" s="24">
        <f>IF(OR(J108="",J108=0),"",N(R108)/J108)</f>
        <v>0</v>
      </c>
      <c r="AF108" s="24">
        <f>IF(OR(R108="",R108=0),"",N(S108)/R108)</f>
        <v>0</v>
      </c>
      <c r="AG108" s="24">
        <f>IF(OR(S108="",S108=0),"",N(T108)/S108)</f>
        <v>0</v>
      </c>
      <c r="AH108" s="25">
        <f>IF(OR(S108="",S108=0,V108=""),"",V108/S108)</f>
        <v>0</v>
      </c>
      <c r="AI108" s="31">
        <f>IF(OR(V108="",V108=0),"",N(U108)/V108)</f>
        <v>0</v>
      </c>
      <c r="AJ108" s="23">
        <f>IF(B108="","",SUMIFS(Analytics!$J$5:$J$154,Analytics!$E$5:$E$154,E108,Analytics!$C$5:$C$154,TEXT(EDATE(B108,-1),"yyyy-mm")))</f>
        <v>0</v>
      </c>
      <c r="AK108" s="24">
        <f>IF(OR(AJ108="",AJ108=0),"",N(J108)/AJ108-1)</f>
        <v>0</v>
      </c>
      <c r="AL108" s="23">
        <f>IF(B108="","",SUMIFS(Analytics!$G$5:$G$154,Analytics!$E$5:$E$154,E108,Analytics!$C$5:$C$154,TEXT(EDATE(B108,-1),"yyyy-mm")))</f>
        <v>0</v>
      </c>
      <c r="AM108" s="29">
        <f>IF(E108="","",IF(COUNTIFS(Analytics!$E$5:$E$154,E108,Analytics!$C$5:$C$154,C108)&gt;1,"Duplicate","OK"))</f>
        <v>0</v>
      </c>
      <c r="AN108" s="29">
        <f>IF(E108="","",IF(AM108="Duplicate","Duplicate - this month is entered twice",IF(AND(J108&lt;&gt;"",AA108&lt;TargetEngagement),"Check - engagement below target",IF(X108&lt;0,"Check - followers went down",IF(AND(I108&lt;&gt;"",Z108&lt;&gt;"",I108&lt;&gt;Z108),"Check - post count does not match the calendar","OK")))))</f>
        <v>0</v>
      </c>
    </row>
    <row r="109" spans="1:40">
      <c r="A109" s="41">
        <f>IF(E109="","","AN-"&amp;TEXT(ROW()-4,"0000"))</f>
        <v>0</v>
      </c>
      <c r="C109" s="17">
        <f>IF(B109="","",TEXT(B109,"yyyy-mm"))</f>
        <v>0</v>
      </c>
      <c r="W109" s="23">
        <f>IF(G109="","",G109-N(F109)+N(H109))</f>
        <v>0</v>
      </c>
      <c r="X109" s="23">
        <f>IF(G109="","",G109-N(F109))</f>
        <v>0</v>
      </c>
      <c r="Y109" s="24">
        <f>IF(OR(F109="",F109=0),"",X109/F109)</f>
        <v>0</v>
      </c>
      <c r="Z109" s="23">
        <f>IF(OR(B109="",D109=""),"",COUNTIFS('Content Calendar'!$G$5:$G$604,D109,'Content Calendar'!$D$5:$D$604,C109,'Content Calendar'!$X$5:$X$604,"Published"))</f>
        <v>0</v>
      </c>
      <c r="AA109" s="24">
        <f>IF(OR(J109="",J109=0),"",N(L109)/J109)</f>
        <v>0</v>
      </c>
      <c r="AB109" s="23">
        <f>IF(OR(I109="",I109=0),"",ROUND(N(J109)/I109,0))</f>
        <v>0</v>
      </c>
      <c r="AC109" s="23">
        <f>IF(OR(I109="",I109=0),"",ROUND(N(L109)/I109,0))</f>
        <v>0</v>
      </c>
      <c r="AD109" s="24">
        <f>IF(OR(G109="",G109=0),"",N(J109)/G109)</f>
        <v>0</v>
      </c>
      <c r="AE109" s="24">
        <f>IF(OR(J109="",J109=0),"",N(R109)/J109)</f>
        <v>0</v>
      </c>
      <c r="AF109" s="24">
        <f>IF(OR(R109="",R109=0),"",N(S109)/R109)</f>
        <v>0</v>
      </c>
      <c r="AG109" s="24">
        <f>IF(OR(S109="",S109=0),"",N(T109)/S109)</f>
        <v>0</v>
      </c>
      <c r="AH109" s="25">
        <f>IF(OR(S109="",S109=0,V109=""),"",V109/S109)</f>
        <v>0</v>
      </c>
      <c r="AI109" s="31">
        <f>IF(OR(V109="",V109=0),"",N(U109)/V109)</f>
        <v>0</v>
      </c>
      <c r="AJ109" s="23">
        <f>IF(B109="","",SUMIFS(Analytics!$J$5:$J$154,Analytics!$E$5:$E$154,E109,Analytics!$C$5:$C$154,TEXT(EDATE(B109,-1),"yyyy-mm")))</f>
        <v>0</v>
      </c>
      <c r="AK109" s="24">
        <f>IF(OR(AJ109="",AJ109=0),"",N(J109)/AJ109-1)</f>
        <v>0</v>
      </c>
      <c r="AL109" s="23">
        <f>IF(B109="","",SUMIFS(Analytics!$G$5:$G$154,Analytics!$E$5:$E$154,E109,Analytics!$C$5:$C$154,TEXT(EDATE(B109,-1),"yyyy-mm")))</f>
        <v>0</v>
      </c>
      <c r="AM109" s="29">
        <f>IF(E109="","",IF(COUNTIFS(Analytics!$E$5:$E$154,E109,Analytics!$C$5:$C$154,C109)&gt;1,"Duplicate","OK"))</f>
        <v>0</v>
      </c>
      <c r="AN109" s="29">
        <f>IF(E109="","",IF(AM109="Duplicate","Duplicate - this month is entered twice",IF(AND(J109&lt;&gt;"",AA109&lt;TargetEngagement),"Check - engagement below target",IF(X109&lt;0,"Check - followers went down",IF(AND(I109&lt;&gt;"",Z109&lt;&gt;"",I109&lt;&gt;Z109),"Check - post count does not match the calendar","OK")))))</f>
        <v>0</v>
      </c>
    </row>
    <row r="110" spans="1:40">
      <c r="A110" s="41">
        <f>IF(E110="","","AN-"&amp;TEXT(ROW()-4,"0000"))</f>
        <v>0</v>
      </c>
      <c r="C110" s="17">
        <f>IF(B110="","",TEXT(B110,"yyyy-mm"))</f>
        <v>0</v>
      </c>
      <c r="W110" s="23">
        <f>IF(G110="","",G110-N(F110)+N(H110))</f>
        <v>0</v>
      </c>
      <c r="X110" s="23">
        <f>IF(G110="","",G110-N(F110))</f>
        <v>0</v>
      </c>
      <c r="Y110" s="24">
        <f>IF(OR(F110="",F110=0),"",X110/F110)</f>
        <v>0</v>
      </c>
      <c r="Z110" s="23">
        <f>IF(OR(B110="",D110=""),"",COUNTIFS('Content Calendar'!$G$5:$G$604,D110,'Content Calendar'!$D$5:$D$604,C110,'Content Calendar'!$X$5:$X$604,"Published"))</f>
        <v>0</v>
      </c>
      <c r="AA110" s="24">
        <f>IF(OR(J110="",J110=0),"",N(L110)/J110)</f>
        <v>0</v>
      </c>
      <c r="AB110" s="23">
        <f>IF(OR(I110="",I110=0),"",ROUND(N(J110)/I110,0))</f>
        <v>0</v>
      </c>
      <c r="AC110" s="23">
        <f>IF(OR(I110="",I110=0),"",ROUND(N(L110)/I110,0))</f>
        <v>0</v>
      </c>
      <c r="AD110" s="24">
        <f>IF(OR(G110="",G110=0),"",N(J110)/G110)</f>
        <v>0</v>
      </c>
      <c r="AE110" s="24">
        <f>IF(OR(J110="",J110=0),"",N(R110)/J110)</f>
        <v>0</v>
      </c>
      <c r="AF110" s="24">
        <f>IF(OR(R110="",R110=0),"",N(S110)/R110)</f>
        <v>0</v>
      </c>
      <c r="AG110" s="24">
        <f>IF(OR(S110="",S110=0),"",N(T110)/S110)</f>
        <v>0</v>
      </c>
      <c r="AH110" s="25">
        <f>IF(OR(S110="",S110=0,V110=""),"",V110/S110)</f>
        <v>0</v>
      </c>
      <c r="AI110" s="31">
        <f>IF(OR(V110="",V110=0),"",N(U110)/V110)</f>
        <v>0</v>
      </c>
      <c r="AJ110" s="23">
        <f>IF(B110="","",SUMIFS(Analytics!$J$5:$J$154,Analytics!$E$5:$E$154,E110,Analytics!$C$5:$C$154,TEXT(EDATE(B110,-1),"yyyy-mm")))</f>
        <v>0</v>
      </c>
      <c r="AK110" s="24">
        <f>IF(OR(AJ110="",AJ110=0),"",N(J110)/AJ110-1)</f>
        <v>0</v>
      </c>
      <c r="AL110" s="23">
        <f>IF(B110="","",SUMIFS(Analytics!$G$5:$G$154,Analytics!$E$5:$E$154,E110,Analytics!$C$5:$C$154,TEXT(EDATE(B110,-1),"yyyy-mm")))</f>
        <v>0</v>
      </c>
      <c r="AM110" s="29">
        <f>IF(E110="","",IF(COUNTIFS(Analytics!$E$5:$E$154,E110,Analytics!$C$5:$C$154,C110)&gt;1,"Duplicate","OK"))</f>
        <v>0</v>
      </c>
      <c r="AN110" s="29">
        <f>IF(E110="","",IF(AM110="Duplicate","Duplicate - this month is entered twice",IF(AND(J110&lt;&gt;"",AA110&lt;TargetEngagement),"Check - engagement below target",IF(X110&lt;0,"Check - followers went down",IF(AND(I110&lt;&gt;"",Z110&lt;&gt;"",I110&lt;&gt;Z110),"Check - post count does not match the calendar","OK")))))</f>
        <v>0</v>
      </c>
    </row>
    <row r="111" spans="1:40">
      <c r="A111" s="41">
        <f>IF(E111="","","AN-"&amp;TEXT(ROW()-4,"0000"))</f>
        <v>0</v>
      </c>
      <c r="C111" s="17">
        <f>IF(B111="","",TEXT(B111,"yyyy-mm"))</f>
        <v>0</v>
      </c>
      <c r="W111" s="23">
        <f>IF(G111="","",G111-N(F111)+N(H111))</f>
        <v>0</v>
      </c>
      <c r="X111" s="23">
        <f>IF(G111="","",G111-N(F111))</f>
        <v>0</v>
      </c>
      <c r="Y111" s="24">
        <f>IF(OR(F111="",F111=0),"",X111/F111)</f>
        <v>0</v>
      </c>
      <c r="Z111" s="23">
        <f>IF(OR(B111="",D111=""),"",COUNTIFS('Content Calendar'!$G$5:$G$604,D111,'Content Calendar'!$D$5:$D$604,C111,'Content Calendar'!$X$5:$X$604,"Published"))</f>
        <v>0</v>
      </c>
      <c r="AA111" s="24">
        <f>IF(OR(J111="",J111=0),"",N(L111)/J111)</f>
        <v>0</v>
      </c>
      <c r="AB111" s="23">
        <f>IF(OR(I111="",I111=0),"",ROUND(N(J111)/I111,0))</f>
        <v>0</v>
      </c>
      <c r="AC111" s="23">
        <f>IF(OR(I111="",I111=0),"",ROUND(N(L111)/I111,0))</f>
        <v>0</v>
      </c>
      <c r="AD111" s="24">
        <f>IF(OR(G111="",G111=0),"",N(J111)/G111)</f>
        <v>0</v>
      </c>
      <c r="AE111" s="24">
        <f>IF(OR(J111="",J111=0),"",N(R111)/J111)</f>
        <v>0</v>
      </c>
      <c r="AF111" s="24">
        <f>IF(OR(R111="",R111=0),"",N(S111)/R111)</f>
        <v>0</v>
      </c>
      <c r="AG111" s="24">
        <f>IF(OR(S111="",S111=0),"",N(T111)/S111)</f>
        <v>0</v>
      </c>
      <c r="AH111" s="25">
        <f>IF(OR(S111="",S111=0,V111=""),"",V111/S111)</f>
        <v>0</v>
      </c>
      <c r="AI111" s="31">
        <f>IF(OR(V111="",V111=0),"",N(U111)/V111)</f>
        <v>0</v>
      </c>
      <c r="AJ111" s="23">
        <f>IF(B111="","",SUMIFS(Analytics!$J$5:$J$154,Analytics!$E$5:$E$154,E111,Analytics!$C$5:$C$154,TEXT(EDATE(B111,-1),"yyyy-mm")))</f>
        <v>0</v>
      </c>
      <c r="AK111" s="24">
        <f>IF(OR(AJ111="",AJ111=0),"",N(J111)/AJ111-1)</f>
        <v>0</v>
      </c>
      <c r="AL111" s="23">
        <f>IF(B111="","",SUMIFS(Analytics!$G$5:$G$154,Analytics!$E$5:$E$154,E111,Analytics!$C$5:$C$154,TEXT(EDATE(B111,-1),"yyyy-mm")))</f>
        <v>0</v>
      </c>
      <c r="AM111" s="29">
        <f>IF(E111="","",IF(COUNTIFS(Analytics!$E$5:$E$154,E111,Analytics!$C$5:$C$154,C111)&gt;1,"Duplicate","OK"))</f>
        <v>0</v>
      </c>
      <c r="AN111" s="29">
        <f>IF(E111="","",IF(AM111="Duplicate","Duplicate - this month is entered twice",IF(AND(J111&lt;&gt;"",AA111&lt;TargetEngagement),"Check - engagement below target",IF(X111&lt;0,"Check - followers went down",IF(AND(I111&lt;&gt;"",Z111&lt;&gt;"",I111&lt;&gt;Z111),"Check - post count does not match the calendar","OK")))))</f>
        <v>0</v>
      </c>
    </row>
    <row r="112" spans="1:40">
      <c r="A112" s="41">
        <f>IF(E112="","","AN-"&amp;TEXT(ROW()-4,"0000"))</f>
        <v>0</v>
      </c>
      <c r="C112" s="17">
        <f>IF(B112="","",TEXT(B112,"yyyy-mm"))</f>
        <v>0</v>
      </c>
      <c r="W112" s="23">
        <f>IF(G112="","",G112-N(F112)+N(H112))</f>
        <v>0</v>
      </c>
      <c r="X112" s="23">
        <f>IF(G112="","",G112-N(F112))</f>
        <v>0</v>
      </c>
      <c r="Y112" s="24">
        <f>IF(OR(F112="",F112=0),"",X112/F112)</f>
        <v>0</v>
      </c>
      <c r="Z112" s="23">
        <f>IF(OR(B112="",D112=""),"",COUNTIFS('Content Calendar'!$G$5:$G$604,D112,'Content Calendar'!$D$5:$D$604,C112,'Content Calendar'!$X$5:$X$604,"Published"))</f>
        <v>0</v>
      </c>
      <c r="AA112" s="24">
        <f>IF(OR(J112="",J112=0),"",N(L112)/J112)</f>
        <v>0</v>
      </c>
      <c r="AB112" s="23">
        <f>IF(OR(I112="",I112=0),"",ROUND(N(J112)/I112,0))</f>
        <v>0</v>
      </c>
      <c r="AC112" s="23">
        <f>IF(OR(I112="",I112=0),"",ROUND(N(L112)/I112,0))</f>
        <v>0</v>
      </c>
      <c r="AD112" s="24">
        <f>IF(OR(G112="",G112=0),"",N(J112)/G112)</f>
        <v>0</v>
      </c>
      <c r="AE112" s="24">
        <f>IF(OR(J112="",J112=0),"",N(R112)/J112)</f>
        <v>0</v>
      </c>
      <c r="AF112" s="24">
        <f>IF(OR(R112="",R112=0),"",N(S112)/R112)</f>
        <v>0</v>
      </c>
      <c r="AG112" s="24">
        <f>IF(OR(S112="",S112=0),"",N(T112)/S112)</f>
        <v>0</v>
      </c>
      <c r="AH112" s="25">
        <f>IF(OR(S112="",S112=0,V112=""),"",V112/S112)</f>
        <v>0</v>
      </c>
      <c r="AI112" s="31">
        <f>IF(OR(V112="",V112=0),"",N(U112)/V112)</f>
        <v>0</v>
      </c>
      <c r="AJ112" s="23">
        <f>IF(B112="","",SUMIFS(Analytics!$J$5:$J$154,Analytics!$E$5:$E$154,E112,Analytics!$C$5:$C$154,TEXT(EDATE(B112,-1),"yyyy-mm")))</f>
        <v>0</v>
      </c>
      <c r="AK112" s="24">
        <f>IF(OR(AJ112="",AJ112=0),"",N(J112)/AJ112-1)</f>
        <v>0</v>
      </c>
      <c r="AL112" s="23">
        <f>IF(B112="","",SUMIFS(Analytics!$G$5:$G$154,Analytics!$E$5:$E$154,E112,Analytics!$C$5:$C$154,TEXT(EDATE(B112,-1),"yyyy-mm")))</f>
        <v>0</v>
      </c>
      <c r="AM112" s="29">
        <f>IF(E112="","",IF(COUNTIFS(Analytics!$E$5:$E$154,E112,Analytics!$C$5:$C$154,C112)&gt;1,"Duplicate","OK"))</f>
        <v>0</v>
      </c>
      <c r="AN112" s="29">
        <f>IF(E112="","",IF(AM112="Duplicate","Duplicate - this month is entered twice",IF(AND(J112&lt;&gt;"",AA112&lt;TargetEngagement),"Check - engagement below target",IF(X112&lt;0,"Check - followers went down",IF(AND(I112&lt;&gt;"",Z112&lt;&gt;"",I112&lt;&gt;Z112),"Check - post count does not match the calendar","OK")))))</f>
        <v>0</v>
      </c>
    </row>
    <row r="113" spans="1:40">
      <c r="A113" s="41">
        <f>IF(E113="","","AN-"&amp;TEXT(ROW()-4,"0000"))</f>
        <v>0</v>
      </c>
      <c r="C113" s="17">
        <f>IF(B113="","",TEXT(B113,"yyyy-mm"))</f>
        <v>0</v>
      </c>
      <c r="W113" s="23">
        <f>IF(G113="","",G113-N(F113)+N(H113))</f>
        <v>0</v>
      </c>
      <c r="X113" s="23">
        <f>IF(G113="","",G113-N(F113))</f>
        <v>0</v>
      </c>
      <c r="Y113" s="24">
        <f>IF(OR(F113="",F113=0),"",X113/F113)</f>
        <v>0</v>
      </c>
      <c r="Z113" s="23">
        <f>IF(OR(B113="",D113=""),"",COUNTIFS('Content Calendar'!$G$5:$G$604,D113,'Content Calendar'!$D$5:$D$604,C113,'Content Calendar'!$X$5:$X$604,"Published"))</f>
        <v>0</v>
      </c>
      <c r="AA113" s="24">
        <f>IF(OR(J113="",J113=0),"",N(L113)/J113)</f>
        <v>0</v>
      </c>
      <c r="AB113" s="23">
        <f>IF(OR(I113="",I113=0),"",ROUND(N(J113)/I113,0))</f>
        <v>0</v>
      </c>
      <c r="AC113" s="23">
        <f>IF(OR(I113="",I113=0),"",ROUND(N(L113)/I113,0))</f>
        <v>0</v>
      </c>
      <c r="AD113" s="24">
        <f>IF(OR(G113="",G113=0),"",N(J113)/G113)</f>
        <v>0</v>
      </c>
      <c r="AE113" s="24">
        <f>IF(OR(J113="",J113=0),"",N(R113)/J113)</f>
        <v>0</v>
      </c>
      <c r="AF113" s="24">
        <f>IF(OR(R113="",R113=0),"",N(S113)/R113)</f>
        <v>0</v>
      </c>
      <c r="AG113" s="24">
        <f>IF(OR(S113="",S113=0),"",N(T113)/S113)</f>
        <v>0</v>
      </c>
      <c r="AH113" s="25">
        <f>IF(OR(S113="",S113=0,V113=""),"",V113/S113)</f>
        <v>0</v>
      </c>
      <c r="AI113" s="31">
        <f>IF(OR(V113="",V113=0),"",N(U113)/V113)</f>
        <v>0</v>
      </c>
      <c r="AJ113" s="23">
        <f>IF(B113="","",SUMIFS(Analytics!$J$5:$J$154,Analytics!$E$5:$E$154,E113,Analytics!$C$5:$C$154,TEXT(EDATE(B113,-1),"yyyy-mm")))</f>
        <v>0</v>
      </c>
      <c r="AK113" s="24">
        <f>IF(OR(AJ113="",AJ113=0),"",N(J113)/AJ113-1)</f>
        <v>0</v>
      </c>
      <c r="AL113" s="23">
        <f>IF(B113="","",SUMIFS(Analytics!$G$5:$G$154,Analytics!$E$5:$E$154,E113,Analytics!$C$5:$C$154,TEXT(EDATE(B113,-1),"yyyy-mm")))</f>
        <v>0</v>
      </c>
      <c r="AM113" s="29">
        <f>IF(E113="","",IF(COUNTIFS(Analytics!$E$5:$E$154,E113,Analytics!$C$5:$C$154,C113)&gt;1,"Duplicate","OK"))</f>
        <v>0</v>
      </c>
      <c r="AN113" s="29">
        <f>IF(E113="","",IF(AM113="Duplicate","Duplicate - this month is entered twice",IF(AND(J113&lt;&gt;"",AA113&lt;TargetEngagement),"Check - engagement below target",IF(X113&lt;0,"Check - followers went down",IF(AND(I113&lt;&gt;"",Z113&lt;&gt;"",I113&lt;&gt;Z113),"Check - post count does not match the calendar","OK")))))</f>
        <v>0</v>
      </c>
    </row>
    <row r="114" spans="1:40">
      <c r="A114" s="41">
        <f>IF(E114="","","AN-"&amp;TEXT(ROW()-4,"0000"))</f>
        <v>0</v>
      </c>
      <c r="C114" s="17">
        <f>IF(B114="","",TEXT(B114,"yyyy-mm"))</f>
        <v>0</v>
      </c>
      <c r="W114" s="23">
        <f>IF(G114="","",G114-N(F114)+N(H114))</f>
        <v>0</v>
      </c>
      <c r="X114" s="23">
        <f>IF(G114="","",G114-N(F114))</f>
        <v>0</v>
      </c>
      <c r="Y114" s="24">
        <f>IF(OR(F114="",F114=0),"",X114/F114)</f>
        <v>0</v>
      </c>
      <c r="Z114" s="23">
        <f>IF(OR(B114="",D114=""),"",COUNTIFS('Content Calendar'!$G$5:$G$604,D114,'Content Calendar'!$D$5:$D$604,C114,'Content Calendar'!$X$5:$X$604,"Published"))</f>
        <v>0</v>
      </c>
      <c r="AA114" s="24">
        <f>IF(OR(J114="",J114=0),"",N(L114)/J114)</f>
        <v>0</v>
      </c>
      <c r="AB114" s="23">
        <f>IF(OR(I114="",I114=0),"",ROUND(N(J114)/I114,0))</f>
        <v>0</v>
      </c>
      <c r="AC114" s="23">
        <f>IF(OR(I114="",I114=0),"",ROUND(N(L114)/I114,0))</f>
        <v>0</v>
      </c>
      <c r="AD114" s="24">
        <f>IF(OR(G114="",G114=0),"",N(J114)/G114)</f>
        <v>0</v>
      </c>
      <c r="AE114" s="24">
        <f>IF(OR(J114="",J114=0),"",N(R114)/J114)</f>
        <v>0</v>
      </c>
      <c r="AF114" s="24">
        <f>IF(OR(R114="",R114=0),"",N(S114)/R114)</f>
        <v>0</v>
      </c>
      <c r="AG114" s="24">
        <f>IF(OR(S114="",S114=0),"",N(T114)/S114)</f>
        <v>0</v>
      </c>
      <c r="AH114" s="25">
        <f>IF(OR(S114="",S114=0,V114=""),"",V114/S114)</f>
        <v>0</v>
      </c>
      <c r="AI114" s="31">
        <f>IF(OR(V114="",V114=0),"",N(U114)/V114)</f>
        <v>0</v>
      </c>
      <c r="AJ114" s="23">
        <f>IF(B114="","",SUMIFS(Analytics!$J$5:$J$154,Analytics!$E$5:$E$154,E114,Analytics!$C$5:$C$154,TEXT(EDATE(B114,-1),"yyyy-mm")))</f>
        <v>0</v>
      </c>
      <c r="AK114" s="24">
        <f>IF(OR(AJ114="",AJ114=0),"",N(J114)/AJ114-1)</f>
        <v>0</v>
      </c>
      <c r="AL114" s="23">
        <f>IF(B114="","",SUMIFS(Analytics!$G$5:$G$154,Analytics!$E$5:$E$154,E114,Analytics!$C$5:$C$154,TEXT(EDATE(B114,-1),"yyyy-mm")))</f>
        <v>0</v>
      </c>
      <c r="AM114" s="29">
        <f>IF(E114="","",IF(COUNTIFS(Analytics!$E$5:$E$154,E114,Analytics!$C$5:$C$154,C114)&gt;1,"Duplicate","OK"))</f>
        <v>0</v>
      </c>
      <c r="AN114" s="29">
        <f>IF(E114="","",IF(AM114="Duplicate","Duplicate - this month is entered twice",IF(AND(J114&lt;&gt;"",AA114&lt;TargetEngagement),"Check - engagement below target",IF(X114&lt;0,"Check - followers went down",IF(AND(I114&lt;&gt;"",Z114&lt;&gt;"",I114&lt;&gt;Z114),"Check - post count does not match the calendar","OK")))))</f>
        <v>0</v>
      </c>
    </row>
    <row r="115" spans="1:40">
      <c r="A115" s="41">
        <f>IF(E115="","","AN-"&amp;TEXT(ROW()-4,"0000"))</f>
        <v>0</v>
      </c>
      <c r="C115" s="17">
        <f>IF(B115="","",TEXT(B115,"yyyy-mm"))</f>
        <v>0</v>
      </c>
      <c r="W115" s="23">
        <f>IF(G115="","",G115-N(F115)+N(H115))</f>
        <v>0</v>
      </c>
      <c r="X115" s="23">
        <f>IF(G115="","",G115-N(F115))</f>
        <v>0</v>
      </c>
      <c r="Y115" s="24">
        <f>IF(OR(F115="",F115=0),"",X115/F115)</f>
        <v>0</v>
      </c>
      <c r="Z115" s="23">
        <f>IF(OR(B115="",D115=""),"",COUNTIFS('Content Calendar'!$G$5:$G$604,D115,'Content Calendar'!$D$5:$D$604,C115,'Content Calendar'!$X$5:$X$604,"Published"))</f>
        <v>0</v>
      </c>
      <c r="AA115" s="24">
        <f>IF(OR(J115="",J115=0),"",N(L115)/J115)</f>
        <v>0</v>
      </c>
      <c r="AB115" s="23">
        <f>IF(OR(I115="",I115=0),"",ROUND(N(J115)/I115,0))</f>
        <v>0</v>
      </c>
      <c r="AC115" s="23">
        <f>IF(OR(I115="",I115=0),"",ROUND(N(L115)/I115,0))</f>
        <v>0</v>
      </c>
      <c r="AD115" s="24">
        <f>IF(OR(G115="",G115=0),"",N(J115)/G115)</f>
        <v>0</v>
      </c>
      <c r="AE115" s="24">
        <f>IF(OR(J115="",J115=0),"",N(R115)/J115)</f>
        <v>0</v>
      </c>
      <c r="AF115" s="24">
        <f>IF(OR(R115="",R115=0),"",N(S115)/R115)</f>
        <v>0</v>
      </c>
      <c r="AG115" s="24">
        <f>IF(OR(S115="",S115=0),"",N(T115)/S115)</f>
        <v>0</v>
      </c>
      <c r="AH115" s="25">
        <f>IF(OR(S115="",S115=0,V115=""),"",V115/S115)</f>
        <v>0</v>
      </c>
      <c r="AI115" s="31">
        <f>IF(OR(V115="",V115=0),"",N(U115)/V115)</f>
        <v>0</v>
      </c>
      <c r="AJ115" s="23">
        <f>IF(B115="","",SUMIFS(Analytics!$J$5:$J$154,Analytics!$E$5:$E$154,E115,Analytics!$C$5:$C$154,TEXT(EDATE(B115,-1),"yyyy-mm")))</f>
        <v>0</v>
      </c>
      <c r="AK115" s="24">
        <f>IF(OR(AJ115="",AJ115=0),"",N(J115)/AJ115-1)</f>
        <v>0</v>
      </c>
      <c r="AL115" s="23">
        <f>IF(B115="","",SUMIFS(Analytics!$G$5:$G$154,Analytics!$E$5:$E$154,E115,Analytics!$C$5:$C$154,TEXT(EDATE(B115,-1),"yyyy-mm")))</f>
        <v>0</v>
      </c>
      <c r="AM115" s="29">
        <f>IF(E115="","",IF(COUNTIFS(Analytics!$E$5:$E$154,E115,Analytics!$C$5:$C$154,C115)&gt;1,"Duplicate","OK"))</f>
        <v>0</v>
      </c>
      <c r="AN115" s="29">
        <f>IF(E115="","",IF(AM115="Duplicate","Duplicate - this month is entered twice",IF(AND(J115&lt;&gt;"",AA115&lt;TargetEngagement),"Check - engagement below target",IF(X115&lt;0,"Check - followers went down",IF(AND(I115&lt;&gt;"",Z115&lt;&gt;"",I115&lt;&gt;Z115),"Check - post count does not match the calendar","OK")))))</f>
        <v>0</v>
      </c>
    </row>
    <row r="116" spans="1:40">
      <c r="A116" s="41">
        <f>IF(E116="","","AN-"&amp;TEXT(ROW()-4,"0000"))</f>
        <v>0</v>
      </c>
      <c r="C116" s="17">
        <f>IF(B116="","",TEXT(B116,"yyyy-mm"))</f>
        <v>0</v>
      </c>
      <c r="W116" s="23">
        <f>IF(G116="","",G116-N(F116)+N(H116))</f>
        <v>0</v>
      </c>
      <c r="X116" s="23">
        <f>IF(G116="","",G116-N(F116))</f>
        <v>0</v>
      </c>
      <c r="Y116" s="24">
        <f>IF(OR(F116="",F116=0),"",X116/F116)</f>
        <v>0</v>
      </c>
      <c r="Z116" s="23">
        <f>IF(OR(B116="",D116=""),"",COUNTIFS('Content Calendar'!$G$5:$G$604,D116,'Content Calendar'!$D$5:$D$604,C116,'Content Calendar'!$X$5:$X$604,"Published"))</f>
        <v>0</v>
      </c>
      <c r="AA116" s="24">
        <f>IF(OR(J116="",J116=0),"",N(L116)/J116)</f>
        <v>0</v>
      </c>
      <c r="AB116" s="23">
        <f>IF(OR(I116="",I116=0),"",ROUND(N(J116)/I116,0))</f>
        <v>0</v>
      </c>
      <c r="AC116" s="23">
        <f>IF(OR(I116="",I116=0),"",ROUND(N(L116)/I116,0))</f>
        <v>0</v>
      </c>
      <c r="AD116" s="24">
        <f>IF(OR(G116="",G116=0),"",N(J116)/G116)</f>
        <v>0</v>
      </c>
      <c r="AE116" s="24">
        <f>IF(OR(J116="",J116=0),"",N(R116)/J116)</f>
        <v>0</v>
      </c>
      <c r="AF116" s="24">
        <f>IF(OR(R116="",R116=0),"",N(S116)/R116)</f>
        <v>0</v>
      </c>
      <c r="AG116" s="24">
        <f>IF(OR(S116="",S116=0),"",N(T116)/S116)</f>
        <v>0</v>
      </c>
      <c r="AH116" s="25">
        <f>IF(OR(S116="",S116=0,V116=""),"",V116/S116)</f>
        <v>0</v>
      </c>
      <c r="AI116" s="31">
        <f>IF(OR(V116="",V116=0),"",N(U116)/V116)</f>
        <v>0</v>
      </c>
      <c r="AJ116" s="23">
        <f>IF(B116="","",SUMIFS(Analytics!$J$5:$J$154,Analytics!$E$5:$E$154,E116,Analytics!$C$5:$C$154,TEXT(EDATE(B116,-1),"yyyy-mm")))</f>
        <v>0</v>
      </c>
      <c r="AK116" s="24">
        <f>IF(OR(AJ116="",AJ116=0),"",N(J116)/AJ116-1)</f>
        <v>0</v>
      </c>
      <c r="AL116" s="23">
        <f>IF(B116="","",SUMIFS(Analytics!$G$5:$G$154,Analytics!$E$5:$E$154,E116,Analytics!$C$5:$C$154,TEXT(EDATE(B116,-1),"yyyy-mm")))</f>
        <v>0</v>
      </c>
      <c r="AM116" s="29">
        <f>IF(E116="","",IF(COUNTIFS(Analytics!$E$5:$E$154,E116,Analytics!$C$5:$C$154,C116)&gt;1,"Duplicate","OK"))</f>
        <v>0</v>
      </c>
      <c r="AN116" s="29">
        <f>IF(E116="","",IF(AM116="Duplicate","Duplicate - this month is entered twice",IF(AND(J116&lt;&gt;"",AA116&lt;TargetEngagement),"Check - engagement below target",IF(X116&lt;0,"Check - followers went down",IF(AND(I116&lt;&gt;"",Z116&lt;&gt;"",I116&lt;&gt;Z116),"Check - post count does not match the calendar","OK")))))</f>
        <v>0</v>
      </c>
    </row>
    <row r="117" spans="1:40">
      <c r="A117" s="41">
        <f>IF(E117="","","AN-"&amp;TEXT(ROW()-4,"0000"))</f>
        <v>0</v>
      </c>
      <c r="C117" s="17">
        <f>IF(B117="","",TEXT(B117,"yyyy-mm"))</f>
        <v>0</v>
      </c>
      <c r="W117" s="23">
        <f>IF(G117="","",G117-N(F117)+N(H117))</f>
        <v>0</v>
      </c>
      <c r="X117" s="23">
        <f>IF(G117="","",G117-N(F117))</f>
        <v>0</v>
      </c>
      <c r="Y117" s="24">
        <f>IF(OR(F117="",F117=0),"",X117/F117)</f>
        <v>0</v>
      </c>
      <c r="Z117" s="23">
        <f>IF(OR(B117="",D117=""),"",COUNTIFS('Content Calendar'!$G$5:$G$604,D117,'Content Calendar'!$D$5:$D$604,C117,'Content Calendar'!$X$5:$X$604,"Published"))</f>
        <v>0</v>
      </c>
      <c r="AA117" s="24">
        <f>IF(OR(J117="",J117=0),"",N(L117)/J117)</f>
        <v>0</v>
      </c>
      <c r="AB117" s="23">
        <f>IF(OR(I117="",I117=0),"",ROUND(N(J117)/I117,0))</f>
        <v>0</v>
      </c>
      <c r="AC117" s="23">
        <f>IF(OR(I117="",I117=0),"",ROUND(N(L117)/I117,0))</f>
        <v>0</v>
      </c>
      <c r="AD117" s="24">
        <f>IF(OR(G117="",G117=0),"",N(J117)/G117)</f>
        <v>0</v>
      </c>
      <c r="AE117" s="24">
        <f>IF(OR(J117="",J117=0),"",N(R117)/J117)</f>
        <v>0</v>
      </c>
      <c r="AF117" s="24">
        <f>IF(OR(R117="",R117=0),"",N(S117)/R117)</f>
        <v>0</v>
      </c>
      <c r="AG117" s="24">
        <f>IF(OR(S117="",S117=0),"",N(T117)/S117)</f>
        <v>0</v>
      </c>
      <c r="AH117" s="25">
        <f>IF(OR(S117="",S117=0,V117=""),"",V117/S117)</f>
        <v>0</v>
      </c>
      <c r="AI117" s="31">
        <f>IF(OR(V117="",V117=0),"",N(U117)/V117)</f>
        <v>0</v>
      </c>
      <c r="AJ117" s="23">
        <f>IF(B117="","",SUMIFS(Analytics!$J$5:$J$154,Analytics!$E$5:$E$154,E117,Analytics!$C$5:$C$154,TEXT(EDATE(B117,-1),"yyyy-mm")))</f>
        <v>0</v>
      </c>
      <c r="AK117" s="24">
        <f>IF(OR(AJ117="",AJ117=0),"",N(J117)/AJ117-1)</f>
        <v>0</v>
      </c>
      <c r="AL117" s="23">
        <f>IF(B117="","",SUMIFS(Analytics!$G$5:$G$154,Analytics!$E$5:$E$154,E117,Analytics!$C$5:$C$154,TEXT(EDATE(B117,-1),"yyyy-mm")))</f>
        <v>0</v>
      </c>
      <c r="AM117" s="29">
        <f>IF(E117="","",IF(COUNTIFS(Analytics!$E$5:$E$154,E117,Analytics!$C$5:$C$154,C117)&gt;1,"Duplicate","OK"))</f>
        <v>0</v>
      </c>
      <c r="AN117" s="29">
        <f>IF(E117="","",IF(AM117="Duplicate","Duplicate - this month is entered twice",IF(AND(J117&lt;&gt;"",AA117&lt;TargetEngagement),"Check - engagement below target",IF(X117&lt;0,"Check - followers went down",IF(AND(I117&lt;&gt;"",Z117&lt;&gt;"",I117&lt;&gt;Z117),"Check - post count does not match the calendar","OK")))))</f>
        <v>0</v>
      </c>
    </row>
    <row r="118" spans="1:40">
      <c r="A118" s="41">
        <f>IF(E118="","","AN-"&amp;TEXT(ROW()-4,"0000"))</f>
        <v>0</v>
      </c>
      <c r="C118" s="17">
        <f>IF(B118="","",TEXT(B118,"yyyy-mm"))</f>
        <v>0</v>
      </c>
      <c r="W118" s="23">
        <f>IF(G118="","",G118-N(F118)+N(H118))</f>
        <v>0</v>
      </c>
      <c r="X118" s="23">
        <f>IF(G118="","",G118-N(F118))</f>
        <v>0</v>
      </c>
      <c r="Y118" s="24">
        <f>IF(OR(F118="",F118=0),"",X118/F118)</f>
        <v>0</v>
      </c>
      <c r="Z118" s="23">
        <f>IF(OR(B118="",D118=""),"",COUNTIFS('Content Calendar'!$G$5:$G$604,D118,'Content Calendar'!$D$5:$D$604,C118,'Content Calendar'!$X$5:$X$604,"Published"))</f>
        <v>0</v>
      </c>
      <c r="AA118" s="24">
        <f>IF(OR(J118="",J118=0),"",N(L118)/J118)</f>
        <v>0</v>
      </c>
      <c r="AB118" s="23">
        <f>IF(OR(I118="",I118=0),"",ROUND(N(J118)/I118,0))</f>
        <v>0</v>
      </c>
      <c r="AC118" s="23">
        <f>IF(OR(I118="",I118=0),"",ROUND(N(L118)/I118,0))</f>
        <v>0</v>
      </c>
      <c r="AD118" s="24">
        <f>IF(OR(G118="",G118=0),"",N(J118)/G118)</f>
        <v>0</v>
      </c>
      <c r="AE118" s="24">
        <f>IF(OR(J118="",J118=0),"",N(R118)/J118)</f>
        <v>0</v>
      </c>
      <c r="AF118" s="24">
        <f>IF(OR(R118="",R118=0),"",N(S118)/R118)</f>
        <v>0</v>
      </c>
      <c r="AG118" s="24">
        <f>IF(OR(S118="",S118=0),"",N(T118)/S118)</f>
        <v>0</v>
      </c>
      <c r="AH118" s="25">
        <f>IF(OR(S118="",S118=0,V118=""),"",V118/S118)</f>
        <v>0</v>
      </c>
      <c r="AI118" s="31">
        <f>IF(OR(V118="",V118=0),"",N(U118)/V118)</f>
        <v>0</v>
      </c>
      <c r="AJ118" s="23">
        <f>IF(B118="","",SUMIFS(Analytics!$J$5:$J$154,Analytics!$E$5:$E$154,E118,Analytics!$C$5:$C$154,TEXT(EDATE(B118,-1),"yyyy-mm")))</f>
        <v>0</v>
      </c>
      <c r="AK118" s="24">
        <f>IF(OR(AJ118="",AJ118=0),"",N(J118)/AJ118-1)</f>
        <v>0</v>
      </c>
      <c r="AL118" s="23">
        <f>IF(B118="","",SUMIFS(Analytics!$G$5:$G$154,Analytics!$E$5:$E$154,E118,Analytics!$C$5:$C$154,TEXT(EDATE(B118,-1),"yyyy-mm")))</f>
        <v>0</v>
      </c>
      <c r="AM118" s="29">
        <f>IF(E118="","",IF(COUNTIFS(Analytics!$E$5:$E$154,E118,Analytics!$C$5:$C$154,C118)&gt;1,"Duplicate","OK"))</f>
        <v>0</v>
      </c>
      <c r="AN118" s="29">
        <f>IF(E118="","",IF(AM118="Duplicate","Duplicate - this month is entered twice",IF(AND(J118&lt;&gt;"",AA118&lt;TargetEngagement),"Check - engagement below target",IF(X118&lt;0,"Check - followers went down",IF(AND(I118&lt;&gt;"",Z118&lt;&gt;"",I118&lt;&gt;Z118),"Check - post count does not match the calendar","OK")))))</f>
        <v>0</v>
      </c>
    </row>
    <row r="119" spans="1:40">
      <c r="A119" s="41">
        <f>IF(E119="","","AN-"&amp;TEXT(ROW()-4,"0000"))</f>
        <v>0</v>
      </c>
      <c r="C119" s="17">
        <f>IF(B119="","",TEXT(B119,"yyyy-mm"))</f>
        <v>0</v>
      </c>
      <c r="W119" s="23">
        <f>IF(G119="","",G119-N(F119)+N(H119))</f>
        <v>0</v>
      </c>
      <c r="X119" s="23">
        <f>IF(G119="","",G119-N(F119))</f>
        <v>0</v>
      </c>
      <c r="Y119" s="24">
        <f>IF(OR(F119="",F119=0),"",X119/F119)</f>
        <v>0</v>
      </c>
      <c r="Z119" s="23">
        <f>IF(OR(B119="",D119=""),"",COUNTIFS('Content Calendar'!$G$5:$G$604,D119,'Content Calendar'!$D$5:$D$604,C119,'Content Calendar'!$X$5:$X$604,"Published"))</f>
        <v>0</v>
      </c>
      <c r="AA119" s="24">
        <f>IF(OR(J119="",J119=0),"",N(L119)/J119)</f>
        <v>0</v>
      </c>
      <c r="AB119" s="23">
        <f>IF(OR(I119="",I119=0),"",ROUND(N(J119)/I119,0))</f>
        <v>0</v>
      </c>
      <c r="AC119" s="23">
        <f>IF(OR(I119="",I119=0),"",ROUND(N(L119)/I119,0))</f>
        <v>0</v>
      </c>
      <c r="AD119" s="24">
        <f>IF(OR(G119="",G119=0),"",N(J119)/G119)</f>
        <v>0</v>
      </c>
      <c r="AE119" s="24">
        <f>IF(OR(J119="",J119=0),"",N(R119)/J119)</f>
        <v>0</v>
      </c>
      <c r="AF119" s="24">
        <f>IF(OR(R119="",R119=0),"",N(S119)/R119)</f>
        <v>0</v>
      </c>
      <c r="AG119" s="24">
        <f>IF(OR(S119="",S119=0),"",N(T119)/S119)</f>
        <v>0</v>
      </c>
      <c r="AH119" s="25">
        <f>IF(OR(S119="",S119=0,V119=""),"",V119/S119)</f>
        <v>0</v>
      </c>
      <c r="AI119" s="31">
        <f>IF(OR(V119="",V119=0),"",N(U119)/V119)</f>
        <v>0</v>
      </c>
      <c r="AJ119" s="23">
        <f>IF(B119="","",SUMIFS(Analytics!$J$5:$J$154,Analytics!$E$5:$E$154,E119,Analytics!$C$5:$C$154,TEXT(EDATE(B119,-1),"yyyy-mm")))</f>
        <v>0</v>
      </c>
      <c r="AK119" s="24">
        <f>IF(OR(AJ119="",AJ119=0),"",N(J119)/AJ119-1)</f>
        <v>0</v>
      </c>
      <c r="AL119" s="23">
        <f>IF(B119="","",SUMIFS(Analytics!$G$5:$G$154,Analytics!$E$5:$E$154,E119,Analytics!$C$5:$C$154,TEXT(EDATE(B119,-1),"yyyy-mm")))</f>
        <v>0</v>
      </c>
      <c r="AM119" s="29">
        <f>IF(E119="","",IF(COUNTIFS(Analytics!$E$5:$E$154,E119,Analytics!$C$5:$C$154,C119)&gt;1,"Duplicate","OK"))</f>
        <v>0</v>
      </c>
      <c r="AN119" s="29">
        <f>IF(E119="","",IF(AM119="Duplicate","Duplicate - this month is entered twice",IF(AND(J119&lt;&gt;"",AA119&lt;TargetEngagement),"Check - engagement below target",IF(X119&lt;0,"Check - followers went down",IF(AND(I119&lt;&gt;"",Z119&lt;&gt;"",I119&lt;&gt;Z119),"Check - post count does not match the calendar","OK")))))</f>
        <v>0</v>
      </c>
    </row>
    <row r="120" spans="1:40">
      <c r="A120" s="41">
        <f>IF(E120="","","AN-"&amp;TEXT(ROW()-4,"0000"))</f>
        <v>0</v>
      </c>
      <c r="C120" s="17">
        <f>IF(B120="","",TEXT(B120,"yyyy-mm"))</f>
        <v>0</v>
      </c>
      <c r="W120" s="23">
        <f>IF(G120="","",G120-N(F120)+N(H120))</f>
        <v>0</v>
      </c>
      <c r="X120" s="23">
        <f>IF(G120="","",G120-N(F120))</f>
        <v>0</v>
      </c>
      <c r="Y120" s="24">
        <f>IF(OR(F120="",F120=0),"",X120/F120)</f>
        <v>0</v>
      </c>
      <c r="Z120" s="23">
        <f>IF(OR(B120="",D120=""),"",COUNTIFS('Content Calendar'!$G$5:$G$604,D120,'Content Calendar'!$D$5:$D$604,C120,'Content Calendar'!$X$5:$X$604,"Published"))</f>
        <v>0</v>
      </c>
      <c r="AA120" s="24">
        <f>IF(OR(J120="",J120=0),"",N(L120)/J120)</f>
        <v>0</v>
      </c>
      <c r="AB120" s="23">
        <f>IF(OR(I120="",I120=0),"",ROUND(N(J120)/I120,0))</f>
        <v>0</v>
      </c>
      <c r="AC120" s="23">
        <f>IF(OR(I120="",I120=0),"",ROUND(N(L120)/I120,0))</f>
        <v>0</v>
      </c>
      <c r="AD120" s="24">
        <f>IF(OR(G120="",G120=0),"",N(J120)/G120)</f>
        <v>0</v>
      </c>
      <c r="AE120" s="24">
        <f>IF(OR(J120="",J120=0),"",N(R120)/J120)</f>
        <v>0</v>
      </c>
      <c r="AF120" s="24">
        <f>IF(OR(R120="",R120=0),"",N(S120)/R120)</f>
        <v>0</v>
      </c>
      <c r="AG120" s="24">
        <f>IF(OR(S120="",S120=0),"",N(T120)/S120)</f>
        <v>0</v>
      </c>
      <c r="AH120" s="25">
        <f>IF(OR(S120="",S120=0,V120=""),"",V120/S120)</f>
        <v>0</v>
      </c>
      <c r="AI120" s="31">
        <f>IF(OR(V120="",V120=0),"",N(U120)/V120)</f>
        <v>0</v>
      </c>
      <c r="AJ120" s="23">
        <f>IF(B120="","",SUMIFS(Analytics!$J$5:$J$154,Analytics!$E$5:$E$154,E120,Analytics!$C$5:$C$154,TEXT(EDATE(B120,-1),"yyyy-mm")))</f>
        <v>0</v>
      </c>
      <c r="AK120" s="24">
        <f>IF(OR(AJ120="",AJ120=0),"",N(J120)/AJ120-1)</f>
        <v>0</v>
      </c>
      <c r="AL120" s="23">
        <f>IF(B120="","",SUMIFS(Analytics!$G$5:$G$154,Analytics!$E$5:$E$154,E120,Analytics!$C$5:$C$154,TEXT(EDATE(B120,-1),"yyyy-mm")))</f>
        <v>0</v>
      </c>
      <c r="AM120" s="29">
        <f>IF(E120="","",IF(COUNTIFS(Analytics!$E$5:$E$154,E120,Analytics!$C$5:$C$154,C120)&gt;1,"Duplicate","OK"))</f>
        <v>0</v>
      </c>
      <c r="AN120" s="29">
        <f>IF(E120="","",IF(AM120="Duplicate","Duplicate - this month is entered twice",IF(AND(J120&lt;&gt;"",AA120&lt;TargetEngagement),"Check - engagement below target",IF(X120&lt;0,"Check - followers went down",IF(AND(I120&lt;&gt;"",Z120&lt;&gt;"",I120&lt;&gt;Z120),"Check - post count does not match the calendar","OK")))))</f>
        <v>0</v>
      </c>
    </row>
    <row r="121" spans="1:40">
      <c r="A121" s="41">
        <f>IF(E121="","","AN-"&amp;TEXT(ROW()-4,"0000"))</f>
        <v>0</v>
      </c>
      <c r="C121" s="17">
        <f>IF(B121="","",TEXT(B121,"yyyy-mm"))</f>
        <v>0</v>
      </c>
      <c r="W121" s="23">
        <f>IF(G121="","",G121-N(F121)+N(H121))</f>
        <v>0</v>
      </c>
      <c r="X121" s="23">
        <f>IF(G121="","",G121-N(F121))</f>
        <v>0</v>
      </c>
      <c r="Y121" s="24">
        <f>IF(OR(F121="",F121=0),"",X121/F121)</f>
        <v>0</v>
      </c>
      <c r="Z121" s="23">
        <f>IF(OR(B121="",D121=""),"",COUNTIFS('Content Calendar'!$G$5:$G$604,D121,'Content Calendar'!$D$5:$D$604,C121,'Content Calendar'!$X$5:$X$604,"Published"))</f>
        <v>0</v>
      </c>
      <c r="AA121" s="24">
        <f>IF(OR(J121="",J121=0),"",N(L121)/J121)</f>
        <v>0</v>
      </c>
      <c r="AB121" s="23">
        <f>IF(OR(I121="",I121=0),"",ROUND(N(J121)/I121,0))</f>
        <v>0</v>
      </c>
      <c r="AC121" s="23">
        <f>IF(OR(I121="",I121=0),"",ROUND(N(L121)/I121,0))</f>
        <v>0</v>
      </c>
      <c r="AD121" s="24">
        <f>IF(OR(G121="",G121=0),"",N(J121)/G121)</f>
        <v>0</v>
      </c>
      <c r="AE121" s="24">
        <f>IF(OR(J121="",J121=0),"",N(R121)/J121)</f>
        <v>0</v>
      </c>
      <c r="AF121" s="24">
        <f>IF(OR(R121="",R121=0),"",N(S121)/R121)</f>
        <v>0</v>
      </c>
      <c r="AG121" s="24">
        <f>IF(OR(S121="",S121=0),"",N(T121)/S121)</f>
        <v>0</v>
      </c>
      <c r="AH121" s="25">
        <f>IF(OR(S121="",S121=0,V121=""),"",V121/S121)</f>
        <v>0</v>
      </c>
      <c r="AI121" s="31">
        <f>IF(OR(V121="",V121=0),"",N(U121)/V121)</f>
        <v>0</v>
      </c>
      <c r="AJ121" s="23">
        <f>IF(B121="","",SUMIFS(Analytics!$J$5:$J$154,Analytics!$E$5:$E$154,E121,Analytics!$C$5:$C$154,TEXT(EDATE(B121,-1),"yyyy-mm")))</f>
        <v>0</v>
      </c>
      <c r="AK121" s="24">
        <f>IF(OR(AJ121="",AJ121=0),"",N(J121)/AJ121-1)</f>
        <v>0</v>
      </c>
      <c r="AL121" s="23">
        <f>IF(B121="","",SUMIFS(Analytics!$G$5:$G$154,Analytics!$E$5:$E$154,E121,Analytics!$C$5:$C$154,TEXT(EDATE(B121,-1),"yyyy-mm")))</f>
        <v>0</v>
      </c>
      <c r="AM121" s="29">
        <f>IF(E121="","",IF(COUNTIFS(Analytics!$E$5:$E$154,E121,Analytics!$C$5:$C$154,C121)&gt;1,"Duplicate","OK"))</f>
        <v>0</v>
      </c>
      <c r="AN121" s="29">
        <f>IF(E121="","",IF(AM121="Duplicate","Duplicate - this month is entered twice",IF(AND(J121&lt;&gt;"",AA121&lt;TargetEngagement),"Check - engagement below target",IF(X121&lt;0,"Check - followers went down",IF(AND(I121&lt;&gt;"",Z121&lt;&gt;"",I121&lt;&gt;Z121),"Check - post count does not match the calendar","OK")))))</f>
        <v>0</v>
      </c>
    </row>
    <row r="122" spans="1:40">
      <c r="A122" s="41">
        <f>IF(E122="","","AN-"&amp;TEXT(ROW()-4,"0000"))</f>
        <v>0</v>
      </c>
      <c r="C122" s="17">
        <f>IF(B122="","",TEXT(B122,"yyyy-mm"))</f>
        <v>0</v>
      </c>
      <c r="W122" s="23">
        <f>IF(G122="","",G122-N(F122)+N(H122))</f>
        <v>0</v>
      </c>
      <c r="X122" s="23">
        <f>IF(G122="","",G122-N(F122))</f>
        <v>0</v>
      </c>
      <c r="Y122" s="24">
        <f>IF(OR(F122="",F122=0),"",X122/F122)</f>
        <v>0</v>
      </c>
      <c r="Z122" s="23">
        <f>IF(OR(B122="",D122=""),"",COUNTIFS('Content Calendar'!$G$5:$G$604,D122,'Content Calendar'!$D$5:$D$604,C122,'Content Calendar'!$X$5:$X$604,"Published"))</f>
        <v>0</v>
      </c>
      <c r="AA122" s="24">
        <f>IF(OR(J122="",J122=0),"",N(L122)/J122)</f>
        <v>0</v>
      </c>
      <c r="AB122" s="23">
        <f>IF(OR(I122="",I122=0),"",ROUND(N(J122)/I122,0))</f>
        <v>0</v>
      </c>
      <c r="AC122" s="23">
        <f>IF(OR(I122="",I122=0),"",ROUND(N(L122)/I122,0))</f>
        <v>0</v>
      </c>
      <c r="AD122" s="24">
        <f>IF(OR(G122="",G122=0),"",N(J122)/G122)</f>
        <v>0</v>
      </c>
      <c r="AE122" s="24">
        <f>IF(OR(J122="",J122=0),"",N(R122)/J122)</f>
        <v>0</v>
      </c>
      <c r="AF122" s="24">
        <f>IF(OR(R122="",R122=0),"",N(S122)/R122)</f>
        <v>0</v>
      </c>
      <c r="AG122" s="24">
        <f>IF(OR(S122="",S122=0),"",N(T122)/S122)</f>
        <v>0</v>
      </c>
      <c r="AH122" s="25">
        <f>IF(OR(S122="",S122=0,V122=""),"",V122/S122)</f>
        <v>0</v>
      </c>
      <c r="AI122" s="31">
        <f>IF(OR(V122="",V122=0),"",N(U122)/V122)</f>
        <v>0</v>
      </c>
      <c r="AJ122" s="23">
        <f>IF(B122="","",SUMIFS(Analytics!$J$5:$J$154,Analytics!$E$5:$E$154,E122,Analytics!$C$5:$C$154,TEXT(EDATE(B122,-1),"yyyy-mm")))</f>
        <v>0</v>
      </c>
      <c r="AK122" s="24">
        <f>IF(OR(AJ122="",AJ122=0),"",N(J122)/AJ122-1)</f>
        <v>0</v>
      </c>
      <c r="AL122" s="23">
        <f>IF(B122="","",SUMIFS(Analytics!$G$5:$G$154,Analytics!$E$5:$E$154,E122,Analytics!$C$5:$C$154,TEXT(EDATE(B122,-1),"yyyy-mm")))</f>
        <v>0</v>
      </c>
      <c r="AM122" s="29">
        <f>IF(E122="","",IF(COUNTIFS(Analytics!$E$5:$E$154,E122,Analytics!$C$5:$C$154,C122)&gt;1,"Duplicate","OK"))</f>
        <v>0</v>
      </c>
      <c r="AN122" s="29">
        <f>IF(E122="","",IF(AM122="Duplicate","Duplicate - this month is entered twice",IF(AND(J122&lt;&gt;"",AA122&lt;TargetEngagement),"Check - engagement below target",IF(X122&lt;0,"Check - followers went down",IF(AND(I122&lt;&gt;"",Z122&lt;&gt;"",I122&lt;&gt;Z122),"Check - post count does not match the calendar","OK")))))</f>
        <v>0</v>
      </c>
    </row>
    <row r="123" spans="1:40">
      <c r="A123" s="41">
        <f>IF(E123="","","AN-"&amp;TEXT(ROW()-4,"0000"))</f>
        <v>0</v>
      </c>
      <c r="C123" s="17">
        <f>IF(B123="","",TEXT(B123,"yyyy-mm"))</f>
        <v>0</v>
      </c>
      <c r="W123" s="23">
        <f>IF(G123="","",G123-N(F123)+N(H123))</f>
        <v>0</v>
      </c>
      <c r="X123" s="23">
        <f>IF(G123="","",G123-N(F123))</f>
        <v>0</v>
      </c>
      <c r="Y123" s="24">
        <f>IF(OR(F123="",F123=0),"",X123/F123)</f>
        <v>0</v>
      </c>
      <c r="Z123" s="23">
        <f>IF(OR(B123="",D123=""),"",COUNTIFS('Content Calendar'!$G$5:$G$604,D123,'Content Calendar'!$D$5:$D$604,C123,'Content Calendar'!$X$5:$X$604,"Published"))</f>
        <v>0</v>
      </c>
      <c r="AA123" s="24">
        <f>IF(OR(J123="",J123=0),"",N(L123)/J123)</f>
        <v>0</v>
      </c>
      <c r="AB123" s="23">
        <f>IF(OR(I123="",I123=0),"",ROUND(N(J123)/I123,0))</f>
        <v>0</v>
      </c>
      <c r="AC123" s="23">
        <f>IF(OR(I123="",I123=0),"",ROUND(N(L123)/I123,0))</f>
        <v>0</v>
      </c>
      <c r="AD123" s="24">
        <f>IF(OR(G123="",G123=0),"",N(J123)/G123)</f>
        <v>0</v>
      </c>
      <c r="AE123" s="24">
        <f>IF(OR(J123="",J123=0),"",N(R123)/J123)</f>
        <v>0</v>
      </c>
      <c r="AF123" s="24">
        <f>IF(OR(R123="",R123=0),"",N(S123)/R123)</f>
        <v>0</v>
      </c>
      <c r="AG123" s="24">
        <f>IF(OR(S123="",S123=0),"",N(T123)/S123)</f>
        <v>0</v>
      </c>
      <c r="AH123" s="25">
        <f>IF(OR(S123="",S123=0,V123=""),"",V123/S123)</f>
        <v>0</v>
      </c>
      <c r="AI123" s="31">
        <f>IF(OR(V123="",V123=0),"",N(U123)/V123)</f>
        <v>0</v>
      </c>
      <c r="AJ123" s="23">
        <f>IF(B123="","",SUMIFS(Analytics!$J$5:$J$154,Analytics!$E$5:$E$154,E123,Analytics!$C$5:$C$154,TEXT(EDATE(B123,-1),"yyyy-mm")))</f>
        <v>0</v>
      </c>
      <c r="AK123" s="24">
        <f>IF(OR(AJ123="",AJ123=0),"",N(J123)/AJ123-1)</f>
        <v>0</v>
      </c>
      <c r="AL123" s="23">
        <f>IF(B123="","",SUMIFS(Analytics!$G$5:$G$154,Analytics!$E$5:$E$154,E123,Analytics!$C$5:$C$154,TEXT(EDATE(B123,-1),"yyyy-mm")))</f>
        <v>0</v>
      </c>
      <c r="AM123" s="29">
        <f>IF(E123="","",IF(COUNTIFS(Analytics!$E$5:$E$154,E123,Analytics!$C$5:$C$154,C123)&gt;1,"Duplicate","OK"))</f>
        <v>0</v>
      </c>
      <c r="AN123" s="29">
        <f>IF(E123="","",IF(AM123="Duplicate","Duplicate - this month is entered twice",IF(AND(J123&lt;&gt;"",AA123&lt;TargetEngagement),"Check - engagement below target",IF(X123&lt;0,"Check - followers went down",IF(AND(I123&lt;&gt;"",Z123&lt;&gt;"",I123&lt;&gt;Z123),"Check - post count does not match the calendar","OK")))))</f>
        <v>0</v>
      </c>
    </row>
    <row r="124" spans="1:40">
      <c r="A124" s="41">
        <f>IF(E124="","","AN-"&amp;TEXT(ROW()-4,"0000"))</f>
        <v>0</v>
      </c>
      <c r="C124" s="17">
        <f>IF(B124="","",TEXT(B124,"yyyy-mm"))</f>
        <v>0</v>
      </c>
      <c r="W124" s="23">
        <f>IF(G124="","",G124-N(F124)+N(H124))</f>
        <v>0</v>
      </c>
      <c r="X124" s="23">
        <f>IF(G124="","",G124-N(F124))</f>
        <v>0</v>
      </c>
      <c r="Y124" s="24">
        <f>IF(OR(F124="",F124=0),"",X124/F124)</f>
        <v>0</v>
      </c>
      <c r="Z124" s="23">
        <f>IF(OR(B124="",D124=""),"",COUNTIFS('Content Calendar'!$G$5:$G$604,D124,'Content Calendar'!$D$5:$D$604,C124,'Content Calendar'!$X$5:$X$604,"Published"))</f>
        <v>0</v>
      </c>
      <c r="AA124" s="24">
        <f>IF(OR(J124="",J124=0),"",N(L124)/J124)</f>
        <v>0</v>
      </c>
      <c r="AB124" s="23">
        <f>IF(OR(I124="",I124=0),"",ROUND(N(J124)/I124,0))</f>
        <v>0</v>
      </c>
      <c r="AC124" s="23">
        <f>IF(OR(I124="",I124=0),"",ROUND(N(L124)/I124,0))</f>
        <v>0</v>
      </c>
      <c r="AD124" s="24">
        <f>IF(OR(G124="",G124=0),"",N(J124)/G124)</f>
        <v>0</v>
      </c>
      <c r="AE124" s="24">
        <f>IF(OR(J124="",J124=0),"",N(R124)/J124)</f>
        <v>0</v>
      </c>
      <c r="AF124" s="24">
        <f>IF(OR(R124="",R124=0),"",N(S124)/R124)</f>
        <v>0</v>
      </c>
      <c r="AG124" s="24">
        <f>IF(OR(S124="",S124=0),"",N(T124)/S124)</f>
        <v>0</v>
      </c>
      <c r="AH124" s="25">
        <f>IF(OR(S124="",S124=0,V124=""),"",V124/S124)</f>
        <v>0</v>
      </c>
      <c r="AI124" s="31">
        <f>IF(OR(V124="",V124=0),"",N(U124)/V124)</f>
        <v>0</v>
      </c>
      <c r="AJ124" s="23">
        <f>IF(B124="","",SUMIFS(Analytics!$J$5:$J$154,Analytics!$E$5:$E$154,E124,Analytics!$C$5:$C$154,TEXT(EDATE(B124,-1),"yyyy-mm")))</f>
        <v>0</v>
      </c>
      <c r="AK124" s="24">
        <f>IF(OR(AJ124="",AJ124=0),"",N(J124)/AJ124-1)</f>
        <v>0</v>
      </c>
      <c r="AL124" s="23">
        <f>IF(B124="","",SUMIFS(Analytics!$G$5:$G$154,Analytics!$E$5:$E$154,E124,Analytics!$C$5:$C$154,TEXT(EDATE(B124,-1),"yyyy-mm")))</f>
        <v>0</v>
      </c>
      <c r="AM124" s="29">
        <f>IF(E124="","",IF(COUNTIFS(Analytics!$E$5:$E$154,E124,Analytics!$C$5:$C$154,C124)&gt;1,"Duplicate","OK"))</f>
        <v>0</v>
      </c>
      <c r="AN124" s="29">
        <f>IF(E124="","",IF(AM124="Duplicate","Duplicate - this month is entered twice",IF(AND(J124&lt;&gt;"",AA124&lt;TargetEngagement),"Check - engagement below target",IF(X124&lt;0,"Check - followers went down",IF(AND(I124&lt;&gt;"",Z124&lt;&gt;"",I124&lt;&gt;Z124),"Check - post count does not match the calendar","OK")))))</f>
        <v>0</v>
      </c>
    </row>
    <row r="125" spans="1:40">
      <c r="A125" s="41">
        <f>IF(E125="","","AN-"&amp;TEXT(ROW()-4,"0000"))</f>
        <v>0</v>
      </c>
      <c r="C125" s="17">
        <f>IF(B125="","",TEXT(B125,"yyyy-mm"))</f>
        <v>0</v>
      </c>
      <c r="W125" s="23">
        <f>IF(G125="","",G125-N(F125)+N(H125))</f>
        <v>0</v>
      </c>
      <c r="X125" s="23">
        <f>IF(G125="","",G125-N(F125))</f>
        <v>0</v>
      </c>
      <c r="Y125" s="24">
        <f>IF(OR(F125="",F125=0),"",X125/F125)</f>
        <v>0</v>
      </c>
      <c r="Z125" s="23">
        <f>IF(OR(B125="",D125=""),"",COUNTIFS('Content Calendar'!$G$5:$G$604,D125,'Content Calendar'!$D$5:$D$604,C125,'Content Calendar'!$X$5:$X$604,"Published"))</f>
        <v>0</v>
      </c>
      <c r="AA125" s="24">
        <f>IF(OR(J125="",J125=0),"",N(L125)/J125)</f>
        <v>0</v>
      </c>
      <c r="AB125" s="23">
        <f>IF(OR(I125="",I125=0),"",ROUND(N(J125)/I125,0))</f>
        <v>0</v>
      </c>
      <c r="AC125" s="23">
        <f>IF(OR(I125="",I125=0),"",ROUND(N(L125)/I125,0))</f>
        <v>0</v>
      </c>
      <c r="AD125" s="24">
        <f>IF(OR(G125="",G125=0),"",N(J125)/G125)</f>
        <v>0</v>
      </c>
      <c r="AE125" s="24">
        <f>IF(OR(J125="",J125=0),"",N(R125)/J125)</f>
        <v>0</v>
      </c>
      <c r="AF125" s="24">
        <f>IF(OR(R125="",R125=0),"",N(S125)/R125)</f>
        <v>0</v>
      </c>
      <c r="AG125" s="24">
        <f>IF(OR(S125="",S125=0),"",N(T125)/S125)</f>
        <v>0</v>
      </c>
      <c r="AH125" s="25">
        <f>IF(OR(S125="",S125=0,V125=""),"",V125/S125)</f>
        <v>0</v>
      </c>
      <c r="AI125" s="31">
        <f>IF(OR(V125="",V125=0),"",N(U125)/V125)</f>
        <v>0</v>
      </c>
      <c r="AJ125" s="23">
        <f>IF(B125="","",SUMIFS(Analytics!$J$5:$J$154,Analytics!$E$5:$E$154,E125,Analytics!$C$5:$C$154,TEXT(EDATE(B125,-1),"yyyy-mm")))</f>
        <v>0</v>
      </c>
      <c r="AK125" s="24">
        <f>IF(OR(AJ125="",AJ125=0),"",N(J125)/AJ125-1)</f>
        <v>0</v>
      </c>
      <c r="AL125" s="23">
        <f>IF(B125="","",SUMIFS(Analytics!$G$5:$G$154,Analytics!$E$5:$E$154,E125,Analytics!$C$5:$C$154,TEXT(EDATE(B125,-1),"yyyy-mm")))</f>
        <v>0</v>
      </c>
      <c r="AM125" s="29">
        <f>IF(E125="","",IF(COUNTIFS(Analytics!$E$5:$E$154,E125,Analytics!$C$5:$C$154,C125)&gt;1,"Duplicate","OK"))</f>
        <v>0</v>
      </c>
      <c r="AN125" s="29">
        <f>IF(E125="","",IF(AM125="Duplicate","Duplicate - this month is entered twice",IF(AND(J125&lt;&gt;"",AA125&lt;TargetEngagement),"Check - engagement below target",IF(X125&lt;0,"Check - followers went down",IF(AND(I125&lt;&gt;"",Z125&lt;&gt;"",I125&lt;&gt;Z125),"Check - post count does not match the calendar","OK")))))</f>
        <v>0</v>
      </c>
    </row>
    <row r="126" spans="1:40">
      <c r="A126" s="41">
        <f>IF(E126="","","AN-"&amp;TEXT(ROW()-4,"0000"))</f>
        <v>0</v>
      </c>
      <c r="C126" s="17">
        <f>IF(B126="","",TEXT(B126,"yyyy-mm"))</f>
        <v>0</v>
      </c>
      <c r="W126" s="23">
        <f>IF(G126="","",G126-N(F126)+N(H126))</f>
        <v>0</v>
      </c>
      <c r="X126" s="23">
        <f>IF(G126="","",G126-N(F126))</f>
        <v>0</v>
      </c>
      <c r="Y126" s="24">
        <f>IF(OR(F126="",F126=0),"",X126/F126)</f>
        <v>0</v>
      </c>
      <c r="Z126" s="23">
        <f>IF(OR(B126="",D126=""),"",COUNTIFS('Content Calendar'!$G$5:$G$604,D126,'Content Calendar'!$D$5:$D$604,C126,'Content Calendar'!$X$5:$X$604,"Published"))</f>
        <v>0</v>
      </c>
      <c r="AA126" s="24">
        <f>IF(OR(J126="",J126=0),"",N(L126)/J126)</f>
        <v>0</v>
      </c>
      <c r="AB126" s="23">
        <f>IF(OR(I126="",I126=0),"",ROUND(N(J126)/I126,0))</f>
        <v>0</v>
      </c>
      <c r="AC126" s="23">
        <f>IF(OR(I126="",I126=0),"",ROUND(N(L126)/I126,0))</f>
        <v>0</v>
      </c>
      <c r="AD126" s="24">
        <f>IF(OR(G126="",G126=0),"",N(J126)/G126)</f>
        <v>0</v>
      </c>
      <c r="AE126" s="24">
        <f>IF(OR(J126="",J126=0),"",N(R126)/J126)</f>
        <v>0</v>
      </c>
      <c r="AF126" s="24">
        <f>IF(OR(R126="",R126=0),"",N(S126)/R126)</f>
        <v>0</v>
      </c>
      <c r="AG126" s="24">
        <f>IF(OR(S126="",S126=0),"",N(T126)/S126)</f>
        <v>0</v>
      </c>
      <c r="AH126" s="25">
        <f>IF(OR(S126="",S126=0,V126=""),"",V126/S126)</f>
        <v>0</v>
      </c>
      <c r="AI126" s="31">
        <f>IF(OR(V126="",V126=0),"",N(U126)/V126)</f>
        <v>0</v>
      </c>
      <c r="AJ126" s="23">
        <f>IF(B126="","",SUMIFS(Analytics!$J$5:$J$154,Analytics!$E$5:$E$154,E126,Analytics!$C$5:$C$154,TEXT(EDATE(B126,-1),"yyyy-mm")))</f>
        <v>0</v>
      </c>
      <c r="AK126" s="24">
        <f>IF(OR(AJ126="",AJ126=0),"",N(J126)/AJ126-1)</f>
        <v>0</v>
      </c>
      <c r="AL126" s="23">
        <f>IF(B126="","",SUMIFS(Analytics!$G$5:$G$154,Analytics!$E$5:$E$154,E126,Analytics!$C$5:$C$154,TEXT(EDATE(B126,-1),"yyyy-mm")))</f>
        <v>0</v>
      </c>
      <c r="AM126" s="29">
        <f>IF(E126="","",IF(COUNTIFS(Analytics!$E$5:$E$154,E126,Analytics!$C$5:$C$154,C126)&gt;1,"Duplicate","OK"))</f>
        <v>0</v>
      </c>
      <c r="AN126" s="29">
        <f>IF(E126="","",IF(AM126="Duplicate","Duplicate - this month is entered twice",IF(AND(J126&lt;&gt;"",AA126&lt;TargetEngagement),"Check - engagement below target",IF(X126&lt;0,"Check - followers went down",IF(AND(I126&lt;&gt;"",Z126&lt;&gt;"",I126&lt;&gt;Z126),"Check - post count does not match the calendar","OK")))))</f>
        <v>0</v>
      </c>
    </row>
    <row r="127" spans="1:40">
      <c r="A127" s="41">
        <f>IF(E127="","","AN-"&amp;TEXT(ROW()-4,"0000"))</f>
        <v>0</v>
      </c>
      <c r="C127" s="17">
        <f>IF(B127="","",TEXT(B127,"yyyy-mm"))</f>
        <v>0</v>
      </c>
      <c r="W127" s="23">
        <f>IF(G127="","",G127-N(F127)+N(H127))</f>
        <v>0</v>
      </c>
      <c r="X127" s="23">
        <f>IF(G127="","",G127-N(F127))</f>
        <v>0</v>
      </c>
      <c r="Y127" s="24">
        <f>IF(OR(F127="",F127=0),"",X127/F127)</f>
        <v>0</v>
      </c>
      <c r="Z127" s="23">
        <f>IF(OR(B127="",D127=""),"",COUNTIFS('Content Calendar'!$G$5:$G$604,D127,'Content Calendar'!$D$5:$D$604,C127,'Content Calendar'!$X$5:$X$604,"Published"))</f>
        <v>0</v>
      </c>
      <c r="AA127" s="24">
        <f>IF(OR(J127="",J127=0),"",N(L127)/J127)</f>
        <v>0</v>
      </c>
      <c r="AB127" s="23">
        <f>IF(OR(I127="",I127=0),"",ROUND(N(J127)/I127,0))</f>
        <v>0</v>
      </c>
      <c r="AC127" s="23">
        <f>IF(OR(I127="",I127=0),"",ROUND(N(L127)/I127,0))</f>
        <v>0</v>
      </c>
      <c r="AD127" s="24">
        <f>IF(OR(G127="",G127=0),"",N(J127)/G127)</f>
        <v>0</v>
      </c>
      <c r="AE127" s="24">
        <f>IF(OR(J127="",J127=0),"",N(R127)/J127)</f>
        <v>0</v>
      </c>
      <c r="AF127" s="24">
        <f>IF(OR(R127="",R127=0),"",N(S127)/R127)</f>
        <v>0</v>
      </c>
      <c r="AG127" s="24">
        <f>IF(OR(S127="",S127=0),"",N(T127)/S127)</f>
        <v>0</v>
      </c>
      <c r="AH127" s="25">
        <f>IF(OR(S127="",S127=0,V127=""),"",V127/S127)</f>
        <v>0</v>
      </c>
      <c r="AI127" s="31">
        <f>IF(OR(V127="",V127=0),"",N(U127)/V127)</f>
        <v>0</v>
      </c>
      <c r="AJ127" s="23">
        <f>IF(B127="","",SUMIFS(Analytics!$J$5:$J$154,Analytics!$E$5:$E$154,E127,Analytics!$C$5:$C$154,TEXT(EDATE(B127,-1),"yyyy-mm")))</f>
        <v>0</v>
      </c>
      <c r="AK127" s="24">
        <f>IF(OR(AJ127="",AJ127=0),"",N(J127)/AJ127-1)</f>
        <v>0</v>
      </c>
      <c r="AL127" s="23">
        <f>IF(B127="","",SUMIFS(Analytics!$G$5:$G$154,Analytics!$E$5:$E$154,E127,Analytics!$C$5:$C$154,TEXT(EDATE(B127,-1),"yyyy-mm")))</f>
        <v>0</v>
      </c>
      <c r="AM127" s="29">
        <f>IF(E127="","",IF(COUNTIFS(Analytics!$E$5:$E$154,E127,Analytics!$C$5:$C$154,C127)&gt;1,"Duplicate","OK"))</f>
        <v>0</v>
      </c>
      <c r="AN127" s="29">
        <f>IF(E127="","",IF(AM127="Duplicate","Duplicate - this month is entered twice",IF(AND(J127&lt;&gt;"",AA127&lt;TargetEngagement),"Check - engagement below target",IF(X127&lt;0,"Check - followers went down",IF(AND(I127&lt;&gt;"",Z127&lt;&gt;"",I127&lt;&gt;Z127),"Check - post count does not match the calendar","OK")))))</f>
        <v>0</v>
      </c>
    </row>
    <row r="128" spans="1:40">
      <c r="A128" s="41">
        <f>IF(E128="","","AN-"&amp;TEXT(ROW()-4,"0000"))</f>
        <v>0</v>
      </c>
      <c r="C128" s="17">
        <f>IF(B128="","",TEXT(B128,"yyyy-mm"))</f>
        <v>0</v>
      </c>
      <c r="W128" s="23">
        <f>IF(G128="","",G128-N(F128)+N(H128))</f>
        <v>0</v>
      </c>
      <c r="X128" s="23">
        <f>IF(G128="","",G128-N(F128))</f>
        <v>0</v>
      </c>
      <c r="Y128" s="24">
        <f>IF(OR(F128="",F128=0),"",X128/F128)</f>
        <v>0</v>
      </c>
      <c r="Z128" s="23">
        <f>IF(OR(B128="",D128=""),"",COUNTIFS('Content Calendar'!$G$5:$G$604,D128,'Content Calendar'!$D$5:$D$604,C128,'Content Calendar'!$X$5:$X$604,"Published"))</f>
        <v>0</v>
      </c>
      <c r="AA128" s="24">
        <f>IF(OR(J128="",J128=0),"",N(L128)/J128)</f>
        <v>0</v>
      </c>
      <c r="AB128" s="23">
        <f>IF(OR(I128="",I128=0),"",ROUND(N(J128)/I128,0))</f>
        <v>0</v>
      </c>
      <c r="AC128" s="23">
        <f>IF(OR(I128="",I128=0),"",ROUND(N(L128)/I128,0))</f>
        <v>0</v>
      </c>
      <c r="AD128" s="24">
        <f>IF(OR(G128="",G128=0),"",N(J128)/G128)</f>
        <v>0</v>
      </c>
      <c r="AE128" s="24">
        <f>IF(OR(J128="",J128=0),"",N(R128)/J128)</f>
        <v>0</v>
      </c>
      <c r="AF128" s="24">
        <f>IF(OR(R128="",R128=0),"",N(S128)/R128)</f>
        <v>0</v>
      </c>
      <c r="AG128" s="24">
        <f>IF(OR(S128="",S128=0),"",N(T128)/S128)</f>
        <v>0</v>
      </c>
      <c r="AH128" s="25">
        <f>IF(OR(S128="",S128=0,V128=""),"",V128/S128)</f>
        <v>0</v>
      </c>
      <c r="AI128" s="31">
        <f>IF(OR(V128="",V128=0),"",N(U128)/V128)</f>
        <v>0</v>
      </c>
      <c r="AJ128" s="23">
        <f>IF(B128="","",SUMIFS(Analytics!$J$5:$J$154,Analytics!$E$5:$E$154,E128,Analytics!$C$5:$C$154,TEXT(EDATE(B128,-1),"yyyy-mm")))</f>
        <v>0</v>
      </c>
      <c r="AK128" s="24">
        <f>IF(OR(AJ128="",AJ128=0),"",N(J128)/AJ128-1)</f>
        <v>0</v>
      </c>
      <c r="AL128" s="23">
        <f>IF(B128="","",SUMIFS(Analytics!$G$5:$G$154,Analytics!$E$5:$E$154,E128,Analytics!$C$5:$C$154,TEXT(EDATE(B128,-1),"yyyy-mm")))</f>
        <v>0</v>
      </c>
      <c r="AM128" s="29">
        <f>IF(E128="","",IF(COUNTIFS(Analytics!$E$5:$E$154,E128,Analytics!$C$5:$C$154,C128)&gt;1,"Duplicate","OK"))</f>
        <v>0</v>
      </c>
      <c r="AN128" s="29">
        <f>IF(E128="","",IF(AM128="Duplicate","Duplicate - this month is entered twice",IF(AND(J128&lt;&gt;"",AA128&lt;TargetEngagement),"Check - engagement below target",IF(X128&lt;0,"Check - followers went down",IF(AND(I128&lt;&gt;"",Z128&lt;&gt;"",I128&lt;&gt;Z128),"Check - post count does not match the calendar","OK")))))</f>
        <v>0</v>
      </c>
    </row>
    <row r="129" spans="1:40">
      <c r="A129" s="41">
        <f>IF(E129="","","AN-"&amp;TEXT(ROW()-4,"0000"))</f>
        <v>0</v>
      </c>
      <c r="C129" s="17">
        <f>IF(B129="","",TEXT(B129,"yyyy-mm"))</f>
        <v>0</v>
      </c>
      <c r="W129" s="23">
        <f>IF(G129="","",G129-N(F129)+N(H129))</f>
        <v>0</v>
      </c>
      <c r="X129" s="23">
        <f>IF(G129="","",G129-N(F129))</f>
        <v>0</v>
      </c>
      <c r="Y129" s="24">
        <f>IF(OR(F129="",F129=0),"",X129/F129)</f>
        <v>0</v>
      </c>
      <c r="Z129" s="23">
        <f>IF(OR(B129="",D129=""),"",COUNTIFS('Content Calendar'!$G$5:$G$604,D129,'Content Calendar'!$D$5:$D$604,C129,'Content Calendar'!$X$5:$X$604,"Published"))</f>
        <v>0</v>
      </c>
      <c r="AA129" s="24">
        <f>IF(OR(J129="",J129=0),"",N(L129)/J129)</f>
        <v>0</v>
      </c>
      <c r="AB129" s="23">
        <f>IF(OR(I129="",I129=0),"",ROUND(N(J129)/I129,0))</f>
        <v>0</v>
      </c>
      <c r="AC129" s="23">
        <f>IF(OR(I129="",I129=0),"",ROUND(N(L129)/I129,0))</f>
        <v>0</v>
      </c>
      <c r="AD129" s="24">
        <f>IF(OR(G129="",G129=0),"",N(J129)/G129)</f>
        <v>0</v>
      </c>
      <c r="AE129" s="24">
        <f>IF(OR(J129="",J129=0),"",N(R129)/J129)</f>
        <v>0</v>
      </c>
      <c r="AF129" s="24">
        <f>IF(OR(R129="",R129=0),"",N(S129)/R129)</f>
        <v>0</v>
      </c>
      <c r="AG129" s="24">
        <f>IF(OR(S129="",S129=0),"",N(T129)/S129)</f>
        <v>0</v>
      </c>
      <c r="AH129" s="25">
        <f>IF(OR(S129="",S129=0,V129=""),"",V129/S129)</f>
        <v>0</v>
      </c>
      <c r="AI129" s="31">
        <f>IF(OR(V129="",V129=0),"",N(U129)/V129)</f>
        <v>0</v>
      </c>
      <c r="AJ129" s="23">
        <f>IF(B129="","",SUMIFS(Analytics!$J$5:$J$154,Analytics!$E$5:$E$154,E129,Analytics!$C$5:$C$154,TEXT(EDATE(B129,-1),"yyyy-mm")))</f>
        <v>0</v>
      </c>
      <c r="AK129" s="24">
        <f>IF(OR(AJ129="",AJ129=0),"",N(J129)/AJ129-1)</f>
        <v>0</v>
      </c>
      <c r="AL129" s="23">
        <f>IF(B129="","",SUMIFS(Analytics!$G$5:$G$154,Analytics!$E$5:$E$154,E129,Analytics!$C$5:$C$154,TEXT(EDATE(B129,-1),"yyyy-mm")))</f>
        <v>0</v>
      </c>
      <c r="AM129" s="29">
        <f>IF(E129="","",IF(COUNTIFS(Analytics!$E$5:$E$154,E129,Analytics!$C$5:$C$154,C129)&gt;1,"Duplicate","OK"))</f>
        <v>0</v>
      </c>
      <c r="AN129" s="29">
        <f>IF(E129="","",IF(AM129="Duplicate","Duplicate - this month is entered twice",IF(AND(J129&lt;&gt;"",AA129&lt;TargetEngagement),"Check - engagement below target",IF(X129&lt;0,"Check - followers went down",IF(AND(I129&lt;&gt;"",Z129&lt;&gt;"",I129&lt;&gt;Z129),"Check - post count does not match the calendar","OK")))))</f>
        <v>0</v>
      </c>
    </row>
    <row r="130" spans="1:40">
      <c r="A130" s="41">
        <f>IF(E130="","","AN-"&amp;TEXT(ROW()-4,"0000"))</f>
        <v>0</v>
      </c>
      <c r="C130" s="17">
        <f>IF(B130="","",TEXT(B130,"yyyy-mm"))</f>
        <v>0</v>
      </c>
      <c r="W130" s="23">
        <f>IF(G130="","",G130-N(F130)+N(H130))</f>
        <v>0</v>
      </c>
      <c r="X130" s="23">
        <f>IF(G130="","",G130-N(F130))</f>
        <v>0</v>
      </c>
      <c r="Y130" s="24">
        <f>IF(OR(F130="",F130=0),"",X130/F130)</f>
        <v>0</v>
      </c>
      <c r="Z130" s="23">
        <f>IF(OR(B130="",D130=""),"",COUNTIFS('Content Calendar'!$G$5:$G$604,D130,'Content Calendar'!$D$5:$D$604,C130,'Content Calendar'!$X$5:$X$604,"Published"))</f>
        <v>0</v>
      </c>
      <c r="AA130" s="24">
        <f>IF(OR(J130="",J130=0),"",N(L130)/J130)</f>
        <v>0</v>
      </c>
      <c r="AB130" s="23">
        <f>IF(OR(I130="",I130=0),"",ROUND(N(J130)/I130,0))</f>
        <v>0</v>
      </c>
      <c r="AC130" s="23">
        <f>IF(OR(I130="",I130=0),"",ROUND(N(L130)/I130,0))</f>
        <v>0</v>
      </c>
      <c r="AD130" s="24">
        <f>IF(OR(G130="",G130=0),"",N(J130)/G130)</f>
        <v>0</v>
      </c>
      <c r="AE130" s="24">
        <f>IF(OR(J130="",J130=0),"",N(R130)/J130)</f>
        <v>0</v>
      </c>
      <c r="AF130" s="24">
        <f>IF(OR(R130="",R130=0),"",N(S130)/R130)</f>
        <v>0</v>
      </c>
      <c r="AG130" s="24">
        <f>IF(OR(S130="",S130=0),"",N(T130)/S130)</f>
        <v>0</v>
      </c>
      <c r="AH130" s="25">
        <f>IF(OR(S130="",S130=0,V130=""),"",V130/S130)</f>
        <v>0</v>
      </c>
      <c r="AI130" s="31">
        <f>IF(OR(V130="",V130=0),"",N(U130)/V130)</f>
        <v>0</v>
      </c>
      <c r="AJ130" s="23">
        <f>IF(B130="","",SUMIFS(Analytics!$J$5:$J$154,Analytics!$E$5:$E$154,E130,Analytics!$C$5:$C$154,TEXT(EDATE(B130,-1),"yyyy-mm")))</f>
        <v>0</v>
      </c>
      <c r="AK130" s="24">
        <f>IF(OR(AJ130="",AJ130=0),"",N(J130)/AJ130-1)</f>
        <v>0</v>
      </c>
      <c r="AL130" s="23">
        <f>IF(B130="","",SUMIFS(Analytics!$G$5:$G$154,Analytics!$E$5:$E$154,E130,Analytics!$C$5:$C$154,TEXT(EDATE(B130,-1),"yyyy-mm")))</f>
        <v>0</v>
      </c>
      <c r="AM130" s="29">
        <f>IF(E130="","",IF(COUNTIFS(Analytics!$E$5:$E$154,E130,Analytics!$C$5:$C$154,C130)&gt;1,"Duplicate","OK"))</f>
        <v>0</v>
      </c>
      <c r="AN130" s="29">
        <f>IF(E130="","",IF(AM130="Duplicate","Duplicate - this month is entered twice",IF(AND(J130&lt;&gt;"",AA130&lt;TargetEngagement),"Check - engagement below target",IF(X130&lt;0,"Check - followers went down",IF(AND(I130&lt;&gt;"",Z130&lt;&gt;"",I130&lt;&gt;Z130),"Check - post count does not match the calendar","OK")))))</f>
        <v>0</v>
      </c>
    </row>
    <row r="131" spans="1:40">
      <c r="A131" s="41">
        <f>IF(E131="","","AN-"&amp;TEXT(ROW()-4,"0000"))</f>
        <v>0</v>
      </c>
      <c r="C131" s="17">
        <f>IF(B131="","",TEXT(B131,"yyyy-mm"))</f>
        <v>0</v>
      </c>
      <c r="W131" s="23">
        <f>IF(G131="","",G131-N(F131)+N(H131))</f>
        <v>0</v>
      </c>
      <c r="X131" s="23">
        <f>IF(G131="","",G131-N(F131))</f>
        <v>0</v>
      </c>
      <c r="Y131" s="24">
        <f>IF(OR(F131="",F131=0),"",X131/F131)</f>
        <v>0</v>
      </c>
      <c r="Z131" s="23">
        <f>IF(OR(B131="",D131=""),"",COUNTIFS('Content Calendar'!$G$5:$G$604,D131,'Content Calendar'!$D$5:$D$604,C131,'Content Calendar'!$X$5:$X$604,"Published"))</f>
        <v>0</v>
      </c>
      <c r="AA131" s="24">
        <f>IF(OR(J131="",J131=0),"",N(L131)/J131)</f>
        <v>0</v>
      </c>
      <c r="AB131" s="23">
        <f>IF(OR(I131="",I131=0),"",ROUND(N(J131)/I131,0))</f>
        <v>0</v>
      </c>
      <c r="AC131" s="23">
        <f>IF(OR(I131="",I131=0),"",ROUND(N(L131)/I131,0))</f>
        <v>0</v>
      </c>
      <c r="AD131" s="24">
        <f>IF(OR(G131="",G131=0),"",N(J131)/G131)</f>
        <v>0</v>
      </c>
      <c r="AE131" s="24">
        <f>IF(OR(J131="",J131=0),"",N(R131)/J131)</f>
        <v>0</v>
      </c>
      <c r="AF131" s="24">
        <f>IF(OR(R131="",R131=0),"",N(S131)/R131)</f>
        <v>0</v>
      </c>
      <c r="AG131" s="24">
        <f>IF(OR(S131="",S131=0),"",N(T131)/S131)</f>
        <v>0</v>
      </c>
      <c r="AH131" s="25">
        <f>IF(OR(S131="",S131=0,V131=""),"",V131/S131)</f>
        <v>0</v>
      </c>
      <c r="AI131" s="31">
        <f>IF(OR(V131="",V131=0),"",N(U131)/V131)</f>
        <v>0</v>
      </c>
      <c r="AJ131" s="23">
        <f>IF(B131="","",SUMIFS(Analytics!$J$5:$J$154,Analytics!$E$5:$E$154,E131,Analytics!$C$5:$C$154,TEXT(EDATE(B131,-1),"yyyy-mm")))</f>
        <v>0</v>
      </c>
      <c r="AK131" s="24">
        <f>IF(OR(AJ131="",AJ131=0),"",N(J131)/AJ131-1)</f>
        <v>0</v>
      </c>
      <c r="AL131" s="23">
        <f>IF(B131="","",SUMIFS(Analytics!$G$5:$G$154,Analytics!$E$5:$E$154,E131,Analytics!$C$5:$C$154,TEXT(EDATE(B131,-1),"yyyy-mm")))</f>
        <v>0</v>
      </c>
      <c r="AM131" s="29">
        <f>IF(E131="","",IF(COUNTIFS(Analytics!$E$5:$E$154,E131,Analytics!$C$5:$C$154,C131)&gt;1,"Duplicate","OK"))</f>
        <v>0</v>
      </c>
      <c r="AN131" s="29">
        <f>IF(E131="","",IF(AM131="Duplicate","Duplicate - this month is entered twice",IF(AND(J131&lt;&gt;"",AA131&lt;TargetEngagement),"Check - engagement below target",IF(X131&lt;0,"Check - followers went down",IF(AND(I131&lt;&gt;"",Z131&lt;&gt;"",I131&lt;&gt;Z131),"Check - post count does not match the calendar","OK")))))</f>
        <v>0</v>
      </c>
    </row>
    <row r="132" spans="1:40">
      <c r="A132" s="41">
        <f>IF(E132="","","AN-"&amp;TEXT(ROW()-4,"0000"))</f>
        <v>0</v>
      </c>
      <c r="C132" s="17">
        <f>IF(B132="","",TEXT(B132,"yyyy-mm"))</f>
        <v>0</v>
      </c>
      <c r="W132" s="23">
        <f>IF(G132="","",G132-N(F132)+N(H132))</f>
        <v>0</v>
      </c>
      <c r="X132" s="23">
        <f>IF(G132="","",G132-N(F132))</f>
        <v>0</v>
      </c>
      <c r="Y132" s="24">
        <f>IF(OR(F132="",F132=0),"",X132/F132)</f>
        <v>0</v>
      </c>
      <c r="Z132" s="23">
        <f>IF(OR(B132="",D132=""),"",COUNTIFS('Content Calendar'!$G$5:$G$604,D132,'Content Calendar'!$D$5:$D$604,C132,'Content Calendar'!$X$5:$X$604,"Published"))</f>
        <v>0</v>
      </c>
      <c r="AA132" s="24">
        <f>IF(OR(J132="",J132=0),"",N(L132)/J132)</f>
        <v>0</v>
      </c>
      <c r="AB132" s="23">
        <f>IF(OR(I132="",I132=0),"",ROUND(N(J132)/I132,0))</f>
        <v>0</v>
      </c>
      <c r="AC132" s="23">
        <f>IF(OR(I132="",I132=0),"",ROUND(N(L132)/I132,0))</f>
        <v>0</v>
      </c>
      <c r="AD132" s="24">
        <f>IF(OR(G132="",G132=0),"",N(J132)/G132)</f>
        <v>0</v>
      </c>
      <c r="AE132" s="24">
        <f>IF(OR(J132="",J132=0),"",N(R132)/J132)</f>
        <v>0</v>
      </c>
      <c r="AF132" s="24">
        <f>IF(OR(R132="",R132=0),"",N(S132)/R132)</f>
        <v>0</v>
      </c>
      <c r="AG132" s="24">
        <f>IF(OR(S132="",S132=0),"",N(T132)/S132)</f>
        <v>0</v>
      </c>
      <c r="AH132" s="25">
        <f>IF(OR(S132="",S132=0,V132=""),"",V132/S132)</f>
        <v>0</v>
      </c>
      <c r="AI132" s="31">
        <f>IF(OR(V132="",V132=0),"",N(U132)/V132)</f>
        <v>0</v>
      </c>
      <c r="AJ132" s="23">
        <f>IF(B132="","",SUMIFS(Analytics!$J$5:$J$154,Analytics!$E$5:$E$154,E132,Analytics!$C$5:$C$154,TEXT(EDATE(B132,-1),"yyyy-mm")))</f>
        <v>0</v>
      </c>
      <c r="AK132" s="24">
        <f>IF(OR(AJ132="",AJ132=0),"",N(J132)/AJ132-1)</f>
        <v>0</v>
      </c>
      <c r="AL132" s="23">
        <f>IF(B132="","",SUMIFS(Analytics!$G$5:$G$154,Analytics!$E$5:$E$154,E132,Analytics!$C$5:$C$154,TEXT(EDATE(B132,-1),"yyyy-mm")))</f>
        <v>0</v>
      </c>
      <c r="AM132" s="29">
        <f>IF(E132="","",IF(COUNTIFS(Analytics!$E$5:$E$154,E132,Analytics!$C$5:$C$154,C132)&gt;1,"Duplicate","OK"))</f>
        <v>0</v>
      </c>
      <c r="AN132" s="29">
        <f>IF(E132="","",IF(AM132="Duplicate","Duplicate - this month is entered twice",IF(AND(J132&lt;&gt;"",AA132&lt;TargetEngagement),"Check - engagement below target",IF(X132&lt;0,"Check - followers went down",IF(AND(I132&lt;&gt;"",Z132&lt;&gt;"",I132&lt;&gt;Z132),"Check - post count does not match the calendar","OK")))))</f>
        <v>0</v>
      </c>
    </row>
    <row r="133" spans="1:40">
      <c r="A133" s="41">
        <f>IF(E133="","","AN-"&amp;TEXT(ROW()-4,"0000"))</f>
        <v>0</v>
      </c>
      <c r="C133" s="17">
        <f>IF(B133="","",TEXT(B133,"yyyy-mm"))</f>
        <v>0</v>
      </c>
      <c r="W133" s="23">
        <f>IF(G133="","",G133-N(F133)+N(H133))</f>
        <v>0</v>
      </c>
      <c r="X133" s="23">
        <f>IF(G133="","",G133-N(F133))</f>
        <v>0</v>
      </c>
      <c r="Y133" s="24">
        <f>IF(OR(F133="",F133=0),"",X133/F133)</f>
        <v>0</v>
      </c>
      <c r="Z133" s="23">
        <f>IF(OR(B133="",D133=""),"",COUNTIFS('Content Calendar'!$G$5:$G$604,D133,'Content Calendar'!$D$5:$D$604,C133,'Content Calendar'!$X$5:$X$604,"Published"))</f>
        <v>0</v>
      </c>
      <c r="AA133" s="24">
        <f>IF(OR(J133="",J133=0),"",N(L133)/J133)</f>
        <v>0</v>
      </c>
      <c r="AB133" s="23">
        <f>IF(OR(I133="",I133=0),"",ROUND(N(J133)/I133,0))</f>
        <v>0</v>
      </c>
      <c r="AC133" s="23">
        <f>IF(OR(I133="",I133=0),"",ROUND(N(L133)/I133,0))</f>
        <v>0</v>
      </c>
      <c r="AD133" s="24">
        <f>IF(OR(G133="",G133=0),"",N(J133)/G133)</f>
        <v>0</v>
      </c>
      <c r="AE133" s="24">
        <f>IF(OR(J133="",J133=0),"",N(R133)/J133)</f>
        <v>0</v>
      </c>
      <c r="AF133" s="24">
        <f>IF(OR(R133="",R133=0),"",N(S133)/R133)</f>
        <v>0</v>
      </c>
      <c r="AG133" s="24">
        <f>IF(OR(S133="",S133=0),"",N(T133)/S133)</f>
        <v>0</v>
      </c>
      <c r="AH133" s="25">
        <f>IF(OR(S133="",S133=0,V133=""),"",V133/S133)</f>
        <v>0</v>
      </c>
      <c r="AI133" s="31">
        <f>IF(OR(V133="",V133=0),"",N(U133)/V133)</f>
        <v>0</v>
      </c>
      <c r="AJ133" s="23">
        <f>IF(B133="","",SUMIFS(Analytics!$J$5:$J$154,Analytics!$E$5:$E$154,E133,Analytics!$C$5:$C$154,TEXT(EDATE(B133,-1),"yyyy-mm")))</f>
        <v>0</v>
      </c>
      <c r="AK133" s="24">
        <f>IF(OR(AJ133="",AJ133=0),"",N(J133)/AJ133-1)</f>
        <v>0</v>
      </c>
      <c r="AL133" s="23">
        <f>IF(B133="","",SUMIFS(Analytics!$G$5:$G$154,Analytics!$E$5:$E$154,E133,Analytics!$C$5:$C$154,TEXT(EDATE(B133,-1),"yyyy-mm")))</f>
        <v>0</v>
      </c>
      <c r="AM133" s="29">
        <f>IF(E133="","",IF(COUNTIFS(Analytics!$E$5:$E$154,E133,Analytics!$C$5:$C$154,C133)&gt;1,"Duplicate","OK"))</f>
        <v>0</v>
      </c>
      <c r="AN133" s="29">
        <f>IF(E133="","",IF(AM133="Duplicate","Duplicate - this month is entered twice",IF(AND(J133&lt;&gt;"",AA133&lt;TargetEngagement),"Check - engagement below target",IF(X133&lt;0,"Check - followers went down",IF(AND(I133&lt;&gt;"",Z133&lt;&gt;"",I133&lt;&gt;Z133),"Check - post count does not match the calendar","OK")))))</f>
        <v>0</v>
      </c>
    </row>
    <row r="134" spans="1:40">
      <c r="A134" s="41">
        <f>IF(E134="","","AN-"&amp;TEXT(ROW()-4,"0000"))</f>
        <v>0</v>
      </c>
      <c r="C134" s="17">
        <f>IF(B134="","",TEXT(B134,"yyyy-mm"))</f>
        <v>0</v>
      </c>
      <c r="W134" s="23">
        <f>IF(G134="","",G134-N(F134)+N(H134))</f>
        <v>0</v>
      </c>
      <c r="X134" s="23">
        <f>IF(G134="","",G134-N(F134))</f>
        <v>0</v>
      </c>
      <c r="Y134" s="24">
        <f>IF(OR(F134="",F134=0),"",X134/F134)</f>
        <v>0</v>
      </c>
      <c r="Z134" s="23">
        <f>IF(OR(B134="",D134=""),"",COUNTIFS('Content Calendar'!$G$5:$G$604,D134,'Content Calendar'!$D$5:$D$604,C134,'Content Calendar'!$X$5:$X$604,"Published"))</f>
        <v>0</v>
      </c>
      <c r="AA134" s="24">
        <f>IF(OR(J134="",J134=0),"",N(L134)/J134)</f>
        <v>0</v>
      </c>
      <c r="AB134" s="23">
        <f>IF(OR(I134="",I134=0),"",ROUND(N(J134)/I134,0))</f>
        <v>0</v>
      </c>
      <c r="AC134" s="23">
        <f>IF(OR(I134="",I134=0),"",ROUND(N(L134)/I134,0))</f>
        <v>0</v>
      </c>
      <c r="AD134" s="24">
        <f>IF(OR(G134="",G134=0),"",N(J134)/G134)</f>
        <v>0</v>
      </c>
      <c r="AE134" s="24">
        <f>IF(OR(J134="",J134=0),"",N(R134)/J134)</f>
        <v>0</v>
      </c>
      <c r="AF134" s="24">
        <f>IF(OR(R134="",R134=0),"",N(S134)/R134)</f>
        <v>0</v>
      </c>
      <c r="AG134" s="24">
        <f>IF(OR(S134="",S134=0),"",N(T134)/S134)</f>
        <v>0</v>
      </c>
      <c r="AH134" s="25">
        <f>IF(OR(S134="",S134=0,V134=""),"",V134/S134)</f>
        <v>0</v>
      </c>
      <c r="AI134" s="31">
        <f>IF(OR(V134="",V134=0),"",N(U134)/V134)</f>
        <v>0</v>
      </c>
      <c r="AJ134" s="23">
        <f>IF(B134="","",SUMIFS(Analytics!$J$5:$J$154,Analytics!$E$5:$E$154,E134,Analytics!$C$5:$C$154,TEXT(EDATE(B134,-1),"yyyy-mm")))</f>
        <v>0</v>
      </c>
      <c r="AK134" s="24">
        <f>IF(OR(AJ134="",AJ134=0),"",N(J134)/AJ134-1)</f>
        <v>0</v>
      </c>
      <c r="AL134" s="23">
        <f>IF(B134="","",SUMIFS(Analytics!$G$5:$G$154,Analytics!$E$5:$E$154,E134,Analytics!$C$5:$C$154,TEXT(EDATE(B134,-1),"yyyy-mm")))</f>
        <v>0</v>
      </c>
      <c r="AM134" s="29">
        <f>IF(E134="","",IF(COUNTIFS(Analytics!$E$5:$E$154,E134,Analytics!$C$5:$C$154,C134)&gt;1,"Duplicate","OK"))</f>
        <v>0</v>
      </c>
      <c r="AN134" s="29">
        <f>IF(E134="","",IF(AM134="Duplicate","Duplicate - this month is entered twice",IF(AND(J134&lt;&gt;"",AA134&lt;TargetEngagement),"Check - engagement below target",IF(X134&lt;0,"Check - followers went down",IF(AND(I134&lt;&gt;"",Z134&lt;&gt;"",I134&lt;&gt;Z134),"Check - post count does not match the calendar","OK")))))</f>
        <v>0</v>
      </c>
    </row>
    <row r="135" spans="1:40">
      <c r="A135" s="41">
        <f>IF(E135="","","AN-"&amp;TEXT(ROW()-4,"0000"))</f>
        <v>0</v>
      </c>
      <c r="C135" s="17">
        <f>IF(B135="","",TEXT(B135,"yyyy-mm"))</f>
        <v>0</v>
      </c>
      <c r="W135" s="23">
        <f>IF(G135="","",G135-N(F135)+N(H135))</f>
        <v>0</v>
      </c>
      <c r="X135" s="23">
        <f>IF(G135="","",G135-N(F135))</f>
        <v>0</v>
      </c>
      <c r="Y135" s="24">
        <f>IF(OR(F135="",F135=0),"",X135/F135)</f>
        <v>0</v>
      </c>
      <c r="Z135" s="23">
        <f>IF(OR(B135="",D135=""),"",COUNTIFS('Content Calendar'!$G$5:$G$604,D135,'Content Calendar'!$D$5:$D$604,C135,'Content Calendar'!$X$5:$X$604,"Published"))</f>
        <v>0</v>
      </c>
      <c r="AA135" s="24">
        <f>IF(OR(J135="",J135=0),"",N(L135)/J135)</f>
        <v>0</v>
      </c>
      <c r="AB135" s="23">
        <f>IF(OR(I135="",I135=0),"",ROUND(N(J135)/I135,0))</f>
        <v>0</v>
      </c>
      <c r="AC135" s="23">
        <f>IF(OR(I135="",I135=0),"",ROUND(N(L135)/I135,0))</f>
        <v>0</v>
      </c>
      <c r="AD135" s="24">
        <f>IF(OR(G135="",G135=0),"",N(J135)/G135)</f>
        <v>0</v>
      </c>
      <c r="AE135" s="24">
        <f>IF(OR(J135="",J135=0),"",N(R135)/J135)</f>
        <v>0</v>
      </c>
      <c r="AF135" s="24">
        <f>IF(OR(R135="",R135=0),"",N(S135)/R135)</f>
        <v>0</v>
      </c>
      <c r="AG135" s="24">
        <f>IF(OR(S135="",S135=0),"",N(T135)/S135)</f>
        <v>0</v>
      </c>
      <c r="AH135" s="25">
        <f>IF(OR(S135="",S135=0,V135=""),"",V135/S135)</f>
        <v>0</v>
      </c>
      <c r="AI135" s="31">
        <f>IF(OR(V135="",V135=0),"",N(U135)/V135)</f>
        <v>0</v>
      </c>
      <c r="AJ135" s="23">
        <f>IF(B135="","",SUMIFS(Analytics!$J$5:$J$154,Analytics!$E$5:$E$154,E135,Analytics!$C$5:$C$154,TEXT(EDATE(B135,-1),"yyyy-mm")))</f>
        <v>0</v>
      </c>
      <c r="AK135" s="24">
        <f>IF(OR(AJ135="",AJ135=0),"",N(J135)/AJ135-1)</f>
        <v>0</v>
      </c>
      <c r="AL135" s="23">
        <f>IF(B135="","",SUMIFS(Analytics!$G$5:$G$154,Analytics!$E$5:$E$154,E135,Analytics!$C$5:$C$154,TEXT(EDATE(B135,-1),"yyyy-mm")))</f>
        <v>0</v>
      </c>
      <c r="AM135" s="29">
        <f>IF(E135="","",IF(COUNTIFS(Analytics!$E$5:$E$154,E135,Analytics!$C$5:$C$154,C135)&gt;1,"Duplicate","OK"))</f>
        <v>0</v>
      </c>
      <c r="AN135" s="29">
        <f>IF(E135="","",IF(AM135="Duplicate","Duplicate - this month is entered twice",IF(AND(J135&lt;&gt;"",AA135&lt;TargetEngagement),"Check - engagement below target",IF(X135&lt;0,"Check - followers went down",IF(AND(I135&lt;&gt;"",Z135&lt;&gt;"",I135&lt;&gt;Z135),"Check - post count does not match the calendar","OK")))))</f>
        <v>0</v>
      </c>
    </row>
    <row r="136" spans="1:40">
      <c r="A136" s="41">
        <f>IF(E136="","","AN-"&amp;TEXT(ROW()-4,"0000"))</f>
        <v>0</v>
      </c>
      <c r="C136" s="17">
        <f>IF(B136="","",TEXT(B136,"yyyy-mm"))</f>
        <v>0</v>
      </c>
      <c r="W136" s="23">
        <f>IF(G136="","",G136-N(F136)+N(H136))</f>
        <v>0</v>
      </c>
      <c r="X136" s="23">
        <f>IF(G136="","",G136-N(F136))</f>
        <v>0</v>
      </c>
      <c r="Y136" s="24">
        <f>IF(OR(F136="",F136=0),"",X136/F136)</f>
        <v>0</v>
      </c>
      <c r="Z136" s="23">
        <f>IF(OR(B136="",D136=""),"",COUNTIFS('Content Calendar'!$G$5:$G$604,D136,'Content Calendar'!$D$5:$D$604,C136,'Content Calendar'!$X$5:$X$604,"Published"))</f>
        <v>0</v>
      </c>
      <c r="AA136" s="24">
        <f>IF(OR(J136="",J136=0),"",N(L136)/J136)</f>
        <v>0</v>
      </c>
      <c r="AB136" s="23">
        <f>IF(OR(I136="",I136=0),"",ROUND(N(J136)/I136,0))</f>
        <v>0</v>
      </c>
      <c r="AC136" s="23">
        <f>IF(OR(I136="",I136=0),"",ROUND(N(L136)/I136,0))</f>
        <v>0</v>
      </c>
      <c r="AD136" s="24">
        <f>IF(OR(G136="",G136=0),"",N(J136)/G136)</f>
        <v>0</v>
      </c>
      <c r="AE136" s="24">
        <f>IF(OR(J136="",J136=0),"",N(R136)/J136)</f>
        <v>0</v>
      </c>
      <c r="AF136" s="24">
        <f>IF(OR(R136="",R136=0),"",N(S136)/R136)</f>
        <v>0</v>
      </c>
      <c r="AG136" s="24">
        <f>IF(OR(S136="",S136=0),"",N(T136)/S136)</f>
        <v>0</v>
      </c>
      <c r="AH136" s="25">
        <f>IF(OR(S136="",S136=0,V136=""),"",V136/S136)</f>
        <v>0</v>
      </c>
      <c r="AI136" s="31">
        <f>IF(OR(V136="",V136=0),"",N(U136)/V136)</f>
        <v>0</v>
      </c>
      <c r="AJ136" s="23">
        <f>IF(B136="","",SUMIFS(Analytics!$J$5:$J$154,Analytics!$E$5:$E$154,E136,Analytics!$C$5:$C$154,TEXT(EDATE(B136,-1),"yyyy-mm")))</f>
        <v>0</v>
      </c>
      <c r="AK136" s="24">
        <f>IF(OR(AJ136="",AJ136=0),"",N(J136)/AJ136-1)</f>
        <v>0</v>
      </c>
      <c r="AL136" s="23">
        <f>IF(B136="","",SUMIFS(Analytics!$G$5:$G$154,Analytics!$E$5:$E$154,E136,Analytics!$C$5:$C$154,TEXT(EDATE(B136,-1),"yyyy-mm")))</f>
        <v>0</v>
      </c>
      <c r="AM136" s="29">
        <f>IF(E136="","",IF(COUNTIFS(Analytics!$E$5:$E$154,E136,Analytics!$C$5:$C$154,C136)&gt;1,"Duplicate","OK"))</f>
        <v>0</v>
      </c>
      <c r="AN136" s="29">
        <f>IF(E136="","",IF(AM136="Duplicate","Duplicate - this month is entered twice",IF(AND(J136&lt;&gt;"",AA136&lt;TargetEngagement),"Check - engagement below target",IF(X136&lt;0,"Check - followers went down",IF(AND(I136&lt;&gt;"",Z136&lt;&gt;"",I136&lt;&gt;Z136),"Check - post count does not match the calendar","OK")))))</f>
        <v>0</v>
      </c>
    </row>
    <row r="137" spans="1:40">
      <c r="A137" s="41">
        <f>IF(E137="","","AN-"&amp;TEXT(ROW()-4,"0000"))</f>
        <v>0</v>
      </c>
      <c r="C137" s="17">
        <f>IF(B137="","",TEXT(B137,"yyyy-mm"))</f>
        <v>0</v>
      </c>
      <c r="W137" s="23">
        <f>IF(G137="","",G137-N(F137)+N(H137))</f>
        <v>0</v>
      </c>
      <c r="X137" s="23">
        <f>IF(G137="","",G137-N(F137))</f>
        <v>0</v>
      </c>
      <c r="Y137" s="24">
        <f>IF(OR(F137="",F137=0),"",X137/F137)</f>
        <v>0</v>
      </c>
      <c r="Z137" s="23">
        <f>IF(OR(B137="",D137=""),"",COUNTIFS('Content Calendar'!$G$5:$G$604,D137,'Content Calendar'!$D$5:$D$604,C137,'Content Calendar'!$X$5:$X$604,"Published"))</f>
        <v>0</v>
      </c>
      <c r="AA137" s="24">
        <f>IF(OR(J137="",J137=0),"",N(L137)/J137)</f>
        <v>0</v>
      </c>
      <c r="AB137" s="23">
        <f>IF(OR(I137="",I137=0),"",ROUND(N(J137)/I137,0))</f>
        <v>0</v>
      </c>
      <c r="AC137" s="23">
        <f>IF(OR(I137="",I137=0),"",ROUND(N(L137)/I137,0))</f>
        <v>0</v>
      </c>
      <c r="AD137" s="24">
        <f>IF(OR(G137="",G137=0),"",N(J137)/G137)</f>
        <v>0</v>
      </c>
      <c r="AE137" s="24">
        <f>IF(OR(J137="",J137=0),"",N(R137)/J137)</f>
        <v>0</v>
      </c>
      <c r="AF137" s="24">
        <f>IF(OR(R137="",R137=0),"",N(S137)/R137)</f>
        <v>0</v>
      </c>
      <c r="AG137" s="24">
        <f>IF(OR(S137="",S137=0),"",N(T137)/S137)</f>
        <v>0</v>
      </c>
      <c r="AH137" s="25">
        <f>IF(OR(S137="",S137=0,V137=""),"",V137/S137)</f>
        <v>0</v>
      </c>
      <c r="AI137" s="31">
        <f>IF(OR(V137="",V137=0),"",N(U137)/V137)</f>
        <v>0</v>
      </c>
      <c r="AJ137" s="23">
        <f>IF(B137="","",SUMIFS(Analytics!$J$5:$J$154,Analytics!$E$5:$E$154,E137,Analytics!$C$5:$C$154,TEXT(EDATE(B137,-1),"yyyy-mm")))</f>
        <v>0</v>
      </c>
      <c r="AK137" s="24">
        <f>IF(OR(AJ137="",AJ137=0),"",N(J137)/AJ137-1)</f>
        <v>0</v>
      </c>
      <c r="AL137" s="23">
        <f>IF(B137="","",SUMIFS(Analytics!$G$5:$G$154,Analytics!$E$5:$E$154,E137,Analytics!$C$5:$C$154,TEXT(EDATE(B137,-1),"yyyy-mm")))</f>
        <v>0</v>
      </c>
      <c r="AM137" s="29">
        <f>IF(E137="","",IF(COUNTIFS(Analytics!$E$5:$E$154,E137,Analytics!$C$5:$C$154,C137)&gt;1,"Duplicate","OK"))</f>
        <v>0</v>
      </c>
      <c r="AN137" s="29">
        <f>IF(E137="","",IF(AM137="Duplicate","Duplicate - this month is entered twice",IF(AND(J137&lt;&gt;"",AA137&lt;TargetEngagement),"Check - engagement below target",IF(X137&lt;0,"Check - followers went down",IF(AND(I137&lt;&gt;"",Z137&lt;&gt;"",I137&lt;&gt;Z137),"Check - post count does not match the calendar","OK")))))</f>
        <v>0</v>
      </c>
    </row>
    <row r="138" spans="1:40">
      <c r="A138" s="41">
        <f>IF(E138="","","AN-"&amp;TEXT(ROW()-4,"0000"))</f>
        <v>0</v>
      </c>
      <c r="C138" s="17">
        <f>IF(B138="","",TEXT(B138,"yyyy-mm"))</f>
        <v>0</v>
      </c>
      <c r="W138" s="23">
        <f>IF(G138="","",G138-N(F138)+N(H138))</f>
        <v>0</v>
      </c>
      <c r="X138" s="23">
        <f>IF(G138="","",G138-N(F138))</f>
        <v>0</v>
      </c>
      <c r="Y138" s="24">
        <f>IF(OR(F138="",F138=0),"",X138/F138)</f>
        <v>0</v>
      </c>
      <c r="Z138" s="23">
        <f>IF(OR(B138="",D138=""),"",COUNTIFS('Content Calendar'!$G$5:$G$604,D138,'Content Calendar'!$D$5:$D$604,C138,'Content Calendar'!$X$5:$X$604,"Published"))</f>
        <v>0</v>
      </c>
      <c r="AA138" s="24">
        <f>IF(OR(J138="",J138=0),"",N(L138)/J138)</f>
        <v>0</v>
      </c>
      <c r="AB138" s="23">
        <f>IF(OR(I138="",I138=0),"",ROUND(N(J138)/I138,0))</f>
        <v>0</v>
      </c>
      <c r="AC138" s="23">
        <f>IF(OR(I138="",I138=0),"",ROUND(N(L138)/I138,0))</f>
        <v>0</v>
      </c>
      <c r="AD138" s="24">
        <f>IF(OR(G138="",G138=0),"",N(J138)/G138)</f>
        <v>0</v>
      </c>
      <c r="AE138" s="24">
        <f>IF(OR(J138="",J138=0),"",N(R138)/J138)</f>
        <v>0</v>
      </c>
      <c r="AF138" s="24">
        <f>IF(OR(R138="",R138=0),"",N(S138)/R138)</f>
        <v>0</v>
      </c>
      <c r="AG138" s="24">
        <f>IF(OR(S138="",S138=0),"",N(T138)/S138)</f>
        <v>0</v>
      </c>
      <c r="AH138" s="25">
        <f>IF(OR(S138="",S138=0,V138=""),"",V138/S138)</f>
        <v>0</v>
      </c>
      <c r="AI138" s="31">
        <f>IF(OR(V138="",V138=0),"",N(U138)/V138)</f>
        <v>0</v>
      </c>
      <c r="AJ138" s="23">
        <f>IF(B138="","",SUMIFS(Analytics!$J$5:$J$154,Analytics!$E$5:$E$154,E138,Analytics!$C$5:$C$154,TEXT(EDATE(B138,-1),"yyyy-mm")))</f>
        <v>0</v>
      </c>
      <c r="AK138" s="24">
        <f>IF(OR(AJ138="",AJ138=0),"",N(J138)/AJ138-1)</f>
        <v>0</v>
      </c>
      <c r="AL138" s="23">
        <f>IF(B138="","",SUMIFS(Analytics!$G$5:$G$154,Analytics!$E$5:$E$154,E138,Analytics!$C$5:$C$154,TEXT(EDATE(B138,-1),"yyyy-mm")))</f>
        <v>0</v>
      </c>
      <c r="AM138" s="29">
        <f>IF(E138="","",IF(COUNTIFS(Analytics!$E$5:$E$154,E138,Analytics!$C$5:$C$154,C138)&gt;1,"Duplicate","OK"))</f>
        <v>0</v>
      </c>
      <c r="AN138" s="29">
        <f>IF(E138="","",IF(AM138="Duplicate","Duplicate - this month is entered twice",IF(AND(J138&lt;&gt;"",AA138&lt;TargetEngagement),"Check - engagement below target",IF(X138&lt;0,"Check - followers went down",IF(AND(I138&lt;&gt;"",Z138&lt;&gt;"",I138&lt;&gt;Z138),"Check - post count does not match the calendar","OK")))))</f>
        <v>0</v>
      </c>
    </row>
    <row r="139" spans="1:40">
      <c r="A139" s="41">
        <f>IF(E139="","","AN-"&amp;TEXT(ROW()-4,"0000"))</f>
        <v>0</v>
      </c>
      <c r="C139" s="17">
        <f>IF(B139="","",TEXT(B139,"yyyy-mm"))</f>
        <v>0</v>
      </c>
      <c r="W139" s="23">
        <f>IF(G139="","",G139-N(F139)+N(H139))</f>
        <v>0</v>
      </c>
      <c r="X139" s="23">
        <f>IF(G139="","",G139-N(F139))</f>
        <v>0</v>
      </c>
      <c r="Y139" s="24">
        <f>IF(OR(F139="",F139=0),"",X139/F139)</f>
        <v>0</v>
      </c>
      <c r="Z139" s="23">
        <f>IF(OR(B139="",D139=""),"",COUNTIFS('Content Calendar'!$G$5:$G$604,D139,'Content Calendar'!$D$5:$D$604,C139,'Content Calendar'!$X$5:$X$604,"Published"))</f>
        <v>0</v>
      </c>
      <c r="AA139" s="24">
        <f>IF(OR(J139="",J139=0),"",N(L139)/J139)</f>
        <v>0</v>
      </c>
      <c r="AB139" s="23">
        <f>IF(OR(I139="",I139=0),"",ROUND(N(J139)/I139,0))</f>
        <v>0</v>
      </c>
      <c r="AC139" s="23">
        <f>IF(OR(I139="",I139=0),"",ROUND(N(L139)/I139,0))</f>
        <v>0</v>
      </c>
      <c r="AD139" s="24">
        <f>IF(OR(G139="",G139=0),"",N(J139)/G139)</f>
        <v>0</v>
      </c>
      <c r="AE139" s="24">
        <f>IF(OR(J139="",J139=0),"",N(R139)/J139)</f>
        <v>0</v>
      </c>
      <c r="AF139" s="24">
        <f>IF(OR(R139="",R139=0),"",N(S139)/R139)</f>
        <v>0</v>
      </c>
      <c r="AG139" s="24">
        <f>IF(OR(S139="",S139=0),"",N(T139)/S139)</f>
        <v>0</v>
      </c>
      <c r="AH139" s="25">
        <f>IF(OR(S139="",S139=0,V139=""),"",V139/S139)</f>
        <v>0</v>
      </c>
      <c r="AI139" s="31">
        <f>IF(OR(V139="",V139=0),"",N(U139)/V139)</f>
        <v>0</v>
      </c>
      <c r="AJ139" s="23">
        <f>IF(B139="","",SUMIFS(Analytics!$J$5:$J$154,Analytics!$E$5:$E$154,E139,Analytics!$C$5:$C$154,TEXT(EDATE(B139,-1),"yyyy-mm")))</f>
        <v>0</v>
      </c>
      <c r="AK139" s="24">
        <f>IF(OR(AJ139="",AJ139=0),"",N(J139)/AJ139-1)</f>
        <v>0</v>
      </c>
      <c r="AL139" s="23">
        <f>IF(B139="","",SUMIFS(Analytics!$G$5:$G$154,Analytics!$E$5:$E$154,E139,Analytics!$C$5:$C$154,TEXT(EDATE(B139,-1),"yyyy-mm")))</f>
        <v>0</v>
      </c>
      <c r="AM139" s="29">
        <f>IF(E139="","",IF(COUNTIFS(Analytics!$E$5:$E$154,E139,Analytics!$C$5:$C$154,C139)&gt;1,"Duplicate","OK"))</f>
        <v>0</v>
      </c>
      <c r="AN139" s="29">
        <f>IF(E139="","",IF(AM139="Duplicate","Duplicate - this month is entered twice",IF(AND(J139&lt;&gt;"",AA139&lt;TargetEngagement),"Check - engagement below target",IF(X139&lt;0,"Check - followers went down",IF(AND(I139&lt;&gt;"",Z139&lt;&gt;"",I139&lt;&gt;Z139),"Check - post count does not match the calendar","OK")))))</f>
        <v>0</v>
      </c>
    </row>
    <row r="140" spans="1:40">
      <c r="A140" s="41">
        <f>IF(E140="","","AN-"&amp;TEXT(ROW()-4,"0000"))</f>
        <v>0</v>
      </c>
      <c r="C140" s="17">
        <f>IF(B140="","",TEXT(B140,"yyyy-mm"))</f>
        <v>0</v>
      </c>
      <c r="W140" s="23">
        <f>IF(G140="","",G140-N(F140)+N(H140))</f>
        <v>0</v>
      </c>
      <c r="X140" s="23">
        <f>IF(G140="","",G140-N(F140))</f>
        <v>0</v>
      </c>
      <c r="Y140" s="24">
        <f>IF(OR(F140="",F140=0),"",X140/F140)</f>
        <v>0</v>
      </c>
      <c r="Z140" s="23">
        <f>IF(OR(B140="",D140=""),"",COUNTIFS('Content Calendar'!$G$5:$G$604,D140,'Content Calendar'!$D$5:$D$604,C140,'Content Calendar'!$X$5:$X$604,"Published"))</f>
        <v>0</v>
      </c>
      <c r="AA140" s="24">
        <f>IF(OR(J140="",J140=0),"",N(L140)/J140)</f>
        <v>0</v>
      </c>
      <c r="AB140" s="23">
        <f>IF(OR(I140="",I140=0),"",ROUND(N(J140)/I140,0))</f>
        <v>0</v>
      </c>
      <c r="AC140" s="23">
        <f>IF(OR(I140="",I140=0),"",ROUND(N(L140)/I140,0))</f>
        <v>0</v>
      </c>
      <c r="AD140" s="24">
        <f>IF(OR(G140="",G140=0),"",N(J140)/G140)</f>
        <v>0</v>
      </c>
      <c r="AE140" s="24">
        <f>IF(OR(J140="",J140=0),"",N(R140)/J140)</f>
        <v>0</v>
      </c>
      <c r="AF140" s="24">
        <f>IF(OR(R140="",R140=0),"",N(S140)/R140)</f>
        <v>0</v>
      </c>
      <c r="AG140" s="24">
        <f>IF(OR(S140="",S140=0),"",N(T140)/S140)</f>
        <v>0</v>
      </c>
      <c r="AH140" s="25">
        <f>IF(OR(S140="",S140=0,V140=""),"",V140/S140)</f>
        <v>0</v>
      </c>
      <c r="AI140" s="31">
        <f>IF(OR(V140="",V140=0),"",N(U140)/V140)</f>
        <v>0</v>
      </c>
      <c r="AJ140" s="23">
        <f>IF(B140="","",SUMIFS(Analytics!$J$5:$J$154,Analytics!$E$5:$E$154,E140,Analytics!$C$5:$C$154,TEXT(EDATE(B140,-1),"yyyy-mm")))</f>
        <v>0</v>
      </c>
      <c r="AK140" s="24">
        <f>IF(OR(AJ140="",AJ140=0),"",N(J140)/AJ140-1)</f>
        <v>0</v>
      </c>
      <c r="AL140" s="23">
        <f>IF(B140="","",SUMIFS(Analytics!$G$5:$G$154,Analytics!$E$5:$E$154,E140,Analytics!$C$5:$C$154,TEXT(EDATE(B140,-1),"yyyy-mm")))</f>
        <v>0</v>
      </c>
      <c r="AM140" s="29">
        <f>IF(E140="","",IF(COUNTIFS(Analytics!$E$5:$E$154,E140,Analytics!$C$5:$C$154,C140)&gt;1,"Duplicate","OK"))</f>
        <v>0</v>
      </c>
      <c r="AN140" s="29">
        <f>IF(E140="","",IF(AM140="Duplicate","Duplicate - this month is entered twice",IF(AND(J140&lt;&gt;"",AA140&lt;TargetEngagement),"Check - engagement below target",IF(X140&lt;0,"Check - followers went down",IF(AND(I140&lt;&gt;"",Z140&lt;&gt;"",I140&lt;&gt;Z140),"Check - post count does not match the calendar","OK")))))</f>
        <v>0</v>
      </c>
    </row>
    <row r="141" spans="1:40">
      <c r="A141" s="41">
        <f>IF(E141="","","AN-"&amp;TEXT(ROW()-4,"0000"))</f>
        <v>0</v>
      </c>
      <c r="C141" s="17">
        <f>IF(B141="","",TEXT(B141,"yyyy-mm"))</f>
        <v>0</v>
      </c>
      <c r="W141" s="23">
        <f>IF(G141="","",G141-N(F141)+N(H141))</f>
        <v>0</v>
      </c>
      <c r="X141" s="23">
        <f>IF(G141="","",G141-N(F141))</f>
        <v>0</v>
      </c>
      <c r="Y141" s="24">
        <f>IF(OR(F141="",F141=0),"",X141/F141)</f>
        <v>0</v>
      </c>
      <c r="Z141" s="23">
        <f>IF(OR(B141="",D141=""),"",COUNTIFS('Content Calendar'!$G$5:$G$604,D141,'Content Calendar'!$D$5:$D$604,C141,'Content Calendar'!$X$5:$X$604,"Published"))</f>
        <v>0</v>
      </c>
      <c r="AA141" s="24">
        <f>IF(OR(J141="",J141=0),"",N(L141)/J141)</f>
        <v>0</v>
      </c>
      <c r="AB141" s="23">
        <f>IF(OR(I141="",I141=0),"",ROUND(N(J141)/I141,0))</f>
        <v>0</v>
      </c>
      <c r="AC141" s="23">
        <f>IF(OR(I141="",I141=0),"",ROUND(N(L141)/I141,0))</f>
        <v>0</v>
      </c>
      <c r="AD141" s="24">
        <f>IF(OR(G141="",G141=0),"",N(J141)/G141)</f>
        <v>0</v>
      </c>
      <c r="AE141" s="24">
        <f>IF(OR(J141="",J141=0),"",N(R141)/J141)</f>
        <v>0</v>
      </c>
      <c r="AF141" s="24">
        <f>IF(OR(R141="",R141=0),"",N(S141)/R141)</f>
        <v>0</v>
      </c>
      <c r="AG141" s="24">
        <f>IF(OR(S141="",S141=0),"",N(T141)/S141)</f>
        <v>0</v>
      </c>
      <c r="AH141" s="25">
        <f>IF(OR(S141="",S141=0,V141=""),"",V141/S141)</f>
        <v>0</v>
      </c>
      <c r="AI141" s="31">
        <f>IF(OR(V141="",V141=0),"",N(U141)/V141)</f>
        <v>0</v>
      </c>
      <c r="AJ141" s="23">
        <f>IF(B141="","",SUMIFS(Analytics!$J$5:$J$154,Analytics!$E$5:$E$154,E141,Analytics!$C$5:$C$154,TEXT(EDATE(B141,-1),"yyyy-mm")))</f>
        <v>0</v>
      </c>
      <c r="AK141" s="24">
        <f>IF(OR(AJ141="",AJ141=0),"",N(J141)/AJ141-1)</f>
        <v>0</v>
      </c>
      <c r="AL141" s="23">
        <f>IF(B141="","",SUMIFS(Analytics!$G$5:$G$154,Analytics!$E$5:$E$154,E141,Analytics!$C$5:$C$154,TEXT(EDATE(B141,-1),"yyyy-mm")))</f>
        <v>0</v>
      </c>
      <c r="AM141" s="29">
        <f>IF(E141="","",IF(COUNTIFS(Analytics!$E$5:$E$154,E141,Analytics!$C$5:$C$154,C141)&gt;1,"Duplicate","OK"))</f>
        <v>0</v>
      </c>
      <c r="AN141" s="29">
        <f>IF(E141="","",IF(AM141="Duplicate","Duplicate - this month is entered twice",IF(AND(J141&lt;&gt;"",AA141&lt;TargetEngagement),"Check - engagement below target",IF(X141&lt;0,"Check - followers went down",IF(AND(I141&lt;&gt;"",Z141&lt;&gt;"",I141&lt;&gt;Z141),"Check - post count does not match the calendar","OK")))))</f>
        <v>0</v>
      </c>
    </row>
    <row r="142" spans="1:40">
      <c r="A142" s="41">
        <f>IF(E142="","","AN-"&amp;TEXT(ROW()-4,"0000"))</f>
        <v>0</v>
      </c>
      <c r="C142" s="17">
        <f>IF(B142="","",TEXT(B142,"yyyy-mm"))</f>
        <v>0</v>
      </c>
      <c r="W142" s="23">
        <f>IF(G142="","",G142-N(F142)+N(H142))</f>
        <v>0</v>
      </c>
      <c r="X142" s="23">
        <f>IF(G142="","",G142-N(F142))</f>
        <v>0</v>
      </c>
      <c r="Y142" s="24">
        <f>IF(OR(F142="",F142=0),"",X142/F142)</f>
        <v>0</v>
      </c>
      <c r="Z142" s="23">
        <f>IF(OR(B142="",D142=""),"",COUNTIFS('Content Calendar'!$G$5:$G$604,D142,'Content Calendar'!$D$5:$D$604,C142,'Content Calendar'!$X$5:$X$604,"Published"))</f>
        <v>0</v>
      </c>
      <c r="AA142" s="24">
        <f>IF(OR(J142="",J142=0),"",N(L142)/J142)</f>
        <v>0</v>
      </c>
      <c r="AB142" s="23">
        <f>IF(OR(I142="",I142=0),"",ROUND(N(J142)/I142,0))</f>
        <v>0</v>
      </c>
      <c r="AC142" s="23">
        <f>IF(OR(I142="",I142=0),"",ROUND(N(L142)/I142,0))</f>
        <v>0</v>
      </c>
      <c r="AD142" s="24">
        <f>IF(OR(G142="",G142=0),"",N(J142)/G142)</f>
        <v>0</v>
      </c>
      <c r="AE142" s="24">
        <f>IF(OR(J142="",J142=0),"",N(R142)/J142)</f>
        <v>0</v>
      </c>
      <c r="AF142" s="24">
        <f>IF(OR(R142="",R142=0),"",N(S142)/R142)</f>
        <v>0</v>
      </c>
      <c r="AG142" s="24">
        <f>IF(OR(S142="",S142=0),"",N(T142)/S142)</f>
        <v>0</v>
      </c>
      <c r="AH142" s="25">
        <f>IF(OR(S142="",S142=0,V142=""),"",V142/S142)</f>
        <v>0</v>
      </c>
      <c r="AI142" s="31">
        <f>IF(OR(V142="",V142=0),"",N(U142)/V142)</f>
        <v>0</v>
      </c>
      <c r="AJ142" s="23">
        <f>IF(B142="","",SUMIFS(Analytics!$J$5:$J$154,Analytics!$E$5:$E$154,E142,Analytics!$C$5:$C$154,TEXT(EDATE(B142,-1),"yyyy-mm")))</f>
        <v>0</v>
      </c>
      <c r="AK142" s="24">
        <f>IF(OR(AJ142="",AJ142=0),"",N(J142)/AJ142-1)</f>
        <v>0</v>
      </c>
      <c r="AL142" s="23">
        <f>IF(B142="","",SUMIFS(Analytics!$G$5:$G$154,Analytics!$E$5:$E$154,E142,Analytics!$C$5:$C$154,TEXT(EDATE(B142,-1),"yyyy-mm")))</f>
        <v>0</v>
      </c>
      <c r="AM142" s="29">
        <f>IF(E142="","",IF(COUNTIFS(Analytics!$E$5:$E$154,E142,Analytics!$C$5:$C$154,C142)&gt;1,"Duplicate","OK"))</f>
        <v>0</v>
      </c>
      <c r="AN142" s="29">
        <f>IF(E142="","",IF(AM142="Duplicate","Duplicate - this month is entered twice",IF(AND(J142&lt;&gt;"",AA142&lt;TargetEngagement),"Check - engagement below target",IF(X142&lt;0,"Check - followers went down",IF(AND(I142&lt;&gt;"",Z142&lt;&gt;"",I142&lt;&gt;Z142),"Check - post count does not match the calendar","OK")))))</f>
        <v>0</v>
      </c>
    </row>
    <row r="143" spans="1:40">
      <c r="A143" s="41">
        <f>IF(E143="","","AN-"&amp;TEXT(ROW()-4,"0000"))</f>
        <v>0</v>
      </c>
      <c r="C143" s="17">
        <f>IF(B143="","",TEXT(B143,"yyyy-mm"))</f>
        <v>0</v>
      </c>
      <c r="W143" s="23">
        <f>IF(G143="","",G143-N(F143)+N(H143))</f>
        <v>0</v>
      </c>
      <c r="X143" s="23">
        <f>IF(G143="","",G143-N(F143))</f>
        <v>0</v>
      </c>
      <c r="Y143" s="24">
        <f>IF(OR(F143="",F143=0),"",X143/F143)</f>
        <v>0</v>
      </c>
      <c r="Z143" s="23">
        <f>IF(OR(B143="",D143=""),"",COUNTIFS('Content Calendar'!$G$5:$G$604,D143,'Content Calendar'!$D$5:$D$604,C143,'Content Calendar'!$X$5:$X$604,"Published"))</f>
        <v>0</v>
      </c>
      <c r="AA143" s="24">
        <f>IF(OR(J143="",J143=0),"",N(L143)/J143)</f>
        <v>0</v>
      </c>
      <c r="AB143" s="23">
        <f>IF(OR(I143="",I143=0),"",ROUND(N(J143)/I143,0))</f>
        <v>0</v>
      </c>
      <c r="AC143" s="23">
        <f>IF(OR(I143="",I143=0),"",ROUND(N(L143)/I143,0))</f>
        <v>0</v>
      </c>
      <c r="AD143" s="24">
        <f>IF(OR(G143="",G143=0),"",N(J143)/G143)</f>
        <v>0</v>
      </c>
      <c r="AE143" s="24">
        <f>IF(OR(J143="",J143=0),"",N(R143)/J143)</f>
        <v>0</v>
      </c>
      <c r="AF143" s="24">
        <f>IF(OR(R143="",R143=0),"",N(S143)/R143)</f>
        <v>0</v>
      </c>
      <c r="AG143" s="24">
        <f>IF(OR(S143="",S143=0),"",N(T143)/S143)</f>
        <v>0</v>
      </c>
      <c r="AH143" s="25">
        <f>IF(OR(S143="",S143=0,V143=""),"",V143/S143)</f>
        <v>0</v>
      </c>
      <c r="AI143" s="31">
        <f>IF(OR(V143="",V143=0),"",N(U143)/V143)</f>
        <v>0</v>
      </c>
      <c r="AJ143" s="23">
        <f>IF(B143="","",SUMIFS(Analytics!$J$5:$J$154,Analytics!$E$5:$E$154,E143,Analytics!$C$5:$C$154,TEXT(EDATE(B143,-1),"yyyy-mm")))</f>
        <v>0</v>
      </c>
      <c r="AK143" s="24">
        <f>IF(OR(AJ143="",AJ143=0),"",N(J143)/AJ143-1)</f>
        <v>0</v>
      </c>
      <c r="AL143" s="23">
        <f>IF(B143="","",SUMIFS(Analytics!$G$5:$G$154,Analytics!$E$5:$E$154,E143,Analytics!$C$5:$C$154,TEXT(EDATE(B143,-1),"yyyy-mm")))</f>
        <v>0</v>
      </c>
      <c r="AM143" s="29">
        <f>IF(E143="","",IF(COUNTIFS(Analytics!$E$5:$E$154,E143,Analytics!$C$5:$C$154,C143)&gt;1,"Duplicate","OK"))</f>
        <v>0</v>
      </c>
      <c r="AN143" s="29">
        <f>IF(E143="","",IF(AM143="Duplicate","Duplicate - this month is entered twice",IF(AND(J143&lt;&gt;"",AA143&lt;TargetEngagement),"Check - engagement below target",IF(X143&lt;0,"Check - followers went down",IF(AND(I143&lt;&gt;"",Z143&lt;&gt;"",I143&lt;&gt;Z143),"Check - post count does not match the calendar","OK")))))</f>
        <v>0</v>
      </c>
    </row>
    <row r="144" spans="1:40">
      <c r="A144" s="41">
        <f>IF(E144="","","AN-"&amp;TEXT(ROW()-4,"0000"))</f>
        <v>0</v>
      </c>
      <c r="C144" s="17">
        <f>IF(B144="","",TEXT(B144,"yyyy-mm"))</f>
        <v>0</v>
      </c>
      <c r="W144" s="23">
        <f>IF(G144="","",G144-N(F144)+N(H144))</f>
        <v>0</v>
      </c>
      <c r="X144" s="23">
        <f>IF(G144="","",G144-N(F144))</f>
        <v>0</v>
      </c>
      <c r="Y144" s="24">
        <f>IF(OR(F144="",F144=0),"",X144/F144)</f>
        <v>0</v>
      </c>
      <c r="Z144" s="23">
        <f>IF(OR(B144="",D144=""),"",COUNTIFS('Content Calendar'!$G$5:$G$604,D144,'Content Calendar'!$D$5:$D$604,C144,'Content Calendar'!$X$5:$X$604,"Published"))</f>
        <v>0</v>
      </c>
      <c r="AA144" s="24">
        <f>IF(OR(J144="",J144=0),"",N(L144)/J144)</f>
        <v>0</v>
      </c>
      <c r="AB144" s="23">
        <f>IF(OR(I144="",I144=0),"",ROUND(N(J144)/I144,0))</f>
        <v>0</v>
      </c>
      <c r="AC144" s="23">
        <f>IF(OR(I144="",I144=0),"",ROUND(N(L144)/I144,0))</f>
        <v>0</v>
      </c>
      <c r="AD144" s="24">
        <f>IF(OR(G144="",G144=0),"",N(J144)/G144)</f>
        <v>0</v>
      </c>
      <c r="AE144" s="24">
        <f>IF(OR(J144="",J144=0),"",N(R144)/J144)</f>
        <v>0</v>
      </c>
      <c r="AF144" s="24">
        <f>IF(OR(R144="",R144=0),"",N(S144)/R144)</f>
        <v>0</v>
      </c>
      <c r="AG144" s="24">
        <f>IF(OR(S144="",S144=0),"",N(T144)/S144)</f>
        <v>0</v>
      </c>
      <c r="AH144" s="25">
        <f>IF(OR(S144="",S144=0,V144=""),"",V144/S144)</f>
        <v>0</v>
      </c>
      <c r="AI144" s="31">
        <f>IF(OR(V144="",V144=0),"",N(U144)/V144)</f>
        <v>0</v>
      </c>
      <c r="AJ144" s="23">
        <f>IF(B144="","",SUMIFS(Analytics!$J$5:$J$154,Analytics!$E$5:$E$154,E144,Analytics!$C$5:$C$154,TEXT(EDATE(B144,-1),"yyyy-mm")))</f>
        <v>0</v>
      </c>
      <c r="AK144" s="24">
        <f>IF(OR(AJ144="",AJ144=0),"",N(J144)/AJ144-1)</f>
        <v>0</v>
      </c>
      <c r="AL144" s="23">
        <f>IF(B144="","",SUMIFS(Analytics!$G$5:$G$154,Analytics!$E$5:$E$154,E144,Analytics!$C$5:$C$154,TEXT(EDATE(B144,-1),"yyyy-mm")))</f>
        <v>0</v>
      </c>
      <c r="AM144" s="29">
        <f>IF(E144="","",IF(COUNTIFS(Analytics!$E$5:$E$154,E144,Analytics!$C$5:$C$154,C144)&gt;1,"Duplicate","OK"))</f>
        <v>0</v>
      </c>
      <c r="AN144" s="29">
        <f>IF(E144="","",IF(AM144="Duplicate","Duplicate - this month is entered twice",IF(AND(J144&lt;&gt;"",AA144&lt;TargetEngagement),"Check - engagement below target",IF(X144&lt;0,"Check - followers went down",IF(AND(I144&lt;&gt;"",Z144&lt;&gt;"",I144&lt;&gt;Z144),"Check - post count does not match the calendar","OK")))))</f>
        <v>0</v>
      </c>
    </row>
    <row r="145" spans="1:40">
      <c r="A145" s="41">
        <f>IF(E145="","","AN-"&amp;TEXT(ROW()-4,"0000"))</f>
        <v>0</v>
      </c>
      <c r="C145" s="17">
        <f>IF(B145="","",TEXT(B145,"yyyy-mm"))</f>
        <v>0</v>
      </c>
      <c r="W145" s="23">
        <f>IF(G145="","",G145-N(F145)+N(H145))</f>
        <v>0</v>
      </c>
      <c r="X145" s="23">
        <f>IF(G145="","",G145-N(F145))</f>
        <v>0</v>
      </c>
      <c r="Y145" s="24">
        <f>IF(OR(F145="",F145=0),"",X145/F145)</f>
        <v>0</v>
      </c>
      <c r="Z145" s="23">
        <f>IF(OR(B145="",D145=""),"",COUNTIFS('Content Calendar'!$G$5:$G$604,D145,'Content Calendar'!$D$5:$D$604,C145,'Content Calendar'!$X$5:$X$604,"Published"))</f>
        <v>0</v>
      </c>
      <c r="AA145" s="24">
        <f>IF(OR(J145="",J145=0),"",N(L145)/J145)</f>
        <v>0</v>
      </c>
      <c r="AB145" s="23">
        <f>IF(OR(I145="",I145=0),"",ROUND(N(J145)/I145,0))</f>
        <v>0</v>
      </c>
      <c r="AC145" s="23">
        <f>IF(OR(I145="",I145=0),"",ROUND(N(L145)/I145,0))</f>
        <v>0</v>
      </c>
      <c r="AD145" s="24">
        <f>IF(OR(G145="",G145=0),"",N(J145)/G145)</f>
        <v>0</v>
      </c>
      <c r="AE145" s="24">
        <f>IF(OR(J145="",J145=0),"",N(R145)/J145)</f>
        <v>0</v>
      </c>
      <c r="AF145" s="24">
        <f>IF(OR(R145="",R145=0),"",N(S145)/R145)</f>
        <v>0</v>
      </c>
      <c r="AG145" s="24">
        <f>IF(OR(S145="",S145=0),"",N(T145)/S145)</f>
        <v>0</v>
      </c>
      <c r="AH145" s="25">
        <f>IF(OR(S145="",S145=0,V145=""),"",V145/S145)</f>
        <v>0</v>
      </c>
      <c r="AI145" s="31">
        <f>IF(OR(V145="",V145=0),"",N(U145)/V145)</f>
        <v>0</v>
      </c>
      <c r="AJ145" s="23">
        <f>IF(B145="","",SUMIFS(Analytics!$J$5:$J$154,Analytics!$E$5:$E$154,E145,Analytics!$C$5:$C$154,TEXT(EDATE(B145,-1),"yyyy-mm")))</f>
        <v>0</v>
      </c>
      <c r="AK145" s="24">
        <f>IF(OR(AJ145="",AJ145=0),"",N(J145)/AJ145-1)</f>
        <v>0</v>
      </c>
      <c r="AL145" s="23">
        <f>IF(B145="","",SUMIFS(Analytics!$G$5:$G$154,Analytics!$E$5:$E$154,E145,Analytics!$C$5:$C$154,TEXT(EDATE(B145,-1),"yyyy-mm")))</f>
        <v>0</v>
      </c>
      <c r="AM145" s="29">
        <f>IF(E145="","",IF(COUNTIFS(Analytics!$E$5:$E$154,E145,Analytics!$C$5:$C$154,C145)&gt;1,"Duplicate","OK"))</f>
        <v>0</v>
      </c>
      <c r="AN145" s="29">
        <f>IF(E145="","",IF(AM145="Duplicate","Duplicate - this month is entered twice",IF(AND(J145&lt;&gt;"",AA145&lt;TargetEngagement),"Check - engagement below target",IF(X145&lt;0,"Check - followers went down",IF(AND(I145&lt;&gt;"",Z145&lt;&gt;"",I145&lt;&gt;Z145),"Check - post count does not match the calendar","OK")))))</f>
        <v>0</v>
      </c>
    </row>
    <row r="146" spans="1:40">
      <c r="A146" s="41">
        <f>IF(E146="","","AN-"&amp;TEXT(ROW()-4,"0000"))</f>
        <v>0</v>
      </c>
      <c r="C146" s="17">
        <f>IF(B146="","",TEXT(B146,"yyyy-mm"))</f>
        <v>0</v>
      </c>
      <c r="W146" s="23">
        <f>IF(G146="","",G146-N(F146)+N(H146))</f>
        <v>0</v>
      </c>
      <c r="X146" s="23">
        <f>IF(G146="","",G146-N(F146))</f>
        <v>0</v>
      </c>
      <c r="Y146" s="24">
        <f>IF(OR(F146="",F146=0),"",X146/F146)</f>
        <v>0</v>
      </c>
      <c r="Z146" s="23">
        <f>IF(OR(B146="",D146=""),"",COUNTIFS('Content Calendar'!$G$5:$G$604,D146,'Content Calendar'!$D$5:$D$604,C146,'Content Calendar'!$X$5:$X$604,"Published"))</f>
        <v>0</v>
      </c>
      <c r="AA146" s="24">
        <f>IF(OR(J146="",J146=0),"",N(L146)/J146)</f>
        <v>0</v>
      </c>
      <c r="AB146" s="23">
        <f>IF(OR(I146="",I146=0),"",ROUND(N(J146)/I146,0))</f>
        <v>0</v>
      </c>
      <c r="AC146" s="23">
        <f>IF(OR(I146="",I146=0),"",ROUND(N(L146)/I146,0))</f>
        <v>0</v>
      </c>
      <c r="AD146" s="24">
        <f>IF(OR(G146="",G146=0),"",N(J146)/G146)</f>
        <v>0</v>
      </c>
      <c r="AE146" s="24">
        <f>IF(OR(J146="",J146=0),"",N(R146)/J146)</f>
        <v>0</v>
      </c>
      <c r="AF146" s="24">
        <f>IF(OR(R146="",R146=0),"",N(S146)/R146)</f>
        <v>0</v>
      </c>
      <c r="AG146" s="24">
        <f>IF(OR(S146="",S146=0),"",N(T146)/S146)</f>
        <v>0</v>
      </c>
      <c r="AH146" s="25">
        <f>IF(OR(S146="",S146=0,V146=""),"",V146/S146)</f>
        <v>0</v>
      </c>
      <c r="AI146" s="31">
        <f>IF(OR(V146="",V146=0),"",N(U146)/V146)</f>
        <v>0</v>
      </c>
      <c r="AJ146" s="23">
        <f>IF(B146="","",SUMIFS(Analytics!$J$5:$J$154,Analytics!$E$5:$E$154,E146,Analytics!$C$5:$C$154,TEXT(EDATE(B146,-1),"yyyy-mm")))</f>
        <v>0</v>
      </c>
      <c r="AK146" s="24">
        <f>IF(OR(AJ146="",AJ146=0),"",N(J146)/AJ146-1)</f>
        <v>0</v>
      </c>
      <c r="AL146" s="23">
        <f>IF(B146="","",SUMIFS(Analytics!$G$5:$G$154,Analytics!$E$5:$E$154,E146,Analytics!$C$5:$C$154,TEXT(EDATE(B146,-1),"yyyy-mm")))</f>
        <v>0</v>
      </c>
      <c r="AM146" s="29">
        <f>IF(E146="","",IF(COUNTIFS(Analytics!$E$5:$E$154,E146,Analytics!$C$5:$C$154,C146)&gt;1,"Duplicate","OK"))</f>
        <v>0</v>
      </c>
      <c r="AN146" s="29">
        <f>IF(E146="","",IF(AM146="Duplicate","Duplicate - this month is entered twice",IF(AND(J146&lt;&gt;"",AA146&lt;TargetEngagement),"Check - engagement below target",IF(X146&lt;0,"Check - followers went down",IF(AND(I146&lt;&gt;"",Z146&lt;&gt;"",I146&lt;&gt;Z146),"Check - post count does not match the calendar","OK")))))</f>
        <v>0</v>
      </c>
    </row>
    <row r="147" spans="1:40">
      <c r="A147" s="41">
        <f>IF(E147="","","AN-"&amp;TEXT(ROW()-4,"0000"))</f>
        <v>0</v>
      </c>
      <c r="C147" s="17">
        <f>IF(B147="","",TEXT(B147,"yyyy-mm"))</f>
        <v>0</v>
      </c>
      <c r="W147" s="23">
        <f>IF(G147="","",G147-N(F147)+N(H147))</f>
        <v>0</v>
      </c>
      <c r="X147" s="23">
        <f>IF(G147="","",G147-N(F147))</f>
        <v>0</v>
      </c>
      <c r="Y147" s="24">
        <f>IF(OR(F147="",F147=0),"",X147/F147)</f>
        <v>0</v>
      </c>
      <c r="Z147" s="23">
        <f>IF(OR(B147="",D147=""),"",COUNTIFS('Content Calendar'!$G$5:$G$604,D147,'Content Calendar'!$D$5:$D$604,C147,'Content Calendar'!$X$5:$X$604,"Published"))</f>
        <v>0</v>
      </c>
      <c r="AA147" s="24">
        <f>IF(OR(J147="",J147=0),"",N(L147)/J147)</f>
        <v>0</v>
      </c>
      <c r="AB147" s="23">
        <f>IF(OR(I147="",I147=0),"",ROUND(N(J147)/I147,0))</f>
        <v>0</v>
      </c>
      <c r="AC147" s="23">
        <f>IF(OR(I147="",I147=0),"",ROUND(N(L147)/I147,0))</f>
        <v>0</v>
      </c>
      <c r="AD147" s="24">
        <f>IF(OR(G147="",G147=0),"",N(J147)/G147)</f>
        <v>0</v>
      </c>
      <c r="AE147" s="24">
        <f>IF(OR(J147="",J147=0),"",N(R147)/J147)</f>
        <v>0</v>
      </c>
      <c r="AF147" s="24">
        <f>IF(OR(R147="",R147=0),"",N(S147)/R147)</f>
        <v>0</v>
      </c>
      <c r="AG147" s="24">
        <f>IF(OR(S147="",S147=0),"",N(T147)/S147)</f>
        <v>0</v>
      </c>
      <c r="AH147" s="25">
        <f>IF(OR(S147="",S147=0,V147=""),"",V147/S147)</f>
        <v>0</v>
      </c>
      <c r="AI147" s="31">
        <f>IF(OR(V147="",V147=0),"",N(U147)/V147)</f>
        <v>0</v>
      </c>
      <c r="AJ147" s="23">
        <f>IF(B147="","",SUMIFS(Analytics!$J$5:$J$154,Analytics!$E$5:$E$154,E147,Analytics!$C$5:$C$154,TEXT(EDATE(B147,-1),"yyyy-mm")))</f>
        <v>0</v>
      </c>
      <c r="AK147" s="24">
        <f>IF(OR(AJ147="",AJ147=0),"",N(J147)/AJ147-1)</f>
        <v>0</v>
      </c>
      <c r="AL147" s="23">
        <f>IF(B147="","",SUMIFS(Analytics!$G$5:$G$154,Analytics!$E$5:$E$154,E147,Analytics!$C$5:$C$154,TEXT(EDATE(B147,-1),"yyyy-mm")))</f>
        <v>0</v>
      </c>
      <c r="AM147" s="29">
        <f>IF(E147="","",IF(COUNTIFS(Analytics!$E$5:$E$154,E147,Analytics!$C$5:$C$154,C147)&gt;1,"Duplicate","OK"))</f>
        <v>0</v>
      </c>
      <c r="AN147" s="29">
        <f>IF(E147="","",IF(AM147="Duplicate","Duplicate - this month is entered twice",IF(AND(J147&lt;&gt;"",AA147&lt;TargetEngagement),"Check - engagement below target",IF(X147&lt;0,"Check - followers went down",IF(AND(I147&lt;&gt;"",Z147&lt;&gt;"",I147&lt;&gt;Z147),"Check - post count does not match the calendar","OK")))))</f>
        <v>0</v>
      </c>
    </row>
    <row r="148" spans="1:40">
      <c r="A148" s="41">
        <f>IF(E148="","","AN-"&amp;TEXT(ROW()-4,"0000"))</f>
        <v>0</v>
      </c>
      <c r="C148" s="17">
        <f>IF(B148="","",TEXT(B148,"yyyy-mm"))</f>
        <v>0</v>
      </c>
      <c r="W148" s="23">
        <f>IF(G148="","",G148-N(F148)+N(H148))</f>
        <v>0</v>
      </c>
      <c r="X148" s="23">
        <f>IF(G148="","",G148-N(F148))</f>
        <v>0</v>
      </c>
      <c r="Y148" s="24">
        <f>IF(OR(F148="",F148=0),"",X148/F148)</f>
        <v>0</v>
      </c>
      <c r="Z148" s="23">
        <f>IF(OR(B148="",D148=""),"",COUNTIFS('Content Calendar'!$G$5:$G$604,D148,'Content Calendar'!$D$5:$D$604,C148,'Content Calendar'!$X$5:$X$604,"Published"))</f>
        <v>0</v>
      </c>
      <c r="AA148" s="24">
        <f>IF(OR(J148="",J148=0),"",N(L148)/J148)</f>
        <v>0</v>
      </c>
      <c r="AB148" s="23">
        <f>IF(OR(I148="",I148=0),"",ROUND(N(J148)/I148,0))</f>
        <v>0</v>
      </c>
      <c r="AC148" s="23">
        <f>IF(OR(I148="",I148=0),"",ROUND(N(L148)/I148,0))</f>
        <v>0</v>
      </c>
      <c r="AD148" s="24">
        <f>IF(OR(G148="",G148=0),"",N(J148)/G148)</f>
        <v>0</v>
      </c>
      <c r="AE148" s="24">
        <f>IF(OR(J148="",J148=0),"",N(R148)/J148)</f>
        <v>0</v>
      </c>
      <c r="AF148" s="24">
        <f>IF(OR(R148="",R148=0),"",N(S148)/R148)</f>
        <v>0</v>
      </c>
      <c r="AG148" s="24">
        <f>IF(OR(S148="",S148=0),"",N(T148)/S148)</f>
        <v>0</v>
      </c>
      <c r="AH148" s="25">
        <f>IF(OR(S148="",S148=0,V148=""),"",V148/S148)</f>
        <v>0</v>
      </c>
      <c r="AI148" s="31">
        <f>IF(OR(V148="",V148=0),"",N(U148)/V148)</f>
        <v>0</v>
      </c>
      <c r="AJ148" s="23">
        <f>IF(B148="","",SUMIFS(Analytics!$J$5:$J$154,Analytics!$E$5:$E$154,E148,Analytics!$C$5:$C$154,TEXT(EDATE(B148,-1),"yyyy-mm")))</f>
        <v>0</v>
      </c>
      <c r="AK148" s="24">
        <f>IF(OR(AJ148="",AJ148=0),"",N(J148)/AJ148-1)</f>
        <v>0</v>
      </c>
      <c r="AL148" s="23">
        <f>IF(B148="","",SUMIFS(Analytics!$G$5:$G$154,Analytics!$E$5:$E$154,E148,Analytics!$C$5:$C$154,TEXT(EDATE(B148,-1),"yyyy-mm")))</f>
        <v>0</v>
      </c>
      <c r="AM148" s="29">
        <f>IF(E148="","",IF(COUNTIFS(Analytics!$E$5:$E$154,E148,Analytics!$C$5:$C$154,C148)&gt;1,"Duplicate","OK"))</f>
        <v>0</v>
      </c>
      <c r="AN148" s="29">
        <f>IF(E148="","",IF(AM148="Duplicate","Duplicate - this month is entered twice",IF(AND(J148&lt;&gt;"",AA148&lt;TargetEngagement),"Check - engagement below target",IF(X148&lt;0,"Check - followers went down",IF(AND(I148&lt;&gt;"",Z148&lt;&gt;"",I148&lt;&gt;Z148),"Check - post count does not match the calendar","OK")))))</f>
        <v>0</v>
      </c>
    </row>
    <row r="149" spans="1:40">
      <c r="A149" s="41">
        <f>IF(E149="","","AN-"&amp;TEXT(ROW()-4,"0000"))</f>
        <v>0</v>
      </c>
      <c r="C149" s="17">
        <f>IF(B149="","",TEXT(B149,"yyyy-mm"))</f>
        <v>0</v>
      </c>
      <c r="W149" s="23">
        <f>IF(G149="","",G149-N(F149)+N(H149))</f>
        <v>0</v>
      </c>
      <c r="X149" s="23">
        <f>IF(G149="","",G149-N(F149))</f>
        <v>0</v>
      </c>
      <c r="Y149" s="24">
        <f>IF(OR(F149="",F149=0),"",X149/F149)</f>
        <v>0</v>
      </c>
      <c r="Z149" s="23">
        <f>IF(OR(B149="",D149=""),"",COUNTIFS('Content Calendar'!$G$5:$G$604,D149,'Content Calendar'!$D$5:$D$604,C149,'Content Calendar'!$X$5:$X$604,"Published"))</f>
        <v>0</v>
      </c>
      <c r="AA149" s="24">
        <f>IF(OR(J149="",J149=0),"",N(L149)/J149)</f>
        <v>0</v>
      </c>
      <c r="AB149" s="23">
        <f>IF(OR(I149="",I149=0),"",ROUND(N(J149)/I149,0))</f>
        <v>0</v>
      </c>
      <c r="AC149" s="23">
        <f>IF(OR(I149="",I149=0),"",ROUND(N(L149)/I149,0))</f>
        <v>0</v>
      </c>
      <c r="AD149" s="24">
        <f>IF(OR(G149="",G149=0),"",N(J149)/G149)</f>
        <v>0</v>
      </c>
      <c r="AE149" s="24">
        <f>IF(OR(J149="",J149=0),"",N(R149)/J149)</f>
        <v>0</v>
      </c>
      <c r="AF149" s="24">
        <f>IF(OR(R149="",R149=0),"",N(S149)/R149)</f>
        <v>0</v>
      </c>
      <c r="AG149" s="24">
        <f>IF(OR(S149="",S149=0),"",N(T149)/S149)</f>
        <v>0</v>
      </c>
      <c r="AH149" s="25">
        <f>IF(OR(S149="",S149=0,V149=""),"",V149/S149)</f>
        <v>0</v>
      </c>
      <c r="AI149" s="31">
        <f>IF(OR(V149="",V149=0),"",N(U149)/V149)</f>
        <v>0</v>
      </c>
      <c r="AJ149" s="23">
        <f>IF(B149="","",SUMIFS(Analytics!$J$5:$J$154,Analytics!$E$5:$E$154,E149,Analytics!$C$5:$C$154,TEXT(EDATE(B149,-1),"yyyy-mm")))</f>
        <v>0</v>
      </c>
      <c r="AK149" s="24">
        <f>IF(OR(AJ149="",AJ149=0),"",N(J149)/AJ149-1)</f>
        <v>0</v>
      </c>
      <c r="AL149" s="23">
        <f>IF(B149="","",SUMIFS(Analytics!$G$5:$G$154,Analytics!$E$5:$E$154,E149,Analytics!$C$5:$C$154,TEXT(EDATE(B149,-1),"yyyy-mm")))</f>
        <v>0</v>
      </c>
      <c r="AM149" s="29">
        <f>IF(E149="","",IF(COUNTIFS(Analytics!$E$5:$E$154,E149,Analytics!$C$5:$C$154,C149)&gt;1,"Duplicate","OK"))</f>
        <v>0</v>
      </c>
      <c r="AN149" s="29">
        <f>IF(E149="","",IF(AM149="Duplicate","Duplicate - this month is entered twice",IF(AND(J149&lt;&gt;"",AA149&lt;TargetEngagement),"Check - engagement below target",IF(X149&lt;0,"Check - followers went down",IF(AND(I149&lt;&gt;"",Z149&lt;&gt;"",I149&lt;&gt;Z149),"Check - post count does not match the calendar","OK")))))</f>
        <v>0</v>
      </c>
    </row>
    <row r="150" spans="1:40">
      <c r="A150" s="41">
        <f>IF(E150="","","AN-"&amp;TEXT(ROW()-4,"0000"))</f>
        <v>0</v>
      </c>
      <c r="C150" s="17">
        <f>IF(B150="","",TEXT(B150,"yyyy-mm"))</f>
        <v>0</v>
      </c>
      <c r="W150" s="23">
        <f>IF(G150="","",G150-N(F150)+N(H150))</f>
        <v>0</v>
      </c>
      <c r="X150" s="23">
        <f>IF(G150="","",G150-N(F150))</f>
        <v>0</v>
      </c>
      <c r="Y150" s="24">
        <f>IF(OR(F150="",F150=0),"",X150/F150)</f>
        <v>0</v>
      </c>
      <c r="Z150" s="23">
        <f>IF(OR(B150="",D150=""),"",COUNTIFS('Content Calendar'!$G$5:$G$604,D150,'Content Calendar'!$D$5:$D$604,C150,'Content Calendar'!$X$5:$X$604,"Published"))</f>
        <v>0</v>
      </c>
      <c r="AA150" s="24">
        <f>IF(OR(J150="",J150=0),"",N(L150)/J150)</f>
        <v>0</v>
      </c>
      <c r="AB150" s="23">
        <f>IF(OR(I150="",I150=0),"",ROUND(N(J150)/I150,0))</f>
        <v>0</v>
      </c>
      <c r="AC150" s="23">
        <f>IF(OR(I150="",I150=0),"",ROUND(N(L150)/I150,0))</f>
        <v>0</v>
      </c>
      <c r="AD150" s="24">
        <f>IF(OR(G150="",G150=0),"",N(J150)/G150)</f>
        <v>0</v>
      </c>
      <c r="AE150" s="24">
        <f>IF(OR(J150="",J150=0),"",N(R150)/J150)</f>
        <v>0</v>
      </c>
      <c r="AF150" s="24">
        <f>IF(OR(R150="",R150=0),"",N(S150)/R150)</f>
        <v>0</v>
      </c>
      <c r="AG150" s="24">
        <f>IF(OR(S150="",S150=0),"",N(T150)/S150)</f>
        <v>0</v>
      </c>
      <c r="AH150" s="25">
        <f>IF(OR(S150="",S150=0,V150=""),"",V150/S150)</f>
        <v>0</v>
      </c>
      <c r="AI150" s="31">
        <f>IF(OR(V150="",V150=0),"",N(U150)/V150)</f>
        <v>0</v>
      </c>
      <c r="AJ150" s="23">
        <f>IF(B150="","",SUMIFS(Analytics!$J$5:$J$154,Analytics!$E$5:$E$154,E150,Analytics!$C$5:$C$154,TEXT(EDATE(B150,-1),"yyyy-mm")))</f>
        <v>0</v>
      </c>
      <c r="AK150" s="24">
        <f>IF(OR(AJ150="",AJ150=0),"",N(J150)/AJ150-1)</f>
        <v>0</v>
      </c>
      <c r="AL150" s="23">
        <f>IF(B150="","",SUMIFS(Analytics!$G$5:$G$154,Analytics!$E$5:$E$154,E150,Analytics!$C$5:$C$154,TEXT(EDATE(B150,-1),"yyyy-mm")))</f>
        <v>0</v>
      </c>
      <c r="AM150" s="29">
        <f>IF(E150="","",IF(COUNTIFS(Analytics!$E$5:$E$154,E150,Analytics!$C$5:$C$154,C150)&gt;1,"Duplicate","OK"))</f>
        <v>0</v>
      </c>
      <c r="AN150" s="29">
        <f>IF(E150="","",IF(AM150="Duplicate","Duplicate - this month is entered twice",IF(AND(J150&lt;&gt;"",AA150&lt;TargetEngagement),"Check - engagement below target",IF(X150&lt;0,"Check - followers went down",IF(AND(I150&lt;&gt;"",Z150&lt;&gt;"",I150&lt;&gt;Z150),"Check - post count does not match the calendar","OK")))))</f>
        <v>0</v>
      </c>
    </row>
    <row r="151" spans="1:40">
      <c r="A151" s="41">
        <f>IF(E151="","","AN-"&amp;TEXT(ROW()-4,"0000"))</f>
        <v>0</v>
      </c>
      <c r="C151" s="17">
        <f>IF(B151="","",TEXT(B151,"yyyy-mm"))</f>
        <v>0</v>
      </c>
      <c r="W151" s="23">
        <f>IF(G151="","",G151-N(F151)+N(H151))</f>
        <v>0</v>
      </c>
      <c r="X151" s="23">
        <f>IF(G151="","",G151-N(F151))</f>
        <v>0</v>
      </c>
      <c r="Y151" s="24">
        <f>IF(OR(F151="",F151=0),"",X151/F151)</f>
        <v>0</v>
      </c>
      <c r="Z151" s="23">
        <f>IF(OR(B151="",D151=""),"",COUNTIFS('Content Calendar'!$G$5:$G$604,D151,'Content Calendar'!$D$5:$D$604,C151,'Content Calendar'!$X$5:$X$604,"Published"))</f>
        <v>0</v>
      </c>
      <c r="AA151" s="24">
        <f>IF(OR(J151="",J151=0),"",N(L151)/J151)</f>
        <v>0</v>
      </c>
      <c r="AB151" s="23">
        <f>IF(OR(I151="",I151=0),"",ROUND(N(J151)/I151,0))</f>
        <v>0</v>
      </c>
      <c r="AC151" s="23">
        <f>IF(OR(I151="",I151=0),"",ROUND(N(L151)/I151,0))</f>
        <v>0</v>
      </c>
      <c r="AD151" s="24">
        <f>IF(OR(G151="",G151=0),"",N(J151)/G151)</f>
        <v>0</v>
      </c>
      <c r="AE151" s="24">
        <f>IF(OR(J151="",J151=0),"",N(R151)/J151)</f>
        <v>0</v>
      </c>
      <c r="AF151" s="24">
        <f>IF(OR(R151="",R151=0),"",N(S151)/R151)</f>
        <v>0</v>
      </c>
      <c r="AG151" s="24">
        <f>IF(OR(S151="",S151=0),"",N(T151)/S151)</f>
        <v>0</v>
      </c>
      <c r="AH151" s="25">
        <f>IF(OR(S151="",S151=0,V151=""),"",V151/S151)</f>
        <v>0</v>
      </c>
      <c r="AI151" s="31">
        <f>IF(OR(V151="",V151=0),"",N(U151)/V151)</f>
        <v>0</v>
      </c>
      <c r="AJ151" s="23">
        <f>IF(B151="","",SUMIFS(Analytics!$J$5:$J$154,Analytics!$E$5:$E$154,E151,Analytics!$C$5:$C$154,TEXT(EDATE(B151,-1),"yyyy-mm")))</f>
        <v>0</v>
      </c>
      <c r="AK151" s="24">
        <f>IF(OR(AJ151="",AJ151=0),"",N(J151)/AJ151-1)</f>
        <v>0</v>
      </c>
      <c r="AL151" s="23">
        <f>IF(B151="","",SUMIFS(Analytics!$G$5:$G$154,Analytics!$E$5:$E$154,E151,Analytics!$C$5:$C$154,TEXT(EDATE(B151,-1),"yyyy-mm")))</f>
        <v>0</v>
      </c>
      <c r="AM151" s="29">
        <f>IF(E151="","",IF(COUNTIFS(Analytics!$E$5:$E$154,E151,Analytics!$C$5:$C$154,C151)&gt;1,"Duplicate","OK"))</f>
        <v>0</v>
      </c>
      <c r="AN151" s="29">
        <f>IF(E151="","",IF(AM151="Duplicate","Duplicate - this month is entered twice",IF(AND(J151&lt;&gt;"",AA151&lt;TargetEngagement),"Check - engagement below target",IF(X151&lt;0,"Check - followers went down",IF(AND(I151&lt;&gt;"",Z151&lt;&gt;"",I151&lt;&gt;Z151),"Check - post count does not match the calendar","OK")))))</f>
        <v>0</v>
      </c>
    </row>
    <row r="152" spans="1:40">
      <c r="A152" s="41">
        <f>IF(E152="","","AN-"&amp;TEXT(ROW()-4,"0000"))</f>
        <v>0</v>
      </c>
      <c r="C152" s="17">
        <f>IF(B152="","",TEXT(B152,"yyyy-mm"))</f>
        <v>0</v>
      </c>
      <c r="W152" s="23">
        <f>IF(G152="","",G152-N(F152)+N(H152))</f>
        <v>0</v>
      </c>
      <c r="X152" s="23">
        <f>IF(G152="","",G152-N(F152))</f>
        <v>0</v>
      </c>
      <c r="Y152" s="24">
        <f>IF(OR(F152="",F152=0),"",X152/F152)</f>
        <v>0</v>
      </c>
      <c r="Z152" s="23">
        <f>IF(OR(B152="",D152=""),"",COUNTIFS('Content Calendar'!$G$5:$G$604,D152,'Content Calendar'!$D$5:$D$604,C152,'Content Calendar'!$X$5:$X$604,"Published"))</f>
        <v>0</v>
      </c>
      <c r="AA152" s="24">
        <f>IF(OR(J152="",J152=0),"",N(L152)/J152)</f>
        <v>0</v>
      </c>
      <c r="AB152" s="23">
        <f>IF(OR(I152="",I152=0),"",ROUND(N(J152)/I152,0))</f>
        <v>0</v>
      </c>
      <c r="AC152" s="23">
        <f>IF(OR(I152="",I152=0),"",ROUND(N(L152)/I152,0))</f>
        <v>0</v>
      </c>
      <c r="AD152" s="24">
        <f>IF(OR(G152="",G152=0),"",N(J152)/G152)</f>
        <v>0</v>
      </c>
      <c r="AE152" s="24">
        <f>IF(OR(J152="",J152=0),"",N(R152)/J152)</f>
        <v>0</v>
      </c>
      <c r="AF152" s="24">
        <f>IF(OR(R152="",R152=0),"",N(S152)/R152)</f>
        <v>0</v>
      </c>
      <c r="AG152" s="24">
        <f>IF(OR(S152="",S152=0),"",N(T152)/S152)</f>
        <v>0</v>
      </c>
      <c r="AH152" s="25">
        <f>IF(OR(S152="",S152=0,V152=""),"",V152/S152)</f>
        <v>0</v>
      </c>
      <c r="AI152" s="31">
        <f>IF(OR(V152="",V152=0),"",N(U152)/V152)</f>
        <v>0</v>
      </c>
      <c r="AJ152" s="23">
        <f>IF(B152="","",SUMIFS(Analytics!$J$5:$J$154,Analytics!$E$5:$E$154,E152,Analytics!$C$5:$C$154,TEXT(EDATE(B152,-1),"yyyy-mm")))</f>
        <v>0</v>
      </c>
      <c r="AK152" s="24">
        <f>IF(OR(AJ152="",AJ152=0),"",N(J152)/AJ152-1)</f>
        <v>0</v>
      </c>
      <c r="AL152" s="23">
        <f>IF(B152="","",SUMIFS(Analytics!$G$5:$G$154,Analytics!$E$5:$E$154,E152,Analytics!$C$5:$C$154,TEXT(EDATE(B152,-1),"yyyy-mm")))</f>
        <v>0</v>
      </c>
      <c r="AM152" s="29">
        <f>IF(E152="","",IF(COUNTIFS(Analytics!$E$5:$E$154,E152,Analytics!$C$5:$C$154,C152)&gt;1,"Duplicate","OK"))</f>
        <v>0</v>
      </c>
      <c r="AN152" s="29">
        <f>IF(E152="","",IF(AM152="Duplicate","Duplicate - this month is entered twice",IF(AND(J152&lt;&gt;"",AA152&lt;TargetEngagement),"Check - engagement below target",IF(X152&lt;0,"Check - followers went down",IF(AND(I152&lt;&gt;"",Z152&lt;&gt;"",I152&lt;&gt;Z152),"Check - post count does not match the calendar","OK")))))</f>
        <v>0</v>
      </c>
    </row>
    <row r="153" spans="1:40">
      <c r="A153" s="41">
        <f>IF(E153="","","AN-"&amp;TEXT(ROW()-4,"0000"))</f>
        <v>0</v>
      </c>
      <c r="C153" s="17">
        <f>IF(B153="","",TEXT(B153,"yyyy-mm"))</f>
        <v>0</v>
      </c>
      <c r="W153" s="23">
        <f>IF(G153="","",G153-N(F153)+N(H153))</f>
        <v>0</v>
      </c>
      <c r="X153" s="23">
        <f>IF(G153="","",G153-N(F153))</f>
        <v>0</v>
      </c>
      <c r="Y153" s="24">
        <f>IF(OR(F153="",F153=0),"",X153/F153)</f>
        <v>0</v>
      </c>
      <c r="Z153" s="23">
        <f>IF(OR(B153="",D153=""),"",COUNTIFS('Content Calendar'!$G$5:$G$604,D153,'Content Calendar'!$D$5:$D$604,C153,'Content Calendar'!$X$5:$X$604,"Published"))</f>
        <v>0</v>
      </c>
      <c r="AA153" s="24">
        <f>IF(OR(J153="",J153=0),"",N(L153)/J153)</f>
        <v>0</v>
      </c>
      <c r="AB153" s="23">
        <f>IF(OR(I153="",I153=0),"",ROUND(N(J153)/I153,0))</f>
        <v>0</v>
      </c>
      <c r="AC153" s="23">
        <f>IF(OR(I153="",I153=0),"",ROUND(N(L153)/I153,0))</f>
        <v>0</v>
      </c>
      <c r="AD153" s="24">
        <f>IF(OR(G153="",G153=0),"",N(J153)/G153)</f>
        <v>0</v>
      </c>
      <c r="AE153" s="24">
        <f>IF(OR(J153="",J153=0),"",N(R153)/J153)</f>
        <v>0</v>
      </c>
      <c r="AF153" s="24">
        <f>IF(OR(R153="",R153=0),"",N(S153)/R153)</f>
        <v>0</v>
      </c>
      <c r="AG153" s="24">
        <f>IF(OR(S153="",S153=0),"",N(T153)/S153)</f>
        <v>0</v>
      </c>
      <c r="AH153" s="25">
        <f>IF(OR(S153="",S153=0,V153=""),"",V153/S153)</f>
        <v>0</v>
      </c>
      <c r="AI153" s="31">
        <f>IF(OR(V153="",V153=0),"",N(U153)/V153)</f>
        <v>0</v>
      </c>
      <c r="AJ153" s="23">
        <f>IF(B153="","",SUMIFS(Analytics!$J$5:$J$154,Analytics!$E$5:$E$154,E153,Analytics!$C$5:$C$154,TEXT(EDATE(B153,-1),"yyyy-mm")))</f>
        <v>0</v>
      </c>
      <c r="AK153" s="24">
        <f>IF(OR(AJ153="",AJ153=0),"",N(J153)/AJ153-1)</f>
        <v>0</v>
      </c>
      <c r="AL153" s="23">
        <f>IF(B153="","",SUMIFS(Analytics!$G$5:$G$154,Analytics!$E$5:$E$154,E153,Analytics!$C$5:$C$154,TEXT(EDATE(B153,-1),"yyyy-mm")))</f>
        <v>0</v>
      </c>
      <c r="AM153" s="29">
        <f>IF(E153="","",IF(COUNTIFS(Analytics!$E$5:$E$154,E153,Analytics!$C$5:$C$154,C153)&gt;1,"Duplicate","OK"))</f>
        <v>0</v>
      </c>
      <c r="AN153" s="29">
        <f>IF(E153="","",IF(AM153="Duplicate","Duplicate - this month is entered twice",IF(AND(J153&lt;&gt;"",AA153&lt;TargetEngagement),"Check - engagement below target",IF(X153&lt;0,"Check - followers went down",IF(AND(I153&lt;&gt;"",Z153&lt;&gt;"",I153&lt;&gt;Z153),"Check - post count does not match the calendar","OK")))))</f>
        <v>0</v>
      </c>
    </row>
    <row r="154" spans="1:40">
      <c r="A154" s="41">
        <f>IF(E154="","","AN-"&amp;TEXT(ROW()-4,"0000"))</f>
        <v>0</v>
      </c>
      <c r="C154" s="17">
        <f>IF(B154="","",TEXT(B154,"yyyy-mm"))</f>
        <v>0</v>
      </c>
      <c r="W154" s="23">
        <f>IF(G154="","",G154-N(F154)+N(H154))</f>
        <v>0</v>
      </c>
      <c r="X154" s="23">
        <f>IF(G154="","",G154-N(F154))</f>
        <v>0</v>
      </c>
      <c r="Y154" s="24">
        <f>IF(OR(F154="",F154=0),"",X154/F154)</f>
        <v>0</v>
      </c>
      <c r="Z154" s="23">
        <f>IF(OR(B154="",D154=""),"",COUNTIFS('Content Calendar'!$G$5:$G$604,D154,'Content Calendar'!$D$5:$D$604,C154,'Content Calendar'!$X$5:$X$604,"Published"))</f>
        <v>0</v>
      </c>
      <c r="AA154" s="24">
        <f>IF(OR(J154="",J154=0),"",N(L154)/J154)</f>
        <v>0</v>
      </c>
      <c r="AB154" s="23">
        <f>IF(OR(I154="",I154=0),"",ROUND(N(J154)/I154,0))</f>
        <v>0</v>
      </c>
      <c r="AC154" s="23">
        <f>IF(OR(I154="",I154=0),"",ROUND(N(L154)/I154,0))</f>
        <v>0</v>
      </c>
      <c r="AD154" s="24">
        <f>IF(OR(G154="",G154=0),"",N(J154)/G154)</f>
        <v>0</v>
      </c>
      <c r="AE154" s="24">
        <f>IF(OR(J154="",J154=0),"",N(R154)/J154)</f>
        <v>0</v>
      </c>
      <c r="AF154" s="24">
        <f>IF(OR(R154="",R154=0),"",N(S154)/R154)</f>
        <v>0</v>
      </c>
      <c r="AG154" s="24">
        <f>IF(OR(S154="",S154=0),"",N(T154)/S154)</f>
        <v>0</v>
      </c>
      <c r="AH154" s="25">
        <f>IF(OR(S154="",S154=0,V154=""),"",V154/S154)</f>
        <v>0</v>
      </c>
      <c r="AI154" s="31">
        <f>IF(OR(V154="",V154=0),"",N(U154)/V154)</f>
        <v>0</v>
      </c>
      <c r="AJ154" s="23">
        <f>IF(B154="","",SUMIFS(Analytics!$J$5:$J$154,Analytics!$E$5:$E$154,E154,Analytics!$C$5:$C$154,TEXT(EDATE(B154,-1),"yyyy-mm")))</f>
        <v>0</v>
      </c>
      <c r="AK154" s="24">
        <f>IF(OR(AJ154="",AJ154=0),"",N(J154)/AJ154-1)</f>
        <v>0</v>
      </c>
      <c r="AL154" s="23">
        <f>IF(B154="","",SUMIFS(Analytics!$G$5:$G$154,Analytics!$E$5:$E$154,E154,Analytics!$C$5:$C$154,TEXT(EDATE(B154,-1),"yyyy-mm")))</f>
        <v>0</v>
      </c>
      <c r="AM154" s="29">
        <f>IF(E154="","",IF(COUNTIFS(Analytics!$E$5:$E$154,E154,Analytics!$C$5:$C$154,C154)&gt;1,"Duplicate","OK"))</f>
        <v>0</v>
      </c>
      <c r="AN154" s="29">
        <f>IF(E154="","",IF(AM154="Duplicate","Duplicate - this month is entered twice",IF(AND(J154&lt;&gt;"",AA154&lt;TargetEngagement),"Check - engagement below target",IF(X154&lt;0,"Check - followers went down",IF(AND(I154&lt;&gt;"",Z154&lt;&gt;"",I154&lt;&gt;Z154),"Check - post count does not match the calendar","OK")))))</f>
        <v>0</v>
      </c>
    </row>
  </sheetData>
  <sheetProtection password="EC7C" sheet="1" objects="1" scenarios="1" formatCells="0" formatColumns="0" formatRows="0" insertRows="0" insertHyperlinks="0" deleteRows="0" autoFilter="0"/>
  <autoFilter ref="A4:AO154"/>
  <mergeCells count="13">
    <mergeCell ref="A1:AL1"/>
    <mergeCell ref="AM1:AO1"/>
    <mergeCell ref="A2:AO2"/>
    <mergeCell ref="A3:B3"/>
    <mergeCell ref="C3:D3"/>
    <mergeCell ref="E3:F3"/>
    <mergeCell ref="G3:H3"/>
    <mergeCell ref="I3:J3"/>
    <mergeCell ref="K3:L3"/>
    <mergeCell ref="M3:N3"/>
    <mergeCell ref="O3:P3"/>
    <mergeCell ref="Q3:R3"/>
    <mergeCell ref="S3:AO3"/>
  </mergeCells>
  <conditionalFormatting sqref="AA5:AA154">
    <cfRule type="cellIs" dxfId="0" priority="7" operator="greaterThanOrEqual">
      <formula>TargetEngagement</formula>
    </cfRule>
    <cfRule type="cellIs" dxfId="2" priority="8" operator="lessThan">
      <formula>TargetEngagement</formula>
    </cfRule>
  </conditionalFormatting>
  <conditionalFormatting sqref="AH5:AH154">
    <cfRule type="cellIs" dxfId="2" priority="9" operator="greaterThan">
      <formula>CplTarget</formula>
    </cfRule>
  </conditionalFormatting>
  <conditionalFormatting sqref="AI5:AI154">
    <cfRule type="cellIs" dxfId="0" priority="10" operator="greaterThanOrEqual">
      <formula>RoasTarget</formula>
    </cfRule>
    <cfRule type="cellIs" dxfId="2" priority="11" operator="lessThan">
      <formula>RoasTarget</formula>
    </cfRule>
  </conditionalFormatting>
  <conditionalFormatting sqref="AK5:AK154">
    <cfRule type="cellIs" dxfId="0" priority="12" operator="greaterThan">
      <formula>0</formula>
    </cfRule>
    <cfRule type="cellIs" dxfId="1" priority="13" operator="lessThan">
      <formula>-0.1</formula>
    </cfRule>
  </conditionalFormatting>
  <conditionalFormatting sqref="AM5:AM154">
    <cfRule type="containsText" dxfId="1" priority="14" operator="containsText" text="Duplicate">
      <formula>NOT(ISERROR(SEARCH("Duplicate",AM5)))</formula>
    </cfRule>
    <cfRule type="containsText" dxfId="0" priority="15" operator="containsText" text="OK">
      <formula>NOT(ISERROR(SEARCH("OK",AM5)))</formula>
    </cfRule>
  </conditionalFormatting>
  <conditionalFormatting sqref="AN5:AN154">
    <cfRule type="beginsWith" dxfId="0" priority="16" operator="beginsWith" text="OK">
      <formula>LEFT(AN5,2)="OK"</formula>
    </cfRule>
    <cfRule type="containsText" dxfId="1" priority="17" operator="containsText" text="Overdue">
      <formula>NOT(ISERROR(SEARCH("Overdue",AN5)))</formula>
    </cfRule>
    <cfRule type="containsText" dxfId="1" priority="18" operator="containsText" text="Late">
      <formula>NOT(ISERROR(SEARCH("Late",AN5)))</formula>
    </cfRule>
    <cfRule type="containsText" dxfId="1" priority="19" operator="containsText" text="Missing">
      <formula>NOT(ISERROR(SEARCH("Missing",AN5)))</formula>
    </cfRule>
    <cfRule type="containsText" dxfId="1" priority="20" operator="containsText" text="Conflict">
      <formula>NOT(ISERROR(SEARCH("Conflict",AN5)))</formula>
    </cfRule>
    <cfRule type="containsText" dxfId="1" priority="21" operator="containsText" text="Expired">
      <formula>NOT(ISERROR(SEARCH("Expired",AN5)))</formula>
    </cfRule>
    <cfRule type="containsText" dxfId="1" priority="22" operator="containsText" text="Duplicate">
      <formula>NOT(ISERROR(SEARCH("Duplicate",AN5)))</formula>
    </cfRule>
    <cfRule type="containsText" dxfId="2" priority="23" operator="containsText" text="Action">
      <formula>NOT(ISERROR(SEARCH("Action",AN5)))</formula>
    </cfRule>
    <cfRule type="containsText" dxfId="2" priority="24" operator="containsText" text="Due">
      <formula>NOT(ISERROR(SEARCH("Due",AN5)))</formula>
    </cfRule>
    <cfRule type="containsText" dxfId="2" priority="25" operator="containsText" text="Check">
      <formula>NOT(ISERROR(SEARCH("Check",AN5)))</formula>
    </cfRule>
    <cfRule type="containsText" dxfId="2" priority="26" operator="containsText" text="Add">
      <formula>NOT(ISERROR(SEARCH("Add",AN5)))</formula>
    </cfRule>
    <cfRule type="containsText" dxfId="3" priority="27" operator="containsText" text="Today">
      <formula>NOT(ISERROR(SEARCH("Today",AN5)))</formula>
    </cfRule>
    <cfRule type="containsText" dxfId="3" priority="28" operator="containsText" text="Upcoming">
      <formula>NOT(ISERROR(SEARCH("Upcoming",AN5)))</formula>
    </cfRule>
  </conditionalFormatting>
  <conditionalFormatting sqref="G5:G154">
    <cfRule type="dataBar" priority="1">
      <dataBar>
        <cfvo type="min" val="0"/>
        <cfvo type="max" val="0"/>
        <color rgb="FF6350A8"/>
      </dataBar>
    </cfRule>
  </conditionalFormatting>
  <conditionalFormatting sqref="J5:J154">
    <cfRule type="dataBar" priority="2">
      <dataBar>
        <cfvo type="min" val="0"/>
        <cfvo type="max" val="0"/>
        <color rgb="FF6350A8"/>
      </dataBar>
    </cfRule>
  </conditionalFormatting>
  <conditionalFormatting sqref="U5:U154">
    <cfRule type="cellIs" dxfId="5" priority="3" operator="greaterThan">
      <formula>0</formula>
    </cfRule>
  </conditionalFormatting>
  <conditionalFormatting sqref="X5:X154">
    <cfRule type="cellIs" dxfId="1" priority="4" operator="lessThan">
      <formula>0</formula>
    </cfRule>
  </conditionalFormatting>
  <conditionalFormatting sqref="Y5:Y154">
    <cfRule type="cellIs" dxfId="0" priority="5" operator="greaterThanOrEqual">
      <formula>0.02</formula>
    </cfRule>
    <cfRule type="cellIs" dxfId="1" priority="6" operator="lessThan">
      <formula>0</formula>
    </cfRule>
  </conditionalFormatting>
  <dataValidations count="20">
    <dataValidation type="date" allowBlank="1" showInputMessage="1" showErrorMessage="1" errorTitle="Check the date" error="Enter a real date between 2000 and 2100." promptTitle="Month" prompt="Use the 1st of the month - 01/03/2026 means March 2026." sqref="B5:B154">
      <formula1>36526</formula1>
      <formula2>73415</formula2>
    </dataValidation>
    <dataValidation type="list" allowBlank="1" showInputMessage="1" showErrorMessage="1" sqref="D5:D154">
      <formula1>PlatformList</formula1>
    </dataValidation>
    <dataValidation type="list" allowBlank="1" showInputMessage="1" showErrorMessage="1" sqref="E5:E154">
      <formula1>AccountNames</formula1>
    </dataValidation>
    <dataValidation type="whole" allowBlank="1" showInputMessage="1" showErrorMessage="1" errorTitle="Check the value" error="Enter a number between 0 and 1000000000.0." sqref="F5:F154">
      <formula1>0</formula1>
      <formula2>1000000000.0</formula2>
    </dataValidation>
    <dataValidation type="whole" allowBlank="1" showInputMessage="1" showErrorMessage="1" errorTitle="Check the value" error="Enter a number between 0 and 1000000000.0." sqref="G5:G154">
      <formula1>0</formula1>
      <formula2>1000000000.0</formula2>
    </dataValidation>
    <dataValidation type="whole" allowBlank="1" showInputMessage="1" showErrorMessage="1" errorTitle="Check the value" error="Enter a number between 0 and 100000000.0." sqref="H5:H154">
      <formula1>0</formula1>
      <formula2>100000000.0</formula2>
    </dataValidation>
    <dataValidation type="whole" allowBlank="1" showInputMessage="1" showErrorMessage="1" errorTitle="Check the value" error="Enter a number between 0 and 10000." promptTitle="Posts published" prompt="What the platform reports. The grey column next to it counts what your calendar says." sqref="I5:I154">
      <formula1>0</formula1>
      <formula2>10000</formula2>
    </dataValidation>
    <dataValidation type="whole" allowBlank="1" showInputMessage="1" showErrorMessage="1" errorTitle="Check the value" error="Enter a number between 0 and 1000000000.0." sqref="J5:J154">
      <formula1>0</formula1>
      <formula2>1000000000.0</formula2>
    </dataValidation>
    <dataValidation type="whole" allowBlank="1" showInputMessage="1" showErrorMessage="1" errorTitle="Check the value" error="Enter a number between 0 and 1000000000.0." sqref="K5:K154">
      <formula1>0</formula1>
      <formula2>1000000000.0</formula2>
    </dataValidation>
    <dataValidation type="whole" allowBlank="1" showInputMessage="1" showErrorMessage="1" errorTitle="Check the value" error="Enter a number between 0 and 1000000000.0." promptTitle="Engagements" prompt="Likes + comments + shares + saves, as the platform reports it." sqref="L5:L154">
      <formula1>0</formula1>
      <formula2>1000000000.0</formula2>
    </dataValidation>
    <dataValidation type="whole" allowBlank="1" showInputMessage="1" showErrorMessage="1" errorTitle="Check the value" error="Enter a number between 0 and 1000000000.0." sqref="M5:M154">
      <formula1>0</formula1>
      <formula2>1000000000.0</formula2>
    </dataValidation>
    <dataValidation type="whole" allowBlank="1" showInputMessage="1" showErrorMessage="1" errorTitle="Check the value" error="Enter a number between 0 and 1000000000.0." sqref="N5:N154">
      <formula1>0</formula1>
      <formula2>1000000000.0</formula2>
    </dataValidation>
    <dataValidation type="whole" allowBlank="1" showInputMessage="1" showErrorMessage="1" errorTitle="Check the value" error="Enter a number between 0 and 1000000000.0." sqref="O5:O154">
      <formula1>0</formula1>
      <formula2>1000000000.0</formula2>
    </dataValidation>
    <dataValidation type="whole" allowBlank="1" showInputMessage="1" showErrorMessage="1" errorTitle="Check the value" error="Enter a number between 0 and 1000000000.0." sqref="P5:P154">
      <formula1>0</formula1>
      <formula2>1000000000.0</formula2>
    </dataValidation>
    <dataValidation type="whole" allowBlank="1" showInputMessage="1" showErrorMessage="1" errorTitle="Check the value" error="Enter a number between 0 and 1000000000.0." sqref="Q5:Q154">
      <formula1>0</formula1>
      <formula2>1000000000.0</formula2>
    </dataValidation>
    <dataValidation type="whole" allowBlank="1" showInputMessage="1" showErrorMessage="1" errorTitle="Check the value" error="Enter a number between 0 and 1000000000.0." sqref="R5:R154">
      <formula1>0</formula1>
      <formula2>1000000000.0</formula2>
    </dataValidation>
    <dataValidation type="whole" allowBlank="1" showInputMessage="1" showErrorMessage="1" errorTitle="Check the value" error="Enter a number between 0 and 100000000.0." sqref="S5:S154">
      <formula1>0</formula1>
      <formula2>100000000.0</formula2>
    </dataValidation>
    <dataValidation type="whole" allowBlank="1" showInputMessage="1" showErrorMessage="1" errorTitle="Check the value" error="Enter a number between 0 and 100000000.0." sqref="T5:T154">
      <formula1>0</formula1>
      <formula2>100000000.0</formula2>
    </dataValidation>
    <dataValidation type="decimal" allowBlank="1" showInputMessage="1" showErrorMessage="1" errorTitle="Check the value" error="Enter a number between 0 and 1000000000.0." sqref="U5:U154">
      <formula1>0</formula1>
      <formula2>1000000000.0</formula2>
    </dataValidation>
    <dataValidation type="decimal" allowBlank="1" showInputMessage="1" showErrorMessage="1" errorTitle="Check the value" error="Enter a number between 0 and 1000000000.0." sqref="V5:V154">
      <formula1>0</formula1>
      <formula2>1000000000.0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&amp;L&amp;"Calibri,Bold"&amp;12&amp;C&amp;"Calibri,Bold"&amp;11Analytics&amp;R&amp;"Calibri,Italic"&amp;9Social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0.xml><?xml version="1.0" encoding="utf-8"?>
<worksheet xmlns="http://schemas.openxmlformats.org/spreadsheetml/2006/main" xmlns:r="http://schemas.openxmlformats.org/officeDocument/2006/relationships">
  <sheetPr>
    <tabColor rgb="FF3B2A6B"/>
    <pageSetUpPr fitToPage="1"/>
  </sheetPr>
  <dimension ref="A1:AO4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15" customWidth="1"/>
    <col min="3" max="3" width="30.7109375" style="17" customWidth="1"/>
    <col min="4" max="4" width="12.7109375" style="16" customWidth="1"/>
    <col min="5" max="5" width="10.7109375" style="17" customWidth="1"/>
    <col min="6" max="6" width="13.7109375" style="17" customWidth="1"/>
    <col min="7" max="7" width="13.7109375" style="17" customWidth="1"/>
    <col min="8" max="8" width="15.7109375" style="17" customWidth="1"/>
    <col min="9" max="9" width="18.7109375" style="17" customWidth="1"/>
    <col min="10" max="10" width="20.7109375" style="17" customWidth="1"/>
    <col min="11" max="11" width="16.7109375" style="17" customWidth="1"/>
    <col min="12" max="12" width="13.7109375" style="17" customWidth="1"/>
    <col min="13" max="13" width="12.7109375" style="17" customWidth="1"/>
    <col min="14" max="14" width="9.7109375" style="17" customWidth="1"/>
    <col min="15" max="15" width="11.7109375" style="34" customWidth="1"/>
    <col min="16" max="16" width="11.7109375" style="34" customWidth="1"/>
    <col min="17" max="17" width="10.7109375" style="34" customWidth="1"/>
    <col min="18" max="18" width="10.7109375" style="34" customWidth="1"/>
    <col min="19" max="19" width="10.7109375" style="34" customWidth="1"/>
    <col min="20" max="20" width="10.7109375" style="34" customWidth="1"/>
    <col min="21" max="21" width="11.7109375" style="34" customWidth="1"/>
    <col min="22" max="22" width="13.7109375" style="37" customWidth="1"/>
    <col min="23" max="23" width="11.7109375" style="34" customWidth="1"/>
    <col min="24" max="24" width="13.7109375" style="36" customWidth="1"/>
    <col min="25" max="25" width="11.7109375" style="35" customWidth="1"/>
    <col min="26" max="26" width="12.7109375" style="23" customWidth="1"/>
    <col min="27" max="27" width="12.7109375" style="24" customWidth="1"/>
    <col min="28" max="28" width="10.7109375" style="24" customWidth="1"/>
    <col min="29" max="29" width="10.7109375" style="24" customWidth="1"/>
    <col min="30" max="30" width="11.7109375" style="24" customWidth="1"/>
    <col min="31" max="31" width="10.7109375" style="24" customWidth="1"/>
    <col min="32" max="32" width="11.7109375" style="24" customWidth="1"/>
    <col min="33" max="33" width="14.7109375" style="25" customWidth="1"/>
    <col min="34" max="34" width="10.7109375" style="24" hidden="1" customWidth="1"/>
    <col min="35" max="35" width="11.7109375" style="24" customWidth="1"/>
    <col min="36" max="36" width="10.7109375" style="31" hidden="1" customWidth="1"/>
    <col min="37" max="37" width="12.7109375" style="23" customWidth="1"/>
    <col min="38" max="38" width="20.7109375" style="29" customWidth="1"/>
    <col min="39" max="39" width="12.7109375" style="29" customWidth="1"/>
    <col min="40" max="40" width="26.7109375" style="29" customWidth="1"/>
    <col min="41" max="41" width="28.7109375" style="39" customWidth="1"/>
  </cols>
  <sheetData>
    <row r="1" spans="1:41" ht="34" customHeight="1">
      <c r="A1" s="2" t="s">
        <v>1888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t="s">
        <v>1</v>
      </c>
      <c r="AN1" s="3"/>
      <c r="AO1" s="3"/>
    </row>
    <row r="2" spans="1:41" ht="18" customHeight="1">
      <c r="A2" s="4" t="s">
        <v>1889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1890</v>
      </c>
      <c r="T3" s="38"/>
      <c r="U3" s="38"/>
      <c r="V3" s="38"/>
      <c r="W3" s="38"/>
      <c r="X3" s="38"/>
      <c r="Y3" s="38"/>
      <c r="Z3" s="38"/>
      <c r="AA3" s="38"/>
      <c r="AB3" s="38"/>
      <c r="AC3" s="38"/>
      <c r="AD3" s="38"/>
      <c r="AE3" s="38"/>
      <c r="AF3" s="38"/>
      <c r="AG3" s="38"/>
      <c r="AH3" s="38"/>
      <c r="AI3" s="38"/>
      <c r="AJ3" s="38"/>
      <c r="AK3" s="38"/>
      <c r="AL3" s="38"/>
      <c r="AM3" s="38"/>
      <c r="AN3" s="38"/>
      <c r="AO3" s="38"/>
    </row>
    <row r="4" spans="1:41" ht="30" customHeight="1">
      <c r="A4" s="8" t="s">
        <v>766</v>
      </c>
      <c r="B4" s="8" t="s">
        <v>1391</v>
      </c>
      <c r="C4" s="9" t="s">
        <v>904</v>
      </c>
      <c r="D4" s="9" t="s">
        <v>138</v>
      </c>
      <c r="E4" s="9" t="s">
        <v>129</v>
      </c>
      <c r="F4" s="9" t="s">
        <v>192</v>
      </c>
      <c r="G4" s="9" t="s">
        <v>267</v>
      </c>
      <c r="H4" s="9" t="s">
        <v>195</v>
      </c>
      <c r="I4" s="9" t="s">
        <v>272</v>
      </c>
      <c r="J4" s="9" t="s">
        <v>1891</v>
      </c>
      <c r="K4" s="9" t="s">
        <v>907</v>
      </c>
      <c r="L4" s="9" t="s">
        <v>434</v>
      </c>
      <c r="M4" s="9" t="s">
        <v>270</v>
      </c>
      <c r="N4" s="9" t="s">
        <v>269</v>
      </c>
      <c r="O4" s="9" t="s">
        <v>149</v>
      </c>
      <c r="P4" s="9" t="s">
        <v>151</v>
      </c>
      <c r="Q4" s="9" t="s">
        <v>1875</v>
      </c>
      <c r="R4" s="9" t="s">
        <v>1402</v>
      </c>
      <c r="S4" s="9" t="s">
        <v>1401</v>
      </c>
      <c r="T4" s="9" t="s">
        <v>1400</v>
      </c>
      <c r="U4" s="9" t="s">
        <v>166</v>
      </c>
      <c r="V4" s="9" t="s">
        <v>1433</v>
      </c>
      <c r="W4" s="9" t="s">
        <v>1892</v>
      </c>
      <c r="X4" s="9" t="s">
        <v>172</v>
      </c>
      <c r="Y4" s="9" t="s">
        <v>157</v>
      </c>
      <c r="Z4" s="9" t="s">
        <v>153</v>
      </c>
      <c r="AA4" s="9" t="s">
        <v>155</v>
      </c>
      <c r="AB4" s="9" t="s">
        <v>1893</v>
      </c>
      <c r="AC4" s="9" t="s">
        <v>1894</v>
      </c>
      <c r="AD4" s="9" t="s">
        <v>1895</v>
      </c>
      <c r="AE4" s="9" t="s">
        <v>1883</v>
      </c>
      <c r="AF4" s="9" t="s">
        <v>1896</v>
      </c>
      <c r="AG4" s="9" t="s">
        <v>1897</v>
      </c>
      <c r="AH4" s="9" t="s">
        <v>1898</v>
      </c>
      <c r="AI4" s="9" t="s">
        <v>1899</v>
      </c>
      <c r="AJ4" s="9" t="s">
        <v>1900</v>
      </c>
      <c r="AK4" s="9" t="s">
        <v>1901</v>
      </c>
      <c r="AL4" s="9" t="s">
        <v>1902</v>
      </c>
      <c r="AM4" s="9" t="s">
        <v>922</v>
      </c>
      <c r="AN4" s="9" t="s">
        <v>787</v>
      </c>
      <c r="AO4" s="9" t="s">
        <v>1903</v>
      </c>
    </row>
    <row r="5" spans="1:41">
      <c r="A5" s="41">
        <f>IF(B5="","","PF-"&amp;TEXT(ROW()-4,"0000"))</f>
        <v>0</v>
      </c>
      <c r="B5" s="15" t="s">
        <v>1204</v>
      </c>
      <c r="C5" s="17">
        <f>IF(B5="","",IFERROR(INDEX('Content Calendar'!$H$5:$H$604,MATCH(B5,'Content Calendar'!$A$5:$A$604,0)),"Not found"))</f>
        <v>0</v>
      </c>
      <c r="D5" s="16">
        <f>IF(B5="","",IFERROR(INDEX('Content Calendar'!$B$5:$B$604,MATCH(B5,'Content Calendar'!$A$5:$A$604,0)),"Not found"))</f>
        <v>0</v>
      </c>
      <c r="E5" s="17">
        <f>IF(B5="","",IFERROR(INDEX('Content Calendar'!$D$5:$D$604,MATCH(B5,'Content Calendar'!$A$5:$A$604,0)),"Not found"))</f>
        <v>0</v>
      </c>
      <c r="F5" s="17">
        <f>IF(B5="","",IFERROR(INDEX('Content Calendar'!$G$5:$G$604,MATCH(B5,'Content Calendar'!$A$5:$A$604,0)),"Not found"))</f>
        <v>0</v>
      </c>
      <c r="G5" s="17">
        <f>IF(B5="","",IFERROR(INDEX('Content Calendar'!$K$5:$K$604,MATCH(B5,'Content Calendar'!$A$5:$A$604,0)),"Not found"))</f>
        <v>0</v>
      </c>
      <c r="H5" s="17">
        <f>IF(B5="","",IFERROR(INDEX('Content Calendar'!$J$5:$J$604,MATCH(B5,'Content Calendar'!$A$5:$A$604,0)),"Not found"))</f>
        <v>0</v>
      </c>
      <c r="I5" s="17">
        <f>IF(B5="","",IFERROR(INDEX('Content Calendar'!$L$5:$L$604,MATCH(B5,'Content Calendar'!$A$5:$A$604,0)),"Not found"))</f>
        <v>0</v>
      </c>
      <c r="J5" s="17">
        <f>IF(B5="","",IFERROR(INDEX('Content Calendar'!$P$5:$P$604,MATCH(B5,'Content Calendar'!$A$5:$A$604,0)),"Not found"))</f>
        <v>0</v>
      </c>
      <c r="K5" s="17">
        <f>IF(B5="","",IFERROR(INDEX('Content Calendar'!$O$5:$O$604,MATCH(B5,'Content Calendar'!$A$5:$A$604,0)),"Not found"))</f>
        <v>0</v>
      </c>
      <c r="L5" s="17">
        <f>IF(B5="","",IFERROR(INDEX('Content Calendar'!$N$5:$N$604,MATCH(B5,'Content Calendar'!$A$5:$A$604,0)),"Not found"))</f>
        <v>0</v>
      </c>
      <c r="M5" s="17">
        <f>IF(B5="","",IFERROR(INDEX('Content Calendar'!$C$5:$C$604,MATCH(B5,'Content Calendar'!$A$5:$A$604,0)),"Not found"))</f>
        <v>0</v>
      </c>
      <c r="N5" s="17">
        <f>IF(B5="","",IFERROR(INDEX('Content Calendar'!$F$5:$F$604,MATCH(B5,'Content Calendar'!$A$5:$A$604,0)),"Not found"))</f>
        <v>0</v>
      </c>
      <c r="O5" s="34">
        <v>4177</v>
      </c>
      <c r="P5" s="34">
        <v>5489</v>
      </c>
      <c r="Q5" s="34">
        <v>173</v>
      </c>
      <c r="R5" s="34">
        <v>21</v>
      </c>
      <c r="S5" s="34">
        <v>16</v>
      </c>
      <c r="T5" s="34">
        <v>31</v>
      </c>
      <c r="U5" s="34">
        <v>82</v>
      </c>
      <c r="V5" s="37">
        <v>7.6</v>
      </c>
      <c r="W5" s="34">
        <v>6</v>
      </c>
      <c r="X5" s="36">
        <v>253.89</v>
      </c>
      <c r="Y5" s="35">
        <v>0.045</v>
      </c>
      <c r="Z5" s="23">
        <f>IF(O5="","",N(Q5)+N(R5)+N(S5)+N(T5))</f>
        <v>0</v>
      </c>
      <c r="AA5" s="24">
        <f>IF(OR(O5="",O5=0),"",Z5/O5)</f>
        <v>0</v>
      </c>
      <c r="AB5" s="24">
        <f>IF(OR(O5="",O5=0),"",N(T5)/O5)</f>
        <v>0</v>
      </c>
      <c r="AC5" s="24">
        <f>IF(OR(O5="",O5=0),"",N(S5)/O5)</f>
        <v>0</v>
      </c>
      <c r="AD5" s="24">
        <f>IF(OR(O5="",O5=0),"",N(R5)/O5)</f>
        <v>0</v>
      </c>
      <c r="AE5" s="24">
        <f>IF(OR(O5="",O5=0),"",N(U5)/O5)</f>
        <v>0</v>
      </c>
      <c r="AF5" s="24">
        <f>IF(OR(U5="",U5=0),"",N(W5)/U5)</f>
        <v>0</v>
      </c>
      <c r="AG5" s="25">
        <f>IF(OR(O5="",O5=0),"",N(X5)/(O5/1000))</f>
        <v>0</v>
      </c>
      <c r="AH5" s="24">
        <f>IF(O5="","",IF(Y5="",TargetEngagement,Y5))</f>
        <v>0</v>
      </c>
      <c r="AI5" s="24">
        <f>IF(OR(AA5="",AH5=""),"",AA5-AH5)</f>
        <v>0</v>
      </c>
      <c r="AJ5" s="31">
        <f>IF(AA5="","",AA5+ROW()/1000000)</f>
        <v>0</v>
      </c>
      <c r="AK5" s="23">
        <f>IF(AA5="","",RANK(AJ5,Performance!$AJ$5:$AJ$404))</f>
        <v>0</v>
      </c>
      <c r="AL5" s="29">
        <f>IF(AA5="","",IF(AA5&gt;=AH5*1.5,"Top performer",IF(AA5&gt;=AH5,"Above target",IF(AA5&gt;=AH5*0.6,"Below target","Weak - review it"))))</f>
        <v>0</v>
      </c>
      <c r="AM5" s="29">
        <f>IF(B5="","",IF(COUNTIF(Performance!$B$5:$B$404,B5)&gt;1,"Duplicate","OK"))</f>
        <v>0</v>
      </c>
      <c r="AN5" s="29">
        <f>IF(B5="","",IF(C5="Not found","Check - content ID not on the calendar",IF(O5="","Add - no numbers entered yet",IF(AM5="Duplicate","Duplicate - this post is entered twice",IF(AL5="Top performer","Repurpose this one","OK")))))</f>
        <v>0</v>
      </c>
      <c r="AO5" s="39" t="s">
        <v>205</v>
      </c>
    </row>
    <row r="6" spans="1:41">
      <c r="A6" s="41">
        <f>IF(B6="","","PF-"&amp;TEXT(ROW()-4,"0000"))</f>
        <v>0</v>
      </c>
      <c r="B6" s="15" t="s">
        <v>1208</v>
      </c>
      <c r="C6" s="17">
        <f>IF(B6="","",IFERROR(INDEX('Content Calendar'!$H$5:$H$604,MATCH(B6,'Content Calendar'!$A$5:$A$604,0)),"Not found"))</f>
        <v>0</v>
      </c>
      <c r="D6" s="16">
        <f>IF(B6="","",IFERROR(INDEX('Content Calendar'!$B$5:$B$604,MATCH(B6,'Content Calendar'!$A$5:$A$604,0)),"Not found"))</f>
        <v>0</v>
      </c>
      <c r="E6" s="17">
        <f>IF(B6="","",IFERROR(INDEX('Content Calendar'!$D$5:$D$604,MATCH(B6,'Content Calendar'!$A$5:$A$604,0)),"Not found"))</f>
        <v>0</v>
      </c>
      <c r="F6" s="17">
        <f>IF(B6="","",IFERROR(INDEX('Content Calendar'!$G$5:$G$604,MATCH(B6,'Content Calendar'!$A$5:$A$604,0)),"Not found"))</f>
        <v>0</v>
      </c>
      <c r="G6" s="17">
        <f>IF(B6="","",IFERROR(INDEX('Content Calendar'!$K$5:$K$604,MATCH(B6,'Content Calendar'!$A$5:$A$604,0)),"Not found"))</f>
        <v>0</v>
      </c>
      <c r="H6" s="17">
        <f>IF(B6="","",IFERROR(INDEX('Content Calendar'!$J$5:$J$604,MATCH(B6,'Content Calendar'!$A$5:$A$604,0)),"Not found"))</f>
        <v>0</v>
      </c>
      <c r="I6" s="17">
        <f>IF(B6="","",IFERROR(INDEX('Content Calendar'!$L$5:$L$604,MATCH(B6,'Content Calendar'!$A$5:$A$604,0)),"Not found"))</f>
        <v>0</v>
      </c>
      <c r="J6" s="17">
        <f>IF(B6="","",IFERROR(INDEX('Content Calendar'!$P$5:$P$604,MATCH(B6,'Content Calendar'!$A$5:$A$604,0)),"Not found"))</f>
        <v>0</v>
      </c>
      <c r="K6" s="17">
        <f>IF(B6="","",IFERROR(INDEX('Content Calendar'!$O$5:$O$604,MATCH(B6,'Content Calendar'!$A$5:$A$604,0)),"Not found"))</f>
        <v>0</v>
      </c>
      <c r="L6" s="17">
        <f>IF(B6="","",IFERROR(INDEX('Content Calendar'!$N$5:$N$604,MATCH(B6,'Content Calendar'!$A$5:$A$604,0)),"Not found"))</f>
        <v>0</v>
      </c>
      <c r="M6" s="17">
        <f>IF(B6="","",IFERROR(INDEX('Content Calendar'!$C$5:$C$604,MATCH(B6,'Content Calendar'!$A$5:$A$604,0)),"Not found"))</f>
        <v>0</v>
      </c>
      <c r="N6" s="17">
        <f>IF(B6="","",IFERROR(INDEX('Content Calendar'!$F$5:$F$604,MATCH(B6,'Content Calendar'!$A$5:$A$604,0)),"Not found"))</f>
        <v>0</v>
      </c>
      <c r="O6" s="34">
        <v>2207</v>
      </c>
      <c r="P6" s="34">
        <v>3154</v>
      </c>
      <c r="Q6" s="34">
        <v>82</v>
      </c>
      <c r="R6" s="34">
        <v>10</v>
      </c>
      <c r="S6" s="34">
        <v>8</v>
      </c>
      <c r="T6" s="34">
        <v>15</v>
      </c>
      <c r="U6" s="34">
        <v>43</v>
      </c>
      <c r="V6" s="37">
        <v>0</v>
      </c>
      <c r="W6" s="34">
        <v>1</v>
      </c>
      <c r="X6" s="36">
        <v>66.64</v>
      </c>
      <c r="Y6" s="35">
        <v>0.045</v>
      </c>
      <c r="Z6" s="23">
        <f>IF(O6="","",N(Q6)+N(R6)+N(S6)+N(T6))</f>
        <v>0</v>
      </c>
      <c r="AA6" s="24">
        <f>IF(OR(O6="",O6=0),"",Z6/O6)</f>
        <v>0</v>
      </c>
      <c r="AB6" s="24">
        <f>IF(OR(O6="",O6=0),"",N(T6)/O6)</f>
        <v>0</v>
      </c>
      <c r="AC6" s="24">
        <f>IF(OR(O6="",O6=0),"",N(S6)/O6)</f>
        <v>0</v>
      </c>
      <c r="AD6" s="24">
        <f>IF(OR(O6="",O6=0),"",N(R6)/O6)</f>
        <v>0</v>
      </c>
      <c r="AE6" s="24">
        <f>IF(OR(O6="",O6=0),"",N(U6)/O6)</f>
        <v>0</v>
      </c>
      <c r="AF6" s="24">
        <f>IF(OR(U6="",U6=0),"",N(W6)/U6)</f>
        <v>0</v>
      </c>
      <c r="AG6" s="25">
        <f>IF(OR(O6="",O6=0),"",N(X6)/(O6/1000))</f>
        <v>0</v>
      </c>
      <c r="AH6" s="24">
        <f>IF(O6="","",IF(Y6="",TargetEngagement,Y6))</f>
        <v>0</v>
      </c>
      <c r="AI6" s="24">
        <f>IF(OR(AA6="",AH6=""),"",AA6-AH6)</f>
        <v>0</v>
      </c>
      <c r="AJ6" s="31">
        <f>IF(AA6="","",AA6+ROW()/1000000)</f>
        <v>0</v>
      </c>
      <c r="AK6" s="23">
        <f>IF(AA6="","",RANK(AJ6,Performance!$AJ$5:$AJ$404))</f>
        <v>0</v>
      </c>
      <c r="AL6" s="29">
        <f>IF(AA6="","",IF(AA6&gt;=AH6*1.5,"Top performer",IF(AA6&gt;=AH6,"Above target",IF(AA6&gt;=AH6*0.6,"Below target","Weak - review it"))))</f>
        <v>0</v>
      </c>
      <c r="AM6" s="29">
        <f>IF(B6="","",IF(COUNTIF(Performance!$B$5:$B$404,B6)&gt;1,"Duplicate","OK"))</f>
        <v>0</v>
      </c>
      <c r="AN6" s="29">
        <f>IF(B6="","",IF(C6="Not found","Check - content ID not on the calendar",IF(O6="","Add - no numbers entered yet",IF(AM6="Duplicate","Duplicate - this post is entered twice",IF(AL6="Top performer","Repurpose this one","OK")))))</f>
        <v>0</v>
      </c>
      <c r="AO6" s="39" t="s">
        <v>205</v>
      </c>
    </row>
    <row r="7" spans="1:41">
      <c r="A7" s="41">
        <f>IF(B7="","","PF-"&amp;TEXT(ROW()-4,"0000"))</f>
        <v>0</v>
      </c>
      <c r="B7" s="15" t="s">
        <v>1212</v>
      </c>
      <c r="C7" s="17">
        <f>IF(B7="","",IFERROR(INDEX('Content Calendar'!$H$5:$H$604,MATCH(B7,'Content Calendar'!$A$5:$A$604,0)),"Not found"))</f>
        <v>0</v>
      </c>
      <c r="D7" s="16">
        <f>IF(B7="","",IFERROR(INDEX('Content Calendar'!$B$5:$B$604,MATCH(B7,'Content Calendar'!$A$5:$A$604,0)),"Not found"))</f>
        <v>0</v>
      </c>
      <c r="E7" s="17">
        <f>IF(B7="","",IFERROR(INDEX('Content Calendar'!$D$5:$D$604,MATCH(B7,'Content Calendar'!$A$5:$A$604,0)),"Not found"))</f>
        <v>0</v>
      </c>
      <c r="F7" s="17">
        <f>IF(B7="","",IFERROR(INDEX('Content Calendar'!$G$5:$G$604,MATCH(B7,'Content Calendar'!$A$5:$A$604,0)),"Not found"))</f>
        <v>0</v>
      </c>
      <c r="G7" s="17">
        <f>IF(B7="","",IFERROR(INDEX('Content Calendar'!$K$5:$K$604,MATCH(B7,'Content Calendar'!$A$5:$A$604,0)),"Not found"))</f>
        <v>0</v>
      </c>
      <c r="H7" s="17">
        <f>IF(B7="","",IFERROR(INDEX('Content Calendar'!$J$5:$J$604,MATCH(B7,'Content Calendar'!$A$5:$A$604,0)),"Not found"))</f>
        <v>0</v>
      </c>
      <c r="I7" s="17">
        <f>IF(B7="","",IFERROR(INDEX('Content Calendar'!$L$5:$L$604,MATCH(B7,'Content Calendar'!$A$5:$A$604,0)),"Not found"))</f>
        <v>0</v>
      </c>
      <c r="J7" s="17">
        <f>IF(B7="","",IFERROR(INDEX('Content Calendar'!$P$5:$P$604,MATCH(B7,'Content Calendar'!$A$5:$A$604,0)),"Not found"))</f>
        <v>0</v>
      </c>
      <c r="K7" s="17">
        <f>IF(B7="","",IFERROR(INDEX('Content Calendar'!$O$5:$O$604,MATCH(B7,'Content Calendar'!$A$5:$A$604,0)),"Not found"))</f>
        <v>0</v>
      </c>
      <c r="L7" s="17">
        <f>IF(B7="","",IFERROR(INDEX('Content Calendar'!$N$5:$N$604,MATCH(B7,'Content Calendar'!$A$5:$A$604,0)),"Not found"))</f>
        <v>0</v>
      </c>
      <c r="M7" s="17">
        <f>IF(B7="","",IFERROR(INDEX('Content Calendar'!$C$5:$C$604,MATCH(B7,'Content Calendar'!$A$5:$A$604,0)),"Not found"))</f>
        <v>0</v>
      </c>
      <c r="N7" s="17">
        <f>IF(B7="","",IFERROR(INDEX('Content Calendar'!$F$5:$F$604,MATCH(B7,'Content Calendar'!$A$5:$A$604,0)),"Not found"))</f>
        <v>0</v>
      </c>
      <c r="O7" s="34">
        <v>9237</v>
      </c>
      <c r="P7" s="34">
        <v>11803</v>
      </c>
      <c r="Q7" s="34">
        <v>398</v>
      </c>
      <c r="R7" s="34">
        <v>49</v>
      </c>
      <c r="S7" s="34">
        <v>38</v>
      </c>
      <c r="T7" s="34">
        <v>68</v>
      </c>
      <c r="U7" s="34">
        <v>170</v>
      </c>
      <c r="V7" s="37">
        <v>14.2</v>
      </c>
      <c r="W7" s="34">
        <v>5</v>
      </c>
      <c r="X7" s="36">
        <v>245.74</v>
      </c>
      <c r="Y7" s="35">
        <v>0.045</v>
      </c>
      <c r="Z7" s="23">
        <f>IF(O7="","",N(Q7)+N(R7)+N(S7)+N(T7))</f>
        <v>0</v>
      </c>
      <c r="AA7" s="24">
        <f>IF(OR(O7="",O7=0),"",Z7/O7)</f>
        <v>0</v>
      </c>
      <c r="AB7" s="24">
        <f>IF(OR(O7="",O7=0),"",N(T7)/O7)</f>
        <v>0</v>
      </c>
      <c r="AC7" s="24">
        <f>IF(OR(O7="",O7=0),"",N(S7)/O7)</f>
        <v>0</v>
      </c>
      <c r="AD7" s="24">
        <f>IF(OR(O7="",O7=0),"",N(R7)/O7)</f>
        <v>0</v>
      </c>
      <c r="AE7" s="24">
        <f>IF(OR(O7="",O7=0),"",N(U7)/O7)</f>
        <v>0</v>
      </c>
      <c r="AF7" s="24">
        <f>IF(OR(U7="",U7=0),"",N(W7)/U7)</f>
        <v>0</v>
      </c>
      <c r="AG7" s="25">
        <f>IF(OR(O7="",O7=0),"",N(X7)/(O7/1000))</f>
        <v>0</v>
      </c>
      <c r="AH7" s="24">
        <f>IF(O7="","",IF(Y7="",TargetEngagement,Y7))</f>
        <v>0</v>
      </c>
      <c r="AI7" s="24">
        <f>IF(OR(AA7="",AH7=""),"",AA7-AH7)</f>
        <v>0</v>
      </c>
      <c r="AJ7" s="31">
        <f>IF(AA7="","",AA7+ROW()/1000000)</f>
        <v>0</v>
      </c>
      <c r="AK7" s="23">
        <f>IF(AA7="","",RANK(AJ7,Performance!$AJ$5:$AJ$404))</f>
        <v>0</v>
      </c>
      <c r="AL7" s="29">
        <f>IF(AA7="","",IF(AA7&gt;=AH7*1.5,"Top performer",IF(AA7&gt;=AH7,"Above target",IF(AA7&gt;=AH7*0.6,"Below target","Weak - review it"))))</f>
        <v>0</v>
      </c>
      <c r="AM7" s="29">
        <f>IF(B7="","",IF(COUNTIF(Performance!$B$5:$B$404,B7)&gt;1,"Duplicate","OK"))</f>
        <v>0</v>
      </c>
      <c r="AN7" s="29">
        <f>IF(B7="","",IF(C7="Not found","Check - content ID not on the calendar",IF(O7="","Add - no numbers entered yet",IF(AM7="Duplicate","Duplicate - this post is entered twice",IF(AL7="Top performer","Repurpose this one","OK")))))</f>
        <v>0</v>
      </c>
      <c r="AO7" s="39" t="s">
        <v>205</v>
      </c>
    </row>
    <row r="8" spans="1:41">
      <c r="A8" s="41">
        <f>IF(B8="","","PF-"&amp;TEXT(ROW()-4,"0000"))</f>
        <v>0</v>
      </c>
      <c r="B8" s="15" t="s">
        <v>1216</v>
      </c>
      <c r="C8" s="17">
        <f>IF(B8="","",IFERROR(INDEX('Content Calendar'!$H$5:$H$604,MATCH(B8,'Content Calendar'!$A$5:$A$604,0)),"Not found"))</f>
        <v>0</v>
      </c>
      <c r="D8" s="16">
        <f>IF(B8="","",IFERROR(INDEX('Content Calendar'!$B$5:$B$604,MATCH(B8,'Content Calendar'!$A$5:$A$604,0)),"Not found"))</f>
        <v>0</v>
      </c>
      <c r="E8" s="17">
        <f>IF(B8="","",IFERROR(INDEX('Content Calendar'!$D$5:$D$604,MATCH(B8,'Content Calendar'!$A$5:$A$604,0)),"Not found"))</f>
        <v>0</v>
      </c>
      <c r="F8" s="17">
        <f>IF(B8="","",IFERROR(INDEX('Content Calendar'!$G$5:$G$604,MATCH(B8,'Content Calendar'!$A$5:$A$604,0)),"Not found"))</f>
        <v>0</v>
      </c>
      <c r="G8" s="17">
        <f>IF(B8="","",IFERROR(INDEX('Content Calendar'!$K$5:$K$604,MATCH(B8,'Content Calendar'!$A$5:$A$604,0)),"Not found"))</f>
        <v>0</v>
      </c>
      <c r="H8" s="17">
        <f>IF(B8="","",IFERROR(INDEX('Content Calendar'!$J$5:$J$604,MATCH(B8,'Content Calendar'!$A$5:$A$604,0)),"Not found"))</f>
        <v>0</v>
      </c>
      <c r="I8" s="17">
        <f>IF(B8="","",IFERROR(INDEX('Content Calendar'!$L$5:$L$604,MATCH(B8,'Content Calendar'!$A$5:$A$604,0)),"Not found"))</f>
        <v>0</v>
      </c>
      <c r="J8" s="17">
        <f>IF(B8="","",IFERROR(INDEX('Content Calendar'!$P$5:$P$604,MATCH(B8,'Content Calendar'!$A$5:$A$604,0)),"Not found"))</f>
        <v>0</v>
      </c>
      <c r="K8" s="17">
        <f>IF(B8="","",IFERROR(INDEX('Content Calendar'!$O$5:$O$604,MATCH(B8,'Content Calendar'!$A$5:$A$604,0)),"Not found"))</f>
        <v>0</v>
      </c>
      <c r="L8" s="17">
        <f>IF(B8="","",IFERROR(INDEX('Content Calendar'!$N$5:$N$604,MATCH(B8,'Content Calendar'!$A$5:$A$604,0)),"Not found"))</f>
        <v>0</v>
      </c>
      <c r="M8" s="17">
        <f>IF(B8="","",IFERROR(INDEX('Content Calendar'!$C$5:$C$604,MATCH(B8,'Content Calendar'!$A$5:$A$604,0)),"Not found"))</f>
        <v>0</v>
      </c>
      <c r="N8" s="17">
        <f>IF(B8="","",IFERROR(INDEX('Content Calendar'!$F$5:$F$604,MATCH(B8,'Content Calendar'!$A$5:$A$604,0)),"Not found"))</f>
        <v>0</v>
      </c>
      <c r="O8" s="34">
        <v>5537</v>
      </c>
      <c r="P8" s="34">
        <v>8622</v>
      </c>
      <c r="Q8" s="34">
        <v>134</v>
      </c>
      <c r="R8" s="34">
        <v>16</v>
      </c>
      <c r="S8" s="34">
        <v>13</v>
      </c>
      <c r="T8" s="34">
        <v>24</v>
      </c>
      <c r="U8" s="34">
        <v>83</v>
      </c>
      <c r="V8" s="37">
        <v>29.2</v>
      </c>
      <c r="W8" s="34">
        <v>4</v>
      </c>
      <c r="X8" s="36">
        <v>167.77</v>
      </c>
      <c r="Y8" s="35">
        <v>0.045</v>
      </c>
      <c r="Z8" s="23">
        <f>IF(O8="","",N(Q8)+N(R8)+N(S8)+N(T8))</f>
        <v>0</v>
      </c>
      <c r="AA8" s="24">
        <f>IF(OR(O8="",O8=0),"",Z8/O8)</f>
        <v>0</v>
      </c>
      <c r="AB8" s="24">
        <f>IF(OR(O8="",O8=0),"",N(T8)/O8)</f>
        <v>0</v>
      </c>
      <c r="AC8" s="24">
        <f>IF(OR(O8="",O8=0),"",N(S8)/O8)</f>
        <v>0</v>
      </c>
      <c r="AD8" s="24">
        <f>IF(OR(O8="",O8=0),"",N(R8)/O8)</f>
        <v>0</v>
      </c>
      <c r="AE8" s="24">
        <f>IF(OR(O8="",O8=0),"",N(U8)/O8)</f>
        <v>0</v>
      </c>
      <c r="AF8" s="24">
        <f>IF(OR(U8="",U8=0),"",N(W8)/U8)</f>
        <v>0</v>
      </c>
      <c r="AG8" s="25">
        <f>IF(OR(O8="",O8=0),"",N(X8)/(O8/1000))</f>
        <v>0</v>
      </c>
      <c r="AH8" s="24">
        <f>IF(O8="","",IF(Y8="",TargetEngagement,Y8))</f>
        <v>0</v>
      </c>
      <c r="AI8" s="24">
        <f>IF(OR(AA8="",AH8=""),"",AA8-AH8)</f>
        <v>0</v>
      </c>
      <c r="AJ8" s="31">
        <f>IF(AA8="","",AA8+ROW()/1000000)</f>
        <v>0</v>
      </c>
      <c r="AK8" s="23">
        <f>IF(AA8="","",RANK(AJ8,Performance!$AJ$5:$AJ$404))</f>
        <v>0</v>
      </c>
      <c r="AL8" s="29">
        <f>IF(AA8="","",IF(AA8&gt;=AH8*1.5,"Top performer",IF(AA8&gt;=AH8,"Above target",IF(AA8&gt;=AH8*0.6,"Below target","Weak - review it"))))</f>
        <v>0</v>
      </c>
      <c r="AM8" s="29">
        <f>IF(B8="","",IF(COUNTIF(Performance!$B$5:$B$404,B8)&gt;1,"Duplicate","OK"))</f>
        <v>0</v>
      </c>
      <c r="AN8" s="29">
        <f>IF(B8="","",IF(C8="Not found","Check - content ID not on the calendar",IF(O8="","Add - no numbers entered yet",IF(AM8="Duplicate","Duplicate - this post is entered twice",IF(AL8="Top performer","Repurpose this one","OK")))))</f>
        <v>0</v>
      </c>
      <c r="AO8" s="39" t="s">
        <v>205</v>
      </c>
    </row>
    <row r="9" spans="1:41">
      <c r="A9" s="41">
        <f>IF(B9="","","PF-"&amp;TEXT(ROW()-4,"0000"))</f>
        <v>0</v>
      </c>
      <c r="B9" s="15" t="s">
        <v>1550</v>
      </c>
      <c r="C9" s="17">
        <f>IF(B9="","",IFERROR(INDEX('Content Calendar'!$H$5:$H$604,MATCH(B9,'Content Calendar'!$A$5:$A$604,0)),"Not found"))</f>
        <v>0</v>
      </c>
      <c r="D9" s="16">
        <f>IF(B9="","",IFERROR(INDEX('Content Calendar'!$B$5:$B$604,MATCH(B9,'Content Calendar'!$A$5:$A$604,0)),"Not found"))</f>
        <v>0</v>
      </c>
      <c r="E9" s="17">
        <f>IF(B9="","",IFERROR(INDEX('Content Calendar'!$D$5:$D$604,MATCH(B9,'Content Calendar'!$A$5:$A$604,0)),"Not found"))</f>
        <v>0</v>
      </c>
      <c r="F9" s="17">
        <f>IF(B9="","",IFERROR(INDEX('Content Calendar'!$G$5:$G$604,MATCH(B9,'Content Calendar'!$A$5:$A$604,0)),"Not found"))</f>
        <v>0</v>
      </c>
      <c r="G9" s="17">
        <f>IF(B9="","",IFERROR(INDEX('Content Calendar'!$K$5:$K$604,MATCH(B9,'Content Calendar'!$A$5:$A$604,0)),"Not found"))</f>
        <v>0</v>
      </c>
      <c r="H9" s="17">
        <f>IF(B9="","",IFERROR(INDEX('Content Calendar'!$J$5:$J$604,MATCH(B9,'Content Calendar'!$A$5:$A$604,0)),"Not found"))</f>
        <v>0</v>
      </c>
      <c r="I9" s="17">
        <f>IF(B9="","",IFERROR(INDEX('Content Calendar'!$L$5:$L$604,MATCH(B9,'Content Calendar'!$A$5:$A$604,0)),"Not found"))</f>
        <v>0</v>
      </c>
      <c r="J9" s="17">
        <f>IF(B9="","",IFERROR(INDEX('Content Calendar'!$P$5:$P$604,MATCH(B9,'Content Calendar'!$A$5:$A$604,0)),"Not found"))</f>
        <v>0</v>
      </c>
      <c r="K9" s="17">
        <f>IF(B9="","",IFERROR(INDEX('Content Calendar'!$O$5:$O$604,MATCH(B9,'Content Calendar'!$A$5:$A$604,0)),"Not found"))</f>
        <v>0</v>
      </c>
      <c r="L9" s="17">
        <f>IF(B9="","",IFERROR(INDEX('Content Calendar'!$N$5:$N$604,MATCH(B9,'Content Calendar'!$A$5:$A$604,0)),"Not found"))</f>
        <v>0</v>
      </c>
      <c r="M9" s="17">
        <f>IF(B9="","",IFERROR(INDEX('Content Calendar'!$C$5:$C$604,MATCH(B9,'Content Calendar'!$A$5:$A$604,0)),"Not found"))</f>
        <v>0</v>
      </c>
      <c r="N9" s="17">
        <f>IF(B9="","",IFERROR(INDEX('Content Calendar'!$F$5:$F$604,MATCH(B9,'Content Calendar'!$A$5:$A$604,0)),"Not found"))</f>
        <v>0</v>
      </c>
      <c r="O9" s="34">
        <v>1887</v>
      </c>
      <c r="P9" s="34">
        <v>2612</v>
      </c>
      <c r="Q9" s="34">
        <v>137</v>
      </c>
      <c r="R9" s="34">
        <v>17</v>
      </c>
      <c r="S9" s="34">
        <v>13</v>
      </c>
      <c r="T9" s="34">
        <v>24</v>
      </c>
      <c r="U9" s="34">
        <v>32</v>
      </c>
      <c r="V9" s="37">
        <v>0</v>
      </c>
      <c r="W9" s="34">
        <v>2</v>
      </c>
      <c r="X9" s="36">
        <v>88.56</v>
      </c>
      <c r="Y9" s="35">
        <v>0.045</v>
      </c>
      <c r="Z9" s="23">
        <f>IF(O9="","",N(Q9)+N(R9)+N(S9)+N(T9))</f>
        <v>0</v>
      </c>
      <c r="AA9" s="24">
        <f>IF(OR(O9="",O9=0),"",Z9/O9)</f>
        <v>0</v>
      </c>
      <c r="AB9" s="24">
        <f>IF(OR(O9="",O9=0),"",N(T9)/O9)</f>
        <v>0</v>
      </c>
      <c r="AC9" s="24">
        <f>IF(OR(O9="",O9=0),"",N(S9)/O9)</f>
        <v>0</v>
      </c>
      <c r="AD9" s="24">
        <f>IF(OR(O9="",O9=0),"",N(R9)/O9)</f>
        <v>0</v>
      </c>
      <c r="AE9" s="24">
        <f>IF(OR(O9="",O9=0),"",N(U9)/O9)</f>
        <v>0</v>
      </c>
      <c r="AF9" s="24">
        <f>IF(OR(U9="",U9=0),"",N(W9)/U9)</f>
        <v>0</v>
      </c>
      <c r="AG9" s="25">
        <f>IF(OR(O9="",O9=0),"",N(X9)/(O9/1000))</f>
        <v>0</v>
      </c>
      <c r="AH9" s="24">
        <f>IF(O9="","",IF(Y9="",TargetEngagement,Y9))</f>
        <v>0</v>
      </c>
      <c r="AI9" s="24">
        <f>IF(OR(AA9="",AH9=""),"",AA9-AH9)</f>
        <v>0</v>
      </c>
      <c r="AJ9" s="31">
        <f>IF(AA9="","",AA9+ROW()/1000000)</f>
        <v>0</v>
      </c>
      <c r="AK9" s="23">
        <f>IF(AA9="","",RANK(AJ9,Performance!$AJ$5:$AJ$404))</f>
        <v>0</v>
      </c>
      <c r="AL9" s="29">
        <f>IF(AA9="","",IF(AA9&gt;=AH9*1.5,"Top performer",IF(AA9&gt;=AH9,"Above target",IF(AA9&gt;=AH9*0.6,"Below target","Weak - review it"))))</f>
        <v>0</v>
      </c>
      <c r="AM9" s="29">
        <f>IF(B9="","",IF(COUNTIF(Performance!$B$5:$B$404,B9)&gt;1,"Duplicate","OK"))</f>
        <v>0</v>
      </c>
      <c r="AN9" s="29">
        <f>IF(B9="","",IF(C9="Not found","Check - content ID not on the calendar",IF(O9="","Add - no numbers entered yet",IF(AM9="Duplicate","Duplicate - this post is entered twice",IF(AL9="Top performer","Repurpose this one","OK")))))</f>
        <v>0</v>
      </c>
      <c r="AO9" s="39" t="s">
        <v>205</v>
      </c>
    </row>
    <row r="10" spans="1:41">
      <c r="A10" s="41">
        <f>IF(B10="","","PF-"&amp;TEXT(ROW()-4,"0000"))</f>
        <v>0</v>
      </c>
      <c r="B10" s="15" t="s">
        <v>1407</v>
      </c>
      <c r="C10" s="17">
        <f>IF(B10="","",IFERROR(INDEX('Content Calendar'!$H$5:$H$604,MATCH(B10,'Content Calendar'!$A$5:$A$604,0)),"Not found"))</f>
        <v>0</v>
      </c>
      <c r="D10" s="16">
        <f>IF(B10="","",IFERROR(INDEX('Content Calendar'!$B$5:$B$604,MATCH(B10,'Content Calendar'!$A$5:$A$604,0)),"Not found"))</f>
        <v>0</v>
      </c>
      <c r="E10" s="17">
        <f>IF(B10="","",IFERROR(INDEX('Content Calendar'!$D$5:$D$604,MATCH(B10,'Content Calendar'!$A$5:$A$604,0)),"Not found"))</f>
        <v>0</v>
      </c>
      <c r="F10" s="17">
        <f>IF(B10="","",IFERROR(INDEX('Content Calendar'!$G$5:$G$604,MATCH(B10,'Content Calendar'!$A$5:$A$604,0)),"Not found"))</f>
        <v>0</v>
      </c>
      <c r="G10" s="17">
        <f>IF(B10="","",IFERROR(INDEX('Content Calendar'!$K$5:$K$604,MATCH(B10,'Content Calendar'!$A$5:$A$604,0)),"Not found"))</f>
        <v>0</v>
      </c>
      <c r="H10" s="17">
        <f>IF(B10="","",IFERROR(INDEX('Content Calendar'!$J$5:$J$604,MATCH(B10,'Content Calendar'!$A$5:$A$604,0)),"Not found"))</f>
        <v>0</v>
      </c>
      <c r="I10" s="17">
        <f>IF(B10="","",IFERROR(INDEX('Content Calendar'!$L$5:$L$604,MATCH(B10,'Content Calendar'!$A$5:$A$604,0)),"Not found"))</f>
        <v>0</v>
      </c>
      <c r="J10" s="17">
        <f>IF(B10="","",IFERROR(INDEX('Content Calendar'!$P$5:$P$604,MATCH(B10,'Content Calendar'!$A$5:$A$604,0)),"Not found"))</f>
        <v>0</v>
      </c>
      <c r="K10" s="17">
        <f>IF(B10="","",IFERROR(INDEX('Content Calendar'!$O$5:$O$604,MATCH(B10,'Content Calendar'!$A$5:$A$604,0)),"Not found"))</f>
        <v>0</v>
      </c>
      <c r="L10" s="17">
        <f>IF(B10="","",IFERROR(INDEX('Content Calendar'!$N$5:$N$604,MATCH(B10,'Content Calendar'!$A$5:$A$604,0)),"Not found"))</f>
        <v>0</v>
      </c>
      <c r="M10" s="17">
        <f>IF(B10="","",IFERROR(INDEX('Content Calendar'!$C$5:$C$604,MATCH(B10,'Content Calendar'!$A$5:$A$604,0)),"Not found"))</f>
        <v>0</v>
      </c>
      <c r="N10" s="17">
        <f>IF(B10="","",IFERROR(INDEX('Content Calendar'!$F$5:$F$604,MATCH(B10,'Content Calendar'!$A$5:$A$604,0)),"Not found"))</f>
        <v>0</v>
      </c>
      <c r="O10" s="34">
        <v>7636</v>
      </c>
      <c r="P10" s="34">
        <v>10854</v>
      </c>
      <c r="Q10" s="34">
        <v>137</v>
      </c>
      <c r="R10" s="34">
        <v>17</v>
      </c>
      <c r="S10" s="34">
        <v>13</v>
      </c>
      <c r="T10" s="34">
        <v>24</v>
      </c>
      <c r="U10" s="34">
        <v>132</v>
      </c>
      <c r="V10" s="37">
        <v>28.7</v>
      </c>
      <c r="W10" s="34">
        <v>8</v>
      </c>
      <c r="X10" s="36">
        <v>459.48</v>
      </c>
      <c r="Y10" s="35">
        <v>0.045</v>
      </c>
      <c r="Z10" s="23">
        <f>IF(O10="","",N(Q10)+N(R10)+N(S10)+N(T10))</f>
        <v>0</v>
      </c>
      <c r="AA10" s="24">
        <f>IF(OR(O10="",O10=0),"",Z10/O10)</f>
        <v>0</v>
      </c>
      <c r="AB10" s="24">
        <f>IF(OR(O10="",O10=0),"",N(T10)/O10)</f>
        <v>0</v>
      </c>
      <c r="AC10" s="24">
        <f>IF(OR(O10="",O10=0),"",N(S10)/O10)</f>
        <v>0</v>
      </c>
      <c r="AD10" s="24">
        <f>IF(OR(O10="",O10=0),"",N(R10)/O10)</f>
        <v>0</v>
      </c>
      <c r="AE10" s="24">
        <f>IF(OR(O10="",O10=0),"",N(U10)/O10)</f>
        <v>0</v>
      </c>
      <c r="AF10" s="24">
        <f>IF(OR(U10="",U10=0),"",N(W10)/U10)</f>
        <v>0</v>
      </c>
      <c r="AG10" s="25">
        <f>IF(OR(O10="",O10=0),"",N(X10)/(O10/1000))</f>
        <v>0</v>
      </c>
      <c r="AH10" s="24">
        <f>IF(O10="","",IF(Y10="",TargetEngagement,Y10))</f>
        <v>0</v>
      </c>
      <c r="AI10" s="24">
        <f>IF(OR(AA10="",AH10=""),"",AA10-AH10)</f>
        <v>0</v>
      </c>
      <c r="AJ10" s="31">
        <f>IF(AA10="","",AA10+ROW()/1000000)</f>
        <v>0</v>
      </c>
      <c r="AK10" s="23">
        <f>IF(AA10="","",RANK(AJ10,Performance!$AJ$5:$AJ$404))</f>
        <v>0</v>
      </c>
      <c r="AL10" s="29">
        <f>IF(AA10="","",IF(AA10&gt;=AH10*1.5,"Top performer",IF(AA10&gt;=AH10,"Above target",IF(AA10&gt;=AH10*0.6,"Below target","Weak - review it"))))</f>
        <v>0</v>
      </c>
      <c r="AM10" s="29">
        <f>IF(B10="","",IF(COUNTIF(Performance!$B$5:$B$404,B10)&gt;1,"Duplicate","OK"))</f>
        <v>0</v>
      </c>
      <c r="AN10" s="29">
        <f>IF(B10="","",IF(C10="Not found","Check - content ID not on the calendar",IF(O10="","Add - no numbers entered yet",IF(AM10="Duplicate","Duplicate - this post is entered twice",IF(AL10="Top performer","Repurpose this one","OK")))))</f>
        <v>0</v>
      </c>
      <c r="AO10" s="39" t="s">
        <v>205</v>
      </c>
    </row>
    <row r="11" spans="1:41">
      <c r="A11" s="41">
        <f>IF(B11="","","PF-"&amp;TEXT(ROW()-4,"0000"))</f>
        <v>0</v>
      </c>
      <c r="B11" s="15" t="s">
        <v>1518</v>
      </c>
      <c r="C11" s="17">
        <f>IF(B11="","",IFERROR(INDEX('Content Calendar'!$H$5:$H$604,MATCH(B11,'Content Calendar'!$A$5:$A$604,0)),"Not found"))</f>
        <v>0</v>
      </c>
      <c r="D11" s="16">
        <f>IF(B11="","",IFERROR(INDEX('Content Calendar'!$B$5:$B$604,MATCH(B11,'Content Calendar'!$A$5:$A$604,0)),"Not found"))</f>
        <v>0</v>
      </c>
      <c r="E11" s="17">
        <f>IF(B11="","",IFERROR(INDEX('Content Calendar'!$D$5:$D$604,MATCH(B11,'Content Calendar'!$A$5:$A$604,0)),"Not found"))</f>
        <v>0</v>
      </c>
      <c r="F11" s="17">
        <f>IF(B11="","",IFERROR(INDEX('Content Calendar'!$G$5:$G$604,MATCH(B11,'Content Calendar'!$A$5:$A$604,0)),"Not found"))</f>
        <v>0</v>
      </c>
      <c r="G11" s="17">
        <f>IF(B11="","",IFERROR(INDEX('Content Calendar'!$K$5:$K$604,MATCH(B11,'Content Calendar'!$A$5:$A$604,0)),"Not found"))</f>
        <v>0</v>
      </c>
      <c r="H11" s="17">
        <f>IF(B11="","",IFERROR(INDEX('Content Calendar'!$J$5:$J$604,MATCH(B11,'Content Calendar'!$A$5:$A$604,0)),"Not found"))</f>
        <v>0</v>
      </c>
      <c r="I11" s="17">
        <f>IF(B11="","",IFERROR(INDEX('Content Calendar'!$L$5:$L$604,MATCH(B11,'Content Calendar'!$A$5:$A$604,0)),"Not found"))</f>
        <v>0</v>
      </c>
      <c r="J11" s="17">
        <f>IF(B11="","",IFERROR(INDEX('Content Calendar'!$P$5:$P$604,MATCH(B11,'Content Calendar'!$A$5:$A$604,0)),"Not found"))</f>
        <v>0</v>
      </c>
      <c r="K11" s="17">
        <f>IF(B11="","",IFERROR(INDEX('Content Calendar'!$O$5:$O$604,MATCH(B11,'Content Calendar'!$A$5:$A$604,0)),"Not found"))</f>
        <v>0</v>
      </c>
      <c r="L11" s="17">
        <f>IF(B11="","",IFERROR(INDEX('Content Calendar'!$N$5:$N$604,MATCH(B11,'Content Calendar'!$A$5:$A$604,0)),"Not found"))</f>
        <v>0</v>
      </c>
      <c r="M11" s="17">
        <f>IF(B11="","",IFERROR(INDEX('Content Calendar'!$C$5:$C$604,MATCH(B11,'Content Calendar'!$A$5:$A$604,0)),"Not found"))</f>
        <v>0</v>
      </c>
      <c r="N11" s="17">
        <f>IF(B11="","",IFERROR(INDEX('Content Calendar'!$F$5:$F$604,MATCH(B11,'Content Calendar'!$A$5:$A$604,0)),"Not found"))</f>
        <v>0</v>
      </c>
      <c r="O11" s="34">
        <v>2319</v>
      </c>
      <c r="P11" s="34">
        <v>3223</v>
      </c>
      <c r="Q11" s="34">
        <v>135</v>
      </c>
      <c r="R11" s="34">
        <v>16</v>
      </c>
      <c r="S11" s="34">
        <v>13</v>
      </c>
      <c r="T11" s="34">
        <v>24</v>
      </c>
      <c r="U11" s="34">
        <v>9</v>
      </c>
      <c r="V11" s="37">
        <v>27.2</v>
      </c>
      <c r="W11" s="34">
        <v>0</v>
      </c>
      <c r="X11" s="36">
        <v>0</v>
      </c>
      <c r="Y11" s="35">
        <v>0.045</v>
      </c>
      <c r="Z11" s="23">
        <f>IF(O11="","",N(Q11)+N(R11)+N(S11)+N(T11))</f>
        <v>0</v>
      </c>
      <c r="AA11" s="24">
        <f>IF(OR(O11="",O11=0),"",Z11/O11)</f>
        <v>0</v>
      </c>
      <c r="AB11" s="24">
        <f>IF(OR(O11="",O11=0),"",N(T11)/O11)</f>
        <v>0</v>
      </c>
      <c r="AC11" s="24">
        <f>IF(OR(O11="",O11=0),"",N(S11)/O11)</f>
        <v>0</v>
      </c>
      <c r="AD11" s="24">
        <f>IF(OR(O11="",O11=0),"",N(R11)/O11)</f>
        <v>0</v>
      </c>
      <c r="AE11" s="24">
        <f>IF(OR(O11="",O11=0),"",N(U11)/O11)</f>
        <v>0</v>
      </c>
      <c r="AF11" s="24">
        <f>IF(OR(U11="",U11=0),"",N(W11)/U11)</f>
        <v>0</v>
      </c>
      <c r="AG11" s="25">
        <f>IF(OR(O11="",O11=0),"",N(X11)/(O11/1000))</f>
        <v>0</v>
      </c>
      <c r="AH11" s="24">
        <f>IF(O11="","",IF(Y11="",TargetEngagement,Y11))</f>
        <v>0</v>
      </c>
      <c r="AI11" s="24">
        <f>IF(OR(AA11="",AH11=""),"",AA11-AH11)</f>
        <v>0</v>
      </c>
      <c r="AJ11" s="31">
        <f>IF(AA11="","",AA11+ROW()/1000000)</f>
        <v>0</v>
      </c>
      <c r="AK11" s="23">
        <f>IF(AA11="","",RANK(AJ11,Performance!$AJ$5:$AJ$404))</f>
        <v>0</v>
      </c>
      <c r="AL11" s="29">
        <f>IF(AA11="","",IF(AA11&gt;=AH11*1.5,"Top performer",IF(AA11&gt;=AH11,"Above target",IF(AA11&gt;=AH11*0.6,"Below target","Weak - review it"))))</f>
        <v>0</v>
      </c>
      <c r="AM11" s="29">
        <f>IF(B11="","",IF(COUNTIF(Performance!$B$5:$B$404,B11)&gt;1,"Duplicate","OK"))</f>
        <v>0</v>
      </c>
      <c r="AN11" s="29">
        <f>IF(B11="","",IF(C11="Not found","Check - content ID not on the calendar",IF(O11="","Add - no numbers entered yet",IF(AM11="Duplicate","Duplicate - this post is entered twice",IF(AL11="Top performer","Repurpose this one","OK")))))</f>
        <v>0</v>
      </c>
      <c r="AO11" s="39" t="s">
        <v>205</v>
      </c>
    </row>
    <row r="12" spans="1:41">
      <c r="A12" s="41">
        <f>IF(B12="","","PF-"&amp;TEXT(ROW()-4,"0000"))</f>
        <v>0</v>
      </c>
      <c r="B12" s="15" t="s">
        <v>1476</v>
      </c>
      <c r="C12" s="17">
        <f>IF(B12="","",IFERROR(INDEX('Content Calendar'!$H$5:$H$604,MATCH(B12,'Content Calendar'!$A$5:$A$604,0)),"Not found"))</f>
        <v>0</v>
      </c>
      <c r="D12" s="16">
        <f>IF(B12="","",IFERROR(INDEX('Content Calendar'!$B$5:$B$604,MATCH(B12,'Content Calendar'!$A$5:$A$604,0)),"Not found"))</f>
        <v>0</v>
      </c>
      <c r="E12" s="17">
        <f>IF(B12="","",IFERROR(INDEX('Content Calendar'!$D$5:$D$604,MATCH(B12,'Content Calendar'!$A$5:$A$604,0)),"Not found"))</f>
        <v>0</v>
      </c>
      <c r="F12" s="17">
        <f>IF(B12="","",IFERROR(INDEX('Content Calendar'!$G$5:$G$604,MATCH(B12,'Content Calendar'!$A$5:$A$604,0)),"Not found"))</f>
        <v>0</v>
      </c>
      <c r="G12" s="17">
        <f>IF(B12="","",IFERROR(INDEX('Content Calendar'!$K$5:$K$604,MATCH(B12,'Content Calendar'!$A$5:$A$604,0)),"Not found"))</f>
        <v>0</v>
      </c>
      <c r="H12" s="17">
        <f>IF(B12="","",IFERROR(INDEX('Content Calendar'!$J$5:$J$604,MATCH(B12,'Content Calendar'!$A$5:$A$604,0)),"Not found"))</f>
        <v>0</v>
      </c>
      <c r="I12" s="17">
        <f>IF(B12="","",IFERROR(INDEX('Content Calendar'!$L$5:$L$604,MATCH(B12,'Content Calendar'!$A$5:$A$604,0)),"Not found"))</f>
        <v>0</v>
      </c>
      <c r="J12" s="17">
        <f>IF(B12="","",IFERROR(INDEX('Content Calendar'!$P$5:$P$604,MATCH(B12,'Content Calendar'!$A$5:$A$604,0)),"Not found"))</f>
        <v>0</v>
      </c>
      <c r="K12" s="17">
        <f>IF(B12="","",IFERROR(INDEX('Content Calendar'!$O$5:$O$604,MATCH(B12,'Content Calendar'!$A$5:$A$604,0)),"Not found"))</f>
        <v>0</v>
      </c>
      <c r="L12" s="17">
        <f>IF(B12="","",IFERROR(INDEX('Content Calendar'!$N$5:$N$604,MATCH(B12,'Content Calendar'!$A$5:$A$604,0)),"Not found"))</f>
        <v>0</v>
      </c>
      <c r="M12" s="17">
        <f>IF(B12="","",IFERROR(INDEX('Content Calendar'!$C$5:$C$604,MATCH(B12,'Content Calendar'!$A$5:$A$604,0)),"Not found"))</f>
        <v>0</v>
      </c>
      <c r="N12" s="17">
        <f>IF(B12="","",IFERROR(INDEX('Content Calendar'!$F$5:$F$604,MATCH(B12,'Content Calendar'!$A$5:$A$604,0)),"Not found"))</f>
        <v>0</v>
      </c>
      <c r="O12" s="34">
        <v>4224</v>
      </c>
      <c r="P12" s="34">
        <v>5715</v>
      </c>
      <c r="Q12" s="34">
        <v>149</v>
      </c>
      <c r="R12" s="34">
        <v>18</v>
      </c>
      <c r="S12" s="34">
        <v>14</v>
      </c>
      <c r="T12" s="34">
        <v>26</v>
      </c>
      <c r="U12" s="34">
        <v>91</v>
      </c>
      <c r="V12" s="37">
        <v>0</v>
      </c>
      <c r="W12" s="34">
        <v>6</v>
      </c>
      <c r="X12" s="36">
        <v>304.89</v>
      </c>
      <c r="Y12" s="35">
        <v>0.045</v>
      </c>
      <c r="Z12" s="23">
        <f>IF(O12="","",N(Q12)+N(R12)+N(S12)+N(T12))</f>
        <v>0</v>
      </c>
      <c r="AA12" s="24">
        <f>IF(OR(O12="",O12=0),"",Z12/O12)</f>
        <v>0</v>
      </c>
      <c r="AB12" s="24">
        <f>IF(OR(O12="",O12=0),"",N(T12)/O12)</f>
        <v>0</v>
      </c>
      <c r="AC12" s="24">
        <f>IF(OR(O12="",O12=0),"",N(S12)/O12)</f>
        <v>0</v>
      </c>
      <c r="AD12" s="24">
        <f>IF(OR(O12="",O12=0),"",N(R12)/O12)</f>
        <v>0</v>
      </c>
      <c r="AE12" s="24">
        <f>IF(OR(O12="",O12=0),"",N(U12)/O12)</f>
        <v>0</v>
      </c>
      <c r="AF12" s="24">
        <f>IF(OR(U12="",U12=0),"",N(W12)/U12)</f>
        <v>0</v>
      </c>
      <c r="AG12" s="25">
        <f>IF(OR(O12="",O12=0),"",N(X12)/(O12/1000))</f>
        <v>0</v>
      </c>
      <c r="AH12" s="24">
        <f>IF(O12="","",IF(Y12="",TargetEngagement,Y12))</f>
        <v>0</v>
      </c>
      <c r="AI12" s="24">
        <f>IF(OR(AA12="",AH12=""),"",AA12-AH12)</f>
        <v>0</v>
      </c>
      <c r="AJ12" s="31">
        <f>IF(AA12="","",AA12+ROW()/1000000)</f>
        <v>0</v>
      </c>
      <c r="AK12" s="23">
        <f>IF(AA12="","",RANK(AJ12,Performance!$AJ$5:$AJ$404))</f>
        <v>0</v>
      </c>
      <c r="AL12" s="29">
        <f>IF(AA12="","",IF(AA12&gt;=AH12*1.5,"Top performer",IF(AA12&gt;=AH12,"Above target",IF(AA12&gt;=AH12*0.6,"Below target","Weak - review it"))))</f>
        <v>0</v>
      </c>
      <c r="AM12" s="29">
        <f>IF(B12="","",IF(COUNTIF(Performance!$B$5:$B$404,B12)&gt;1,"Duplicate","OK"))</f>
        <v>0</v>
      </c>
      <c r="AN12" s="29">
        <f>IF(B12="","",IF(C12="Not found","Check - content ID not on the calendar",IF(O12="","Add - no numbers entered yet",IF(AM12="Duplicate","Duplicate - this post is entered twice",IF(AL12="Top performer","Repurpose this one","OK")))))</f>
        <v>0</v>
      </c>
      <c r="AO12" s="39" t="s">
        <v>205</v>
      </c>
    </row>
    <row r="13" spans="1:41">
      <c r="A13" s="41">
        <f>IF(B13="","","PF-"&amp;TEXT(ROW()-4,"0000"))</f>
        <v>0</v>
      </c>
      <c r="B13" s="15" t="s">
        <v>1443</v>
      </c>
      <c r="C13" s="17">
        <f>IF(B13="","",IFERROR(INDEX('Content Calendar'!$H$5:$H$604,MATCH(B13,'Content Calendar'!$A$5:$A$604,0)),"Not found"))</f>
        <v>0</v>
      </c>
      <c r="D13" s="16">
        <f>IF(B13="","",IFERROR(INDEX('Content Calendar'!$B$5:$B$604,MATCH(B13,'Content Calendar'!$A$5:$A$604,0)),"Not found"))</f>
        <v>0</v>
      </c>
      <c r="E13" s="17">
        <f>IF(B13="","",IFERROR(INDEX('Content Calendar'!$D$5:$D$604,MATCH(B13,'Content Calendar'!$A$5:$A$604,0)),"Not found"))</f>
        <v>0</v>
      </c>
      <c r="F13" s="17">
        <f>IF(B13="","",IFERROR(INDEX('Content Calendar'!$G$5:$G$604,MATCH(B13,'Content Calendar'!$A$5:$A$604,0)),"Not found"))</f>
        <v>0</v>
      </c>
      <c r="G13" s="17">
        <f>IF(B13="","",IFERROR(INDEX('Content Calendar'!$K$5:$K$604,MATCH(B13,'Content Calendar'!$A$5:$A$604,0)),"Not found"))</f>
        <v>0</v>
      </c>
      <c r="H13" s="17">
        <f>IF(B13="","",IFERROR(INDEX('Content Calendar'!$J$5:$J$604,MATCH(B13,'Content Calendar'!$A$5:$A$604,0)),"Not found"))</f>
        <v>0</v>
      </c>
      <c r="I13" s="17">
        <f>IF(B13="","",IFERROR(INDEX('Content Calendar'!$L$5:$L$604,MATCH(B13,'Content Calendar'!$A$5:$A$604,0)),"Not found"))</f>
        <v>0</v>
      </c>
      <c r="J13" s="17">
        <f>IF(B13="","",IFERROR(INDEX('Content Calendar'!$P$5:$P$604,MATCH(B13,'Content Calendar'!$A$5:$A$604,0)),"Not found"))</f>
        <v>0</v>
      </c>
      <c r="K13" s="17">
        <f>IF(B13="","",IFERROR(INDEX('Content Calendar'!$O$5:$O$604,MATCH(B13,'Content Calendar'!$A$5:$A$604,0)),"Not found"))</f>
        <v>0</v>
      </c>
      <c r="L13" s="17">
        <f>IF(B13="","",IFERROR(INDEX('Content Calendar'!$N$5:$N$604,MATCH(B13,'Content Calendar'!$A$5:$A$604,0)),"Not found"))</f>
        <v>0</v>
      </c>
      <c r="M13" s="17">
        <f>IF(B13="","",IFERROR(INDEX('Content Calendar'!$C$5:$C$604,MATCH(B13,'Content Calendar'!$A$5:$A$604,0)),"Not found"))</f>
        <v>0</v>
      </c>
      <c r="N13" s="17">
        <f>IF(B13="","",IFERROR(INDEX('Content Calendar'!$F$5:$F$604,MATCH(B13,'Content Calendar'!$A$5:$A$604,0)),"Not found"))</f>
        <v>0</v>
      </c>
      <c r="O13" s="34">
        <v>9349</v>
      </c>
      <c r="P13" s="34">
        <v>12914</v>
      </c>
      <c r="Q13" s="34">
        <v>396</v>
      </c>
      <c r="R13" s="34">
        <v>49</v>
      </c>
      <c r="S13" s="34">
        <v>38</v>
      </c>
      <c r="T13" s="34">
        <v>67</v>
      </c>
      <c r="U13" s="34">
        <v>170</v>
      </c>
      <c r="V13" s="37">
        <v>20</v>
      </c>
      <c r="W13" s="34">
        <v>8</v>
      </c>
      <c r="X13" s="36">
        <v>526.03</v>
      </c>
      <c r="Y13" s="35">
        <v>0.045</v>
      </c>
      <c r="Z13" s="23">
        <f>IF(O13="","",N(Q13)+N(R13)+N(S13)+N(T13))</f>
        <v>0</v>
      </c>
      <c r="AA13" s="24">
        <f>IF(OR(O13="",O13=0),"",Z13/O13)</f>
        <v>0</v>
      </c>
      <c r="AB13" s="24">
        <f>IF(OR(O13="",O13=0),"",N(T13)/O13)</f>
        <v>0</v>
      </c>
      <c r="AC13" s="24">
        <f>IF(OR(O13="",O13=0),"",N(S13)/O13)</f>
        <v>0</v>
      </c>
      <c r="AD13" s="24">
        <f>IF(OR(O13="",O13=0),"",N(R13)/O13)</f>
        <v>0</v>
      </c>
      <c r="AE13" s="24">
        <f>IF(OR(O13="",O13=0),"",N(U13)/O13)</f>
        <v>0</v>
      </c>
      <c r="AF13" s="24">
        <f>IF(OR(U13="",U13=0),"",N(W13)/U13)</f>
        <v>0</v>
      </c>
      <c r="AG13" s="25">
        <f>IF(OR(O13="",O13=0),"",N(X13)/(O13/1000))</f>
        <v>0</v>
      </c>
      <c r="AH13" s="24">
        <f>IF(O13="","",IF(Y13="",TargetEngagement,Y13))</f>
        <v>0</v>
      </c>
      <c r="AI13" s="24">
        <f>IF(OR(AA13="",AH13=""),"",AA13-AH13)</f>
        <v>0</v>
      </c>
      <c r="AJ13" s="31">
        <f>IF(AA13="","",AA13+ROW()/1000000)</f>
        <v>0</v>
      </c>
      <c r="AK13" s="23">
        <f>IF(AA13="","",RANK(AJ13,Performance!$AJ$5:$AJ$404))</f>
        <v>0</v>
      </c>
      <c r="AL13" s="29">
        <f>IF(AA13="","",IF(AA13&gt;=AH13*1.5,"Top performer",IF(AA13&gt;=AH13,"Above target",IF(AA13&gt;=AH13*0.6,"Below target","Weak - review it"))))</f>
        <v>0</v>
      </c>
      <c r="AM13" s="29">
        <f>IF(B13="","",IF(COUNTIF(Performance!$B$5:$B$404,B13)&gt;1,"Duplicate","OK"))</f>
        <v>0</v>
      </c>
      <c r="AN13" s="29">
        <f>IF(B13="","",IF(C13="Not found","Check - content ID not on the calendar",IF(O13="","Add - no numbers entered yet",IF(AM13="Duplicate","Duplicate - this post is entered twice",IF(AL13="Top performer","Repurpose this one","OK")))))</f>
        <v>0</v>
      </c>
      <c r="AO13" s="39" t="s">
        <v>205</v>
      </c>
    </row>
    <row r="14" spans="1:41">
      <c r="A14" s="41">
        <f>IF(B14="","","PF-"&amp;TEXT(ROW()-4,"0000"))</f>
        <v>0</v>
      </c>
      <c r="B14" s="15" t="s">
        <v>1410</v>
      </c>
      <c r="C14" s="17">
        <f>IF(B14="","",IFERROR(INDEX('Content Calendar'!$H$5:$H$604,MATCH(B14,'Content Calendar'!$A$5:$A$604,0)),"Not found"))</f>
        <v>0</v>
      </c>
      <c r="D14" s="16">
        <f>IF(B14="","",IFERROR(INDEX('Content Calendar'!$B$5:$B$604,MATCH(B14,'Content Calendar'!$A$5:$A$604,0)),"Not found"))</f>
        <v>0</v>
      </c>
      <c r="E14" s="17">
        <f>IF(B14="","",IFERROR(INDEX('Content Calendar'!$D$5:$D$604,MATCH(B14,'Content Calendar'!$A$5:$A$604,0)),"Not found"))</f>
        <v>0</v>
      </c>
      <c r="F14" s="17">
        <f>IF(B14="","",IFERROR(INDEX('Content Calendar'!$G$5:$G$604,MATCH(B14,'Content Calendar'!$A$5:$A$604,0)),"Not found"))</f>
        <v>0</v>
      </c>
      <c r="G14" s="17">
        <f>IF(B14="","",IFERROR(INDEX('Content Calendar'!$K$5:$K$604,MATCH(B14,'Content Calendar'!$A$5:$A$604,0)),"Not found"))</f>
        <v>0</v>
      </c>
      <c r="H14" s="17">
        <f>IF(B14="","",IFERROR(INDEX('Content Calendar'!$J$5:$J$604,MATCH(B14,'Content Calendar'!$A$5:$A$604,0)),"Not found"))</f>
        <v>0</v>
      </c>
      <c r="I14" s="17">
        <f>IF(B14="","",IFERROR(INDEX('Content Calendar'!$L$5:$L$604,MATCH(B14,'Content Calendar'!$A$5:$A$604,0)),"Not found"))</f>
        <v>0</v>
      </c>
      <c r="J14" s="17">
        <f>IF(B14="","",IFERROR(INDEX('Content Calendar'!$P$5:$P$604,MATCH(B14,'Content Calendar'!$A$5:$A$604,0)),"Not found"))</f>
        <v>0</v>
      </c>
      <c r="K14" s="17">
        <f>IF(B14="","",IFERROR(INDEX('Content Calendar'!$O$5:$O$604,MATCH(B14,'Content Calendar'!$A$5:$A$604,0)),"Not found"))</f>
        <v>0</v>
      </c>
      <c r="L14" s="17">
        <f>IF(B14="","",IFERROR(INDEX('Content Calendar'!$N$5:$N$604,MATCH(B14,'Content Calendar'!$A$5:$A$604,0)),"Not found"))</f>
        <v>0</v>
      </c>
      <c r="M14" s="17">
        <f>IF(B14="","",IFERROR(INDEX('Content Calendar'!$C$5:$C$604,MATCH(B14,'Content Calendar'!$A$5:$A$604,0)),"Not found"))</f>
        <v>0</v>
      </c>
      <c r="N14" s="17">
        <f>IF(B14="","",IFERROR(INDEX('Content Calendar'!$F$5:$F$604,MATCH(B14,'Content Calendar'!$A$5:$A$604,0)),"Not found"))</f>
        <v>0</v>
      </c>
      <c r="O14" s="34">
        <v>6472</v>
      </c>
      <c r="P14" s="34">
        <v>8488</v>
      </c>
      <c r="Q14" s="34">
        <v>488</v>
      </c>
      <c r="R14" s="34">
        <v>61</v>
      </c>
      <c r="S14" s="34">
        <v>47</v>
      </c>
      <c r="T14" s="34">
        <v>83</v>
      </c>
      <c r="U14" s="34">
        <v>37</v>
      </c>
      <c r="V14" s="37">
        <v>20.2</v>
      </c>
      <c r="W14" s="34">
        <v>2</v>
      </c>
      <c r="X14" s="36">
        <v>123.19</v>
      </c>
      <c r="Y14" s="35">
        <v>0.045</v>
      </c>
      <c r="Z14" s="23">
        <f>IF(O14="","",N(Q14)+N(R14)+N(S14)+N(T14))</f>
        <v>0</v>
      </c>
      <c r="AA14" s="24">
        <f>IF(OR(O14="",O14=0),"",Z14/O14)</f>
        <v>0</v>
      </c>
      <c r="AB14" s="24">
        <f>IF(OR(O14="",O14=0),"",N(T14)/O14)</f>
        <v>0</v>
      </c>
      <c r="AC14" s="24">
        <f>IF(OR(O14="",O14=0),"",N(S14)/O14)</f>
        <v>0</v>
      </c>
      <c r="AD14" s="24">
        <f>IF(OR(O14="",O14=0),"",N(R14)/O14)</f>
        <v>0</v>
      </c>
      <c r="AE14" s="24">
        <f>IF(OR(O14="",O14=0),"",N(U14)/O14)</f>
        <v>0</v>
      </c>
      <c r="AF14" s="24">
        <f>IF(OR(U14="",U14=0),"",N(W14)/U14)</f>
        <v>0</v>
      </c>
      <c r="AG14" s="25">
        <f>IF(OR(O14="",O14=0),"",N(X14)/(O14/1000))</f>
        <v>0</v>
      </c>
      <c r="AH14" s="24">
        <f>IF(O14="","",IF(Y14="",TargetEngagement,Y14))</f>
        <v>0</v>
      </c>
      <c r="AI14" s="24">
        <f>IF(OR(AA14="",AH14=""),"",AA14-AH14)</f>
        <v>0</v>
      </c>
      <c r="AJ14" s="31">
        <f>IF(AA14="","",AA14+ROW()/1000000)</f>
        <v>0</v>
      </c>
      <c r="AK14" s="23">
        <f>IF(AA14="","",RANK(AJ14,Performance!$AJ$5:$AJ$404))</f>
        <v>0</v>
      </c>
      <c r="AL14" s="29">
        <f>IF(AA14="","",IF(AA14&gt;=AH14*1.5,"Top performer",IF(AA14&gt;=AH14,"Above target",IF(AA14&gt;=AH14*0.6,"Below target","Weak - review it"))))</f>
        <v>0</v>
      </c>
      <c r="AM14" s="29">
        <f>IF(B14="","",IF(COUNTIF(Performance!$B$5:$B$404,B14)&gt;1,"Duplicate","OK"))</f>
        <v>0</v>
      </c>
      <c r="AN14" s="29">
        <f>IF(B14="","",IF(C14="Not found","Check - content ID not on the calendar",IF(O14="","Add - no numbers entered yet",IF(AM14="Duplicate","Duplicate - this post is entered twice",IF(AL14="Top performer","Repurpose this one","OK")))))</f>
        <v>0</v>
      </c>
      <c r="AO14" s="39" t="s">
        <v>205</v>
      </c>
    </row>
    <row r="15" spans="1:41">
      <c r="A15" s="41">
        <f>IF(B15="","","PF-"&amp;TEXT(ROW()-4,"0000"))</f>
        <v>0</v>
      </c>
      <c r="B15" s="15" t="s">
        <v>1412</v>
      </c>
      <c r="C15" s="17">
        <f>IF(B15="","",IFERROR(INDEX('Content Calendar'!$H$5:$H$604,MATCH(B15,'Content Calendar'!$A$5:$A$604,0)),"Not found"))</f>
        <v>0</v>
      </c>
      <c r="D15" s="16">
        <f>IF(B15="","",IFERROR(INDEX('Content Calendar'!$B$5:$B$604,MATCH(B15,'Content Calendar'!$A$5:$A$604,0)),"Not found"))</f>
        <v>0</v>
      </c>
      <c r="E15" s="17">
        <f>IF(B15="","",IFERROR(INDEX('Content Calendar'!$D$5:$D$604,MATCH(B15,'Content Calendar'!$A$5:$A$604,0)),"Not found"))</f>
        <v>0</v>
      </c>
      <c r="F15" s="17">
        <f>IF(B15="","",IFERROR(INDEX('Content Calendar'!$G$5:$G$604,MATCH(B15,'Content Calendar'!$A$5:$A$604,0)),"Not found"))</f>
        <v>0</v>
      </c>
      <c r="G15" s="17">
        <f>IF(B15="","",IFERROR(INDEX('Content Calendar'!$K$5:$K$604,MATCH(B15,'Content Calendar'!$A$5:$A$604,0)),"Not found"))</f>
        <v>0</v>
      </c>
      <c r="H15" s="17">
        <f>IF(B15="","",IFERROR(INDEX('Content Calendar'!$J$5:$J$604,MATCH(B15,'Content Calendar'!$A$5:$A$604,0)),"Not found"))</f>
        <v>0</v>
      </c>
      <c r="I15" s="17">
        <f>IF(B15="","",IFERROR(INDEX('Content Calendar'!$L$5:$L$604,MATCH(B15,'Content Calendar'!$A$5:$A$604,0)),"Not found"))</f>
        <v>0</v>
      </c>
      <c r="J15" s="17">
        <f>IF(B15="","",IFERROR(INDEX('Content Calendar'!$P$5:$P$604,MATCH(B15,'Content Calendar'!$A$5:$A$604,0)),"Not found"))</f>
        <v>0</v>
      </c>
      <c r="K15" s="17">
        <f>IF(B15="","",IFERROR(INDEX('Content Calendar'!$O$5:$O$604,MATCH(B15,'Content Calendar'!$A$5:$A$604,0)),"Not found"))</f>
        <v>0</v>
      </c>
      <c r="L15" s="17">
        <f>IF(B15="","",IFERROR(INDEX('Content Calendar'!$N$5:$N$604,MATCH(B15,'Content Calendar'!$A$5:$A$604,0)),"Not found"))</f>
        <v>0</v>
      </c>
      <c r="M15" s="17">
        <f>IF(B15="","",IFERROR(INDEX('Content Calendar'!$C$5:$C$604,MATCH(B15,'Content Calendar'!$A$5:$A$604,0)),"Not found"))</f>
        <v>0</v>
      </c>
      <c r="N15" s="17">
        <f>IF(B15="","",IFERROR(INDEX('Content Calendar'!$F$5:$F$604,MATCH(B15,'Content Calendar'!$A$5:$A$604,0)),"Not found"))</f>
        <v>0</v>
      </c>
      <c r="O15" s="34">
        <v>2569</v>
      </c>
      <c r="P15" s="34">
        <v>3646</v>
      </c>
      <c r="Q15" s="34">
        <v>160</v>
      </c>
      <c r="R15" s="34">
        <v>20</v>
      </c>
      <c r="S15" s="34">
        <v>15</v>
      </c>
      <c r="T15" s="34">
        <v>28</v>
      </c>
      <c r="U15" s="34">
        <v>20</v>
      </c>
      <c r="V15" s="37">
        <v>12.5</v>
      </c>
      <c r="W15" s="34">
        <v>1</v>
      </c>
      <c r="X15" s="36">
        <v>68.4</v>
      </c>
      <c r="Y15" s="35">
        <v>0.045</v>
      </c>
      <c r="Z15" s="23">
        <f>IF(O15="","",N(Q15)+N(R15)+N(S15)+N(T15))</f>
        <v>0</v>
      </c>
      <c r="AA15" s="24">
        <f>IF(OR(O15="",O15=0),"",Z15/O15)</f>
        <v>0</v>
      </c>
      <c r="AB15" s="24">
        <f>IF(OR(O15="",O15=0),"",N(T15)/O15)</f>
        <v>0</v>
      </c>
      <c r="AC15" s="24">
        <f>IF(OR(O15="",O15=0),"",N(S15)/O15)</f>
        <v>0</v>
      </c>
      <c r="AD15" s="24">
        <f>IF(OR(O15="",O15=0),"",N(R15)/O15)</f>
        <v>0</v>
      </c>
      <c r="AE15" s="24">
        <f>IF(OR(O15="",O15=0),"",N(U15)/O15)</f>
        <v>0</v>
      </c>
      <c r="AF15" s="24">
        <f>IF(OR(U15="",U15=0),"",N(W15)/U15)</f>
        <v>0</v>
      </c>
      <c r="AG15" s="25">
        <f>IF(OR(O15="",O15=0),"",N(X15)/(O15/1000))</f>
        <v>0</v>
      </c>
      <c r="AH15" s="24">
        <f>IF(O15="","",IF(Y15="",TargetEngagement,Y15))</f>
        <v>0</v>
      </c>
      <c r="AI15" s="24">
        <f>IF(OR(AA15="",AH15=""),"",AA15-AH15)</f>
        <v>0</v>
      </c>
      <c r="AJ15" s="31">
        <f>IF(AA15="","",AA15+ROW()/1000000)</f>
        <v>0</v>
      </c>
      <c r="AK15" s="23">
        <f>IF(AA15="","",RANK(AJ15,Performance!$AJ$5:$AJ$404))</f>
        <v>0</v>
      </c>
      <c r="AL15" s="29">
        <f>IF(AA15="","",IF(AA15&gt;=AH15*1.5,"Top performer",IF(AA15&gt;=AH15,"Above target",IF(AA15&gt;=AH15*0.6,"Below target","Weak - review it"))))</f>
        <v>0</v>
      </c>
      <c r="AM15" s="29">
        <f>IF(B15="","",IF(COUNTIF(Performance!$B$5:$B$404,B15)&gt;1,"Duplicate","OK"))</f>
        <v>0</v>
      </c>
      <c r="AN15" s="29">
        <f>IF(B15="","",IF(C15="Not found","Check - content ID not on the calendar",IF(O15="","Add - no numbers entered yet",IF(AM15="Duplicate","Duplicate - this post is entered twice",IF(AL15="Top performer","Repurpose this one","OK")))))</f>
        <v>0</v>
      </c>
      <c r="AO15" s="39" t="s">
        <v>205</v>
      </c>
    </row>
    <row r="16" spans="1:41">
      <c r="A16" s="41">
        <f>IF(B16="","","PF-"&amp;TEXT(ROW()-4,"0000"))</f>
        <v>0</v>
      </c>
      <c r="B16" s="15" t="s">
        <v>1554</v>
      </c>
      <c r="C16" s="17">
        <f>IF(B16="","",IFERROR(INDEX('Content Calendar'!$H$5:$H$604,MATCH(B16,'Content Calendar'!$A$5:$A$604,0)),"Not found"))</f>
        <v>0</v>
      </c>
      <c r="D16" s="16">
        <f>IF(B16="","",IFERROR(INDEX('Content Calendar'!$B$5:$B$604,MATCH(B16,'Content Calendar'!$A$5:$A$604,0)),"Not found"))</f>
        <v>0</v>
      </c>
      <c r="E16" s="17">
        <f>IF(B16="","",IFERROR(INDEX('Content Calendar'!$D$5:$D$604,MATCH(B16,'Content Calendar'!$A$5:$A$604,0)),"Not found"))</f>
        <v>0</v>
      </c>
      <c r="F16" s="17">
        <f>IF(B16="","",IFERROR(INDEX('Content Calendar'!$G$5:$G$604,MATCH(B16,'Content Calendar'!$A$5:$A$604,0)),"Not found"))</f>
        <v>0</v>
      </c>
      <c r="G16" s="17">
        <f>IF(B16="","",IFERROR(INDEX('Content Calendar'!$K$5:$K$604,MATCH(B16,'Content Calendar'!$A$5:$A$604,0)),"Not found"))</f>
        <v>0</v>
      </c>
      <c r="H16" s="17">
        <f>IF(B16="","",IFERROR(INDEX('Content Calendar'!$J$5:$J$604,MATCH(B16,'Content Calendar'!$A$5:$A$604,0)),"Not found"))</f>
        <v>0</v>
      </c>
      <c r="I16" s="17">
        <f>IF(B16="","",IFERROR(INDEX('Content Calendar'!$L$5:$L$604,MATCH(B16,'Content Calendar'!$A$5:$A$604,0)),"Not found"))</f>
        <v>0</v>
      </c>
      <c r="J16" s="17">
        <f>IF(B16="","",IFERROR(INDEX('Content Calendar'!$P$5:$P$604,MATCH(B16,'Content Calendar'!$A$5:$A$604,0)),"Not found"))</f>
        <v>0</v>
      </c>
      <c r="K16" s="17">
        <f>IF(B16="","",IFERROR(INDEX('Content Calendar'!$O$5:$O$604,MATCH(B16,'Content Calendar'!$A$5:$A$604,0)),"Not found"))</f>
        <v>0</v>
      </c>
      <c r="L16" s="17">
        <f>IF(B16="","",IFERROR(INDEX('Content Calendar'!$N$5:$N$604,MATCH(B16,'Content Calendar'!$A$5:$A$604,0)),"Not found"))</f>
        <v>0</v>
      </c>
      <c r="M16" s="17">
        <f>IF(B16="","",IFERROR(INDEX('Content Calendar'!$C$5:$C$604,MATCH(B16,'Content Calendar'!$A$5:$A$604,0)),"Not found"))</f>
        <v>0</v>
      </c>
      <c r="N16" s="17">
        <f>IF(B16="","",IFERROR(INDEX('Content Calendar'!$F$5:$F$604,MATCH(B16,'Content Calendar'!$A$5:$A$604,0)),"Not found"))</f>
        <v>0</v>
      </c>
      <c r="O16" s="34">
        <v>1932</v>
      </c>
      <c r="P16" s="34">
        <v>2246</v>
      </c>
      <c r="Q16" s="34">
        <v>41</v>
      </c>
      <c r="R16" s="34">
        <v>5</v>
      </c>
      <c r="S16" s="34">
        <v>3</v>
      </c>
      <c r="T16" s="34">
        <v>8</v>
      </c>
      <c r="U16" s="34">
        <v>8</v>
      </c>
      <c r="V16" s="37">
        <v>0</v>
      </c>
      <c r="W16" s="34">
        <v>0</v>
      </c>
      <c r="X16" s="36">
        <v>0</v>
      </c>
      <c r="Y16" s="35">
        <v>0.045</v>
      </c>
      <c r="Z16" s="23">
        <f>IF(O16="","",N(Q16)+N(R16)+N(S16)+N(T16))</f>
        <v>0</v>
      </c>
      <c r="AA16" s="24">
        <f>IF(OR(O16="",O16=0),"",Z16/O16)</f>
        <v>0</v>
      </c>
      <c r="AB16" s="24">
        <f>IF(OR(O16="",O16=0),"",N(T16)/O16)</f>
        <v>0</v>
      </c>
      <c r="AC16" s="24">
        <f>IF(OR(O16="",O16=0),"",N(S16)/O16)</f>
        <v>0</v>
      </c>
      <c r="AD16" s="24">
        <f>IF(OR(O16="",O16=0),"",N(R16)/O16)</f>
        <v>0</v>
      </c>
      <c r="AE16" s="24">
        <f>IF(OR(O16="",O16=0),"",N(U16)/O16)</f>
        <v>0</v>
      </c>
      <c r="AF16" s="24">
        <f>IF(OR(U16="",U16=0),"",N(W16)/U16)</f>
        <v>0</v>
      </c>
      <c r="AG16" s="25">
        <f>IF(OR(O16="",O16=0),"",N(X16)/(O16/1000))</f>
        <v>0</v>
      </c>
      <c r="AH16" s="24">
        <f>IF(O16="","",IF(Y16="",TargetEngagement,Y16))</f>
        <v>0</v>
      </c>
      <c r="AI16" s="24">
        <f>IF(OR(AA16="",AH16=""),"",AA16-AH16)</f>
        <v>0</v>
      </c>
      <c r="AJ16" s="31">
        <f>IF(AA16="","",AA16+ROW()/1000000)</f>
        <v>0</v>
      </c>
      <c r="AK16" s="23">
        <f>IF(AA16="","",RANK(AJ16,Performance!$AJ$5:$AJ$404))</f>
        <v>0</v>
      </c>
      <c r="AL16" s="29">
        <f>IF(AA16="","",IF(AA16&gt;=AH16*1.5,"Top performer",IF(AA16&gt;=AH16,"Above target",IF(AA16&gt;=AH16*0.6,"Below target","Weak - review it"))))</f>
        <v>0</v>
      </c>
      <c r="AM16" s="29">
        <f>IF(B16="","",IF(COUNTIF(Performance!$B$5:$B$404,B16)&gt;1,"Duplicate","OK"))</f>
        <v>0</v>
      </c>
      <c r="AN16" s="29">
        <f>IF(B16="","",IF(C16="Not found","Check - content ID not on the calendar",IF(O16="","Add - no numbers entered yet",IF(AM16="Duplicate","Duplicate - this post is entered twice",IF(AL16="Top performer","Repurpose this one","OK")))))</f>
        <v>0</v>
      </c>
      <c r="AO16" s="39" t="s">
        <v>205</v>
      </c>
    </row>
    <row r="17" spans="1:41">
      <c r="A17" s="41">
        <f>IF(B17="","","PF-"&amp;TEXT(ROW()-4,"0000"))</f>
        <v>0</v>
      </c>
      <c r="B17" s="15" t="s">
        <v>1479</v>
      </c>
      <c r="C17" s="17">
        <f>IF(B17="","",IFERROR(INDEX('Content Calendar'!$H$5:$H$604,MATCH(B17,'Content Calendar'!$A$5:$A$604,0)),"Not found"))</f>
        <v>0</v>
      </c>
      <c r="D17" s="16">
        <f>IF(B17="","",IFERROR(INDEX('Content Calendar'!$B$5:$B$604,MATCH(B17,'Content Calendar'!$A$5:$A$604,0)),"Not found"))</f>
        <v>0</v>
      </c>
      <c r="E17" s="17">
        <f>IF(B17="","",IFERROR(INDEX('Content Calendar'!$D$5:$D$604,MATCH(B17,'Content Calendar'!$A$5:$A$604,0)),"Not found"))</f>
        <v>0</v>
      </c>
      <c r="F17" s="17">
        <f>IF(B17="","",IFERROR(INDEX('Content Calendar'!$G$5:$G$604,MATCH(B17,'Content Calendar'!$A$5:$A$604,0)),"Not found"))</f>
        <v>0</v>
      </c>
      <c r="G17" s="17">
        <f>IF(B17="","",IFERROR(INDEX('Content Calendar'!$K$5:$K$604,MATCH(B17,'Content Calendar'!$A$5:$A$604,0)),"Not found"))</f>
        <v>0</v>
      </c>
      <c r="H17" s="17">
        <f>IF(B17="","",IFERROR(INDEX('Content Calendar'!$J$5:$J$604,MATCH(B17,'Content Calendar'!$A$5:$A$604,0)),"Not found"))</f>
        <v>0</v>
      </c>
      <c r="I17" s="17">
        <f>IF(B17="","",IFERROR(INDEX('Content Calendar'!$L$5:$L$604,MATCH(B17,'Content Calendar'!$A$5:$A$604,0)),"Not found"))</f>
        <v>0</v>
      </c>
      <c r="J17" s="17">
        <f>IF(B17="","",IFERROR(INDEX('Content Calendar'!$P$5:$P$604,MATCH(B17,'Content Calendar'!$A$5:$A$604,0)),"Not found"))</f>
        <v>0</v>
      </c>
      <c r="K17" s="17">
        <f>IF(B17="","",IFERROR(INDEX('Content Calendar'!$O$5:$O$604,MATCH(B17,'Content Calendar'!$A$5:$A$604,0)),"Not found"))</f>
        <v>0</v>
      </c>
      <c r="L17" s="17">
        <f>IF(B17="","",IFERROR(INDEX('Content Calendar'!$N$5:$N$604,MATCH(B17,'Content Calendar'!$A$5:$A$604,0)),"Not found"))</f>
        <v>0</v>
      </c>
      <c r="M17" s="17">
        <f>IF(B17="","",IFERROR(INDEX('Content Calendar'!$C$5:$C$604,MATCH(B17,'Content Calendar'!$A$5:$A$604,0)),"Not found"))</f>
        <v>0</v>
      </c>
      <c r="N17" s="17">
        <f>IF(B17="","",IFERROR(INDEX('Content Calendar'!$F$5:$F$604,MATCH(B17,'Content Calendar'!$A$5:$A$604,0)),"Not found"))</f>
        <v>0</v>
      </c>
      <c r="O17" s="34">
        <v>3896</v>
      </c>
      <c r="P17" s="34">
        <v>5054</v>
      </c>
      <c r="Q17" s="34">
        <v>165</v>
      </c>
      <c r="R17" s="34">
        <v>20</v>
      </c>
      <c r="S17" s="34">
        <v>16</v>
      </c>
      <c r="T17" s="34">
        <v>29</v>
      </c>
      <c r="U17" s="34">
        <v>19</v>
      </c>
      <c r="V17" s="37">
        <v>0</v>
      </c>
      <c r="W17" s="34">
        <v>0</v>
      </c>
      <c r="X17" s="36">
        <v>0</v>
      </c>
      <c r="Y17" s="35">
        <v>0.045</v>
      </c>
      <c r="Z17" s="23">
        <f>IF(O17="","",N(Q17)+N(R17)+N(S17)+N(T17))</f>
        <v>0</v>
      </c>
      <c r="AA17" s="24">
        <f>IF(OR(O17="",O17=0),"",Z17/O17)</f>
        <v>0</v>
      </c>
      <c r="AB17" s="24">
        <f>IF(OR(O17="",O17=0),"",N(T17)/O17)</f>
        <v>0</v>
      </c>
      <c r="AC17" s="24">
        <f>IF(OR(O17="",O17=0),"",N(S17)/O17)</f>
        <v>0</v>
      </c>
      <c r="AD17" s="24">
        <f>IF(OR(O17="",O17=0),"",N(R17)/O17)</f>
        <v>0</v>
      </c>
      <c r="AE17" s="24">
        <f>IF(OR(O17="",O17=0),"",N(U17)/O17)</f>
        <v>0</v>
      </c>
      <c r="AF17" s="24">
        <f>IF(OR(U17="",U17=0),"",N(W17)/U17)</f>
        <v>0</v>
      </c>
      <c r="AG17" s="25">
        <f>IF(OR(O17="",O17=0),"",N(X17)/(O17/1000))</f>
        <v>0</v>
      </c>
      <c r="AH17" s="24">
        <f>IF(O17="","",IF(Y17="",TargetEngagement,Y17))</f>
        <v>0</v>
      </c>
      <c r="AI17" s="24">
        <f>IF(OR(AA17="",AH17=""),"",AA17-AH17)</f>
        <v>0</v>
      </c>
      <c r="AJ17" s="31">
        <f>IF(AA17="","",AA17+ROW()/1000000)</f>
        <v>0</v>
      </c>
      <c r="AK17" s="23">
        <f>IF(AA17="","",RANK(AJ17,Performance!$AJ$5:$AJ$404))</f>
        <v>0</v>
      </c>
      <c r="AL17" s="29">
        <f>IF(AA17="","",IF(AA17&gt;=AH17*1.5,"Top performer",IF(AA17&gt;=AH17,"Above target",IF(AA17&gt;=AH17*0.6,"Below target","Weak - review it"))))</f>
        <v>0</v>
      </c>
      <c r="AM17" s="29">
        <f>IF(B17="","",IF(COUNTIF(Performance!$B$5:$B$404,B17)&gt;1,"Duplicate","OK"))</f>
        <v>0</v>
      </c>
      <c r="AN17" s="29">
        <f>IF(B17="","",IF(C17="Not found","Check - content ID not on the calendar",IF(O17="","Add - no numbers entered yet",IF(AM17="Duplicate","Duplicate - this post is entered twice",IF(AL17="Top performer","Repurpose this one","OK")))))</f>
        <v>0</v>
      </c>
      <c r="AO17" s="39" t="s">
        <v>205</v>
      </c>
    </row>
    <row r="18" spans="1:41">
      <c r="A18" s="41">
        <f>IF(B18="","","PF-"&amp;TEXT(ROW()-4,"0000"))</f>
        <v>0</v>
      </c>
      <c r="B18" s="15" t="s">
        <v>1445</v>
      </c>
      <c r="C18" s="17">
        <f>IF(B18="","",IFERROR(INDEX('Content Calendar'!$H$5:$H$604,MATCH(B18,'Content Calendar'!$A$5:$A$604,0)),"Not found"))</f>
        <v>0</v>
      </c>
      <c r="D18" s="16">
        <f>IF(B18="","",IFERROR(INDEX('Content Calendar'!$B$5:$B$604,MATCH(B18,'Content Calendar'!$A$5:$A$604,0)),"Not found"))</f>
        <v>0</v>
      </c>
      <c r="E18" s="17">
        <f>IF(B18="","",IFERROR(INDEX('Content Calendar'!$D$5:$D$604,MATCH(B18,'Content Calendar'!$A$5:$A$604,0)),"Not found"))</f>
        <v>0</v>
      </c>
      <c r="F18" s="17">
        <f>IF(B18="","",IFERROR(INDEX('Content Calendar'!$G$5:$G$604,MATCH(B18,'Content Calendar'!$A$5:$A$604,0)),"Not found"))</f>
        <v>0</v>
      </c>
      <c r="G18" s="17">
        <f>IF(B18="","",IFERROR(INDEX('Content Calendar'!$K$5:$K$604,MATCH(B18,'Content Calendar'!$A$5:$A$604,0)),"Not found"))</f>
        <v>0</v>
      </c>
      <c r="H18" s="17">
        <f>IF(B18="","",IFERROR(INDEX('Content Calendar'!$J$5:$J$604,MATCH(B18,'Content Calendar'!$A$5:$A$604,0)),"Not found"))</f>
        <v>0</v>
      </c>
      <c r="I18" s="17">
        <f>IF(B18="","",IFERROR(INDEX('Content Calendar'!$L$5:$L$604,MATCH(B18,'Content Calendar'!$A$5:$A$604,0)),"Not found"))</f>
        <v>0</v>
      </c>
      <c r="J18" s="17">
        <f>IF(B18="","",IFERROR(INDEX('Content Calendar'!$P$5:$P$604,MATCH(B18,'Content Calendar'!$A$5:$A$604,0)),"Not found"))</f>
        <v>0</v>
      </c>
      <c r="K18" s="17">
        <f>IF(B18="","",IFERROR(INDEX('Content Calendar'!$O$5:$O$604,MATCH(B18,'Content Calendar'!$A$5:$A$604,0)),"Not found"))</f>
        <v>0</v>
      </c>
      <c r="L18" s="17">
        <f>IF(B18="","",IFERROR(INDEX('Content Calendar'!$N$5:$N$604,MATCH(B18,'Content Calendar'!$A$5:$A$604,0)),"Not found"))</f>
        <v>0</v>
      </c>
      <c r="M18" s="17">
        <f>IF(B18="","",IFERROR(INDEX('Content Calendar'!$C$5:$C$604,MATCH(B18,'Content Calendar'!$A$5:$A$604,0)),"Not found"))</f>
        <v>0</v>
      </c>
      <c r="N18" s="17">
        <f>IF(B18="","",IFERROR(INDEX('Content Calendar'!$F$5:$F$604,MATCH(B18,'Content Calendar'!$A$5:$A$604,0)),"Not found"))</f>
        <v>0</v>
      </c>
      <c r="O18" s="34">
        <v>11463</v>
      </c>
      <c r="P18" s="34">
        <v>17696</v>
      </c>
      <c r="Q18" s="34">
        <v>659</v>
      </c>
      <c r="R18" s="34">
        <v>82</v>
      </c>
      <c r="S18" s="34">
        <v>64</v>
      </c>
      <c r="T18" s="34">
        <v>111</v>
      </c>
      <c r="U18" s="34">
        <v>72</v>
      </c>
      <c r="V18" s="37">
        <v>24.4</v>
      </c>
      <c r="W18" s="34">
        <v>5</v>
      </c>
      <c r="X18" s="36">
        <v>242.61</v>
      </c>
      <c r="Y18" s="35">
        <v>0.045</v>
      </c>
      <c r="Z18" s="23">
        <f>IF(O18="","",N(Q18)+N(R18)+N(S18)+N(T18))</f>
        <v>0</v>
      </c>
      <c r="AA18" s="24">
        <f>IF(OR(O18="",O18=0),"",Z18/O18)</f>
        <v>0</v>
      </c>
      <c r="AB18" s="24">
        <f>IF(OR(O18="",O18=0),"",N(T18)/O18)</f>
        <v>0</v>
      </c>
      <c r="AC18" s="24">
        <f>IF(OR(O18="",O18=0),"",N(S18)/O18)</f>
        <v>0</v>
      </c>
      <c r="AD18" s="24">
        <f>IF(OR(O18="",O18=0),"",N(R18)/O18)</f>
        <v>0</v>
      </c>
      <c r="AE18" s="24">
        <f>IF(OR(O18="",O18=0),"",N(U18)/O18)</f>
        <v>0</v>
      </c>
      <c r="AF18" s="24">
        <f>IF(OR(U18="",U18=0),"",N(W18)/U18)</f>
        <v>0</v>
      </c>
      <c r="AG18" s="25">
        <f>IF(OR(O18="",O18=0),"",N(X18)/(O18/1000))</f>
        <v>0</v>
      </c>
      <c r="AH18" s="24">
        <f>IF(O18="","",IF(Y18="",TargetEngagement,Y18))</f>
        <v>0</v>
      </c>
      <c r="AI18" s="24">
        <f>IF(OR(AA18="",AH18=""),"",AA18-AH18)</f>
        <v>0</v>
      </c>
      <c r="AJ18" s="31">
        <f>IF(AA18="","",AA18+ROW()/1000000)</f>
        <v>0</v>
      </c>
      <c r="AK18" s="23">
        <f>IF(AA18="","",RANK(AJ18,Performance!$AJ$5:$AJ$404))</f>
        <v>0</v>
      </c>
      <c r="AL18" s="29">
        <f>IF(AA18="","",IF(AA18&gt;=AH18*1.5,"Top performer",IF(AA18&gt;=AH18,"Above target",IF(AA18&gt;=AH18*0.6,"Below target","Weak - review it"))))</f>
        <v>0</v>
      </c>
      <c r="AM18" s="29">
        <f>IF(B18="","",IF(COUNTIF(Performance!$B$5:$B$404,B18)&gt;1,"Duplicate","OK"))</f>
        <v>0</v>
      </c>
      <c r="AN18" s="29">
        <f>IF(B18="","",IF(C18="Not found","Check - content ID not on the calendar",IF(O18="","Add - no numbers entered yet",IF(AM18="Duplicate","Duplicate - this post is entered twice",IF(AL18="Top performer","Repurpose this one","OK")))))</f>
        <v>0</v>
      </c>
      <c r="AO18" s="39" t="s">
        <v>205</v>
      </c>
    </row>
    <row r="19" spans="1:41">
      <c r="A19" s="41">
        <f>IF(B19="","","PF-"&amp;TEXT(ROW()-4,"0000"))</f>
        <v>0</v>
      </c>
      <c r="B19" s="15" t="s">
        <v>1414</v>
      </c>
      <c r="C19" s="17">
        <f>IF(B19="","",IFERROR(INDEX('Content Calendar'!$H$5:$H$604,MATCH(B19,'Content Calendar'!$A$5:$A$604,0)),"Not found"))</f>
        <v>0</v>
      </c>
      <c r="D19" s="16">
        <f>IF(B19="","",IFERROR(INDEX('Content Calendar'!$B$5:$B$604,MATCH(B19,'Content Calendar'!$A$5:$A$604,0)),"Not found"))</f>
        <v>0</v>
      </c>
      <c r="E19" s="17">
        <f>IF(B19="","",IFERROR(INDEX('Content Calendar'!$D$5:$D$604,MATCH(B19,'Content Calendar'!$A$5:$A$604,0)),"Not found"))</f>
        <v>0</v>
      </c>
      <c r="F19" s="17">
        <f>IF(B19="","",IFERROR(INDEX('Content Calendar'!$G$5:$G$604,MATCH(B19,'Content Calendar'!$A$5:$A$604,0)),"Not found"))</f>
        <v>0</v>
      </c>
      <c r="G19" s="17">
        <f>IF(B19="","",IFERROR(INDEX('Content Calendar'!$K$5:$K$604,MATCH(B19,'Content Calendar'!$A$5:$A$604,0)),"Not found"))</f>
        <v>0</v>
      </c>
      <c r="H19" s="17">
        <f>IF(B19="","",IFERROR(INDEX('Content Calendar'!$J$5:$J$604,MATCH(B19,'Content Calendar'!$A$5:$A$604,0)),"Not found"))</f>
        <v>0</v>
      </c>
      <c r="I19" s="17">
        <f>IF(B19="","",IFERROR(INDEX('Content Calendar'!$L$5:$L$604,MATCH(B19,'Content Calendar'!$A$5:$A$604,0)),"Not found"))</f>
        <v>0</v>
      </c>
      <c r="J19" s="17">
        <f>IF(B19="","",IFERROR(INDEX('Content Calendar'!$P$5:$P$604,MATCH(B19,'Content Calendar'!$A$5:$A$604,0)),"Not found"))</f>
        <v>0</v>
      </c>
      <c r="K19" s="17">
        <f>IF(B19="","",IFERROR(INDEX('Content Calendar'!$O$5:$O$604,MATCH(B19,'Content Calendar'!$A$5:$A$604,0)),"Not found"))</f>
        <v>0</v>
      </c>
      <c r="L19" s="17">
        <f>IF(B19="","",IFERROR(INDEX('Content Calendar'!$N$5:$N$604,MATCH(B19,'Content Calendar'!$A$5:$A$604,0)),"Not found"))</f>
        <v>0</v>
      </c>
      <c r="M19" s="17">
        <f>IF(B19="","",IFERROR(INDEX('Content Calendar'!$C$5:$C$604,MATCH(B19,'Content Calendar'!$A$5:$A$604,0)),"Not found"))</f>
        <v>0</v>
      </c>
      <c r="N19" s="17">
        <f>IF(B19="","",IFERROR(INDEX('Content Calendar'!$F$5:$F$604,MATCH(B19,'Content Calendar'!$A$5:$A$604,0)),"Not found"))</f>
        <v>0</v>
      </c>
      <c r="O19" s="34">
        <v>5721</v>
      </c>
      <c r="P19" s="34">
        <v>7510</v>
      </c>
      <c r="Q19" s="34">
        <v>201</v>
      </c>
      <c r="R19" s="34">
        <v>25</v>
      </c>
      <c r="S19" s="34">
        <v>19</v>
      </c>
      <c r="T19" s="34">
        <v>35</v>
      </c>
      <c r="U19" s="34">
        <v>124</v>
      </c>
      <c r="V19" s="37">
        <v>19.8</v>
      </c>
      <c r="W19" s="34">
        <v>10</v>
      </c>
      <c r="X19" s="36">
        <v>552.06</v>
      </c>
      <c r="Y19" s="35">
        <v>0.045</v>
      </c>
      <c r="Z19" s="23">
        <f>IF(O19="","",N(Q19)+N(R19)+N(S19)+N(T19))</f>
        <v>0</v>
      </c>
      <c r="AA19" s="24">
        <f>IF(OR(O19="",O19=0),"",Z19/O19)</f>
        <v>0</v>
      </c>
      <c r="AB19" s="24">
        <f>IF(OR(O19="",O19=0),"",N(T19)/O19)</f>
        <v>0</v>
      </c>
      <c r="AC19" s="24">
        <f>IF(OR(O19="",O19=0),"",N(S19)/O19)</f>
        <v>0</v>
      </c>
      <c r="AD19" s="24">
        <f>IF(OR(O19="",O19=0),"",N(R19)/O19)</f>
        <v>0</v>
      </c>
      <c r="AE19" s="24">
        <f>IF(OR(O19="",O19=0),"",N(U19)/O19)</f>
        <v>0</v>
      </c>
      <c r="AF19" s="24">
        <f>IF(OR(U19="",U19=0),"",N(W19)/U19)</f>
        <v>0</v>
      </c>
      <c r="AG19" s="25">
        <f>IF(OR(O19="",O19=0),"",N(X19)/(O19/1000))</f>
        <v>0</v>
      </c>
      <c r="AH19" s="24">
        <f>IF(O19="","",IF(Y19="",TargetEngagement,Y19))</f>
        <v>0</v>
      </c>
      <c r="AI19" s="24">
        <f>IF(OR(AA19="",AH19=""),"",AA19-AH19)</f>
        <v>0</v>
      </c>
      <c r="AJ19" s="31">
        <f>IF(AA19="","",AA19+ROW()/1000000)</f>
        <v>0</v>
      </c>
      <c r="AK19" s="23">
        <f>IF(AA19="","",RANK(AJ19,Performance!$AJ$5:$AJ$404))</f>
        <v>0</v>
      </c>
      <c r="AL19" s="29">
        <f>IF(AA19="","",IF(AA19&gt;=AH19*1.5,"Top performer",IF(AA19&gt;=AH19,"Above target",IF(AA19&gt;=AH19*0.6,"Below target","Weak - review it"))))</f>
        <v>0</v>
      </c>
      <c r="AM19" s="29">
        <f>IF(B19="","",IF(COUNTIF(Performance!$B$5:$B$404,B19)&gt;1,"Duplicate","OK"))</f>
        <v>0</v>
      </c>
      <c r="AN19" s="29">
        <f>IF(B19="","",IF(C19="Not found","Check - content ID not on the calendar",IF(O19="","Add - no numbers entered yet",IF(AM19="Duplicate","Duplicate - this post is entered twice",IF(AL19="Top performer","Repurpose this one","OK")))))</f>
        <v>0</v>
      </c>
      <c r="AO19" s="39" t="s">
        <v>205</v>
      </c>
    </row>
    <row r="20" spans="1:41">
      <c r="A20" s="41">
        <f>IF(B20="","","PF-"&amp;TEXT(ROW()-4,"0000"))</f>
        <v>0</v>
      </c>
      <c r="B20" s="15" t="s">
        <v>1530</v>
      </c>
      <c r="C20" s="17">
        <f>IF(B20="","",IFERROR(INDEX('Content Calendar'!$H$5:$H$604,MATCH(B20,'Content Calendar'!$A$5:$A$604,0)),"Not found"))</f>
        <v>0</v>
      </c>
      <c r="D20" s="16">
        <f>IF(B20="","",IFERROR(INDEX('Content Calendar'!$B$5:$B$604,MATCH(B20,'Content Calendar'!$A$5:$A$604,0)),"Not found"))</f>
        <v>0</v>
      </c>
      <c r="E20" s="17">
        <f>IF(B20="","",IFERROR(INDEX('Content Calendar'!$D$5:$D$604,MATCH(B20,'Content Calendar'!$A$5:$A$604,0)),"Not found"))</f>
        <v>0</v>
      </c>
      <c r="F20" s="17">
        <f>IF(B20="","",IFERROR(INDEX('Content Calendar'!$G$5:$G$604,MATCH(B20,'Content Calendar'!$A$5:$A$604,0)),"Not found"))</f>
        <v>0</v>
      </c>
      <c r="G20" s="17">
        <f>IF(B20="","",IFERROR(INDEX('Content Calendar'!$K$5:$K$604,MATCH(B20,'Content Calendar'!$A$5:$A$604,0)),"Not found"))</f>
        <v>0</v>
      </c>
      <c r="H20" s="17">
        <f>IF(B20="","",IFERROR(INDEX('Content Calendar'!$J$5:$J$604,MATCH(B20,'Content Calendar'!$A$5:$A$604,0)),"Not found"))</f>
        <v>0</v>
      </c>
      <c r="I20" s="17">
        <f>IF(B20="","",IFERROR(INDEX('Content Calendar'!$L$5:$L$604,MATCH(B20,'Content Calendar'!$A$5:$A$604,0)),"Not found"))</f>
        <v>0</v>
      </c>
      <c r="J20" s="17">
        <f>IF(B20="","",IFERROR(INDEX('Content Calendar'!$P$5:$P$604,MATCH(B20,'Content Calendar'!$A$5:$A$604,0)),"Not found"))</f>
        <v>0</v>
      </c>
      <c r="K20" s="17">
        <f>IF(B20="","",IFERROR(INDEX('Content Calendar'!$O$5:$O$604,MATCH(B20,'Content Calendar'!$A$5:$A$604,0)),"Not found"))</f>
        <v>0</v>
      </c>
      <c r="L20" s="17">
        <f>IF(B20="","",IFERROR(INDEX('Content Calendar'!$N$5:$N$604,MATCH(B20,'Content Calendar'!$A$5:$A$604,0)),"Not found"))</f>
        <v>0</v>
      </c>
      <c r="M20" s="17">
        <f>IF(B20="","",IFERROR(INDEX('Content Calendar'!$C$5:$C$604,MATCH(B20,'Content Calendar'!$A$5:$A$604,0)),"Not found"))</f>
        <v>0</v>
      </c>
      <c r="N20" s="17">
        <f>IF(B20="","",IFERROR(INDEX('Content Calendar'!$F$5:$F$604,MATCH(B20,'Content Calendar'!$A$5:$A$604,0)),"Not found"))</f>
        <v>0</v>
      </c>
      <c r="O20" s="34">
        <v>2615</v>
      </c>
      <c r="P20" s="34">
        <v>3807</v>
      </c>
      <c r="Q20" s="34">
        <v>138</v>
      </c>
      <c r="R20" s="34">
        <v>17</v>
      </c>
      <c r="S20" s="34">
        <v>13</v>
      </c>
      <c r="T20" s="34">
        <v>25</v>
      </c>
      <c r="U20" s="34">
        <v>33</v>
      </c>
      <c r="V20" s="37">
        <v>29.9</v>
      </c>
      <c r="W20" s="34">
        <v>1</v>
      </c>
      <c r="X20" s="36">
        <v>71.96</v>
      </c>
      <c r="Y20" s="35">
        <v>0.045</v>
      </c>
      <c r="Z20" s="23">
        <f>IF(O20="","",N(Q20)+N(R20)+N(S20)+N(T20))</f>
        <v>0</v>
      </c>
      <c r="AA20" s="24">
        <f>IF(OR(O20="",O20=0),"",Z20/O20)</f>
        <v>0</v>
      </c>
      <c r="AB20" s="24">
        <f>IF(OR(O20="",O20=0),"",N(T20)/O20)</f>
        <v>0</v>
      </c>
      <c r="AC20" s="24">
        <f>IF(OR(O20="",O20=0),"",N(S20)/O20)</f>
        <v>0</v>
      </c>
      <c r="AD20" s="24">
        <f>IF(OR(O20="",O20=0),"",N(R20)/O20)</f>
        <v>0</v>
      </c>
      <c r="AE20" s="24">
        <f>IF(OR(O20="",O20=0),"",N(U20)/O20)</f>
        <v>0</v>
      </c>
      <c r="AF20" s="24">
        <f>IF(OR(U20="",U20=0),"",N(W20)/U20)</f>
        <v>0</v>
      </c>
      <c r="AG20" s="25">
        <f>IF(OR(O20="",O20=0),"",N(X20)/(O20/1000))</f>
        <v>0</v>
      </c>
      <c r="AH20" s="24">
        <f>IF(O20="","",IF(Y20="",TargetEngagement,Y20))</f>
        <v>0</v>
      </c>
      <c r="AI20" s="24">
        <f>IF(OR(AA20="",AH20=""),"",AA20-AH20)</f>
        <v>0</v>
      </c>
      <c r="AJ20" s="31">
        <f>IF(AA20="","",AA20+ROW()/1000000)</f>
        <v>0</v>
      </c>
      <c r="AK20" s="23">
        <f>IF(AA20="","",RANK(AJ20,Performance!$AJ$5:$AJ$404))</f>
        <v>0</v>
      </c>
      <c r="AL20" s="29">
        <f>IF(AA20="","",IF(AA20&gt;=AH20*1.5,"Top performer",IF(AA20&gt;=AH20,"Above target",IF(AA20&gt;=AH20*0.6,"Below target","Weak - review it"))))</f>
        <v>0</v>
      </c>
      <c r="AM20" s="29">
        <f>IF(B20="","",IF(COUNTIF(Performance!$B$5:$B$404,B20)&gt;1,"Duplicate","OK"))</f>
        <v>0</v>
      </c>
      <c r="AN20" s="29">
        <f>IF(B20="","",IF(C20="Not found","Check - content ID not on the calendar",IF(O20="","Add - no numbers entered yet",IF(AM20="Duplicate","Duplicate - this post is entered twice",IF(AL20="Top performer","Repurpose this one","OK")))))</f>
        <v>0</v>
      </c>
      <c r="AO20" s="39" t="s">
        <v>205</v>
      </c>
    </row>
    <row r="21" spans="1:41">
      <c r="A21" s="41">
        <f>IF(B21="","","PF-"&amp;TEXT(ROW()-4,"0000"))</f>
        <v>0</v>
      </c>
      <c r="B21" s="15" t="s">
        <v>1416</v>
      </c>
      <c r="C21" s="17">
        <f>IF(B21="","",IFERROR(INDEX('Content Calendar'!$H$5:$H$604,MATCH(B21,'Content Calendar'!$A$5:$A$604,0)),"Not found"))</f>
        <v>0</v>
      </c>
      <c r="D21" s="16">
        <f>IF(B21="","",IFERROR(INDEX('Content Calendar'!$B$5:$B$604,MATCH(B21,'Content Calendar'!$A$5:$A$604,0)),"Not found"))</f>
        <v>0</v>
      </c>
      <c r="E21" s="17">
        <f>IF(B21="","",IFERROR(INDEX('Content Calendar'!$D$5:$D$604,MATCH(B21,'Content Calendar'!$A$5:$A$604,0)),"Not found"))</f>
        <v>0</v>
      </c>
      <c r="F21" s="17">
        <f>IF(B21="","",IFERROR(INDEX('Content Calendar'!$G$5:$G$604,MATCH(B21,'Content Calendar'!$A$5:$A$604,0)),"Not found"))</f>
        <v>0</v>
      </c>
      <c r="G21" s="17">
        <f>IF(B21="","",IFERROR(INDEX('Content Calendar'!$K$5:$K$604,MATCH(B21,'Content Calendar'!$A$5:$A$604,0)),"Not found"))</f>
        <v>0</v>
      </c>
      <c r="H21" s="17">
        <f>IF(B21="","",IFERROR(INDEX('Content Calendar'!$J$5:$J$604,MATCH(B21,'Content Calendar'!$A$5:$A$604,0)),"Not found"))</f>
        <v>0</v>
      </c>
      <c r="I21" s="17">
        <f>IF(B21="","",IFERROR(INDEX('Content Calendar'!$L$5:$L$604,MATCH(B21,'Content Calendar'!$A$5:$A$604,0)),"Not found"))</f>
        <v>0</v>
      </c>
      <c r="J21" s="17">
        <f>IF(B21="","",IFERROR(INDEX('Content Calendar'!$P$5:$P$604,MATCH(B21,'Content Calendar'!$A$5:$A$604,0)),"Not found"))</f>
        <v>0</v>
      </c>
      <c r="K21" s="17">
        <f>IF(B21="","",IFERROR(INDEX('Content Calendar'!$O$5:$O$604,MATCH(B21,'Content Calendar'!$A$5:$A$604,0)),"Not found"))</f>
        <v>0</v>
      </c>
      <c r="L21" s="17">
        <f>IF(B21="","",IFERROR(INDEX('Content Calendar'!$N$5:$N$604,MATCH(B21,'Content Calendar'!$A$5:$A$604,0)),"Not found"))</f>
        <v>0</v>
      </c>
      <c r="M21" s="17">
        <f>IF(B21="","",IFERROR(INDEX('Content Calendar'!$C$5:$C$604,MATCH(B21,'Content Calendar'!$A$5:$A$604,0)),"Not found"))</f>
        <v>0</v>
      </c>
      <c r="N21" s="17">
        <f>IF(B21="","",IFERROR(INDEX('Content Calendar'!$F$5:$F$604,MATCH(B21,'Content Calendar'!$A$5:$A$604,0)),"Not found"))</f>
        <v>0</v>
      </c>
      <c r="O21" s="34">
        <v>4314</v>
      </c>
      <c r="P21" s="34">
        <v>6211</v>
      </c>
      <c r="Q21" s="34">
        <v>209</v>
      </c>
      <c r="R21" s="34">
        <v>26</v>
      </c>
      <c r="S21" s="34">
        <v>20</v>
      </c>
      <c r="T21" s="34">
        <v>36</v>
      </c>
      <c r="U21" s="34">
        <v>41</v>
      </c>
      <c r="V21" s="37">
        <v>23.7</v>
      </c>
      <c r="W21" s="34">
        <v>1</v>
      </c>
      <c r="X21" s="36">
        <v>49.52</v>
      </c>
      <c r="Y21" s="35">
        <v>0.045</v>
      </c>
      <c r="Z21" s="23">
        <f>IF(O21="","",N(Q21)+N(R21)+N(S21)+N(T21))</f>
        <v>0</v>
      </c>
      <c r="AA21" s="24">
        <f>IF(OR(O21="",O21=0),"",Z21/O21)</f>
        <v>0</v>
      </c>
      <c r="AB21" s="24">
        <f>IF(OR(O21="",O21=0),"",N(T21)/O21)</f>
        <v>0</v>
      </c>
      <c r="AC21" s="24">
        <f>IF(OR(O21="",O21=0),"",N(S21)/O21)</f>
        <v>0</v>
      </c>
      <c r="AD21" s="24">
        <f>IF(OR(O21="",O21=0),"",N(R21)/O21)</f>
        <v>0</v>
      </c>
      <c r="AE21" s="24">
        <f>IF(OR(O21="",O21=0),"",N(U21)/O21)</f>
        <v>0</v>
      </c>
      <c r="AF21" s="24">
        <f>IF(OR(U21="",U21=0),"",N(W21)/U21)</f>
        <v>0</v>
      </c>
      <c r="AG21" s="25">
        <f>IF(OR(O21="",O21=0),"",N(X21)/(O21/1000))</f>
        <v>0</v>
      </c>
      <c r="AH21" s="24">
        <f>IF(O21="","",IF(Y21="",TargetEngagement,Y21))</f>
        <v>0</v>
      </c>
      <c r="AI21" s="24">
        <f>IF(OR(AA21="",AH21=""),"",AA21-AH21)</f>
        <v>0</v>
      </c>
      <c r="AJ21" s="31">
        <f>IF(AA21="","",AA21+ROW()/1000000)</f>
        <v>0</v>
      </c>
      <c r="AK21" s="23">
        <f>IF(AA21="","",RANK(AJ21,Performance!$AJ$5:$AJ$404))</f>
        <v>0</v>
      </c>
      <c r="AL21" s="29">
        <f>IF(AA21="","",IF(AA21&gt;=AH21*1.5,"Top performer",IF(AA21&gt;=AH21,"Above target",IF(AA21&gt;=AH21*0.6,"Below target","Weak - review it"))))</f>
        <v>0</v>
      </c>
      <c r="AM21" s="29">
        <f>IF(B21="","",IF(COUNTIF(Performance!$B$5:$B$404,B21)&gt;1,"Duplicate","OK"))</f>
        <v>0</v>
      </c>
      <c r="AN21" s="29">
        <f>IF(B21="","",IF(C21="Not found","Check - content ID not on the calendar",IF(O21="","Add - no numbers entered yet",IF(AM21="Duplicate","Duplicate - this post is entered twice",IF(AL21="Top performer","Repurpose this one","OK")))))</f>
        <v>0</v>
      </c>
      <c r="AO21" s="39" t="s">
        <v>205</v>
      </c>
    </row>
    <row r="22" spans="1:41">
      <c r="A22" s="41">
        <f>IF(B22="","","PF-"&amp;TEXT(ROW()-4,"0000"))</f>
        <v>0</v>
      </c>
      <c r="B22" s="15" t="s">
        <v>1482</v>
      </c>
      <c r="C22" s="17">
        <f>IF(B22="","",IFERROR(INDEX('Content Calendar'!$H$5:$H$604,MATCH(B22,'Content Calendar'!$A$5:$A$604,0)),"Not found"))</f>
        <v>0</v>
      </c>
      <c r="D22" s="16">
        <f>IF(B22="","",IFERROR(INDEX('Content Calendar'!$B$5:$B$604,MATCH(B22,'Content Calendar'!$A$5:$A$604,0)),"Not found"))</f>
        <v>0</v>
      </c>
      <c r="E22" s="17">
        <f>IF(B22="","",IFERROR(INDEX('Content Calendar'!$D$5:$D$604,MATCH(B22,'Content Calendar'!$A$5:$A$604,0)),"Not found"))</f>
        <v>0</v>
      </c>
      <c r="F22" s="17">
        <f>IF(B22="","",IFERROR(INDEX('Content Calendar'!$G$5:$G$604,MATCH(B22,'Content Calendar'!$A$5:$A$604,0)),"Not found"))</f>
        <v>0</v>
      </c>
      <c r="G22" s="17">
        <f>IF(B22="","",IFERROR(INDEX('Content Calendar'!$K$5:$K$604,MATCH(B22,'Content Calendar'!$A$5:$A$604,0)),"Not found"))</f>
        <v>0</v>
      </c>
      <c r="H22" s="17">
        <f>IF(B22="","",IFERROR(INDEX('Content Calendar'!$J$5:$J$604,MATCH(B22,'Content Calendar'!$A$5:$A$604,0)),"Not found"))</f>
        <v>0</v>
      </c>
      <c r="I22" s="17">
        <f>IF(B22="","",IFERROR(INDEX('Content Calendar'!$L$5:$L$604,MATCH(B22,'Content Calendar'!$A$5:$A$604,0)),"Not found"))</f>
        <v>0</v>
      </c>
      <c r="J22" s="17">
        <f>IF(B22="","",IFERROR(INDEX('Content Calendar'!$P$5:$P$604,MATCH(B22,'Content Calendar'!$A$5:$A$604,0)),"Not found"))</f>
        <v>0</v>
      </c>
      <c r="K22" s="17">
        <f>IF(B22="","",IFERROR(INDEX('Content Calendar'!$O$5:$O$604,MATCH(B22,'Content Calendar'!$A$5:$A$604,0)),"Not found"))</f>
        <v>0</v>
      </c>
      <c r="L22" s="17">
        <f>IF(B22="","",IFERROR(INDEX('Content Calendar'!$N$5:$N$604,MATCH(B22,'Content Calendar'!$A$5:$A$604,0)),"Not found"))</f>
        <v>0</v>
      </c>
      <c r="M22" s="17">
        <f>IF(B22="","",IFERROR(INDEX('Content Calendar'!$C$5:$C$604,MATCH(B22,'Content Calendar'!$A$5:$A$604,0)),"Not found"))</f>
        <v>0</v>
      </c>
      <c r="N22" s="17">
        <f>IF(B22="","",IFERROR(INDEX('Content Calendar'!$F$5:$F$604,MATCH(B22,'Content Calendar'!$A$5:$A$604,0)),"Not found"))</f>
        <v>0</v>
      </c>
      <c r="O22" s="34">
        <v>4158</v>
      </c>
      <c r="P22" s="34">
        <v>6582</v>
      </c>
      <c r="Q22" s="34">
        <v>128</v>
      </c>
      <c r="R22" s="34">
        <v>16</v>
      </c>
      <c r="S22" s="34">
        <v>12</v>
      </c>
      <c r="T22" s="34">
        <v>23</v>
      </c>
      <c r="U22" s="34">
        <v>81</v>
      </c>
      <c r="V22" s="37">
        <v>0</v>
      </c>
      <c r="W22" s="34">
        <v>2</v>
      </c>
      <c r="X22" s="36">
        <v>124.75</v>
      </c>
      <c r="Y22" s="35">
        <v>0.045</v>
      </c>
      <c r="Z22" s="23">
        <f>IF(O22="","",N(Q22)+N(R22)+N(S22)+N(T22))</f>
        <v>0</v>
      </c>
      <c r="AA22" s="24">
        <f>IF(OR(O22="",O22=0),"",Z22/O22)</f>
        <v>0</v>
      </c>
      <c r="AB22" s="24">
        <f>IF(OR(O22="",O22=0),"",N(T22)/O22)</f>
        <v>0</v>
      </c>
      <c r="AC22" s="24">
        <f>IF(OR(O22="",O22=0),"",N(S22)/O22)</f>
        <v>0</v>
      </c>
      <c r="AD22" s="24">
        <f>IF(OR(O22="",O22=0),"",N(R22)/O22)</f>
        <v>0</v>
      </c>
      <c r="AE22" s="24">
        <f>IF(OR(O22="",O22=0),"",N(U22)/O22)</f>
        <v>0</v>
      </c>
      <c r="AF22" s="24">
        <f>IF(OR(U22="",U22=0),"",N(W22)/U22)</f>
        <v>0</v>
      </c>
      <c r="AG22" s="25">
        <f>IF(OR(O22="",O22=0),"",N(X22)/(O22/1000))</f>
        <v>0</v>
      </c>
      <c r="AH22" s="24">
        <f>IF(O22="","",IF(Y22="",TargetEngagement,Y22))</f>
        <v>0</v>
      </c>
      <c r="AI22" s="24">
        <f>IF(OR(AA22="",AH22=""),"",AA22-AH22)</f>
        <v>0</v>
      </c>
      <c r="AJ22" s="31">
        <f>IF(AA22="","",AA22+ROW()/1000000)</f>
        <v>0</v>
      </c>
      <c r="AK22" s="23">
        <f>IF(AA22="","",RANK(AJ22,Performance!$AJ$5:$AJ$404))</f>
        <v>0</v>
      </c>
      <c r="AL22" s="29">
        <f>IF(AA22="","",IF(AA22&gt;=AH22*1.5,"Top performer",IF(AA22&gt;=AH22,"Above target",IF(AA22&gt;=AH22*0.6,"Below target","Weak - review it"))))</f>
        <v>0</v>
      </c>
      <c r="AM22" s="29">
        <f>IF(B22="","",IF(COUNTIF(Performance!$B$5:$B$404,B22)&gt;1,"Duplicate","OK"))</f>
        <v>0</v>
      </c>
      <c r="AN22" s="29">
        <f>IF(B22="","",IF(C22="Not found","Check - content ID not on the calendar",IF(O22="","Add - no numbers entered yet",IF(AM22="Duplicate","Duplicate - this post is entered twice",IF(AL22="Top performer","Repurpose this one","OK")))))</f>
        <v>0</v>
      </c>
      <c r="AO22" s="39" t="s">
        <v>205</v>
      </c>
    </row>
    <row r="23" spans="1:41">
      <c r="A23" s="41">
        <f>IF(B23="","","PF-"&amp;TEXT(ROW()-4,"0000"))</f>
        <v>0</v>
      </c>
      <c r="B23" s="15" t="s">
        <v>1418</v>
      </c>
      <c r="C23" s="17">
        <f>IF(B23="","",IFERROR(INDEX('Content Calendar'!$H$5:$H$604,MATCH(B23,'Content Calendar'!$A$5:$A$604,0)),"Not found"))</f>
        <v>0</v>
      </c>
      <c r="D23" s="16">
        <f>IF(B23="","",IFERROR(INDEX('Content Calendar'!$B$5:$B$604,MATCH(B23,'Content Calendar'!$A$5:$A$604,0)),"Not found"))</f>
        <v>0</v>
      </c>
      <c r="E23" s="17">
        <f>IF(B23="","",IFERROR(INDEX('Content Calendar'!$D$5:$D$604,MATCH(B23,'Content Calendar'!$A$5:$A$604,0)),"Not found"))</f>
        <v>0</v>
      </c>
      <c r="F23" s="17">
        <f>IF(B23="","",IFERROR(INDEX('Content Calendar'!$G$5:$G$604,MATCH(B23,'Content Calendar'!$A$5:$A$604,0)),"Not found"))</f>
        <v>0</v>
      </c>
      <c r="G23" s="17">
        <f>IF(B23="","",IFERROR(INDEX('Content Calendar'!$K$5:$K$604,MATCH(B23,'Content Calendar'!$A$5:$A$604,0)),"Not found"))</f>
        <v>0</v>
      </c>
      <c r="H23" s="17">
        <f>IF(B23="","",IFERROR(INDEX('Content Calendar'!$J$5:$J$604,MATCH(B23,'Content Calendar'!$A$5:$A$604,0)),"Not found"))</f>
        <v>0</v>
      </c>
      <c r="I23" s="17">
        <f>IF(B23="","",IFERROR(INDEX('Content Calendar'!$L$5:$L$604,MATCH(B23,'Content Calendar'!$A$5:$A$604,0)),"Not found"))</f>
        <v>0</v>
      </c>
      <c r="J23" s="17">
        <f>IF(B23="","",IFERROR(INDEX('Content Calendar'!$P$5:$P$604,MATCH(B23,'Content Calendar'!$A$5:$A$604,0)),"Not found"))</f>
        <v>0</v>
      </c>
      <c r="K23" s="17">
        <f>IF(B23="","",IFERROR(INDEX('Content Calendar'!$O$5:$O$604,MATCH(B23,'Content Calendar'!$A$5:$A$604,0)),"Not found"))</f>
        <v>0</v>
      </c>
      <c r="L23" s="17">
        <f>IF(B23="","",IFERROR(INDEX('Content Calendar'!$N$5:$N$604,MATCH(B23,'Content Calendar'!$A$5:$A$604,0)),"Not found"))</f>
        <v>0</v>
      </c>
      <c r="M23" s="17">
        <f>IF(B23="","",IFERROR(INDEX('Content Calendar'!$C$5:$C$604,MATCH(B23,'Content Calendar'!$A$5:$A$604,0)),"Not found"))</f>
        <v>0</v>
      </c>
      <c r="N23" s="17">
        <f>IF(B23="","",IFERROR(INDEX('Content Calendar'!$F$5:$F$604,MATCH(B23,'Content Calendar'!$A$5:$A$604,0)),"Not found"))</f>
        <v>0</v>
      </c>
      <c r="O23" s="34">
        <v>7050</v>
      </c>
      <c r="P23" s="34">
        <v>10703</v>
      </c>
      <c r="Q23" s="34">
        <v>385</v>
      </c>
      <c r="R23" s="34">
        <v>48</v>
      </c>
      <c r="S23" s="34">
        <v>37</v>
      </c>
      <c r="T23" s="34">
        <v>66</v>
      </c>
      <c r="U23" s="34">
        <v>49</v>
      </c>
      <c r="V23" s="37">
        <v>11.4</v>
      </c>
      <c r="W23" s="34">
        <v>3</v>
      </c>
      <c r="X23" s="36">
        <v>121.69</v>
      </c>
      <c r="Y23" s="35">
        <v>0.045</v>
      </c>
      <c r="Z23" s="23">
        <f>IF(O23="","",N(Q23)+N(R23)+N(S23)+N(T23))</f>
        <v>0</v>
      </c>
      <c r="AA23" s="24">
        <f>IF(OR(O23="",O23=0),"",Z23/O23)</f>
        <v>0</v>
      </c>
      <c r="AB23" s="24">
        <f>IF(OR(O23="",O23=0),"",N(T23)/O23)</f>
        <v>0</v>
      </c>
      <c r="AC23" s="24">
        <f>IF(OR(O23="",O23=0),"",N(S23)/O23)</f>
        <v>0</v>
      </c>
      <c r="AD23" s="24">
        <f>IF(OR(O23="",O23=0),"",N(R23)/O23)</f>
        <v>0</v>
      </c>
      <c r="AE23" s="24">
        <f>IF(OR(O23="",O23=0),"",N(U23)/O23)</f>
        <v>0</v>
      </c>
      <c r="AF23" s="24">
        <f>IF(OR(U23="",U23=0),"",N(W23)/U23)</f>
        <v>0</v>
      </c>
      <c r="AG23" s="25">
        <f>IF(OR(O23="",O23=0),"",N(X23)/(O23/1000))</f>
        <v>0</v>
      </c>
      <c r="AH23" s="24">
        <f>IF(O23="","",IF(Y23="",TargetEngagement,Y23))</f>
        <v>0</v>
      </c>
      <c r="AI23" s="24">
        <f>IF(OR(AA23="",AH23=""),"",AA23-AH23)</f>
        <v>0</v>
      </c>
      <c r="AJ23" s="31">
        <f>IF(AA23="","",AA23+ROW()/1000000)</f>
        <v>0</v>
      </c>
      <c r="AK23" s="23">
        <f>IF(AA23="","",RANK(AJ23,Performance!$AJ$5:$AJ$404))</f>
        <v>0</v>
      </c>
      <c r="AL23" s="29">
        <f>IF(AA23="","",IF(AA23&gt;=AH23*1.5,"Top performer",IF(AA23&gt;=AH23,"Above target",IF(AA23&gt;=AH23*0.6,"Below target","Weak - review it"))))</f>
        <v>0</v>
      </c>
      <c r="AM23" s="29">
        <f>IF(B23="","",IF(COUNTIF(Performance!$B$5:$B$404,B23)&gt;1,"Duplicate","OK"))</f>
        <v>0</v>
      </c>
      <c r="AN23" s="29">
        <f>IF(B23="","",IF(C23="Not found","Check - content ID not on the calendar",IF(O23="","Add - no numbers entered yet",IF(AM23="Duplicate","Duplicate - this post is entered twice",IF(AL23="Top performer","Repurpose this one","OK")))))</f>
        <v>0</v>
      </c>
      <c r="AO23" s="39" t="s">
        <v>205</v>
      </c>
    </row>
    <row r="24" spans="1:41">
      <c r="A24" s="41">
        <f>IF(B24="","","PF-"&amp;TEXT(ROW()-4,"0000"))</f>
        <v>0</v>
      </c>
      <c r="B24" s="15" t="s">
        <v>1555</v>
      </c>
      <c r="C24" s="17">
        <f>IF(B24="","",IFERROR(INDEX('Content Calendar'!$H$5:$H$604,MATCH(B24,'Content Calendar'!$A$5:$A$604,0)),"Not found"))</f>
        <v>0</v>
      </c>
      <c r="D24" s="16">
        <f>IF(B24="","",IFERROR(INDEX('Content Calendar'!$B$5:$B$604,MATCH(B24,'Content Calendar'!$A$5:$A$604,0)),"Not found"))</f>
        <v>0</v>
      </c>
      <c r="E24" s="17">
        <f>IF(B24="","",IFERROR(INDEX('Content Calendar'!$D$5:$D$604,MATCH(B24,'Content Calendar'!$A$5:$A$604,0)),"Not found"))</f>
        <v>0</v>
      </c>
      <c r="F24" s="17">
        <f>IF(B24="","",IFERROR(INDEX('Content Calendar'!$G$5:$G$604,MATCH(B24,'Content Calendar'!$A$5:$A$604,0)),"Not found"))</f>
        <v>0</v>
      </c>
      <c r="G24" s="17">
        <f>IF(B24="","",IFERROR(INDEX('Content Calendar'!$K$5:$K$604,MATCH(B24,'Content Calendar'!$A$5:$A$604,0)),"Not found"))</f>
        <v>0</v>
      </c>
      <c r="H24" s="17">
        <f>IF(B24="","",IFERROR(INDEX('Content Calendar'!$J$5:$J$604,MATCH(B24,'Content Calendar'!$A$5:$A$604,0)),"Not found"))</f>
        <v>0</v>
      </c>
      <c r="I24" s="17">
        <f>IF(B24="","",IFERROR(INDEX('Content Calendar'!$L$5:$L$604,MATCH(B24,'Content Calendar'!$A$5:$A$604,0)),"Not found"))</f>
        <v>0</v>
      </c>
      <c r="J24" s="17">
        <f>IF(B24="","",IFERROR(INDEX('Content Calendar'!$P$5:$P$604,MATCH(B24,'Content Calendar'!$A$5:$A$604,0)),"Not found"))</f>
        <v>0</v>
      </c>
      <c r="K24" s="17">
        <f>IF(B24="","",IFERROR(INDEX('Content Calendar'!$O$5:$O$604,MATCH(B24,'Content Calendar'!$A$5:$A$604,0)),"Not found"))</f>
        <v>0</v>
      </c>
      <c r="L24" s="17">
        <f>IF(B24="","",IFERROR(INDEX('Content Calendar'!$N$5:$N$604,MATCH(B24,'Content Calendar'!$A$5:$A$604,0)),"Not found"))</f>
        <v>0</v>
      </c>
      <c r="M24" s="17">
        <f>IF(B24="","",IFERROR(INDEX('Content Calendar'!$C$5:$C$604,MATCH(B24,'Content Calendar'!$A$5:$A$604,0)),"Not found"))</f>
        <v>0</v>
      </c>
      <c r="N24" s="17">
        <f>IF(B24="","",IFERROR(INDEX('Content Calendar'!$F$5:$F$604,MATCH(B24,'Content Calendar'!$A$5:$A$604,0)),"Not found"))</f>
        <v>0</v>
      </c>
      <c r="O24" s="34">
        <v>2292</v>
      </c>
      <c r="P24" s="34">
        <v>3194</v>
      </c>
      <c r="Q24" s="34">
        <v>92</v>
      </c>
      <c r="R24" s="34">
        <v>11</v>
      </c>
      <c r="S24" s="34">
        <v>8</v>
      </c>
      <c r="T24" s="34">
        <v>17</v>
      </c>
      <c r="U24" s="34">
        <v>43</v>
      </c>
      <c r="V24" s="37">
        <v>0</v>
      </c>
      <c r="W24" s="34">
        <v>1</v>
      </c>
      <c r="X24" s="36">
        <v>40.83</v>
      </c>
      <c r="Y24" s="35">
        <v>0.045</v>
      </c>
      <c r="Z24" s="23">
        <f>IF(O24="","",N(Q24)+N(R24)+N(S24)+N(T24))</f>
        <v>0</v>
      </c>
      <c r="AA24" s="24">
        <f>IF(OR(O24="",O24=0),"",Z24/O24)</f>
        <v>0</v>
      </c>
      <c r="AB24" s="24">
        <f>IF(OR(O24="",O24=0),"",N(T24)/O24)</f>
        <v>0</v>
      </c>
      <c r="AC24" s="24">
        <f>IF(OR(O24="",O24=0),"",N(S24)/O24)</f>
        <v>0</v>
      </c>
      <c r="AD24" s="24">
        <f>IF(OR(O24="",O24=0),"",N(R24)/O24)</f>
        <v>0</v>
      </c>
      <c r="AE24" s="24">
        <f>IF(OR(O24="",O24=0),"",N(U24)/O24)</f>
        <v>0</v>
      </c>
      <c r="AF24" s="24">
        <f>IF(OR(U24="",U24=0),"",N(W24)/U24)</f>
        <v>0</v>
      </c>
      <c r="AG24" s="25">
        <f>IF(OR(O24="",O24=0),"",N(X24)/(O24/1000))</f>
        <v>0</v>
      </c>
      <c r="AH24" s="24">
        <f>IF(O24="","",IF(Y24="",TargetEngagement,Y24))</f>
        <v>0</v>
      </c>
      <c r="AI24" s="24">
        <f>IF(OR(AA24="",AH24=""),"",AA24-AH24)</f>
        <v>0</v>
      </c>
      <c r="AJ24" s="31">
        <f>IF(AA24="","",AA24+ROW()/1000000)</f>
        <v>0</v>
      </c>
      <c r="AK24" s="23">
        <f>IF(AA24="","",RANK(AJ24,Performance!$AJ$5:$AJ$404))</f>
        <v>0</v>
      </c>
      <c r="AL24" s="29">
        <f>IF(AA24="","",IF(AA24&gt;=AH24*1.5,"Top performer",IF(AA24&gt;=AH24,"Above target",IF(AA24&gt;=AH24*0.6,"Below target","Weak - review it"))))</f>
        <v>0</v>
      </c>
      <c r="AM24" s="29">
        <f>IF(B24="","",IF(COUNTIF(Performance!$B$5:$B$404,B24)&gt;1,"Duplicate","OK"))</f>
        <v>0</v>
      </c>
      <c r="AN24" s="29">
        <f>IF(B24="","",IF(C24="Not found","Check - content ID not on the calendar",IF(O24="","Add - no numbers entered yet",IF(AM24="Duplicate","Duplicate - this post is entered twice",IF(AL24="Top performer","Repurpose this one","OK")))))</f>
        <v>0</v>
      </c>
      <c r="AO24" s="39" t="s">
        <v>205</v>
      </c>
    </row>
    <row r="25" spans="1:41">
      <c r="A25" s="41">
        <f>IF(B25="","","PF-"&amp;TEXT(ROW()-4,"0000"))</f>
        <v>0</v>
      </c>
      <c r="B25" s="15" t="s">
        <v>1447</v>
      </c>
      <c r="C25" s="17">
        <f>IF(B25="","",IFERROR(INDEX('Content Calendar'!$H$5:$H$604,MATCH(B25,'Content Calendar'!$A$5:$A$604,0)),"Not found"))</f>
        <v>0</v>
      </c>
      <c r="D25" s="16">
        <f>IF(B25="","",IFERROR(INDEX('Content Calendar'!$B$5:$B$604,MATCH(B25,'Content Calendar'!$A$5:$A$604,0)),"Not found"))</f>
        <v>0</v>
      </c>
      <c r="E25" s="17">
        <f>IF(B25="","",IFERROR(INDEX('Content Calendar'!$D$5:$D$604,MATCH(B25,'Content Calendar'!$A$5:$A$604,0)),"Not found"))</f>
        <v>0</v>
      </c>
      <c r="F25" s="17">
        <f>IF(B25="","",IFERROR(INDEX('Content Calendar'!$G$5:$G$604,MATCH(B25,'Content Calendar'!$A$5:$A$604,0)),"Not found"))</f>
        <v>0</v>
      </c>
      <c r="G25" s="17">
        <f>IF(B25="","",IFERROR(INDEX('Content Calendar'!$K$5:$K$604,MATCH(B25,'Content Calendar'!$A$5:$A$604,0)),"Not found"))</f>
        <v>0</v>
      </c>
      <c r="H25" s="17">
        <f>IF(B25="","",IFERROR(INDEX('Content Calendar'!$J$5:$J$604,MATCH(B25,'Content Calendar'!$A$5:$A$604,0)),"Not found"))</f>
        <v>0</v>
      </c>
      <c r="I25" s="17">
        <f>IF(B25="","",IFERROR(INDEX('Content Calendar'!$L$5:$L$604,MATCH(B25,'Content Calendar'!$A$5:$A$604,0)),"Not found"))</f>
        <v>0</v>
      </c>
      <c r="J25" s="17">
        <f>IF(B25="","",IFERROR(INDEX('Content Calendar'!$P$5:$P$604,MATCH(B25,'Content Calendar'!$A$5:$A$604,0)),"Not found"))</f>
        <v>0</v>
      </c>
      <c r="K25" s="17">
        <f>IF(B25="","",IFERROR(INDEX('Content Calendar'!$O$5:$O$604,MATCH(B25,'Content Calendar'!$A$5:$A$604,0)),"Not found"))</f>
        <v>0</v>
      </c>
      <c r="L25" s="17">
        <f>IF(B25="","",IFERROR(INDEX('Content Calendar'!$N$5:$N$604,MATCH(B25,'Content Calendar'!$A$5:$A$604,0)),"Not found"))</f>
        <v>0</v>
      </c>
      <c r="M25" s="17">
        <f>IF(B25="","",IFERROR(INDEX('Content Calendar'!$C$5:$C$604,MATCH(B25,'Content Calendar'!$A$5:$A$604,0)),"Not found"))</f>
        <v>0</v>
      </c>
      <c r="N25" s="17">
        <f>IF(B25="","",IFERROR(INDEX('Content Calendar'!$F$5:$F$604,MATCH(B25,'Content Calendar'!$A$5:$A$604,0)),"Not found"))</f>
        <v>0</v>
      </c>
      <c r="O25" s="34">
        <v>12655</v>
      </c>
      <c r="P25" s="34">
        <v>17405</v>
      </c>
      <c r="Q25" s="34">
        <v>565</v>
      </c>
      <c r="R25" s="34">
        <v>70</v>
      </c>
      <c r="S25" s="34">
        <v>54</v>
      </c>
      <c r="T25" s="34">
        <v>96</v>
      </c>
      <c r="U25" s="34">
        <v>245</v>
      </c>
      <c r="V25" s="37">
        <v>10.2</v>
      </c>
      <c r="W25" s="34">
        <v>14</v>
      </c>
      <c r="X25" s="36">
        <v>651.14</v>
      </c>
      <c r="Y25" s="35">
        <v>0.045</v>
      </c>
      <c r="Z25" s="23">
        <f>IF(O25="","",N(Q25)+N(R25)+N(S25)+N(T25))</f>
        <v>0</v>
      </c>
      <c r="AA25" s="24">
        <f>IF(OR(O25="",O25=0),"",Z25/O25)</f>
        <v>0</v>
      </c>
      <c r="AB25" s="24">
        <f>IF(OR(O25="",O25=0),"",N(T25)/O25)</f>
        <v>0</v>
      </c>
      <c r="AC25" s="24">
        <f>IF(OR(O25="",O25=0),"",N(S25)/O25)</f>
        <v>0</v>
      </c>
      <c r="AD25" s="24">
        <f>IF(OR(O25="",O25=0),"",N(R25)/O25)</f>
        <v>0</v>
      </c>
      <c r="AE25" s="24">
        <f>IF(OR(O25="",O25=0),"",N(U25)/O25)</f>
        <v>0</v>
      </c>
      <c r="AF25" s="24">
        <f>IF(OR(U25="",U25=0),"",N(W25)/U25)</f>
        <v>0</v>
      </c>
      <c r="AG25" s="25">
        <f>IF(OR(O25="",O25=0),"",N(X25)/(O25/1000))</f>
        <v>0</v>
      </c>
      <c r="AH25" s="24">
        <f>IF(O25="","",IF(Y25="",TargetEngagement,Y25))</f>
        <v>0</v>
      </c>
      <c r="AI25" s="24">
        <f>IF(OR(AA25="",AH25=""),"",AA25-AH25)</f>
        <v>0</v>
      </c>
      <c r="AJ25" s="31">
        <f>IF(AA25="","",AA25+ROW()/1000000)</f>
        <v>0</v>
      </c>
      <c r="AK25" s="23">
        <f>IF(AA25="","",RANK(AJ25,Performance!$AJ$5:$AJ$404))</f>
        <v>0</v>
      </c>
      <c r="AL25" s="29">
        <f>IF(AA25="","",IF(AA25&gt;=AH25*1.5,"Top performer",IF(AA25&gt;=AH25,"Above target",IF(AA25&gt;=AH25*0.6,"Below target","Weak - review it"))))</f>
        <v>0</v>
      </c>
      <c r="AM25" s="29">
        <f>IF(B25="","",IF(COUNTIF(Performance!$B$5:$B$404,B25)&gt;1,"Duplicate","OK"))</f>
        <v>0</v>
      </c>
      <c r="AN25" s="29">
        <f>IF(B25="","",IF(C25="Not found","Check - content ID not on the calendar",IF(O25="","Add - no numbers entered yet",IF(AM25="Duplicate","Duplicate - this post is entered twice",IF(AL25="Top performer","Repurpose this one","OK")))))</f>
        <v>0</v>
      </c>
      <c r="AO25" s="39" t="s">
        <v>205</v>
      </c>
    </row>
    <row r="26" spans="1:41">
      <c r="A26" s="41">
        <f>IF(B26="","","PF-"&amp;TEXT(ROW()-4,"0000"))</f>
        <v>0</v>
      </c>
      <c r="B26" s="15" t="s">
        <v>1420</v>
      </c>
      <c r="C26" s="17">
        <f>IF(B26="","",IFERROR(INDEX('Content Calendar'!$H$5:$H$604,MATCH(B26,'Content Calendar'!$A$5:$A$604,0)),"Not found"))</f>
        <v>0</v>
      </c>
      <c r="D26" s="16">
        <f>IF(B26="","",IFERROR(INDEX('Content Calendar'!$B$5:$B$604,MATCH(B26,'Content Calendar'!$A$5:$A$604,0)),"Not found"))</f>
        <v>0</v>
      </c>
      <c r="E26" s="17">
        <f>IF(B26="","",IFERROR(INDEX('Content Calendar'!$D$5:$D$604,MATCH(B26,'Content Calendar'!$A$5:$A$604,0)),"Not found"))</f>
        <v>0</v>
      </c>
      <c r="F26" s="17">
        <f>IF(B26="","",IFERROR(INDEX('Content Calendar'!$G$5:$G$604,MATCH(B26,'Content Calendar'!$A$5:$A$604,0)),"Not found"))</f>
        <v>0</v>
      </c>
      <c r="G26" s="17">
        <f>IF(B26="","",IFERROR(INDEX('Content Calendar'!$K$5:$K$604,MATCH(B26,'Content Calendar'!$A$5:$A$604,0)),"Not found"))</f>
        <v>0</v>
      </c>
      <c r="H26" s="17">
        <f>IF(B26="","",IFERROR(INDEX('Content Calendar'!$J$5:$J$604,MATCH(B26,'Content Calendar'!$A$5:$A$604,0)),"Not found"))</f>
        <v>0</v>
      </c>
      <c r="I26" s="17">
        <f>IF(B26="","",IFERROR(INDEX('Content Calendar'!$L$5:$L$604,MATCH(B26,'Content Calendar'!$A$5:$A$604,0)),"Not found"))</f>
        <v>0</v>
      </c>
      <c r="J26" s="17">
        <f>IF(B26="","",IFERROR(INDEX('Content Calendar'!$P$5:$P$604,MATCH(B26,'Content Calendar'!$A$5:$A$604,0)),"Not found"))</f>
        <v>0</v>
      </c>
      <c r="K26" s="17">
        <f>IF(B26="","",IFERROR(INDEX('Content Calendar'!$O$5:$O$604,MATCH(B26,'Content Calendar'!$A$5:$A$604,0)),"Not found"))</f>
        <v>0</v>
      </c>
      <c r="L26" s="17">
        <f>IF(B26="","",IFERROR(INDEX('Content Calendar'!$N$5:$N$604,MATCH(B26,'Content Calendar'!$A$5:$A$604,0)),"Not found"))</f>
        <v>0</v>
      </c>
      <c r="M26" s="17">
        <f>IF(B26="","",IFERROR(INDEX('Content Calendar'!$C$5:$C$604,MATCH(B26,'Content Calendar'!$A$5:$A$604,0)),"Not found"))</f>
        <v>0</v>
      </c>
      <c r="N26" s="17">
        <f>IF(B26="","",IFERROR(INDEX('Content Calendar'!$F$5:$F$604,MATCH(B26,'Content Calendar'!$A$5:$A$604,0)),"Not found"))</f>
        <v>0</v>
      </c>
      <c r="O26" s="34">
        <v>7504</v>
      </c>
      <c r="P26" s="34">
        <v>9569</v>
      </c>
      <c r="Q26" s="34">
        <v>209</v>
      </c>
      <c r="R26" s="34">
        <v>26</v>
      </c>
      <c r="S26" s="34">
        <v>20</v>
      </c>
      <c r="T26" s="34">
        <v>36</v>
      </c>
      <c r="U26" s="34">
        <v>74</v>
      </c>
      <c r="V26" s="37">
        <v>29.3</v>
      </c>
      <c r="W26" s="34">
        <v>3</v>
      </c>
      <c r="X26" s="36">
        <v>128.32</v>
      </c>
      <c r="Y26" s="35">
        <v>0.045</v>
      </c>
      <c r="Z26" s="23">
        <f>IF(O26="","",N(Q26)+N(R26)+N(S26)+N(T26))</f>
        <v>0</v>
      </c>
      <c r="AA26" s="24">
        <f>IF(OR(O26="",O26=0),"",Z26/O26)</f>
        <v>0</v>
      </c>
      <c r="AB26" s="24">
        <f>IF(OR(O26="",O26=0),"",N(T26)/O26)</f>
        <v>0</v>
      </c>
      <c r="AC26" s="24">
        <f>IF(OR(O26="",O26=0),"",N(S26)/O26)</f>
        <v>0</v>
      </c>
      <c r="AD26" s="24">
        <f>IF(OR(O26="",O26=0),"",N(R26)/O26)</f>
        <v>0</v>
      </c>
      <c r="AE26" s="24">
        <f>IF(OR(O26="",O26=0),"",N(U26)/O26)</f>
        <v>0</v>
      </c>
      <c r="AF26" s="24">
        <f>IF(OR(U26="",U26=0),"",N(W26)/U26)</f>
        <v>0</v>
      </c>
      <c r="AG26" s="25">
        <f>IF(OR(O26="",O26=0),"",N(X26)/(O26/1000))</f>
        <v>0</v>
      </c>
      <c r="AH26" s="24">
        <f>IF(O26="","",IF(Y26="",TargetEngagement,Y26))</f>
        <v>0</v>
      </c>
      <c r="AI26" s="24">
        <f>IF(OR(AA26="",AH26=""),"",AA26-AH26)</f>
        <v>0</v>
      </c>
      <c r="AJ26" s="31">
        <f>IF(AA26="","",AA26+ROW()/1000000)</f>
        <v>0</v>
      </c>
      <c r="AK26" s="23">
        <f>IF(AA26="","",RANK(AJ26,Performance!$AJ$5:$AJ$404))</f>
        <v>0</v>
      </c>
      <c r="AL26" s="29">
        <f>IF(AA26="","",IF(AA26&gt;=AH26*1.5,"Top performer",IF(AA26&gt;=AH26,"Above target",IF(AA26&gt;=AH26*0.6,"Below target","Weak - review it"))))</f>
        <v>0</v>
      </c>
      <c r="AM26" s="29">
        <f>IF(B26="","",IF(COUNTIF(Performance!$B$5:$B$404,B26)&gt;1,"Duplicate","OK"))</f>
        <v>0</v>
      </c>
      <c r="AN26" s="29">
        <f>IF(B26="","",IF(C26="Not found","Check - content ID not on the calendar",IF(O26="","Add - no numbers entered yet",IF(AM26="Duplicate","Duplicate - this post is entered twice",IF(AL26="Top performer","Repurpose this one","OK")))))</f>
        <v>0</v>
      </c>
      <c r="AO26" s="39" t="s">
        <v>205</v>
      </c>
    </row>
    <row r="27" spans="1:41">
      <c r="A27" s="41">
        <f>IF(B27="","","PF-"&amp;TEXT(ROW()-4,"0000"))</f>
        <v>0</v>
      </c>
      <c r="B27" s="15" t="s">
        <v>1485</v>
      </c>
      <c r="C27" s="17">
        <f>IF(B27="","",IFERROR(INDEX('Content Calendar'!$H$5:$H$604,MATCH(B27,'Content Calendar'!$A$5:$A$604,0)),"Not found"))</f>
        <v>0</v>
      </c>
      <c r="D27" s="16">
        <f>IF(B27="","",IFERROR(INDEX('Content Calendar'!$B$5:$B$604,MATCH(B27,'Content Calendar'!$A$5:$A$604,0)),"Not found"))</f>
        <v>0</v>
      </c>
      <c r="E27" s="17">
        <f>IF(B27="","",IFERROR(INDEX('Content Calendar'!$D$5:$D$604,MATCH(B27,'Content Calendar'!$A$5:$A$604,0)),"Not found"))</f>
        <v>0</v>
      </c>
      <c r="F27" s="17">
        <f>IF(B27="","",IFERROR(INDEX('Content Calendar'!$G$5:$G$604,MATCH(B27,'Content Calendar'!$A$5:$A$604,0)),"Not found"))</f>
        <v>0</v>
      </c>
      <c r="G27" s="17">
        <f>IF(B27="","",IFERROR(INDEX('Content Calendar'!$K$5:$K$604,MATCH(B27,'Content Calendar'!$A$5:$A$604,0)),"Not found"))</f>
        <v>0</v>
      </c>
      <c r="H27" s="17">
        <f>IF(B27="","",IFERROR(INDEX('Content Calendar'!$J$5:$J$604,MATCH(B27,'Content Calendar'!$A$5:$A$604,0)),"Not found"))</f>
        <v>0</v>
      </c>
      <c r="I27" s="17">
        <f>IF(B27="","",IFERROR(INDEX('Content Calendar'!$L$5:$L$604,MATCH(B27,'Content Calendar'!$A$5:$A$604,0)),"Not found"))</f>
        <v>0</v>
      </c>
      <c r="J27" s="17">
        <f>IF(B27="","",IFERROR(INDEX('Content Calendar'!$P$5:$P$604,MATCH(B27,'Content Calendar'!$A$5:$A$604,0)),"Not found"))</f>
        <v>0</v>
      </c>
      <c r="K27" s="17">
        <f>IF(B27="","",IFERROR(INDEX('Content Calendar'!$O$5:$O$604,MATCH(B27,'Content Calendar'!$A$5:$A$604,0)),"Not found"))</f>
        <v>0</v>
      </c>
      <c r="L27" s="17">
        <f>IF(B27="","",IFERROR(INDEX('Content Calendar'!$N$5:$N$604,MATCH(B27,'Content Calendar'!$A$5:$A$604,0)),"Not found"))</f>
        <v>0</v>
      </c>
      <c r="M27" s="17">
        <f>IF(B27="","",IFERROR(INDEX('Content Calendar'!$C$5:$C$604,MATCH(B27,'Content Calendar'!$A$5:$A$604,0)),"Not found"))</f>
        <v>0</v>
      </c>
      <c r="N27" s="17">
        <f>IF(B27="","",IFERROR(INDEX('Content Calendar'!$F$5:$F$604,MATCH(B27,'Content Calendar'!$A$5:$A$604,0)),"Not found"))</f>
        <v>0</v>
      </c>
      <c r="O27" s="34">
        <v>3753</v>
      </c>
      <c r="P27" s="34">
        <v>4875</v>
      </c>
      <c r="Q27" s="34">
        <v>216</v>
      </c>
      <c r="R27" s="34">
        <v>27</v>
      </c>
      <c r="S27" s="34">
        <v>21</v>
      </c>
      <c r="T27" s="34">
        <v>37</v>
      </c>
      <c r="U27" s="34">
        <v>46</v>
      </c>
      <c r="V27" s="37">
        <v>0</v>
      </c>
      <c r="W27" s="34">
        <v>3</v>
      </c>
      <c r="X27" s="36">
        <v>163</v>
      </c>
      <c r="Y27" s="35">
        <v>0.045</v>
      </c>
      <c r="Z27" s="23">
        <f>IF(O27="","",N(Q27)+N(R27)+N(S27)+N(T27))</f>
        <v>0</v>
      </c>
      <c r="AA27" s="24">
        <f>IF(OR(O27="",O27=0),"",Z27/O27)</f>
        <v>0</v>
      </c>
      <c r="AB27" s="24">
        <f>IF(OR(O27="",O27=0),"",N(T27)/O27)</f>
        <v>0</v>
      </c>
      <c r="AC27" s="24">
        <f>IF(OR(O27="",O27=0),"",N(S27)/O27)</f>
        <v>0</v>
      </c>
      <c r="AD27" s="24">
        <f>IF(OR(O27="",O27=0),"",N(R27)/O27)</f>
        <v>0</v>
      </c>
      <c r="AE27" s="24">
        <f>IF(OR(O27="",O27=0),"",N(U27)/O27)</f>
        <v>0</v>
      </c>
      <c r="AF27" s="24">
        <f>IF(OR(U27="",U27=0),"",N(W27)/U27)</f>
        <v>0</v>
      </c>
      <c r="AG27" s="25">
        <f>IF(OR(O27="",O27=0),"",N(X27)/(O27/1000))</f>
        <v>0</v>
      </c>
      <c r="AH27" s="24">
        <f>IF(O27="","",IF(Y27="",TargetEngagement,Y27))</f>
        <v>0</v>
      </c>
      <c r="AI27" s="24">
        <f>IF(OR(AA27="",AH27=""),"",AA27-AH27)</f>
        <v>0</v>
      </c>
      <c r="AJ27" s="31">
        <f>IF(AA27="","",AA27+ROW()/1000000)</f>
        <v>0</v>
      </c>
      <c r="AK27" s="23">
        <f>IF(AA27="","",RANK(AJ27,Performance!$AJ$5:$AJ$404))</f>
        <v>0</v>
      </c>
      <c r="AL27" s="29">
        <f>IF(AA27="","",IF(AA27&gt;=AH27*1.5,"Top performer",IF(AA27&gt;=AH27,"Above target",IF(AA27&gt;=AH27*0.6,"Below target","Weak - review it"))))</f>
        <v>0</v>
      </c>
      <c r="AM27" s="29">
        <f>IF(B27="","",IF(COUNTIF(Performance!$B$5:$B$404,B27)&gt;1,"Duplicate","OK"))</f>
        <v>0</v>
      </c>
      <c r="AN27" s="29">
        <f>IF(B27="","",IF(C27="Not found","Check - content ID not on the calendar",IF(O27="","Add - no numbers entered yet",IF(AM27="Duplicate","Duplicate - this post is entered twice",IF(AL27="Top performer","Repurpose this one","OK")))))</f>
        <v>0</v>
      </c>
      <c r="AO27" s="39" t="s">
        <v>205</v>
      </c>
    </row>
    <row r="28" spans="1:41">
      <c r="A28" s="41">
        <f>IF(B28="","","PF-"&amp;TEXT(ROW()-4,"0000"))</f>
        <v>0</v>
      </c>
      <c r="B28" s="15" t="s">
        <v>1904</v>
      </c>
      <c r="C28" s="17">
        <f>IF(B28="","",IFERROR(INDEX('Content Calendar'!$H$5:$H$604,MATCH(B28,'Content Calendar'!$A$5:$A$604,0)),"Not found"))</f>
        <v>0</v>
      </c>
      <c r="D28" s="16">
        <f>IF(B28="","",IFERROR(INDEX('Content Calendar'!$B$5:$B$604,MATCH(B28,'Content Calendar'!$A$5:$A$604,0)),"Not found"))</f>
        <v>0</v>
      </c>
      <c r="E28" s="17">
        <f>IF(B28="","",IFERROR(INDEX('Content Calendar'!$D$5:$D$604,MATCH(B28,'Content Calendar'!$A$5:$A$604,0)),"Not found"))</f>
        <v>0</v>
      </c>
      <c r="F28" s="17">
        <f>IF(B28="","",IFERROR(INDEX('Content Calendar'!$G$5:$G$604,MATCH(B28,'Content Calendar'!$A$5:$A$604,0)),"Not found"))</f>
        <v>0</v>
      </c>
      <c r="G28" s="17">
        <f>IF(B28="","",IFERROR(INDEX('Content Calendar'!$K$5:$K$604,MATCH(B28,'Content Calendar'!$A$5:$A$604,0)),"Not found"))</f>
        <v>0</v>
      </c>
      <c r="H28" s="17">
        <f>IF(B28="","",IFERROR(INDEX('Content Calendar'!$J$5:$J$604,MATCH(B28,'Content Calendar'!$A$5:$A$604,0)),"Not found"))</f>
        <v>0</v>
      </c>
      <c r="I28" s="17">
        <f>IF(B28="","",IFERROR(INDEX('Content Calendar'!$L$5:$L$604,MATCH(B28,'Content Calendar'!$A$5:$A$604,0)),"Not found"))</f>
        <v>0</v>
      </c>
      <c r="J28" s="17">
        <f>IF(B28="","",IFERROR(INDEX('Content Calendar'!$P$5:$P$604,MATCH(B28,'Content Calendar'!$A$5:$A$604,0)),"Not found"))</f>
        <v>0</v>
      </c>
      <c r="K28" s="17">
        <f>IF(B28="","",IFERROR(INDEX('Content Calendar'!$O$5:$O$604,MATCH(B28,'Content Calendar'!$A$5:$A$604,0)),"Not found"))</f>
        <v>0</v>
      </c>
      <c r="L28" s="17">
        <f>IF(B28="","",IFERROR(INDEX('Content Calendar'!$N$5:$N$604,MATCH(B28,'Content Calendar'!$A$5:$A$604,0)),"Not found"))</f>
        <v>0</v>
      </c>
      <c r="M28" s="17">
        <f>IF(B28="","",IFERROR(INDEX('Content Calendar'!$C$5:$C$604,MATCH(B28,'Content Calendar'!$A$5:$A$604,0)),"Not found"))</f>
        <v>0</v>
      </c>
      <c r="N28" s="17">
        <f>IF(B28="","",IFERROR(INDEX('Content Calendar'!$F$5:$F$604,MATCH(B28,'Content Calendar'!$A$5:$A$604,0)),"Not found"))</f>
        <v>0</v>
      </c>
      <c r="O28" s="34">
        <v>7720</v>
      </c>
      <c r="P28" s="34">
        <v>10258</v>
      </c>
      <c r="Q28" s="34">
        <v>229</v>
      </c>
      <c r="R28" s="34">
        <v>28</v>
      </c>
      <c r="S28" s="34">
        <v>22</v>
      </c>
      <c r="T28" s="34">
        <v>40</v>
      </c>
      <c r="U28" s="34">
        <v>113</v>
      </c>
      <c r="V28" s="37">
        <v>25.1</v>
      </c>
      <c r="W28" s="34">
        <v>5</v>
      </c>
      <c r="X28" s="36">
        <v>215.78</v>
      </c>
      <c r="Y28" s="35">
        <v>0.045</v>
      </c>
      <c r="Z28" s="23">
        <f>IF(O28="","",N(Q28)+N(R28)+N(S28)+N(T28))</f>
        <v>0</v>
      </c>
      <c r="AA28" s="24">
        <f>IF(OR(O28="",O28=0),"",Z28/O28)</f>
        <v>0</v>
      </c>
      <c r="AB28" s="24">
        <f>IF(OR(O28="",O28=0),"",N(T28)/O28)</f>
        <v>0</v>
      </c>
      <c r="AC28" s="24">
        <f>IF(OR(O28="",O28=0),"",N(S28)/O28)</f>
        <v>0</v>
      </c>
      <c r="AD28" s="24">
        <f>IF(OR(O28="",O28=0),"",N(R28)/O28)</f>
        <v>0</v>
      </c>
      <c r="AE28" s="24">
        <f>IF(OR(O28="",O28=0),"",N(U28)/O28)</f>
        <v>0</v>
      </c>
      <c r="AF28" s="24">
        <f>IF(OR(U28="",U28=0),"",N(W28)/U28)</f>
        <v>0</v>
      </c>
      <c r="AG28" s="25">
        <f>IF(OR(O28="",O28=0),"",N(X28)/(O28/1000))</f>
        <v>0</v>
      </c>
      <c r="AH28" s="24">
        <f>IF(O28="","",IF(Y28="",TargetEngagement,Y28))</f>
        <v>0</v>
      </c>
      <c r="AI28" s="24">
        <f>IF(OR(AA28="",AH28=""),"",AA28-AH28)</f>
        <v>0</v>
      </c>
      <c r="AJ28" s="31">
        <f>IF(AA28="","",AA28+ROW()/1000000)</f>
        <v>0</v>
      </c>
      <c r="AK28" s="23">
        <f>IF(AA28="","",RANK(AJ28,Performance!$AJ$5:$AJ$404))</f>
        <v>0</v>
      </c>
      <c r="AL28" s="29">
        <f>IF(AA28="","",IF(AA28&gt;=AH28*1.5,"Top performer",IF(AA28&gt;=AH28,"Above target",IF(AA28&gt;=AH28*0.6,"Below target","Weak - review it"))))</f>
        <v>0</v>
      </c>
      <c r="AM28" s="29">
        <f>IF(B28="","",IF(COUNTIF(Performance!$B$5:$B$404,B28)&gt;1,"Duplicate","OK"))</f>
        <v>0</v>
      </c>
      <c r="AN28" s="29">
        <f>IF(B28="","",IF(C28="Not found","Check - content ID not on the calendar",IF(O28="","Add - no numbers entered yet",IF(AM28="Duplicate","Duplicate - this post is entered twice",IF(AL28="Top performer","Repurpose this one","OK")))))</f>
        <v>0</v>
      </c>
      <c r="AO28" s="39" t="s">
        <v>205</v>
      </c>
    </row>
    <row r="29" spans="1:41">
      <c r="A29" s="41">
        <f>IF(B29="","","PF-"&amp;TEXT(ROW()-4,"0000"))</f>
        <v>0</v>
      </c>
      <c r="B29" s="15" t="s">
        <v>1533</v>
      </c>
      <c r="C29" s="17">
        <f>IF(B29="","",IFERROR(INDEX('Content Calendar'!$H$5:$H$604,MATCH(B29,'Content Calendar'!$A$5:$A$604,0)),"Not found"))</f>
        <v>0</v>
      </c>
      <c r="D29" s="16">
        <f>IF(B29="","",IFERROR(INDEX('Content Calendar'!$B$5:$B$604,MATCH(B29,'Content Calendar'!$A$5:$A$604,0)),"Not found"))</f>
        <v>0</v>
      </c>
      <c r="E29" s="17">
        <f>IF(B29="","",IFERROR(INDEX('Content Calendar'!$D$5:$D$604,MATCH(B29,'Content Calendar'!$A$5:$A$604,0)),"Not found"))</f>
        <v>0</v>
      </c>
      <c r="F29" s="17">
        <f>IF(B29="","",IFERROR(INDEX('Content Calendar'!$G$5:$G$604,MATCH(B29,'Content Calendar'!$A$5:$A$604,0)),"Not found"))</f>
        <v>0</v>
      </c>
      <c r="G29" s="17">
        <f>IF(B29="","",IFERROR(INDEX('Content Calendar'!$K$5:$K$604,MATCH(B29,'Content Calendar'!$A$5:$A$604,0)),"Not found"))</f>
        <v>0</v>
      </c>
      <c r="H29" s="17">
        <f>IF(B29="","",IFERROR(INDEX('Content Calendar'!$J$5:$J$604,MATCH(B29,'Content Calendar'!$A$5:$A$604,0)),"Not found"))</f>
        <v>0</v>
      </c>
      <c r="I29" s="17">
        <f>IF(B29="","",IFERROR(INDEX('Content Calendar'!$L$5:$L$604,MATCH(B29,'Content Calendar'!$A$5:$A$604,0)),"Not found"))</f>
        <v>0</v>
      </c>
      <c r="J29" s="17">
        <f>IF(B29="","",IFERROR(INDEX('Content Calendar'!$P$5:$P$604,MATCH(B29,'Content Calendar'!$A$5:$A$604,0)),"Not found"))</f>
        <v>0</v>
      </c>
      <c r="K29" s="17">
        <f>IF(B29="","",IFERROR(INDEX('Content Calendar'!$O$5:$O$604,MATCH(B29,'Content Calendar'!$A$5:$A$604,0)),"Not found"))</f>
        <v>0</v>
      </c>
      <c r="L29" s="17">
        <f>IF(B29="","",IFERROR(INDEX('Content Calendar'!$N$5:$N$604,MATCH(B29,'Content Calendar'!$A$5:$A$604,0)),"Not found"))</f>
        <v>0</v>
      </c>
      <c r="M29" s="17">
        <f>IF(B29="","",IFERROR(INDEX('Content Calendar'!$C$5:$C$604,MATCH(B29,'Content Calendar'!$A$5:$A$604,0)),"Not found"))</f>
        <v>0</v>
      </c>
      <c r="N29" s="17">
        <f>IF(B29="","",IFERROR(INDEX('Content Calendar'!$F$5:$F$604,MATCH(B29,'Content Calendar'!$A$5:$A$604,0)),"Not found"))</f>
        <v>0</v>
      </c>
      <c r="O29" s="34">
        <v>2128</v>
      </c>
      <c r="P29" s="34">
        <v>3050</v>
      </c>
      <c r="Q29" s="34">
        <v>66</v>
      </c>
      <c r="R29" s="34">
        <v>8</v>
      </c>
      <c r="S29" s="34">
        <v>6</v>
      </c>
      <c r="T29" s="34">
        <v>13</v>
      </c>
      <c r="U29" s="34">
        <v>46</v>
      </c>
      <c r="V29" s="37">
        <v>13</v>
      </c>
      <c r="W29" s="34">
        <v>2</v>
      </c>
      <c r="X29" s="36">
        <v>130.83</v>
      </c>
      <c r="Y29" s="35">
        <v>0.045</v>
      </c>
      <c r="Z29" s="23">
        <f>IF(O29="","",N(Q29)+N(R29)+N(S29)+N(T29))</f>
        <v>0</v>
      </c>
      <c r="AA29" s="24">
        <f>IF(OR(O29="",O29=0),"",Z29/O29)</f>
        <v>0</v>
      </c>
      <c r="AB29" s="24">
        <f>IF(OR(O29="",O29=0),"",N(T29)/O29)</f>
        <v>0</v>
      </c>
      <c r="AC29" s="24">
        <f>IF(OR(O29="",O29=0),"",N(S29)/O29)</f>
        <v>0</v>
      </c>
      <c r="AD29" s="24">
        <f>IF(OR(O29="",O29=0),"",N(R29)/O29)</f>
        <v>0</v>
      </c>
      <c r="AE29" s="24">
        <f>IF(OR(O29="",O29=0),"",N(U29)/O29)</f>
        <v>0</v>
      </c>
      <c r="AF29" s="24">
        <f>IF(OR(U29="",U29=0),"",N(W29)/U29)</f>
        <v>0</v>
      </c>
      <c r="AG29" s="25">
        <f>IF(OR(O29="",O29=0),"",N(X29)/(O29/1000))</f>
        <v>0</v>
      </c>
      <c r="AH29" s="24">
        <f>IF(O29="","",IF(Y29="",TargetEngagement,Y29))</f>
        <v>0</v>
      </c>
      <c r="AI29" s="24">
        <f>IF(OR(AA29="",AH29=""),"",AA29-AH29)</f>
        <v>0</v>
      </c>
      <c r="AJ29" s="31">
        <f>IF(AA29="","",AA29+ROW()/1000000)</f>
        <v>0</v>
      </c>
      <c r="AK29" s="23">
        <f>IF(AA29="","",RANK(AJ29,Performance!$AJ$5:$AJ$404))</f>
        <v>0</v>
      </c>
      <c r="AL29" s="29">
        <f>IF(AA29="","",IF(AA29&gt;=AH29*1.5,"Top performer",IF(AA29&gt;=AH29,"Above target",IF(AA29&gt;=AH29*0.6,"Below target","Weak - review it"))))</f>
        <v>0</v>
      </c>
      <c r="AM29" s="29">
        <f>IF(B29="","",IF(COUNTIF(Performance!$B$5:$B$404,B29)&gt;1,"Duplicate","OK"))</f>
        <v>0</v>
      </c>
      <c r="AN29" s="29">
        <f>IF(B29="","",IF(C29="Not found","Check - content ID not on the calendar",IF(O29="","Add - no numbers entered yet",IF(AM29="Duplicate","Duplicate - this post is entered twice",IF(AL29="Top performer","Repurpose this one","OK")))))</f>
        <v>0</v>
      </c>
      <c r="AO29" s="39" t="s">
        <v>205</v>
      </c>
    </row>
    <row r="30" spans="1:41">
      <c r="A30" s="41">
        <f>IF(B30="","","PF-"&amp;TEXT(ROW()-4,"0000"))</f>
        <v>0</v>
      </c>
      <c r="B30" s="15" t="s">
        <v>1905</v>
      </c>
      <c r="C30" s="17">
        <f>IF(B30="","",IFERROR(INDEX('Content Calendar'!$H$5:$H$604,MATCH(B30,'Content Calendar'!$A$5:$A$604,0)),"Not found"))</f>
        <v>0</v>
      </c>
      <c r="D30" s="16">
        <f>IF(B30="","",IFERROR(INDEX('Content Calendar'!$B$5:$B$604,MATCH(B30,'Content Calendar'!$A$5:$A$604,0)),"Not found"))</f>
        <v>0</v>
      </c>
      <c r="E30" s="17">
        <f>IF(B30="","",IFERROR(INDEX('Content Calendar'!$D$5:$D$604,MATCH(B30,'Content Calendar'!$A$5:$A$604,0)),"Not found"))</f>
        <v>0</v>
      </c>
      <c r="F30" s="17">
        <f>IF(B30="","",IFERROR(INDEX('Content Calendar'!$G$5:$G$604,MATCH(B30,'Content Calendar'!$A$5:$A$604,0)),"Not found"))</f>
        <v>0</v>
      </c>
      <c r="G30" s="17">
        <f>IF(B30="","",IFERROR(INDEX('Content Calendar'!$K$5:$K$604,MATCH(B30,'Content Calendar'!$A$5:$A$604,0)),"Not found"))</f>
        <v>0</v>
      </c>
      <c r="H30" s="17">
        <f>IF(B30="","",IFERROR(INDEX('Content Calendar'!$J$5:$J$604,MATCH(B30,'Content Calendar'!$A$5:$A$604,0)),"Not found"))</f>
        <v>0</v>
      </c>
      <c r="I30" s="17">
        <f>IF(B30="","",IFERROR(INDEX('Content Calendar'!$L$5:$L$604,MATCH(B30,'Content Calendar'!$A$5:$A$604,0)),"Not found"))</f>
        <v>0</v>
      </c>
      <c r="J30" s="17">
        <f>IF(B30="","",IFERROR(INDEX('Content Calendar'!$P$5:$P$604,MATCH(B30,'Content Calendar'!$A$5:$A$604,0)),"Not found"))</f>
        <v>0</v>
      </c>
      <c r="K30" s="17">
        <f>IF(B30="","",IFERROR(INDEX('Content Calendar'!$O$5:$O$604,MATCH(B30,'Content Calendar'!$A$5:$A$604,0)),"Not found"))</f>
        <v>0</v>
      </c>
      <c r="L30" s="17">
        <f>IF(B30="","",IFERROR(INDEX('Content Calendar'!$N$5:$N$604,MATCH(B30,'Content Calendar'!$A$5:$A$604,0)),"Not found"))</f>
        <v>0</v>
      </c>
      <c r="M30" s="17">
        <f>IF(B30="","",IFERROR(INDEX('Content Calendar'!$C$5:$C$604,MATCH(B30,'Content Calendar'!$A$5:$A$604,0)),"Not found"))</f>
        <v>0</v>
      </c>
      <c r="N30" s="17">
        <f>IF(B30="","",IFERROR(INDEX('Content Calendar'!$F$5:$F$604,MATCH(B30,'Content Calendar'!$A$5:$A$604,0)),"Not found"))</f>
        <v>0</v>
      </c>
      <c r="O30" s="34">
        <v>4865</v>
      </c>
      <c r="P30" s="34">
        <v>6064</v>
      </c>
      <c r="Q30" s="34">
        <v>284</v>
      </c>
      <c r="R30" s="34">
        <v>35</v>
      </c>
      <c r="S30" s="34">
        <v>27</v>
      </c>
      <c r="T30" s="34">
        <v>49</v>
      </c>
      <c r="U30" s="34">
        <v>23</v>
      </c>
      <c r="V30" s="37">
        <v>26.5</v>
      </c>
      <c r="W30" s="34">
        <v>2</v>
      </c>
      <c r="X30" s="36">
        <v>129.28</v>
      </c>
      <c r="Y30" s="35">
        <v>0.045</v>
      </c>
      <c r="Z30" s="23">
        <f>IF(O30="","",N(Q30)+N(R30)+N(S30)+N(T30))</f>
        <v>0</v>
      </c>
      <c r="AA30" s="24">
        <f>IF(OR(O30="",O30=0),"",Z30/O30)</f>
        <v>0</v>
      </c>
      <c r="AB30" s="24">
        <f>IF(OR(O30="",O30=0),"",N(T30)/O30)</f>
        <v>0</v>
      </c>
      <c r="AC30" s="24">
        <f>IF(OR(O30="",O30=0),"",N(S30)/O30)</f>
        <v>0</v>
      </c>
      <c r="AD30" s="24">
        <f>IF(OR(O30="",O30=0),"",N(R30)/O30)</f>
        <v>0</v>
      </c>
      <c r="AE30" s="24">
        <f>IF(OR(O30="",O30=0),"",N(U30)/O30)</f>
        <v>0</v>
      </c>
      <c r="AF30" s="24">
        <f>IF(OR(U30="",U30=0),"",N(W30)/U30)</f>
        <v>0</v>
      </c>
      <c r="AG30" s="25">
        <f>IF(OR(O30="",O30=0),"",N(X30)/(O30/1000))</f>
        <v>0</v>
      </c>
      <c r="AH30" s="24">
        <f>IF(O30="","",IF(Y30="",TargetEngagement,Y30))</f>
        <v>0</v>
      </c>
      <c r="AI30" s="24">
        <f>IF(OR(AA30="",AH30=""),"",AA30-AH30)</f>
        <v>0</v>
      </c>
      <c r="AJ30" s="31">
        <f>IF(AA30="","",AA30+ROW()/1000000)</f>
        <v>0</v>
      </c>
      <c r="AK30" s="23">
        <f>IF(AA30="","",RANK(AJ30,Performance!$AJ$5:$AJ$404))</f>
        <v>0</v>
      </c>
      <c r="AL30" s="29">
        <f>IF(AA30="","",IF(AA30&gt;=AH30*1.5,"Top performer",IF(AA30&gt;=AH30,"Above target",IF(AA30&gt;=AH30*0.6,"Below target","Weak - review it"))))</f>
        <v>0</v>
      </c>
      <c r="AM30" s="29">
        <f>IF(B30="","",IF(COUNTIF(Performance!$B$5:$B$404,B30)&gt;1,"Duplicate","OK"))</f>
        <v>0</v>
      </c>
      <c r="AN30" s="29">
        <f>IF(B30="","",IF(C30="Not found","Check - content ID not on the calendar",IF(O30="","Add - no numbers entered yet",IF(AM30="Duplicate","Duplicate - this post is entered twice",IF(AL30="Top performer","Repurpose this one","OK")))))</f>
        <v>0</v>
      </c>
      <c r="AO30" s="39" t="s">
        <v>205</v>
      </c>
    </row>
    <row r="31" spans="1:41">
      <c r="A31" s="41">
        <f>IF(B31="","","PF-"&amp;TEXT(ROW()-4,"0000"))</f>
        <v>0</v>
      </c>
      <c r="B31" s="15" t="s">
        <v>1449</v>
      </c>
      <c r="C31" s="17">
        <f>IF(B31="","",IFERROR(INDEX('Content Calendar'!$H$5:$H$604,MATCH(B31,'Content Calendar'!$A$5:$A$604,0)),"Not found"))</f>
        <v>0</v>
      </c>
      <c r="D31" s="16">
        <f>IF(B31="","",IFERROR(INDEX('Content Calendar'!$B$5:$B$604,MATCH(B31,'Content Calendar'!$A$5:$A$604,0)),"Not found"))</f>
        <v>0</v>
      </c>
      <c r="E31" s="17">
        <f>IF(B31="","",IFERROR(INDEX('Content Calendar'!$D$5:$D$604,MATCH(B31,'Content Calendar'!$A$5:$A$604,0)),"Not found"))</f>
        <v>0</v>
      </c>
      <c r="F31" s="17">
        <f>IF(B31="","",IFERROR(INDEX('Content Calendar'!$G$5:$G$604,MATCH(B31,'Content Calendar'!$A$5:$A$604,0)),"Not found"))</f>
        <v>0</v>
      </c>
      <c r="G31" s="17">
        <f>IF(B31="","",IFERROR(INDEX('Content Calendar'!$K$5:$K$604,MATCH(B31,'Content Calendar'!$A$5:$A$604,0)),"Not found"))</f>
        <v>0</v>
      </c>
      <c r="H31" s="17">
        <f>IF(B31="","",IFERROR(INDEX('Content Calendar'!$J$5:$J$604,MATCH(B31,'Content Calendar'!$A$5:$A$604,0)),"Not found"))</f>
        <v>0</v>
      </c>
      <c r="I31" s="17">
        <f>IF(B31="","",IFERROR(INDEX('Content Calendar'!$L$5:$L$604,MATCH(B31,'Content Calendar'!$A$5:$A$604,0)),"Not found"))</f>
        <v>0</v>
      </c>
      <c r="J31" s="17">
        <f>IF(B31="","",IFERROR(INDEX('Content Calendar'!$P$5:$P$604,MATCH(B31,'Content Calendar'!$A$5:$A$604,0)),"Not found"))</f>
        <v>0</v>
      </c>
      <c r="K31" s="17">
        <f>IF(B31="","",IFERROR(INDEX('Content Calendar'!$O$5:$O$604,MATCH(B31,'Content Calendar'!$A$5:$A$604,0)),"Not found"))</f>
        <v>0</v>
      </c>
      <c r="L31" s="17">
        <f>IF(B31="","",IFERROR(INDEX('Content Calendar'!$N$5:$N$604,MATCH(B31,'Content Calendar'!$A$5:$A$604,0)),"Not found"))</f>
        <v>0</v>
      </c>
      <c r="M31" s="17">
        <f>IF(B31="","",IFERROR(INDEX('Content Calendar'!$C$5:$C$604,MATCH(B31,'Content Calendar'!$A$5:$A$604,0)),"Not found"))</f>
        <v>0</v>
      </c>
      <c r="N31" s="17">
        <f>IF(B31="","",IFERROR(INDEX('Content Calendar'!$F$5:$F$604,MATCH(B31,'Content Calendar'!$A$5:$A$604,0)),"Not found"))</f>
        <v>0</v>
      </c>
      <c r="O31" s="34">
        <v>7332</v>
      </c>
      <c r="P31" s="34">
        <v>10438</v>
      </c>
      <c r="Q31" s="34">
        <v>162</v>
      </c>
      <c r="R31" s="34">
        <v>20</v>
      </c>
      <c r="S31" s="34">
        <v>15</v>
      </c>
      <c r="T31" s="34">
        <v>29</v>
      </c>
      <c r="U31" s="34">
        <v>151</v>
      </c>
      <c r="V31" s="37">
        <v>26.8</v>
      </c>
      <c r="W31" s="34">
        <v>8</v>
      </c>
      <c r="X31" s="36">
        <v>401.14</v>
      </c>
      <c r="Y31" s="35">
        <v>0.045</v>
      </c>
      <c r="Z31" s="23">
        <f>IF(O31="","",N(Q31)+N(R31)+N(S31)+N(T31))</f>
        <v>0</v>
      </c>
      <c r="AA31" s="24">
        <f>IF(OR(O31="",O31=0),"",Z31/O31)</f>
        <v>0</v>
      </c>
      <c r="AB31" s="24">
        <f>IF(OR(O31="",O31=0),"",N(T31)/O31)</f>
        <v>0</v>
      </c>
      <c r="AC31" s="24">
        <f>IF(OR(O31="",O31=0),"",N(S31)/O31)</f>
        <v>0</v>
      </c>
      <c r="AD31" s="24">
        <f>IF(OR(O31="",O31=0),"",N(R31)/O31)</f>
        <v>0</v>
      </c>
      <c r="AE31" s="24">
        <f>IF(OR(O31="",O31=0),"",N(U31)/O31)</f>
        <v>0</v>
      </c>
      <c r="AF31" s="24">
        <f>IF(OR(U31="",U31=0),"",N(W31)/U31)</f>
        <v>0</v>
      </c>
      <c r="AG31" s="25">
        <f>IF(OR(O31="",O31=0),"",N(X31)/(O31/1000))</f>
        <v>0</v>
      </c>
      <c r="AH31" s="24">
        <f>IF(O31="","",IF(Y31="",TargetEngagement,Y31))</f>
        <v>0</v>
      </c>
      <c r="AI31" s="24">
        <f>IF(OR(AA31="",AH31=""),"",AA31-AH31)</f>
        <v>0</v>
      </c>
      <c r="AJ31" s="31">
        <f>IF(AA31="","",AA31+ROW()/1000000)</f>
        <v>0</v>
      </c>
      <c r="AK31" s="23">
        <f>IF(AA31="","",RANK(AJ31,Performance!$AJ$5:$AJ$404))</f>
        <v>0</v>
      </c>
      <c r="AL31" s="29">
        <f>IF(AA31="","",IF(AA31&gt;=AH31*1.5,"Top performer",IF(AA31&gt;=AH31,"Above target",IF(AA31&gt;=AH31*0.6,"Below target","Weak - review it"))))</f>
        <v>0</v>
      </c>
      <c r="AM31" s="29">
        <f>IF(B31="","",IF(COUNTIF(Performance!$B$5:$B$404,B31)&gt;1,"Duplicate","OK"))</f>
        <v>0</v>
      </c>
      <c r="AN31" s="29">
        <f>IF(B31="","",IF(C31="Not found","Check - content ID not on the calendar",IF(O31="","Add - no numbers entered yet",IF(AM31="Duplicate","Duplicate - this post is entered twice",IF(AL31="Top performer","Repurpose this one","OK")))))</f>
        <v>0</v>
      </c>
      <c r="AO31" s="39" t="s">
        <v>205</v>
      </c>
    </row>
    <row r="32" spans="1:41">
      <c r="A32" s="41">
        <f>IF(B32="","","PF-"&amp;TEXT(ROW()-4,"0000"))</f>
        <v>0</v>
      </c>
      <c r="B32" s="15" t="s">
        <v>1556</v>
      </c>
      <c r="C32" s="17">
        <f>IF(B32="","",IFERROR(INDEX('Content Calendar'!$H$5:$H$604,MATCH(B32,'Content Calendar'!$A$5:$A$604,0)),"Not found"))</f>
        <v>0</v>
      </c>
      <c r="D32" s="16">
        <f>IF(B32="","",IFERROR(INDEX('Content Calendar'!$B$5:$B$604,MATCH(B32,'Content Calendar'!$A$5:$A$604,0)),"Not found"))</f>
        <v>0</v>
      </c>
      <c r="E32" s="17">
        <f>IF(B32="","",IFERROR(INDEX('Content Calendar'!$D$5:$D$604,MATCH(B32,'Content Calendar'!$A$5:$A$604,0)),"Not found"))</f>
        <v>0</v>
      </c>
      <c r="F32" s="17">
        <f>IF(B32="","",IFERROR(INDEX('Content Calendar'!$G$5:$G$604,MATCH(B32,'Content Calendar'!$A$5:$A$604,0)),"Not found"))</f>
        <v>0</v>
      </c>
      <c r="G32" s="17">
        <f>IF(B32="","",IFERROR(INDEX('Content Calendar'!$K$5:$K$604,MATCH(B32,'Content Calendar'!$A$5:$A$604,0)),"Not found"))</f>
        <v>0</v>
      </c>
      <c r="H32" s="17">
        <f>IF(B32="","",IFERROR(INDEX('Content Calendar'!$J$5:$J$604,MATCH(B32,'Content Calendar'!$A$5:$A$604,0)),"Not found"))</f>
        <v>0</v>
      </c>
      <c r="I32" s="17">
        <f>IF(B32="","",IFERROR(INDEX('Content Calendar'!$L$5:$L$604,MATCH(B32,'Content Calendar'!$A$5:$A$604,0)),"Not found"))</f>
        <v>0</v>
      </c>
      <c r="J32" s="17">
        <f>IF(B32="","",IFERROR(INDEX('Content Calendar'!$P$5:$P$604,MATCH(B32,'Content Calendar'!$A$5:$A$604,0)),"Not found"))</f>
        <v>0</v>
      </c>
      <c r="K32" s="17">
        <f>IF(B32="","",IFERROR(INDEX('Content Calendar'!$O$5:$O$604,MATCH(B32,'Content Calendar'!$A$5:$A$604,0)),"Not found"))</f>
        <v>0</v>
      </c>
      <c r="L32" s="17">
        <f>IF(B32="","",IFERROR(INDEX('Content Calendar'!$N$5:$N$604,MATCH(B32,'Content Calendar'!$A$5:$A$604,0)),"Not found"))</f>
        <v>0</v>
      </c>
      <c r="M32" s="17">
        <f>IF(B32="","",IFERROR(INDEX('Content Calendar'!$C$5:$C$604,MATCH(B32,'Content Calendar'!$A$5:$A$604,0)),"Not found"))</f>
        <v>0</v>
      </c>
      <c r="N32" s="17">
        <f>IF(B32="","",IFERROR(INDEX('Content Calendar'!$F$5:$F$604,MATCH(B32,'Content Calendar'!$A$5:$A$604,0)),"Not found"))</f>
        <v>0</v>
      </c>
      <c r="O32" s="34">
        <v>2511</v>
      </c>
      <c r="P32" s="34">
        <v>3938</v>
      </c>
      <c r="Q32" s="34">
        <v>60</v>
      </c>
      <c r="R32" s="34">
        <v>7</v>
      </c>
      <c r="S32" s="34">
        <v>5</v>
      </c>
      <c r="T32" s="34">
        <v>12</v>
      </c>
      <c r="U32" s="34">
        <v>51</v>
      </c>
      <c r="V32" s="37">
        <v>0</v>
      </c>
      <c r="W32" s="34">
        <v>2</v>
      </c>
      <c r="X32" s="36">
        <v>102.28</v>
      </c>
      <c r="Y32" s="35">
        <v>0.045</v>
      </c>
      <c r="Z32" s="23">
        <f>IF(O32="","",N(Q32)+N(R32)+N(S32)+N(T32))</f>
        <v>0</v>
      </c>
      <c r="AA32" s="24">
        <f>IF(OR(O32="",O32=0),"",Z32/O32)</f>
        <v>0</v>
      </c>
      <c r="AB32" s="24">
        <f>IF(OR(O32="",O32=0),"",N(T32)/O32)</f>
        <v>0</v>
      </c>
      <c r="AC32" s="24">
        <f>IF(OR(O32="",O32=0),"",N(S32)/O32)</f>
        <v>0</v>
      </c>
      <c r="AD32" s="24">
        <f>IF(OR(O32="",O32=0),"",N(R32)/O32)</f>
        <v>0</v>
      </c>
      <c r="AE32" s="24">
        <f>IF(OR(O32="",O32=0),"",N(U32)/O32)</f>
        <v>0</v>
      </c>
      <c r="AF32" s="24">
        <f>IF(OR(U32="",U32=0),"",N(W32)/U32)</f>
        <v>0</v>
      </c>
      <c r="AG32" s="25">
        <f>IF(OR(O32="",O32=0),"",N(X32)/(O32/1000))</f>
        <v>0</v>
      </c>
      <c r="AH32" s="24">
        <f>IF(O32="","",IF(Y32="",TargetEngagement,Y32))</f>
        <v>0</v>
      </c>
      <c r="AI32" s="24">
        <f>IF(OR(AA32="",AH32=""),"",AA32-AH32)</f>
        <v>0</v>
      </c>
      <c r="AJ32" s="31">
        <f>IF(AA32="","",AA32+ROW()/1000000)</f>
        <v>0</v>
      </c>
      <c r="AK32" s="23">
        <f>IF(AA32="","",RANK(AJ32,Performance!$AJ$5:$AJ$404))</f>
        <v>0</v>
      </c>
      <c r="AL32" s="29">
        <f>IF(AA32="","",IF(AA32&gt;=AH32*1.5,"Top performer",IF(AA32&gt;=AH32,"Above target",IF(AA32&gt;=AH32*0.6,"Below target","Weak - review it"))))</f>
        <v>0</v>
      </c>
      <c r="AM32" s="29">
        <f>IF(B32="","",IF(COUNTIF(Performance!$B$5:$B$404,B32)&gt;1,"Duplicate","OK"))</f>
        <v>0</v>
      </c>
      <c r="AN32" s="29">
        <f>IF(B32="","",IF(C32="Not found","Check - content ID not on the calendar",IF(O32="","Add - no numbers entered yet",IF(AM32="Duplicate","Duplicate - this post is entered twice",IF(AL32="Top performer","Repurpose this one","OK")))))</f>
        <v>0</v>
      </c>
      <c r="AO32" s="39" t="s">
        <v>205</v>
      </c>
    </row>
    <row r="33" spans="1:41">
      <c r="A33" s="41">
        <f>IF(B33="","","PF-"&amp;TEXT(ROW()-4,"0000"))</f>
        <v>0</v>
      </c>
      <c r="B33" s="15" t="s">
        <v>1906</v>
      </c>
      <c r="C33" s="17">
        <f>IF(B33="","",IFERROR(INDEX('Content Calendar'!$H$5:$H$604,MATCH(B33,'Content Calendar'!$A$5:$A$604,0)),"Not found"))</f>
        <v>0</v>
      </c>
      <c r="D33" s="16">
        <f>IF(B33="","",IFERROR(INDEX('Content Calendar'!$B$5:$B$604,MATCH(B33,'Content Calendar'!$A$5:$A$604,0)),"Not found"))</f>
        <v>0</v>
      </c>
      <c r="E33" s="17">
        <f>IF(B33="","",IFERROR(INDEX('Content Calendar'!$D$5:$D$604,MATCH(B33,'Content Calendar'!$A$5:$A$604,0)),"Not found"))</f>
        <v>0</v>
      </c>
      <c r="F33" s="17">
        <f>IF(B33="","",IFERROR(INDEX('Content Calendar'!$G$5:$G$604,MATCH(B33,'Content Calendar'!$A$5:$A$604,0)),"Not found"))</f>
        <v>0</v>
      </c>
      <c r="G33" s="17">
        <f>IF(B33="","",IFERROR(INDEX('Content Calendar'!$K$5:$K$604,MATCH(B33,'Content Calendar'!$A$5:$A$604,0)),"Not found"))</f>
        <v>0</v>
      </c>
      <c r="H33" s="17">
        <f>IF(B33="","",IFERROR(INDEX('Content Calendar'!$J$5:$J$604,MATCH(B33,'Content Calendar'!$A$5:$A$604,0)),"Not found"))</f>
        <v>0</v>
      </c>
      <c r="I33" s="17">
        <f>IF(B33="","",IFERROR(INDEX('Content Calendar'!$L$5:$L$604,MATCH(B33,'Content Calendar'!$A$5:$A$604,0)),"Not found"))</f>
        <v>0</v>
      </c>
      <c r="J33" s="17">
        <f>IF(B33="","",IFERROR(INDEX('Content Calendar'!$P$5:$P$604,MATCH(B33,'Content Calendar'!$A$5:$A$604,0)),"Not found"))</f>
        <v>0</v>
      </c>
      <c r="K33" s="17">
        <f>IF(B33="","",IFERROR(INDEX('Content Calendar'!$O$5:$O$604,MATCH(B33,'Content Calendar'!$A$5:$A$604,0)),"Not found"))</f>
        <v>0</v>
      </c>
      <c r="L33" s="17">
        <f>IF(B33="","",IFERROR(INDEX('Content Calendar'!$N$5:$N$604,MATCH(B33,'Content Calendar'!$A$5:$A$604,0)),"Not found"))</f>
        <v>0</v>
      </c>
      <c r="M33" s="17">
        <f>IF(B33="","",IFERROR(INDEX('Content Calendar'!$C$5:$C$604,MATCH(B33,'Content Calendar'!$A$5:$A$604,0)),"Not found"))</f>
        <v>0</v>
      </c>
      <c r="N33" s="17">
        <f>IF(B33="","",IFERROR(INDEX('Content Calendar'!$F$5:$F$604,MATCH(B33,'Content Calendar'!$A$5:$A$604,0)),"Not found"))</f>
        <v>0</v>
      </c>
      <c r="O33" s="34">
        <v>4629</v>
      </c>
      <c r="P33" s="34">
        <v>7326</v>
      </c>
      <c r="Q33" s="34">
        <v>154</v>
      </c>
      <c r="R33" s="34">
        <v>19</v>
      </c>
      <c r="S33" s="34">
        <v>15</v>
      </c>
      <c r="T33" s="34">
        <v>27</v>
      </c>
      <c r="U33" s="34">
        <v>20</v>
      </c>
      <c r="V33" s="37">
        <v>21.5</v>
      </c>
      <c r="W33" s="34">
        <v>1</v>
      </c>
      <c r="X33" s="36">
        <v>50.8</v>
      </c>
      <c r="Y33" s="35">
        <v>0.045</v>
      </c>
      <c r="Z33" s="23">
        <f>IF(O33="","",N(Q33)+N(R33)+N(S33)+N(T33))</f>
        <v>0</v>
      </c>
      <c r="AA33" s="24">
        <f>IF(OR(O33="",O33=0),"",Z33/O33)</f>
        <v>0</v>
      </c>
      <c r="AB33" s="24">
        <f>IF(OR(O33="",O33=0),"",N(T33)/O33)</f>
        <v>0</v>
      </c>
      <c r="AC33" s="24">
        <f>IF(OR(O33="",O33=0),"",N(S33)/O33)</f>
        <v>0</v>
      </c>
      <c r="AD33" s="24">
        <f>IF(OR(O33="",O33=0),"",N(R33)/O33)</f>
        <v>0</v>
      </c>
      <c r="AE33" s="24">
        <f>IF(OR(O33="",O33=0),"",N(U33)/O33)</f>
        <v>0</v>
      </c>
      <c r="AF33" s="24">
        <f>IF(OR(U33="",U33=0),"",N(W33)/U33)</f>
        <v>0</v>
      </c>
      <c r="AG33" s="25">
        <f>IF(OR(O33="",O33=0),"",N(X33)/(O33/1000))</f>
        <v>0</v>
      </c>
      <c r="AH33" s="24">
        <f>IF(O33="","",IF(Y33="",TargetEngagement,Y33))</f>
        <v>0</v>
      </c>
      <c r="AI33" s="24">
        <f>IF(OR(AA33="",AH33=""),"",AA33-AH33)</f>
        <v>0</v>
      </c>
      <c r="AJ33" s="31">
        <f>IF(AA33="","",AA33+ROW()/1000000)</f>
        <v>0</v>
      </c>
      <c r="AK33" s="23">
        <f>IF(AA33="","",RANK(AJ33,Performance!$AJ$5:$AJ$404))</f>
        <v>0</v>
      </c>
      <c r="AL33" s="29">
        <f>IF(AA33="","",IF(AA33&gt;=AH33*1.5,"Top performer",IF(AA33&gt;=AH33,"Above target",IF(AA33&gt;=AH33*0.6,"Below target","Weak - review it"))))</f>
        <v>0</v>
      </c>
      <c r="AM33" s="29">
        <f>IF(B33="","",IF(COUNTIF(Performance!$B$5:$B$404,B33)&gt;1,"Duplicate","OK"))</f>
        <v>0</v>
      </c>
      <c r="AN33" s="29">
        <f>IF(B33="","",IF(C33="Not found","Check - content ID not on the calendar",IF(O33="","Add - no numbers entered yet",IF(AM33="Duplicate","Duplicate - this post is entered twice",IF(AL33="Top performer","Repurpose this one","OK")))))</f>
        <v>0</v>
      </c>
      <c r="AO33" s="39" t="s">
        <v>205</v>
      </c>
    </row>
    <row r="34" spans="1:41">
      <c r="A34" s="41">
        <f>IF(B34="","","PF-"&amp;TEXT(ROW()-4,"0000"))</f>
        <v>0</v>
      </c>
      <c r="B34" s="15" t="s">
        <v>1488</v>
      </c>
      <c r="C34" s="17">
        <f>IF(B34="","",IFERROR(INDEX('Content Calendar'!$H$5:$H$604,MATCH(B34,'Content Calendar'!$A$5:$A$604,0)),"Not found"))</f>
        <v>0</v>
      </c>
      <c r="D34" s="16">
        <f>IF(B34="","",IFERROR(INDEX('Content Calendar'!$B$5:$B$604,MATCH(B34,'Content Calendar'!$A$5:$A$604,0)),"Not found"))</f>
        <v>0</v>
      </c>
      <c r="E34" s="17">
        <f>IF(B34="","",IFERROR(INDEX('Content Calendar'!$D$5:$D$604,MATCH(B34,'Content Calendar'!$A$5:$A$604,0)),"Not found"))</f>
        <v>0</v>
      </c>
      <c r="F34" s="17">
        <f>IF(B34="","",IFERROR(INDEX('Content Calendar'!$G$5:$G$604,MATCH(B34,'Content Calendar'!$A$5:$A$604,0)),"Not found"))</f>
        <v>0</v>
      </c>
      <c r="G34" s="17">
        <f>IF(B34="","",IFERROR(INDEX('Content Calendar'!$K$5:$K$604,MATCH(B34,'Content Calendar'!$A$5:$A$604,0)),"Not found"))</f>
        <v>0</v>
      </c>
      <c r="H34" s="17">
        <f>IF(B34="","",IFERROR(INDEX('Content Calendar'!$J$5:$J$604,MATCH(B34,'Content Calendar'!$A$5:$A$604,0)),"Not found"))</f>
        <v>0</v>
      </c>
      <c r="I34" s="17">
        <f>IF(B34="","",IFERROR(INDEX('Content Calendar'!$L$5:$L$604,MATCH(B34,'Content Calendar'!$A$5:$A$604,0)),"Not found"))</f>
        <v>0</v>
      </c>
      <c r="J34" s="17">
        <f>IF(B34="","",IFERROR(INDEX('Content Calendar'!$P$5:$P$604,MATCH(B34,'Content Calendar'!$A$5:$A$604,0)),"Not found"))</f>
        <v>0</v>
      </c>
      <c r="K34" s="17">
        <f>IF(B34="","",IFERROR(INDEX('Content Calendar'!$O$5:$O$604,MATCH(B34,'Content Calendar'!$A$5:$A$604,0)),"Not found"))</f>
        <v>0</v>
      </c>
      <c r="L34" s="17">
        <f>IF(B34="","",IFERROR(INDEX('Content Calendar'!$N$5:$N$604,MATCH(B34,'Content Calendar'!$A$5:$A$604,0)),"Not found"))</f>
        <v>0</v>
      </c>
      <c r="M34" s="17">
        <f>IF(B34="","",IFERROR(INDEX('Content Calendar'!$C$5:$C$604,MATCH(B34,'Content Calendar'!$A$5:$A$604,0)),"Not found"))</f>
        <v>0</v>
      </c>
      <c r="N34" s="17">
        <f>IF(B34="","",IFERROR(INDEX('Content Calendar'!$F$5:$F$604,MATCH(B34,'Content Calendar'!$A$5:$A$604,0)),"Not found"))</f>
        <v>0</v>
      </c>
      <c r="O34" s="34">
        <v>4344</v>
      </c>
      <c r="P34" s="34">
        <v>5606</v>
      </c>
      <c r="Q34" s="34">
        <v>195</v>
      </c>
      <c r="R34" s="34">
        <v>24</v>
      </c>
      <c r="S34" s="34">
        <v>18</v>
      </c>
      <c r="T34" s="34">
        <v>34</v>
      </c>
      <c r="U34" s="34">
        <v>20</v>
      </c>
      <c r="V34" s="37">
        <v>0</v>
      </c>
      <c r="W34" s="34">
        <v>0</v>
      </c>
      <c r="X34" s="36">
        <v>0</v>
      </c>
      <c r="Y34" s="35">
        <v>0.045</v>
      </c>
      <c r="Z34" s="23">
        <f>IF(O34="","",N(Q34)+N(R34)+N(S34)+N(T34))</f>
        <v>0</v>
      </c>
      <c r="AA34" s="24">
        <f>IF(OR(O34="",O34=0),"",Z34/O34)</f>
        <v>0</v>
      </c>
      <c r="AB34" s="24">
        <f>IF(OR(O34="",O34=0),"",N(T34)/O34)</f>
        <v>0</v>
      </c>
      <c r="AC34" s="24">
        <f>IF(OR(O34="",O34=0),"",N(S34)/O34)</f>
        <v>0</v>
      </c>
      <c r="AD34" s="24">
        <f>IF(OR(O34="",O34=0),"",N(R34)/O34)</f>
        <v>0</v>
      </c>
      <c r="AE34" s="24">
        <f>IF(OR(O34="",O34=0),"",N(U34)/O34)</f>
        <v>0</v>
      </c>
      <c r="AF34" s="24">
        <f>IF(OR(U34="",U34=0),"",N(W34)/U34)</f>
        <v>0</v>
      </c>
      <c r="AG34" s="25">
        <f>IF(OR(O34="",O34=0),"",N(X34)/(O34/1000))</f>
        <v>0</v>
      </c>
      <c r="AH34" s="24">
        <f>IF(O34="","",IF(Y34="",TargetEngagement,Y34))</f>
        <v>0</v>
      </c>
      <c r="AI34" s="24">
        <f>IF(OR(AA34="",AH34=""),"",AA34-AH34)</f>
        <v>0</v>
      </c>
      <c r="AJ34" s="31">
        <f>IF(AA34="","",AA34+ROW()/1000000)</f>
        <v>0</v>
      </c>
      <c r="AK34" s="23">
        <f>IF(AA34="","",RANK(AJ34,Performance!$AJ$5:$AJ$404))</f>
        <v>0</v>
      </c>
      <c r="AL34" s="29">
        <f>IF(AA34="","",IF(AA34&gt;=AH34*1.5,"Top performer",IF(AA34&gt;=AH34,"Above target",IF(AA34&gt;=AH34*0.6,"Below target","Weak - review it"))))</f>
        <v>0</v>
      </c>
      <c r="AM34" s="29">
        <f>IF(B34="","",IF(COUNTIF(Performance!$B$5:$B$404,B34)&gt;1,"Duplicate","OK"))</f>
        <v>0</v>
      </c>
      <c r="AN34" s="29">
        <f>IF(B34="","",IF(C34="Not found","Check - content ID not on the calendar",IF(O34="","Add - no numbers entered yet",IF(AM34="Duplicate","Duplicate - this post is entered twice",IF(AL34="Top performer","Repurpose this one","OK")))))</f>
        <v>0</v>
      </c>
      <c r="AO34" s="39" t="s">
        <v>205</v>
      </c>
    </row>
    <row r="35" spans="1:41">
      <c r="A35" s="41">
        <f>IF(B35="","","PF-"&amp;TEXT(ROW()-4,"0000"))</f>
        <v>0</v>
      </c>
      <c r="B35" s="15" t="s">
        <v>1789</v>
      </c>
      <c r="C35" s="17">
        <f>IF(B35="","",IFERROR(INDEX('Content Calendar'!$H$5:$H$604,MATCH(B35,'Content Calendar'!$A$5:$A$604,0)),"Not found"))</f>
        <v>0</v>
      </c>
      <c r="D35" s="16">
        <f>IF(B35="","",IFERROR(INDEX('Content Calendar'!$B$5:$B$604,MATCH(B35,'Content Calendar'!$A$5:$A$604,0)),"Not found"))</f>
        <v>0</v>
      </c>
      <c r="E35" s="17">
        <f>IF(B35="","",IFERROR(INDEX('Content Calendar'!$D$5:$D$604,MATCH(B35,'Content Calendar'!$A$5:$A$604,0)),"Not found"))</f>
        <v>0</v>
      </c>
      <c r="F35" s="17">
        <f>IF(B35="","",IFERROR(INDEX('Content Calendar'!$G$5:$G$604,MATCH(B35,'Content Calendar'!$A$5:$A$604,0)),"Not found"))</f>
        <v>0</v>
      </c>
      <c r="G35" s="17">
        <f>IF(B35="","",IFERROR(INDEX('Content Calendar'!$K$5:$K$604,MATCH(B35,'Content Calendar'!$A$5:$A$604,0)),"Not found"))</f>
        <v>0</v>
      </c>
      <c r="H35" s="17">
        <f>IF(B35="","",IFERROR(INDEX('Content Calendar'!$J$5:$J$604,MATCH(B35,'Content Calendar'!$A$5:$A$604,0)),"Not found"))</f>
        <v>0</v>
      </c>
      <c r="I35" s="17">
        <f>IF(B35="","",IFERROR(INDEX('Content Calendar'!$L$5:$L$604,MATCH(B35,'Content Calendar'!$A$5:$A$604,0)),"Not found"))</f>
        <v>0</v>
      </c>
      <c r="J35" s="17">
        <f>IF(B35="","",IFERROR(INDEX('Content Calendar'!$P$5:$P$604,MATCH(B35,'Content Calendar'!$A$5:$A$604,0)),"Not found"))</f>
        <v>0</v>
      </c>
      <c r="K35" s="17">
        <f>IF(B35="","",IFERROR(INDEX('Content Calendar'!$O$5:$O$604,MATCH(B35,'Content Calendar'!$A$5:$A$604,0)),"Not found"))</f>
        <v>0</v>
      </c>
      <c r="L35" s="17">
        <f>IF(B35="","",IFERROR(INDEX('Content Calendar'!$N$5:$N$604,MATCH(B35,'Content Calendar'!$A$5:$A$604,0)),"Not found"))</f>
        <v>0</v>
      </c>
      <c r="M35" s="17">
        <f>IF(B35="","",IFERROR(INDEX('Content Calendar'!$C$5:$C$604,MATCH(B35,'Content Calendar'!$A$5:$A$604,0)),"Not found"))</f>
        <v>0</v>
      </c>
      <c r="N35" s="17">
        <f>IF(B35="","",IFERROR(INDEX('Content Calendar'!$F$5:$F$604,MATCH(B35,'Content Calendar'!$A$5:$A$604,0)),"Not found"))</f>
        <v>0</v>
      </c>
      <c r="O35" s="34">
        <v>7763</v>
      </c>
      <c r="P35" s="34">
        <v>11896</v>
      </c>
      <c r="Q35" s="34">
        <v>225</v>
      </c>
      <c r="R35" s="34">
        <v>28</v>
      </c>
      <c r="S35" s="34">
        <v>21</v>
      </c>
      <c r="T35" s="34">
        <v>39</v>
      </c>
      <c r="U35" s="34">
        <v>33</v>
      </c>
      <c r="V35" s="37">
        <v>13.7</v>
      </c>
      <c r="W35" s="34">
        <v>2</v>
      </c>
      <c r="X35" s="36">
        <v>108.9</v>
      </c>
      <c r="Y35" s="35">
        <v>0.045</v>
      </c>
      <c r="Z35" s="23">
        <f>IF(O35="","",N(Q35)+N(R35)+N(S35)+N(T35))</f>
        <v>0</v>
      </c>
      <c r="AA35" s="24">
        <f>IF(OR(O35="",O35=0),"",Z35/O35)</f>
        <v>0</v>
      </c>
      <c r="AB35" s="24">
        <f>IF(OR(O35="",O35=0),"",N(T35)/O35)</f>
        <v>0</v>
      </c>
      <c r="AC35" s="24">
        <f>IF(OR(O35="",O35=0),"",N(S35)/O35)</f>
        <v>0</v>
      </c>
      <c r="AD35" s="24">
        <f>IF(OR(O35="",O35=0),"",N(R35)/O35)</f>
        <v>0</v>
      </c>
      <c r="AE35" s="24">
        <f>IF(OR(O35="",O35=0),"",N(U35)/O35)</f>
        <v>0</v>
      </c>
      <c r="AF35" s="24">
        <f>IF(OR(U35="",U35=0),"",N(W35)/U35)</f>
        <v>0</v>
      </c>
      <c r="AG35" s="25">
        <f>IF(OR(O35="",O35=0),"",N(X35)/(O35/1000))</f>
        <v>0</v>
      </c>
      <c r="AH35" s="24">
        <f>IF(O35="","",IF(Y35="",TargetEngagement,Y35))</f>
        <v>0</v>
      </c>
      <c r="AI35" s="24">
        <f>IF(OR(AA35="",AH35=""),"",AA35-AH35)</f>
        <v>0</v>
      </c>
      <c r="AJ35" s="31">
        <f>IF(AA35="","",AA35+ROW()/1000000)</f>
        <v>0</v>
      </c>
      <c r="AK35" s="23">
        <f>IF(AA35="","",RANK(AJ35,Performance!$AJ$5:$AJ$404))</f>
        <v>0</v>
      </c>
      <c r="AL35" s="29">
        <f>IF(AA35="","",IF(AA35&gt;=AH35*1.5,"Top performer",IF(AA35&gt;=AH35,"Above target",IF(AA35&gt;=AH35*0.6,"Below target","Weak - review it"))))</f>
        <v>0</v>
      </c>
      <c r="AM35" s="29">
        <f>IF(B35="","",IF(COUNTIF(Performance!$B$5:$B$404,B35)&gt;1,"Duplicate","OK"))</f>
        <v>0</v>
      </c>
      <c r="AN35" s="29">
        <f>IF(B35="","",IF(C35="Not found","Check - content ID not on the calendar",IF(O35="","Add - no numbers entered yet",IF(AM35="Duplicate","Duplicate - this post is entered twice",IF(AL35="Top performer","Repurpose this one","OK")))))</f>
        <v>0</v>
      </c>
      <c r="AO35" s="39" t="s">
        <v>205</v>
      </c>
    </row>
    <row r="36" spans="1:41">
      <c r="A36" s="41">
        <f>IF(B36="","","PF-"&amp;TEXT(ROW()-4,"0000"))</f>
        <v>0</v>
      </c>
      <c r="B36" s="15" t="s">
        <v>1451</v>
      </c>
      <c r="C36" s="17">
        <f>IF(B36="","",IFERROR(INDEX('Content Calendar'!$H$5:$H$604,MATCH(B36,'Content Calendar'!$A$5:$A$604,0)),"Not found"))</f>
        <v>0</v>
      </c>
      <c r="D36" s="16">
        <f>IF(B36="","",IFERROR(INDEX('Content Calendar'!$B$5:$B$604,MATCH(B36,'Content Calendar'!$A$5:$A$604,0)),"Not found"))</f>
        <v>0</v>
      </c>
      <c r="E36" s="17">
        <f>IF(B36="","",IFERROR(INDEX('Content Calendar'!$D$5:$D$604,MATCH(B36,'Content Calendar'!$A$5:$A$604,0)),"Not found"))</f>
        <v>0</v>
      </c>
      <c r="F36" s="17">
        <f>IF(B36="","",IFERROR(INDEX('Content Calendar'!$G$5:$G$604,MATCH(B36,'Content Calendar'!$A$5:$A$604,0)),"Not found"))</f>
        <v>0</v>
      </c>
      <c r="G36" s="17">
        <f>IF(B36="","",IFERROR(INDEX('Content Calendar'!$K$5:$K$604,MATCH(B36,'Content Calendar'!$A$5:$A$604,0)),"Not found"))</f>
        <v>0</v>
      </c>
      <c r="H36" s="17">
        <f>IF(B36="","",IFERROR(INDEX('Content Calendar'!$J$5:$J$604,MATCH(B36,'Content Calendar'!$A$5:$A$604,0)),"Not found"))</f>
        <v>0</v>
      </c>
      <c r="I36" s="17">
        <f>IF(B36="","",IFERROR(INDEX('Content Calendar'!$L$5:$L$604,MATCH(B36,'Content Calendar'!$A$5:$A$604,0)),"Not found"))</f>
        <v>0</v>
      </c>
      <c r="J36" s="17">
        <f>IF(B36="","",IFERROR(INDEX('Content Calendar'!$P$5:$P$604,MATCH(B36,'Content Calendar'!$A$5:$A$604,0)),"Not found"))</f>
        <v>0</v>
      </c>
      <c r="K36" s="17">
        <f>IF(B36="","",IFERROR(INDEX('Content Calendar'!$O$5:$O$604,MATCH(B36,'Content Calendar'!$A$5:$A$604,0)),"Not found"))</f>
        <v>0</v>
      </c>
      <c r="L36" s="17">
        <f>IF(B36="","",IFERROR(INDEX('Content Calendar'!$N$5:$N$604,MATCH(B36,'Content Calendar'!$A$5:$A$604,0)),"Not found"))</f>
        <v>0</v>
      </c>
      <c r="M36" s="17">
        <f>IF(B36="","",IFERROR(INDEX('Content Calendar'!$C$5:$C$604,MATCH(B36,'Content Calendar'!$A$5:$A$604,0)),"Not found"))</f>
        <v>0</v>
      </c>
      <c r="N36" s="17">
        <f>IF(B36="","",IFERROR(INDEX('Content Calendar'!$F$5:$F$604,MATCH(B36,'Content Calendar'!$A$5:$A$604,0)),"Not found"))</f>
        <v>0</v>
      </c>
      <c r="O36" s="34">
        <v>7989</v>
      </c>
      <c r="P36" s="34">
        <v>9367</v>
      </c>
      <c r="Q36" s="34">
        <v>430</v>
      </c>
      <c r="R36" s="34">
        <v>53</v>
      </c>
      <c r="S36" s="34">
        <v>41</v>
      </c>
      <c r="T36" s="34">
        <v>74</v>
      </c>
      <c r="U36" s="34">
        <v>64</v>
      </c>
      <c r="V36" s="37">
        <v>26.1</v>
      </c>
      <c r="W36" s="34">
        <v>1</v>
      </c>
      <c r="X36" s="36">
        <v>48.53</v>
      </c>
      <c r="Y36" s="35">
        <v>0.045</v>
      </c>
      <c r="Z36" s="23">
        <f>IF(O36="","",N(Q36)+N(R36)+N(S36)+N(T36))</f>
        <v>0</v>
      </c>
      <c r="AA36" s="24">
        <f>IF(OR(O36="",O36=0),"",Z36/O36)</f>
        <v>0</v>
      </c>
      <c r="AB36" s="24">
        <f>IF(OR(O36="",O36=0),"",N(T36)/O36)</f>
        <v>0</v>
      </c>
      <c r="AC36" s="24">
        <f>IF(OR(O36="",O36=0),"",N(S36)/O36)</f>
        <v>0</v>
      </c>
      <c r="AD36" s="24">
        <f>IF(OR(O36="",O36=0),"",N(R36)/O36)</f>
        <v>0</v>
      </c>
      <c r="AE36" s="24">
        <f>IF(OR(O36="",O36=0),"",N(U36)/O36)</f>
        <v>0</v>
      </c>
      <c r="AF36" s="24">
        <f>IF(OR(U36="",U36=0),"",N(W36)/U36)</f>
        <v>0</v>
      </c>
      <c r="AG36" s="25">
        <f>IF(OR(O36="",O36=0),"",N(X36)/(O36/1000))</f>
        <v>0</v>
      </c>
      <c r="AH36" s="24">
        <f>IF(O36="","",IF(Y36="",TargetEngagement,Y36))</f>
        <v>0</v>
      </c>
      <c r="AI36" s="24">
        <f>IF(OR(AA36="",AH36=""),"",AA36-AH36)</f>
        <v>0</v>
      </c>
      <c r="AJ36" s="31">
        <f>IF(AA36="","",AA36+ROW()/1000000)</f>
        <v>0</v>
      </c>
      <c r="AK36" s="23">
        <f>IF(AA36="","",RANK(AJ36,Performance!$AJ$5:$AJ$404))</f>
        <v>0</v>
      </c>
      <c r="AL36" s="29">
        <f>IF(AA36="","",IF(AA36&gt;=AH36*1.5,"Top performer",IF(AA36&gt;=AH36,"Above target",IF(AA36&gt;=AH36*0.6,"Below target","Weak - review it"))))</f>
        <v>0</v>
      </c>
      <c r="AM36" s="29">
        <f>IF(B36="","",IF(COUNTIF(Performance!$B$5:$B$404,B36)&gt;1,"Duplicate","OK"))</f>
        <v>0</v>
      </c>
      <c r="AN36" s="29">
        <f>IF(B36="","",IF(C36="Not found","Check - content ID not on the calendar",IF(O36="","Add - no numbers entered yet",IF(AM36="Duplicate","Duplicate - this post is entered twice",IF(AL36="Top performer","Repurpose this one","OK")))))</f>
        <v>0</v>
      </c>
      <c r="AO36" s="39" t="s">
        <v>205</v>
      </c>
    </row>
    <row r="37" spans="1:41">
      <c r="A37" s="41">
        <f>IF(B37="","","PF-"&amp;TEXT(ROW()-4,"0000"))</f>
        <v>0</v>
      </c>
      <c r="B37" s="15" t="s">
        <v>1907</v>
      </c>
      <c r="C37" s="17">
        <f>IF(B37="","",IFERROR(INDEX('Content Calendar'!$H$5:$H$604,MATCH(B37,'Content Calendar'!$A$5:$A$604,0)),"Not found"))</f>
        <v>0</v>
      </c>
      <c r="D37" s="16">
        <f>IF(B37="","",IFERROR(INDEX('Content Calendar'!$B$5:$B$604,MATCH(B37,'Content Calendar'!$A$5:$A$604,0)),"Not found"))</f>
        <v>0</v>
      </c>
      <c r="E37" s="17">
        <f>IF(B37="","",IFERROR(INDEX('Content Calendar'!$D$5:$D$604,MATCH(B37,'Content Calendar'!$A$5:$A$604,0)),"Not found"))</f>
        <v>0</v>
      </c>
      <c r="F37" s="17">
        <f>IF(B37="","",IFERROR(INDEX('Content Calendar'!$G$5:$G$604,MATCH(B37,'Content Calendar'!$A$5:$A$604,0)),"Not found"))</f>
        <v>0</v>
      </c>
      <c r="G37" s="17">
        <f>IF(B37="","",IFERROR(INDEX('Content Calendar'!$K$5:$K$604,MATCH(B37,'Content Calendar'!$A$5:$A$604,0)),"Not found"))</f>
        <v>0</v>
      </c>
      <c r="H37" s="17">
        <f>IF(B37="","",IFERROR(INDEX('Content Calendar'!$J$5:$J$604,MATCH(B37,'Content Calendar'!$A$5:$A$604,0)),"Not found"))</f>
        <v>0</v>
      </c>
      <c r="I37" s="17">
        <f>IF(B37="","",IFERROR(INDEX('Content Calendar'!$L$5:$L$604,MATCH(B37,'Content Calendar'!$A$5:$A$604,0)),"Not found"))</f>
        <v>0</v>
      </c>
      <c r="J37" s="17">
        <f>IF(B37="","",IFERROR(INDEX('Content Calendar'!$P$5:$P$604,MATCH(B37,'Content Calendar'!$A$5:$A$604,0)),"Not found"))</f>
        <v>0</v>
      </c>
      <c r="K37" s="17">
        <f>IF(B37="","",IFERROR(INDEX('Content Calendar'!$O$5:$O$604,MATCH(B37,'Content Calendar'!$A$5:$A$604,0)),"Not found"))</f>
        <v>0</v>
      </c>
      <c r="L37" s="17">
        <f>IF(B37="","",IFERROR(INDEX('Content Calendar'!$N$5:$N$604,MATCH(B37,'Content Calendar'!$A$5:$A$604,0)),"Not found"))</f>
        <v>0</v>
      </c>
      <c r="M37" s="17">
        <f>IF(B37="","",IFERROR(INDEX('Content Calendar'!$C$5:$C$604,MATCH(B37,'Content Calendar'!$A$5:$A$604,0)),"Not found"))</f>
        <v>0</v>
      </c>
      <c r="N37" s="17">
        <f>IF(B37="","",IFERROR(INDEX('Content Calendar'!$F$5:$F$604,MATCH(B37,'Content Calendar'!$A$5:$A$604,0)),"Not found"))</f>
        <v>0</v>
      </c>
      <c r="O37" s="34">
        <v>3312</v>
      </c>
      <c r="P37" s="34">
        <v>5037</v>
      </c>
      <c r="Q37" s="34">
        <v>246</v>
      </c>
      <c r="R37" s="34">
        <v>30</v>
      </c>
      <c r="S37" s="34">
        <v>24</v>
      </c>
      <c r="T37" s="34">
        <v>43</v>
      </c>
      <c r="U37" s="34">
        <v>65</v>
      </c>
      <c r="V37" s="37">
        <v>30.8</v>
      </c>
      <c r="W37" s="34">
        <v>1</v>
      </c>
      <c r="X37" s="36">
        <v>56.93</v>
      </c>
      <c r="Y37" s="35">
        <v>0.045</v>
      </c>
      <c r="Z37" s="23">
        <f>IF(O37="","",N(Q37)+N(R37)+N(S37)+N(T37))</f>
        <v>0</v>
      </c>
      <c r="AA37" s="24">
        <f>IF(OR(O37="",O37=0),"",Z37/O37)</f>
        <v>0</v>
      </c>
      <c r="AB37" s="24">
        <f>IF(OR(O37="",O37=0),"",N(T37)/O37)</f>
        <v>0</v>
      </c>
      <c r="AC37" s="24">
        <f>IF(OR(O37="",O37=0),"",N(S37)/O37)</f>
        <v>0</v>
      </c>
      <c r="AD37" s="24">
        <f>IF(OR(O37="",O37=0),"",N(R37)/O37)</f>
        <v>0</v>
      </c>
      <c r="AE37" s="24">
        <f>IF(OR(O37="",O37=0),"",N(U37)/O37)</f>
        <v>0</v>
      </c>
      <c r="AF37" s="24">
        <f>IF(OR(U37="",U37=0),"",N(W37)/U37)</f>
        <v>0</v>
      </c>
      <c r="AG37" s="25">
        <f>IF(OR(O37="",O37=0),"",N(X37)/(O37/1000))</f>
        <v>0</v>
      </c>
      <c r="AH37" s="24">
        <f>IF(O37="","",IF(Y37="",TargetEngagement,Y37))</f>
        <v>0</v>
      </c>
      <c r="AI37" s="24">
        <f>IF(OR(AA37="",AH37=""),"",AA37-AH37)</f>
        <v>0</v>
      </c>
      <c r="AJ37" s="31">
        <f>IF(AA37="","",AA37+ROW()/1000000)</f>
        <v>0</v>
      </c>
      <c r="AK37" s="23">
        <f>IF(AA37="","",RANK(AJ37,Performance!$AJ$5:$AJ$404))</f>
        <v>0</v>
      </c>
      <c r="AL37" s="29">
        <f>IF(AA37="","",IF(AA37&gt;=AH37*1.5,"Top performer",IF(AA37&gt;=AH37,"Above target",IF(AA37&gt;=AH37*0.6,"Below target","Weak - review it"))))</f>
        <v>0</v>
      </c>
      <c r="AM37" s="29">
        <f>IF(B37="","",IF(COUNTIF(Performance!$B$5:$B$404,B37)&gt;1,"Duplicate","OK"))</f>
        <v>0</v>
      </c>
      <c r="AN37" s="29">
        <f>IF(B37="","",IF(C37="Not found","Check - content ID not on the calendar",IF(O37="","Add - no numbers entered yet",IF(AM37="Duplicate","Duplicate - this post is entered twice",IF(AL37="Top performer","Repurpose this one","OK")))))</f>
        <v>0</v>
      </c>
      <c r="AO37" s="39" t="s">
        <v>205</v>
      </c>
    </row>
    <row r="38" spans="1:41">
      <c r="A38" s="41">
        <f>IF(B38="","","PF-"&amp;TEXT(ROW()-4,"0000"))</f>
        <v>0</v>
      </c>
      <c r="B38" s="15" t="s">
        <v>1535</v>
      </c>
      <c r="C38" s="17">
        <f>IF(B38="","",IFERROR(INDEX('Content Calendar'!$H$5:$H$604,MATCH(B38,'Content Calendar'!$A$5:$A$604,0)),"Not found"))</f>
        <v>0</v>
      </c>
      <c r="D38" s="16">
        <f>IF(B38="","",IFERROR(INDEX('Content Calendar'!$B$5:$B$604,MATCH(B38,'Content Calendar'!$A$5:$A$604,0)),"Not found"))</f>
        <v>0</v>
      </c>
      <c r="E38" s="17">
        <f>IF(B38="","",IFERROR(INDEX('Content Calendar'!$D$5:$D$604,MATCH(B38,'Content Calendar'!$A$5:$A$604,0)),"Not found"))</f>
        <v>0</v>
      </c>
      <c r="F38" s="17">
        <f>IF(B38="","",IFERROR(INDEX('Content Calendar'!$G$5:$G$604,MATCH(B38,'Content Calendar'!$A$5:$A$604,0)),"Not found"))</f>
        <v>0</v>
      </c>
      <c r="G38" s="17">
        <f>IF(B38="","",IFERROR(INDEX('Content Calendar'!$K$5:$K$604,MATCH(B38,'Content Calendar'!$A$5:$A$604,0)),"Not found"))</f>
        <v>0</v>
      </c>
      <c r="H38" s="17">
        <f>IF(B38="","",IFERROR(INDEX('Content Calendar'!$J$5:$J$604,MATCH(B38,'Content Calendar'!$A$5:$A$604,0)),"Not found"))</f>
        <v>0</v>
      </c>
      <c r="I38" s="17">
        <f>IF(B38="","",IFERROR(INDEX('Content Calendar'!$L$5:$L$604,MATCH(B38,'Content Calendar'!$A$5:$A$604,0)),"Not found"))</f>
        <v>0</v>
      </c>
      <c r="J38" s="17">
        <f>IF(B38="","",IFERROR(INDEX('Content Calendar'!$P$5:$P$604,MATCH(B38,'Content Calendar'!$A$5:$A$604,0)),"Not found"))</f>
        <v>0</v>
      </c>
      <c r="K38" s="17">
        <f>IF(B38="","",IFERROR(INDEX('Content Calendar'!$O$5:$O$604,MATCH(B38,'Content Calendar'!$A$5:$A$604,0)),"Not found"))</f>
        <v>0</v>
      </c>
      <c r="L38" s="17">
        <f>IF(B38="","",IFERROR(INDEX('Content Calendar'!$N$5:$N$604,MATCH(B38,'Content Calendar'!$A$5:$A$604,0)),"Not found"))</f>
        <v>0</v>
      </c>
      <c r="M38" s="17">
        <f>IF(B38="","",IFERROR(INDEX('Content Calendar'!$C$5:$C$604,MATCH(B38,'Content Calendar'!$A$5:$A$604,0)),"Not found"))</f>
        <v>0</v>
      </c>
      <c r="N38" s="17">
        <f>IF(B38="","",IFERROR(INDEX('Content Calendar'!$F$5:$F$604,MATCH(B38,'Content Calendar'!$A$5:$A$604,0)),"Not found"))</f>
        <v>0</v>
      </c>
      <c r="O38" s="34">
        <v>1830</v>
      </c>
      <c r="P38" s="34">
        <v>2891</v>
      </c>
      <c r="Q38" s="34">
        <v>74</v>
      </c>
      <c r="R38" s="34">
        <v>9</v>
      </c>
      <c r="S38" s="34">
        <v>7</v>
      </c>
      <c r="T38" s="34">
        <v>13</v>
      </c>
      <c r="U38" s="34">
        <v>26</v>
      </c>
      <c r="V38" s="37">
        <v>14.3</v>
      </c>
      <c r="W38" s="34">
        <v>2</v>
      </c>
      <c r="X38" s="36">
        <v>120.81</v>
      </c>
      <c r="Y38" s="35">
        <v>0.045</v>
      </c>
      <c r="Z38" s="23">
        <f>IF(O38="","",N(Q38)+N(R38)+N(S38)+N(T38))</f>
        <v>0</v>
      </c>
      <c r="AA38" s="24">
        <f>IF(OR(O38="",O38=0),"",Z38/O38)</f>
        <v>0</v>
      </c>
      <c r="AB38" s="24">
        <f>IF(OR(O38="",O38=0),"",N(T38)/O38)</f>
        <v>0</v>
      </c>
      <c r="AC38" s="24">
        <f>IF(OR(O38="",O38=0),"",N(S38)/O38)</f>
        <v>0</v>
      </c>
      <c r="AD38" s="24">
        <f>IF(OR(O38="",O38=0),"",N(R38)/O38)</f>
        <v>0</v>
      </c>
      <c r="AE38" s="24">
        <f>IF(OR(O38="",O38=0),"",N(U38)/O38)</f>
        <v>0</v>
      </c>
      <c r="AF38" s="24">
        <f>IF(OR(U38="",U38=0),"",N(W38)/U38)</f>
        <v>0</v>
      </c>
      <c r="AG38" s="25">
        <f>IF(OR(O38="",O38=0),"",N(X38)/(O38/1000))</f>
        <v>0</v>
      </c>
      <c r="AH38" s="24">
        <f>IF(O38="","",IF(Y38="",TargetEngagement,Y38))</f>
        <v>0</v>
      </c>
      <c r="AI38" s="24">
        <f>IF(OR(AA38="",AH38=""),"",AA38-AH38)</f>
        <v>0</v>
      </c>
      <c r="AJ38" s="31">
        <f>IF(AA38="","",AA38+ROW()/1000000)</f>
        <v>0</v>
      </c>
      <c r="AK38" s="23">
        <f>IF(AA38="","",RANK(AJ38,Performance!$AJ$5:$AJ$404))</f>
        <v>0</v>
      </c>
      <c r="AL38" s="29">
        <f>IF(AA38="","",IF(AA38&gt;=AH38*1.5,"Top performer",IF(AA38&gt;=AH38,"Above target",IF(AA38&gt;=AH38*0.6,"Below target","Weak - review it"))))</f>
        <v>0</v>
      </c>
      <c r="AM38" s="29">
        <f>IF(B38="","",IF(COUNTIF(Performance!$B$5:$B$404,B38)&gt;1,"Duplicate","OK"))</f>
        <v>0</v>
      </c>
      <c r="AN38" s="29">
        <f>IF(B38="","",IF(C38="Not found","Check - content ID not on the calendar",IF(O38="","Add - no numbers entered yet",IF(AM38="Duplicate","Duplicate - this post is entered twice",IF(AL38="Top performer","Repurpose this one","OK")))))</f>
        <v>0</v>
      </c>
      <c r="AO38" s="39" t="s">
        <v>205</v>
      </c>
    </row>
    <row r="39" spans="1:41">
      <c r="A39" s="41">
        <f>IF(B39="","","PF-"&amp;TEXT(ROW()-4,"0000"))</f>
        <v>0</v>
      </c>
      <c r="B39" s="15" t="s">
        <v>1908</v>
      </c>
      <c r="C39" s="17">
        <f>IF(B39="","",IFERROR(INDEX('Content Calendar'!$H$5:$H$604,MATCH(B39,'Content Calendar'!$A$5:$A$604,0)),"Not found"))</f>
        <v>0</v>
      </c>
      <c r="D39" s="16">
        <f>IF(B39="","",IFERROR(INDEX('Content Calendar'!$B$5:$B$604,MATCH(B39,'Content Calendar'!$A$5:$A$604,0)),"Not found"))</f>
        <v>0</v>
      </c>
      <c r="E39" s="17">
        <f>IF(B39="","",IFERROR(INDEX('Content Calendar'!$D$5:$D$604,MATCH(B39,'Content Calendar'!$A$5:$A$604,0)),"Not found"))</f>
        <v>0</v>
      </c>
      <c r="F39" s="17">
        <f>IF(B39="","",IFERROR(INDEX('Content Calendar'!$G$5:$G$604,MATCH(B39,'Content Calendar'!$A$5:$A$604,0)),"Not found"))</f>
        <v>0</v>
      </c>
      <c r="G39" s="17">
        <f>IF(B39="","",IFERROR(INDEX('Content Calendar'!$K$5:$K$604,MATCH(B39,'Content Calendar'!$A$5:$A$604,0)),"Not found"))</f>
        <v>0</v>
      </c>
      <c r="H39" s="17">
        <f>IF(B39="","",IFERROR(INDEX('Content Calendar'!$J$5:$J$604,MATCH(B39,'Content Calendar'!$A$5:$A$604,0)),"Not found"))</f>
        <v>0</v>
      </c>
      <c r="I39" s="17">
        <f>IF(B39="","",IFERROR(INDEX('Content Calendar'!$L$5:$L$604,MATCH(B39,'Content Calendar'!$A$5:$A$604,0)),"Not found"))</f>
        <v>0</v>
      </c>
      <c r="J39" s="17">
        <f>IF(B39="","",IFERROR(INDEX('Content Calendar'!$P$5:$P$604,MATCH(B39,'Content Calendar'!$A$5:$A$604,0)),"Not found"))</f>
        <v>0</v>
      </c>
      <c r="K39" s="17">
        <f>IF(B39="","",IFERROR(INDEX('Content Calendar'!$O$5:$O$604,MATCH(B39,'Content Calendar'!$A$5:$A$604,0)),"Not found"))</f>
        <v>0</v>
      </c>
      <c r="L39" s="17">
        <f>IF(B39="","",IFERROR(INDEX('Content Calendar'!$N$5:$N$604,MATCH(B39,'Content Calendar'!$A$5:$A$604,0)),"Not found"))</f>
        <v>0</v>
      </c>
      <c r="M39" s="17">
        <f>IF(B39="","",IFERROR(INDEX('Content Calendar'!$C$5:$C$604,MATCH(B39,'Content Calendar'!$A$5:$A$604,0)),"Not found"))</f>
        <v>0</v>
      </c>
      <c r="N39" s="17">
        <f>IF(B39="","",IFERROR(INDEX('Content Calendar'!$F$5:$F$604,MATCH(B39,'Content Calendar'!$A$5:$A$604,0)),"Not found"))</f>
        <v>0</v>
      </c>
      <c r="O39" s="34">
        <v>2499</v>
      </c>
      <c r="P39" s="34">
        <v>3850</v>
      </c>
      <c r="Q39" s="34">
        <v>135</v>
      </c>
      <c r="R39" s="34">
        <v>16</v>
      </c>
      <c r="S39" s="34">
        <v>13</v>
      </c>
      <c r="T39" s="34">
        <v>24</v>
      </c>
      <c r="U39" s="34">
        <v>43</v>
      </c>
      <c r="V39" s="37">
        <v>22.6</v>
      </c>
      <c r="W39" s="34">
        <v>3</v>
      </c>
      <c r="X39" s="36">
        <v>102.51</v>
      </c>
      <c r="Y39" s="35">
        <v>0.045</v>
      </c>
      <c r="Z39" s="23">
        <f>IF(O39="","",N(Q39)+N(R39)+N(S39)+N(T39))</f>
        <v>0</v>
      </c>
      <c r="AA39" s="24">
        <f>IF(OR(O39="",O39=0),"",Z39/O39)</f>
        <v>0</v>
      </c>
      <c r="AB39" s="24">
        <f>IF(OR(O39="",O39=0),"",N(T39)/O39)</f>
        <v>0</v>
      </c>
      <c r="AC39" s="24">
        <f>IF(OR(O39="",O39=0),"",N(S39)/O39)</f>
        <v>0</v>
      </c>
      <c r="AD39" s="24">
        <f>IF(OR(O39="",O39=0),"",N(R39)/O39)</f>
        <v>0</v>
      </c>
      <c r="AE39" s="24">
        <f>IF(OR(O39="",O39=0),"",N(U39)/O39)</f>
        <v>0</v>
      </c>
      <c r="AF39" s="24">
        <f>IF(OR(U39="",U39=0),"",N(W39)/U39)</f>
        <v>0</v>
      </c>
      <c r="AG39" s="25">
        <f>IF(OR(O39="",O39=0),"",N(X39)/(O39/1000))</f>
        <v>0</v>
      </c>
      <c r="AH39" s="24">
        <f>IF(O39="","",IF(Y39="",TargetEngagement,Y39))</f>
        <v>0</v>
      </c>
      <c r="AI39" s="24">
        <f>IF(OR(AA39="",AH39=""),"",AA39-AH39)</f>
        <v>0</v>
      </c>
      <c r="AJ39" s="31">
        <f>IF(AA39="","",AA39+ROW()/1000000)</f>
        <v>0</v>
      </c>
      <c r="AK39" s="23">
        <f>IF(AA39="","",RANK(AJ39,Performance!$AJ$5:$AJ$404))</f>
        <v>0</v>
      </c>
      <c r="AL39" s="29">
        <f>IF(AA39="","",IF(AA39&gt;=AH39*1.5,"Top performer",IF(AA39&gt;=AH39,"Above target",IF(AA39&gt;=AH39*0.6,"Below target","Weak - review it"))))</f>
        <v>0</v>
      </c>
      <c r="AM39" s="29">
        <f>IF(B39="","",IF(COUNTIF(Performance!$B$5:$B$404,B39)&gt;1,"Duplicate","OK"))</f>
        <v>0</v>
      </c>
      <c r="AN39" s="29">
        <f>IF(B39="","",IF(C39="Not found","Check - content ID not on the calendar",IF(O39="","Add - no numbers entered yet",IF(AM39="Duplicate","Duplicate - this post is entered twice",IF(AL39="Top performer","Repurpose this one","OK")))))</f>
        <v>0</v>
      </c>
      <c r="AO39" s="39" t="s">
        <v>205</v>
      </c>
    </row>
    <row r="40" spans="1:41">
      <c r="A40" s="41">
        <f>IF(B40="","","PF-"&amp;TEXT(ROW()-4,"0000"))</f>
        <v>0</v>
      </c>
      <c r="B40" s="15" t="s">
        <v>1791</v>
      </c>
      <c r="C40" s="17">
        <f>IF(B40="","",IFERROR(INDEX('Content Calendar'!$H$5:$H$604,MATCH(B40,'Content Calendar'!$A$5:$A$604,0)),"Not found"))</f>
        <v>0</v>
      </c>
      <c r="D40" s="16">
        <f>IF(B40="","",IFERROR(INDEX('Content Calendar'!$B$5:$B$604,MATCH(B40,'Content Calendar'!$A$5:$A$604,0)),"Not found"))</f>
        <v>0</v>
      </c>
      <c r="E40" s="17">
        <f>IF(B40="","",IFERROR(INDEX('Content Calendar'!$D$5:$D$604,MATCH(B40,'Content Calendar'!$A$5:$A$604,0)),"Not found"))</f>
        <v>0</v>
      </c>
      <c r="F40" s="17">
        <f>IF(B40="","",IFERROR(INDEX('Content Calendar'!$G$5:$G$604,MATCH(B40,'Content Calendar'!$A$5:$A$604,0)),"Not found"))</f>
        <v>0</v>
      </c>
      <c r="G40" s="17">
        <f>IF(B40="","",IFERROR(INDEX('Content Calendar'!$K$5:$K$604,MATCH(B40,'Content Calendar'!$A$5:$A$604,0)),"Not found"))</f>
        <v>0</v>
      </c>
      <c r="H40" s="17">
        <f>IF(B40="","",IFERROR(INDEX('Content Calendar'!$J$5:$J$604,MATCH(B40,'Content Calendar'!$A$5:$A$604,0)),"Not found"))</f>
        <v>0</v>
      </c>
      <c r="I40" s="17">
        <f>IF(B40="","",IFERROR(INDEX('Content Calendar'!$L$5:$L$604,MATCH(B40,'Content Calendar'!$A$5:$A$604,0)),"Not found"))</f>
        <v>0</v>
      </c>
      <c r="J40" s="17">
        <f>IF(B40="","",IFERROR(INDEX('Content Calendar'!$P$5:$P$604,MATCH(B40,'Content Calendar'!$A$5:$A$604,0)),"Not found"))</f>
        <v>0</v>
      </c>
      <c r="K40" s="17">
        <f>IF(B40="","",IFERROR(INDEX('Content Calendar'!$O$5:$O$604,MATCH(B40,'Content Calendar'!$A$5:$A$604,0)),"Not found"))</f>
        <v>0</v>
      </c>
      <c r="L40" s="17">
        <f>IF(B40="","",IFERROR(INDEX('Content Calendar'!$N$5:$N$604,MATCH(B40,'Content Calendar'!$A$5:$A$604,0)),"Not found"))</f>
        <v>0</v>
      </c>
      <c r="M40" s="17">
        <f>IF(B40="","",IFERROR(INDEX('Content Calendar'!$C$5:$C$604,MATCH(B40,'Content Calendar'!$A$5:$A$604,0)),"Not found"))</f>
        <v>0</v>
      </c>
      <c r="N40" s="17">
        <f>IF(B40="","",IFERROR(INDEX('Content Calendar'!$F$5:$F$604,MATCH(B40,'Content Calendar'!$A$5:$A$604,0)),"Not found"))</f>
        <v>0</v>
      </c>
      <c r="O40" s="34">
        <v>7642</v>
      </c>
      <c r="P40" s="34">
        <v>10229</v>
      </c>
      <c r="Q40" s="34">
        <v>178</v>
      </c>
      <c r="R40" s="34">
        <v>22</v>
      </c>
      <c r="S40" s="34">
        <v>17</v>
      </c>
      <c r="T40" s="34">
        <v>31</v>
      </c>
      <c r="U40" s="34">
        <v>48</v>
      </c>
      <c r="V40" s="37">
        <v>29.8</v>
      </c>
      <c r="W40" s="34">
        <v>4</v>
      </c>
      <c r="X40" s="36">
        <v>265.58</v>
      </c>
      <c r="Y40" s="35">
        <v>0.045</v>
      </c>
      <c r="Z40" s="23">
        <f>IF(O40="","",N(Q40)+N(R40)+N(S40)+N(T40))</f>
        <v>0</v>
      </c>
      <c r="AA40" s="24">
        <f>IF(OR(O40="",O40=0),"",Z40/O40)</f>
        <v>0</v>
      </c>
      <c r="AB40" s="24">
        <f>IF(OR(O40="",O40=0),"",N(T40)/O40)</f>
        <v>0</v>
      </c>
      <c r="AC40" s="24">
        <f>IF(OR(O40="",O40=0),"",N(S40)/O40)</f>
        <v>0</v>
      </c>
      <c r="AD40" s="24">
        <f>IF(OR(O40="",O40=0),"",N(R40)/O40)</f>
        <v>0</v>
      </c>
      <c r="AE40" s="24">
        <f>IF(OR(O40="",O40=0),"",N(U40)/O40)</f>
        <v>0</v>
      </c>
      <c r="AF40" s="24">
        <f>IF(OR(U40="",U40=0),"",N(W40)/U40)</f>
        <v>0</v>
      </c>
      <c r="AG40" s="25">
        <f>IF(OR(O40="",O40=0),"",N(X40)/(O40/1000))</f>
        <v>0</v>
      </c>
      <c r="AH40" s="24">
        <f>IF(O40="","",IF(Y40="",TargetEngagement,Y40))</f>
        <v>0</v>
      </c>
      <c r="AI40" s="24">
        <f>IF(OR(AA40="",AH40=""),"",AA40-AH40)</f>
        <v>0</v>
      </c>
      <c r="AJ40" s="31">
        <f>IF(AA40="","",AA40+ROW()/1000000)</f>
        <v>0</v>
      </c>
      <c r="AK40" s="23">
        <f>IF(AA40="","",RANK(AJ40,Performance!$AJ$5:$AJ$404))</f>
        <v>0</v>
      </c>
      <c r="AL40" s="29">
        <f>IF(AA40="","",IF(AA40&gt;=AH40*1.5,"Top performer",IF(AA40&gt;=AH40,"Above target",IF(AA40&gt;=AH40*0.6,"Below target","Weak - review it"))))</f>
        <v>0</v>
      </c>
      <c r="AM40" s="29">
        <f>IF(B40="","",IF(COUNTIF(Performance!$B$5:$B$404,B40)&gt;1,"Duplicate","OK"))</f>
        <v>0</v>
      </c>
      <c r="AN40" s="29">
        <f>IF(B40="","",IF(C40="Not found","Check - content ID not on the calendar",IF(O40="","Add - no numbers entered yet",IF(AM40="Duplicate","Duplicate - this post is entered twice",IF(AL40="Top performer","Repurpose this one","OK")))))</f>
        <v>0</v>
      </c>
      <c r="AO40" s="39" t="s">
        <v>1909</v>
      </c>
    </row>
    <row r="41" spans="1:41">
      <c r="A41" s="41">
        <f>IF(B41="","","PF-"&amp;TEXT(ROW()-4,"0000"))</f>
        <v>0</v>
      </c>
      <c r="B41" s="15" t="s">
        <v>1491</v>
      </c>
      <c r="C41" s="17">
        <f>IF(B41="","",IFERROR(INDEX('Content Calendar'!$H$5:$H$604,MATCH(B41,'Content Calendar'!$A$5:$A$604,0)),"Not found"))</f>
        <v>0</v>
      </c>
      <c r="D41" s="16">
        <f>IF(B41="","",IFERROR(INDEX('Content Calendar'!$B$5:$B$604,MATCH(B41,'Content Calendar'!$A$5:$A$604,0)),"Not found"))</f>
        <v>0</v>
      </c>
      <c r="E41" s="17">
        <f>IF(B41="","",IFERROR(INDEX('Content Calendar'!$D$5:$D$604,MATCH(B41,'Content Calendar'!$A$5:$A$604,0)),"Not found"))</f>
        <v>0</v>
      </c>
      <c r="F41" s="17">
        <f>IF(B41="","",IFERROR(INDEX('Content Calendar'!$G$5:$G$604,MATCH(B41,'Content Calendar'!$A$5:$A$604,0)),"Not found"))</f>
        <v>0</v>
      </c>
      <c r="G41" s="17">
        <f>IF(B41="","",IFERROR(INDEX('Content Calendar'!$K$5:$K$604,MATCH(B41,'Content Calendar'!$A$5:$A$604,0)),"Not found"))</f>
        <v>0</v>
      </c>
      <c r="H41" s="17">
        <f>IF(B41="","",IFERROR(INDEX('Content Calendar'!$J$5:$J$604,MATCH(B41,'Content Calendar'!$A$5:$A$604,0)),"Not found"))</f>
        <v>0</v>
      </c>
      <c r="I41" s="17">
        <f>IF(B41="","",IFERROR(INDEX('Content Calendar'!$L$5:$L$604,MATCH(B41,'Content Calendar'!$A$5:$A$604,0)),"Not found"))</f>
        <v>0</v>
      </c>
      <c r="J41" s="17">
        <f>IF(B41="","",IFERROR(INDEX('Content Calendar'!$P$5:$P$604,MATCH(B41,'Content Calendar'!$A$5:$A$604,0)),"Not found"))</f>
        <v>0</v>
      </c>
      <c r="K41" s="17">
        <f>IF(B41="","",IFERROR(INDEX('Content Calendar'!$O$5:$O$604,MATCH(B41,'Content Calendar'!$A$5:$A$604,0)),"Not found"))</f>
        <v>0</v>
      </c>
      <c r="L41" s="17">
        <f>IF(B41="","",IFERROR(INDEX('Content Calendar'!$N$5:$N$604,MATCH(B41,'Content Calendar'!$A$5:$A$604,0)),"Not found"))</f>
        <v>0</v>
      </c>
      <c r="M41" s="17">
        <f>IF(B41="","",IFERROR(INDEX('Content Calendar'!$C$5:$C$604,MATCH(B41,'Content Calendar'!$A$5:$A$604,0)),"Not found"))</f>
        <v>0</v>
      </c>
      <c r="N41" s="17">
        <f>IF(B41="","",IFERROR(INDEX('Content Calendar'!$F$5:$F$604,MATCH(B41,'Content Calendar'!$A$5:$A$604,0)),"Not found"))</f>
        <v>0</v>
      </c>
      <c r="O41" s="34">
        <v>4608</v>
      </c>
      <c r="P41" s="34">
        <v>7243</v>
      </c>
      <c r="Q41" s="34">
        <v>169</v>
      </c>
      <c r="R41" s="34">
        <v>21</v>
      </c>
      <c r="S41" s="34">
        <v>16</v>
      </c>
      <c r="T41" s="34">
        <v>29</v>
      </c>
      <c r="U41" s="34">
        <v>18</v>
      </c>
      <c r="V41" s="37">
        <v>0</v>
      </c>
      <c r="W41" s="34">
        <v>0</v>
      </c>
      <c r="X41" s="36">
        <v>0</v>
      </c>
      <c r="Y41" s="35">
        <v>0.045</v>
      </c>
      <c r="Z41" s="23">
        <f>IF(O41="","",N(Q41)+N(R41)+N(S41)+N(T41))</f>
        <v>0</v>
      </c>
      <c r="AA41" s="24">
        <f>IF(OR(O41="",O41=0),"",Z41/O41)</f>
        <v>0</v>
      </c>
      <c r="AB41" s="24">
        <f>IF(OR(O41="",O41=0),"",N(T41)/O41)</f>
        <v>0</v>
      </c>
      <c r="AC41" s="24">
        <f>IF(OR(O41="",O41=0),"",N(S41)/O41)</f>
        <v>0</v>
      </c>
      <c r="AD41" s="24">
        <f>IF(OR(O41="",O41=0),"",N(R41)/O41)</f>
        <v>0</v>
      </c>
      <c r="AE41" s="24">
        <f>IF(OR(O41="",O41=0),"",N(U41)/O41)</f>
        <v>0</v>
      </c>
      <c r="AF41" s="24">
        <f>IF(OR(U41="",U41=0),"",N(W41)/U41)</f>
        <v>0</v>
      </c>
      <c r="AG41" s="25">
        <f>IF(OR(O41="",O41=0),"",N(X41)/(O41/1000))</f>
        <v>0</v>
      </c>
      <c r="AH41" s="24">
        <f>IF(O41="","",IF(Y41="",TargetEngagement,Y41))</f>
        <v>0</v>
      </c>
      <c r="AI41" s="24">
        <f>IF(OR(AA41="",AH41=""),"",AA41-AH41)</f>
        <v>0</v>
      </c>
      <c r="AJ41" s="31">
        <f>IF(AA41="","",AA41+ROW()/1000000)</f>
        <v>0</v>
      </c>
      <c r="AK41" s="23">
        <f>IF(AA41="","",RANK(AJ41,Performance!$AJ$5:$AJ$404))</f>
        <v>0</v>
      </c>
      <c r="AL41" s="29">
        <f>IF(AA41="","",IF(AA41&gt;=AH41*1.5,"Top performer",IF(AA41&gt;=AH41,"Above target",IF(AA41&gt;=AH41*0.6,"Below target","Weak - review it"))))</f>
        <v>0</v>
      </c>
      <c r="AM41" s="29">
        <f>IF(B41="","",IF(COUNTIF(Performance!$B$5:$B$404,B41)&gt;1,"Duplicate","OK"))</f>
        <v>0</v>
      </c>
      <c r="AN41" s="29">
        <f>IF(B41="","",IF(C41="Not found","Check - content ID not on the calendar",IF(O41="","Add - no numbers entered yet",IF(AM41="Duplicate","Duplicate - this post is entered twice",IF(AL41="Top performer","Repurpose this one","OK")))))</f>
        <v>0</v>
      </c>
      <c r="AO41" s="39" t="s">
        <v>205</v>
      </c>
    </row>
    <row r="42" spans="1:41">
      <c r="A42" s="41">
        <f>IF(B42="","","PF-"&amp;TEXT(ROW()-4,"0000"))</f>
        <v>0</v>
      </c>
      <c r="B42" s="15" t="s">
        <v>1453</v>
      </c>
      <c r="C42" s="17">
        <f>IF(B42="","",IFERROR(INDEX('Content Calendar'!$H$5:$H$604,MATCH(B42,'Content Calendar'!$A$5:$A$604,0)),"Not found"))</f>
        <v>0</v>
      </c>
      <c r="D42" s="16">
        <f>IF(B42="","",IFERROR(INDEX('Content Calendar'!$B$5:$B$604,MATCH(B42,'Content Calendar'!$A$5:$A$604,0)),"Not found"))</f>
        <v>0</v>
      </c>
      <c r="E42" s="17">
        <f>IF(B42="","",IFERROR(INDEX('Content Calendar'!$D$5:$D$604,MATCH(B42,'Content Calendar'!$A$5:$A$604,0)),"Not found"))</f>
        <v>0</v>
      </c>
      <c r="F42" s="17">
        <f>IF(B42="","",IFERROR(INDEX('Content Calendar'!$G$5:$G$604,MATCH(B42,'Content Calendar'!$A$5:$A$604,0)),"Not found"))</f>
        <v>0</v>
      </c>
      <c r="G42" s="17">
        <f>IF(B42="","",IFERROR(INDEX('Content Calendar'!$K$5:$K$604,MATCH(B42,'Content Calendar'!$A$5:$A$604,0)),"Not found"))</f>
        <v>0</v>
      </c>
      <c r="H42" s="17">
        <f>IF(B42="","",IFERROR(INDEX('Content Calendar'!$J$5:$J$604,MATCH(B42,'Content Calendar'!$A$5:$A$604,0)),"Not found"))</f>
        <v>0</v>
      </c>
      <c r="I42" s="17">
        <f>IF(B42="","",IFERROR(INDEX('Content Calendar'!$L$5:$L$604,MATCH(B42,'Content Calendar'!$A$5:$A$604,0)),"Not found"))</f>
        <v>0</v>
      </c>
      <c r="J42" s="17">
        <f>IF(B42="","",IFERROR(INDEX('Content Calendar'!$P$5:$P$604,MATCH(B42,'Content Calendar'!$A$5:$A$604,0)),"Not found"))</f>
        <v>0</v>
      </c>
      <c r="K42" s="17">
        <f>IF(B42="","",IFERROR(INDEX('Content Calendar'!$O$5:$O$604,MATCH(B42,'Content Calendar'!$A$5:$A$604,0)),"Not found"))</f>
        <v>0</v>
      </c>
      <c r="L42" s="17">
        <f>IF(B42="","",IFERROR(INDEX('Content Calendar'!$N$5:$N$604,MATCH(B42,'Content Calendar'!$A$5:$A$604,0)),"Not found"))</f>
        <v>0</v>
      </c>
      <c r="M42" s="17">
        <f>IF(B42="","",IFERROR(INDEX('Content Calendar'!$C$5:$C$604,MATCH(B42,'Content Calendar'!$A$5:$A$604,0)),"Not found"))</f>
        <v>0</v>
      </c>
      <c r="N42" s="17">
        <f>IF(B42="","",IFERROR(INDEX('Content Calendar'!$F$5:$F$604,MATCH(B42,'Content Calendar'!$A$5:$A$604,0)),"Not found"))</f>
        <v>0</v>
      </c>
      <c r="O42" s="34">
        <v>12127</v>
      </c>
      <c r="P42" s="34">
        <v>14462</v>
      </c>
      <c r="Q42" s="34">
        <v>527</v>
      </c>
      <c r="R42" s="34">
        <v>65</v>
      </c>
      <c r="S42" s="34">
        <v>51</v>
      </c>
      <c r="T42" s="34">
        <v>90</v>
      </c>
      <c r="U42" s="34">
        <v>64</v>
      </c>
      <c r="V42" s="37">
        <v>14.8</v>
      </c>
      <c r="W42" s="34">
        <v>5</v>
      </c>
      <c r="X42" s="36">
        <v>272.5</v>
      </c>
      <c r="Y42" s="35">
        <v>0.045</v>
      </c>
      <c r="Z42" s="23">
        <f>IF(O42="","",N(Q42)+N(R42)+N(S42)+N(T42))</f>
        <v>0</v>
      </c>
      <c r="AA42" s="24">
        <f>IF(OR(O42="",O42=0),"",Z42/O42)</f>
        <v>0</v>
      </c>
      <c r="AB42" s="24">
        <f>IF(OR(O42="",O42=0),"",N(T42)/O42)</f>
        <v>0</v>
      </c>
      <c r="AC42" s="24">
        <f>IF(OR(O42="",O42=0),"",N(S42)/O42)</f>
        <v>0</v>
      </c>
      <c r="AD42" s="24">
        <f>IF(OR(O42="",O42=0),"",N(R42)/O42)</f>
        <v>0</v>
      </c>
      <c r="AE42" s="24">
        <f>IF(OR(O42="",O42=0),"",N(U42)/O42)</f>
        <v>0</v>
      </c>
      <c r="AF42" s="24">
        <f>IF(OR(U42="",U42=0),"",N(W42)/U42)</f>
        <v>0</v>
      </c>
      <c r="AG42" s="25">
        <f>IF(OR(O42="",O42=0),"",N(X42)/(O42/1000))</f>
        <v>0</v>
      </c>
      <c r="AH42" s="24">
        <f>IF(O42="","",IF(Y42="",TargetEngagement,Y42))</f>
        <v>0</v>
      </c>
      <c r="AI42" s="24">
        <f>IF(OR(AA42="",AH42=""),"",AA42-AH42)</f>
        <v>0</v>
      </c>
      <c r="AJ42" s="31">
        <f>IF(AA42="","",AA42+ROW()/1000000)</f>
        <v>0</v>
      </c>
      <c r="AK42" s="23">
        <f>IF(AA42="","",RANK(AJ42,Performance!$AJ$5:$AJ$404))</f>
        <v>0</v>
      </c>
      <c r="AL42" s="29">
        <f>IF(AA42="","",IF(AA42&gt;=AH42*1.5,"Top performer",IF(AA42&gt;=AH42,"Above target",IF(AA42&gt;=AH42*0.6,"Below target","Weak - review it"))))</f>
        <v>0</v>
      </c>
      <c r="AM42" s="29">
        <f>IF(B42="","",IF(COUNTIF(Performance!$B$5:$B$404,B42)&gt;1,"Duplicate","OK"))</f>
        <v>0</v>
      </c>
      <c r="AN42" s="29">
        <f>IF(B42="","",IF(C42="Not found","Check - content ID not on the calendar",IF(O42="","Add - no numbers entered yet",IF(AM42="Duplicate","Duplicate - this post is entered twice",IF(AL42="Top performer","Repurpose this one","OK")))))</f>
        <v>0</v>
      </c>
      <c r="AO42" s="39" t="s">
        <v>205</v>
      </c>
    </row>
    <row r="43" spans="1:41">
      <c r="A43" s="41">
        <f>IF(B43="","","PF-"&amp;TEXT(ROW()-4,"0000"))</f>
        <v>0</v>
      </c>
      <c r="B43" s="15" t="s">
        <v>1557</v>
      </c>
      <c r="C43" s="17">
        <f>IF(B43="","",IFERROR(INDEX('Content Calendar'!$H$5:$H$604,MATCH(B43,'Content Calendar'!$A$5:$A$604,0)),"Not found"))</f>
        <v>0</v>
      </c>
      <c r="D43" s="16">
        <f>IF(B43="","",IFERROR(INDEX('Content Calendar'!$B$5:$B$604,MATCH(B43,'Content Calendar'!$A$5:$A$604,0)),"Not found"))</f>
        <v>0</v>
      </c>
      <c r="E43" s="17">
        <f>IF(B43="","",IFERROR(INDEX('Content Calendar'!$D$5:$D$604,MATCH(B43,'Content Calendar'!$A$5:$A$604,0)),"Not found"))</f>
        <v>0</v>
      </c>
      <c r="F43" s="17">
        <f>IF(B43="","",IFERROR(INDEX('Content Calendar'!$G$5:$G$604,MATCH(B43,'Content Calendar'!$A$5:$A$604,0)),"Not found"))</f>
        <v>0</v>
      </c>
      <c r="G43" s="17">
        <f>IF(B43="","",IFERROR(INDEX('Content Calendar'!$K$5:$K$604,MATCH(B43,'Content Calendar'!$A$5:$A$604,0)),"Not found"))</f>
        <v>0</v>
      </c>
      <c r="H43" s="17">
        <f>IF(B43="","",IFERROR(INDEX('Content Calendar'!$J$5:$J$604,MATCH(B43,'Content Calendar'!$A$5:$A$604,0)),"Not found"))</f>
        <v>0</v>
      </c>
      <c r="I43" s="17">
        <f>IF(B43="","",IFERROR(INDEX('Content Calendar'!$L$5:$L$604,MATCH(B43,'Content Calendar'!$A$5:$A$604,0)),"Not found"))</f>
        <v>0</v>
      </c>
      <c r="J43" s="17">
        <f>IF(B43="","",IFERROR(INDEX('Content Calendar'!$P$5:$P$604,MATCH(B43,'Content Calendar'!$A$5:$A$604,0)),"Not found"))</f>
        <v>0</v>
      </c>
      <c r="K43" s="17">
        <f>IF(B43="","",IFERROR(INDEX('Content Calendar'!$O$5:$O$604,MATCH(B43,'Content Calendar'!$A$5:$A$604,0)),"Not found"))</f>
        <v>0</v>
      </c>
      <c r="L43" s="17">
        <f>IF(B43="","",IFERROR(INDEX('Content Calendar'!$N$5:$N$604,MATCH(B43,'Content Calendar'!$A$5:$A$604,0)),"Not found"))</f>
        <v>0</v>
      </c>
      <c r="M43" s="17">
        <f>IF(B43="","",IFERROR(INDEX('Content Calendar'!$C$5:$C$604,MATCH(B43,'Content Calendar'!$A$5:$A$604,0)),"Not found"))</f>
        <v>0</v>
      </c>
      <c r="N43" s="17">
        <f>IF(B43="","",IFERROR(INDEX('Content Calendar'!$F$5:$F$604,MATCH(B43,'Content Calendar'!$A$5:$A$604,0)),"Not found"))</f>
        <v>0</v>
      </c>
      <c r="O43" s="34">
        <v>1491</v>
      </c>
      <c r="P43" s="34">
        <v>2320</v>
      </c>
      <c r="Q43" s="34">
        <v>96</v>
      </c>
      <c r="R43" s="34">
        <v>12</v>
      </c>
      <c r="S43" s="34">
        <v>9</v>
      </c>
      <c r="T43" s="34">
        <v>17</v>
      </c>
      <c r="U43" s="34">
        <v>9</v>
      </c>
      <c r="V43" s="37">
        <v>0</v>
      </c>
      <c r="W43" s="34">
        <v>0</v>
      </c>
      <c r="X43" s="36">
        <v>0</v>
      </c>
      <c r="Y43" s="35">
        <v>0.045</v>
      </c>
      <c r="Z43" s="23">
        <f>IF(O43="","",N(Q43)+N(R43)+N(S43)+N(T43))</f>
        <v>0</v>
      </c>
      <c r="AA43" s="24">
        <f>IF(OR(O43="",O43=0),"",Z43/O43)</f>
        <v>0</v>
      </c>
      <c r="AB43" s="24">
        <f>IF(OR(O43="",O43=0),"",N(T43)/O43)</f>
        <v>0</v>
      </c>
      <c r="AC43" s="24">
        <f>IF(OR(O43="",O43=0),"",N(S43)/O43)</f>
        <v>0</v>
      </c>
      <c r="AD43" s="24">
        <f>IF(OR(O43="",O43=0),"",N(R43)/O43)</f>
        <v>0</v>
      </c>
      <c r="AE43" s="24">
        <f>IF(OR(O43="",O43=0),"",N(U43)/O43)</f>
        <v>0</v>
      </c>
      <c r="AF43" s="24">
        <f>IF(OR(U43="",U43=0),"",N(W43)/U43)</f>
        <v>0</v>
      </c>
      <c r="AG43" s="25">
        <f>IF(OR(O43="",O43=0),"",N(X43)/(O43/1000))</f>
        <v>0</v>
      </c>
      <c r="AH43" s="24">
        <f>IF(O43="","",IF(Y43="",TargetEngagement,Y43))</f>
        <v>0</v>
      </c>
      <c r="AI43" s="24">
        <f>IF(OR(AA43="",AH43=""),"",AA43-AH43)</f>
        <v>0</v>
      </c>
      <c r="AJ43" s="31">
        <f>IF(AA43="","",AA43+ROW()/1000000)</f>
        <v>0</v>
      </c>
      <c r="AK43" s="23">
        <f>IF(AA43="","",RANK(AJ43,Performance!$AJ$5:$AJ$404))</f>
        <v>0</v>
      </c>
      <c r="AL43" s="29">
        <f>IF(AA43="","",IF(AA43&gt;=AH43*1.5,"Top performer",IF(AA43&gt;=AH43,"Above target",IF(AA43&gt;=AH43*0.6,"Below target","Weak - review it"))))</f>
        <v>0</v>
      </c>
      <c r="AM43" s="29">
        <f>IF(B43="","",IF(COUNTIF(Performance!$B$5:$B$404,B43)&gt;1,"Duplicate","OK"))</f>
        <v>0</v>
      </c>
      <c r="AN43" s="29">
        <f>IF(B43="","",IF(C43="Not found","Check - content ID not on the calendar",IF(O43="","Add - no numbers entered yet",IF(AM43="Duplicate","Duplicate - this post is entered twice",IF(AL43="Top performer","Repurpose this one","OK")))))</f>
        <v>0</v>
      </c>
      <c r="AO43" s="39" t="s">
        <v>205</v>
      </c>
    </row>
    <row r="44" spans="1:41">
      <c r="A44" s="41">
        <f>IF(B44="","","PF-"&amp;TEXT(ROW()-4,"0000"))</f>
        <v>0</v>
      </c>
      <c r="B44" s="15" t="s">
        <v>1910</v>
      </c>
      <c r="C44" s="17">
        <f>IF(B44="","",IFERROR(INDEX('Content Calendar'!$H$5:$H$604,MATCH(B44,'Content Calendar'!$A$5:$A$604,0)),"Not found"))</f>
        <v>0</v>
      </c>
      <c r="D44" s="16">
        <f>IF(B44="","",IFERROR(INDEX('Content Calendar'!$B$5:$B$604,MATCH(B44,'Content Calendar'!$A$5:$A$604,0)),"Not found"))</f>
        <v>0</v>
      </c>
      <c r="E44" s="17">
        <f>IF(B44="","",IFERROR(INDEX('Content Calendar'!$D$5:$D$604,MATCH(B44,'Content Calendar'!$A$5:$A$604,0)),"Not found"))</f>
        <v>0</v>
      </c>
      <c r="F44" s="17">
        <f>IF(B44="","",IFERROR(INDEX('Content Calendar'!$G$5:$G$604,MATCH(B44,'Content Calendar'!$A$5:$A$604,0)),"Not found"))</f>
        <v>0</v>
      </c>
      <c r="G44" s="17">
        <f>IF(B44="","",IFERROR(INDEX('Content Calendar'!$K$5:$K$604,MATCH(B44,'Content Calendar'!$A$5:$A$604,0)),"Not found"))</f>
        <v>0</v>
      </c>
      <c r="H44" s="17">
        <f>IF(B44="","",IFERROR(INDEX('Content Calendar'!$J$5:$J$604,MATCH(B44,'Content Calendar'!$A$5:$A$604,0)),"Not found"))</f>
        <v>0</v>
      </c>
      <c r="I44" s="17">
        <f>IF(B44="","",IFERROR(INDEX('Content Calendar'!$L$5:$L$604,MATCH(B44,'Content Calendar'!$A$5:$A$604,0)),"Not found"))</f>
        <v>0</v>
      </c>
      <c r="J44" s="17">
        <f>IF(B44="","",IFERROR(INDEX('Content Calendar'!$P$5:$P$604,MATCH(B44,'Content Calendar'!$A$5:$A$604,0)),"Not found"))</f>
        <v>0</v>
      </c>
      <c r="K44" s="17">
        <f>IF(B44="","",IFERROR(INDEX('Content Calendar'!$O$5:$O$604,MATCH(B44,'Content Calendar'!$A$5:$A$604,0)),"Not found"))</f>
        <v>0</v>
      </c>
      <c r="L44" s="17">
        <f>IF(B44="","",IFERROR(INDEX('Content Calendar'!$N$5:$N$604,MATCH(B44,'Content Calendar'!$A$5:$A$604,0)),"Not found"))</f>
        <v>0</v>
      </c>
      <c r="M44" s="17">
        <f>IF(B44="","",IFERROR(INDEX('Content Calendar'!$C$5:$C$604,MATCH(B44,'Content Calendar'!$A$5:$A$604,0)),"Not found"))</f>
        <v>0</v>
      </c>
      <c r="N44" s="17">
        <f>IF(B44="","",IFERROR(INDEX('Content Calendar'!$F$5:$F$604,MATCH(B44,'Content Calendar'!$A$5:$A$604,0)),"Not found"))</f>
        <v>0</v>
      </c>
      <c r="O44" s="34">
        <v>4498</v>
      </c>
      <c r="P44" s="34">
        <v>5333</v>
      </c>
      <c r="Q44" s="34">
        <v>80</v>
      </c>
      <c r="R44" s="34">
        <v>10</v>
      </c>
      <c r="S44" s="34">
        <v>7</v>
      </c>
      <c r="T44" s="34">
        <v>15</v>
      </c>
      <c r="U44" s="34">
        <v>58</v>
      </c>
      <c r="V44" s="37">
        <v>13.7</v>
      </c>
      <c r="W44" s="34">
        <v>3</v>
      </c>
      <c r="X44" s="36">
        <v>132.72</v>
      </c>
      <c r="Y44" s="35">
        <v>0.045</v>
      </c>
      <c r="Z44" s="23">
        <f>IF(O44="","",N(Q44)+N(R44)+N(S44)+N(T44))</f>
        <v>0</v>
      </c>
      <c r="AA44" s="24">
        <f>IF(OR(O44="",O44=0),"",Z44/O44)</f>
        <v>0</v>
      </c>
      <c r="AB44" s="24">
        <f>IF(OR(O44="",O44=0),"",N(T44)/O44)</f>
        <v>0</v>
      </c>
      <c r="AC44" s="24">
        <f>IF(OR(O44="",O44=0),"",N(S44)/O44)</f>
        <v>0</v>
      </c>
      <c r="AD44" s="24">
        <f>IF(OR(O44="",O44=0),"",N(R44)/O44)</f>
        <v>0</v>
      </c>
      <c r="AE44" s="24">
        <f>IF(OR(O44="",O44=0),"",N(U44)/O44)</f>
        <v>0</v>
      </c>
      <c r="AF44" s="24">
        <f>IF(OR(U44="",U44=0),"",N(W44)/U44)</f>
        <v>0</v>
      </c>
      <c r="AG44" s="25">
        <f>IF(OR(O44="",O44=0),"",N(X44)/(O44/1000))</f>
        <v>0</v>
      </c>
      <c r="AH44" s="24">
        <f>IF(O44="","",IF(Y44="",TargetEngagement,Y44))</f>
        <v>0</v>
      </c>
      <c r="AI44" s="24">
        <f>IF(OR(AA44="",AH44=""),"",AA44-AH44)</f>
        <v>0</v>
      </c>
      <c r="AJ44" s="31">
        <f>IF(AA44="","",AA44+ROW()/1000000)</f>
        <v>0</v>
      </c>
      <c r="AK44" s="23">
        <f>IF(AA44="","",RANK(AJ44,Performance!$AJ$5:$AJ$404))</f>
        <v>0</v>
      </c>
      <c r="AL44" s="29">
        <f>IF(AA44="","",IF(AA44&gt;=AH44*1.5,"Top performer",IF(AA44&gt;=AH44,"Above target",IF(AA44&gt;=AH44*0.6,"Below target","Weak - review it"))))</f>
        <v>0</v>
      </c>
      <c r="AM44" s="29">
        <f>IF(B44="","",IF(COUNTIF(Performance!$B$5:$B$404,B44)&gt;1,"Duplicate","OK"))</f>
        <v>0</v>
      </c>
      <c r="AN44" s="29">
        <f>IF(B44="","",IF(C44="Not found","Check - content ID not on the calendar",IF(O44="","Add - no numbers entered yet",IF(AM44="Duplicate","Duplicate - this post is entered twice",IF(AL44="Top performer","Repurpose this one","OK")))))</f>
        <v>0</v>
      </c>
      <c r="AO44" s="39" t="s">
        <v>205</v>
      </c>
    </row>
    <row r="45" spans="1:41">
      <c r="A45" s="41">
        <f>IF(B45="","","PF-"&amp;TEXT(ROW()-4,"0000"))</f>
        <v>0</v>
      </c>
      <c r="B45" s="15" t="s">
        <v>1911</v>
      </c>
      <c r="C45" s="17">
        <f>IF(B45="","",IFERROR(INDEX('Content Calendar'!$H$5:$H$604,MATCH(B45,'Content Calendar'!$A$5:$A$604,0)),"Not found"))</f>
        <v>0</v>
      </c>
      <c r="D45" s="16">
        <f>IF(B45="","",IFERROR(INDEX('Content Calendar'!$B$5:$B$604,MATCH(B45,'Content Calendar'!$A$5:$A$604,0)),"Not found"))</f>
        <v>0</v>
      </c>
      <c r="E45" s="17">
        <f>IF(B45="","",IFERROR(INDEX('Content Calendar'!$D$5:$D$604,MATCH(B45,'Content Calendar'!$A$5:$A$604,0)),"Not found"))</f>
        <v>0</v>
      </c>
      <c r="F45" s="17">
        <f>IF(B45="","",IFERROR(INDEX('Content Calendar'!$G$5:$G$604,MATCH(B45,'Content Calendar'!$A$5:$A$604,0)),"Not found"))</f>
        <v>0</v>
      </c>
      <c r="G45" s="17">
        <f>IF(B45="","",IFERROR(INDEX('Content Calendar'!$K$5:$K$604,MATCH(B45,'Content Calendar'!$A$5:$A$604,0)),"Not found"))</f>
        <v>0</v>
      </c>
      <c r="H45" s="17">
        <f>IF(B45="","",IFERROR(INDEX('Content Calendar'!$J$5:$J$604,MATCH(B45,'Content Calendar'!$A$5:$A$604,0)),"Not found"))</f>
        <v>0</v>
      </c>
      <c r="I45" s="17">
        <f>IF(B45="","",IFERROR(INDEX('Content Calendar'!$L$5:$L$604,MATCH(B45,'Content Calendar'!$A$5:$A$604,0)),"Not found"))</f>
        <v>0</v>
      </c>
      <c r="J45" s="17">
        <f>IF(B45="","",IFERROR(INDEX('Content Calendar'!$P$5:$P$604,MATCH(B45,'Content Calendar'!$A$5:$A$604,0)),"Not found"))</f>
        <v>0</v>
      </c>
      <c r="K45" s="17">
        <f>IF(B45="","",IFERROR(INDEX('Content Calendar'!$O$5:$O$604,MATCH(B45,'Content Calendar'!$A$5:$A$604,0)),"Not found"))</f>
        <v>0</v>
      </c>
      <c r="L45" s="17">
        <f>IF(B45="","",IFERROR(INDEX('Content Calendar'!$N$5:$N$604,MATCH(B45,'Content Calendar'!$A$5:$A$604,0)),"Not found"))</f>
        <v>0</v>
      </c>
      <c r="M45" s="17">
        <f>IF(B45="","",IFERROR(INDEX('Content Calendar'!$C$5:$C$604,MATCH(B45,'Content Calendar'!$A$5:$A$604,0)),"Not found"))</f>
        <v>0</v>
      </c>
      <c r="N45" s="17">
        <f>IF(B45="","",IFERROR(INDEX('Content Calendar'!$F$5:$F$604,MATCH(B45,'Content Calendar'!$A$5:$A$604,0)),"Not found"))</f>
        <v>0</v>
      </c>
      <c r="O45" s="34">
        <v>5535</v>
      </c>
      <c r="P45" s="34">
        <v>7479</v>
      </c>
      <c r="Q45" s="34">
        <v>311</v>
      </c>
      <c r="R45" s="34">
        <v>38</v>
      </c>
      <c r="S45" s="34">
        <v>30</v>
      </c>
      <c r="T45" s="34">
        <v>53</v>
      </c>
      <c r="U45" s="34">
        <v>95</v>
      </c>
      <c r="V45" s="37">
        <v>26.1</v>
      </c>
      <c r="W45" s="34">
        <v>2</v>
      </c>
      <c r="X45" s="36">
        <v>114.2</v>
      </c>
      <c r="Y45" s="35">
        <v>0.045</v>
      </c>
      <c r="Z45" s="23">
        <f>IF(O45="","",N(Q45)+N(R45)+N(S45)+N(T45))</f>
        <v>0</v>
      </c>
      <c r="AA45" s="24">
        <f>IF(OR(O45="",O45=0),"",Z45/O45)</f>
        <v>0</v>
      </c>
      <c r="AB45" s="24">
        <f>IF(OR(O45="",O45=0),"",N(T45)/O45)</f>
        <v>0</v>
      </c>
      <c r="AC45" s="24">
        <f>IF(OR(O45="",O45=0),"",N(S45)/O45)</f>
        <v>0</v>
      </c>
      <c r="AD45" s="24">
        <f>IF(OR(O45="",O45=0),"",N(R45)/O45)</f>
        <v>0</v>
      </c>
      <c r="AE45" s="24">
        <f>IF(OR(O45="",O45=0),"",N(U45)/O45)</f>
        <v>0</v>
      </c>
      <c r="AF45" s="24">
        <f>IF(OR(U45="",U45=0),"",N(W45)/U45)</f>
        <v>0</v>
      </c>
      <c r="AG45" s="25">
        <f>IF(OR(O45="",O45=0),"",N(X45)/(O45/1000))</f>
        <v>0</v>
      </c>
      <c r="AH45" s="24">
        <f>IF(O45="","",IF(Y45="",TargetEngagement,Y45))</f>
        <v>0</v>
      </c>
      <c r="AI45" s="24">
        <f>IF(OR(AA45="",AH45=""),"",AA45-AH45)</f>
        <v>0</v>
      </c>
      <c r="AJ45" s="31">
        <f>IF(AA45="","",AA45+ROW()/1000000)</f>
        <v>0</v>
      </c>
      <c r="AK45" s="23">
        <f>IF(AA45="","",RANK(AJ45,Performance!$AJ$5:$AJ$404))</f>
        <v>0</v>
      </c>
      <c r="AL45" s="29">
        <f>IF(AA45="","",IF(AA45&gt;=AH45*1.5,"Top performer",IF(AA45&gt;=AH45,"Above target",IF(AA45&gt;=AH45*0.6,"Below target","Weak - review it"))))</f>
        <v>0</v>
      </c>
      <c r="AM45" s="29">
        <f>IF(B45="","",IF(COUNTIF(Performance!$B$5:$B$404,B45)&gt;1,"Duplicate","OK"))</f>
        <v>0</v>
      </c>
      <c r="AN45" s="29">
        <f>IF(B45="","",IF(C45="Not found","Check - content ID not on the calendar",IF(O45="","Add - no numbers entered yet",IF(AM45="Duplicate","Duplicate - this post is entered twice",IF(AL45="Top performer","Repurpose this one","OK")))))</f>
        <v>0</v>
      </c>
      <c r="AO45" s="39" t="s">
        <v>205</v>
      </c>
    </row>
    <row r="46" spans="1:41">
      <c r="A46" s="41">
        <f>IF(B46="","","PF-"&amp;TEXT(ROW()-4,"0000"))</f>
        <v>0</v>
      </c>
      <c r="B46" s="15" t="s">
        <v>1912</v>
      </c>
      <c r="C46" s="17">
        <f>IF(B46="","",IFERROR(INDEX('Content Calendar'!$H$5:$H$604,MATCH(B46,'Content Calendar'!$A$5:$A$604,0)),"Not found"))</f>
        <v>0</v>
      </c>
      <c r="D46" s="16">
        <f>IF(B46="","",IFERROR(INDEX('Content Calendar'!$B$5:$B$604,MATCH(B46,'Content Calendar'!$A$5:$A$604,0)),"Not found"))</f>
        <v>0</v>
      </c>
      <c r="E46" s="17">
        <f>IF(B46="","",IFERROR(INDEX('Content Calendar'!$D$5:$D$604,MATCH(B46,'Content Calendar'!$A$5:$A$604,0)),"Not found"))</f>
        <v>0</v>
      </c>
      <c r="F46" s="17">
        <f>IF(B46="","",IFERROR(INDEX('Content Calendar'!$G$5:$G$604,MATCH(B46,'Content Calendar'!$A$5:$A$604,0)),"Not found"))</f>
        <v>0</v>
      </c>
      <c r="G46" s="17">
        <f>IF(B46="","",IFERROR(INDEX('Content Calendar'!$K$5:$K$604,MATCH(B46,'Content Calendar'!$A$5:$A$604,0)),"Not found"))</f>
        <v>0</v>
      </c>
      <c r="H46" s="17">
        <f>IF(B46="","",IFERROR(INDEX('Content Calendar'!$J$5:$J$604,MATCH(B46,'Content Calendar'!$A$5:$A$604,0)),"Not found"))</f>
        <v>0</v>
      </c>
      <c r="I46" s="17">
        <f>IF(B46="","",IFERROR(INDEX('Content Calendar'!$L$5:$L$604,MATCH(B46,'Content Calendar'!$A$5:$A$604,0)),"Not found"))</f>
        <v>0</v>
      </c>
      <c r="J46" s="17">
        <f>IF(B46="","",IFERROR(INDEX('Content Calendar'!$P$5:$P$604,MATCH(B46,'Content Calendar'!$A$5:$A$604,0)),"Not found"))</f>
        <v>0</v>
      </c>
      <c r="K46" s="17">
        <f>IF(B46="","",IFERROR(INDEX('Content Calendar'!$O$5:$O$604,MATCH(B46,'Content Calendar'!$A$5:$A$604,0)),"Not found"))</f>
        <v>0</v>
      </c>
      <c r="L46" s="17">
        <f>IF(B46="","",IFERROR(INDEX('Content Calendar'!$N$5:$N$604,MATCH(B46,'Content Calendar'!$A$5:$A$604,0)),"Not found"))</f>
        <v>0</v>
      </c>
      <c r="M46" s="17">
        <f>IF(B46="","",IFERROR(INDEX('Content Calendar'!$C$5:$C$604,MATCH(B46,'Content Calendar'!$A$5:$A$604,0)),"Not found"))</f>
        <v>0</v>
      </c>
      <c r="N46" s="17">
        <f>IF(B46="","",IFERROR(INDEX('Content Calendar'!$F$5:$F$604,MATCH(B46,'Content Calendar'!$A$5:$A$604,0)),"Not found"))</f>
        <v>0</v>
      </c>
      <c r="O46" s="34">
        <v>7998</v>
      </c>
      <c r="P46" s="34">
        <v>12412</v>
      </c>
      <c r="Q46" s="34">
        <v>254</v>
      </c>
      <c r="R46" s="34">
        <v>31</v>
      </c>
      <c r="S46" s="34">
        <v>24</v>
      </c>
      <c r="T46" s="34">
        <v>44</v>
      </c>
      <c r="U46" s="34">
        <v>36</v>
      </c>
      <c r="V46" s="37">
        <v>20.2</v>
      </c>
      <c r="W46" s="34">
        <v>2</v>
      </c>
      <c r="X46" s="36">
        <v>83.77</v>
      </c>
      <c r="Y46" s="35">
        <v>0.045</v>
      </c>
      <c r="Z46" s="23">
        <f>IF(O46="","",N(Q46)+N(R46)+N(S46)+N(T46))</f>
        <v>0</v>
      </c>
      <c r="AA46" s="24">
        <f>IF(OR(O46="",O46=0),"",Z46/O46)</f>
        <v>0</v>
      </c>
      <c r="AB46" s="24">
        <f>IF(OR(O46="",O46=0),"",N(T46)/O46)</f>
        <v>0</v>
      </c>
      <c r="AC46" s="24">
        <f>IF(OR(O46="",O46=0),"",N(S46)/O46)</f>
        <v>0</v>
      </c>
      <c r="AD46" s="24">
        <f>IF(OR(O46="",O46=0),"",N(R46)/O46)</f>
        <v>0</v>
      </c>
      <c r="AE46" s="24">
        <f>IF(OR(O46="",O46=0),"",N(U46)/O46)</f>
        <v>0</v>
      </c>
      <c r="AF46" s="24">
        <f>IF(OR(U46="",U46=0),"",N(W46)/U46)</f>
        <v>0</v>
      </c>
      <c r="AG46" s="25">
        <f>IF(OR(O46="",O46=0),"",N(X46)/(O46/1000))</f>
        <v>0</v>
      </c>
      <c r="AH46" s="24">
        <f>IF(O46="","",IF(Y46="",TargetEngagement,Y46))</f>
        <v>0</v>
      </c>
      <c r="AI46" s="24">
        <f>IF(OR(AA46="",AH46=""),"",AA46-AH46)</f>
        <v>0</v>
      </c>
      <c r="AJ46" s="31">
        <f>IF(AA46="","",AA46+ROW()/1000000)</f>
        <v>0</v>
      </c>
      <c r="AK46" s="23">
        <f>IF(AA46="","",RANK(AJ46,Performance!$AJ$5:$AJ$404))</f>
        <v>0</v>
      </c>
      <c r="AL46" s="29">
        <f>IF(AA46="","",IF(AA46&gt;=AH46*1.5,"Top performer",IF(AA46&gt;=AH46,"Above target",IF(AA46&gt;=AH46*0.6,"Below target","Weak - review it"))))</f>
        <v>0</v>
      </c>
      <c r="AM46" s="29">
        <f>IF(B46="","",IF(COUNTIF(Performance!$B$5:$B$404,B46)&gt;1,"Duplicate","OK"))</f>
        <v>0</v>
      </c>
      <c r="AN46" s="29">
        <f>IF(B46="","",IF(C46="Not found","Check - content ID not on the calendar",IF(O46="","Add - no numbers entered yet",IF(AM46="Duplicate","Duplicate - this post is entered twice",IF(AL46="Top performer","Repurpose this one","OK")))))</f>
        <v>0</v>
      </c>
      <c r="AO46" s="39" t="s">
        <v>205</v>
      </c>
    </row>
    <row r="47" spans="1:41">
      <c r="A47" s="41">
        <f>IF(B47="","","PF-"&amp;TEXT(ROW()-4,"0000"))</f>
        <v>0</v>
      </c>
      <c r="C47" s="17">
        <f>IF(B47="","",IFERROR(INDEX('Content Calendar'!$H$5:$H$604,MATCH(B47,'Content Calendar'!$A$5:$A$604,0)),"Not found"))</f>
        <v>0</v>
      </c>
      <c r="D47" s="16">
        <f>IF(B47="","",IFERROR(INDEX('Content Calendar'!$B$5:$B$604,MATCH(B47,'Content Calendar'!$A$5:$A$604,0)),"Not found"))</f>
        <v>0</v>
      </c>
      <c r="E47" s="17">
        <f>IF(B47="","",IFERROR(INDEX('Content Calendar'!$D$5:$D$604,MATCH(B47,'Content Calendar'!$A$5:$A$604,0)),"Not found"))</f>
        <v>0</v>
      </c>
      <c r="F47" s="17">
        <f>IF(B47="","",IFERROR(INDEX('Content Calendar'!$G$5:$G$604,MATCH(B47,'Content Calendar'!$A$5:$A$604,0)),"Not found"))</f>
        <v>0</v>
      </c>
      <c r="G47" s="17">
        <f>IF(B47="","",IFERROR(INDEX('Content Calendar'!$K$5:$K$604,MATCH(B47,'Content Calendar'!$A$5:$A$604,0)),"Not found"))</f>
        <v>0</v>
      </c>
      <c r="H47" s="17">
        <f>IF(B47="","",IFERROR(INDEX('Content Calendar'!$J$5:$J$604,MATCH(B47,'Content Calendar'!$A$5:$A$604,0)),"Not found"))</f>
        <v>0</v>
      </c>
      <c r="I47" s="17">
        <f>IF(B47="","",IFERROR(INDEX('Content Calendar'!$L$5:$L$604,MATCH(B47,'Content Calendar'!$A$5:$A$604,0)),"Not found"))</f>
        <v>0</v>
      </c>
      <c r="J47" s="17">
        <f>IF(B47="","",IFERROR(INDEX('Content Calendar'!$P$5:$P$604,MATCH(B47,'Content Calendar'!$A$5:$A$604,0)),"Not found"))</f>
        <v>0</v>
      </c>
      <c r="K47" s="17">
        <f>IF(B47="","",IFERROR(INDEX('Content Calendar'!$O$5:$O$604,MATCH(B47,'Content Calendar'!$A$5:$A$604,0)),"Not found"))</f>
        <v>0</v>
      </c>
      <c r="L47" s="17">
        <f>IF(B47="","",IFERROR(INDEX('Content Calendar'!$N$5:$N$604,MATCH(B47,'Content Calendar'!$A$5:$A$604,0)),"Not found"))</f>
        <v>0</v>
      </c>
      <c r="M47" s="17">
        <f>IF(B47="","",IFERROR(INDEX('Content Calendar'!$C$5:$C$604,MATCH(B47,'Content Calendar'!$A$5:$A$604,0)),"Not found"))</f>
        <v>0</v>
      </c>
      <c r="N47" s="17">
        <f>IF(B47="","",IFERROR(INDEX('Content Calendar'!$F$5:$F$604,MATCH(B47,'Content Calendar'!$A$5:$A$604,0)),"Not found"))</f>
        <v>0</v>
      </c>
      <c r="Z47" s="23">
        <f>IF(O47="","",N(Q47)+N(R47)+N(S47)+N(T47))</f>
        <v>0</v>
      </c>
      <c r="AA47" s="24">
        <f>IF(OR(O47="",O47=0),"",Z47/O47)</f>
        <v>0</v>
      </c>
      <c r="AB47" s="24">
        <f>IF(OR(O47="",O47=0),"",N(T47)/O47)</f>
        <v>0</v>
      </c>
      <c r="AC47" s="24">
        <f>IF(OR(O47="",O47=0),"",N(S47)/O47)</f>
        <v>0</v>
      </c>
      <c r="AD47" s="24">
        <f>IF(OR(O47="",O47=0),"",N(R47)/O47)</f>
        <v>0</v>
      </c>
      <c r="AE47" s="24">
        <f>IF(OR(O47="",O47=0),"",N(U47)/O47)</f>
        <v>0</v>
      </c>
      <c r="AF47" s="24">
        <f>IF(OR(U47="",U47=0),"",N(W47)/U47)</f>
        <v>0</v>
      </c>
      <c r="AG47" s="25">
        <f>IF(OR(O47="",O47=0),"",N(X47)/(O47/1000))</f>
        <v>0</v>
      </c>
      <c r="AH47" s="24">
        <f>IF(O47="","",IF(Y47="",TargetEngagement,Y47))</f>
        <v>0</v>
      </c>
      <c r="AI47" s="24">
        <f>IF(OR(AA47="",AH47=""),"",AA47-AH47)</f>
        <v>0</v>
      </c>
      <c r="AJ47" s="31">
        <f>IF(AA47="","",AA47+ROW()/1000000)</f>
        <v>0</v>
      </c>
      <c r="AK47" s="23">
        <f>IF(AA47="","",RANK(AJ47,Performance!$AJ$5:$AJ$404))</f>
        <v>0</v>
      </c>
      <c r="AL47" s="29">
        <f>IF(AA47="","",IF(AA47&gt;=AH47*1.5,"Top performer",IF(AA47&gt;=AH47,"Above target",IF(AA47&gt;=AH47*0.6,"Below target","Weak - review it"))))</f>
        <v>0</v>
      </c>
      <c r="AM47" s="29">
        <f>IF(B47="","",IF(COUNTIF(Performance!$B$5:$B$404,B47)&gt;1,"Duplicate","OK"))</f>
        <v>0</v>
      </c>
      <c r="AN47" s="29">
        <f>IF(B47="","",IF(C47="Not found","Check - content ID not on the calendar",IF(O47="","Add - no numbers entered yet",IF(AM47="Duplicate","Duplicate - this post is entered twice",IF(AL47="Top performer","Repurpose this one","OK")))))</f>
        <v>0</v>
      </c>
    </row>
    <row r="48" spans="1:41">
      <c r="A48" s="41">
        <f>IF(B48="","","PF-"&amp;TEXT(ROW()-4,"0000"))</f>
        <v>0</v>
      </c>
      <c r="C48" s="17">
        <f>IF(B48="","",IFERROR(INDEX('Content Calendar'!$H$5:$H$604,MATCH(B48,'Content Calendar'!$A$5:$A$604,0)),"Not found"))</f>
        <v>0</v>
      </c>
      <c r="D48" s="16">
        <f>IF(B48="","",IFERROR(INDEX('Content Calendar'!$B$5:$B$604,MATCH(B48,'Content Calendar'!$A$5:$A$604,0)),"Not found"))</f>
        <v>0</v>
      </c>
      <c r="E48" s="17">
        <f>IF(B48="","",IFERROR(INDEX('Content Calendar'!$D$5:$D$604,MATCH(B48,'Content Calendar'!$A$5:$A$604,0)),"Not found"))</f>
        <v>0</v>
      </c>
      <c r="F48" s="17">
        <f>IF(B48="","",IFERROR(INDEX('Content Calendar'!$G$5:$G$604,MATCH(B48,'Content Calendar'!$A$5:$A$604,0)),"Not found"))</f>
        <v>0</v>
      </c>
      <c r="G48" s="17">
        <f>IF(B48="","",IFERROR(INDEX('Content Calendar'!$K$5:$K$604,MATCH(B48,'Content Calendar'!$A$5:$A$604,0)),"Not found"))</f>
        <v>0</v>
      </c>
      <c r="H48" s="17">
        <f>IF(B48="","",IFERROR(INDEX('Content Calendar'!$J$5:$J$604,MATCH(B48,'Content Calendar'!$A$5:$A$604,0)),"Not found"))</f>
        <v>0</v>
      </c>
      <c r="I48" s="17">
        <f>IF(B48="","",IFERROR(INDEX('Content Calendar'!$L$5:$L$604,MATCH(B48,'Content Calendar'!$A$5:$A$604,0)),"Not found"))</f>
        <v>0</v>
      </c>
      <c r="J48" s="17">
        <f>IF(B48="","",IFERROR(INDEX('Content Calendar'!$P$5:$P$604,MATCH(B48,'Content Calendar'!$A$5:$A$604,0)),"Not found"))</f>
        <v>0</v>
      </c>
      <c r="K48" s="17">
        <f>IF(B48="","",IFERROR(INDEX('Content Calendar'!$O$5:$O$604,MATCH(B48,'Content Calendar'!$A$5:$A$604,0)),"Not found"))</f>
        <v>0</v>
      </c>
      <c r="L48" s="17">
        <f>IF(B48="","",IFERROR(INDEX('Content Calendar'!$N$5:$N$604,MATCH(B48,'Content Calendar'!$A$5:$A$604,0)),"Not found"))</f>
        <v>0</v>
      </c>
      <c r="M48" s="17">
        <f>IF(B48="","",IFERROR(INDEX('Content Calendar'!$C$5:$C$604,MATCH(B48,'Content Calendar'!$A$5:$A$604,0)),"Not found"))</f>
        <v>0</v>
      </c>
      <c r="N48" s="17">
        <f>IF(B48="","",IFERROR(INDEX('Content Calendar'!$F$5:$F$604,MATCH(B48,'Content Calendar'!$A$5:$A$604,0)),"Not found"))</f>
        <v>0</v>
      </c>
      <c r="Z48" s="23">
        <f>IF(O48="","",N(Q48)+N(R48)+N(S48)+N(T48))</f>
        <v>0</v>
      </c>
      <c r="AA48" s="24">
        <f>IF(OR(O48="",O48=0),"",Z48/O48)</f>
        <v>0</v>
      </c>
      <c r="AB48" s="24">
        <f>IF(OR(O48="",O48=0),"",N(T48)/O48)</f>
        <v>0</v>
      </c>
      <c r="AC48" s="24">
        <f>IF(OR(O48="",O48=0),"",N(S48)/O48)</f>
        <v>0</v>
      </c>
      <c r="AD48" s="24">
        <f>IF(OR(O48="",O48=0),"",N(R48)/O48)</f>
        <v>0</v>
      </c>
      <c r="AE48" s="24">
        <f>IF(OR(O48="",O48=0),"",N(U48)/O48)</f>
        <v>0</v>
      </c>
      <c r="AF48" s="24">
        <f>IF(OR(U48="",U48=0),"",N(W48)/U48)</f>
        <v>0</v>
      </c>
      <c r="AG48" s="25">
        <f>IF(OR(O48="",O48=0),"",N(X48)/(O48/1000))</f>
        <v>0</v>
      </c>
      <c r="AH48" s="24">
        <f>IF(O48="","",IF(Y48="",TargetEngagement,Y48))</f>
        <v>0</v>
      </c>
      <c r="AI48" s="24">
        <f>IF(OR(AA48="",AH48=""),"",AA48-AH48)</f>
        <v>0</v>
      </c>
      <c r="AJ48" s="31">
        <f>IF(AA48="","",AA48+ROW()/1000000)</f>
        <v>0</v>
      </c>
      <c r="AK48" s="23">
        <f>IF(AA48="","",RANK(AJ48,Performance!$AJ$5:$AJ$404))</f>
        <v>0</v>
      </c>
      <c r="AL48" s="29">
        <f>IF(AA48="","",IF(AA48&gt;=AH48*1.5,"Top performer",IF(AA48&gt;=AH48,"Above target",IF(AA48&gt;=AH48*0.6,"Below target","Weak - review it"))))</f>
        <v>0</v>
      </c>
      <c r="AM48" s="29">
        <f>IF(B48="","",IF(COUNTIF(Performance!$B$5:$B$404,B48)&gt;1,"Duplicate","OK"))</f>
        <v>0</v>
      </c>
      <c r="AN48" s="29">
        <f>IF(B48="","",IF(C48="Not found","Check - content ID not on the calendar",IF(O48="","Add - no numbers entered yet",IF(AM48="Duplicate","Duplicate - this post is entered twice",IF(AL48="Top performer","Repurpose this one","OK")))))</f>
        <v>0</v>
      </c>
    </row>
    <row r="49" spans="1:40">
      <c r="A49" s="41">
        <f>IF(B49="","","PF-"&amp;TEXT(ROW()-4,"0000"))</f>
        <v>0</v>
      </c>
      <c r="C49" s="17">
        <f>IF(B49="","",IFERROR(INDEX('Content Calendar'!$H$5:$H$604,MATCH(B49,'Content Calendar'!$A$5:$A$604,0)),"Not found"))</f>
        <v>0</v>
      </c>
      <c r="D49" s="16">
        <f>IF(B49="","",IFERROR(INDEX('Content Calendar'!$B$5:$B$604,MATCH(B49,'Content Calendar'!$A$5:$A$604,0)),"Not found"))</f>
        <v>0</v>
      </c>
      <c r="E49" s="17">
        <f>IF(B49="","",IFERROR(INDEX('Content Calendar'!$D$5:$D$604,MATCH(B49,'Content Calendar'!$A$5:$A$604,0)),"Not found"))</f>
        <v>0</v>
      </c>
      <c r="F49" s="17">
        <f>IF(B49="","",IFERROR(INDEX('Content Calendar'!$G$5:$G$604,MATCH(B49,'Content Calendar'!$A$5:$A$604,0)),"Not found"))</f>
        <v>0</v>
      </c>
      <c r="G49" s="17">
        <f>IF(B49="","",IFERROR(INDEX('Content Calendar'!$K$5:$K$604,MATCH(B49,'Content Calendar'!$A$5:$A$604,0)),"Not found"))</f>
        <v>0</v>
      </c>
      <c r="H49" s="17">
        <f>IF(B49="","",IFERROR(INDEX('Content Calendar'!$J$5:$J$604,MATCH(B49,'Content Calendar'!$A$5:$A$604,0)),"Not found"))</f>
        <v>0</v>
      </c>
      <c r="I49" s="17">
        <f>IF(B49="","",IFERROR(INDEX('Content Calendar'!$L$5:$L$604,MATCH(B49,'Content Calendar'!$A$5:$A$604,0)),"Not found"))</f>
        <v>0</v>
      </c>
      <c r="J49" s="17">
        <f>IF(B49="","",IFERROR(INDEX('Content Calendar'!$P$5:$P$604,MATCH(B49,'Content Calendar'!$A$5:$A$604,0)),"Not found"))</f>
        <v>0</v>
      </c>
      <c r="K49" s="17">
        <f>IF(B49="","",IFERROR(INDEX('Content Calendar'!$O$5:$O$604,MATCH(B49,'Content Calendar'!$A$5:$A$604,0)),"Not found"))</f>
        <v>0</v>
      </c>
      <c r="L49" s="17">
        <f>IF(B49="","",IFERROR(INDEX('Content Calendar'!$N$5:$N$604,MATCH(B49,'Content Calendar'!$A$5:$A$604,0)),"Not found"))</f>
        <v>0</v>
      </c>
      <c r="M49" s="17">
        <f>IF(B49="","",IFERROR(INDEX('Content Calendar'!$C$5:$C$604,MATCH(B49,'Content Calendar'!$A$5:$A$604,0)),"Not found"))</f>
        <v>0</v>
      </c>
      <c r="N49" s="17">
        <f>IF(B49="","",IFERROR(INDEX('Content Calendar'!$F$5:$F$604,MATCH(B49,'Content Calendar'!$A$5:$A$604,0)),"Not found"))</f>
        <v>0</v>
      </c>
      <c r="Z49" s="23">
        <f>IF(O49="","",N(Q49)+N(R49)+N(S49)+N(T49))</f>
        <v>0</v>
      </c>
      <c r="AA49" s="24">
        <f>IF(OR(O49="",O49=0),"",Z49/O49)</f>
        <v>0</v>
      </c>
      <c r="AB49" s="24">
        <f>IF(OR(O49="",O49=0),"",N(T49)/O49)</f>
        <v>0</v>
      </c>
      <c r="AC49" s="24">
        <f>IF(OR(O49="",O49=0),"",N(S49)/O49)</f>
        <v>0</v>
      </c>
      <c r="AD49" s="24">
        <f>IF(OR(O49="",O49=0),"",N(R49)/O49)</f>
        <v>0</v>
      </c>
      <c r="AE49" s="24">
        <f>IF(OR(O49="",O49=0),"",N(U49)/O49)</f>
        <v>0</v>
      </c>
      <c r="AF49" s="24">
        <f>IF(OR(U49="",U49=0),"",N(W49)/U49)</f>
        <v>0</v>
      </c>
      <c r="AG49" s="25">
        <f>IF(OR(O49="",O49=0),"",N(X49)/(O49/1000))</f>
        <v>0</v>
      </c>
      <c r="AH49" s="24">
        <f>IF(O49="","",IF(Y49="",TargetEngagement,Y49))</f>
        <v>0</v>
      </c>
      <c r="AI49" s="24">
        <f>IF(OR(AA49="",AH49=""),"",AA49-AH49)</f>
        <v>0</v>
      </c>
      <c r="AJ49" s="31">
        <f>IF(AA49="","",AA49+ROW()/1000000)</f>
        <v>0</v>
      </c>
      <c r="AK49" s="23">
        <f>IF(AA49="","",RANK(AJ49,Performance!$AJ$5:$AJ$404))</f>
        <v>0</v>
      </c>
      <c r="AL49" s="29">
        <f>IF(AA49="","",IF(AA49&gt;=AH49*1.5,"Top performer",IF(AA49&gt;=AH49,"Above target",IF(AA49&gt;=AH49*0.6,"Below target","Weak - review it"))))</f>
        <v>0</v>
      </c>
      <c r="AM49" s="29">
        <f>IF(B49="","",IF(COUNTIF(Performance!$B$5:$B$404,B49)&gt;1,"Duplicate","OK"))</f>
        <v>0</v>
      </c>
      <c r="AN49" s="29">
        <f>IF(B49="","",IF(C49="Not found","Check - content ID not on the calendar",IF(O49="","Add - no numbers entered yet",IF(AM49="Duplicate","Duplicate - this post is entered twice",IF(AL49="Top performer","Repurpose this one","OK")))))</f>
        <v>0</v>
      </c>
    </row>
    <row r="50" spans="1:40">
      <c r="A50" s="41">
        <f>IF(B50="","","PF-"&amp;TEXT(ROW()-4,"0000"))</f>
        <v>0</v>
      </c>
      <c r="C50" s="17">
        <f>IF(B50="","",IFERROR(INDEX('Content Calendar'!$H$5:$H$604,MATCH(B50,'Content Calendar'!$A$5:$A$604,0)),"Not found"))</f>
        <v>0</v>
      </c>
      <c r="D50" s="16">
        <f>IF(B50="","",IFERROR(INDEX('Content Calendar'!$B$5:$B$604,MATCH(B50,'Content Calendar'!$A$5:$A$604,0)),"Not found"))</f>
        <v>0</v>
      </c>
      <c r="E50" s="17">
        <f>IF(B50="","",IFERROR(INDEX('Content Calendar'!$D$5:$D$604,MATCH(B50,'Content Calendar'!$A$5:$A$604,0)),"Not found"))</f>
        <v>0</v>
      </c>
      <c r="F50" s="17">
        <f>IF(B50="","",IFERROR(INDEX('Content Calendar'!$G$5:$G$604,MATCH(B50,'Content Calendar'!$A$5:$A$604,0)),"Not found"))</f>
        <v>0</v>
      </c>
      <c r="G50" s="17">
        <f>IF(B50="","",IFERROR(INDEX('Content Calendar'!$K$5:$K$604,MATCH(B50,'Content Calendar'!$A$5:$A$604,0)),"Not found"))</f>
        <v>0</v>
      </c>
      <c r="H50" s="17">
        <f>IF(B50="","",IFERROR(INDEX('Content Calendar'!$J$5:$J$604,MATCH(B50,'Content Calendar'!$A$5:$A$604,0)),"Not found"))</f>
        <v>0</v>
      </c>
      <c r="I50" s="17">
        <f>IF(B50="","",IFERROR(INDEX('Content Calendar'!$L$5:$L$604,MATCH(B50,'Content Calendar'!$A$5:$A$604,0)),"Not found"))</f>
        <v>0</v>
      </c>
      <c r="J50" s="17">
        <f>IF(B50="","",IFERROR(INDEX('Content Calendar'!$P$5:$P$604,MATCH(B50,'Content Calendar'!$A$5:$A$604,0)),"Not found"))</f>
        <v>0</v>
      </c>
      <c r="K50" s="17">
        <f>IF(B50="","",IFERROR(INDEX('Content Calendar'!$O$5:$O$604,MATCH(B50,'Content Calendar'!$A$5:$A$604,0)),"Not found"))</f>
        <v>0</v>
      </c>
      <c r="L50" s="17">
        <f>IF(B50="","",IFERROR(INDEX('Content Calendar'!$N$5:$N$604,MATCH(B50,'Content Calendar'!$A$5:$A$604,0)),"Not found"))</f>
        <v>0</v>
      </c>
      <c r="M50" s="17">
        <f>IF(B50="","",IFERROR(INDEX('Content Calendar'!$C$5:$C$604,MATCH(B50,'Content Calendar'!$A$5:$A$604,0)),"Not found"))</f>
        <v>0</v>
      </c>
      <c r="N50" s="17">
        <f>IF(B50="","",IFERROR(INDEX('Content Calendar'!$F$5:$F$604,MATCH(B50,'Content Calendar'!$A$5:$A$604,0)),"Not found"))</f>
        <v>0</v>
      </c>
      <c r="Z50" s="23">
        <f>IF(O50="","",N(Q50)+N(R50)+N(S50)+N(T50))</f>
        <v>0</v>
      </c>
      <c r="AA50" s="24">
        <f>IF(OR(O50="",O50=0),"",Z50/O50)</f>
        <v>0</v>
      </c>
      <c r="AB50" s="24">
        <f>IF(OR(O50="",O50=0),"",N(T50)/O50)</f>
        <v>0</v>
      </c>
      <c r="AC50" s="24">
        <f>IF(OR(O50="",O50=0),"",N(S50)/O50)</f>
        <v>0</v>
      </c>
      <c r="AD50" s="24">
        <f>IF(OR(O50="",O50=0),"",N(R50)/O50)</f>
        <v>0</v>
      </c>
      <c r="AE50" s="24">
        <f>IF(OR(O50="",O50=0),"",N(U50)/O50)</f>
        <v>0</v>
      </c>
      <c r="AF50" s="24">
        <f>IF(OR(U50="",U50=0),"",N(W50)/U50)</f>
        <v>0</v>
      </c>
      <c r="AG50" s="25">
        <f>IF(OR(O50="",O50=0),"",N(X50)/(O50/1000))</f>
        <v>0</v>
      </c>
      <c r="AH50" s="24">
        <f>IF(O50="","",IF(Y50="",TargetEngagement,Y50))</f>
        <v>0</v>
      </c>
      <c r="AI50" s="24">
        <f>IF(OR(AA50="",AH50=""),"",AA50-AH50)</f>
        <v>0</v>
      </c>
      <c r="AJ50" s="31">
        <f>IF(AA50="","",AA50+ROW()/1000000)</f>
        <v>0</v>
      </c>
      <c r="AK50" s="23">
        <f>IF(AA50="","",RANK(AJ50,Performance!$AJ$5:$AJ$404))</f>
        <v>0</v>
      </c>
      <c r="AL50" s="29">
        <f>IF(AA50="","",IF(AA50&gt;=AH50*1.5,"Top performer",IF(AA50&gt;=AH50,"Above target",IF(AA50&gt;=AH50*0.6,"Below target","Weak - review it"))))</f>
        <v>0</v>
      </c>
      <c r="AM50" s="29">
        <f>IF(B50="","",IF(COUNTIF(Performance!$B$5:$B$404,B50)&gt;1,"Duplicate","OK"))</f>
        <v>0</v>
      </c>
      <c r="AN50" s="29">
        <f>IF(B50="","",IF(C50="Not found","Check - content ID not on the calendar",IF(O50="","Add - no numbers entered yet",IF(AM50="Duplicate","Duplicate - this post is entered twice",IF(AL50="Top performer","Repurpose this one","OK")))))</f>
        <v>0</v>
      </c>
    </row>
    <row r="51" spans="1:40">
      <c r="A51" s="41">
        <f>IF(B51="","","PF-"&amp;TEXT(ROW()-4,"0000"))</f>
        <v>0</v>
      </c>
      <c r="C51" s="17">
        <f>IF(B51="","",IFERROR(INDEX('Content Calendar'!$H$5:$H$604,MATCH(B51,'Content Calendar'!$A$5:$A$604,0)),"Not found"))</f>
        <v>0</v>
      </c>
      <c r="D51" s="16">
        <f>IF(B51="","",IFERROR(INDEX('Content Calendar'!$B$5:$B$604,MATCH(B51,'Content Calendar'!$A$5:$A$604,0)),"Not found"))</f>
        <v>0</v>
      </c>
      <c r="E51" s="17">
        <f>IF(B51="","",IFERROR(INDEX('Content Calendar'!$D$5:$D$604,MATCH(B51,'Content Calendar'!$A$5:$A$604,0)),"Not found"))</f>
        <v>0</v>
      </c>
      <c r="F51" s="17">
        <f>IF(B51="","",IFERROR(INDEX('Content Calendar'!$G$5:$G$604,MATCH(B51,'Content Calendar'!$A$5:$A$604,0)),"Not found"))</f>
        <v>0</v>
      </c>
      <c r="G51" s="17">
        <f>IF(B51="","",IFERROR(INDEX('Content Calendar'!$K$5:$K$604,MATCH(B51,'Content Calendar'!$A$5:$A$604,0)),"Not found"))</f>
        <v>0</v>
      </c>
      <c r="H51" s="17">
        <f>IF(B51="","",IFERROR(INDEX('Content Calendar'!$J$5:$J$604,MATCH(B51,'Content Calendar'!$A$5:$A$604,0)),"Not found"))</f>
        <v>0</v>
      </c>
      <c r="I51" s="17">
        <f>IF(B51="","",IFERROR(INDEX('Content Calendar'!$L$5:$L$604,MATCH(B51,'Content Calendar'!$A$5:$A$604,0)),"Not found"))</f>
        <v>0</v>
      </c>
      <c r="J51" s="17">
        <f>IF(B51="","",IFERROR(INDEX('Content Calendar'!$P$5:$P$604,MATCH(B51,'Content Calendar'!$A$5:$A$604,0)),"Not found"))</f>
        <v>0</v>
      </c>
      <c r="K51" s="17">
        <f>IF(B51="","",IFERROR(INDEX('Content Calendar'!$O$5:$O$604,MATCH(B51,'Content Calendar'!$A$5:$A$604,0)),"Not found"))</f>
        <v>0</v>
      </c>
      <c r="L51" s="17">
        <f>IF(B51="","",IFERROR(INDEX('Content Calendar'!$N$5:$N$604,MATCH(B51,'Content Calendar'!$A$5:$A$604,0)),"Not found"))</f>
        <v>0</v>
      </c>
      <c r="M51" s="17">
        <f>IF(B51="","",IFERROR(INDEX('Content Calendar'!$C$5:$C$604,MATCH(B51,'Content Calendar'!$A$5:$A$604,0)),"Not found"))</f>
        <v>0</v>
      </c>
      <c r="N51" s="17">
        <f>IF(B51="","",IFERROR(INDEX('Content Calendar'!$F$5:$F$604,MATCH(B51,'Content Calendar'!$A$5:$A$604,0)),"Not found"))</f>
        <v>0</v>
      </c>
      <c r="Z51" s="23">
        <f>IF(O51="","",N(Q51)+N(R51)+N(S51)+N(T51))</f>
        <v>0</v>
      </c>
      <c r="AA51" s="24">
        <f>IF(OR(O51="",O51=0),"",Z51/O51)</f>
        <v>0</v>
      </c>
      <c r="AB51" s="24">
        <f>IF(OR(O51="",O51=0),"",N(T51)/O51)</f>
        <v>0</v>
      </c>
      <c r="AC51" s="24">
        <f>IF(OR(O51="",O51=0),"",N(S51)/O51)</f>
        <v>0</v>
      </c>
      <c r="AD51" s="24">
        <f>IF(OR(O51="",O51=0),"",N(R51)/O51)</f>
        <v>0</v>
      </c>
      <c r="AE51" s="24">
        <f>IF(OR(O51="",O51=0),"",N(U51)/O51)</f>
        <v>0</v>
      </c>
      <c r="AF51" s="24">
        <f>IF(OR(U51="",U51=0),"",N(W51)/U51)</f>
        <v>0</v>
      </c>
      <c r="AG51" s="25">
        <f>IF(OR(O51="",O51=0),"",N(X51)/(O51/1000))</f>
        <v>0</v>
      </c>
      <c r="AH51" s="24">
        <f>IF(O51="","",IF(Y51="",TargetEngagement,Y51))</f>
        <v>0</v>
      </c>
      <c r="AI51" s="24">
        <f>IF(OR(AA51="",AH51=""),"",AA51-AH51)</f>
        <v>0</v>
      </c>
      <c r="AJ51" s="31">
        <f>IF(AA51="","",AA51+ROW()/1000000)</f>
        <v>0</v>
      </c>
      <c r="AK51" s="23">
        <f>IF(AA51="","",RANK(AJ51,Performance!$AJ$5:$AJ$404))</f>
        <v>0</v>
      </c>
      <c r="AL51" s="29">
        <f>IF(AA51="","",IF(AA51&gt;=AH51*1.5,"Top performer",IF(AA51&gt;=AH51,"Above target",IF(AA51&gt;=AH51*0.6,"Below target","Weak - review it"))))</f>
        <v>0</v>
      </c>
      <c r="AM51" s="29">
        <f>IF(B51="","",IF(COUNTIF(Performance!$B$5:$B$404,B51)&gt;1,"Duplicate","OK"))</f>
        <v>0</v>
      </c>
      <c r="AN51" s="29">
        <f>IF(B51="","",IF(C51="Not found","Check - content ID not on the calendar",IF(O51="","Add - no numbers entered yet",IF(AM51="Duplicate","Duplicate - this post is entered twice",IF(AL51="Top performer","Repurpose this one","OK")))))</f>
        <v>0</v>
      </c>
    </row>
    <row r="52" spans="1:40">
      <c r="A52" s="41">
        <f>IF(B52="","","PF-"&amp;TEXT(ROW()-4,"0000"))</f>
        <v>0</v>
      </c>
      <c r="C52" s="17">
        <f>IF(B52="","",IFERROR(INDEX('Content Calendar'!$H$5:$H$604,MATCH(B52,'Content Calendar'!$A$5:$A$604,0)),"Not found"))</f>
        <v>0</v>
      </c>
      <c r="D52" s="16">
        <f>IF(B52="","",IFERROR(INDEX('Content Calendar'!$B$5:$B$604,MATCH(B52,'Content Calendar'!$A$5:$A$604,0)),"Not found"))</f>
        <v>0</v>
      </c>
      <c r="E52" s="17">
        <f>IF(B52="","",IFERROR(INDEX('Content Calendar'!$D$5:$D$604,MATCH(B52,'Content Calendar'!$A$5:$A$604,0)),"Not found"))</f>
        <v>0</v>
      </c>
      <c r="F52" s="17">
        <f>IF(B52="","",IFERROR(INDEX('Content Calendar'!$G$5:$G$604,MATCH(B52,'Content Calendar'!$A$5:$A$604,0)),"Not found"))</f>
        <v>0</v>
      </c>
      <c r="G52" s="17">
        <f>IF(B52="","",IFERROR(INDEX('Content Calendar'!$K$5:$K$604,MATCH(B52,'Content Calendar'!$A$5:$A$604,0)),"Not found"))</f>
        <v>0</v>
      </c>
      <c r="H52" s="17">
        <f>IF(B52="","",IFERROR(INDEX('Content Calendar'!$J$5:$J$604,MATCH(B52,'Content Calendar'!$A$5:$A$604,0)),"Not found"))</f>
        <v>0</v>
      </c>
      <c r="I52" s="17">
        <f>IF(B52="","",IFERROR(INDEX('Content Calendar'!$L$5:$L$604,MATCH(B52,'Content Calendar'!$A$5:$A$604,0)),"Not found"))</f>
        <v>0</v>
      </c>
      <c r="J52" s="17">
        <f>IF(B52="","",IFERROR(INDEX('Content Calendar'!$P$5:$P$604,MATCH(B52,'Content Calendar'!$A$5:$A$604,0)),"Not found"))</f>
        <v>0</v>
      </c>
      <c r="K52" s="17">
        <f>IF(B52="","",IFERROR(INDEX('Content Calendar'!$O$5:$O$604,MATCH(B52,'Content Calendar'!$A$5:$A$604,0)),"Not found"))</f>
        <v>0</v>
      </c>
      <c r="L52" s="17">
        <f>IF(B52="","",IFERROR(INDEX('Content Calendar'!$N$5:$N$604,MATCH(B52,'Content Calendar'!$A$5:$A$604,0)),"Not found"))</f>
        <v>0</v>
      </c>
      <c r="M52" s="17">
        <f>IF(B52="","",IFERROR(INDEX('Content Calendar'!$C$5:$C$604,MATCH(B52,'Content Calendar'!$A$5:$A$604,0)),"Not found"))</f>
        <v>0</v>
      </c>
      <c r="N52" s="17">
        <f>IF(B52="","",IFERROR(INDEX('Content Calendar'!$F$5:$F$604,MATCH(B52,'Content Calendar'!$A$5:$A$604,0)),"Not found"))</f>
        <v>0</v>
      </c>
      <c r="Z52" s="23">
        <f>IF(O52="","",N(Q52)+N(R52)+N(S52)+N(T52))</f>
        <v>0</v>
      </c>
      <c r="AA52" s="24">
        <f>IF(OR(O52="",O52=0),"",Z52/O52)</f>
        <v>0</v>
      </c>
      <c r="AB52" s="24">
        <f>IF(OR(O52="",O52=0),"",N(T52)/O52)</f>
        <v>0</v>
      </c>
      <c r="AC52" s="24">
        <f>IF(OR(O52="",O52=0),"",N(S52)/O52)</f>
        <v>0</v>
      </c>
      <c r="AD52" s="24">
        <f>IF(OR(O52="",O52=0),"",N(R52)/O52)</f>
        <v>0</v>
      </c>
      <c r="AE52" s="24">
        <f>IF(OR(O52="",O52=0),"",N(U52)/O52)</f>
        <v>0</v>
      </c>
      <c r="AF52" s="24">
        <f>IF(OR(U52="",U52=0),"",N(W52)/U52)</f>
        <v>0</v>
      </c>
      <c r="AG52" s="25">
        <f>IF(OR(O52="",O52=0),"",N(X52)/(O52/1000))</f>
        <v>0</v>
      </c>
      <c r="AH52" s="24">
        <f>IF(O52="","",IF(Y52="",TargetEngagement,Y52))</f>
        <v>0</v>
      </c>
      <c r="AI52" s="24">
        <f>IF(OR(AA52="",AH52=""),"",AA52-AH52)</f>
        <v>0</v>
      </c>
      <c r="AJ52" s="31">
        <f>IF(AA52="","",AA52+ROW()/1000000)</f>
        <v>0</v>
      </c>
      <c r="AK52" s="23">
        <f>IF(AA52="","",RANK(AJ52,Performance!$AJ$5:$AJ$404))</f>
        <v>0</v>
      </c>
      <c r="AL52" s="29">
        <f>IF(AA52="","",IF(AA52&gt;=AH52*1.5,"Top performer",IF(AA52&gt;=AH52,"Above target",IF(AA52&gt;=AH52*0.6,"Below target","Weak - review it"))))</f>
        <v>0</v>
      </c>
      <c r="AM52" s="29">
        <f>IF(B52="","",IF(COUNTIF(Performance!$B$5:$B$404,B52)&gt;1,"Duplicate","OK"))</f>
        <v>0</v>
      </c>
      <c r="AN52" s="29">
        <f>IF(B52="","",IF(C52="Not found","Check - content ID not on the calendar",IF(O52="","Add - no numbers entered yet",IF(AM52="Duplicate","Duplicate - this post is entered twice",IF(AL52="Top performer","Repurpose this one","OK")))))</f>
        <v>0</v>
      </c>
    </row>
    <row r="53" spans="1:40">
      <c r="A53" s="41">
        <f>IF(B53="","","PF-"&amp;TEXT(ROW()-4,"0000"))</f>
        <v>0</v>
      </c>
      <c r="C53" s="17">
        <f>IF(B53="","",IFERROR(INDEX('Content Calendar'!$H$5:$H$604,MATCH(B53,'Content Calendar'!$A$5:$A$604,0)),"Not found"))</f>
        <v>0</v>
      </c>
      <c r="D53" s="16">
        <f>IF(B53="","",IFERROR(INDEX('Content Calendar'!$B$5:$B$604,MATCH(B53,'Content Calendar'!$A$5:$A$604,0)),"Not found"))</f>
        <v>0</v>
      </c>
      <c r="E53" s="17">
        <f>IF(B53="","",IFERROR(INDEX('Content Calendar'!$D$5:$D$604,MATCH(B53,'Content Calendar'!$A$5:$A$604,0)),"Not found"))</f>
        <v>0</v>
      </c>
      <c r="F53" s="17">
        <f>IF(B53="","",IFERROR(INDEX('Content Calendar'!$G$5:$G$604,MATCH(B53,'Content Calendar'!$A$5:$A$604,0)),"Not found"))</f>
        <v>0</v>
      </c>
      <c r="G53" s="17">
        <f>IF(B53="","",IFERROR(INDEX('Content Calendar'!$K$5:$K$604,MATCH(B53,'Content Calendar'!$A$5:$A$604,0)),"Not found"))</f>
        <v>0</v>
      </c>
      <c r="H53" s="17">
        <f>IF(B53="","",IFERROR(INDEX('Content Calendar'!$J$5:$J$604,MATCH(B53,'Content Calendar'!$A$5:$A$604,0)),"Not found"))</f>
        <v>0</v>
      </c>
      <c r="I53" s="17">
        <f>IF(B53="","",IFERROR(INDEX('Content Calendar'!$L$5:$L$604,MATCH(B53,'Content Calendar'!$A$5:$A$604,0)),"Not found"))</f>
        <v>0</v>
      </c>
      <c r="J53" s="17">
        <f>IF(B53="","",IFERROR(INDEX('Content Calendar'!$P$5:$P$604,MATCH(B53,'Content Calendar'!$A$5:$A$604,0)),"Not found"))</f>
        <v>0</v>
      </c>
      <c r="K53" s="17">
        <f>IF(B53="","",IFERROR(INDEX('Content Calendar'!$O$5:$O$604,MATCH(B53,'Content Calendar'!$A$5:$A$604,0)),"Not found"))</f>
        <v>0</v>
      </c>
      <c r="L53" s="17">
        <f>IF(B53="","",IFERROR(INDEX('Content Calendar'!$N$5:$N$604,MATCH(B53,'Content Calendar'!$A$5:$A$604,0)),"Not found"))</f>
        <v>0</v>
      </c>
      <c r="M53" s="17">
        <f>IF(B53="","",IFERROR(INDEX('Content Calendar'!$C$5:$C$604,MATCH(B53,'Content Calendar'!$A$5:$A$604,0)),"Not found"))</f>
        <v>0</v>
      </c>
      <c r="N53" s="17">
        <f>IF(B53="","",IFERROR(INDEX('Content Calendar'!$F$5:$F$604,MATCH(B53,'Content Calendar'!$A$5:$A$604,0)),"Not found"))</f>
        <v>0</v>
      </c>
      <c r="Z53" s="23">
        <f>IF(O53="","",N(Q53)+N(R53)+N(S53)+N(T53))</f>
        <v>0</v>
      </c>
      <c r="AA53" s="24">
        <f>IF(OR(O53="",O53=0),"",Z53/O53)</f>
        <v>0</v>
      </c>
      <c r="AB53" s="24">
        <f>IF(OR(O53="",O53=0),"",N(T53)/O53)</f>
        <v>0</v>
      </c>
      <c r="AC53" s="24">
        <f>IF(OR(O53="",O53=0),"",N(S53)/O53)</f>
        <v>0</v>
      </c>
      <c r="AD53" s="24">
        <f>IF(OR(O53="",O53=0),"",N(R53)/O53)</f>
        <v>0</v>
      </c>
      <c r="AE53" s="24">
        <f>IF(OR(O53="",O53=0),"",N(U53)/O53)</f>
        <v>0</v>
      </c>
      <c r="AF53" s="24">
        <f>IF(OR(U53="",U53=0),"",N(W53)/U53)</f>
        <v>0</v>
      </c>
      <c r="AG53" s="25">
        <f>IF(OR(O53="",O53=0),"",N(X53)/(O53/1000))</f>
        <v>0</v>
      </c>
      <c r="AH53" s="24">
        <f>IF(O53="","",IF(Y53="",TargetEngagement,Y53))</f>
        <v>0</v>
      </c>
      <c r="AI53" s="24">
        <f>IF(OR(AA53="",AH53=""),"",AA53-AH53)</f>
        <v>0</v>
      </c>
      <c r="AJ53" s="31">
        <f>IF(AA53="","",AA53+ROW()/1000000)</f>
        <v>0</v>
      </c>
      <c r="AK53" s="23">
        <f>IF(AA53="","",RANK(AJ53,Performance!$AJ$5:$AJ$404))</f>
        <v>0</v>
      </c>
      <c r="AL53" s="29">
        <f>IF(AA53="","",IF(AA53&gt;=AH53*1.5,"Top performer",IF(AA53&gt;=AH53,"Above target",IF(AA53&gt;=AH53*0.6,"Below target","Weak - review it"))))</f>
        <v>0</v>
      </c>
      <c r="AM53" s="29">
        <f>IF(B53="","",IF(COUNTIF(Performance!$B$5:$B$404,B53)&gt;1,"Duplicate","OK"))</f>
        <v>0</v>
      </c>
      <c r="AN53" s="29">
        <f>IF(B53="","",IF(C53="Not found","Check - content ID not on the calendar",IF(O53="","Add - no numbers entered yet",IF(AM53="Duplicate","Duplicate - this post is entered twice",IF(AL53="Top performer","Repurpose this one","OK")))))</f>
        <v>0</v>
      </c>
    </row>
    <row r="54" spans="1:40">
      <c r="A54" s="41">
        <f>IF(B54="","","PF-"&amp;TEXT(ROW()-4,"0000"))</f>
        <v>0</v>
      </c>
      <c r="C54" s="17">
        <f>IF(B54="","",IFERROR(INDEX('Content Calendar'!$H$5:$H$604,MATCH(B54,'Content Calendar'!$A$5:$A$604,0)),"Not found"))</f>
        <v>0</v>
      </c>
      <c r="D54" s="16">
        <f>IF(B54="","",IFERROR(INDEX('Content Calendar'!$B$5:$B$604,MATCH(B54,'Content Calendar'!$A$5:$A$604,0)),"Not found"))</f>
        <v>0</v>
      </c>
      <c r="E54" s="17">
        <f>IF(B54="","",IFERROR(INDEX('Content Calendar'!$D$5:$D$604,MATCH(B54,'Content Calendar'!$A$5:$A$604,0)),"Not found"))</f>
        <v>0</v>
      </c>
      <c r="F54" s="17">
        <f>IF(B54="","",IFERROR(INDEX('Content Calendar'!$G$5:$G$604,MATCH(B54,'Content Calendar'!$A$5:$A$604,0)),"Not found"))</f>
        <v>0</v>
      </c>
      <c r="G54" s="17">
        <f>IF(B54="","",IFERROR(INDEX('Content Calendar'!$K$5:$K$604,MATCH(B54,'Content Calendar'!$A$5:$A$604,0)),"Not found"))</f>
        <v>0</v>
      </c>
      <c r="H54" s="17">
        <f>IF(B54="","",IFERROR(INDEX('Content Calendar'!$J$5:$J$604,MATCH(B54,'Content Calendar'!$A$5:$A$604,0)),"Not found"))</f>
        <v>0</v>
      </c>
      <c r="I54" s="17">
        <f>IF(B54="","",IFERROR(INDEX('Content Calendar'!$L$5:$L$604,MATCH(B54,'Content Calendar'!$A$5:$A$604,0)),"Not found"))</f>
        <v>0</v>
      </c>
      <c r="J54" s="17">
        <f>IF(B54="","",IFERROR(INDEX('Content Calendar'!$P$5:$P$604,MATCH(B54,'Content Calendar'!$A$5:$A$604,0)),"Not found"))</f>
        <v>0</v>
      </c>
      <c r="K54" s="17">
        <f>IF(B54="","",IFERROR(INDEX('Content Calendar'!$O$5:$O$604,MATCH(B54,'Content Calendar'!$A$5:$A$604,0)),"Not found"))</f>
        <v>0</v>
      </c>
      <c r="L54" s="17">
        <f>IF(B54="","",IFERROR(INDEX('Content Calendar'!$N$5:$N$604,MATCH(B54,'Content Calendar'!$A$5:$A$604,0)),"Not found"))</f>
        <v>0</v>
      </c>
      <c r="M54" s="17">
        <f>IF(B54="","",IFERROR(INDEX('Content Calendar'!$C$5:$C$604,MATCH(B54,'Content Calendar'!$A$5:$A$604,0)),"Not found"))</f>
        <v>0</v>
      </c>
      <c r="N54" s="17">
        <f>IF(B54="","",IFERROR(INDEX('Content Calendar'!$F$5:$F$604,MATCH(B54,'Content Calendar'!$A$5:$A$604,0)),"Not found"))</f>
        <v>0</v>
      </c>
      <c r="Z54" s="23">
        <f>IF(O54="","",N(Q54)+N(R54)+N(S54)+N(T54))</f>
        <v>0</v>
      </c>
      <c r="AA54" s="24">
        <f>IF(OR(O54="",O54=0),"",Z54/O54)</f>
        <v>0</v>
      </c>
      <c r="AB54" s="24">
        <f>IF(OR(O54="",O54=0),"",N(T54)/O54)</f>
        <v>0</v>
      </c>
      <c r="AC54" s="24">
        <f>IF(OR(O54="",O54=0),"",N(S54)/O54)</f>
        <v>0</v>
      </c>
      <c r="AD54" s="24">
        <f>IF(OR(O54="",O54=0),"",N(R54)/O54)</f>
        <v>0</v>
      </c>
      <c r="AE54" s="24">
        <f>IF(OR(O54="",O54=0),"",N(U54)/O54)</f>
        <v>0</v>
      </c>
      <c r="AF54" s="24">
        <f>IF(OR(U54="",U54=0),"",N(W54)/U54)</f>
        <v>0</v>
      </c>
      <c r="AG54" s="25">
        <f>IF(OR(O54="",O54=0),"",N(X54)/(O54/1000))</f>
        <v>0</v>
      </c>
      <c r="AH54" s="24">
        <f>IF(O54="","",IF(Y54="",TargetEngagement,Y54))</f>
        <v>0</v>
      </c>
      <c r="AI54" s="24">
        <f>IF(OR(AA54="",AH54=""),"",AA54-AH54)</f>
        <v>0</v>
      </c>
      <c r="AJ54" s="31">
        <f>IF(AA54="","",AA54+ROW()/1000000)</f>
        <v>0</v>
      </c>
      <c r="AK54" s="23">
        <f>IF(AA54="","",RANK(AJ54,Performance!$AJ$5:$AJ$404))</f>
        <v>0</v>
      </c>
      <c r="AL54" s="29">
        <f>IF(AA54="","",IF(AA54&gt;=AH54*1.5,"Top performer",IF(AA54&gt;=AH54,"Above target",IF(AA54&gt;=AH54*0.6,"Below target","Weak - review it"))))</f>
        <v>0</v>
      </c>
      <c r="AM54" s="29">
        <f>IF(B54="","",IF(COUNTIF(Performance!$B$5:$B$404,B54)&gt;1,"Duplicate","OK"))</f>
        <v>0</v>
      </c>
      <c r="AN54" s="29">
        <f>IF(B54="","",IF(C54="Not found","Check - content ID not on the calendar",IF(O54="","Add - no numbers entered yet",IF(AM54="Duplicate","Duplicate - this post is entered twice",IF(AL54="Top performer","Repurpose this one","OK")))))</f>
        <v>0</v>
      </c>
    </row>
    <row r="55" spans="1:40">
      <c r="A55" s="41">
        <f>IF(B55="","","PF-"&amp;TEXT(ROW()-4,"0000"))</f>
        <v>0</v>
      </c>
      <c r="C55" s="17">
        <f>IF(B55="","",IFERROR(INDEX('Content Calendar'!$H$5:$H$604,MATCH(B55,'Content Calendar'!$A$5:$A$604,0)),"Not found"))</f>
        <v>0</v>
      </c>
      <c r="D55" s="16">
        <f>IF(B55="","",IFERROR(INDEX('Content Calendar'!$B$5:$B$604,MATCH(B55,'Content Calendar'!$A$5:$A$604,0)),"Not found"))</f>
        <v>0</v>
      </c>
      <c r="E55" s="17">
        <f>IF(B55="","",IFERROR(INDEX('Content Calendar'!$D$5:$D$604,MATCH(B55,'Content Calendar'!$A$5:$A$604,0)),"Not found"))</f>
        <v>0</v>
      </c>
      <c r="F55" s="17">
        <f>IF(B55="","",IFERROR(INDEX('Content Calendar'!$G$5:$G$604,MATCH(B55,'Content Calendar'!$A$5:$A$604,0)),"Not found"))</f>
        <v>0</v>
      </c>
      <c r="G55" s="17">
        <f>IF(B55="","",IFERROR(INDEX('Content Calendar'!$K$5:$K$604,MATCH(B55,'Content Calendar'!$A$5:$A$604,0)),"Not found"))</f>
        <v>0</v>
      </c>
      <c r="H55" s="17">
        <f>IF(B55="","",IFERROR(INDEX('Content Calendar'!$J$5:$J$604,MATCH(B55,'Content Calendar'!$A$5:$A$604,0)),"Not found"))</f>
        <v>0</v>
      </c>
      <c r="I55" s="17">
        <f>IF(B55="","",IFERROR(INDEX('Content Calendar'!$L$5:$L$604,MATCH(B55,'Content Calendar'!$A$5:$A$604,0)),"Not found"))</f>
        <v>0</v>
      </c>
      <c r="J55" s="17">
        <f>IF(B55="","",IFERROR(INDEX('Content Calendar'!$P$5:$P$604,MATCH(B55,'Content Calendar'!$A$5:$A$604,0)),"Not found"))</f>
        <v>0</v>
      </c>
      <c r="K55" s="17">
        <f>IF(B55="","",IFERROR(INDEX('Content Calendar'!$O$5:$O$604,MATCH(B55,'Content Calendar'!$A$5:$A$604,0)),"Not found"))</f>
        <v>0</v>
      </c>
      <c r="L55" s="17">
        <f>IF(B55="","",IFERROR(INDEX('Content Calendar'!$N$5:$N$604,MATCH(B55,'Content Calendar'!$A$5:$A$604,0)),"Not found"))</f>
        <v>0</v>
      </c>
      <c r="M55" s="17">
        <f>IF(B55="","",IFERROR(INDEX('Content Calendar'!$C$5:$C$604,MATCH(B55,'Content Calendar'!$A$5:$A$604,0)),"Not found"))</f>
        <v>0</v>
      </c>
      <c r="N55" s="17">
        <f>IF(B55="","",IFERROR(INDEX('Content Calendar'!$F$5:$F$604,MATCH(B55,'Content Calendar'!$A$5:$A$604,0)),"Not found"))</f>
        <v>0</v>
      </c>
      <c r="Z55" s="23">
        <f>IF(O55="","",N(Q55)+N(R55)+N(S55)+N(T55))</f>
        <v>0</v>
      </c>
      <c r="AA55" s="24">
        <f>IF(OR(O55="",O55=0),"",Z55/O55)</f>
        <v>0</v>
      </c>
      <c r="AB55" s="24">
        <f>IF(OR(O55="",O55=0),"",N(T55)/O55)</f>
        <v>0</v>
      </c>
      <c r="AC55" s="24">
        <f>IF(OR(O55="",O55=0),"",N(S55)/O55)</f>
        <v>0</v>
      </c>
      <c r="AD55" s="24">
        <f>IF(OR(O55="",O55=0),"",N(R55)/O55)</f>
        <v>0</v>
      </c>
      <c r="AE55" s="24">
        <f>IF(OR(O55="",O55=0),"",N(U55)/O55)</f>
        <v>0</v>
      </c>
      <c r="AF55" s="24">
        <f>IF(OR(U55="",U55=0),"",N(W55)/U55)</f>
        <v>0</v>
      </c>
      <c r="AG55" s="25">
        <f>IF(OR(O55="",O55=0),"",N(X55)/(O55/1000))</f>
        <v>0</v>
      </c>
      <c r="AH55" s="24">
        <f>IF(O55="","",IF(Y55="",TargetEngagement,Y55))</f>
        <v>0</v>
      </c>
      <c r="AI55" s="24">
        <f>IF(OR(AA55="",AH55=""),"",AA55-AH55)</f>
        <v>0</v>
      </c>
      <c r="AJ55" s="31">
        <f>IF(AA55="","",AA55+ROW()/1000000)</f>
        <v>0</v>
      </c>
      <c r="AK55" s="23">
        <f>IF(AA55="","",RANK(AJ55,Performance!$AJ$5:$AJ$404))</f>
        <v>0</v>
      </c>
      <c r="AL55" s="29">
        <f>IF(AA55="","",IF(AA55&gt;=AH55*1.5,"Top performer",IF(AA55&gt;=AH55,"Above target",IF(AA55&gt;=AH55*0.6,"Below target","Weak - review it"))))</f>
        <v>0</v>
      </c>
      <c r="AM55" s="29">
        <f>IF(B55="","",IF(COUNTIF(Performance!$B$5:$B$404,B55)&gt;1,"Duplicate","OK"))</f>
        <v>0</v>
      </c>
      <c r="AN55" s="29">
        <f>IF(B55="","",IF(C55="Not found","Check - content ID not on the calendar",IF(O55="","Add - no numbers entered yet",IF(AM55="Duplicate","Duplicate - this post is entered twice",IF(AL55="Top performer","Repurpose this one","OK")))))</f>
        <v>0</v>
      </c>
    </row>
    <row r="56" spans="1:40">
      <c r="A56" s="41">
        <f>IF(B56="","","PF-"&amp;TEXT(ROW()-4,"0000"))</f>
        <v>0</v>
      </c>
      <c r="C56" s="17">
        <f>IF(B56="","",IFERROR(INDEX('Content Calendar'!$H$5:$H$604,MATCH(B56,'Content Calendar'!$A$5:$A$604,0)),"Not found"))</f>
        <v>0</v>
      </c>
      <c r="D56" s="16">
        <f>IF(B56="","",IFERROR(INDEX('Content Calendar'!$B$5:$B$604,MATCH(B56,'Content Calendar'!$A$5:$A$604,0)),"Not found"))</f>
        <v>0</v>
      </c>
      <c r="E56" s="17">
        <f>IF(B56="","",IFERROR(INDEX('Content Calendar'!$D$5:$D$604,MATCH(B56,'Content Calendar'!$A$5:$A$604,0)),"Not found"))</f>
        <v>0</v>
      </c>
      <c r="F56" s="17">
        <f>IF(B56="","",IFERROR(INDEX('Content Calendar'!$G$5:$G$604,MATCH(B56,'Content Calendar'!$A$5:$A$604,0)),"Not found"))</f>
        <v>0</v>
      </c>
      <c r="G56" s="17">
        <f>IF(B56="","",IFERROR(INDEX('Content Calendar'!$K$5:$K$604,MATCH(B56,'Content Calendar'!$A$5:$A$604,0)),"Not found"))</f>
        <v>0</v>
      </c>
      <c r="H56" s="17">
        <f>IF(B56="","",IFERROR(INDEX('Content Calendar'!$J$5:$J$604,MATCH(B56,'Content Calendar'!$A$5:$A$604,0)),"Not found"))</f>
        <v>0</v>
      </c>
      <c r="I56" s="17">
        <f>IF(B56="","",IFERROR(INDEX('Content Calendar'!$L$5:$L$604,MATCH(B56,'Content Calendar'!$A$5:$A$604,0)),"Not found"))</f>
        <v>0</v>
      </c>
      <c r="J56" s="17">
        <f>IF(B56="","",IFERROR(INDEX('Content Calendar'!$P$5:$P$604,MATCH(B56,'Content Calendar'!$A$5:$A$604,0)),"Not found"))</f>
        <v>0</v>
      </c>
      <c r="K56" s="17">
        <f>IF(B56="","",IFERROR(INDEX('Content Calendar'!$O$5:$O$604,MATCH(B56,'Content Calendar'!$A$5:$A$604,0)),"Not found"))</f>
        <v>0</v>
      </c>
      <c r="L56" s="17">
        <f>IF(B56="","",IFERROR(INDEX('Content Calendar'!$N$5:$N$604,MATCH(B56,'Content Calendar'!$A$5:$A$604,0)),"Not found"))</f>
        <v>0</v>
      </c>
      <c r="M56" s="17">
        <f>IF(B56="","",IFERROR(INDEX('Content Calendar'!$C$5:$C$604,MATCH(B56,'Content Calendar'!$A$5:$A$604,0)),"Not found"))</f>
        <v>0</v>
      </c>
      <c r="N56" s="17">
        <f>IF(B56="","",IFERROR(INDEX('Content Calendar'!$F$5:$F$604,MATCH(B56,'Content Calendar'!$A$5:$A$604,0)),"Not found"))</f>
        <v>0</v>
      </c>
      <c r="Z56" s="23">
        <f>IF(O56="","",N(Q56)+N(R56)+N(S56)+N(T56))</f>
        <v>0</v>
      </c>
      <c r="AA56" s="24">
        <f>IF(OR(O56="",O56=0),"",Z56/O56)</f>
        <v>0</v>
      </c>
      <c r="AB56" s="24">
        <f>IF(OR(O56="",O56=0),"",N(T56)/O56)</f>
        <v>0</v>
      </c>
      <c r="AC56" s="24">
        <f>IF(OR(O56="",O56=0),"",N(S56)/O56)</f>
        <v>0</v>
      </c>
      <c r="AD56" s="24">
        <f>IF(OR(O56="",O56=0),"",N(R56)/O56)</f>
        <v>0</v>
      </c>
      <c r="AE56" s="24">
        <f>IF(OR(O56="",O56=0),"",N(U56)/O56)</f>
        <v>0</v>
      </c>
      <c r="AF56" s="24">
        <f>IF(OR(U56="",U56=0),"",N(W56)/U56)</f>
        <v>0</v>
      </c>
      <c r="AG56" s="25">
        <f>IF(OR(O56="",O56=0),"",N(X56)/(O56/1000))</f>
        <v>0</v>
      </c>
      <c r="AH56" s="24">
        <f>IF(O56="","",IF(Y56="",TargetEngagement,Y56))</f>
        <v>0</v>
      </c>
      <c r="AI56" s="24">
        <f>IF(OR(AA56="",AH56=""),"",AA56-AH56)</f>
        <v>0</v>
      </c>
      <c r="AJ56" s="31">
        <f>IF(AA56="","",AA56+ROW()/1000000)</f>
        <v>0</v>
      </c>
      <c r="AK56" s="23">
        <f>IF(AA56="","",RANK(AJ56,Performance!$AJ$5:$AJ$404))</f>
        <v>0</v>
      </c>
      <c r="AL56" s="29">
        <f>IF(AA56="","",IF(AA56&gt;=AH56*1.5,"Top performer",IF(AA56&gt;=AH56,"Above target",IF(AA56&gt;=AH56*0.6,"Below target","Weak - review it"))))</f>
        <v>0</v>
      </c>
      <c r="AM56" s="29">
        <f>IF(B56="","",IF(COUNTIF(Performance!$B$5:$B$404,B56)&gt;1,"Duplicate","OK"))</f>
        <v>0</v>
      </c>
      <c r="AN56" s="29">
        <f>IF(B56="","",IF(C56="Not found","Check - content ID not on the calendar",IF(O56="","Add - no numbers entered yet",IF(AM56="Duplicate","Duplicate - this post is entered twice",IF(AL56="Top performer","Repurpose this one","OK")))))</f>
        <v>0</v>
      </c>
    </row>
    <row r="57" spans="1:40">
      <c r="A57" s="41">
        <f>IF(B57="","","PF-"&amp;TEXT(ROW()-4,"0000"))</f>
        <v>0</v>
      </c>
      <c r="C57" s="17">
        <f>IF(B57="","",IFERROR(INDEX('Content Calendar'!$H$5:$H$604,MATCH(B57,'Content Calendar'!$A$5:$A$604,0)),"Not found"))</f>
        <v>0</v>
      </c>
      <c r="D57" s="16">
        <f>IF(B57="","",IFERROR(INDEX('Content Calendar'!$B$5:$B$604,MATCH(B57,'Content Calendar'!$A$5:$A$604,0)),"Not found"))</f>
        <v>0</v>
      </c>
      <c r="E57" s="17">
        <f>IF(B57="","",IFERROR(INDEX('Content Calendar'!$D$5:$D$604,MATCH(B57,'Content Calendar'!$A$5:$A$604,0)),"Not found"))</f>
        <v>0</v>
      </c>
      <c r="F57" s="17">
        <f>IF(B57="","",IFERROR(INDEX('Content Calendar'!$G$5:$G$604,MATCH(B57,'Content Calendar'!$A$5:$A$604,0)),"Not found"))</f>
        <v>0</v>
      </c>
      <c r="G57" s="17">
        <f>IF(B57="","",IFERROR(INDEX('Content Calendar'!$K$5:$K$604,MATCH(B57,'Content Calendar'!$A$5:$A$604,0)),"Not found"))</f>
        <v>0</v>
      </c>
      <c r="H57" s="17">
        <f>IF(B57="","",IFERROR(INDEX('Content Calendar'!$J$5:$J$604,MATCH(B57,'Content Calendar'!$A$5:$A$604,0)),"Not found"))</f>
        <v>0</v>
      </c>
      <c r="I57" s="17">
        <f>IF(B57="","",IFERROR(INDEX('Content Calendar'!$L$5:$L$604,MATCH(B57,'Content Calendar'!$A$5:$A$604,0)),"Not found"))</f>
        <v>0</v>
      </c>
      <c r="J57" s="17">
        <f>IF(B57="","",IFERROR(INDEX('Content Calendar'!$P$5:$P$604,MATCH(B57,'Content Calendar'!$A$5:$A$604,0)),"Not found"))</f>
        <v>0</v>
      </c>
      <c r="K57" s="17">
        <f>IF(B57="","",IFERROR(INDEX('Content Calendar'!$O$5:$O$604,MATCH(B57,'Content Calendar'!$A$5:$A$604,0)),"Not found"))</f>
        <v>0</v>
      </c>
      <c r="L57" s="17">
        <f>IF(B57="","",IFERROR(INDEX('Content Calendar'!$N$5:$N$604,MATCH(B57,'Content Calendar'!$A$5:$A$604,0)),"Not found"))</f>
        <v>0</v>
      </c>
      <c r="M57" s="17">
        <f>IF(B57="","",IFERROR(INDEX('Content Calendar'!$C$5:$C$604,MATCH(B57,'Content Calendar'!$A$5:$A$604,0)),"Not found"))</f>
        <v>0</v>
      </c>
      <c r="N57" s="17">
        <f>IF(B57="","",IFERROR(INDEX('Content Calendar'!$F$5:$F$604,MATCH(B57,'Content Calendar'!$A$5:$A$604,0)),"Not found"))</f>
        <v>0</v>
      </c>
      <c r="Z57" s="23">
        <f>IF(O57="","",N(Q57)+N(R57)+N(S57)+N(T57))</f>
        <v>0</v>
      </c>
      <c r="AA57" s="24">
        <f>IF(OR(O57="",O57=0),"",Z57/O57)</f>
        <v>0</v>
      </c>
      <c r="AB57" s="24">
        <f>IF(OR(O57="",O57=0),"",N(T57)/O57)</f>
        <v>0</v>
      </c>
      <c r="AC57" s="24">
        <f>IF(OR(O57="",O57=0),"",N(S57)/O57)</f>
        <v>0</v>
      </c>
      <c r="AD57" s="24">
        <f>IF(OR(O57="",O57=0),"",N(R57)/O57)</f>
        <v>0</v>
      </c>
      <c r="AE57" s="24">
        <f>IF(OR(O57="",O57=0),"",N(U57)/O57)</f>
        <v>0</v>
      </c>
      <c r="AF57" s="24">
        <f>IF(OR(U57="",U57=0),"",N(W57)/U57)</f>
        <v>0</v>
      </c>
      <c r="AG57" s="25">
        <f>IF(OR(O57="",O57=0),"",N(X57)/(O57/1000))</f>
        <v>0</v>
      </c>
      <c r="AH57" s="24">
        <f>IF(O57="","",IF(Y57="",TargetEngagement,Y57))</f>
        <v>0</v>
      </c>
      <c r="AI57" s="24">
        <f>IF(OR(AA57="",AH57=""),"",AA57-AH57)</f>
        <v>0</v>
      </c>
      <c r="AJ57" s="31">
        <f>IF(AA57="","",AA57+ROW()/1000000)</f>
        <v>0</v>
      </c>
      <c r="AK57" s="23">
        <f>IF(AA57="","",RANK(AJ57,Performance!$AJ$5:$AJ$404))</f>
        <v>0</v>
      </c>
      <c r="AL57" s="29">
        <f>IF(AA57="","",IF(AA57&gt;=AH57*1.5,"Top performer",IF(AA57&gt;=AH57,"Above target",IF(AA57&gt;=AH57*0.6,"Below target","Weak - review it"))))</f>
        <v>0</v>
      </c>
      <c r="AM57" s="29">
        <f>IF(B57="","",IF(COUNTIF(Performance!$B$5:$B$404,B57)&gt;1,"Duplicate","OK"))</f>
        <v>0</v>
      </c>
      <c r="AN57" s="29">
        <f>IF(B57="","",IF(C57="Not found","Check - content ID not on the calendar",IF(O57="","Add - no numbers entered yet",IF(AM57="Duplicate","Duplicate - this post is entered twice",IF(AL57="Top performer","Repurpose this one","OK")))))</f>
        <v>0</v>
      </c>
    </row>
    <row r="58" spans="1:40">
      <c r="A58" s="41">
        <f>IF(B58="","","PF-"&amp;TEXT(ROW()-4,"0000"))</f>
        <v>0</v>
      </c>
      <c r="C58" s="17">
        <f>IF(B58="","",IFERROR(INDEX('Content Calendar'!$H$5:$H$604,MATCH(B58,'Content Calendar'!$A$5:$A$604,0)),"Not found"))</f>
        <v>0</v>
      </c>
      <c r="D58" s="16">
        <f>IF(B58="","",IFERROR(INDEX('Content Calendar'!$B$5:$B$604,MATCH(B58,'Content Calendar'!$A$5:$A$604,0)),"Not found"))</f>
        <v>0</v>
      </c>
      <c r="E58" s="17">
        <f>IF(B58="","",IFERROR(INDEX('Content Calendar'!$D$5:$D$604,MATCH(B58,'Content Calendar'!$A$5:$A$604,0)),"Not found"))</f>
        <v>0</v>
      </c>
      <c r="F58" s="17">
        <f>IF(B58="","",IFERROR(INDEX('Content Calendar'!$G$5:$G$604,MATCH(B58,'Content Calendar'!$A$5:$A$604,0)),"Not found"))</f>
        <v>0</v>
      </c>
      <c r="G58" s="17">
        <f>IF(B58="","",IFERROR(INDEX('Content Calendar'!$K$5:$K$604,MATCH(B58,'Content Calendar'!$A$5:$A$604,0)),"Not found"))</f>
        <v>0</v>
      </c>
      <c r="H58" s="17">
        <f>IF(B58="","",IFERROR(INDEX('Content Calendar'!$J$5:$J$604,MATCH(B58,'Content Calendar'!$A$5:$A$604,0)),"Not found"))</f>
        <v>0</v>
      </c>
      <c r="I58" s="17">
        <f>IF(B58="","",IFERROR(INDEX('Content Calendar'!$L$5:$L$604,MATCH(B58,'Content Calendar'!$A$5:$A$604,0)),"Not found"))</f>
        <v>0</v>
      </c>
      <c r="J58" s="17">
        <f>IF(B58="","",IFERROR(INDEX('Content Calendar'!$P$5:$P$604,MATCH(B58,'Content Calendar'!$A$5:$A$604,0)),"Not found"))</f>
        <v>0</v>
      </c>
      <c r="K58" s="17">
        <f>IF(B58="","",IFERROR(INDEX('Content Calendar'!$O$5:$O$604,MATCH(B58,'Content Calendar'!$A$5:$A$604,0)),"Not found"))</f>
        <v>0</v>
      </c>
      <c r="L58" s="17">
        <f>IF(B58="","",IFERROR(INDEX('Content Calendar'!$N$5:$N$604,MATCH(B58,'Content Calendar'!$A$5:$A$604,0)),"Not found"))</f>
        <v>0</v>
      </c>
      <c r="M58" s="17">
        <f>IF(B58="","",IFERROR(INDEX('Content Calendar'!$C$5:$C$604,MATCH(B58,'Content Calendar'!$A$5:$A$604,0)),"Not found"))</f>
        <v>0</v>
      </c>
      <c r="N58" s="17">
        <f>IF(B58="","",IFERROR(INDEX('Content Calendar'!$F$5:$F$604,MATCH(B58,'Content Calendar'!$A$5:$A$604,0)),"Not found"))</f>
        <v>0</v>
      </c>
      <c r="Z58" s="23">
        <f>IF(O58="","",N(Q58)+N(R58)+N(S58)+N(T58))</f>
        <v>0</v>
      </c>
      <c r="AA58" s="24">
        <f>IF(OR(O58="",O58=0),"",Z58/O58)</f>
        <v>0</v>
      </c>
      <c r="AB58" s="24">
        <f>IF(OR(O58="",O58=0),"",N(T58)/O58)</f>
        <v>0</v>
      </c>
      <c r="AC58" s="24">
        <f>IF(OR(O58="",O58=0),"",N(S58)/O58)</f>
        <v>0</v>
      </c>
      <c r="AD58" s="24">
        <f>IF(OR(O58="",O58=0),"",N(R58)/O58)</f>
        <v>0</v>
      </c>
      <c r="AE58" s="24">
        <f>IF(OR(O58="",O58=0),"",N(U58)/O58)</f>
        <v>0</v>
      </c>
      <c r="AF58" s="24">
        <f>IF(OR(U58="",U58=0),"",N(W58)/U58)</f>
        <v>0</v>
      </c>
      <c r="AG58" s="25">
        <f>IF(OR(O58="",O58=0),"",N(X58)/(O58/1000))</f>
        <v>0</v>
      </c>
      <c r="AH58" s="24">
        <f>IF(O58="","",IF(Y58="",TargetEngagement,Y58))</f>
        <v>0</v>
      </c>
      <c r="AI58" s="24">
        <f>IF(OR(AA58="",AH58=""),"",AA58-AH58)</f>
        <v>0</v>
      </c>
      <c r="AJ58" s="31">
        <f>IF(AA58="","",AA58+ROW()/1000000)</f>
        <v>0</v>
      </c>
      <c r="AK58" s="23">
        <f>IF(AA58="","",RANK(AJ58,Performance!$AJ$5:$AJ$404))</f>
        <v>0</v>
      </c>
      <c r="AL58" s="29">
        <f>IF(AA58="","",IF(AA58&gt;=AH58*1.5,"Top performer",IF(AA58&gt;=AH58,"Above target",IF(AA58&gt;=AH58*0.6,"Below target","Weak - review it"))))</f>
        <v>0</v>
      </c>
      <c r="AM58" s="29">
        <f>IF(B58="","",IF(COUNTIF(Performance!$B$5:$B$404,B58)&gt;1,"Duplicate","OK"))</f>
        <v>0</v>
      </c>
      <c r="AN58" s="29">
        <f>IF(B58="","",IF(C58="Not found","Check - content ID not on the calendar",IF(O58="","Add - no numbers entered yet",IF(AM58="Duplicate","Duplicate - this post is entered twice",IF(AL58="Top performer","Repurpose this one","OK")))))</f>
        <v>0</v>
      </c>
    </row>
    <row r="59" spans="1:40">
      <c r="A59" s="41">
        <f>IF(B59="","","PF-"&amp;TEXT(ROW()-4,"0000"))</f>
        <v>0</v>
      </c>
      <c r="C59" s="17">
        <f>IF(B59="","",IFERROR(INDEX('Content Calendar'!$H$5:$H$604,MATCH(B59,'Content Calendar'!$A$5:$A$604,0)),"Not found"))</f>
        <v>0</v>
      </c>
      <c r="D59" s="16">
        <f>IF(B59="","",IFERROR(INDEX('Content Calendar'!$B$5:$B$604,MATCH(B59,'Content Calendar'!$A$5:$A$604,0)),"Not found"))</f>
        <v>0</v>
      </c>
      <c r="E59" s="17">
        <f>IF(B59="","",IFERROR(INDEX('Content Calendar'!$D$5:$D$604,MATCH(B59,'Content Calendar'!$A$5:$A$604,0)),"Not found"))</f>
        <v>0</v>
      </c>
      <c r="F59" s="17">
        <f>IF(B59="","",IFERROR(INDEX('Content Calendar'!$G$5:$G$604,MATCH(B59,'Content Calendar'!$A$5:$A$604,0)),"Not found"))</f>
        <v>0</v>
      </c>
      <c r="G59" s="17">
        <f>IF(B59="","",IFERROR(INDEX('Content Calendar'!$K$5:$K$604,MATCH(B59,'Content Calendar'!$A$5:$A$604,0)),"Not found"))</f>
        <v>0</v>
      </c>
      <c r="H59" s="17">
        <f>IF(B59="","",IFERROR(INDEX('Content Calendar'!$J$5:$J$604,MATCH(B59,'Content Calendar'!$A$5:$A$604,0)),"Not found"))</f>
        <v>0</v>
      </c>
      <c r="I59" s="17">
        <f>IF(B59="","",IFERROR(INDEX('Content Calendar'!$L$5:$L$604,MATCH(B59,'Content Calendar'!$A$5:$A$604,0)),"Not found"))</f>
        <v>0</v>
      </c>
      <c r="J59" s="17">
        <f>IF(B59="","",IFERROR(INDEX('Content Calendar'!$P$5:$P$604,MATCH(B59,'Content Calendar'!$A$5:$A$604,0)),"Not found"))</f>
        <v>0</v>
      </c>
      <c r="K59" s="17">
        <f>IF(B59="","",IFERROR(INDEX('Content Calendar'!$O$5:$O$604,MATCH(B59,'Content Calendar'!$A$5:$A$604,0)),"Not found"))</f>
        <v>0</v>
      </c>
      <c r="L59" s="17">
        <f>IF(B59="","",IFERROR(INDEX('Content Calendar'!$N$5:$N$604,MATCH(B59,'Content Calendar'!$A$5:$A$604,0)),"Not found"))</f>
        <v>0</v>
      </c>
      <c r="M59" s="17">
        <f>IF(B59="","",IFERROR(INDEX('Content Calendar'!$C$5:$C$604,MATCH(B59,'Content Calendar'!$A$5:$A$604,0)),"Not found"))</f>
        <v>0</v>
      </c>
      <c r="N59" s="17">
        <f>IF(B59="","",IFERROR(INDEX('Content Calendar'!$F$5:$F$604,MATCH(B59,'Content Calendar'!$A$5:$A$604,0)),"Not found"))</f>
        <v>0</v>
      </c>
      <c r="Z59" s="23">
        <f>IF(O59="","",N(Q59)+N(R59)+N(S59)+N(T59))</f>
        <v>0</v>
      </c>
      <c r="AA59" s="24">
        <f>IF(OR(O59="",O59=0),"",Z59/O59)</f>
        <v>0</v>
      </c>
      <c r="AB59" s="24">
        <f>IF(OR(O59="",O59=0),"",N(T59)/O59)</f>
        <v>0</v>
      </c>
      <c r="AC59" s="24">
        <f>IF(OR(O59="",O59=0),"",N(S59)/O59)</f>
        <v>0</v>
      </c>
      <c r="AD59" s="24">
        <f>IF(OR(O59="",O59=0),"",N(R59)/O59)</f>
        <v>0</v>
      </c>
      <c r="AE59" s="24">
        <f>IF(OR(O59="",O59=0),"",N(U59)/O59)</f>
        <v>0</v>
      </c>
      <c r="AF59" s="24">
        <f>IF(OR(U59="",U59=0),"",N(W59)/U59)</f>
        <v>0</v>
      </c>
      <c r="AG59" s="25">
        <f>IF(OR(O59="",O59=0),"",N(X59)/(O59/1000))</f>
        <v>0</v>
      </c>
      <c r="AH59" s="24">
        <f>IF(O59="","",IF(Y59="",TargetEngagement,Y59))</f>
        <v>0</v>
      </c>
      <c r="AI59" s="24">
        <f>IF(OR(AA59="",AH59=""),"",AA59-AH59)</f>
        <v>0</v>
      </c>
      <c r="AJ59" s="31">
        <f>IF(AA59="","",AA59+ROW()/1000000)</f>
        <v>0</v>
      </c>
      <c r="AK59" s="23">
        <f>IF(AA59="","",RANK(AJ59,Performance!$AJ$5:$AJ$404))</f>
        <v>0</v>
      </c>
      <c r="AL59" s="29">
        <f>IF(AA59="","",IF(AA59&gt;=AH59*1.5,"Top performer",IF(AA59&gt;=AH59,"Above target",IF(AA59&gt;=AH59*0.6,"Below target","Weak - review it"))))</f>
        <v>0</v>
      </c>
      <c r="AM59" s="29">
        <f>IF(B59="","",IF(COUNTIF(Performance!$B$5:$B$404,B59)&gt;1,"Duplicate","OK"))</f>
        <v>0</v>
      </c>
      <c r="AN59" s="29">
        <f>IF(B59="","",IF(C59="Not found","Check - content ID not on the calendar",IF(O59="","Add - no numbers entered yet",IF(AM59="Duplicate","Duplicate - this post is entered twice",IF(AL59="Top performer","Repurpose this one","OK")))))</f>
        <v>0</v>
      </c>
    </row>
    <row r="60" spans="1:40">
      <c r="A60" s="41">
        <f>IF(B60="","","PF-"&amp;TEXT(ROW()-4,"0000"))</f>
        <v>0</v>
      </c>
      <c r="C60" s="17">
        <f>IF(B60="","",IFERROR(INDEX('Content Calendar'!$H$5:$H$604,MATCH(B60,'Content Calendar'!$A$5:$A$604,0)),"Not found"))</f>
        <v>0</v>
      </c>
      <c r="D60" s="16">
        <f>IF(B60="","",IFERROR(INDEX('Content Calendar'!$B$5:$B$604,MATCH(B60,'Content Calendar'!$A$5:$A$604,0)),"Not found"))</f>
        <v>0</v>
      </c>
      <c r="E60" s="17">
        <f>IF(B60="","",IFERROR(INDEX('Content Calendar'!$D$5:$D$604,MATCH(B60,'Content Calendar'!$A$5:$A$604,0)),"Not found"))</f>
        <v>0</v>
      </c>
      <c r="F60" s="17">
        <f>IF(B60="","",IFERROR(INDEX('Content Calendar'!$G$5:$G$604,MATCH(B60,'Content Calendar'!$A$5:$A$604,0)),"Not found"))</f>
        <v>0</v>
      </c>
      <c r="G60" s="17">
        <f>IF(B60="","",IFERROR(INDEX('Content Calendar'!$K$5:$K$604,MATCH(B60,'Content Calendar'!$A$5:$A$604,0)),"Not found"))</f>
        <v>0</v>
      </c>
      <c r="H60" s="17">
        <f>IF(B60="","",IFERROR(INDEX('Content Calendar'!$J$5:$J$604,MATCH(B60,'Content Calendar'!$A$5:$A$604,0)),"Not found"))</f>
        <v>0</v>
      </c>
      <c r="I60" s="17">
        <f>IF(B60="","",IFERROR(INDEX('Content Calendar'!$L$5:$L$604,MATCH(B60,'Content Calendar'!$A$5:$A$604,0)),"Not found"))</f>
        <v>0</v>
      </c>
      <c r="J60" s="17">
        <f>IF(B60="","",IFERROR(INDEX('Content Calendar'!$P$5:$P$604,MATCH(B60,'Content Calendar'!$A$5:$A$604,0)),"Not found"))</f>
        <v>0</v>
      </c>
      <c r="K60" s="17">
        <f>IF(B60="","",IFERROR(INDEX('Content Calendar'!$O$5:$O$604,MATCH(B60,'Content Calendar'!$A$5:$A$604,0)),"Not found"))</f>
        <v>0</v>
      </c>
      <c r="L60" s="17">
        <f>IF(B60="","",IFERROR(INDEX('Content Calendar'!$N$5:$N$604,MATCH(B60,'Content Calendar'!$A$5:$A$604,0)),"Not found"))</f>
        <v>0</v>
      </c>
      <c r="M60" s="17">
        <f>IF(B60="","",IFERROR(INDEX('Content Calendar'!$C$5:$C$604,MATCH(B60,'Content Calendar'!$A$5:$A$604,0)),"Not found"))</f>
        <v>0</v>
      </c>
      <c r="N60" s="17">
        <f>IF(B60="","",IFERROR(INDEX('Content Calendar'!$F$5:$F$604,MATCH(B60,'Content Calendar'!$A$5:$A$604,0)),"Not found"))</f>
        <v>0</v>
      </c>
      <c r="Z60" s="23">
        <f>IF(O60="","",N(Q60)+N(R60)+N(S60)+N(T60))</f>
        <v>0</v>
      </c>
      <c r="AA60" s="24">
        <f>IF(OR(O60="",O60=0),"",Z60/O60)</f>
        <v>0</v>
      </c>
      <c r="AB60" s="24">
        <f>IF(OR(O60="",O60=0),"",N(T60)/O60)</f>
        <v>0</v>
      </c>
      <c r="AC60" s="24">
        <f>IF(OR(O60="",O60=0),"",N(S60)/O60)</f>
        <v>0</v>
      </c>
      <c r="AD60" s="24">
        <f>IF(OR(O60="",O60=0),"",N(R60)/O60)</f>
        <v>0</v>
      </c>
      <c r="AE60" s="24">
        <f>IF(OR(O60="",O60=0),"",N(U60)/O60)</f>
        <v>0</v>
      </c>
      <c r="AF60" s="24">
        <f>IF(OR(U60="",U60=0),"",N(W60)/U60)</f>
        <v>0</v>
      </c>
      <c r="AG60" s="25">
        <f>IF(OR(O60="",O60=0),"",N(X60)/(O60/1000))</f>
        <v>0</v>
      </c>
      <c r="AH60" s="24">
        <f>IF(O60="","",IF(Y60="",TargetEngagement,Y60))</f>
        <v>0</v>
      </c>
      <c r="AI60" s="24">
        <f>IF(OR(AA60="",AH60=""),"",AA60-AH60)</f>
        <v>0</v>
      </c>
      <c r="AJ60" s="31">
        <f>IF(AA60="","",AA60+ROW()/1000000)</f>
        <v>0</v>
      </c>
      <c r="AK60" s="23">
        <f>IF(AA60="","",RANK(AJ60,Performance!$AJ$5:$AJ$404))</f>
        <v>0</v>
      </c>
      <c r="AL60" s="29">
        <f>IF(AA60="","",IF(AA60&gt;=AH60*1.5,"Top performer",IF(AA60&gt;=AH60,"Above target",IF(AA60&gt;=AH60*0.6,"Below target","Weak - review it"))))</f>
        <v>0</v>
      </c>
      <c r="AM60" s="29">
        <f>IF(B60="","",IF(COUNTIF(Performance!$B$5:$B$404,B60)&gt;1,"Duplicate","OK"))</f>
        <v>0</v>
      </c>
      <c r="AN60" s="29">
        <f>IF(B60="","",IF(C60="Not found","Check - content ID not on the calendar",IF(O60="","Add - no numbers entered yet",IF(AM60="Duplicate","Duplicate - this post is entered twice",IF(AL60="Top performer","Repurpose this one","OK")))))</f>
        <v>0</v>
      </c>
    </row>
    <row r="61" spans="1:40">
      <c r="A61" s="41">
        <f>IF(B61="","","PF-"&amp;TEXT(ROW()-4,"0000"))</f>
        <v>0</v>
      </c>
      <c r="C61" s="17">
        <f>IF(B61="","",IFERROR(INDEX('Content Calendar'!$H$5:$H$604,MATCH(B61,'Content Calendar'!$A$5:$A$604,0)),"Not found"))</f>
        <v>0</v>
      </c>
      <c r="D61" s="16">
        <f>IF(B61="","",IFERROR(INDEX('Content Calendar'!$B$5:$B$604,MATCH(B61,'Content Calendar'!$A$5:$A$604,0)),"Not found"))</f>
        <v>0</v>
      </c>
      <c r="E61" s="17">
        <f>IF(B61="","",IFERROR(INDEX('Content Calendar'!$D$5:$D$604,MATCH(B61,'Content Calendar'!$A$5:$A$604,0)),"Not found"))</f>
        <v>0</v>
      </c>
      <c r="F61" s="17">
        <f>IF(B61="","",IFERROR(INDEX('Content Calendar'!$G$5:$G$604,MATCH(B61,'Content Calendar'!$A$5:$A$604,0)),"Not found"))</f>
        <v>0</v>
      </c>
      <c r="G61" s="17">
        <f>IF(B61="","",IFERROR(INDEX('Content Calendar'!$K$5:$K$604,MATCH(B61,'Content Calendar'!$A$5:$A$604,0)),"Not found"))</f>
        <v>0</v>
      </c>
      <c r="H61" s="17">
        <f>IF(B61="","",IFERROR(INDEX('Content Calendar'!$J$5:$J$604,MATCH(B61,'Content Calendar'!$A$5:$A$604,0)),"Not found"))</f>
        <v>0</v>
      </c>
      <c r="I61" s="17">
        <f>IF(B61="","",IFERROR(INDEX('Content Calendar'!$L$5:$L$604,MATCH(B61,'Content Calendar'!$A$5:$A$604,0)),"Not found"))</f>
        <v>0</v>
      </c>
      <c r="J61" s="17">
        <f>IF(B61="","",IFERROR(INDEX('Content Calendar'!$P$5:$P$604,MATCH(B61,'Content Calendar'!$A$5:$A$604,0)),"Not found"))</f>
        <v>0</v>
      </c>
      <c r="K61" s="17">
        <f>IF(B61="","",IFERROR(INDEX('Content Calendar'!$O$5:$O$604,MATCH(B61,'Content Calendar'!$A$5:$A$604,0)),"Not found"))</f>
        <v>0</v>
      </c>
      <c r="L61" s="17">
        <f>IF(B61="","",IFERROR(INDEX('Content Calendar'!$N$5:$N$604,MATCH(B61,'Content Calendar'!$A$5:$A$604,0)),"Not found"))</f>
        <v>0</v>
      </c>
      <c r="M61" s="17">
        <f>IF(B61="","",IFERROR(INDEX('Content Calendar'!$C$5:$C$604,MATCH(B61,'Content Calendar'!$A$5:$A$604,0)),"Not found"))</f>
        <v>0</v>
      </c>
      <c r="N61" s="17">
        <f>IF(B61="","",IFERROR(INDEX('Content Calendar'!$F$5:$F$604,MATCH(B61,'Content Calendar'!$A$5:$A$604,0)),"Not found"))</f>
        <v>0</v>
      </c>
      <c r="Z61" s="23">
        <f>IF(O61="","",N(Q61)+N(R61)+N(S61)+N(T61))</f>
        <v>0</v>
      </c>
      <c r="AA61" s="24">
        <f>IF(OR(O61="",O61=0),"",Z61/O61)</f>
        <v>0</v>
      </c>
      <c r="AB61" s="24">
        <f>IF(OR(O61="",O61=0),"",N(T61)/O61)</f>
        <v>0</v>
      </c>
      <c r="AC61" s="24">
        <f>IF(OR(O61="",O61=0),"",N(S61)/O61)</f>
        <v>0</v>
      </c>
      <c r="AD61" s="24">
        <f>IF(OR(O61="",O61=0),"",N(R61)/O61)</f>
        <v>0</v>
      </c>
      <c r="AE61" s="24">
        <f>IF(OR(O61="",O61=0),"",N(U61)/O61)</f>
        <v>0</v>
      </c>
      <c r="AF61" s="24">
        <f>IF(OR(U61="",U61=0),"",N(W61)/U61)</f>
        <v>0</v>
      </c>
      <c r="AG61" s="25">
        <f>IF(OR(O61="",O61=0),"",N(X61)/(O61/1000))</f>
        <v>0</v>
      </c>
      <c r="AH61" s="24">
        <f>IF(O61="","",IF(Y61="",TargetEngagement,Y61))</f>
        <v>0</v>
      </c>
      <c r="AI61" s="24">
        <f>IF(OR(AA61="",AH61=""),"",AA61-AH61)</f>
        <v>0</v>
      </c>
      <c r="AJ61" s="31">
        <f>IF(AA61="","",AA61+ROW()/1000000)</f>
        <v>0</v>
      </c>
      <c r="AK61" s="23">
        <f>IF(AA61="","",RANK(AJ61,Performance!$AJ$5:$AJ$404))</f>
        <v>0</v>
      </c>
      <c r="AL61" s="29">
        <f>IF(AA61="","",IF(AA61&gt;=AH61*1.5,"Top performer",IF(AA61&gt;=AH61,"Above target",IF(AA61&gt;=AH61*0.6,"Below target","Weak - review it"))))</f>
        <v>0</v>
      </c>
      <c r="AM61" s="29">
        <f>IF(B61="","",IF(COUNTIF(Performance!$B$5:$B$404,B61)&gt;1,"Duplicate","OK"))</f>
        <v>0</v>
      </c>
      <c r="AN61" s="29">
        <f>IF(B61="","",IF(C61="Not found","Check - content ID not on the calendar",IF(O61="","Add - no numbers entered yet",IF(AM61="Duplicate","Duplicate - this post is entered twice",IF(AL61="Top performer","Repurpose this one","OK")))))</f>
        <v>0</v>
      </c>
    </row>
    <row r="62" spans="1:40">
      <c r="A62" s="41">
        <f>IF(B62="","","PF-"&amp;TEXT(ROW()-4,"0000"))</f>
        <v>0</v>
      </c>
      <c r="C62" s="17">
        <f>IF(B62="","",IFERROR(INDEX('Content Calendar'!$H$5:$H$604,MATCH(B62,'Content Calendar'!$A$5:$A$604,0)),"Not found"))</f>
        <v>0</v>
      </c>
      <c r="D62" s="16">
        <f>IF(B62="","",IFERROR(INDEX('Content Calendar'!$B$5:$B$604,MATCH(B62,'Content Calendar'!$A$5:$A$604,0)),"Not found"))</f>
        <v>0</v>
      </c>
      <c r="E62" s="17">
        <f>IF(B62="","",IFERROR(INDEX('Content Calendar'!$D$5:$D$604,MATCH(B62,'Content Calendar'!$A$5:$A$604,0)),"Not found"))</f>
        <v>0</v>
      </c>
      <c r="F62" s="17">
        <f>IF(B62="","",IFERROR(INDEX('Content Calendar'!$G$5:$G$604,MATCH(B62,'Content Calendar'!$A$5:$A$604,0)),"Not found"))</f>
        <v>0</v>
      </c>
      <c r="G62" s="17">
        <f>IF(B62="","",IFERROR(INDEX('Content Calendar'!$K$5:$K$604,MATCH(B62,'Content Calendar'!$A$5:$A$604,0)),"Not found"))</f>
        <v>0</v>
      </c>
      <c r="H62" s="17">
        <f>IF(B62="","",IFERROR(INDEX('Content Calendar'!$J$5:$J$604,MATCH(B62,'Content Calendar'!$A$5:$A$604,0)),"Not found"))</f>
        <v>0</v>
      </c>
      <c r="I62" s="17">
        <f>IF(B62="","",IFERROR(INDEX('Content Calendar'!$L$5:$L$604,MATCH(B62,'Content Calendar'!$A$5:$A$604,0)),"Not found"))</f>
        <v>0</v>
      </c>
      <c r="J62" s="17">
        <f>IF(B62="","",IFERROR(INDEX('Content Calendar'!$P$5:$P$604,MATCH(B62,'Content Calendar'!$A$5:$A$604,0)),"Not found"))</f>
        <v>0</v>
      </c>
      <c r="K62" s="17">
        <f>IF(B62="","",IFERROR(INDEX('Content Calendar'!$O$5:$O$604,MATCH(B62,'Content Calendar'!$A$5:$A$604,0)),"Not found"))</f>
        <v>0</v>
      </c>
      <c r="L62" s="17">
        <f>IF(B62="","",IFERROR(INDEX('Content Calendar'!$N$5:$N$604,MATCH(B62,'Content Calendar'!$A$5:$A$604,0)),"Not found"))</f>
        <v>0</v>
      </c>
      <c r="M62" s="17">
        <f>IF(B62="","",IFERROR(INDEX('Content Calendar'!$C$5:$C$604,MATCH(B62,'Content Calendar'!$A$5:$A$604,0)),"Not found"))</f>
        <v>0</v>
      </c>
      <c r="N62" s="17">
        <f>IF(B62="","",IFERROR(INDEX('Content Calendar'!$F$5:$F$604,MATCH(B62,'Content Calendar'!$A$5:$A$604,0)),"Not found"))</f>
        <v>0</v>
      </c>
      <c r="Z62" s="23">
        <f>IF(O62="","",N(Q62)+N(R62)+N(S62)+N(T62))</f>
        <v>0</v>
      </c>
      <c r="AA62" s="24">
        <f>IF(OR(O62="",O62=0),"",Z62/O62)</f>
        <v>0</v>
      </c>
      <c r="AB62" s="24">
        <f>IF(OR(O62="",O62=0),"",N(T62)/O62)</f>
        <v>0</v>
      </c>
      <c r="AC62" s="24">
        <f>IF(OR(O62="",O62=0),"",N(S62)/O62)</f>
        <v>0</v>
      </c>
      <c r="AD62" s="24">
        <f>IF(OR(O62="",O62=0),"",N(R62)/O62)</f>
        <v>0</v>
      </c>
      <c r="AE62" s="24">
        <f>IF(OR(O62="",O62=0),"",N(U62)/O62)</f>
        <v>0</v>
      </c>
      <c r="AF62" s="24">
        <f>IF(OR(U62="",U62=0),"",N(W62)/U62)</f>
        <v>0</v>
      </c>
      <c r="AG62" s="25">
        <f>IF(OR(O62="",O62=0),"",N(X62)/(O62/1000))</f>
        <v>0</v>
      </c>
      <c r="AH62" s="24">
        <f>IF(O62="","",IF(Y62="",TargetEngagement,Y62))</f>
        <v>0</v>
      </c>
      <c r="AI62" s="24">
        <f>IF(OR(AA62="",AH62=""),"",AA62-AH62)</f>
        <v>0</v>
      </c>
      <c r="AJ62" s="31">
        <f>IF(AA62="","",AA62+ROW()/1000000)</f>
        <v>0</v>
      </c>
      <c r="AK62" s="23">
        <f>IF(AA62="","",RANK(AJ62,Performance!$AJ$5:$AJ$404))</f>
        <v>0</v>
      </c>
      <c r="AL62" s="29">
        <f>IF(AA62="","",IF(AA62&gt;=AH62*1.5,"Top performer",IF(AA62&gt;=AH62,"Above target",IF(AA62&gt;=AH62*0.6,"Below target","Weak - review it"))))</f>
        <v>0</v>
      </c>
      <c r="AM62" s="29">
        <f>IF(B62="","",IF(COUNTIF(Performance!$B$5:$B$404,B62)&gt;1,"Duplicate","OK"))</f>
        <v>0</v>
      </c>
      <c r="AN62" s="29">
        <f>IF(B62="","",IF(C62="Not found","Check - content ID not on the calendar",IF(O62="","Add - no numbers entered yet",IF(AM62="Duplicate","Duplicate - this post is entered twice",IF(AL62="Top performer","Repurpose this one","OK")))))</f>
        <v>0</v>
      </c>
    </row>
    <row r="63" spans="1:40">
      <c r="A63" s="41">
        <f>IF(B63="","","PF-"&amp;TEXT(ROW()-4,"0000"))</f>
        <v>0</v>
      </c>
      <c r="C63" s="17">
        <f>IF(B63="","",IFERROR(INDEX('Content Calendar'!$H$5:$H$604,MATCH(B63,'Content Calendar'!$A$5:$A$604,0)),"Not found"))</f>
        <v>0</v>
      </c>
      <c r="D63" s="16">
        <f>IF(B63="","",IFERROR(INDEX('Content Calendar'!$B$5:$B$604,MATCH(B63,'Content Calendar'!$A$5:$A$604,0)),"Not found"))</f>
        <v>0</v>
      </c>
      <c r="E63" s="17">
        <f>IF(B63="","",IFERROR(INDEX('Content Calendar'!$D$5:$D$604,MATCH(B63,'Content Calendar'!$A$5:$A$604,0)),"Not found"))</f>
        <v>0</v>
      </c>
      <c r="F63" s="17">
        <f>IF(B63="","",IFERROR(INDEX('Content Calendar'!$G$5:$G$604,MATCH(B63,'Content Calendar'!$A$5:$A$604,0)),"Not found"))</f>
        <v>0</v>
      </c>
      <c r="G63" s="17">
        <f>IF(B63="","",IFERROR(INDEX('Content Calendar'!$K$5:$K$604,MATCH(B63,'Content Calendar'!$A$5:$A$604,0)),"Not found"))</f>
        <v>0</v>
      </c>
      <c r="H63" s="17">
        <f>IF(B63="","",IFERROR(INDEX('Content Calendar'!$J$5:$J$604,MATCH(B63,'Content Calendar'!$A$5:$A$604,0)),"Not found"))</f>
        <v>0</v>
      </c>
      <c r="I63" s="17">
        <f>IF(B63="","",IFERROR(INDEX('Content Calendar'!$L$5:$L$604,MATCH(B63,'Content Calendar'!$A$5:$A$604,0)),"Not found"))</f>
        <v>0</v>
      </c>
      <c r="J63" s="17">
        <f>IF(B63="","",IFERROR(INDEX('Content Calendar'!$P$5:$P$604,MATCH(B63,'Content Calendar'!$A$5:$A$604,0)),"Not found"))</f>
        <v>0</v>
      </c>
      <c r="K63" s="17">
        <f>IF(B63="","",IFERROR(INDEX('Content Calendar'!$O$5:$O$604,MATCH(B63,'Content Calendar'!$A$5:$A$604,0)),"Not found"))</f>
        <v>0</v>
      </c>
      <c r="L63" s="17">
        <f>IF(B63="","",IFERROR(INDEX('Content Calendar'!$N$5:$N$604,MATCH(B63,'Content Calendar'!$A$5:$A$604,0)),"Not found"))</f>
        <v>0</v>
      </c>
      <c r="M63" s="17">
        <f>IF(B63="","",IFERROR(INDEX('Content Calendar'!$C$5:$C$604,MATCH(B63,'Content Calendar'!$A$5:$A$604,0)),"Not found"))</f>
        <v>0</v>
      </c>
      <c r="N63" s="17">
        <f>IF(B63="","",IFERROR(INDEX('Content Calendar'!$F$5:$F$604,MATCH(B63,'Content Calendar'!$A$5:$A$604,0)),"Not found"))</f>
        <v>0</v>
      </c>
      <c r="Z63" s="23">
        <f>IF(O63="","",N(Q63)+N(R63)+N(S63)+N(T63))</f>
        <v>0</v>
      </c>
      <c r="AA63" s="24">
        <f>IF(OR(O63="",O63=0),"",Z63/O63)</f>
        <v>0</v>
      </c>
      <c r="AB63" s="24">
        <f>IF(OR(O63="",O63=0),"",N(T63)/O63)</f>
        <v>0</v>
      </c>
      <c r="AC63" s="24">
        <f>IF(OR(O63="",O63=0),"",N(S63)/O63)</f>
        <v>0</v>
      </c>
      <c r="AD63" s="24">
        <f>IF(OR(O63="",O63=0),"",N(R63)/O63)</f>
        <v>0</v>
      </c>
      <c r="AE63" s="24">
        <f>IF(OR(O63="",O63=0),"",N(U63)/O63)</f>
        <v>0</v>
      </c>
      <c r="AF63" s="24">
        <f>IF(OR(U63="",U63=0),"",N(W63)/U63)</f>
        <v>0</v>
      </c>
      <c r="AG63" s="25">
        <f>IF(OR(O63="",O63=0),"",N(X63)/(O63/1000))</f>
        <v>0</v>
      </c>
      <c r="AH63" s="24">
        <f>IF(O63="","",IF(Y63="",TargetEngagement,Y63))</f>
        <v>0</v>
      </c>
      <c r="AI63" s="24">
        <f>IF(OR(AA63="",AH63=""),"",AA63-AH63)</f>
        <v>0</v>
      </c>
      <c r="AJ63" s="31">
        <f>IF(AA63="","",AA63+ROW()/1000000)</f>
        <v>0</v>
      </c>
      <c r="AK63" s="23">
        <f>IF(AA63="","",RANK(AJ63,Performance!$AJ$5:$AJ$404))</f>
        <v>0</v>
      </c>
      <c r="AL63" s="29">
        <f>IF(AA63="","",IF(AA63&gt;=AH63*1.5,"Top performer",IF(AA63&gt;=AH63,"Above target",IF(AA63&gt;=AH63*0.6,"Below target","Weak - review it"))))</f>
        <v>0</v>
      </c>
      <c r="AM63" s="29">
        <f>IF(B63="","",IF(COUNTIF(Performance!$B$5:$B$404,B63)&gt;1,"Duplicate","OK"))</f>
        <v>0</v>
      </c>
      <c r="AN63" s="29">
        <f>IF(B63="","",IF(C63="Not found","Check - content ID not on the calendar",IF(O63="","Add - no numbers entered yet",IF(AM63="Duplicate","Duplicate - this post is entered twice",IF(AL63="Top performer","Repurpose this one","OK")))))</f>
        <v>0</v>
      </c>
    </row>
    <row r="64" spans="1:40">
      <c r="A64" s="41">
        <f>IF(B64="","","PF-"&amp;TEXT(ROW()-4,"0000"))</f>
        <v>0</v>
      </c>
      <c r="C64" s="17">
        <f>IF(B64="","",IFERROR(INDEX('Content Calendar'!$H$5:$H$604,MATCH(B64,'Content Calendar'!$A$5:$A$604,0)),"Not found"))</f>
        <v>0</v>
      </c>
      <c r="D64" s="16">
        <f>IF(B64="","",IFERROR(INDEX('Content Calendar'!$B$5:$B$604,MATCH(B64,'Content Calendar'!$A$5:$A$604,0)),"Not found"))</f>
        <v>0</v>
      </c>
      <c r="E64" s="17">
        <f>IF(B64="","",IFERROR(INDEX('Content Calendar'!$D$5:$D$604,MATCH(B64,'Content Calendar'!$A$5:$A$604,0)),"Not found"))</f>
        <v>0</v>
      </c>
      <c r="F64" s="17">
        <f>IF(B64="","",IFERROR(INDEX('Content Calendar'!$G$5:$G$604,MATCH(B64,'Content Calendar'!$A$5:$A$604,0)),"Not found"))</f>
        <v>0</v>
      </c>
      <c r="G64" s="17">
        <f>IF(B64="","",IFERROR(INDEX('Content Calendar'!$K$5:$K$604,MATCH(B64,'Content Calendar'!$A$5:$A$604,0)),"Not found"))</f>
        <v>0</v>
      </c>
      <c r="H64" s="17">
        <f>IF(B64="","",IFERROR(INDEX('Content Calendar'!$J$5:$J$604,MATCH(B64,'Content Calendar'!$A$5:$A$604,0)),"Not found"))</f>
        <v>0</v>
      </c>
      <c r="I64" s="17">
        <f>IF(B64="","",IFERROR(INDEX('Content Calendar'!$L$5:$L$604,MATCH(B64,'Content Calendar'!$A$5:$A$604,0)),"Not found"))</f>
        <v>0</v>
      </c>
      <c r="J64" s="17">
        <f>IF(B64="","",IFERROR(INDEX('Content Calendar'!$P$5:$P$604,MATCH(B64,'Content Calendar'!$A$5:$A$604,0)),"Not found"))</f>
        <v>0</v>
      </c>
      <c r="K64" s="17">
        <f>IF(B64="","",IFERROR(INDEX('Content Calendar'!$O$5:$O$604,MATCH(B64,'Content Calendar'!$A$5:$A$604,0)),"Not found"))</f>
        <v>0</v>
      </c>
      <c r="L64" s="17">
        <f>IF(B64="","",IFERROR(INDEX('Content Calendar'!$N$5:$N$604,MATCH(B64,'Content Calendar'!$A$5:$A$604,0)),"Not found"))</f>
        <v>0</v>
      </c>
      <c r="M64" s="17">
        <f>IF(B64="","",IFERROR(INDEX('Content Calendar'!$C$5:$C$604,MATCH(B64,'Content Calendar'!$A$5:$A$604,0)),"Not found"))</f>
        <v>0</v>
      </c>
      <c r="N64" s="17">
        <f>IF(B64="","",IFERROR(INDEX('Content Calendar'!$F$5:$F$604,MATCH(B64,'Content Calendar'!$A$5:$A$604,0)),"Not found"))</f>
        <v>0</v>
      </c>
      <c r="Z64" s="23">
        <f>IF(O64="","",N(Q64)+N(R64)+N(S64)+N(T64))</f>
        <v>0</v>
      </c>
      <c r="AA64" s="24">
        <f>IF(OR(O64="",O64=0),"",Z64/O64)</f>
        <v>0</v>
      </c>
      <c r="AB64" s="24">
        <f>IF(OR(O64="",O64=0),"",N(T64)/O64)</f>
        <v>0</v>
      </c>
      <c r="AC64" s="24">
        <f>IF(OR(O64="",O64=0),"",N(S64)/O64)</f>
        <v>0</v>
      </c>
      <c r="AD64" s="24">
        <f>IF(OR(O64="",O64=0),"",N(R64)/O64)</f>
        <v>0</v>
      </c>
      <c r="AE64" s="24">
        <f>IF(OR(O64="",O64=0),"",N(U64)/O64)</f>
        <v>0</v>
      </c>
      <c r="AF64" s="24">
        <f>IF(OR(U64="",U64=0),"",N(W64)/U64)</f>
        <v>0</v>
      </c>
      <c r="AG64" s="25">
        <f>IF(OR(O64="",O64=0),"",N(X64)/(O64/1000))</f>
        <v>0</v>
      </c>
      <c r="AH64" s="24">
        <f>IF(O64="","",IF(Y64="",TargetEngagement,Y64))</f>
        <v>0</v>
      </c>
      <c r="AI64" s="24">
        <f>IF(OR(AA64="",AH64=""),"",AA64-AH64)</f>
        <v>0</v>
      </c>
      <c r="AJ64" s="31">
        <f>IF(AA64="","",AA64+ROW()/1000000)</f>
        <v>0</v>
      </c>
      <c r="AK64" s="23">
        <f>IF(AA64="","",RANK(AJ64,Performance!$AJ$5:$AJ$404))</f>
        <v>0</v>
      </c>
      <c r="AL64" s="29">
        <f>IF(AA64="","",IF(AA64&gt;=AH64*1.5,"Top performer",IF(AA64&gt;=AH64,"Above target",IF(AA64&gt;=AH64*0.6,"Below target","Weak - review it"))))</f>
        <v>0</v>
      </c>
      <c r="AM64" s="29">
        <f>IF(B64="","",IF(COUNTIF(Performance!$B$5:$B$404,B64)&gt;1,"Duplicate","OK"))</f>
        <v>0</v>
      </c>
      <c r="AN64" s="29">
        <f>IF(B64="","",IF(C64="Not found","Check - content ID not on the calendar",IF(O64="","Add - no numbers entered yet",IF(AM64="Duplicate","Duplicate - this post is entered twice",IF(AL64="Top performer","Repurpose this one","OK")))))</f>
        <v>0</v>
      </c>
    </row>
    <row r="65" spans="1:40">
      <c r="A65" s="41">
        <f>IF(B65="","","PF-"&amp;TEXT(ROW()-4,"0000"))</f>
        <v>0</v>
      </c>
      <c r="C65" s="17">
        <f>IF(B65="","",IFERROR(INDEX('Content Calendar'!$H$5:$H$604,MATCH(B65,'Content Calendar'!$A$5:$A$604,0)),"Not found"))</f>
        <v>0</v>
      </c>
      <c r="D65" s="16">
        <f>IF(B65="","",IFERROR(INDEX('Content Calendar'!$B$5:$B$604,MATCH(B65,'Content Calendar'!$A$5:$A$604,0)),"Not found"))</f>
        <v>0</v>
      </c>
      <c r="E65" s="17">
        <f>IF(B65="","",IFERROR(INDEX('Content Calendar'!$D$5:$D$604,MATCH(B65,'Content Calendar'!$A$5:$A$604,0)),"Not found"))</f>
        <v>0</v>
      </c>
      <c r="F65" s="17">
        <f>IF(B65="","",IFERROR(INDEX('Content Calendar'!$G$5:$G$604,MATCH(B65,'Content Calendar'!$A$5:$A$604,0)),"Not found"))</f>
        <v>0</v>
      </c>
      <c r="G65" s="17">
        <f>IF(B65="","",IFERROR(INDEX('Content Calendar'!$K$5:$K$604,MATCH(B65,'Content Calendar'!$A$5:$A$604,0)),"Not found"))</f>
        <v>0</v>
      </c>
      <c r="H65" s="17">
        <f>IF(B65="","",IFERROR(INDEX('Content Calendar'!$J$5:$J$604,MATCH(B65,'Content Calendar'!$A$5:$A$604,0)),"Not found"))</f>
        <v>0</v>
      </c>
      <c r="I65" s="17">
        <f>IF(B65="","",IFERROR(INDEX('Content Calendar'!$L$5:$L$604,MATCH(B65,'Content Calendar'!$A$5:$A$604,0)),"Not found"))</f>
        <v>0</v>
      </c>
      <c r="J65" s="17">
        <f>IF(B65="","",IFERROR(INDEX('Content Calendar'!$P$5:$P$604,MATCH(B65,'Content Calendar'!$A$5:$A$604,0)),"Not found"))</f>
        <v>0</v>
      </c>
      <c r="K65" s="17">
        <f>IF(B65="","",IFERROR(INDEX('Content Calendar'!$O$5:$O$604,MATCH(B65,'Content Calendar'!$A$5:$A$604,0)),"Not found"))</f>
        <v>0</v>
      </c>
      <c r="L65" s="17">
        <f>IF(B65="","",IFERROR(INDEX('Content Calendar'!$N$5:$N$604,MATCH(B65,'Content Calendar'!$A$5:$A$604,0)),"Not found"))</f>
        <v>0</v>
      </c>
      <c r="M65" s="17">
        <f>IF(B65="","",IFERROR(INDEX('Content Calendar'!$C$5:$C$604,MATCH(B65,'Content Calendar'!$A$5:$A$604,0)),"Not found"))</f>
        <v>0</v>
      </c>
      <c r="N65" s="17">
        <f>IF(B65="","",IFERROR(INDEX('Content Calendar'!$F$5:$F$604,MATCH(B65,'Content Calendar'!$A$5:$A$604,0)),"Not found"))</f>
        <v>0</v>
      </c>
      <c r="Z65" s="23">
        <f>IF(O65="","",N(Q65)+N(R65)+N(S65)+N(T65))</f>
        <v>0</v>
      </c>
      <c r="AA65" s="24">
        <f>IF(OR(O65="",O65=0),"",Z65/O65)</f>
        <v>0</v>
      </c>
      <c r="AB65" s="24">
        <f>IF(OR(O65="",O65=0),"",N(T65)/O65)</f>
        <v>0</v>
      </c>
      <c r="AC65" s="24">
        <f>IF(OR(O65="",O65=0),"",N(S65)/O65)</f>
        <v>0</v>
      </c>
      <c r="AD65" s="24">
        <f>IF(OR(O65="",O65=0),"",N(R65)/O65)</f>
        <v>0</v>
      </c>
      <c r="AE65" s="24">
        <f>IF(OR(O65="",O65=0),"",N(U65)/O65)</f>
        <v>0</v>
      </c>
      <c r="AF65" s="24">
        <f>IF(OR(U65="",U65=0),"",N(W65)/U65)</f>
        <v>0</v>
      </c>
      <c r="AG65" s="25">
        <f>IF(OR(O65="",O65=0),"",N(X65)/(O65/1000))</f>
        <v>0</v>
      </c>
      <c r="AH65" s="24">
        <f>IF(O65="","",IF(Y65="",TargetEngagement,Y65))</f>
        <v>0</v>
      </c>
      <c r="AI65" s="24">
        <f>IF(OR(AA65="",AH65=""),"",AA65-AH65)</f>
        <v>0</v>
      </c>
      <c r="AJ65" s="31">
        <f>IF(AA65="","",AA65+ROW()/1000000)</f>
        <v>0</v>
      </c>
      <c r="AK65" s="23">
        <f>IF(AA65="","",RANK(AJ65,Performance!$AJ$5:$AJ$404))</f>
        <v>0</v>
      </c>
      <c r="AL65" s="29">
        <f>IF(AA65="","",IF(AA65&gt;=AH65*1.5,"Top performer",IF(AA65&gt;=AH65,"Above target",IF(AA65&gt;=AH65*0.6,"Below target","Weak - review it"))))</f>
        <v>0</v>
      </c>
      <c r="AM65" s="29">
        <f>IF(B65="","",IF(COUNTIF(Performance!$B$5:$B$404,B65)&gt;1,"Duplicate","OK"))</f>
        <v>0</v>
      </c>
      <c r="AN65" s="29">
        <f>IF(B65="","",IF(C65="Not found","Check - content ID not on the calendar",IF(O65="","Add - no numbers entered yet",IF(AM65="Duplicate","Duplicate - this post is entered twice",IF(AL65="Top performer","Repurpose this one","OK")))))</f>
        <v>0</v>
      </c>
    </row>
    <row r="66" spans="1:40">
      <c r="A66" s="41">
        <f>IF(B66="","","PF-"&amp;TEXT(ROW()-4,"0000"))</f>
        <v>0</v>
      </c>
      <c r="C66" s="17">
        <f>IF(B66="","",IFERROR(INDEX('Content Calendar'!$H$5:$H$604,MATCH(B66,'Content Calendar'!$A$5:$A$604,0)),"Not found"))</f>
        <v>0</v>
      </c>
      <c r="D66" s="16">
        <f>IF(B66="","",IFERROR(INDEX('Content Calendar'!$B$5:$B$604,MATCH(B66,'Content Calendar'!$A$5:$A$604,0)),"Not found"))</f>
        <v>0</v>
      </c>
      <c r="E66" s="17">
        <f>IF(B66="","",IFERROR(INDEX('Content Calendar'!$D$5:$D$604,MATCH(B66,'Content Calendar'!$A$5:$A$604,0)),"Not found"))</f>
        <v>0</v>
      </c>
      <c r="F66" s="17">
        <f>IF(B66="","",IFERROR(INDEX('Content Calendar'!$G$5:$G$604,MATCH(B66,'Content Calendar'!$A$5:$A$604,0)),"Not found"))</f>
        <v>0</v>
      </c>
      <c r="G66" s="17">
        <f>IF(B66="","",IFERROR(INDEX('Content Calendar'!$K$5:$K$604,MATCH(B66,'Content Calendar'!$A$5:$A$604,0)),"Not found"))</f>
        <v>0</v>
      </c>
      <c r="H66" s="17">
        <f>IF(B66="","",IFERROR(INDEX('Content Calendar'!$J$5:$J$604,MATCH(B66,'Content Calendar'!$A$5:$A$604,0)),"Not found"))</f>
        <v>0</v>
      </c>
      <c r="I66" s="17">
        <f>IF(B66="","",IFERROR(INDEX('Content Calendar'!$L$5:$L$604,MATCH(B66,'Content Calendar'!$A$5:$A$604,0)),"Not found"))</f>
        <v>0</v>
      </c>
      <c r="J66" s="17">
        <f>IF(B66="","",IFERROR(INDEX('Content Calendar'!$P$5:$P$604,MATCH(B66,'Content Calendar'!$A$5:$A$604,0)),"Not found"))</f>
        <v>0</v>
      </c>
      <c r="K66" s="17">
        <f>IF(B66="","",IFERROR(INDEX('Content Calendar'!$O$5:$O$604,MATCH(B66,'Content Calendar'!$A$5:$A$604,0)),"Not found"))</f>
        <v>0</v>
      </c>
      <c r="L66" s="17">
        <f>IF(B66="","",IFERROR(INDEX('Content Calendar'!$N$5:$N$604,MATCH(B66,'Content Calendar'!$A$5:$A$604,0)),"Not found"))</f>
        <v>0</v>
      </c>
      <c r="M66" s="17">
        <f>IF(B66="","",IFERROR(INDEX('Content Calendar'!$C$5:$C$604,MATCH(B66,'Content Calendar'!$A$5:$A$604,0)),"Not found"))</f>
        <v>0</v>
      </c>
      <c r="N66" s="17">
        <f>IF(B66="","",IFERROR(INDEX('Content Calendar'!$F$5:$F$604,MATCH(B66,'Content Calendar'!$A$5:$A$604,0)),"Not found"))</f>
        <v>0</v>
      </c>
      <c r="Z66" s="23">
        <f>IF(O66="","",N(Q66)+N(R66)+N(S66)+N(T66))</f>
        <v>0</v>
      </c>
      <c r="AA66" s="24">
        <f>IF(OR(O66="",O66=0),"",Z66/O66)</f>
        <v>0</v>
      </c>
      <c r="AB66" s="24">
        <f>IF(OR(O66="",O66=0),"",N(T66)/O66)</f>
        <v>0</v>
      </c>
      <c r="AC66" s="24">
        <f>IF(OR(O66="",O66=0),"",N(S66)/O66)</f>
        <v>0</v>
      </c>
      <c r="AD66" s="24">
        <f>IF(OR(O66="",O66=0),"",N(R66)/O66)</f>
        <v>0</v>
      </c>
      <c r="AE66" s="24">
        <f>IF(OR(O66="",O66=0),"",N(U66)/O66)</f>
        <v>0</v>
      </c>
      <c r="AF66" s="24">
        <f>IF(OR(U66="",U66=0),"",N(W66)/U66)</f>
        <v>0</v>
      </c>
      <c r="AG66" s="25">
        <f>IF(OR(O66="",O66=0),"",N(X66)/(O66/1000))</f>
        <v>0</v>
      </c>
      <c r="AH66" s="24">
        <f>IF(O66="","",IF(Y66="",TargetEngagement,Y66))</f>
        <v>0</v>
      </c>
      <c r="AI66" s="24">
        <f>IF(OR(AA66="",AH66=""),"",AA66-AH66)</f>
        <v>0</v>
      </c>
      <c r="AJ66" s="31">
        <f>IF(AA66="","",AA66+ROW()/1000000)</f>
        <v>0</v>
      </c>
      <c r="AK66" s="23">
        <f>IF(AA66="","",RANK(AJ66,Performance!$AJ$5:$AJ$404))</f>
        <v>0</v>
      </c>
      <c r="AL66" s="29">
        <f>IF(AA66="","",IF(AA66&gt;=AH66*1.5,"Top performer",IF(AA66&gt;=AH66,"Above target",IF(AA66&gt;=AH66*0.6,"Below target","Weak - review it"))))</f>
        <v>0</v>
      </c>
      <c r="AM66" s="29">
        <f>IF(B66="","",IF(COUNTIF(Performance!$B$5:$B$404,B66)&gt;1,"Duplicate","OK"))</f>
        <v>0</v>
      </c>
      <c r="AN66" s="29">
        <f>IF(B66="","",IF(C66="Not found","Check - content ID not on the calendar",IF(O66="","Add - no numbers entered yet",IF(AM66="Duplicate","Duplicate - this post is entered twice",IF(AL66="Top performer","Repurpose this one","OK")))))</f>
        <v>0</v>
      </c>
    </row>
    <row r="67" spans="1:40">
      <c r="A67" s="41">
        <f>IF(B67="","","PF-"&amp;TEXT(ROW()-4,"0000"))</f>
        <v>0</v>
      </c>
      <c r="C67" s="17">
        <f>IF(B67="","",IFERROR(INDEX('Content Calendar'!$H$5:$H$604,MATCH(B67,'Content Calendar'!$A$5:$A$604,0)),"Not found"))</f>
        <v>0</v>
      </c>
      <c r="D67" s="16">
        <f>IF(B67="","",IFERROR(INDEX('Content Calendar'!$B$5:$B$604,MATCH(B67,'Content Calendar'!$A$5:$A$604,0)),"Not found"))</f>
        <v>0</v>
      </c>
      <c r="E67" s="17">
        <f>IF(B67="","",IFERROR(INDEX('Content Calendar'!$D$5:$D$604,MATCH(B67,'Content Calendar'!$A$5:$A$604,0)),"Not found"))</f>
        <v>0</v>
      </c>
      <c r="F67" s="17">
        <f>IF(B67="","",IFERROR(INDEX('Content Calendar'!$G$5:$G$604,MATCH(B67,'Content Calendar'!$A$5:$A$604,0)),"Not found"))</f>
        <v>0</v>
      </c>
      <c r="G67" s="17">
        <f>IF(B67="","",IFERROR(INDEX('Content Calendar'!$K$5:$K$604,MATCH(B67,'Content Calendar'!$A$5:$A$604,0)),"Not found"))</f>
        <v>0</v>
      </c>
      <c r="H67" s="17">
        <f>IF(B67="","",IFERROR(INDEX('Content Calendar'!$J$5:$J$604,MATCH(B67,'Content Calendar'!$A$5:$A$604,0)),"Not found"))</f>
        <v>0</v>
      </c>
      <c r="I67" s="17">
        <f>IF(B67="","",IFERROR(INDEX('Content Calendar'!$L$5:$L$604,MATCH(B67,'Content Calendar'!$A$5:$A$604,0)),"Not found"))</f>
        <v>0</v>
      </c>
      <c r="J67" s="17">
        <f>IF(B67="","",IFERROR(INDEX('Content Calendar'!$P$5:$P$604,MATCH(B67,'Content Calendar'!$A$5:$A$604,0)),"Not found"))</f>
        <v>0</v>
      </c>
      <c r="K67" s="17">
        <f>IF(B67="","",IFERROR(INDEX('Content Calendar'!$O$5:$O$604,MATCH(B67,'Content Calendar'!$A$5:$A$604,0)),"Not found"))</f>
        <v>0</v>
      </c>
      <c r="L67" s="17">
        <f>IF(B67="","",IFERROR(INDEX('Content Calendar'!$N$5:$N$604,MATCH(B67,'Content Calendar'!$A$5:$A$604,0)),"Not found"))</f>
        <v>0</v>
      </c>
      <c r="M67" s="17">
        <f>IF(B67="","",IFERROR(INDEX('Content Calendar'!$C$5:$C$604,MATCH(B67,'Content Calendar'!$A$5:$A$604,0)),"Not found"))</f>
        <v>0</v>
      </c>
      <c r="N67" s="17">
        <f>IF(B67="","",IFERROR(INDEX('Content Calendar'!$F$5:$F$604,MATCH(B67,'Content Calendar'!$A$5:$A$604,0)),"Not found"))</f>
        <v>0</v>
      </c>
      <c r="Z67" s="23">
        <f>IF(O67="","",N(Q67)+N(R67)+N(S67)+N(T67))</f>
        <v>0</v>
      </c>
      <c r="AA67" s="24">
        <f>IF(OR(O67="",O67=0),"",Z67/O67)</f>
        <v>0</v>
      </c>
      <c r="AB67" s="24">
        <f>IF(OR(O67="",O67=0),"",N(T67)/O67)</f>
        <v>0</v>
      </c>
      <c r="AC67" s="24">
        <f>IF(OR(O67="",O67=0),"",N(S67)/O67)</f>
        <v>0</v>
      </c>
      <c r="AD67" s="24">
        <f>IF(OR(O67="",O67=0),"",N(R67)/O67)</f>
        <v>0</v>
      </c>
      <c r="AE67" s="24">
        <f>IF(OR(O67="",O67=0),"",N(U67)/O67)</f>
        <v>0</v>
      </c>
      <c r="AF67" s="24">
        <f>IF(OR(U67="",U67=0),"",N(W67)/U67)</f>
        <v>0</v>
      </c>
      <c r="AG67" s="25">
        <f>IF(OR(O67="",O67=0),"",N(X67)/(O67/1000))</f>
        <v>0</v>
      </c>
      <c r="AH67" s="24">
        <f>IF(O67="","",IF(Y67="",TargetEngagement,Y67))</f>
        <v>0</v>
      </c>
      <c r="AI67" s="24">
        <f>IF(OR(AA67="",AH67=""),"",AA67-AH67)</f>
        <v>0</v>
      </c>
      <c r="AJ67" s="31">
        <f>IF(AA67="","",AA67+ROW()/1000000)</f>
        <v>0</v>
      </c>
      <c r="AK67" s="23">
        <f>IF(AA67="","",RANK(AJ67,Performance!$AJ$5:$AJ$404))</f>
        <v>0</v>
      </c>
      <c r="AL67" s="29">
        <f>IF(AA67="","",IF(AA67&gt;=AH67*1.5,"Top performer",IF(AA67&gt;=AH67,"Above target",IF(AA67&gt;=AH67*0.6,"Below target","Weak - review it"))))</f>
        <v>0</v>
      </c>
      <c r="AM67" s="29">
        <f>IF(B67="","",IF(COUNTIF(Performance!$B$5:$B$404,B67)&gt;1,"Duplicate","OK"))</f>
        <v>0</v>
      </c>
      <c r="AN67" s="29">
        <f>IF(B67="","",IF(C67="Not found","Check - content ID not on the calendar",IF(O67="","Add - no numbers entered yet",IF(AM67="Duplicate","Duplicate - this post is entered twice",IF(AL67="Top performer","Repurpose this one","OK")))))</f>
        <v>0</v>
      </c>
    </row>
    <row r="68" spans="1:40">
      <c r="A68" s="41">
        <f>IF(B68="","","PF-"&amp;TEXT(ROW()-4,"0000"))</f>
        <v>0</v>
      </c>
      <c r="C68" s="17">
        <f>IF(B68="","",IFERROR(INDEX('Content Calendar'!$H$5:$H$604,MATCH(B68,'Content Calendar'!$A$5:$A$604,0)),"Not found"))</f>
        <v>0</v>
      </c>
      <c r="D68" s="16">
        <f>IF(B68="","",IFERROR(INDEX('Content Calendar'!$B$5:$B$604,MATCH(B68,'Content Calendar'!$A$5:$A$604,0)),"Not found"))</f>
        <v>0</v>
      </c>
      <c r="E68" s="17">
        <f>IF(B68="","",IFERROR(INDEX('Content Calendar'!$D$5:$D$604,MATCH(B68,'Content Calendar'!$A$5:$A$604,0)),"Not found"))</f>
        <v>0</v>
      </c>
      <c r="F68" s="17">
        <f>IF(B68="","",IFERROR(INDEX('Content Calendar'!$G$5:$G$604,MATCH(B68,'Content Calendar'!$A$5:$A$604,0)),"Not found"))</f>
        <v>0</v>
      </c>
      <c r="G68" s="17">
        <f>IF(B68="","",IFERROR(INDEX('Content Calendar'!$K$5:$K$604,MATCH(B68,'Content Calendar'!$A$5:$A$604,0)),"Not found"))</f>
        <v>0</v>
      </c>
      <c r="H68" s="17">
        <f>IF(B68="","",IFERROR(INDEX('Content Calendar'!$J$5:$J$604,MATCH(B68,'Content Calendar'!$A$5:$A$604,0)),"Not found"))</f>
        <v>0</v>
      </c>
      <c r="I68" s="17">
        <f>IF(B68="","",IFERROR(INDEX('Content Calendar'!$L$5:$L$604,MATCH(B68,'Content Calendar'!$A$5:$A$604,0)),"Not found"))</f>
        <v>0</v>
      </c>
      <c r="J68" s="17">
        <f>IF(B68="","",IFERROR(INDEX('Content Calendar'!$P$5:$P$604,MATCH(B68,'Content Calendar'!$A$5:$A$604,0)),"Not found"))</f>
        <v>0</v>
      </c>
      <c r="K68" s="17">
        <f>IF(B68="","",IFERROR(INDEX('Content Calendar'!$O$5:$O$604,MATCH(B68,'Content Calendar'!$A$5:$A$604,0)),"Not found"))</f>
        <v>0</v>
      </c>
      <c r="L68" s="17">
        <f>IF(B68="","",IFERROR(INDEX('Content Calendar'!$N$5:$N$604,MATCH(B68,'Content Calendar'!$A$5:$A$604,0)),"Not found"))</f>
        <v>0</v>
      </c>
      <c r="M68" s="17">
        <f>IF(B68="","",IFERROR(INDEX('Content Calendar'!$C$5:$C$604,MATCH(B68,'Content Calendar'!$A$5:$A$604,0)),"Not found"))</f>
        <v>0</v>
      </c>
      <c r="N68" s="17">
        <f>IF(B68="","",IFERROR(INDEX('Content Calendar'!$F$5:$F$604,MATCH(B68,'Content Calendar'!$A$5:$A$604,0)),"Not found"))</f>
        <v>0</v>
      </c>
      <c r="Z68" s="23">
        <f>IF(O68="","",N(Q68)+N(R68)+N(S68)+N(T68))</f>
        <v>0</v>
      </c>
      <c r="AA68" s="24">
        <f>IF(OR(O68="",O68=0),"",Z68/O68)</f>
        <v>0</v>
      </c>
      <c r="AB68" s="24">
        <f>IF(OR(O68="",O68=0),"",N(T68)/O68)</f>
        <v>0</v>
      </c>
      <c r="AC68" s="24">
        <f>IF(OR(O68="",O68=0),"",N(S68)/O68)</f>
        <v>0</v>
      </c>
      <c r="AD68" s="24">
        <f>IF(OR(O68="",O68=0),"",N(R68)/O68)</f>
        <v>0</v>
      </c>
      <c r="AE68" s="24">
        <f>IF(OR(O68="",O68=0),"",N(U68)/O68)</f>
        <v>0</v>
      </c>
      <c r="AF68" s="24">
        <f>IF(OR(U68="",U68=0),"",N(W68)/U68)</f>
        <v>0</v>
      </c>
      <c r="AG68" s="25">
        <f>IF(OR(O68="",O68=0),"",N(X68)/(O68/1000))</f>
        <v>0</v>
      </c>
      <c r="AH68" s="24">
        <f>IF(O68="","",IF(Y68="",TargetEngagement,Y68))</f>
        <v>0</v>
      </c>
      <c r="AI68" s="24">
        <f>IF(OR(AA68="",AH68=""),"",AA68-AH68)</f>
        <v>0</v>
      </c>
      <c r="AJ68" s="31">
        <f>IF(AA68="","",AA68+ROW()/1000000)</f>
        <v>0</v>
      </c>
      <c r="AK68" s="23">
        <f>IF(AA68="","",RANK(AJ68,Performance!$AJ$5:$AJ$404))</f>
        <v>0</v>
      </c>
      <c r="AL68" s="29">
        <f>IF(AA68="","",IF(AA68&gt;=AH68*1.5,"Top performer",IF(AA68&gt;=AH68,"Above target",IF(AA68&gt;=AH68*0.6,"Below target","Weak - review it"))))</f>
        <v>0</v>
      </c>
      <c r="AM68" s="29">
        <f>IF(B68="","",IF(COUNTIF(Performance!$B$5:$B$404,B68)&gt;1,"Duplicate","OK"))</f>
        <v>0</v>
      </c>
      <c r="AN68" s="29">
        <f>IF(B68="","",IF(C68="Not found","Check - content ID not on the calendar",IF(O68="","Add - no numbers entered yet",IF(AM68="Duplicate","Duplicate - this post is entered twice",IF(AL68="Top performer","Repurpose this one","OK")))))</f>
        <v>0</v>
      </c>
    </row>
    <row r="69" spans="1:40">
      <c r="A69" s="41">
        <f>IF(B69="","","PF-"&amp;TEXT(ROW()-4,"0000"))</f>
        <v>0</v>
      </c>
      <c r="C69" s="17">
        <f>IF(B69="","",IFERROR(INDEX('Content Calendar'!$H$5:$H$604,MATCH(B69,'Content Calendar'!$A$5:$A$604,0)),"Not found"))</f>
        <v>0</v>
      </c>
      <c r="D69" s="16">
        <f>IF(B69="","",IFERROR(INDEX('Content Calendar'!$B$5:$B$604,MATCH(B69,'Content Calendar'!$A$5:$A$604,0)),"Not found"))</f>
        <v>0</v>
      </c>
      <c r="E69" s="17">
        <f>IF(B69="","",IFERROR(INDEX('Content Calendar'!$D$5:$D$604,MATCH(B69,'Content Calendar'!$A$5:$A$604,0)),"Not found"))</f>
        <v>0</v>
      </c>
      <c r="F69" s="17">
        <f>IF(B69="","",IFERROR(INDEX('Content Calendar'!$G$5:$G$604,MATCH(B69,'Content Calendar'!$A$5:$A$604,0)),"Not found"))</f>
        <v>0</v>
      </c>
      <c r="G69" s="17">
        <f>IF(B69="","",IFERROR(INDEX('Content Calendar'!$K$5:$K$604,MATCH(B69,'Content Calendar'!$A$5:$A$604,0)),"Not found"))</f>
        <v>0</v>
      </c>
      <c r="H69" s="17">
        <f>IF(B69="","",IFERROR(INDEX('Content Calendar'!$J$5:$J$604,MATCH(B69,'Content Calendar'!$A$5:$A$604,0)),"Not found"))</f>
        <v>0</v>
      </c>
      <c r="I69" s="17">
        <f>IF(B69="","",IFERROR(INDEX('Content Calendar'!$L$5:$L$604,MATCH(B69,'Content Calendar'!$A$5:$A$604,0)),"Not found"))</f>
        <v>0</v>
      </c>
      <c r="J69" s="17">
        <f>IF(B69="","",IFERROR(INDEX('Content Calendar'!$P$5:$P$604,MATCH(B69,'Content Calendar'!$A$5:$A$604,0)),"Not found"))</f>
        <v>0</v>
      </c>
      <c r="K69" s="17">
        <f>IF(B69="","",IFERROR(INDEX('Content Calendar'!$O$5:$O$604,MATCH(B69,'Content Calendar'!$A$5:$A$604,0)),"Not found"))</f>
        <v>0</v>
      </c>
      <c r="L69" s="17">
        <f>IF(B69="","",IFERROR(INDEX('Content Calendar'!$N$5:$N$604,MATCH(B69,'Content Calendar'!$A$5:$A$604,0)),"Not found"))</f>
        <v>0</v>
      </c>
      <c r="M69" s="17">
        <f>IF(B69="","",IFERROR(INDEX('Content Calendar'!$C$5:$C$604,MATCH(B69,'Content Calendar'!$A$5:$A$604,0)),"Not found"))</f>
        <v>0</v>
      </c>
      <c r="N69" s="17">
        <f>IF(B69="","",IFERROR(INDEX('Content Calendar'!$F$5:$F$604,MATCH(B69,'Content Calendar'!$A$5:$A$604,0)),"Not found"))</f>
        <v>0</v>
      </c>
      <c r="Z69" s="23">
        <f>IF(O69="","",N(Q69)+N(R69)+N(S69)+N(T69))</f>
        <v>0</v>
      </c>
      <c r="AA69" s="24">
        <f>IF(OR(O69="",O69=0),"",Z69/O69)</f>
        <v>0</v>
      </c>
      <c r="AB69" s="24">
        <f>IF(OR(O69="",O69=0),"",N(T69)/O69)</f>
        <v>0</v>
      </c>
      <c r="AC69" s="24">
        <f>IF(OR(O69="",O69=0),"",N(S69)/O69)</f>
        <v>0</v>
      </c>
      <c r="AD69" s="24">
        <f>IF(OR(O69="",O69=0),"",N(R69)/O69)</f>
        <v>0</v>
      </c>
      <c r="AE69" s="24">
        <f>IF(OR(O69="",O69=0),"",N(U69)/O69)</f>
        <v>0</v>
      </c>
      <c r="AF69" s="24">
        <f>IF(OR(U69="",U69=0),"",N(W69)/U69)</f>
        <v>0</v>
      </c>
      <c r="AG69" s="25">
        <f>IF(OR(O69="",O69=0),"",N(X69)/(O69/1000))</f>
        <v>0</v>
      </c>
      <c r="AH69" s="24">
        <f>IF(O69="","",IF(Y69="",TargetEngagement,Y69))</f>
        <v>0</v>
      </c>
      <c r="AI69" s="24">
        <f>IF(OR(AA69="",AH69=""),"",AA69-AH69)</f>
        <v>0</v>
      </c>
      <c r="AJ69" s="31">
        <f>IF(AA69="","",AA69+ROW()/1000000)</f>
        <v>0</v>
      </c>
      <c r="AK69" s="23">
        <f>IF(AA69="","",RANK(AJ69,Performance!$AJ$5:$AJ$404))</f>
        <v>0</v>
      </c>
      <c r="AL69" s="29">
        <f>IF(AA69="","",IF(AA69&gt;=AH69*1.5,"Top performer",IF(AA69&gt;=AH69,"Above target",IF(AA69&gt;=AH69*0.6,"Below target","Weak - review it"))))</f>
        <v>0</v>
      </c>
      <c r="AM69" s="29">
        <f>IF(B69="","",IF(COUNTIF(Performance!$B$5:$B$404,B69)&gt;1,"Duplicate","OK"))</f>
        <v>0</v>
      </c>
      <c r="AN69" s="29">
        <f>IF(B69="","",IF(C69="Not found","Check - content ID not on the calendar",IF(O69="","Add - no numbers entered yet",IF(AM69="Duplicate","Duplicate - this post is entered twice",IF(AL69="Top performer","Repurpose this one","OK")))))</f>
        <v>0</v>
      </c>
    </row>
    <row r="70" spans="1:40">
      <c r="A70" s="41">
        <f>IF(B70="","","PF-"&amp;TEXT(ROW()-4,"0000"))</f>
        <v>0</v>
      </c>
      <c r="C70" s="17">
        <f>IF(B70="","",IFERROR(INDEX('Content Calendar'!$H$5:$H$604,MATCH(B70,'Content Calendar'!$A$5:$A$604,0)),"Not found"))</f>
        <v>0</v>
      </c>
      <c r="D70" s="16">
        <f>IF(B70="","",IFERROR(INDEX('Content Calendar'!$B$5:$B$604,MATCH(B70,'Content Calendar'!$A$5:$A$604,0)),"Not found"))</f>
        <v>0</v>
      </c>
      <c r="E70" s="17">
        <f>IF(B70="","",IFERROR(INDEX('Content Calendar'!$D$5:$D$604,MATCH(B70,'Content Calendar'!$A$5:$A$604,0)),"Not found"))</f>
        <v>0</v>
      </c>
      <c r="F70" s="17">
        <f>IF(B70="","",IFERROR(INDEX('Content Calendar'!$G$5:$G$604,MATCH(B70,'Content Calendar'!$A$5:$A$604,0)),"Not found"))</f>
        <v>0</v>
      </c>
      <c r="G70" s="17">
        <f>IF(B70="","",IFERROR(INDEX('Content Calendar'!$K$5:$K$604,MATCH(B70,'Content Calendar'!$A$5:$A$604,0)),"Not found"))</f>
        <v>0</v>
      </c>
      <c r="H70" s="17">
        <f>IF(B70="","",IFERROR(INDEX('Content Calendar'!$J$5:$J$604,MATCH(B70,'Content Calendar'!$A$5:$A$604,0)),"Not found"))</f>
        <v>0</v>
      </c>
      <c r="I70" s="17">
        <f>IF(B70="","",IFERROR(INDEX('Content Calendar'!$L$5:$L$604,MATCH(B70,'Content Calendar'!$A$5:$A$604,0)),"Not found"))</f>
        <v>0</v>
      </c>
      <c r="J70" s="17">
        <f>IF(B70="","",IFERROR(INDEX('Content Calendar'!$P$5:$P$604,MATCH(B70,'Content Calendar'!$A$5:$A$604,0)),"Not found"))</f>
        <v>0</v>
      </c>
      <c r="K70" s="17">
        <f>IF(B70="","",IFERROR(INDEX('Content Calendar'!$O$5:$O$604,MATCH(B70,'Content Calendar'!$A$5:$A$604,0)),"Not found"))</f>
        <v>0</v>
      </c>
      <c r="L70" s="17">
        <f>IF(B70="","",IFERROR(INDEX('Content Calendar'!$N$5:$N$604,MATCH(B70,'Content Calendar'!$A$5:$A$604,0)),"Not found"))</f>
        <v>0</v>
      </c>
      <c r="M70" s="17">
        <f>IF(B70="","",IFERROR(INDEX('Content Calendar'!$C$5:$C$604,MATCH(B70,'Content Calendar'!$A$5:$A$604,0)),"Not found"))</f>
        <v>0</v>
      </c>
      <c r="N70" s="17">
        <f>IF(B70="","",IFERROR(INDEX('Content Calendar'!$F$5:$F$604,MATCH(B70,'Content Calendar'!$A$5:$A$604,0)),"Not found"))</f>
        <v>0</v>
      </c>
      <c r="Z70" s="23">
        <f>IF(O70="","",N(Q70)+N(R70)+N(S70)+N(T70))</f>
        <v>0</v>
      </c>
      <c r="AA70" s="24">
        <f>IF(OR(O70="",O70=0),"",Z70/O70)</f>
        <v>0</v>
      </c>
      <c r="AB70" s="24">
        <f>IF(OR(O70="",O70=0),"",N(T70)/O70)</f>
        <v>0</v>
      </c>
      <c r="AC70" s="24">
        <f>IF(OR(O70="",O70=0),"",N(S70)/O70)</f>
        <v>0</v>
      </c>
      <c r="AD70" s="24">
        <f>IF(OR(O70="",O70=0),"",N(R70)/O70)</f>
        <v>0</v>
      </c>
      <c r="AE70" s="24">
        <f>IF(OR(O70="",O70=0),"",N(U70)/O70)</f>
        <v>0</v>
      </c>
      <c r="AF70" s="24">
        <f>IF(OR(U70="",U70=0),"",N(W70)/U70)</f>
        <v>0</v>
      </c>
      <c r="AG70" s="25">
        <f>IF(OR(O70="",O70=0),"",N(X70)/(O70/1000))</f>
        <v>0</v>
      </c>
      <c r="AH70" s="24">
        <f>IF(O70="","",IF(Y70="",TargetEngagement,Y70))</f>
        <v>0</v>
      </c>
      <c r="AI70" s="24">
        <f>IF(OR(AA70="",AH70=""),"",AA70-AH70)</f>
        <v>0</v>
      </c>
      <c r="AJ70" s="31">
        <f>IF(AA70="","",AA70+ROW()/1000000)</f>
        <v>0</v>
      </c>
      <c r="AK70" s="23">
        <f>IF(AA70="","",RANK(AJ70,Performance!$AJ$5:$AJ$404))</f>
        <v>0</v>
      </c>
      <c r="AL70" s="29">
        <f>IF(AA70="","",IF(AA70&gt;=AH70*1.5,"Top performer",IF(AA70&gt;=AH70,"Above target",IF(AA70&gt;=AH70*0.6,"Below target","Weak - review it"))))</f>
        <v>0</v>
      </c>
      <c r="AM70" s="29">
        <f>IF(B70="","",IF(COUNTIF(Performance!$B$5:$B$404,B70)&gt;1,"Duplicate","OK"))</f>
        <v>0</v>
      </c>
      <c r="AN70" s="29">
        <f>IF(B70="","",IF(C70="Not found","Check - content ID not on the calendar",IF(O70="","Add - no numbers entered yet",IF(AM70="Duplicate","Duplicate - this post is entered twice",IF(AL70="Top performer","Repurpose this one","OK")))))</f>
        <v>0</v>
      </c>
    </row>
    <row r="71" spans="1:40">
      <c r="A71" s="41">
        <f>IF(B71="","","PF-"&amp;TEXT(ROW()-4,"0000"))</f>
        <v>0</v>
      </c>
      <c r="C71" s="17">
        <f>IF(B71="","",IFERROR(INDEX('Content Calendar'!$H$5:$H$604,MATCH(B71,'Content Calendar'!$A$5:$A$604,0)),"Not found"))</f>
        <v>0</v>
      </c>
      <c r="D71" s="16">
        <f>IF(B71="","",IFERROR(INDEX('Content Calendar'!$B$5:$B$604,MATCH(B71,'Content Calendar'!$A$5:$A$604,0)),"Not found"))</f>
        <v>0</v>
      </c>
      <c r="E71" s="17">
        <f>IF(B71="","",IFERROR(INDEX('Content Calendar'!$D$5:$D$604,MATCH(B71,'Content Calendar'!$A$5:$A$604,0)),"Not found"))</f>
        <v>0</v>
      </c>
      <c r="F71" s="17">
        <f>IF(B71="","",IFERROR(INDEX('Content Calendar'!$G$5:$G$604,MATCH(B71,'Content Calendar'!$A$5:$A$604,0)),"Not found"))</f>
        <v>0</v>
      </c>
      <c r="G71" s="17">
        <f>IF(B71="","",IFERROR(INDEX('Content Calendar'!$K$5:$K$604,MATCH(B71,'Content Calendar'!$A$5:$A$604,0)),"Not found"))</f>
        <v>0</v>
      </c>
      <c r="H71" s="17">
        <f>IF(B71="","",IFERROR(INDEX('Content Calendar'!$J$5:$J$604,MATCH(B71,'Content Calendar'!$A$5:$A$604,0)),"Not found"))</f>
        <v>0</v>
      </c>
      <c r="I71" s="17">
        <f>IF(B71="","",IFERROR(INDEX('Content Calendar'!$L$5:$L$604,MATCH(B71,'Content Calendar'!$A$5:$A$604,0)),"Not found"))</f>
        <v>0</v>
      </c>
      <c r="J71" s="17">
        <f>IF(B71="","",IFERROR(INDEX('Content Calendar'!$P$5:$P$604,MATCH(B71,'Content Calendar'!$A$5:$A$604,0)),"Not found"))</f>
        <v>0</v>
      </c>
      <c r="K71" s="17">
        <f>IF(B71="","",IFERROR(INDEX('Content Calendar'!$O$5:$O$604,MATCH(B71,'Content Calendar'!$A$5:$A$604,0)),"Not found"))</f>
        <v>0</v>
      </c>
      <c r="L71" s="17">
        <f>IF(B71="","",IFERROR(INDEX('Content Calendar'!$N$5:$N$604,MATCH(B71,'Content Calendar'!$A$5:$A$604,0)),"Not found"))</f>
        <v>0</v>
      </c>
      <c r="M71" s="17">
        <f>IF(B71="","",IFERROR(INDEX('Content Calendar'!$C$5:$C$604,MATCH(B71,'Content Calendar'!$A$5:$A$604,0)),"Not found"))</f>
        <v>0</v>
      </c>
      <c r="N71" s="17">
        <f>IF(B71="","",IFERROR(INDEX('Content Calendar'!$F$5:$F$604,MATCH(B71,'Content Calendar'!$A$5:$A$604,0)),"Not found"))</f>
        <v>0</v>
      </c>
      <c r="Z71" s="23">
        <f>IF(O71="","",N(Q71)+N(R71)+N(S71)+N(T71))</f>
        <v>0</v>
      </c>
      <c r="AA71" s="24">
        <f>IF(OR(O71="",O71=0),"",Z71/O71)</f>
        <v>0</v>
      </c>
      <c r="AB71" s="24">
        <f>IF(OR(O71="",O71=0),"",N(T71)/O71)</f>
        <v>0</v>
      </c>
      <c r="AC71" s="24">
        <f>IF(OR(O71="",O71=0),"",N(S71)/O71)</f>
        <v>0</v>
      </c>
      <c r="AD71" s="24">
        <f>IF(OR(O71="",O71=0),"",N(R71)/O71)</f>
        <v>0</v>
      </c>
      <c r="AE71" s="24">
        <f>IF(OR(O71="",O71=0),"",N(U71)/O71)</f>
        <v>0</v>
      </c>
      <c r="AF71" s="24">
        <f>IF(OR(U71="",U71=0),"",N(W71)/U71)</f>
        <v>0</v>
      </c>
      <c r="AG71" s="25">
        <f>IF(OR(O71="",O71=0),"",N(X71)/(O71/1000))</f>
        <v>0</v>
      </c>
      <c r="AH71" s="24">
        <f>IF(O71="","",IF(Y71="",TargetEngagement,Y71))</f>
        <v>0</v>
      </c>
      <c r="AI71" s="24">
        <f>IF(OR(AA71="",AH71=""),"",AA71-AH71)</f>
        <v>0</v>
      </c>
      <c r="AJ71" s="31">
        <f>IF(AA71="","",AA71+ROW()/1000000)</f>
        <v>0</v>
      </c>
      <c r="AK71" s="23">
        <f>IF(AA71="","",RANK(AJ71,Performance!$AJ$5:$AJ$404))</f>
        <v>0</v>
      </c>
      <c r="AL71" s="29">
        <f>IF(AA71="","",IF(AA71&gt;=AH71*1.5,"Top performer",IF(AA71&gt;=AH71,"Above target",IF(AA71&gt;=AH71*0.6,"Below target","Weak - review it"))))</f>
        <v>0</v>
      </c>
      <c r="AM71" s="29">
        <f>IF(B71="","",IF(COUNTIF(Performance!$B$5:$B$404,B71)&gt;1,"Duplicate","OK"))</f>
        <v>0</v>
      </c>
      <c r="AN71" s="29">
        <f>IF(B71="","",IF(C71="Not found","Check - content ID not on the calendar",IF(O71="","Add - no numbers entered yet",IF(AM71="Duplicate","Duplicate - this post is entered twice",IF(AL71="Top performer","Repurpose this one","OK")))))</f>
        <v>0</v>
      </c>
    </row>
    <row r="72" spans="1:40">
      <c r="A72" s="41">
        <f>IF(B72="","","PF-"&amp;TEXT(ROW()-4,"0000"))</f>
        <v>0</v>
      </c>
      <c r="C72" s="17">
        <f>IF(B72="","",IFERROR(INDEX('Content Calendar'!$H$5:$H$604,MATCH(B72,'Content Calendar'!$A$5:$A$604,0)),"Not found"))</f>
        <v>0</v>
      </c>
      <c r="D72" s="16">
        <f>IF(B72="","",IFERROR(INDEX('Content Calendar'!$B$5:$B$604,MATCH(B72,'Content Calendar'!$A$5:$A$604,0)),"Not found"))</f>
        <v>0</v>
      </c>
      <c r="E72" s="17">
        <f>IF(B72="","",IFERROR(INDEX('Content Calendar'!$D$5:$D$604,MATCH(B72,'Content Calendar'!$A$5:$A$604,0)),"Not found"))</f>
        <v>0</v>
      </c>
      <c r="F72" s="17">
        <f>IF(B72="","",IFERROR(INDEX('Content Calendar'!$G$5:$G$604,MATCH(B72,'Content Calendar'!$A$5:$A$604,0)),"Not found"))</f>
        <v>0</v>
      </c>
      <c r="G72" s="17">
        <f>IF(B72="","",IFERROR(INDEX('Content Calendar'!$K$5:$K$604,MATCH(B72,'Content Calendar'!$A$5:$A$604,0)),"Not found"))</f>
        <v>0</v>
      </c>
      <c r="H72" s="17">
        <f>IF(B72="","",IFERROR(INDEX('Content Calendar'!$J$5:$J$604,MATCH(B72,'Content Calendar'!$A$5:$A$604,0)),"Not found"))</f>
        <v>0</v>
      </c>
      <c r="I72" s="17">
        <f>IF(B72="","",IFERROR(INDEX('Content Calendar'!$L$5:$L$604,MATCH(B72,'Content Calendar'!$A$5:$A$604,0)),"Not found"))</f>
        <v>0</v>
      </c>
      <c r="J72" s="17">
        <f>IF(B72="","",IFERROR(INDEX('Content Calendar'!$P$5:$P$604,MATCH(B72,'Content Calendar'!$A$5:$A$604,0)),"Not found"))</f>
        <v>0</v>
      </c>
      <c r="K72" s="17">
        <f>IF(B72="","",IFERROR(INDEX('Content Calendar'!$O$5:$O$604,MATCH(B72,'Content Calendar'!$A$5:$A$604,0)),"Not found"))</f>
        <v>0</v>
      </c>
      <c r="L72" s="17">
        <f>IF(B72="","",IFERROR(INDEX('Content Calendar'!$N$5:$N$604,MATCH(B72,'Content Calendar'!$A$5:$A$604,0)),"Not found"))</f>
        <v>0</v>
      </c>
      <c r="M72" s="17">
        <f>IF(B72="","",IFERROR(INDEX('Content Calendar'!$C$5:$C$604,MATCH(B72,'Content Calendar'!$A$5:$A$604,0)),"Not found"))</f>
        <v>0</v>
      </c>
      <c r="N72" s="17">
        <f>IF(B72="","",IFERROR(INDEX('Content Calendar'!$F$5:$F$604,MATCH(B72,'Content Calendar'!$A$5:$A$604,0)),"Not found"))</f>
        <v>0</v>
      </c>
      <c r="Z72" s="23">
        <f>IF(O72="","",N(Q72)+N(R72)+N(S72)+N(T72))</f>
        <v>0</v>
      </c>
      <c r="AA72" s="24">
        <f>IF(OR(O72="",O72=0),"",Z72/O72)</f>
        <v>0</v>
      </c>
      <c r="AB72" s="24">
        <f>IF(OR(O72="",O72=0),"",N(T72)/O72)</f>
        <v>0</v>
      </c>
      <c r="AC72" s="24">
        <f>IF(OR(O72="",O72=0),"",N(S72)/O72)</f>
        <v>0</v>
      </c>
      <c r="AD72" s="24">
        <f>IF(OR(O72="",O72=0),"",N(R72)/O72)</f>
        <v>0</v>
      </c>
      <c r="AE72" s="24">
        <f>IF(OR(O72="",O72=0),"",N(U72)/O72)</f>
        <v>0</v>
      </c>
      <c r="AF72" s="24">
        <f>IF(OR(U72="",U72=0),"",N(W72)/U72)</f>
        <v>0</v>
      </c>
      <c r="AG72" s="25">
        <f>IF(OR(O72="",O72=0),"",N(X72)/(O72/1000))</f>
        <v>0</v>
      </c>
      <c r="AH72" s="24">
        <f>IF(O72="","",IF(Y72="",TargetEngagement,Y72))</f>
        <v>0</v>
      </c>
      <c r="AI72" s="24">
        <f>IF(OR(AA72="",AH72=""),"",AA72-AH72)</f>
        <v>0</v>
      </c>
      <c r="AJ72" s="31">
        <f>IF(AA72="","",AA72+ROW()/1000000)</f>
        <v>0</v>
      </c>
      <c r="AK72" s="23">
        <f>IF(AA72="","",RANK(AJ72,Performance!$AJ$5:$AJ$404))</f>
        <v>0</v>
      </c>
      <c r="AL72" s="29">
        <f>IF(AA72="","",IF(AA72&gt;=AH72*1.5,"Top performer",IF(AA72&gt;=AH72,"Above target",IF(AA72&gt;=AH72*0.6,"Below target","Weak - review it"))))</f>
        <v>0</v>
      </c>
      <c r="AM72" s="29">
        <f>IF(B72="","",IF(COUNTIF(Performance!$B$5:$B$404,B72)&gt;1,"Duplicate","OK"))</f>
        <v>0</v>
      </c>
      <c r="AN72" s="29">
        <f>IF(B72="","",IF(C72="Not found","Check - content ID not on the calendar",IF(O72="","Add - no numbers entered yet",IF(AM72="Duplicate","Duplicate - this post is entered twice",IF(AL72="Top performer","Repurpose this one","OK")))))</f>
        <v>0</v>
      </c>
    </row>
    <row r="73" spans="1:40">
      <c r="A73" s="41">
        <f>IF(B73="","","PF-"&amp;TEXT(ROW()-4,"0000"))</f>
        <v>0</v>
      </c>
      <c r="C73" s="17">
        <f>IF(B73="","",IFERROR(INDEX('Content Calendar'!$H$5:$H$604,MATCH(B73,'Content Calendar'!$A$5:$A$604,0)),"Not found"))</f>
        <v>0</v>
      </c>
      <c r="D73" s="16">
        <f>IF(B73="","",IFERROR(INDEX('Content Calendar'!$B$5:$B$604,MATCH(B73,'Content Calendar'!$A$5:$A$604,0)),"Not found"))</f>
        <v>0</v>
      </c>
      <c r="E73" s="17">
        <f>IF(B73="","",IFERROR(INDEX('Content Calendar'!$D$5:$D$604,MATCH(B73,'Content Calendar'!$A$5:$A$604,0)),"Not found"))</f>
        <v>0</v>
      </c>
      <c r="F73" s="17">
        <f>IF(B73="","",IFERROR(INDEX('Content Calendar'!$G$5:$G$604,MATCH(B73,'Content Calendar'!$A$5:$A$604,0)),"Not found"))</f>
        <v>0</v>
      </c>
      <c r="G73" s="17">
        <f>IF(B73="","",IFERROR(INDEX('Content Calendar'!$K$5:$K$604,MATCH(B73,'Content Calendar'!$A$5:$A$604,0)),"Not found"))</f>
        <v>0</v>
      </c>
      <c r="H73" s="17">
        <f>IF(B73="","",IFERROR(INDEX('Content Calendar'!$J$5:$J$604,MATCH(B73,'Content Calendar'!$A$5:$A$604,0)),"Not found"))</f>
        <v>0</v>
      </c>
      <c r="I73" s="17">
        <f>IF(B73="","",IFERROR(INDEX('Content Calendar'!$L$5:$L$604,MATCH(B73,'Content Calendar'!$A$5:$A$604,0)),"Not found"))</f>
        <v>0</v>
      </c>
      <c r="J73" s="17">
        <f>IF(B73="","",IFERROR(INDEX('Content Calendar'!$P$5:$P$604,MATCH(B73,'Content Calendar'!$A$5:$A$604,0)),"Not found"))</f>
        <v>0</v>
      </c>
      <c r="K73" s="17">
        <f>IF(B73="","",IFERROR(INDEX('Content Calendar'!$O$5:$O$604,MATCH(B73,'Content Calendar'!$A$5:$A$604,0)),"Not found"))</f>
        <v>0</v>
      </c>
      <c r="L73" s="17">
        <f>IF(B73="","",IFERROR(INDEX('Content Calendar'!$N$5:$N$604,MATCH(B73,'Content Calendar'!$A$5:$A$604,0)),"Not found"))</f>
        <v>0</v>
      </c>
      <c r="M73" s="17">
        <f>IF(B73="","",IFERROR(INDEX('Content Calendar'!$C$5:$C$604,MATCH(B73,'Content Calendar'!$A$5:$A$604,0)),"Not found"))</f>
        <v>0</v>
      </c>
      <c r="N73" s="17">
        <f>IF(B73="","",IFERROR(INDEX('Content Calendar'!$F$5:$F$604,MATCH(B73,'Content Calendar'!$A$5:$A$604,0)),"Not found"))</f>
        <v>0</v>
      </c>
      <c r="Z73" s="23">
        <f>IF(O73="","",N(Q73)+N(R73)+N(S73)+N(T73))</f>
        <v>0</v>
      </c>
      <c r="AA73" s="24">
        <f>IF(OR(O73="",O73=0),"",Z73/O73)</f>
        <v>0</v>
      </c>
      <c r="AB73" s="24">
        <f>IF(OR(O73="",O73=0),"",N(T73)/O73)</f>
        <v>0</v>
      </c>
      <c r="AC73" s="24">
        <f>IF(OR(O73="",O73=0),"",N(S73)/O73)</f>
        <v>0</v>
      </c>
      <c r="AD73" s="24">
        <f>IF(OR(O73="",O73=0),"",N(R73)/O73)</f>
        <v>0</v>
      </c>
      <c r="AE73" s="24">
        <f>IF(OR(O73="",O73=0),"",N(U73)/O73)</f>
        <v>0</v>
      </c>
      <c r="AF73" s="24">
        <f>IF(OR(U73="",U73=0),"",N(W73)/U73)</f>
        <v>0</v>
      </c>
      <c r="AG73" s="25">
        <f>IF(OR(O73="",O73=0),"",N(X73)/(O73/1000))</f>
        <v>0</v>
      </c>
      <c r="AH73" s="24">
        <f>IF(O73="","",IF(Y73="",TargetEngagement,Y73))</f>
        <v>0</v>
      </c>
      <c r="AI73" s="24">
        <f>IF(OR(AA73="",AH73=""),"",AA73-AH73)</f>
        <v>0</v>
      </c>
      <c r="AJ73" s="31">
        <f>IF(AA73="","",AA73+ROW()/1000000)</f>
        <v>0</v>
      </c>
      <c r="AK73" s="23">
        <f>IF(AA73="","",RANK(AJ73,Performance!$AJ$5:$AJ$404))</f>
        <v>0</v>
      </c>
      <c r="AL73" s="29">
        <f>IF(AA73="","",IF(AA73&gt;=AH73*1.5,"Top performer",IF(AA73&gt;=AH73,"Above target",IF(AA73&gt;=AH73*0.6,"Below target","Weak - review it"))))</f>
        <v>0</v>
      </c>
      <c r="AM73" s="29">
        <f>IF(B73="","",IF(COUNTIF(Performance!$B$5:$B$404,B73)&gt;1,"Duplicate","OK"))</f>
        <v>0</v>
      </c>
      <c r="AN73" s="29">
        <f>IF(B73="","",IF(C73="Not found","Check - content ID not on the calendar",IF(O73="","Add - no numbers entered yet",IF(AM73="Duplicate","Duplicate - this post is entered twice",IF(AL73="Top performer","Repurpose this one","OK")))))</f>
        <v>0</v>
      </c>
    </row>
    <row r="74" spans="1:40">
      <c r="A74" s="41">
        <f>IF(B74="","","PF-"&amp;TEXT(ROW()-4,"0000"))</f>
        <v>0</v>
      </c>
      <c r="C74" s="17">
        <f>IF(B74="","",IFERROR(INDEX('Content Calendar'!$H$5:$H$604,MATCH(B74,'Content Calendar'!$A$5:$A$604,0)),"Not found"))</f>
        <v>0</v>
      </c>
      <c r="D74" s="16">
        <f>IF(B74="","",IFERROR(INDEX('Content Calendar'!$B$5:$B$604,MATCH(B74,'Content Calendar'!$A$5:$A$604,0)),"Not found"))</f>
        <v>0</v>
      </c>
      <c r="E74" s="17">
        <f>IF(B74="","",IFERROR(INDEX('Content Calendar'!$D$5:$D$604,MATCH(B74,'Content Calendar'!$A$5:$A$604,0)),"Not found"))</f>
        <v>0</v>
      </c>
      <c r="F74" s="17">
        <f>IF(B74="","",IFERROR(INDEX('Content Calendar'!$G$5:$G$604,MATCH(B74,'Content Calendar'!$A$5:$A$604,0)),"Not found"))</f>
        <v>0</v>
      </c>
      <c r="G74" s="17">
        <f>IF(B74="","",IFERROR(INDEX('Content Calendar'!$K$5:$K$604,MATCH(B74,'Content Calendar'!$A$5:$A$604,0)),"Not found"))</f>
        <v>0</v>
      </c>
      <c r="H74" s="17">
        <f>IF(B74="","",IFERROR(INDEX('Content Calendar'!$J$5:$J$604,MATCH(B74,'Content Calendar'!$A$5:$A$604,0)),"Not found"))</f>
        <v>0</v>
      </c>
      <c r="I74" s="17">
        <f>IF(B74="","",IFERROR(INDEX('Content Calendar'!$L$5:$L$604,MATCH(B74,'Content Calendar'!$A$5:$A$604,0)),"Not found"))</f>
        <v>0</v>
      </c>
      <c r="J74" s="17">
        <f>IF(B74="","",IFERROR(INDEX('Content Calendar'!$P$5:$P$604,MATCH(B74,'Content Calendar'!$A$5:$A$604,0)),"Not found"))</f>
        <v>0</v>
      </c>
      <c r="K74" s="17">
        <f>IF(B74="","",IFERROR(INDEX('Content Calendar'!$O$5:$O$604,MATCH(B74,'Content Calendar'!$A$5:$A$604,0)),"Not found"))</f>
        <v>0</v>
      </c>
      <c r="L74" s="17">
        <f>IF(B74="","",IFERROR(INDEX('Content Calendar'!$N$5:$N$604,MATCH(B74,'Content Calendar'!$A$5:$A$604,0)),"Not found"))</f>
        <v>0</v>
      </c>
      <c r="M74" s="17">
        <f>IF(B74="","",IFERROR(INDEX('Content Calendar'!$C$5:$C$604,MATCH(B74,'Content Calendar'!$A$5:$A$604,0)),"Not found"))</f>
        <v>0</v>
      </c>
      <c r="N74" s="17">
        <f>IF(B74="","",IFERROR(INDEX('Content Calendar'!$F$5:$F$604,MATCH(B74,'Content Calendar'!$A$5:$A$604,0)),"Not found"))</f>
        <v>0</v>
      </c>
      <c r="Z74" s="23">
        <f>IF(O74="","",N(Q74)+N(R74)+N(S74)+N(T74))</f>
        <v>0</v>
      </c>
      <c r="AA74" s="24">
        <f>IF(OR(O74="",O74=0),"",Z74/O74)</f>
        <v>0</v>
      </c>
      <c r="AB74" s="24">
        <f>IF(OR(O74="",O74=0),"",N(T74)/O74)</f>
        <v>0</v>
      </c>
      <c r="AC74" s="24">
        <f>IF(OR(O74="",O74=0),"",N(S74)/O74)</f>
        <v>0</v>
      </c>
      <c r="AD74" s="24">
        <f>IF(OR(O74="",O74=0),"",N(R74)/O74)</f>
        <v>0</v>
      </c>
      <c r="AE74" s="24">
        <f>IF(OR(O74="",O74=0),"",N(U74)/O74)</f>
        <v>0</v>
      </c>
      <c r="AF74" s="24">
        <f>IF(OR(U74="",U74=0),"",N(W74)/U74)</f>
        <v>0</v>
      </c>
      <c r="AG74" s="25">
        <f>IF(OR(O74="",O74=0),"",N(X74)/(O74/1000))</f>
        <v>0</v>
      </c>
      <c r="AH74" s="24">
        <f>IF(O74="","",IF(Y74="",TargetEngagement,Y74))</f>
        <v>0</v>
      </c>
      <c r="AI74" s="24">
        <f>IF(OR(AA74="",AH74=""),"",AA74-AH74)</f>
        <v>0</v>
      </c>
      <c r="AJ74" s="31">
        <f>IF(AA74="","",AA74+ROW()/1000000)</f>
        <v>0</v>
      </c>
      <c r="AK74" s="23">
        <f>IF(AA74="","",RANK(AJ74,Performance!$AJ$5:$AJ$404))</f>
        <v>0</v>
      </c>
      <c r="AL74" s="29">
        <f>IF(AA74="","",IF(AA74&gt;=AH74*1.5,"Top performer",IF(AA74&gt;=AH74,"Above target",IF(AA74&gt;=AH74*0.6,"Below target","Weak - review it"))))</f>
        <v>0</v>
      </c>
      <c r="AM74" s="29">
        <f>IF(B74="","",IF(COUNTIF(Performance!$B$5:$B$404,B74)&gt;1,"Duplicate","OK"))</f>
        <v>0</v>
      </c>
      <c r="AN74" s="29">
        <f>IF(B74="","",IF(C74="Not found","Check - content ID not on the calendar",IF(O74="","Add - no numbers entered yet",IF(AM74="Duplicate","Duplicate - this post is entered twice",IF(AL74="Top performer","Repurpose this one","OK")))))</f>
        <v>0</v>
      </c>
    </row>
    <row r="75" spans="1:40">
      <c r="A75" s="41">
        <f>IF(B75="","","PF-"&amp;TEXT(ROW()-4,"0000"))</f>
        <v>0</v>
      </c>
      <c r="C75" s="17">
        <f>IF(B75="","",IFERROR(INDEX('Content Calendar'!$H$5:$H$604,MATCH(B75,'Content Calendar'!$A$5:$A$604,0)),"Not found"))</f>
        <v>0</v>
      </c>
      <c r="D75" s="16">
        <f>IF(B75="","",IFERROR(INDEX('Content Calendar'!$B$5:$B$604,MATCH(B75,'Content Calendar'!$A$5:$A$604,0)),"Not found"))</f>
        <v>0</v>
      </c>
      <c r="E75" s="17">
        <f>IF(B75="","",IFERROR(INDEX('Content Calendar'!$D$5:$D$604,MATCH(B75,'Content Calendar'!$A$5:$A$604,0)),"Not found"))</f>
        <v>0</v>
      </c>
      <c r="F75" s="17">
        <f>IF(B75="","",IFERROR(INDEX('Content Calendar'!$G$5:$G$604,MATCH(B75,'Content Calendar'!$A$5:$A$604,0)),"Not found"))</f>
        <v>0</v>
      </c>
      <c r="G75" s="17">
        <f>IF(B75="","",IFERROR(INDEX('Content Calendar'!$K$5:$K$604,MATCH(B75,'Content Calendar'!$A$5:$A$604,0)),"Not found"))</f>
        <v>0</v>
      </c>
      <c r="H75" s="17">
        <f>IF(B75="","",IFERROR(INDEX('Content Calendar'!$J$5:$J$604,MATCH(B75,'Content Calendar'!$A$5:$A$604,0)),"Not found"))</f>
        <v>0</v>
      </c>
      <c r="I75" s="17">
        <f>IF(B75="","",IFERROR(INDEX('Content Calendar'!$L$5:$L$604,MATCH(B75,'Content Calendar'!$A$5:$A$604,0)),"Not found"))</f>
        <v>0</v>
      </c>
      <c r="J75" s="17">
        <f>IF(B75="","",IFERROR(INDEX('Content Calendar'!$P$5:$P$604,MATCH(B75,'Content Calendar'!$A$5:$A$604,0)),"Not found"))</f>
        <v>0</v>
      </c>
      <c r="K75" s="17">
        <f>IF(B75="","",IFERROR(INDEX('Content Calendar'!$O$5:$O$604,MATCH(B75,'Content Calendar'!$A$5:$A$604,0)),"Not found"))</f>
        <v>0</v>
      </c>
      <c r="L75" s="17">
        <f>IF(B75="","",IFERROR(INDEX('Content Calendar'!$N$5:$N$604,MATCH(B75,'Content Calendar'!$A$5:$A$604,0)),"Not found"))</f>
        <v>0</v>
      </c>
      <c r="M75" s="17">
        <f>IF(B75="","",IFERROR(INDEX('Content Calendar'!$C$5:$C$604,MATCH(B75,'Content Calendar'!$A$5:$A$604,0)),"Not found"))</f>
        <v>0</v>
      </c>
      <c r="N75" s="17">
        <f>IF(B75="","",IFERROR(INDEX('Content Calendar'!$F$5:$F$604,MATCH(B75,'Content Calendar'!$A$5:$A$604,0)),"Not found"))</f>
        <v>0</v>
      </c>
      <c r="Z75" s="23">
        <f>IF(O75="","",N(Q75)+N(R75)+N(S75)+N(T75))</f>
        <v>0</v>
      </c>
      <c r="AA75" s="24">
        <f>IF(OR(O75="",O75=0),"",Z75/O75)</f>
        <v>0</v>
      </c>
      <c r="AB75" s="24">
        <f>IF(OR(O75="",O75=0),"",N(T75)/O75)</f>
        <v>0</v>
      </c>
      <c r="AC75" s="24">
        <f>IF(OR(O75="",O75=0),"",N(S75)/O75)</f>
        <v>0</v>
      </c>
      <c r="AD75" s="24">
        <f>IF(OR(O75="",O75=0),"",N(R75)/O75)</f>
        <v>0</v>
      </c>
      <c r="AE75" s="24">
        <f>IF(OR(O75="",O75=0),"",N(U75)/O75)</f>
        <v>0</v>
      </c>
      <c r="AF75" s="24">
        <f>IF(OR(U75="",U75=0),"",N(W75)/U75)</f>
        <v>0</v>
      </c>
      <c r="AG75" s="25">
        <f>IF(OR(O75="",O75=0),"",N(X75)/(O75/1000))</f>
        <v>0</v>
      </c>
      <c r="AH75" s="24">
        <f>IF(O75="","",IF(Y75="",TargetEngagement,Y75))</f>
        <v>0</v>
      </c>
      <c r="AI75" s="24">
        <f>IF(OR(AA75="",AH75=""),"",AA75-AH75)</f>
        <v>0</v>
      </c>
      <c r="AJ75" s="31">
        <f>IF(AA75="","",AA75+ROW()/1000000)</f>
        <v>0</v>
      </c>
      <c r="AK75" s="23">
        <f>IF(AA75="","",RANK(AJ75,Performance!$AJ$5:$AJ$404))</f>
        <v>0</v>
      </c>
      <c r="AL75" s="29">
        <f>IF(AA75="","",IF(AA75&gt;=AH75*1.5,"Top performer",IF(AA75&gt;=AH75,"Above target",IF(AA75&gt;=AH75*0.6,"Below target","Weak - review it"))))</f>
        <v>0</v>
      </c>
      <c r="AM75" s="29">
        <f>IF(B75="","",IF(COUNTIF(Performance!$B$5:$B$404,B75)&gt;1,"Duplicate","OK"))</f>
        <v>0</v>
      </c>
      <c r="AN75" s="29">
        <f>IF(B75="","",IF(C75="Not found","Check - content ID not on the calendar",IF(O75="","Add - no numbers entered yet",IF(AM75="Duplicate","Duplicate - this post is entered twice",IF(AL75="Top performer","Repurpose this one","OK")))))</f>
        <v>0</v>
      </c>
    </row>
    <row r="76" spans="1:40">
      <c r="A76" s="41">
        <f>IF(B76="","","PF-"&amp;TEXT(ROW()-4,"0000"))</f>
        <v>0</v>
      </c>
      <c r="C76" s="17">
        <f>IF(B76="","",IFERROR(INDEX('Content Calendar'!$H$5:$H$604,MATCH(B76,'Content Calendar'!$A$5:$A$604,0)),"Not found"))</f>
        <v>0</v>
      </c>
      <c r="D76" s="16">
        <f>IF(B76="","",IFERROR(INDEX('Content Calendar'!$B$5:$B$604,MATCH(B76,'Content Calendar'!$A$5:$A$604,0)),"Not found"))</f>
        <v>0</v>
      </c>
      <c r="E76" s="17">
        <f>IF(B76="","",IFERROR(INDEX('Content Calendar'!$D$5:$D$604,MATCH(B76,'Content Calendar'!$A$5:$A$604,0)),"Not found"))</f>
        <v>0</v>
      </c>
      <c r="F76" s="17">
        <f>IF(B76="","",IFERROR(INDEX('Content Calendar'!$G$5:$G$604,MATCH(B76,'Content Calendar'!$A$5:$A$604,0)),"Not found"))</f>
        <v>0</v>
      </c>
      <c r="G76" s="17">
        <f>IF(B76="","",IFERROR(INDEX('Content Calendar'!$K$5:$K$604,MATCH(B76,'Content Calendar'!$A$5:$A$604,0)),"Not found"))</f>
        <v>0</v>
      </c>
      <c r="H76" s="17">
        <f>IF(B76="","",IFERROR(INDEX('Content Calendar'!$J$5:$J$604,MATCH(B76,'Content Calendar'!$A$5:$A$604,0)),"Not found"))</f>
        <v>0</v>
      </c>
      <c r="I76" s="17">
        <f>IF(B76="","",IFERROR(INDEX('Content Calendar'!$L$5:$L$604,MATCH(B76,'Content Calendar'!$A$5:$A$604,0)),"Not found"))</f>
        <v>0</v>
      </c>
      <c r="J76" s="17">
        <f>IF(B76="","",IFERROR(INDEX('Content Calendar'!$P$5:$P$604,MATCH(B76,'Content Calendar'!$A$5:$A$604,0)),"Not found"))</f>
        <v>0</v>
      </c>
      <c r="K76" s="17">
        <f>IF(B76="","",IFERROR(INDEX('Content Calendar'!$O$5:$O$604,MATCH(B76,'Content Calendar'!$A$5:$A$604,0)),"Not found"))</f>
        <v>0</v>
      </c>
      <c r="L76" s="17">
        <f>IF(B76="","",IFERROR(INDEX('Content Calendar'!$N$5:$N$604,MATCH(B76,'Content Calendar'!$A$5:$A$604,0)),"Not found"))</f>
        <v>0</v>
      </c>
      <c r="M76" s="17">
        <f>IF(B76="","",IFERROR(INDEX('Content Calendar'!$C$5:$C$604,MATCH(B76,'Content Calendar'!$A$5:$A$604,0)),"Not found"))</f>
        <v>0</v>
      </c>
      <c r="N76" s="17">
        <f>IF(B76="","",IFERROR(INDEX('Content Calendar'!$F$5:$F$604,MATCH(B76,'Content Calendar'!$A$5:$A$604,0)),"Not found"))</f>
        <v>0</v>
      </c>
      <c r="Z76" s="23">
        <f>IF(O76="","",N(Q76)+N(R76)+N(S76)+N(T76))</f>
        <v>0</v>
      </c>
      <c r="AA76" s="24">
        <f>IF(OR(O76="",O76=0),"",Z76/O76)</f>
        <v>0</v>
      </c>
      <c r="AB76" s="24">
        <f>IF(OR(O76="",O76=0),"",N(T76)/O76)</f>
        <v>0</v>
      </c>
      <c r="AC76" s="24">
        <f>IF(OR(O76="",O76=0),"",N(S76)/O76)</f>
        <v>0</v>
      </c>
      <c r="AD76" s="24">
        <f>IF(OR(O76="",O76=0),"",N(R76)/O76)</f>
        <v>0</v>
      </c>
      <c r="AE76" s="24">
        <f>IF(OR(O76="",O76=0),"",N(U76)/O76)</f>
        <v>0</v>
      </c>
      <c r="AF76" s="24">
        <f>IF(OR(U76="",U76=0),"",N(W76)/U76)</f>
        <v>0</v>
      </c>
      <c r="AG76" s="25">
        <f>IF(OR(O76="",O76=0),"",N(X76)/(O76/1000))</f>
        <v>0</v>
      </c>
      <c r="AH76" s="24">
        <f>IF(O76="","",IF(Y76="",TargetEngagement,Y76))</f>
        <v>0</v>
      </c>
      <c r="AI76" s="24">
        <f>IF(OR(AA76="",AH76=""),"",AA76-AH76)</f>
        <v>0</v>
      </c>
      <c r="AJ76" s="31">
        <f>IF(AA76="","",AA76+ROW()/1000000)</f>
        <v>0</v>
      </c>
      <c r="AK76" s="23">
        <f>IF(AA76="","",RANK(AJ76,Performance!$AJ$5:$AJ$404))</f>
        <v>0</v>
      </c>
      <c r="AL76" s="29">
        <f>IF(AA76="","",IF(AA76&gt;=AH76*1.5,"Top performer",IF(AA76&gt;=AH76,"Above target",IF(AA76&gt;=AH76*0.6,"Below target","Weak - review it"))))</f>
        <v>0</v>
      </c>
      <c r="AM76" s="29">
        <f>IF(B76="","",IF(COUNTIF(Performance!$B$5:$B$404,B76)&gt;1,"Duplicate","OK"))</f>
        <v>0</v>
      </c>
      <c r="AN76" s="29">
        <f>IF(B76="","",IF(C76="Not found","Check - content ID not on the calendar",IF(O76="","Add - no numbers entered yet",IF(AM76="Duplicate","Duplicate - this post is entered twice",IF(AL76="Top performer","Repurpose this one","OK")))))</f>
        <v>0</v>
      </c>
    </row>
    <row r="77" spans="1:40">
      <c r="A77" s="41">
        <f>IF(B77="","","PF-"&amp;TEXT(ROW()-4,"0000"))</f>
        <v>0</v>
      </c>
      <c r="C77" s="17">
        <f>IF(B77="","",IFERROR(INDEX('Content Calendar'!$H$5:$H$604,MATCH(B77,'Content Calendar'!$A$5:$A$604,0)),"Not found"))</f>
        <v>0</v>
      </c>
      <c r="D77" s="16">
        <f>IF(B77="","",IFERROR(INDEX('Content Calendar'!$B$5:$B$604,MATCH(B77,'Content Calendar'!$A$5:$A$604,0)),"Not found"))</f>
        <v>0</v>
      </c>
      <c r="E77" s="17">
        <f>IF(B77="","",IFERROR(INDEX('Content Calendar'!$D$5:$D$604,MATCH(B77,'Content Calendar'!$A$5:$A$604,0)),"Not found"))</f>
        <v>0</v>
      </c>
      <c r="F77" s="17">
        <f>IF(B77="","",IFERROR(INDEX('Content Calendar'!$G$5:$G$604,MATCH(B77,'Content Calendar'!$A$5:$A$604,0)),"Not found"))</f>
        <v>0</v>
      </c>
      <c r="G77" s="17">
        <f>IF(B77="","",IFERROR(INDEX('Content Calendar'!$K$5:$K$604,MATCH(B77,'Content Calendar'!$A$5:$A$604,0)),"Not found"))</f>
        <v>0</v>
      </c>
      <c r="H77" s="17">
        <f>IF(B77="","",IFERROR(INDEX('Content Calendar'!$J$5:$J$604,MATCH(B77,'Content Calendar'!$A$5:$A$604,0)),"Not found"))</f>
        <v>0</v>
      </c>
      <c r="I77" s="17">
        <f>IF(B77="","",IFERROR(INDEX('Content Calendar'!$L$5:$L$604,MATCH(B77,'Content Calendar'!$A$5:$A$604,0)),"Not found"))</f>
        <v>0</v>
      </c>
      <c r="J77" s="17">
        <f>IF(B77="","",IFERROR(INDEX('Content Calendar'!$P$5:$P$604,MATCH(B77,'Content Calendar'!$A$5:$A$604,0)),"Not found"))</f>
        <v>0</v>
      </c>
      <c r="K77" s="17">
        <f>IF(B77="","",IFERROR(INDEX('Content Calendar'!$O$5:$O$604,MATCH(B77,'Content Calendar'!$A$5:$A$604,0)),"Not found"))</f>
        <v>0</v>
      </c>
      <c r="L77" s="17">
        <f>IF(B77="","",IFERROR(INDEX('Content Calendar'!$N$5:$N$604,MATCH(B77,'Content Calendar'!$A$5:$A$604,0)),"Not found"))</f>
        <v>0</v>
      </c>
      <c r="M77" s="17">
        <f>IF(B77="","",IFERROR(INDEX('Content Calendar'!$C$5:$C$604,MATCH(B77,'Content Calendar'!$A$5:$A$604,0)),"Not found"))</f>
        <v>0</v>
      </c>
      <c r="N77" s="17">
        <f>IF(B77="","",IFERROR(INDEX('Content Calendar'!$F$5:$F$604,MATCH(B77,'Content Calendar'!$A$5:$A$604,0)),"Not found"))</f>
        <v>0</v>
      </c>
      <c r="Z77" s="23">
        <f>IF(O77="","",N(Q77)+N(R77)+N(S77)+N(T77))</f>
        <v>0</v>
      </c>
      <c r="AA77" s="24">
        <f>IF(OR(O77="",O77=0),"",Z77/O77)</f>
        <v>0</v>
      </c>
      <c r="AB77" s="24">
        <f>IF(OR(O77="",O77=0),"",N(T77)/O77)</f>
        <v>0</v>
      </c>
      <c r="AC77" s="24">
        <f>IF(OR(O77="",O77=0),"",N(S77)/O77)</f>
        <v>0</v>
      </c>
      <c r="AD77" s="24">
        <f>IF(OR(O77="",O77=0),"",N(R77)/O77)</f>
        <v>0</v>
      </c>
      <c r="AE77" s="24">
        <f>IF(OR(O77="",O77=0),"",N(U77)/O77)</f>
        <v>0</v>
      </c>
      <c r="AF77" s="24">
        <f>IF(OR(U77="",U77=0),"",N(W77)/U77)</f>
        <v>0</v>
      </c>
      <c r="AG77" s="25">
        <f>IF(OR(O77="",O77=0),"",N(X77)/(O77/1000))</f>
        <v>0</v>
      </c>
      <c r="AH77" s="24">
        <f>IF(O77="","",IF(Y77="",TargetEngagement,Y77))</f>
        <v>0</v>
      </c>
      <c r="AI77" s="24">
        <f>IF(OR(AA77="",AH77=""),"",AA77-AH77)</f>
        <v>0</v>
      </c>
      <c r="AJ77" s="31">
        <f>IF(AA77="","",AA77+ROW()/1000000)</f>
        <v>0</v>
      </c>
      <c r="AK77" s="23">
        <f>IF(AA77="","",RANK(AJ77,Performance!$AJ$5:$AJ$404))</f>
        <v>0</v>
      </c>
      <c r="AL77" s="29">
        <f>IF(AA77="","",IF(AA77&gt;=AH77*1.5,"Top performer",IF(AA77&gt;=AH77,"Above target",IF(AA77&gt;=AH77*0.6,"Below target","Weak - review it"))))</f>
        <v>0</v>
      </c>
      <c r="AM77" s="29">
        <f>IF(B77="","",IF(COUNTIF(Performance!$B$5:$B$404,B77)&gt;1,"Duplicate","OK"))</f>
        <v>0</v>
      </c>
      <c r="AN77" s="29">
        <f>IF(B77="","",IF(C77="Not found","Check - content ID not on the calendar",IF(O77="","Add - no numbers entered yet",IF(AM77="Duplicate","Duplicate - this post is entered twice",IF(AL77="Top performer","Repurpose this one","OK")))))</f>
        <v>0</v>
      </c>
    </row>
    <row r="78" spans="1:40">
      <c r="A78" s="41">
        <f>IF(B78="","","PF-"&amp;TEXT(ROW()-4,"0000"))</f>
        <v>0</v>
      </c>
      <c r="C78" s="17">
        <f>IF(B78="","",IFERROR(INDEX('Content Calendar'!$H$5:$H$604,MATCH(B78,'Content Calendar'!$A$5:$A$604,0)),"Not found"))</f>
        <v>0</v>
      </c>
      <c r="D78" s="16">
        <f>IF(B78="","",IFERROR(INDEX('Content Calendar'!$B$5:$B$604,MATCH(B78,'Content Calendar'!$A$5:$A$604,0)),"Not found"))</f>
        <v>0</v>
      </c>
      <c r="E78" s="17">
        <f>IF(B78="","",IFERROR(INDEX('Content Calendar'!$D$5:$D$604,MATCH(B78,'Content Calendar'!$A$5:$A$604,0)),"Not found"))</f>
        <v>0</v>
      </c>
      <c r="F78" s="17">
        <f>IF(B78="","",IFERROR(INDEX('Content Calendar'!$G$5:$G$604,MATCH(B78,'Content Calendar'!$A$5:$A$604,0)),"Not found"))</f>
        <v>0</v>
      </c>
      <c r="G78" s="17">
        <f>IF(B78="","",IFERROR(INDEX('Content Calendar'!$K$5:$K$604,MATCH(B78,'Content Calendar'!$A$5:$A$604,0)),"Not found"))</f>
        <v>0</v>
      </c>
      <c r="H78" s="17">
        <f>IF(B78="","",IFERROR(INDEX('Content Calendar'!$J$5:$J$604,MATCH(B78,'Content Calendar'!$A$5:$A$604,0)),"Not found"))</f>
        <v>0</v>
      </c>
      <c r="I78" s="17">
        <f>IF(B78="","",IFERROR(INDEX('Content Calendar'!$L$5:$L$604,MATCH(B78,'Content Calendar'!$A$5:$A$604,0)),"Not found"))</f>
        <v>0</v>
      </c>
      <c r="J78" s="17">
        <f>IF(B78="","",IFERROR(INDEX('Content Calendar'!$P$5:$P$604,MATCH(B78,'Content Calendar'!$A$5:$A$604,0)),"Not found"))</f>
        <v>0</v>
      </c>
      <c r="K78" s="17">
        <f>IF(B78="","",IFERROR(INDEX('Content Calendar'!$O$5:$O$604,MATCH(B78,'Content Calendar'!$A$5:$A$604,0)),"Not found"))</f>
        <v>0</v>
      </c>
      <c r="L78" s="17">
        <f>IF(B78="","",IFERROR(INDEX('Content Calendar'!$N$5:$N$604,MATCH(B78,'Content Calendar'!$A$5:$A$604,0)),"Not found"))</f>
        <v>0</v>
      </c>
      <c r="M78" s="17">
        <f>IF(B78="","",IFERROR(INDEX('Content Calendar'!$C$5:$C$604,MATCH(B78,'Content Calendar'!$A$5:$A$604,0)),"Not found"))</f>
        <v>0</v>
      </c>
      <c r="N78" s="17">
        <f>IF(B78="","",IFERROR(INDEX('Content Calendar'!$F$5:$F$604,MATCH(B78,'Content Calendar'!$A$5:$A$604,0)),"Not found"))</f>
        <v>0</v>
      </c>
      <c r="Z78" s="23">
        <f>IF(O78="","",N(Q78)+N(R78)+N(S78)+N(T78))</f>
        <v>0</v>
      </c>
      <c r="AA78" s="24">
        <f>IF(OR(O78="",O78=0),"",Z78/O78)</f>
        <v>0</v>
      </c>
      <c r="AB78" s="24">
        <f>IF(OR(O78="",O78=0),"",N(T78)/O78)</f>
        <v>0</v>
      </c>
      <c r="AC78" s="24">
        <f>IF(OR(O78="",O78=0),"",N(S78)/O78)</f>
        <v>0</v>
      </c>
      <c r="AD78" s="24">
        <f>IF(OR(O78="",O78=0),"",N(R78)/O78)</f>
        <v>0</v>
      </c>
      <c r="AE78" s="24">
        <f>IF(OR(O78="",O78=0),"",N(U78)/O78)</f>
        <v>0</v>
      </c>
      <c r="AF78" s="24">
        <f>IF(OR(U78="",U78=0),"",N(W78)/U78)</f>
        <v>0</v>
      </c>
      <c r="AG78" s="25">
        <f>IF(OR(O78="",O78=0),"",N(X78)/(O78/1000))</f>
        <v>0</v>
      </c>
      <c r="AH78" s="24">
        <f>IF(O78="","",IF(Y78="",TargetEngagement,Y78))</f>
        <v>0</v>
      </c>
      <c r="AI78" s="24">
        <f>IF(OR(AA78="",AH78=""),"",AA78-AH78)</f>
        <v>0</v>
      </c>
      <c r="AJ78" s="31">
        <f>IF(AA78="","",AA78+ROW()/1000000)</f>
        <v>0</v>
      </c>
      <c r="AK78" s="23">
        <f>IF(AA78="","",RANK(AJ78,Performance!$AJ$5:$AJ$404))</f>
        <v>0</v>
      </c>
      <c r="AL78" s="29">
        <f>IF(AA78="","",IF(AA78&gt;=AH78*1.5,"Top performer",IF(AA78&gt;=AH78,"Above target",IF(AA78&gt;=AH78*0.6,"Below target","Weak - review it"))))</f>
        <v>0</v>
      </c>
      <c r="AM78" s="29">
        <f>IF(B78="","",IF(COUNTIF(Performance!$B$5:$B$404,B78)&gt;1,"Duplicate","OK"))</f>
        <v>0</v>
      </c>
      <c r="AN78" s="29">
        <f>IF(B78="","",IF(C78="Not found","Check - content ID not on the calendar",IF(O78="","Add - no numbers entered yet",IF(AM78="Duplicate","Duplicate - this post is entered twice",IF(AL78="Top performer","Repurpose this one","OK")))))</f>
        <v>0</v>
      </c>
    </row>
    <row r="79" spans="1:40">
      <c r="A79" s="41">
        <f>IF(B79="","","PF-"&amp;TEXT(ROW()-4,"0000"))</f>
        <v>0</v>
      </c>
      <c r="C79" s="17">
        <f>IF(B79="","",IFERROR(INDEX('Content Calendar'!$H$5:$H$604,MATCH(B79,'Content Calendar'!$A$5:$A$604,0)),"Not found"))</f>
        <v>0</v>
      </c>
      <c r="D79" s="16">
        <f>IF(B79="","",IFERROR(INDEX('Content Calendar'!$B$5:$B$604,MATCH(B79,'Content Calendar'!$A$5:$A$604,0)),"Not found"))</f>
        <v>0</v>
      </c>
      <c r="E79" s="17">
        <f>IF(B79="","",IFERROR(INDEX('Content Calendar'!$D$5:$D$604,MATCH(B79,'Content Calendar'!$A$5:$A$604,0)),"Not found"))</f>
        <v>0</v>
      </c>
      <c r="F79" s="17">
        <f>IF(B79="","",IFERROR(INDEX('Content Calendar'!$G$5:$G$604,MATCH(B79,'Content Calendar'!$A$5:$A$604,0)),"Not found"))</f>
        <v>0</v>
      </c>
      <c r="G79" s="17">
        <f>IF(B79="","",IFERROR(INDEX('Content Calendar'!$K$5:$K$604,MATCH(B79,'Content Calendar'!$A$5:$A$604,0)),"Not found"))</f>
        <v>0</v>
      </c>
      <c r="H79" s="17">
        <f>IF(B79="","",IFERROR(INDEX('Content Calendar'!$J$5:$J$604,MATCH(B79,'Content Calendar'!$A$5:$A$604,0)),"Not found"))</f>
        <v>0</v>
      </c>
      <c r="I79" s="17">
        <f>IF(B79="","",IFERROR(INDEX('Content Calendar'!$L$5:$L$604,MATCH(B79,'Content Calendar'!$A$5:$A$604,0)),"Not found"))</f>
        <v>0</v>
      </c>
      <c r="J79" s="17">
        <f>IF(B79="","",IFERROR(INDEX('Content Calendar'!$P$5:$P$604,MATCH(B79,'Content Calendar'!$A$5:$A$604,0)),"Not found"))</f>
        <v>0</v>
      </c>
      <c r="K79" s="17">
        <f>IF(B79="","",IFERROR(INDEX('Content Calendar'!$O$5:$O$604,MATCH(B79,'Content Calendar'!$A$5:$A$604,0)),"Not found"))</f>
        <v>0</v>
      </c>
      <c r="L79" s="17">
        <f>IF(B79="","",IFERROR(INDEX('Content Calendar'!$N$5:$N$604,MATCH(B79,'Content Calendar'!$A$5:$A$604,0)),"Not found"))</f>
        <v>0</v>
      </c>
      <c r="M79" s="17">
        <f>IF(B79="","",IFERROR(INDEX('Content Calendar'!$C$5:$C$604,MATCH(B79,'Content Calendar'!$A$5:$A$604,0)),"Not found"))</f>
        <v>0</v>
      </c>
      <c r="N79" s="17">
        <f>IF(B79="","",IFERROR(INDEX('Content Calendar'!$F$5:$F$604,MATCH(B79,'Content Calendar'!$A$5:$A$604,0)),"Not found"))</f>
        <v>0</v>
      </c>
      <c r="Z79" s="23">
        <f>IF(O79="","",N(Q79)+N(R79)+N(S79)+N(T79))</f>
        <v>0</v>
      </c>
      <c r="AA79" s="24">
        <f>IF(OR(O79="",O79=0),"",Z79/O79)</f>
        <v>0</v>
      </c>
      <c r="AB79" s="24">
        <f>IF(OR(O79="",O79=0),"",N(T79)/O79)</f>
        <v>0</v>
      </c>
      <c r="AC79" s="24">
        <f>IF(OR(O79="",O79=0),"",N(S79)/O79)</f>
        <v>0</v>
      </c>
      <c r="AD79" s="24">
        <f>IF(OR(O79="",O79=0),"",N(R79)/O79)</f>
        <v>0</v>
      </c>
      <c r="AE79" s="24">
        <f>IF(OR(O79="",O79=0),"",N(U79)/O79)</f>
        <v>0</v>
      </c>
      <c r="AF79" s="24">
        <f>IF(OR(U79="",U79=0),"",N(W79)/U79)</f>
        <v>0</v>
      </c>
      <c r="AG79" s="25">
        <f>IF(OR(O79="",O79=0),"",N(X79)/(O79/1000))</f>
        <v>0</v>
      </c>
      <c r="AH79" s="24">
        <f>IF(O79="","",IF(Y79="",TargetEngagement,Y79))</f>
        <v>0</v>
      </c>
      <c r="AI79" s="24">
        <f>IF(OR(AA79="",AH79=""),"",AA79-AH79)</f>
        <v>0</v>
      </c>
      <c r="AJ79" s="31">
        <f>IF(AA79="","",AA79+ROW()/1000000)</f>
        <v>0</v>
      </c>
      <c r="AK79" s="23">
        <f>IF(AA79="","",RANK(AJ79,Performance!$AJ$5:$AJ$404))</f>
        <v>0</v>
      </c>
      <c r="AL79" s="29">
        <f>IF(AA79="","",IF(AA79&gt;=AH79*1.5,"Top performer",IF(AA79&gt;=AH79,"Above target",IF(AA79&gt;=AH79*0.6,"Below target","Weak - review it"))))</f>
        <v>0</v>
      </c>
      <c r="AM79" s="29">
        <f>IF(B79="","",IF(COUNTIF(Performance!$B$5:$B$404,B79)&gt;1,"Duplicate","OK"))</f>
        <v>0</v>
      </c>
      <c r="AN79" s="29">
        <f>IF(B79="","",IF(C79="Not found","Check - content ID not on the calendar",IF(O79="","Add - no numbers entered yet",IF(AM79="Duplicate","Duplicate - this post is entered twice",IF(AL79="Top performer","Repurpose this one","OK")))))</f>
        <v>0</v>
      </c>
    </row>
    <row r="80" spans="1:40">
      <c r="A80" s="41">
        <f>IF(B80="","","PF-"&amp;TEXT(ROW()-4,"0000"))</f>
        <v>0</v>
      </c>
      <c r="C80" s="17">
        <f>IF(B80="","",IFERROR(INDEX('Content Calendar'!$H$5:$H$604,MATCH(B80,'Content Calendar'!$A$5:$A$604,0)),"Not found"))</f>
        <v>0</v>
      </c>
      <c r="D80" s="16">
        <f>IF(B80="","",IFERROR(INDEX('Content Calendar'!$B$5:$B$604,MATCH(B80,'Content Calendar'!$A$5:$A$604,0)),"Not found"))</f>
        <v>0</v>
      </c>
      <c r="E80" s="17">
        <f>IF(B80="","",IFERROR(INDEX('Content Calendar'!$D$5:$D$604,MATCH(B80,'Content Calendar'!$A$5:$A$604,0)),"Not found"))</f>
        <v>0</v>
      </c>
      <c r="F80" s="17">
        <f>IF(B80="","",IFERROR(INDEX('Content Calendar'!$G$5:$G$604,MATCH(B80,'Content Calendar'!$A$5:$A$604,0)),"Not found"))</f>
        <v>0</v>
      </c>
      <c r="G80" s="17">
        <f>IF(B80="","",IFERROR(INDEX('Content Calendar'!$K$5:$K$604,MATCH(B80,'Content Calendar'!$A$5:$A$604,0)),"Not found"))</f>
        <v>0</v>
      </c>
      <c r="H80" s="17">
        <f>IF(B80="","",IFERROR(INDEX('Content Calendar'!$J$5:$J$604,MATCH(B80,'Content Calendar'!$A$5:$A$604,0)),"Not found"))</f>
        <v>0</v>
      </c>
      <c r="I80" s="17">
        <f>IF(B80="","",IFERROR(INDEX('Content Calendar'!$L$5:$L$604,MATCH(B80,'Content Calendar'!$A$5:$A$604,0)),"Not found"))</f>
        <v>0</v>
      </c>
      <c r="J80" s="17">
        <f>IF(B80="","",IFERROR(INDEX('Content Calendar'!$P$5:$P$604,MATCH(B80,'Content Calendar'!$A$5:$A$604,0)),"Not found"))</f>
        <v>0</v>
      </c>
      <c r="K80" s="17">
        <f>IF(B80="","",IFERROR(INDEX('Content Calendar'!$O$5:$O$604,MATCH(B80,'Content Calendar'!$A$5:$A$604,0)),"Not found"))</f>
        <v>0</v>
      </c>
      <c r="L80" s="17">
        <f>IF(B80="","",IFERROR(INDEX('Content Calendar'!$N$5:$N$604,MATCH(B80,'Content Calendar'!$A$5:$A$604,0)),"Not found"))</f>
        <v>0</v>
      </c>
      <c r="M80" s="17">
        <f>IF(B80="","",IFERROR(INDEX('Content Calendar'!$C$5:$C$604,MATCH(B80,'Content Calendar'!$A$5:$A$604,0)),"Not found"))</f>
        <v>0</v>
      </c>
      <c r="N80" s="17">
        <f>IF(B80="","",IFERROR(INDEX('Content Calendar'!$F$5:$F$604,MATCH(B80,'Content Calendar'!$A$5:$A$604,0)),"Not found"))</f>
        <v>0</v>
      </c>
      <c r="Z80" s="23">
        <f>IF(O80="","",N(Q80)+N(R80)+N(S80)+N(T80))</f>
        <v>0</v>
      </c>
      <c r="AA80" s="24">
        <f>IF(OR(O80="",O80=0),"",Z80/O80)</f>
        <v>0</v>
      </c>
      <c r="AB80" s="24">
        <f>IF(OR(O80="",O80=0),"",N(T80)/O80)</f>
        <v>0</v>
      </c>
      <c r="AC80" s="24">
        <f>IF(OR(O80="",O80=0),"",N(S80)/O80)</f>
        <v>0</v>
      </c>
      <c r="AD80" s="24">
        <f>IF(OR(O80="",O80=0),"",N(R80)/O80)</f>
        <v>0</v>
      </c>
      <c r="AE80" s="24">
        <f>IF(OR(O80="",O80=0),"",N(U80)/O80)</f>
        <v>0</v>
      </c>
      <c r="AF80" s="24">
        <f>IF(OR(U80="",U80=0),"",N(W80)/U80)</f>
        <v>0</v>
      </c>
      <c r="AG80" s="25">
        <f>IF(OR(O80="",O80=0),"",N(X80)/(O80/1000))</f>
        <v>0</v>
      </c>
      <c r="AH80" s="24">
        <f>IF(O80="","",IF(Y80="",TargetEngagement,Y80))</f>
        <v>0</v>
      </c>
      <c r="AI80" s="24">
        <f>IF(OR(AA80="",AH80=""),"",AA80-AH80)</f>
        <v>0</v>
      </c>
      <c r="AJ80" s="31">
        <f>IF(AA80="","",AA80+ROW()/1000000)</f>
        <v>0</v>
      </c>
      <c r="AK80" s="23">
        <f>IF(AA80="","",RANK(AJ80,Performance!$AJ$5:$AJ$404))</f>
        <v>0</v>
      </c>
      <c r="AL80" s="29">
        <f>IF(AA80="","",IF(AA80&gt;=AH80*1.5,"Top performer",IF(AA80&gt;=AH80,"Above target",IF(AA80&gt;=AH80*0.6,"Below target","Weak - review it"))))</f>
        <v>0</v>
      </c>
      <c r="AM80" s="29">
        <f>IF(B80="","",IF(COUNTIF(Performance!$B$5:$B$404,B80)&gt;1,"Duplicate","OK"))</f>
        <v>0</v>
      </c>
      <c r="AN80" s="29">
        <f>IF(B80="","",IF(C80="Not found","Check - content ID not on the calendar",IF(O80="","Add - no numbers entered yet",IF(AM80="Duplicate","Duplicate - this post is entered twice",IF(AL80="Top performer","Repurpose this one","OK")))))</f>
        <v>0</v>
      </c>
    </row>
    <row r="81" spans="1:40">
      <c r="A81" s="41">
        <f>IF(B81="","","PF-"&amp;TEXT(ROW()-4,"0000"))</f>
        <v>0</v>
      </c>
      <c r="C81" s="17">
        <f>IF(B81="","",IFERROR(INDEX('Content Calendar'!$H$5:$H$604,MATCH(B81,'Content Calendar'!$A$5:$A$604,0)),"Not found"))</f>
        <v>0</v>
      </c>
      <c r="D81" s="16">
        <f>IF(B81="","",IFERROR(INDEX('Content Calendar'!$B$5:$B$604,MATCH(B81,'Content Calendar'!$A$5:$A$604,0)),"Not found"))</f>
        <v>0</v>
      </c>
      <c r="E81" s="17">
        <f>IF(B81="","",IFERROR(INDEX('Content Calendar'!$D$5:$D$604,MATCH(B81,'Content Calendar'!$A$5:$A$604,0)),"Not found"))</f>
        <v>0</v>
      </c>
      <c r="F81" s="17">
        <f>IF(B81="","",IFERROR(INDEX('Content Calendar'!$G$5:$G$604,MATCH(B81,'Content Calendar'!$A$5:$A$604,0)),"Not found"))</f>
        <v>0</v>
      </c>
      <c r="G81" s="17">
        <f>IF(B81="","",IFERROR(INDEX('Content Calendar'!$K$5:$K$604,MATCH(B81,'Content Calendar'!$A$5:$A$604,0)),"Not found"))</f>
        <v>0</v>
      </c>
      <c r="H81" s="17">
        <f>IF(B81="","",IFERROR(INDEX('Content Calendar'!$J$5:$J$604,MATCH(B81,'Content Calendar'!$A$5:$A$604,0)),"Not found"))</f>
        <v>0</v>
      </c>
      <c r="I81" s="17">
        <f>IF(B81="","",IFERROR(INDEX('Content Calendar'!$L$5:$L$604,MATCH(B81,'Content Calendar'!$A$5:$A$604,0)),"Not found"))</f>
        <v>0</v>
      </c>
      <c r="J81" s="17">
        <f>IF(B81="","",IFERROR(INDEX('Content Calendar'!$P$5:$P$604,MATCH(B81,'Content Calendar'!$A$5:$A$604,0)),"Not found"))</f>
        <v>0</v>
      </c>
      <c r="K81" s="17">
        <f>IF(B81="","",IFERROR(INDEX('Content Calendar'!$O$5:$O$604,MATCH(B81,'Content Calendar'!$A$5:$A$604,0)),"Not found"))</f>
        <v>0</v>
      </c>
      <c r="L81" s="17">
        <f>IF(B81="","",IFERROR(INDEX('Content Calendar'!$N$5:$N$604,MATCH(B81,'Content Calendar'!$A$5:$A$604,0)),"Not found"))</f>
        <v>0</v>
      </c>
      <c r="M81" s="17">
        <f>IF(B81="","",IFERROR(INDEX('Content Calendar'!$C$5:$C$604,MATCH(B81,'Content Calendar'!$A$5:$A$604,0)),"Not found"))</f>
        <v>0</v>
      </c>
      <c r="N81" s="17">
        <f>IF(B81="","",IFERROR(INDEX('Content Calendar'!$F$5:$F$604,MATCH(B81,'Content Calendar'!$A$5:$A$604,0)),"Not found"))</f>
        <v>0</v>
      </c>
      <c r="Z81" s="23">
        <f>IF(O81="","",N(Q81)+N(R81)+N(S81)+N(T81))</f>
        <v>0</v>
      </c>
      <c r="AA81" s="24">
        <f>IF(OR(O81="",O81=0),"",Z81/O81)</f>
        <v>0</v>
      </c>
      <c r="AB81" s="24">
        <f>IF(OR(O81="",O81=0),"",N(T81)/O81)</f>
        <v>0</v>
      </c>
      <c r="AC81" s="24">
        <f>IF(OR(O81="",O81=0),"",N(S81)/O81)</f>
        <v>0</v>
      </c>
      <c r="AD81" s="24">
        <f>IF(OR(O81="",O81=0),"",N(R81)/O81)</f>
        <v>0</v>
      </c>
      <c r="AE81" s="24">
        <f>IF(OR(O81="",O81=0),"",N(U81)/O81)</f>
        <v>0</v>
      </c>
      <c r="AF81" s="24">
        <f>IF(OR(U81="",U81=0),"",N(W81)/U81)</f>
        <v>0</v>
      </c>
      <c r="AG81" s="25">
        <f>IF(OR(O81="",O81=0),"",N(X81)/(O81/1000))</f>
        <v>0</v>
      </c>
      <c r="AH81" s="24">
        <f>IF(O81="","",IF(Y81="",TargetEngagement,Y81))</f>
        <v>0</v>
      </c>
      <c r="AI81" s="24">
        <f>IF(OR(AA81="",AH81=""),"",AA81-AH81)</f>
        <v>0</v>
      </c>
      <c r="AJ81" s="31">
        <f>IF(AA81="","",AA81+ROW()/1000000)</f>
        <v>0</v>
      </c>
      <c r="AK81" s="23">
        <f>IF(AA81="","",RANK(AJ81,Performance!$AJ$5:$AJ$404))</f>
        <v>0</v>
      </c>
      <c r="AL81" s="29">
        <f>IF(AA81="","",IF(AA81&gt;=AH81*1.5,"Top performer",IF(AA81&gt;=AH81,"Above target",IF(AA81&gt;=AH81*0.6,"Below target","Weak - review it"))))</f>
        <v>0</v>
      </c>
      <c r="AM81" s="29">
        <f>IF(B81="","",IF(COUNTIF(Performance!$B$5:$B$404,B81)&gt;1,"Duplicate","OK"))</f>
        <v>0</v>
      </c>
      <c r="AN81" s="29">
        <f>IF(B81="","",IF(C81="Not found","Check - content ID not on the calendar",IF(O81="","Add - no numbers entered yet",IF(AM81="Duplicate","Duplicate - this post is entered twice",IF(AL81="Top performer","Repurpose this one","OK")))))</f>
        <v>0</v>
      </c>
    </row>
    <row r="82" spans="1:40">
      <c r="A82" s="41">
        <f>IF(B82="","","PF-"&amp;TEXT(ROW()-4,"0000"))</f>
        <v>0</v>
      </c>
      <c r="C82" s="17">
        <f>IF(B82="","",IFERROR(INDEX('Content Calendar'!$H$5:$H$604,MATCH(B82,'Content Calendar'!$A$5:$A$604,0)),"Not found"))</f>
        <v>0</v>
      </c>
      <c r="D82" s="16">
        <f>IF(B82="","",IFERROR(INDEX('Content Calendar'!$B$5:$B$604,MATCH(B82,'Content Calendar'!$A$5:$A$604,0)),"Not found"))</f>
        <v>0</v>
      </c>
      <c r="E82" s="17">
        <f>IF(B82="","",IFERROR(INDEX('Content Calendar'!$D$5:$D$604,MATCH(B82,'Content Calendar'!$A$5:$A$604,0)),"Not found"))</f>
        <v>0</v>
      </c>
      <c r="F82" s="17">
        <f>IF(B82="","",IFERROR(INDEX('Content Calendar'!$G$5:$G$604,MATCH(B82,'Content Calendar'!$A$5:$A$604,0)),"Not found"))</f>
        <v>0</v>
      </c>
      <c r="G82" s="17">
        <f>IF(B82="","",IFERROR(INDEX('Content Calendar'!$K$5:$K$604,MATCH(B82,'Content Calendar'!$A$5:$A$604,0)),"Not found"))</f>
        <v>0</v>
      </c>
      <c r="H82" s="17">
        <f>IF(B82="","",IFERROR(INDEX('Content Calendar'!$J$5:$J$604,MATCH(B82,'Content Calendar'!$A$5:$A$604,0)),"Not found"))</f>
        <v>0</v>
      </c>
      <c r="I82" s="17">
        <f>IF(B82="","",IFERROR(INDEX('Content Calendar'!$L$5:$L$604,MATCH(B82,'Content Calendar'!$A$5:$A$604,0)),"Not found"))</f>
        <v>0</v>
      </c>
      <c r="J82" s="17">
        <f>IF(B82="","",IFERROR(INDEX('Content Calendar'!$P$5:$P$604,MATCH(B82,'Content Calendar'!$A$5:$A$604,0)),"Not found"))</f>
        <v>0</v>
      </c>
      <c r="K82" s="17">
        <f>IF(B82="","",IFERROR(INDEX('Content Calendar'!$O$5:$O$604,MATCH(B82,'Content Calendar'!$A$5:$A$604,0)),"Not found"))</f>
        <v>0</v>
      </c>
      <c r="L82" s="17">
        <f>IF(B82="","",IFERROR(INDEX('Content Calendar'!$N$5:$N$604,MATCH(B82,'Content Calendar'!$A$5:$A$604,0)),"Not found"))</f>
        <v>0</v>
      </c>
      <c r="M82" s="17">
        <f>IF(B82="","",IFERROR(INDEX('Content Calendar'!$C$5:$C$604,MATCH(B82,'Content Calendar'!$A$5:$A$604,0)),"Not found"))</f>
        <v>0</v>
      </c>
      <c r="N82" s="17">
        <f>IF(B82="","",IFERROR(INDEX('Content Calendar'!$F$5:$F$604,MATCH(B82,'Content Calendar'!$A$5:$A$604,0)),"Not found"))</f>
        <v>0</v>
      </c>
      <c r="Z82" s="23">
        <f>IF(O82="","",N(Q82)+N(R82)+N(S82)+N(T82))</f>
        <v>0</v>
      </c>
      <c r="AA82" s="24">
        <f>IF(OR(O82="",O82=0),"",Z82/O82)</f>
        <v>0</v>
      </c>
      <c r="AB82" s="24">
        <f>IF(OR(O82="",O82=0),"",N(T82)/O82)</f>
        <v>0</v>
      </c>
      <c r="AC82" s="24">
        <f>IF(OR(O82="",O82=0),"",N(S82)/O82)</f>
        <v>0</v>
      </c>
      <c r="AD82" s="24">
        <f>IF(OR(O82="",O82=0),"",N(R82)/O82)</f>
        <v>0</v>
      </c>
      <c r="AE82" s="24">
        <f>IF(OR(O82="",O82=0),"",N(U82)/O82)</f>
        <v>0</v>
      </c>
      <c r="AF82" s="24">
        <f>IF(OR(U82="",U82=0),"",N(W82)/U82)</f>
        <v>0</v>
      </c>
      <c r="AG82" s="25">
        <f>IF(OR(O82="",O82=0),"",N(X82)/(O82/1000))</f>
        <v>0</v>
      </c>
      <c r="AH82" s="24">
        <f>IF(O82="","",IF(Y82="",TargetEngagement,Y82))</f>
        <v>0</v>
      </c>
      <c r="AI82" s="24">
        <f>IF(OR(AA82="",AH82=""),"",AA82-AH82)</f>
        <v>0</v>
      </c>
      <c r="AJ82" s="31">
        <f>IF(AA82="","",AA82+ROW()/1000000)</f>
        <v>0</v>
      </c>
      <c r="AK82" s="23">
        <f>IF(AA82="","",RANK(AJ82,Performance!$AJ$5:$AJ$404))</f>
        <v>0</v>
      </c>
      <c r="AL82" s="29">
        <f>IF(AA82="","",IF(AA82&gt;=AH82*1.5,"Top performer",IF(AA82&gt;=AH82,"Above target",IF(AA82&gt;=AH82*0.6,"Below target","Weak - review it"))))</f>
        <v>0</v>
      </c>
      <c r="AM82" s="29">
        <f>IF(B82="","",IF(COUNTIF(Performance!$B$5:$B$404,B82)&gt;1,"Duplicate","OK"))</f>
        <v>0</v>
      </c>
      <c r="AN82" s="29">
        <f>IF(B82="","",IF(C82="Not found","Check - content ID not on the calendar",IF(O82="","Add - no numbers entered yet",IF(AM82="Duplicate","Duplicate - this post is entered twice",IF(AL82="Top performer","Repurpose this one","OK")))))</f>
        <v>0</v>
      </c>
    </row>
    <row r="83" spans="1:40">
      <c r="A83" s="41">
        <f>IF(B83="","","PF-"&amp;TEXT(ROW()-4,"0000"))</f>
        <v>0</v>
      </c>
      <c r="C83" s="17">
        <f>IF(B83="","",IFERROR(INDEX('Content Calendar'!$H$5:$H$604,MATCH(B83,'Content Calendar'!$A$5:$A$604,0)),"Not found"))</f>
        <v>0</v>
      </c>
      <c r="D83" s="16">
        <f>IF(B83="","",IFERROR(INDEX('Content Calendar'!$B$5:$B$604,MATCH(B83,'Content Calendar'!$A$5:$A$604,0)),"Not found"))</f>
        <v>0</v>
      </c>
      <c r="E83" s="17">
        <f>IF(B83="","",IFERROR(INDEX('Content Calendar'!$D$5:$D$604,MATCH(B83,'Content Calendar'!$A$5:$A$604,0)),"Not found"))</f>
        <v>0</v>
      </c>
      <c r="F83" s="17">
        <f>IF(B83="","",IFERROR(INDEX('Content Calendar'!$G$5:$G$604,MATCH(B83,'Content Calendar'!$A$5:$A$604,0)),"Not found"))</f>
        <v>0</v>
      </c>
      <c r="G83" s="17">
        <f>IF(B83="","",IFERROR(INDEX('Content Calendar'!$K$5:$K$604,MATCH(B83,'Content Calendar'!$A$5:$A$604,0)),"Not found"))</f>
        <v>0</v>
      </c>
      <c r="H83" s="17">
        <f>IF(B83="","",IFERROR(INDEX('Content Calendar'!$J$5:$J$604,MATCH(B83,'Content Calendar'!$A$5:$A$604,0)),"Not found"))</f>
        <v>0</v>
      </c>
      <c r="I83" s="17">
        <f>IF(B83="","",IFERROR(INDEX('Content Calendar'!$L$5:$L$604,MATCH(B83,'Content Calendar'!$A$5:$A$604,0)),"Not found"))</f>
        <v>0</v>
      </c>
      <c r="J83" s="17">
        <f>IF(B83="","",IFERROR(INDEX('Content Calendar'!$P$5:$P$604,MATCH(B83,'Content Calendar'!$A$5:$A$604,0)),"Not found"))</f>
        <v>0</v>
      </c>
      <c r="K83" s="17">
        <f>IF(B83="","",IFERROR(INDEX('Content Calendar'!$O$5:$O$604,MATCH(B83,'Content Calendar'!$A$5:$A$604,0)),"Not found"))</f>
        <v>0</v>
      </c>
      <c r="L83" s="17">
        <f>IF(B83="","",IFERROR(INDEX('Content Calendar'!$N$5:$N$604,MATCH(B83,'Content Calendar'!$A$5:$A$604,0)),"Not found"))</f>
        <v>0</v>
      </c>
      <c r="M83" s="17">
        <f>IF(B83="","",IFERROR(INDEX('Content Calendar'!$C$5:$C$604,MATCH(B83,'Content Calendar'!$A$5:$A$604,0)),"Not found"))</f>
        <v>0</v>
      </c>
      <c r="N83" s="17">
        <f>IF(B83="","",IFERROR(INDEX('Content Calendar'!$F$5:$F$604,MATCH(B83,'Content Calendar'!$A$5:$A$604,0)),"Not found"))</f>
        <v>0</v>
      </c>
      <c r="Z83" s="23">
        <f>IF(O83="","",N(Q83)+N(R83)+N(S83)+N(T83))</f>
        <v>0</v>
      </c>
      <c r="AA83" s="24">
        <f>IF(OR(O83="",O83=0),"",Z83/O83)</f>
        <v>0</v>
      </c>
      <c r="AB83" s="24">
        <f>IF(OR(O83="",O83=0),"",N(T83)/O83)</f>
        <v>0</v>
      </c>
      <c r="AC83" s="24">
        <f>IF(OR(O83="",O83=0),"",N(S83)/O83)</f>
        <v>0</v>
      </c>
      <c r="AD83" s="24">
        <f>IF(OR(O83="",O83=0),"",N(R83)/O83)</f>
        <v>0</v>
      </c>
      <c r="AE83" s="24">
        <f>IF(OR(O83="",O83=0),"",N(U83)/O83)</f>
        <v>0</v>
      </c>
      <c r="AF83" s="24">
        <f>IF(OR(U83="",U83=0),"",N(W83)/U83)</f>
        <v>0</v>
      </c>
      <c r="AG83" s="25">
        <f>IF(OR(O83="",O83=0),"",N(X83)/(O83/1000))</f>
        <v>0</v>
      </c>
      <c r="AH83" s="24">
        <f>IF(O83="","",IF(Y83="",TargetEngagement,Y83))</f>
        <v>0</v>
      </c>
      <c r="AI83" s="24">
        <f>IF(OR(AA83="",AH83=""),"",AA83-AH83)</f>
        <v>0</v>
      </c>
      <c r="AJ83" s="31">
        <f>IF(AA83="","",AA83+ROW()/1000000)</f>
        <v>0</v>
      </c>
      <c r="AK83" s="23">
        <f>IF(AA83="","",RANK(AJ83,Performance!$AJ$5:$AJ$404))</f>
        <v>0</v>
      </c>
      <c r="AL83" s="29">
        <f>IF(AA83="","",IF(AA83&gt;=AH83*1.5,"Top performer",IF(AA83&gt;=AH83,"Above target",IF(AA83&gt;=AH83*0.6,"Below target","Weak - review it"))))</f>
        <v>0</v>
      </c>
      <c r="AM83" s="29">
        <f>IF(B83="","",IF(COUNTIF(Performance!$B$5:$B$404,B83)&gt;1,"Duplicate","OK"))</f>
        <v>0</v>
      </c>
      <c r="AN83" s="29">
        <f>IF(B83="","",IF(C83="Not found","Check - content ID not on the calendar",IF(O83="","Add - no numbers entered yet",IF(AM83="Duplicate","Duplicate - this post is entered twice",IF(AL83="Top performer","Repurpose this one","OK")))))</f>
        <v>0</v>
      </c>
    </row>
    <row r="84" spans="1:40">
      <c r="A84" s="41">
        <f>IF(B84="","","PF-"&amp;TEXT(ROW()-4,"0000"))</f>
        <v>0</v>
      </c>
      <c r="C84" s="17">
        <f>IF(B84="","",IFERROR(INDEX('Content Calendar'!$H$5:$H$604,MATCH(B84,'Content Calendar'!$A$5:$A$604,0)),"Not found"))</f>
        <v>0</v>
      </c>
      <c r="D84" s="16">
        <f>IF(B84="","",IFERROR(INDEX('Content Calendar'!$B$5:$B$604,MATCH(B84,'Content Calendar'!$A$5:$A$604,0)),"Not found"))</f>
        <v>0</v>
      </c>
      <c r="E84" s="17">
        <f>IF(B84="","",IFERROR(INDEX('Content Calendar'!$D$5:$D$604,MATCH(B84,'Content Calendar'!$A$5:$A$604,0)),"Not found"))</f>
        <v>0</v>
      </c>
      <c r="F84" s="17">
        <f>IF(B84="","",IFERROR(INDEX('Content Calendar'!$G$5:$G$604,MATCH(B84,'Content Calendar'!$A$5:$A$604,0)),"Not found"))</f>
        <v>0</v>
      </c>
      <c r="G84" s="17">
        <f>IF(B84="","",IFERROR(INDEX('Content Calendar'!$K$5:$K$604,MATCH(B84,'Content Calendar'!$A$5:$A$604,0)),"Not found"))</f>
        <v>0</v>
      </c>
      <c r="H84" s="17">
        <f>IF(B84="","",IFERROR(INDEX('Content Calendar'!$J$5:$J$604,MATCH(B84,'Content Calendar'!$A$5:$A$604,0)),"Not found"))</f>
        <v>0</v>
      </c>
      <c r="I84" s="17">
        <f>IF(B84="","",IFERROR(INDEX('Content Calendar'!$L$5:$L$604,MATCH(B84,'Content Calendar'!$A$5:$A$604,0)),"Not found"))</f>
        <v>0</v>
      </c>
      <c r="J84" s="17">
        <f>IF(B84="","",IFERROR(INDEX('Content Calendar'!$P$5:$P$604,MATCH(B84,'Content Calendar'!$A$5:$A$604,0)),"Not found"))</f>
        <v>0</v>
      </c>
      <c r="K84" s="17">
        <f>IF(B84="","",IFERROR(INDEX('Content Calendar'!$O$5:$O$604,MATCH(B84,'Content Calendar'!$A$5:$A$604,0)),"Not found"))</f>
        <v>0</v>
      </c>
      <c r="L84" s="17">
        <f>IF(B84="","",IFERROR(INDEX('Content Calendar'!$N$5:$N$604,MATCH(B84,'Content Calendar'!$A$5:$A$604,0)),"Not found"))</f>
        <v>0</v>
      </c>
      <c r="M84" s="17">
        <f>IF(B84="","",IFERROR(INDEX('Content Calendar'!$C$5:$C$604,MATCH(B84,'Content Calendar'!$A$5:$A$604,0)),"Not found"))</f>
        <v>0</v>
      </c>
      <c r="N84" s="17">
        <f>IF(B84="","",IFERROR(INDEX('Content Calendar'!$F$5:$F$604,MATCH(B84,'Content Calendar'!$A$5:$A$604,0)),"Not found"))</f>
        <v>0</v>
      </c>
      <c r="Z84" s="23">
        <f>IF(O84="","",N(Q84)+N(R84)+N(S84)+N(T84))</f>
        <v>0</v>
      </c>
      <c r="AA84" s="24">
        <f>IF(OR(O84="",O84=0),"",Z84/O84)</f>
        <v>0</v>
      </c>
      <c r="AB84" s="24">
        <f>IF(OR(O84="",O84=0),"",N(T84)/O84)</f>
        <v>0</v>
      </c>
      <c r="AC84" s="24">
        <f>IF(OR(O84="",O84=0),"",N(S84)/O84)</f>
        <v>0</v>
      </c>
      <c r="AD84" s="24">
        <f>IF(OR(O84="",O84=0),"",N(R84)/O84)</f>
        <v>0</v>
      </c>
      <c r="AE84" s="24">
        <f>IF(OR(O84="",O84=0),"",N(U84)/O84)</f>
        <v>0</v>
      </c>
      <c r="AF84" s="24">
        <f>IF(OR(U84="",U84=0),"",N(W84)/U84)</f>
        <v>0</v>
      </c>
      <c r="AG84" s="25">
        <f>IF(OR(O84="",O84=0),"",N(X84)/(O84/1000))</f>
        <v>0</v>
      </c>
      <c r="AH84" s="24">
        <f>IF(O84="","",IF(Y84="",TargetEngagement,Y84))</f>
        <v>0</v>
      </c>
      <c r="AI84" s="24">
        <f>IF(OR(AA84="",AH84=""),"",AA84-AH84)</f>
        <v>0</v>
      </c>
      <c r="AJ84" s="31">
        <f>IF(AA84="","",AA84+ROW()/1000000)</f>
        <v>0</v>
      </c>
      <c r="AK84" s="23">
        <f>IF(AA84="","",RANK(AJ84,Performance!$AJ$5:$AJ$404))</f>
        <v>0</v>
      </c>
      <c r="AL84" s="29">
        <f>IF(AA84="","",IF(AA84&gt;=AH84*1.5,"Top performer",IF(AA84&gt;=AH84,"Above target",IF(AA84&gt;=AH84*0.6,"Below target","Weak - review it"))))</f>
        <v>0</v>
      </c>
      <c r="AM84" s="29">
        <f>IF(B84="","",IF(COUNTIF(Performance!$B$5:$B$404,B84)&gt;1,"Duplicate","OK"))</f>
        <v>0</v>
      </c>
      <c r="AN84" s="29">
        <f>IF(B84="","",IF(C84="Not found","Check - content ID not on the calendar",IF(O84="","Add - no numbers entered yet",IF(AM84="Duplicate","Duplicate - this post is entered twice",IF(AL84="Top performer","Repurpose this one","OK")))))</f>
        <v>0</v>
      </c>
    </row>
    <row r="85" spans="1:40">
      <c r="A85" s="41">
        <f>IF(B85="","","PF-"&amp;TEXT(ROW()-4,"0000"))</f>
        <v>0</v>
      </c>
      <c r="C85" s="17">
        <f>IF(B85="","",IFERROR(INDEX('Content Calendar'!$H$5:$H$604,MATCH(B85,'Content Calendar'!$A$5:$A$604,0)),"Not found"))</f>
        <v>0</v>
      </c>
      <c r="D85" s="16">
        <f>IF(B85="","",IFERROR(INDEX('Content Calendar'!$B$5:$B$604,MATCH(B85,'Content Calendar'!$A$5:$A$604,0)),"Not found"))</f>
        <v>0</v>
      </c>
      <c r="E85" s="17">
        <f>IF(B85="","",IFERROR(INDEX('Content Calendar'!$D$5:$D$604,MATCH(B85,'Content Calendar'!$A$5:$A$604,0)),"Not found"))</f>
        <v>0</v>
      </c>
      <c r="F85" s="17">
        <f>IF(B85="","",IFERROR(INDEX('Content Calendar'!$G$5:$G$604,MATCH(B85,'Content Calendar'!$A$5:$A$604,0)),"Not found"))</f>
        <v>0</v>
      </c>
      <c r="G85" s="17">
        <f>IF(B85="","",IFERROR(INDEX('Content Calendar'!$K$5:$K$604,MATCH(B85,'Content Calendar'!$A$5:$A$604,0)),"Not found"))</f>
        <v>0</v>
      </c>
      <c r="H85" s="17">
        <f>IF(B85="","",IFERROR(INDEX('Content Calendar'!$J$5:$J$604,MATCH(B85,'Content Calendar'!$A$5:$A$604,0)),"Not found"))</f>
        <v>0</v>
      </c>
      <c r="I85" s="17">
        <f>IF(B85="","",IFERROR(INDEX('Content Calendar'!$L$5:$L$604,MATCH(B85,'Content Calendar'!$A$5:$A$604,0)),"Not found"))</f>
        <v>0</v>
      </c>
      <c r="J85" s="17">
        <f>IF(B85="","",IFERROR(INDEX('Content Calendar'!$P$5:$P$604,MATCH(B85,'Content Calendar'!$A$5:$A$604,0)),"Not found"))</f>
        <v>0</v>
      </c>
      <c r="K85" s="17">
        <f>IF(B85="","",IFERROR(INDEX('Content Calendar'!$O$5:$O$604,MATCH(B85,'Content Calendar'!$A$5:$A$604,0)),"Not found"))</f>
        <v>0</v>
      </c>
      <c r="L85" s="17">
        <f>IF(B85="","",IFERROR(INDEX('Content Calendar'!$N$5:$N$604,MATCH(B85,'Content Calendar'!$A$5:$A$604,0)),"Not found"))</f>
        <v>0</v>
      </c>
      <c r="M85" s="17">
        <f>IF(B85="","",IFERROR(INDEX('Content Calendar'!$C$5:$C$604,MATCH(B85,'Content Calendar'!$A$5:$A$604,0)),"Not found"))</f>
        <v>0</v>
      </c>
      <c r="N85" s="17">
        <f>IF(B85="","",IFERROR(INDEX('Content Calendar'!$F$5:$F$604,MATCH(B85,'Content Calendar'!$A$5:$A$604,0)),"Not found"))</f>
        <v>0</v>
      </c>
      <c r="Z85" s="23">
        <f>IF(O85="","",N(Q85)+N(R85)+N(S85)+N(T85))</f>
        <v>0</v>
      </c>
      <c r="AA85" s="24">
        <f>IF(OR(O85="",O85=0),"",Z85/O85)</f>
        <v>0</v>
      </c>
      <c r="AB85" s="24">
        <f>IF(OR(O85="",O85=0),"",N(T85)/O85)</f>
        <v>0</v>
      </c>
      <c r="AC85" s="24">
        <f>IF(OR(O85="",O85=0),"",N(S85)/O85)</f>
        <v>0</v>
      </c>
      <c r="AD85" s="24">
        <f>IF(OR(O85="",O85=0),"",N(R85)/O85)</f>
        <v>0</v>
      </c>
      <c r="AE85" s="24">
        <f>IF(OR(O85="",O85=0),"",N(U85)/O85)</f>
        <v>0</v>
      </c>
      <c r="AF85" s="24">
        <f>IF(OR(U85="",U85=0),"",N(W85)/U85)</f>
        <v>0</v>
      </c>
      <c r="AG85" s="25">
        <f>IF(OR(O85="",O85=0),"",N(X85)/(O85/1000))</f>
        <v>0</v>
      </c>
      <c r="AH85" s="24">
        <f>IF(O85="","",IF(Y85="",TargetEngagement,Y85))</f>
        <v>0</v>
      </c>
      <c r="AI85" s="24">
        <f>IF(OR(AA85="",AH85=""),"",AA85-AH85)</f>
        <v>0</v>
      </c>
      <c r="AJ85" s="31">
        <f>IF(AA85="","",AA85+ROW()/1000000)</f>
        <v>0</v>
      </c>
      <c r="AK85" s="23">
        <f>IF(AA85="","",RANK(AJ85,Performance!$AJ$5:$AJ$404))</f>
        <v>0</v>
      </c>
      <c r="AL85" s="29">
        <f>IF(AA85="","",IF(AA85&gt;=AH85*1.5,"Top performer",IF(AA85&gt;=AH85,"Above target",IF(AA85&gt;=AH85*0.6,"Below target","Weak - review it"))))</f>
        <v>0</v>
      </c>
      <c r="AM85" s="29">
        <f>IF(B85="","",IF(COUNTIF(Performance!$B$5:$B$404,B85)&gt;1,"Duplicate","OK"))</f>
        <v>0</v>
      </c>
      <c r="AN85" s="29">
        <f>IF(B85="","",IF(C85="Not found","Check - content ID not on the calendar",IF(O85="","Add - no numbers entered yet",IF(AM85="Duplicate","Duplicate - this post is entered twice",IF(AL85="Top performer","Repurpose this one","OK")))))</f>
        <v>0</v>
      </c>
    </row>
    <row r="86" spans="1:40">
      <c r="A86" s="41">
        <f>IF(B86="","","PF-"&amp;TEXT(ROW()-4,"0000"))</f>
        <v>0</v>
      </c>
      <c r="C86" s="17">
        <f>IF(B86="","",IFERROR(INDEX('Content Calendar'!$H$5:$H$604,MATCH(B86,'Content Calendar'!$A$5:$A$604,0)),"Not found"))</f>
        <v>0</v>
      </c>
      <c r="D86" s="16">
        <f>IF(B86="","",IFERROR(INDEX('Content Calendar'!$B$5:$B$604,MATCH(B86,'Content Calendar'!$A$5:$A$604,0)),"Not found"))</f>
        <v>0</v>
      </c>
      <c r="E86" s="17">
        <f>IF(B86="","",IFERROR(INDEX('Content Calendar'!$D$5:$D$604,MATCH(B86,'Content Calendar'!$A$5:$A$604,0)),"Not found"))</f>
        <v>0</v>
      </c>
      <c r="F86" s="17">
        <f>IF(B86="","",IFERROR(INDEX('Content Calendar'!$G$5:$G$604,MATCH(B86,'Content Calendar'!$A$5:$A$604,0)),"Not found"))</f>
        <v>0</v>
      </c>
      <c r="G86" s="17">
        <f>IF(B86="","",IFERROR(INDEX('Content Calendar'!$K$5:$K$604,MATCH(B86,'Content Calendar'!$A$5:$A$604,0)),"Not found"))</f>
        <v>0</v>
      </c>
      <c r="H86" s="17">
        <f>IF(B86="","",IFERROR(INDEX('Content Calendar'!$J$5:$J$604,MATCH(B86,'Content Calendar'!$A$5:$A$604,0)),"Not found"))</f>
        <v>0</v>
      </c>
      <c r="I86" s="17">
        <f>IF(B86="","",IFERROR(INDEX('Content Calendar'!$L$5:$L$604,MATCH(B86,'Content Calendar'!$A$5:$A$604,0)),"Not found"))</f>
        <v>0</v>
      </c>
      <c r="J86" s="17">
        <f>IF(B86="","",IFERROR(INDEX('Content Calendar'!$P$5:$P$604,MATCH(B86,'Content Calendar'!$A$5:$A$604,0)),"Not found"))</f>
        <v>0</v>
      </c>
      <c r="K86" s="17">
        <f>IF(B86="","",IFERROR(INDEX('Content Calendar'!$O$5:$O$604,MATCH(B86,'Content Calendar'!$A$5:$A$604,0)),"Not found"))</f>
        <v>0</v>
      </c>
      <c r="L86" s="17">
        <f>IF(B86="","",IFERROR(INDEX('Content Calendar'!$N$5:$N$604,MATCH(B86,'Content Calendar'!$A$5:$A$604,0)),"Not found"))</f>
        <v>0</v>
      </c>
      <c r="M86" s="17">
        <f>IF(B86="","",IFERROR(INDEX('Content Calendar'!$C$5:$C$604,MATCH(B86,'Content Calendar'!$A$5:$A$604,0)),"Not found"))</f>
        <v>0</v>
      </c>
      <c r="N86" s="17">
        <f>IF(B86="","",IFERROR(INDEX('Content Calendar'!$F$5:$F$604,MATCH(B86,'Content Calendar'!$A$5:$A$604,0)),"Not found"))</f>
        <v>0</v>
      </c>
      <c r="Z86" s="23">
        <f>IF(O86="","",N(Q86)+N(R86)+N(S86)+N(T86))</f>
        <v>0</v>
      </c>
      <c r="AA86" s="24">
        <f>IF(OR(O86="",O86=0),"",Z86/O86)</f>
        <v>0</v>
      </c>
      <c r="AB86" s="24">
        <f>IF(OR(O86="",O86=0),"",N(T86)/O86)</f>
        <v>0</v>
      </c>
      <c r="AC86" s="24">
        <f>IF(OR(O86="",O86=0),"",N(S86)/O86)</f>
        <v>0</v>
      </c>
      <c r="AD86" s="24">
        <f>IF(OR(O86="",O86=0),"",N(R86)/O86)</f>
        <v>0</v>
      </c>
      <c r="AE86" s="24">
        <f>IF(OR(O86="",O86=0),"",N(U86)/O86)</f>
        <v>0</v>
      </c>
      <c r="AF86" s="24">
        <f>IF(OR(U86="",U86=0),"",N(W86)/U86)</f>
        <v>0</v>
      </c>
      <c r="AG86" s="25">
        <f>IF(OR(O86="",O86=0),"",N(X86)/(O86/1000))</f>
        <v>0</v>
      </c>
      <c r="AH86" s="24">
        <f>IF(O86="","",IF(Y86="",TargetEngagement,Y86))</f>
        <v>0</v>
      </c>
      <c r="AI86" s="24">
        <f>IF(OR(AA86="",AH86=""),"",AA86-AH86)</f>
        <v>0</v>
      </c>
      <c r="AJ86" s="31">
        <f>IF(AA86="","",AA86+ROW()/1000000)</f>
        <v>0</v>
      </c>
      <c r="AK86" s="23">
        <f>IF(AA86="","",RANK(AJ86,Performance!$AJ$5:$AJ$404))</f>
        <v>0</v>
      </c>
      <c r="AL86" s="29">
        <f>IF(AA86="","",IF(AA86&gt;=AH86*1.5,"Top performer",IF(AA86&gt;=AH86,"Above target",IF(AA86&gt;=AH86*0.6,"Below target","Weak - review it"))))</f>
        <v>0</v>
      </c>
      <c r="AM86" s="29">
        <f>IF(B86="","",IF(COUNTIF(Performance!$B$5:$B$404,B86)&gt;1,"Duplicate","OK"))</f>
        <v>0</v>
      </c>
      <c r="AN86" s="29">
        <f>IF(B86="","",IF(C86="Not found","Check - content ID not on the calendar",IF(O86="","Add - no numbers entered yet",IF(AM86="Duplicate","Duplicate - this post is entered twice",IF(AL86="Top performer","Repurpose this one","OK")))))</f>
        <v>0</v>
      </c>
    </row>
    <row r="87" spans="1:40">
      <c r="A87" s="41">
        <f>IF(B87="","","PF-"&amp;TEXT(ROW()-4,"0000"))</f>
        <v>0</v>
      </c>
      <c r="C87" s="17">
        <f>IF(B87="","",IFERROR(INDEX('Content Calendar'!$H$5:$H$604,MATCH(B87,'Content Calendar'!$A$5:$A$604,0)),"Not found"))</f>
        <v>0</v>
      </c>
      <c r="D87" s="16">
        <f>IF(B87="","",IFERROR(INDEX('Content Calendar'!$B$5:$B$604,MATCH(B87,'Content Calendar'!$A$5:$A$604,0)),"Not found"))</f>
        <v>0</v>
      </c>
      <c r="E87" s="17">
        <f>IF(B87="","",IFERROR(INDEX('Content Calendar'!$D$5:$D$604,MATCH(B87,'Content Calendar'!$A$5:$A$604,0)),"Not found"))</f>
        <v>0</v>
      </c>
      <c r="F87" s="17">
        <f>IF(B87="","",IFERROR(INDEX('Content Calendar'!$G$5:$G$604,MATCH(B87,'Content Calendar'!$A$5:$A$604,0)),"Not found"))</f>
        <v>0</v>
      </c>
      <c r="G87" s="17">
        <f>IF(B87="","",IFERROR(INDEX('Content Calendar'!$K$5:$K$604,MATCH(B87,'Content Calendar'!$A$5:$A$604,0)),"Not found"))</f>
        <v>0</v>
      </c>
      <c r="H87" s="17">
        <f>IF(B87="","",IFERROR(INDEX('Content Calendar'!$J$5:$J$604,MATCH(B87,'Content Calendar'!$A$5:$A$604,0)),"Not found"))</f>
        <v>0</v>
      </c>
      <c r="I87" s="17">
        <f>IF(B87="","",IFERROR(INDEX('Content Calendar'!$L$5:$L$604,MATCH(B87,'Content Calendar'!$A$5:$A$604,0)),"Not found"))</f>
        <v>0</v>
      </c>
      <c r="J87" s="17">
        <f>IF(B87="","",IFERROR(INDEX('Content Calendar'!$P$5:$P$604,MATCH(B87,'Content Calendar'!$A$5:$A$604,0)),"Not found"))</f>
        <v>0</v>
      </c>
      <c r="K87" s="17">
        <f>IF(B87="","",IFERROR(INDEX('Content Calendar'!$O$5:$O$604,MATCH(B87,'Content Calendar'!$A$5:$A$604,0)),"Not found"))</f>
        <v>0</v>
      </c>
      <c r="L87" s="17">
        <f>IF(B87="","",IFERROR(INDEX('Content Calendar'!$N$5:$N$604,MATCH(B87,'Content Calendar'!$A$5:$A$604,0)),"Not found"))</f>
        <v>0</v>
      </c>
      <c r="M87" s="17">
        <f>IF(B87="","",IFERROR(INDEX('Content Calendar'!$C$5:$C$604,MATCH(B87,'Content Calendar'!$A$5:$A$604,0)),"Not found"))</f>
        <v>0</v>
      </c>
      <c r="N87" s="17">
        <f>IF(B87="","",IFERROR(INDEX('Content Calendar'!$F$5:$F$604,MATCH(B87,'Content Calendar'!$A$5:$A$604,0)),"Not found"))</f>
        <v>0</v>
      </c>
      <c r="Z87" s="23">
        <f>IF(O87="","",N(Q87)+N(R87)+N(S87)+N(T87))</f>
        <v>0</v>
      </c>
      <c r="AA87" s="24">
        <f>IF(OR(O87="",O87=0),"",Z87/O87)</f>
        <v>0</v>
      </c>
      <c r="AB87" s="24">
        <f>IF(OR(O87="",O87=0),"",N(T87)/O87)</f>
        <v>0</v>
      </c>
      <c r="AC87" s="24">
        <f>IF(OR(O87="",O87=0),"",N(S87)/O87)</f>
        <v>0</v>
      </c>
      <c r="AD87" s="24">
        <f>IF(OR(O87="",O87=0),"",N(R87)/O87)</f>
        <v>0</v>
      </c>
      <c r="AE87" s="24">
        <f>IF(OR(O87="",O87=0),"",N(U87)/O87)</f>
        <v>0</v>
      </c>
      <c r="AF87" s="24">
        <f>IF(OR(U87="",U87=0),"",N(W87)/U87)</f>
        <v>0</v>
      </c>
      <c r="AG87" s="25">
        <f>IF(OR(O87="",O87=0),"",N(X87)/(O87/1000))</f>
        <v>0</v>
      </c>
      <c r="AH87" s="24">
        <f>IF(O87="","",IF(Y87="",TargetEngagement,Y87))</f>
        <v>0</v>
      </c>
      <c r="AI87" s="24">
        <f>IF(OR(AA87="",AH87=""),"",AA87-AH87)</f>
        <v>0</v>
      </c>
      <c r="AJ87" s="31">
        <f>IF(AA87="","",AA87+ROW()/1000000)</f>
        <v>0</v>
      </c>
      <c r="AK87" s="23">
        <f>IF(AA87="","",RANK(AJ87,Performance!$AJ$5:$AJ$404))</f>
        <v>0</v>
      </c>
      <c r="AL87" s="29">
        <f>IF(AA87="","",IF(AA87&gt;=AH87*1.5,"Top performer",IF(AA87&gt;=AH87,"Above target",IF(AA87&gt;=AH87*0.6,"Below target","Weak - review it"))))</f>
        <v>0</v>
      </c>
      <c r="AM87" s="29">
        <f>IF(B87="","",IF(COUNTIF(Performance!$B$5:$B$404,B87)&gt;1,"Duplicate","OK"))</f>
        <v>0</v>
      </c>
      <c r="AN87" s="29">
        <f>IF(B87="","",IF(C87="Not found","Check - content ID not on the calendar",IF(O87="","Add - no numbers entered yet",IF(AM87="Duplicate","Duplicate - this post is entered twice",IF(AL87="Top performer","Repurpose this one","OK")))))</f>
        <v>0</v>
      </c>
    </row>
    <row r="88" spans="1:40">
      <c r="A88" s="41">
        <f>IF(B88="","","PF-"&amp;TEXT(ROW()-4,"0000"))</f>
        <v>0</v>
      </c>
      <c r="C88" s="17">
        <f>IF(B88="","",IFERROR(INDEX('Content Calendar'!$H$5:$H$604,MATCH(B88,'Content Calendar'!$A$5:$A$604,0)),"Not found"))</f>
        <v>0</v>
      </c>
      <c r="D88" s="16">
        <f>IF(B88="","",IFERROR(INDEX('Content Calendar'!$B$5:$B$604,MATCH(B88,'Content Calendar'!$A$5:$A$604,0)),"Not found"))</f>
        <v>0</v>
      </c>
      <c r="E88" s="17">
        <f>IF(B88="","",IFERROR(INDEX('Content Calendar'!$D$5:$D$604,MATCH(B88,'Content Calendar'!$A$5:$A$604,0)),"Not found"))</f>
        <v>0</v>
      </c>
      <c r="F88" s="17">
        <f>IF(B88="","",IFERROR(INDEX('Content Calendar'!$G$5:$G$604,MATCH(B88,'Content Calendar'!$A$5:$A$604,0)),"Not found"))</f>
        <v>0</v>
      </c>
      <c r="G88" s="17">
        <f>IF(B88="","",IFERROR(INDEX('Content Calendar'!$K$5:$K$604,MATCH(B88,'Content Calendar'!$A$5:$A$604,0)),"Not found"))</f>
        <v>0</v>
      </c>
      <c r="H88" s="17">
        <f>IF(B88="","",IFERROR(INDEX('Content Calendar'!$J$5:$J$604,MATCH(B88,'Content Calendar'!$A$5:$A$604,0)),"Not found"))</f>
        <v>0</v>
      </c>
      <c r="I88" s="17">
        <f>IF(B88="","",IFERROR(INDEX('Content Calendar'!$L$5:$L$604,MATCH(B88,'Content Calendar'!$A$5:$A$604,0)),"Not found"))</f>
        <v>0</v>
      </c>
      <c r="J88" s="17">
        <f>IF(B88="","",IFERROR(INDEX('Content Calendar'!$P$5:$P$604,MATCH(B88,'Content Calendar'!$A$5:$A$604,0)),"Not found"))</f>
        <v>0</v>
      </c>
      <c r="K88" s="17">
        <f>IF(B88="","",IFERROR(INDEX('Content Calendar'!$O$5:$O$604,MATCH(B88,'Content Calendar'!$A$5:$A$604,0)),"Not found"))</f>
        <v>0</v>
      </c>
      <c r="L88" s="17">
        <f>IF(B88="","",IFERROR(INDEX('Content Calendar'!$N$5:$N$604,MATCH(B88,'Content Calendar'!$A$5:$A$604,0)),"Not found"))</f>
        <v>0</v>
      </c>
      <c r="M88" s="17">
        <f>IF(B88="","",IFERROR(INDEX('Content Calendar'!$C$5:$C$604,MATCH(B88,'Content Calendar'!$A$5:$A$604,0)),"Not found"))</f>
        <v>0</v>
      </c>
      <c r="N88" s="17">
        <f>IF(B88="","",IFERROR(INDEX('Content Calendar'!$F$5:$F$604,MATCH(B88,'Content Calendar'!$A$5:$A$604,0)),"Not found"))</f>
        <v>0</v>
      </c>
      <c r="Z88" s="23">
        <f>IF(O88="","",N(Q88)+N(R88)+N(S88)+N(T88))</f>
        <v>0</v>
      </c>
      <c r="AA88" s="24">
        <f>IF(OR(O88="",O88=0),"",Z88/O88)</f>
        <v>0</v>
      </c>
      <c r="AB88" s="24">
        <f>IF(OR(O88="",O88=0),"",N(T88)/O88)</f>
        <v>0</v>
      </c>
      <c r="AC88" s="24">
        <f>IF(OR(O88="",O88=0),"",N(S88)/O88)</f>
        <v>0</v>
      </c>
      <c r="AD88" s="24">
        <f>IF(OR(O88="",O88=0),"",N(R88)/O88)</f>
        <v>0</v>
      </c>
      <c r="AE88" s="24">
        <f>IF(OR(O88="",O88=0),"",N(U88)/O88)</f>
        <v>0</v>
      </c>
      <c r="AF88" s="24">
        <f>IF(OR(U88="",U88=0),"",N(W88)/U88)</f>
        <v>0</v>
      </c>
      <c r="AG88" s="25">
        <f>IF(OR(O88="",O88=0),"",N(X88)/(O88/1000))</f>
        <v>0</v>
      </c>
      <c r="AH88" s="24">
        <f>IF(O88="","",IF(Y88="",TargetEngagement,Y88))</f>
        <v>0</v>
      </c>
      <c r="AI88" s="24">
        <f>IF(OR(AA88="",AH88=""),"",AA88-AH88)</f>
        <v>0</v>
      </c>
      <c r="AJ88" s="31">
        <f>IF(AA88="","",AA88+ROW()/1000000)</f>
        <v>0</v>
      </c>
      <c r="AK88" s="23">
        <f>IF(AA88="","",RANK(AJ88,Performance!$AJ$5:$AJ$404))</f>
        <v>0</v>
      </c>
      <c r="AL88" s="29">
        <f>IF(AA88="","",IF(AA88&gt;=AH88*1.5,"Top performer",IF(AA88&gt;=AH88,"Above target",IF(AA88&gt;=AH88*0.6,"Below target","Weak - review it"))))</f>
        <v>0</v>
      </c>
      <c r="AM88" s="29">
        <f>IF(B88="","",IF(COUNTIF(Performance!$B$5:$B$404,B88)&gt;1,"Duplicate","OK"))</f>
        <v>0</v>
      </c>
      <c r="AN88" s="29">
        <f>IF(B88="","",IF(C88="Not found","Check - content ID not on the calendar",IF(O88="","Add - no numbers entered yet",IF(AM88="Duplicate","Duplicate - this post is entered twice",IF(AL88="Top performer","Repurpose this one","OK")))))</f>
        <v>0</v>
      </c>
    </row>
    <row r="89" spans="1:40">
      <c r="A89" s="41">
        <f>IF(B89="","","PF-"&amp;TEXT(ROW()-4,"0000"))</f>
        <v>0</v>
      </c>
      <c r="C89" s="17">
        <f>IF(B89="","",IFERROR(INDEX('Content Calendar'!$H$5:$H$604,MATCH(B89,'Content Calendar'!$A$5:$A$604,0)),"Not found"))</f>
        <v>0</v>
      </c>
      <c r="D89" s="16">
        <f>IF(B89="","",IFERROR(INDEX('Content Calendar'!$B$5:$B$604,MATCH(B89,'Content Calendar'!$A$5:$A$604,0)),"Not found"))</f>
        <v>0</v>
      </c>
      <c r="E89" s="17">
        <f>IF(B89="","",IFERROR(INDEX('Content Calendar'!$D$5:$D$604,MATCH(B89,'Content Calendar'!$A$5:$A$604,0)),"Not found"))</f>
        <v>0</v>
      </c>
      <c r="F89" s="17">
        <f>IF(B89="","",IFERROR(INDEX('Content Calendar'!$G$5:$G$604,MATCH(B89,'Content Calendar'!$A$5:$A$604,0)),"Not found"))</f>
        <v>0</v>
      </c>
      <c r="G89" s="17">
        <f>IF(B89="","",IFERROR(INDEX('Content Calendar'!$K$5:$K$604,MATCH(B89,'Content Calendar'!$A$5:$A$604,0)),"Not found"))</f>
        <v>0</v>
      </c>
      <c r="H89" s="17">
        <f>IF(B89="","",IFERROR(INDEX('Content Calendar'!$J$5:$J$604,MATCH(B89,'Content Calendar'!$A$5:$A$604,0)),"Not found"))</f>
        <v>0</v>
      </c>
      <c r="I89" s="17">
        <f>IF(B89="","",IFERROR(INDEX('Content Calendar'!$L$5:$L$604,MATCH(B89,'Content Calendar'!$A$5:$A$604,0)),"Not found"))</f>
        <v>0</v>
      </c>
      <c r="J89" s="17">
        <f>IF(B89="","",IFERROR(INDEX('Content Calendar'!$P$5:$P$604,MATCH(B89,'Content Calendar'!$A$5:$A$604,0)),"Not found"))</f>
        <v>0</v>
      </c>
      <c r="K89" s="17">
        <f>IF(B89="","",IFERROR(INDEX('Content Calendar'!$O$5:$O$604,MATCH(B89,'Content Calendar'!$A$5:$A$604,0)),"Not found"))</f>
        <v>0</v>
      </c>
      <c r="L89" s="17">
        <f>IF(B89="","",IFERROR(INDEX('Content Calendar'!$N$5:$N$604,MATCH(B89,'Content Calendar'!$A$5:$A$604,0)),"Not found"))</f>
        <v>0</v>
      </c>
      <c r="M89" s="17">
        <f>IF(B89="","",IFERROR(INDEX('Content Calendar'!$C$5:$C$604,MATCH(B89,'Content Calendar'!$A$5:$A$604,0)),"Not found"))</f>
        <v>0</v>
      </c>
      <c r="N89" s="17">
        <f>IF(B89="","",IFERROR(INDEX('Content Calendar'!$F$5:$F$604,MATCH(B89,'Content Calendar'!$A$5:$A$604,0)),"Not found"))</f>
        <v>0</v>
      </c>
      <c r="Z89" s="23">
        <f>IF(O89="","",N(Q89)+N(R89)+N(S89)+N(T89))</f>
        <v>0</v>
      </c>
      <c r="AA89" s="24">
        <f>IF(OR(O89="",O89=0),"",Z89/O89)</f>
        <v>0</v>
      </c>
      <c r="AB89" s="24">
        <f>IF(OR(O89="",O89=0),"",N(T89)/O89)</f>
        <v>0</v>
      </c>
      <c r="AC89" s="24">
        <f>IF(OR(O89="",O89=0),"",N(S89)/O89)</f>
        <v>0</v>
      </c>
      <c r="AD89" s="24">
        <f>IF(OR(O89="",O89=0),"",N(R89)/O89)</f>
        <v>0</v>
      </c>
      <c r="AE89" s="24">
        <f>IF(OR(O89="",O89=0),"",N(U89)/O89)</f>
        <v>0</v>
      </c>
      <c r="AF89" s="24">
        <f>IF(OR(U89="",U89=0),"",N(W89)/U89)</f>
        <v>0</v>
      </c>
      <c r="AG89" s="25">
        <f>IF(OR(O89="",O89=0),"",N(X89)/(O89/1000))</f>
        <v>0</v>
      </c>
      <c r="AH89" s="24">
        <f>IF(O89="","",IF(Y89="",TargetEngagement,Y89))</f>
        <v>0</v>
      </c>
      <c r="AI89" s="24">
        <f>IF(OR(AA89="",AH89=""),"",AA89-AH89)</f>
        <v>0</v>
      </c>
      <c r="AJ89" s="31">
        <f>IF(AA89="","",AA89+ROW()/1000000)</f>
        <v>0</v>
      </c>
      <c r="AK89" s="23">
        <f>IF(AA89="","",RANK(AJ89,Performance!$AJ$5:$AJ$404))</f>
        <v>0</v>
      </c>
      <c r="AL89" s="29">
        <f>IF(AA89="","",IF(AA89&gt;=AH89*1.5,"Top performer",IF(AA89&gt;=AH89,"Above target",IF(AA89&gt;=AH89*0.6,"Below target","Weak - review it"))))</f>
        <v>0</v>
      </c>
      <c r="AM89" s="29">
        <f>IF(B89="","",IF(COUNTIF(Performance!$B$5:$B$404,B89)&gt;1,"Duplicate","OK"))</f>
        <v>0</v>
      </c>
      <c r="AN89" s="29">
        <f>IF(B89="","",IF(C89="Not found","Check - content ID not on the calendar",IF(O89="","Add - no numbers entered yet",IF(AM89="Duplicate","Duplicate - this post is entered twice",IF(AL89="Top performer","Repurpose this one","OK")))))</f>
        <v>0</v>
      </c>
    </row>
    <row r="90" spans="1:40">
      <c r="A90" s="41">
        <f>IF(B90="","","PF-"&amp;TEXT(ROW()-4,"0000"))</f>
        <v>0</v>
      </c>
      <c r="C90" s="17">
        <f>IF(B90="","",IFERROR(INDEX('Content Calendar'!$H$5:$H$604,MATCH(B90,'Content Calendar'!$A$5:$A$604,0)),"Not found"))</f>
        <v>0</v>
      </c>
      <c r="D90" s="16">
        <f>IF(B90="","",IFERROR(INDEX('Content Calendar'!$B$5:$B$604,MATCH(B90,'Content Calendar'!$A$5:$A$604,0)),"Not found"))</f>
        <v>0</v>
      </c>
      <c r="E90" s="17">
        <f>IF(B90="","",IFERROR(INDEX('Content Calendar'!$D$5:$D$604,MATCH(B90,'Content Calendar'!$A$5:$A$604,0)),"Not found"))</f>
        <v>0</v>
      </c>
      <c r="F90" s="17">
        <f>IF(B90="","",IFERROR(INDEX('Content Calendar'!$G$5:$G$604,MATCH(B90,'Content Calendar'!$A$5:$A$604,0)),"Not found"))</f>
        <v>0</v>
      </c>
      <c r="G90" s="17">
        <f>IF(B90="","",IFERROR(INDEX('Content Calendar'!$K$5:$K$604,MATCH(B90,'Content Calendar'!$A$5:$A$604,0)),"Not found"))</f>
        <v>0</v>
      </c>
      <c r="H90" s="17">
        <f>IF(B90="","",IFERROR(INDEX('Content Calendar'!$J$5:$J$604,MATCH(B90,'Content Calendar'!$A$5:$A$604,0)),"Not found"))</f>
        <v>0</v>
      </c>
      <c r="I90" s="17">
        <f>IF(B90="","",IFERROR(INDEX('Content Calendar'!$L$5:$L$604,MATCH(B90,'Content Calendar'!$A$5:$A$604,0)),"Not found"))</f>
        <v>0</v>
      </c>
      <c r="J90" s="17">
        <f>IF(B90="","",IFERROR(INDEX('Content Calendar'!$P$5:$P$604,MATCH(B90,'Content Calendar'!$A$5:$A$604,0)),"Not found"))</f>
        <v>0</v>
      </c>
      <c r="K90" s="17">
        <f>IF(B90="","",IFERROR(INDEX('Content Calendar'!$O$5:$O$604,MATCH(B90,'Content Calendar'!$A$5:$A$604,0)),"Not found"))</f>
        <v>0</v>
      </c>
      <c r="L90" s="17">
        <f>IF(B90="","",IFERROR(INDEX('Content Calendar'!$N$5:$N$604,MATCH(B90,'Content Calendar'!$A$5:$A$604,0)),"Not found"))</f>
        <v>0</v>
      </c>
      <c r="M90" s="17">
        <f>IF(B90="","",IFERROR(INDEX('Content Calendar'!$C$5:$C$604,MATCH(B90,'Content Calendar'!$A$5:$A$604,0)),"Not found"))</f>
        <v>0</v>
      </c>
      <c r="N90" s="17">
        <f>IF(B90="","",IFERROR(INDEX('Content Calendar'!$F$5:$F$604,MATCH(B90,'Content Calendar'!$A$5:$A$604,0)),"Not found"))</f>
        <v>0</v>
      </c>
      <c r="Z90" s="23">
        <f>IF(O90="","",N(Q90)+N(R90)+N(S90)+N(T90))</f>
        <v>0</v>
      </c>
      <c r="AA90" s="24">
        <f>IF(OR(O90="",O90=0),"",Z90/O90)</f>
        <v>0</v>
      </c>
      <c r="AB90" s="24">
        <f>IF(OR(O90="",O90=0),"",N(T90)/O90)</f>
        <v>0</v>
      </c>
      <c r="AC90" s="24">
        <f>IF(OR(O90="",O90=0),"",N(S90)/O90)</f>
        <v>0</v>
      </c>
      <c r="AD90" s="24">
        <f>IF(OR(O90="",O90=0),"",N(R90)/O90)</f>
        <v>0</v>
      </c>
      <c r="AE90" s="24">
        <f>IF(OR(O90="",O90=0),"",N(U90)/O90)</f>
        <v>0</v>
      </c>
      <c r="AF90" s="24">
        <f>IF(OR(U90="",U90=0),"",N(W90)/U90)</f>
        <v>0</v>
      </c>
      <c r="AG90" s="25">
        <f>IF(OR(O90="",O90=0),"",N(X90)/(O90/1000))</f>
        <v>0</v>
      </c>
      <c r="AH90" s="24">
        <f>IF(O90="","",IF(Y90="",TargetEngagement,Y90))</f>
        <v>0</v>
      </c>
      <c r="AI90" s="24">
        <f>IF(OR(AA90="",AH90=""),"",AA90-AH90)</f>
        <v>0</v>
      </c>
      <c r="AJ90" s="31">
        <f>IF(AA90="","",AA90+ROW()/1000000)</f>
        <v>0</v>
      </c>
      <c r="AK90" s="23">
        <f>IF(AA90="","",RANK(AJ90,Performance!$AJ$5:$AJ$404))</f>
        <v>0</v>
      </c>
      <c r="AL90" s="29">
        <f>IF(AA90="","",IF(AA90&gt;=AH90*1.5,"Top performer",IF(AA90&gt;=AH90,"Above target",IF(AA90&gt;=AH90*0.6,"Below target","Weak - review it"))))</f>
        <v>0</v>
      </c>
      <c r="AM90" s="29">
        <f>IF(B90="","",IF(COUNTIF(Performance!$B$5:$B$404,B90)&gt;1,"Duplicate","OK"))</f>
        <v>0</v>
      </c>
      <c r="AN90" s="29">
        <f>IF(B90="","",IF(C90="Not found","Check - content ID not on the calendar",IF(O90="","Add - no numbers entered yet",IF(AM90="Duplicate","Duplicate - this post is entered twice",IF(AL90="Top performer","Repurpose this one","OK")))))</f>
        <v>0</v>
      </c>
    </row>
    <row r="91" spans="1:40">
      <c r="A91" s="41">
        <f>IF(B91="","","PF-"&amp;TEXT(ROW()-4,"0000"))</f>
        <v>0</v>
      </c>
      <c r="C91" s="17">
        <f>IF(B91="","",IFERROR(INDEX('Content Calendar'!$H$5:$H$604,MATCH(B91,'Content Calendar'!$A$5:$A$604,0)),"Not found"))</f>
        <v>0</v>
      </c>
      <c r="D91" s="16">
        <f>IF(B91="","",IFERROR(INDEX('Content Calendar'!$B$5:$B$604,MATCH(B91,'Content Calendar'!$A$5:$A$604,0)),"Not found"))</f>
        <v>0</v>
      </c>
      <c r="E91" s="17">
        <f>IF(B91="","",IFERROR(INDEX('Content Calendar'!$D$5:$D$604,MATCH(B91,'Content Calendar'!$A$5:$A$604,0)),"Not found"))</f>
        <v>0</v>
      </c>
      <c r="F91" s="17">
        <f>IF(B91="","",IFERROR(INDEX('Content Calendar'!$G$5:$G$604,MATCH(B91,'Content Calendar'!$A$5:$A$604,0)),"Not found"))</f>
        <v>0</v>
      </c>
      <c r="G91" s="17">
        <f>IF(B91="","",IFERROR(INDEX('Content Calendar'!$K$5:$K$604,MATCH(B91,'Content Calendar'!$A$5:$A$604,0)),"Not found"))</f>
        <v>0</v>
      </c>
      <c r="H91" s="17">
        <f>IF(B91="","",IFERROR(INDEX('Content Calendar'!$J$5:$J$604,MATCH(B91,'Content Calendar'!$A$5:$A$604,0)),"Not found"))</f>
        <v>0</v>
      </c>
      <c r="I91" s="17">
        <f>IF(B91="","",IFERROR(INDEX('Content Calendar'!$L$5:$L$604,MATCH(B91,'Content Calendar'!$A$5:$A$604,0)),"Not found"))</f>
        <v>0</v>
      </c>
      <c r="J91" s="17">
        <f>IF(B91="","",IFERROR(INDEX('Content Calendar'!$P$5:$P$604,MATCH(B91,'Content Calendar'!$A$5:$A$604,0)),"Not found"))</f>
        <v>0</v>
      </c>
      <c r="K91" s="17">
        <f>IF(B91="","",IFERROR(INDEX('Content Calendar'!$O$5:$O$604,MATCH(B91,'Content Calendar'!$A$5:$A$604,0)),"Not found"))</f>
        <v>0</v>
      </c>
      <c r="L91" s="17">
        <f>IF(B91="","",IFERROR(INDEX('Content Calendar'!$N$5:$N$604,MATCH(B91,'Content Calendar'!$A$5:$A$604,0)),"Not found"))</f>
        <v>0</v>
      </c>
      <c r="M91" s="17">
        <f>IF(B91="","",IFERROR(INDEX('Content Calendar'!$C$5:$C$604,MATCH(B91,'Content Calendar'!$A$5:$A$604,0)),"Not found"))</f>
        <v>0</v>
      </c>
      <c r="N91" s="17">
        <f>IF(B91="","",IFERROR(INDEX('Content Calendar'!$F$5:$F$604,MATCH(B91,'Content Calendar'!$A$5:$A$604,0)),"Not found"))</f>
        <v>0</v>
      </c>
      <c r="Z91" s="23">
        <f>IF(O91="","",N(Q91)+N(R91)+N(S91)+N(T91))</f>
        <v>0</v>
      </c>
      <c r="AA91" s="24">
        <f>IF(OR(O91="",O91=0),"",Z91/O91)</f>
        <v>0</v>
      </c>
      <c r="AB91" s="24">
        <f>IF(OR(O91="",O91=0),"",N(T91)/O91)</f>
        <v>0</v>
      </c>
      <c r="AC91" s="24">
        <f>IF(OR(O91="",O91=0),"",N(S91)/O91)</f>
        <v>0</v>
      </c>
      <c r="AD91" s="24">
        <f>IF(OR(O91="",O91=0),"",N(R91)/O91)</f>
        <v>0</v>
      </c>
      <c r="AE91" s="24">
        <f>IF(OR(O91="",O91=0),"",N(U91)/O91)</f>
        <v>0</v>
      </c>
      <c r="AF91" s="24">
        <f>IF(OR(U91="",U91=0),"",N(W91)/U91)</f>
        <v>0</v>
      </c>
      <c r="AG91" s="25">
        <f>IF(OR(O91="",O91=0),"",N(X91)/(O91/1000))</f>
        <v>0</v>
      </c>
      <c r="AH91" s="24">
        <f>IF(O91="","",IF(Y91="",TargetEngagement,Y91))</f>
        <v>0</v>
      </c>
      <c r="AI91" s="24">
        <f>IF(OR(AA91="",AH91=""),"",AA91-AH91)</f>
        <v>0</v>
      </c>
      <c r="AJ91" s="31">
        <f>IF(AA91="","",AA91+ROW()/1000000)</f>
        <v>0</v>
      </c>
      <c r="AK91" s="23">
        <f>IF(AA91="","",RANK(AJ91,Performance!$AJ$5:$AJ$404))</f>
        <v>0</v>
      </c>
      <c r="AL91" s="29">
        <f>IF(AA91="","",IF(AA91&gt;=AH91*1.5,"Top performer",IF(AA91&gt;=AH91,"Above target",IF(AA91&gt;=AH91*0.6,"Below target","Weak - review it"))))</f>
        <v>0</v>
      </c>
      <c r="AM91" s="29">
        <f>IF(B91="","",IF(COUNTIF(Performance!$B$5:$B$404,B91)&gt;1,"Duplicate","OK"))</f>
        <v>0</v>
      </c>
      <c r="AN91" s="29">
        <f>IF(B91="","",IF(C91="Not found","Check - content ID not on the calendar",IF(O91="","Add - no numbers entered yet",IF(AM91="Duplicate","Duplicate - this post is entered twice",IF(AL91="Top performer","Repurpose this one","OK")))))</f>
        <v>0</v>
      </c>
    </row>
    <row r="92" spans="1:40">
      <c r="A92" s="41">
        <f>IF(B92="","","PF-"&amp;TEXT(ROW()-4,"0000"))</f>
        <v>0</v>
      </c>
      <c r="C92" s="17">
        <f>IF(B92="","",IFERROR(INDEX('Content Calendar'!$H$5:$H$604,MATCH(B92,'Content Calendar'!$A$5:$A$604,0)),"Not found"))</f>
        <v>0</v>
      </c>
      <c r="D92" s="16">
        <f>IF(B92="","",IFERROR(INDEX('Content Calendar'!$B$5:$B$604,MATCH(B92,'Content Calendar'!$A$5:$A$604,0)),"Not found"))</f>
        <v>0</v>
      </c>
      <c r="E92" s="17">
        <f>IF(B92="","",IFERROR(INDEX('Content Calendar'!$D$5:$D$604,MATCH(B92,'Content Calendar'!$A$5:$A$604,0)),"Not found"))</f>
        <v>0</v>
      </c>
      <c r="F92" s="17">
        <f>IF(B92="","",IFERROR(INDEX('Content Calendar'!$G$5:$G$604,MATCH(B92,'Content Calendar'!$A$5:$A$604,0)),"Not found"))</f>
        <v>0</v>
      </c>
      <c r="G92" s="17">
        <f>IF(B92="","",IFERROR(INDEX('Content Calendar'!$K$5:$K$604,MATCH(B92,'Content Calendar'!$A$5:$A$604,0)),"Not found"))</f>
        <v>0</v>
      </c>
      <c r="H92" s="17">
        <f>IF(B92="","",IFERROR(INDEX('Content Calendar'!$J$5:$J$604,MATCH(B92,'Content Calendar'!$A$5:$A$604,0)),"Not found"))</f>
        <v>0</v>
      </c>
      <c r="I92" s="17">
        <f>IF(B92="","",IFERROR(INDEX('Content Calendar'!$L$5:$L$604,MATCH(B92,'Content Calendar'!$A$5:$A$604,0)),"Not found"))</f>
        <v>0</v>
      </c>
      <c r="J92" s="17">
        <f>IF(B92="","",IFERROR(INDEX('Content Calendar'!$P$5:$P$604,MATCH(B92,'Content Calendar'!$A$5:$A$604,0)),"Not found"))</f>
        <v>0</v>
      </c>
      <c r="K92" s="17">
        <f>IF(B92="","",IFERROR(INDEX('Content Calendar'!$O$5:$O$604,MATCH(B92,'Content Calendar'!$A$5:$A$604,0)),"Not found"))</f>
        <v>0</v>
      </c>
      <c r="L92" s="17">
        <f>IF(B92="","",IFERROR(INDEX('Content Calendar'!$N$5:$N$604,MATCH(B92,'Content Calendar'!$A$5:$A$604,0)),"Not found"))</f>
        <v>0</v>
      </c>
      <c r="M92" s="17">
        <f>IF(B92="","",IFERROR(INDEX('Content Calendar'!$C$5:$C$604,MATCH(B92,'Content Calendar'!$A$5:$A$604,0)),"Not found"))</f>
        <v>0</v>
      </c>
      <c r="N92" s="17">
        <f>IF(B92="","",IFERROR(INDEX('Content Calendar'!$F$5:$F$604,MATCH(B92,'Content Calendar'!$A$5:$A$604,0)),"Not found"))</f>
        <v>0</v>
      </c>
      <c r="Z92" s="23">
        <f>IF(O92="","",N(Q92)+N(R92)+N(S92)+N(T92))</f>
        <v>0</v>
      </c>
      <c r="AA92" s="24">
        <f>IF(OR(O92="",O92=0),"",Z92/O92)</f>
        <v>0</v>
      </c>
      <c r="AB92" s="24">
        <f>IF(OR(O92="",O92=0),"",N(T92)/O92)</f>
        <v>0</v>
      </c>
      <c r="AC92" s="24">
        <f>IF(OR(O92="",O92=0),"",N(S92)/O92)</f>
        <v>0</v>
      </c>
      <c r="AD92" s="24">
        <f>IF(OR(O92="",O92=0),"",N(R92)/O92)</f>
        <v>0</v>
      </c>
      <c r="AE92" s="24">
        <f>IF(OR(O92="",O92=0),"",N(U92)/O92)</f>
        <v>0</v>
      </c>
      <c r="AF92" s="24">
        <f>IF(OR(U92="",U92=0),"",N(W92)/U92)</f>
        <v>0</v>
      </c>
      <c r="AG92" s="25">
        <f>IF(OR(O92="",O92=0),"",N(X92)/(O92/1000))</f>
        <v>0</v>
      </c>
      <c r="AH92" s="24">
        <f>IF(O92="","",IF(Y92="",TargetEngagement,Y92))</f>
        <v>0</v>
      </c>
      <c r="AI92" s="24">
        <f>IF(OR(AA92="",AH92=""),"",AA92-AH92)</f>
        <v>0</v>
      </c>
      <c r="AJ92" s="31">
        <f>IF(AA92="","",AA92+ROW()/1000000)</f>
        <v>0</v>
      </c>
      <c r="AK92" s="23">
        <f>IF(AA92="","",RANK(AJ92,Performance!$AJ$5:$AJ$404))</f>
        <v>0</v>
      </c>
      <c r="AL92" s="29">
        <f>IF(AA92="","",IF(AA92&gt;=AH92*1.5,"Top performer",IF(AA92&gt;=AH92,"Above target",IF(AA92&gt;=AH92*0.6,"Below target","Weak - review it"))))</f>
        <v>0</v>
      </c>
      <c r="AM92" s="29">
        <f>IF(B92="","",IF(COUNTIF(Performance!$B$5:$B$404,B92)&gt;1,"Duplicate","OK"))</f>
        <v>0</v>
      </c>
      <c r="AN92" s="29">
        <f>IF(B92="","",IF(C92="Not found","Check - content ID not on the calendar",IF(O92="","Add - no numbers entered yet",IF(AM92="Duplicate","Duplicate - this post is entered twice",IF(AL92="Top performer","Repurpose this one","OK")))))</f>
        <v>0</v>
      </c>
    </row>
    <row r="93" spans="1:40">
      <c r="A93" s="41">
        <f>IF(B93="","","PF-"&amp;TEXT(ROW()-4,"0000"))</f>
        <v>0</v>
      </c>
      <c r="C93" s="17">
        <f>IF(B93="","",IFERROR(INDEX('Content Calendar'!$H$5:$H$604,MATCH(B93,'Content Calendar'!$A$5:$A$604,0)),"Not found"))</f>
        <v>0</v>
      </c>
      <c r="D93" s="16">
        <f>IF(B93="","",IFERROR(INDEX('Content Calendar'!$B$5:$B$604,MATCH(B93,'Content Calendar'!$A$5:$A$604,0)),"Not found"))</f>
        <v>0</v>
      </c>
      <c r="E93" s="17">
        <f>IF(B93="","",IFERROR(INDEX('Content Calendar'!$D$5:$D$604,MATCH(B93,'Content Calendar'!$A$5:$A$604,0)),"Not found"))</f>
        <v>0</v>
      </c>
      <c r="F93" s="17">
        <f>IF(B93="","",IFERROR(INDEX('Content Calendar'!$G$5:$G$604,MATCH(B93,'Content Calendar'!$A$5:$A$604,0)),"Not found"))</f>
        <v>0</v>
      </c>
      <c r="G93" s="17">
        <f>IF(B93="","",IFERROR(INDEX('Content Calendar'!$K$5:$K$604,MATCH(B93,'Content Calendar'!$A$5:$A$604,0)),"Not found"))</f>
        <v>0</v>
      </c>
      <c r="H93" s="17">
        <f>IF(B93="","",IFERROR(INDEX('Content Calendar'!$J$5:$J$604,MATCH(B93,'Content Calendar'!$A$5:$A$604,0)),"Not found"))</f>
        <v>0</v>
      </c>
      <c r="I93" s="17">
        <f>IF(B93="","",IFERROR(INDEX('Content Calendar'!$L$5:$L$604,MATCH(B93,'Content Calendar'!$A$5:$A$604,0)),"Not found"))</f>
        <v>0</v>
      </c>
      <c r="J93" s="17">
        <f>IF(B93="","",IFERROR(INDEX('Content Calendar'!$P$5:$P$604,MATCH(B93,'Content Calendar'!$A$5:$A$604,0)),"Not found"))</f>
        <v>0</v>
      </c>
      <c r="K93" s="17">
        <f>IF(B93="","",IFERROR(INDEX('Content Calendar'!$O$5:$O$604,MATCH(B93,'Content Calendar'!$A$5:$A$604,0)),"Not found"))</f>
        <v>0</v>
      </c>
      <c r="L93" s="17">
        <f>IF(B93="","",IFERROR(INDEX('Content Calendar'!$N$5:$N$604,MATCH(B93,'Content Calendar'!$A$5:$A$604,0)),"Not found"))</f>
        <v>0</v>
      </c>
      <c r="M93" s="17">
        <f>IF(B93="","",IFERROR(INDEX('Content Calendar'!$C$5:$C$604,MATCH(B93,'Content Calendar'!$A$5:$A$604,0)),"Not found"))</f>
        <v>0</v>
      </c>
      <c r="N93" s="17">
        <f>IF(B93="","",IFERROR(INDEX('Content Calendar'!$F$5:$F$604,MATCH(B93,'Content Calendar'!$A$5:$A$604,0)),"Not found"))</f>
        <v>0</v>
      </c>
      <c r="Z93" s="23">
        <f>IF(O93="","",N(Q93)+N(R93)+N(S93)+N(T93))</f>
        <v>0</v>
      </c>
      <c r="AA93" s="24">
        <f>IF(OR(O93="",O93=0),"",Z93/O93)</f>
        <v>0</v>
      </c>
      <c r="AB93" s="24">
        <f>IF(OR(O93="",O93=0),"",N(T93)/O93)</f>
        <v>0</v>
      </c>
      <c r="AC93" s="24">
        <f>IF(OR(O93="",O93=0),"",N(S93)/O93)</f>
        <v>0</v>
      </c>
      <c r="AD93" s="24">
        <f>IF(OR(O93="",O93=0),"",N(R93)/O93)</f>
        <v>0</v>
      </c>
      <c r="AE93" s="24">
        <f>IF(OR(O93="",O93=0),"",N(U93)/O93)</f>
        <v>0</v>
      </c>
      <c r="AF93" s="24">
        <f>IF(OR(U93="",U93=0),"",N(W93)/U93)</f>
        <v>0</v>
      </c>
      <c r="AG93" s="25">
        <f>IF(OR(O93="",O93=0),"",N(X93)/(O93/1000))</f>
        <v>0</v>
      </c>
      <c r="AH93" s="24">
        <f>IF(O93="","",IF(Y93="",TargetEngagement,Y93))</f>
        <v>0</v>
      </c>
      <c r="AI93" s="24">
        <f>IF(OR(AA93="",AH93=""),"",AA93-AH93)</f>
        <v>0</v>
      </c>
      <c r="AJ93" s="31">
        <f>IF(AA93="","",AA93+ROW()/1000000)</f>
        <v>0</v>
      </c>
      <c r="AK93" s="23">
        <f>IF(AA93="","",RANK(AJ93,Performance!$AJ$5:$AJ$404))</f>
        <v>0</v>
      </c>
      <c r="AL93" s="29">
        <f>IF(AA93="","",IF(AA93&gt;=AH93*1.5,"Top performer",IF(AA93&gt;=AH93,"Above target",IF(AA93&gt;=AH93*0.6,"Below target","Weak - review it"))))</f>
        <v>0</v>
      </c>
      <c r="AM93" s="29">
        <f>IF(B93="","",IF(COUNTIF(Performance!$B$5:$B$404,B93)&gt;1,"Duplicate","OK"))</f>
        <v>0</v>
      </c>
      <c r="AN93" s="29">
        <f>IF(B93="","",IF(C93="Not found","Check - content ID not on the calendar",IF(O93="","Add - no numbers entered yet",IF(AM93="Duplicate","Duplicate - this post is entered twice",IF(AL93="Top performer","Repurpose this one","OK")))))</f>
        <v>0</v>
      </c>
    </row>
    <row r="94" spans="1:40">
      <c r="A94" s="41">
        <f>IF(B94="","","PF-"&amp;TEXT(ROW()-4,"0000"))</f>
        <v>0</v>
      </c>
      <c r="C94" s="17">
        <f>IF(B94="","",IFERROR(INDEX('Content Calendar'!$H$5:$H$604,MATCH(B94,'Content Calendar'!$A$5:$A$604,0)),"Not found"))</f>
        <v>0</v>
      </c>
      <c r="D94" s="16">
        <f>IF(B94="","",IFERROR(INDEX('Content Calendar'!$B$5:$B$604,MATCH(B94,'Content Calendar'!$A$5:$A$604,0)),"Not found"))</f>
        <v>0</v>
      </c>
      <c r="E94" s="17">
        <f>IF(B94="","",IFERROR(INDEX('Content Calendar'!$D$5:$D$604,MATCH(B94,'Content Calendar'!$A$5:$A$604,0)),"Not found"))</f>
        <v>0</v>
      </c>
      <c r="F94" s="17">
        <f>IF(B94="","",IFERROR(INDEX('Content Calendar'!$G$5:$G$604,MATCH(B94,'Content Calendar'!$A$5:$A$604,0)),"Not found"))</f>
        <v>0</v>
      </c>
      <c r="G94" s="17">
        <f>IF(B94="","",IFERROR(INDEX('Content Calendar'!$K$5:$K$604,MATCH(B94,'Content Calendar'!$A$5:$A$604,0)),"Not found"))</f>
        <v>0</v>
      </c>
      <c r="H94" s="17">
        <f>IF(B94="","",IFERROR(INDEX('Content Calendar'!$J$5:$J$604,MATCH(B94,'Content Calendar'!$A$5:$A$604,0)),"Not found"))</f>
        <v>0</v>
      </c>
      <c r="I94" s="17">
        <f>IF(B94="","",IFERROR(INDEX('Content Calendar'!$L$5:$L$604,MATCH(B94,'Content Calendar'!$A$5:$A$604,0)),"Not found"))</f>
        <v>0</v>
      </c>
      <c r="J94" s="17">
        <f>IF(B94="","",IFERROR(INDEX('Content Calendar'!$P$5:$P$604,MATCH(B94,'Content Calendar'!$A$5:$A$604,0)),"Not found"))</f>
        <v>0</v>
      </c>
      <c r="K94" s="17">
        <f>IF(B94="","",IFERROR(INDEX('Content Calendar'!$O$5:$O$604,MATCH(B94,'Content Calendar'!$A$5:$A$604,0)),"Not found"))</f>
        <v>0</v>
      </c>
      <c r="L94" s="17">
        <f>IF(B94="","",IFERROR(INDEX('Content Calendar'!$N$5:$N$604,MATCH(B94,'Content Calendar'!$A$5:$A$604,0)),"Not found"))</f>
        <v>0</v>
      </c>
      <c r="M94" s="17">
        <f>IF(B94="","",IFERROR(INDEX('Content Calendar'!$C$5:$C$604,MATCH(B94,'Content Calendar'!$A$5:$A$604,0)),"Not found"))</f>
        <v>0</v>
      </c>
      <c r="N94" s="17">
        <f>IF(B94="","",IFERROR(INDEX('Content Calendar'!$F$5:$F$604,MATCH(B94,'Content Calendar'!$A$5:$A$604,0)),"Not found"))</f>
        <v>0</v>
      </c>
      <c r="Z94" s="23">
        <f>IF(O94="","",N(Q94)+N(R94)+N(S94)+N(T94))</f>
        <v>0</v>
      </c>
      <c r="AA94" s="24">
        <f>IF(OR(O94="",O94=0),"",Z94/O94)</f>
        <v>0</v>
      </c>
      <c r="AB94" s="24">
        <f>IF(OR(O94="",O94=0),"",N(T94)/O94)</f>
        <v>0</v>
      </c>
      <c r="AC94" s="24">
        <f>IF(OR(O94="",O94=0),"",N(S94)/O94)</f>
        <v>0</v>
      </c>
      <c r="AD94" s="24">
        <f>IF(OR(O94="",O94=0),"",N(R94)/O94)</f>
        <v>0</v>
      </c>
      <c r="AE94" s="24">
        <f>IF(OR(O94="",O94=0),"",N(U94)/O94)</f>
        <v>0</v>
      </c>
      <c r="AF94" s="24">
        <f>IF(OR(U94="",U94=0),"",N(W94)/U94)</f>
        <v>0</v>
      </c>
      <c r="AG94" s="25">
        <f>IF(OR(O94="",O94=0),"",N(X94)/(O94/1000))</f>
        <v>0</v>
      </c>
      <c r="AH94" s="24">
        <f>IF(O94="","",IF(Y94="",TargetEngagement,Y94))</f>
        <v>0</v>
      </c>
      <c r="AI94" s="24">
        <f>IF(OR(AA94="",AH94=""),"",AA94-AH94)</f>
        <v>0</v>
      </c>
      <c r="AJ94" s="31">
        <f>IF(AA94="","",AA94+ROW()/1000000)</f>
        <v>0</v>
      </c>
      <c r="AK94" s="23">
        <f>IF(AA94="","",RANK(AJ94,Performance!$AJ$5:$AJ$404))</f>
        <v>0</v>
      </c>
      <c r="AL94" s="29">
        <f>IF(AA94="","",IF(AA94&gt;=AH94*1.5,"Top performer",IF(AA94&gt;=AH94,"Above target",IF(AA94&gt;=AH94*0.6,"Below target","Weak - review it"))))</f>
        <v>0</v>
      </c>
      <c r="AM94" s="29">
        <f>IF(B94="","",IF(COUNTIF(Performance!$B$5:$B$404,B94)&gt;1,"Duplicate","OK"))</f>
        <v>0</v>
      </c>
      <c r="AN94" s="29">
        <f>IF(B94="","",IF(C94="Not found","Check - content ID not on the calendar",IF(O94="","Add - no numbers entered yet",IF(AM94="Duplicate","Duplicate - this post is entered twice",IF(AL94="Top performer","Repurpose this one","OK")))))</f>
        <v>0</v>
      </c>
    </row>
    <row r="95" spans="1:40">
      <c r="A95" s="41">
        <f>IF(B95="","","PF-"&amp;TEXT(ROW()-4,"0000"))</f>
        <v>0</v>
      </c>
      <c r="C95" s="17">
        <f>IF(B95="","",IFERROR(INDEX('Content Calendar'!$H$5:$H$604,MATCH(B95,'Content Calendar'!$A$5:$A$604,0)),"Not found"))</f>
        <v>0</v>
      </c>
      <c r="D95" s="16">
        <f>IF(B95="","",IFERROR(INDEX('Content Calendar'!$B$5:$B$604,MATCH(B95,'Content Calendar'!$A$5:$A$604,0)),"Not found"))</f>
        <v>0</v>
      </c>
      <c r="E95" s="17">
        <f>IF(B95="","",IFERROR(INDEX('Content Calendar'!$D$5:$D$604,MATCH(B95,'Content Calendar'!$A$5:$A$604,0)),"Not found"))</f>
        <v>0</v>
      </c>
      <c r="F95" s="17">
        <f>IF(B95="","",IFERROR(INDEX('Content Calendar'!$G$5:$G$604,MATCH(B95,'Content Calendar'!$A$5:$A$604,0)),"Not found"))</f>
        <v>0</v>
      </c>
      <c r="G95" s="17">
        <f>IF(B95="","",IFERROR(INDEX('Content Calendar'!$K$5:$K$604,MATCH(B95,'Content Calendar'!$A$5:$A$604,0)),"Not found"))</f>
        <v>0</v>
      </c>
      <c r="H95" s="17">
        <f>IF(B95="","",IFERROR(INDEX('Content Calendar'!$J$5:$J$604,MATCH(B95,'Content Calendar'!$A$5:$A$604,0)),"Not found"))</f>
        <v>0</v>
      </c>
      <c r="I95" s="17">
        <f>IF(B95="","",IFERROR(INDEX('Content Calendar'!$L$5:$L$604,MATCH(B95,'Content Calendar'!$A$5:$A$604,0)),"Not found"))</f>
        <v>0</v>
      </c>
      <c r="J95" s="17">
        <f>IF(B95="","",IFERROR(INDEX('Content Calendar'!$P$5:$P$604,MATCH(B95,'Content Calendar'!$A$5:$A$604,0)),"Not found"))</f>
        <v>0</v>
      </c>
      <c r="K95" s="17">
        <f>IF(B95="","",IFERROR(INDEX('Content Calendar'!$O$5:$O$604,MATCH(B95,'Content Calendar'!$A$5:$A$604,0)),"Not found"))</f>
        <v>0</v>
      </c>
      <c r="L95" s="17">
        <f>IF(B95="","",IFERROR(INDEX('Content Calendar'!$N$5:$N$604,MATCH(B95,'Content Calendar'!$A$5:$A$604,0)),"Not found"))</f>
        <v>0</v>
      </c>
      <c r="M95" s="17">
        <f>IF(B95="","",IFERROR(INDEX('Content Calendar'!$C$5:$C$604,MATCH(B95,'Content Calendar'!$A$5:$A$604,0)),"Not found"))</f>
        <v>0</v>
      </c>
      <c r="N95" s="17">
        <f>IF(B95="","",IFERROR(INDEX('Content Calendar'!$F$5:$F$604,MATCH(B95,'Content Calendar'!$A$5:$A$604,0)),"Not found"))</f>
        <v>0</v>
      </c>
      <c r="Z95" s="23">
        <f>IF(O95="","",N(Q95)+N(R95)+N(S95)+N(T95))</f>
        <v>0</v>
      </c>
      <c r="AA95" s="24">
        <f>IF(OR(O95="",O95=0),"",Z95/O95)</f>
        <v>0</v>
      </c>
      <c r="AB95" s="24">
        <f>IF(OR(O95="",O95=0),"",N(T95)/O95)</f>
        <v>0</v>
      </c>
      <c r="AC95" s="24">
        <f>IF(OR(O95="",O95=0),"",N(S95)/O95)</f>
        <v>0</v>
      </c>
      <c r="AD95" s="24">
        <f>IF(OR(O95="",O95=0),"",N(R95)/O95)</f>
        <v>0</v>
      </c>
      <c r="AE95" s="24">
        <f>IF(OR(O95="",O95=0),"",N(U95)/O95)</f>
        <v>0</v>
      </c>
      <c r="AF95" s="24">
        <f>IF(OR(U95="",U95=0),"",N(W95)/U95)</f>
        <v>0</v>
      </c>
      <c r="AG95" s="25">
        <f>IF(OR(O95="",O95=0),"",N(X95)/(O95/1000))</f>
        <v>0</v>
      </c>
      <c r="AH95" s="24">
        <f>IF(O95="","",IF(Y95="",TargetEngagement,Y95))</f>
        <v>0</v>
      </c>
      <c r="AI95" s="24">
        <f>IF(OR(AA95="",AH95=""),"",AA95-AH95)</f>
        <v>0</v>
      </c>
      <c r="AJ95" s="31">
        <f>IF(AA95="","",AA95+ROW()/1000000)</f>
        <v>0</v>
      </c>
      <c r="AK95" s="23">
        <f>IF(AA95="","",RANK(AJ95,Performance!$AJ$5:$AJ$404))</f>
        <v>0</v>
      </c>
      <c r="AL95" s="29">
        <f>IF(AA95="","",IF(AA95&gt;=AH95*1.5,"Top performer",IF(AA95&gt;=AH95,"Above target",IF(AA95&gt;=AH95*0.6,"Below target","Weak - review it"))))</f>
        <v>0</v>
      </c>
      <c r="AM95" s="29">
        <f>IF(B95="","",IF(COUNTIF(Performance!$B$5:$B$404,B95)&gt;1,"Duplicate","OK"))</f>
        <v>0</v>
      </c>
      <c r="AN95" s="29">
        <f>IF(B95="","",IF(C95="Not found","Check - content ID not on the calendar",IF(O95="","Add - no numbers entered yet",IF(AM95="Duplicate","Duplicate - this post is entered twice",IF(AL95="Top performer","Repurpose this one","OK")))))</f>
        <v>0</v>
      </c>
    </row>
    <row r="96" spans="1:40">
      <c r="A96" s="41">
        <f>IF(B96="","","PF-"&amp;TEXT(ROW()-4,"0000"))</f>
        <v>0</v>
      </c>
      <c r="C96" s="17">
        <f>IF(B96="","",IFERROR(INDEX('Content Calendar'!$H$5:$H$604,MATCH(B96,'Content Calendar'!$A$5:$A$604,0)),"Not found"))</f>
        <v>0</v>
      </c>
      <c r="D96" s="16">
        <f>IF(B96="","",IFERROR(INDEX('Content Calendar'!$B$5:$B$604,MATCH(B96,'Content Calendar'!$A$5:$A$604,0)),"Not found"))</f>
        <v>0</v>
      </c>
      <c r="E96" s="17">
        <f>IF(B96="","",IFERROR(INDEX('Content Calendar'!$D$5:$D$604,MATCH(B96,'Content Calendar'!$A$5:$A$604,0)),"Not found"))</f>
        <v>0</v>
      </c>
      <c r="F96" s="17">
        <f>IF(B96="","",IFERROR(INDEX('Content Calendar'!$G$5:$G$604,MATCH(B96,'Content Calendar'!$A$5:$A$604,0)),"Not found"))</f>
        <v>0</v>
      </c>
      <c r="G96" s="17">
        <f>IF(B96="","",IFERROR(INDEX('Content Calendar'!$K$5:$K$604,MATCH(B96,'Content Calendar'!$A$5:$A$604,0)),"Not found"))</f>
        <v>0</v>
      </c>
      <c r="H96" s="17">
        <f>IF(B96="","",IFERROR(INDEX('Content Calendar'!$J$5:$J$604,MATCH(B96,'Content Calendar'!$A$5:$A$604,0)),"Not found"))</f>
        <v>0</v>
      </c>
      <c r="I96" s="17">
        <f>IF(B96="","",IFERROR(INDEX('Content Calendar'!$L$5:$L$604,MATCH(B96,'Content Calendar'!$A$5:$A$604,0)),"Not found"))</f>
        <v>0</v>
      </c>
      <c r="J96" s="17">
        <f>IF(B96="","",IFERROR(INDEX('Content Calendar'!$P$5:$P$604,MATCH(B96,'Content Calendar'!$A$5:$A$604,0)),"Not found"))</f>
        <v>0</v>
      </c>
      <c r="K96" s="17">
        <f>IF(B96="","",IFERROR(INDEX('Content Calendar'!$O$5:$O$604,MATCH(B96,'Content Calendar'!$A$5:$A$604,0)),"Not found"))</f>
        <v>0</v>
      </c>
      <c r="L96" s="17">
        <f>IF(B96="","",IFERROR(INDEX('Content Calendar'!$N$5:$N$604,MATCH(B96,'Content Calendar'!$A$5:$A$604,0)),"Not found"))</f>
        <v>0</v>
      </c>
      <c r="M96" s="17">
        <f>IF(B96="","",IFERROR(INDEX('Content Calendar'!$C$5:$C$604,MATCH(B96,'Content Calendar'!$A$5:$A$604,0)),"Not found"))</f>
        <v>0</v>
      </c>
      <c r="N96" s="17">
        <f>IF(B96="","",IFERROR(INDEX('Content Calendar'!$F$5:$F$604,MATCH(B96,'Content Calendar'!$A$5:$A$604,0)),"Not found"))</f>
        <v>0</v>
      </c>
      <c r="Z96" s="23">
        <f>IF(O96="","",N(Q96)+N(R96)+N(S96)+N(T96))</f>
        <v>0</v>
      </c>
      <c r="AA96" s="24">
        <f>IF(OR(O96="",O96=0),"",Z96/O96)</f>
        <v>0</v>
      </c>
      <c r="AB96" s="24">
        <f>IF(OR(O96="",O96=0),"",N(T96)/O96)</f>
        <v>0</v>
      </c>
      <c r="AC96" s="24">
        <f>IF(OR(O96="",O96=0),"",N(S96)/O96)</f>
        <v>0</v>
      </c>
      <c r="AD96" s="24">
        <f>IF(OR(O96="",O96=0),"",N(R96)/O96)</f>
        <v>0</v>
      </c>
      <c r="AE96" s="24">
        <f>IF(OR(O96="",O96=0),"",N(U96)/O96)</f>
        <v>0</v>
      </c>
      <c r="AF96" s="24">
        <f>IF(OR(U96="",U96=0),"",N(W96)/U96)</f>
        <v>0</v>
      </c>
      <c r="AG96" s="25">
        <f>IF(OR(O96="",O96=0),"",N(X96)/(O96/1000))</f>
        <v>0</v>
      </c>
      <c r="AH96" s="24">
        <f>IF(O96="","",IF(Y96="",TargetEngagement,Y96))</f>
        <v>0</v>
      </c>
      <c r="AI96" s="24">
        <f>IF(OR(AA96="",AH96=""),"",AA96-AH96)</f>
        <v>0</v>
      </c>
      <c r="AJ96" s="31">
        <f>IF(AA96="","",AA96+ROW()/1000000)</f>
        <v>0</v>
      </c>
      <c r="AK96" s="23">
        <f>IF(AA96="","",RANK(AJ96,Performance!$AJ$5:$AJ$404))</f>
        <v>0</v>
      </c>
      <c r="AL96" s="29">
        <f>IF(AA96="","",IF(AA96&gt;=AH96*1.5,"Top performer",IF(AA96&gt;=AH96,"Above target",IF(AA96&gt;=AH96*0.6,"Below target","Weak - review it"))))</f>
        <v>0</v>
      </c>
      <c r="AM96" s="29">
        <f>IF(B96="","",IF(COUNTIF(Performance!$B$5:$B$404,B96)&gt;1,"Duplicate","OK"))</f>
        <v>0</v>
      </c>
      <c r="AN96" s="29">
        <f>IF(B96="","",IF(C96="Not found","Check - content ID not on the calendar",IF(O96="","Add - no numbers entered yet",IF(AM96="Duplicate","Duplicate - this post is entered twice",IF(AL96="Top performer","Repurpose this one","OK")))))</f>
        <v>0</v>
      </c>
    </row>
    <row r="97" spans="1:40">
      <c r="A97" s="41">
        <f>IF(B97="","","PF-"&amp;TEXT(ROW()-4,"0000"))</f>
        <v>0</v>
      </c>
      <c r="C97" s="17">
        <f>IF(B97="","",IFERROR(INDEX('Content Calendar'!$H$5:$H$604,MATCH(B97,'Content Calendar'!$A$5:$A$604,0)),"Not found"))</f>
        <v>0</v>
      </c>
      <c r="D97" s="16">
        <f>IF(B97="","",IFERROR(INDEX('Content Calendar'!$B$5:$B$604,MATCH(B97,'Content Calendar'!$A$5:$A$604,0)),"Not found"))</f>
        <v>0</v>
      </c>
      <c r="E97" s="17">
        <f>IF(B97="","",IFERROR(INDEX('Content Calendar'!$D$5:$D$604,MATCH(B97,'Content Calendar'!$A$5:$A$604,0)),"Not found"))</f>
        <v>0</v>
      </c>
      <c r="F97" s="17">
        <f>IF(B97="","",IFERROR(INDEX('Content Calendar'!$G$5:$G$604,MATCH(B97,'Content Calendar'!$A$5:$A$604,0)),"Not found"))</f>
        <v>0</v>
      </c>
      <c r="G97" s="17">
        <f>IF(B97="","",IFERROR(INDEX('Content Calendar'!$K$5:$K$604,MATCH(B97,'Content Calendar'!$A$5:$A$604,0)),"Not found"))</f>
        <v>0</v>
      </c>
      <c r="H97" s="17">
        <f>IF(B97="","",IFERROR(INDEX('Content Calendar'!$J$5:$J$604,MATCH(B97,'Content Calendar'!$A$5:$A$604,0)),"Not found"))</f>
        <v>0</v>
      </c>
      <c r="I97" s="17">
        <f>IF(B97="","",IFERROR(INDEX('Content Calendar'!$L$5:$L$604,MATCH(B97,'Content Calendar'!$A$5:$A$604,0)),"Not found"))</f>
        <v>0</v>
      </c>
      <c r="J97" s="17">
        <f>IF(B97="","",IFERROR(INDEX('Content Calendar'!$P$5:$P$604,MATCH(B97,'Content Calendar'!$A$5:$A$604,0)),"Not found"))</f>
        <v>0</v>
      </c>
      <c r="K97" s="17">
        <f>IF(B97="","",IFERROR(INDEX('Content Calendar'!$O$5:$O$604,MATCH(B97,'Content Calendar'!$A$5:$A$604,0)),"Not found"))</f>
        <v>0</v>
      </c>
      <c r="L97" s="17">
        <f>IF(B97="","",IFERROR(INDEX('Content Calendar'!$N$5:$N$604,MATCH(B97,'Content Calendar'!$A$5:$A$604,0)),"Not found"))</f>
        <v>0</v>
      </c>
      <c r="M97" s="17">
        <f>IF(B97="","",IFERROR(INDEX('Content Calendar'!$C$5:$C$604,MATCH(B97,'Content Calendar'!$A$5:$A$604,0)),"Not found"))</f>
        <v>0</v>
      </c>
      <c r="N97" s="17">
        <f>IF(B97="","",IFERROR(INDEX('Content Calendar'!$F$5:$F$604,MATCH(B97,'Content Calendar'!$A$5:$A$604,0)),"Not found"))</f>
        <v>0</v>
      </c>
      <c r="Z97" s="23">
        <f>IF(O97="","",N(Q97)+N(R97)+N(S97)+N(T97))</f>
        <v>0</v>
      </c>
      <c r="AA97" s="24">
        <f>IF(OR(O97="",O97=0),"",Z97/O97)</f>
        <v>0</v>
      </c>
      <c r="AB97" s="24">
        <f>IF(OR(O97="",O97=0),"",N(T97)/O97)</f>
        <v>0</v>
      </c>
      <c r="AC97" s="24">
        <f>IF(OR(O97="",O97=0),"",N(S97)/O97)</f>
        <v>0</v>
      </c>
      <c r="AD97" s="24">
        <f>IF(OR(O97="",O97=0),"",N(R97)/O97)</f>
        <v>0</v>
      </c>
      <c r="AE97" s="24">
        <f>IF(OR(O97="",O97=0),"",N(U97)/O97)</f>
        <v>0</v>
      </c>
      <c r="AF97" s="24">
        <f>IF(OR(U97="",U97=0),"",N(W97)/U97)</f>
        <v>0</v>
      </c>
      <c r="AG97" s="25">
        <f>IF(OR(O97="",O97=0),"",N(X97)/(O97/1000))</f>
        <v>0</v>
      </c>
      <c r="AH97" s="24">
        <f>IF(O97="","",IF(Y97="",TargetEngagement,Y97))</f>
        <v>0</v>
      </c>
      <c r="AI97" s="24">
        <f>IF(OR(AA97="",AH97=""),"",AA97-AH97)</f>
        <v>0</v>
      </c>
      <c r="AJ97" s="31">
        <f>IF(AA97="","",AA97+ROW()/1000000)</f>
        <v>0</v>
      </c>
      <c r="AK97" s="23">
        <f>IF(AA97="","",RANK(AJ97,Performance!$AJ$5:$AJ$404))</f>
        <v>0</v>
      </c>
      <c r="AL97" s="29">
        <f>IF(AA97="","",IF(AA97&gt;=AH97*1.5,"Top performer",IF(AA97&gt;=AH97,"Above target",IF(AA97&gt;=AH97*0.6,"Below target","Weak - review it"))))</f>
        <v>0</v>
      </c>
      <c r="AM97" s="29">
        <f>IF(B97="","",IF(COUNTIF(Performance!$B$5:$B$404,B97)&gt;1,"Duplicate","OK"))</f>
        <v>0</v>
      </c>
      <c r="AN97" s="29">
        <f>IF(B97="","",IF(C97="Not found","Check - content ID not on the calendar",IF(O97="","Add - no numbers entered yet",IF(AM97="Duplicate","Duplicate - this post is entered twice",IF(AL97="Top performer","Repurpose this one","OK")))))</f>
        <v>0</v>
      </c>
    </row>
    <row r="98" spans="1:40">
      <c r="A98" s="41">
        <f>IF(B98="","","PF-"&amp;TEXT(ROW()-4,"0000"))</f>
        <v>0</v>
      </c>
      <c r="C98" s="17">
        <f>IF(B98="","",IFERROR(INDEX('Content Calendar'!$H$5:$H$604,MATCH(B98,'Content Calendar'!$A$5:$A$604,0)),"Not found"))</f>
        <v>0</v>
      </c>
      <c r="D98" s="16">
        <f>IF(B98="","",IFERROR(INDEX('Content Calendar'!$B$5:$B$604,MATCH(B98,'Content Calendar'!$A$5:$A$604,0)),"Not found"))</f>
        <v>0</v>
      </c>
      <c r="E98" s="17">
        <f>IF(B98="","",IFERROR(INDEX('Content Calendar'!$D$5:$D$604,MATCH(B98,'Content Calendar'!$A$5:$A$604,0)),"Not found"))</f>
        <v>0</v>
      </c>
      <c r="F98" s="17">
        <f>IF(B98="","",IFERROR(INDEX('Content Calendar'!$G$5:$G$604,MATCH(B98,'Content Calendar'!$A$5:$A$604,0)),"Not found"))</f>
        <v>0</v>
      </c>
      <c r="G98" s="17">
        <f>IF(B98="","",IFERROR(INDEX('Content Calendar'!$K$5:$K$604,MATCH(B98,'Content Calendar'!$A$5:$A$604,0)),"Not found"))</f>
        <v>0</v>
      </c>
      <c r="H98" s="17">
        <f>IF(B98="","",IFERROR(INDEX('Content Calendar'!$J$5:$J$604,MATCH(B98,'Content Calendar'!$A$5:$A$604,0)),"Not found"))</f>
        <v>0</v>
      </c>
      <c r="I98" s="17">
        <f>IF(B98="","",IFERROR(INDEX('Content Calendar'!$L$5:$L$604,MATCH(B98,'Content Calendar'!$A$5:$A$604,0)),"Not found"))</f>
        <v>0</v>
      </c>
      <c r="J98" s="17">
        <f>IF(B98="","",IFERROR(INDEX('Content Calendar'!$P$5:$P$604,MATCH(B98,'Content Calendar'!$A$5:$A$604,0)),"Not found"))</f>
        <v>0</v>
      </c>
      <c r="K98" s="17">
        <f>IF(B98="","",IFERROR(INDEX('Content Calendar'!$O$5:$O$604,MATCH(B98,'Content Calendar'!$A$5:$A$604,0)),"Not found"))</f>
        <v>0</v>
      </c>
      <c r="L98" s="17">
        <f>IF(B98="","",IFERROR(INDEX('Content Calendar'!$N$5:$N$604,MATCH(B98,'Content Calendar'!$A$5:$A$604,0)),"Not found"))</f>
        <v>0</v>
      </c>
      <c r="M98" s="17">
        <f>IF(B98="","",IFERROR(INDEX('Content Calendar'!$C$5:$C$604,MATCH(B98,'Content Calendar'!$A$5:$A$604,0)),"Not found"))</f>
        <v>0</v>
      </c>
      <c r="N98" s="17">
        <f>IF(B98="","",IFERROR(INDEX('Content Calendar'!$F$5:$F$604,MATCH(B98,'Content Calendar'!$A$5:$A$604,0)),"Not found"))</f>
        <v>0</v>
      </c>
      <c r="Z98" s="23">
        <f>IF(O98="","",N(Q98)+N(R98)+N(S98)+N(T98))</f>
        <v>0</v>
      </c>
      <c r="AA98" s="24">
        <f>IF(OR(O98="",O98=0),"",Z98/O98)</f>
        <v>0</v>
      </c>
      <c r="AB98" s="24">
        <f>IF(OR(O98="",O98=0),"",N(T98)/O98)</f>
        <v>0</v>
      </c>
      <c r="AC98" s="24">
        <f>IF(OR(O98="",O98=0),"",N(S98)/O98)</f>
        <v>0</v>
      </c>
      <c r="AD98" s="24">
        <f>IF(OR(O98="",O98=0),"",N(R98)/O98)</f>
        <v>0</v>
      </c>
      <c r="AE98" s="24">
        <f>IF(OR(O98="",O98=0),"",N(U98)/O98)</f>
        <v>0</v>
      </c>
      <c r="AF98" s="24">
        <f>IF(OR(U98="",U98=0),"",N(W98)/U98)</f>
        <v>0</v>
      </c>
      <c r="AG98" s="25">
        <f>IF(OR(O98="",O98=0),"",N(X98)/(O98/1000))</f>
        <v>0</v>
      </c>
      <c r="AH98" s="24">
        <f>IF(O98="","",IF(Y98="",TargetEngagement,Y98))</f>
        <v>0</v>
      </c>
      <c r="AI98" s="24">
        <f>IF(OR(AA98="",AH98=""),"",AA98-AH98)</f>
        <v>0</v>
      </c>
      <c r="AJ98" s="31">
        <f>IF(AA98="","",AA98+ROW()/1000000)</f>
        <v>0</v>
      </c>
      <c r="AK98" s="23">
        <f>IF(AA98="","",RANK(AJ98,Performance!$AJ$5:$AJ$404))</f>
        <v>0</v>
      </c>
      <c r="AL98" s="29">
        <f>IF(AA98="","",IF(AA98&gt;=AH98*1.5,"Top performer",IF(AA98&gt;=AH98,"Above target",IF(AA98&gt;=AH98*0.6,"Below target","Weak - review it"))))</f>
        <v>0</v>
      </c>
      <c r="AM98" s="29">
        <f>IF(B98="","",IF(COUNTIF(Performance!$B$5:$B$404,B98)&gt;1,"Duplicate","OK"))</f>
        <v>0</v>
      </c>
      <c r="AN98" s="29">
        <f>IF(B98="","",IF(C98="Not found","Check - content ID not on the calendar",IF(O98="","Add - no numbers entered yet",IF(AM98="Duplicate","Duplicate - this post is entered twice",IF(AL98="Top performer","Repurpose this one","OK")))))</f>
        <v>0</v>
      </c>
    </row>
    <row r="99" spans="1:40">
      <c r="A99" s="41">
        <f>IF(B99="","","PF-"&amp;TEXT(ROW()-4,"0000"))</f>
        <v>0</v>
      </c>
      <c r="C99" s="17">
        <f>IF(B99="","",IFERROR(INDEX('Content Calendar'!$H$5:$H$604,MATCH(B99,'Content Calendar'!$A$5:$A$604,0)),"Not found"))</f>
        <v>0</v>
      </c>
      <c r="D99" s="16">
        <f>IF(B99="","",IFERROR(INDEX('Content Calendar'!$B$5:$B$604,MATCH(B99,'Content Calendar'!$A$5:$A$604,0)),"Not found"))</f>
        <v>0</v>
      </c>
      <c r="E99" s="17">
        <f>IF(B99="","",IFERROR(INDEX('Content Calendar'!$D$5:$D$604,MATCH(B99,'Content Calendar'!$A$5:$A$604,0)),"Not found"))</f>
        <v>0</v>
      </c>
      <c r="F99" s="17">
        <f>IF(B99="","",IFERROR(INDEX('Content Calendar'!$G$5:$G$604,MATCH(B99,'Content Calendar'!$A$5:$A$604,0)),"Not found"))</f>
        <v>0</v>
      </c>
      <c r="G99" s="17">
        <f>IF(B99="","",IFERROR(INDEX('Content Calendar'!$K$5:$K$604,MATCH(B99,'Content Calendar'!$A$5:$A$604,0)),"Not found"))</f>
        <v>0</v>
      </c>
      <c r="H99" s="17">
        <f>IF(B99="","",IFERROR(INDEX('Content Calendar'!$J$5:$J$604,MATCH(B99,'Content Calendar'!$A$5:$A$604,0)),"Not found"))</f>
        <v>0</v>
      </c>
      <c r="I99" s="17">
        <f>IF(B99="","",IFERROR(INDEX('Content Calendar'!$L$5:$L$604,MATCH(B99,'Content Calendar'!$A$5:$A$604,0)),"Not found"))</f>
        <v>0</v>
      </c>
      <c r="J99" s="17">
        <f>IF(B99="","",IFERROR(INDEX('Content Calendar'!$P$5:$P$604,MATCH(B99,'Content Calendar'!$A$5:$A$604,0)),"Not found"))</f>
        <v>0</v>
      </c>
      <c r="K99" s="17">
        <f>IF(B99="","",IFERROR(INDEX('Content Calendar'!$O$5:$O$604,MATCH(B99,'Content Calendar'!$A$5:$A$604,0)),"Not found"))</f>
        <v>0</v>
      </c>
      <c r="L99" s="17">
        <f>IF(B99="","",IFERROR(INDEX('Content Calendar'!$N$5:$N$604,MATCH(B99,'Content Calendar'!$A$5:$A$604,0)),"Not found"))</f>
        <v>0</v>
      </c>
      <c r="M99" s="17">
        <f>IF(B99="","",IFERROR(INDEX('Content Calendar'!$C$5:$C$604,MATCH(B99,'Content Calendar'!$A$5:$A$604,0)),"Not found"))</f>
        <v>0</v>
      </c>
      <c r="N99" s="17">
        <f>IF(B99="","",IFERROR(INDEX('Content Calendar'!$F$5:$F$604,MATCH(B99,'Content Calendar'!$A$5:$A$604,0)),"Not found"))</f>
        <v>0</v>
      </c>
      <c r="Z99" s="23">
        <f>IF(O99="","",N(Q99)+N(R99)+N(S99)+N(T99))</f>
        <v>0</v>
      </c>
      <c r="AA99" s="24">
        <f>IF(OR(O99="",O99=0),"",Z99/O99)</f>
        <v>0</v>
      </c>
      <c r="AB99" s="24">
        <f>IF(OR(O99="",O99=0),"",N(T99)/O99)</f>
        <v>0</v>
      </c>
      <c r="AC99" s="24">
        <f>IF(OR(O99="",O99=0),"",N(S99)/O99)</f>
        <v>0</v>
      </c>
      <c r="AD99" s="24">
        <f>IF(OR(O99="",O99=0),"",N(R99)/O99)</f>
        <v>0</v>
      </c>
      <c r="AE99" s="24">
        <f>IF(OR(O99="",O99=0),"",N(U99)/O99)</f>
        <v>0</v>
      </c>
      <c r="AF99" s="24">
        <f>IF(OR(U99="",U99=0),"",N(W99)/U99)</f>
        <v>0</v>
      </c>
      <c r="AG99" s="25">
        <f>IF(OR(O99="",O99=0),"",N(X99)/(O99/1000))</f>
        <v>0</v>
      </c>
      <c r="AH99" s="24">
        <f>IF(O99="","",IF(Y99="",TargetEngagement,Y99))</f>
        <v>0</v>
      </c>
      <c r="AI99" s="24">
        <f>IF(OR(AA99="",AH99=""),"",AA99-AH99)</f>
        <v>0</v>
      </c>
      <c r="AJ99" s="31">
        <f>IF(AA99="","",AA99+ROW()/1000000)</f>
        <v>0</v>
      </c>
      <c r="AK99" s="23">
        <f>IF(AA99="","",RANK(AJ99,Performance!$AJ$5:$AJ$404))</f>
        <v>0</v>
      </c>
      <c r="AL99" s="29">
        <f>IF(AA99="","",IF(AA99&gt;=AH99*1.5,"Top performer",IF(AA99&gt;=AH99,"Above target",IF(AA99&gt;=AH99*0.6,"Below target","Weak - review it"))))</f>
        <v>0</v>
      </c>
      <c r="AM99" s="29">
        <f>IF(B99="","",IF(COUNTIF(Performance!$B$5:$B$404,B99)&gt;1,"Duplicate","OK"))</f>
        <v>0</v>
      </c>
      <c r="AN99" s="29">
        <f>IF(B99="","",IF(C99="Not found","Check - content ID not on the calendar",IF(O99="","Add - no numbers entered yet",IF(AM99="Duplicate","Duplicate - this post is entered twice",IF(AL99="Top performer","Repurpose this one","OK")))))</f>
        <v>0</v>
      </c>
    </row>
    <row r="100" spans="1:40">
      <c r="A100" s="41">
        <f>IF(B100="","","PF-"&amp;TEXT(ROW()-4,"0000"))</f>
        <v>0</v>
      </c>
      <c r="C100" s="17">
        <f>IF(B100="","",IFERROR(INDEX('Content Calendar'!$H$5:$H$604,MATCH(B100,'Content Calendar'!$A$5:$A$604,0)),"Not found"))</f>
        <v>0</v>
      </c>
      <c r="D100" s="16">
        <f>IF(B100="","",IFERROR(INDEX('Content Calendar'!$B$5:$B$604,MATCH(B100,'Content Calendar'!$A$5:$A$604,0)),"Not found"))</f>
        <v>0</v>
      </c>
      <c r="E100" s="17">
        <f>IF(B100="","",IFERROR(INDEX('Content Calendar'!$D$5:$D$604,MATCH(B100,'Content Calendar'!$A$5:$A$604,0)),"Not found"))</f>
        <v>0</v>
      </c>
      <c r="F100" s="17">
        <f>IF(B100="","",IFERROR(INDEX('Content Calendar'!$G$5:$G$604,MATCH(B100,'Content Calendar'!$A$5:$A$604,0)),"Not found"))</f>
        <v>0</v>
      </c>
      <c r="G100" s="17">
        <f>IF(B100="","",IFERROR(INDEX('Content Calendar'!$K$5:$K$604,MATCH(B100,'Content Calendar'!$A$5:$A$604,0)),"Not found"))</f>
        <v>0</v>
      </c>
      <c r="H100" s="17">
        <f>IF(B100="","",IFERROR(INDEX('Content Calendar'!$J$5:$J$604,MATCH(B100,'Content Calendar'!$A$5:$A$604,0)),"Not found"))</f>
        <v>0</v>
      </c>
      <c r="I100" s="17">
        <f>IF(B100="","",IFERROR(INDEX('Content Calendar'!$L$5:$L$604,MATCH(B100,'Content Calendar'!$A$5:$A$604,0)),"Not found"))</f>
        <v>0</v>
      </c>
      <c r="J100" s="17">
        <f>IF(B100="","",IFERROR(INDEX('Content Calendar'!$P$5:$P$604,MATCH(B100,'Content Calendar'!$A$5:$A$604,0)),"Not found"))</f>
        <v>0</v>
      </c>
      <c r="K100" s="17">
        <f>IF(B100="","",IFERROR(INDEX('Content Calendar'!$O$5:$O$604,MATCH(B100,'Content Calendar'!$A$5:$A$604,0)),"Not found"))</f>
        <v>0</v>
      </c>
      <c r="L100" s="17">
        <f>IF(B100="","",IFERROR(INDEX('Content Calendar'!$N$5:$N$604,MATCH(B100,'Content Calendar'!$A$5:$A$604,0)),"Not found"))</f>
        <v>0</v>
      </c>
      <c r="M100" s="17">
        <f>IF(B100="","",IFERROR(INDEX('Content Calendar'!$C$5:$C$604,MATCH(B100,'Content Calendar'!$A$5:$A$604,0)),"Not found"))</f>
        <v>0</v>
      </c>
      <c r="N100" s="17">
        <f>IF(B100="","",IFERROR(INDEX('Content Calendar'!$F$5:$F$604,MATCH(B100,'Content Calendar'!$A$5:$A$604,0)),"Not found"))</f>
        <v>0</v>
      </c>
      <c r="Z100" s="23">
        <f>IF(O100="","",N(Q100)+N(R100)+N(S100)+N(T100))</f>
        <v>0</v>
      </c>
      <c r="AA100" s="24">
        <f>IF(OR(O100="",O100=0),"",Z100/O100)</f>
        <v>0</v>
      </c>
      <c r="AB100" s="24">
        <f>IF(OR(O100="",O100=0),"",N(T100)/O100)</f>
        <v>0</v>
      </c>
      <c r="AC100" s="24">
        <f>IF(OR(O100="",O100=0),"",N(S100)/O100)</f>
        <v>0</v>
      </c>
      <c r="AD100" s="24">
        <f>IF(OR(O100="",O100=0),"",N(R100)/O100)</f>
        <v>0</v>
      </c>
      <c r="AE100" s="24">
        <f>IF(OR(O100="",O100=0),"",N(U100)/O100)</f>
        <v>0</v>
      </c>
      <c r="AF100" s="24">
        <f>IF(OR(U100="",U100=0),"",N(W100)/U100)</f>
        <v>0</v>
      </c>
      <c r="AG100" s="25">
        <f>IF(OR(O100="",O100=0),"",N(X100)/(O100/1000))</f>
        <v>0</v>
      </c>
      <c r="AH100" s="24">
        <f>IF(O100="","",IF(Y100="",TargetEngagement,Y100))</f>
        <v>0</v>
      </c>
      <c r="AI100" s="24">
        <f>IF(OR(AA100="",AH100=""),"",AA100-AH100)</f>
        <v>0</v>
      </c>
      <c r="AJ100" s="31">
        <f>IF(AA100="","",AA100+ROW()/1000000)</f>
        <v>0</v>
      </c>
      <c r="AK100" s="23">
        <f>IF(AA100="","",RANK(AJ100,Performance!$AJ$5:$AJ$404))</f>
        <v>0</v>
      </c>
      <c r="AL100" s="29">
        <f>IF(AA100="","",IF(AA100&gt;=AH100*1.5,"Top performer",IF(AA100&gt;=AH100,"Above target",IF(AA100&gt;=AH100*0.6,"Below target","Weak - review it"))))</f>
        <v>0</v>
      </c>
      <c r="AM100" s="29">
        <f>IF(B100="","",IF(COUNTIF(Performance!$B$5:$B$404,B100)&gt;1,"Duplicate","OK"))</f>
        <v>0</v>
      </c>
      <c r="AN100" s="29">
        <f>IF(B100="","",IF(C100="Not found","Check - content ID not on the calendar",IF(O100="","Add - no numbers entered yet",IF(AM100="Duplicate","Duplicate - this post is entered twice",IF(AL100="Top performer","Repurpose this one","OK")))))</f>
        <v>0</v>
      </c>
    </row>
    <row r="101" spans="1:40">
      <c r="A101" s="41">
        <f>IF(B101="","","PF-"&amp;TEXT(ROW()-4,"0000"))</f>
        <v>0</v>
      </c>
      <c r="C101" s="17">
        <f>IF(B101="","",IFERROR(INDEX('Content Calendar'!$H$5:$H$604,MATCH(B101,'Content Calendar'!$A$5:$A$604,0)),"Not found"))</f>
        <v>0</v>
      </c>
      <c r="D101" s="16">
        <f>IF(B101="","",IFERROR(INDEX('Content Calendar'!$B$5:$B$604,MATCH(B101,'Content Calendar'!$A$5:$A$604,0)),"Not found"))</f>
        <v>0</v>
      </c>
      <c r="E101" s="17">
        <f>IF(B101="","",IFERROR(INDEX('Content Calendar'!$D$5:$D$604,MATCH(B101,'Content Calendar'!$A$5:$A$604,0)),"Not found"))</f>
        <v>0</v>
      </c>
      <c r="F101" s="17">
        <f>IF(B101="","",IFERROR(INDEX('Content Calendar'!$G$5:$G$604,MATCH(B101,'Content Calendar'!$A$5:$A$604,0)),"Not found"))</f>
        <v>0</v>
      </c>
      <c r="G101" s="17">
        <f>IF(B101="","",IFERROR(INDEX('Content Calendar'!$K$5:$K$604,MATCH(B101,'Content Calendar'!$A$5:$A$604,0)),"Not found"))</f>
        <v>0</v>
      </c>
      <c r="H101" s="17">
        <f>IF(B101="","",IFERROR(INDEX('Content Calendar'!$J$5:$J$604,MATCH(B101,'Content Calendar'!$A$5:$A$604,0)),"Not found"))</f>
        <v>0</v>
      </c>
      <c r="I101" s="17">
        <f>IF(B101="","",IFERROR(INDEX('Content Calendar'!$L$5:$L$604,MATCH(B101,'Content Calendar'!$A$5:$A$604,0)),"Not found"))</f>
        <v>0</v>
      </c>
      <c r="J101" s="17">
        <f>IF(B101="","",IFERROR(INDEX('Content Calendar'!$P$5:$P$604,MATCH(B101,'Content Calendar'!$A$5:$A$604,0)),"Not found"))</f>
        <v>0</v>
      </c>
      <c r="K101" s="17">
        <f>IF(B101="","",IFERROR(INDEX('Content Calendar'!$O$5:$O$604,MATCH(B101,'Content Calendar'!$A$5:$A$604,0)),"Not found"))</f>
        <v>0</v>
      </c>
      <c r="L101" s="17">
        <f>IF(B101="","",IFERROR(INDEX('Content Calendar'!$N$5:$N$604,MATCH(B101,'Content Calendar'!$A$5:$A$604,0)),"Not found"))</f>
        <v>0</v>
      </c>
      <c r="M101" s="17">
        <f>IF(B101="","",IFERROR(INDEX('Content Calendar'!$C$5:$C$604,MATCH(B101,'Content Calendar'!$A$5:$A$604,0)),"Not found"))</f>
        <v>0</v>
      </c>
      <c r="N101" s="17">
        <f>IF(B101="","",IFERROR(INDEX('Content Calendar'!$F$5:$F$604,MATCH(B101,'Content Calendar'!$A$5:$A$604,0)),"Not found"))</f>
        <v>0</v>
      </c>
      <c r="Z101" s="23">
        <f>IF(O101="","",N(Q101)+N(R101)+N(S101)+N(T101))</f>
        <v>0</v>
      </c>
      <c r="AA101" s="24">
        <f>IF(OR(O101="",O101=0),"",Z101/O101)</f>
        <v>0</v>
      </c>
      <c r="AB101" s="24">
        <f>IF(OR(O101="",O101=0),"",N(T101)/O101)</f>
        <v>0</v>
      </c>
      <c r="AC101" s="24">
        <f>IF(OR(O101="",O101=0),"",N(S101)/O101)</f>
        <v>0</v>
      </c>
      <c r="AD101" s="24">
        <f>IF(OR(O101="",O101=0),"",N(R101)/O101)</f>
        <v>0</v>
      </c>
      <c r="AE101" s="24">
        <f>IF(OR(O101="",O101=0),"",N(U101)/O101)</f>
        <v>0</v>
      </c>
      <c r="AF101" s="24">
        <f>IF(OR(U101="",U101=0),"",N(W101)/U101)</f>
        <v>0</v>
      </c>
      <c r="AG101" s="25">
        <f>IF(OR(O101="",O101=0),"",N(X101)/(O101/1000))</f>
        <v>0</v>
      </c>
      <c r="AH101" s="24">
        <f>IF(O101="","",IF(Y101="",TargetEngagement,Y101))</f>
        <v>0</v>
      </c>
      <c r="AI101" s="24">
        <f>IF(OR(AA101="",AH101=""),"",AA101-AH101)</f>
        <v>0</v>
      </c>
      <c r="AJ101" s="31">
        <f>IF(AA101="","",AA101+ROW()/1000000)</f>
        <v>0</v>
      </c>
      <c r="AK101" s="23">
        <f>IF(AA101="","",RANK(AJ101,Performance!$AJ$5:$AJ$404))</f>
        <v>0</v>
      </c>
      <c r="AL101" s="29">
        <f>IF(AA101="","",IF(AA101&gt;=AH101*1.5,"Top performer",IF(AA101&gt;=AH101,"Above target",IF(AA101&gt;=AH101*0.6,"Below target","Weak - review it"))))</f>
        <v>0</v>
      </c>
      <c r="AM101" s="29">
        <f>IF(B101="","",IF(COUNTIF(Performance!$B$5:$B$404,B101)&gt;1,"Duplicate","OK"))</f>
        <v>0</v>
      </c>
      <c r="AN101" s="29">
        <f>IF(B101="","",IF(C101="Not found","Check - content ID not on the calendar",IF(O101="","Add - no numbers entered yet",IF(AM101="Duplicate","Duplicate - this post is entered twice",IF(AL101="Top performer","Repurpose this one","OK")))))</f>
        <v>0</v>
      </c>
    </row>
    <row r="102" spans="1:40">
      <c r="A102" s="41">
        <f>IF(B102="","","PF-"&amp;TEXT(ROW()-4,"0000"))</f>
        <v>0</v>
      </c>
      <c r="C102" s="17">
        <f>IF(B102="","",IFERROR(INDEX('Content Calendar'!$H$5:$H$604,MATCH(B102,'Content Calendar'!$A$5:$A$604,0)),"Not found"))</f>
        <v>0</v>
      </c>
      <c r="D102" s="16">
        <f>IF(B102="","",IFERROR(INDEX('Content Calendar'!$B$5:$B$604,MATCH(B102,'Content Calendar'!$A$5:$A$604,0)),"Not found"))</f>
        <v>0</v>
      </c>
      <c r="E102" s="17">
        <f>IF(B102="","",IFERROR(INDEX('Content Calendar'!$D$5:$D$604,MATCH(B102,'Content Calendar'!$A$5:$A$604,0)),"Not found"))</f>
        <v>0</v>
      </c>
      <c r="F102" s="17">
        <f>IF(B102="","",IFERROR(INDEX('Content Calendar'!$G$5:$G$604,MATCH(B102,'Content Calendar'!$A$5:$A$604,0)),"Not found"))</f>
        <v>0</v>
      </c>
      <c r="G102" s="17">
        <f>IF(B102="","",IFERROR(INDEX('Content Calendar'!$K$5:$K$604,MATCH(B102,'Content Calendar'!$A$5:$A$604,0)),"Not found"))</f>
        <v>0</v>
      </c>
      <c r="H102" s="17">
        <f>IF(B102="","",IFERROR(INDEX('Content Calendar'!$J$5:$J$604,MATCH(B102,'Content Calendar'!$A$5:$A$604,0)),"Not found"))</f>
        <v>0</v>
      </c>
      <c r="I102" s="17">
        <f>IF(B102="","",IFERROR(INDEX('Content Calendar'!$L$5:$L$604,MATCH(B102,'Content Calendar'!$A$5:$A$604,0)),"Not found"))</f>
        <v>0</v>
      </c>
      <c r="J102" s="17">
        <f>IF(B102="","",IFERROR(INDEX('Content Calendar'!$P$5:$P$604,MATCH(B102,'Content Calendar'!$A$5:$A$604,0)),"Not found"))</f>
        <v>0</v>
      </c>
      <c r="K102" s="17">
        <f>IF(B102="","",IFERROR(INDEX('Content Calendar'!$O$5:$O$604,MATCH(B102,'Content Calendar'!$A$5:$A$604,0)),"Not found"))</f>
        <v>0</v>
      </c>
      <c r="L102" s="17">
        <f>IF(B102="","",IFERROR(INDEX('Content Calendar'!$N$5:$N$604,MATCH(B102,'Content Calendar'!$A$5:$A$604,0)),"Not found"))</f>
        <v>0</v>
      </c>
      <c r="M102" s="17">
        <f>IF(B102="","",IFERROR(INDEX('Content Calendar'!$C$5:$C$604,MATCH(B102,'Content Calendar'!$A$5:$A$604,0)),"Not found"))</f>
        <v>0</v>
      </c>
      <c r="N102" s="17">
        <f>IF(B102="","",IFERROR(INDEX('Content Calendar'!$F$5:$F$604,MATCH(B102,'Content Calendar'!$A$5:$A$604,0)),"Not found"))</f>
        <v>0</v>
      </c>
      <c r="Z102" s="23">
        <f>IF(O102="","",N(Q102)+N(R102)+N(S102)+N(T102))</f>
        <v>0</v>
      </c>
      <c r="AA102" s="24">
        <f>IF(OR(O102="",O102=0),"",Z102/O102)</f>
        <v>0</v>
      </c>
      <c r="AB102" s="24">
        <f>IF(OR(O102="",O102=0),"",N(T102)/O102)</f>
        <v>0</v>
      </c>
      <c r="AC102" s="24">
        <f>IF(OR(O102="",O102=0),"",N(S102)/O102)</f>
        <v>0</v>
      </c>
      <c r="AD102" s="24">
        <f>IF(OR(O102="",O102=0),"",N(R102)/O102)</f>
        <v>0</v>
      </c>
      <c r="AE102" s="24">
        <f>IF(OR(O102="",O102=0),"",N(U102)/O102)</f>
        <v>0</v>
      </c>
      <c r="AF102" s="24">
        <f>IF(OR(U102="",U102=0),"",N(W102)/U102)</f>
        <v>0</v>
      </c>
      <c r="AG102" s="25">
        <f>IF(OR(O102="",O102=0),"",N(X102)/(O102/1000))</f>
        <v>0</v>
      </c>
      <c r="AH102" s="24">
        <f>IF(O102="","",IF(Y102="",TargetEngagement,Y102))</f>
        <v>0</v>
      </c>
      <c r="AI102" s="24">
        <f>IF(OR(AA102="",AH102=""),"",AA102-AH102)</f>
        <v>0</v>
      </c>
      <c r="AJ102" s="31">
        <f>IF(AA102="","",AA102+ROW()/1000000)</f>
        <v>0</v>
      </c>
      <c r="AK102" s="23">
        <f>IF(AA102="","",RANK(AJ102,Performance!$AJ$5:$AJ$404))</f>
        <v>0</v>
      </c>
      <c r="AL102" s="29">
        <f>IF(AA102="","",IF(AA102&gt;=AH102*1.5,"Top performer",IF(AA102&gt;=AH102,"Above target",IF(AA102&gt;=AH102*0.6,"Below target","Weak - review it"))))</f>
        <v>0</v>
      </c>
      <c r="AM102" s="29">
        <f>IF(B102="","",IF(COUNTIF(Performance!$B$5:$B$404,B102)&gt;1,"Duplicate","OK"))</f>
        <v>0</v>
      </c>
      <c r="AN102" s="29">
        <f>IF(B102="","",IF(C102="Not found","Check - content ID not on the calendar",IF(O102="","Add - no numbers entered yet",IF(AM102="Duplicate","Duplicate - this post is entered twice",IF(AL102="Top performer","Repurpose this one","OK")))))</f>
        <v>0</v>
      </c>
    </row>
    <row r="103" spans="1:40">
      <c r="A103" s="41">
        <f>IF(B103="","","PF-"&amp;TEXT(ROW()-4,"0000"))</f>
        <v>0</v>
      </c>
      <c r="C103" s="17">
        <f>IF(B103="","",IFERROR(INDEX('Content Calendar'!$H$5:$H$604,MATCH(B103,'Content Calendar'!$A$5:$A$604,0)),"Not found"))</f>
        <v>0</v>
      </c>
      <c r="D103" s="16">
        <f>IF(B103="","",IFERROR(INDEX('Content Calendar'!$B$5:$B$604,MATCH(B103,'Content Calendar'!$A$5:$A$604,0)),"Not found"))</f>
        <v>0</v>
      </c>
      <c r="E103" s="17">
        <f>IF(B103="","",IFERROR(INDEX('Content Calendar'!$D$5:$D$604,MATCH(B103,'Content Calendar'!$A$5:$A$604,0)),"Not found"))</f>
        <v>0</v>
      </c>
      <c r="F103" s="17">
        <f>IF(B103="","",IFERROR(INDEX('Content Calendar'!$G$5:$G$604,MATCH(B103,'Content Calendar'!$A$5:$A$604,0)),"Not found"))</f>
        <v>0</v>
      </c>
      <c r="G103" s="17">
        <f>IF(B103="","",IFERROR(INDEX('Content Calendar'!$K$5:$K$604,MATCH(B103,'Content Calendar'!$A$5:$A$604,0)),"Not found"))</f>
        <v>0</v>
      </c>
      <c r="H103" s="17">
        <f>IF(B103="","",IFERROR(INDEX('Content Calendar'!$J$5:$J$604,MATCH(B103,'Content Calendar'!$A$5:$A$604,0)),"Not found"))</f>
        <v>0</v>
      </c>
      <c r="I103" s="17">
        <f>IF(B103="","",IFERROR(INDEX('Content Calendar'!$L$5:$L$604,MATCH(B103,'Content Calendar'!$A$5:$A$604,0)),"Not found"))</f>
        <v>0</v>
      </c>
      <c r="J103" s="17">
        <f>IF(B103="","",IFERROR(INDEX('Content Calendar'!$P$5:$P$604,MATCH(B103,'Content Calendar'!$A$5:$A$604,0)),"Not found"))</f>
        <v>0</v>
      </c>
      <c r="K103" s="17">
        <f>IF(B103="","",IFERROR(INDEX('Content Calendar'!$O$5:$O$604,MATCH(B103,'Content Calendar'!$A$5:$A$604,0)),"Not found"))</f>
        <v>0</v>
      </c>
      <c r="L103" s="17">
        <f>IF(B103="","",IFERROR(INDEX('Content Calendar'!$N$5:$N$604,MATCH(B103,'Content Calendar'!$A$5:$A$604,0)),"Not found"))</f>
        <v>0</v>
      </c>
      <c r="M103" s="17">
        <f>IF(B103="","",IFERROR(INDEX('Content Calendar'!$C$5:$C$604,MATCH(B103,'Content Calendar'!$A$5:$A$604,0)),"Not found"))</f>
        <v>0</v>
      </c>
      <c r="N103" s="17">
        <f>IF(B103="","",IFERROR(INDEX('Content Calendar'!$F$5:$F$604,MATCH(B103,'Content Calendar'!$A$5:$A$604,0)),"Not found"))</f>
        <v>0</v>
      </c>
      <c r="Z103" s="23">
        <f>IF(O103="","",N(Q103)+N(R103)+N(S103)+N(T103))</f>
        <v>0</v>
      </c>
      <c r="AA103" s="24">
        <f>IF(OR(O103="",O103=0),"",Z103/O103)</f>
        <v>0</v>
      </c>
      <c r="AB103" s="24">
        <f>IF(OR(O103="",O103=0),"",N(T103)/O103)</f>
        <v>0</v>
      </c>
      <c r="AC103" s="24">
        <f>IF(OR(O103="",O103=0),"",N(S103)/O103)</f>
        <v>0</v>
      </c>
      <c r="AD103" s="24">
        <f>IF(OR(O103="",O103=0),"",N(R103)/O103)</f>
        <v>0</v>
      </c>
      <c r="AE103" s="24">
        <f>IF(OR(O103="",O103=0),"",N(U103)/O103)</f>
        <v>0</v>
      </c>
      <c r="AF103" s="24">
        <f>IF(OR(U103="",U103=0),"",N(W103)/U103)</f>
        <v>0</v>
      </c>
      <c r="AG103" s="25">
        <f>IF(OR(O103="",O103=0),"",N(X103)/(O103/1000))</f>
        <v>0</v>
      </c>
      <c r="AH103" s="24">
        <f>IF(O103="","",IF(Y103="",TargetEngagement,Y103))</f>
        <v>0</v>
      </c>
      <c r="AI103" s="24">
        <f>IF(OR(AA103="",AH103=""),"",AA103-AH103)</f>
        <v>0</v>
      </c>
      <c r="AJ103" s="31">
        <f>IF(AA103="","",AA103+ROW()/1000000)</f>
        <v>0</v>
      </c>
      <c r="AK103" s="23">
        <f>IF(AA103="","",RANK(AJ103,Performance!$AJ$5:$AJ$404))</f>
        <v>0</v>
      </c>
      <c r="AL103" s="29">
        <f>IF(AA103="","",IF(AA103&gt;=AH103*1.5,"Top performer",IF(AA103&gt;=AH103,"Above target",IF(AA103&gt;=AH103*0.6,"Below target","Weak - review it"))))</f>
        <v>0</v>
      </c>
      <c r="AM103" s="29">
        <f>IF(B103="","",IF(COUNTIF(Performance!$B$5:$B$404,B103)&gt;1,"Duplicate","OK"))</f>
        <v>0</v>
      </c>
      <c r="AN103" s="29">
        <f>IF(B103="","",IF(C103="Not found","Check - content ID not on the calendar",IF(O103="","Add - no numbers entered yet",IF(AM103="Duplicate","Duplicate - this post is entered twice",IF(AL103="Top performer","Repurpose this one","OK")))))</f>
        <v>0</v>
      </c>
    </row>
    <row r="104" spans="1:40">
      <c r="A104" s="41">
        <f>IF(B104="","","PF-"&amp;TEXT(ROW()-4,"0000"))</f>
        <v>0</v>
      </c>
      <c r="C104" s="17">
        <f>IF(B104="","",IFERROR(INDEX('Content Calendar'!$H$5:$H$604,MATCH(B104,'Content Calendar'!$A$5:$A$604,0)),"Not found"))</f>
        <v>0</v>
      </c>
      <c r="D104" s="16">
        <f>IF(B104="","",IFERROR(INDEX('Content Calendar'!$B$5:$B$604,MATCH(B104,'Content Calendar'!$A$5:$A$604,0)),"Not found"))</f>
        <v>0</v>
      </c>
      <c r="E104" s="17">
        <f>IF(B104="","",IFERROR(INDEX('Content Calendar'!$D$5:$D$604,MATCH(B104,'Content Calendar'!$A$5:$A$604,0)),"Not found"))</f>
        <v>0</v>
      </c>
      <c r="F104" s="17">
        <f>IF(B104="","",IFERROR(INDEX('Content Calendar'!$G$5:$G$604,MATCH(B104,'Content Calendar'!$A$5:$A$604,0)),"Not found"))</f>
        <v>0</v>
      </c>
      <c r="G104" s="17">
        <f>IF(B104="","",IFERROR(INDEX('Content Calendar'!$K$5:$K$604,MATCH(B104,'Content Calendar'!$A$5:$A$604,0)),"Not found"))</f>
        <v>0</v>
      </c>
      <c r="H104" s="17">
        <f>IF(B104="","",IFERROR(INDEX('Content Calendar'!$J$5:$J$604,MATCH(B104,'Content Calendar'!$A$5:$A$604,0)),"Not found"))</f>
        <v>0</v>
      </c>
      <c r="I104" s="17">
        <f>IF(B104="","",IFERROR(INDEX('Content Calendar'!$L$5:$L$604,MATCH(B104,'Content Calendar'!$A$5:$A$604,0)),"Not found"))</f>
        <v>0</v>
      </c>
      <c r="J104" s="17">
        <f>IF(B104="","",IFERROR(INDEX('Content Calendar'!$P$5:$P$604,MATCH(B104,'Content Calendar'!$A$5:$A$604,0)),"Not found"))</f>
        <v>0</v>
      </c>
      <c r="K104" s="17">
        <f>IF(B104="","",IFERROR(INDEX('Content Calendar'!$O$5:$O$604,MATCH(B104,'Content Calendar'!$A$5:$A$604,0)),"Not found"))</f>
        <v>0</v>
      </c>
      <c r="L104" s="17">
        <f>IF(B104="","",IFERROR(INDEX('Content Calendar'!$N$5:$N$604,MATCH(B104,'Content Calendar'!$A$5:$A$604,0)),"Not found"))</f>
        <v>0</v>
      </c>
      <c r="M104" s="17">
        <f>IF(B104="","",IFERROR(INDEX('Content Calendar'!$C$5:$C$604,MATCH(B104,'Content Calendar'!$A$5:$A$604,0)),"Not found"))</f>
        <v>0</v>
      </c>
      <c r="N104" s="17">
        <f>IF(B104="","",IFERROR(INDEX('Content Calendar'!$F$5:$F$604,MATCH(B104,'Content Calendar'!$A$5:$A$604,0)),"Not found"))</f>
        <v>0</v>
      </c>
      <c r="Z104" s="23">
        <f>IF(O104="","",N(Q104)+N(R104)+N(S104)+N(T104))</f>
        <v>0</v>
      </c>
      <c r="AA104" s="24">
        <f>IF(OR(O104="",O104=0),"",Z104/O104)</f>
        <v>0</v>
      </c>
      <c r="AB104" s="24">
        <f>IF(OR(O104="",O104=0),"",N(T104)/O104)</f>
        <v>0</v>
      </c>
      <c r="AC104" s="24">
        <f>IF(OR(O104="",O104=0),"",N(S104)/O104)</f>
        <v>0</v>
      </c>
      <c r="AD104" s="24">
        <f>IF(OR(O104="",O104=0),"",N(R104)/O104)</f>
        <v>0</v>
      </c>
      <c r="AE104" s="24">
        <f>IF(OR(O104="",O104=0),"",N(U104)/O104)</f>
        <v>0</v>
      </c>
      <c r="AF104" s="24">
        <f>IF(OR(U104="",U104=0),"",N(W104)/U104)</f>
        <v>0</v>
      </c>
      <c r="AG104" s="25">
        <f>IF(OR(O104="",O104=0),"",N(X104)/(O104/1000))</f>
        <v>0</v>
      </c>
      <c r="AH104" s="24">
        <f>IF(O104="","",IF(Y104="",TargetEngagement,Y104))</f>
        <v>0</v>
      </c>
      <c r="AI104" s="24">
        <f>IF(OR(AA104="",AH104=""),"",AA104-AH104)</f>
        <v>0</v>
      </c>
      <c r="AJ104" s="31">
        <f>IF(AA104="","",AA104+ROW()/1000000)</f>
        <v>0</v>
      </c>
      <c r="AK104" s="23">
        <f>IF(AA104="","",RANK(AJ104,Performance!$AJ$5:$AJ$404))</f>
        <v>0</v>
      </c>
      <c r="AL104" s="29">
        <f>IF(AA104="","",IF(AA104&gt;=AH104*1.5,"Top performer",IF(AA104&gt;=AH104,"Above target",IF(AA104&gt;=AH104*0.6,"Below target","Weak - review it"))))</f>
        <v>0</v>
      </c>
      <c r="AM104" s="29">
        <f>IF(B104="","",IF(COUNTIF(Performance!$B$5:$B$404,B104)&gt;1,"Duplicate","OK"))</f>
        <v>0</v>
      </c>
      <c r="AN104" s="29">
        <f>IF(B104="","",IF(C104="Not found","Check - content ID not on the calendar",IF(O104="","Add - no numbers entered yet",IF(AM104="Duplicate","Duplicate - this post is entered twice",IF(AL104="Top performer","Repurpose this one","OK")))))</f>
        <v>0</v>
      </c>
    </row>
    <row r="105" spans="1:40">
      <c r="A105" s="41">
        <f>IF(B105="","","PF-"&amp;TEXT(ROW()-4,"0000"))</f>
        <v>0</v>
      </c>
      <c r="C105" s="17">
        <f>IF(B105="","",IFERROR(INDEX('Content Calendar'!$H$5:$H$604,MATCH(B105,'Content Calendar'!$A$5:$A$604,0)),"Not found"))</f>
        <v>0</v>
      </c>
      <c r="D105" s="16">
        <f>IF(B105="","",IFERROR(INDEX('Content Calendar'!$B$5:$B$604,MATCH(B105,'Content Calendar'!$A$5:$A$604,0)),"Not found"))</f>
        <v>0</v>
      </c>
      <c r="E105" s="17">
        <f>IF(B105="","",IFERROR(INDEX('Content Calendar'!$D$5:$D$604,MATCH(B105,'Content Calendar'!$A$5:$A$604,0)),"Not found"))</f>
        <v>0</v>
      </c>
      <c r="F105" s="17">
        <f>IF(B105="","",IFERROR(INDEX('Content Calendar'!$G$5:$G$604,MATCH(B105,'Content Calendar'!$A$5:$A$604,0)),"Not found"))</f>
        <v>0</v>
      </c>
      <c r="G105" s="17">
        <f>IF(B105="","",IFERROR(INDEX('Content Calendar'!$K$5:$K$604,MATCH(B105,'Content Calendar'!$A$5:$A$604,0)),"Not found"))</f>
        <v>0</v>
      </c>
      <c r="H105" s="17">
        <f>IF(B105="","",IFERROR(INDEX('Content Calendar'!$J$5:$J$604,MATCH(B105,'Content Calendar'!$A$5:$A$604,0)),"Not found"))</f>
        <v>0</v>
      </c>
      <c r="I105" s="17">
        <f>IF(B105="","",IFERROR(INDEX('Content Calendar'!$L$5:$L$604,MATCH(B105,'Content Calendar'!$A$5:$A$604,0)),"Not found"))</f>
        <v>0</v>
      </c>
      <c r="J105" s="17">
        <f>IF(B105="","",IFERROR(INDEX('Content Calendar'!$P$5:$P$604,MATCH(B105,'Content Calendar'!$A$5:$A$604,0)),"Not found"))</f>
        <v>0</v>
      </c>
      <c r="K105" s="17">
        <f>IF(B105="","",IFERROR(INDEX('Content Calendar'!$O$5:$O$604,MATCH(B105,'Content Calendar'!$A$5:$A$604,0)),"Not found"))</f>
        <v>0</v>
      </c>
      <c r="L105" s="17">
        <f>IF(B105="","",IFERROR(INDEX('Content Calendar'!$N$5:$N$604,MATCH(B105,'Content Calendar'!$A$5:$A$604,0)),"Not found"))</f>
        <v>0</v>
      </c>
      <c r="M105" s="17">
        <f>IF(B105="","",IFERROR(INDEX('Content Calendar'!$C$5:$C$604,MATCH(B105,'Content Calendar'!$A$5:$A$604,0)),"Not found"))</f>
        <v>0</v>
      </c>
      <c r="N105" s="17">
        <f>IF(B105="","",IFERROR(INDEX('Content Calendar'!$F$5:$F$604,MATCH(B105,'Content Calendar'!$A$5:$A$604,0)),"Not found"))</f>
        <v>0</v>
      </c>
      <c r="Z105" s="23">
        <f>IF(O105="","",N(Q105)+N(R105)+N(S105)+N(T105))</f>
        <v>0</v>
      </c>
      <c r="AA105" s="24">
        <f>IF(OR(O105="",O105=0),"",Z105/O105)</f>
        <v>0</v>
      </c>
      <c r="AB105" s="24">
        <f>IF(OR(O105="",O105=0),"",N(T105)/O105)</f>
        <v>0</v>
      </c>
      <c r="AC105" s="24">
        <f>IF(OR(O105="",O105=0),"",N(S105)/O105)</f>
        <v>0</v>
      </c>
      <c r="AD105" s="24">
        <f>IF(OR(O105="",O105=0),"",N(R105)/O105)</f>
        <v>0</v>
      </c>
      <c r="AE105" s="24">
        <f>IF(OR(O105="",O105=0),"",N(U105)/O105)</f>
        <v>0</v>
      </c>
      <c r="AF105" s="24">
        <f>IF(OR(U105="",U105=0),"",N(W105)/U105)</f>
        <v>0</v>
      </c>
      <c r="AG105" s="25">
        <f>IF(OR(O105="",O105=0),"",N(X105)/(O105/1000))</f>
        <v>0</v>
      </c>
      <c r="AH105" s="24">
        <f>IF(O105="","",IF(Y105="",TargetEngagement,Y105))</f>
        <v>0</v>
      </c>
      <c r="AI105" s="24">
        <f>IF(OR(AA105="",AH105=""),"",AA105-AH105)</f>
        <v>0</v>
      </c>
      <c r="AJ105" s="31">
        <f>IF(AA105="","",AA105+ROW()/1000000)</f>
        <v>0</v>
      </c>
      <c r="AK105" s="23">
        <f>IF(AA105="","",RANK(AJ105,Performance!$AJ$5:$AJ$404))</f>
        <v>0</v>
      </c>
      <c r="AL105" s="29">
        <f>IF(AA105="","",IF(AA105&gt;=AH105*1.5,"Top performer",IF(AA105&gt;=AH105,"Above target",IF(AA105&gt;=AH105*0.6,"Below target","Weak - review it"))))</f>
        <v>0</v>
      </c>
      <c r="AM105" s="29">
        <f>IF(B105="","",IF(COUNTIF(Performance!$B$5:$B$404,B105)&gt;1,"Duplicate","OK"))</f>
        <v>0</v>
      </c>
      <c r="AN105" s="29">
        <f>IF(B105="","",IF(C105="Not found","Check - content ID not on the calendar",IF(O105="","Add - no numbers entered yet",IF(AM105="Duplicate","Duplicate - this post is entered twice",IF(AL105="Top performer","Repurpose this one","OK")))))</f>
        <v>0</v>
      </c>
    </row>
    <row r="106" spans="1:40">
      <c r="A106" s="41">
        <f>IF(B106="","","PF-"&amp;TEXT(ROW()-4,"0000"))</f>
        <v>0</v>
      </c>
      <c r="C106" s="17">
        <f>IF(B106="","",IFERROR(INDEX('Content Calendar'!$H$5:$H$604,MATCH(B106,'Content Calendar'!$A$5:$A$604,0)),"Not found"))</f>
        <v>0</v>
      </c>
      <c r="D106" s="16">
        <f>IF(B106="","",IFERROR(INDEX('Content Calendar'!$B$5:$B$604,MATCH(B106,'Content Calendar'!$A$5:$A$604,0)),"Not found"))</f>
        <v>0</v>
      </c>
      <c r="E106" s="17">
        <f>IF(B106="","",IFERROR(INDEX('Content Calendar'!$D$5:$D$604,MATCH(B106,'Content Calendar'!$A$5:$A$604,0)),"Not found"))</f>
        <v>0</v>
      </c>
      <c r="F106" s="17">
        <f>IF(B106="","",IFERROR(INDEX('Content Calendar'!$G$5:$G$604,MATCH(B106,'Content Calendar'!$A$5:$A$604,0)),"Not found"))</f>
        <v>0</v>
      </c>
      <c r="G106" s="17">
        <f>IF(B106="","",IFERROR(INDEX('Content Calendar'!$K$5:$K$604,MATCH(B106,'Content Calendar'!$A$5:$A$604,0)),"Not found"))</f>
        <v>0</v>
      </c>
      <c r="H106" s="17">
        <f>IF(B106="","",IFERROR(INDEX('Content Calendar'!$J$5:$J$604,MATCH(B106,'Content Calendar'!$A$5:$A$604,0)),"Not found"))</f>
        <v>0</v>
      </c>
      <c r="I106" s="17">
        <f>IF(B106="","",IFERROR(INDEX('Content Calendar'!$L$5:$L$604,MATCH(B106,'Content Calendar'!$A$5:$A$604,0)),"Not found"))</f>
        <v>0</v>
      </c>
      <c r="J106" s="17">
        <f>IF(B106="","",IFERROR(INDEX('Content Calendar'!$P$5:$P$604,MATCH(B106,'Content Calendar'!$A$5:$A$604,0)),"Not found"))</f>
        <v>0</v>
      </c>
      <c r="K106" s="17">
        <f>IF(B106="","",IFERROR(INDEX('Content Calendar'!$O$5:$O$604,MATCH(B106,'Content Calendar'!$A$5:$A$604,0)),"Not found"))</f>
        <v>0</v>
      </c>
      <c r="L106" s="17">
        <f>IF(B106="","",IFERROR(INDEX('Content Calendar'!$N$5:$N$604,MATCH(B106,'Content Calendar'!$A$5:$A$604,0)),"Not found"))</f>
        <v>0</v>
      </c>
      <c r="M106" s="17">
        <f>IF(B106="","",IFERROR(INDEX('Content Calendar'!$C$5:$C$604,MATCH(B106,'Content Calendar'!$A$5:$A$604,0)),"Not found"))</f>
        <v>0</v>
      </c>
      <c r="N106" s="17">
        <f>IF(B106="","",IFERROR(INDEX('Content Calendar'!$F$5:$F$604,MATCH(B106,'Content Calendar'!$A$5:$A$604,0)),"Not found"))</f>
        <v>0</v>
      </c>
      <c r="Z106" s="23">
        <f>IF(O106="","",N(Q106)+N(R106)+N(S106)+N(T106))</f>
        <v>0</v>
      </c>
      <c r="AA106" s="24">
        <f>IF(OR(O106="",O106=0),"",Z106/O106)</f>
        <v>0</v>
      </c>
      <c r="AB106" s="24">
        <f>IF(OR(O106="",O106=0),"",N(T106)/O106)</f>
        <v>0</v>
      </c>
      <c r="AC106" s="24">
        <f>IF(OR(O106="",O106=0),"",N(S106)/O106)</f>
        <v>0</v>
      </c>
      <c r="AD106" s="24">
        <f>IF(OR(O106="",O106=0),"",N(R106)/O106)</f>
        <v>0</v>
      </c>
      <c r="AE106" s="24">
        <f>IF(OR(O106="",O106=0),"",N(U106)/O106)</f>
        <v>0</v>
      </c>
      <c r="AF106" s="24">
        <f>IF(OR(U106="",U106=0),"",N(W106)/U106)</f>
        <v>0</v>
      </c>
      <c r="AG106" s="25">
        <f>IF(OR(O106="",O106=0),"",N(X106)/(O106/1000))</f>
        <v>0</v>
      </c>
      <c r="AH106" s="24">
        <f>IF(O106="","",IF(Y106="",TargetEngagement,Y106))</f>
        <v>0</v>
      </c>
      <c r="AI106" s="24">
        <f>IF(OR(AA106="",AH106=""),"",AA106-AH106)</f>
        <v>0</v>
      </c>
      <c r="AJ106" s="31">
        <f>IF(AA106="","",AA106+ROW()/1000000)</f>
        <v>0</v>
      </c>
      <c r="AK106" s="23">
        <f>IF(AA106="","",RANK(AJ106,Performance!$AJ$5:$AJ$404))</f>
        <v>0</v>
      </c>
      <c r="AL106" s="29">
        <f>IF(AA106="","",IF(AA106&gt;=AH106*1.5,"Top performer",IF(AA106&gt;=AH106,"Above target",IF(AA106&gt;=AH106*0.6,"Below target","Weak - review it"))))</f>
        <v>0</v>
      </c>
      <c r="AM106" s="29">
        <f>IF(B106="","",IF(COUNTIF(Performance!$B$5:$B$404,B106)&gt;1,"Duplicate","OK"))</f>
        <v>0</v>
      </c>
      <c r="AN106" s="29">
        <f>IF(B106="","",IF(C106="Not found","Check - content ID not on the calendar",IF(O106="","Add - no numbers entered yet",IF(AM106="Duplicate","Duplicate - this post is entered twice",IF(AL106="Top performer","Repurpose this one","OK")))))</f>
        <v>0</v>
      </c>
    </row>
    <row r="107" spans="1:40">
      <c r="A107" s="41">
        <f>IF(B107="","","PF-"&amp;TEXT(ROW()-4,"0000"))</f>
        <v>0</v>
      </c>
      <c r="C107" s="17">
        <f>IF(B107="","",IFERROR(INDEX('Content Calendar'!$H$5:$H$604,MATCH(B107,'Content Calendar'!$A$5:$A$604,0)),"Not found"))</f>
        <v>0</v>
      </c>
      <c r="D107" s="16">
        <f>IF(B107="","",IFERROR(INDEX('Content Calendar'!$B$5:$B$604,MATCH(B107,'Content Calendar'!$A$5:$A$604,0)),"Not found"))</f>
        <v>0</v>
      </c>
      <c r="E107" s="17">
        <f>IF(B107="","",IFERROR(INDEX('Content Calendar'!$D$5:$D$604,MATCH(B107,'Content Calendar'!$A$5:$A$604,0)),"Not found"))</f>
        <v>0</v>
      </c>
      <c r="F107" s="17">
        <f>IF(B107="","",IFERROR(INDEX('Content Calendar'!$G$5:$G$604,MATCH(B107,'Content Calendar'!$A$5:$A$604,0)),"Not found"))</f>
        <v>0</v>
      </c>
      <c r="G107" s="17">
        <f>IF(B107="","",IFERROR(INDEX('Content Calendar'!$K$5:$K$604,MATCH(B107,'Content Calendar'!$A$5:$A$604,0)),"Not found"))</f>
        <v>0</v>
      </c>
      <c r="H107" s="17">
        <f>IF(B107="","",IFERROR(INDEX('Content Calendar'!$J$5:$J$604,MATCH(B107,'Content Calendar'!$A$5:$A$604,0)),"Not found"))</f>
        <v>0</v>
      </c>
      <c r="I107" s="17">
        <f>IF(B107="","",IFERROR(INDEX('Content Calendar'!$L$5:$L$604,MATCH(B107,'Content Calendar'!$A$5:$A$604,0)),"Not found"))</f>
        <v>0</v>
      </c>
      <c r="J107" s="17">
        <f>IF(B107="","",IFERROR(INDEX('Content Calendar'!$P$5:$P$604,MATCH(B107,'Content Calendar'!$A$5:$A$604,0)),"Not found"))</f>
        <v>0</v>
      </c>
      <c r="K107" s="17">
        <f>IF(B107="","",IFERROR(INDEX('Content Calendar'!$O$5:$O$604,MATCH(B107,'Content Calendar'!$A$5:$A$604,0)),"Not found"))</f>
        <v>0</v>
      </c>
      <c r="L107" s="17">
        <f>IF(B107="","",IFERROR(INDEX('Content Calendar'!$N$5:$N$604,MATCH(B107,'Content Calendar'!$A$5:$A$604,0)),"Not found"))</f>
        <v>0</v>
      </c>
      <c r="M107" s="17">
        <f>IF(B107="","",IFERROR(INDEX('Content Calendar'!$C$5:$C$604,MATCH(B107,'Content Calendar'!$A$5:$A$604,0)),"Not found"))</f>
        <v>0</v>
      </c>
      <c r="N107" s="17">
        <f>IF(B107="","",IFERROR(INDEX('Content Calendar'!$F$5:$F$604,MATCH(B107,'Content Calendar'!$A$5:$A$604,0)),"Not found"))</f>
        <v>0</v>
      </c>
      <c r="Z107" s="23">
        <f>IF(O107="","",N(Q107)+N(R107)+N(S107)+N(T107))</f>
        <v>0</v>
      </c>
      <c r="AA107" s="24">
        <f>IF(OR(O107="",O107=0),"",Z107/O107)</f>
        <v>0</v>
      </c>
      <c r="AB107" s="24">
        <f>IF(OR(O107="",O107=0),"",N(T107)/O107)</f>
        <v>0</v>
      </c>
      <c r="AC107" s="24">
        <f>IF(OR(O107="",O107=0),"",N(S107)/O107)</f>
        <v>0</v>
      </c>
      <c r="AD107" s="24">
        <f>IF(OR(O107="",O107=0),"",N(R107)/O107)</f>
        <v>0</v>
      </c>
      <c r="AE107" s="24">
        <f>IF(OR(O107="",O107=0),"",N(U107)/O107)</f>
        <v>0</v>
      </c>
      <c r="AF107" s="24">
        <f>IF(OR(U107="",U107=0),"",N(W107)/U107)</f>
        <v>0</v>
      </c>
      <c r="AG107" s="25">
        <f>IF(OR(O107="",O107=0),"",N(X107)/(O107/1000))</f>
        <v>0</v>
      </c>
      <c r="AH107" s="24">
        <f>IF(O107="","",IF(Y107="",TargetEngagement,Y107))</f>
        <v>0</v>
      </c>
      <c r="AI107" s="24">
        <f>IF(OR(AA107="",AH107=""),"",AA107-AH107)</f>
        <v>0</v>
      </c>
      <c r="AJ107" s="31">
        <f>IF(AA107="","",AA107+ROW()/1000000)</f>
        <v>0</v>
      </c>
      <c r="AK107" s="23">
        <f>IF(AA107="","",RANK(AJ107,Performance!$AJ$5:$AJ$404))</f>
        <v>0</v>
      </c>
      <c r="AL107" s="29">
        <f>IF(AA107="","",IF(AA107&gt;=AH107*1.5,"Top performer",IF(AA107&gt;=AH107,"Above target",IF(AA107&gt;=AH107*0.6,"Below target","Weak - review it"))))</f>
        <v>0</v>
      </c>
      <c r="AM107" s="29">
        <f>IF(B107="","",IF(COUNTIF(Performance!$B$5:$B$404,B107)&gt;1,"Duplicate","OK"))</f>
        <v>0</v>
      </c>
      <c r="AN107" s="29">
        <f>IF(B107="","",IF(C107="Not found","Check - content ID not on the calendar",IF(O107="","Add - no numbers entered yet",IF(AM107="Duplicate","Duplicate - this post is entered twice",IF(AL107="Top performer","Repurpose this one","OK")))))</f>
        <v>0</v>
      </c>
    </row>
    <row r="108" spans="1:40">
      <c r="A108" s="41">
        <f>IF(B108="","","PF-"&amp;TEXT(ROW()-4,"0000"))</f>
        <v>0</v>
      </c>
      <c r="C108" s="17">
        <f>IF(B108="","",IFERROR(INDEX('Content Calendar'!$H$5:$H$604,MATCH(B108,'Content Calendar'!$A$5:$A$604,0)),"Not found"))</f>
        <v>0</v>
      </c>
      <c r="D108" s="16">
        <f>IF(B108="","",IFERROR(INDEX('Content Calendar'!$B$5:$B$604,MATCH(B108,'Content Calendar'!$A$5:$A$604,0)),"Not found"))</f>
        <v>0</v>
      </c>
      <c r="E108" s="17">
        <f>IF(B108="","",IFERROR(INDEX('Content Calendar'!$D$5:$D$604,MATCH(B108,'Content Calendar'!$A$5:$A$604,0)),"Not found"))</f>
        <v>0</v>
      </c>
      <c r="F108" s="17">
        <f>IF(B108="","",IFERROR(INDEX('Content Calendar'!$G$5:$G$604,MATCH(B108,'Content Calendar'!$A$5:$A$604,0)),"Not found"))</f>
        <v>0</v>
      </c>
      <c r="G108" s="17">
        <f>IF(B108="","",IFERROR(INDEX('Content Calendar'!$K$5:$K$604,MATCH(B108,'Content Calendar'!$A$5:$A$604,0)),"Not found"))</f>
        <v>0</v>
      </c>
      <c r="H108" s="17">
        <f>IF(B108="","",IFERROR(INDEX('Content Calendar'!$J$5:$J$604,MATCH(B108,'Content Calendar'!$A$5:$A$604,0)),"Not found"))</f>
        <v>0</v>
      </c>
      <c r="I108" s="17">
        <f>IF(B108="","",IFERROR(INDEX('Content Calendar'!$L$5:$L$604,MATCH(B108,'Content Calendar'!$A$5:$A$604,0)),"Not found"))</f>
        <v>0</v>
      </c>
      <c r="J108" s="17">
        <f>IF(B108="","",IFERROR(INDEX('Content Calendar'!$P$5:$P$604,MATCH(B108,'Content Calendar'!$A$5:$A$604,0)),"Not found"))</f>
        <v>0</v>
      </c>
      <c r="K108" s="17">
        <f>IF(B108="","",IFERROR(INDEX('Content Calendar'!$O$5:$O$604,MATCH(B108,'Content Calendar'!$A$5:$A$604,0)),"Not found"))</f>
        <v>0</v>
      </c>
      <c r="L108" s="17">
        <f>IF(B108="","",IFERROR(INDEX('Content Calendar'!$N$5:$N$604,MATCH(B108,'Content Calendar'!$A$5:$A$604,0)),"Not found"))</f>
        <v>0</v>
      </c>
      <c r="M108" s="17">
        <f>IF(B108="","",IFERROR(INDEX('Content Calendar'!$C$5:$C$604,MATCH(B108,'Content Calendar'!$A$5:$A$604,0)),"Not found"))</f>
        <v>0</v>
      </c>
      <c r="N108" s="17">
        <f>IF(B108="","",IFERROR(INDEX('Content Calendar'!$F$5:$F$604,MATCH(B108,'Content Calendar'!$A$5:$A$604,0)),"Not found"))</f>
        <v>0</v>
      </c>
      <c r="Z108" s="23">
        <f>IF(O108="","",N(Q108)+N(R108)+N(S108)+N(T108))</f>
        <v>0</v>
      </c>
      <c r="AA108" s="24">
        <f>IF(OR(O108="",O108=0),"",Z108/O108)</f>
        <v>0</v>
      </c>
      <c r="AB108" s="24">
        <f>IF(OR(O108="",O108=0),"",N(T108)/O108)</f>
        <v>0</v>
      </c>
      <c r="AC108" s="24">
        <f>IF(OR(O108="",O108=0),"",N(S108)/O108)</f>
        <v>0</v>
      </c>
      <c r="AD108" s="24">
        <f>IF(OR(O108="",O108=0),"",N(R108)/O108)</f>
        <v>0</v>
      </c>
      <c r="AE108" s="24">
        <f>IF(OR(O108="",O108=0),"",N(U108)/O108)</f>
        <v>0</v>
      </c>
      <c r="AF108" s="24">
        <f>IF(OR(U108="",U108=0),"",N(W108)/U108)</f>
        <v>0</v>
      </c>
      <c r="AG108" s="25">
        <f>IF(OR(O108="",O108=0),"",N(X108)/(O108/1000))</f>
        <v>0</v>
      </c>
      <c r="AH108" s="24">
        <f>IF(O108="","",IF(Y108="",TargetEngagement,Y108))</f>
        <v>0</v>
      </c>
      <c r="AI108" s="24">
        <f>IF(OR(AA108="",AH108=""),"",AA108-AH108)</f>
        <v>0</v>
      </c>
      <c r="AJ108" s="31">
        <f>IF(AA108="","",AA108+ROW()/1000000)</f>
        <v>0</v>
      </c>
      <c r="AK108" s="23">
        <f>IF(AA108="","",RANK(AJ108,Performance!$AJ$5:$AJ$404))</f>
        <v>0</v>
      </c>
      <c r="AL108" s="29">
        <f>IF(AA108="","",IF(AA108&gt;=AH108*1.5,"Top performer",IF(AA108&gt;=AH108,"Above target",IF(AA108&gt;=AH108*0.6,"Below target","Weak - review it"))))</f>
        <v>0</v>
      </c>
      <c r="AM108" s="29">
        <f>IF(B108="","",IF(COUNTIF(Performance!$B$5:$B$404,B108)&gt;1,"Duplicate","OK"))</f>
        <v>0</v>
      </c>
      <c r="AN108" s="29">
        <f>IF(B108="","",IF(C108="Not found","Check - content ID not on the calendar",IF(O108="","Add - no numbers entered yet",IF(AM108="Duplicate","Duplicate - this post is entered twice",IF(AL108="Top performer","Repurpose this one","OK")))))</f>
        <v>0</v>
      </c>
    </row>
    <row r="109" spans="1:40">
      <c r="A109" s="41">
        <f>IF(B109="","","PF-"&amp;TEXT(ROW()-4,"0000"))</f>
        <v>0</v>
      </c>
      <c r="C109" s="17">
        <f>IF(B109="","",IFERROR(INDEX('Content Calendar'!$H$5:$H$604,MATCH(B109,'Content Calendar'!$A$5:$A$604,0)),"Not found"))</f>
        <v>0</v>
      </c>
      <c r="D109" s="16">
        <f>IF(B109="","",IFERROR(INDEX('Content Calendar'!$B$5:$B$604,MATCH(B109,'Content Calendar'!$A$5:$A$604,0)),"Not found"))</f>
        <v>0</v>
      </c>
      <c r="E109" s="17">
        <f>IF(B109="","",IFERROR(INDEX('Content Calendar'!$D$5:$D$604,MATCH(B109,'Content Calendar'!$A$5:$A$604,0)),"Not found"))</f>
        <v>0</v>
      </c>
      <c r="F109" s="17">
        <f>IF(B109="","",IFERROR(INDEX('Content Calendar'!$G$5:$G$604,MATCH(B109,'Content Calendar'!$A$5:$A$604,0)),"Not found"))</f>
        <v>0</v>
      </c>
      <c r="G109" s="17">
        <f>IF(B109="","",IFERROR(INDEX('Content Calendar'!$K$5:$K$604,MATCH(B109,'Content Calendar'!$A$5:$A$604,0)),"Not found"))</f>
        <v>0</v>
      </c>
      <c r="H109" s="17">
        <f>IF(B109="","",IFERROR(INDEX('Content Calendar'!$J$5:$J$604,MATCH(B109,'Content Calendar'!$A$5:$A$604,0)),"Not found"))</f>
        <v>0</v>
      </c>
      <c r="I109" s="17">
        <f>IF(B109="","",IFERROR(INDEX('Content Calendar'!$L$5:$L$604,MATCH(B109,'Content Calendar'!$A$5:$A$604,0)),"Not found"))</f>
        <v>0</v>
      </c>
      <c r="J109" s="17">
        <f>IF(B109="","",IFERROR(INDEX('Content Calendar'!$P$5:$P$604,MATCH(B109,'Content Calendar'!$A$5:$A$604,0)),"Not found"))</f>
        <v>0</v>
      </c>
      <c r="K109" s="17">
        <f>IF(B109="","",IFERROR(INDEX('Content Calendar'!$O$5:$O$604,MATCH(B109,'Content Calendar'!$A$5:$A$604,0)),"Not found"))</f>
        <v>0</v>
      </c>
      <c r="L109" s="17">
        <f>IF(B109="","",IFERROR(INDEX('Content Calendar'!$N$5:$N$604,MATCH(B109,'Content Calendar'!$A$5:$A$604,0)),"Not found"))</f>
        <v>0</v>
      </c>
      <c r="M109" s="17">
        <f>IF(B109="","",IFERROR(INDEX('Content Calendar'!$C$5:$C$604,MATCH(B109,'Content Calendar'!$A$5:$A$604,0)),"Not found"))</f>
        <v>0</v>
      </c>
      <c r="N109" s="17">
        <f>IF(B109="","",IFERROR(INDEX('Content Calendar'!$F$5:$F$604,MATCH(B109,'Content Calendar'!$A$5:$A$604,0)),"Not found"))</f>
        <v>0</v>
      </c>
      <c r="Z109" s="23">
        <f>IF(O109="","",N(Q109)+N(R109)+N(S109)+N(T109))</f>
        <v>0</v>
      </c>
      <c r="AA109" s="24">
        <f>IF(OR(O109="",O109=0),"",Z109/O109)</f>
        <v>0</v>
      </c>
      <c r="AB109" s="24">
        <f>IF(OR(O109="",O109=0),"",N(T109)/O109)</f>
        <v>0</v>
      </c>
      <c r="AC109" s="24">
        <f>IF(OR(O109="",O109=0),"",N(S109)/O109)</f>
        <v>0</v>
      </c>
      <c r="AD109" s="24">
        <f>IF(OR(O109="",O109=0),"",N(R109)/O109)</f>
        <v>0</v>
      </c>
      <c r="AE109" s="24">
        <f>IF(OR(O109="",O109=0),"",N(U109)/O109)</f>
        <v>0</v>
      </c>
      <c r="AF109" s="24">
        <f>IF(OR(U109="",U109=0),"",N(W109)/U109)</f>
        <v>0</v>
      </c>
      <c r="AG109" s="25">
        <f>IF(OR(O109="",O109=0),"",N(X109)/(O109/1000))</f>
        <v>0</v>
      </c>
      <c r="AH109" s="24">
        <f>IF(O109="","",IF(Y109="",TargetEngagement,Y109))</f>
        <v>0</v>
      </c>
      <c r="AI109" s="24">
        <f>IF(OR(AA109="",AH109=""),"",AA109-AH109)</f>
        <v>0</v>
      </c>
      <c r="AJ109" s="31">
        <f>IF(AA109="","",AA109+ROW()/1000000)</f>
        <v>0</v>
      </c>
      <c r="AK109" s="23">
        <f>IF(AA109="","",RANK(AJ109,Performance!$AJ$5:$AJ$404))</f>
        <v>0</v>
      </c>
      <c r="AL109" s="29">
        <f>IF(AA109="","",IF(AA109&gt;=AH109*1.5,"Top performer",IF(AA109&gt;=AH109,"Above target",IF(AA109&gt;=AH109*0.6,"Below target","Weak - review it"))))</f>
        <v>0</v>
      </c>
      <c r="AM109" s="29">
        <f>IF(B109="","",IF(COUNTIF(Performance!$B$5:$B$404,B109)&gt;1,"Duplicate","OK"))</f>
        <v>0</v>
      </c>
      <c r="AN109" s="29">
        <f>IF(B109="","",IF(C109="Not found","Check - content ID not on the calendar",IF(O109="","Add - no numbers entered yet",IF(AM109="Duplicate","Duplicate - this post is entered twice",IF(AL109="Top performer","Repurpose this one","OK")))))</f>
        <v>0</v>
      </c>
    </row>
    <row r="110" spans="1:40">
      <c r="A110" s="41">
        <f>IF(B110="","","PF-"&amp;TEXT(ROW()-4,"0000"))</f>
        <v>0</v>
      </c>
      <c r="C110" s="17">
        <f>IF(B110="","",IFERROR(INDEX('Content Calendar'!$H$5:$H$604,MATCH(B110,'Content Calendar'!$A$5:$A$604,0)),"Not found"))</f>
        <v>0</v>
      </c>
      <c r="D110" s="16">
        <f>IF(B110="","",IFERROR(INDEX('Content Calendar'!$B$5:$B$604,MATCH(B110,'Content Calendar'!$A$5:$A$604,0)),"Not found"))</f>
        <v>0</v>
      </c>
      <c r="E110" s="17">
        <f>IF(B110="","",IFERROR(INDEX('Content Calendar'!$D$5:$D$604,MATCH(B110,'Content Calendar'!$A$5:$A$604,0)),"Not found"))</f>
        <v>0</v>
      </c>
      <c r="F110" s="17">
        <f>IF(B110="","",IFERROR(INDEX('Content Calendar'!$G$5:$G$604,MATCH(B110,'Content Calendar'!$A$5:$A$604,0)),"Not found"))</f>
        <v>0</v>
      </c>
      <c r="G110" s="17">
        <f>IF(B110="","",IFERROR(INDEX('Content Calendar'!$K$5:$K$604,MATCH(B110,'Content Calendar'!$A$5:$A$604,0)),"Not found"))</f>
        <v>0</v>
      </c>
      <c r="H110" s="17">
        <f>IF(B110="","",IFERROR(INDEX('Content Calendar'!$J$5:$J$604,MATCH(B110,'Content Calendar'!$A$5:$A$604,0)),"Not found"))</f>
        <v>0</v>
      </c>
      <c r="I110" s="17">
        <f>IF(B110="","",IFERROR(INDEX('Content Calendar'!$L$5:$L$604,MATCH(B110,'Content Calendar'!$A$5:$A$604,0)),"Not found"))</f>
        <v>0</v>
      </c>
      <c r="J110" s="17">
        <f>IF(B110="","",IFERROR(INDEX('Content Calendar'!$P$5:$P$604,MATCH(B110,'Content Calendar'!$A$5:$A$604,0)),"Not found"))</f>
        <v>0</v>
      </c>
      <c r="K110" s="17">
        <f>IF(B110="","",IFERROR(INDEX('Content Calendar'!$O$5:$O$604,MATCH(B110,'Content Calendar'!$A$5:$A$604,0)),"Not found"))</f>
        <v>0</v>
      </c>
      <c r="L110" s="17">
        <f>IF(B110="","",IFERROR(INDEX('Content Calendar'!$N$5:$N$604,MATCH(B110,'Content Calendar'!$A$5:$A$604,0)),"Not found"))</f>
        <v>0</v>
      </c>
      <c r="M110" s="17">
        <f>IF(B110="","",IFERROR(INDEX('Content Calendar'!$C$5:$C$604,MATCH(B110,'Content Calendar'!$A$5:$A$604,0)),"Not found"))</f>
        <v>0</v>
      </c>
      <c r="N110" s="17">
        <f>IF(B110="","",IFERROR(INDEX('Content Calendar'!$F$5:$F$604,MATCH(B110,'Content Calendar'!$A$5:$A$604,0)),"Not found"))</f>
        <v>0</v>
      </c>
      <c r="Z110" s="23">
        <f>IF(O110="","",N(Q110)+N(R110)+N(S110)+N(T110))</f>
        <v>0</v>
      </c>
      <c r="AA110" s="24">
        <f>IF(OR(O110="",O110=0),"",Z110/O110)</f>
        <v>0</v>
      </c>
      <c r="AB110" s="24">
        <f>IF(OR(O110="",O110=0),"",N(T110)/O110)</f>
        <v>0</v>
      </c>
      <c r="AC110" s="24">
        <f>IF(OR(O110="",O110=0),"",N(S110)/O110)</f>
        <v>0</v>
      </c>
      <c r="AD110" s="24">
        <f>IF(OR(O110="",O110=0),"",N(R110)/O110)</f>
        <v>0</v>
      </c>
      <c r="AE110" s="24">
        <f>IF(OR(O110="",O110=0),"",N(U110)/O110)</f>
        <v>0</v>
      </c>
      <c r="AF110" s="24">
        <f>IF(OR(U110="",U110=0),"",N(W110)/U110)</f>
        <v>0</v>
      </c>
      <c r="AG110" s="25">
        <f>IF(OR(O110="",O110=0),"",N(X110)/(O110/1000))</f>
        <v>0</v>
      </c>
      <c r="AH110" s="24">
        <f>IF(O110="","",IF(Y110="",TargetEngagement,Y110))</f>
        <v>0</v>
      </c>
      <c r="AI110" s="24">
        <f>IF(OR(AA110="",AH110=""),"",AA110-AH110)</f>
        <v>0</v>
      </c>
      <c r="AJ110" s="31">
        <f>IF(AA110="","",AA110+ROW()/1000000)</f>
        <v>0</v>
      </c>
      <c r="AK110" s="23">
        <f>IF(AA110="","",RANK(AJ110,Performance!$AJ$5:$AJ$404))</f>
        <v>0</v>
      </c>
      <c r="AL110" s="29">
        <f>IF(AA110="","",IF(AA110&gt;=AH110*1.5,"Top performer",IF(AA110&gt;=AH110,"Above target",IF(AA110&gt;=AH110*0.6,"Below target","Weak - review it"))))</f>
        <v>0</v>
      </c>
      <c r="AM110" s="29">
        <f>IF(B110="","",IF(COUNTIF(Performance!$B$5:$B$404,B110)&gt;1,"Duplicate","OK"))</f>
        <v>0</v>
      </c>
      <c r="AN110" s="29">
        <f>IF(B110="","",IF(C110="Not found","Check - content ID not on the calendar",IF(O110="","Add - no numbers entered yet",IF(AM110="Duplicate","Duplicate - this post is entered twice",IF(AL110="Top performer","Repurpose this one","OK")))))</f>
        <v>0</v>
      </c>
    </row>
    <row r="111" spans="1:40">
      <c r="A111" s="41">
        <f>IF(B111="","","PF-"&amp;TEXT(ROW()-4,"0000"))</f>
        <v>0</v>
      </c>
      <c r="C111" s="17">
        <f>IF(B111="","",IFERROR(INDEX('Content Calendar'!$H$5:$H$604,MATCH(B111,'Content Calendar'!$A$5:$A$604,0)),"Not found"))</f>
        <v>0</v>
      </c>
      <c r="D111" s="16">
        <f>IF(B111="","",IFERROR(INDEX('Content Calendar'!$B$5:$B$604,MATCH(B111,'Content Calendar'!$A$5:$A$604,0)),"Not found"))</f>
        <v>0</v>
      </c>
      <c r="E111" s="17">
        <f>IF(B111="","",IFERROR(INDEX('Content Calendar'!$D$5:$D$604,MATCH(B111,'Content Calendar'!$A$5:$A$604,0)),"Not found"))</f>
        <v>0</v>
      </c>
      <c r="F111" s="17">
        <f>IF(B111="","",IFERROR(INDEX('Content Calendar'!$G$5:$G$604,MATCH(B111,'Content Calendar'!$A$5:$A$604,0)),"Not found"))</f>
        <v>0</v>
      </c>
      <c r="G111" s="17">
        <f>IF(B111="","",IFERROR(INDEX('Content Calendar'!$K$5:$K$604,MATCH(B111,'Content Calendar'!$A$5:$A$604,0)),"Not found"))</f>
        <v>0</v>
      </c>
      <c r="H111" s="17">
        <f>IF(B111="","",IFERROR(INDEX('Content Calendar'!$J$5:$J$604,MATCH(B111,'Content Calendar'!$A$5:$A$604,0)),"Not found"))</f>
        <v>0</v>
      </c>
      <c r="I111" s="17">
        <f>IF(B111="","",IFERROR(INDEX('Content Calendar'!$L$5:$L$604,MATCH(B111,'Content Calendar'!$A$5:$A$604,0)),"Not found"))</f>
        <v>0</v>
      </c>
      <c r="J111" s="17">
        <f>IF(B111="","",IFERROR(INDEX('Content Calendar'!$P$5:$P$604,MATCH(B111,'Content Calendar'!$A$5:$A$604,0)),"Not found"))</f>
        <v>0</v>
      </c>
      <c r="K111" s="17">
        <f>IF(B111="","",IFERROR(INDEX('Content Calendar'!$O$5:$O$604,MATCH(B111,'Content Calendar'!$A$5:$A$604,0)),"Not found"))</f>
        <v>0</v>
      </c>
      <c r="L111" s="17">
        <f>IF(B111="","",IFERROR(INDEX('Content Calendar'!$N$5:$N$604,MATCH(B111,'Content Calendar'!$A$5:$A$604,0)),"Not found"))</f>
        <v>0</v>
      </c>
      <c r="M111" s="17">
        <f>IF(B111="","",IFERROR(INDEX('Content Calendar'!$C$5:$C$604,MATCH(B111,'Content Calendar'!$A$5:$A$604,0)),"Not found"))</f>
        <v>0</v>
      </c>
      <c r="N111" s="17">
        <f>IF(B111="","",IFERROR(INDEX('Content Calendar'!$F$5:$F$604,MATCH(B111,'Content Calendar'!$A$5:$A$604,0)),"Not found"))</f>
        <v>0</v>
      </c>
      <c r="Z111" s="23">
        <f>IF(O111="","",N(Q111)+N(R111)+N(S111)+N(T111))</f>
        <v>0</v>
      </c>
      <c r="AA111" s="24">
        <f>IF(OR(O111="",O111=0),"",Z111/O111)</f>
        <v>0</v>
      </c>
      <c r="AB111" s="24">
        <f>IF(OR(O111="",O111=0),"",N(T111)/O111)</f>
        <v>0</v>
      </c>
      <c r="AC111" s="24">
        <f>IF(OR(O111="",O111=0),"",N(S111)/O111)</f>
        <v>0</v>
      </c>
      <c r="AD111" s="24">
        <f>IF(OR(O111="",O111=0),"",N(R111)/O111)</f>
        <v>0</v>
      </c>
      <c r="AE111" s="24">
        <f>IF(OR(O111="",O111=0),"",N(U111)/O111)</f>
        <v>0</v>
      </c>
      <c r="AF111" s="24">
        <f>IF(OR(U111="",U111=0),"",N(W111)/U111)</f>
        <v>0</v>
      </c>
      <c r="AG111" s="25">
        <f>IF(OR(O111="",O111=0),"",N(X111)/(O111/1000))</f>
        <v>0</v>
      </c>
      <c r="AH111" s="24">
        <f>IF(O111="","",IF(Y111="",TargetEngagement,Y111))</f>
        <v>0</v>
      </c>
      <c r="AI111" s="24">
        <f>IF(OR(AA111="",AH111=""),"",AA111-AH111)</f>
        <v>0</v>
      </c>
      <c r="AJ111" s="31">
        <f>IF(AA111="","",AA111+ROW()/1000000)</f>
        <v>0</v>
      </c>
      <c r="AK111" s="23">
        <f>IF(AA111="","",RANK(AJ111,Performance!$AJ$5:$AJ$404))</f>
        <v>0</v>
      </c>
      <c r="AL111" s="29">
        <f>IF(AA111="","",IF(AA111&gt;=AH111*1.5,"Top performer",IF(AA111&gt;=AH111,"Above target",IF(AA111&gt;=AH111*0.6,"Below target","Weak - review it"))))</f>
        <v>0</v>
      </c>
      <c r="AM111" s="29">
        <f>IF(B111="","",IF(COUNTIF(Performance!$B$5:$B$404,B111)&gt;1,"Duplicate","OK"))</f>
        <v>0</v>
      </c>
      <c r="AN111" s="29">
        <f>IF(B111="","",IF(C111="Not found","Check - content ID not on the calendar",IF(O111="","Add - no numbers entered yet",IF(AM111="Duplicate","Duplicate - this post is entered twice",IF(AL111="Top performer","Repurpose this one","OK")))))</f>
        <v>0</v>
      </c>
    </row>
    <row r="112" spans="1:40">
      <c r="A112" s="41">
        <f>IF(B112="","","PF-"&amp;TEXT(ROW()-4,"0000"))</f>
        <v>0</v>
      </c>
      <c r="C112" s="17">
        <f>IF(B112="","",IFERROR(INDEX('Content Calendar'!$H$5:$H$604,MATCH(B112,'Content Calendar'!$A$5:$A$604,0)),"Not found"))</f>
        <v>0</v>
      </c>
      <c r="D112" s="16">
        <f>IF(B112="","",IFERROR(INDEX('Content Calendar'!$B$5:$B$604,MATCH(B112,'Content Calendar'!$A$5:$A$604,0)),"Not found"))</f>
        <v>0</v>
      </c>
      <c r="E112" s="17">
        <f>IF(B112="","",IFERROR(INDEX('Content Calendar'!$D$5:$D$604,MATCH(B112,'Content Calendar'!$A$5:$A$604,0)),"Not found"))</f>
        <v>0</v>
      </c>
      <c r="F112" s="17">
        <f>IF(B112="","",IFERROR(INDEX('Content Calendar'!$G$5:$G$604,MATCH(B112,'Content Calendar'!$A$5:$A$604,0)),"Not found"))</f>
        <v>0</v>
      </c>
      <c r="G112" s="17">
        <f>IF(B112="","",IFERROR(INDEX('Content Calendar'!$K$5:$K$604,MATCH(B112,'Content Calendar'!$A$5:$A$604,0)),"Not found"))</f>
        <v>0</v>
      </c>
      <c r="H112" s="17">
        <f>IF(B112="","",IFERROR(INDEX('Content Calendar'!$J$5:$J$604,MATCH(B112,'Content Calendar'!$A$5:$A$604,0)),"Not found"))</f>
        <v>0</v>
      </c>
      <c r="I112" s="17">
        <f>IF(B112="","",IFERROR(INDEX('Content Calendar'!$L$5:$L$604,MATCH(B112,'Content Calendar'!$A$5:$A$604,0)),"Not found"))</f>
        <v>0</v>
      </c>
      <c r="J112" s="17">
        <f>IF(B112="","",IFERROR(INDEX('Content Calendar'!$P$5:$P$604,MATCH(B112,'Content Calendar'!$A$5:$A$604,0)),"Not found"))</f>
        <v>0</v>
      </c>
      <c r="K112" s="17">
        <f>IF(B112="","",IFERROR(INDEX('Content Calendar'!$O$5:$O$604,MATCH(B112,'Content Calendar'!$A$5:$A$604,0)),"Not found"))</f>
        <v>0</v>
      </c>
      <c r="L112" s="17">
        <f>IF(B112="","",IFERROR(INDEX('Content Calendar'!$N$5:$N$604,MATCH(B112,'Content Calendar'!$A$5:$A$604,0)),"Not found"))</f>
        <v>0</v>
      </c>
      <c r="M112" s="17">
        <f>IF(B112="","",IFERROR(INDEX('Content Calendar'!$C$5:$C$604,MATCH(B112,'Content Calendar'!$A$5:$A$604,0)),"Not found"))</f>
        <v>0</v>
      </c>
      <c r="N112" s="17">
        <f>IF(B112="","",IFERROR(INDEX('Content Calendar'!$F$5:$F$604,MATCH(B112,'Content Calendar'!$A$5:$A$604,0)),"Not found"))</f>
        <v>0</v>
      </c>
      <c r="Z112" s="23">
        <f>IF(O112="","",N(Q112)+N(R112)+N(S112)+N(T112))</f>
        <v>0</v>
      </c>
      <c r="AA112" s="24">
        <f>IF(OR(O112="",O112=0),"",Z112/O112)</f>
        <v>0</v>
      </c>
      <c r="AB112" s="24">
        <f>IF(OR(O112="",O112=0),"",N(T112)/O112)</f>
        <v>0</v>
      </c>
      <c r="AC112" s="24">
        <f>IF(OR(O112="",O112=0),"",N(S112)/O112)</f>
        <v>0</v>
      </c>
      <c r="AD112" s="24">
        <f>IF(OR(O112="",O112=0),"",N(R112)/O112)</f>
        <v>0</v>
      </c>
      <c r="AE112" s="24">
        <f>IF(OR(O112="",O112=0),"",N(U112)/O112)</f>
        <v>0</v>
      </c>
      <c r="AF112" s="24">
        <f>IF(OR(U112="",U112=0),"",N(W112)/U112)</f>
        <v>0</v>
      </c>
      <c r="AG112" s="25">
        <f>IF(OR(O112="",O112=0),"",N(X112)/(O112/1000))</f>
        <v>0</v>
      </c>
      <c r="AH112" s="24">
        <f>IF(O112="","",IF(Y112="",TargetEngagement,Y112))</f>
        <v>0</v>
      </c>
      <c r="AI112" s="24">
        <f>IF(OR(AA112="",AH112=""),"",AA112-AH112)</f>
        <v>0</v>
      </c>
      <c r="AJ112" s="31">
        <f>IF(AA112="","",AA112+ROW()/1000000)</f>
        <v>0</v>
      </c>
      <c r="AK112" s="23">
        <f>IF(AA112="","",RANK(AJ112,Performance!$AJ$5:$AJ$404))</f>
        <v>0</v>
      </c>
      <c r="AL112" s="29">
        <f>IF(AA112="","",IF(AA112&gt;=AH112*1.5,"Top performer",IF(AA112&gt;=AH112,"Above target",IF(AA112&gt;=AH112*0.6,"Below target","Weak - review it"))))</f>
        <v>0</v>
      </c>
      <c r="AM112" s="29">
        <f>IF(B112="","",IF(COUNTIF(Performance!$B$5:$B$404,B112)&gt;1,"Duplicate","OK"))</f>
        <v>0</v>
      </c>
      <c r="AN112" s="29">
        <f>IF(B112="","",IF(C112="Not found","Check - content ID not on the calendar",IF(O112="","Add - no numbers entered yet",IF(AM112="Duplicate","Duplicate - this post is entered twice",IF(AL112="Top performer","Repurpose this one","OK")))))</f>
        <v>0</v>
      </c>
    </row>
    <row r="113" spans="1:40">
      <c r="A113" s="41">
        <f>IF(B113="","","PF-"&amp;TEXT(ROW()-4,"0000"))</f>
        <v>0</v>
      </c>
      <c r="C113" s="17">
        <f>IF(B113="","",IFERROR(INDEX('Content Calendar'!$H$5:$H$604,MATCH(B113,'Content Calendar'!$A$5:$A$604,0)),"Not found"))</f>
        <v>0</v>
      </c>
      <c r="D113" s="16">
        <f>IF(B113="","",IFERROR(INDEX('Content Calendar'!$B$5:$B$604,MATCH(B113,'Content Calendar'!$A$5:$A$604,0)),"Not found"))</f>
        <v>0</v>
      </c>
      <c r="E113" s="17">
        <f>IF(B113="","",IFERROR(INDEX('Content Calendar'!$D$5:$D$604,MATCH(B113,'Content Calendar'!$A$5:$A$604,0)),"Not found"))</f>
        <v>0</v>
      </c>
      <c r="F113" s="17">
        <f>IF(B113="","",IFERROR(INDEX('Content Calendar'!$G$5:$G$604,MATCH(B113,'Content Calendar'!$A$5:$A$604,0)),"Not found"))</f>
        <v>0</v>
      </c>
      <c r="G113" s="17">
        <f>IF(B113="","",IFERROR(INDEX('Content Calendar'!$K$5:$K$604,MATCH(B113,'Content Calendar'!$A$5:$A$604,0)),"Not found"))</f>
        <v>0</v>
      </c>
      <c r="H113" s="17">
        <f>IF(B113="","",IFERROR(INDEX('Content Calendar'!$J$5:$J$604,MATCH(B113,'Content Calendar'!$A$5:$A$604,0)),"Not found"))</f>
        <v>0</v>
      </c>
      <c r="I113" s="17">
        <f>IF(B113="","",IFERROR(INDEX('Content Calendar'!$L$5:$L$604,MATCH(B113,'Content Calendar'!$A$5:$A$604,0)),"Not found"))</f>
        <v>0</v>
      </c>
      <c r="J113" s="17">
        <f>IF(B113="","",IFERROR(INDEX('Content Calendar'!$P$5:$P$604,MATCH(B113,'Content Calendar'!$A$5:$A$604,0)),"Not found"))</f>
        <v>0</v>
      </c>
      <c r="K113" s="17">
        <f>IF(B113="","",IFERROR(INDEX('Content Calendar'!$O$5:$O$604,MATCH(B113,'Content Calendar'!$A$5:$A$604,0)),"Not found"))</f>
        <v>0</v>
      </c>
      <c r="L113" s="17">
        <f>IF(B113="","",IFERROR(INDEX('Content Calendar'!$N$5:$N$604,MATCH(B113,'Content Calendar'!$A$5:$A$604,0)),"Not found"))</f>
        <v>0</v>
      </c>
      <c r="M113" s="17">
        <f>IF(B113="","",IFERROR(INDEX('Content Calendar'!$C$5:$C$604,MATCH(B113,'Content Calendar'!$A$5:$A$604,0)),"Not found"))</f>
        <v>0</v>
      </c>
      <c r="N113" s="17">
        <f>IF(B113="","",IFERROR(INDEX('Content Calendar'!$F$5:$F$604,MATCH(B113,'Content Calendar'!$A$5:$A$604,0)),"Not found"))</f>
        <v>0</v>
      </c>
      <c r="Z113" s="23">
        <f>IF(O113="","",N(Q113)+N(R113)+N(S113)+N(T113))</f>
        <v>0</v>
      </c>
      <c r="AA113" s="24">
        <f>IF(OR(O113="",O113=0),"",Z113/O113)</f>
        <v>0</v>
      </c>
      <c r="AB113" s="24">
        <f>IF(OR(O113="",O113=0),"",N(T113)/O113)</f>
        <v>0</v>
      </c>
      <c r="AC113" s="24">
        <f>IF(OR(O113="",O113=0),"",N(S113)/O113)</f>
        <v>0</v>
      </c>
      <c r="AD113" s="24">
        <f>IF(OR(O113="",O113=0),"",N(R113)/O113)</f>
        <v>0</v>
      </c>
      <c r="AE113" s="24">
        <f>IF(OR(O113="",O113=0),"",N(U113)/O113)</f>
        <v>0</v>
      </c>
      <c r="AF113" s="24">
        <f>IF(OR(U113="",U113=0),"",N(W113)/U113)</f>
        <v>0</v>
      </c>
      <c r="AG113" s="25">
        <f>IF(OR(O113="",O113=0),"",N(X113)/(O113/1000))</f>
        <v>0</v>
      </c>
      <c r="AH113" s="24">
        <f>IF(O113="","",IF(Y113="",TargetEngagement,Y113))</f>
        <v>0</v>
      </c>
      <c r="AI113" s="24">
        <f>IF(OR(AA113="",AH113=""),"",AA113-AH113)</f>
        <v>0</v>
      </c>
      <c r="AJ113" s="31">
        <f>IF(AA113="","",AA113+ROW()/1000000)</f>
        <v>0</v>
      </c>
      <c r="AK113" s="23">
        <f>IF(AA113="","",RANK(AJ113,Performance!$AJ$5:$AJ$404))</f>
        <v>0</v>
      </c>
      <c r="AL113" s="29">
        <f>IF(AA113="","",IF(AA113&gt;=AH113*1.5,"Top performer",IF(AA113&gt;=AH113,"Above target",IF(AA113&gt;=AH113*0.6,"Below target","Weak - review it"))))</f>
        <v>0</v>
      </c>
      <c r="AM113" s="29">
        <f>IF(B113="","",IF(COUNTIF(Performance!$B$5:$B$404,B113)&gt;1,"Duplicate","OK"))</f>
        <v>0</v>
      </c>
      <c r="AN113" s="29">
        <f>IF(B113="","",IF(C113="Not found","Check - content ID not on the calendar",IF(O113="","Add - no numbers entered yet",IF(AM113="Duplicate","Duplicate - this post is entered twice",IF(AL113="Top performer","Repurpose this one","OK")))))</f>
        <v>0</v>
      </c>
    </row>
    <row r="114" spans="1:40">
      <c r="A114" s="41">
        <f>IF(B114="","","PF-"&amp;TEXT(ROW()-4,"0000"))</f>
        <v>0</v>
      </c>
      <c r="C114" s="17">
        <f>IF(B114="","",IFERROR(INDEX('Content Calendar'!$H$5:$H$604,MATCH(B114,'Content Calendar'!$A$5:$A$604,0)),"Not found"))</f>
        <v>0</v>
      </c>
      <c r="D114" s="16">
        <f>IF(B114="","",IFERROR(INDEX('Content Calendar'!$B$5:$B$604,MATCH(B114,'Content Calendar'!$A$5:$A$604,0)),"Not found"))</f>
        <v>0</v>
      </c>
      <c r="E114" s="17">
        <f>IF(B114="","",IFERROR(INDEX('Content Calendar'!$D$5:$D$604,MATCH(B114,'Content Calendar'!$A$5:$A$604,0)),"Not found"))</f>
        <v>0</v>
      </c>
      <c r="F114" s="17">
        <f>IF(B114="","",IFERROR(INDEX('Content Calendar'!$G$5:$G$604,MATCH(B114,'Content Calendar'!$A$5:$A$604,0)),"Not found"))</f>
        <v>0</v>
      </c>
      <c r="G114" s="17">
        <f>IF(B114="","",IFERROR(INDEX('Content Calendar'!$K$5:$K$604,MATCH(B114,'Content Calendar'!$A$5:$A$604,0)),"Not found"))</f>
        <v>0</v>
      </c>
      <c r="H114" s="17">
        <f>IF(B114="","",IFERROR(INDEX('Content Calendar'!$J$5:$J$604,MATCH(B114,'Content Calendar'!$A$5:$A$604,0)),"Not found"))</f>
        <v>0</v>
      </c>
      <c r="I114" s="17">
        <f>IF(B114="","",IFERROR(INDEX('Content Calendar'!$L$5:$L$604,MATCH(B114,'Content Calendar'!$A$5:$A$604,0)),"Not found"))</f>
        <v>0</v>
      </c>
      <c r="J114" s="17">
        <f>IF(B114="","",IFERROR(INDEX('Content Calendar'!$P$5:$P$604,MATCH(B114,'Content Calendar'!$A$5:$A$604,0)),"Not found"))</f>
        <v>0</v>
      </c>
      <c r="K114" s="17">
        <f>IF(B114="","",IFERROR(INDEX('Content Calendar'!$O$5:$O$604,MATCH(B114,'Content Calendar'!$A$5:$A$604,0)),"Not found"))</f>
        <v>0</v>
      </c>
      <c r="L114" s="17">
        <f>IF(B114="","",IFERROR(INDEX('Content Calendar'!$N$5:$N$604,MATCH(B114,'Content Calendar'!$A$5:$A$604,0)),"Not found"))</f>
        <v>0</v>
      </c>
      <c r="M114" s="17">
        <f>IF(B114="","",IFERROR(INDEX('Content Calendar'!$C$5:$C$604,MATCH(B114,'Content Calendar'!$A$5:$A$604,0)),"Not found"))</f>
        <v>0</v>
      </c>
      <c r="N114" s="17">
        <f>IF(B114="","",IFERROR(INDEX('Content Calendar'!$F$5:$F$604,MATCH(B114,'Content Calendar'!$A$5:$A$604,0)),"Not found"))</f>
        <v>0</v>
      </c>
      <c r="Z114" s="23">
        <f>IF(O114="","",N(Q114)+N(R114)+N(S114)+N(T114))</f>
        <v>0</v>
      </c>
      <c r="AA114" s="24">
        <f>IF(OR(O114="",O114=0),"",Z114/O114)</f>
        <v>0</v>
      </c>
      <c r="AB114" s="24">
        <f>IF(OR(O114="",O114=0),"",N(T114)/O114)</f>
        <v>0</v>
      </c>
      <c r="AC114" s="24">
        <f>IF(OR(O114="",O114=0),"",N(S114)/O114)</f>
        <v>0</v>
      </c>
      <c r="AD114" s="24">
        <f>IF(OR(O114="",O114=0),"",N(R114)/O114)</f>
        <v>0</v>
      </c>
      <c r="AE114" s="24">
        <f>IF(OR(O114="",O114=0),"",N(U114)/O114)</f>
        <v>0</v>
      </c>
      <c r="AF114" s="24">
        <f>IF(OR(U114="",U114=0),"",N(W114)/U114)</f>
        <v>0</v>
      </c>
      <c r="AG114" s="25">
        <f>IF(OR(O114="",O114=0),"",N(X114)/(O114/1000))</f>
        <v>0</v>
      </c>
      <c r="AH114" s="24">
        <f>IF(O114="","",IF(Y114="",TargetEngagement,Y114))</f>
        <v>0</v>
      </c>
      <c r="AI114" s="24">
        <f>IF(OR(AA114="",AH114=""),"",AA114-AH114)</f>
        <v>0</v>
      </c>
      <c r="AJ114" s="31">
        <f>IF(AA114="","",AA114+ROW()/1000000)</f>
        <v>0</v>
      </c>
      <c r="AK114" s="23">
        <f>IF(AA114="","",RANK(AJ114,Performance!$AJ$5:$AJ$404))</f>
        <v>0</v>
      </c>
      <c r="AL114" s="29">
        <f>IF(AA114="","",IF(AA114&gt;=AH114*1.5,"Top performer",IF(AA114&gt;=AH114,"Above target",IF(AA114&gt;=AH114*0.6,"Below target","Weak - review it"))))</f>
        <v>0</v>
      </c>
      <c r="AM114" s="29">
        <f>IF(B114="","",IF(COUNTIF(Performance!$B$5:$B$404,B114)&gt;1,"Duplicate","OK"))</f>
        <v>0</v>
      </c>
      <c r="AN114" s="29">
        <f>IF(B114="","",IF(C114="Not found","Check - content ID not on the calendar",IF(O114="","Add - no numbers entered yet",IF(AM114="Duplicate","Duplicate - this post is entered twice",IF(AL114="Top performer","Repurpose this one","OK")))))</f>
        <v>0</v>
      </c>
    </row>
    <row r="115" spans="1:40">
      <c r="A115" s="41">
        <f>IF(B115="","","PF-"&amp;TEXT(ROW()-4,"0000"))</f>
        <v>0</v>
      </c>
      <c r="C115" s="17">
        <f>IF(B115="","",IFERROR(INDEX('Content Calendar'!$H$5:$H$604,MATCH(B115,'Content Calendar'!$A$5:$A$604,0)),"Not found"))</f>
        <v>0</v>
      </c>
      <c r="D115" s="16">
        <f>IF(B115="","",IFERROR(INDEX('Content Calendar'!$B$5:$B$604,MATCH(B115,'Content Calendar'!$A$5:$A$604,0)),"Not found"))</f>
        <v>0</v>
      </c>
      <c r="E115" s="17">
        <f>IF(B115="","",IFERROR(INDEX('Content Calendar'!$D$5:$D$604,MATCH(B115,'Content Calendar'!$A$5:$A$604,0)),"Not found"))</f>
        <v>0</v>
      </c>
      <c r="F115" s="17">
        <f>IF(B115="","",IFERROR(INDEX('Content Calendar'!$G$5:$G$604,MATCH(B115,'Content Calendar'!$A$5:$A$604,0)),"Not found"))</f>
        <v>0</v>
      </c>
      <c r="G115" s="17">
        <f>IF(B115="","",IFERROR(INDEX('Content Calendar'!$K$5:$K$604,MATCH(B115,'Content Calendar'!$A$5:$A$604,0)),"Not found"))</f>
        <v>0</v>
      </c>
      <c r="H115" s="17">
        <f>IF(B115="","",IFERROR(INDEX('Content Calendar'!$J$5:$J$604,MATCH(B115,'Content Calendar'!$A$5:$A$604,0)),"Not found"))</f>
        <v>0</v>
      </c>
      <c r="I115" s="17">
        <f>IF(B115="","",IFERROR(INDEX('Content Calendar'!$L$5:$L$604,MATCH(B115,'Content Calendar'!$A$5:$A$604,0)),"Not found"))</f>
        <v>0</v>
      </c>
      <c r="J115" s="17">
        <f>IF(B115="","",IFERROR(INDEX('Content Calendar'!$P$5:$P$604,MATCH(B115,'Content Calendar'!$A$5:$A$604,0)),"Not found"))</f>
        <v>0</v>
      </c>
      <c r="K115" s="17">
        <f>IF(B115="","",IFERROR(INDEX('Content Calendar'!$O$5:$O$604,MATCH(B115,'Content Calendar'!$A$5:$A$604,0)),"Not found"))</f>
        <v>0</v>
      </c>
      <c r="L115" s="17">
        <f>IF(B115="","",IFERROR(INDEX('Content Calendar'!$N$5:$N$604,MATCH(B115,'Content Calendar'!$A$5:$A$604,0)),"Not found"))</f>
        <v>0</v>
      </c>
      <c r="M115" s="17">
        <f>IF(B115="","",IFERROR(INDEX('Content Calendar'!$C$5:$C$604,MATCH(B115,'Content Calendar'!$A$5:$A$604,0)),"Not found"))</f>
        <v>0</v>
      </c>
      <c r="N115" s="17">
        <f>IF(B115="","",IFERROR(INDEX('Content Calendar'!$F$5:$F$604,MATCH(B115,'Content Calendar'!$A$5:$A$604,0)),"Not found"))</f>
        <v>0</v>
      </c>
      <c r="Z115" s="23">
        <f>IF(O115="","",N(Q115)+N(R115)+N(S115)+N(T115))</f>
        <v>0</v>
      </c>
      <c r="AA115" s="24">
        <f>IF(OR(O115="",O115=0),"",Z115/O115)</f>
        <v>0</v>
      </c>
      <c r="AB115" s="24">
        <f>IF(OR(O115="",O115=0),"",N(T115)/O115)</f>
        <v>0</v>
      </c>
      <c r="AC115" s="24">
        <f>IF(OR(O115="",O115=0),"",N(S115)/O115)</f>
        <v>0</v>
      </c>
      <c r="AD115" s="24">
        <f>IF(OR(O115="",O115=0),"",N(R115)/O115)</f>
        <v>0</v>
      </c>
      <c r="AE115" s="24">
        <f>IF(OR(O115="",O115=0),"",N(U115)/O115)</f>
        <v>0</v>
      </c>
      <c r="AF115" s="24">
        <f>IF(OR(U115="",U115=0),"",N(W115)/U115)</f>
        <v>0</v>
      </c>
      <c r="AG115" s="25">
        <f>IF(OR(O115="",O115=0),"",N(X115)/(O115/1000))</f>
        <v>0</v>
      </c>
      <c r="AH115" s="24">
        <f>IF(O115="","",IF(Y115="",TargetEngagement,Y115))</f>
        <v>0</v>
      </c>
      <c r="AI115" s="24">
        <f>IF(OR(AA115="",AH115=""),"",AA115-AH115)</f>
        <v>0</v>
      </c>
      <c r="AJ115" s="31">
        <f>IF(AA115="","",AA115+ROW()/1000000)</f>
        <v>0</v>
      </c>
      <c r="AK115" s="23">
        <f>IF(AA115="","",RANK(AJ115,Performance!$AJ$5:$AJ$404))</f>
        <v>0</v>
      </c>
      <c r="AL115" s="29">
        <f>IF(AA115="","",IF(AA115&gt;=AH115*1.5,"Top performer",IF(AA115&gt;=AH115,"Above target",IF(AA115&gt;=AH115*0.6,"Below target","Weak - review it"))))</f>
        <v>0</v>
      </c>
      <c r="AM115" s="29">
        <f>IF(B115="","",IF(COUNTIF(Performance!$B$5:$B$404,B115)&gt;1,"Duplicate","OK"))</f>
        <v>0</v>
      </c>
      <c r="AN115" s="29">
        <f>IF(B115="","",IF(C115="Not found","Check - content ID not on the calendar",IF(O115="","Add - no numbers entered yet",IF(AM115="Duplicate","Duplicate - this post is entered twice",IF(AL115="Top performer","Repurpose this one","OK")))))</f>
        <v>0</v>
      </c>
    </row>
    <row r="116" spans="1:40">
      <c r="A116" s="41">
        <f>IF(B116="","","PF-"&amp;TEXT(ROW()-4,"0000"))</f>
        <v>0</v>
      </c>
      <c r="C116" s="17">
        <f>IF(B116="","",IFERROR(INDEX('Content Calendar'!$H$5:$H$604,MATCH(B116,'Content Calendar'!$A$5:$A$604,0)),"Not found"))</f>
        <v>0</v>
      </c>
      <c r="D116" s="16">
        <f>IF(B116="","",IFERROR(INDEX('Content Calendar'!$B$5:$B$604,MATCH(B116,'Content Calendar'!$A$5:$A$604,0)),"Not found"))</f>
        <v>0</v>
      </c>
      <c r="E116" s="17">
        <f>IF(B116="","",IFERROR(INDEX('Content Calendar'!$D$5:$D$604,MATCH(B116,'Content Calendar'!$A$5:$A$604,0)),"Not found"))</f>
        <v>0</v>
      </c>
      <c r="F116" s="17">
        <f>IF(B116="","",IFERROR(INDEX('Content Calendar'!$G$5:$G$604,MATCH(B116,'Content Calendar'!$A$5:$A$604,0)),"Not found"))</f>
        <v>0</v>
      </c>
      <c r="G116" s="17">
        <f>IF(B116="","",IFERROR(INDEX('Content Calendar'!$K$5:$K$604,MATCH(B116,'Content Calendar'!$A$5:$A$604,0)),"Not found"))</f>
        <v>0</v>
      </c>
      <c r="H116" s="17">
        <f>IF(B116="","",IFERROR(INDEX('Content Calendar'!$J$5:$J$604,MATCH(B116,'Content Calendar'!$A$5:$A$604,0)),"Not found"))</f>
        <v>0</v>
      </c>
      <c r="I116" s="17">
        <f>IF(B116="","",IFERROR(INDEX('Content Calendar'!$L$5:$L$604,MATCH(B116,'Content Calendar'!$A$5:$A$604,0)),"Not found"))</f>
        <v>0</v>
      </c>
      <c r="J116" s="17">
        <f>IF(B116="","",IFERROR(INDEX('Content Calendar'!$P$5:$P$604,MATCH(B116,'Content Calendar'!$A$5:$A$604,0)),"Not found"))</f>
        <v>0</v>
      </c>
      <c r="K116" s="17">
        <f>IF(B116="","",IFERROR(INDEX('Content Calendar'!$O$5:$O$604,MATCH(B116,'Content Calendar'!$A$5:$A$604,0)),"Not found"))</f>
        <v>0</v>
      </c>
      <c r="L116" s="17">
        <f>IF(B116="","",IFERROR(INDEX('Content Calendar'!$N$5:$N$604,MATCH(B116,'Content Calendar'!$A$5:$A$604,0)),"Not found"))</f>
        <v>0</v>
      </c>
      <c r="M116" s="17">
        <f>IF(B116="","",IFERROR(INDEX('Content Calendar'!$C$5:$C$604,MATCH(B116,'Content Calendar'!$A$5:$A$604,0)),"Not found"))</f>
        <v>0</v>
      </c>
      <c r="N116" s="17">
        <f>IF(B116="","",IFERROR(INDEX('Content Calendar'!$F$5:$F$604,MATCH(B116,'Content Calendar'!$A$5:$A$604,0)),"Not found"))</f>
        <v>0</v>
      </c>
      <c r="Z116" s="23">
        <f>IF(O116="","",N(Q116)+N(R116)+N(S116)+N(T116))</f>
        <v>0</v>
      </c>
      <c r="AA116" s="24">
        <f>IF(OR(O116="",O116=0),"",Z116/O116)</f>
        <v>0</v>
      </c>
      <c r="AB116" s="24">
        <f>IF(OR(O116="",O116=0),"",N(T116)/O116)</f>
        <v>0</v>
      </c>
      <c r="AC116" s="24">
        <f>IF(OR(O116="",O116=0),"",N(S116)/O116)</f>
        <v>0</v>
      </c>
      <c r="AD116" s="24">
        <f>IF(OR(O116="",O116=0),"",N(R116)/O116)</f>
        <v>0</v>
      </c>
      <c r="AE116" s="24">
        <f>IF(OR(O116="",O116=0),"",N(U116)/O116)</f>
        <v>0</v>
      </c>
      <c r="AF116" s="24">
        <f>IF(OR(U116="",U116=0),"",N(W116)/U116)</f>
        <v>0</v>
      </c>
      <c r="AG116" s="25">
        <f>IF(OR(O116="",O116=0),"",N(X116)/(O116/1000))</f>
        <v>0</v>
      </c>
      <c r="AH116" s="24">
        <f>IF(O116="","",IF(Y116="",TargetEngagement,Y116))</f>
        <v>0</v>
      </c>
      <c r="AI116" s="24">
        <f>IF(OR(AA116="",AH116=""),"",AA116-AH116)</f>
        <v>0</v>
      </c>
      <c r="AJ116" s="31">
        <f>IF(AA116="","",AA116+ROW()/1000000)</f>
        <v>0</v>
      </c>
      <c r="AK116" s="23">
        <f>IF(AA116="","",RANK(AJ116,Performance!$AJ$5:$AJ$404))</f>
        <v>0</v>
      </c>
      <c r="AL116" s="29">
        <f>IF(AA116="","",IF(AA116&gt;=AH116*1.5,"Top performer",IF(AA116&gt;=AH116,"Above target",IF(AA116&gt;=AH116*0.6,"Below target","Weak - review it"))))</f>
        <v>0</v>
      </c>
      <c r="AM116" s="29">
        <f>IF(B116="","",IF(COUNTIF(Performance!$B$5:$B$404,B116)&gt;1,"Duplicate","OK"))</f>
        <v>0</v>
      </c>
      <c r="AN116" s="29">
        <f>IF(B116="","",IF(C116="Not found","Check - content ID not on the calendar",IF(O116="","Add - no numbers entered yet",IF(AM116="Duplicate","Duplicate - this post is entered twice",IF(AL116="Top performer","Repurpose this one","OK")))))</f>
        <v>0</v>
      </c>
    </row>
    <row r="117" spans="1:40">
      <c r="A117" s="41">
        <f>IF(B117="","","PF-"&amp;TEXT(ROW()-4,"0000"))</f>
        <v>0</v>
      </c>
      <c r="C117" s="17">
        <f>IF(B117="","",IFERROR(INDEX('Content Calendar'!$H$5:$H$604,MATCH(B117,'Content Calendar'!$A$5:$A$604,0)),"Not found"))</f>
        <v>0</v>
      </c>
      <c r="D117" s="16">
        <f>IF(B117="","",IFERROR(INDEX('Content Calendar'!$B$5:$B$604,MATCH(B117,'Content Calendar'!$A$5:$A$604,0)),"Not found"))</f>
        <v>0</v>
      </c>
      <c r="E117" s="17">
        <f>IF(B117="","",IFERROR(INDEX('Content Calendar'!$D$5:$D$604,MATCH(B117,'Content Calendar'!$A$5:$A$604,0)),"Not found"))</f>
        <v>0</v>
      </c>
      <c r="F117" s="17">
        <f>IF(B117="","",IFERROR(INDEX('Content Calendar'!$G$5:$G$604,MATCH(B117,'Content Calendar'!$A$5:$A$604,0)),"Not found"))</f>
        <v>0</v>
      </c>
      <c r="G117" s="17">
        <f>IF(B117="","",IFERROR(INDEX('Content Calendar'!$K$5:$K$604,MATCH(B117,'Content Calendar'!$A$5:$A$604,0)),"Not found"))</f>
        <v>0</v>
      </c>
      <c r="H117" s="17">
        <f>IF(B117="","",IFERROR(INDEX('Content Calendar'!$J$5:$J$604,MATCH(B117,'Content Calendar'!$A$5:$A$604,0)),"Not found"))</f>
        <v>0</v>
      </c>
      <c r="I117" s="17">
        <f>IF(B117="","",IFERROR(INDEX('Content Calendar'!$L$5:$L$604,MATCH(B117,'Content Calendar'!$A$5:$A$604,0)),"Not found"))</f>
        <v>0</v>
      </c>
      <c r="J117" s="17">
        <f>IF(B117="","",IFERROR(INDEX('Content Calendar'!$P$5:$P$604,MATCH(B117,'Content Calendar'!$A$5:$A$604,0)),"Not found"))</f>
        <v>0</v>
      </c>
      <c r="K117" s="17">
        <f>IF(B117="","",IFERROR(INDEX('Content Calendar'!$O$5:$O$604,MATCH(B117,'Content Calendar'!$A$5:$A$604,0)),"Not found"))</f>
        <v>0</v>
      </c>
      <c r="L117" s="17">
        <f>IF(B117="","",IFERROR(INDEX('Content Calendar'!$N$5:$N$604,MATCH(B117,'Content Calendar'!$A$5:$A$604,0)),"Not found"))</f>
        <v>0</v>
      </c>
      <c r="M117" s="17">
        <f>IF(B117="","",IFERROR(INDEX('Content Calendar'!$C$5:$C$604,MATCH(B117,'Content Calendar'!$A$5:$A$604,0)),"Not found"))</f>
        <v>0</v>
      </c>
      <c r="N117" s="17">
        <f>IF(B117="","",IFERROR(INDEX('Content Calendar'!$F$5:$F$604,MATCH(B117,'Content Calendar'!$A$5:$A$604,0)),"Not found"))</f>
        <v>0</v>
      </c>
      <c r="Z117" s="23">
        <f>IF(O117="","",N(Q117)+N(R117)+N(S117)+N(T117))</f>
        <v>0</v>
      </c>
      <c r="AA117" s="24">
        <f>IF(OR(O117="",O117=0),"",Z117/O117)</f>
        <v>0</v>
      </c>
      <c r="AB117" s="24">
        <f>IF(OR(O117="",O117=0),"",N(T117)/O117)</f>
        <v>0</v>
      </c>
      <c r="AC117" s="24">
        <f>IF(OR(O117="",O117=0),"",N(S117)/O117)</f>
        <v>0</v>
      </c>
      <c r="AD117" s="24">
        <f>IF(OR(O117="",O117=0),"",N(R117)/O117)</f>
        <v>0</v>
      </c>
      <c r="AE117" s="24">
        <f>IF(OR(O117="",O117=0),"",N(U117)/O117)</f>
        <v>0</v>
      </c>
      <c r="AF117" s="24">
        <f>IF(OR(U117="",U117=0),"",N(W117)/U117)</f>
        <v>0</v>
      </c>
      <c r="AG117" s="25">
        <f>IF(OR(O117="",O117=0),"",N(X117)/(O117/1000))</f>
        <v>0</v>
      </c>
      <c r="AH117" s="24">
        <f>IF(O117="","",IF(Y117="",TargetEngagement,Y117))</f>
        <v>0</v>
      </c>
      <c r="AI117" s="24">
        <f>IF(OR(AA117="",AH117=""),"",AA117-AH117)</f>
        <v>0</v>
      </c>
      <c r="AJ117" s="31">
        <f>IF(AA117="","",AA117+ROW()/1000000)</f>
        <v>0</v>
      </c>
      <c r="AK117" s="23">
        <f>IF(AA117="","",RANK(AJ117,Performance!$AJ$5:$AJ$404))</f>
        <v>0</v>
      </c>
      <c r="AL117" s="29">
        <f>IF(AA117="","",IF(AA117&gt;=AH117*1.5,"Top performer",IF(AA117&gt;=AH117,"Above target",IF(AA117&gt;=AH117*0.6,"Below target","Weak - review it"))))</f>
        <v>0</v>
      </c>
      <c r="AM117" s="29">
        <f>IF(B117="","",IF(COUNTIF(Performance!$B$5:$B$404,B117)&gt;1,"Duplicate","OK"))</f>
        <v>0</v>
      </c>
      <c r="AN117" s="29">
        <f>IF(B117="","",IF(C117="Not found","Check - content ID not on the calendar",IF(O117="","Add - no numbers entered yet",IF(AM117="Duplicate","Duplicate - this post is entered twice",IF(AL117="Top performer","Repurpose this one","OK")))))</f>
        <v>0</v>
      </c>
    </row>
    <row r="118" spans="1:40">
      <c r="A118" s="41">
        <f>IF(B118="","","PF-"&amp;TEXT(ROW()-4,"0000"))</f>
        <v>0</v>
      </c>
      <c r="C118" s="17">
        <f>IF(B118="","",IFERROR(INDEX('Content Calendar'!$H$5:$H$604,MATCH(B118,'Content Calendar'!$A$5:$A$604,0)),"Not found"))</f>
        <v>0</v>
      </c>
      <c r="D118" s="16">
        <f>IF(B118="","",IFERROR(INDEX('Content Calendar'!$B$5:$B$604,MATCH(B118,'Content Calendar'!$A$5:$A$604,0)),"Not found"))</f>
        <v>0</v>
      </c>
      <c r="E118" s="17">
        <f>IF(B118="","",IFERROR(INDEX('Content Calendar'!$D$5:$D$604,MATCH(B118,'Content Calendar'!$A$5:$A$604,0)),"Not found"))</f>
        <v>0</v>
      </c>
      <c r="F118" s="17">
        <f>IF(B118="","",IFERROR(INDEX('Content Calendar'!$G$5:$G$604,MATCH(B118,'Content Calendar'!$A$5:$A$604,0)),"Not found"))</f>
        <v>0</v>
      </c>
      <c r="G118" s="17">
        <f>IF(B118="","",IFERROR(INDEX('Content Calendar'!$K$5:$K$604,MATCH(B118,'Content Calendar'!$A$5:$A$604,0)),"Not found"))</f>
        <v>0</v>
      </c>
      <c r="H118" s="17">
        <f>IF(B118="","",IFERROR(INDEX('Content Calendar'!$J$5:$J$604,MATCH(B118,'Content Calendar'!$A$5:$A$604,0)),"Not found"))</f>
        <v>0</v>
      </c>
      <c r="I118" s="17">
        <f>IF(B118="","",IFERROR(INDEX('Content Calendar'!$L$5:$L$604,MATCH(B118,'Content Calendar'!$A$5:$A$604,0)),"Not found"))</f>
        <v>0</v>
      </c>
      <c r="J118" s="17">
        <f>IF(B118="","",IFERROR(INDEX('Content Calendar'!$P$5:$P$604,MATCH(B118,'Content Calendar'!$A$5:$A$604,0)),"Not found"))</f>
        <v>0</v>
      </c>
      <c r="K118" s="17">
        <f>IF(B118="","",IFERROR(INDEX('Content Calendar'!$O$5:$O$604,MATCH(B118,'Content Calendar'!$A$5:$A$604,0)),"Not found"))</f>
        <v>0</v>
      </c>
      <c r="L118" s="17">
        <f>IF(B118="","",IFERROR(INDEX('Content Calendar'!$N$5:$N$604,MATCH(B118,'Content Calendar'!$A$5:$A$604,0)),"Not found"))</f>
        <v>0</v>
      </c>
      <c r="M118" s="17">
        <f>IF(B118="","",IFERROR(INDEX('Content Calendar'!$C$5:$C$604,MATCH(B118,'Content Calendar'!$A$5:$A$604,0)),"Not found"))</f>
        <v>0</v>
      </c>
      <c r="N118" s="17">
        <f>IF(B118="","",IFERROR(INDEX('Content Calendar'!$F$5:$F$604,MATCH(B118,'Content Calendar'!$A$5:$A$604,0)),"Not found"))</f>
        <v>0</v>
      </c>
      <c r="Z118" s="23">
        <f>IF(O118="","",N(Q118)+N(R118)+N(S118)+N(T118))</f>
        <v>0</v>
      </c>
      <c r="AA118" s="24">
        <f>IF(OR(O118="",O118=0),"",Z118/O118)</f>
        <v>0</v>
      </c>
      <c r="AB118" s="24">
        <f>IF(OR(O118="",O118=0),"",N(T118)/O118)</f>
        <v>0</v>
      </c>
      <c r="AC118" s="24">
        <f>IF(OR(O118="",O118=0),"",N(S118)/O118)</f>
        <v>0</v>
      </c>
      <c r="AD118" s="24">
        <f>IF(OR(O118="",O118=0),"",N(R118)/O118)</f>
        <v>0</v>
      </c>
      <c r="AE118" s="24">
        <f>IF(OR(O118="",O118=0),"",N(U118)/O118)</f>
        <v>0</v>
      </c>
      <c r="AF118" s="24">
        <f>IF(OR(U118="",U118=0),"",N(W118)/U118)</f>
        <v>0</v>
      </c>
      <c r="AG118" s="25">
        <f>IF(OR(O118="",O118=0),"",N(X118)/(O118/1000))</f>
        <v>0</v>
      </c>
      <c r="AH118" s="24">
        <f>IF(O118="","",IF(Y118="",TargetEngagement,Y118))</f>
        <v>0</v>
      </c>
      <c r="AI118" s="24">
        <f>IF(OR(AA118="",AH118=""),"",AA118-AH118)</f>
        <v>0</v>
      </c>
      <c r="AJ118" s="31">
        <f>IF(AA118="","",AA118+ROW()/1000000)</f>
        <v>0</v>
      </c>
      <c r="AK118" s="23">
        <f>IF(AA118="","",RANK(AJ118,Performance!$AJ$5:$AJ$404))</f>
        <v>0</v>
      </c>
      <c r="AL118" s="29">
        <f>IF(AA118="","",IF(AA118&gt;=AH118*1.5,"Top performer",IF(AA118&gt;=AH118,"Above target",IF(AA118&gt;=AH118*0.6,"Below target","Weak - review it"))))</f>
        <v>0</v>
      </c>
      <c r="AM118" s="29">
        <f>IF(B118="","",IF(COUNTIF(Performance!$B$5:$B$404,B118)&gt;1,"Duplicate","OK"))</f>
        <v>0</v>
      </c>
      <c r="AN118" s="29">
        <f>IF(B118="","",IF(C118="Not found","Check - content ID not on the calendar",IF(O118="","Add - no numbers entered yet",IF(AM118="Duplicate","Duplicate - this post is entered twice",IF(AL118="Top performer","Repurpose this one","OK")))))</f>
        <v>0</v>
      </c>
    </row>
    <row r="119" spans="1:40">
      <c r="A119" s="41">
        <f>IF(B119="","","PF-"&amp;TEXT(ROW()-4,"0000"))</f>
        <v>0</v>
      </c>
      <c r="C119" s="17">
        <f>IF(B119="","",IFERROR(INDEX('Content Calendar'!$H$5:$H$604,MATCH(B119,'Content Calendar'!$A$5:$A$604,0)),"Not found"))</f>
        <v>0</v>
      </c>
      <c r="D119" s="16">
        <f>IF(B119="","",IFERROR(INDEX('Content Calendar'!$B$5:$B$604,MATCH(B119,'Content Calendar'!$A$5:$A$604,0)),"Not found"))</f>
        <v>0</v>
      </c>
      <c r="E119" s="17">
        <f>IF(B119="","",IFERROR(INDEX('Content Calendar'!$D$5:$D$604,MATCH(B119,'Content Calendar'!$A$5:$A$604,0)),"Not found"))</f>
        <v>0</v>
      </c>
      <c r="F119" s="17">
        <f>IF(B119="","",IFERROR(INDEX('Content Calendar'!$G$5:$G$604,MATCH(B119,'Content Calendar'!$A$5:$A$604,0)),"Not found"))</f>
        <v>0</v>
      </c>
      <c r="G119" s="17">
        <f>IF(B119="","",IFERROR(INDEX('Content Calendar'!$K$5:$K$604,MATCH(B119,'Content Calendar'!$A$5:$A$604,0)),"Not found"))</f>
        <v>0</v>
      </c>
      <c r="H119" s="17">
        <f>IF(B119="","",IFERROR(INDEX('Content Calendar'!$J$5:$J$604,MATCH(B119,'Content Calendar'!$A$5:$A$604,0)),"Not found"))</f>
        <v>0</v>
      </c>
      <c r="I119" s="17">
        <f>IF(B119="","",IFERROR(INDEX('Content Calendar'!$L$5:$L$604,MATCH(B119,'Content Calendar'!$A$5:$A$604,0)),"Not found"))</f>
        <v>0</v>
      </c>
      <c r="J119" s="17">
        <f>IF(B119="","",IFERROR(INDEX('Content Calendar'!$P$5:$P$604,MATCH(B119,'Content Calendar'!$A$5:$A$604,0)),"Not found"))</f>
        <v>0</v>
      </c>
      <c r="K119" s="17">
        <f>IF(B119="","",IFERROR(INDEX('Content Calendar'!$O$5:$O$604,MATCH(B119,'Content Calendar'!$A$5:$A$604,0)),"Not found"))</f>
        <v>0</v>
      </c>
      <c r="L119" s="17">
        <f>IF(B119="","",IFERROR(INDEX('Content Calendar'!$N$5:$N$604,MATCH(B119,'Content Calendar'!$A$5:$A$604,0)),"Not found"))</f>
        <v>0</v>
      </c>
      <c r="M119" s="17">
        <f>IF(B119="","",IFERROR(INDEX('Content Calendar'!$C$5:$C$604,MATCH(B119,'Content Calendar'!$A$5:$A$604,0)),"Not found"))</f>
        <v>0</v>
      </c>
      <c r="N119" s="17">
        <f>IF(B119="","",IFERROR(INDEX('Content Calendar'!$F$5:$F$604,MATCH(B119,'Content Calendar'!$A$5:$A$604,0)),"Not found"))</f>
        <v>0</v>
      </c>
      <c r="Z119" s="23">
        <f>IF(O119="","",N(Q119)+N(R119)+N(S119)+N(T119))</f>
        <v>0</v>
      </c>
      <c r="AA119" s="24">
        <f>IF(OR(O119="",O119=0),"",Z119/O119)</f>
        <v>0</v>
      </c>
      <c r="AB119" s="24">
        <f>IF(OR(O119="",O119=0),"",N(T119)/O119)</f>
        <v>0</v>
      </c>
      <c r="AC119" s="24">
        <f>IF(OR(O119="",O119=0),"",N(S119)/O119)</f>
        <v>0</v>
      </c>
      <c r="AD119" s="24">
        <f>IF(OR(O119="",O119=0),"",N(R119)/O119)</f>
        <v>0</v>
      </c>
      <c r="AE119" s="24">
        <f>IF(OR(O119="",O119=0),"",N(U119)/O119)</f>
        <v>0</v>
      </c>
      <c r="AF119" s="24">
        <f>IF(OR(U119="",U119=0),"",N(W119)/U119)</f>
        <v>0</v>
      </c>
      <c r="AG119" s="25">
        <f>IF(OR(O119="",O119=0),"",N(X119)/(O119/1000))</f>
        <v>0</v>
      </c>
      <c r="AH119" s="24">
        <f>IF(O119="","",IF(Y119="",TargetEngagement,Y119))</f>
        <v>0</v>
      </c>
      <c r="AI119" s="24">
        <f>IF(OR(AA119="",AH119=""),"",AA119-AH119)</f>
        <v>0</v>
      </c>
      <c r="AJ119" s="31">
        <f>IF(AA119="","",AA119+ROW()/1000000)</f>
        <v>0</v>
      </c>
      <c r="AK119" s="23">
        <f>IF(AA119="","",RANK(AJ119,Performance!$AJ$5:$AJ$404))</f>
        <v>0</v>
      </c>
      <c r="AL119" s="29">
        <f>IF(AA119="","",IF(AA119&gt;=AH119*1.5,"Top performer",IF(AA119&gt;=AH119,"Above target",IF(AA119&gt;=AH119*0.6,"Below target","Weak - review it"))))</f>
        <v>0</v>
      </c>
      <c r="AM119" s="29">
        <f>IF(B119="","",IF(COUNTIF(Performance!$B$5:$B$404,B119)&gt;1,"Duplicate","OK"))</f>
        <v>0</v>
      </c>
      <c r="AN119" s="29">
        <f>IF(B119="","",IF(C119="Not found","Check - content ID not on the calendar",IF(O119="","Add - no numbers entered yet",IF(AM119="Duplicate","Duplicate - this post is entered twice",IF(AL119="Top performer","Repurpose this one","OK")))))</f>
        <v>0</v>
      </c>
    </row>
    <row r="120" spans="1:40">
      <c r="A120" s="41">
        <f>IF(B120="","","PF-"&amp;TEXT(ROW()-4,"0000"))</f>
        <v>0</v>
      </c>
      <c r="C120" s="17">
        <f>IF(B120="","",IFERROR(INDEX('Content Calendar'!$H$5:$H$604,MATCH(B120,'Content Calendar'!$A$5:$A$604,0)),"Not found"))</f>
        <v>0</v>
      </c>
      <c r="D120" s="16">
        <f>IF(B120="","",IFERROR(INDEX('Content Calendar'!$B$5:$B$604,MATCH(B120,'Content Calendar'!$A$5:$A$604,0)),"Not found"))</f>
        <v>0</v>
      </c>
      <c r="E120" s="17">
        <f>IF(B120="","",IFERROR(INDEX('Content Calendar'!$D$5:$D$604,MATCH(B120,'Content Calendar'!$A$5:$A$604,0)),"Not found"))</f>
        <v>0</v>
      </c>
      <c r="F120" s="17">
        <f>IF(B120="","",IFERROR(INDEX('Content Calendar'!$G$5:$G$604,MATCH(B120,'Content Calendar'!$A$5:$A$604,0)),"Not found"))</f>
        <v>0</v>
      </c>
      <c r="G120" s="17">
        <f>IF(B120="","",IFERROR(INDEX('Content Calendar'!$K$5:$K$604,MATCH(B120,'Content Calendar'!$A$5:$A$604,0)),"Not found"))</f>
        <v>0</v>
      </c>
      <c r="H120" s="17">
        <f>IF(B120="","",IFERROR(INDEX('Content Calendar'!$J$5:$J$604,MATCH(B120,'Content Calendar'!$A$5:$A$604,0)),"Not found"))</f>
        <v>0</v>
      </c>
      <c r="I120" s="17">
        <f>IF(B120="","",IFERROR(INDEX('Content Calendar'!$L$5:$L$604,MATCH(B120,'Content Calendar'!$A$5:$A$604,0)),"Not found"))</f>
        <v>0</v>
      </c>
      <c r="J120" s="17">
        <f>IF(B120="","",IFERROR(INDEX('Content Calendar'!$P$5:$P$604,MATCH(B120,'Content Calendar'!$A$5:$A$604,0)),"Not found"))</f>
        <v>0</v>
      </c>
      <c r="K120" s="17">
        <f>IF(B120="","",IFERROR(INDEX('Content Calendar'!$O$5:$O$604,MATCH(B120,'Content Calendar'!$A$5:$A$604,0)),"Not found"))</f>
        <v>0</v>
      </c>
      <c r="L120" s="17">
        <f>IF(B120="","",IFERROR(INDEX('Content Calendar'!$N$5:$N$604,MATCH(B120,'Content Calendar'!$A$5:$A$604,0)),"Not found"))</f>
        <v>0</v>
      </c>
      <c r="M120" s="17">
        <f>IF(B120="","",IFERROR(INDEX('Content Calendar'!$C$5:$C$604,MATCH(B120,'Content Calendar'!$A$5:$A$604,0)),"Not found"))</f>
        <v>0</v>
      </c>
      <c r="N120" s="17">
        <f>IF(B120="","",IFERROR(INDEX('Content Calendar'!$F$5:$F$604,MATCH(B120,'Content Calendar'!$A$5:$A$604,0)),"Not found"))</f>
        <v>0</v>
      </c>
      <c r="Z120" s="23">
        <f>IF(O120="","",N(Q120)+N(R120)+N(S120)+N(T120))</f>
        <v>0</v>
      </c>
      <c r="AA120" s="24">
        <f>IF(OR(O120="",O120=0),"",Z120/O120)</f>
        <v>0</v>
      </c>
      <c r="AB120" s="24">
        <f>IF(OR(O120="",O120=0),"",N(T120)/O120)</f>
        <v>0</v>
      </c>
      <c r="AC120" s="24">
        <f>IF(OR(O120="",O120=0),"",N(S120)/O120)</f>
        <v>0</v>
      </c>
      <c r="AD120" s="24">
        <f>IF(OR(O120="",O120=0),"",N(R120)/O120)</f>
        <v>0</v>
      </c>
      <c r="AE120" s="24">
        <f>IF(OR(O120="",O120=0),"",N(U120)/O120)</f>
        <v>0</v>
      </c>
      <c r="AF120" s="24">
        <f>IF(OR(U120="",U120=0),"",N(W120)/U120)</f>
        <v>0</v>
      </c>
      <c r="AG120" s="25">
        <f>IF(OR(O120="",O120=0),"",N(X120)/(O120/1000))</f>
        <v>0</v>
      </c>
      <c r="AH120" s="24">
        <f>IF(O120="","",IF(Y120="",TargetEngagement,Y120))</f>
        <v>0</v>
      </c>
      <c r="AI120" s="24">
        <f>IF(OR(AA120="",AH120=""),"",AA120-AH120)</f>
        <v>0</v>
      </c>
      <c r="AJ120" s="31">
        <f>IF(AA120="","",AA120+ROW()/1000000)</f>
        <v>0</v>
      </c>
      <c r="AK120" s="23">
        <f>IF(AA120="","",RANK(AJ120,Performance!$AJ$5:$AJ$404))</f>
        <v>0</v>
      </c>
      <c r="AL120" s="29">
        <f>IF(AA120="","",IF(AA120&gt;=AH120*1.5,"Top performer",IF(AA120&gt;=AH120,"Above target",IF(AA120&gt;=AH120*0.6,"Below target","Weak - review it"))))</f>
        <v>0</v>
      </c>
      <c r="AM120" s="29">
        <f>IF(B120="","",IF(COUNTIF(Performance!$B$5:$B$404,B120)&gt;1,"Duplicate","OK"))</f>
        <v>0</v>
      </c>
      <c r="AN120" s="29">
        <f>IF(B120="","",IF(C120="Not found","Check - content ID not on the calendar",IF(O120="","Add - no numbers entered yet",IF(AM120="Duplicate","Duplicate - this post is entered twice",IF(AL120="Top performer","Repurpose this one","OK")))))</f>
        <v>0</v>
      </c>
    </row>
    <row r="121" spans="1:40">
      <c r="A121" s="41">
        <f>IF(B121="","","PF-"&amp;TEXT(ROW()-4,"0000"))</f>
        <v>0</v>
      </c>
      <c r="C121" s="17">
        <f>IF(B121="","",IFERROR(INDEX('Content Calendar'!$H$5:$H$604,MATCH(B121,'Content Calendar'!$A$5:$A$604,0)),"Not found"))</f>
        <v>0</v>
      </c>
      <c r="D121" s="16">
        <f>IF(B121="","",IFERROR(INDEX('Content Calendar'!$B$5:$B$604,MATCH(B121,'Content Calendar'!$A$5:$A$604,0)),"Not found"))</f>
        <v>0</v>
      </c>
      <c r="E121" s="17">
        <f>IF(B121="","",IFERROR(INDEX('Content Calendar'!$D$5:$D$604,MATCH(B121,'Content Calendar'!$A$5:$A$604,0)),"Not found"))</f>
        <v>0</v>
      </c>
      <c r="F121" s="17">
        <f>IF(B121="","",IFERROR(INDEX('Content Calendar'!$G$5:$G$604,MATCH(B121,'Content Calendar'!$A$5:$A$604,0)),"Not found"))</f>
        <v>0</v>
      </c>
      <c r="G121" s="17">
        <f>IF(B121="","",IFERROR(INDEX('Content Calendar'!$K$5:$K$604,MATCH(B121,'Content Calendar'!$A$5:$A$604,0)),"Not found"))</f>
        <v>0</v>
      </c>
      <c r="H121" s="17">
        <f>IF(B121="","",IFERROR(INDEX('Content Calendar'!$J$5:$J$604,MATCH(B121,'Content Calendar'!$A$5:$A$604,0)),"Not found"))</f>
        <v>0</v>
      </c>
      <c r="I121" s="17">
        <f>IF(B121="","",IFERROR(INDEX('Content Calendar'!$L$5:$L$604,MATCH(B121,'Content Calendar'!$A$5:$A$604,0)),"Not found"))</f>
        <v>0</v>
      </c>
      <c r="J121" s="17">
        <f>IF(B121="","",IFERROR(INDEX('Content Calendar'!$P$5:$P$604,MATCH(B121,'Content Calendar'!$A$5:$A$604,0)),"Not found"))</f>
        <v>0</v>
      </c>
      <c r="K121" s="17">
        <f>IF(B121="","",IFERROR(INDEX('Content Calendar'!$O$5:$O$604,MATCH(B121,'Content Calendar'!$A$5:$A$604,0)),"Not found"))</f>
        <v>0</v>
      </c>
      <c r="L121" s="17">
        <f>IF(B121="","",IFERROR(INDEX('Content Calendar'!$N$5:$N$604,MATCH(B121,'Content Calendar'!$A$5:$A$604,0)),"Not found"))</f>
        <v>0</v>
      </c>
      <c r="M121" s="17">
        <f>IF(B121="","",IFERROR(INDEX('Content Calendar'!$C$5:$C$604,MATCH(B121,'Content Calendar'!$A$5:$A$604,0)),"Not found"))</f>
        <v>0</v>
      </c>
      <c r="N121" s="17">
        <f>IF(B121="","",IFERROR(INDEX('Content Calendar'!$F$5:$F$604,MATCH(B121,'Content Calendar'!$A$5:$A$604,0)),"Not found"))</f>
        <v>0</v>
      </c>
      <c r="Z121" s="23">
        <f>IF(O121="","",N(Q121)+N(R121)+N(S121)+N(T121))</f>
        <v>0</v>
      </c>
      <c r="AA121" s="24">
        <f>IF(OR(O121="",O121=0),"",Z121/O121)</f>
        <v>0</v>
      </c>
      <c r="AB121" s="24">
        <f>IF(OR(O121="",O121=0),"",N(T121)/O121)</f>
        <v>0</v>
      </c>
      <c r="AC121" s="24">
        <f>IF(OR(O121="",O121=0),"",N(S121)/O121)</f>
        <v>0</v>
      </c>
      <c r="AD121" s="24">
        <f>IF(OR(O121="",O121=0),"",N(R121)/O121)</f>
        <v>0</v>
      </c>
      <c r="AE121" s="24">
        <f>IF(OR(O121="",O121=0),"",N(U121)/O121)</f>
        <v>0</v>
      </c>
      <c r="AF121" s="24">
        <f>IF(OR(U121="",U121=0),"",N(W121)/U121)</f>
        <v>0</v>
      </c>
      <c r="AG121" s="25">
        <f>IF(OR(O121="",O121=0),"",N(X121)/(O121/1000))</f>
        <v>0</v>
      </c>
      <c r="AH121" s="24">
        <f>IF(O121="","",IF(Y121="",TargetEngagement,Y121))</f>
        <v>0</v>
      </c>
      <c r="AI121" s="24">
        <f>IF(OR(AA121="",AH121=""),"",AA121-AH121)</f>
        <v>0</v>
      </c>
      <c r="AJ121" s="31">
        <f>IF(AA121="","",AA121+ROW()/1000000)</f>
        <v>0</v>
      </c>
      <c r="AK121" s="23">
        <f>IF(AA121="","",RANK(AJ121,Performance!$AJ$5:$AJ$404))</f>
        <v>0</v>
      </c>
      <c r="AL121" s="29">
        <f>IF(AA121="","",IF(AA121&gt;=AH121*1.5,"Top performer",IF(AA121&gt;=AH121,"Above target",IF(AA121&gt;=AH121*0.6,"Below target","Weak - review it"))))</f>
        <v>0</v>
      </c>
      <c r="AM121" s="29">
        <f>IF(B121="","",IF(COUNTIF(Performance!$B$5:$B$404,B121)&gt;1,"Duplicate","OK"))</f>
        <v>0</v>
      </c>
      <c r="AN121" s="29">
        <f>IF(B121="","",IF(C121="Not found","Check - content ID not on the calendar",IF(O121="","Add - no numbers entered yet",IF(AM121="Duplicate","Duplicate - this post is entered twice",IF(AL121="Top performer","Repurpose this one","OK")))))</f>
        <v>0</v>
      </c>
    </row>
    <row r="122" spans="1:40">
      <c r="A122" s="41">
        <f>IF(B122="","","PF-"&amp;TEXT(ROW()-4,"0000"))</f>
        <v>0</v>
      </c>
      <c r="C122" s="17">
        <f>IF(B122="","",IFERROR(INDEX('Content Calendar'!$H$5:$H$604,MATCH(B122,'Content Calendar'!$A$5:$A$604,0)),"Not found"))</f>
        <v>0</v>
      </c>
      <c r="D122" s="16">
        <f>IF(B122="","",IFERROR(INDEX('Content Calendar'!$B$5:$B$604,MATCH(B122,'Content Calendar'!$A$5:$A$604,0)),"Not found"))</f>
        <v>0</v>
      </c>
      <c r="E122" s="17">
        <f>IF(B122="","",IFERROR(INDEX('Content Calendar'!$D$5:$D$604,MATCH(B122,'Content Calendar'!$A$5:$A$604,0)),"Not found"))</f>
        <v>0</v>
      </c>
      <c r="F122" s="17">
        <f>IF(B122="","",IFERROR(INDEX('Content Calendar'!$G$5:$G$604,MATCH(B122,'Content Calendar'!$A$5:$A$604,0)),"Not found"))</f>
        <v>0</v>
      </c>
      <c r="G122" s="17">
        <f>IF(B122="","",IFERROR(INDEX('Content Calendar'!$K$5:$K$604,MATCH(B122,'Content Calendar'!$A$5:$A$604,0)),"Not found"))</f>
        <v>0</v>
      </c>
      <c r="H122" s="17">
        <f>IF(B122="","",IFERROR(INDEX('Content Calendar'!$J$5:$J$604,MATCH(B122,'Content Calendar'!$A$5:$A$604,0)),"Not found"))</f>
        <v>0</v>
      </c>
      <c r="I122" s="17">
        <f>IF(B122="","",IFERROR(INDEX('Content Calendar'!$L$5:$L$604,MATCH(B122,'Content Calendar'!$A$5:$A$604,0)),"Not found"))</f>
        <v>0</v>
      </c>
      <c r="J122" s="17">
        <f>IF(B122="","",IFERROR(INDEX('Content Calendar'!$P$5:$P$604,MATCH(B122,'Content Calendar'!$A$5:$A$604,0)),"Not found"))</f>
        <v>0</v>
      </c>
      <c r="K122" s="17">
        <f>IF(B122="","",IFERROR(INDEX('Content Calendar'!$O$5:$O$604,MATCH(B122,'Content Calendar'!$A$5:$A$604,0)),"Not found"))</f>
        <v>0</v>
      </c>
      <c r="L122" s="17">
        <f>IF(B122="","",IFERROR(INDEX('Content Calendar'!$N$5:$N$604,MATCH(B122,'Content Calendar'!$A$5:$A$604,0)),"Not found"))</f>
        <v>0</v>
      </c>
      <c r="M122" s="17">
        <f>IF(B122="","",IFERROR(INDEX('Content Calendar'!$C$5:$C$604,MATCH(B122,'Content Calendar'!$A$5:$A$604,0)),"Not found"))</f>
        <v>0</v>
      </c>
      <c r="N122" s="17">
        <f>IF(B122="","",IFERROR(INDEX('Content Calendar'!$F$5:$F$604,MATCH(B122,'Content Calendar'!$A$5:$A$604,0)),"Not found"))</f>
        <v>0</v>
      </c>
      <c r="Z122" s="23">
        <f>IF(O122="","",N(Q122)+N(R122)+N(S122)+N(T122))</f>
        <v>0</v>
      </c>
      <c r="AA122" s="24">
        <f>IF(OR(O122="",O122=0),"",Z122/O122)</f>
        <v>0</v>
      </c>
      <c r="AB122" s="24">
        <f>IF(OR(O122="",O122=0),"",N(T122)/O122)</f>
        <v>0</v>
      </c>
      <c r="AC122" s="24">
        <f>IF(OR(O122="",O122=0),"",N(S122)/O122)</f>
        <v>0</v>
      </c>
      <c r="AD122" s="24">
        <f>IF(OR(O122="",O122=0),"",N(R122)/O122)</f>
        <v>0</v>
      </c>
      <c r="AE122" s="24">
        <f>IF(OR(O122="",O122=0),"",N(U122)/O122)</f>
        <v>0</v>
      </c>
      <c r="AF122" s="24">
        <f>IF(OR(U122="",U122=0),"",N(W122)/U122)</f>
        <v>0</v>
      </c>
      <c r="AG122" s="25">
        <f>IF(OR(O122="",O122=0),"",N(X122)/(O122/1000))</f>
        <v>0</v>
      </c>
      <c r="AH122" s="24">
        <f>IF(O122="","",IF(Y122="",TargetEngagement,Y122))</f>
        <v>0</v>
      </c>
      <c r="AI122" s="24">
        <f>IF(OR(AA122="",AH122=""),"",AA122-AH122)</f>
        <v>0</v>
      </c>
      <c r="AJ122" s="31">
        <f>IF(AA122="","",AA122+ROW()/1000000)</f>
        <v>0</v>
      </c>
      <c r="AK122" s="23">
        <f>IF(AA122="","",RANK(AJ122,Performance!$AJ$5:$AJ$404))</f>
        <v>0</v>
      </c>
      <c r="AL122" s="29">
        <f>IF(AA122="","",IF(AA122&gt;=AH122*1.5,"Top performer",IF(AA122&gt;=AH122,"Above target",IF(AA122&gt;=AH122*0.6,"Below target","Weak - review it"))))</f>
        <v>0</v>
      </c>
      <c r="AM122" s="29">
        <f>IF(B122="","",IF(COUNTIF(Performance!$B$5:$B$404,B122)&gt;1,"Duplicate","OK"))</f>
        <v>0</v>
      </c>
      <c r="AN122" s="29">
        <f>IF(B122="","",IF(C122="Not found","Check - content ID not on the calendar",IF(O122="","Add - no numbers entered yet",IF(AM122="Duplicate","Duplicate - this post is entered twice",IF(AL122="Top performer","Repurpose this one","OK")))))</f>
        <v>0</v>
      </c>
    </row>
    <row r="123" spans="1:40">
      <c r="A123" s="41">
        <f>IF(B123="","","PF-"&amp;TEXT(ROW()-4,"0000"))</f>
        <v>0</v>
      </c>
      <c r="C123" s="17">
        <f>IF(B123="","",IFERROR(INDEX('Content Calendar'!$H$5:$H$604,MATCH(B123,'Content Calendar'!$A$5:$A$604,0)),"Not found"))</f>
        <v>0</v>
      </c>
      <c r="D123" s="16">
        <f>IF(B123="","",IFERROR(INDEX('Content Calendar'!$B$5:$B$604,MATCH(B123,'Content Calendar'!$A$5:$A$604,0)),"Not found"))</f>
        <v>0</v>
      </c>
      <c r="E123" s="17">
        <f>IF(B123="","",IFERROR(INDEX('Content Calendar'!$D$5:$D$604,MATCH(B123,'Content Calendar'!$A$5:$A$604,0)),"Not found"))</f>
        <v>0</v>
      </c>
      <c r="F123" s="17">
        <f>IF(B123="","",IFERROR(INDEX('Content Calendar'!$G$5:$G$604,MATCH(B123,'Content Calendar'!$A$5:$A$604,0)),"Not found"))</f>
        <v>0</v>
      </c>
      <c r="G123" s="17">
        <f>IF(B123="","",IFERROR(INDEX('Content Calendar'!$K$5:$K$604,MATCH(B123,'Content Calendar'!$A$5:$A$604,0)),"Not found"))</f>
        <v>0</v>
      </c>
      <c r="H123" s="17">
        <f>IF(B123="","",IFERROR(INDEX('Content Calendar'!$J$5:$J$604,MATCH(B123,'Content Calendar'!$A$5:$A$604,0)),"Not found"))</f>
        <v>0</v>
      </c>
      <c r="I123" s="17">
        <f>IF(B123="","",IFERROR(INDEX('Content Calendar'!$L$5:$L$604,MATCH(B123,'Content Calendar'!$A$5:$A$604,0)),"Not found"))</f>
        <v>0</v>
      </c>
      <c r="J123" s="17">
        <f>IF(B123="","",IFERROR(INDEX('Content Calendar'!$P$5:$P$604,MATCH(B123,'Content Calendar'!$A$5:$A$604,0)),"Not found"))</f>
        <v>0</v>
      </c>
      <c r="K123" s="17">
        <f>IF(B123="","",IFERROR(INDEX('Content Calendar'!$O$5:$O$604,MATCH(B123,'Content Calendar'!$A$5:$A$604,0)),"Not found"))</f>
        <v>0</v>
      </c>
      <c r="L123" s="17">
        <f>IF(B123="","",IFERROR(INDEX('Content Calendar'!$N$5:$N$604,MATCH(B123,'Content Calendar'!$A$5:$A$604,0)),"Not found"))</f>
        <v>0</v>
      </c>
      <c r="M123" s="17">
        <f>IF(B123="","",IFERROR(INDEX('Content Calendar'!$C$5:$C$604,MATCH(B123,'Content Calendar'!$A$5:$A$604,0)),"Not found"))</f>
        <v>0</v>
      </c>
      <c r="N123" s="17">
        <f>IF(B123="","",IFERROR(INDEX('Content Calendar'!$F$5:$F$604,MATCH(B123,'Content Calendar'!$A$5:$A$604,0)),"Not found"))</f>
        <v>0</v>
      </c>
      <c r="Z123" s="23">
        <f>IF(O123="","",N(Q123)+N(R123)+N(S123)+N(T123))</f>
        <v>0</v>
      </c>
      <c r="AA123" s="24">
        <f>IF(OR(O123="",O123=0),"",Z123/O123)</f>
        <v>0</v>
      </c>
      <c r="AB123" s="24">
        <f>IF(OR(O123="",O123=0),"",N(T123)/O123)</f>
        <v>0</v>
      </c>
      <c r="AC123" s="24">
        <f>IF(OR(O123="",O123=0),"",N(S123)/O123)</f>
        <v>0</v>
      </c>
      <c r="AD123" s="24">
        <f>IF(OR(O123="",O123=0),"",N(R123)/O123)</f>
        <v>0</v>
      </c>
      <c r="AE123" s="24">
        <f>IF(OR(O123="",O123=0),"",N(U123)/O123)</f>
        <v>0</v>
      </c>
      <c r="AF123" s="24">
        <f>IF(OR(U123="",U123=0),"",N(W123)/U123)</f>
        <v>0</v>
      </c>
      <c r="AG123" s="25">
        <f>IF(OR(O123="",O123=0),"",N(X123)/(O123/1000))</f>
        <v>0</v>
      </c>
      <c r="AH123" s="24">
        <f>IF(O123="","",IF(Y123="",TargetEngagement,Y123))</f>
        <v>0</v>
      </c>
      <c r="AI123" s="24">
        <f>IF(OR(AA123="",AH123=""),"",AA123-AH123)</f>
        <v>0</v>
      </c>
      <c r="AJ123" s="31">
        <f>IF(AA123="","",AA123+ROW()/1000000)</f>
        <v>0</v>
      </c>
      <c r="AK123" s="23">
        <f>IF(AA123="","",RANK(AJ123,Performance!$AJ$5:$AJ$404))</f>
        <v>0</v>
      </c>
      <c r="AL123" s="29">
        <f>IF(AA123="","",IF(AA123&gt;=AH123*1.5,"Top performer",IF(AA123&gt;=AH123,"Above target",IF(AA123&gt;=AH123*0.6,"Below target","Weak - review it"))))</f>
        <v>0</v>
      </c>
      <c r="AM123" s="29">
        <f>IF(B123="","",IF(COUNTIF(Performance!$B$5:$B$404,B123)&gt;1,"Duplicate","OK"))</f>
        <v>0</v>
      </c>
      <c r="AN123" s="29">
        <f>IF(B123="","",IF(C123="Not found","Check - content ID not on the calendar",IF(O123="","Add - no numbers entered yet",IF(AM123="Duplicate","Duplicate - this post is entered twice",IF(AL123="Top performer","Repurpose this one","OK")))))</f>
        <v>0</v>
      </c>
    </row>
    <row r="124" spans="1:40">
      <c r="A124" s="41">
        <f>IF(B124="","","PF-"&amp;TEXT(ROW()-4,"0000"))</f>
        <v>0</v>
      </c>
      <c r="C124" s="17">
        <f>IF(B124="","",IFERROR(INDEX('Content Calendar'!$H$5:$H$604,MATCH(B124,'Content Calendar'!$A$5:$A$604,0)),"Not found"))</f>
        <v>0</v>
      </c>
      <c r="D124" s="16">
        <f>IF(B124="","",IFERROR(INDEX('Content Calendar'!$B$5:$B$604,MATCH(B124,'Content Calendar'!$A$5:$A$604,0)),"Not found"))</f>
        <v>0</v>
      </c>
      <c r="E124" s="17">
        <f>IF(B124="","",IFERROR(INDEX('Content Calendar'!$D$5:$D$604,MATCH(B124,'Content Calendar'!$A$5:$A$604,0)),"Not found"))</f>
        <v>0</v>
      </c>
      <c r="F124" s="17">
        <f>IF(B124="","",IFERROR(INDEX('Content Calendar'!$G$5:$G$604,MATCH(B124,'Content Calendar'!$A$5:$A$604,0)),"Not found"))</f>
        <v>0</v>
      </c>
      <c r="G124" s="17">
        <f>IF(B124="","",IFERROR(INDEX('Content Calendar'!$K$5:$K$604,MATCH(B124,'Content Calendar'!$A$5:$A$604,0)),"Not found"))</f>
        <v>0</v>
      </c>
      <c r="H124" s="17">
        <f>IF(B124="","",IFERROR(INDEX('Content Calendar'!$J$5:$J$604,MATCH(B124,'Content Calendar'!$A$5:$A$604,0)),"Not found"))</f>
        <v>0</v>
      </c>
      <c r="I124" s="17">
        <f>IF(B124="","",IFERROR(INDEX('Content Calendar'!$L$5:$L$604,MATCH(B124,'Content Calendar'!$A$5:$A$604,0)),"Not found"))</f>
        <v>0</v>
      </c>
      <c r="J124" s="17">
        <f>IF(B124="","",IFERROR(INDEX('Content Calendar'!$P$5:$P$604,MATCH(B124,'Content Calendar'!$A$5:$A$604,0)),"Not found"))</f>
        <v>0</v>
      </c>
      <c r="K124" s="17">
        <f>IF(B124="","",IFERROR(INDEX('Content Calendar'!$O$5:$O$604,MATCH(B124,'Content Calendar'!$A$5:$A$604,0)),"Not found"))</f>
        <v>0</v>
      </c>
      <c r="L124" s="17">
        <f>IF(B124="","",IFERROR(INDEX('Content Calendar'!$N$5:$N$604,MATCH(B124,'Content Calendar'!$A$5:$A$604,0)),"Not found"))</f>
        <v>0</v>
      </c>
      <c r="M124" s="17">
        <f>IF(B124="","",IFERROR(INDEX('Content Calendar'!$C$5:$C$604,MATCH(B124,'Content Calendar'!$A$5:$A$604,0)),"Not found"))</f>
        <v>0</v>
      </c>
      <c r="N124" s="17">
        <f>IF(B124="","",IFERROR(INDEX('Content Calendar'!$F$5:$F$604,MATCH(B124,'Content Calendar'!$A$5:$A$604,0)),"Not found"))</f>
        <v>0</v>
      </c>
      <c r="Z124" s="23">
        <f>IF(O124="","",N(Q124)+N(R124)+N(S124)+N(T124))</f>
        <v>0</v>
      </c>
      <c r="AA124" s="24">
        <f>IF(OR(O124="",O124=0),"",Z124/O124)</f>
        <v>0</v>
      </c>
      <c r="AB124" s="24">
        <f>IF(OR(O124="",O124=0),"",N(T124)/O124)</f>
        <v>0</v>
      </c>
      <c r="AC124" s="24">
        <f>IF(OR(O124="",O124=0),"",N(S124)/O124)</f>
        <v>0</v>
      </c>
      <c r="AD124" s="24">
        <f>IF(OR(O124="",O124=0),"",N(R124)/O124)</f>
        <v>0</v>
      </c>
      <c r="AE124" s="24">
        <f>IF(OR(O124="",O124=0),"",N(U124)/O124)</f>
        <v>0</v>
      </c>
      <c r="AF124" s="24">
        <f>IF(OR(U124="",U124=0),"",N(W124)/U124)</f>
        <v>0</v>
      </c>
      <c r="AG124" s="25">
        <f>IF(OR(O124="",O124=0),"",N(X124)/(O124/1000))</f>
        <v>0</v>
      </c>
      <c r="AH124" s="24">
        <f>IF(O124="","",IF(Y124="",TargetEngagement,Y124))</f>
        <v>0</v>
      </c>
      <c r="AI124" s="24">
        <f>IF(OR(AA124="",AH124=""),"",AA124-AH124)</f>
        <v>0</v>
      </c>
      <c r="AJ124" s="31">
        <f>IF(AA124="","",AA124+ROW()/1000000)</f>
        <v>0</v>
      </c>
      <c r="AK124" s="23">
        <f>IF(AA124="","",RANK(AJ124,Performance!$AJ$5:$AJ$404))</f>
        <v>0</v>
      </c>
      <c r="AL124" s="29">
        <f>IF(AA124="","",IF(AA124&gt;=AH124*1.5,"Top performer",IF(AA124&gt;=AH124,"Above target",IF(AA124&gt;=AH124*0.6,"Below target","Weak - review it"))))</f>
        <v>0</v>
      </c>
      <c r="AM124" s="29">
        <f>IF(B124="","",IF(COUNTIF(Performance!$B$5:$B$404,B124)&gt;1,"Duplicate","OK"))</f>
        <v>0</v>
      </c>
      <c r="AN124" s="29">
        <f>IF(B124="","",IF(C124="Not found","Check - content ID not on the calendar",IF(O124="","Add - no numbers entered yet",IF(AM124="Duplicate","Duplicate - this post is entered twice",IF(AL124="Top performer","Repurpose this one","OK")))))</f>
        <v>0</v>
      </c>
    </row>
    <row r="125" spans="1:40">
      <c r="A125" s="41">
        <f>IF(B125="","","PF-"&amp;TEXT(ROW()-4,"0000"))</f>
        <v>0</v>
      </c>
      <c r="C125" s="17">
        <f>IF(B125="","",IFERROR(INDEX('Content Calendar'!$H$5:$H$604,MATCH(B125,'Content Calendar'!$A$5:$A$604,0)),"Not found"))</f>
        <v>0</v>
      </c>
      <c r="D125" s="16">
        <f>IF(B125="","",IFERROR(INDEX('Content Calendar'!$B$5:$B$604,MATCH(B125,'Content Calendar'!$A$5:$A$604,0)),"Not found"))</f>
        <v>0</v>
      </c>
      <c r="E125" s="17">
        <f>IF(B125="","",IFERROR(INDEX('Content Calendar'!$D$5:$D$604,MATCH(B125,'Content Calendar'!$A$5:$A$604,0)),"Not found"))</f>
        <v>0</v>
      </c>
      <c r="F125" s="17">
        <f>IF(B125="","",IFERROR(INDEX('Content Calendar'!$G$5:$G$604,MATCH(B125,'Content Calendar'!$A$5:$A$604,0)),"Not found"))</f>
        <v>0</v>
      </c>
      <c r="G125" s="17">
        <f>IF(B125="","",IFERROR(INDEX('Content Calendar'!$K$5:$K$604,MATCH(B125,'Content Calendar'!$A$5:$A$604,0)),"Not found"))</f>
        <v>0</v>
      </c>
      <c r="H125" s="17">
        <f>IF(B125="","",IFERROR(INDEX('Content Calendar'!$J$5:$J$604,MATCH(B125,'Content Calendar'!$A$5:$A$604,0)),"Not found"))</f>
        <v>0</v>
      </c>
      <c r="I125" s="17">
        <f>IF(B125="","",IFERROR(INDEX('Content Calendar'!$L$5:$L$604,MATCH(B125,'Content Calendar'!$A$5:$A$604,0)),"Not found"))</f>
        <v>0</v>
      </c>
      <c r="J125" s="17">
        <f>IF(B125="","",IFERROR(INDEX('Content Calendar'!$P$5:$P$604,MATCH(B125,'Content Calendar'!$A$5:$A$604,0)),"Not found"))</f>
        <v>0</v>
      </c>
      <c r="K125" s="17">
        <f>IF(B125="","",IFERROR(INDEX('Content Calendar'!$O$5:$O$604,MATCH(B125,'Content Calendar'!$A$5:$A$604,0)),"Not found"))</f>
        <v>0</v>
      </c>
      <c r="L125" s="17">
        <f>IF(B125="","",IFERROR(INDEX('Content Calendar'!$N$5:$N$604,MATCH(B125,'Content Calendar'!$A$5:$A$604,0)),"Not found"))</f>
        <v>0</v>
      </c>
      <c r="M125" s="17">
        <f>IF(B125="","",IFERROR(INDEX('Content Calendar'!$C$5:$C$604,MATCH(B125,'Content Calendar'!$A$5:$A$604,0)),"Not found"))</f>
        <v>0</v>
      </c>
      <c r="N125" s="17">
        <f>IF(B125="","",IFERROR(INDEX('Content Calendar'!$F$5:$F$604,MATCH(B125,'Content Calendar'!$A$5:$A$604,0)),"Not found"))</f>
        <v>0</v>
      </c>
      <c r="Z125" s="23">
        <f>IF(O125="","",N(Q125)+N(R125)+N(S125)+N(T125))</f>
        <v>0</v>
      </c>
      <c r="AA125" s="24">
        <f>IF(OR(O125="",O125=0),"",Z125/O125)</f>
        <v>0</v>
      </c>
      <c r="AB125" s="24">
        <f>IF(OR(O125="",O125=0),"",N(T125)/O125)</f>
        <v>0</v>
      </c>
      <c r="AC125" s="24">
        <f>IF(OR(O125="",O125=0),"",N(S125)/O125)</f>
        <v>0</v>
      </c>
      <c r="AD125" s="24">
        <f>IF(OR(O125="",O125=0),"",N(R125)/O125)</f>
        <v>0</v>
      </c>
      <c r="AE125" s="24">
        <f>IF(OR(O125="",O125=0),"",N(U125)/O125)</f>
        <v>0</v>
      </c>
      <c r="AF125" s="24">
        <f>IF(OR(U125="",U125=0),"",N(W125)/U125)</f>
        <v>0</v>
      </c>
      <c r="AG125" s="25">
        <f>IF(OR(O125="",O125=0),"",N(X125)/(O125/1000))</f>
        <v>0</v>
      </c>
      <c r="AH125" s="24">
        <f>IF(O125="","",IF(Y125="",TargetEngagement,Y125))</f>
        <v>0</v>
      </c>
      <c r="AI125" s="24">
        <f>IF(OR(AA125="",AH125=""),"",AA125-AH125)</f>
        <v>0</v>
      </c>
      <c r="AJ125" s="31">
        <f>IF(AA125="","",AA125+ROW()/1000000)</f>
        <v>0</v>
      </c>
      <c r="AK125" s="23">
        <f>IF(AA125="","",RANK(AJ125,Performance!$AJ$5:$AJ$404))</f>
        <v>0</v>
      </c>
      <c r="AL125" s="29">
        <f>IF(AA125="","",IF(AA125&gt;=AH125*1.5,"Top performer",IF(AA125&gt;=AH125,"Above target",IF(AA125&gt;=AH125*0.6,"Below target","Weak - review it"))))</f>
        <v>0</v>
      </c>
      <c r="AM125" s="29">
        <f>IF(B125="","",IF(COUNTIF(Performance!$B$5:$B$404,B125)&gt;1,"Duplicate","OK"))</f>
        <v>0</v>
      </c>
      <c r="AN125" s="29">
        <f>IF(B125="","",IF(C125="Not found","Check - content ID not on the calendar",IF(O125="","Add - no numbers entered yet",IF(AM125="Duplicate","Duplicate - this post is entered twice",IF(AL125="Top performer","Repurpose this one","OK")))))</f>
        <v>0</v>
      </c>
    </row>
    <row r="126" spans="1:40">
      <c r="A126" s="41">
        <f>IF(B126="","","PF-"&amp;TEXT(ROW()-4,"0000"))</f>
        <v>0</v>
      </c>
      <c r="C126" s="17">
        <f>IF(B126="","",IFERROR(INDEX('Content Calendar'!$H$5:$H$604,MATCH(B126,'Content Calendar'!$A$5:$A$604,0)),"Not found"))</f>
        <v>0</v>
      </c>
      <c r="D126" s="16">
        <f>IF(B126="","",IFERROR(INDEX('Content Calendar'!$B$5:$B$604,MATCH(B126,'Content Calendar'!$A$5:$A$604,0)),"Not found"))</f>
        <v>0</v>
      </c>
      <c r="E126" s="17">
        <f>IF(B126="","",IFERROR(INDEX('Content Calendar'!$D$5:$D$604,MATCH(B126,'Content Calendar'!$A$5:$A$604,0)),"Not found"))</f>
        <v>0</v>
      </c>
      <c r="F126" s="17">
        <f>IF(B126="","",IFERROR(INDEX('Content Calendar'!$G$5:$G$604,MATCH(B126,'Content Calendar'!$A$5:$A$604,0)),"Not found"))</f>
        <v>0</v>
      </c>
      <c r="G126" s="17">
        <f>IF(B126="","",IFERROR(INDEX('Content Calendar'!$K$5:$K$604,MATCH(B126,'Content Calendar'!$A$5:$A$604,0)),"Not found"))</f>
        <v>0</v>
      </c>
      <c r="H126" s="17">
        <f>IF(B126="","",IFERROR(INDEX('Content Calendar'!$J$5:$J$604,MATCH(B126,'Content Calendar'!$A$5:$A$604,0)),"Not found"))</f>
        <v>0</v>
      </c>
      <c r="I126" s="17">
        <f>IF(B126="","",IFERROR(INDEX('Content Calendar'!$L$5:$L$604,MATCH(B126,'Content Calendar'!$A$5:$A$604,0)),"Not found"))</f>
        <v>0</v>
      </c>
      <c r="J126" s="17">
        <f>IF(B126="","",IFERROR(INDEX('Content Calendar'!$P$5:$P$604,MATCH(B126,'Content Calendar'!$A$5:$A$604,0)),"Not found"))</f>
        <v>0</v>
      </c>
      <c r="K126" s="17">
        <f>IF(B126="","",IFERROR(INDEX('Content Calendar'!$O$5:$O$604,MATCH(B126,'Content Calendar'!$A$5:$A$604,0)),"Not found"))</f>
        <v>0</v>
      </c>
      <c r="L126" s="17">
        <f>IF(B126="","",IFERROR(INDEX('Content Calendar'!$N$5:$N$604,MATCH(B126,'Content Calendar'!$A$5:$A$604,0)),"Not found"))</f>
        <v>0</v>
      </c>
      <c r="M126" s="17">
        <f>IF(B126="","",IFERROR(INDEX('Content Calendar'!$C$5:$C$604,MATCH(B126,'Content Calendar'!$A$5:$A$604,0)),"Not found"))</f>
        <v>0</v>
      </c>
      <c r="N126" s="17">
        <f>IF(B126="","",IFERROR(INDEX('Content Calendar'!$F$5:$F$604,MATCH(B126,'Content Calendar'!$A$5:$A$604,0)),"Not found"))</f>
        <v>0</v>
      </c>
      <c r="Z126" s="23">
        <f>IF(O126="","",N(Q126)+N(R126)+N(S126)+N(T126))</f>
        <v>0</v>
      </c>
      <c r="AA126" s="24">
        <f>IF(OR(O126="",O126=0),"",Z126/O126)</f>
        <v>0</v>
      </c>
      <c r="AB126" s="24">
        <f>IF(OR(O126="",O126=0),"",N(T126)/O126)</f>
        <v>0</v>
      </c>
      <c r="AC126" s="24">
        <f>IF(OR(O126="",O126=0),"",N(S126)/O126)</f>
        <v>0</v>
      </c>
      <c r="AD126" s="24">
        <f>IF(OR(O126="",O126=0),"",N(R126)/O126)</f>
        <v>0</v>
      </c>
      <c r="AE126" s="24">
        <f>IF(OR(O126="",O126=0),"",N(U126)/O126)</f>
        <v>0</v>
      </c>
      <c r="AF126" s="24">
        <f>IF(OR(U126="",U126=0),"",N(W126)/U126)</f>
        <v>0</v>
      </c>
      <c r="AG126" s="25">
        <f>IF(OR(O126="",O126=0),"",N(X126)/(O126/1000))</f>
        <v>0</v>
      </c>
      <c r="AH126" s="24">
        <f>IF(O126="","",IF(Y126="",TargetEngagement,Y126))</f>
        <v>0</v>
      </c>
      <c r="AI126" s="24">
        <f>IF(OR(AA126="",AH126=""),"",AA126-AH126)</f>
        <v>0</v>
      </c>
      <c r="AJ126" s="31">
        <f>IF(AA126="","",AA126+ROW()/1000000)</f>
        <v>0</v>
      </c>
      <c r="AK126" s="23">
        <f>IF(AA126="","",RANK(AJ126,Performance!$AJ$5:$AJ$404))</f>
        <v>0</v>
      </c>
      <c r="AL126" s="29">
        <f>IF(AA126="","",IF(AA126&gt;=AH126*1.5,"Top performer",IF(AA126&gt;=AH126,"Above target",IF(AA126&gt;=AH126*0.6,"Below target","Weak - review it"))))</f>
        <v>0</v>
      </c>
      <c r="AM126" s="29">
        <f>IF(B126="","",IF(COUNTIF(Performance!$B$5:$B$404,B126)&gt;1,"Duplicate","OK"))</f>
        <v>0</v>
      </c>
      <c r="AN126" s="29">
        <f>IF(B126="","",IF(C126="Not found","Check - content ID not on the calendar",IF(O126="","Add - no numbers entered yet",IF(AM126="Duplicate","Duplicate - this post is entered twice",IF(AL126="Top performer","Repurpose this one","OK")))))</f>
        <v>0</v>
      </c>
    </row>
    <row r="127" spans="1:40">
      <c r="A127" s="41">
        <f>IF(B127="","","PF-"&amp;TEXT(ROW()-4,"0000"))</f>
        <v>0</v>
      </c>
      <c r="C127" s="17">
        <f>IF(B127="","",IFERROR(INDEX('Content Calendar'!$H$5:$H$604,MATCH(B127,'Content Calendar'!$A$5:$A$604,0)),"Not found"))</f>
        <v>0</v>
      </c>
      <c r="D127" s="16">
        <f>IF(B127="","",IFERROR(INDEX('Content Calendar'!$B$5:$B$604,MATCH(B127,'Content Calendar'!$A$5:$A$604,0)),"Not found"))</f>
        <v>0</v>
      </c>
      <c r="E127" s="17">
        <f>IF(B127="","",IFERROR(INDEX('Content Calendar'!$D$5:$D$604,MATCH(B127,'Content Calendar'!$A$5:$A$604,0)),"Not found"))</f>
        <v>0</v>
      </c>
      <c r="F127" s="17">
        <f>IF(B127="","",IFERROR(INDEX('Content Calendar'!$G$5:$G$604,MATCH(B127,'Content Calendar'!$A$5:$A$604,0)),"Not found"))</f>
        <v>0</v>
      </c>
      <c r="G127" s="17">
        <f>IF(B127="","",IFERROR(INDEX('Content Calendar'!$K$5:$K$604,MATCH(B127,'Content Calendar'!$A$5:$A$604,0)),"Not found"))</f>
        <v>0</v>
      </c>
      <c r="H127" s="17">
        <f>IF(B127="","",IFERROR(INDEX('Content Calendar'!$J$5:$J$604,MATCH(B127,'Content Calendar'!$A$5:$A$604,0)),"Not found"))</f>
        <v>0</v>
      </c>
      <c r="I127" s="17">
        <f>IF(B127="","",IFERROR(INDEX('Content Calendar'!$L$5:$L$604,MATCH(B127,'Content Calendar'!$A$5:$A$604,0)),"Not found"))</f>
        <v>0</v>
      </c>
      <c r="J127" s="17">
        <f>IF(B127="","",IFERROR(INDEX('Content Calendar'!$P$5:$P$604,MATCH(B127,'Content Calendar'!$A$5:$A$604,0)),"Not found"))</f>
        <v>0</v>
      </c>
      <c r="K127" s="17">
        <f>IF(B127="","",IFERROR(INDEX('Content Calendar'!$O$5:$O$604,MATCH(B127,'Content Calendar'!$A$5:$A$604,0)),"Not found"))</f>
        <v>0</v>
      </c>
      <c r="L127" s="17">
        <f>IF(B127="","",IFERROR(INDEX('Content Calendar'!$N$5:$N$604,MATCH(B127,'Content Calendar'!$A$5:$A$604,0)),"Not found"))</f>
        <v>0</v>
      </c>
      <c r="M127" s="17">
        <f>IF(B127="","",IFERROR(INDEX('Content Calendar'!$C$5:$C$604,MATCH(B127,'Content Calendar'!$A$5:$A$604,0)),"Not found"))</f>
        <v>0</v>
      </c>
      <c r="N127" s="17">
        <f>IF(B127="","",IFERROR(INDEX('Content Calendar'!$F$5:$F$604,MATCH(B127,'Content Calendar'!$A$5:$A$604,0)),"Not found"))</f>
        <v>0</v>
      </c>
      <c r="Z127" s="23">
        <f>IF(O127="","",N(Q127)+N(R127)+N(S127)+N(T127))</f>
        <v>0</v>
      </c>
      <c r="AA127" s="24">
        <f>IF(OR(O127="",O127=0),"",Z127/O127)</f>
        <v>0</v>
      </c>
      <c r="AB127" s="24">
        <f>IF(OR(O127="",O127=0),"",N(T127)/O127)</f>
        <v>0</v>
      </c>
      <c r="AC127" s="24">
        <f>IF(OR(O127="",O127=0),"",N(S127)/O127)</f>
        <v>0</v>
      </c>
      <c r="AD127" s="24">
        <f>IF(OR(O127="",O127=0),"",N(R127)/O127)</f>
        <v>0</v>
      </c>
      <c r="AE127" s="24">
        <f>IF(OR(O127="",O127=0),"",N(U127)/O127)</f>
        <v>0</v>
      </c>
      <c r="AF127" s="24">
        <f>IF(OR(U127="",U127=0),"",N(W127)/U127)</f>
        <v>0</v>
      </c>
      <c r="AG127" s="25">
        <f>IF(OR(O127="",O127=0),"",N(X127)/(O127/1000))</f>
        <v>0</v>
      </c>
      <c r="AH127" s="24">
        <f>IF(O127="","",IF(Y127="",TargetEngagement,Y127))</f>
        <v>0</v>
      </c>
      <c r="AI127" s="24">
        <f>IF(OR(AA127="",AH127=""),"",AA127-AH127)</f>
        <v>0</v>
      </c>
      <c r="AJ127" s="31">
        <f>IF(AA127="","",AA127+ROW()/1000000)</f>
        <v>0</v>
      </c>
      <c r="AK127" s="23">
        <f>IF(AA127="","",RANK(AJ127,Performance!$AJ$5:$AJ$404))</f>
        <v>0</v>
      </c>
      <c r="AL127" s="29">
        <f>IF(AA127="","",IF(AA127&gt;=AH127*1.5,"Top performer",IF(AA127&gt;=AH127,"Above target",IF(AA127&gt;=AH127*0.6,"Below target","Weak - review it"))))</f>
        <v>0</v>
      </c>
      <c r="AM127" s="29">
        <f>IF(B127="","",IF(COUNTIF(Performance!$B$5:$B$404,B127)&gt;1,"Duplicate","OK"))</f>
        <v>0</v>
      </c>
      <c r="AN127" s="29">
        <f>IF(B127="","",IF(C127="Not found","Check - content ID not on the calendar",IF(O127="","Add - no numbers entered yet",IF(AM127="Duplicate","Duplicate - this post is entered twice",IF(AL127="Top performer","Repurpose this one","OK")))))</f>
        <v>0</v>
      </c>
    </row>
    <row r="128" spans="1:40">
      <c r="A128" s="41">
        <f>IF(B128="","","PF-"&amp;TEXT(ROW()-4,"0000"))</f>
        <v>0</v>
      </c>
      <c r="C128" s="17">
        <f>IF(B128="","",IFERROR(INDEX('Content Calendar'!$H$5:$H$604,MATCH(B128,'Content Calendar'!$A$5:$A$604,0)),"Not found"))</f>
        <v>0</v>
      </c>
      <c r="D128" s="16">
        <f>IF(B128="","",IFERROR(INDEX('Content Calendar'!$B$5:$B$604,MATCH(B128,'Content Calendar'!$A$5:$A$604,0)),"Not found"))</f>
        <v>0</v>
      </c>
      <c r="E128" s="17">
        <f>IF(B128="","",IFERROR(INDEX('Content Calendar'!$D$5:$D$604,MATCH(B128,'Content Calendar'!$A$5:$A$604,0)),"Not found"))</f>
        <v>0</v>
      </c>
      <c r="F128" s="17">
        <f>IF(B128="","",IFERROR(INDEX('Content Calendar'!$G$5:$G$604,MATCH(B128,'Content Calendar'!$A$5:$A$604,0)),"Not found"))</f>
        <v>0</v>
      </c>
      <c r="G128" s="17">
        <f>IF(B128="","",IFERROR(INDEX('Content Calendar'!$K$5:$K$604,MATCH(B128,'Content Calendar'!$A$5:$A$604,0)),"Not found"))</f>
        <v>0</v>
      </c>
      <c r="H128" s="17">
        <f>IF(B128="","",IFERROR(INDEX('Content Calendar'!$J$5:$J$604,MATCH(B128,'Content Calendar'!$A$5:$A$604,0)),"Not found"))</f>
        <v>0</v>
      </c>
      <c r="I128" s="17">
        <f>IF(B128="","",IFERROR(INDEX('Content Calendar'!$L$5:$L$604,MATCH(B128,'Content Calendar'!$A$5:$A$604,0)),"Not found"))</f>
        <v>0</v>
      </c>
      <c r="J128" s="17">
        <f>IF(B128="","",IFERROR(INDEX('Content Calendar'!$P$5:$P$604,MATCH(B128,'Content Calendar'!$A$5:$A$604,0)),"Not found"))</f>
        <v>0</v>
      </c>
      <c r="K128" s="17">
        <f>IF(B128="","",IFERROR(INDEX('Content Calendar'!$O$5:$O$604,MATCH(B128,'Content Calendar'!$A$5:$A$604,0)),"Not found"))</f>
        <v>0</v>
      </c>
      <c r="L128" s="17">
        <f>IF(B128="","",IFERROR(INDEX('Content Calendar'!$N$5:$N$604,MATCH(B128,'Content Calendar'!$A$5:$A$604,0)),"Not found"))</f>
        <v>0</v>
      </c>
      <c r="M128" s="17">
        <f>IF(B128="","",IFERROR(INDEX('Content Calendar'!$C$5:$C$604,MATCH(B128,'Content Calendar'!$A$5:$A$604,0)),"Not found"))</f>
        <v>0</v>
      </c>
      <c r="N128" s="17">
        <f>IF(B128="","",IFERROR(INDEX('Content Calendar'!$F$5:$F$604,MATCH(B128,'Content Calendar'!$A$5:$A$604,0)),"Not found"))</f>
        <v>0</v>
      </c>
      <c r="Z128" s="23">
        <f>IF(O128="","",N(Q128)+N(R128)+N(S128)+N(T128))</f>
        <v>0</v>
      </c>
      <c r="AA128" s="24">
        <f>IF(OR(O128="",O128=0),"",Z128/O128)</f>
        <v>0</v>
      </c>
      <c r="AB128" s="24">
        <f>IF(OR(O128="",O128=0),"",N(T128)/O128)</f>
        <v>0</v>
      </c>
      <c r="AC128" s="24">
        <f>IF(OR(O128="",O128=0),"",N(S128)/O128)</f>
        <v>0</v>
      </c>
      <c r="AD128" s="24">
        <f>IF(OR(O128="",O128=0),"",N(R128)/O128)</f>
        <v>0</v>
      </c>
      <c r="AE128" s="24">
        <f>IF(OR(O128="",O128=0),"",N(U128)/O128)</f>
        <v>0</v>
      </c>
      <c r="AF128" s="24">
        <f>IF(OR(U128="",U128=0),"",N(W128)/U128)</f>
        <v>0</v>
      </c>
      <c r="AG128" s="25">
        <f>IF(OR(O128="",O128=0),"",N(X128)/(O128/1000))</f>
        <v>0</v>
      </c>
      <c r="AH128" s="24">
        <f>IF(O128="","",IF(Y128="",TargetEngagement,Y128))</f>
        <v>0</v>
      </c>
      <c r="AI128" s="24">
        <f>IF(OR(AA128="",AH128=""),"",AA128-AH128)</f>
        <v>0</v>
      </c>
      <c r="AJ128" s="31">
        <f>IF(AA128="","",AA128+ROW()/1000000)</f>
        <v>0</v>
      </c>
      <c r="AK128" s="23">
        <f>IF(AA128="","",RANK(AJ128,Performance!$AJ$5:$AJ$404))</f>
        <v>0</v>
      </c>
      <c r="AL128" s="29">
        <f>IF(AA128="","",IF(AA128&gt;=AH128*1.5,"Top performer",IF(AA128&gt;=AH128,"Above target",IF(AA128&gt;=AH128*0.6,"Below target","Weak - review it"))))</f>
        <v>0</v>
      </c>
      <c r="AM128" s="29">
        <f>IF(B128="","",IF(COUNTIF(Performance!$B$5:$B$404,B128)&gt;1,"Duplicate","OK"))</f>
        <v>0</v>
      </c>
      <c r="AN128" s="29">
        <f>IF(B128="","",IF(C128="Not found","Check - content ID not on the calendar",IF(O128="","Add - no numbers entered yet",IF(AM128="Duplicate","Duplicate - this post is entered twice",IF(AL128="Top performer","Repurpose this one","OK")))))</f>
        <v>0</v>
      </c>
    </row>
    <row r="129" spans="1:40">
      <c r="A129" s="41">
        <f>IF(B129="","","PF-"&amp;TEXT(ROW()-4,"0000"))</f>
        <v>0</v>
      </c>
      <c r="C129" s="17">
        <f>IF(B129="","",IFERROR(INDEX('Content Calendar'!$H$5:$H$604,MATCH(B129,'Content Calendar'!$A$5:$A$604,0)),"Not found"))</f>
        <v>0</v>
      </c>
      <c r="D129" s="16">
        <f>IF(B129="","",IFERROR(INDEX('Content Calendar'!$B$5:$B$604,MATCH(B129,'Content Calendar'!$A$5:$A$604,0)),"Not found"))</f>
        <v>0</v>
      </c>
      <c r="E129" s="17">
        <f>IF(B129="","",IFERROR(INDEX('Content Calendar'!$D$5:$D$604,MATCH(B129,'Content Calendar'!$A$5:$A$604,0)),"Not found"))</f>
        <v>0</v>
      </c>
      <c r="F129" s="17">
        <f>IF(B129="","",IFERROR(INDEX('Content Calendar'!$G$5:$G$604,MATCH(B129,'Content Calendar'!$A$5:$A$604,0)),"Not found"))</f>
        <v>0</v>
      </c>
      <c r="G129" s="17">
        <f>IF(B129="","",IFERROR(INDEX('Content Calendar'!$K$5:$K$604,MATCH(B129,'Content Calendar'!$A$5:$A$604,0)),"Not found"))</f>
        <v>0</v>
      </c>
      <c r="H129" s="17">
        <f>IF(B129="","",IFERROR(INDEX('Content Calendar'!$J$5:$J$604,MATCH(B129,'Content Calendar'!$A$5:$A$604,0)),"Not found"))</f>
        <v>0</v>
      </c>
      <c r="I129" s="17">
        <f>IF(B129="","",IFERROR(INDEX('Content Calendar'!$L$5:$L$604,MATCH(B129,'Content Calendar'!$A$5:$A$604,0)),"Not found"))</f>
        <v>0</v>
      </c>
      <c r="J129" s="17">
        <f>IF(B129="","",IFERROR(INDEX('Content Calendar'!$P$5:$P$604,MATCH(B129,'Content Calendar'!$A$5:$A$604,0)),"Not found"))</f>
        <v>0</v>
      </c>
      <c r="K129" s="17">
        <f>IF(B129="","",IFERROR(INDEX('Content Calendar'!$O$5:$O$604,MATCH(B129,'Content Calendar'!$A$5:$A$604,0)),"Not found"))</f>
        <v>0</v>
      </c>
      <c r="L129" s="17">
        <f>IF(B129="","",IFERROR(INDEX('Content Calendar'!$N$5:$N$604,MATCH(B129,'Content Calendar'!$A$5:$A$604,0)),"Not found"))</f>
        <v>0</v>
      </c>
      <c r="M129" s="17">
        <f>IF(B129="","",IFERROR(INDEX('Content Calendar'!$C$5:$C$604,MATCH(B129,'Content Calendar'!$A$5:$A$604,0)),"Not found"))</f>
        <v>0</v>
      </c>
      <c r="N129" s="17">
        <f>IF(B129="","",IFERROR(INDEX('Content Calendar'!$F$5:$F$604,MATCH(B129,'Content Calendar'!$A$5:$A$604,0)),"Not found"))</f>
        <v>0</v>
      </c>
      <c r="Z129" s="23">
        <f>IF(O129="","",N(Q129)+N(R129)+N(S129)+N(T129))</f>
        <v>0</v>
      </c>
      <c r="AA129" s="24">
        <f>IF(OR(O129="",O129=0),"",Z129/O129)</f>
        <v>0</v>
      </c>
      <c r="AB129" s="24">
        <f>IF(OR(O129="",O129=0),"",N(T129)/O129)</f>
        <v>0</v>
      </c>
      <c r="AC129" s="24">
        <f>IF(OR(O129="",O129=0),"",N(S129)/O129)</f>
        <v>0</v>
      </c>
      <c r="AD129" s="24">
        <f>IF(OR(O129="",O129=0),"",N(R129)/O129)</f>
        <v>0</v>
      </c>
      <c r="AE129" s="24">
        <f>IF(OR(O129="",O129=0),"",N(U129)/O129)</f>
        <v>0</v>
      </c>
      <c r="AF129" s="24">
        <f>IF(OR(U129="",U129=0),"",N(W129)/U129)</f>
        <v>0</v>
      </c>
      <c r="AG129" s="25">
        <f>IF(OR(O129="",O129=0),"",N(X129)/(O129/1000))</f>
        <v>0</v>
      </c>
      <c r="AH129" s="24">
        <f>IF(O129="","",IF(Y129="",TargetEngagement,Y129))</f>
        <v>0</v>
      </c>
      <c r="AI129" s="24">
        <f>IF(OR(AA129="",AH129=""),"",AA129-AH129)</f>
        <v>0</v>
      </c>
      <c r="AJ129" s="31">
        <f>IF(AA129="","",AA129+ROW()/1000000)</f>
        <v>0</v>
      </c>
      <c r="AK129" s="23">
        <f>IF(AA129="","",RANK(AJ129,Performance!$AJ$5:$AJ$404))</f>
        <v>0</v>
      </c>
      <c r="AL129" s="29">
        <f>IF(AA129="","",IF(AA129&gt;=AH129*1.5,"Top performer",IF(AA129&gt;=AH129,"Above target",IF(AA129&gt;=AH129*0.6,"Below target","Weak - review it"))))</f>
        <v>0</v>
      </c>
      <c r="AM129" s="29">
        <f>IF(B129="","",IF(COUNTIF(Performance!$B$5:$B$404,B129)&gt;1,"Duplicate","OK"))</f>
        <v>0</v>
      </c>
      <c r="AN129" s="29">
        <f>IF(B129="","",IF(C129="Not found","Check - content ID not on the calendar",IF(O129="","Add - no numbers entered yet",IF(AM129="Duplicate","Duplicate - this post is entered twice",IF(AL129="Top performer","Repurpose this one","OK")))))</f>
        <v>0</v>
      </c>
    </row>
    <row r="130" spans="1:40">
      <c r="A130" s="41">
        <f>IF(B130="","","PF-"&amp;TEXT(ROW()-4,"0000"))</f>
        <v>0</v>
      </c>
      <c r="C130" s="17">
        <f>IF(B130="","",IFERROR(INDEX('Content Calendar'!$H$5:$H$604,MATCH(B130,'Content Calendar'!$A$5:$A$604,0)),"Not found"))</f>
        <v>0</v>
      </c>
      <c r="D130" s="16">
        <f>IF(B130="","",IFERROR(INDEX('Content Calendar'!$B$5:$B$604,MATCH(B130,'Content Calendar'!$A$5:$A$604,0)),"Not found"))</f>
        <v>0</v>
      </c>
      <c r="E130" s="17">
        <f>IF(B130="","",IFERROR(INDEX('Content Calendar'!$D$5:$D$604,MATCH(B130,'Content Calendar'!$A$5:$A$604,0)),"Not found"))</f>
        <v>0</v>
      </c>
      <c r="F130" s="17">
        <f>IF(B130="","",IFERROR(INDEX('Content Calendar'!$G$5:$G$604,MATCH(B130,'Content Calendar'!$A$5:$A$604,0)),"Not found"))</f>
        <v>0</v>
      </c>
      <c r="G130" s="17">
        <f>IF(B130="","",IFERROR(INDEX('Content Calendar'!$K$5:$K$604,MATCH(B130,'Content Calendar'!$A$5:$A$604,0)),"Not found"))</f>
        <v>0</v>
      </c>
      <c r="H130" s="17">
        <f>IF(B130="","",IFERROR(INDEX('Content Calendar'!$J$5:$J$604,MATCH(B130,'Content Calendar'!$A$5:$A$604,0)),"Not found"))</f>
        <v>0</v>
      </c>
      <c r="I130" s="17">
        <f>IF(B130="","",IFERROR(INDEX('Content Calendar'!$L$5:$L$604,MATCH(B130,'Content Calendar'!$A$5:$A$604,0)),"Not found"))</f>
        <v>0</v>
      </c>
      <c r="J130" s="17">
        <f>IF(B130="","",IFERROR(INDEX('Content Calendar'!$P$5:$P$604,MATCH(B130,'Content Calendar'!$A$5:$A$604,0)),"Not found"))</f>
        <v>0</v>
      </c>
      <c r="K130" s="17">
        <f>IF(B130="","",IFERROR(INDEX('Content Calendar'!$O$5:$O$604,MATCH(B130,'Content Calendar'!$A$5:$A$604,0)),"Not found"))</f>
        <v>0</v>
      </c>
      <c r="L130" s="17">
        <f>IF(B130="","",IFERROR(INDEX('Content Calendar'!$N$5:$N$604,MATCH(B130,'Content Calendar'!$A$5:$A$604,0)),"Not found"))</f>
        <v>0</v>
      </c>
      <c r="M130" s="17">
        <f>IF(B130="","",IFERROR(INDEX('Content Calendar'!$C$5:$C$604,MATCH(B130,'Content Calendar'!$A$5:$A$604,0)),"Not found"))</f>
        <v>0</v>
      </c>
      <c r="N130" s="17">
        <f>IF(B130="","",IFERROR(INDEX('Content Calendar'!$F$5:$F$604,MATCH(B130,'Content Calendar'!$A$5:$A$604,0)),"Not found"))</f>
        <v>0</v>
      </c>
      <c r="Z130" s="23">
        <f>IF(O130="","",N(Q130)+N(R130)+N(S130)+N(T130))</f>
        <v>0</v>
      </c>
      <c r="AA130" s="24">
        <f>IF(OR(O130="",O130=0),"",Z130/O130)</f>
        <v>0</v>
      </c>
      <c r="AB130" s="24">
        <f>IF(OR(O130="",O130=0),"",N(T130)/O130)</f>
        <v>0</v>
      </c>
      <c r="AC130" s="24">
        <f>IF(OR(O130="",O130=0),"",N(S130)/O130)</f>
        <v>0</v>
      </c>
      <c r="AD130" s="24">
        <f>IF(OR(O130="",O130=0),"",N(R130)/O130)</f>
        <v>0</v>
      </c>
      <c r="AE130" s="24">
        <f>IF(OR(O130="",O130=0),"",N(U130)/O130)</f>
        <v>0</v>
      </c>
      <c r="AF130" s="24">
        <f>IF(OR(U130="",U130=0),"",N(W130)/U130)</f>
        <v>0</v>
      </c>
      <c r="AG130" s="25">
        <f>IF(OR(O130="",O130=0),"",N(X130)/(O130/1000))</f>
        <v>0</v>
      </c>
      <c r="AH130" s="24">
        <f>IF(O130="","",IF(Y130="",TargetEngagement,Y130))</f>
        <v>0</v>
      </c>
      <c r="AI130" s="24">
        <f>IF(OR(AA130="",AH130=""),"",AA130-AH130)</f>
        <v>0</v>
      </c>
      <c r="AJ130" s="31">
        <f>IF(AA130="","",AA130+ROW()/1000000)</f>
        <v>0</v>
      </c>
      <c r="AK130" s="23">
        <f>IF(AA130="","",RANK(AJ130,Performance!$AJ$5:$AJ$404))</f>
        <v>0</v>
      </c>
      <c r="AL130" s="29">
        <f>IF(AA130="","",IF(AA130&gt;=AH130*1.5,"Top performer",IF(AA130&gt;=AH130,"Above target",IF(AA130&gt;=AH130*0.6,"Below target","Weak - review it"))))</f>
        <v>0</v>
      </c>
      <c r="AM130" s="29">
        <f>IF(B130="","",IF(COUNTIF(Performance!$B$5:$B$404,B130)&gt;1,"Duplicate","OK"))</f>
        <v>0</v>
      </c>
      <c r="AN130" s="29">
        <f>IF(B130="","",IF(C130="Not found","Check - content ID not on the calendar",IF(O130="","Add - no numbers entered yet",IF(AM130="Duplicate","Duplicate - this post is entered twice",IF(AL130="Top performer","Repurpose this one","OK")))))</f>
        <v>0</v>
      </c>
    </row>
    <row r="131" spans="1:40">
      <c r="A131" s="41">
        <f>IF(B131="","","PF-"&amp;TEXT(ROW()-4,"0000"))</f>
        <v>0</v>
      </c>
      <c r="C131" s="17">
        <f>IF(B131="","",IFERROR(INDEX('Content Calendar'!$H$5:$H$604,MATCH(B131,'Content Calendar'!$A$5:$A$604,0)),"Not found"))</f>
        <v>0</v>
      </c>
      <c r="D131" s="16">
        <f>IF(B131="","",IFERROR(INDEX('Content Calendar'!$B$5:$B$604,MATCH(B131,'Content Calendar'!$A$5:$A$604,0)),"Not found"))</f>
        <v>0</v>
      </c>
      <c r="E131" s="17">
        <f>IF(B131="","",IFERROR(INDEX('Content Calendar'!$D$5:$D$604,MATCH(B131,'Content Calendar'!$A$5:$A$604,0)),"Not found"))</f>
        <v>0</v>
      </c>
      <c r="F131" s="17">
        <f>IF(B131="","",IFERROR(INDEX('Content Calendar'!$G$5:$G$604,MATCH(B131,'Content Calendar'!$A$5:$A$604,0)),"Not found"))</f>
        <v>0</v>
      </c>
      <c r="G131" s="17">
        <f>IF(B131="","",IFERROR(INDEX('Content Calendar'!$K$5:$K$604,MATCH(B131,'Content Calendar'!$A$5:$A$604,0)),"Not found"))</f>
        <v>0</v>
      </c>
      <c r="H131" s="17">
        <f>IF(B131="","",IFERROR(INDEX('Content Calendar'!$J$5:$J$604,MATCH(B131,'Content Calendar'!$A$5:$A$604,0)),"Not found"))</f>
        <v>0</v>
      </c>
      <c r="I131" s="17">
        <f>IF(B131="","",IFERROR(INDEX('Content Calendar'!$L$5:$L$604,MATCH(B131,'Content Calendar'!$A$5:$A$604,0)),"Not found"))</f>
        <v>0</v>
      </c>
      <c r="J131" s="17">
        <f>IF(B131="","",IFERROR(INDEX('Content Calendar'!$P$5:$P$604,MATCH(B131,'Content Calendar'!$A$5:$A$604,0)),"Not found"))</f>
        <v>0</v>
      </c>
      <c r="K131" s="17">
        <f>IF(B131="","",IFERROR(INDEX('Content Calendar'!$O$5:$O$604,MATCH(B131,'Content Calendar'!$A$5:$A$604,0)),"Not found"))</f>
        <v>0</v>
      </c>
      <c r="L131" s="17">
        <f>IF(B131="","",IFERROR(INDEX('Content Calendar'!$N$5:$N$604,MATCH(B131,'Content Calendar'!$A$5:$A$604,0)),"Not found"))</f>
        <v>0</v>
      </c>
      <c r="M131" s="17">
        <f>IF(B131="","",IFERROR(INDEX('Content Calendar'!$C$5:$C$604,MATCH(B131,'Content Calendar'!$A$5:$A$604,0)),"Not found"))</f>
        <v>0</v>
      </c>
      <c r="N131" s="17">
        <f>IF(B131="","",IFERROR(INDEX('Content Calendar'!$F$5:$F$604,MATCH(B131,'Content Calendar'!$A$5:$A$604,0)),"Not found"))</f>
        <v>0</v>
      </c>
      <c r="Z131" s="23">
        <f>IF(O131="","",N(Q131)+N(R131)+N(S131)+N(T131))</f>
        <v>0</v>
      </c>
      <c r="AA131" s="24">
        <f>IF(OR(O131="",O131=0),"",Z131/O131)</f>
        <v>0</v>
      </c>
      <c r="AB131" s="24">
        <f>IF(OR(O131="",O131=0),"",N(T131)/O131)</f>
        <v>0</v>
      </c>
      <c r="AC131" s="24">
        <f>IF(OR(O131="",O131=0),"",N(S131)/O131)</f>
        <v>0</v>
      </c>
      <c r="AD131" s="24">
        <f>IF(OR(O131="",O131=0),"",N(R131)/O131)</f>
        <v>0</v>
      </c>
      <c r="AE131" s="24">
        <f>IF(OR(O131="",O131=0),"",N(U131)/O131)</f>
        <v>0</v>
      </c>
      <c r="AF131" s="24">
        <f>IF(OR(U131="",U131=0),"",N(W131)/U131)</f>
        <v>0</v>
      </c>
      <c r="AG131" s="25">
        <f>IF(OR(O131="",O131=0),"",N(X131)/(O131/1000))</f>
        <v>0</v>
      </c>
      <c r="AH131" s="24">
        <f>IF(O131="","",IF(Y131="",TargetEngagement,Y131))</f>
        <v>0</v>
      </c>
      <c r="AI131" s="24">
        <f>IF(OR(AA131="",AH131=""),"",AA131-AH131)</f>
        <v>0</v>
      </c>
      <c r="AJ131" s="31">
        <f>IF(AA131="","",AA131+ROW()/1000000)</f>
        <v>0</v>
      </c>
      <c r="AK131" s="23">
        <f>IF(AA131="","",RANK(AJ131,Performance!$AJ$5:$AJ$404))</f>
        <v>0</v>
      </c>
      <c r="AL131" s="29">
        <f>IF(AA131="","",IF(AA131&gt;=AH131*1.5,"Top performer",IF(AA131&gt;=AH131,"Above target",IF(AA131&gt;=AH131*0.6,"Below target","Weak - review it"))))</f>
        <v>0</v>
      </c>
      <c r="AM131" s="29">
        <f>IF(B131="","",IF(COUNTIF(Performance!$B$5:$B$404,B131)&gt;1,"Duplicate","OK"))</f>
        <v>0</v>
      </c>
      <c r="AN131" s="29">
        <f>IF(B131="","",IF(C131="Not found","Check - content ID not on the calendar",IF(O131="","Add - no numbers entered yet",IF(AM131="Duplicate","Duplicate - this post is entered twice",IF(AL131="Top performer","Repurpose this one","OK")))))</f>
        <v>0</v>
      </c>
    </row>
    <row r="132" spans="1:40">
      <c r="A132" s="41">
        <f>IF(B132="","","PF-"&amp;TEXT(ROW()-4,"0000"))</f>
        <v>0</v>
      </c>
      <c r="C132" s="17">
        <f>IF(B132="","",IFERROR(INDEX('Content Calendar'!$H$5:$H$604,MATCH(B132,'Content Calendar'!$A$5:$A$604,0)),"Not found"))</f>
        <v>0</v>
      </c>
      <c r="D132" s="16">
        <f>IF(B132="","",IFERROR(INDEX('Content Calendar'!$B$5:$B$604,MATCH(B132,'Content Calendar'!$A$5:$A$604,0)),"Not found"))</f>
        <v>0</v>
      </c>
      <c r="E132" s="17">
        <f>IF(B132="","",IFERROR(INDEX('Content Calendar'!$D$5:$D$604,MATCH(B132,'Content Calendar'!$A$5:$A$604,0)),"Not found"))</f>
        <v>0</v>
      </c>
      <c r="F132" s="17">
        <f>IF(B132="","",IFERROR(INDEX('Content Calendar'!$G$5:$G$604,MATCH(B132,'Content Calendar'!$A$5:$A$604,0)),"Not found"))</f>
        <v>0</v>
      </c>
      <c r="G132" s="17">
        <f>IF(B132="","",IFERROR(INDEX('Content Calendar'!$K$5:$K$604,MATCH(B132,'Content Calendar'!$A$5:$A$604,0)),"Not found"))</f>
        <v>0</v>
      </c>
      <c r="H132" s="17">
        <f>IF(B132="","",IFERROR(INDEX('Content Calendar'!$J$5:$J$604,MATCH(B132,'Content Calendar'!$A$5:$A$604,0)),"Not found"))</f>
        <v>0</v>
      </c>
      <c r="I132" s="17">
        <f>IF(B132="","",IFERROR(INDEX('Content Calendar'!$L$5:$L$604,MATCH(B132,'Content Calendar'!$A$5:$A$604,0)),"Not found"))</f>
        <v>0</v>
      </c>
      <c r="J132" s="17">
        <f>IF(B132="","",IFERROR(INDEX('Content Calendar'!$P$5:$P$604,MATCH(B132,'Content Calendar'!$A$5:$A$604,0)),"Not found"))</f>
        <v>0</v>
      </c>
      <c r="K132" s="17">
        <f>IF(B132="","",IFERROR(INDEX('Content Calendar'!$O$5:$O$604,MATCH(B132,'Content Calendar'!$A$5:$A$604,0)),"Not found"))</f>
        <v>0</v>
      </c>
      <c r="L132" s="17">
        <f>IF(B132="","",IFERROR(INDEX('Content Calendar'!$N$5:$N$604,MATCH(B132,'Content Calendar'!$A$5:$A$604,0)),"Not found"))</f>
        <v>0</v>
      </c>
      <c r="M132" s="17">
        <f>IF(B132="","",IFERROR(INDEX('Content Calendar'!$C$5:$C$604,MATCH(B132,'Content Calendar'!$A$5:$A$604,0)),"Not found"))</f>
        <v>0</v>
      </c>
      <c r="N132" s="17">
        <f>IF(B132="","",IFERROR(INDEX('Content Calendar'!$F$5:$F$604,MATCH(B132,'Content Calendar'!$A$5:$A$604,0)),"Not found"))</f>
        <v>0</v>
      </c>
      <c r="Z132" s="23">
        <f>IF(O132="","",N(Q132)+N(R132)+N(S132)+N(T132))</f>
        <v>0</v>
      </c>
      <c r="AA132" s="24">
        <f>IF(OR(O132="",O132=0),"",Z132/O132)</f>
        <v>0</v>
      </c>
      <c r="AB132" s="24">
        <f>IF(OR(O132="",O132=0),"",N(T132)/O132)</f>
        <v>0</v>
      </c>
      <c r="AC132" s="24">
        <f>IF(OR(O132="",O132=0),"",N(S132)/O132)</f>
        <v>0</v>
      </c>
      <c r="AD132" s="24">
        <f>IF(OR(O132="",O132=0),"",N(R132)/O132)</f>
        <v>0</v>
      </c>
      <c r="AE132" s="24">
        <f>IF(OR(O132="",O132=0),"",N(U132)/O132)</f>
        <v>0</v>
      </c>
      <c r="AF132" s="24">
        <f>IF(OR(U132="",U132=0),"",N(W132)/U132)</f>
        <v>0</v>
      </c>
      <c r="AG132" s="25">
        <f>IF(OR(O132="",O132=0),"",N(X132)/(O132/1000))</f>
        <v>0</v>
      </c>
      <c r="AH132" s="24">
        <f>IF(O132="","",IF(Y132="",TargetEngagement,Y132))</f>
        <v>0</v>
      </c>
      <c r="AI132" s="24">
        <f>IF(OR(AA132="",AH132=""),"",AA132-AH132)</f>
        <v>0</v>
      </c>
      <c r="AJ132" s="31">
        <f>IF(AA132="","",AA132+ROW()/1000000)</f>
        <v>0</v>
      </c>
      <c r="AK132" s="23">
        <f>IF(AA132="","",RANK(AJ132,Performance!$AJ$5:$AJ$404))</f>
        <v>0</v>
      </c>
      <c r="AL132" s="29">
        <f>IF(AA132="","",IF(AA132&gt;=AH132*1.5,"Top performer",IF(AA132&gt;=AH132,"Above target",IF(AA132&gt;=AH132*0.6,"Below target","Weak - review it"))))</f>
        <v>0</v>
      </c>
      <c r="AM132" s="29">
        <f>IF(B132="","",IF(COUNTIF(Performance!$B$5:$B$404,B132)&gt;1,"Duplicate","OK"))</f>
        <v>0</v>
      </c>
      <c r="AN132" s="29">
        <f>IF(B132="","",IF(C132="Not found","Check - content ID not on the calendar",IF(O132="","Add - no numbers entered yet",IF(AM132="Duplicate","Duplicate - this post is entered twice",IF(AL132="Top performer","Repurpose this one","OK")))))</f>
        <v>0</v>
      </c>
    </row>
    <row r="133" spans="1:40">
      <c r="A133" s="41">
        <f>IF(B133="","","PF-"&amp;TEXT(ROW()-4,"0000"))</f>
        <v>0</v>
      </c>
      <c r="C133" s="17">
        <f>IF(B133="","",IFERROR(INDEX('Content Calendar'!$H$5:$H$604,MATCH(B133,'Content Calendar'!$A$5:$A$604,0)),"Not found"))</f>
        <v>0</v>
      </c>
      <c r="D133" s="16">
        <f>IF(B133="","",IFERROR(INDEX('Content Calendar'!$B$5:$B$604,MATCH(B133,'Content Calendar'!$A$5:$A$604,0)),"Not found"))</f>
        <v>0</v>
      </c>
      <c r="E133" s="17">
        <f>IF(B133="","",IFERROR(INDEX('Content Calendar'!$D$5:$D$604,MATCH(B133,'Content Calendar'!$A$5:$A$604,0)),"Not found"))</f>
        <v>0</v>
      </c>
      <c r="F133" s="17">
        <f>IF(B133="","",IFERROR(INDEX('Content Calendar'!$G$5:$G$604,MATCH(B133,'Content Calendar'!$A$5:$A$604,0)),"Not found"))</f>
        <v>0</v>
      </c>
      <c r="G133" s="17">
        <f>IF(B133="","",IFERROR(INDEX('Content Calendar'!$K$5:$K$604,MATCH(B133,'Content Calendar'!$A$5:$A$604,0)),"Not found"))</f>
        <v>0</v>
      </c>
      <c r="H133" s="17">
        <f>IF(B133="","",IFERROR(INDEX('Content Calendar'!$J$5:$J$604,MATCH(B133,'Content Calendar'!$A$5:$A$604,0)),"Not found"))</f>
        <v>0</v>
      </c>
      <c r="I133" s="17">
        <f>IF(B133="","",IFERROR(INDEX('Content Calendar'!$L$5:$L$604,MATCH(B133,'Content Calendar'!$A$5:$A$604,0)),"Not found"))</f>
        <v>0</v>
      </c>
      <c r="J133" s="17">
        <f>IF(B133="","",IFERROR(INDEX('Content Calendar'!$P$5:$P$604,MATCH(B133,'Content Calendar'!$A$5:$A$604,0)),"Not found"))</f>
        <v>0</v>
      </c>
      <c r="K133" s="17">
        <f>IF(B133="","",IFERROR(INDEX('Content Calendar'!$O$5:$O$604,MATCH(B133,'Content Calendar'!$A$5:$A$604,0)),"Not found"))</f>
        <v>0</v>
      </c>
      <c r="L133" s="17">
        <f>IF(B133="","",IFERROR(INDEX('Content Calendar'!$N$5:$N$604,MATCH(B133,'Content Calendar'!$A$5:$A$604,0)),"Not found"))</f>
        <v>0</v>
      </c>
      <c r="M133" s="17">
        <f>IF(B133="","",IFERROR(INDEX('Content Calendar'!$C$5:$C$604,MATCH(B133,'Content Calendar'!$A$5:$A$604,0)),"Not found"))</f>
        <v>0</v>
      </c>
      <c r="N133" s="17">
        <f>IF(B133="","",IFERROR(INDEX('Content Calendar'!$F$5:$F$604,MATCH(B133,'Content Calendar'!$A$5:$A$604,0)),"Not found"))</f>
        <v>0</v>
      </c>
      <c r="Z133" s="23">
        <f>IF(O133="","",N(Q133)+N(R133)+N(S133)+N(T133))</f>
        <v>0</v>
      </c>
      <c r="AA133" s="24">
        <f>IF(OR(O133="",O133=0),"",Z133/O133)</f>
        <v>0</v>
      </c>
      <c r="AB133" s="24">
        <f>IF(OR(O133="",O133=0),"",N(T133)/O133)</f>
        <v>0</v>
      </c>
      <c r="AC133" s="24">
        <f>IF(OR(O133="",O133=0),"",N(S133)/O133)</f>
        <v>0</v>
      </c>
      <c r="AD133" s="24">
        <f>IF(OR(O133="",O133=0),"",N(R133)/O133)</f>
        <v>0</v>
      </c>
      <c r="AE133" s="24">
        <f>IF(OR(O133="",O133=0),"",N(U133)/O133)</f>
        <v>0</v>
      </c>
      <c r="AF133" s="24">
        <f>IF(OR(U133="",U133=0),"",N(W133)/U133)</f>
        <v>0</v>
      </c>
      <c r="AG133" s="25">
        <f>IF(OR(O133="",O133=0),"",N(X133)/(O133/1000))</f>
        <v>0</v>
      </c>
      <c r="AH133" s="24">
        <f>IF(O133="","",IF(Y133="",TargetEngagement,Y133))</f>
        <v>0</v>
      </c>
      <c r="AI133" s="24">
        <f>IF(OR(AA133="",AH133=""),"",AA133-AH133)</f>
        <v>0</v>
      </c>
      <c r="AJ133" s="31">
        <f>IF(AA133="","",AA133+ROW()/1000000)</f>
        <v>0</v>
      </c>
      <c r="AK133" s="23">
        <f>IF(AA133="","",RANK(AJ133,Performance!$AJ$5:$AJ$404))</f>
        <v>0</v>
      </c>
      <c r="AL133" s="29">
        <f>IF(AA133="","",IF(AA133&gt;=AH133*1.5,"Top performer",IF(AA133&gt;=AH133,"Above target",IF(AA133&gt;=AH133*0.6,"Below target","Weak - review it"))))</f>
        <v>0</v>
      </c>
      <c r="AM133" s="29">
        <f>IF(B133="","",IF(COUNTIF(Performance!$B$5:$B$404,B133)&gt;1,"Duplicate","OK"))</f>
        <v>0</v>
      </c>
      <c r="AN133" s="29">
        <f>IF(B133="","",IF(C133="Not found","Check - content ID not on the calendar",IF(O133="","Add - no numbers entered yet",IF(AM133="Duplicate","Duplicate - this post is entered twice",IF(AL133="Top performer","Repurpose this one","OK")))))</f>
        <v>0</v>
      </c>
    </row>
    <row r="134" spans="1:40">
      <c r="A134" s="41">
        <f>IF(B134="","","PF-"&amp;TEXT(ROW()-4,"0000"))</f>
        <v>0</v>
      </c>
      <c r="C134" s="17">
        <f>IF(B134="","",IFERROR(INDEX('Content Calendar'!$H$5:$H$604,MATCH(B134,'Content Calendar'!$A$5:$A$604,0)),"Not found"))</f>
        <v>0</v>
      </c>
      <c r="D134" s="16">
        <f>IF(B134="","",IFERROR(INDEX('Content Calendar'!$B$5:$B$604,MATCH(B134,'Content Calendar'!$A$5:$A$604,0)),"Not found"))</f>
        <v>0</v>
      </c>
      <c r="E134" s="17">
        <f>IF(B134="","",IFERROR(INDEX('Content Calendar'!$D$5:$D$604,MATCH(B134,'Content Calendar'!$A$5:$A$604,0)),"Not found"))</f>
        <v>0</v>
      </c>
      <c r="F134" s="17">
        <f>IF(B134="","",IFERROR(INDEX('Content Calendar'!$G$5:$G$604,MATCH(B134,'Content Calendar'!$A$5:$A$604,0)),"Not found"))</f>
        <v>0</v>
      </c>
      <c r="G134" s="17">
        <f>IF(B134="","",IFERROR(INDEX('Content Calendar'!$K$5:$K$604,MATCH(B134,'Content Calendar'!$A$5:$A$604,0)),"Not found"))</f>
        <v>0</v>
      </c>
      <c r="H134" s="17">
        <f>IF(B134="","",IFERROR(INDEX('Content Calendar'!$J$5:$J$604,MATCH(B134,'Content Calendar'!$A$5:$A$604,0)),"Not found"))</f>
        <v>0</v>
      </c>
      <c r="I134" s="17">
        <f>IF(B134="","",IFERROR(INDEX('Content Calendar'!$L$5:$L$604,MATCH(B134,'Content Calendar'!$A$5:$A$604,0)),"Not found"))</f>
        <v>0</v>
      </c>
      <c r="J134" s="17">
        <f>IF(B134="","",IFERROR(INDEX('Content Calendar'!$P$5:$P$604,MATCH(B134,'Content Calendar'!$A$5:$A$604,0)),"Not found"))</f>
        <v>0</v>
      </c>
      <c r="K134" s="17">
        <f>IF(B134="","",IFERROR(INDEX('Content Calendar'!$O$5:$O$604,MATCH(B134,'Content Calendar'!$A$5:$A$604,0)),"Not found"))</f>
        <v>0</v>
      </c>
      <c r="L134" s="17">
        <f>IF(B134="","",IFERROR(INDEX('Content Calendar'!$N$5:$N$604,MATCH(B134,'Content Calendar'!$A$5:$A$604,0)),"Not found"))</f>
        <v>0</v>
      </c>
      <c r="M134" s="17">
        <f>IF(B134="","",IFERROR(INDEX('Content Calendar'!$C$5:$C$604,MATCH(B134,'Content Calendar'!$A$5:$A$604,0)),"Not found"))</f>
        <v>0</v>
      </c>
      <c r="N134" s="17">
        <f>IF(B134="","",IFERROR(INDEX('Content Calendar'!$F$5:$F$604,MATCH(B134,'Content Calendar'!$A$5:$A$604,0)),"Not found"))</f>
        <v>0</v>
      </c>
      <c r="Z134" s="23">
        <f>IF(O134="","",N(Q134)+N(R134)+N(S134)+N(T134))</f>
        <v>0</v>
      </c>
      <c r="AA134" s="24">
        <f>IF(OR(O134="",O134=0),"",Z134/O134)</f>
        <v>0</v>
      </c>
      <c r="AB134" s="24">
        <f>IF(OR(O134="",O134=0),"",N(T134)/O134)</f>
        <v>0</v>
      </c>
      <c r="AC134" s="24">
        <f>IF(OR(O134="",O134=0),"",N(S134)/O134)</f>
        <v>0</v>
      </c>
      <c r="AD134" s="24">
        <f>IF(OR(O134="",O134=0),"",N(R134)/O134)</f>
        <v>0</v>
      </c>
      <c r="AE134" s="24">
        <f>IF(OR(O134="",O134=0),"",N(U134)/O134)</f>
        <v>0</v>
      </c>
      <c r="AF134" s="24">
        <f>IF(OR(U134="",U134=0),"",N(W134)/U134)</f>
        <v>0</v>
      </c>
      <c r="AG134" s="25">
        <f>IF(OR(O134="",O134=0),"",N(X134)/(O134/1000))</f>
        <v>0</v>
      </c>
      <c r="AH134" s="24">
        <f>IF(O134="","",IF(Y134="",TargetEngagement,Y134))</f>
        <v>0</v>
      </c>
      <c r="AI134" s="24">
        <f>IF(OR(AA134="",AH134=""),"",AA134-AH134)</f>
        <v>0</v>
      </c>
      <c r="AJ134" s="31">
        <f>IF(AA134="","",AA134+ROW()/1000000)</f>
        <v>0</v>
      </c>
      <c r="AK134" s="23">
        <f>IF(AA134="","",RANK(AJ134,Performance!$AJ$5:$AJ$404))</f>
        <v>0</v>
      </c>
      <c r="AL134" s="29">
        <f>IF(AA134="","",IF(AA134&gt;=AH134*1.5,"Top performer",IF(AA134&gt;=AH134,"Above target",IF(AA134&gt;=AH134*0.6,"Below target","Weak - review it"))))</f>
        <v>0</v>
      </c>
      <c r="AM134" s="29">
        <f>IF(B134="","",IF(COUNTIF(Performance!$B$5:$B$404,B134)&gt;1,"Duplicate","OK"))</f>
        <v>0</v>
      </c>
      <c r="AN134" s="29">
        <f>IF(B134="","",IF(C134="Not found","Check - content ID not on the calendar",IF(O134="","Add - no numbers entered yet",IF(AM134="Duplicate","Duplicate - this post is entered twice",IF(AL134="Top performer","Repurpose this one","OK")))))</f>
        <v>0</v>
      </c>
    </row>
    <row r="135" spans="1:40">
      <c r="A135" s="41">
        <f>IF(B135="","","PF-"&amp;TEXT(ROW()-4,"0000"))</f>
        <v>0</v>
      </c>
      <c r="C135" s="17">
        <f>IF(B135="","",IFERROR(INDEX('Content Calendar'!$H$5:$H$604,MATCH(B135,'Content Calendar'!$A$5:$A$604,0)),"Not found"))</f>
        <v>0</v>
      </c>
      <c r="D135" s="16">
        <f>IF(B135="","",IFERROR(INDEX('Content Calendar'!$B$5:$B$604,MATCH(B135,'Content Calendar'!$A$5:$A$604,0)),"Not found"))</f>
        <v>0</v>
      </c>
      <c r="E135" s="17">
        <f>IF(B135="","",IFERROR(INDEX('Content Calendar'!$D$5:$D$604,MATCH(B135,'Content Calendar'!$A$5:$A$604,0)),"Not found"))</f>
        <v>0</v>
      </c>
      <c r="F135" s="17">
        <f>IF(B135="","",IFERROR(INDEX('Content Calendar'!$G$5:$G$604,MATCH(B135,'Content Calendar'!$A$5:$A$604,0)),"Not found"))</f>
        <v>0</v>
      </c>
      <c r="G135" s="17">
        <f>IF(B135="","",IFERROR(INDEX('Content Calendar'!$K$5:$K$604,MATCH(B135,'Content Calendar'!$A$5:$A$604,0)),"Not found"))</f>
        <v>0</v>
      </c>
      <c r="H135" s="17">
        <f>IF(B135="","",IFERROR(INDEX('Content Calendar'!$J$5:$J$604,MATCH(B135,'Content Calendar'!$A$5:$A$604,0)),"Not found"))</f>
        <v>0</v>
      </c>
      <c r="I135" s="17">
        <f>IF(B135="","",IFERROR(INDEX('Content Calendar'!$L$5:$L$604,MATCH(B135,'Content Calendar'!$A$5:$A$604,0)),"Not found"))</f>
        <v>0</v>
      </c>
      <c r="J135" s="17">
        <f>IF(B135="","",IFERROR(INDEX('Content Calendar'!$P$5:$P$604,MATCH(B135,'Content Calendar'!$A$5:$A$604,0)),"Not found"))</f>
        <v>0</v>
      </c>
      <c r="K135" s="17">
        <f>IF(B135="","",IFERROR(INDEX('Content Calendar'!$O$5:$O$604,MATCH(B135,'Content Calendar'!$A$5:$A$604,0)),"Not found"))</f>
        <v>0</v>
      </c>
      <c r="L135" s="17">
        <f>IF(B135="","",IFERROR(INDEX('Content Calendar'!$N$5:$N$604,MATCH(B135,'Content Calendar'!$A$5:$A$604,0)),"Not found"))</f>
        <v>0</v>
      </c>
      <c r="M135" s="17">
        <f>IF(B135="","",IFERROR(INDEX('Content Calendar'!$C$5:$C$604,MATCH(B135,'Content Calendar'!$A$5:$A$604,0)),"Not found"))</f>
        <v>0</v>
      </c>
      <c r="N135" s="17">
        <f>IF(B135="","",IFERROR(INDEX('Content Calendar'!$F$5:$F$604,MATCH(B135,'Content Calendar'!$A$5:$A$604,0)),"Not found"))</f>
        <v>0</v>
      </c>
      <c r="Z135" s="23">
        <f>IF(O135="","",N(Q135)+N(R135)+N(S135)+N(T135))</f>
        <v>0</v>
      </c>
      <c r="AA135" s="24">
        <f>IF(OR(O135="",O135=0),"",Z135/O135)</f>
        <v>0</v>
      </c>
      <c r="AB135" s="24">
        <f>IF(OR(O135="",O135=0),"",N(T135)/O135)</f>
        <v>0</v>
      </c>
      <c r="AC135" s="24">
        <f>IF(OR(O135="",O135=0),"",N(S135)/O135)</f>
        <v>0</v>
      </c>
      <c r="AD135" s="24">
        <f>IF(OR(O135="",O135=0),"",N(R135)/O135)</f>
        <v>0</v>
      </c>
      <c r="AE135" s="24">
        <f>IF(OR(O135="",O135=0),"",N(U135)/O135)</f>
        <v>0</v>
      </c>
      <c r="AF135" s="24">
        <f>IF(OR(U135="",U135=0),"",N(W135)/U135)</f>
        <v>0</v>
      </c>
      <c r="AG135" s="25">
        <f>IF(OR(O135="",O135=0),"",N(X135)/(O135/1000))</f>
        <v>0</v>
      </c>
      <c r="AH135" s="24">
        <f>IF(O135="","",IF(Y135="",TargetEngagement,Y135))</f>
        <v>0</v>
      </c>
      <c r="AI135" s="24">
        <f>IF(OR(AA135="",AH135=""),"",AA135-AH135)</f>
        <v>0</v>
      </c>
      <c r="AJ135" s="31">
        <f>IF(AA135="","",AA135+ROW()/1000000)</f>
        <v>0</v>
      </c>
      <c r="AK135" s="23">
        <f>IF(AA135="","",RANK(AJ135,Performance!$AJ$5:$AJ$404))</f>
        <v>0</v>
      </c>
      <c r="AL135" s="29">
        <f>IF(AA135="","",IF(AA135&gt;=AH135*1.5,"Top performer",IF(AA135&gt;=AH135,"Above target",IF(AA135&gt;=AH135*0.6,"Below target","Weak - review it"))))</f>
        <v>0</v>
      </c>
      <c r="AM135" s="29">
        <f>IF(B135="","",IF(COUNTIF(Performance!$B$5:$B$404,B135)&gt;1,"Duplicate","OK"))</f>
        <v>0</v>
      </c>
      <c r="AN135" s="29">
        <f>IF(B135="","",IF(C135="Not found","Check - content ID not on the calendar",IF(O135="","Add - no numbers entered yet",IF(AM135="Duplicate","Duplicate - this post is entered twice",IF(AL135="Top performer","Repurpose this one","OK")))))</f>
        <v>0</v>
      </c>
    </row>
    <row r="136" spans="1:40">
      <c r="A136" s="41">
        <f>IF(B136="","","PF-"&amp;TEXT(ROW()-4,"0000"))</f>
        <v>0</v>
      </c>
      <c r="C136" s="17">
        <f>IF(B136="","",IFERROR(INDEX('Content Calendar'!$H$5:$H$604,MATCH(B136,'Content Calendar'!$A$5:$A$604,0)),"Not found"))</f>
        <v>0</v>
      </c>
      <c r="D136" s="16">
        <f>IF(B136="","",IFERROR(INDEX('Content Calendar'!$B$5:$B$604,MATCH(B136,'Content Calendar'!$A$5:$A$604,0)),"Not found"))</f>
        <v>0</v>
      </c>
      <c r="E136" s="17">
        <f>IF(B136="","",IFERROR(INDEX('Content Calendar'!$D$5:$D$604,MATCH(B136,'Content Calendar'!$A$5:$A$604,0)),"Not found"))</f>
        <v>0</v>
      </c>
      <c r="F136" s="17">
        <f>IF(B136="","",IFERROR(INDEX('Content Calendar'!$G$5:$G$604,MATCH(B136,'Content Calendar'!$A$5:$A$604,0)),"Not found"))</f>
        <v>0</v>
      </c>
      <c r="G136" s="17">
        <f>IF(B136="","",IFERROR(INDEX('Content Calendar'!$K$5:$K$604,MATCH(B136,'Content Calendar'!$A$5:$A$604,0)),"Not found"))</f>
        <v>0</v>
      </c>
      <c r="H136" s="17">
        <f>IF(B136="","",IFERROR(INDEX('Content Calendar'!$J$5:$J$604,MATCH(B136,'Content Calendar'!$A$5:$A$604,0)),"Not found"))</f>
        <v>0</v>
      </c>
      <c r="I136" s="17">
        <f>IF(B136="","",IFERROR(INDEX('Content Calendar'!$L$5:$L$604,MATCH(B136,'Content Calendar'!$A$5:$A$604,0)),"Not found"))</f>
        <v>0</v>
      </c>
      <c r="J136" s="17">
        <f>IF(B136="","",IFERROR(INDEX('Content Calendar'!$P$5:$P$604,MATCH(B136,'Content Calendar'!$A$5:$A$604,0)),"Not found"))</f>
        <v>0</v>
      </c>
      <c r="K136" s="17">
        <f>IF(B136="","",IFERROR(INDEX('Content Calendar'!$O$5:$O$604,MATCH(B136,'Content Calendar'!$A$5:$A$604,0)),"Not found"))</f>
        <v>0</v>
      </c>
      <c r="L136" s="17">
        <f>IF(B136="","",IFERROR(INDEX('Content Calendar'!$N$5:$N$604,MATCH(B136,'Content Calendar'!$A$5:$A$604,0)),"Not found"))</f>
        <v>0</v>
      </c>
      <c r="M136" s="17">
        <f>IF(B136="","",IFERROR(INDEX('Content Calendar'!$C$5:$C$604,MATCH(B136,'Content Calendar'!$A$5:$A$604,0)),"Not found"))</f>
        <v>0</v>
      </c>
      <c r="N136" s="17">
        <f>IF(B136="","",IFERROR(INDEX('Content Calendar'!$F$5:$F$604,MATCH(B136,'Content Calendar'!$A$5:$A$604,0)),"Not found"))</f>
        <v>0</v>
      </c>
      <c r="Z136" s="23">
        <f>IF(O136="","",N(Q136)+N(R136)+N(S136)+N(T136))</f>
        <v>0</v>
      </c>
      <c r="AA136" s="24">
        <f>IF(OR(O136="",O136=0),"",Z136/O136)</f>
        <v>0</v>
      </c>
      <c r="AB136" s="24">
        <f>IF(OR(O136="",O136=0),"",N(T136)/O136)</f>
        <v>0</v>
      </c>
      <c r="AC136" s="24">
        <f>IF(OR(O136="",O136=0),"",N(S136)/O136)</f>
        <v>0</v>
      </c>
      <c r="AD136" s="24">
        <f>IF(OR(O136="",O136=0),"",N(R136)/O136)</f>
        <v>0</v>
      </c>
      <c r="AE136" s="24">
        <f>IF(OR(O136="",O136=0),"",N(U136)/O136)</f>
        <v>0</v>
      </c>
      <c r="AF136" s="24">
        <f>IF(OR(U136="",U136=0),"",N(W136)/U136)</f>
        <v>0</v>
      </c>
      <c r="AG136" s="25">
        <f>IF(OR(O136="",O136=0),"",N(X136)/(O136/1000))</f>
        <v>0</v>
      </c>
      <c r="AH136" s="24">
        <f>IF(O136="","",IF(Y136="",TargetEngagement,Y136))</f>
        <v>0</v>
      </c>
      <c r="AI136" s="24">
        <f>IF(OR(AA136="",AH136=""),"",AA136-AH136)</f>
        <v>0</v>
      </c>
      <c r="AJ136" s="31">
        <f>IF(AA136="","",AA136+ROW()/1000000)</f>
        <v>0</v>
      </c>
      <c r="AK136" s="23">
        <f>IF(AA136="","",RANK(AJ136,Performance!$AJ$5:$AJ$404))</f>
        <v>0</v>
      </c>
      <c r="AL136" s="29">
        <f>IF(AA136="","",IF(AA136&gt;=AH136*1.5,"Top performer",IF(AA136&gt;=AH136,"Above target",IF(AA136&gt;=AH136*0.6,"Below target","Weak - review it"))))</f>
        <v>0</v>
      </c>
      <c r="AM136" s="29">
        <f>IF(B136="","",IF(COUNTIF(Performance!$B$5:$B$404,B136)&gt;1,"Duplicate","OK"))</f>
        <v>0</v>
      </c>
      <c r="AN136" s="29">
        <f>IF(B136="","",IF(C136="Not found","Check - content ID not on the calendar",IF(O136="","Add - no numbers entered yet",IF(AM136="Duplicate","Duplicate - this post is entered twice",IF(AL136="Top performer","Repurpose this one","OK")))))</f>
        <v>0</v>
      </c>
    </row>
    <row r="137" spans="1:40">
      <c r="A137" s="41">
        <f>IF(B137="","","PF-"&amp;TEXT(ROW()-4,"0000"))</f>
        <v>0</v>
      </c>
      <c r="C137" s="17">
        <f>IF(B137="","",IFERROR(INDEX('Content Calendar'!$H$5:$H$604,MATCH(B137,'Content Calendar'!$A$5:$A$604,0)),"Not found"))</f>
        <v>0</v>
      </c>
      <c r="D137" s="16">
        <f>IF(B137="","",IFERROR(INDEX('Content Calendar'!$B$5:$B$604,MATCH(B137,'Content Calendar'!$A$5:$A$604,0)),"Not found"))</f>
        <v>0</v>
      </c>
      <c r="E137" s="17">
        <f>IF(B137="","",IFERROR(INDEX('Content Calendar'!$D$5:$D$604,MATCH(B137,'Content Calendar'!$A$5:$A$604,0)),"Not found"))</f>
        <v>0</v>
      </c>
      <c r="F137" s="17">
        <f>IF(B137="","",IFERROR(INDEX('Content Calendar'!$G$5:$G$604,MATCH(B137,'Content Calendar'!$A$5:$A$604,0)),"Not found"))</f>
        <v>0</v>
      </c>
      <c r="G137" s="17">
        <f>IF(B137="","",IFERROR(INDEX('Content Calendar'!$K$5:$K$604,MATCH(B137,'Content Calendar'!$A$5:$A$604,0)),"Not found"))</f>
        <v>0</v>
      </c>
      <c r="H137" s="17">
        <f>IF(B137="","",IFERROR(INDEX('Content Calendar'!$J$5:$J$604,MATCH(B137,'Content Calendar'!$A$5:$A$604,0)),"Not found"))</f>
        <v>0</v>
      </c>
      <c r="I137" s="17">
        <f>IF(B137="","",IFERROR(INDEX('Content Calendar'!$L$5:$L$604,MATCH(B137,'Content Calendar'!$A$5:$A$604,0)),"Not found"))</f>
        <v>0</v>
      </c>
      <c r="J137" s="17">
        <f>IF(B137="","",IFERROR(INDEX('Content Calendar'!$P$5:$P$604,MATCH(B137,'Content Calendar'!$A$5:$A$604,0)),"Not found"))</f>
        <v>0</v>
      </c>
      <c r="K137" s="17">
        <f>IF(B137="","",IFERROR(INDEX('Content Calendar'!$O$5:$O$604,MATCH(B137,'Content Calendar'!$A$5:$A$604,0)),"Not found"))</f>
        <v>0</v>
      </c>
      <c r="L137" s="17">
        <f>IF(B137="","",IFERROR(INDEX('Content Calendar'!$N$5:$N$604,MATCH(B137,'Content Calendar'!$A$5:$A$604,0)),"Not found"))</f>
        <v>0</v>
      </c>
      <c r="M137" s="17">
        <f>IF(B137="","",IFERROR(INDEX('Content Calendar'!$C$5:$C$604,MATCH(B137,'Content Calendar'!$A$5:$A$604,0)),"Not found"))</f>
        <v>0</v>
      </c>
      <c r="N137" s="17">
        <f>IF(B137="","",IFERROR(INDEX('Content Calendar'!$F$5:$F$604,MATCH(B137,'Content Calendar'!$A$5:$A$604,0)),"Not found"))</f>
        <v>0</v>
      </c>
      <c r="Z137" s="23">
        <f>IF(O137="","",N(Q137)+N(R137)+N(S137)+N(T137))</f>
        <v>0</v>
      </c>
      <c r="AA137" s="24">
        <f>IF(OR(O137="",O137=0),"",Z137/O137)</f>
        <v>0</v>
      </c>
      <c r="AB137" s="24">
        <f>IF(OR(O137="",O137=0),"",N(T137)/O137)</f>
        <v>0</v>
      </c>
      <c r="AC137" s="24">
        <f>IF(OR(O137="",O137=0),"",N(S137)/O137)</f>
        <v>0</v>
      </c>
      <c r="AD137" s="24">
        <f>IF(OR(O137="",O137=0),"",N(R137)/O137)</f>
        <v>0</v>
      </c>
      <c r="AE137" s="24">
        <f>IF(OR(O137="",O137=0),"",N(U137)/O137)</f>
        <v>0</v>
      </c>
      <c r="AF137" s="24">
        <f>IF(OR(U137="",U137=0),"",N(W137)/U137)</f>
        <v>0</v>
      </c>
      <c r="AG137" s="25">
        <f>IF(OR(O137="",O137=0),"",N(X137)/(O137/1000))</f>
        <v>0</v>
      </c>
      <c r="AH137" s="24">
        <f>IF(O137="","",IF(Y137="",TargetEngagement,Y137))</f>
        <v>0</v>
      </c>
      <c r="AI137" s="24">
        <f>IF(OR(AA137="",AH137=""),"",AA137-AH137)</f>
        <v>0</v>
      </c>
      <c r="AJ137" s="31">
        <f>IF(AA137="","",AA137+ROW()/1000000)</f>
        <v>0</v>
      </c>
      <c r="AK137" s="23">
        <f>IF(AA137="","",RANK(AJ137,Performance!$AJ$5:$AJ$404))</f>
        <v>0</v>
      </c>
      <c r="AL137" s="29">
        <f>IF(AA137="","",IF(AA137&gt;=AH137*1.5,"Top performer",IF(AA137&gt;=AH137,"Above target",IF(AA137&gt;=AH137*0.6,"Below target","Weak - review it"))))</f>
        <v>0</v>
      </c>
      <c r="AM137" s="29">
        <f>IF(B137="","",IF(COUNTIF(Performance!$B$5:$B$404,B137)&gt;1,"Duplicate","OK"))</f>
        <v>0</v>
      </c>
      <c r="AN137" s="29">
        <f>IF(B137="","",IF(C137="Not found","Check - content ID not on the calendar",IF(O137="","Add - no numbers entered yet",IF(AM137="Duplicate","Duplicate - this post is entered twice",IF(AL137="Top performer","Repurpose this one","OK")))))</f>
        <v>0</v>
      </c>
    </row>
    <row r="138" spans="1:40">
      <c r="A138" s="41">
        <f>IF(B138="","","PF-"&amp;TEXT(ROW()-4,"0000"))</f>
        <v>0</v>
      </c>
      <c r="C138" s="17">
        <f>IF(B138="","",IFERROR(INDEX('Content Calendar'!$H$5:$H$604,MATCH(B138,'Content Calendar'!$A$5:$A$604,0)),"Not found"))</f>
        <v>0</v>
      </c>
      <c r="D138" s="16">
        <f>IF(B138="","",IFERROR(INDEX('Content Calendar'!$B$5:$B$604,MATCH(B138,'Content Calendar'!$A$5:$A$604,0)),"Not found"))</f>
        <v>0</v>
      </c>
      <c r="E138" s="17">
        <f>IF(B138="","",IFERROR(INDEX('Content Calendar'!$D$5:$D$604,MATCH(B138,'Content Calendar'!$A$5:$A$604,0)),"Not found"))</f>
        <v>0</v>
      </c>
      <c r="F138" s="17">
        <f>IF(B138="","",IFERROR(INDEX('Content Calendar'!$G$5:$G$604,MATCH(B138,'Content Calendar'!$A$5:$A$604,0)),"Not found"))</f>
        <v>0</v>
      </c>
      <c r="G138" s="17">
        <f>IF(B138="","",IFERROR(INDEX('Content Calendar'!$K$5:$K$604,MATCH(B138,'Content Calendar'!$A$5:$A$604,0)),"Not found"))</f>
        <v>0</v>
      </c>
      <c r="H138" s="17">
        <f>IF(B138="","",IFERROR(INDEX('Content Calendar'!$J$5:$J$604,MATCH(B138,'Content Calendar'!$A$5:$A$604,0)),"Not found"))</f>
        <v>0</v>
      </c>
      <c r="I138" s="17">
        <f>IF(B138="","",IFERROR(INDEX('Content Calendar'!$L$5:$L$604,MATCH(B138,'Content Calendar'!$A$5:$A$604,0)),"Not found"))</f>
        <v>0</v>
      </c>
      <c r="J138" s="17">
        <f>IF(B138="","",IFERROR(INDEX('Content Calendar'!$P$5:$P$604,MATCH(B138,'Content Calendar'!$A$5:$A$604,0)),"Not found"))</f>
        <v>0</v>
      </c>
      <c r="K138" s="17">
        <f>IF(B138="","",IFERROR(INDEX('Content Calendar'!$O$5:$O$604,MATCH(B138,'Content Calendar'!$A$5:$A$604,0)),"Not found"))</f>
        <v>0</v>
      </c>
      <c r="L138" s="17">
        <f>IF(B138="","",IFERROR(INDEX('Content Calendar'!$N$5:$N$604,MATCH(B138,'Content Calendar'!$A$5:$A$604,0)),"Not found"))</f>
        <v>0</v>
      </c>
      <c r="M138" s="17">
        <f>IF(B138="","",IFERROR(INDEX('Content Calendar'!$C$5:$C$604,MATCH(B138,'Content Calendar'!$A$5:$A$604,0)),"Not found"))</f>
        <v>0</v>
      </c>
      <c r="N138" s="17">
        <f>IF(B138="","",IFERROR(INDEX('Content Calendar'!$F$5:$F$604,MATCH(B138,'Content Calendar'!$A$5:$A$604,0)),"Not found"))</f>
        <v>0</v>
      </c>
      <c r="Z138" s="23">
        <f>IF(O138="","",N(Q138)+N(R138)+N(S138)+N(T138))</f>
        <v>0</v>
      </c>
      <c r="AA138" s="24">
        <f>IF(OR(O138="",O138=0),"",Z138/O138)</f>
        <v>0</v>
      </c>
      <c r="AB138" s="24">
        <f>IF(OR(O138="",O138=0),"",N(T138)/O138)</f>
        <v>0</v>
      </c>
      <c r="AC138" s="24">
        <f>IF(OR(O138="",O138=0),"",N(S138)/O138)</f>
        <v>0</v>
      </c>
      <c r="AD138" s="24">
        <f>IF(OR(O138="",O138=0),"",N(R138)/O138)</f>
        <v>0</v>
      </c>
      <c r="AE138" s="24">
        <f>IF(OR(O138="",O138=0),"",N(U138)/O138)</f>
        <v>0</v>
      </c>
      <c r="AF138" s="24">
        <f>IF(OR(U138="",U138=0),"",N(W138)/U138)</f>
        <v>0</v>
      </c>
      <c r="AG138" s="25">
        <f>IF(OR(O138="",O138=0),"",N(X138)/(O138/1000))</f>
        <v>0</v>
      </c>
      <c r="AH138" s="24">
        <f>IF(O138="","",IF(Y138="",TargetEngagement,Y138))</f>
        <v>0</v>
      </c>
      <c r="AI138" s="24">
        <f>IF(OR(AA138="",AH138=""),"",AA138-AH138)</f>
        <v>0</v>
      </c>
      <c r="AJ138" s="31">
        <f>IF(AA138="","",AA138+ROW()/1000000)</f>
        <v>0</v>
      </c>
      <c r="AK138" s="23">
        <f>IF(AA138="","",RANK(AJ138,Performance!$AJ$5:$AJ$404))</f>
        <v>0</v>
      </c>
      <c r="AL138" s="29">
        <f>IF(AA138="","",IF(AA138&gt;=AH138*1.5,"Top performer",IF(AA138&gt;=AH138,"Above target",IF(AA138&gt;=AH138*0.6,"Below target","Weak - review it"))))</f>
        <v>0</v>
      </c>
      <c r="AM138" s="29">
        <f>IF(B138="","",IF(COUNTIF(Performance!$B$5:$B$404,B138)&gt;1,"Duplicate","OK"))</f>
        <v>0</v>
      </c>
      <c r="AN138" s="29">
        <f>IF(B138="","",IF(C138="Not found","Check - content ID not on the calendar",IF(O138="","Add - no numbers entered yet",IF(AM138="Duplicate","Duplicate - this post is entered twice",IF(AL138="Top performer","Repurpose this one","OK")))))</f>
        <v>0</v>
      </c>
    </row>
    <row r="139" spans="1:40">
      <c r="A139" s="41">
        <f>IF(B139="","","PF-"&amp;TEXT(ROW()-4,"0000"))</f>
        <v>0</v>
      </c>
      <c r="C139" s="17">
        <f>IF(B139="","",IFERROR(INDEX('Content Calendar'!$H$5:$H$604,MATCH(B139,'Content Calendar'!$A$5:$A$604,0)),"Not found"))</f>
        <v>0</v>
      </c>
      <c r="D139" s="16">
        <f>IF(B139="","",IFERROR(INDEX('Content Calendar'!$B$5:$B$604,MATCH(B139,'Content Calendar'!$A$5:$A$604,0)),"Not found"))</f>
        <v>0</v>
      </c>
      <c r="E139" s="17">
        <f>IF(B139="","",IFERROR(INDEX('Content Calendar'!$D$5:$D$604,MATCH(B139,'Content Calendar'!$A$5:$A$604,0)),"Not found"))</f>
        <v>0</v>
      </c>
      <c r="F139" s="17">
        <f>IF(B139="","",IFERROR(INDEX('Content Calendar'!$G$5:$G$604,MATCH(B139,'Content Calendar'!$A$5:$A$604,0)),"Not found"))</f>
        <v>0</v>
      </c>
      <c r="G139" s="17">
        <f>IF(B139="","",IFERROR(INDEX('Content Calendar'!$K$5:$K$604,MATCH(B139,'Content Calendar'!$A$5:$A$604,0)),"Not found"))</f>
        <v>0</v>
      </c>
      <c r="H139" s="17">
        <f>IF(B139="","",IFERROR(INDEX('Content Calendar'!$J$5:$J$604,MATCH(B139,'Content Calendar'!$A$5:$A$604,0)),"Not found"))</f>
        <v>0</v>
      </c>
      <c r="I139" s="17">
        <f>IF(B139="","",IFERROR(INDEX('Content Calendar'!$L$5:$L$604,MATCH(B139,'Content Calendar'!$A$5:$A$604,0)),"Not found"))</f>
        <v>0</v>
      </c>
      <c r="J139" s="17">
        <f>IF(B139="","",IFERROR(INDEX('Content Calendar'!$P$5:$P$604,MATCH(B139,'Content Calendar'!$A$5:$A$604,0)),"Not found"))</f>
        <v>0</v>
      </c>
      <c r="K139" s="17">
        <f>IF(B139="","",IFERROR(INDEX('Content Calendar'!$O$5:$O$604,MATCH(B139,'Content Calendar'!$A$5:$A$604,0)),"Not found"))</f>
        <v>0</v>
      </c>
      <c r="L139" s="17">
        <f>IF(B139="","",IFERROR(INDEX('Content Calendar'!$N$5:$N$604,MATCH(B139,'Content Calendar'!$A$5:$A$604,0)),"Not found"))</f>
        <v>0</v>
      </c>
      <c r="M139" s="17">
        <f>IF(B139="","",IFERROR(INDEX('Content Calendar'!$C$5:$C$604,MATCH(B139,'Content Calendar'!$A$5:$A$604,0)),"Not found"))</f>
        <v>0</v>
      </c>
      <c r="N139" s="17">
        <f>IF(B139="","",IFERROR(INDEX('Content Calendar'!$F$5:$F$604,MATCH(B139,'Content Calendar'!$A$5:$A$604,0)),"Not found"))</f>
        <v>0</v>
      </c>
      <c r="Z139" s="23">
        <f>IF(O139="","",N(Q139)+N(R139)+N(S139)+N(T139))</f>
        <v>0</v>
      </c>
      <c r="AA139" s="24">
        <f>IF(OR(O139="",O139=0),"",Z139/O139)</f>
        <v>0</v>
      </c>
      <c r="AB139" s="24">
        <f>IF(OR(O139="",O139=0),"",N(T139)/O139)</f>
        <v>0</v>
      </c>
      <c r="AC139" s="24">
        <f>IF(OR(O139="",O139=0),"",N(S139)/O139)</f>
        <v>0</v>
      </c>
      <c r="AD139" s="24">
        <f>IF(OR(O139="",O139=0),"",N(R139)/O139)</f>
        <v>0</v>
      </c>
      <c r="AE139" s="24">
        <f>IF(OR(O139="",O139=0),"",N(U139)/O139)</f>
        <v>0</v>
      </c>
      <c r="AF139" s="24">
        <f>IF(OR(U139="",U139=0),"",N(W139)/U139)</f>
        <v>0</v>
      </c>
      <c r="AG139" s="25">
        <f>IF(OR(O139="",O139=0),"",N(X139)/(O139/1000))</f>
        <v>0</v>
      </c>
      <c r="AH139" s="24">
        <f>IF(O139="","",IF(Y139="",TargetEngagement,Y139))</f>
        <v>0</v>
      </c>
      <c r="AI139" s="24">
        <f>IF(OR(AA139="",AH139=""),"",AA139-AH139)</f>
        <v>0</v>
      </c>
      <c r="AJ139" s="31">
        <f>IF(AA139="","",AA139+ROW()/1000000)</f>
        <v>0</v>
      </c>
      <c r="AK139" s="23">
        <f>IF(AA139="","",RANK(AJ139,Performance!$AJ$5:$AJ$404))</f>
        <v>0</v>
      </c>
      <c r="AL139" s="29">
        <f>IF(AA139="","",IF(AA139&gt;=AH139*1.5,"Top performer",IF(AA139&gt;=AH139,"Above target",IF(AA139&gt;=AH139*0.6,"Below target","Weak - review it"))))</f>
        <v>0</v>
      </c>
      <c r="AM139" s="29">
        <f>IF(B139="","",IF(COUNTIF(Performance!$B$5:$B$404,B139)&gt;1,"Duplicate","OK"))</f>
        <v>0</v>
      </c>
      <c r="AN139" s="29">
        <f>IF(B139="","",IF(C139="Not found","Check - content ID not on the calendar",IF(O139="","Add - no numbers entered yet",IF(AM139="Duplicate","Duplicate - this post is entered twice",IF(AL139="Top performer","Repurpose this one","OK")))))</f>
        <v>0</v>
      </c>
    </row>
    <row r="140" spans="1:40">
      <c r="A140" s="41">
        <f>IF(B140="","","PF-"&amp;TEXT(ROW()-4,"0000"))</f>
        <v>0</v>
      </c>
      <c r="C140" s="17">
        <f>IF(B140="","",IFERROR(INDEX('Content Calendar'!$H$5:$H$604,MATCH(B140,'Content Calendar'!$A$5:$A$604,0)),"Not found"))</f>
        <v>0</v>
      </c>
      <c r="D140" s="16">
        <f>IF(B140="","",IFERROR(INDEX('Content Calendar'!$B$5:$B$604,MATCH(B140,'Content Calendar'!$A$5:$A$604,0)),"Not found"))</f>
        <v>0</v>
      </c>
      <c r="E140" s="17">
        <f>IF(B140="","",IFERROR(INDEX('Content Calendar'!$D$5:$D$604,MATCH(B140,'Content Calendar'!$A$5:$A$604,0)),"Not found"))</f>
        <v>0</v>
      </c>
      <c r="F140" s="17">
        <f>IF(B140="","",IFERROR(INDEX('Content Calendar'!$G$5:$G$604,MATCH(B140,'Content Calendar'!$A$5:$A$604,0)),"Not found"))</f>
        <v>0</v>
      </c>
      <c r="G140" s="17">
        <f>IF(B140="","",IFERROR(INDEX('Content Calendar'!$K$5:$K$604,MATCH(B140,'Content Calendar'!$A$5:$A$604,0)),"Not found"))</f>
        <v>0</v>
      </c>
      <c r="H140" s="17">
        <f>IF(B140="","",IFERROR(INDEX('Content Calendar'!$J$5:$J$604,MATCH(B140,'Content Calendar'!$A$5:$A$604,0)),"Not found"))</f>
        <v>0</v>
      </c>
      <c r="I140" s="17">
        <f>IF(B140="","",IFERROR(INDEX('Content Calendar'!$L$5:$L$604,MATCH(B140,'Content Calendar'!$A$5:$A$604,0)),"Not found"))</f>
        <v>0</v>
      </c>
      <c r="J140" s="17">
        <f>IF(B140="","",IFERROR(INDEX('Content Calendar'!$P$5:$P$604,MATCH(B140,'Content Calendar'!$A$5:$A$604,0)),"Not found"))</f>
        <v>0</v>
      </c>
      <c r="K140" s="17">
        <f>IF(B140="","",IFERROR(INDEX('Content Calendar'!$O$5:$O$604,MATCH(B140,'Content Calendar'!$A$5:$A$604,0)),"Not found"))</f>
        <v>0</v>
      </c>
      <c r="L140" s="17">
        <f>IF(B140="","",IFERROR(INDEX('Content Calendar'!$N$5:$N$604,MATCH(B140,'Content Calendar'!$A$5:$A$604,0)),"Not found"))</f>
        <v>0</v>
      </c>
      <c r="M140" s="17">
        <f>IF(B140="","",IFERROR(INDEX('Content Calendar'!$C$5:$C$604,MATCH(B140,'Content Calendar'!$A$5:$A$604,0)),"Not found"))</f>
        <v>0</v>
      </c>
      <c r="N140" s="17">
        <f>IF(B140="","",IFERROR(INDEX('Content Calendar'!$F$5:$F$604,MATCH(B140,'Content Calendar'!$A$5:$A$604,0)),"Not found"))</f>
        <v>0</v>
      </c>
      <c r="Z140" s="23">
        <f>IF(O140="","",N(Q140)+N(R140)+N(S140)+N(T140))</f>
        <v>0</v>
      </c>
      <c r="AA140" s="24">
        <f>IF(OR(O140="",O140=0),"",Z140/O140)</f>
        <v>0</v>
      </c>
      <c r="AB140" s="24">
        <f>IF(OR(O140="",O140=0),"",N(T140)/O140)</f>
        <v>0</v>
      </c>
      <c r="AC140" s="24">
        <f>IF(OR(O140="",O140=0),"",N(S140)/O140)</f>
        <v>0</v>
      </c>
      <c r="AD140" s="24">
        <f>IF(OR(O140="",O140=0),"",N(R140)/O140)</f>
        <v>0</v>
      </c>
      <c r="AE140" s="24">
        <f>IF(OR(O140="",O140=0),"",N(U140)/O140)</f>
        <v>0</v>
      </c>
      <c r="AF140" s="24">
        <f>IF(OR(U140="",U140=0),"",N(W140)/U140)</f>
        <v>0</v>
      </c>
      <c r="AG140" s="25">
        <f>IF(OR(O140="",O140=0),"",N(X140)/(O140/1000))</f>
        <v>0</v>
      </c>
      <c r="AH140" s="24">
        <f>IF(O140="","",IF(Y140="",TargetEngagement,Y140))</f>
        <v>0</v>
      </c>
      <c r="AI140" s="24">
        <f>IF(OR(AA140="",AH140=""),"",AA140-AH140)</f>
        <v>0</v>
      </c>
      <c r="AJ140" s="31">
        <f>IF(AA140="","",AA140+ROW()/1000000)</f>
        <v>0</v>
      </c>
      <c r="AK140" s="23">
        <f>IF(AA140="","",RANK(AJ140,Performance!$AJ$5:$AJ$404))</f>
        <v>0</v>
      </c>
      <c r="AL140" s="29">
        <f>IF(AA140="","",IF(AA140&gt;=AH140*1.5,"Top performer",IF(AA140&gt;=AH140,"Above target",IF(AA140&gt;=AH140*0.6,"Below target","Weak - review it"))))</f>
        <v>0</v>
      </c>
      <c r="AM140" s="29">
        <f>IF(B140="","",IF(COUNTIF(Performance!$B$5:$B$404,B140)&gt;1,"Duplicate","OK"))</f>
        <v>0</v>
      </c>
      <c r="AN140" s="29">
        <f>IF(B140="","",IF(C140="Not found","Check - content ID not on the calendar",IF(O140="","Add - no numbers entered yet",IF(AM140="Duplicate","Duplicate - this post is entered twice",IF(AL140="Top performer","Repurpose this one","OK")))))</f>
        <v>0</v>
      </c>
    </row>
    <row r="141" spans="1:40">
      <c r="A141" s="41">
        <f>IF(B141="","","PF-"&amp;TEXT(ROW()-4,"0000"))</f>
        <v>0</v>
      </c>
      <c r="C141" s="17">
        <f>IF(B141="","",IFERROR(INDEX('Content Calendar'!$H$5:$H$604,MATCH(B141,'Content Calendar'!$A$5:$A$604,0)),"Not found"))</f>
        <v>0</v>
      </c>
      <c r="D141" s="16">
        <f>IF(B141="","",IFERROR(INDEX('Content Calendar'!$B$5:$B$604,MATCH(B141,'Content Calendar'!$A$5:$A$604,0)),"Not found"))</f>
        <v>0</v>
      </c>
      <c r="E141" s="17">
        <f>IF(B141="","",IFERROR(INDEX('Content Calendar'!$D$5:$D$604,MATCH(B141,'Content Calendar'!$A$5:$A$604,0)),"Not found"))</f>
        <v>0</v>
      </c>
      <c r="F141" s="17">
        <f>IF(B141="","",IFERROR(INDEX('Content Calendar'!$G$5:$G$604,MATCH(B141,'Content Calendar'!$A$5:$A$604,0)),"Not found"))</f>
        <v>0</v>
      </c>
      <c r="G141" s="17">
        <f>IF(B141="","",IFERROR(INDEX('Content Calendar'!$K$5:$K$604,MATCH(B141,'Content Calendar'!$A$5:$A$604,0)),"Not found"))</f>
        <v>0</v>
      </c>
      <c r="H141" s="17">
        <f>IF(B141="","",IFERROR(INDEX('Content Calendar'!$J$5:$J$604,MATCH(B141,'Content Calendar'!$A$5:$A$604,0)),"Not found"))</f>
        <v>0</v>
      </c>
      <c r="I141" s="17">
        <f>IF(B141="","",IFERROR(INDEX('Content Calendar'!$L$5:$L$604,MATCH(B141,'Content Calendar'!$A$5:$A$604,0)),"Not found"))</f>
        <v>0</v>
      </c>
      <c r="J141" s="17">
        <f>IF(B141="","",IFERROR(INDEX('Content Calendar'!$P$5:$P$604,MATCH(B141,'Content Calendar'!$A$5:$A$604,0)),"Not found"))</f>
        <v>0</v>
      </c>
      <c r="K141" s="17">
        <f>IF(B141="","",IFERROR(INDEX('Content Calendar'!$O$5:$O$604,MATCH(B141,'Content Calendar'!$A$5:$A$604,0)),"Not found"))</f>
        <v>0</v>
      </c>
      <c r="L141" s="17">
        <f>IF(B141="","",IFERROR(INDEX('Content Calendar'!$N$5:$N$604,MATCH(B141,'Content Calendar'!$A$5:$A$604,0)),"Not found"))</f>
        <v>0</v>
      </c>
      <c r="M141" s="17">
        <f>IF(B141="","",IFERROR(INDEX('Content Calendar'!$C$5:$C$604,MATCH(B141,'Content Calendar'!$A$5:$A$604,0)),"Not found"))</f>
        <v>0</v>
      </c>
      <c r="N141" s="17">
        <f>IF(B141="","",IFERROR(INDEX('Content Calendar'!$F$5:$F$604,MATCH(B141,'Content Calendar'!$A$5:$A$604,0)),"Not found"))</f>
        <v>0</v>
      </c>
      <c r="Z141" s="23">
        <f>IF(O141="","",N(Q141)+N(R141)+N(S141)+N(T141))</f>
        <v>0</v>
      </c>
      <c r="AA141" s="24">
        <f>IF(OR(O141="",O141=0),"",Z141/O141)</f>
        <v>0</v>
      </c>
      <c r="AB141" s="24">
        <f>IF(OR(O141="",O141=0),"",N(T141)/O141)</f>
        <v>0</v>
      </c>
      <c r="AC141" s="24">
        <f>IF(OR(O141="",O141=0),"",N(S141)/O141)</f>
        <v>0</v>
      </c>
      <c r="AD141" s="24">
        <f>IF(OR(O141="",O141=0),"",N(R141)/O141)</f>
        <v>0</v>
      </c>
      <c r="AE141" s="24">
        <f>IF(OR(O141="",O141=0),"",N(U141)/O141)</f>
        <v>0</v>
      </c>
      <c r="AF141" s="24">
        <f>IF(OR(U141="",U141=0),"",N(W141)/U141)</f>
        <v>0</v>
      </c>
      <c r="AG141" s="25">
        <f>IF(OR(O141="",O141=0),"",N(X141)/(O141/1000))</f>
        <v>0</v>
      </c>
      <c r="AH141" s="24">
        <f>IF(O141="","",IF(Y141="",TargetEngagement,Y141))</f>
        <v>0</v>
      </c>
      <c r="AI141" s="24">
        <f>IF(OR(AA141="",AH141=""),"",AA141-AH141)</f>
        <v>0</v>
      </c>
      <c r="AJ141" s="31">
        <f>IF(AA141="","",AA141+ROW()/1000000)</f>
        <v>0</v>
      </c>
      <c r="AK141" s="23">
        <f>IF(AA141="","",RANK(AJ141,Performance!$AJ$5:$AJ$404))</f>
        <v>0</v>
      </c>
      <c r="AL141" s="29">
        <f>IF(AA141="","",IF(AA141&gt;=AH141*1.5,"Top performer",IF(AA141&gt;=AH141,"Above target",IF(AA141&gt;=AH141*0.6,"Below target","Weak - review it"))))</f>
        <v>0</v>
      </c>
      <c r="AM141" s="29">
        <f>IF(B141="","",IF(COUNTIF(Performance!$B$5:$B$404,B141)&gt;1,"Duplicate","OK"))</f>
        <v>0</v>
      </c>
      <c r="AN141" s="29">
        <f>IF(B141="","",IF(C141="Not found","Check - content ID not on the calendar",IF(O141="","Add - no numbers entered yet",IF(AM141="Duplicate","Duplicate - this post is entered twice",IF(AL141="Top performer","Repurpose this one","OK")))))</f>
        <v>0</v>
      </c>
    </row>
    <row r="142" spans="1:40">
      <c r="A142" s="41">
        <f>IF(B142="","","PF-"&amp;TEXT(ROW()-4,"0000"))</f>
        <v>0</v>
      </c>
      <c r="C142" s="17">
        <f>IF(B142="","",IFERROR(INDEX('Content Calendar'!$H$5:$H$604,MATCH(B142,'Content Calendar'!$A$5:$A$604,0)),"Not found"))</f>
        <v>0</v>
      </c>
      <c r="D142" s="16">
        <f>IF(B142="","",IFERROR(INDEX('Content Calendar'!$B$5:$B$604,MATCH(B142,'Content Calendar'!$A$5:$A$604,0)),"Not found"))</f>
        <v>0</v>
      </c>
      <c r="E142" s="17">
        <f>IF(B142="","",IFERROR(INDEX('Content Calendar'!$D$5:$D$604,MATCH(B142,'Content Calendar'!$A$5:$A$604,0)),"Not found"))</f>
        <v>0</v>
      </c>
      <c r="F142" s="17">
        <f>IF(B142="","",IFERROR(INDEX('Content Calendar'!$G$5:$G$604,MATCH(B142,'Content Calendar'!$A$5:$A$604,0)),"Not found"))</f>
        <v>0</v>
      </c>
      <c r="G142" s="17">
        <f>IF(B142="","",IFERROR(INDEX('Content Calendar'!$K$5:$K$604,MATCH(B142,'Content Calendar'!$A$5:$A$604,0)),"Not found"))</f>
        <v>0</v>
      </c>
      <c r="H142" s="17">
        <f>IF(B142="","",IFERROR(INDEX('Content Calendar'!$J$5:$J$604,MATCH(B142,'Content Calendar'!$A$5:$A$604,0)),"Not found"))</f>
        <v>0</v>
      </c>
      <c r="I142" s="17">
        <f>IF(B142="","",IFERROR(INDEX('Content Calendar'!$L$5:$L$604,MATCH(B142,'Content Calendar'!$A$5:$A$604,0)),"Not found"))</f>
        <v>0</v>
      </c>
      <c r="J142" s="17">
        <f>IF(B142="","",IFERROR(INDEX('Content Calendar'!$P$5:$P$604,MATCH(B142,'Content Calendar'!$A$5:$A$604,0)),"Not found"))</f>
        <v>0</v>
      </c>
      <c r="K142" s="17">
        <f>IF(B142="","",IFERROR(INDEX('Content Calendar'!$O$5:$O$604,MATCH(B142,'Content Calendar'!$A$5:$A$604,0)),"Not found"))</f>
        <v>0</v>
      </c>
      <c r="L142" s="17">
        <f>IF(B142="","",IFERROR(INDEX('Content Calendar'!$N$5:$N$604,MATCH(B142,'Content Calendar'!$A$5:$A$604,0)),"Not found"))</f>
        <v>0</v>
      </c>
      <c r="M142" s="17">
        <f>IF(B142="","",IFERROR(INDEX('Content Calendar'!$C$5:$C$604,MATCH(B142,'Content Calendar'!$A$5:$A$604,0)),"Not found"))</f>
        <v>0</v>
      </c>
      <c r="N142" s="17">
        <f>IF(B142="","",IFERROR(INDEX('Content Calendar'!$F$5:$F$604,MATCH(B142,'Content Calendar'!$A$5:$A$604,0)),"Not found"))</f>
        <v>0</v>
      </c>
      <c r="Z142" s="23">
        <f>IF(O142="","",N(Q142)+N(R142)+N(S142)+N(T142))</f>
        <v>0</v>
      </c>
      <c r="AA142" s="24">
        <f>IF(OR(O142="",O142=0),"",Z142/O142)</f>
        <v>0</v>
      </c>
      <c r="AB142" s="24">
        <f>IF(OR(O142="",O142=0),"",N(T142)/O142)</f>
        <v>0</v>
      </c>
      <c r="AC142" s="24">
        <f>IF(OR(O142="",O142=0),"",N(S142)/O142)</f>
        <v>0</v>
      </c>
      <c r="AD142" s="24">
        <f>IF(OR(O142="",O142=0),"",N(R142)/O142)</f>
        <v>0</v>
      </c>
      <c r="AE142" s="24">
        <f>IF(OR(O142="",O142=0),"",N(U142)/O142)</f>
        <v>0</v>
      </c>
      <c r="AF142" s="24">
        <f>IF(OR(U142="",U142=0),"",N(W142)/U142)</f>
        <v>0</v>
      </c>
      <c r="AG142" s="25">
        <f>IF(OR(O142="",O142=0),"",N(X142)/(O142/1000))</f>
        <v>0</v>
      </c>
      <c r="AH142" s="24">
        <f>IF(O142="","",IF(Y142="",TargetEngagement,Y142))</f>
        <v>0</v>
      </c>
      <c r="AI142" s="24">
        <f>IF(OR(AA142="",AH142=""),"",AA142-AH142)</f>
        <v>0</v>
      </c>
      <c r="AJ142" s="31">
        <f>IF(AA142="","",AA142+ROW()/1000000)</f>
        <v>0</v>
      </c>
      <c r="AK142" s="23">
        <f>IF(AA142="","",RANK(AJ142,Performance!$AJ$5:$AJ$404))</f>
        <v>0</v>
      </c>
      <c r="AL142" s="29">
        <f>IF(AA142="","",IF(AA142&gt;=AH142*1.5,"Top performer",IF(AA142&gt;=AH142,"Above target",IF(AA142&gt;=AH142*0.6,"Below target","Weak - review it"))))</f>
        <v>0</v>
      </c>
      <c r="AM142" s="29">
        <f>IF(B142="","",IF(COUNTIF(Performance!$B$5:$B$404,B142)&gt;1,"Duplicate","OK"))</f>
        <v>0</v>
      </c>
      <c r="AN142" s="29">
        <f>IF(B142="","",IF(C142="Not found","Check - content ID not on the calendar",IF(O142="","Add - no numbers entered yet",IF(AM142="Duplicate","Duplicate - this post is entered twice",IF(AL142="Top performer","Repurpose this one","OK")))))</f>
        <v>0</v>
      </c>
    </row>
    <row r="143" spans="1:40">
      <c r="A143" s="41">
        <f>IF(B143="","","PF-"&amp;TEXT(ROW()-4,"0000"))</f>
        <v>0</v>
      </c>
      <c r="C143" s="17">
        <f>IF(B143="","",IFERROR(INDEX('Content Calendar'!$H$5:$H$604,MATCH(B143,'Content Calendar'!$A$5:$A$604,0)),"Not found"))</f>
        <v>0</v>
      </c>
      <c r="D143" s="16">
        <f>IF(B143="","",IFERROR(INDEX('Content Calendar'!$B$5:$B$604,MATCH(B143,'Content Calendar'!$A$5:$A$604,0)),"Not found"))</f>
        <v>0</v>
      </c>
      <c r="E143" s="17">
        <f>IF(B143="","",IFERROR(INDEX('Content Calendar'!$D$5:$D$604,MATCH(B143,'Content Calendar'!$A$5:$A$604,0)),"Not found"))</f>
        <v>0</v>
      </c>
      <c r="F143" s="17">
        <f>IF(B143="","",IFERROR(INDEX('Content Calendar'!$G$5:$G$604,MATCH(B143,'Content Calendar'!$A$5:$A$604,0)),"Not found"))</f>
        <v>0</v>
      </c>
      <c r="G143" s="17">
        <f>IF(B143="","",IFERROR(INDEX('Content Calendar'!$K$5:$K$604,MATCH(B143,'Content Calendar'!$A$5:$A$604,0)),"Not found"))</f>
        <v>0</v>
      </c>
      <c r="H143" s="17">
        <f>IF(B143="","",IFERROR(INDEX('Content Calendar'!$J$5:$J$604,MATCH(B143,'Content Calendar'!$A$5:$A$604,0)),"Not found"))</f>
        <v>0</v>
      </c>
      <c r="I143" s="17">
        <f>IF(B143="","",IFERROR(INDEX('Content Calendar'!$L$5:$L$604,MATCH(B143,'Content Calendar'!$A$5:$A$604,0)),"Not found"))</f>
        <v>0</v>
      </c>
      <c r="J143" s="17">
        <f>IF(B143="","",IFERROR(INDEX('Content Calendar'!$P$5:$P$604,MATCH(B143,'Content Calendar'!$A$5:$A$604,0)),"Not found"))</f>
        <v>0</v>
      </c>
      <c r="K143" s="17">
        <f>IF(B143="","",IFERROR(INDEX('Content Calendar'!$O$5:$O$604,MATCH(B143,'Content Calendar'!$A$5:$A$604,0)),"Not found"))</f>
        <v>0</v>
      </c>
      <c r="L143" s="17">
        <f>IF(B143="","",IFERROR(INDEX('Content Calendar'!$N$5:$N$604,MATCH(B143,'Content Calendar'!$A$5:$A$604,0)),"Not found"))</f>
        <v>0</v>
      </c>
      <c r="M143" s="17">
        <f>IF(B143="","",IFERROR(INDEX('Content Calendar'!$C$5:$C$604,MATCH(B143,'Content Calendar'!$A$5:$A$604,0)),"Not found"))</f>
        <v>0</v>
      </c>
      <c r="N143" s="17">
        <f>IF(B143="","",IFERROR(INDEX('Content Calendar'!$F$5:$F$604,MATCH(B143,'Content Calendar'!$A$5:$A$604,0)),"Not found"))</f>
        <v>0</v>
      </c>
      <c r="Z143" s="23">
        <f>IF(O143="","",N(Q143)+N(R143)+N(S143)+N(T143))</f>
        <v>0</v>
      </c>
      <c r="AA143" s="24">
        <f>IF(OR(O143="",O143=0),"",Z143/O143)</f>
        <v>0</v>
      </c>
      <c r="AB143" s="24">
        <f>IF(OR(O143="",O143=0),"",N(T143)/O143)</f>
        <v>0</v>
      </c>
      <c r="AC143" s="24">
        <f>IF(OR(O143="",O143=0),"",N(S143)/O143)</f>
        <v>0</v>
      </c>
      <c r="AD143" s="24">
        <f>IF(OR(O143="",O143=0),"",N(R143)/O143)</f>
        <v>0</v>
      </c>
      <c r="AE143" s="24">
        <f>IF(OR(O143="",O143=0),"",N(U143)/O143)</f>
        <v>0</v>
      </c>
      <c r="AF143" s="24">
        <f>IF(OR(U143="",U143=0),"",N(W143)/U143)</f>
        <v>0</v>
      </c>
      <c r="AG143" s="25">
        <f>IF(OR(O143="",O143=0),"",N(X143)/(O143/1000))</f>
        <v>0</v>
      </c>
      <c r="AH143" s="24">
        <f>IF(O143="","",IF(Y143="",TargetEngagement,Y143))</f>
        <v>0</v>
      </c>
      <c r="AI143" s="24">
        <f>IF(OR(AA143="",AH143=""),"",AA143-AH143)</f>
        <v>0</v>
      </c>
      <c r="AJ143" s="31">
        <f>IF(AA143="","",AA143+ROW()/1000000)</f>
        <v>0</v>
      </c>
      <c r="AK143" s="23">
        <f>IF(AA143="","",RANK(AJ143,Performance!$AJ$5:$AJ$404))</f>
        <v>0</v>
      </c>
      <c r="AL143" s="29">
        <f>IF(AA143="","",IF(AA143&gt;=AH143*1.5,"Top performer",IF(AA143&gt;=AH143,"Above target",IF(AA143&gt;=AH143*0.6,"Below target","Weak - review it"))))</f>
        <v>0</v>
      </c>
      <c r="AM143" s="29">
        <f>IF(B143="","",IF(COUNTIF(Performance!$B$5:$B$404,B143)&gt;1,"Duplicate","OK"))</f>
        <v>0</v>
      </c>
      <c r="AN143" s="29">
        <f>IF(B143="","",IF(C143="Not found","Check - content ID not on the calendar",IF(O143="","Add - no numbers entered yet",IF(AM143="Duplicate","Duplicate - this post is entered twice",IF(AL143="Top performer","Repurpose this one","OK")))))</f>
        <v>0</v>
      </c>
    </row>
    <row r="144" spans="1:40">
      <c r="A144" s="41">
        <f>IF(B144="","","PF-"&amp;TEXT(ROW()-4,"0000"))</f>
        <v>0</v>
      </c>
      <c r="C144" s="17">
        <f>IF(B144="","",IFERROR(INDEX('Content Calendar'!$H$5:$H$604,MATCH(B144,'Content Calendar'!$A$5:$A$604,0)),"Not found"))</f>
        <v>0</v>
      </c>
      <c r="D144" s="16">
        <f>IF(B144="","",IFERROR(INDEX('Content Calendar'!$B$5:$B$604,MATCH(B144,'Content Calendar'!$A$5:$A$604,0)),"Not found"))</f>
        <v>0</v>
      </c>
      <c r="E144" s="17">
        <f>IF(B144="","",IFERROR(INDEX('Content Calendar'!$D$5:$D$604,MATCH(B144,'Content Calendar'!$A$5:$A$604,0)),"Not found"))</f>
        <v>0</v>
      </c>
      <c r="F144" s="17">
        <f>IF(B144="","",IFERROR(INDEX('Content Calendar'!$G$5:$G$604,MATCH(B144,'Content Calendar'!$A$5:$A$604,0)),"Not found"))</f>
        <v>0</v>
      </c>
      <c r="G144" s="17">
        <f>IF(B144="","",IFERROR(INDEX('Content Calendar'!$K$5:$K$604,MATCH(B144,'Content Calendar'!$A$5:$A$604,0)),"Not found"))</f>
        <v>0</v>
      </c>
      <c r="H144" s="17">
        <f>IF(B144="","",IFERROR(INDEX('Content Calendar'!$J$5:$J$604,MATCH(B144,'Content Calendar'!$A$5:$A$604,0)),"Not found"))</f>
        <v>0</v>
      </c>
      <c r="I144" s="17">
        <f>IF(B144="","",IFERROR(INDEX('Content Calendar'!$L$5:$L$604,MATCH(B144,'Content Calendar'!$A$5:$A$604,0)),"Not found"))</f>
        <v>0</v>
      </c>
      <c r="J144" s="17">
        <f>IF(B144="","",IFERROR(INDEX('Content Calendar'!$P$5:$P$604,MATCH(B144,'Content Calendar'!$A$5:$A$604,0)),"Not found"))</f>
        <v>0</v>
      </c>
      <c r="K144" s="17">
        <f>IF(B144="","",IFERROR(INDEX('Content Calendar'!$O$5:$O$604,MATCH(B144,'Content Calendar'!$A$5:$A$604,0)),"Not found"))</f>
        <v>0</v>
      </c>
      <c r="L144" s="17">
        <f>IF(B144="","",IFERROR(INDEX('Content Calendar'!$N$5:$N$604,MATCH(B144,'Content Calendar'!$A$5:$A$604,0)),"Not found"))</f>
        <v>0</v>
      </c>
      <c r="M144" s="17">
        <f>IF(B144="","",IFERROR(INDEX('Content Calendar'!$C$5:$C$604,MATCH(B144,'Content Calendar'!$A$5:$A$604,0)),"Not found"))</f>
        <v>0</v>
      </c>
      <c r="N144" s="17">
        <f>IF(B144="","",IFERROR(INDEX('Content Calendar'!$F$5:$F$604,MATCH(B144,'Content Calendar'!$A$5:$A$604,0)),"Not found"))</f>
        <v>0</v>
      </c>
      <c r="Z144" s="23">
        <f>IF(O144="","",N(Q144)+N(R144)+N(S144)+N(T144))</f>
        <v>0</v>
      </c>
      <c r="AA144" s="24">
        <f>IF(OR(O144="",O144=0),"",Z144/O144)</f>
        <v>0</v>
      </c>
      <c r="AB144" s="24">
        <f>IF(OR(O144="",O144=0),"",N(T144)/O144)</f>
        <v>0</v>
      </c>
      <c r="AC144" s="24">
        <f>IF(OR(O144="",O144=0),"",N(S144)/O144)</f>
        <v>0</v>
      </c>
      <c r="AD144" s="24">
        <f>IF(OR(O144="",O144=0),"",N(R144)/O144)</f>
        <v>0</v>
      </c>
      <c r="AE144" s="24">
        <f>IF(OR(O144="",O144=0),"",N(U144)/O144)</f>
        <v>0</v>
      </c>
      <c r="AF144" s="24">
        <f>IF(OR(U144="",U144=0),"",N(W144)/U144)</f>
        <v>0</v>
      </c>
      <c r="AG144" s="25">
        <f>IF(OR(O144="",O144=0),"",N(X144)/(O144/1000))</f>
        <v>0</v>
      </c>
      <c r="AH144" s="24">
        <f>IF(O144="","",IF(Y144="",TargetEngagement,Y144))</f>
        <v>0</v>
      </c>
      <c r="AI144" s="24">
        <f>IF(OR(AA144="",AH144=""),"",AA144-AH144)</f>
        <v>0</v>
      </c>
      <c r="AJ144" s="31">
        <f>IF(AA144="","",AA144+ROW()/1000000)</f>
        <v>0</v>
      </c>
      <c r="AK144" s="23">
        <f>IF(AA144="","",RANK(AJ144,Performance!$AJ$5:$AJ$404))</f>
        <v>0</v>
      </c>
      <c r="AL144" s="29">
        <f>IF(AA144="","",IF(AA144&gt;=AH144*1.5,"Top performer",IF(AA144&gt;=AH144,"Above target",IF(AA144&gt;=AH144*0.6,"Below target","Weak - review it"))))</f>
        <v>0</v>
      </c>
      <c r="AM144" s="29">
        <f>IF(B144="","",IF(COUNTIF(Performance!$B$5:$B$404,B144)&gt;1,"Duplicate","OK"))</f>
        <v>0</v>
      </c>
      <c r="AN144" s="29">
        <f>IF(B144="","",IF(C144="Not found","Check - content ID not on the calendar",IF(O144="","Add - no numbers entered yet",IF(AM144="Duplicate","Duplicate - this post is entered twice",IF(AL144="Top performer","Repurpose this one","OK")))))</f>
        <v>0</v>
      </c>
    </row>
    <row r="145" spans="1:40">
      <c r="A145" s="41">
        <f>IF(B145="","","PF-"&amp;TEXT(ROW()-4,"0000"))</f>
        <v>0</v>
      </c>
      <c r="C145" s="17">
        <f>IF(B145="","",IFERROR(INDEX('Content Calendar'!$H$5:$H$604,MATCH(B145,'Content Calendar'!$A$5:$A$604,0)),"Not found"))</f>
        <v>0</v>
      </c>
      <c r="D145" s="16">
        <f>IF(B145="","",IFERROR(INDEX('Content Calendar'!$B$5:$B$604,MATCH(B145,'Content Calendar'!$A$5:$A$604,0)),"Not found"))</f>
        <v>0</v>
      </c>
      <c r="E145" s="17">
        <f>IF(B145="","",IFERROR(INDEX('Content Calendar'!$D$5:$D$604,MATCH(B145,'Content Calendar'!$A$5:$A$604,0)),"Not found"))</f>
        <v>0</v>
      </c>
      <c r="F145" s="17">
        <f>IF(B145="","",IFERROR(INDEX('Content Calendar'!$G$5:$G$604,MATCH(B145,'Content Calendar'!$A$5:$A$604,0)),"Not found"))</f>
        <v>0</v>
      </c>
      <c r="G145" s="17">
        <f>IF(B145="","",IFERROR(INDEX('Content Calendar'!$K$5:$K$604,MATCH(B145,'Content Calendar'!$A$5:$A$604,0)),"Not found"))</f>
        <v>0</v>
      </c>
      <c r="H145" s="17">
        <f>IF(B145="","",IFERROR(INDEX('Content Calendar'!$J$5:$J$604,MATCH(B145,'Content Calendar'!$A$5:$A$604,0)),"Not found"))</f>
        <v>0</v>
      </c>
      <c r="I145" s="17">
        <f>IF(B145="","",IFERROR(INDEX('Content Calendar'!$L$5:$L$604,MATCH(B145,'Content Calendar'!$A$5:$A$604,0)),"Not found"))</f>
        <v>0</v>
      </c>
      <c r="J145" s="17">
        <f>IF(B145="","",IFERROR(INDEX('Content Calendar'!$P$5:$P$604,MATCH(B145,'Content Calendar'!$A$5:$A$604,0)),"Not found"))</f>
        <v>0</v>
      </c>
      <c r="K145" s="17">
        <f>IF(B145="","",IFERROR(INDEX('Content Calendar'!$O$5:$O$604,MATCH(B145,'Content Calendar'!$A$5:$A$604,0)),"Not found"))</f>
        <v>0</v>
      </c>
      <c r="L145" s="17">
        <f>IF(B145="","",IFERROR(INDEX('Content Calendar'!$N$5:$N$604,MATCH(B145,'Content Calendar'!$A$5:$A$604,0)),"Not found"))</f>
        <v>0</v>
      </c>
      <c r="M145" s="17">
        <f>IF(B145="","",IFERROR(INDEX('Content Calendar'!$C$5:$C$604,MATCH(B145,'Content Calendar'!$A$5:$A$604,0)),"Not found"))</f>
        <v>0</v>
      </c>
      <c r="N145" s="17">
        <f>IF(B145="","",IFERROR(INDEX('Content Calendar'!$F$5:$F$604,MATCH(B145,'Content Calendar'!$A$5:$A$604,0)),"Not found"))</f>
        <v>0</v>
      </c>
      <c r="Z145" s="23">
        <f>IF(O145="","",N(Q145)+N(R145)+N(S145)+N(T145))</f>
        <v>0</v>
      </c>
      <c r="AA145" s="24">
        <f>IF(OR(O145="",O145=0),"",Z145/O145)</f>
        <v>0</v>
      </c>
      <c r="AB145" s="24">
        <f>IF(OR(O145="",O145=0),"",N(T145)/O145)</f>
        <v>0</v>
      </c>
      <c r="AC145" s="24">
        <f>IF(OR(O145="",O145=0),"",N(S145)/O145)</f>
        <v>0</v>
      </c>
      <c r="AD145" s="24">
        <f>IF(OR(O145="",O145=0),"",N(R145)/O145)</f>
        <v>0</v>
      </c>
      <c r="AE145" s="24">
        <f>IF(OR(O145="",O145=0),"",N(U145)/O145)</f>
        <v>0</v>
      </c>
      <c r="AF145" s="24">
        <f>IF(OR(U145="",U145=0),"",N(W145)/U145)</f>
        <v>0</v>
      </c>
      <c r="AG145" s="25">
        <f>IF(OR(O145="",O145=0),"",N(X145)/(O145/1000))</f>
        <v>0</v>
      </c>
      <c r="AH145" s="24">
        <f>IF(O145="","",IF(Y145="",TargetEngagement,Y145))</f>
        <v>0</v>
      </c>
      <c r="AI145" s="24">
        <f>IF(OR(AA145="",AH145=""),"",AA145-AH145)</f>
        <v>0</v>
      </c>
      <c r="AJ145" s="31">
        <f>IF(AA145="","",AA145+ROW()/1000000)</f>
        <v>0</v>
      </c>
      <c r="AK145" s="23">
        <f>IF(AA145="","",RANK(AJ145,Performance!$AJ$5:$AJ$404))</f>
        <v>0</v>
      </c>
      <c r="AL145" s="29">
        <f>IF(AA145="","",IF(AA145&gt;=AH145*1.5,"Top performer",IF(AA145&gt;=AH145,"Above target",IF(AA145&gt;=AH145*0.6,"Below target","Weak - review it"))))</f>
        <v>0</v>
      </c>
      <c r="AM145" s="29">
        <f>IF(B145="","",IF(COUNTIF(Performance!$B$5:$B$404,B145)&gt;1,"Duplicate","OK"))</f>
        <v>0</v>
      </c>
      <c r="AN145" s="29">
        <f>IF(B145="","",IF(C145="Not found","Check - content ID not on the calendar",IF(O145="","Add - no numbers entered yet",IF(AM145="Duplicate","Duplicate - this post is entered twice",IF(AL145="Top performer","Repurpose this one","OK")))))</f>
        <v>0</v>
      </c>
    </row>
    <row r="146" spans="1:40">
      <c r="A146" s="41">
        <f>IF(B146="","","PF-"&amp;TEXT(ROW()-4,"0000"))</f>
        <v>0</v>
      </c>
      <c r="C146" s="17">
        <f>IF(B146="","",IFERROR(INDEX('Content Calendar'!$H$5:$H$604,MATCH(B146,'Content Calendar'!$A$5:$A$604,0)),"Not found"))</f>
        <v>0</v>
      </c>
      <c r="D146" s="16">
        <f>IF(B146="","",IFERROR(INDEX('Content Calendar'!$B$5:$B$604,MATCH(B146,'Content Calendar'!$A$5:$A$604,0)),"Not found"))</f>
        <v>0</v>
      </c>
      <c r="E146" s="17">
        <f>IF(B146="","",IFERROR(INDEX('Content Calendar'!$D$5:$D$604,MATCH(B146,'Content Calendar'!$A$5:$A$604,0)),"Not found"))</f>
        <v>0</v>
      </c>
      <c r="F146" s="17">
        <f>IF(B146="","",IFERROR(INDEX('Content Calendar'!$G$5:$G$604,MATCH(B146,'Content Calendar'!$A$5:$A$604,0)),"Not found"))</f>
        <v>0</v>
      </c>
      <c r="G146" s="17">
        <f>IF(B146="","",IFERROR(INDEX('Content Calendar'!$K$5:$K$604,MATCH(B146,'Content Calendar'!$A$5:$A$604,0)),"Not found"))</f>
        <v>0</v>
      </c>
      <c r="H146" s="17">
        <f>IF(B146="","",IFERROR(INDEX('Content Calendar'!$J$5:$J$604,MATCH(B146,'Content Calendar'!$A$5:$A$604,0)),"Not found"))</f>
        <v>0</v>
      </c>
      <c r="I146" s="17">
        <f>IF(B146="","",IFERROR(INDEX('Content Calendar'!$L$5:$L$604,MATCH(B146,'Content Calendar'!$A$5:$A$604,0)),"Not found"))</f>
        <v>0</v>
      </c>
      <c r="J146" s="17">
        <f>IF(B146="","",IFERROR(INDEX('Content Calendar'!$P$5:$P$604,MATCH(B146,'Content Calendar'!$A$5:$A$604,0)),"Not found"))</f>
        <v>0</v>
      </c>
      <c r="K146" s="17">
        <f>IF(B146="","",IFERROR(INDEX('Content Calendar'!$O$5:$O$604,MATCH(B146,'Content Calendar'!$A$5:$A$604,0)),"Not found"))</f>
        <v>0</v>
      </c>
      <c r="L146" s="17">
        <f>IF(B146="","",IFERROR(INDEX('Content Calendar'!$N$5:$N$604,MATCH(B146,'Content Calendar'!$A$5:$A$604,0)),"Not found"))</f>
        <v>0</v>
      </c>
      <c r="M146" s="17">
        <f>IF(B146="","",IFERROR(INDEX('Content Calendar'!$C$5:$C$604,MATCH(B146,'Content Calendar'!$A$5:$A$604,0)),"Not found"))</f>
        <v>0</v>
      </c>
      <c r="N146" s="17">
        <f>IF(B146="","",IFERROR(INDEX('Content Calendar'!$F$5:$F$604,MATCH(B146,'Content Calendar'!$A$5:$A$604,0)),"Not found"))</f>
        <v>0</v>
      </c>
      <c r="Z146" s="23">
        <f>IF(O146="","",N(Q146)+N(R146)+N(S146)+N(T146))</f>
        <v>0</v>
      </c>
      <c r="AA146" s="24">
        <f>IF(OR(O146="",O146=0),"",Z146/O146)</f>
        <v>0</v>
      </c>
      <c r="AB146" s="24">
        <f>IF(OR(O146="",O146=0),"",N(T146)/O146)</f>
        <v>0</v>
      </c>
      <c r="AC146" s="24">
        <f>IF(OR(O146="",O146=0),"",N(S146)/O146)</f>
        <v>0</v>
      </c>
      <c r="AD146" s="24">
        <f>IF(OR(O146="",O146=0),"",N(R146)/O146)</f>
        <v>0</v>
      </c>
      <c r="AE146" s="24">
        <f>IF(OR(O146="",O146=0),"",N(U146)/O146)</f>
        <v>0</v>
      </c>
      <c r="AF146" s="24">
        <f>IF(OR(U146="",U146=0),"",N(W146)/U146)</f>
        <v>0</v>
      </c>
      <c r="AG146" s="25">
        <f>IF(OR(O146="",O146=0),"",N(X146)/(O146/1000))</f>
        <v>0</v>
      </c>
      <c r="AH146" s="24">
        <f>IF(O146="","",IF(Y146="",TargetEngagement,Y146))</f>
        <v>0</v>
      </c>
      <c r="AI146" s="24">
        <f>IF(OR(AA146="",AH146=""),"",AA146-AH146)</f>
        <v>0</v>
      </c>
      <c r="AJ146" s="31">
        <f>IF(AA146="","",AA146+ROW()/1000000)</f>
        <v>0</v>
      </c>
      <c r="AK146" s="23">
        <f>IF(AA146="","",RANK(AJ146,Performance!$AJ$5:$AJ$404))</f>
        <v>0</v>
      </c>
      <c r="AL146" s="29">
        <f>IF(AA146="","",IF(AA146&gt;=AH146*1.5,"Top performer",IF(AA146&gt;=AH146,"Above target",IF(AA146&gt;=AH146*0.6,"Below target","Weak - review it"))))</f>
        <v>0</v>
      </c>
      <c r="AM146" s="29">
        <f>IF(B146="","",IF(COUNTIF(Performance!$B$5:$B$404,B146)&gt;1,"Duplicate","OK"))</f>
        <v>0</v>
      </c>
      <c r="AN146" s="29">
        <f>IF(B146="","",IF(C146="Not found","Check - content ID not on the calendar",IF(O146="","Add - no numbers entered yet",IF(AM146="Duplicate","Duplicate - this post is entered twice",IF(AL146="Top performer","Repurpose this one","OK")))))</f>
        <v>0</v>
      </c>
    </row>
    <row r="147" spans="1:40">
      <c r="A147" s="41">
        <f>IF(B147="","","PF-"&amp;TEXT(ROW()-4,"0000"))</f>
        <v>0</v>
      </c>
      <c r="C147" s="17">
        <f>IF(B147="","",IFERROR(INDEX('Content Calendar'!$H$5:$H$604,MATCH(B147,'Content Calendar'!$A$5:$A$604,0)),"Not found"))</f>
        <v>0</v>
      </c>
      <c r="D147" s="16">
        <f>IF(B147="","",IFERROR(INDEX('Content Calendar'!$B$5:$B$604,MATCH(B147,'Content Calendar'!$A$5:$A$604,0)),"Not found"))</f>
        <v>0</v>
      </c>
      <c r="E147" s="17">
        <f>IF(B147="","",IFERROR(INDEX('Content Calendar'!$D$5:$D$604,MATCH(B147,'Content Calendar'!$A$5:$A$604,0)),"Not found"))</f>
        <v>0</v>
      </c>
      <c r="F147" s="17">
        <f>IF(B147="","",IFERROR(INDEX('Content Calendar'!$G$5:$G$604,MATCH(B147,'Content Calendar'!$A$5:$A$604,0)),"Not found"))</f>
        <v>0</v>
      </c>
      <c r="G147" s="17">
        <f>IF(B147="","",IFERROR(INDEX('Content Calendar'!$K$5:$K$604,MATCH(B147,'Content Calendar'!$A$5:$A$604,0)),"Not found"))</f>
        <v>0</v>
      </c>
      <c r="H147" s="17">
        <f>IF(B147="","",IFERROR(INDEX('Content Calendar'!$J$5:$J$604,MATCH(B147,'Content Calendar'!$A$5:$A$604,0)),"Not found"))</f>
        <v>0</v>
      </c>
      <c r="I147" s="17">
        <f>IF(B147="","",IFERROR(INDEX('Content Calendar'!$L$5:$L$604,MATCH(B147,'Content Calendar'!$A$5:$A$604,0)),"Not found"))</f>
        <v>0</v>
      </c>
      <c r="J147" s="17">
        <f>IF(B147="","",IFERROR(INDEX('Content Calendar'!$P$5:$P$604,MATCH(B147,'Content Calendar'!$A$5:$A$604,0)),"Not found"))</f>
        <v>0</v>
      </c>
      <c r="K147" s="17">
        <f>IF(B147="","",IFERROR(INDEX('Content Calendar'!$O$5:$O$604,MATCH(B147,'Content Calendar'!$A$5:$A$604,0)),"Not found"))</f>
        <v>0</v>
      </c>
      <c r="L147" s="17">
        <f>IF(B147="","",IFERROR(INDEX('Content Calendar'!$N$5:$N$604,MATCH(B147,'Content Calendar'!$A$5:$A$604,0)),"Not found"))</f>
        <v>0</v>
      </c>
      <c r="M147" s="17">
        <f>IF(B147="","",IFERROR(INDEX('Content Calendar'!$C$5:$C$604,MATCH(B147,'Content Calendar'!$A$5:$A$604,0)),"Not found"))</f>
        <v>0</v>
      </c>
      <c r="N147" s="17">
        <f>IF(B147="","",IFERROR(INDEX('Content Calendar'!$F$5:$F$604,MATCH(B147,'Content Calendar'!$A$5:$A$604,0)),"Not found"))</f>
        <v>0</v>
      </c>
      <c r="Z147" s="23">
        <f>IF(O147="","",N(Q147)+N(R147)+N(S147)+N(T147))</f>
        <v>0</v>
      </c>
      <c r="AA147" s="24">
        <f>IF(OR(O147="",O147=0),"",Z147/O147)</f>
        <v>0</v>
      </c>
      <c r="AB147" s="24">
        <f>IF(OR(O147="",O147=0),"",N(T147)/O147)</f>
        <v>0</v>
      </c>
      <c r="AC147" s="24">
        <f>IF(OR(O147="",O147=0),"",N(S147)/O147)</f>
        <v>0</v>
      </c>
      <c r="AD147" s="24">
        <f>IF(OR(O147="",O147=0),"",N(R147)/O147)</f>
        <v>0</v>
      </c>
      <c r="AE147" s="24">
        <f>IF(OR(O147="",O147=0),"",N(U147)/O147)</f>
        <v>0</v>
      </c>
      <c r="AF147" s="24">
        <f>IF(OR(U147="",U147=0),"",N(W147)/U147)</f>
        <v>0</v>
      </c>
      <c r="AG147" s="25">
        <f>IF(OR(O147="",O147=0),"",N(X147)/(O147/1000))</f>
        <v>0</v>
      </c>
      <c r="AH147" s="24">
        <f>IF(O147="","",IF(Y147="",TargetEngagement,Y147))</f>
        <v>0</v>
      </c>
      <c r="AI147" s="24">
        <f>IF(OR(AA147="",AH147=""),"",AA147-AH147)</f>
        <v>0</v>
      </c>
      <c r="AJ147" s="31">
        <f>IF(AA147="","",AA147+ROW()/1000000)</f>
        <v>0</v>
      </c>
      <c r="AK147" s="23">
        <f>IF(AA147="","",RANK(AJ147,Performance!$AJ$5:$AJ$404))</f>
        <v>0</v>
      </c>
      <c r="AL147" s="29">
        <f>IF(AA147="","",IF(AA147&gt;=AH147*1.5,"Top performer",IF(AA147&gt;=AH147,"Above target",IF(AA147&gt;=AH147*0.6,"Below target","Weak - review it"))))</f>
        <v>0</v>
      </c>
      <c r="AM147" s="29">
        <f>IF(B147="","",IF(COUNTIF(Performance!$B$5:$B$404,B147)&gt;1,"Duplicate","OK"))</f>
        <v>0</v>
      </c>
      <c r="AN147" s="29">
        <f>IF(B147="","",IF(C147="Not found","Check - content ID not on the calendar",IF(O147="","Add - no numbers entered yet",IF(AM147="Duplicate","Duplicate - this post is entered twice",IF(AL147="Top performer","Repurpose this one","OK")))))</f>
        <v>0</v>
      </c>
    </row>
    <row r="148" spans="1:40">
      <c r="A148" s="41">
        <f>IF(B148="","","PF-"&amp;TEXT(ROW()-4,"0000"))</f>
        <v>0</v>
      </c>
      <c r="C148" s="17">
        <f>IF(B148="","",IFERROR(INDEX('Content Calendar'!$H$5:$H$604,MATCH(B148,'Content Calendar'!$A$5:$A$604,0)),"Not found"))</f>
        <v>0</v>
      </c>
      <c r="D148" s="16">
        <f>IF(B148="","",IFERROR(INDEX('Content Calendar'!$B$5:$B$604,MATCH(B148,'Content Calendar'!$A$5:$A$604,0)),"Not found"))</f>
        <v>0</v>
      </c>
      <c r="E148" s="17">
        <f>IF(B148="","",IFERROR(INDEX('Content Calendar'!$D$5:$D$604,MATCH(B148,'Content Calendar'!$A$5:$A$604,0)),"Not found"))</f>
        <v>0</v>
      </c>
      <c r="F148" s="17">
        <f>IF(B148="","",IFERROR(INDEX('Content Calendar'!$G$5:$G$604,MATCH(B148,'Content Calendar'!$A$5:$A$604,0)),"Not found"))</f>
        <v>0</v>
      </c>
      <c r="G148" s="17">
        <f>IF(B148="","",IFERROR(INDEX('Content Calendar'!$K$5:$K$604,MATCH(B148,'Content Calendar'!$A$5:$A$604,0)),"Not found"))</f>
        <v>0</v>
      </c>
      <c r="H148" s="17">
        <f>IF(B148="","",IFERROR(INDEX('Content Calendar'!$J$5:$J$604,MATCH(B148,'Content Calendar'!$A$5:$A$604,0)),"Not found"))</f>
        <v>0</v>
      </c>
      <c r="I148" s="17">
        <f>IF(B148="","",IFERROR(INDEX('Content Calendar'!$L$5:$L$604,MATCH(B148,'Content Calendar'!$A$5:$A$604,0)),"Not found"))</f>
        <v>0</v>
      </c>
      <c r="J148" s="17">
        <f>IF(B148="","",IFERROR(INDEX('Content Calendar'!$P$5:$P$604,MATCH(B148,'Content Calendar'!$A$5:$A$604,0)),"Not found"))</f>
        <v>0</v>
      </c>
      <c r="K148" s="17">
        <f>IF(B148="","",IFERROR(INDEX('Content Calendar'!$O$5:$O$604,MATCH(B148,'Content Calendar'!$A$5:$A$604,0)),"Not found"))</f>
        <v>0</v>
      </c>
      <c r="L148" s="17">
        <f>IF(B148="","",IFERROR(INDEX('Content Calendar'!$N$5:$N$604,MATCH(B148,'Content Calendar'!$A$5:$A$604,0)),"Not found"))</f>
        <v>0</v>
      </c>
      <c r="M148" s="17">
        <f>IF(B148="","",IFERROR(INDEX('Content Calendar'!$C$5:$C$604,MATCH(B148,'Content Calendar'!$A$5:$A$604,0)),"Not found"))</f>
        <v>0</v>
      </c>
      <c r="N148" s="17">
        <f>IF(B148="","",IFERROR(INDEX('Content Calendar'!$F$5:$F$604,MATCH(B148,'Content Calendar'!$A$5:$A$604,0)),"Not found"))</f>
        <v>0</v>
      </c>
      <c r="Z148" s="23">
        <f>IF(O148="","",N(Q148)+N(R148)+N(S148)+N(T148))</f>
        <v>0</v>
      </c>
      <c r="AA148" s="24">
        <f>IF(OR(O148="",O148=0),"",Z148/O148)</f>
        <v>0</v>
      </c>
      <c r="AB148" s="24">
        <f>IF(OR(O148="",O148=0),"",N(T148)/O148)</f>
        <v>0</v>
      </c>
      <c r="AC148" s="24">
        <f>IF(OR(O148="",O148=0),"",N(S148)/O148)</f>
        <v>0</v>
      </c>
      <c r="AD148" s="24">
        <f>IF(OR(O148="",O148=0),"",N(R148)/O148)</f>
        <v>0</v>
      </c>
      <c r="AE148" s="24">
        <f>IF(OR(O148="",O148=0),"",N(U148)/O148)</f>
        <v>0</v>
      </c>
      <c r="AF148" s="24">
        <f>IF(OR(U148="",U148=0),"",N(W148)/U148)</f>
        <v>0</v>
      </c>
      <c r="AG148" s="25">
        <f>IF(OR(O148="",O148=0),"",N(X148)/(O148/1000))</f>
        <v>0</v>
      </c>
      <c r="AH148" s="24">
        <f>IF(O148="","",IF(Y148="",TargetEngagement,Y148))</f>
        <v>0</v>
      </c>
      <c r="AI148" s="24">
        <f>IF(OR(AA148="",AH148=""),"",AA148-AH148)</f>
        <v>0</v>
      </c>
      <c r="AJ148" s="31">
        <f>IF(AA148="","",AA148+ROW()/1000000)</f>
        <v>0</v>
      </c>
      <c r="AK148" s="23">
        <f>IF(AA148="","",RANK(AJ148,Performance!$AJ$5:$AJ$404))</f>
        <v>0</v>
      </c>
      <c r="AL148" s="29">
        <f>IF(AA148="","",IF(AA148&gt;=AH148*1.5,"Top performer",IF(AA148&gt;=AH148,"Above target",IF(AA148&gt;=AH148*0.6,"Below target","Weak - review it"))))</f>
        <v>0</v>
      </c>
      <c r="AM148" s="29">
        <f>IF(B148="","",IF(COUNTIF(Performance!$B$5:$B$404,B148)&gt;1,"Duplicate","OK"))</f>
        <v>0</v>
      </c>
      <c r="AN148" s="29">
        <f>IF(B148="","",IF(C148="Not found","Check - content ID not on the calendar",IF(O148="","Add - no numbers entered yet",IF(AM148="Duplicate","Duplicate - this post is entered twice",IF(AL148="Top performer","Repurpose this one","OK")))))</f>
        <v>0</v>
      </c>
    </row>
    <row r="149" spans="1:40">
      <c r="A149" s="41">
        <f>IF(B149="","","PF-"&amp;TEXT(ROW()-4,"0000"))</f>
        <v>0</v>
      </c>
      <c r="C149" s="17">
        <f>IF(B149="","",IFERROR(INDEX('Content Calendar'!$H$5:$H$604,MATCH(B149,'Content Calendar'!$A$5:$A$604,0)),"Not found"))</f>
        <v>0</v>
      </c>
      <c r="D149" s="16">
        <f>IF(B149="","",IFERROR(INDEX('Content Calendar'!$B$5:$B$604,MATCH(B149,'Content Calendar'!$A$5:$A$604,0)),"Not found"))</f>
        <v>0</v>
      </c>
      <c r="E149" s="17">
        <f>IF(B149="","",IFERROR(INDEX('Content Calendar'!$D$5:$D$604,MATCH(B149,'Content Calendar'!$A$5:$A$604,0)),"Not found"))</f>
        <v>0</v>
      </c>
      <c r="F149" s="17">
        <f>IF(B149="","",IFERROR(INDEX('Content Calendar'!$G$5:$G$604,MATCH(B149,'Content Calendar'!$A$5:$A$604,0)),"Not found"))</f>
        <v>0</v>
      </c>
      <c r="G149" s="17">
        <f>IF(B149="","",IFERROR(INDEX('Content Calendar'!$K$5:$K$604,MATCH(B149,'Content Calendar'!$A$5:$A$604,0)),"Not found"))</f>
        <v>0</v>
      </c>
      <c r="H149" s="17">
        <f>IF(B149="","",IFERROR(INDEX('Content Calendar'!$J$5:$J$604,MATCH(B149,'Content Calendar'!$A$5:$A$604,0)),"Not found"))</f>
        <v>0</v>
      </c>
      <c r="I149" s="17">
        <f>IF(B149="","",IFERROR(INDEX('Content Calendar'!$L$5:$L$604,MATCH(B149,'Content Calendar'!$A$5:$A$604,0)),"Not found"))</f>
        <v>0</v>
      </c>
      <c r="J149" s="17">
        <f>IF(B149="","",IFERROR(INDEX('Content Calendar'!$P$5:$P$604,MATCH(B149,'Content Calendar'!$A$5:$A$604,0)),"Not found"))</f>
        <v>0</v>
      </c>
      <c r="K149" s="17">
        <f>IF(B149="","",IFERROR(INDEX('Content Calendar'!$O$5:$O$604,MATCH(B149,'Content Calendar'!$A$5:$A$604,0)),"Not found"))</f>
        <v>0</v>
      </c>
      <c r="L149" s="17">
        <f>IF(B149="","",IFERROR(INDEX('Content Calendar'!$N$5:$N$604,MATCH(B149,'Content Calendar'!$A$5:$A$604,0)),"Not found"))</f>
        <v>0</v>
      </c>
      <c r="M149" s="17">
        <f>IF(B149="","",IFERROR(INDEX('Content Calendar'!$C$5:$C$604,MATCH(B149,'Content Calendar'!$A$5:$A$604,0)),"Not found"))</f>
        <v>0</v>
      </c>
      <c r="N149" s="17">
        <f>IF(B149="","",IFERROR(INDEX('Content Calendar'!$F$5:$F$604,MATCH(B149,'Content Calendar'!$A$5:$A$604,0)),"Not found"))</f>
        <v>0</v>
      </c>
      <c r="Z149" s="23">
        <f>IF(O149="","",N(Q149)+N(R149)+N(S149)+N(T149))</f>
        <v>0</v>
      </c>
      <c r="AA149" s="24">
        <f>IF(OR(O149="",O149=0),"",Z149/O149)</f>
        <v>0</v>
      </c>
      <c r="AB149" s="24">
        <f>IF(OR(O149="",O149=0),"",N(T149)/O149)</f>
        <v>0</v>
      </c>
      <c r="AC149" s="24">
        <f>IF(OR(O149="",O149=0),"",N(S149)/O149)</f>
        <v>0</v>
      </c>
      <c r="AD149" s="24">
        <f>IF(OR(O149="",O149=0),"",N(R149)/O149)</f>
        <v>0</v>
      </c>
      <c r="AE149" s="24">
        <f>IF(OR(O149="",O149=0),"",N(U149)/O149)</f>
        <v>0</v>
      </c>
      <c r="AF149" s="24">
        <f>IF(OR(U149="",U149=0),"",N(W149)/U149)</f>
        <v>0</v>
      </c>
      <c r="AG149" s="25">
        <f>IF(OR(O149="",O149=0),"",N(X149)/(O149/1000))</f>
        <v>0</v>
      </c>
      <c r="AH149" s="24">
        <f>IF(O149="","",IF(Y149="",TargetEngagement,Y149))</f>
        <v>0</v>
      </c>
      <c r="AI149" s="24">
        <f>IF(OR(AA149="",AH149=""),"",AA149-AH149)</f>
        <v>0</v>
      </c>
      <c r="AJ149" s="31">
        <f>IF(AA149="","",AA149+ROW()/1000000)</f>
        <v>0</v>
      </c>
      <c r="AK149" s="23">
        <f>IF(AA149="","",RANK(AJ149,Performance!$AJ$5:$AJ$404))</f>
        <v>0</v>
      </c>
      <c r="AL149" s="29">
        <f>IF(AA149="","",IF(AA149&gt;=AH149*1.5,"Top performer",IF(AA149&gt;=AH149,"Above target",IF(AA149&gt;=AH149*0.6,"Below target","Weak - review it"))))</f>
        <v>0</v>
      </c>
      <c r="AM149" s="29">
        <f>IF(B149="","",IF(COUNTIF(Performance!$B$5:$B$404,B149)&gt;1,"Duplicate","OK"))</f>
        <v>0</v>
      </c>
      <c r="AN149" s="29">
        <f>IF(B149="","",IF(C149="Not found","Check - content ID not on the calendar",IF(O149="","Add - no numbers entered yet",IF(AM149="Duplicate","Duplicate - this post is entered twice",IF(AL149="Top performer","Repurpose this one","OK")))))</f>
        <v>0</v>
      </c>
    </row>
    <row r="150" spans="1:40">
      <c r="A150" s="41">
        <f>IF(B150="","","PF-"&amp;TEXT(ROW()-4,"0000"))</f>
        <v>0</v>
      </c>
      <c r="C150" s="17">
        <f>IF(B150="","",IFERROR(INDEX('Content Calendar'!$H$5:$H$604,MATCH(B150,'Content Calendar'!$A$5:$A$604,0)),"Not found"))</f>
        <v>0</v>
      </c>
      <c r="D150" s="16">
        <f>IF(B150="","",IFERROR(INDEX('Content Calendar'!$B$5:$B$604,MATCH(B150,'Content Calendar'!$A$5:$A$604,0)),"Not found"))</f>
        <v>0</v>
      </c>
      <c r="E150" s="17">
        <f>IF(B150="","",IFERROR(INDEX('Content Calendar'!$D$5:$D$604,MATCH(B150,'Content Calendar'!$A$5:$A$604,0)),"Not found"))</f>
        <v>0</v>
      </c>
      <c r="F150" s="17">
        <f>IF(B150="","",IFERROR(INDEX('Content Calendar'!$G$5:$G$604,MATCH(B150,'Content Calendar'!$A$5:$A$604,0)),"Not found"))</f>
        <v>0</v>
      </c>
      <c r="G150" s="17">
        <f>IF(B150="","",IFERROR(INDEX('Content Calendar'!$K$5:$K$604,MATCH(B150,'Content Calendar'!$A$5:$A$604,0)),"Not found"))</f>
        <v>0</v>
      </c>
      <c r="H150" s="17">
        <f>IF(B150="","",IFERROR(INDEX('Content Calendar'!$J$5:$J$604,MATCH(B150,'Content Calendar'!$A$5:$A$604,0)),"Not found"))</f>
        <v>0</v>
      </c>
      <c r="I150" s="17">
        <f>IF(B150="","",IFERROR(INDEX('Content Calendar'!$L$5:$L$604,MATCH(B150,'Content Calendar'!$A$5:$A$604,0)),"Not found"))</f>
        <v>0</v>
      </c>
      <c r="J150" s="17">
        <f>IF(B150="","",IFERROR(INDEX('Content Calendar'!$P$5:$P$604,MATCH(B150,'Content Calendar'!$A$5:$A$604,0)),"Not found"))</f>
        <v>0</v>
      </c>
      <c r="K150" s="17">
        <f>IF(B150="","",IFERROR(INDEX('Content Calendar'!$O$5:$O$604,MATCH(B150,'Content Calendar'!$A$5:$A$604,0)),"Not found"))</f>
        <v>0</v>
      </c>
      <c r="L150" s="17">
        <f>IF(B150="","",IFERROR(INDEX('Content Calendar'!$N$5:$N$604,MATCH(B150,'Content Calendar'!$A$5:$A$604,0)),"Not found"))</f>
        <v>0</v>
      </c>
      <c r="M150" s="17">
        <f>IF(B150="","",IFERROR(INDEX('Content Calendar'!$C$5:$C$604,MATCH(B150,'Content Calendar'!$A$5:$A$604,0)),"Not found"))</f>
        <v>0</v>
      </c>
      <c r="N150" s="17">
        <f>IF(B150="","",IFERROR(INDEX('Content Calendar'!$F$5:$F$604,MATCH(B150,'Content Calendar'!$A$5:$A$604,0)),"Not found"))</f>
        <v>0</v>
      </c>
      <c r="Z150" s="23">
        <f>IF(O150="","",N(Q150)+N(R150)+N(S150)+N(T150))</f>
        <v>0</v>
      </c>
      <c r="AA150" s="24">
        <f>IF(OR(O150="",O150=0),"",Z150/O150)</f>
        <v>0</v>
      </c>
      <c r="AB150" s="24">
        <f>IF(OR(O150="",O150=0),"",N(T150)/O150)</f>
        <v>0</v>
      </c>
      <c r="AC150" s="24">
        <f>IF(OR(O150="",O150=0),"",N(S150)/O150)</f>
        <v>0</v>
      </c>
      <c r="AD150" s="24">
        <f>IF(OR(O150="",O150=0),"",N(R150)/O150)</f>
        <v>0</v>
      </c>
      <c r="AE150" s="24">
        <f>IF(OR(O150="",O150=0),"",N(U150)/O150)</f>
        <v>0</v>
      </c>
      <c r="AF150" s="24">
        <f>IF(OR(U150="",U150=0),"",N(W150)/U150)</f>
        <v>0</v>
      </c>
      <c r="AG150" s="25">
        <f>IF(OR(O150="",O150=0),"",N(X150)/(O150/1000))</f>
        <v>0</v>
      </c>
      <c r="AH150" s="24">
        <f>IF(O150="","",IF(Y150="",TargetEngagement,Y150))</f>
        <v>0</v>
      </c>
      <c r="AI150" s="24">
        <f>IF(OR(AA150="",AH150=""),"",AA150-AH150)</f>
        <v>0</v>
      </c>
      <c r="AJ150" s="31">
        <f>IF(AA150="","",AA150+ROW()/1000000)</f>
        <v>0</v>
      </c>
      <c r="AK150" s="23">
        <f>IF(AA150="","",RANK(AJ150,Performance!$AJ$5:$AJ$404))</f>
        <v>0</v>
      </c>
      <c r="AL150" s="29">
        <f>IF(AA150="","",IF(AA150&gt;=AH150*1.5,"Top performer",IF(AA150&gt;=AH150,"Above target",IF(AA150&gt;=AH150*0.6,"Below target","Weak - review it"))))</f>
        <v>0</v>
      </c>
      <c r="AM150" s="29">
        <f>IF(B150="","",IF(COUNTIF(Performance!$B$5:$B$404,B150)&gt;1,"Duplicate","OK"))</f>
        <v>0</v>
      </c>
      <c r="AN150" s="29">
        <f>IF(B150="","",IF(C150="Not found","Check - content ID not on the calendar",IF(O150="","Add - no numbers entered yet",IF(AM150="Duplicate","Duplicate - this post is entered twice",IF(AL150="Top performer","Repurpose this one","OK")))))</f>
        <v>0</v>
      </c>
    </row>
    <row r="151" spans="1:40">
      <c r="A151" s="41">
        <f>IF(B151="","","PF-"&amp;TEXT(ROW()-4,"0000"))</f>
        <v>0</v>
      </c>
      <c r="C151" s="17">
        <f>IF(B151="","",IFERROR(INDEX('Content Calendar'!$H$5:$H$604,MATCH(B151,'Content Calendar'!$A$5:$A$604,0)),"Not found"))</f>
        <v>0</v>
      </c>
      <c r="D151" s="16">
        <f>IF(B151="","",IFERROR(INDEX('Content Calendar'!$B$5:$B$604,MATCH(B151,'Content Calendar'!$A$5:$A$604,0)),"Not found"))</f>
        <v>0</v>
      </c>
      <c r="E151" s="17">
        <f>IF(B151="","",IFERROR(INDEX('Content Calendar'!$D$5:$D$604,MATCH(B151,'Content Calendar'!$A$5:$A$604,0)),"Not found"))</f>
        <v>0</v>
      </c>
      <c r="F151" s="17">
        <f>IF(B151="","",IFERROR(INDEX('Content Calendar'!$G$5:$G$604,MATCH(B151,'Content Calendar'!$A$5:$A$604,0)),"Not found"))</f>
        <v>0</v>
      </c>
      <c r="G151" s="17">
        <f>IF(B151="","",IFERROR(INDEX('Content Calendar'!$K$5:$K$604,MATCH(B151,'Content Calendar'!$A$5:$A$604,0)),"Not found"))</f>
        <v>0</v>
      </c>
      <c r="H151" s="17">
        <f>IF(B151="","",IFERROR(INDEX('Content Calendar'!$J$5:$J$604,MATCH(B151,'Content Calendar'!$A$5:$A$604,0)),"Not found"))</f>
        <v>0</v>
      </c>
      <c r="I151" s="17">
        <f>IF(B151="","",IFERROR(INDEX('Content Calendar'!$L$5:$L$604,MATCH(B151,'Content Calendar'!$A$5:$A$604,0)),"Not found"))</f>
        <v>0</v>
      </c>
      <c r="J151" s="17">
        <f>IF(B151="","",IFERROR(INDEX('Content Calendar'!$P$5:$P$604,MATCH(B151,'Content Calendar'!$A$5:$A$604,0)),"Not found"))</f>
        <v>0</v>
      </c>
      <c r="K151" s="17">
        <f>IF(B151="","",IFERROR(INDEX('Content Calendar'!$O$5:$O$604,MATCH(B151,'Content Calendar'!$A$5:$A$604,0)),"Not found"))</f>
        <v>0</v>
      </c>
      <c r="L151" s="17">
        <f>IF(B151="","",IFERROR(INDEX('Content Calendar'!$N$5:$N$604,MATCH(B151,'Content Calendar'!$A$5:$A$604,0)),"Not found"))</f>
        <v>0</v>
      </c>
      <c r="M151" s="17">
        <f>IF(B151="","",IFERROR(INDEX('Content Calendar'!$C$5:$C$604,MATCH(B151,'Content Calendar'!$A$5:$A$604,0)),"Not found"))</f>
        <v>0</v>
      </c>
      <c r="N151" s="17">
        <f>IF(B151="","",IFERROR(INDEX('Content Calendar'!$F$5:$F$604,MATCH(B151,'Content Calendar'!$A$5:$A$604,0)),"Not found"))</f>
        <v>0</v>
      </c>
      <c r="Z151" s="23">
        <f>IF(O151="","",N(Q151)+N(R151)+N(S151)+N(T151))</f>
        <v>0</v>
      </c>
      <c r="AA151" s="24">
        <f>IF(OR(O151="",O151=0),"",Z151/O151)</f>
        <v>0</v>
      </c>
      <c r="AB151" s="24">
        <f>IF(OR(O151="",O151=0),"",N(T151)/O151)</f>
        <v>0</v>
      </c>
      <c r="AC151" s="24">
        <f>IF(OR(O151="",O151=0),"",N(S151)/O151)</f>
        <v>0</v>
      </c>
      <c r="AD151" s="24">
        <f>IF(OR(O151="",O151=0),"",N(R151)/O151)</f>
        <v>0</v>
      </c>
      <c r="AE151" s="24">
        <f>IF(OR(O151="",O151=0),"",N(U151)/O151)</f>
        <v>0</v>
      </c>
      <c r="AF151" s="24">
        <f>IF(OR(U151="",U151=0),"",N(W151)/U151)</f>
        <v>0</v>
      </c>
      <c r="AG151" s="25">
        <f>IF(OR(O151="",O151=0),"",N(X151)/(O151/1000))</f>
        <v>0</v>
      </c>
      <c r="AH151" s="24">
        <f>IF(O151="","",IF(Y151="",TargetEngagement,Y151))</f>
        <v>0</v>
      </c>
      <c r="AI151" s="24">
        <f>IF(OR(AA151="",AH151=""),"",AA151-AH151)</f>
        <v>0</v>
      </c>
      <c r="AJ151" s="31">
        <f>IF(AA151="","",AA151+ROW()/1000000)</f>
        <v>0</v>
      </c>
      <c r="AK151" s="23">
        <f>IF(AA151="","",RANK(AJ151,Performance!$AJ$5:$AJ$404))</f>
        <v>0</v>
      </c>
      <c r="AL151" s="29">
        <f>IF(AA151="","",IF(AA151&gt;=AH151*1.5,"Top performer",IF(AA151&gt;=AH151,"Above target",IF(AA151&gt;=AH151*0.6,"Below target","Weak - review it"))))</f>
        <v>0</v>
      </c>
      <c r="AM151" s="29">
        <f>IF(B151="","",IF(COUNTIF(Performance!$B$5:$B$404,B151)&gt;1,"Duplicate","OK"))</f>
        <v>0</v>
      </c>
      <c r="AN151" s="29">
        <f>IF(B151="","",IF(C151="Not found","Check - content ID not on the calendar",IF(O151="","Add - no numbers entered yet",IF(AM151="Duplicate","Duplicate - this post is entered twice",IF(AL151="Top performer","Repurpose this one","OK")))))</f>
        <v>0</v>
      </c>
    </row>
    <row r="152" spans="1:40">
      <c r="A152" s="41">
        <f>IF(B152="","","PF-"&amp;TEXT(ROW()-4,"0000"))</f>
        <v>0</v>
      </c>
      <c r="C152" s="17">
        <f>IF(B152="","",IFERROR(INDEX('Content Calendar'!$H$5:$H$604,MATCH(B152,'Content Calendar'!$A$5:$A$604,0)),"Not found"))</f>
        <v>0</v>
      </c>
      <c r="D152" s="16">
        <f>IF(B152="","",IFERROR(INDEX('Content Calendar'!$B$5:$B$604,MATCH(B152,'Content Calendar'!$A$5:$A$604,0)),"Not found"))</f>
        <v>0</v>
      </c>
      <c r="E152" s="17">
        <f>IF(B152="","",IFERROR(INDEX('Content Calendar'!$D$5:$D$604,MATCH(B152,'Content Calendar'!$A$5:$A$604,0)),"Not found"))</f>
        <v>0</v>
      </c>
      <c r="F152" s="17">
        <f>IF(B152="","",IFERROR(INDEX('Content Calendar'!$G$5:$G$604,MATCH(B152,'Content Calendar'!$A$5:$A$604,0)),"Not found"))</f>
        <v>0</v>
      </c>
      <c r="G152" s="17">
        <f>IF(B152="","",IFERROR(INDEX('Content Calendar'!$K$5:$K$604,MATCH(B152,'Content Calendar'!$A$5:$A$604,0)),"Not found"))</f>
        <v>0</v>
      </c>
      <c r="H152" s="17">
        <f>IF(B152="","",IFERROR(INDEX('Content Calendar'!$J$5:$J$604,MATCH(B152,'Content Calendar'!$A$5:$A$604,0)),"Not found"))</f>
        <v>0</v>
      </c>
      <c r="I152" s="17">
        <f>IF(B152="","",IFERROR(INDEX('Content Calendar'!$L$5:$L$604,MATCH(B152,'Content Calendar'!$A$5:$A$604,0)),"Not found"))</f>
        <v>0</v>
      </c>
      <c r="J152" s="17">
        <f>IF(B152="","",IFERROR(INDEX('Content Calendar'!$P$5:$P$604,MATCH(B152,'Content Calendar'!$A$5:$A$604,0)),"Not found"))</f>
        <v>0</v>
      </c>
      <c r="K152" s="17">
        <f>IF(B152="","",IFERROR(INDEX('Content Calendar'!$O$5:$O$604,MATCH(B152,'Content Calendar'!$A$5:$A$604,0)),"Not found"))</f>
        <v>0</v>
      </c>
      <c r="L152" s="17">
        <f>IF(B152="","",IFERROR(INDEX('Content Calendar'!$N$5:$N$604,MATCH(B152,'Content Calendar'!$A$5:$A$604,0)),"Not found"))</f>
        <v>0</v>
      </c>
      <c r="M152" s="17">
        <f>IF(B152="","",IFERROR(INDEX('Content Calendar'!$C$5:$C$604,MATCH(B152,'Content Calendar'!$A$5:$A$604,0)),"Not found"))</f>
        <v>0</v>
      </c>
      <c r="N152" s="17">
        <f>IF(B152="","",IFERROR(INDEX('Content Calendar'!$F$5:$F$604,MATCH(B152,'Content Calendar'!$A$5:$A$604,0)),"Not found"))</f>
        <v>0</v>
      </c>
      <c r="Z152" s="23">
        <f>IF(O152="","",N(Q152)+N(R152)+N(S152)+N(T152))</f>
        <v>0</v>
      </c>
      <c r="AA152" s="24">
        <f>IF(OR(O152="",O152=0),"",Z152/O152)</f>
        <v>0</v>
      </c>
      <c r="AB152" s="24">
        <f>IF(OR(O152="",O152=0),"",N(T152)/O152)</f>
        <v>0</v>
      </c>
      <c r="AC152" s="24">
        <f>IF(OR(O152="",O152=0),"",N(S152)/O152)</f>
        <v>0</v>
      </c>
      <c r="AD152" s="24">
        <f>IF(OR(O152="",O152=0),"",N(R152)/O152)</f>
        <v>0</v>
      </c>
      <c r="AE152" s="24">
        <f>IF(OR(O152="",O152=0),"",N(U152)/O152)</f>
        <v>0</v>
      </c>
      <c r="AF152" s="24">
        <f>IF(OR(U152="",U152=0),"",N(W152)/U152)</f>
        <v>0</v>
      </c>
      <c r="AG152" s="25">
        <f>IF(OR(O152="",O152=0),"",N(X152)/(O152/1000))</f>
        <v>0</v>
      </c>
      <c r="AH152" s="24">
        <f>IF(O152="","",IF(Y152="",TargetEngagement,Y152))</f>
        <v>0</v>
      </c>
      <c r="AI152" s="24">
        <f>IF(OR(AA152="",AH152=""),"",AA152-AH152)</f>
        <v>0</v>
      </c>
      <c r="AJ152" s="31">
        <f>IF(AA152="","",AA152+ROW()/1000000)</f>
        <v>0</v>
      </c>
      <c r="AK152" s="23">
        <f>IF(AA152="","",RANK(AJ152,Performance!$AJ$5:$AJ$404))</f>
        <v>0</v>
      </c>
      <c r="AL152" s="29">
        <f>IF(AA152="","",IF(AA152&gt;=AH152*1.5,"Top performer",IF(AA152&gt;=AH152,"Above target",IF(AA152&gt;=AH152*0.6,"Below target","Weak - review it"))))</f>
        <v>0</v>
      </c>
      <c r="AM152" s="29">
        <f>IF(B152="","",IF(COUNTIF(Performance!$B$5:$B$404,B152)&gt;1,"Duplicate","OK"))</f>
        <v>0</v>
      </c>
      <c r="AN152" s="29">
        <f>IF(B152="","",IF(C152="Not found","Check - content ID not on the calendar",IF(O152="","Add - no numbers entered yet",IF(AM152="Duplicate","Duplicate - this post is entered twice",IF(AL152="Top performer","Repurpose this one","OK")))))</f>
        <v>0</v>
      </c>
    </row>
    <row r="153" spans="1:40">
      <c r="A153" s="41">
        <f>IF(B153="","","PF-"&amp;TEXT(ROW()-4,"0000"))</f>
        <v>0</v>
      </c>
      <c r="C153" s="17">
        <f>IF(B153="","",IFERROR(INDEX('Content Calendar'!$H$5:$H$604,MATCH(B153,'Content Calendar'!$A$5:$A$604,0)),"Not found"))</f>
        <v>0</v>
      </c>
      <c r="D153" s="16">
        <f>IF(B153="","",IFERROR(INDEX('Content Calendar'!$B$5:$B$604,MATCH(B153,'Content Calendar'!$A$5:$A$604,0)),"Not found"))</f>
        <v>0</v>
      </c>
      <c r="E153" s="17">
        <f>IF(B153="","",IFERROR(INDEX('Content Calendar'!$D$5:$D$604,MATCH(B153,'Content Calendar'!$A$5:$A$604,0)),"Not found"))</f>
        <v>0</v>
      </c>
      <c r="F153" s="17">
        <f>IF(B153="","",IFERROR(INDEX('Content Calendar'!$G$5:$G$604,MATCH(B153,'Content Calendar'!$A$5:$A$604,0)),"Not found"))</f>
        <v>0</v>
      </c>
      <c r="G153" s="17">
        <f>IF(B153="","",IFERROR(INDEX('Content Calendar'!$K$5:$K$604,MATCH(B153,'Content Calendar'!$A$5:$A$604,0)),"Not found"))</f>
        <v>0</v>
      </c>
      <c r="H153" s="17">
        <f>IF(B153="","",IFERROR(INDEX('Content Calendar'!$J$5:$J$604,MATCH(B153,'Content Calendar'!$A$5:$A$604,0)),"Not found"))</f>
        <v>0</v>
      </c>
      <c r="I153" s="17">
        <f>IF(B153="","",IFERROR(INDEX('Content Calendar'!$L$5:$L$604,MATCH(B153,'Content Calendar'!$A$5:$A$604,0)),"Not found"))</f>
        <v>0</v>
      </c>
      <c r="J153" s="17">
        <f>IF(B153="","",IFERROR(INDEX('Content Calendar'!$P$5:$P$604,MATCH(B153,'Content Calendar'!$A$5:$A$604,0)),"Not found"))</f>
        <v>0</v>
      </c>
      <c r="K153" s="17">
        <f>IF(B153="","",IFERROR(INDEX('Content Calendar'!$O$5:$O$604,MATCH(B153,'Content Calendar'!$A$5:$A$604,0)),"Not found"))</f>
        <v>0</v>
      </c>
      <c r="L153" s="17">
        <f>IF(B153="","",IFERROR(INDEX('Content Calendar'!$N$5:$N$604,MATCH(B153,'Content Calendar'!$A$5:$A$604,0)),"Not found"))</f>
        <v>0</v>
      </c>
      <c r="M153" s="17">
        <f>IF(B153="","",IFERROR(INDEX('Content Calendar'!$C$5:$C$604,MATCH(B153,'Content Calendar'!$A$5:$A$604,0)),"Not found"))</f>
        <v>0</v>
      </c>
      <c r="N153" s="17">
        <f>IF(B153="","",IFERROR(INDEX('Content Calendar'!$F$5:$F$604,MATCH(B153,'Content Calendar'!$A$5:$A$604,0)),"Not found"))</f>
        <v>0</v>
      </c>
      <c r="Z153" s="23">
        <f>IF(O153="","",N(Q153)+N(R153)+N(S153)+N(T153))</f>
        <v>0</v>
      </c>
      <c r="AA153" s="24">
        <f>IF(OR(O153="",O153=0),"",Z153/O153)</f>
        <v>0</v>
      </c>
      <c r="AB153" s="24">
        <f>IF(OR(O153="",O153=0),"",N(T153)/O153)</f>
        <v>0</v>
      </c>
      <c r="AC153" s="24">
        <f>IF(OR(O153="",O153=0),"",N(S153)/O153)</f>
        <v>0</v>
      </c>
      <c r="AD153" s="24">
        <f>IF(OR(O153="",O153=0),"",N(R153)/O153)</f>
        <v>0</v>
      </c>
      <c r="AE153" s="24">
        <f>IF(OR(O153="",O153=0),"",N(U153)/O153)</f>
        <v>0</v>
      </c>
      <c r="AF153" s="24">
        <f>IF(OR(U153="",U153=0),"",N(W153)/U153)</f>
        <v>0</v>
      </c>
      <c r="AG153" s="25">
        <f>IF(OR(O153="",O153=0),"",N(X153)/(O153/1000))</f>
        <v>0</v>
      </c>
      <c r="AH153" s="24">
        <f>IF(O153="","",IF(Y153="",TargetEngagement,Y153))</f>
        <v>0</v>
      </c>
      <c r="AI153" s="24">
        <f>IF(OR(AA153="",AH153=""),"",AA153-AH153)</f>
        <v>0</v>
      </c>
      <c r="AJ153" s="31">
        <f>IF(AA153="","",AA153+ROW()/1000000)</f>
        <v>0</v>
      </c>
      <c r="AK153" s="23">
        <f>IF(AA153="","",RANK(AJ153,Performance!$AJ$5:$AJ$404))</f>
        <v>0</v>
      </c>
      <c r="AL153" s="29">
        <f>IF(AA153="","",IF(AA153&gt;=AH153*1.5,"Top performer",IF(AA153&gt;=AH153,"Above target",IF(AA153&gt;=AH153*0.6,"Below target","Weak - review it"))))</f>
        <v>0</v>
      </c>
      <c r="AM153" s="29">
        <f>IF(B153="","",IF(COUNTIF(Performance!$B$5:$B$404,B153)&gt;1,"Duplicate","OK"))</f>
        <v>0</v>
      </c>
      <c r="AN153" s="29">
        <f>IF(B153="","",IF(C153="Not found","Check - content ID not on the calendar",IF(O153="","Add - no numbers entered yet",IF(AM153="Duplicate","Duplicate - this post is entered twice",IF(AL153="Top performer","Repurpose this one","OK")))))</f>
        <v>0</v>
      </c>
    </row>
    <row r="154" spans="1:40">
      <c r="A154" s="41">
        <f>IF(B154="","","PF-"&amp;TEXT(ROW()-4,"0000"))</f>
        <v>0</v>
      </c>
      <c r="C154" s="17">
        <f>IF(B154="","",IFERROR(INDEX('Content Calendar'!$H$5:$H$604,MATCH(B154,'Content Calendar'!$A$5:$A$604,0)),"Not found"))</f>
        <v>0</v>
      </c>
      <c r="D154" s="16">
        <f>IF(B154="","",IFERROR(INDEX('Content Calendar'!$B$5:$B$604,MATCH(B154,'Content Calendar'!$A$5:$A$604,0)),"Not found"))</f>
        <v>0</v>
      </c>
      <c r="E154" s="17">
        <f>IF(B154="","",IFERROR(INDEX('Content Calendar'!$D$5:$D$604,MATCH(B154,'Content Calendar'!$A$5:$A$604,0)),"Not found"))</f>
        <v>0</v>
      </c>
      <c r="F154" s="17">
        <f>IF(B154="","",IFERROR(INDEX('Content Calendar'!$G$5:$G$604,MATCH(B154,'Content Calendar'!$A$5:$A$604,0)),"Not found"))</f>
        <v>0</v>
      </c>
      <c r="G154" s="17">
        <f>IF(B154="","",IFERROR(INDEX('Content Calendar'!$K$5:$K$604,MATCH(B154,'Content Calendar'!$A$5:$A$604,0)),"Not found"))</f>
        <v>0</v>
      </c>
      <c r="H154" s="17">
        <f>IF(B154="","",IFERROR(INDEX('Content Calendar'!$J$5:$J$604,MATCH(B154,'Content Calendar'!$A$5:$A$604,0)),"Not found"))</f>
        <v>0</v>
      </c>
      <c r="I154" s="17">
        <f>IF(B154="","",IFERROR(INDEX('Content Calendar'!$L$5:$L$604,MATCH(B154,'Content Calendar'!$A$5:$A$604,0)),"Not found"))</f>
        <v>0</v>
      </c>
      <c r="J154" s="17">
        <f>IF(B154="","",IFERROR(INDEX('Content Calendar'!$P$5:$P$604,MATCH(B154,'Content Calendar'!$A$5:$A$604,0)),"Not found"))</f>
        <v>0</v>
      </c>
      <c r="K154" s="17">
        <f>IF(B154="","",IFERROR(INDEX('Content Calendar'!$O$5:$O$604,MATCH(B154,'Content Calendar'!$A$5:$A$604,0)),"Not found"))</f>
        <v>0</v>
      </c>
      <c r="L154" s="17">
        <f>IF(B154="","",IFERROR(INDEX('Content Calendar'!$N$5:$N$604,MATCH(B154,'Content Calendar'!$A$5:$A$604,0)),"Not found"))</f>
        <v>0</v>
      </c>
      <c r="M154" s="17">
        <f>IF(B154="","",IFERROR(INDEX('Content Calendar'!$C$5:$C$604,MATCH(B154,'Content Calendar'!$A$5:$A$604,0)),"Not found"))</f>
        <v>0</v>
      </c>
      <c r="N154" s="17">
        <f>IF(B154="","",IFERROR(INDEX('Content Calendar'!$F$5:$F$604,MATCH(B154,'Content Calendar'!$A$5:$A$604,0)),"Not found"))</f>
        <v>0</v>
      </c>
      <c r="Z154" s="23">
        <f>IF(O154="","",N(Q154)+N(R154)+N(S154)+N(T154))</f>
        <v>0</v>
      </c>
      <c r="AA154" s="24">
        <f>IF(OR(O154="",O154=0),"",Z154/O154)</f>
        <v>0</v>
      </c>
      <c r="AB154" s="24">
        <f>IF(OR(O154="",O154=0),"",N(T154)/O154)</f>
        <v>0</v>
      </c>
      <c r="AC154" s="24">
        <f>IF(OR(O154="",O154=0),"",N(S154)/O154)</f>
        <v>0</v>
      </c>
      <c r="AD154" s="24">
        <f>IF(OR(O154="",O154=0),"",N(R154)/O154)</f>
        <v>0</v>
      </c>
      <c r="AE154" s="24">
        <f>IF(OR(O154="",O154=0),"",N(U154)/O154)</f>
        <v>0</v>
      </c>
      <c r="AF154" s="24">
        <f>IF(OR(U154="",U154=0),"",N(W154)/U154)</f>
        <v>0</v>
      </c>
      <c r="AG154" s="25">
        <f>IF(OR(O154="",O154=0),"",N(X154)/(O154/1000))</f>
        <v>0</v>
      </c>
      <c r="AH154" s="24">
        <f>IF(O154="","",IF(Y154="",TargetEngagement,Y154))</f>
        <v>0</v>
      </c>
      <c r="AI154" s="24">
        <f>IF(OR(AA154="",AH154=""),"",AA154-AH154)</f>
        <v>0</v>
      </c>
      <c r="AJ154" s="31">
        <f>IF(AA154="","",AA154+ROW()/1000000)</f>
        <v>0</v>
      </c>
      <c r="AK154" s="23">
        <f>IF(AA154="","",RANK(AJ154,Performance!$AJ$5:$AJ$404))</f>
        <v>0</v>
      </c>
      <c r="AL154" s="29">
        <f>IF(AA154="","",IF(AA154&gt;=AH154*1.5,"Top performer",IF(AA154&gt;=AH154,"Above target",IF(AA154&gt;=AH154*0.6,"Below target","Weak - review it"))))</f>
        <v>0</v>
      </c>
      <c r="AM154" s="29">
        <f>IF(B154="","",IF(COUNTIF(Performance!$B$5:$B$404,B154)&gt;1,"Duplicate","OK"))</f>
        <v>0</v>
      </c>
      <c r="AN154" s="29">
        <f>IF(B154="","",IF(C154="Not found","Check - content ID not on the calendar",IF(O154="","Add - no numbers entered yet",IF(AM154="Duplicate","Duplicate - this post is entered twice",IF(AL154="Top performer","Repurpose this one","OK")))))</f>
        <v>0</v>
      </c>
    </row>
    <row r="155" spans="1:40">
      <c r="A155" s="41">
        <f>IF(B155="","","PF-"&amp;TEXT(ROW()-4,"0000"))</f>
        <v>0</v>
      </c>
      <c r="C155" s="17">
        <f>IF(B155="","",IFERROR(INDEX('Content Calendar'!$H$5:$H$604,MATCH(B155,'Content Calendar'!$A$5:$A$604,0)),"Not found"))</f>
        <v>0</v>
      </c>
      <c r="D155" s="16">
        <f>IF(B155="","",IFERROR(INDEX('Content Calendar'!$B$5:$B$604,MATCH(B155,'Content Calendar'!$A$5:$A$604,0)),"Not found"))</f>
        <v>0</v>
      </c>
      <c r="E155" s="17">
        <f>IF(B155="","",IFERROR(INDEX('Content Calendar'!$D$5:$D$604,MATCH(B155,'Content Calendar'!$A$5:$A$604,0)),"Not found"))</f>
        <v>0</v>
      </c>
      <c r="F155" s="17">
        <f>IF(B155="","",IFERROR(INDEX('Content Calendar'!$G$5:$G$604,MATCH(B155,'Content Calendar'!$A$5:$A$604,0)),"Not found"))</f>
        <v>0</v>
      </c>
      <c r="G155" s="17">
        <f>IF(B155="","",IFERROR(INDEX('Content Calendar'!$K$5:$K$604,MATCH(B155,'Content Calendar'!$A$5:$A$604,0)),"Not found"))</f>
        <v>0</v>
      </c>
      <c r="H155" s="17">
        <f>IF(B155="","",IFERROR(INDEX('Content Calendar'!$J$5:$J$604,MATCH(B155,'Content Calendar'!$A$5:$A$604,0)),"Not found"))</f>
        <v>0</v>
      </c>
      <c r="I155" s="17">
        <f>IF(B155="","",IFERROR(INDEX('Content Calendar'!$L$5:$L$604,MATCH(B155,'Content Calendar'!$A$5:$A$604,0)),"Not found"))</f>
        <v>0</v>
      </c>
      <c r="J155" s="17">
        <f>IF(B155="","",IFERROR(INDEX('Content Calendar'!$P$5:$P$604,MATCH(B155,'Content Calendar'!$A$5:$A$604,0)),"Not found"))</f>
        <v>0</v>
      </c>
      <c r="K155" s="17">
        <f>IF(B155="","",IFERROR(INDEX('Content Calendar'!$O$5:$O$604,MATCH(B155,'Content Calendar'!$A$5:$A$604,0)),"Not found"))</f>
        <v>0</v>
      </c>
      <c r="L155" s="17">
        <f>IF(B155="","",IFERROR(INDEX('Content Calendar'!$N$5:$N$604,MATCH(B155,'Content Calendar'!$A$5:$A$604,0)),"Not found"))</f>
        <v>0</v>
      </c>
      <c r="M155" s="17">
        <f>IF(B155="","",IFERROR(INDEX('Content Calendar'!$C$5:$C$604,MATCH(B155,'Content Calendar'!$A$5:$A$604,0)),"Not found"))</f>
        <v>0</v>
      </c>
      <c r="N155" s="17">
        <f>IF(B155="","",IFERROR(INDEX('Content Calendar'!$F$5:$F$604,MATCH(B155,'Content Calendar'!$A$5:$A$604,0)),"Not found"))</f>
        <v>0</v>
      </c>
      <c r="Z155" s="23">
        <f>IF(O155="","",N(Q155)+N(R155)+N(S155)+N(T155))</f>
        <v>0</v>
      </c>
      <c r="AA155" s="24">
        <f>IF(OR(O155="",O155=0),"",Z155/O155)</f>
        <v>0</v>
      </c>
      <c r="AB155" s="24">
        <f>IF(OR(O155="",O155=0),"",N(T155)/O155)</f>
        <v>0</v>
      </c>
      <c r="AC155" s="24">
        <f>IF(OR(O155="",O155=0),"",N(S155)/O155)</f>
        <v>0</v>
      </c>
      <c r="AD155" s="24">
        <f>IF(OR(O155="",O155=0),"",N(R155)/O155)</f>
        <v>0</v>
      </c>
      <c r="AE155" s="24">
        <f>IF(OR(O155="",O155=0),"",N(U155)/O155)</f>
        <v>0</v>
      </c>
      <c r="AF155" s="24">
        <f>IF(OR(U155="",U155=0),"",N(W155)/U155)</f>
        <v>0</v>
      </c>
      <c r="AG155" s="25">
        <f>IF(OR(O155="",O155=0),"",N(X155)/(O155/1000))</f>
        <v>0</v>
      </c>
      <c r="AH155" s="24">
        <f>IF(O155="","",IF(Y155="",TargetEngagement,Y155))</f>
        <v>0</v>
      </c>
      <c r="AI155" s="24">
        <f>IF(OR(AA155="",AH155=""),"",AA155-AH155)</f>
        <v>0</v>
      </c>
      <c r="AJ155" s="31">
        <f>IF(AA155="","",AA155+ROW()/1000000)</f>
        <v>0</v>
      </c>
      <c r="AK155" s="23">
        <f>IF(AA155="","",RANK(AJ155,Performance!$AJ$5:$AJ$404))</f>
        <v>0</v>
      </c>
      <c r="AL155" s="29">
        <f>IF(AA155="","",IF(AA155&gt;=AH155*1.5,"Top performer",IF(AA155&gt;=AH155,"Above target",IF(AA155&gt;=AH155*0.6,"Below target","Weak - review it"))))</f>
        <v>0</v>
      </c>
      <c r="AM155" s="29">
        <f>IF(B155="","",IF(COUNTIF(Performance!$B$5:$B$404,B155)&gt;1,"Duplicate","OK"))</f>
        <v>0</v>
      </c>
      <c r="AN155" s="29">
        <f>IF(B155="","",IF(C155="Not found","Check - content ID not on the calendar",IF(O155="","Add - no numbers entered yet",IF(AM155="Duplicate","Duplicate - this post is entered twice",IF(AL155="Top performer","Repurpose this one","OK")))))</f>
        <v>0</v>
      </c>
    </row>
    <row r="156" spans="1:40">
      <c r="A156" s="41">
        <f>IF(B156="","","PF-"&amp;TEXT(ROW()-4,"0000"))</f>
        <v>0</v>
      </c>
      <c r="C156" s="17">
        <f>IF(B156="","",IFERROR(INDEX('Content Calendar'!$H$5:$H$604,MATCH(B156,'Content Calendar'!$A$5:$A$604,0)),"Not found"))</f>
        <v>0</v>
      </c>
      <c r="D156" s="16">
        <f>IF(B156="","",IFERROR(INDEX('Content Calendar'!$B$5:$B$604,MATCH(B156,'Content Calendar'!$A$5:$A$604,0)),"Not found"))</f>
        <v>0</v>
      </c>
      <c r="E156" s="17">
        <f>IF(B156="","",IFERROR(INDEX('Content Calendar'!$D$5:$D$604,MATCH(B156,'Content Calendar'!$A$5:$A$604,0)),"Not found"))</f>
        <v>0</v>
      </c>
      <c r="F156" s="17">
        <f>IF(B156="","",IFERROR(INDEX('Content Calendar'!$G$5:$G$604,MATCH(B156,'Content Calendar'!$A$5:$A$604,0)),"Not found"))</f>
        <v>0</v>
      </c>
      <c r="G156" s="17">
        <f>IF(B156="","",IFERROR(INDEX('Content Calendar'!$K$5:$K$604,MATCH(B156,'Content Calendar'!$A$5:$A$604,0)),"Not found"))</f>
        <v>0</v>
      </c>
      <c r="H156" s="17">
        <f>IF(B156="","",IFERROR(INDEX('Content Calendar'!$J$5:$J$604,MATCH(B156,'Content Calendar'!$A$5:$A$604,0)),"Not found"))</f>
        <v>0</v>
      </c>
      <c r="I156" s="17">
        <f>IF(B156="","",IFERROR(INDEX('Content Calendar'!$L$5:$L$604,MATCH(B156,'Content Calendar'!$A$5:$A$604,0)),"Not found"))</f>
        <v>0</v>
      </c>
      <c r="J156" s="17">
        <f>IF(B156="","",IFERROR(INDEX('Content Calendar'!$P$5:$P$604,MATCH(B156,'Content Calendar'!$A$5:$A$604,0)),"Not found"))</f>
        <v>0</v>
      </c>
      <c r="K156" s="17">
        <f>IF(B156="","",IFERROR(INDEX('Content Calendar'!$O$5:$O$604,MATCH(B156,'Content Calendar'!$A$5:$A$604,0)),"Not found"))</f>
        <v>0</v>
      </c>
      <c r="L156" s="17">
        <f>IF(B156="","",IFERROR(INDEX('Content Calendar'!$N$5:$N$604,MATCH(B156,'Content Calendar'!$A$5:$A$604,0)),"Not found"))</f>
        <v>0</v>
      </c>
      <c r="M156" s="17">
        <f>IF(B156="","",IFERROR(INDEX('Content Calendar'!$C$5:$C$604,MATCH(B156,'Content Calendar'!$A$5:$A$604,0)),"Not found"))</f>
        <v>0</v>
      </c>
      <c r="N156" s="17">
        <f>IF(B156="","",IFERROR(INDEX('Content Calendar'!$F$5:$F$604,MATCH(B156,'Content Calendar'!$A$5:$A$604,0)),"Not found"))</f>
        <v>0</v>
      </c>
      <c r="Z156" s="23">
        <f>IF(O156="","",N(Q156)+N(R156)+N(S156)+N(T156))</f>
        <v>0</v>
      </c>
      <c r="AA156" s="24">
        <f>IF(OR(O156="",O156=0),"",Z156/O156)</f>
        <v>0</v>
      </c>
      <c r="AB156" s="24">
        <f>IF(OR(O156="",O156=0),"",N(T156)/O156)</f>
        <v>0</v>
      </c>
      <c r="AC156" s="24">
        <f>IF(OR(O156="",O156=0),"",N(S156)/O156)</f>
        <v>0</v>
      </c>
      <c r="AD156" s="24">
        <f>IF(OR(O156="",O156=0),"",N(R156)/O156)</f>
        <v>0</v>
      </c>
      <c r="AE156" s="24">
        <f>IF(OR(O156="",O156=0),"",N(U156)/O156)</f>
        <v>0</v>
      </c>
      <c r="AF156" s="24">
        <f>IF(OR(U156="",U156=0),"",N(W156)/U156)</f>
        <v>0</v>
      </c>
      <c r="AG156" s="25">
        <f>IF(OR(O156="",O156=0),"",N(X156)/(O156/1000))</f>
        <v>0</v>
      </c>
      <c r="AH156" s="24">
        <f>IF(O156="","",IF(Y156="",TargetEngagement,Y156))</f>
        <v>0</v>
      </c>
      <c r="AI156" s="24">
        <f>IF(OR(AA156="",AH156=""),"",AA156-AH156)</f>
        <v>0</v>
      </c>
      <c r="AJ156" s="31">
        <f>IF(AA156="","",AA156+ROW()/1000000)</f>
        <v>0</v>
      </c>
      <c r="AK156" s="23">
        <f>IF(AA156="","",RANK(AJ156,Performance!$AJ$5:$AJ$404))</f>
        <v>0</v>
      </c>
      <c r="AL156" s="29">
        <f>IF(AA156="","",IF(AA156&gt;=AH156*1.5,"Top performer",IF(AA156&gt;=AH156,"Above target",IF(AA156&gt;=AH156*0.6,"Below target","Weak - review it"))))</f>
        <v>0</v>
      </c>
      <c r="AM156" s="29">
        <f>IF(B156="","",IF(COUNTIF(Performance!$B$5:$B$404,B156)&gt;1,"Duplicate","OK"))</f>
        <v>0</v>
      </c>
      <c r="AN156" s="29">
        <f>IF(B156="","",IF(C156="Not found","Check - content ID not on the calendar",IF(O156="","Add - no numbers entered yet",IF(AM156="Duplicate","Duplicate - this post is entered twice",IF(AL156="Top performer","Repurpose this one","OK")))))</f>
        <v>0</v>
      </c>
    </row>
    <row r="157" spans="1:40">
      <c r="A157" s="41">
        <f>IF(B157="","","PF-"&amp;TEXT(ROW()-4,"0000"))</f>
        <v>0</v>
      </c>
      <c r="C157" s="17">
        <f>IF(B157="","",IFERROR(INDEX('Content Calendar'!$H$5:$H$604,MATCH(B157,'Content Calendar'!$A$5:$A$604,0)),"Not found"))</f>
        <v>0</v>
      </c>
      <c r="D157" s="16">
        <f>IF(B157="","",IFERROR(INDEX('Content Calendar'!$B$5:$B$604,MATCH(B157,'Content Calendar'!$A$5:$A$604,0)),"Not found"))</f>
        <v>0</v>
      </c>
      <c r="E157" s="17">
        <f>IF(B157="","",IFERROR(INDEX('Content Calendar'!$D$5:$D$604,MATCH(B157,'Content Calendar'!$A$5:$A$604,0)),"Not found"))</f>
        <v>0</v>
      </c>
      <c r="F157" s="17">
        <f>IF(B157="","",IFERROR(INDEX('Content Calendar'!$G$5:$G$604,MATCH(B157,'Content Calendar'!$A$5:$A$604,0)),"Not found"))</f>
        <v>0</v>
      </c>
      <c r="G157" s="17">
        <f>IF(B157="","",IFERROR(INDEX('Content Calendar'!$K$5:$K$604,MATCH(B157,'Content Calendar'!$A$5:$A$604,0)),"Not found"))</f>
        <v>0</v>
      </c>
      <c r="H157" s="17">
        <f>IF(B157="","",IFERROR(INDEX('Content Calendar'!$J$5:$J$604,MATCH(B157,'Content Calendar'!$A$5:$A$604,0)),"Not found"))</f>
        <v>0</v>
      </c>
      <c r="I157" s="17">
        <f>IF(B157="","",IFERROR(INDEX('Content Calendar'!$L$5:$L$604,MATCH(B157,'Content Calendar'!$A$5:$A$604,0)),"Not found"))</f>
        <v>0</v>
      </c>
      <c r="J157" s="17">
        <f>IF(B157="","",IFERROR(INDEX('Content Calendar'!$P$5:$P$604,MATCH(B157,'Content Calendar'!$A$5:$A$604,0)),"Not found"))</f>
        <v>0</v>
      </c>
      <c r="K157" s="17">
        <f>IF(B157="","",IFERROR(INDEX('Content Calendar'!$O$5:$O$604,MATCH(B157,'Content Calendar'!$A$5:$A$604,0)),"Not found"))</f>
        <v>0</v>
      </c>
      <c r="L157" s="17">
        <f>IF(B157="","",IFERROR(INDEX('Content Calendar'!$N$5:$N$604,MATCH(B157,'Content Calendar'!$A$5:$A$604,0)),"Not found"))</f>
        <v>0</v>
      </c>
      <c r="M157" s="17">
        <f>IF(B157="","",IFERROR(INDEX('Content Calendar'!$C$5:$C$604,MATCH(B157,'Content Calendar'!$A$5:$A$604,0)),"Not found"))</f>
        <v>0</v>
      </c>
      <c r="N157" s="17">
        <f>IF(B157="","",IFERROR(INDEX('Content Calendar'!$F$5:$F$604,MATCH(B157,'Content Calendar'!$A$5:$A$604,0)),"Not found"))</f>
        <v>0</v>
      </c>
      <c r="Z157" s="23">
        <f>IF(O157="","",N(Q157)+N(R157)+N(S157)+N(T157))</f>
        <v>0</v>
      </c>
      <c r="AA157" s="24">
        <f>IF(OR(O157="",O157=0),"",Z157/O157)</f>
        <v>0</v>
      </c>
      <c r="AB157" s="24">
        <f>IF(OR(O157="",O157=0),"",N(T157)/O157)</f>
        <v>0</v>
      </c>
      <c r="AC157" s="24">
        <f>IF(OR(O157="",O157=0),"",N(S157)/O157)</f>
        <v>0</v>
      </c>
      <c r="AD157" s="24">
        <f>IF(OR(O157="",O157=0),"",N(R157)/O157)</f>
        <v>0</v>
      </c>
      <c r="AE157" s="24">
        <f>IF(OR(O157="",O157=0),"",N(U157)/O157)</f>
        <v>0</v>
      </c>
      <c r="AF157" s="24">
        <f>IF(OR(U157="",U157=0),"",N(W157)/U157)</f>
        <v>0</v>
      </c>
      <c r="AG157" s="25">
        <f>IF(OR(O157="",O157=0),"",N(X157)/(O157/1000))</f>
        <v>0</v>
      </c>
      <c r="AH157" s="24">
        <f>IF(O157="","",IF(Y157="",TargetEngagement,Y157))</f>
        <v>0</v>
      </c>
      <c r="AI157" s="24">
        <f>IF(OR(AA157="",AH157=""),"",AA157-AH157)</f>
        <v>0</v>
      </c>
      <c r="AJ157" s="31">
        <f>IF(AA157="","",AA157+ROW()/1000000)</f>
        <v>0</v>
      </c>
      <c r="AK157" s="23">
        <f>IF(AA157="","",RANK(AJ157,Performance!$AJ$5:$AJ$404))</f>
        <v>0</v>
      </c>
      <c r="AL157" s="29">
        <f>IF(AA157="","",IF(AA157&gt;=AH157*1.5,"Top performer",IF(AA157&gt;=AH157,"Above target",IF(AA157&gt;=AH157*0.6,"Below target","Weak - review it"))))</f>
        <v>0</v>
      </c>
      <c r="AM157" s="29">
        <f>IF(B157="","",IF(COUNTIF(Performance!$B$5:$B$404,B157)&gt;1,"Duplicate","OK"))</f>
        <v>0</v>
      </c>
      <c r="AN157" s="29">
        <f>IF(B157="","",IF(C157="Not found","Check - content ID not on the calendar",IF(O157="","Add - no numbers entered yet",IF(AM157="Duplicate","Duplicate - this post is entered twice",IF(AL157="Top performer","Repurpose this one","OK")))))</f>
        <v>0</v>
      </c>
    </row>
    <row r="158" spans="1:40">
      <c r="A158" s="41">
        <f>IF(B158="","","PF-"&amp;TEXT(ROW()-4,"0000"))</f>
        <v>0</v>
      </c>
      <c r="C158" s="17">
        <f>IF(B158="","",IFERROR(INDEX('Content Calendar'!$H$5:$H$604,MATCH(B158,'Content Calendar'!$A$5:$A$604,0)),"Not found"))</f>
        <v>0</v>
      </c>
      <c r="D158" s="16">
        <f>IF(B158="","",IFERROR(INDEX('Content Calendar'!$B$5:$B$604,MATCH(B158,'Content Calendar'!$A$5:$A$604,0)),"Not found"))</f>
        <v>0</v>
      </c>
      <c r="E158" s="17">
        <f>IF(B158="","",IFERROR(INDEX('Content Calendar'!$D$5:$D$604,MATCH(B158,'Content Calendar'!$A$5:$A$604,0)),"Not found"))</f>
        <v>0</v>
      </c>
      <c r="F158" s="17">
        <f>IF(B158="","",IFERROR(INDEX('Content Calendar'!$G$5:$G$604,MATCH(B158,'Content Calendar'!$A$5:$A$604,0)),"Not found"))</f>
        <v>0</v>
      </c>
      <c r="G158" s="17">
        <f>IF(B158="","",IFERROR(INDEX('Content Calendar'!$K$5:$K$604,MATCH(B158,'Content Calendar'!$A$5:$A$604,0)),"Not found"))</f>
        <v>0</v>
      </c>
      <c r="H158" s="17">
        <f>IF(B158="","",IFERROR(INDEX('Content Calendar'!$J$5:$J$604,MATCH(B158,'Content Calendar'!$A$5:$A$604,0)),"Not found"))</f>
        <v>0</v>
      </c>
      <c r="I158" s="17">
        <f>IF(B158="","",IFERROR(INDEX('Content Calendar'!$L$5:$L$604,MATCH(B158,'Content Calendar'!$A$5:$A$604,0)),"Not found"))</f>
        <v>0</v>
      </c>
      <c r="J158" s="17">
        <f>IF(B158="","",IFERROR(INDEX('Content Calendar'!$P$5:$P$604,MATCH(B158,'Content Calendar'!$A$5:$A$604,0)),"Not found"))</f>
        <v>0</v>
      </c>
      <c r="K158" s="17">
        <f>IF(B158="","",IFERROR(INDEX('Content Calendar'!$O$5:$O$604,MATCH(B158,'Content Calendar'!$A$5:$A$604,0)),"Not found"))</f>
        <v>0</v>
      </c>
      <c r="L158" s="17">
        <f>IF(B158="","",IFERROR(INDEX('Content Calendar'!$N$5:$N$604,MATCH(B158,'Content Calendar'!$A$5:$A$604,0)),"Not found"))</f>
        <v>0</v>
      </c>
      <c r="M158" s="17">
        <f>IF(B158="","",IFERROR(INDEX('Content Calendar'!$C$5:$C$604,MATCH(B158,'Content Calendar'!$A$5:$A$604,0)),"Not found"))</f>
        <v>0</v>
      </c>
      <c r="N158" s="17">
        <f>IF(B158="","",IFERROR(INDEX('Content Calendar'!$F$5:$F$604,MATCH(B158,'Content Calendar'!$A$5:$A$604,0)),"Not found"))</f>
        <v>0</v>
      </c>
      <c r="Z158" s="23">
        <f>IF(O158="","",N(Q158)+N(R158)+N(S158)+N(T158))</f>
        <v>0</v>
      </c>
      <c r="AA158" s="24">
        <f>IF(OR(O158="",O158=0),"",Z158/O158)</f>
        <v>0</v>
      </c>
      <c r="AB158" s="24">
        <f>IF(OR(O158="",O158=0),"",N(T158)/O158)</f>
        <v>0</v>
      </c>
      <c r="AC158" s="24">
        <f>IF(OR(O158="",O158=0),"",N(S158)/O158)</f>
        <v>0</v>
      </c>
      <c r="AD158" s="24">
        <f>IF(OR(O158="",O158=0),"",N(R158)/O158)</f>
        <v>0</v>
      </c>
      <c r="AE158" s="24">
        <f>IF(OR(O158="",O158=0),"",N(U158)/O158)</f>
        <v>0</v>
      </c>
      <c r="AF158" s="24">
        <f>IF(OR(U158="",U158=0),"",N(W158)/U158)</f>
        <v>0</v>
      </c>
      <c r="AG158" s="25">
        <f>IF(OR(O158="",O158=0),"",N(X158)/(O158/1000))</f>
        <v>0</v>
      </c>
      <c r="AH158" s="24">
        <f>IF(O158="","",IF(Y158="",TargetEngagement,Y158))</f>
        <v>0</v>
      </c>
      <c r="AI158" s="24">
        <f>IF(OR(AA158="",AH158=""),"",AA158-AH158)</f>
        <v>0</v>
      </c>
      <c r="AJ158" s="31">
        <f>IF(AA158="","",AA158+ROW()/1000000)</f>
        <v>0</v>
      </c>
      <c r="AK158" s="23">
        <f>IF(AA158="","",RANK(AJ158,Performance!$AJ$5:$AJ$404))</f>
        <v>0</v>
      </c>
      <c r="AL158" s="29">
        <f>IF(AA158="","",IF(AA158&gt;=AH158*1.5,"Top performer",IF(AA158&gt;=AH158,"Above target",IF(AA158&gt;=AH158*0.6,"Below target","Weak - review it"))))</f>
        <v>0</v>
      </c>
      <c r="AM158" s="29">
        <f>IF(B158="","",IF(COUNTIF(Performance!$B$5:$B$404,B158)&gt;1,"Duplicate","OK"))</f>
        <v>0</v>
      </c>
      <c r="AN158" s="29">
        <f>IF(B158="","",IF(C158="Not found","Check - content ID not on the calendar",IF(O158="","Add - no numbers entered yet",IF(AM158="Duplicate","Duplicate - this post is entered twice",IF(AL158="Top performer","Repurpose this one","OK")))))</f>
        <v>0</v>
      </c>
    </row>
    <row r="159" spans="1:40">
      <c r="A159" s="41">
        <f>IF(B159="","","PF-"&amp;TEXT(ROW()-4,"0000"))</f>
        <v>0</v>
      </c>
      <c r="C159" s="17">
        <f>IF(B159="","",IFERROR(INDEX('Content Calendar'!$H$5:$H$604,MATCH(B159,'Content Calendar'!$A$5:$A$604,0)),"Not found"))</f>
        <v>0</v>
      </c>
      <c r="D159" s="16">
        <f>IF(B159="","",IFERROR(INDEX('Content Calendar'!$B$5:$B$604,MATCH(B159,'Content Calendar'!$A$5:$A$604,0)),"Not found"))</f>
        <v>0</v>
      </c>
      <c r="E159" s="17">
        <f>IF(B159="","",IFERROR(INDEX('Content Calendar'!$D$5:$D$604,MATCH(B159,'Content Calendar'!$A$5:$A$604,0)),"Not found"))</f>
        <v>0</v>
      </c>
      <c r="F159" s="17">
        <f>IF(B159="","",IFERROR(INDEX('Content Calendar'!$G$5:$G$604,MATCH(B159,'Content Calendar'!$A$5:$A$604,0)),"Not found"))</f>
        <v>0</v>
      </c>
      <c r="G159" s="17">
        <f>IF(B159="","",IFERROR(INDEX('Content Calendar'!$K$5:$K$604,MATCH(B159,'Content Calendar'!$A$5:$A$604,0)),"Not found"))</f>
        <v>0</v>
      </c>
      <c r="H159" s="17">
        <f>IF(B159="","",IFERROR(INDEX('Content Calendar'!$J$5:$J$604,MATCH(B159,'Content Calendar'!$A$5:$A$604,0)),"Not found"))</f>
        <v>0</v>
      </c>
      <c r="I159" s="17">
        <f>IF(B159="","",IFERROR(INDEX('Content Calendar'!$L$5:$L$604,MATCH(B159,'Content Calendar'!$A$5:$A$604,0)),"Not found"))</f>
        <v>0</v>
      </c>
      <c r="J159" s="17">
        <f>IF(B159="","",IFERROR(INDEX('Content Calendar'!$P$5:$P$604,MATCH(B159,'Content Calendar'!$A$5:$A$604,0)),"Not found"))</f>
        <v>0</v>
      </c>
      <c r="K159" s="17">
        <f>IF(B159="","",IFERROR(INDEX('Content Calendar'!$O$5:$O$604,MATCH(B159,'Content Calendar'!$A$5:$A$604,0)),"Not found"))</f>
        <v>0</v>
      </c>
      <c r="L159" s="17">
        <f>IF(B159="","",IFERROR(INDEX('Content Calendar'!$N$5:$N$604,MATCH(B159,'Content Calendar'!$A$5:$A$604,0)),"Not found"))</f>
        <v>0</v>
      </c>
      <c r="M159" s="17">
        <f>IF(B159="","",IFERROR(INDEX('Content Calendar'!$C$5:$C$604,MATCH(B159,'Content Calendar'!$A$5:$A$604,0)),"Not found"))</f>
        <v>0</v>
      </c>
      <c r="N159" s="17">
        <f>IF(B159="","",IFERROR(INDEX('Content Calendar'!$F$5:$F$604,MATCH(B159,'Content Calendar'!$A$5:$A$604,0)),"Not found"))</f>
        <v>0</v>
      </c>
      <c r="Z159" s="23">
        <f>IF(O159="","",N(Q159)+N(R159)+N(S159)+N(T159))</f>
        <v>0</v>
      </c>
      <c r="AA159" s="24">
        <f>IF(OR(O159="",O159=0),"",Z159/O159)</f>
        <v>0</v>
      </c>
      <c r="AB159" s="24">
        <f>IF(OR(O159="",O159=0),"",N(T159)/O159)</f>
        <v>0</v>
      </c>
      <c r="AC159" s="24">
        <f>IF(OR(O159="",O159=0),"",N(S159)/O159)</f>
        <v>0</v>
      </c>
      <c r="AD159" s="24">
        <f>IF(OR(O159="",O159=0),"",N(R159)/O159)</f>
        <v>0</v>
      </c>
      <c r="AE159" s="24">
        <f>IF(OR(O159="",O159=0),"",N(U159)/O159)</f>
        <v>0</v>
      </c>
      <c r="AF159" s="24">
        <f>IF(OR(U159="",U159=0),"",N(W159)/U159)</f>
        <v>0</v>
      </c>
      <c r="AG159" s="25">
        <f>IF(OR(O159="",O159=0),"",N(X159)/(O159/1000))</f>
        <v>0</v>
      </c>
      <c r="AH159" s="24">
        <f>IF(O159="","",IF(Y159="",TargetEngagement,Y159))</f>
        <v>0</v>
      </c>
      <c r="AI159" s="24">
        <f>IF(OR(AA159="",AH159=""),"",AA159-AH159)</f>
        <v>0</v>
      </c>
      <c r="AJ159" s="31">
        <f>IF(AA159="","",AA159+ROW()/1000000)</f>
        <v>0</v>
      </c>
      <c r="AK159" s="23">
        <f>IF(AA159="","",RANK(AJ159,Performance!$AJ$5:$AJ$404))</f>
        <v>0</v>
      </c>
      <c r="AL159" s="29">
        <f>IF(AA159="","",IF(AA159&gt;=AH159*1.5,"Top performer",IF(AA159&gt;=AH159,"Above target",IF(AA159&gt;=AH159*0.6,"Below target","Weak - review it"))))</f>
        <v>0</v>
      </c>
      <c r="AM159" s="29">
        <f>IF(B159="","",IF(COUNTIF(Performance!$B$5:$B$404,B159)&gt;1,"Duplicate","OK"))</f>
        <v>0</v>
      </c>
      <c r="AN159" s="29">
        <f>IF(B159="","",IF(C159="Not found","Check - content ID not on the calendar",IF(O159="","Add - no numbers entered yet",IF(AM159="Duplicate","Duplicate - this post is entered twice",IF(AL159="Top performer","Repurpose this one","OK")))))</f>
        <v>0</v>
      </c>
    </row>
    <row r="160" spans="1:40">
      <c r="A160" s="41">
        <f>IF(B160="","","PF-"&amp;TEXT(ROW()-4,"0000"))</f>
        <v>0</v>
      </c>
      <c r="C160" s="17">
        <f>IF(B160="","",IFERROR(INDEX('Content Calendar'!$H$5:$H$604,MATCH(B160,'Content Calendar'!$A$5:$A$604,0)),"Not found"))</f>
        <v>0</v>
      </c>
      <c r="D160" s="16">
        <f>IF(B160="","",IFERROR(INDEX('Content Calendar'!$B$5:$B$604,MATCH(B160,'Content Calendar'!$A$5:$A$604,0)),"Not found"))</f>
        <v>0</v>
      </c>
      <c r="E160" s="17">
        <f>IF(B160="","",IFERROR(INDEX('Content Calendar'!$D$5:$D$604,MATCH(B160,'Content Calendar'!$A$5:$A$604,0)),"Not found"))</f>
        <v>0</v>
      </c>
      <c r="F160" s="17">
        <f>IF(B160="","",IFERROR(INDEX('Content Calendar'!$G$5:$G$604,MATCH(B160,'Content Calendar'!$A$5:$A$604,0)),"Not found"))</f>
        <v>0</v>
      </c>
      <c r="G160" s="17">
        <f>IF(B160="","",IFERROR(INDEX('Content Calendar'!$K$5:$K$604,MATCH(B160,'Content Calendar'!$A$5:$A$604,0)),"Not found"))</f>
        <v>0</v>
      </c>
      <c r="H160" s="17">
        <f>IF(B160="","",IFERROR(INDEX('Content Calendar'!$J$5:$J$604,MATCH(B160,'Content Calendar'!$A$5:$A$604,0)),"Not found"))</f>
        <v>0</v>
      </c>
      <c r="I160" s="17">
        <f>IF(B160="","",IFERROR(INDEX('Content Calendar'!$L$5:$L$604,MATCH(B160,'Content Calendar'!$A$5:$A$604,0)),"Not found"))</f>
        <v>0</v>
      </c>
      <c r="J160" s="17">
        <f>IF(B160="","",IFERROR(INDEX('Content Calendar'!$P$5:$P$604,MATCH(B160,'Content Calendar'!$A$5:$A$604,0)),"Not found"))</f>
        <v>0</v>
      </c>
      <c r="K160" s="17">
        <f>IF(B160="","",IFERROR(INDEX('Content Calendar'!$O$5:$O$604,MATCH(B160,'Content Calendar'!$A$5:$A$604,0)),"Not found"))</f>
        <v>0</v>
      </c>
      <c r="L160" s="17">
        <f>IF(B160="","",IFERROR(INDEX('Content Calendar'!$N$5:$N$604,MATCH(B160,'Content Calendar'!$A$5:$A$604,0)),"Not found"))</f>
        <v>0</v>
      </c>
      <c r="M160" s="17">
        <f>IF(B160="","",IFERROR(INDEX('Content Calendar'!$C$5:$C$604,MATCH(B160,'Content Calendar'!$A$5:$A$604,0)),"Not found"))</f>
        <v>0</v>
      </c>
      <c r="N160" s="17">
        <f>IF(B160="","",IFERROR(INDEX('Content Calendar'!$F$5:$F$604,MATCH(B160,'Content Calendar'!$A$5:$A$604,0)),"Not found"))</f>
        <v>0</v>
      </c>
      <c r="Z160" s="23">
        <f>IF(O160="","",N(Q160)+N(R160)+N(S160)+N(T160))</f>
        <v>0</v>
      </c>
      <c r="AA160" s="24">
        <f>IF(OR(O160="",O160=0),"",Z160/O160)</f>
        <v>0</v>
      </c>
      <c r="AB160" s="24">
        <f>IF(OR(O160="",O160=0),"",N(T160)/O160)</f>
        <v>0</v>
      </c>
      <c r="AC160" s="24">
        <f>IF(OR(O160="",O160=0),"",N(S160)/O160)</f>
        <v>0</v>
      </c>
      <c r="AD160" s="24">
        <f>IF(OR(O160="",O160=0),"",N(R160)/O160)</f>
        <v>0</v>
      </c>
      <c r="AE160" s="24">
        <f>IF(OR(O160="",O160=0),"",N(U160)/O160)</f>
        <v>0</v>
      </c>
      <c r="AF160" s="24">
        <f>IF(OR(U160="",U160=0),"",N(W160)/U160)</f>
        <v>0</v>
      </c>
      <c r="AG160" s="25">
        <f>IF(OR(O160="",O160=0),"",N(X160)/(O160/1000))</f>
        <v>0</v>
      </c>
      <c r="AH160" s="24">
        <f>IF(O160="","",IF(Y160="",TargetEngagement,Y160))</f>
        <v>0</v>
      </c>
      <c r="AI160" s="24">
        <f>IF(OR(AA160="",AH160=""),"",AA160-AH160)</f>
        <v>0</v>
      </c>
      <c r="AJ160" s="31">
        <f>IF(AA160="","",AA160+ROW()/1000000)</f>
        <v>0</v>
      </c>
      <c r="AK160" s="23">
        <f>IF(AA160="","",RANK(AJ160,Performance!$AJ$5:$AJ$404))</f>
        <v>0</v>
      </c>
      <c r="AL160" s="29">
        <f>IF(AA160="","",IF(AA160&gt;=AH160*1.5,"Top performer",IF(AA160&gt;=AH160,"Above target",IF(AA160&gt;=AH160*0.6,"Below target","Weak - review it"))))</f>
        <v>0</v>
      </c>
      <c r="AM160" s="29">
        <f>IF(B160="","",IF(COUNTIF(Performance!$B$5:$B$404,B160)&gt;1,"Duplicate","OK"))</f>
        <v>0</v>
      </c>
      <c r="AN160" s="29">
        <f>IF(B160="","",IF(C160="Not found","Check - content ID not on the calendar",IF(O160="","Add - no numbers entered yet",IF(AM160="Duplicate","Duplicate - this post is entered twice",IF(AL160="Top performer","Repurpose this one","OK")))))</f>
        <v>0</v>
      </c>
    </row>
    <row r="161" spans="1:40">
      <c r="A161" s="41">
        <f>IF(B161="","","PF-"&amp;TEXT(ROW()-4,"0000"))</f>
        <v>0</v>
      </c>
      <c r="C161" s="17">
        <f>IF(B161="","",IFERROR(INDEX('Content Calendar'!$H$5:$H$604,MATCH(B161,'Content Calendar'!$A$5:$A$604,0)),"Not found"))</f>
        <v>0</v>
      </c>
      <c r="D161" s="16">
        <f>IF(B161="","",IFERROR(INDEX('Content Calendar'!$B$5:$B$604,MATCH(B161,'Content Calendar'!$A$5:$A$604,0)),"Not found"))</f>
        <v>0</v>
      </c>
      <c r="E161" s="17">
        <f>IF(B161="","",IFERROR(INDEX('Content Calendar'!$D$5:$D$604,MATCH(B161,'Content Calendar'!$A$5:$A$604,0)),"Not found"))</f>
        <v>0</v>
      </c>
      <c r="F161" s="17">
        <f>IF(B161="","",IFERROR(INDEX('Content Calendar'!$G$5:$G$604,MATCH(B161,'Content Calendar'!$A$5:$A$604,0)),"Not found"))</f>
        <v>0</v>
      </c>
      <c r="G161" s="17">
        <f>IF(B161="","",IFERROR(INDEX('Content Calendar'!$K$5:$K$604,MATCH(B161,'Content Calendar'!$A$5:$A$604,0)),"Not found"))</f>
        <v>0</v>
      </c>
      <c r="H161" s="17">
        <f>IF(B161="","",IFERROR(INDEX('Content Calendar'!$J$5:$J$604,MATCH(B161,'Content Calendar'!$A$5:$A$604,0)),"Not found"))</f>
        <v>0</v>
      </c>
      <c r="I161" s="17">
        <f>IF(B161="","",IFERROR(INDEX('Content Calendar'!$L$5:$L$604,MATCH(B161,'Content Calendar'!$A$5:$A$604,0)),"Not found"))</f>
        <v>0</v>
      </c>
      <c r="J161" s="17">
        <f>IF(B161="","",IFERROR(INDEX('Content Calendar'!$P$5:$P$604,MATCH(B161,'Content Calendar'!$A$5:$A$604,0)),"Not found"))</f>
        <v>0</v>
      </c>
      <c r="K161" s="17">
        <f>IF(B161="","",IFERROR(INDEX('Content Calendar'!$O$5:$O$604,MATCH(B161,'Content Calendar'!$A$5:$A$604,0)),"Not found"))</f>
        <v>0</v>
      </c>
      <c r="L161" s="17">
        <f>IF(B161="","",IFERROR(INDEX('Content Calendar'!$N$5:$N$604,MATCH(B161,'Content Calendar'!$A$5:$A$604,0)),"Not found"))</f>
        <v>0</v>
      </c>
      <c r="M161" s="17">
        <f>IF(B161="","",IFERROR(INDEX('Content Calendar'!$C$5:$C$604,MATCH(B161,'Content Calendar'!$A$5:$A$604,0)),"Not found"))</f>
        <v>0</v>
      </c>
      <c r="N161" s="17">
        <f>IF(B161="","",IFERROR(INDEX('Content Calendar'!$F$5:$F$604,MATCH(B161,'Content Calendar'!$A$5:$A$604,0)),"Not found"))</f>
        <v>0</v>
      </c>
      <c r="Z161" s="23">
        <f>IF(O161="","",N(Q161)+N(R161)+N(S161)+N(T161))</f>
        <v>0</v>
      </c>
      <c r="AA161" s="24">
        <f>IF(OR(O161="",O161=0),"",Z161/O161)</f>
        <v>0</v>
      </c>
      <c r="AB161" s="24">
        <f>IF(OR(O161="",O161=0),"",N(T161)/O161)</f>
        <v>0</v>
      </c>
      <c r="AC161" s="24">
        <f>IF(OR(O161="",O161=0),"",N(S161)/O161)</f>
        <v>0</v>
      </c>
      <c r="AD161" s="24">
        <f>IF(OR(O161="",O161=0),"",N(R161)/O161)</f>
        <v>0</v>
      </c>
      <c r="AE161" s="24">
        <f>IF(OR(O161="",O161=0),"",N(U161)/O161)</f>
        <v>0</v>
      </c>
      <c r="AF161" s="24">
        <f>IF(OR(U161="",U161=0),"",N(W161)/U161)</f>
        <v>0</v>
      </c>
      <c r="AG161" s="25">
        <f>IF(OR(O161="",O161=0),"",N(X161)/(O161/1000))</f>
        <v>0</v>
      </c>
      <c r="AH161" s="24">
        <f>IF(O161="","",IF(Y161="",TargetEngagement,Y161))</f>
        <v>0</v>
      </c>
      <c r="AI161" s="24">
        <f>IF(OR(AA161="",AH161=""),"",AA161-AH161)</f>
        <v>0</v>
      </c>
      <c r="AJ161" s="31">
        <f>IF(AA161="","",AA161+ROW()/1000000)</f>
        <v>0</v>
      </c>
      <c r="AK161" s="23">
        <f>IF(AA161="","",RANK(AJ161,Performance!$AJ$5:$AJ$404))</f>
        <v>0</v>
      </c>
      <c r="AL161" s="29">
        <f>IF(AA161="","",IF(AA161&gt;=AH161*1.5,"Top performer",IF(AA161&gt;=AH161,"Above target",IF(AA161&gt;=AH161*0.6,"Below target","Weak - review it"))))</f>
        <v>0</v>
      </c>
      <c r="AM161" s="29">
        <f>IF(B161="","",IF(COUNTIF(Performance!$B$5:$B$404,B161)&gt;1,"Duplicate","OK"))</f>
        <v>0</v>
      </c>
      <c r="AN161" s="29">
        <f>IF(B161="","",IF(C161="Not found","Check - content ID not on the calendar",IF(O161="","Add - no numbers entered yet",IF(AM161="Duplicate","Duplicate - this post is entered twice",IF(AL161="Top performer","Repurpose this one","OK")))))</f>
        <v>0</v>
      </c>
    </row>
    <row r="162" spans="1:40">
      <c r="A162" s="41">
        <f>IF(B162="","","PF-"&amp;TEXT(ROW()-4,"0000"))</f>
        <v>0</v>
      </c>
      <c r="C162" s="17">
        <f>IF(B162="","",IFERROR(INDEX('Content Calendar'!$H$5:$H$604,MATCH(B162,'Content Calendar'!$A$5:$A$604,0)),"Not found"))</f>
        <v>0</v>
      </c>
      <c r="D162" s="16">
        <f>IF(B162="","",IFERROR(INDEX('Content Calendar'!$B$5:$B$604,MATCH(B162,'Content Calendar'!$A$5:$A$604,0)),"Not found"))</f>
        <v>0</v>
      </c>
      <c r="E162" s="17">
        <f>IF(B162="","",IFERROR(INDEX('Content Calendar'!$D$5:$D$604,MATCH(B162,'Content Calendar'!$A$5:$A$604,0)),"Not found"))</f>
        <v>0</v>
      </c>
      <c r="F162" s="17">
        <f>IF(B162="","",IFERROR(INDEX('Content Calendar'!$G$5:$G$604,MATCH(B162,'Content Calendar'!$A$5:$A$604,0)),"Not found"))</f>
        <v>0</v>
      </c>
      <c r="G162" s="17">
        <f>IF(B162="","",IFERROR(INDEX('Content Calendar'!$K$5:$K$604,MATCH(B162,'Content Calendar'!$A$5:$A$604,0)),"Not found"))</f>
        <v>0</v>
      </c>
      <c r="H162" s="17">
        <f>IF(B162="","",IFERROR(INDEX('Content Calendar'!$J$5:$J$604,MATCH(B162,'Content Calendar'!$A$5:$A$604,0)),"Not found"))</f>
        <v>0</v>
      </c>
      <c r="I162" s="17">
        <f>IF(B162="","",IFERROR(INDEX('Content Calendar'!$L$5:$L$604,MATCH(B162,'Content Calendar'!$A$5:$A$604,0)),"Not found"))</f>
        <v>0</v>
      </c>
      <c r="J162" s="17">
        <f>IF(B162="","",IFERROR(INDEX('Content Calendar'!$P$5:$P$604,MATCH(B162,'Content Calendar'!$A$5:$A$604,0)),"Not found"))</f>
        <v>0</v>
      </c>
      <c r="K162" s="17">
        <f>IF(B162="","",IFERROR(INDEX('Content Calendar'!$O$5:$O$604,MATCH(B162,'Content Calendar'!$A$5:$A$604,0)),"Not found"))</f>
        <v>0</v>
      </c>
      <c r="L162" s="17">
        <f>IF(B162="","",IFERROR(INDEX('Content Calendar'!$N$5:$N$604,MATCH(B162,'Content Calendar'!$A$5:$A$604,0)),"Not found"))</f>
        <v>0</v>
      </c>
      <c r="M162" s="17">
        <f>IF(B162="","",IFERROR(INDEX('Content Calendar'!$C$5:$C$604,MATCH(B162,'Content Calendar'!$A$5:$A$604,0)),"Not found"))</f>
        <v>0</v>
      </c>
      <c r="N162" s="17">
        <f>IF(B162="","",IFERROR(INDEX('Content Calendar'!$F$5:$F$604,MATCH(B162,'Content Calendar'!$A$5:$A$604,0)),"Not found"))</f>
        <v>0</v>
      </c>
      <c r="Z162" s="23">
        <f>IF(O162="","",N(Q162)+N(R162)+N(S162)+N(T162))</f>
        <v>0</v>
      </c>
      <c r="AA162" s="24">
        <f>IF(OR(O162="",O162=0),"",Z162/O162)</f>
        <v>0</v>
      </c>
      <c r="AB162" s="24">
        <f>IF(OR(O162="",O162=0),"",N(T162)/O162)</f>
        <v>0</v>
      </c>
      <c r="AC162" s="24">
        <f>IF(OR(O162="",O162=0),"",N(S162)/O162)</f>
        <v>0</v>
      </c>
      <c r="AD162" s="24">
        <f>IF(OR(O162="",O162=0),"",N(R162)/O162)</f>
        <v>0</v>
      </c>
      <c r="AE162" s="24">
        <f>IF(OR(O162="",O162=0),"",N(U162)/O162)</f>
        <v>0</v>
      </c>
      <c r="AF162" s="24">
        <f>IF(OR(U162="",U162=0),"",N(W162)/U162)</f>
        <v>0</v>
      </c>
      <c r="AG162" s="25">
        <f>IF(OR(O162="",O162=0),"",N(X162)/(O162/1000))</f>
        <v>0</v>
      </c>
      <c r="AH162" s="24">
        <f>IF(O162="","",IF(Y162="",TargetEngagement,Y162))</f>
        <v>0</v>
      </c>
      <c r="AI162" s="24">
        <f>IF(OR(AA162="",AH162=""),"",AA162-AH162)</f>
        <v>0</v>
      </c>
      <c r="AJ162" s="31">
        <f>IF(AA162="","",AA162+ROW()/1000000)</f>
        <v>0</v>
      </c>
      <c r="AK162" s="23">
        <f>IF(AA162="","",RANK(AJ162,Performance!$AJ$5:$AJ$404))</f>
        <v>0</v>
      </c>
      <c r="AL162" s="29">
        <f>IF(AA162="","",IF(AA162&gt;=AH162*1.5,"Top performer",IF(AA162&gt;=AH162,"Above target",IF(AA162&gt;=AH162*0.6,"Below target","Weak - review it"))))</f>
        <v>0</v>
      </c>
      <c r="AM162" s="29">
        <f>IF(B162="","",IF(COUNTIF(Performance!$B$5:$B$404,B162)&gt;1,"Duplicate","OK"))</f>
        <v>0</v>
      </c>
      <c r="AN162" s="29">
        <f>IF(B162="","",IF(C162="Not found","Check - content ID not on the calendar",IF(O162="","Add - no numbers entered yet",IF(AM162="Duplicate","Duplicate - this post is entered twice",IF(AL162="Top performer","Repurpose this one","OK")))))</f>
        <v>0</v>
      </c>
    </row>
    <row r="163" spans="1:40">
      <c r="A163" s="41">
        <f>IF(B163="","","PF-"&amp;TEXT(ROW()-4,"0000"))</f>
        <v>0</v>
      </c>
      <c r="C163" s="17">
        <f>IF(B163="","",IFERROR(INDEX('Content Calendar'!$H$5:$H$604,MATCH(B163,'Content Calendar'!$A$5:$A$604,0)),"Not found"))</f>
        <v>0</v>
      </c>
      <c r="D163" s="16">
        <f>IF(B163="","",IFERROR(INDEX('Content Calendar'!$B$5:$B$604,MATCH(B163,'Content Calendar'!$A$5:$A$604,0)),"Not found"))</f>
        <v>0</v>
      </c>
      <c r="E163" s="17">
        <f>IF(B163="","",IFERROR(INDEX('Content Calendar'!$D$5:$D$604,MATCH(B163,'Content Calendar'!$A$5:$A$604,0)),"Not found"))</f>
        <v>0</v>
      </c>
      <c r="F163" s="17">
        <f>IF(B163="","",IFERROR(INDEX('Content Calendar'!$G$5:$G$604,MATCH(B163,'Content Calendar'!$A$5:$A$604,0)),"Not found"))</f>
        <v>0</v>
      </c>
      <c r="G163" s="17">
        <f>IF(B163="","",IFERROR(INDEX('Content Calendar'!$K$5:$K$604,MATCH(B163,'Content Calendar'!$A$5:$A$604,0)),"Not found"))</f>
        <v>0</v>
      </c>
      <c r="H163" s="17">
        <f>IF(B163="","",IFERROR(INDEX('Content Calendar'!$J$5:$J$604,MATCH(B163,'Content Calendar'!$A$5:$A$604,0)),"Not found"))</f>
        <v>0</v>
      </c>
      <c r="I163" s="17">
        <f>IF(B163="","",IFERROR(INDEX('Content Calendar'!$L$5:$L$604,MATCH(B163,'Content Calendar'!$A$5:$A$604,0)),"Not found"))</f>
        <v>0</v>
      </c>
      <c r="J163" s="17">
        <f>IF(B163="","",IFERROR(INDEX('Content Calendar'!$P$5:$P$604,MATCH(B163,'Content Calendar'!$A$5:$A$604,0)),"Not found"))</f>
        <v>0</v>
      </c>
      <c r="K163" s="17">
        <f>IF(B163="","",IFERROR(INDEX('Content Calendar'!$O$5:$O$604,MATCH(B163,'Content Calendar'!$A$5:$A$604,0)),"Not found"))</f>
        <v>0</v>
      </c>
      <c r="L163" s="17">
        <f>IF(B163="","",IFERROR(INDEX('Content Calendar'!$N$5:$N$604,MATCH(B163,'Content Calendar'!$A$5:$A$604,0)),"Not found"))</f>
        <v>0</v>
      </c>
      <c r="M163" s="17">
        <f>IF(B163="","",IFERROR(INDEX('Content Calendar'!$C$5:$C$604,MATCH(B163,'Content Calendar'!$A$5:$A$604,0)),"Not found"))</f>
        <v>0</v>
      </c>
      <c r="N163" s="17">
        <f>IF(B163="","",IFERROR(INDEX('Content Calendar'!$F$5:$F$604,MATCH(B163,'Content Calendar'!$A$5:$A$604,0)),"Not found"))</f>
        <v>0</v>
      </c>
      <c r="Z163" s="23">
        <f>IF(O163="","",N(Q163)+N(R163)+N(S163)+N(T163))</f>
        <v>0</v>
      </c>
      <c r="AA163" s="24">
        <f>IF(OR(O163="",O163=0),"",Z163/O163)</f>
        <v>0</v>
      </c>
      <c r="AB163" s="24">
        <f>IF(OR(O163="",O163=0),"",N(T163)/O163)</f>
        <v>0</v>
      </c>
      <c r="AC163" s="24">
        <f>IF(OR(O163="",O163=0),"",N(S163)/O163)</f>
        <v>0</v>
      </c>
      <c r="AD163" s="24">
        <f>IF(OR(O163="",O163=0),"",N(R163)/O163)</f>
        <v>0</v>
      </c>
      <c r="AE163" s="24">
        <f>IF(OR(O163="",O163=0),"",N(U163)/O163)</f>
        <v>0</v>
      </c>
      <c r="AF163" s="24">
        <f>IF(OR(U163="",U163=0),"",N(W163)/U163)</f>
        <v>0</v>
      </c>
      <c r="AG163" s="25">
        <f>IF(OR(O163="",O163=0),"",N(X163)/(O163/1000))</f>
        <v>0</v>
      </c>
      <c r="AH163" s="24">
        <f>IF(O163="","",IF(Y163="",TargetEngagement,Y163))</f>
        <v>0</v>
      </c>
      <c r="AI163" s="24">
        <f>IF(OR(AA163="",AH163=""),"",AA163-AH163)</f>
        <v>0</v>
      </c>
      <c r="AJ163" s="31">
        <f>IF(AA163="","",AA163+ROW()/1000000)</f>
        <v>0</v>
      </c>
      <c r="AK163" s="23">
        <f>IF(AA163="","",RANK(AJ163,Performance!$AJ$5:$AJ$404))</f>
        <v>0</v>
      </c>
      <c r="AL163" s="29">
        <f>IF(AA163="","",IF(AA163&gt;=AH163*1.5,"Top performer",IF(AA163&gt;=AH163,"Above target",IF(AA163&gt;=AH163*0.6,"Below target","Weak - review it"))))</f>
        <v>0</v>
      </c>
      <c r="AM163" s="29">
        <f>IF(B163="","",IF(COUNTIF(Performance!$B$5:$B$404,B163)&gt;1,"Duplicate","OK"))</f>
        <v>0</v>
      </c>
      <c r="AN163" s="29">
        <f>IF(B163="","",IF(C163="Not found","Check - content ID not on the calendar",IF(O163="","Add - no numbers entered yet",IF(AM163="Duplicate","Duplicate - this post is entered twice",IF(AL163="Top performer","Repurpose this one","OK")))))</f>
        <v>0</v>
      </c>
    </row>
    <row r="164" spans="1:40">
      <c r="A164" s="41">
        <f>IF(B164="","","PF-"&amp;TEXT(ROW()-4,"0000"))</f>
        <v>0</v>
      </c>
      <c r="C164" s="17">
        <f>IF(B164="","",IFERROR(INDEX('Content Calendar'!$H$5:$H$604,MATCH(B164,'Content Calendar'!$A$5:$A$604,0)),"Not found"))</f>
        <v>0</v>
      </c>
      <c r="D164" s="16">
        <f>IF(B164="","",IFERROR(INDEX('Content Calendar'!$B$5:$B$604,MATCH(B164,'Content Calendar'!$A$5:$A$604,0)),"Not found"))</f>
        <v>0</v>
      </c>
      <c r="E164" s="17">
        <f>IF(B164="","",IFERROR(INDEX('Content Calendar'!$D$5:$D$604,MATCH(B164,'Content Calendar'!$A$5:$A$604,0)),"Not found"))</f>
        <v>0</v>
      </c>
      <c r="F164" s="17">
        <f>IF(B164="","",IFERROR(INDEX('Content Calendar'!$G$5:$G$604,MATCH(B164,'Content Calendar'!$A$5:$A$604,0)),"Not found"))</f>
        <v>0</v>
      </c>
      <c r="G164" s="17">
        <f>IF(B164="","",IFERROR(INDEX('Content Calendar'!$K$5:$K$604,MATCH(B164,'Content Calendar'!$A$5:$A$604,0)),"Not found"))</f>
        <v>0</v>
      </c>
      <c r="H164" s="17">
        <f>IF(B164="","",IFERROR(INDEX('Content Calendar'!$J$5:$J$604,MATCH(B164,'Content Calendar'!$A$5:$A$604,0)),"Not found"))</f>
        <v>0</v>
      </c>
      <c r="I164" s="17">
        <f>IF(B164="","",IFERROR(INDEX('Content Calendar'!$L$5:$L$604,MATCH(B164,'Content Calendar'!$A$5:$A$604,0)),"Not found"))</f>
        <v>0</v>
      </c>
      <c r="J164" s="17">
        <f>IF(B164="","",IFERROR(INDEX('Content Calendar'!$P$5:$P$604,MATCH(B164,'Content Calendar'!$A$5:$A$604,0)),"Not found"))</f>
        <v>0</v>
      </c>
      <c r="K164" s="17">
        <f>IF(B164="","",IFERROR(INDEX('Content Calendar'!$O$5:$O$604,MATCH(B164,'Content Calendar'!$A$5:$A$604,0)),"Not found"))</f>
        <v>0</v>
      </c>
      <c r="L164" s="17">
        <f>IF(B164="","",IFERROR(INDEX('Content Calendar'!$N$5:$N$604,MATCH(B164,'Content Calendar'!$A$5:$A$604,0)),"Not found"))</f>
        <v>0</v>
      </c>
      <c r="M164" s="17">
        <f>IF(B164="","",IFERROR(INDEX('Content Calendar'!$C$5:$C$604,MATCH(B164,'Content Calendar'!$A$5:$A$604,0)),"Not found"))</f>
        <v>0</v>
      </c>
      <c r="N164" s="17">
        <f>IF(B164="","",IFERROR(INDEX('Content Calendar'!$F$5:$F$604,MATCH(B164,'Content Calendar'!$A$5:$A$604,0)),"Not found"))</f>
        <v>0</v>
      </c>
      <c r="Z164" s="23">
        <f>IF(O164="","",N(Q164)+N(R164)+N(S164)+N(T164))</f>
        <v>0</v>
      </c>
      <c r="AA164" s="24">
        <f>IF(OR(O164="",O164=0),"",Z164/O164)</f>
        <v>0</v>
      </c>
      <c r="AB164" s="24">
        <f>IF(OR(O164="",O164=0),"",N(T164)/O164)</f>
        <v>0</v>
      </c>
      <c r="AC164" s="24">
        <f>IF(OR(O164="",O164=0),"",N(S164)/O164)</f>
        <v>0</v>
      </c>
      <c r="AD164" s="24">
        <f>IF(OR(O164="",O164=0),"",N(R164)/O164)</f>
        <v>0</v>
      </c>
      <c r="AE164" s="24">
        <f>IF(OR(O164="",O164=0),"",N(U164)/O164)</f>
        <v>0</v>
      </c>
      <c r="AF164" s="24">
        <f>IF(OR(U164="",U164=0),"",N(W164)/U164)</f>
        <v>0</v>
      </c>
      <c r="AG164" s="25">
        <f>IF(OR(O164="",O164=0),"",N(X164)/(O164/1000))</f>
        <v>0</v>
      </c>
      <c r="AH164" s="24">
        <f>IF(O164="","",IF(Y164="",TargetEngagement,Y164))</f>
        <v>0</v>
      </c>
      <c r="AI164" s="24">
        <f>IF(OR(AA164="",AH164=""),"",AA164-AH164)</f>
        <v>0</v>
      </c>
      <c r="AJ164" s="31">
        <f>IF(AA164="","",AA164+ROW()/1000000)</f>
        <v>0</v>
      </c>
      <c r="AK164" s="23">
        <f>IF(AA164="","",RANK(AJ164,Performance!$AJ$5:$AJ$404))</f>
        <v>0</v>
      </c>
      <c r="AL164" s="29">
        <f>IF(AA164="","",IF(AA164&gt;=AH164*1.5,"Top performer",IF(AA164&gt;=AH164,"Above target",IF(AA164&gt;=AH164*0.6,"Below target","Weak - review it"))))</f>
        <v>0</v>
      </c>
      <c r="AM164" s="29">
        <f>IF(B164="","",IF(COUNTIF(Performance!$B$5:$B$404,B164)&gt;1,"Duplicate","OK"))</f>
        <v>0</v>
      </c>
      <c r="AN164" s="29">
        <f>IF(B164="","",IF(C164="Not found","Check - content ID not on the calendar",IF(O164="","Add - no numbers entered yet",IF(AM164="Duplicate","Duplicate - this post is entered twice",IF(AL164="Top performer","Repurpose this one","OK")))))</f>
        <v>0</v>
      </c>
    </row>
    <row r="165" spans="1:40">
      <c r="A165" s="41">
        <f>IF(B165="","","PF-"&amp;TEXT(ROW()-4,"0000"))</f>
        <v>0</v>
      </c>
      <c r="C165" s="17">
        <f>IF(B165="","",IFERROR(INDEX('Content Calendar'!$H$5:$H$604,MATCH(B165,'Content Calendar'!$A$5:$A$604,0)),"Not found"))</f>
        <v>0</v>
      </c>
      <c r="D165" s="16">
        <f>IF(B165="","",IFERROR(INDEX('Content Calendar'!$B$5:$B$604,MATCH(B165,'Content Calendar'!$A$5:$A$604,0)),"Not found"))</f>
        <v>0</v>
      </c>
      <c r="E165" s="17">
        <f>IF(B165="","",IFERROR(INDEX('Content Calendar'!$D$5:$D$604,MATCH(B165,'Content Calendar'!$A$5:$A$604,0)),"Not found"))</f>
        <v>0</v>
      </c>
      <c r="F165" s="17">
        <f>IF(B165="","",IFERROR(INDEX('Content Calendar'!$G$5:$G$604,MATCH(B165,'Content Calendar'!$A$5:$A$604,0)),"Not found"))</f>
        <v>0</v>
      </c>
      <c r="G165" s="17">
        <f>IF(B165="","",IFERROR(INDEX('Content Calendar'!$K$5:$K$604,MATCH(B165,'Content Calendar'!$A$5:$A$604,0)),"Not found"))</f>
        <v>0</v>
      </c>
      <c r="H165" s="17">
        <f>IF(B165="","",IFERROR(INDEX('Content Calendar'!$J$5:$J$604,MATCH(B165,'Content Calendar'!$A$5:$A$604,0)),"Not found"))</f>
        <v>0</v>
      </c>
      <c r="I165" s="17">
        <f>IF(B165="","",IFERROR(INDEX('Content Calendar'!$L$5:$L$604,MATCH(B165,'Content Calendar'!$A$5:$A$604,0)),"Not found"))</f>
        <v>0</v>
      </c>
      <c r="J165" s="17">
        <f>IF(B165="","",IFERROR(INDEX('Content Calendar'!$P$5:$P$604,MATCH(B165,'Content Calendar'!$A$5:$A$604,0)),"Not found"))</f>
        <v>0</v>
      </c>
      <c r="K165" s="17">
        <f>IF(B165="","",IFERROR(INDEX('Content Calendar'!$O$5:$O$604,MATCH(B165,'Content Calendar'!$A$5:$A$604,0)),"Not found"))</f>
        <v>0</v>
      </c>
      <c r="L165" s="17">
        <f>IF(B165="","",IFERROR(INDEX('Content Calendar'!$N$5:$N$604,MATCH(B165,'Content Calendar'!$A$5:$A$604,0)),"Not found"))</f>
        <v>0</v>
      </c>
      <c r="M165" s="17">
        <f>IF(B165="","",IFERROR(INDEX('Content Calendar'!$C$5:$C$604,MATCH(B165,'Content Calendar'!$A$5:$A$604,0)),"Not found"))</f>
        <v>0</v>
      </c>
      <c r="N165" s="17">
        <f>IF(B165="","",IFERROR(INDEX('Content Calendar'!$F$5:$F$604,MATCH(B165,'Content Calendar'!$A$5:$A$604,0)),"Not found"))</f>
        <v>0</v>
      </c>
      <c r="Z165" s="23">
        <f>IF(O165="","",N(Q165)+N(R165)+N(S165)+N(T165))</f>
        <v>0</v>
      </c>
      <c r="AA165" s="24">
        <f>IF(OR(O165="",O165=0),"",Z165/O165)</f>
        <v>0</v>
      </c>
      <c r="AB165" s="24">
        <f>IF(OR(O165="",O165=0),"",N(T165)/O165)</f>
        <v>0</v>
      </c>
      <c r="AC165" s="24">
        <f>IF(OR(O165="",O165=0),"",N(S165)/O165)</f>
        <v>0</v>
      </c>
      <c r="AD165" s="24">
        <f>IF(OR(O165="",O165=0),"",N(R165)/O165)</f>
        <v>0</v>
      </c>
      <c r="AE165" s="24">
        <f>IF(OR(O165="",O165=0),"",N(U165)/O165)</f>
        <v>0</v>
      </c>
      <c r="AF165" s="24">
        <f>IF(OR(U165="",U165=0),"",N(W165)/U165)</f>
        <v>0</v>
      </c>
      <c r="AG165" s="25">
        <f>IF(OR(O165="",O165=0),"",N(X165)/(O165/1000))</f>
        <v>0</v>
      </c>
      <c r="AH165" s="24">
        <f>IF(O165="","",IF(Y165="",TargetEngagement,Y165))</f>
        <v>0</v>
      </c>
      <c r="AI165" s="24">
        <f>IF(OR(AA165="",AH165=""),"",AA165-AH165)</f>
        <v>0</v>
      </c>
      <c r="AJ165" s="31">
        <f>IF(AA165="","",AA165+ROW()/1000000)</f>
        <v>0</v>
      </c>
      <c r="AK165" s="23">
        <f>IF(AA165="","",RANK(AJ165,Performance!$AJ$5:$AJ$404))</f>
        <v>0</v>
      </c>
      <c r="AL165" s="29">
        <f>IF(AA165="","",IF(AA165&gt;=AH165*1.5,"Top performer",IF(AA165&gt;=AH165,"Above target",IF(AA165&gt;=AH165*0.6,"Below target","Weak - review it"))))</f>
        <v>0</v>
      </c>
      <c r="AM165" s="29">
        <f>IF(B165="","",IF(COUNTIF(Performance!$B$5:$B$404,B165)&gt;1,"Duplicate","OK"))</f>
        <v>0</v>
      </c>
      <c r="AN165" s="29">
        <f>IF(B165="","",IF(C165="Not found","Check - content ID not on the calendar",IF(O165="","Add - no numbers entered yet",IF(AM165="Duplicate","Duplicate - this post is entered twice",IF(AL165="Top performer","Repurpose this one","OK")))))</f>
        <v>0</v>
      </c>
    </row>
    <row r="166" spans="1:40">
      <c r="A166" s="41">
        <f>IF(B166="","","PF-"&amp;TEXT(ROW()-4,"0000"))</f>
        <v>0</v>
      </c>
      <c r="C166" s="17">
        <f>IF(B166="","",IFERROR(INDEX('Content Calendar'!$H$5:$H$604,MATCH(B166,'Content Calendar'!$A$5:$A$604,0)),"Not found"))</f>
        <v>0</v>
      </c>
      <c r="D166" s="16">
        <f>IF(B166="","",IFERROR(INDEX('Content Calendar'!$B$5:$B$604,MATCH(B166,'Content Calendar'!$A$5:$A$604,0)),"Not found"))</f>
        <v>0</v>
      </c>
      <c r="E166" s="17">
        <f>IF(B166="","",IFERROR(INDEX('Content Calendar'!$D$5:$D$604,MATCH(B166,'Content Calendar'!$A$5:$A$604,0)),"Not found"))</f>
        <v>0</v>
      </c>
      <c r="F166" s="17">
        <f>IF(B166="","",IFERROR(INDEX('Content Calendar'!$G$5:$G$604,MATCH(B166,'Content Calendar'!$A$5:$A$604,0)),"Not found"))</f>
        <v>0</v>
      </c>
      <c r="G166" s="17">
        <f>IF(B166="","",IFERROR(INDEX('Content Calendar'!$K$5:$K$604,MATCH(B166,'Content Calendar'!$A$5:$A$604,0)),"Not found"))</f>
        <v>0</v>
      </c>
      <c r="H166" s="17">
        <f>IF(B166="","",IFERROR(INDEX('Content Calendar'!$J$5:$J$604,MATCH(B166,'Content Calendar'!$A$5:$A$604,0)),"Not found"))</f>
        <v>0</v>
      </c>
      <c r="I166" s="17">
        <f>IF(B166="","",IFERROR(INDEX('Content Calendar'!$L$5:$L$604,MATCH(B166,'Content Calendar'!$A$5:$A$604,0)),"Not found"))</f>
        <v>0</v>
      </c>
      <c r="J166" s="17">
        <f>IF(B166="","",IFERROR(INDEX('Content Calendar'!$P$5:$P$604,MATCH(B166,'Content Calendar'!$A$5:$A$604,0)),"Not found"))</f>
        <v>0</v>
      </c>
      <c r="K166" s="17">
        <f>IF(B166="","",IFERROR(INDEX('Content Calendar'!$O$5:$O$604,MATCH(B166,'Content Calendar'!$A$5:$A$604,0)),"Not found"))</f>
        <v>0</v>
      </c>
      <c r="L166" s="17">
        <f>IF(B166="","",IFERROR(INDEX('Content Calendar'!$N$5:$N$604,MATCH(B166,'Content Calendar'!$A$5:$A$604,0)),"Not found"))</f>
        <v>0</v>
      </c>
      <c r="M166" s="17">
        <f>IF(B166="","",IFERROR(INDEX('Content Calendar'!$C$5:$C$604,MATCH(B166,'Content Calendar'!$A$5:$A$604,0)),"Not found"))</f>
        <v>0</v>
      </c>
      <c r="N166" s="17">
        <f>IF(B166="","",IFERROR(INDEX('Content Calendar'!$F$5:$F$604,MATCH(B166,'Content Calendar'!$A$5:$A$604,0)),"Not found"))</f>
        <v>0</v>
      </c>
      <c r="Z166" s="23">
        <f>IF(O166="","",N(Q166)+N(R166)+N(S166)+N(T166))</f>
        <v>0</v>
      </c>
      <c r="AA166" s="24">
        <f>IF(OR(O166="",O166=0),"",Z166/O166)</f>
        <v>0</v>
      </c>
      <c r="AB166" s="24">
        <f>IF(OR(O166="",O166=0),"",N(T166)/O166)</f>
        <v>0</v>
      </c>
      <c r="AC166" s="24">
        <f>IF(OR(O166="",O166=0),"",N(S166)/O166)</f>
        <v>0</v>
      </c>
      <c r="AD166" s="24">
        <f>IF(OR(O166="",O166=0),"",N(R166)/O166)</f>
        <v>0</v>
      </c>
      <c r="AE166" s="24">
        <f>IF(OR(O166="",O166=0),"",N(U166)/O166)</f>
        <v>0</v>
      </c>
      <c r="AF166" s="24">
        <f>IF(OR(U166="",U166=0),"",N(W166)/U166)</f>
        <v>0</v>
      </c>
      <c r="AG166" s="25">
        <f>IF(OR(O166="",O166=0),"",N(X166)/(O166/1000))</f>
        <v>0</v>
      </c>
      <c r="AH166" s="24">
        <f>IF(O166="","",IF(Y166="",TargetEngagement,Y166))</f>
        <v>0</v>
      </c>
      <c r="AI166" s="24">
        <f>IF(OR(AA166="",AH166=""),"",AA166-AH166)</f>
        <v>0</v>
      </c>
      <c r="AJ166" s="31">
        <f>IF(AA166="","",AA166+ROW()/1000000)</f>
        <v>0</v>
      </c>
      <c r="AK166" s="23">
        <f>IF(AA166="","",RANK(AJ166,Performance!$AJ$5:$AJ$404))</f>
        <v>0</v>
      </c>
      <c r="AL166" s="29">
        <f>IF(AA166="","",IF(AA166&gt;=AH166*1.5,"Top performer",IF(AA166&gt;=AH166,"Above target",IF(AA166&gt;=AH166*0.6,"Below target","Weak - review it"))))</f>
        <v>0</v>
      </c>
      <c r="AM166" s="29">
        <f>IF(B166="","",IF(COUNTIF(Performance!$B$5:$B$404,B166)&gt;1,"Duplicate","OK"))</f>
        <v>0</v>
      </c>
      <c r="AN166" s="29">
        <f>IF(B166="","",IF(C166="Not found","Check - content ID not on the calendar",IF(O166="","Add - no numbers entered yet",IF(AM166="Duplicate","Duplicate - this post is entered twice",IF(AL166="Top performer","Repurpose this one","OK")))))</f>
        <v>0</v>
      </c>
    </row>
    <row r="167" spans="1:40">
      <c r="A167" s="41">
        <f>IF(B167="","","PF-"&amp;TEXT(ROW()-4,"0000"))</f>
        <v>0</v>
      </c>
      <c r="C167" s="17">
        <f>IF(B167="","",IFERROR(INDEX('Content Calendar'!$H$5:$H$604,MATCH(B167,'Content Calendar'!$A$5:$A$604,0)),"Not found"))</f>
        <v>0</v>
      </c>
      <c r="D167" s="16">
        <f>IF(B167="","",IFERROR(INDEX('Content Calendar'!$B$5:$B$604,MATCH(B167,'Content Calendar'!$A$5:$A$604,0)),"Not found"))</f>
        <v>0</v>
      </c>
      <c r="E167" s="17">
        <f>IF(B167="","",IFERROR(INDEX('Content Calendar'!$D$5:$D$604,MATCH(B167,'Content Calendar'!$A$5:$A$604,0)),"Not found"))</f>
        <v>0</v>
      </c>
      <c r="F167" s="17">
        <f>IF(B167="","",IFERROR(INDEX('Content Calendar'!$G$5:$G$604,MATCH(B167,'Content Calendar'!$A$5:$A$604,0)),"Not found"))</f>
        <v>0</v>
      </c>
      <c r="G167" s="17">
        <f>IF(B167="","",IFERROR(INDEX('Content Calendar'!$K$5:$K$604,MATCH(B167,'Content Calendar'!$A$5:$A$604,0)),"Not found"))</f>
        <v>0</v>
      </c>
      <c r="H167" s="17">
        <f>IF(B167="","",IFERROR(INDEX('Content Calendar'!$J$5:$J$604,MATCH(B167,'Content Calendar'!$A$5:$A$604,0)),"Not found"))</f>
        <v>0</v>
      </c>
      <c r="I167" s="17">
        <f>IF(B167="","",IFERROR(INDEX('Content Calendar'!$L$5:$L$604,MATCH(B167,'Content Calendar'!$A$5:$A$604,0)),"Not found"))</f>
        <v>0</v>
      </c>
      <c r="J167" s="17">
        <f>IF(B167="","",IFERROR(INDEX('Content Calendar'!$P$5:$P$604,MATCH(B167,'Content Calendar'!$A$5:$A$604,0)),"Not found"))</f>
        <v>0</v>
      </c>
      <c r="K167" s="17">
        <f>IF(B167="","",IFERROR(INDEX('Content Calendar'!$O$5:$O$604,MATCH(B167,'Content Calendar'!$A$5:$A$604,0)),"Not found"))</f>
        <v>0</v>
      </c>
      <c r="L167" s="17">
        <f>IF(B167="","",IFERROR(INDEX('Content Calendar'!$N$5:$N$604,MATCH(B167,'Content Calendar'!$A$5:$A$604,0)),"Not found"))</f>
        <v>0</v>
      </c>
      <c r="M167" s="17">
        <f>IF(B167="","",IFERROR(INDEX('Content Calendar'!$C$5:$C$604,MATCH(B167,'Content Calendar'!$A$5:$A$604,0)),"Not found"))</f>
        <v>0</v>
      </c>
      <c r="N167" s="17">
        <f>IF(B167="","",IFERROR(INDEX('Content Calendar'!$F$5:$F$604,MATCH(B167,'Content Calendar'!$A$5:$A$604,0)),"Not found"))</f>
        <v>0</v>
      </c>
      <c r="Z167" s="23">
        <f>IF(O167="","",N(Q167)+N(R167)+N(S167)+N(T167))</f>
        <v>0</v>
      </c>
      <c r="AA167" s="24">
        <f>IF(OR(O167="",O167=0),"",Z167/O167)</f>
        <v>0</v>
      </c>
      <c r="AB167" s="24">
        <f>IF(OR(O167="",O167=0),"",N(T167)/O167)</f>
        <v>0</v>
      </c>
      <c r="AC167" s="24">
        <f>IF(OR(O167="",O167=0),"",N(S167)/O167)</f>
        <v>0</v>
      </c>
      <c r="AD167" s="24">
        <f>IF(OR(O167="",O167=0),"",N(R167)/O167)</f>
        <v>0</v>
      </c>
      <c r="AE167" s="24">
        <f>IF(OR(O167="",O167=0),"",N(U167)/O167)</f>
        <v>0</v>
      </c>
      <c r="AF167" s="24">
        <f>IF(OR(U167="",U167=0),"",N(W167)/U167)</f>
        <v>0</v>
      </c>
      <c r="AG167" s="25">
        <f>IF(OR(O167="",O167=0),"",N(X167)/(O167/1000))</f>
        <v>0</v>
      </c>
      <c r="AH167" s="24">
        <f>IF(O167="","",IF(Y167="",TargetEngagement,Y167))</f>
        <v>0</v>
      </c>
      <c r="AI167" s="24">
        <f>IF(OR(AA167="",AH167=""),"",AA167-AH167)</f>
        <v>0</v>
      </c>
      <c r="AJ167" s="31">
        <f>IF(AA167="","",AA167+ROW()/1000000)</f>
        <v>0</v>
      </c>
      <c r="AK167" s="23">
        <f>IF(AA167="","",RANK(AJ167,Performance!$AJ$5:$AJ$404))</f>
        <v>0</v>
      </c>
      <c r="AL167" s="29">
        <f>IF(AA167="","",IF(AA167&gt;=AH167*1.5,"Top performer",IF(AA167&gt;=AH167,"Above target",IF(AA167&gt;=AH167*0.6,"Below target","Weak - review it"))))</f>
        <v>0</v>
      </c>
      <c r="AM167" s="29">
        <f>IF(B167="","",IF(COUNTIF(Performance!$B$5:$B$404,B167)&gt;1,"Duplicate","OK"))</f>
        <v>0</v>
      </c>
      <c r="AN167" s="29">
        <f>IF(B167="","",IF(C167="Not found","Check - content ID not on the calendar",IF(O167="","Add - no numbers entered yet",IF(AM167="Duplicate","Duplicate - this post is entered twice",IF(AL167="Top performer","Repurpose this one","OK")))))</f>
        <v>0</v>
      </c>
    </row>
    <row r="168" spans="1:40">
      <c r="A168" s="41">
        <f>IF(B168="","","PF-"&amp;TEXT(ROW()-4,"0000"))</f>
        <v>0</v>
      </c>
      <c r="C168" s="17">
        <f>IF(B168="","",IFERROR(INDEX('Content Calendar'!$H$5:$H$604,MATCH(B168,'Content Calendar'!$A$5:$A$604,0)),"Not found"))</f>
        <v>0</v>
      </c>
      <c r="D168" s="16">
        <f>IF(B168="","",IFERROR(INDEX('Content Calendar'!$B$5:$B$604,MATCH(B168,'Content Calendar'!$A$5:$A$604,0)),"Not found"))</f>
        <v>0</v>
      </c>
      <c r="E168" s="17">
        <f>IF(B168="","",IFERROR(INDEX('Content Calendar'!$D$5:$D$604,MATCH(B168,'Content Calendar'!$A$5:$A$604,0)),"Not found"))</f>
        <v>0</v>
      </c>
      <c r="F168" s="17">
        <f>IF(B168="","",IFERROR(INDEX('Content Calendar'!$G$5:$G$604,MATCH(B168,'Content Calendar'!$A$5:$A$604,0)),"Not found"))</f>
        <v>0</v>
      </c>
      <c r="G168" s="17">
        <f>IF(B168="","",IFERROR(INDEX('Content Calendar'!$K$5:$K$604,MATCH(B168,'Content Calendar'!$A$5:$A$604,0)),"Not found"))</f>
        <v>0</v>
      </c>
      <c r="H168" s="17">
        <f>IF(B168="","",IFERROR(INDEX('Content Calendar'!$J$5:$J$604,MATCH(B168,'Content Calendar'!$A$5:$A$604,0)),"Not found"))</f>
        <v>0</v>
      </c>
      <c r="I168" s="17">
        <f>IF(B168="","",IFERROR(INDEX('Content Calendar'!$L$5:$L$604,MATCH(B168,'Content Calendar'!$A$5:$A$604,0)),"Not found"))</f>
        <v>0</v>
      </c>
      <c r="J168" s="17">
        <f>IF(B168="","",IFERROR(INDEX('Content Calendar'!$P$5:$P$604,MATCH(B168,'Content Calendar'!$A$5:$A$604,0)),"Not found"))</f>
        <v>0</v>
      </c>
      <c r="K168" s="17">
        <f>IF(B168="","",IFERROR(INDEX('Content Calendar'!$O$5:$O$604,MATCH(B168,'Content Calendar'!$A$5:$A$604,0)),"Not found"))</f>
        <v>0</v>
      </c>
      <c r="L168" s="17">
        <f>IF(B168="","",IFERROR(INDEX('Content Calendar'!$N$5:$N$604,MATCH(B168,'Content Calendar'!$A$5:$A$604,0)),"Not found"))</f>
        <v>0</v>
      </c>
      <c r="M168" s="17">
        <f>IF(B168="","",IFERROR(INDEX('Content Calendar'!$C$5:$C$604,MATCH(B168,'Content Calendar'!$A$5:$A$604,0)),"Not found"))</f>
        <v>0</v>
      </c>
      <c r="N168" s="17">
        <f>IF(B168="","",IFERROR(INDEX('Content Calendar'!$F$5:$F$604,MATCH(B168,'Content Calendar'!$A$5:$A$604,0)),"Not found"))</f>
        <v>0</v>
      </c>
      <c r="Z168" s="23">
        <f>IF(O168="","",N(Q168)+N(R168)+N(S168)+N(T168))</f>
        <v>0</v>
      </c>
      <c r="AA168" s="24">
        <f>IF(OR(O168="",O168=0),"",Z168/O168)</f>
        <v>0</v>
      </c>
      <c r="AB168" s="24">
        <f>IF(OR(O168="",O168=0),"",N(T168)/O168)</f>
        <v>0</v>
      </c>
      <c r="AC168" s="24">
        <f>IF(OR(O168="",O168=0),"",N(S168)/O168)</f>
        <v>0</v>
      </c>
      <c r="AD168" s="24">
        <f>IF(OR(O168="",O168=0),"",N(R168)/O168)</f>
        <v>0</v>
      </c>
      <c r="AE168" s="24">
        <f>IF(OR(O168="",O168=0),"",N(U168)/O168)</f>
        <v>0</v>
      </c>
      <c r="AF168" s="24">
        <f>IF(OR(U168="",U168=0),"",N(W168)/U168)</f>
        <v>0</v>
      </c>
      <c r="AG168" s="25">
        <f>IF(OR(O168="",O168=0),"",N(X168)/(O168/1000))</f>
        <v>0</v>
      </c>
      <c r="AH168" s="24">
        <f>IF(O168="","",IF(Y168="",TargetEngagement,Y168))</f>
        <v>0</v>
      </c>
      <c r="AI168" s="24">
        <f>IF(OR(AA168="",AH168=""),"",AA168-AH168)</f>
        <v>0</v>
      </c>
      <c r="AJ168" s="31">
        <f>IF(AA168="","",AA168+ROW()/1000000)</f>
        <v>0</v>
      </c>
      <c r="AK168" s="23">
        <f>IF(AA168="","",RANK(AJ168,Performance!$AJ$5:$AJ$404))</f>
        <v>0</v>
      </c>
      <c r="AL168" s="29">
        <f>IF(AA168="","",IF(AA168&gt;=AH168*1.5,"Top performer",IF(AA168&gt;=AH168,"Above target",IF(AA168&gt;=AH168*0.6,"Below target","Weak - review it"))))</f>
        <v>0</v>
      </c>
      <c r="AM168" s="29">
        <f>IF(B168="","",IF(COUNTIF(Performance!$B$5:$B$404,B168)&gt;1,"Duplicate","OK"))</f>
        <v>0</v>
      </c>
      <c r="AN168" s="29">
        <f>IF(B168="","",IF(C168="Not found","Check - content ID not on the calendar",IF(O168="","Add - no numbers entered yet",IF(AM168="Duplicate","Duplicate - this post is entered twice",IF(AL168="Top performer","Repurpose this one","OK")))))</f>
        <v>0</v>
      </c>
    </row>
    <row r="169" spans="1:40">
      <c r="A169" s="41">
        <f>IF(B169="","","PF-"&amp;TEXT(ROW()-4,"0000"))</f>
        <v>0</v>
      </c>
      <c r="C169" s="17">
        <f>IF(B169="","",IFERROR(INDEX('Content Calendar'!$H$5:$H$604,MATCH(B169,'Content Calendar'!$A$5:$A$604,0)),"Not found"))</f>
        <v>0</v>
      </c>
      <c r="D169" s="16">
        <f>IF(B169="","",IFERROR(INDEX('Content Calendar'!$B$5:$B$604,MATCH(B169,'Content Calendar'!$A$5:$A$604,0)),"Not found"))</f>
        <v>0</v>
      </c>
      <c r="E169" s="17">
        <f>IF(B169="","",IFERROR(INDEX('Content Calendar'!$D$5:$D$604,MATCH(B169,'Content Calendar'!$A$5:$A$604,0)),"Not found"))</f>
        <v>0</v>
      </c>
      <c r="F169" s="17">
        <f>IF(B169="","",IFERROR(INDEX('Content Calendar'!$G$5:$G$604,MATCH(B169,'Content Calendar'!$A$5:$A$604,0)),"Not found"))</f>
        <v>0</v>
      </c>
      <c r="G169" s="17">
        <f>IF(B169="","",IFERROR(INDEX('Content Calendar'!$K$5:$K$604,MATCH(B169,'Content Calendar'!$A$5:$A$604,0)),"Not found"))</f>
        <v>0</v>
      </c>
      <c r="H169" s="17">
        <f>IF(B169="","",IFERROR(INDEX('Content Calendar'!$J$5:$J$604,MATCH(B169,'Content Calendar'!$A$5:$A$604,0)),"Not found"))</f>
        <v>0</v>
      </c>
      <c r="I169" s="17">
        <f>IF(B169="","",IFERROR(INDEX('Content Calendar'!$L$5:$L$604,MATCH(B169,'Content Calendar'!$A$5:$A$604,0)),"Not found"))</f>
        <v>0</v>
      </c>
      <c r="J169" s="17">
        <f>IF(B169="","",IFERROR(INDEX('Content Calendar'!$P$5:$P$604,MATCH(B169,'Content Calendar'!$A$5:$A$604,0)),"Not found"))</f>
        <v>0</v>
      </c>
      <c r="K169" s="17">
        <f>IF(B169="","",IFERROR(INDEX('Content Calendar'!$O$5:$O$604,MATCH(B169,'Content Calendar'!$A$5:$A$604,0)),"Not found"))</f>
        <v>0</v>
      </c>
      <c r="L169" s="17">
        <f>IF(B169="","",IFERROR(INDEX('Content Calendar'!$N$5:$N$604,MATCH(B169,'Content Calendar'!$A$5:$A$604,0)),"Not found"))</f>
        <v>0</v>
      </c>
      <c r="M169" s="17">
        <f>IF(B169="","",IFERROR(INDEX('Content Calendar'!$C$5:$C$604,MATCH(B169,'Content Calendar'!$A$5:$A$604,0)),"Not found"))</f>
        <v>0</v>
      </c>
      <c r="N169" s="17">
        <f>IF(B169="","",IFERROR(INDEX('Content Calendar'!$F$5:$F$604,MATCH(B169,'Content Calendar'!$A$5:$A$604,0)),"Not found"))</f>
        <v>0</v>
      </c>
      <c r="Z169" s="23">
        <f>IF(O169="","",N(Q169)+N(R169)+N(S169)+N(T169))</f>
        <v>0</v>
      </c>
      <c r="AA169" s="24">
        <f>IF(OR(O169="",O169=0),"",Z169/O169)</f>
        <v>0</v>
      </c>
      <c r="AB169" s="24">
        <f>IF(OR(O169="",O169=0),"",N(T169)/O169)</f>
        <v>0</v>
      </c>
      <c r="AC169" s="24">
        <f>IF(OR(O169="",O169=0),"",N(S169)/O169)</f>
        <v>0</v>
      </c>
      <c r="AD169" s="24">
        <f>IF(OR(O169="",O169=0),"",N(R169)/O169)</f>
        <v>0</v>
      </c>
      <c r="AE169" s="24">
        <f>IF(OR(O169="",O169=0),"",N(U169)/O169)</f>
        <v>0</v>
      </c>
      <c r="AF169" s="24">
        <f>IF(OR(U169="",U169=0),"",N(W169)/U169)</f>
        <v>0</v>
      </c>
      <c r="AG169" s="25">
        <f>IF(OR(O169="",O169=0),"",N(X169)/(O169/1000))</f>
        <v>0</v>
      </c>
      <c r="AH169" s="24">
        <f>IF(O169="","",IF(Y169="",TargetEngagement,Y169))</f>
        <v>0</v>
      </c>
      <c r="AI169" s="24">
        <f>IF(OR(AA169="",AH169=""),"",AA169-AH169)</f>
        <v>0</v>
      </c>
      <c r="AJ169" s="31">
        <f>IF(AA169="","",AA169+ROW()/1000000)</f>
        <v>0</v>
      </c>
      <c r="AK169" s="23">
        <f>IF(AA169="","",RANK(AJ169,Performance!$AJ$5:$AJ$404))</f>
        <v>0</v>
      </c>
      <c r="AL169" s="29">
        <f>IF(AA169="","",IF(AA169&gt;=AH169*1.5,"Top performer",IF(AA169&gt;=AH169,"Above target",IF(AA169&gt;=AH169*0.6,"Below target","Weak - review it"))))</f>
        <v>0</v>
      </c>
      <c r="AM169" s="29">
        <f>IF(B169="","",IF(COUNTIF(Performance!$B$5:$B$404,B169)&gt;1,"Duplicate","OK"))</f>
        <v>0</v>
      </c>
      <c r="AN169" s="29">
        <f>IF(B169="","",IF(C169="Not found","Check - content ID not on the calendar",IF(O169="","Add - no numbers entered yet",IF(AM169="Duplicate","Duplicate - this post is entered twice",IF(AL169="Top performer","Repurpose this one","OK")))))</f>
        <v>0</v>
      </c>
    </row>
    <row r="170" spans="1:40">
      <c r="A170" s="41">
        <f>IF(B170="","","PF-"&amp;TEXT(ROW()-4,"0000"))</f>
        <v>0</v>
      </c>
      <c r="C170" s="17">
        <f>IF(B170="","",IFERROR(INDEX('Content Calendar'!$H$5:$H$604,MATCH(B170,'Content Calendar'!$A$5:$A$604,0)),"Not found"))</f>
        <v>0</v>
      </c>
      <c r="D170" s="16">
        <f>IF(B170="","",IFERROR(INDEX('Content Calendar'!$B$5:$B$604,MATCH(B170,'Content Calendar'!$A$5:$A$604,0)),"Not found"))</f>
        <v>0</v>
      </c>
      <c r="E170" s="17">
        <f>IF(B170="","",IFERROR(INDEX('Content Calendar'!$D$5:$D$604,MATCH(B170,'Content Calendar'!$A$5:$A$604,0)),"Not found"))</f>
        <v>0</v>
      </c>
      <c r="F170" s="17">
        <f>IF(B170="","",IFERROR(INDEX('Content Calendar'!$G$5:$G$604,MATCH(B170,'Content Calendar'!$A$5:$A$604,0)),"Not found"))</f>
        <v>0</v>
      </c>
      <c r="G170" s="17">
        <f>IF(B170="","",IFERROR(INDEX('Content Calendar'!$K$5:$K$604,MATCH(B170,'Content Calendar'!$A$5:$A$604,0)),"Not found"))</f>
        <v>0</v>
      </c>
      <c r="H170" s="17">
        <f>IF(B170="","",IFERROR(INDEX('Content Calendar'!$J$5:$J$604,MATCH(B170,'Content Calendar'!$A$5:$A$604,0)),"Not found"))</f>
        <v>0</v>
      </c>
      <c r="I170" s="17">
        <f>IF(B170="","",IFERROR(INDEX('Content Calendar'!$L$5:$L$604,MATCH(B170,'Content Calendar'!$A$5:$A$604,0)),"Not found"))</f>
        <v>0</v>
      </c>
      <c r="J170" s="17">
        <f>IF(B170="","",IFERROR(INDEX('Content Calendar'!$P$5:$P$604,MATCH(B170,'Content Calendar'!$A$5:$A$604,0)),"Not found"))</f>
        <v>0</v>
      </c>
      <c r="K170" s="17">
        <f>IF(B170="","",IFERROR(INDEX('Content Calendar'!$O$5:$O$604,MATCH(B170,'Content Calendar'!$A$5:$A$604,0)),"Not found"))</f>
        <v>0</v>
      </c>
      <c r="L170" s="17">
        <f>IF(B170="","",IFERROR(INDEX('Content Calendar'!$N$5:$N$604,MATCH(B170,'Content Calendar'!$A$5:$A$604,0)),"Not found"))</f>
        <v>0</v>
      </c>
      <c r="M170" s="17">
        <f>IF(B170="","",IFERROR(INDEX('Content Calendar'!$C$5:$C$604,MATCH(B170,'Content Calendar'!$A$5:$A$604,0)),"Not found"))</f>
        <v>0</v>
      </c>
      <c r="N170" s="17">
        <f>IF(B170="","",IFERROR(INDEX('Content Calendar'!$F$5:$F$604,MATCH(B170,'Content Calendar'!$A$5:$A$604,0)),"Not found"))</f>
        <v>0</v>
      </c>
      <c r="Z170" s="23">
        <f>IF(O170="","",N(Q170)+N(R170)+N(S170)+N(T170))</f>
        <v>0</v>
      </c>
      <c r="AA170" s="24">
        <f>IF(OR(O170="",O170=0),"",Z170/O170)</f>
        <v>0</v>
      </c>
      <c r="AB170" s="24">
        <f>IF(OR(O170="",O170=0),"",N(T170)/O170)</f>
        <v>0</v>
      </c>
      <c r="AC170" s="24">
        <f>IF(OR(O170="",O170=0),"",N(S170)/O170)</f>
        <v>0</v>
      </c>
      <c r="AD170" s="24">
        <f>IF(OR(O170="",O170=0),"",N(R170)/O170)</f>
        <v>0</v>
      </c>
      <c r="AE170" s="24">
        <f>IF(OR(O170="",O170=0),"",N(U170)/O170)</f>
        <v>0</v>
      </c>
      <c r="AF170" s="24">
        <f>IF(OR(U170="",U170=0),"",N(W170)/U170)</f>
        <v>0</v>
      </c>
      <c r="AG170" s="25">
        <f>IF(OR(O170="",O170=0),"",N(X170)/(O170/1000))</f>
        <v>0</v>
      </c>
      <c r="AH170" s="24">
        <f>IF(O170="","",IF(Y170="",TargetEngagement,Y170))</f>
        <v>0</v>
      </c>
      <c r="AI170" s="24">
        <f>IF(OR(AA170="",AH170=""),"",AA170-AH170)</f>
        <v>0</v>
      </c>
      <c r="AJ170" s="31">
        <f>IF(AA170="","",AA170+ROW()/1000000)</f>
        <v>0</v>
      </c>
      <c r="AK170" s="23">
        <f>IF(AA170="","",RANK(AJ170,Performance!$AJ$5:$AJ$404))</f>
        <v>0</v>
      </c>
      <c r="AL170" s="29">
        <f>IF(AA170="","",IF(AA170&gt;=AH170*1.5,"Top performer",IF(AA170&gt;=AH170,"Above target",IF(AA170&gt;=AH170*0.6,"Below target","Weak - review it"))))</f>
        <v>0</v>
      </c>
      <c r="AM170" s="29">
        <f>IF(B170="","",IF(COUNTIF(Performance!$B$5:$B$404,B170)&gt;1,"Duplicate","OK"))</f>
        <v>0</v>
      </c>
      <c r="AN170" s="29">
        <f>IF(B170="","",IF(C170="Not found","Check - content ID not on the calendar",IF(O170="","Add - no numbers entered yet",IF(AM170="Duplicate","Duplicate - this post is entered twice",IF(AL170="Top performer","Repurpose this one","OK")))))</f>
        <v>0</v>
      </c>
    </row>
    <row r="171" spans="1:40">
      <c r="A171" s="41">
        <f>IF(B171="","","PF-"&amp;TEXT(ROW()-4,"0000"))</f>
        <v>0</v>
      </c>
      <c r="C171" s="17">
        <f>IF(B171="","",IFERROR(INDEX('Content Calendar'!$H$5:$H$604,MATCH(B171,'Content Calendar'!$A$5:$A$604,0)),"Not found"))</f>
        <v>0</v>
      </c>
      <c r="D171" s="16">
        <f>IF(B171="","",IFERROR(INDEX('Content Calendar'!$B$5:$B$604,MATCH(B171,'Content Calendar'!$A$5:$A$604,0)),"Not found"))</f>
        <v>0</v>
      </c>
      <c r="E171" s="17">
        <f>IF(B171="","",IFERROR(INDEX('Content Calendar'!$D$5:$D$604,MATCH(B171,'Content Calendar'!$A$5:$A$604,0)),"Not found"))</f>
        <v>0</v>
      </c>
      <c r="F171" s="17">
        <f>IF(B171="","",IFERROR(INDEX('Content Calendar'!$G$5:$G$604,MATCH(B171,'Content Calendar'!$A$5:$A$604,0)),"Not found"))</f>
        <v>0</v>
      </c>
      <c r="G171" s="17">
        <f>IF(B171="","",IFERROR(INDEX('Content Calendar'!$K$5:$K$604,MATCH(B171,'Content Calendar'!$A$5:$A$604,0)),"Not found"))</f>
        <v>0</v>
      </c>
      <c r="H171" s="17">
        <f>IF(B171="","",IFERROR(INDEX('Content Calendar'!$J$5:$J$604,MATCH(B171,'Content Calendar'!$A$5:$A$604,0)),"Not found"))</f>
        <v>0</v>
      </c>
      <c r="I171" s="17">
        <f>IF(B171="","",IFERROR(INDEX('Content Calendar'!$L$5:$L$604,MATCH(B171,'Content Calendar'!$A$5:$A$604,0)),"Not found"))</f>
        <v>0</v>
      </c>
      <c r="J171" s="17">
        <f>IF(B171="","",IFERROR(INDEX('Content Calendar'!$P$5:$P$604,MATCH(B171,'Content Calendar'!$A$5:$A$604,0)),"Not found"))</f>
        <v>0</v>
      </c>
      <c r="K171" s="17">
        <f>IF(B171="","",IFERROR(INDEX('Content Calendar'!$O$5:$O$604,MATCH(B171,'Content Calendar'!$A$5:$A$604,0)),"Not found"))</f>
        <v>0</v>
      </c>
      <c r="L171" s="17">
        <f>IF(B171="","",IFERROR(INDEX('Content Calendar'!$N$5:$N$604,MATCH(B171,'Content Calendar'!$A$5:$A$604,0)),"Not found"))</f>
        <v>0</v>
      </c>
      <c r="M171" s="17">
        <f>IF(B171="","",IFERROR(INDEX('Content Calendar'!$C$5:$C$604,MATCH(B171,'Content Calendar'!$A$5:$A$604,0)),"Not found"))</f>
        <v>0</v>
      </c>
      <c r="N171" s="17">
        <f>IF(B171="","",IFERROR(INDEX('Content Calendar'!$F$5:$F$604,MATCH(B171,'Content Calendar'!$A$5:$A$604,0)),"Not found"))</f>
        <v>0</v>
      </c>
      <c r="Z171" s="23">
        <f>IF(O171="","",N(Q171)+N(R171)+N(S171)+N(T171))</f>
        <v>0</v>
      </c>
      <c r="AA171" s="24">
        <f>IF(OR(O171="",O171=0),"",Z171/O171)</f>
        <v>0</v>
      </c>
      <c r="AB171" s="24">
        <f>IF(OR(O171="",O171=0),"",N(T171)/O171)</f>
        <v>0</v>
      </c>
      <c r="AC171" s="24">
        <f>IF(OR(O171="",O171=0),"",N(S171)/O171)</f>
        <v>0</v>
      </c>
      <c r="AD171" s="24">
        <f>IF(OR(O171="",O171=0),"",N(R171)/O171)</f>
        <v>0</v>
      </c>
      <c r="AE171" s="24">
        <f>IF(OR(O171="",O171=0),"",N(U171)/O171)</f>
        <v>0</v>
      </c>
      <c r="AF171" s="24">
        <f>IF(OR(U171="",U171=0),"",N(W171)/U171)</f>
        <v>0</v>
      </c>
      <c r="AG171" s="25">
        <f>IF(OR(O171="",O171=0),"",N(X171)/(O171/1000))</f>
        <v>0</v>
      </c>
      <c r="AH171" s="24">
        <f>IF(O171="","",IF(Y171="",TargetEngagement,Y171))</f>
        <v>0</v>
      </c>
      <c r="AI171" s="24">
        <f>IF(OR(AA171="",AH171=""),"",AA171-AH171)</f>
        <v>0</v>
      </c>
      <c r="AJ171" s="31">
        <f>IF(AA171="","",AA171+ROW()/1000000)</f>
        <v>0</v>
      </c>
      <c r="AK171" s="23">
        <f>IF(AA171="","",RANK(AJ171,Performance!$AJ$5:$AJ$404))</f>
        <v>0</v>
      </c>
      <c r="AL171" s="29">
        <f>IF(AA171="","",IF(AA171&gt;=AH171*1.5,"Top performer",IF(AA171&gt;=AH171,"Above target",IF(AA171&gt;=AH171*0.6,"Below target","Weak - review it"))))</f>
        <v>0</v>
      </c>
      <c r="AM171" s="29">
        <f>IF(B171="","",IF(COUNTIF(Performance!$B$5:$B$404,B171)&gt;1,"Duplicate","OK"))</f>
        <v>0</v>
      </c>
      <c r="AN171" s="29">
        <f>IF(B171="","",IF(C171="Not found","Check - content ID not on the calendar",IF(O171="","Add - no numbers entered yet",IF(AM171="Duplicate","Duplicate - this post is entered twice",IF(AL171="Top performer","Repurpose this one","OK")))))</f>
        <v>0</v>
      </c>
    </row>
    <row r="172" spans="1:40">
      <c r="A172" s="41">
        <f>IF(B172="","","PF-"&amp;TEXT(ROW()-4,"0000"))</f>
        <v>0</v>
      </c>
      <c r="C172" s="17">
        <f>IF(B172="","",IFERROR(INDEX('Content Calendar'!$H$5:$H$604,MATCH(B172,'Content Calendar'!$A$5:$A$604,0)),"Not found"))</f>
        <v>0</v>
      </c>
      <c r="D172" s="16">
        <f>IF(B172="","",IFERROR(INDEX('Content Calendar'!$B$5:$B$604,MATCH(B172,'Content Calendar'!$A$5:$A$604,0)),"Not found"))</f>
        <v>0</v>
      </c>
      <c r="E172" s="17">
        <f>IF(B172="","",IFERROR(INDEX('Content Calendar'!$D$5:$D$604,MATCH(B172,'Content Calendar'!$A$5:$A$604,0)),"Not found"))</f>
        <v>0</v>
      </c>
      <c r="F172" s="17">
        <f>IF(B172="","",IFERROR(INDEX('Content Calendar'!$G$5:$G$604,MATCH(B172,'Content Calendar'!$A$5:$A$604,0)),"Not found"))</f>
        <v>0</v>
      </c>
      <c r="G172" s="17">
        <f>IF(B172="","",IFERROR(INDEX('Content Calendar'!$K$5:$K$604,MATCH(B172,'Content Calendar'!$A$5:$A$604,0)),"Not found"))</f>
        <v>0</v>
      </c>
      <c r="H172" s="17">
        <f>IF(B172="","",IFERROR(INDEX('Content Calendar'!$J$5:$J$604,MATCH(B172,'Content Calendar'!$A$5:$A$604,0)),"Not found"))</f>
        <v>0</v>
      </c>
      <c r="I172" s="17">
        <f>IF(B172="","",IFERROR(INDEX('Content Calendar'!$L$5:$L$604,MATCH(B172,'Content Calendar'!$A$5:$A$604,0)),"Not found"))</f>
        <v>0</v>
      </c>
      <c r="J172" s="17">
        <f>IF(B172="","",IFERROR(INDEX('Content Calendar'!$P$5:$P$604,MATCH(B172,'Content Calendar'!$A$5:$A$604,0)),"Not found"))</f>
        <v>0</v>
      </c>
      <c r="K172" s="17">
        <f>IF(B172="","",IFERROR(INDEX('Content Calendar'!$O$5:$O$604,MATCH(B172,'Content Calendar'!$A$5:$A$604,0)),"Not found"))</f>
        <v>0</v>
      </c>
      <c r="L172" s="17">
        <f>IF(B172="","",IFERROR(INDEX('Content Calendar'!$N$5:$N$604,MATCH(B172,'Content Calendar'!$A$5:$A$604,0)),"Not found"))</f>
        <v>0</v>
      </c>
      <c r="M172" s="17">
        <f>IF(B172="","",IFERROR(INDEX('Content Calendar'!$C$5:$C$604,MATCH(B172,'Content Calendar'!$A$5:$A$604,0)),"Not found"))</f>
        <v>0</v>
      </c>
      <c r="N172" s="17">
        <f>IF(B172="","",IFERROR(INDEX('Content Calendar'!$F$5:$F$604,MATCH(B172,'Content Calendar'!$A$5:$A$604,0)),"Not found"))</f>
        <v>0</v>
      </c>
      <c r="Z172" s="23">
        <f>IF(O172="","",N(Q172)+N(R172)+N(S172)+N(T172))</f>
        <v>0</v>
      </c>
      <c r="AA172" s="24">
        <f>IF(OR(O172="",O172=0),"",Z172/O172)</f>
        <v>0</v>
      </c>
      <c r="AB172" s="24">
        <f>IF(OR(O172="",O172=0),"",N(T172)/O172)</f>
        <v>0</v>
      </c>
      <c r="AC172" s="24">
        <f>IF(OR(O172="",O172=0),"",N(S172)/O172)</f>
        <v>0</v>
      </c>
      <c r="AD172" s="24">
        <f>IF(OR(O172="",O172=0),"",N(R172)/O172)</f>
        <v>0</v>
      </c>
      <c r="AE172" s="24">
        <f>IF(OR(O172="",O172=0),"",N(U172)/O172)</f>
        <v>0</v>
      </c>
      <c r="AF172" s="24">
        <f>IF(OR(U172="",U172=0),"",N(W172)/U172)</f>
        <v>0</v>
      </c>
      <c r="AG172" s="25">
        <f>IF(OR(O172="",O172=0),"",N(X172)/(O172/1000))</f>
        <v>0</v>
      </c>
      <c r="AH172" s="24">
        <f>IF(O172="","",IF(Y172="",TargetEngagement,Y172))</f>
        <v>0</v>
      </c>
      <c r="AI172" s="24">
        <f>IF(OR(AA172="",AH172=""),"",AA172-AH172)</f>
        <v>0</v>
      </c>
      <c r="AJ172" s="31">
        <f>IF(AA172="","",AA172+ROW()/1000000)</f>
        <v>0</v>
      </c>
      <c r="AK172" s="23">
        <f>IF(AA172="","",RANK(AJ172,Performance!$AJ$5:$AJ$404))</f>
        <v>0</v>
      </c>
      <c r="AL172" s="29">
        <f>IF(AA172="","",IF(AA172&gt;=AH172*1.5,"Top performer",IF(AA172&gt;=AH172,"Above target",IF(AA172&gt;=AH172*0.6,"Below target","Weak - review it"))))</f>
        <v>0</v>
      </c>
      <c r="AM172" s="29">
        <f>IF(B172="","",IF(COUNTIF(Performance!$B$5:$B$404,B172)&gt;1,"Duplicate","OK"))</f>
        <v>0</v>
      </c>
      <c r="AN172" s="29">
        <f>IF(B172="","",IF(C172="Not found","Check - content ID not on the calendar",IF(O172="","Add - no numbers entered yet",IF(AM172="Duplicate","Duplicate - this post is entered twice",IF(AL172="Top performer","Repurpose this one","OK")))))</f>
        <v>0</v>
      </c>
    </row>
    <row r="173" spans="1:40">
      <c r="A173" s="41">
        <f>IF(B173="","","PF-"&amp;TEXT(ROW()-4,"0000"))</f>
        <v>0</v>
      </c>
      <c r="C173" s="17">
        <f>IF(B173="","",IFERROR(INDEX('Content Calendar'!$H$5:$H$604,MATCH(B173,'Content Calendar'!$A$5:$A$604,0)),"Not found"))</f>
        <v>0</v>
      </c>
      <c r="D173" s="16">
        <f>IF(B173="","",IFERROR(INDEX('Content Calendar'!$B$5:$B$604,MATCH(B173,'Content Calendar'!$A$5:$A$604,0)),"Not found"))</f>
        <v>0</v>
      </c>
      <c r="E173" s="17">
        <f>IF(B173="","",IFERROR(INDEX('Content Calendar'!$D$5:$D$604,MATCH(B173,'Content Calendar'!$A$5:$A$604,0)),"Not found"))</f>
        <v>0</v>
      </c>
      <c r="F173" s="17">
        <f>IF(B173="","",IFERROR(INDEX('Content Calendar'!$G$5:$G$604,MATCH(B173,'Content Calendar'!$A$5:$A$604,0)),"Not found"))</f>
        <v>0</v>
      </c>
      <c r="G173" s="17">
        <f>IF(B173="","",IFERROR(INDEX('Content Calendar'!$K$5:$K$604,MATCH(B173,'Content Calendar'!$A$5:$A$604,0)),"Not found"))</f>
        <v>0</v>
      </c>
      <c r="H173" s="17">
        <f>IF(B173="","",IFERROR(INDEX('Content Calendar'!$J$5:$J$604,MATCH(B173,'Content Calendar'!$A$5:$A$604,0)),"Not found"))</f>
        <v>0</v>
      </c>
      <c r="I173" s="17">
        <f>IF(B173="","",IFERROR(INDEX('Content Calendar'!$L$5:$L$604,MATCH(B173,'Content Calendar'!$A$5:$A$604,0)),"Not found"))</f>
        <v>0</v>
      </c>
      <c r="J173" s="17">
        <f>IF(B173="","",IFERROR(INDEX('Content Calendar'!$P$5:$P$604,MATCH(B173,'Content Calendar'!$A$5:$A$604,0)),"Not found"))</f>
        <v>0</v>
      </c>
      <c r="K173" s="17">
        <f>IF(B173="","",IFERROR(INDEX('Content Calendar'!$O$5:$O$604,MATCH(B173,'Content Calendar'!$A$5:$A$604,0)),"Not found"))</f>
        <v>0</v>
      </c>
      <c r="L173" s="17">
        <f>IF(B173="","",IFERROR(INDEX('Content Calendar'!$N$5:$N$604,MATCH(B173,'Content Calendar'!$A$5:$A$604,0)),"Not found"))</f>
        <v>0</v>
      </c>
      <c r="M173" s="17">
        <f>IF(B173="","",IFERROR(INDEX('Content Calendar'!$C$5:$C$604,MATCH(B173,'Content Calendar'!$A$5:$A$604,0)),"Not found"))</f>
        <v>0</v>
      </c>
      <c r="N173" s="17">
        <f>IF(B173="","",IFERROR(INDEX('Content Calendar'!$F$5:$F$604,MATCH(B173,'Content Calendar'!$A$5:$A$604,0)),"Not found"))</f>
        <v>0</v>
      </c>
      <c r="Z173" s="23">
        <f>IF(O173="","",N(Q173)+N(R173)+N(S173)+N(T173))</f>
        <v>0</v>
      </c>
      <c r="AA173" s="24">
        <f>IF(OR(O173="",O173=0),"",Z173/O173)</f>
        <v>0</v>
      </c>
      <c r="AB173" s="24">
        <f>IF(OR(O173="",O173=0),"",N(T173)/O173)</f>
        <v>0</v>
      </c>
      <c r="AC173" s="24">
        <f>IF(OR(O173="",O173=0),"",N(S173)/O173)</f>
        <v>0</v>
      </c>
      <c r="AD173" s="24">
        <f>IF(OR(O173="",O173=0),"",N(R173)/O173)</f>
        <v>0</v>
      </c>
      <c r="AE173" s="24">
        <f>IF(OR(O173="",O173=0),"",N(U173)/O173)</f>
        <v>0</v>
      </c>
      <c r="AF173" s="24">
        <f>IF(OR(U173="",U173=0),"",N(W173)/U173)</f>
        <v>0</v>
      </c>
      <c r="AG173" s="25">
        <f>IF(OR(O173="",O173=0),"",N(X173)/(O173/1000))</f>
        <v>0</v>
      </c>
      <c r="AH173" s="24">
        <f>IF(O173="","",IF(Y173="",TargetEngagement,Y173))</f>
        <v>0</v>
      </c>
      <c r="AI173" s="24">
        <f>IF(OR(AA173="",AH173=""),"",AA173-AH173)</f>
        <v>0</v>
      </c>
      <c r="AJ173" s="31">
        <f>IF(AA173="","",AA173+ROW()/1000000)</f>
        <v>0</v>
      </c>
      <c r="AK173" s="23">
        <f>IF(AA173="","",RANK(AJ173,Performance!$AJ$5:$AJ$404))</f>
        <v>0</v>
      </c>
      <c r="AL173" s="29">
        <f>IF(AA173="","",IF(AA173&gt;=AH173*1.5,"Top performer",IF(AA173&gt;=AH173,"Above target",IF(AA173&gt;=AH173*0.6,"Below target","Weak - review it"))))</f>
        <v>0</v>
      </c>
      <c r="AM173" s="29">
        <f>IF(B173="","",IF(COUNTIF(Performance!$B$5:$B$404,B173)&gt;1,"Duplicate","OK"))</f>
        <v>0</v>
      </c>
      <c r="AN173" s="29">
        <f>IF(B173="","",IF(C173="Not found","Check - content ID not on the calendar",IF(O173="","Add - no numbers entered yet",IF(AM173="Duplicate","Duplicate - this post is entered twice",IF(AL173="Top performer","Repurpose this one","OK")))))</f>
        <v>0</v>
      </c>
    </row>
    <row r="174" spans="1:40">
      <c r="A174" s="41">
        <f>IF(B174="","","PF-"&amp;TEXT(ROW()-4,"0000"))</f>
        <v>0</v>
      </c>
      <c r="C174" s="17">
        <f>IF(B174="","",IFERROR(INDEX('Content Calendar'!$H$5:$H$604,MATCH(B174,'Content Calendar'!$A$5:$A$604,0)),"Not found"))</f>
        <v>0</v>
      </c>
      <c r="D174" s="16">
        <f>IF(B174="","",IFERROR(INDEX('Content Calendar'!$B$5:$B$604,MATCH(B174,'Content Calendar'!$A$5:$A$604,0)),"Not found"))</f>
        <v>0</v>
      </c>
      <c r="E174" s="17">
        <f>IF(B174="","",IFERROR(INDEX('Content Calendar'!$D$5:$D$604,MATCH(B174,'Content Calendar'!$A$5:$A$604,0)),"Not found"))</f>
        <v>0</v>
      </c>
      <c r="F174" s="17">
        <f>IF(B174="","",IFERROR(INDEX('Content Calendar'!$G$5:$G$604,MATCH(B174,'Content Calendar'!$A$5:$A$604,0)),"Not found"))</f>
        <v>0</v>
      </c>
      <c r="G174" s="17">
        <f>IF(B174="","",IFERROR(INDEX('Content Calendar'!$K$5:$K$604,MATCH(B174,'Content Calendar'!$A$5:$A$604,0)),"Not found"))</f>
        <v>0</v>
      </c>
      <c r="H174" s="17">
        <f>IF(B174="","",IFERROR(INDEX('Content Calendar'!$J$5:$J$604,MATCH(B174,'Content Calendar'!$A$5:$A$604,0)),"Not found"))</f>
        <v>0</v>
      </c>
      <c r="I174" s="17">
        <f>IF(B174="","",IFERROR(INDEX('Content Calendar'!$L$5:$L$604,MATCH(B174,'Content Calendar'!$A$5:$A$604,0)),"Not found"))</f>
        <v>0</v>
      </c>
      <c r="J174" s="17">
        <f>IF(B174="","",IFERROR(INDEX('Content Calendar'!$P$5:$P$604,MATCH(B174,'Content Calendar'!$A$5:$A$604,0)),"Not found"))</f>
        <v>0</v>
      </c>
      <c r="K174" s="17">
        <f>IF(B174="","",IFERROR(INDEX('Content Calendar'!$O$5:$O$604,MATCH(B174,'Content Calendar'!$A$5:$A$604,0)),"Not found"))</f>
        <v>0</v>
      </c>
      <c r="L174" s="17">
        <f>IF(B174="","",IFERROR(INDEX('Content Calendar'!$N$5:$N$604,MATCH(B174,'Content Calendar'!$A$5:$A$604,0)),"Not found"))</f>
        <v>0</v>
      </c>
      <c r="M174" s="17">
        <f>IF(B174="","",IFERROR(INDEX('Content Calendar'!$C$5:$C$604,MATCH(B174,'Content Calendar'!$A$5:$A$604,0)),"Not found"))</f>
        <v>0</v>
      </c>
      <c r="N174" s="17">
        <f>IF(B174="","",IFERROR(INDEX('Content Calendar'!$F$5:$F$604,MATCH(B174,'Content Calendar'!$A$5:$A$604,0)),"Not found"))</f>
        <v>0</v>
      </c>
      <c r="Z174" s="23">
        <f>IF(O174="","",N(Q174)+N(R174)+N(S174)+N(T174))</f>
        <v>0</v>
      </c>
      <c r="AA174" s="24">
        <f>IF(OR(O174="",O174=0),"",Z174/O174)</f>
        <v>0</v>
      </c>
      <c r="AB174" s="24">
        <f>IF(OR(O174="",O174=0),"",N(T174)/O174)</f>
        <v>0</v>
      </c>
      <c r="AC174" s="24">
        <f>IF(OR(O174="",O174=0),"",N(S174)/O174)</f>
        <v>0</v>
      </c>
      <c r="AD174" s="24">
        <f>IF(OR(O174="",O174=0),"",N(R174)/O174)</f>
        <v>0</v>
      </c>
      <c r="AE174" s="24">
        <f>IF(OR(O174="",O174=0),"",N(U174)/O174)</f>
        <v>0</v>
      </c>
      <c r="AF174" s="24">
        <f>IF(OR(U174="",U174=0),"",N(W174)/U174)</f>
        <v>0</v>
      </c>
      <c r="AG174" s="25">
        <f>IF(OR(O174="",O174=0),"",N(X174)/(O174/1000))</f>
        <v>0</v>
      </c>
      <c r="AH174" s="24">
        <f>IF(O174="","",IF(Y174="",TargetEngagement,Y174))</f>
        <v>0</v>
      </c>
      <c r="AI174" s="24">
        <f>IF(OR(AA174="",AH174=""),"",AA174-AH174)</f>
        <v>0</v>
      </c>
      <c r="AJ174" s="31">
        <f>IF(AA174="","",AA174+ROW()/1000000)</f>
        <v>0</v>
      </c>
      <c r="AK174" s="23">
        <f>IF(AA174="","",RANK(AJ174,Performance!$AJ$5:$AJ$404))</f>
        <v>0</v>
      </c>
      <c r="AL174" s="29">
        <f>IF(AA174="","",IF(AA174&gt;=AH174*1.5,"Top performer",IF(AA174&gt;=AH174,"Above target",IF(AA174&gt;=AH174*0.6,"Below target","Weak - review it"))))</f>
        <v>0</v>
      </c>
      <c r="AM174" s="29">
        <f>IF(B174="","",IF(COUNTIF(Performance!$B$5:$B$404,B174)&gt;1,"Duplicate","OK"))</f>
        <v>0</v>
      </c>
      <c r="AN174" s="29">
        <f>IF(B174="","",IF(C174="Not found","Check - content ID not on the calendar",IF(O174="","Add - no numbers entered yet",IF(AM174="Duplicate","Duplicate - this post is entered twice",IF(AL174="Top performer","Repurpose this one","OK")))))</f>
        <v>0</v>
      </c>
    </row>
    <row r="175" spans="1:40">
      <c r="A175" s="41">
        <f>IF(B175="","","PF-"&amp;TEXT(ROW()-4,"0000"))</f>
        <v>0</v>
      </c>
      <c r="C175" s="17">
        <f>IF(B175="","",IFERROR(INDEX('Content Calendar'!$H$5:$H$604,MATCH(B175,'Content Calendar'!$A$5:$A$604,0)),"Not found"))</f>
        <v>0</v>
      </c>
      <c r="D175" s="16">
        <f>IF(B175="","",IFERROR(INDEX('Content Calendar'!$B$5:$B$604,MATCH(B175,'Content Calendar'!$A$5:$A$604,0)),"Not found"))</f>
        <v>0</v>
      </c>
      <c r="E175" s="17">
        <f>IF(B175="","",IFERROR(INDEX('Content Calendar'!$D$5:$D$604,MATCH(B175,'Content Calendar'!$A$5:$A$604,0)),"Not found"))</f>
        <v>0</v>
      </c>
      <c r="F175" s="17">
        <f>IF(B175="","",IFERROR(INDEX('Content Calendar'!$G$5:$G$604,MATCH(B175,'Content Calendar'!$A$5:$A$604,0)),"Not found"))</f>
        <v>0</v>
      </c>
      <c r="G175" s="17">
        <f>IF(B175="","",IFERROR(INDEX('Content Calendar'!$K$5:$K$604,MATCH(B175,'Content Calendar'!$A$5:$A$604,0)),"Not found"))</f>
        <v>0</v>
      </c>
      <c r="H175" s="17">
        <f>IF(B175="","",IFERROR(INDEX('Content Calendar'!$J$5:$J$604,MATCH(B175,'Content Calendar'!$A$5:$A$604,0)),"Not found"))</f>
        <v>0</v>
      </c>
      <c r="I175" s="17">
        <f>IF(B175="","",IFERROR(INDEX('Content Calendar'!$L$5:$L$604,MATCH(B175,'Content Calendar'!$A$5:$A$604,0)),"Not found"))</f>
        <v>0</v>
      </c>
      <c r="J175" s="17">
        <f>IF(B175="","",IFERROR(INDEX('Content Calendar'!$P$5:$P$604,MATCH(B175,'Content Calendar'!$A$5:$A$604,0)),"Not found"))</f>
        <v>0</v>
      </c>
      <c r="K175" s="17">
        <f>IF(B175="","",IFERROR(INDEX('Content Calendar'!$O$5:$O$604,MATCH(B175,'Content Calendar'!$A$5:$A$604,0)),"Not found"))</f>
        <v>0</v>
      </c>
      <c r="L175" s="17">
        <f>IF(B175="","",IFERROR(INDEX('Content Calendar'!$N$5:$N$604,MATCH(B175,'Content Calendar'!$A$5:$A$604,0)),"Not found"))</f>
        <v>0</v>
      </c>
      <c r="M175" s="17">
        <f>IF(B175="","",IFERROR(INDEX('Content Calendar'!$C$5:$C$604,MATCH(B175,'Content Calendar'!$A$5:$A$604,0)),"Not found"))</f>
        <v>0</v>
      </c>
      <c r="N175" s="17">
        <f>IF(B175="","",IFERROR(INDEX('Content Calendar'!$F$5:$F$604,MATCH(B175,'Content Calendar'!$A$5:$A$604,0)),"Not found"))</f>
        <v>0</v>
      </c>
      <c r="Z175" s="23">
        <f>IF(O175="","",N(Q175)+N(R175)+N(S175)+N(T175))</f>
        <v>0</v>
      </c>
      <c r="AA175" s="24">
        <f>IF(OR(O175="",O175=0),"",Z175/O175)</f>
        <v>0</v>
      </c>
      <c r="AB175" s="24">
        <f>IF(OR(O175="",O175=0),"",N(T175)/O175)</f>
        <v>0</v>
      </c>
      <c r="AC175" s="24">
        <f>IF(OR(O175="",O175=0),"",N(S175)/O175)</f>
        <v>0</v>
      </c>
      <c r="AD175" s="24">
        <f>IF(OR(O175="",O175=0),"",N(R175)/O175)</f>
        <v>0</v>
      </c>
      <c r="AE175" s="24">
        <f>IF(OR(O175="",O175=0),"",N(U175)/O175)</f>
        <v>0</v>
      </c>
      <c r="AF175" s="24">
        <f>IF(OR(U175="",U175=0),"",N(W175)/U175)</f>
        <v>0</v>
      </c>
      <c r="AG175" s="25">
        <f>IF(OR(O175="",O175=0),"",N(X175)/(O175/1000))</f>
        <v>0</v>
      </c>
      <c r="AH175" s="24">
        <f>IF(O175="","",IF(Y175="",TargetEngagement,Y175))</f>
        <v>0</v>
      </c>
      <c r="AI175" s="24">
        <f>IF(OR(AA175="",AH175=""),"",AA175-AH175)</f>
        <v>0</v>
      </c>
      <c r="AJ175" s="31">
        <f>IF(AA175="","",AA175+ROW()/1000000)</f>
        <v>0</v>
      </c>
      <c r="AK175" s="23">
        <f>IF(AA175="","",RANK(AJ175,Performance!$AJ$5:$AJ$404))</f>
        <v>0</v>
      </c>
      <c r="AL175" s="29">
        <f>IF(AA175="","",IF(AA175&gt;=AH175*1.5,"Top performer",IF(AA175&gt;=AH175,"Above target",IF(AA175&gt;=AH175*0.6,"Below target","Weak - review it"))))</f>
        <v>0</v>
      </c>
      <c r="AM175" s="29">
        <f>IF(B175="","",IF(COUNTIF(Performance!$B$5:$B$404,B175)&gt;1,"Duplicate","OK"))</f>
        <v>0</v>
      </c>
      <c r="AN175" s="29">
        <f>IF(B175="","",IF(C175="Not found","Check - content ID not on the calendar",IF(O175="","Add - no numbers entered yet",IF(AM175="Duplicate","Duplicate - this post is entered twice",IF(AL175="Top performer","Repurpose this one","OK")))))</f>
        <v>0</v>
      </c>
    </row>
    <row r="176" spans="1:40">
      <c r="A176" s="41">
        <f>IF(B176="","","PF-"&amp;TEXT(ROW()-4,"0000"))</f>
        <v>0</v>
      </c>
      <c r="C176" s="17">
        <f>IF(B176="","",IFERROR(INDEX('Content Calendar'!$H$5:$H$604,MATCH(B176,'Content Calendar'!$A$5:$A$604,0)),"Not found"))</f>
        <v>0</v>
      </c>
      <c r="D176" s="16">
        <f>IF(B176="","",IFERROR(INDEX('Content Calendar'!$B$5:$B$604,MATCH(B176,'Content Calendar'!$A$5:$A$604,0)),"Not found"))</f>
        <v>0</v>
      </c>
      <c r="E176" s="17">
        <f>IF(B176="","",IFERROR(INDEX('Content Calendar'!$D$5:$D$604,MATCH(B176,'Content Calendar'!$A$5:$A$604,0)),"Not found"))</f>
        <v>0</v>
      </c>
      <c r="F176" s="17">
        <f>IF(B176="","",IFERROR(INDEX('Content Calendar'!$G$5:$G$604,MATCH(B176,'Content Calendar'!$A$5:$A$604,0)),"Not found"))</f>
        <v>0</v>
      </c>
      <c r="G176" s="17">
        <f>IF(B176="","",IFERROR(INDEX('Content Calendar'!$K$5:$K$604,MATCH(B176,'Content Calendar'!$A$5:$A$604,0)),"Not found"))</f>
        <v>0</v>
      </c>
      <c r="H176" s="17">
        <f>IF(B176="","",IFERROR(INDEX('Content Calendar'!$J$5:$J$604,MATCH(B176,'Content Calendar'!$A$5:$A$604,0)),"Not found"))</f>
        <v>0</v>
      </c>
      <c r="I176" s="17">
        <f>IF(B176="","",IFERROR(INDEX('Content Calendar'!$L$5:$L$604,MATCH(B176,'Content Calendar'!$A$5:$A$604,0)),"Not found"))</f>
        <v>0</v>
      </c>
      <c r="J176" s="17">
        <f>IF(B176="","",IFERROR(INDEX('Content Calendar'!$P$5:$P$604,MATCH(B176,'Content Calendar'!$A$5:$A$604,0)),"Not found"))</f>
        <v>0</v>
      </c>
      <c r="K176" s="17">
        <f>IF(B176="","",IFERROR(INDEX('Content Calendar'!$O$5:$O$604,MATCH(B176,'Content Calendar'!$A$5:$A$604,0)),"Not found"))</f>
        <v>0</v>
      </c>
      <c r="L176" s="17">
        <f>IF(B176="","",IFERROR(INDEX('Content Calendar'!$N$5:$N$604,MATCH(B176,'Content Calendar'!$A$5:$A$604,0)),"Not found"))</f>
        <v>0</v>
      </c>
      <c r="M176" s="17">
        <f>IF(B176="","",IFERROR(INDEX('Content Calendar'!$C$5:$C$604,MATCH(B176,'Content Calendar'!$A$5:$A$604,0)),"Not found"))</f>
        <v>0</v>
      </c>
      <c r="N176" s="17">
        <f>IF(B176="","",IFERROR(INDEX('Content Calendar'!$F$5:$F$604,MATCH(B176,'Content Calendar'!$A$5:$A$604,0)),"Not found"))</f>
        <v>0</v>
      </c>
      <c r="Z176" s="23">
        <f>IF(O176="","",N(Q176)+N(R176)+N(S176)+N(T176))</f>
        <v>0</v>
      </c>
      <c r="AA176" s="24">
        <f>IF(OR(O176="",O176=0),"",Z176/O176)</f>
        <v>0</v>
      </c>
      <c r="AB176" s="24">
        <f>IF(OR(O176="",O176=0),"",N(T176)/O176)</f>
        <v>0</v>
      </c>
      <c r="AC176" s="24">
        <f>IF(OR(O176="",O176=0),"",N(S176)/O176)</f>
        <v>0</v>
      </c>
      <c r="AD176" s="24">
        <f>IF(OR(O176="",O176=0),"",N(R176)/O176)</f>
        <v>0</v>
      </c>
      <c r="AE176" s="24">
        <f>IF(OR(O176="",O176=0),"",N(U176)/O176)</f>
        <v>0</v>
      </c>
      <c r="AF176" s="24">
        <f>IF(OR(U176="",U176=0),"",N(W176)/U176)</f>
        <v>0</v>
      </c>
      <c r="AG176" s="25">
        <f>IF(OR(O176="",O176=0),"",N(X176)/(O176/1000))</f>
        <v>0</v>
      </c>
      <c r="AH176" s="24">
        <f>IF(O176="","",IF(Y176="",TargetEngagement,Y176))</f>
        <v>0</v>
      </c>
      <c r="AI176" s="24">
        <f>IF(OR(AA176="",AH176=""),"",AA176-AH176)</f>
        <v>0</v>
      </c>
      <c r="AJ176" s="31">
        <f>IF(AA176="","",AA176+ROW()/1000000)</f>
        <v>0</v>
      </c>
      <c r="AK176" s="23">
        <f>IF(AA176="","",RANK(AJ176,Performance!$AJ$5:$AJ$404))</f>
        <v>0</v>
      </c>
      <c r="AL176" s="29">
        <f>IF(AA176="","",IF(AA176&gt;=AH176*1.5,"Top performer",IF(AA176&gt;=AH176,"Above target",IF(AA176&gt;=AH176*0.6,"Below target","Weak - review it"))))</f>
        <v>0</v>
      </c>
      <c r="AM176" s="29">
        <f>IF(B176="","",IF(COUNTIF(Performance!$B$5:$B$404,B176)&gt;1,"Duplicate","OK"))</f>
        <v>0</v>
      </c>
      <c r="AN176" s="29">
        <f>IF(B176="","",IF(C176="Not found","Check - content ID not on the calendar",IF(O176="","Add - no numbers entered yet",IF(AM176="Duplicate","Duplicate - this post is entered twice",IF(AL176="Top performer","Repurpose this one","OK")))))</f>
        <v>0</v>
      </c>
    </row>
    <row r="177" spans="1:40">
      <c r="A177" s="41">
        <f>IF(B177="","","PF-"&amp;TEXT(ROW()-4,"0000"))</f>
        <v>0</v>
      </c>
      <c r="C177" s="17">
        <f>IF(B177="","",IFERROR(INDEX('Content Calendar'!$H$5:$H$604,MATCH(B177,'Content Calendar'!$A$5:$A$604,0)),"Not found"))</f>
        <v>0</v>
      </c>
      <c r="D177" s="16">
        <f>IF(B177="","",IFERROR(INDEX('Content Calendar'!$B$5:$B$604,MATCH(B177,'Content Calendar'!$A$5:$A$604,0)),"Not found"))</f>
        <v>0</v>
      </c>
      <c r="E177" s="17">
        <f>IF(B177="","",IFERROR(INDEX('Content Calendar'!$D$5:$D$604,MATCH(B177,'Content Calendar'!$A$5:$A$604,0)),"Not found"))</f>
        <v>0</v>
      </c>
      <c r="F177" s="17">
        <f>IF(B177="","",IFERROR(INDEX('Content Calendar'!$G$5:$G$604,MATCH(B177,'Content Calendar'!$A$5:$A$604,0)),"Not found"))</f>
        <v>0</v>
      </c>
      <c r="G177" s="17">
        <f>IF(B177="","",IFERROR(INDEX('Content Calendar'!$K$5:$K$604,MATCH(B177,'Content Calendar'!$A$5:$A$604,0)),"Not found"))</f>
        <v>0</v>
      </c>
      <c r="H177" s="17">
        <f>IF(B177="","",IFERROR(INDEX('Content Calendar'!$J$5:$J$604,MATCH(B177,'Content Calendar'!$A$5:$A$604,0)),"Not found"))</f>
        <v>0</v>
      </c>
      <c r="I177" s="17">
        <f>IF(B177="","",IFERROR(INDEX('Content Calendar'!$L$5:$L$604,MATCH(B177,'Content Calendar'!$A$5:$A$604,0)),"Not found"))</f>
        <v>0</v>
      </c>
      <c r="J177" s="17">
        <f>IF(B177="","",IFERROR(INDEX('Content Calendar'!$P$5:$P$604,MATCH(B177,'Content Calendar'!$A$5:$A$604,0)),"Not found"))</f>
        <v>0</v>
      </c>
      <c r="K177" s="17">
        <f>IF(B177="","",IFERROR(INDEX('Content Calendar'!$O$5:$O$604,MATCH(B177,'Content Calendar'!$A$5:$A$604,0)),"Not found"))</f>
        <v>0</v>
      </c>
      <c r="L177" s="17">
        <f>IF(B177="","",IFERROR(INDEX('Content Calendar'!$N$5:$N$604,MATCH(B177,'Content Calendar'!$A$5:$A$604,0)),"Not found"))</f>
        <v>0</v>
      </c>
      <c r="M177" s="17">
        <f>IF(B177="","",IFERROR(INDEX('Content Calendar'!$C$5:$C$604,MATCH(B177,'Content Calendar'!$A$5:$A$604,0)),"Not found"))</f>
        <v>0</v>
      </c>
      <c r="N177" s="17">
        <f>IF(B177="","",IFERROR(INDEX('Content Calendar'!$F$5:$F$604,MATCH(B177,'Content Calendar'!$A$5:$A$604,0)),"Not found"))</f>
        <v>0</v>
      </c>
      <c r="Z177" s="23">
        <f>IF(O177="","",N(Q177)+N(R177)+N(S177)+N(T177))</f>
        <v>0</v>
      </c>
      <c r="AA177" s="24">
        <f>IF(OR(O177="",O177=0),"",Z177/O177)</f>
        <v>0</v>
      </c>
      <c r="AB177" s="24">
        <f>IF(OR(O177="",O177=0),"",N(T177)/O177)</f>
        <v>0</v>
      </c>
      <c r="AC177" s="24">
        <f>IF(OR(O177="",O177=0),"",N(S177)/O177)</f>
        <v>0</v>
      </c>
      <c r="AD177" s="24">
        <f>IF(OR(O177="",O177=0),"",N(R177)/O177)</f>
        <v>0</v>
      </c>
      <c r="AE177" s="24">
        <f>IF(OR(O177="",O177=0),"",N(U177)/O177)</f>
        <v>0</v>
      </c>
      <c r="AF177" s="24">
        <f>IF(OR(U177="",U177=0),"",N(W177)/U177)</f>
        <v>0</v>
      </c>
      <c r="AG177" s="25">
        <f>IF(OR(O177="",O177=0),"",N(X177)/(O177/1000))</f>
        <v>0</v>
      </c>
      <c r="AH177" s="24">
        <f>IF(O177="","",IF(Y177="",TargetEngagement,Y177))</f>
        <v>0</v>
      </c>
      <c r="AI177" s="24">
        <f>IF(OR(AA177="",AH177=""),"",AA177-AH177)</f>
        <v>0</v>
      </c>
      <c r="AJ177" s="31">
        <f>IF(AA177="","",AA177+ROW()/1000000)</f>
        <v>0</v>
      </c>
      <c r="AK177" s="23">
        <f>IF(AA177="","",RANK(AJ177,Performance!$AJ$5:$AJ$404))</f>
        <v>0</v>
      </c>
      <c r="AL177" s="29">
        <f>IF(AA177="","",IF(AA177&gt;=AH177*1.5,"Top performer",IF(AA177&gt;=AH177,"Above target",IF(AA177&gt;=AH177*0.6,"Below target","Weak - review it"))))</f>
        <v>0</v>
      </c>
      <c r="AM177" s="29">
        <f>IF(B177="","",IF(COUNTIF(Performance!$B$5:$B$404,B177)&gt;1,"Duplicate","OK"))</f>
        <v>0</v>
      </c>
      <c r="AN177" s="29">
        <f>IF(B177="","",IF(C177="Not found","Check - content ID not on the calendar",IF(O177="","Add - no numbers entered yet",IF(AM177="Duplicate","Duplicate - this post is entered twice",IF(AL177="Top performer","Repurpose this one","OK")))))</f>
        <v>0</v>
      </c>
    </row>
    <row r="178" spans="1:40">
      <c r="A178" s="41">
        <f>IF(B178="","","PF-"&amp;TEXT(ROW()-4,"0000"))</f>
        <v>0</v>
      </c>
      <c r="C178" s="17">
        <f>IF(B178="","",IFERROR(INDEX('Content Calendar'!$H$5:$H$604,MATCH(B178,'Content Calendar'!$A$5:$A$604,0)),"Not found"))</f>
        <v>0</v>
      </c>
      <c r="D178" s="16">
        <f>IF(B178="","",IFERROR(INDEX('Content Calendar'!$B$5:$B$604,MATCH(B178,'Content Calendar'!$A$5:$A$604,0)),"Not found"))</f>
        <v>0</v>
      </c>
      <c r="E178" s="17">
        <f>IF(B178="","",IFERROR(INDEX('Content Calendar'!$D$5:$D$604,MATCH(B178,'Content Calendar'!$A$5:$A$604,0)),"Not found"))</f>
        <v>0</v>
      </c>
      <c r="F178" s="17">
        <f>IF(B178="","",IFERROR(INDEX('Content Calendar'!$G$5:$G$604,MATCH(B178,'Content Calendar'!$A$5:$A$604,0)),"Not found"))</f>
        <v>0</v>
      </c>
      <c r="G178" s="17">
        <f>IF(B178="","",IFERROR(INDEX('Content Calendar'!$K$5:$K$604,MATCH(B178,'Content Calendar'!$A$5:$A$604,0)),"Not found"))</f>
        <v>0</v>
      </c>
      <c r="H178" s="17">
        <f>IF(B178="","",IFERROR(INDEX('Content Calendar'!$J$5:$J$604,MATCH(B178,'Content Calendar'!$A$5:$A$604,0)),"Not found"))</f>
        <v>0</v>
      </c>
      <c r="I178" s="17">
        <f>IF(B178="","",IFERROR(INDEX('Content Calendar'!$L$5:$L$604,MATCH(B178,'Content Calendar'!$A$5:$A$604,0)),"Not found"))</f>
        <v>0</v>
      </c>
      <c r="J178" s="17">
        <f>IF(B178="","",IFERROR(INDEX('Content Calendar'!$P$5:$P$604,MATCH(B178,'Content Calendar'!$A$5:$A$604,0)),"Not found"))</f>
        <v>0</v>
      </c>
      <c r="K178" s="17">
        <f>IF(B178="","",IFERROR(INDEX('Content Calendar'!$O$5:$O$604,MATCH(B178,'Content Calendar'!$A$5:$A$604,0)),"Not found"))</f>
        <v>0</v>
      </c>
      <c r="L178" s="17">
        <f>IF(B178="","",IFERROR(INDEX('Content Calendar'!$N$5:$N$604,MATCH(B178,'Content Calendar'!$A$5:$A$604,0)),"Not found"))</f>
        <v>0</v>
      </c>
      <c r="M178" s="17">
        <f>IF(B178="","",IFERROR(INDEX('Content Calendar'!$C$5:$C$604,MATCH(B178,'Content Calendar'!$A$5:$A$604,0)),"Not found"))</f>
        <v>0</v>
      </c>
      <c r="N178" s="17">
        <f>IF(B178="","",IFERROR(INDEX('Content Calendar'!$F$5:$F$604,MATCH(B178,'Content Calendar'!$A$5:$A$604,0)),"Not found"))</f>
        <v>0</v>
      </c>
      <c r="Z178" s="23">
        <f>IF(O178="","",N(Q178)+N(R178)+N(S178)+N(T178))</f>
        <v>0</v>
      </c>
      <c r="AA178" s="24">
        <f>IF(OR(O178="",O178=0),"",Z178/O178)</f>
        <v>0</v>
      </c>
      <c r="AB178" s="24">
        <f>IF(OR(O178="",O178=0),"",N(T178)/O178)</f>
        <v>0</v>
      </c>
      <c r="AC178" s="24">
        <f>IF(OR(O178="",O178=0),"",N(S178)/O178)</f>
        <v>0</v>
      </c>
      <c r="AD178" s="24">
        <f>IF(OR(O178="",O178=0),"",N(R178)/O178)</f>
        <v>0</v>
      </c>
      <c r="AE178" s="24">
        <f>IF(OR(O178="",O178=0),"",N(U178)/O178)</f>
        <v>0</v>
      </c>
      <c r="AF178" s="24">
        <f>IF(OR(U178="",U178=0),"",N(W178)/U178)</f>
        <v>0</v>
      </c>
      <c r="AG178" s="25">
        <f>IF(OR(O178="",O178=0),"",N(X178)/(O178/1000))</f>
        <v>0</v>
      </c>
      <c r="AH178" s="24">
        <f>IF(O178="","",IF(Y178="",TargetEngagement,Y178))</f>
        <v>0</v>
      </c>
      <c r="AI178" s="24">
        <f>IF(OR(AA178="",AH178=""),"",AA178-AH178)</f>
        <v>0</v>
      </c>
      <c r="AJ178" s="31">
        <f>IF(AA178="","",AA178+ROW()/1000000)</f>
        <v>0</v>
      </c>
      <c r="AK178" s="23">
        <f>IF(AA178="","",RANK(AJ178,Performance!$AJ$5:$AJ$404))</f>
        <v>0</v>
      </c>
      <c r="AL178" s="29">
        <f>IF(AA178="","",IF(AA178&gt;=AH178*1.5,"Top performer",IF(AA178&gt;=AH178,"Above target",IF(AA178&gt;=AH178*0.6,"Below target","Weak - review it"))))</f>
        <v>0</v>
      </c>
      <c r="AM178" s="29">
        <f>IF(B178="","",IF(COUNTIF(Performance!$B$5:$B$404,B178)&gt;1,"Duplicate","OK"))</f>
        <v>0</v>
      </c>
      <c r="AN178" s="29">
        <f>IF(B178="","",IF(C178="Not found","Check - content ID not on the calendar",IF(O178="","Add - no numbers entered yet",IF(AM178="Duplicate","Duplicate - this post is entered twice",IF(AL178="Top performer","Repurpose this one","OK")))))</f>
        <v>0</v>
      </c>
    </row>
    <row r="179" spans="1:40">
      <c r="A179" s="41">
        <f>IF(B179="","","PF-"&amp;TEXT(ROW()-4,"0000"))</f>
        <v>0</v>
      </c>
      <c r="C179" s="17">
        <f>IF(B179="","",IFERROR(INDEX('Content Calendar'!$H$5:$H$604,MATCH(B179,'Content Calendar'!$A$5:$A$604,0)),"Not found"))</f>
        <v>0</v>
      </c>
      <c r="D179" s="16">
        <f>IF(B179="","",IFERROR(INDEX('Content Calendar'!$B$5:$B$604,MATCH(B179,'Content Calendar'!$A$5:$A$604,0)),"Not found"))</f>
        <v>0</v>
      </c>
      <c r="E179" s="17">
        <f>IF(B179="","",IFERROR(INDEX('Content Calendar'!$D$5:$D$604,MATCH(B179,'Content Calendar'!$A$5:$A$604,0)),"Not found"))</f>
        <v>0</v>
      </c>
      <c r="F179" s="17">
        <f>IF(B179="","",IFERROR(INDEX('Content Calendar'!$G$5:$G$604,MATCH(B179,'Content Calendar'!$A$5:$A$604,0)),"Not found"))</f>
        <v>0</v>
      </c>
      <c r="G179" s="17">
        <f>IF(B179="","",IFERROR(INDEX('Content Calendar'!$K$5:$K$604,MATCH(B179,'Content Calendar'!$A$5:$A$604,0)),"Not found"))</f>
        <v>0</v>
      </c>
      <c r="H179" s="17">
        <f>IF(B179="","",IFERROR(INDEX('Content Calendar'!$J$5:$J$604,MATCH(B179,'Content Calendar'!$A$5:$A$604,0)),"Not found"))</f>
        <v>0</v>
      </c>
      <c r="I179" s="17">
        <f>IF(B179="","",IFERROR(INDEX('Content Calendar'!$L$5:$L$604,MATCH(B179,'Content Calendar'!$A$5:$A$604,0)),"Not found"))</f>
        <v>0</v>
      </c>
      <c r="J179" s="17">
        <f>IF(B179="","",IFERROR(INDEX('Content Calendar'!$P$5:$P$604,MATCH(B179,'Content Calendar'!$A$5:$A$604,0)),"Not found"))</f>
        <v>0</v>
      </c>
      <c r="K179" s="17">
        <f>IF(B179="","",IFERROR(INDEX('Content Calendar'!$O$5:$O$604,MATCH(B179,'Content Calendar'!$A$5:$A$604,0)),"Not found"))</f>
        <v>0</v>
      </c>
      <c r="L179" s="17">
        <f>IF(B179="","",IFERROR(INDEX('Content Calendar'!$N$5:$N$604,MATCH(B179,'Content Calendar'!$A$5:$A$604,0)),"Not found"))</f>
        <v>0</v>
      </c>
      <c r="M179" s="17">
        <f>IF(B179="","",IFERROR(INDEX('Content Calendar'!$C$5:$C$604,MATCH(B179,'Content Calendar'!$A$5:$A$604,0)),"Not found"))</f>
        <v>0</v>
      </c>
      <c r="N179" s="17">
        <f>IF(B179="","",IFERROR(INDEX('Content Calendar'!$F$5:$F$604,MATCH(B179,'Content Calendar'!$A$5:$A$604,0)),"Not found"))</f>
        <v>0</v>
      </c>
      <c r="Z179" s="23">
        <f>IF(O179="","",N(Q179)+N(R179)+N(S179)+N(T179))</f>
        <v>0</v>
      </c>
      <c r="AA179" s="24">
        <f>IF(OR(O179="",O179=0),"",Z179/O179)</f>
        <v>0</v>
      </c>
      <c r="AB179" s="24">
        <f>IF(OR(O179="",O179=0),"",N(T179)/O179)</f>
        <v>0</v>
      </c>
      <c r="AC179" s="24">
        <f>IF(OR(O179="",O179=0),"",N(S179)/O179)</f>
        <v>0</v>
      </c>
      <c r="AD179" s="24">
        <f>IF(OR(O179="",O179=0),"",N(R179)/O179)</f>
        <v>0</v>
      </c>
      <c r="AE179" s="24">
        <f>IF(OR(O179="",O179=0),"",N(U179)/O179)</f>
        <v>0</v>
      </c>
      <c r="AF179" s="24">
        <f>IF(OR(U179="",U179=0),"",N(W179)/U179)</f>
        <v>0</v>
      </c>
      <c r="AG179" s="25">
        <f>IF(OR(O179="",O179=0),"",N(X179)/(O179/1000))</f>
        <v>0</v>
      </c>
      <c r="AH179" s="24">
        <f>IF(O179="","",IF(Y179="",TargetEngagement,Y179))</f>
        <v>0</v>
      </c>
      <c r="AI179" s="24">
        <f>IF(OR(AA179="",AH179=""),"",AA179-AH179)</f>
        <v>0</v>
      </c>
      <c r="AJ179" s="31">
        <f>IF(AA179="","",AA179+ROW()/1000000)</f>
        <v>0</v>
      </c>
      <c r="AK179" s="23">
        <f>IF(AA179="","",RANK(AJ179,Performance!$AJ$5:$AJ$404))</f>
        <v>0</v>
      </c>
      <c r="AL179" s="29">
        <f>IF(AA179="","",IF(AA179&gt;=AH179*1.5,"Top performer",IF(AA179&gt;=AH179,"Above target",IF(AA179&gt;=AH179*0.6,"Below target","Weak - review it"))))</f>
        <v>0</v>
      </c>
      <c r="AM179" s="29">
        <f>IF(B179="","",IF(COUNTIF(Performance!$B$5:$B$404,B179)&gt;1,"Duplicate","OK"))</f>
        <v>0</v>
      </c>
      <c r="AN179" s="29">
        <f>IF(B179="","",IF(C179="Not found","Check - content ID not on the calendar",IF(O179="","Add - no numbers entered yet",IF(AM179="Duplicate","Duplicate - this post is entered twice",IF(AL179="Top performer","Repurpose this one","OK")))))</f>
        <v>0</v>
      </c>
    </row>
    <row r="180" spans="1:40">
      <c r="A180" s="41">
        <f>IF(B180="","","PF-"&amp;TEXT(ROW()-4,"0000"))</f>
        <v>0</v>
      </c>
      <c r="C180" s="17">
        <f>IF(B180="","",IFERROR(INDEX('Content Calendar'!$H$5:$H$604,MATCH(B180,'Content Calendar'!$A$5:$A$604,0)),"Not found"))</f>
        <v>0</v>
      </c>
      <c r="D180" s="16">
        <f>IF(B180="","",IFERROR(INDEX('Content Calendar'!$B$5:$B$604,MATCH(B180,'Content Calendar'!$A$5:$A$604,0)),"Not found"))</f>
        <v>0</v>
      </c>
      <c r="E180" s="17">
        <f>IF(B180="","",IFERROR(INDEX('Content Calendar'!$D$5:$D$604,MATCH(B180,'Content Calendar'!$A$5:$A$604,0)),"Not found"))</f>
        <v>0</v>
      </c>
      <c r="F180" s="17">
        <f>IF(B180="","",IFERROR(INDEX('Content Calendar'!$G$5:$G$604,MATCH(B180,'Content Calendar'!$A$5:$A$604,0)),"Not found"))</f>
        <v>0</v>
      </c>
      <c r="G180" s="17">
        <f>IF(B180="","",IFERROR(INDEX('Content Calendar'!$K$5:$K$604,MATCH(B180,'Content Calendar'!$A$5:$A$604,0)),"Not found"))</f>
        <v>0</v>
      </c>
      <c r="H180" s="17">
        <f>IF(B180="","",IFERROR(INDEX('Content Calendar'!$J$5:$J$604,MATCH(B180,'Content Calendar'!$A$5:$A$604,0)),"Not found"))</f>
        <v>0</v>
      </c>
      <c r="I180" s="17">
        <f>IF(B180="","",IFERROR(INDEX('Content Calendar'!$L$5:$L$604,MATCH(B180,'Content Calendar'!$A$5:$A$604,0)),"Not found"))</f>
        <v>0</v>
      </c>
      <c r="J180" s="17">
        <f>IF(B180="","",IFERROR(INDEX('Content Calendar'!$P$5:$P$604,MATCH(B180,'Content Calendar'!$A$5:$A$604,0)),"Not found"))</f>
        <v>0</v>
      </c>
      <c r="K180" s="17">
        <f>IF(B180="","",IFERROR(INDEX('Content Calendar'!$O$5:$O$604,MATCH(B180,'Content Calendar'!$A$5:$A$604,0)),"Not found"))</f>
        <v>0</v>
      </c>
      <c r="L180" s="17">
        <f>IF(B180="","",IFERROR(INDEX('Content Calendar'!$N$5:$N$604,MATCH(B180,'Content Calendar'!$A$5:$A$604,0)),"Not found"))</f>
        <v>0</v>
      </c>
      <c r="M180" s="17">
        <f>IF(B180="","",IFERROR(INDEX('Content Calendar'!$C$5:$C$604,MATCH(B180,'Content Calendar'!$A$5:$A$604,0)),"Not found"))</f>
        <v>0</v>
      </c>
      <c r="N180" s="17">
        <f>IF(B180="","",IFERROR(INDEX('Content Calendar'!$F$5:$F$604,MATCH(B180,'Content Calendar'!$A$5:$A$604,0)),"Not found"))</f>
        <v>0</v>
      </c>
      <c r="Z180" s="23">
        <f>IF(O180="","",N(Q180)+N(R180)+N(S180)+N(T180))</f>
        <v>0</v>
      </c>
      <c r="AA180" s="24">
        <f>IF(OR(O180="",O180=0),"",Z180/O180)</f>
        <v>0</v>
      </c>
      <c r="AB180" s="24">
        <f>IF(OR(O180="",O180=0),"",N(T180)/O180)</f>
        <v>0</v>
      </c>
      <c r="AC180" s="24">
        <f>IF(OR(O180="",O180=0),"",N(S180)/O180)</f>
        <v>0</v>
      </c>
      <c r="AD180" s="24">
        <f>IF(OR(O180="",O180=0),"",N(R180)/O180)</f>
        <v>0</v>
      </c>
      <c r="AE180" s="24">
        <f>IF(OR(O180="",O180=0),"",N(U180)/O180)</f>
        <v>0</v>
      </c>
      <c r="AF180" s="24">
        <f>IF(OR(U180="",U180=0),"",N(W180)/U180)</f>
        <v>0</v>
      </c>
      <c r="AG180" s="25">
        <f>IF(OR(O180="",O180=0),"",N(X180)/(O180/1000))</f>
        <v>0</v>
      </c>
      <c r="AH180" s="24">
        <f>IF(O180="","",IF(Y180="",TargetEngagement,Y180))</f>
        <v>0</v>
      </c>
      <c r="AI180" s="24">
        <f>IF(OR(AA180="",AH180=""),"",AA180-AH180)</f>
        <v>0</v>
      </c>
      <c r="AJ180" s="31">
        <f>IF(AA180="","",AA180+ROW()/1000000)</f>
        <v>0</v>
      </c>
      <c r="AK180" s="23">
        <f>IF(AA180="","",RANK(AJ180,Performance!$AJ$5:$AJ$404))</f>
        <v>0</v>
      </c>
      <c r="AL180" s="29">
        <f>IF(AA180="","",IF(AA180&gt;=AH180*1.5,"Top performer",IF(AA180&gt;=AH180,"Above target",IF(AA180&gt;=AH180*0.6,"Below target","Weak - review it"))))</f>
        <v>0</v>
      </c>
      <c r="AM180" s="29">
        <f>IF(B180="","",IF(COUNTIF(Performance!$B$5:$B$404,B180)&gt;1,"Duplicate","OK"))</f>
        <v>0</v>
      </c>
      <c r="AN180" s="29">
        <f>IF(B180="","",IF(C180="Not found","Check - content ID not on the calendar",IF(O180="","Add - no numbers entered yet",IF(AM180="Duplicate","Duplicate - this post is entered twice",IF(AL180="Top performer","Repurpose this one","OK")))))</f>
        <v>0</v>
      </c>
    </row>
    <row r="181" spans="1:40">
      <c r="A181" s="41">
        <f>IF(B181="","","PF-"&amp;TEXT(ROW()-4,"0000"))</f>
        <v>0</v>
      </c>
      <c r="C181" s="17">
        <f>IF(B181="","",IFERROR(INDEX('Content Calendar'!$H$5:$H$604,MATCH(B181,'Content Calendar'!$A$5:$A$604,0)),"Not found"))</f>
        <v>0</v>
      </c>
      <c r="D181" s="16">
        <f>IF(B181="","",IFERROR(INDEX('Content Calendar'!$B$5:$B$604,MATCH(B181,'Content Calendar'!$A$5:$A$604,0)),"Not found"))</f>
        <v>0</v>
      </c>
      <c r="E181" s="17">
        <f>IF(B181="","",IFERROR(INDEX('Content Calendar'!$D$5:$D$604,MATCH(B181,'Content Calendar'!$A$5:$A$604,0)),"Not found"))</f>
        <v>0</v>
      </c>
      <c r="F181" s="17">
        <f>IF(B181="","",IFERROR(INDEX('Content Calendar'!$G$5:$G$604,MATCH(B181,'Content Calendar'!$A$5:$A$604,0)),"Not found"))</f>
        <v>0</v>
      </c>
      <c r="G181" s="17">
        <f>IF(B181="","",IFERROR(INDEX('Content Calendar'!$K$5:$K$604,MATCH(B181,'Content Calendar'!$A$5:$A$604,0)),"Not found"))</f>
        <v>0</v>
      </c>
      <c r="H181" s="17">
        <f>IF(B181="","",IFERROR(INDEX('Content Calendar'!$J$5:$J$604,MATCH(B181,'Content Calendar'!$A$5:$A$604,0)),"Not found"))</f>
        <v>0</v>
      </c>
      <c r="I181" s="17">
        <f>IF(B181="","",IFERROR(INDEX('Content Calendar'!$L$5:$L$604,MATCH(B181,'Content Calendar'!$A$5:$A$604,0)),"Not found"))</f>
        <v>0</v>
      </c>
      <c r="J181" s="17">
        <f>IF(B181="","",IFERROR(INDEX('Content Calendar'!$P$5:$P$604,MATCH(B181,'Content Calendar'!$A$5:$A$604,0)),"Not found"))</f>
        <v>0</v>
      </c>
      <c r="K181" s="17">
        <f>IF(B181="","",IFERROR(INDEX('Content Calendar'!$O$5:$O$604,MATCH(B181,'Content Calendar'!$A$5:$A$604,0)),"Not found"))</f>
        <v>0</v>
      </c>
      <c r="L181" s="17">
        <f>IF(B181="","",IFERROR(INDEX('Content Calendar'!$N$5:$N$604,MATCH(B181,'Content Calendar'!$A$5:$A$604,0)),"Not found"))</f>
        <v>0</v>
      </c>
      <c r="M181" s="17">
        <f>IF(B181="","",IFERROR(INDEX('Content Calendar'!$C$5:$C$604,MATCH(B181,'Content Calendar'!$A$5:$A$604,0)),"Not found"))</f>
        <v>0</v>
      </c>
      <c r="N181" s="17">
        <f>IF(B181="","",IFERROR(INDEX('Content Calendar'!$F$5:$F$604,MATCH(B181,'Content Calendar'!$A$5:$A$604,0)),"Not found"))</f>
        <v>0</v>
      </c>
      <c r="Z181" s="23">
        <f>IF(O181="","",N(Q181)+N(R181)+N(S181)+N(T181))</f>
        <v>0</v>
      </c>
      <c r="AA181" s="24">
        <f>IF(OR(O181="",O181=0),"",Z181/O181)</f>
        <v>0</v>
      </c>
      <c r="AB181" s="24">
        <f>IF(OR(O181="",O181=0),"",N(T181)/O181)</f>
        <v>0</v>
      </c>
      <c r="AC181" s="24">
        <f>IF(OR(O181="",O181=0),"",N(S181)/O181)</f>
        <v>0</v>
      </c>
      <c r="AD181" s="24">
        <f>IF(OR(O181="",O181=0),"",N(R181)/O181)</f>
        <v>0</v>
      </c>
      <c r="AE181" s="24">
        <f>IF(OR(O181="",O181=0),"",N(U181)/O181)</f>
        <v>0</v>
      </c>
      <c r="AF181" s="24">
        <f>IF(OR(U181="",U181=0),"",N(W181)/U181)</f>
        <v>0</v>
      </c>
      <c r="AG181" s="25">
        <f>IF(OR(O181="",O181=0),"",N(X181)/(O181/1000))</f>
        <v>0</v>
      </c>
      <c r="AH181" s="24">
        <f>IF(O181="","",IF(Y181="",TargetEngagement,Y181))</f>
        <v>0</v>
      </c>
      <c r="AI181" s="24">
        <f>IF(OR(AA181="",AH181=""),"",AA181-AH181)</f>
        <v>0</v>
      </c>
      <c r="AJ181" s="31">
        <f>IF(AA181="","",AA181+ROW()/1000000)</f>
        <v>0</v>
      </c>
      <c r="AK181" s="23">
        <f>IF(AA181="","",RANK(AJ181,Performance!$AJ$5:$AJ$404))</f>
        <v>0</v>
      </c>
      <c r="AL181" s="29">
        <f>IF(AA181="","",IF(AA181&gt;=AH181*1.5,"Top performer",IF(AA181&gt;=AH181,"Above target",IF(AA181&gt;=AH181*0.6,"Below target","Weak - review it"))))</f>
        <v>0</v>
      </c>
      <c r="AM181" s="29">
        <f>IF(B181="","",IF(COUNTIF(Performance!$B$5:$B$404,B181)&gt;1,"Duplicate","OK"))</f>
        <v>0</v>
      </c>
      <c r="AN181" s="29">
        <f>IF(B181="","",IF(C181="Not found","Check - content ID not on the calendar",IF(O181="","Add - no numbers entered yet",IF(AM181="Duplicate","Duplicate - this post is entered twice",IF(AL181="Top performer","Repurpose this one","OK")))))</f>
        <v>0</v>
      </c>
    </row>
    <row r="182" spans="1:40">
      <c r="A182" s="41">
        <f>IF(B182="","","PF-"&amp;TEXT(ROW()-4,"0000"))</f>
        <v>0</v>
      </c>
      <c r="C182" s="17">
        <f>IF(B182="","",IFERROR(INDEX('Content Calendar'!$H$5:$H$604,MATCH(B182,'Content Calendar'!$A$5:$A$604,0)),"Not found"))</f>
        <v>0</v>
      </c>
      <c r="D182" s="16">
        <f>IF(B182="","",IFERROR(INDEX('Content Calendar'!$B$5:$B$604,MATCH(B182,'Content Calendar'!$A$5:$A$604,0)),"Not found"))</f>
        <v>0</v>
      </c>
      <c r="E182" s="17">
        <f>IF(B182="","",IFERROR(INDEX('Content Calendar'!$D$5:$D$604,MATCH(B182,'Content Calendar'!$A$5:$A$604,0)),"Not found"))</f>
        <v>0</v>
      </c>
      <c r="F182" s="17">
        <f>IF(B182="","",IFERROR(INDEX('Content Calendar'!$G$5:$G$604,MATCH(B182,'Content Calendar'!$A$5:$A$604,0)),"Not found"))</f>
        <v>0</v>
      </c>
      <c r="G182" s="17">
        <f>IF(B182="","",IFERROR(INDEX('Content Calendar'!$K$5:$K$604,MATCH(B182,'Content Calendar'!$A$5:$A$604,0)),"Not found"))</f>
        <v>0</v>
      </c>
      <c r="H182" s="17">
        <f>IF(B182="","",IFERROR(INDEX('Content Calendar'!$J$5:$J$604,MATCH(B182,'Content Calendar'!$A$5:$A$604,0)),"Not found"))</f>
        <v>0</v>
      </c>
      <c r="I182" s="17">
        <f>IF(B182="","",IFERROR(INDEX('Content Calendar'!$L$5:$L$604,MATCH(B182,'Content Calendar'!$A$5:$A$604,0)),"Not found"))</f>
        <v>0</v>
      </c>
      <c r="J182" s="17">
        <f>IF(B182="","",IFERROR(INDEX('Content Calendar'!$P$5:$P$604,MATCH(B182,'Content Calendar'!$A$5:$A$604,0)),"Not found"))</f>
        <v>0</v>
      </c>
      <c r="K182" s="17">
        <f>IF(B182="","",IFERROR(INDEX('Content Calendar'!$O$5:$O$604,MATCH(B182,'Content Calendar'!$A$5:$A$604,0)),"Not found"))</f>
        <v>0</v>
      </c>
      <c r="L182" s="17">
        <f>IF(B182="","",IFERROR(INDEX('Content Calendar'!$N$5:$N$604,MATCH(B182,'Content Calendar'!$A$5:$A$604,0)),"Not found"))</f>
        <v>0</v>
      </c>
      <c r="M182" s="17">
        <f>IF(B182="","",IFERROR(INDEX('Content Calendar'!$C$5:$C$604,MATCH(B182,'Content Calendar'!$A$5:$A$604,0)),"Not found"))</f>
        <v>0</v>
      </c>
      <c r="N182" s="17">
        <f>IF(B182="","",IFERROR(INDEX('Content Calendar'!$F$5:$F$604,MATCH(B182,'Content Calendar'!$A$5:$A$604,0)),"Not found"))</f>
        <v>0</v>
      </c>
      <c r="Z182" s="23">
        <f>IF(O182="","",N(Q182)+N(R182)+N(S182)+N(T182))</f>
        <v>0</v>
      </c>
      <c r="AA182" s="24">
        <f>IF(OR(O182="",O182=0),"",Z182/O182)</f>
        <v>0</v>
      </c>
      <c r="AB182" s="24">
        <f>IF(OR(O182="",O182=0),"",N(T182)/O182)</f>
        <v>0</v>
      </c>
      <c r="AC182" s="24">
        <f>IF(OR(O182="",O182=0),"",N(S182)/O182)</f>
        <v>0</v>
      </c>
      <c r="AD182" s="24">
        <f>IF(OR(O182="",O182=0),"",N(R182)/O182)</f>
        <v>0</v>
      </c>
      <c r="AE182" s="24">
        <f>IF(OR(O182="",O182=0),"",N(U182)/O182)</f>
        <v>0</v>
      </c>
      <c r="AF182" s="24">
        <f>IF(OR(U182="",U182=0),"",N(W182)/U182)</f>
        <v>0</v>
      </c>
      <c r="AG182" s="25">
        <f>IF(OR(O182="",O182=0),"",N(X182)/(O182/1000))</f>
        <v>0</v>
      </c>
      <c r="AH182" s="24">
        <f>IF(O182="","",IF(Y182="",TargetEngagement,Y182))</f>
        <v>0</v>
      </c>
      <c r="AI182" s="24">
        <f>IF(OR(AA182="",AH182=""),"",AA182-AH182)</f>
        <v>0</v>
      </c>
      <c r="AJ182" s="31">
        <f>IF(AA182="","",AA182+ROW()/1000000)</f>
        <v>0</v>
      </c>
      <c r="AK182" s="23">
        <f>IF(AA182="","",RANK(AJ182,Performance!$AJ$5:$AJ$404))</f>
        <v>0</v>
      </c>
      <c r="AL182" s="29">
        <f>IF(AA182="","",IF(AA182&gt;=AH182*1.5,"Top performer",IF(AA182&gt;=AH182,"Above target",IF(AA182&gt;=AH182*0.6,"Below target","Weak - review it"))))</f>
        <v>0</v>
      </c>
      <c r="AM182" s="29">
        <f>IF(B182="","",IF(COUNTIF(Performance!$B$5:$B$404,B182)&gt;1,"Duplicate","OK"))</f>
        <v>0</v>
      </c>
      <c r="AN182" s="29">
        <f>IF(B182="","",IF(C182="Not found","Check - content ID not on the calendar",IF(O182="","Add - no numbers entered yet",IF(AM182="Duplicate","Duplicate - this post is entered twice",IF(AL182="Top performer","Repurpose this one","OK")))))</f>
        <v>0</v>
      </c>
    </row>
    <row r="183" spans="1:40">
      <c r="A183" s="41">
        <f>IF(B183="","","PF-"&amp;TEXT(ROW()-4,"0000"))</f>
        <v>0</v>
      </c>
      <c r="C183" s="17">
        <f>IF(B183="","",IFERROR(INDEX('Content Calendar'!$H$5:$H$604,MATCH(B183,'Content Calendar'!$A$5:$A$604,0)),"Not found"))</f>
        <v>0</v>
      </c>
      <c r="D183" s="16">
        <f>IF(B183="","",IFERROR(INDEX('Content Calendar'!$B$5:$B$604,MATCH(B183,'Content Calendar'!$A$5:$A$604,0)),"Not found"))</f>
        <v>0</v>
      </c>
      <c r="E183" s="17">
        <f>IF(B183="","",IFERROR(INDEX('Content Calendar'!$D$5:$D$604,MATCH(B183,'Content Calendar'!$A$5:$A$604,0)),"Not found"))</f>
        <v>0</v>
      </c>
      <c r="F183" s="17">
        <f>IF(B183="","",IFERROR(INDEX('Content Calendar'!$G$5:$G$604,MATCH(B183,'Content Calendar'!$A$5:$A$604,0)),"Not found"))</f>
        <v>0</v>
      </c>
      <c r="G183" s="17">
        <f>IF(B183="","",IFERROR(INDEX('Content Calendar'!$K$5:$K$604,MATCH(B183,'Content Calendar'!$A$5:$A$604,0)),"Not found"))</f>
        <v>0</v>
      </c>
      <c r="H183" s="17">
        <f>IF(B183="","",IFERROR(INDEX('Content Calendar'!$J$5:$J$604,MATCH(B183,'Content Calendar'!$A$5:$A$604,0)),"Not found"))</f>
        <v>0</v>
      </c>
      <c r="I183" s="17">
        <f>IF(B183="","",IFERROR(INDEX('Content Calendar'!$L$5:$L$604,MATCH(B183,'Content Calendar'!$A$5:$A$604,0)),"Not found"))</f>
        <v>0</v>
      </c>
      <c r="J183" s="17">
        <f>IF(B183="","",IFERROR(INDEX('Content Calendar'!$P$5:$P$604,MATCH(B183,'Content Calendar'!$A$5:$A$604,0)),"Not found"))</f>
        <v>0</v>
      </c>
      <c r="K183" s="17">
        <f>IF(B183="","",IFERROR(INDEX('Content Calendar'!$O$5:$O$604,MATCH(B183,'Content Calendar'!$A$5:$A$604,0)),"Not found"))</f>
        <v>0</v>
      </c>
      <c r="L183" s="17">
        <f>IF(B183="","",IFERROR(INDEX('Content Calendar'!$N$5:$N$604,MATCH(B183,'Content Calendar'!$A$5:$A$604,0)),"Not found"))</f>
        <v>0</v>
      </c>
      <c r="M183" s="17">
        <f>IF(B183="","",IFERROR(INDEX('Content Calendar'!$C$5:$C$604,MATCH(B183,'Content Calendar'!$A$5:$A$604,0)),"Not found"))</f>
        <v>0</v>
      </c>
      <c r="N183" s="17">
        <f>IF(B183="","",IFERROR(INDEX('Content Calendar'!$F$5:$F$604,MATCH(B183,'Content Calendar'!$A$5:$A$604,0)),"Not found"))</f>
        <v>0</v>
      </c>
      <c r="Z183" s="23">
        <f>IF(O183="","",N(Q183)+N(R183)+N(S183)+N(T183))</f>
        <v>0</v>
      </c>
      <c r="AA183" s="24">
        <f>IF(OR(O183="",O183=0),"",Z183/O183)</f>
        <v>0</v>
      </c>
      <c r="AB183" s="24">
        <f>IF(OR(O183="",O183=0),"",N(T183)/O183)</f>
        <v>0</v>
      </c>
      <c r="AC183" s="24">
        <f>IF(OR(O183="",O183=0),"",N(S183)/O183)</f>
        <v>0</v>
      </c>
      <c r="AD183" s="24">
        <f>IF(OR(O183="",O183=0),"",N(R183)/O183)</f>
        <v>0</v>
      </c>
      <c r="AE183" s="24">
        <f>IF(OR(O183="",O183=0),"",N(U183)/O183)</f>
        <v>0</v>
      </c>
      <c r="AF183" s="24">
        <f>IF(OR(U183="",U183=0),"",N(W183)/U183)</f>
        <v>0</v>
      </c>
      <c r="AG183" s="25">
        <f>IF(OR(O183="",O183=0),"",N(X183)/(O183/1000))</f>
        <v>0</v>
      </c>
      <c r="AH183" s="24">
        <f>IF(O183="","",IF(Y183="",TargetEngagement,Y183))</f>
        <v>0</v>
      </c>
      <c r="AI183" s="24">
        <f>IF(OR(AA183="",AH183=""),"",AA183-AH183)</f>
        <v>0</v>
      </c>
      <c r="AJ183" s="31">
        <f>IF(AA183="","",AA183+ROW()/1000000)</f>
        <v>0</v>
      </c>
      <c r="AK183" s="23">
        <f>IF(AA183="","",RANK(AJ183,Performance!$AJ$5:$AJ$404))</f>
        <v>0</v>
      </c>
      <c r="AL183" s="29">
        <f>IF(AA183="","",IF(AA183&gt;=AH183*1.5,"Top performer",IF(AA183&gt;=AH183,"Above target",IF(AA183&gt;=AH183*0.6,"Below target","Weak - review it"))))</f>
        <v>0</v>
      </c>
      <c r="AM183" s="29">
        <f>IF(B183="","",IF(COUNTIF(Performance!$B$5:$B$404,B183)&gt;1,"Duplicate","OK"))</f>
        <v>0</v>
      </c>
      <c r="AN183" s="29">
        <f>IF(B183="","",IF(C183="Not found","Check - content ID not on the calendar",IF(O183="","Add - no numbers entered yet",IF(AM183="Duplicate","Duplicate - this post is entered twice",IF(AL183="Top performer","Repurpose this one","OK")))))</f>
        <v>0</v>
      </c>
    </row>
    <row r="184" spans="1:40">
      <c r="A184" s="41">
        <f>IF(B184="","","PF-"&amp;TEXT(ROW()-4,"0000"))</f>
        <v>0</v>
      </c>
      <c r="C184" s="17">
        <f>IF(B184="","",IFERROR(INDEX('Content Calendar'!$H$5:$H$604,MATCH(B184,'Content Calendar'!$A$5:$A$604,0)),"Not found"))</f>
        <v>0</v>
      </c>
      <c r="D184" s="16">
        <f>IF(B184="","",IFERROR(INDEX('Content Calendar'!$B$5:$B$604,MATCH(B184,'Content Calendar'!$A$5:$A$604,0)),"Not found"))</f>
        <v>0</v>
      </c>
      <c r="E184" s="17">
        <f>IF(B184="","",IFERROR(INDEX('Content Calendar'!$D$5:$D$604,MATCH(B184,'Content Calendar'!$A$5:$A$604,0)),"Not found"))</f>
        <v>0</v>
      </c>
      <c r="F184" s="17">
        <f>IF(B184="","",IFERROR(INDEX('Content Calendar'!$G$5:$G$604,MATCH(B184,'Content Calendar'!$A$5:$A$604,0)),"Not found"))</f>
        <v>0</v>
      </c>
      <c r="G184" s="17">
        <f>IF(B184="","",IFERROR(INDEX('Content Calendar'!$K$5:$K$604,MATCH(B184,'Content Calendar'!$A$5:$A$604,0)),"Not found"))</f>
        <v>0</v>
      </c>
      <c r="H184" s="17">
        <f>IF(B184="","",IFERROR(INDEX('Content Calendar'!$J$5:$J$604,MATCH(B184,'Content Calendar'!$A$5:$A$604,0)),"Not found"))</f>
        <v>0</v>
      </c>
      <c r="I184" s="17">
        <f>IF(B184="","",IFERROR(INDEX('Content Calendar'!$L$5:$L$604,MATCH(B184,'Content Calendar'!$A$5:$A$604,0)),"Not found"))</f>
        <v>0</v>
      </c>
      <c r="J184" s="17">
        <f>IF(B184="","",IFERROR(INDEX('Content Calendar'!$P$5:$P$604,MATCH(B184,'Content Calendar'!$A$5:$A$604,0)),"Not found"))</f>
        <v>0</v>
      </c>
      <c r="K184" s="17">
        <f>IF(B184="","",IFERROR(INDEX('Content Calendar'!$O$5:$O$604,MATCH(B184,'Content Calendar'!$A$5:$A$604,0)),"Not found"))</f>
        <v>0</v>
      </c>
      <c r="L184" s="17">
        <f>IF(B184="","",IFERROR(INDEX('Content Calendar'!$N$5:$N$604,MATCH(B184,'Content Calendar'!$A$5:$A$604,0)),"Not found"))</f>
        <v>0</v>
      </c>
      <c r="M184" s="17">
        <f>IF(B184="","",IFERROR(INDEX('Content Calendar'!$C$5:$C$604,MATCH(B184,'Content Calendar'!$A$5:$A$604,0)),"Not found"))</f>
        <v>0</v>
      </c>
      <c r="N184" s="17">
        <f>IF(B184="","",IFERROR(INDEX('Content Calendar'!$F$5:$F$604,MATCH(B184,'Content Calendar'!$A$5:$A$604,0)),"Not found"))</f>
        <v>0</v>
      </c>
      <c r="Z184" s="23">
        <f>IF(O184="","",N(Q184)+N(R184)+N(S184)+N(T184))</f>
        <v>0</v>
      </c>
      <c r="AA184" s="24">
        <f>IF(OR(O184="",O184=0),"",Z184/O184)</f>
        <v>0</v>
      </c>
      <c r="AB184" s="24">
        <f>IF(OR(O184="",O184=0),"",N(T184)/O184)</f>
        <v>0</v>
      </c>
      <c r="AC184" s="24">
        <f>IF(OR(O184="",O184=0),"",N(S184)/O184)</f>
        <v>0</v>
      </c>
      <c r="AD184" s="24">
        <f>IF(OR(O184="",O184=0),"",N(R184)/O184)</f>
        <v>0</v>
      </c>
      <c r="AE184" s="24">
        <f>IF(OR(O184="",O184=0),"",N(U184)/O184)</f>
        <v>0</v>
      </c>
      <c r="AF184" s="24">
        <f>IF(OR(U184="",U184=0),"",N(W184)/U184)</f>
        <v>0</v>
      </c>
      <c r="AG184" s="25">
        <f>IF(OR(O184="",O184=0),"",N(X184)/(O184/1000))</f>
        <v>0</v>
      </c>
      <c r="AH184" s="24">
        <f>IF(O184="","",IF(Y184="",TargetEngagement,Y184))</f>
        <v>0</v>
      </c>
      <c r="AI184" s="24">
        <f>IF(OR(AA184="",AH184=""),"",AA184-AH184)</f>
        <v>0</v>
      </c>
      <c r="AJ184" s="31">
        <f>IF(AA184="","",AA184+ROW()/1000000)</f>
        <v>0</v>
      </c>
      <c r="AK184" s="23">
        <f>IF(AA184="","",RANK(AJ184,Performance!$AJ$5:$AJ$404))</f>
        <v>0</v>
      </c>
      <c r="AL184" s="29">
        <f>IF(AA184="","",IF(AA184&gt;=AH184*1.5,"Top performer",IF(AA184&gt;=AH184,"Above target",IF(AA184&gt;=AH184*0.6,"Below target","Weak - review it"))))</f>
        <v>0</v>
      </c>
      <c r="AM184" s="29">
        <f>IF(B184="","",IF(COUNTIF(Performance!$B$5:$B$404,B184)&gt;1,"Duplicate","OK"))</f>
        <v>0</v>
      </c>
      <c r="AN184" s="29">
        <f>IF(B184="","",IF(C184="Not found","Check - content ID not on the calendar",IF(O184="","Add - no numbers entered yet",IF(AM184="Duplicate","Duplicate - this post is entered twice",IF(AL184="Top performer","Repurpose this one","OK")))))</f>
        <v>0</v>
      </c>
    </row>
    <row r="185" spans="1:40">
      <c r="A185" s="41">
        <f>IF(B185="","","PF-"&amp;TEXT(ROW()-4,"0000"))</f>
        <v>0</v>
      </c>
      <c r="C185" s="17">
        <f>IF(B185="","",IFERROR(INDEX('Content Calendar'!$H$5:$H$604,MATCH(B185,'Content Calendar'!$A$5:$A$604,0)),"Not found"))</f>
        <v>0</v>
      </c>
      <c r="D185" s="16">
        <f>IF(B185="","",IFERROR(INDEX('Content Calendar'!$B$5:$B$604,MATCH(B185,'Content Calendar'!$A$5:$A$604,0)),"Not found"))</f>
        <v>0</v>
      </c>
      <c r="E185" s="17">
        <f>IF(B185="","",IFERROR(INDEX('Content Calendar'!$D$5:$D$604,MATCH(B185,'Content Calendar'!$A$5:$A$604,0)),"Not found"))</f>
        <v>0</v>
      </c>
      <c r="F185" s="17">
        <f>IF(B185="","",IFERROR(INDEX('Content Calendar'!$G$5:$G$604,MATCH(B185,'Content Calendar'!$A$5:$A$604,0)),"Not found"))</f>
        <v>0</v>
      </c>
      <c r="G185" s="17">
        <f>IF(B185="","",IFERROR(INDEX('Content Calendar'!$K$5:$K$604,MATCH(B185,'Content Calendar'!$A$5:$A$604,0)),"Not found"))</f>
        <v>0</v>
      </c>
      <c r="H185" s="17">
        <f>IF(B185="","",IFERROR(INDEX('Content Calendar'!$J$5:$J$604,MATCH(B185,'Content Calendar'!$A$5:$A$604,0)),"Not found"))</f>
        <v>0</v>
      </c>
      <c r="I185" s="17">
        <f>IF(B185="","",IFERROR(INDEX('Content Calendar'!$L$5:$L$604,MATCH(B185,'Content Calendar'!$A$5:$A$604,0)),"Not found"))</f>
        <v>0</v>
      </c>
      <c r="J185" s="17">
        <f>IF(B185="","",IFERROR(INDEX('Content Calendar'!$P$5:$P$604,MATCH(B185,'Content Calendar'!$A$5:$A$604,0)),"Not found"))</f>
        <v>0</v>
      </c>
      <c r="K185" s="17">
        <f>IF(B185="","",IFERROR(INDEX('Content Calendar'!$O$5:$O$604,MATCH(B185,'Content Calendar'!$A$5:$A$604,0)),"Not found"))</f>
        <v>0</v>
      </c>
      <c r="L185" s="17">
        <f>IF(B185="","",IFERROR(INDEX('Content Calendar'!$N$5:$N$604,MATCH(B185,'Content Calendar'!$A$5:$A$604,0)),"Not found"))</f>
        <v>0</v>
      </c>
      <c r="M185" s="17">
        <f>IF(B185="","",IFERROR(INDEX('Content Calendar'!$C$5:$C$604,MATCH(B185,'Content Calendar'!$A$5:$A$604,0)),"Not found"))</f>
        <v>0</v>
      </c>
      <c r="N185" s="17">
        <f>IF(B185="","",IFERROR(INDEX('Content Calendar'!$F$5:$F$604,MATCH(B185,'Content Calendar'!$A$5:$A$604,0)),"Not found"))</f>
        <v>0</v>
      </c>
      <c r="Z185" s="23">
        <f>IF(O185="","",N(Q185)+N(R185)+N(S185)+N(T185))</f>
        <v>0</v>
      </c>
      <c r="AA185" s="24">
        <f>IF(OR(O185="",O185=0),"",Z185/O185)</f>
        <v>0</v>
      </c>
      <c r="AB185" s="24">
        <f>IF(OR(O185="",O185=0),"",N(T185)/O185)</f>
        <v>0</v>
      </c>
      <c r="AC185" s="24">
        <f>IF(OR(O185="",O185=0),"",N(S185)/O185)</f>
        <v>0</v>
      </c>
      <c r="AD185" s="24">
        <f>IF(OR(O185="",O185=0),"",N(R185)/O185)</f>
        <v>0</v>
      </c>
      <c r="AE185" s="24">
        <f>IF(OR(O185="",O185=0),"",N(U185)/O185)</f>
        <v>0</v>
      </c>
      <c r="AF185" s="24">
        <f>IF(OR(U185="",U185=0),"",N(W185)/U185)</f>
        <v>0</v>
      </c>
      <c r="AG185" s="25">
        <f>IF(OR(O185="",O185=0),"",N(X185)/(O185/1000))</f>
        <v>0</v>
      </c>
      <c r="AH185" s="24">
        <f>IF(O185="","",IF(Y185="",TargetEngagement,Y185))</f>
        <v>0</v>
      </c>
      <c r="AI185" s="24">
        <f>IF(OR(AA185="",AH185=""),"",AA185-AH185)</f>
        <v>0</v>
      </c>
      <c r="AJ185" s="31">
        <f>IF(AA185="","",AA185+ROW()/1000000)</f>
        <v>0</v>
      </c>
      <c r="AK185" s="23">
        <f>IF(AA185="","",RANK(AJ185,Performance!$AJ$5:$AJ$404))</f>
        <v>0</v>
      </c>
      <c r="AL185" s="29">
        <f>IF(AA185="","",IF(AA185&gt;=AH185*1.5,"Top performer",IF(AA185&gt;=AH185,"Above target",IF(AA185&gt;=AH185*0.6,"Below target","Weak - review it"))))</f>
        <v>0</v>
      </c>
      <c r="AM185" s="29">
        <f>IF(B185="","",IF(COUNTIF(Performance!$B$5:$B$404,B185)&gt;1,"Duplicate","OK"))</f>
        <v>0</v>
      </c>
      <c r="AN185" s="29">
        <f>IF(B185="","",IF(C185="Not found","Check - content ID not on the calendar",IF(O185="","Add - no numbers entered yet",IF(AM185="Duplicate","Duplicate - this post is entered twice",IF(AL185="Top performer","Repurpose this one","OK")))))</f>
        <v>0</v>
      </c>
    </row>
    <row r="186" spans="1:40">
      <c r="A186" s="41">
        <f>IF(B186="","","PF-"&amp;TEXT(ROW()-4,"0000"))</f>
        <v>0</v>
      </c>
      <c r="C186" s="17">
        <f>IF(B186="","",IFERROR(INDEX('Content Calendar'!$H$5:$H$604,MATCH(B186,'Content Calendar'!$A$5:$A$604,0)),"Not found"))</f>
        <v>0</v>
      </c>
      <c r="D186" s="16">
        <f>IF(B186="","",IFERROR(INDEX('Content Calendar'!$B$5:$B$604,MATCH(B186,'Content Calendar'!$A$5:$A$604,0)),"Not found"))</f>
        <v>0</v>
      </c>
      <c r="E186" s="17">
        <f>IF(B186="","",IFERROR(INDEX('Content Calendar'!$D$5:$D$604,MATCH(B186,'Content Calendar'!$A$5:$A$604,0)),"Not found"))</f>
        <v>0</v>
      </c>
      <c r="F186" s="17">
        <f>IF(B186="","",IFERROR(INDEX('Content Calendar'!$G$5:$G$604,MATCH(B186,'Content Calendar'!$A$5:$A$604,0)),"Not found"))</f>
        <v>0</v>
      </c>
      <c r="G186" s="17">
        <f>IF(B186="","",IFERROR(INDEX('Content Calendar'!$K$5:$K$604,MATCH(B186,'Content Calendar'!$A$5:$A$604,0)),"Not found"))</f>
        <v>0</v>
      </c>
      <c r="H186" s="17">
        <f>IF(B186="","",IFERROR(INDEX('Content Calendar'!$J$5:$J$604,MATCH(B186,'Content Calendar'!$A$5:$A$604,0)),"Not found"))</f>
        <v>0</v>
      </c>
      <c r="I186" s="17">
        <f>IF(B186="","",IFERROR(INDEX('Content Calendar'!$L$5:$L$604,MATCH(B186,'Content Calendar'!$A$5:$A$604,0)),"Not found"))</f>
        <v>0</v>
      </c>
      <c r="J186" s="17">
        <f>IF(B186="","",IFERROR(INDEX('Content Calendar'!$P$5:$P$604,MATCH(B186,'Content Calendar'!$A$5:$A$604,0)),"Not found"))</f>
        <v>0</v>
      </c>
      <c r="K186" s="17">
        <f>IF(B186="","",IFERROR(INDEX('Content Calendar'!$O$5:$O$604,MATCH(B186,'Content Calendar'!$A$5:$A$604,0)),"Not found"))</f>
        <v>0</v>
      </c>
      <c r="L186" s="17">
        <f>IF(B186="","",IFERROR(INDEX('Content Calendar'!$N$5:$N$604,MATCH(B186,'Content Calendar'!$A$5:$A$604,0)),"Not found"))</f>
        <v>0</v>
      </c>
      <c r="M186" s="17">
        <f>IF(B186="","",IFERROR(INDEX('Content Calendar'!$C$5:$C$604,MATCH(B186,'Content Calendar'!$A$5:$A$604,0)),"Not found"))</f>
        <v>0</v>
      </c>
      <c r="N186" s="17">
        <f>IF(B186="","",IFERROR(INDEX('Content Calendar'!$F$5:$F$604,MATCH(B186,'Content Calendar'!$A$5:$A$604,0)),"Not found"))</f>
        <v>0</v>
      </c>
      <c r="Z186" s="23">
        <f>IF(O186="","",N(Q186)+N(R186)+N(S186)+N(T186))</f>
        <v>0</v>
      </c>
      <c r="AA186" s="24">
        <f>IF(OR(O186="",O186=0),"",Z186/O186)</f>
        <v>0</v>
      </c>
      <c r="AB186" s="24">
        <f>IF(OR(O186="",O186=0),"",N(T186)/O186)</f>
        <v>0</v>
      </c>
      <c r="AC186" s="24">
        <f>IF(OR(O186="",O186=0),"",N(S186)/O186)</f>
        <v>0</v>
      </c>
      <c r="AD186" s="24">
        <f>IF(OR(O186="",O186=0),"",N(R186)/O186)</f>
        <v>0</v>
      </c>
      <c r="AE186" s="24">
        <f>IF(OR(O186="",O186=0),"",N(U186)/O186)</f>
        <v>0</v>
      </c>
      <c r="AF186" s="24">
        <f>IF(OR(U186="",U186=0),"",N(W186)/U186)</f>
        <v>0</v>
      </c>
      <c r="AG186" s="25">
        <f>IF(OR(O186="",O186=0),"",N(X186)/(O186/1000))</f>
        <v>0</v>
      </c>
      <c r="AH186" s="24">
        <f>IF(O186="","",IF(Y186="",TargetEngagement,Y186))</f>
        <v>0</v>
      </c>
      <c r="AI186" s="24">
        <f>IF(OR(AA186="",AH186=""),"",AA186-AH186)</f>
        <v>0</v>
      </c>
      <c r="AJ186" s="31">
        <f>IF(AA186="","",AA186+ROW()/1000000)</f>
        <v>0</v>
      </c>
      <c r="AK186" s="23">
        <f>IF(AA186="","",RANK(AJ186,Performance!$AJ$5:$AJ$404))</f>
        <v>0</v>
      </c>
      <c r="AL186" s="29">
        <f>IF(AA186="","",IF(AA186&gt;=AH186*1.5,"Top performer",IF(AA186&gt;=AH186,"Above target",IF(AA186&gt;=AH186*0.6,"Below target","Weak - review it"))))</f>
        <v>0</v>
      </c>
      <c r="AM186" s="29">
        <f>IF(B186="","",IF(COUNTIF(Performance!$B$5:$B$404,B186)&gt;1,"Duplicate","OK"))</f>
        <v>0</v>
      </c>
      <c r="AN186" s="29">
        <f>IF(B186="","",IF(C186="Not found","Check - content ID not on the calendar",IF(O186="","Add - no numbers entered yet",IF(AM186="Duplicate","Duplicate - this post is entered twice",IF(AL186="Top performer","Repurpose this one","OK")))))</f>
        <v>0</v>
      </c>
    </row>
    <row r="187" spans="1:40">
      <c r="A187" s="41">
        <f>IF(B187="","","PF-"&amp;TEXT(ROW()-4,"0000"))</f>
        <v>0</v>
      </c>
      <c r="C187" s="17">
        <f>IF(B187="","",IFERROR(INDEX('Content Calendar'!$H$5:$H$604,MATCH(B187,'Content Calendar'!$A$5:$A$604,0)),"Not found"))</f>
        <v>0</v>
      </c>
      <c r="D187" s="16">
        <f>IF(B187="","",IFERROR(INDEX('Content Calendar'!$B$5:$B$604,MATCH(B187,'Content Calendar'!$A$5:$A$604,0)),"Not found"))</f>
        <v>0</v>
      </c>
      <c r="E187" s="17">
        <f>IF(B187="","",IFERROR(INDEX('Content Calendar'!$D$5:$D$604,MATCH(B187,'Content Calendar'!$A$5:$A$604,0)),"Not found"))</f>
        <v>0</v>
      </c>
      <c r="F187" s="17">
        <f>IF(B187="","",IFERROR(INDEX('Content Calendar'!$G$5:$G$604,MATCH(B187,'Content Calendar'!$A$5:$A$604,0)),"Not found"))</f>
        <v>0</v>
      </c>
      <c r="G187" s="17">
        <f>IF(B187="","",IFERROR(INDEX('Content Calendar'!$K$5:$K$604,MATCH(B187,'Content Calendar'!$A$5:$A$604,0)),"Not found"))</f>
        <v>0</v>
      </c>
      <c r="H187" s="17">
        <f>IF(B187="","",IFERROR(INDEX('Content Calendar'!$J$5:$J$604,MATCH(B187,'Content Calendar'!$A$5:$A$604,0)),"Not found"))</f>
        <v>0</v>
      </c>
      <c r="I187" s="17">
        <f>IF(B187="","",IFERROR(INDEX('Content Calendar'!$L$5:$L$604,MATCH(B187,'Content Calendar'!$A$5:$A$604,0)),"Not found"))</f>
        <v>0</v>
      </c>
      <c r="J187" s="17">
        <f>IF(B187="","",IFERROR(INDEX('Content Calendar'!$P$5:$P$604,MATCH(B187,'Content Calendar'!$A$5:$A$604,0)),"Not found"))</f>
        <v>0</v>
      </c>
      <c r="K187" s="17">
        <f>IF(B187="","",IFERROR(INDEX('Content Calendar'!$O$5:$O$604,MATCH(B187,'Content Calendar'!$A$5:$A$604,0)),"Not found"))</f>
        <v>0</v>
      </c>
      <c r="L187" s="17">
        <f>IF(B187="","",IFERROR(INDEX('Content Calendar'!$N$5:$N$604,MATCH(B187,'Content Calendar'!$A$5:$A$604,0)),"Not found"))</f>
        <v>0</v>
      </c>
      <c r="M187" s="17">
        <f>IF(B187="","",IFERROR(INDEX('Content Calendar'!$C$5:$C$604,MATCH(B187,'Content Calendar'!$A$5:$A$604,0)),"Not found"))</f>
        <v>0</v>
      </c>
      <c r="N187" s="17">
        <f>IF(B187="","",IFERROR(INDEX('Content Calendar'!$F$5:$F$604,MATCH(B187,'Content Calendar'!$A$5:$A$604,0)),"Not found"))</f>
        <v>0</v>
      </c>
      <c r="Z187" s="23">
        <f>IF(O187="","",N(Q187)+N(R187)+N(S187)+N(T187))</f>
        <v>0</v>
      </c>
      <c r="AA187" s="24">
        <f>IF(OR(O187="",O187=0),"",Z187/O187)</f>
        <v>0</v>
      </c>
      <c r="AB187" s="24">
        <f>IF(OR(O187="",O187=0),"",N(T187)/O187)</f>
        <v>0</v>
      </c>
      <c r="AC187" s="24">
        <f>IF(OR(O187="",O187=0),"",N(S187)/O187)</f>
        <v>0</v>
      </c>
      <c r="AD187" s="24">
        <f>IF(OR(O187="",O187=0),"",N(R187)/O187)</f>
        <v>0</v>
      </c>
      <c r="AE187" s="24">
        <f>IF(OR(O187="",O187=0),"",N(U187)/O187)</f>
        <v>0</v>
      </c>
      <c r="AF187" s="24">
        <f>IF(OR(U187="",U187=0),"",N(W187)/U187)</f>
        <v>0</v>
      </c>
      <c r="AG187" s="25">
        <f>IF(OR(O187="",O187=0),"",N(X187)/(O187/1000))</f>
        <v>0</v>
      </c>
      <c r="AH187" s="24">
        <f>IF(O187="","",IF(Y187="",TargetEngagement,Y187))</f>
        <v>0</v>
      </c>
      <c r="AI187" s="24">
        <f>IF(OR(AA187="",AH187=""),"",AA187-AH187)</f>
        <v>0</v>
      </c>
      <c r="AJ187" s="31">
        <f>IF(AA187="","",AA187+ROW()/1000000)</f>
        <v>0</v>
      </c>
      <c r="AK187" s="23">
        <f>IF(AA187="","",RANK(AJ187,Performance!$AJ$5:$AJ$404))</f>
        <v>0</v>
      </c>
      <c r="AL187" s="29">
        <f>IF(AA187="","",IF(AA187&gt;=AH187*1.5,"Top performer",IF(AA187&gt;=AH187,"Above target",IF(AA187&gt;=AH187*0.6,"Below target","Weak - review it"))))</f>
        <v>0</v>
      </c>
      <c r="AM187" s="29">
        <f>IF(B187="","",IF(COUNTIF(Performance!$B$5:$B$404,B187)&gt;1,"Duplicate","OK"))</f>
        <v>0</v>
      </c>
      <c r="AN187" s="29">
        <f>IF(B187="","",IF(C187="Not found","Check - content ID not on the calendar",IF(O187="","Add - no numbers entered yet",IF(AM187="Duplicate","Duplicate - this post is entered twice",IF(AL187="Top performer","Repurpose this one","OK")))))</f>
        <v>0</v>
      </c>
    </row>
    <row r="188" spans="1:40">
      <c r="A188" s="41">
        <f>IF(B188="","","PF-"&amp;TEXT(ROW()-4,"0000"))</f>
        <v>0</v>
      </c>
      <c r="C188" s="17">
        <f>IF(B188="","",IFERROR(INDEX('Content Calendar'!$H$5:$H$604,MATCH(B188,'Content Calendar'!$A$5:$A$604,0)),"Not found"))</f>
        <v>0</v>
      </c>
      <c r="D188" s="16">
        <f>IF(B188="","",IFERROR(INDEX('Content Calendar'!$B$5:$B$604,MATCH(B188,'Content Calendar'!$A$5:$A$604,0)),"Not found"))</f>
        <v>0</v>
      </c>
      <c r="E188" s="17">
        <f>IF(B188="","",IFERROR(INDEX('Content Calendar'!$D$5:$D$604,MATCH(B188,'Content Calendar'!$A$5:$A$604,0)),"Not found"))</f>
        <v>0</v>
      </c>
      <c r="F188" s="17">
        <f>IF(B188="","",IFERROR(INDEX('Content Calendar'!$G$5:$G$604,MATCH(B188,'Content Calendar'!$A$5:$A$604,0)),"Not found"))</f>
        <v>0</v>
      </c>
      <c r="G188" s="17">
        <f>IF(B188="","",IFERROR(INDEX('Content Calendar'!$K$5:$K$604,MATCH(B188,'Content Calendar'!$A$5:$A$604,0)),"Not found"))</f>
        <v>0</v>
      </c>
      <c r="H188" s="17">
        <f>IF(B188="","",IFERROR(INDEX('Content Calendar'!$J$5:$J$604,MATCH(B188,'Content Calendar'!$A$5:$A$604,0)),"Not found"))</f>
        <v>0</v>
      </c>
      <c r="I188" s="17">
        <f>IF(B188="","",IFERROR(INDEX('Content Calendar'!$L$5:$L$604,MATCH(B188,'Content Calendar'!$A$5:$A$604,0)),"Not found"))</f>
        <v>0</v>
      </c>
      <c r="J188" s="17">
        <f>IF(B188="","",IFERROR(INDEX('Content Calendar'!$P$5:$P$604,MATCH(B188,'Content Calendar'!$A$5:$A$604,0)),"Not found"))</f>
        <v>0</v>
      </c>
      <c r="K188" s="17">
        <f>IF(B188="","",IFERROR(INDEX('Content Calendar'!$O$5:$O$604,MATCH(B188,'Content Calendar'!$A$5:$A$604,0)),"Not found"))</f>
        <v>0</v>
      </c>
      <c r="L188" s="17">
        <f>IF(B188="","",IFERROR(INDEX('Content Calendar'!$N$5:$N$604,MATCH(B188,'Content Calendar'!$A$5:$A$604,0)),"Not found"))</f>
        <v>0</v>
      </c>
      <c r="M188" s="17">
        <f>IF(B188="","",IFERROR(INDEX('Content Calendar'!$C$5:$C$604,MATCH(B188,'Content Calendar'!$A$5:$A$604,0)),"Not found"))</f>
        <v>0</v>
      </c>
      <c r="N188" s="17">
        <f>IF(B188="","",IFERROR(INDEX('Content Calendar'!$F$5:$F$604,MATCH(B188,'Content Calendar'!$A$5:$A$604,0)),"Not found"))</f>
        <v>0</v>
      </c>
      <c r="Z188" s="23">
        <f>IF(O188="","",N(Q188)+N(R188)+N(S188)+N(T188))</f>
        <v>0</v>
      </c>
      <c r="AA188" s="24">
        <f>IF(OR(O188="",O188=0),"",Z188/O188)</f>
        <v>0</v>
      </c>
      <c r="AB188" s="24">
        <f>IF(OR(O188="",O188=0),"",N(T188)/O188)</f>
        <v>0</v>
      </c>
      <c r="AC188" s="24">
        <f>IF(OR(O188="",O188=0),"",N(S188)/O188)</f>
        <v>0</v>
      </c>
      <c r="AD188" s="24">
        <f>IF(OR(O188="",O188=0),"",N(R188)/O188)</f>
        <v>0</v>
      </c>
      <c r="AE188" s="24">
        <f>IF(OR(O188="",O188=0),"",N(U188)/O188)</f>
        <v>0</v>
      </c>
      <c r="AF188" s="24">
        <f>IF(OR(U188="",U188=0),"",N(W188)/U188)</f>
        <v>0</v>
      </c>
      <c r="AG188" s="25">
        <f>IF(OR(O188="",O188=0),"",N(X188)/(O188/1000))</f>
        <v>0</v>
      </c>
      <c r="AH188" s="24">
        <f>IF(O188="","",IF(Y188="",TargetEngagement,Y188))</f>
        <v>0</v>
      </c>
      <c r="AI188" s="24">
        <f>IF(OR(AA188="",AH188=""),"",AA188-AH188)</f>
        <v>0</v>
      </c>
      <c r="AJ188" s="31">
        <f>IF(AA188="","",AA188+ROW()/1000000)</f>
        <v>0</v>
      </c>
      <c r="AK188" s="23">
        <f>IF(AA188="","",RANK(AJ188,Performance!$AJ$5:$AJ$404))</f>
        <v>0</v>
      </c>
      <c r="AL188" s="29">
        <f>IF(AA188="","",IF(AA188&gt;=AH188*1.5,"Top performer",IF(AA188&gt;=AH188,"Above target",IF(AA188&gt;=AH188*0.6,"Below target","Weak - review it"))))</f>
        <v>0</v>
      </c>
      <c r="AM188" s="29">
        <f>IF(B188="","",IF(COUNTIF(Performance!$B$5:$B$404,B188)&gt;1,"Duplicate","OK"))</f>
        <v>0</v>
      </c>
      <c r="AN188" s="29">
        <f>IF(B188="","",IF(C188="Not found","Check - content ID not on the calendar",IF(O188="","Add - no numbers entered yet",IF(AM188="Duplicate","Duplicate - this post is entered twice",IF(AL188="Top performer","Repurpose this one","OK")))))</f>
        <v>0</v>
      </c>
    </row>
    <row r="189" spans="1:40">
      <c r="A189" s="41">
        <f>IF(B189="","","PF-"&amp;TEXT(ROW()-4,"0000"))</f>
        <v>0</v>
      </c>
      <c r="C189" s="17">
        <f>IF(B189="","",IFERROR(INDEX('Content Calendar'!$H$5:$H$604,MATCH(B189,'Content Calendar'!$A$5:$A$604,0)),"Not found"))</f>
        <v>0</v>
      </c>
      <c r="D189" s="16">
        <f>IF(B189="","",IFERROR(INDEX('Content Calendar'!$B$5:$B$604,MATCH(B189,'Content Calendar'!$A$5:$A$604,0)),"Not found"))</f>
        <v>0</v>
      </c>
      <c r="E189" s="17">
        <f>IF(B189="","",IFERROR(INDEX('Content Calendar'!$D$5:$D$604,MATCH(B189,'Content Calendar'!$A$5:$A$604,0)),"Not found"))</f>
        <v>0</v>
      </c>
      <c r="F189" s="17">
        <f>IF(B189="","",IFERROR(INDEX('Content Calendar'!$G$5:$G$604,MATCH(B189,'Content Calendar'!$A$5:$A$604,0)),"Not found"))</f>
        <v>0</v>
      </c>
      <c r="G189" s="17">
        <f>IF(B189="","",IFERROR(INDEX('Content Calendar'!$K$5:$K$604,MATCH(B189,'Content Calendar'!$A$5:$A$604,0)),"Not found"))</f>
        <v>0</v>
      </c>
      <c r="H189" s="17">
        <f>IF(B189="","",IFERROR(INDEX('Content Calendar'!$J$5:$J$604,MATCH(B189,'Content Calendar'!$A$5:$A$604,0)),"Not found"))</f>
        <v>0</v>
      </c>
      <c r="I189" s="17">
        <f>IF(B189="","",IFERROR(INDEX('Content Calendar'!$L$5:$L$604,MATCH(B189,'Content Calendar'!$A$5:$A$604,0)),"Not found"))</f>
        <v>0</v>
      </c>
      <c r="J189" s="17">
        <f>IF(B189="","",IFERROR(INDEX('Content Calendar'!$P$5:$P$604,MATCH(B189,'Content Calendar'!$A$5:$A$604,0)),"Not found"))</f>
        <v>0</v>
      </c>
      <c r="K189" s="17">
        <f>IF(B189="","",IFERROR(INDEX('Content Calendar'!$O$5:$O$604,MATCH(B189,'Content Calendar'!$A$5:$A$604,0)),"Not found"))</f>
        <v>0</v>
      </c>
      <c r="L189" s="17">
        <f>IF(B189="","",IFERROR(INDEX('Content Calendar'!$N$5:$N$604,MATCH(B189,'Content Calendar'!$A$5:$A$604,0)),"Not found"))</f>
        <v>0</v>
      </c>
      <c r="M189" s="17">
        <f>IF(B189="","",IFERROR(INDEX('Content Calendar'!$C$5:$C$604,MATCH(B189,'Content Calendar'!$A$5:$A$604,0)),"Not found"))</f>
        <v>0</v>
      </c>
      <c r="N189" s="17">
        <f>IF(B189="","",IFERROR(INDEX('Content Calendar'!$F$5:$F$604,MATCH(B189,'Content Calendar'!$A$5:$A$604,0)),"Not found"))</f>
        <v>0</v>
      </c>
      <c r="Z189" s="23">
        <f>IF(O189="","",N(Q189)+N(R189)+N(S189)+N(T189))</f>
        <v>0</v>
      </c>
      <c r="AA189" s="24">
        <f>IF(OR(O189="",O189=0),"",Z189/O189)</f>
        <v>0</v>
      </c>
      <c r="AB189" s="24">
        <f>IF(OR(O189="",O189=0),"",N(T189)/O189)</f>
        <v>0</v>
      </c>
      <c r="AC189" s="24">
        <f>IF(OR(O189="",O189=0),"",N(S189)/O189)</f>
        <v>0</v>
      </c>
      <c r="AD189" s="24">
        <f>IF(OR(O189="",O189=0),"",N(R189)/O189)</f>
        <v>0</v>
      </c>
      <c r="AE189" s="24">
        <f>IF(OR(O189="",O189=0),"",N(U189)/O189)</f>
        <v>0</v>
      </c>
      <c r="AF189" s="24">
        <f>IF(OR(U189="",U189=0),"",N(W189)/U189)</f>
        <v>0</v>
      </c>
      <c r="AG189" s="25">
        <f>IF(OR(O189="",O189=0),"",N(X189)/(O189/1000))</f>
        <v>0</v>
      </c>
      <c r="AH189" s="24">
        <f>IF(O189="","",IF(Y189="",TargetEngagement,Y189))</f>
        <v>0</v>
      </c>
      <c r="AI189" s="24">
        <f>IF(OR(AA189="",AH189=""),"",AA189-AH189)</f>
        <v>0</v>
      </c>
      <c r="AJ189" s="31">
        <f>IF(AA189="","",AA189+ROW()/1000000)</f>
        <v>0</v>
      </c>
      <c r="AK189" s="23">
        <f>IF(AA189="","",RANK(AJ189,Performance!$AJ$5:$AJ$404))</f>
        <v>0</v>
      </c>
      <c r="AL189" s="29">
        <f>IF(AA189="","",IF(AA189&gt;=AH189*1.5,"Top performer",IF(AA189&gt;=AH189,"Above target",IF(AA189&gt;=AH189*0.6,"Below target","Weak - review it"))))</f>
        <v>0</v>
      </c>
      <c r="AM189" s="29">
        <f>IF(B189="","",IF(COUNTIF(Performance!$B$5:$B$404,B189)&gt;1,"Duplicate","OK"))</f>
        <v>0</v>
      </c>
      <c r="AN189" s="29">
        <f>IF(B189="","",IF(C189="Not found","Check - content ID not on the calendar",IF(O189="","Add - no numbers entered yet",IF(AM189="Duplicate","Duplicate - this post is entered twice",IF(AL189="Top performer","Repurpose this one","OK")))))</f>
        <v>0</v>
      </c>
    </row>
    <row r="190" spans="1:40">
      <c r="A190" s="41">
        <f>IF(B190="","","PF-"&amp;TEXT(ROW()-4,"0000"))</f>
        <v>0</v>
      </c>
      <c r="C190" s="17">
        <f>IF(B190="","",IFERROR(INDEX('Content Calendar'!$H$5:$H$604,MATCH(B190,'Content Calendar'!$A$5:$A$604,0)),"Not found"))</f>
        <v>0</v>
      </c>
      <c r="D190" s="16">
        <f>IF(B190="","",IFERROR(INDEX('Content Calendar'!$B$5:$B$604,MATCH(B190,'Content Calendar'!$A$5:$A$604,0)),"Not found"))</f>
        <v>0</v>
      </c>
      <c r="E190" s="17">
        <f>IF(B190="","",IFERROR(INDEX('Content Calendar'!$D$5:$D$604,MATCH(B190,'Content Calendar'!$A$5:$A$604,0)),"Not found"))</f>
        <v>0</v>
      </c>
      <c r="F190" s="17">
        <f>IF(B190="","",IFERROR(INDEX('Content Calendar'!$G$5:$G$604,MATCH(B190,'Content Calendar'!$A$5:$A$604,0)),"Not found"))</f>
        <v>0</v>
      </c>
      <c r="G190" s="17">
        <f>IF(B190="","",IFERROR(INDEX('Content Calendar'!$K$5:$K$604,MATCH(B190,'Content Calendar'!$A$5:$A$604,0)),"Not found"))</f>
        <v>0</v>
      </c>
      <c r="H190" s="17">
        <f>IF(B190="","",IFERROR(INDEX('Content Calendar'!$J$5:$J$604,MATCH(B190,'Content Calendar'!$A$5:$A$604,0)),"Not found"))</f>
        <v>0</v>
      </c>
      <c r="I190" s="17">
        <f>IF(B190="","",IFERROR(INDEX('Content Calendar'!$L$5:$L$604,MATCH(B190,'Content Calendar'!$A$5:$A$604,0)),"Not found"))</f>
        <v>0</v>
      </c>
      <c r="J190" s="17">
        <f>IF(B190="","",IFERROR(INDEX('Content Calendar'!$P$5:$P$604,MATCH(B190,'Content Calendar'!$A$5:$A$604,0)),"Not found"))</f>
        <v>0</v>
      </c>
      <c r="K190" s="17">
        <f>IF(B190="","",IFERROR(INDEX('Content Calendar'!$O$5:$O$604,MATCH(B190,'Content Calendar'!$A$5:$A$604,0)),"Not found"))</f>
        <v>0</v>
      </c>
      <c r="L190" s="17">
        <f>IF(B190="","",IFERROR(INDEX('Content Calendar'!$N$5:$N$604,MATCH(B190,'Content Calendar'!$A$5:$A$604,0)),"Not found"))</f>
        <v>0</v>
      </c>
      <c r="M190" s="17">
        <f>IF(B190="","",IFERROR(INDEX('Content Calendar'!$C$5:$C$604,MATCH(B190,'Content Calendar'!$A$5:$A$604,0)),"Not found"))</f>
        <v>0</v>
      </c>
      <c r="N190" s="17">
        <f>IF(B190="","",IFERROR(INDEX('Content Calendar'!$F$5:$F$604,MATCH(B190,'Content Calendar'!$A$5:$A$604,0)),"Not found"))</f>
        <v>0</v>
      </c>
      <c r="Z190" s="23">
        <f>IF(O190="","",N(Q190)+N(R190)+N(S190)+N(T190))</f>
        <v>0</v>
      </c>
      <c r="AA190" s="24">
        <f>IF(OR(O190="",O190=0),"",Z190/O190)</f>
        <v>0</v>
      </c>
      <c r="AB190" s="24">
        <f>IF(OR(O190="",O190=0),"",N(T190)/O190)</f>
        <v>0</v>
      </c>
      <c r="AC190" s="24">
        <f>IF(OR(O190="",O190=0),"",N(S190)/O190)</f>
        <v>0</v>
      </c>
      <c r="AD190" s="24">
        <f>IF(OR(O190="",O190=0),"",N(R190)/O190)</f>
        <v>0</v>
      </c>
      <c r="AE190" s="24">
        <f>IF(OR(O190="",O190=0),"",N(U190)/O190)</f>
        <v>0</v>
      </c>
      <c r="AF190" s="24">
        <f>IF(OR(U190="",U190=0),"",N(W190)/U190)</f>
        <v>0</v>
      </c>
      <c r="AG190" s="25">
        <f>IF(OR(O190="",O190=0),"",N(X190)/(O190/1000))</f>
        <v>0</v>
      </c>
      <c r="AH190" s="24">
        <f>IF(O190="","",IF(Y190="",TargetEngagement,Y190))</f>
        <v>0</v>
      </c>
      <c r="AI190" s="24">
        <f>IF(OR(AA190="",AH190=""),"",AA190-AH190)</f>
        <v>0</v>
      </c>
      <c r="AJ190" s="31">
        <f>IF(AA190="","",AA190+ROW()/1000000)</f>
        <v>0</v>
      </c>
      <c r="AK190" s="23">
        <f>IF(AA190="","",RANK(AJ190,Performance!$AJ$5:$AJ$404))</f>
        <v>0</v>
      </c>
      <c r="AL190" s="29">
        <f>IF(AA190="","",IF(AA190&gt;=AH190*1.5,"Top performer",IF(AA190&gt;=AH190,"Above target",IF(AA190&gt;=AH190*0.6,"Below target","Weak - review it"))))</f>
        <v>0</v>
      </c>
      <c r="AM190" s="29">
        <f>IF(B190="","",IF(COUNTIF(Performance!$B$5:$B$404,B190)&gt;1,"Duplicate","OK"))</f>
        <v>0</v>
      </c>
      <c r="AN190" s="29">
        <f>IF(B190="","",IF(C190="Not found","Check - content ID not on the calendar",IF(O190="","Add - no numbers entered yet",IF(AM190="Duplicate","Duplicate - this post is entered twice",IF(AL190="Top performer","Repurpose this one","OK")))))</f>
        <v>0</v>
      </c>
    </row>
    <row r="191" spans="1:40">
      <c r="A191" s="41">
        <f>IF(B191="","","PF-"&amp;TEXT(ROW()-4,"0000"))</f>
        <v>0</v>
      </c>
      <c r="C191" s="17">
        <f>IF(B191="","",IFERROR(INDEX('Content Calendar'!$H$5:$H$604,MATCH(B191,'Content Calendar'!$A$5:$A$604,0)),"Not found"))</f>
        <v>0</v>
      </c>
      <c r="D191" s="16">
        <f>IF(B191="","",IFERROR(INDEX('Content Calendar'!$B$5:$B$604,MATCH(B191,'Content Calendar'!$A$5:$A$604,0)),"Not found"))</f>
        <v>0</v>
      </c>
      <c r="E191" s="17">
        <f>IF(B191="","",IFERROR(INDEX('Content Calendar'!$D$5:$D$604,MATCH(B191,'Content Calendar'!$A$5:$A$604,0)),"Not found"))</f>
        <v>0</v>
      </c>
      <c r="F191" s="17">
        <f>IF(B191="","",IFERROR(INDEX('Content Calendar'!$G$5:$G$604,MATCH(B191,'Content Calendar'!$A$5:$A$604,0)),"Not found"))</f>
        <v>0</v>
      </c>
      <c r="G191" s="17">
        <f>IF(B191="","",IFERROR(INDEX('Content Calendar'!$K$5:$K$604,MATCH(B191,'Content Calendar'!$A$5:$A$604,0)),"Not found"))</f>
        <v>0</v>
      </c>
      <c r="H191" s="17">
        <f>IF(B191="","",IFERROR(INDEX('Content Calendar'!$J$5:$J$604,MATCH(B191,'Content Calendar'!$A$5:$A$604,0)),"Not found"))</f>
        <v>0</v>
      </c>
      <c r="I191" s="17">
        <f>IF(B191="","",IFERROR(INDEX('Content Calendar'!$L$5:$L$604,MATCH(B191,'Content Calendar'!$A$5:$A$604,0)),"Not found"))</f>
        <v>0</v>
      </c>
      <c r="J191" s="17">
        <f>IF(B191="","",IFERROR(INDEX('Content Calendar'!$P$5:$P$604,MATCH(B191,'Content Calendar'!$A$5:$A$604,0)),"Not found"))</f>
        <v>0</v>
      </c>
      <c r="K191" s="17">
        <f>IF(B191="","",IFERROR(INDEX('Content Calendar'!$O$5:$O$604,MATCH(B191,'Content Calendar'!$A$5:$A$604,0)),"Not found"))</f>
        <v>0</v>
      </c>
      <c r="L191" s="17">
        <f>IF(B191="","",IFERROR(INDEX('Content Calendar'!$N$5:$N$604,MATCH(B191,'Content Calendar'!$A$5:$A$604,0)),"Not found"))</f>
        <v>0</v>
      </c>
      <c r="M191" s="17">
        <f>IF(B191="","",IFERROR(INDEX('Content Calendar'!$C$5:$C$604,MATCH(B191,'Content Calendar'!$A$5:$A$604,0)),"Not found"))</f>
        <v>0</v>
      </c>
      <c r="N191" s="17">
        <f>IF(B191="","",IFERROR(INDEX('Content Calendar'!$F$5:$F$604,MATCH(B191,'Content Calendar'!$A$5:$A$604,0)),"Not found"))</f>
        <v>0</v>
      </c>
      <c r="Z191" s="23">
        <f>IF(O191="","",N(Q191)+N(R191)+N(S191)+N(T191))</f>
        <v>0</v>
      </c>
      <c r="AA191" s="24">
        <f>IF(OR(O191="",O191=0),"",Z191/O191)</f>
        <v>0</v>
      </c>
      <c r="AB191" s="24">
        <f>IF(OR(O191="",O191=0),"",N(T191)/O191)</f>
        <v>0</v>
      </c>
      <c r="AC191" s="24">
        <f>IF(OR(O191="",O191=0),"",N(S191)/O191)</f>
        <v>0</v>
      </c>
      <c r="AD191" s="24">
        <f>IF(OR(O191="",O191=0),"",N(R191)/O191)</f>
        <v>0</v>
      </c>
      <c r="AE191" s="24">
        <f>IF(OR(O191="",O191=0),"",N(U191)/O191)</f>
        <v>0</v>
      </c>
      <c r="AF191" s="24">
        <f>IF(OR(U191="",U191=0),"",N(W191)/U191)</f>
        <v>0</v>
      </c>
      <c r="AG191" s="25">
        <f>IF(OR(O191="",O191=0),"",N(X191)/(O191/1000))</f>
        <v>0</v>
      </c>
      <c r="AH191" s="24">
        <f>IF(O191="","",IF(Y191="",TargetEngagement,Y191))</f>
        <v>0</v>
      </c>
      <c r="AI191" s="24">
        <f>IF(OR(AA191="",AH191=""),"",AA191-AH191)</f>
        <v>0</v>
      </c>
      <c r="AJ191" s="31">
        <f>IF(AA191="","",AA191+ROW()/1000000)</f>
        <v>0</v>
      </c>
      <c r="AK191" s="23">
        <f>IF(AA191="","",RANK(AJ191,Performance!$AJ$5:$AJ$404))</f>
        <v>0</v>
      </c>
      <c r="AL191" s="29">
        <f>IF(AA191="","",IF(AA191&gt;=AH191*1.5,"Top performer",IF(AA191&gt;=AH191,"Above target",IF(AA191&gt;=AH191*0.6,"Below target","Weak - review it"))))</f>
        <v>0</v>
      </c>
      <c r="AM191" s="29">
        <f>IF(B191="","",IF(COUNTIF(Performance!$B$5:$B$404,B191)&gt;1,"Duplicate","OK"))</f>
        <v>0</v>
      </c>
      <c r="AN191" s="29">
        <f>IF(B191="","",IF(C191="Not found","Check - content ID not on the calendar",IF(O191="","Add - no numbers entered yet",IF(AM191="Duplicate","Duplicate - this post is entered twice",IF(AL191="Top performer","Repurpose this one","OK")))))</f>
        <v>0</v>
      </c>
    </row>
    <row r="192" spans="1:40">
      <c r="A192" s="41">
        <f>IF(B192="","","PF-"&amp;TEXT(ROW()-4,"0000"))</f>
        <v>0</v>
      </c>
      <c r="C192" s="17">
        <f>IF(B192="","",IFERROR(INDEX('Content Calendar'!$H$5:$H$604,MATCH(B192,'Content Calendar'!$A$5:$A$604,0)),"Not found"))</f>
        <v>0</v>
      </c>
      <c r="D192" s="16">
        <f>IF(B192="","",IFERROR(INDEX('Content Calendar'!$B$5:$B$604,MATCH(B192,'Content Calendar'!$A$5:$A$604,0)),"Not found"))</f>
        <v>0</v>
      </c>
      <c r="E192" s="17">
        <f>IF(B192="","",IFERROR(INDEX('Content Calendar'!$D$5:$D$604,MATCH(B192,'Content Calendar'!$A$5:$A$604,0)),"Not found"))</f>
        <v>0</v>
      </c>
      <c r="F192" s="17">
        <f>IF(B192="","",IFERROR(INDEX('Content Calendar'!$G$5:$G$604,MATCH(B192,'Content Calendar'!$A$5:$A$604,0)),"Not found"))</f>
        <v>0</v>
      </c>
      <c r="G192" s="17">
        <f>IF(B192="","",IFERROR(INDEX('Content Calendar'!$K$5:$K$604,MATCH(B192,'Content Calendar'!$A$5:$A$604,0)),"Not found"))</f>
        <v>0</v>
      </c>
      <c r="H192" s="17">
        <f>IF(B192="","",IFERROR(INDEX('Content Calendar'!$J$5:$J$604,MATCH(B192,'Content Calendar'!$A$5:$A$604,0)),"Not found"))</f>
        <v>0</v>
      </c>
      <c r="I192" s="17">
        <f>IF(B192="","",IFERROR(INDEX('Content Calendar'!$L$5:$L$604,MATCH(B192,'Content Calendar'!$A$5:$A$604,0)),"Not found"))</f>
        <v>0</v>
      </c>
      <c r="J192" s="17">
        <f>IF(B192="","",IFERROR(INDEX('Content Calendar'!$P$5:$P$604,MATCH(B192,'Content Calendar'!$A$5:$A$604,0)),"Not found"))</f>
        <v>0</v>
      </c>
      <c r="K192" s="17">
        <f>IF(B192="","",IFERROR(INDEX('Content Calendar'!$O$5:$O$604,MATCH(B192,'Content Calendar'!$A$5:$A$604,0)),"Not found"))</f>
        <v>0</v>
      </c>
      <c r="L192" s="17">
        <f>IF(B192="","",IFERROR(INDEX('Content Calendar'!$N$5:$N$604,MATCH(B192,'Content Calendar'!$A$5:$A$604,0)),"Not found"))</f>
        <v>0</v>
      </c>
      <c r="M192" s="17">
        <f>IF(B192="","",IFERROR(INDEX('Content Calendar'!$C$5:$C$604,MATCH(B192,'Content Calendar'!$A$5:$A$604,0)),"Not found"))</f>
        <v>0</v>
      </c>
      <c r="N192" s="17">
        <f>IF(B192="","",IFERROR(INDEX('Content Calendar'!$F$5:$F$604,MATCH(B192,'Content Calendar'!$A$5:$A$604,0)),"Not found"))</f>
        <v>0</v>
      </c>
      <c r="Z192" s="23">
        <f>IF(O192="","",N(Q192)+N(R192)+N(S192)+N(T192))</f>
        <v>0</v>
      </c>
      <c r="AA192" s="24">
        <f>IF(OR(O192="",O192=0),"",Z192/O192)</f>
        <v>0</v>
      </c>
      <c r="AB192" s="24">
        <f>IF(OR(O192="",O192=0),"",N(T192)/O192)</f>
        <v>0</v>
      </c>
      <c r="AC192" s="24">
        <f>IF(OR(O192="",O192=0),"",N(S192)/O192)</f>
        <v>0</v>
      </c>
      <c r="AD192" s="24">
        <f>IF(OR(O192="",O192=0),"",N(R192)/O192)</f>
        <v>0</v>
      </c>
      <c r="AE192" s="24">
        <f>IF(OR(O192="",O192=0),"",N(U192)/O192)</f>
        <v>0</v>
      </c>
      <c r="AF192" s="24">
        <f>IF(OR(U192="",U192=0),"",N(W192)/U192)</f>
        <v>0</v>
      </c>
      <c r="AG192" s="25">
        <f>IF(OR(O192="",O192=0),"",N(X192)/(O192/1000))</f>
        <v>0</v>
      </c>
      <c r="AH192" s="24">
        <f>IF(O192="","",IF(Y192="",TargetEngagement,Y192))</f>
        <v>0</v>
      </c>
      <c r="AI192" s="24">
        <f>IF(OR(AA192="",AH192=""),"",AA192-AH192)</f>
        <v>0</v>
      </c>
      <c r="AJ192" s="31">
        <f>IF(AA192="","",AA192+ROW()/1000000)</f>
        <v>0</v>
      </c>
      <c r="AK192" s="23">
        <f>IF(AA192="","",RANK(AJ192,Performance!$AJ$5:$AJ$404))</f>
        <v>0</v>
      </c>
      <c r="AL192" s="29">
        <f>IF(AA192="","",IF(AA192&gt;=AH192*1.5,"Top performer",IF(AA192&gt;=AH192,"Above target",IF(AA192&gt;=AH192*0.6,"Below target","Weak - review it"))))</f>
        <v>0</v>
      </c>
      <c r="AM192" s="29">
        <f>IF(B192="","",IF(COUNTIF(Performance!$B$5:$B$404,B192)&gt;1,"Duplicate","OK"))</f>
        <v>0</v>
      </c>
      <c r="AN192" s="29">
        <f>IF(B192="","",IF(C192="Not found","Check - content ID not on the calendar",IF(O192="","Add - no numbers entered yet",IF(AM192="Duplicate","Duplicate - this post is entered twice",IF(AL192="Top performer","Repurpose this one","OK")))))</f>
        <v>0</v>
      </c>
    </row>
    <row r="193" spans="1:40">
      <c r="A193" s="41">
        <f>IF(B193="","","PF-"&amp;TEXT(ROW()-4,"0000"))</f>
        <v>0</v>
      </c>
      <c r="C193" s="17">
        <f>IF(B193="","",IFERROR(INDEX('Content Calendar'!$H$5:$H$604,MATCH(B193,'Content Calendar'!$A$5:$A$604,0)),"Not found"))</f>
        <v>0</v>
      </c>
      <c r="D193" s="16">
        <f>IF(B193="","",IFERROR(INDEX('Content Calendar'!$B$5:$B$604,MATCH(B193,'Content Calendar'!$A$5:$A$604,0)),"Not found"))</f>
        <v>0</v>
      </c>
      <c r="E193" s="17">
        <f>IF(B193="","",IFERROR(INDEX('Content Calendar'!$D$5:$D$604,MATCH(B193,'Content Calendar'!$A$5:$A$604,0)),"Not found"))</f>
        <v>0</v>
      </c>
      <c r="F193" s="17">
        <f>IF(B193="","",IFERROR(INDEX('Content Calendar'!$G$5:$G$604,MATCH(B193,'Content Calendar'!$A$5:$A$604,0)),"Not found"))</f>
        <v>0</v>
      </c>
      <c r="G193" s="17">
        <f>IF(B193="","",IFERROR(INDEX('Content Calendar'!$K$5:$K$604,MATCH(B193,'Content Calendar'!$A$5:$A$604,0)),"Not found"))</f>
        <v>0</v>
      </c>
      <c r="H193" s="17">
        <f>IF(B193="","",IFERROR(INDEX('Content Calendar'!$J$5:$J$604,MATCH(B193,'Content Calendar'!$A$5:$A$604,0)),"Not found"))</f>
        <v>0</v>
      </c>
      <c r="I193" s="17">
        <f>IF(B193="","",IFERROR(INDEX('Content Calendar'!$L$5:$L$604,MATCH(B193,'Content Calendar'!$A$5:$A$604,0)),"Not found"))</f>
        <v>0</v>
      </c>
      <c r="J193" s="17">
        <f>IF(B193="","",IFERROR(INDEX('Content Calendar'!$P$5:$P$604,MATCH(B193,'Content Calendar'!$A$5:$A$604,0)),"Not found"))</f>
        <v>0</v>
      </c>
      <c r="K193" s="17">
        <f>IF(B193="","",IFERROR(INDEX('Content Calendar'!$O$5:$O$604,MATCH(B193,'Content Calendar'!$A$5:$A$604,0)),"Not found"))</f>
        <v>0</v>
      </c>
      <c r="L193" s="17">
        <f>IF(B193="","",IFERROR(INDEX('Content Calendar'!$N$5:$N$604,MATCH(B193,'Content Calendar'!$A$5:$A$604,0)),"Not found"))</f>
        <v>0</v>
      </c>
      <c r="M193" s="17">
        <f>IF(B193="","",IFERROR(INDEX('Content Calendar'!$C$5:$C$604,MATCH(B193,'Content Calendar'!$A$5:$A$604,0)),"Not found"))</f>
        <v>0</v>
      </c>
      <c r="N193" s="17">
        <f>IF(B193="","",IFERROR(INDEX('Content Calendar'!$F$5:$F$604,MATCH(B193,'Content Calendar'!$A$5:$A$604,0)),"Not found"))</f>
        <v>0</v>
      </c>
      <c r="Z193" s="23">
        <f>IF(O193="","",N(Q193)+N(R193)+N(S193)+N(T193))</f>
        <v>0</v>
      </c>
      <c r="AA193" s="24">
        <f>IF(OR(O193="",O193=0),"",Z193/O193)</f>
        <v>0</v>
      </c>
      <c r="AB193" s="24">
        <f>IF(OR(O193="",O193=0),"",N(T193)/O193)</f>
        <v>0</v>
      </c>
      <c r="AC193" s="24">
        <f>IF(OR(O193="",O193=0),"",N(S193)/O193)</f>
        <v>0</v>
      </c>
      <c r="AD193" s="24">
        <f>IF(OR(O193="",O193=0),"",N(R193)/O193)</f>
        <v>0</v>
      </c>
      <c r="AE193" s="24">
        <f>IF(OR(O193="",O193=0),"",N(U193)/O193)</f>
        <v>0</v>
      </c>
      <c r="AF193" s="24">
        <f>IF(OR(U193="",U193=0),"",N(W193)/U193)</f>
        <v>0</v>
      </c>
      <c r="AG193" s="25">
        <f>IF(OR(O193="",O193=0),"",N(X193)/(O193/1000))</f>
        <v>0</v>
      </c>
      <c r="AH193" s="24">
        <f>IF(O193="","",IF(Y193="",TargetEngagement,Y193))</f>
        <v>0</v>
      </c>
      <c r="AI193" s="24">
        <f>IF(OR(AA193="",AH193=""),"",AA193-AH193)</f>
        <v>0</v>
      </c>
      <c r="AJ193" s="31">
        <f>IF(AA193="","",AA193+ROW()/1000000)</f>
        <v>0</v>
      </c>
      <c r="AK193" s="23">
        <f>IF(AA193="","",RANK(AJ193,Performance!$AJ$5:$AJ$404))</f>
        <v>0</v>
      </c>
      <c r="AL193" s="29">
        <f>IF(AA193="","",IF(AA193&gt;=AH193*1.5,"Top performer",IF(AA193&gt;=AH193,"Above target",IF(AA193&gt;=AH193*0.6,"Below target","Weak - review it"))))</f>
        <v>0</v>
      </c>
      <c r="AM193" s="29">
        <f>IF(B193="","",IF(COUNTIF(Performance!$B$5:$B$404,B193)&gt;1,"Duplicate","OK"))</f>
        <v>0</v>
      </c>
      <c r="AN193" s="29">
        <f>IF(B193="","",IF(C193="Not found","Check - content ID not on the calendar",IF(O193="","Add - no numbers entered yet",IF(AM193="Duplicate","Duplicate - this post is entered twice",IF(AL193="Top performer","Repurpose this one","OK")))))</f>
        <v>0</v>
      </c>
    </row>
    <row r="194" spans="1:40">
      <c r="A194" s="41">
        <f>IF(B194="","","PF-"&amp;TEXT(ROW()-4,"0000"))</f>
        <v>0</v>
      </c>
      <c r="C194" s="17">
        <f>IF(B194="","",IFERROR(INDEX('Content Calendar'!$H$5:$H$604,MATCH(B194,'Content Calendar'!$A$5:$A$604,0)),"Not found"))</f>
        <v>0</v>
      </c>
      <c r="D194" s="16">
        <f>IF(B194="","",IFERROR(INDEX('Content Calendar'!$B$5:$B$604,MATCH(B194,'Content Calendar'!$A$5:$A$604,0)),"Not found"))</f>
        <v>0</v>
      </c>
      <c r="E194" s="17">
        <f>IF(B194="","",IFERROR(INDEX('Content Calendar'!$D$5:$D$604,MATCH(B194,'Content Calendar'!$A$5:$A$604,0)),"Not found"))</f>
        <v>0</v>
      </c>
      <c r="F194" s="17">
        <f>IF(B194="","",IFERROR(INDEX('Content Calendar'!$G$5:$G$604,MATCH(B194,'Content Calendar'!$A$5:$A$604,0)),"Not found"))</f>
        <v>0</v>
      </c>
      <c r="G194" s="17">
        <f>IF(B194="","",IFERROR(INDEX('Content Calendar'!$K$5:$K$604,MATCH(B194,'Content Calendar'!$A$5:$A$604,0)),"Not found"))</f>
        <v>0</v>
      </c>
      <c r="H194" s="17">
        <f>IF(B194="","",IFERROR(INDEX('Content Calendar'!$J$5:$J$604,MATCH(B194,'Content Calendar'!$A$5:$A$604,0)),"Not found"))</f>
        <v>0</v>
      </c>
      <c r="I194" s="17">
        <f>IF(B194="","",IFERROR(INDEX('Content Calendar'!$L$5:$L$604,MATCH(B194,'Content Calendar'!$A$5:$A$604,0)),"Not found"))</f>
        <v>0</v>
      </c>
      <c r="J194" s="17">
        <f>IF(B194="","",IFERROR(INDEX('Content Calendar'!$P$5:$P$604,MATCH(B194,'Content Calendar'!$A$5:$A$604,0)),"Not found"))</f>
        <v>0</v>
      </c>
      <c r="K194" s="17">
        <f>IF(B194="","",IFERROR(INDEX('Content Calendar'!$O$5:$O$604,MATCH(B194,'Content Calendar'!$A$5:$A$604,0)),"Not found"))</f>
        <v>0</v>
      </c>
      <c r="L194" s="17">
        <f>IF(B194="","",IFERROR(INDEX('Content Calendar'!$N$5:$N$604,MATCH(B194,'Content Calendar'!$A$5:$A$604,0)),"Not found"))</f>
        <v>0</v>
      </c>
      <c r="M194" s="17">
        <f>IF(B194="","",IFERROR(INDEX('Content Calendar'!$C$5:$C$604,MATCH(B194,'Content Calendar'!$A$5:$A$604,0)),"Not found"))</f>
        <v>0</v>
      </c>
      <c r="N194" s="17">
        <f>IF(B194="","",IFERROR(INDEX('Content Calendar'!$F$5:$F$604,MATCH(B194,'Content Calendar'!$A$5:$A$604,0)),"Not found"))</f>
        <v>0</v>
      </c>
      <c r="Z194" s="23">
        <f>IF(O194="","",N(Q194)+N(R194)+N(S194)+N(T194))</f>
        <v>0</v>
      </c>
      <c r="AA194" s="24">
        <f>IF(OR(O194="",O194=0),"",Z194/O194)</f>
        <v>0</v>
      </c>
      <c r="AB194" s="24">
        <f>IF(OR(O194="",O194=0),"",N(T194)/O194)</f>
        <v>0</v>
      </c>
      <c r="AC194" s="24">
        <f>IF(OR(O194="",O194=0),"",N(S194)/O194)</f>
        <v>0</v>
      </c>
      <c r="AD194" s="24">
        <f>IF(OR(O194="",O194=0),"",N(R194)/O194)</f>
        <v>0</v>
      </c>
      <c r="AE194" s="24">
        <f>IF(OR(O194="",O194=0),"",N(U194)/O194)</f>
        <v>0</v>
      </c>
      <c r="AF194" s="24">
        <f>IF(OR(U194="",U194=0),"",N(W194)/U194)</f>
        <v>0</v>
      </c>
      <c r="AG194" s="25">
        <f>IF(OR(O194="",O194=0),"",N(X194)/(O194/1000))</f>
        <v>0</v>
      </c>
      <c r="AH194" s="24">
        <f>IF(O194="","",IF(Y194="",TargetEngagement,Y194))</f>
        <v>0</v>
      </c>
      <c r="AI194" s="24">
        <f>IF(OR(AA194="",AH194=""),"",AA194-AH194)</f>
        <v>0</v>
      </c>
      <c r="AJ194" s="31">
        <f>IF(AA194="","",AA194+ROW()/1000000)</f>
        <v>0</v>
      </c>
      <c r="AK194" s="23">
        <f>IF(AA194="","",RANK(AJ194,Performance!$AJ$5:$AJ$404))</f>
        <v>0</v>
      </c>
      <c r="AL194" s="29">
        <f>IF(AA194="","",IF(AA194&gt;=AH194*1.5,"Top performer",IF(AA194&gt;=AH194,"Above target",IF(AA194&gt;=AH194*0.6,"Below target","Weak - review it"))))</f>
        <v>0</v>
      </c>
      <c r="AM194" s="29">
        <f>IF(B194="","",IF(COUNTIF(Performance!$B$5:$B$404,B194)&gt;1,"Duplicate","OK"))</f>
        <v>0</v>
      </c>
      <c r="AN194" s="29">
        <f>IF(B194="","",IF(C194="Not found","Check - content ID not on the calendar",IF(O194="","Add - no numbers entered yet",IF(AM194="Duplicate","Duplicate - this post is entered twice",IF(AL194="Top performer","Repurpose this one","OK")))))</f>
        <v>0</v>
      </c>
    </row>
    <row r="195" spans="1:40">
      <c r="A195" s="41">
        <f>IF(B195="","","PF-"&amp;TEXT(ROW()-4,"0000"))</f>
        <v>0</v>
      </c>
      <c r="C195" s="17">
        <f>IF(B195="","",IFERROR(INDEX('Content Calendar'!$H$5:$H$604,MATCH(B195,'Content Calendar'!$A$5:$A$604,0)),"Not found"))</f>
        <v>0</v>
      </c>
      <c r="D195" s="16">
        <f>IF(B195="","",IFERROR(INDEX('Content Calendar'!$B$5:$B$604,MATCH(B195,'Content Calendar'!$A$5:$A$604,0)),"Not found"))</f>
        <v>0</v>
      </c>
      <c r="E195" s="17">
        <f>IF(B195="","",IFERROR(INDEX('Content Calendar'!$D$5:$D$604,MATCH(B195,'Content Calendar'!$A$5:$A$604,0)),"Not found"))</f>
        <v>0</v>
      </c>
      <c r="F195" s="17">
        <f>IF(B195="","",IFERROR(INDEX('Content Calendar'!$G$5:$G$604,MATCH(B195,'Content Calendar'!$A$5:$A$604,0)),"Not found"))</f>
        <v>0</v>
      </c>
      <c r="G195" s="17">
        <f>IF(B195="","",IFERROR(INDEX('Content Calendar'!$K$5:$K$604,MATCH(B195,'Content Calendar'!$A$5:$A$604,0)),"Not found"))</f>
        <v>0</v>
      </c>
      <c r="H195" s="17">
        <f>IF(B195="","",IFERROR(INDEX('Content Calendar'!$J$5:$J$604,MATCH(B195,'Content Calendar'!$A$5:$A$604,0)),"Not found"))</f>
        <v>0</v>
      </c>
      <c r="I195" s="17">
        <f>IF(B195="","",IFERROR(INDEX('Content Calendar'!$L$5:$L$604,MATCH(B195,'Content Calendar'!$A$5:$A$604,0)),"Not found"))</f>
        <v>0</v>
      </c>
      <c r="J195" s="17">
        <f>IF(B195="","",IFERROR(INDEX('Content Calendar'!$P$5:$P$604,MATCH(B195,'Content Calendar'!$A$5:$A$604,0)),"Not found"))</f>
        <v>0</v>
      </c>
      <c r="K195" s="17">
        <f>IF(B195="","",IFERROR(INDEX('Content Calendar'!$O$5:$O$604,MATCH(B195,'Content Calendar'!$A$5:$A$604,0)),"Not found"))</f>
        <v>0</v>
      </c>
      <c r="L195" s="17">
        <f>IF(B195="","",IFERROR(INDEX('Content Calendar'!$N$5:$N$604,MATCH(B195,'Content Calendar'!$A$5:$A$604,0)),"Not found"))</f>
        <v>0</v>
      </c>
      <c r="M195" s="17">
        <f>IF(B195="","",IFERROR(INDEX('Content Calendar'!$C$5:$C$604,MATCH(B195,'Content Calendar'!$A$5:$A$604,0)),"Not found"))</f>
        <v>0</v>
      </c>
      <c r="N195" s="17">
        <f>IF(B195="","",IFERROR(INDEX('Content Calendar'!$F$5:$F$604,MATCH(B195,'Content Calendar'!$A$5:$A$604,0)),"Not found"))</f>
        <v>0</v>
      </c>
      <c r="Z195" s="23">
        <f>IF(O195="","",N(Q195)+N(R195)+N(S195)+N(T195))</f>
        <v>0</v>
      </c>
      <c r="AA195" s="24">
        <f>IF(OR(O195="",O195=0),"",Z195/O195)</f>
        <v>0</v>
      </c>
      <c r="AB195" s="24">
        <f>IF(OR(O195="",O195=0),"",N(T195)/O195)</f>
        <v>0</v>
      </c>
      <c r="AC195" s="24">
        <f>IF(OR(O195="",O195=0),"",N(S195)/O195)</f>
        <v>0</v>
      </c>
      <c r="AD195" s="24">
        <f>IF(OR(O195="",O195=0),"",N(R195)/O195)</f>
        <v>0</v>
      </c>
      <c r="AE195" s="24">
        <f>IF(OR(O195="",O195=0),"",N(U195)/O195)</f>
        <v>0</v>
      </c>
      <c r="AF195" s="24">
        <f>IF(OR(U195="",U195=0),"",N(W195)/U195)</f>
        <v>0</v>
      </c>
      <c r="AG195" s="25">
        <f>IF(OR(O195="",O195=0),"",N(X195)/(O195/1000))</f>
        <v>0</v>
      </c>
      <c r="AH195" s="24">
        <f>IF(O195="","",IF(Y195="",TargetEngagement,Y195))</f>
        <v>0</v>
      </c>
      <c r="AI195" s="24">
        <f>IF(OR(AA195="",AH195=""),"",AA195-AH195)</f>
        <v>0</v>
      </c>
      <c r="AJ195" s="31">
        <f>IF(AA195="","",AA195+ROW()/1000000)</f>
        <v>0</v>
      </c>
      <c r="AK195" s="23">
        <f>IF(AA195="","",RANK(AJ195,Performance!$AJ$5:$AJ$404))</f>
        <v>0</v>
      </c>
      <c r="AL195" s="29">
        <f>IF(AA195="","",IF(AA195&gt;=AH195*1.5,"Top performer",IF(AA195&gt;=AH195,"Above target",IF(AA195&gt;=AH195*0.6,"Below target","Weak - review it"))))</f>
        <v>0</v>
      </c>
      <c r="AM195" s="29">
        <f>IF(B195="","",IF(COUNTIF(Performance!$B$5:$B$404,B195)&gt;1,"Duplicate","OK"))</f>
        <v>0</v>
      </c>
      <c r="AN195" s="29">
        <f>IF(B195="","",IF(C195="Not found","Check - content ID not on the calendar",IF(O195="","Add - no numbers entered yet",IF(AM195="Duplicate","Duplicate - this post is entered twice",IF(AL195="Top performer","Repurpose this one","OK")))))</f>
        <v>0</v>
      </c>
    </row>
    <row r="196" spans="1:40">
      <c r="A196" s="41">
        <f>IF(B196="","","PF-"&amp;TEXT(ROW()-4,"0000"))</f>
        <v>0</v>
      </c>
      <c r="C196" s="17">
        <f>IF(B196="","",IFERROR(INDEX('Content Calendar'!$H$5:$H$604,MATCH(B196,'Content Calendar'!$A$5:$A$604,0)),"Not found"))</f>
        <v>0</v>
      </c>
      <c r="D196" s="16">
        <f>IF(B196="","",IFERROR(INDEX('Content Calendar'!$B$5:$B$604,MATCH(B196,'Content Calendar'!$A$5:$A$604,0)),"Not found"))</f>
        <v>0</v>
      </c>
      <c r="E196" s="17">
        <f>IF(B196="","",IFERROR(INDEX('Content Calendar'!$D$5:$D$604,MATCH(B196,'Content Calendar'!$A$5:$A$604,0)),"Not found"))</f>
        <v>0</v>
      </c>
      <c r="F196" s="17">
        <f>IF(B196="","",IFERROR(INDEX('Content Calendar'!$G$5:$G$604,MATCH(B196,'Content Calendar'!$A$5:$A$604,0)),"Not found"))</f>
        <v>0</v>
      </c>
      <c r="G196" s="17">
        <f>IF(B196="","",IFERROR(INDEX('Content Calendar'!$K$5:$K$604,MATCH(B196,'Content Calendar'!$A$5:$A$604,0)),"Not found"))</f>
        <v>0</v>
      </c>
      <c r="H196" s="17">
        <f>IF(B196="","",IFERROR(INDEX('Content Calendar'!$J$5:$J$604,MATCH(B196,'Content Calendar'!$A$5:$A$604,0)),"Not found"))</f>
        <v>0</v>
      </c>
      <c r="I196" s="17">
        <f>IF(B196="","",IFERROR(INDEX('Content Calendar'!$L$5:$L$604,MATCH(B196,'Content Calendar'!$A$5:$A$604,0)),"Not found"))</f>
        <v>0</v>
      </c>
      <c r="J196" s="17">
        <f>IF(B196="","",IFERROR(INDEX('Content Calendar'!$P$5:$P$604,MATCH(B196,'Content Calendar'!$A$5:$A$604,0)),"Not found"))</f>
        <v>0</v>
      </c>
      <c r="K196" s="17">
        <f>IF(B196="","",IFERROR(INDEX('Content Calendar'!$O$5:$O$604,MATCH(B196,'Content Calendar'!$A$5:$A$604,0)),"Not found"))</f>
        <v>0</v>
      </c>
      <c r="L196" s="17">
        <f>IF(B196="","",IFERROR(INDEX('Content Calendar'!$N$5:$N$604,MATCH(B196,'Content Calendar'!$A$5:$A$604,0)),"Not found"))</f>
        <v>0</v>
      </c>
      <c r="M196" s="17">
        <f>IF(B196="","",IFERROR(INDEX('Content Calendar'!$C$5:$C$604,MATCH(B196,'Content Calendar'!$A$5:$A$604,0)),"Not found"))</f>
        <v>0</v>
      </c>
      <c r="N196" s="17">
        <f>IF(B196="","",IFERROR(INDEX('Content Calendar'!$F$5:$F$604,MATCH(B196,'Content Calendar'!$A$5:$A$604,0)),"Not found"))</f>
        <v>0</v>
      </c>
      <c r="Z196" s="23">
        <f>IF(O196="","",N(Q196)+N(R196)+N(S196)+N(T196))</f>
        <v>0</v>
      </c>
      <c r="AA196" s="24">
        <f>IF(OR(O196="",O196=0),"",Z196/O196)</f>
        <v>0</v>
      </c>
      <c r="AB196" s="24">
        <f>IF(OR(O196="",O196=0),"",N(T196)/O196)</f>
        <v>0</v>
      </c>
      <c r="AC196" s="24">
        <f>IF(OR(O196="",O196=0),"",N(S196)/O196)</f>
        <v>0</v>
      </c>
      <c r="AD196" s="24">
        <f>IF(OR(O196="",O196=0),"",N(R196)/O196)</f>
        <v>0</v>
      </c>
      <c r="AE196" s="24">
        <f>IF(OR(O196="",O196=0),"",N(U196)/O196)</f>
        <v>0</v>
      </c>
      <c r="AF196" s="24">
        <f>IF(OR(U196="",U196=0),"",N(W196)/U196)</f>
        <v>0</v>
      </c>
      <c r="AG196" s="25">
        <f>IF(OR(O196="",O196=0),"",N(X196)/(O196/1000))</f>
        <v>0</v>
      </c>
      <c r="AH196" s="24">
        <f>IF(O196="","",IF(Y196="",TargetEngagement,Y196))</f>
        <v>0</v>
      </c>
      <c r="AI196" s="24">
        <f>IF(OR(AA196="",AH196=""),"",AA196-AH196)</f>
        <v>0</v>
      </c>
      <c r="AJ196" s="31">
        <f>IF(AA196="","",AA196+ROW()/1000000)</f>
        <v>0</v>
      </c>
      <c r="AK196" s="23">
        <f>IF(AA196="","",RANK(AJ196,Performance!$AJ$5:$AJ$404))</f>
        <v>0</v>
      </c>
      <c r="AL196" s="29">
        <f>IF(AA196="","",IF(AA196&gt;=AH196*1.5,"Top performer",IF(AA196&gt;=AH196,"Above target",IF(AA196&gt;=AH196*0.6,"Below target","Weak - review it"))))</f>
        <v>0</v>
      </c>
      <c r="AM196" s="29">
        <f>IF(B196="","",IF(COUNTIF(Performance!$B$5:$B$404,B196)&gt;1,"Duplicate","OK"))</f>
        <v>0</v>
      </c>
      <c r="AN196" s="29">
        <f>IF(B196="","",IF(C196="Not found","Check - content ID not on the calendar",IF(O196="","Add - no numbers entered yet",IF(AM196="Duplicate","Duplicate - this post is entered twice",IF(AL196="Top performer","Repurpose this one","OK")))))</f>
        <v>0</v>
      </c>
    </row>
    <row r="197" spans="1:40">
      <c r="A197" s="41">
        <f>IF(B197="","","PF-"&amp;TEXT(ROW()-4,"0000"))</f>
        <v>0</v>
      </c>
      <c r="C197" s="17">
        <f>IF(B197="","",IFERROR(INDEX('Content Calendar'!$H$5:$H$604,MATCH(B197,'Content Calendar'!$A$5:$A$604,0)),"Not found"))</f>
        <v>0</v>
      </c>
      <c r="D197" s="16">
        <f>IF(B197="","",IFERROR(INDEX('Content Calendar'!$B$5:$B$604,MATCH(B197,'Content Calendar'!$A$5:$A$604,0)),"Not found"))</f>
        <v>0</v>
      </c>
      <c r="E197" s="17">
        <f>IF(B197="","",IFERROR(INDEX('Content Calendar'!$D$5:$D$604,MATCH(B197,'Content Calendar'!$A$5:$A$604,0)),"Not found"))</f>
        <v>0</v>
      </c>
      <c r="F197" s="17">
        <f>IF(B197="","",IFERROR(INDEX('Content Calendar'!$G$5:$G$604,MATCH(B197,'Content Calendar'!$A$5:$A$604,0)),"Not found"))</f>
        <v>0</v>
      </c>
      <c r="G197" s="17">
        <f>IF(B197="","",IFERROR(INDEX('Content Calendar'!$K$5:$K$604,MATCH(B197,'Content Calendar'!$A$5:$A$604,0)),"Not found"))</f>
        <v>0</v>
      </c>
      <c r="H197" s="17">
        <f>IF(B197="","",IFERROR(INDEX('Content Calendar'!$J$5:$J$604,MATCH(B197,'Content Calendar'!$A$5:$A$604,0)),"Not found"))</f>
        <v>0</v>
      </c>
      <c r="I197" s="17">
        <f>IF(B197="","",IFERROR(INDEX('Content Calendar'!$L$5:$L$604,MATCH(B197,'Content Calendar'!$A$5:$A$604,0)),"Not found"))</f>
        <v>0</v>
      </c>
      <c r="J197" s="17">
        <f>IF(B197="","",IFERROR(INDEX('Content Calendar'!$P$5:$P$604,MATCH(B197,'Content Calendar'!$A$5:$A$604,0)),"Not found"))</f>
        <v>0</v>
      </c>
      <c r="K197" s="17">
        <f>IF(B197="","",IFERROR(INDEX('Content Calendar'!$O$5:$O$604,MATCH(B197,'Content Calendar'!$A$5:$A$604,0)),"Not found"))</f>
        <v>0</v>
      </c>
      <c r="L197" s="17">
        <f>IF(B197="","",IFERROR(INDEX('Content Calendar'!$N$5:$N$604,MATCH(B197,'Content Calendar'!$A$5:$A$604,0)),"Not found"))</f>
        <v>0</v>
      </c>
      <c r="M197" s="17">
        <f>IF(B197="","",IFERROR(INDEX('Content Calendar'!$C$5:$C$604,MATCH(B197,'Content Calendar'!$A$5:$A$604,0)),"Not found"))</f>
        <v>0</v>
      </c>
      <c r="N197" s="17">
        <f>IF(B197="","",IFERROR(INDEX('Content Calendar'!$F$5:$F$604,MATCH(B197,'Content Calendar'!$A$5:$A$604,0)),"Not found"))</f>
        <v>0</v>
      </c>
      <c r="Z197" s="23">
        <f>IF(O197="","",N(Q197)+N(R197)+N(S197)+N(T197))</f>
        <v>0</v>
      </c>
      <c r="AA197" s="24">
        <f>IF(OR(O197="",O197=0),"",Z197/O197)</f>
        <v>0</v>
      </c>
      <c r="AB197" s="24">
        <f>IF(OR(O197="",O197=0),"",N(T197)/O197)</f>
        <v>0</v>
      </c>
      <c r="AC197" s="24">
        <f>IF(OR(O197="",O197=0),"",N(S197)/O197)</f>
        <v>0</v>
      </c>
      <c r="AD197" s="24">
        <f>IF(OR(O197="",O197=0),"",N(R197)/O197)</f>
        <v>0</v>
      </c>
      <c r="AE197" s="24">
        <f>IF(OR(O197="",O197=0),"",N(U197)/O197)</f>
        <v>0</v>
      </c>
      <c r="AF197" s="24">
        <f>IF(OR(U197="",U197=0),"",N(W197)/U197)</f>
        <v>0</v>
      </c>
      <c r="AG197" s="25">
        <f>IF(OR(O197="",O197=0),"",N(X197)/(O197/1000))</f>
        <v>0</v>
      </c>
      <c r="AH197" s="24">
        <f>IF(O197="","",IF(Y197="",TargetEngagement,Y197))</f>
        <v>0</v>
      </c>
      <c r="AI197" s="24">
        <f>IF(OR(AA197="",AH197=""),"",AA197-AH197)</f>
        <v>0</v>
      </c>
      <c r="AJ197" s="31">
        <f>IF(AA197="","",AA197+ROW()/1000000)</f>
        <v>0</v>
      </c>
      <c r="AK197" s="23">
        <f>IF(AA197="","",RANK(AJ197,Performance!$AJ$5:$AJ$404))</f>
        <v>0</v>
      </c>
      <c r="AL197" s="29">
        <f>IF(AA197="","",IF(AA197&gt;=AH197*1.5,"Top performer",IF(AA197&gt;=AH197,"Above target",IF(AA197&gt;=AH197*0.6,"Below target","Weak - review it"))))</f>
        <v>0</v>
      </c>
      <c r="AM197" s="29">
        <f>IF(B197="","",IF(COUNTIF(Performance!$B$5:$B$404,B197)&gt;1,"Duplicate","OK"))</f>
        <v>0</v>
      </c>
      <c r="AN197" s="29">
        <f>IF(B197="","",IF(C197="Not found","Check - content ID not on the calendar",IF(O197="","Add - no numbers entered yet",IF(AM197="Duplicate","Duplicate - this post is entered twice",IF(AL197="Top performer","Repurpose this one","OK")))))</f>
        <v>0</v>
      </c>
    </row>
    <row r="198" spans="1:40">
      <c r="A198" s="41">
        <f>IF(B198="","","PF-"&amp;TEXT(ROW()-4,"0000"))</f>
        <v>0</v>
      </c>
      <c r="C198" s="17">
        <f>IF(B198="","",IFERROR(INDEX('Content Calendar'!$H$5:$H$604,MATCH(B198,'Content Calendar'!$A$5:$A$604,0)),"Not found"))</f>
        <v>0</v>
      </c>
      <c r="D198" s="16">
        <f>IF(B198="","",IFERROR(INDEX('Content Calendar'!$B$5:$B$604,MATCH(B198,'Content Calendar'!$A$5:$A$604,0)),"Not found"))</f>
        <v>0</v>
      </c>
      <c r="E198" s="17">
        <f>IF(B198="","",IFERROR(INDEX('Content Calendar'!$D$5:$D$604,MATCH(B198,'Content Calendar'!$A$5:$A$604,0)),"Not found"))</f>
        <v>0</v>
      </c>
      <c r="F198" s="17">
        <f>IF(B198="","",IFERROR(INDEX('Content Calendar'!$G$5:$G$604,MATCH(B198,'Content Calendar'!$A$5:$A$604,0)),"Not found"))</f>
        <v>0</v>
      </c>
      <c r="G198" s="17">
        <f>IF(B198="","",IFERROR(INDEX('Content Calendar'!$K$5:$K$604,MATCH(B198,'Content Calendar'!$A$5:$A$604,0)),"Not found"))</f>
        <v>0</v>
      </c>
      <c r="H198" s="17">
        <f>IF(B198="","",IFERROR(INDEX('Content Calendar'!$J$5:$J$604,MATCH(B198,'Content Calendar'!$A$5:$A$604,0)),"Not found"))</f>
        <v>0</v>
      </c>
      <c r="I198" s="17">
        <f>IF(B198="","",IFERROR(INDEX('Content Calendar'!$L$5:$L$604,MATCH(B198,'Content Calendar'!$A$5:$A$604,0)),"Not found"))</f>
        <v>0</v>
      </c>
      <c r="J198" s="17">
        <f>IF(B198="","",IFERROR(INDEX('Content Calendar'!$P$5:$P$604,MATCH(B198,'Content Calendar'!$A$5:$A$604,0)),"Not found"))</f>
        <v>0</v>
      </c>
      <c r="K198" s="17">
        <f>IF(B198="","",IFERROR(INDEX('Content Calendar'!$O$5:$O$604,MATCH(B198,'Content Calendar'!$A$5:$A$604,0)),"Not found"))</f>
        <v>0</v>
      </c>
      <c r="L198" s="17">
        <f>IF(B198="","",IFERROR(INDEX('Content Calendar'!$N$5:$N$604,MATCH(B198,'Content Calendar'!$A$5:$A$604,0)),"Not found"))</f>
        <v>0</v>
      </c>
      <c r="M198" s="17">
        <f>IF(B198="","",IFERROR(INDEX('Content Calendar'!$C$5:$C$604,MATCH(B198,'Content Calendar'!$A$5:$A$604,0)),"Not found"))</f>
        <v>0</v>
      </c>
      <c r="N198" s="17">
        <f>IF(B198="","",IFERROR(INDEX('Content Calendar'!$F$5:$F$604,MATCH(B198,'Content Calendar'!$A$5:$A$604,0)),"Not found"))</f>
        <v>0</v>
      </c>
      <c r="Z198" s="23">
        <f>IF(O198="","",N(Q198)+N(R198)+N(S198)+N(T198))</f>
        <v>0</v>
      </c>
      <c r="AA198" s="24">
        <f>IF(OR(O198="",O198=0),"",Z198/O198)</f>
        <v>0</v>
      </c>
      <c r="AB198" s="24">
        <f>IF(OR(O198="",O198=0),"",N(T198)/O198)</f>
        <v>0</v>
      </c>
      <c r="AC198" s="24">
        <f>IF(OR(O198="",O198=0),"",N(S198)/O198)</f>
        <v>0</v>
      </c>
      <c r="AD198" s="24">
        <f>IF(OR(O198="",O198=0),"",N(R198)/O198)</f>
        <v>0</v>
      </c>
      <c r="AE198" s="24">
        <f>IF(OR(O198="",O198=0),"",N(U198)/O198)</f>
        <v>0</v>
      </c>
      <c r="AF198" s="24">
        <f>IF(OR(U198="",U198=0),"",N(W198)/U198)</f>
        <v>0</v>
      </c>
      <c r="AG198" s="25">
        <f>IF(OR(O198="",O198=0),"",N(X198)/(O198/1000))</f>
        <v>0</v>
      </c>
      <c r="AH198" s="24">
        <f>IF(O198="","",IF(Y198="",TargetEngagement,Y198))</f>
        <v>0</v>
      </c>
      <c r="AI198" s="24">
        <f>IF(OR(AA198="",AH198=""),"",AA198-AH198)</f>
        <v>0</v>
      </c>
      <c r="AJ198" s="31">
        <f>IF(AA198="","",AA198+ROW()/1000000)</f>
        <v>0</v>
      </c>
      <c r="AK198" s="23">
        <f>IF(AA198="","",RANK(AJ198,Performance!$AJ$5:$AJ$404))</f>
        <v>0</v>
      </c>
      <c r="AL198" s="29">
        <f>IF(AA198="","",IF(AA198&gt;=AH198*1.5,"Top performer",IF(AA198&gt;=AH198,"Above target",IF(AA198&gt;=AH198*0.6,"Below target","Weak - review it"))))</f>
        <v>0</v>
      </c>
      <c r="AM198" s="29">
        <f>IF(B198="","",IF(COUNTIF(Performance!$B$5:$B$404,B198)&gt;1,"Duplicate","OK"))</f>
        <v>0</v>
      </c>
      <c r="AN198" s="29">
        <f>IF(B198="","",IF(C198="Not found","Check - content ID not on the calendar",IF(O198="","Add - no numbers entered yet",IF(AM198="Duplicate","Duplicate - this post is entered twice",IF(AL198="Top performer","Repurpose this one","OK")))))</f>
        <v>0</v>
      </c>
    </row>
    <row r="199" spans="1:40">
      <c r="A199" s="41">
        <f>IF(B199="","","PF-"&amp;TEXT(ROW()-4,"0000"))</f>
        <v>0</v>
      </c>
      <c r="C199" s="17">
        <f>IF(B199="","",IFERROR(INDEX('Content Calendar'!$H$5:$H$604,MATCH(B199,'Content Calendar'!$A$5:$A$604,0)),"Not found"))</f>
        <v>0</v>
      </c>
      <c r="D199" s="16">
        <f>IF(B199="","",IFERROR(INDEX('Content Calendar'!$B$5:$B$604,MATCH(B199,'Content Calendar'!$A$5:$A$604,0)),"Not found"))</f>
        <v>0</v>
      </c>
      <c r="E199" s="17">
        <f>IF(B199="","",IFERROR(INDEX('Content Calendar'!$D$5:$D$604,MATCH(B199,'Content Calendar'!$A$5:$A$604,0)),"Not found"))</f>
        <v>0</v>
      </c>
      <c r="F199" s="17">
        <f>IF(B199="","",IFERROR(INDEX('Content Calendar'!$G$5:$G$604,MATCH(B199,'Content Calendar'!$A$5:$A$604,0)),"Not found"))</f>
        <v>0</v>
      </c>
      <c r="G199" s="17">
        <f>IF(B199="","",IFERROR(INDEX('Content Calendar'!$K$5:$K$604,MATCH(B199,'Content Calendar'!$A$5:$A$604,0)),"Not found"))</f>
        <v>0</v>
      </c>
      <c r="H199" s="17">
        <f>IF(B199="","",IFERROR(INDEX('Content Calendar'!$J$5:$J$604,MATCH(B199,'Content Calendar'!$A$5:$A$604,0)),"Not found"))</f>
        <v>0</v>
      </c>
      <c r="I199" s="17">
        <f>IF(B199="","",IFERROR(INDEX('Content Calendar'!$L$5:$L$604,MATCH(B199,'Content Calendar'!$A$5:$A$604,0)),"Not found"))</f>
        <v>0</v>
      </c>
      <c r="J199" s="17">
        <f>IF(B199="","",IFERROR(INDEX('Content Calendar'!$P$5:$P$604,MATCH(B199,'Content Calendar'!$A$5:$A$604,0)),"Not found"))</f>
        <v>0</v>
      </c>
      <c r="K199" s="17">
        <f>IF(B199="","",IFERROR(INDEX('Content Calendar'!$O$5:$O$604,MATCH(B199,'Content Calendar'!$A$5:$A$604,0)),"Not found"))</f>
        <v>0</v>
      </c>
      <c r="L199" s="17">
        <f>IF(B199="","",IFERROR(INDEX('Content Calendar'!$N$5:$N$604,MATCH(B199,'Content Calendar'!$A$5:$A$604,0)),"Not found"))</f>
        <v>0</v>
      </c>
      <c r="M199" s="17">
        <f>IF(B199="","",IFERROR(INDEX('Content Calendar'!$C$5:$C$604,MATCH(B199,'Content Calendar'!$A$5:$A$604,0)),"Not found"))</f>
        <v>0</v>
      </c>
      <c r="N199" s="17">
        <f>IF(B199="","",IFERROR(INDEX('Content Calendar'!$F$5:$F$604,MATCH(B199,'Content Calendar'!$A$5:$A$604,0)),"Not found"))</f>
        <v>0</v>
      </c>
      <c r="Z199" s="23">
        <f>IF(O199="","",N(Q199)+N(R199)+N(S199)+N(T199))</f>
        <v>0</v>
      </c>
      <c r="AA199" s="24">
        <f>IF(OR(O199="",O199=0),"",Z199/O199)</f>
        <v>0</v>
      </c>
      <c r="AB199" s="24">
        <f>IF(OR(O199="",O199=0),"",N(T199)/O199)</f>
        <v>0</v>
      </c>
      <c r="AC199" s="24">
        <f>IF(OR(O199="",O199=0),"",N(S199)/O199)</f>
        <v>0</v>
      </c>
      <c r="AD199" s="24">
        <f>IF(OR(O199="",O199=0),"",N(R199)/O199)</f>
        <v>0</v>
      </c>
      <c r="AE199" s="24">
        <f>IF(OR(O199="",O199=0),"",N(U199)/O199)</f>
        <v>0</v>
      </c>
      <c r="AF199" s="24">
        <f>IF(OR(U199="",U199=0),"",N(W199)/U199)</f>
        <v>0</v>
      </c>
      <c r="AG199" s="25">
        <f>IF(OR(O199="",O199=0),"",N(X199)/(O199/1000))</f>
        <v>0</v>
      </c>
      <c r="AH199" s="24">
        <f>IF(O199="","",IF(Y199="",TargetEngagement,Y199))</f>
        <v>0</v>
      </c>
      <c r="AI199" s="24">
        <f>IF(OR(AA199="",AH199=""),"",AA199-AH199)</f>
        <v>0</v>
      </c>
      <c r="AJ199" s="31">
        <f>IF(AA199="","",AA199+ROW()/1000000)</f>
        <v>0</v>
      </c>
      <c r="AK199" s="23">
        <f>IF(AA199="","",RANK(AJ199,Performance!$AJ$5:$AJ$404))</f>
        <v>0</v>
      </c>
      <c r="AL199" s="29">
        <f>IF(AA199="","",IF(AA199&gt;=AH199*1.5,"Top performer",IF(AA199&gt;=AH199,"Above target",IF(AA199&gt;=AH199*0.6,"Below target","Weak - review it"))))</f>
        <v>0</v>
      </c>
      <c r="AM199" s="29">
        <f>IF(B199="","",IF(COUNTIF(Performance!$B$5:$B$404,B199)&gt;1,"Duplicate","OK"))</f>
        <v>0</v>
      </c>
      <c r="AN199" s="29">
        <f>IF(B199="","",IF(C199="Not found","Check - content ID not on the calendar",IF(O199="","Add - no numbers entered yet",IF(AM199="Duplicate","Duplicate - this post is entered twice",IF(AL199="Top performer","Repurpose this one","OK")))))</f>
        <v>0</v>
      </c>
    </row>
    <row r="200" spans="1:40">
      <c r="A200" s="41">
        <f>IF(B200="","","PF-"&amp;TEXT(ROW()-4,"0000"))</f>
        <v>0</v>
      </c>
      <c r="C200" s="17">
        <f>IF(B200="","",IFERROR(INDEX('Content Calendar'!$H$5:$H$604,MATCH(B200,'Content Calendar'!$A$5:$A$604,0)),"Not found"))</f>
        <v>0</v>
      </c>
      <c r="D200" s="16">
        <f>IF(B200="","",IFERROR(INDEX('Content Calendar'!$B$5:$B$604,MATCH(B200,'Content Calendar'!$A$5:$A$604,0)),"Not found"))</f>
        <v>0</v>
      </c>
      <c r="E200" s="17">
        <f>IF(B200="","",IFERROR(INDEX('Content Calendar'!$D$5:$D$604,MATCH(B200,'Content Calendar'!$A$5:$A$604,0)),"Not found"))</f>
        <v>0</v>
      </c>
      <c r="F200" s="17">
        <f>IF(B200="","",IFERROR(INDEX('Content Calendar'!$G$5:$G$604,MATCH(B200,'Content Calendar'!$A$5:$A$604,0)),"Not found"))</f>
        <v>0</v>
      </c>
      <c r="G200" s="17">
        <f>IF(B200="","",IFERROR(INDEX('Content Calendar'!$K$5:$K$604,MATCH(B200,'Content Calendar'!$A$5:$A$604,0)),"Not found"))</f>
        <v>0</v>
      </c>
      <c r="H200" s="17">
        <f>IF(B200="","",IFERROR(INDEX('Content Calendar'!$J$5:$J$604,MATCH(B200,'Content Calendar'!$A$5:$A$604,0)),"Not found"))</f>
        <v>0</v>
      </c>
      <c r="I200" s="17">
        <f>IF(B200="","",IFERROR(INDEX('Content Calendar'!$L$5:$L$604,MATCH(B200,'Content Calendar'!$A$5:$A$604,0)),"Not found"))</f>
        <v>0</v>
      </c>
      <c r="J200" s="17">
        <f>IF(B200="","",IFERROR(INDEX('Content Calendar'!$P$5:$P$604,MATCH(B200,'Content Calendar'!$A$5:$A$604,0)),"Not found"))</f>
        <v>0</v>
      </c>
      <c r="K200" s="17">
        <f>IF(B200="","",IFERROR(INDEX('Content Calendar'!$O$5:$O$604,MATCH(B200,'Content Calendar'!$A$5:$A$604,0)),"Not found"))</f>
        <v>0</v>
      </c>
      <c r="L200" s="17">
        <f>IF(B200="","",IFERROR(INDEX('Content Calendar'!$N$5:$N$604,MATCH(B200,'Content Calendar'!$A$5:$A$604,0)),"Not found"))</f>
        <v>0</v>
      </c>
      <c r="M200" s="17">
        <f>IF(B200="","",IFERROR(INDEX('Content Calendar'!$C$5:$C$604,MATCH(B200,'Content Calendar'!$A$5:$A$604,0)),"Not found"))</f>
        <v>0</v>
      </c>
      <c r="N200" s="17">
        <f>IF(B200="","",IFERROR(INDEX('Content Calendar'!$F$5:$F$604,MATCH(B200,'Content Calendar'!$A$5:$A$604,0)),"Not found"))</f>
        <v>0</v>
      </c>
      <c r="Z200" s="23">
        <f>IF(O200="","",N(Q200)+N(R200)+N(S200)+N(T200))</f>
        <v>0</v>
      </c>
      <c r="AA200" s="24">
        <f>IF(OR(O200="",O200=0),"",Z200/O200)</f>
        <v>0</v>
      </c>
      <c r="AB200" s="24">
        <f>IF(OR(O200="",O200=0),"",N(T200)/O200)</f>
        <v>0</v>
      </c>
      <c r="AC200" s="24">
        <f>IF(OR(O200="",O200=0),"",N(S200)/O200)</f>
        <v>0</v>
      </c>
      <c r="AD200" s="24">
        <f>IF(OR(O200="",O200=0),"",N(R200)/O200)</f>
        <v>0</v>
      </c>
      <c r="AE200" s="24">
        <f>IF(OR(O200="",O200=0),"",N(U200)/O200)</f>
        <v>0</v>
      </c>
      <c r="AF200" s="24">
        <f>IF(OR(U200="",U200=0),"",N(W200)/U200)</f>
        <v>0</v>
      </c>
      <c r="AG200" s="25">
        <f>IF(OR(O200="",O200=0),"",N(X200)/(O200/1000))</f>
        <v>0</v>
      </c>
      <c r="AH200" s="24">
        <f>IF(O200="","",IF(Y200="",TargetEngagement,Y200))</f>
        <v>0</v>
      </c>
      <c r="AI200" s="24">
        <f>IF(OR(AA200="",AH200=""),"",AA200-AH200)</f>
        <v>0</v>
      </c>
      <c r="AJ200" s="31">
        <f>IF(AA200="","",AA200+ROW()/1000000)</f>
        <v>0</v>
      </c>
      <c r="AK200" s="23">
        <f>IF(AA200="","",RANK(AJ200,Performance!$AJ$5:$AJ$404))</f>
        <v>0</v>
      </c>
      <c r="AL200" s="29">
        <f>IF(AA200="","",IF(AA200&gt;=AH200*1.5,"Top performer",IF(AA200&gt;=AH200,"Above target",IF(AA200&gt;=AH200*0.6,"Below target","Weak - review it"))))</f>
        <v>0</v>
      </c>
      <c r="AM200" s="29">
        <f>IF(B200="","",IF(COUNTIF(Performance!$B$5:$B$404,B200)&gt;1,"Duplicate","OK"))</f>
        <v>0</v>
      </c>
      <c r="AN200" s="29">
        <f>IF(B200="","",IF(C200="Not found","Check - content ID not on the calendar",IF(O200="","Add - no numbers entered yet",IF(AM200="Duplicate","Duplicate - this post is entered twice",IF(AL200="Top performer","Repurpose this one","OK")))))</f>
        <v>0</v>
      </c>
    </row>
    <row r="201" spans="1:40">
      <c r="A201" s="41">
        <f>IF(B201="","","PF-"&amp;TEXT(ROW()-4,"0000"))</f>
        <v>0</v>
      </c>
      <c r="C201" s="17">
        <f>IF(B201="","",IFERROR(INDEX('Content Calendar'!$H$5:$H$604,MATCH(B201,'Content Calendar'!$A$5:$A$604,0)),"Not found"))</f>
        <v>0</v>
      </c>
      <c r="D201" s="16">
        <f>IF(B201="","",IFERROR(INDEX('Content Calendar'!$B$5:$B$604,MATCH(B201,'Content Calendar'!$A$5:$A$604,0)),"Not found"))</f>
        <v>0</v>
      </c>
      <c r="E201" s="17">
        <f>IF(B201="","",IFERROR(INDEX('Content Calendar'!$D$5:$D$604,MATCH(B201,'Content Calendar'!$A$5:$A$604,0)),"Not found"))</f>
        <v>0</v>
      </c>
      <c r="F201" s="17">
        <f>IF(B201="","",IFERROR(INDEX('Content Calendar'!$G$5:$G$604,MATCH(B201,'Content Calendar'!$A$5:$A$604,0)),"Not found"))</f>
        <v>0</v>
      </c>
      <c r="G201" s="17">
        <f>IF(B201="","",IFERROR(INDEX('Content Calendar'!$K$5:$K$604,MATCH(B201,'Content Calendar'!$A$5:$A$604,0)),"Not found"))</f>
        <v>0</v>
      </c>
      <c r="H201" s="17">
        <f>IF(B201="","",IFERROR(INDEX('Content Calendar'!$J$5:$J$604,MATCH(B201,'Content Calendar'!$A$5:$A$604,0)),"Not found"))</f>
        <v>0</v>
      </c>
      <c r="I201" s="17">
        <f>IF(B201="","",IFERROR(INDEX('Content Calendar'!$L$5:$L$604,MATCH(B201,'Content Calendar'!$A$5:$A$604,0)),"Not found"))</f>
        <v>0</v>
      </c>
      <c r="J201" s="17">
        <f>IF(B201="","",IFERROR(INDEX('Content Calendar'!$P$5:$P$604,MATCH(B201,'Content Calendar'!$A$5:$A$604,0)),"Not found"))</f>
        <v>0</v>
      </c>
      <c r="K201" s="17">
        <f>IF(B201="","",IFERROR(INDEX('Content Calendar'!$O$5:$O$604,MATCH(B201,'Content Calendar'!$A$5:$A$604,0)),"Not found"))</f>
        <v>0</v>
      </c>
      <c r="L201" s="17">
        <f>IF(B201="","",IFERROR(INDEX('Content Calendar'!$N$5:$N$604,MATCH(B201,'Content Calendar'!$A$5:$A$604,0)),"Not found"))</f>
        <v>0</v>
      </c>
      <c r="M201" s="17">
        <f>IF(B201="","",IFERROR(INDEX('Content Calendar'!$C$5:$C$604,MATCH(B201,'Content Calendar'!$A$5:$A$604,0)),"Not found"))</f>
        <v>0</v>
      </c>
      <c r="N201" s="17">
        <f>IF(B201="","",IFERROR(INDEX('Content Calendar'!$F$5:$F$604,MATCH(B201,'Content Calendar'!$A$5:$A$604,0)),"Not found"))</f>
        <v>0</v>
      </c>
      <c r="Z201" s="23">
        <f>IF(O201="","",N(Q201)+N(R201)+N(S201)+N(T201))</f>
        <v>0</v>
      </c>
      <c r="AA201" s="24">
        <f>IF(OR(O201="",O201=0),"",Z201/O201)</f>
        <v>0</v>
      </c>
      <c r="AB201" s="24">
        <f>IF(OR(O201="",O201=0),"",N(T201)/O201)</f>
        <v>0</v>
      </c>
      <c r="AC201" s="24">
        <f>IF(OR(O201="",O201=0),"",N(S201)/O201)</f>
        <v>0</v>
      </c>
      <c r="AD201" s="24">
        <f>IF(OR(O201="",O201=0),"",N(R201)/O201)</f>
        <v>0</v>
      </c>
      <c r="AE201" s="24">
        <f>IF(OR(O201="",O201=0),"",N(U201)/O201)</f>
        <v>0</v>
      </c>
      <c r="AF201" s="24">
        <f>IF(OR(U201="",U201=0),"",N(W201)/U201)</f>
        <v>0</v>
      </c>
      <c r="AG201" s="25">
        <f>IF(OR(O201="",O201=0),"",N(X201)/(O201/1000))</f>
        <v>0</v>
      </c>
      <c r="AH201" s="24">
        <f>IF(O201="","",IF(Y201="",TargetEngagement,Y201))</f>
        <v>0</v>
      </c>
      <c r="AI201" s="24">
        <f>IF(OR(AA201="",AH201=""),"",AA201-AH201)</f>
        <v>0</v>
      </c>
      <c r="AJ201" s="31">
        <f>IF(AA201="","",AA201+ROW()/1000000)</f>
        <v>0</v>
      </c>
      <c r="AK201" s="23">
        <f>IF(AA201="","",RANK(AJ201,Performance!$AJ$5:$AJ$404))</f>
        <v>0</v>
      </c>
      <c r="AL201" s="29">
        <f>IF(AA201="","",IF(AA201&gt;=AH201*1.5,"Top performer",IF(AA201&gt;=AH201,"Above target",IF(AA201&gt;=AH201*0.6,"Below target","Weak - review it"))))</f>
        <v>0</v>
      </c>
      <c r="AM201" s="29">
        <f>IF(B201="","",IF(COUNTIF(Performance!$B$5:$B$404,B201)&gt;1,"Duplicate","OK"))</f>
        <v>0</v>
      </c>
      <c r="AN201" s="29">
        <f>IF(B201="","",IF(C201="Not found","Check - content ID not on the calendar",IF(O201="","Add - no numbers entered yet",IF(AM201="Duplicate","Duplicate - this post is entered twice",IF(AL201="Top performer","Repurpose this one","OK")))))</f>
        <v>0</v>
      </c>
    </row>
    <row r="202" spans="1:40">
      <c r="A202" s="41">
        <f>IF(B202="","","PF-"&amp;TEXT(ROW()-4,"0000"))</f>
        <v>0</v>
      </c>
      <c r="C202" s="17">
        <f>IF(B202="","",IFERROR(INDEX('Content Calendar'!$H$5:$H$604,MATCH(B202,'Content Calendar'!$A$5:$A$604,0)),"Not found"))</f>
        <v>0</v>
      </c>
      <c r="D202" s="16">
        <f>IF(B202="","",IFERROR(INDEX('Content Calendar'!$B$5:$B$604,MATCH(B202,'Content Calendar'!$A$5:$A$604,0)),"Not found"))</f>
        <v>0</v>
      </c>
      <c r="E202" s="17">
        <f>IF(B202="","",IFERROR(INDEX('Content Calendar'!$D$5:$D$604,MATCH(B202,'Content Calendar'!$A$5:$A$604,0)),"Not found"))</f>
        <v>0</v>
      </c>
      <c r="F202" s="17">
        <f>IF(B202="","",IFERROR(INDEX('Content Calendar'!$G$5:$G$604,MATCH(B202,'Content Calendar'!$A$5:$A$604,0)),"Not found"))</f>
        <v>0</v>
      </c>
      <c r="G202" s="17">
        <f>IF(B202="","",IFERROR(INDEX('Content Calendar'!$K$5:$K$604,MATCH(B202,'Content Calendar'!$A$5:$A$604,0)),"Not found"))</f>
        <v>0</v>
      </c>
      <c r="H202" s="17">
        <f>IF(B202="","",IFERROR(INDEX('Content Calendar'!$J$5:$J$604,MATCH(B202,'Content Calendar'!$A$5:$A$604,0)),"Not found"))</f>
        <v>0</v>
      </c>
      <c r="I202" s="17">
        <f>IF(B202="","",IFERROR(INDEX('Content Calendar'!$L$5:$L$604,MATCH(B202,'Content Calendar'!$A$5:$A$604,0)),"Not found"))</f>
        <v>0</v>
      </c>
      <c r="J202" s="17">
        <f>IF(B202="","",IFERROR(INDEX('Content Calendar'!$P$5:$P$604,MATCH(B202,'Content Calendar'!$A$5:$A$604,0)),"Not found"))</f>
        <v>0</v>
      </c>
      <c r="K202" s="17">
        <f>IF(B202="","",IFERROR(INDEX('Content Calendar'!$O$5:$O$604,MATCH(B202,'Content Calendar'!$A$5:$A$604,0)),"Not found"))</f>
        <v>0</v>
      </c>
      <c r="L202" s="17">
        <f>IF(B202="","",IFERROR(INDEX('Content Calendar'!$N$5:$N$604,MATCH(B202,'Content Calendar'!$A$5:$A$604,0)),"Not found"))</f>
        <v>0</v>
      </c>
      <c r="M202" s="17">
        <f>IF(B202="","",IFERROR(INDEX('Content Calendar'!$C$5:$C$604,MATCH(B202,'Content Calendar'!$A$5:$A$604,0)),"Not found"))</f>
        <v>0</v>
      </c>
      <c r="N202" s="17">
        <f>IF(B202="","",IFERROR(INDEX('Content Calendar'!$F$5:$F$604,MATCH(B202,'Content Calendar'!$A$5:$A$604,0)),"Not found"))</f>
        <v>0</v>
      </c>
      <c r="Z202" s="23">
        <f>IF(O202="","",N(Q202)+N(R202)+N(S202)+N(T202))</f>
        <v>0</v>
      </c>
      <c r="AA202" s="24">
        <f>IF(OR(O202="",O202=0),"",Z202/O202)</f>
        <v>0</v>
      </c>
      <c r="AB202" s="24">
        <f>IF(OR(O202="",O202=0),"",N(T202)/O202)</f>
        <v>0</v>
      </c>
      <c r="AC202" s="24">
        <f>IF(OR(O202="",O202=0),"",N(S202)/O202)</f>
        <v>0</v>
      </c>
      <c r="AD202" s="24">
        <f>IF(OR(O202="",O202=0),"",N(R202)/O202)</f>
        <v>0</v>
      </c>
      <c r="AE202" s="24">
        <f>IF(OR(O202="",O202=0),"",N(U202)/O202)</f>
        <v>0</v>
      </c>
      <c r="AF202" s="24">
        <f>IF(OR(U202="",U202=0),"",N(W202)/U202)</f>
        <v>0</v>
      </c>
      <c r="AG202" s="25">
        <f>IF(OR(O202="",O202=0),"",N(X202)/(O202/1000))</f>
        <v>0</v>
      </c>
      <c r="AH202" s="24">
        <f>IF(O202="","",IF(Y202="",TargetEngagement,Y202))</f>
        <v>0</v>
      </c>
      <c r="AI202" s="24">
        <f>IF(OR(AA202="",AH202=""),"",AA202-AH202)</f>
        <v>0</v>
      </c>
      <c r="AJ202" s="31">
        <f>IF(AA202="","",AA202+ROW()/1000000)</f>
        <v>0</v>
      </c>
      <c r="AK202" s="23">
        <f>IF(AA202="","",RANK(AJ202,Performance!$AJ$5:$AJ$404))</f>
        <v>0</v>
      </c>
      <c r="AL202" s="29">
        <f>IF(AA202="","",IF(AA202&gt;=AH202*1.5,"Top performer",IF(AA202&gt;=AH202,"Above target",IF(AA202&gt;=AH202*0.6,"Below target","Weak - review it"))))</f>
        <v>0</v>
      </c>
      <c r="AM202" s="29">
        <f>IF(B202="","",IF(COUNTIF(Performance!$B$5:$B$404,B202)&gt;1,"Duplicate","OK"))</f>
        <v>0</v>
      </c>
      <c r="AN202" s="29">
        <f>IF(B202="","",IF(C202="Not found","Check - content ID not on the calendar",IF(O202="","Add - no numbers entered yet",IF(AM202="Duplicate","Duplicate - this post is entered twice",IF(AL202="Top performer","Repurpose this one","OK")))))</f>
        <v>0</v>
      </c>
    </row>
    <row r="203" spans="1:40">
      <c r="A203" s="41">
        <f>IF(B203="","","PF-"&amp;TEXT(ROW()-4,"0000"))</f>
        <v>0</v>
      </c>
      <c r="C203" s="17">
        <f>IF(B203="","",IFERROR(INDEX('Content Calendar'!$H$5:$H$604,MATCH(B203,'Content Calendar'!$A$5:$A$604,0)),"Not found"))</f>
        <v>0</v>
      </c>
      <c r="D203" s="16">
        <f>IF(B203="","",IFERROR(INDEX('Content Calendar'!$B$5:$B$604,MATCH(B203,'Content Calendar'!$A$5:$A$604,0)),"Not found"))</f>
        <v>0</v>
      </c>
      <c r="E203" s="17">
        <f>IF(B203="","",IFERROR(INDEX('Content Calendar'!$D$5:$D$604,MATCH(B203,'Content Calendar'!$A$5:$A$604,0)),"Not found"))</f>
        <v>0</v>
      </c>
      <c r="F203" s="17">
        <f>IF(B203="","",IFERROR(INDEX('Content Calendar'!$G$5:$G$604,MATCH(B203,'Content Calendar'!$A$5:$A$604,0)),"Not found"))</f>
        <v>0</v>
      </c>
      <c r="G203" s="17">
        <f>IF(B203="","",IFERROR(INDEX('Content Calendar'!$K$5:$K$604,MATCH(B203,'Content Calendar'!$A$5:$A$604,0)),"Not found"))</f>
        <v>0</v>
      </c>
      <c r="H203" s="17">
        <f>IF(B203="","",IFERROR(INDEX('Content Calendar'!$J$5:$J$604,MATCH(B203,'Content Calendar'!$A$5:$A$604,0)),"Not found"))</f>
        <v>0</v>
      </c>
      <c r="I203" s="17">
        <f>IF(B203="","",IFERROR(INDEX('Content Calendar'!$L$5:$L$604,MATCH(B203,'Content Calendar'!$A$5:$A$604,0)),"Not found"))</f>
        <v>0</v>
      </c>
      <c r="J203" s="17">
        <f>IF(B203="","",IFERROR(INDEX('Content Calendar'!$P$5:$P$604,MATCH(B203,'Content Calendar'!$A$5:$A$604,0)),"Not found"))</f>
        <v>0</v>
      </c>
      <c r="K203" s="17">
        <f>IF(B203="","",IFERROR(INDEX('Content Calendar'!$O$5:$O$604,MATCH(B203,'Content Calendar'!$A$5:$A$604,0)),"Not found"))</f>
        <v>0</v>
      </c>
      <c r="L203" s="17">
        <f>IF(B203="","",IFERROR(INDEX('Content Calendar'!$N$5:$N$604,MATCH(B203,'Content Calendar'!$A$5:$A$604,0)),"Not found"))</f>
        <v>0</v>
      </c>
      <c r="M203" s="17">
        <f>IF(B203="","",IFERROR(INDEX('Content Calendar'!$C$5:$C$604,MATCH(B203,'Content Calendar'!$A$5:$A$604,0)),"Not found"))</f>
        <v>0</v>
      </c>
      <c r="N203" s="17">
        <f>IF(B203="","",IFERROR(INDEX('Content Calendar'!$F$5:$F$604,MATCH(B203,'Content Calendar'!$A$5:$A$604,0)),"Not found"))</f>
        <v>0</v>
      </c>
      <c r="Z203" s="23">
        <f>IF(O203="","",N(Q203)+N(R203)+N(S203)+N(T203))</f>
        <v>0</v>
      </c>
      <c r="AA203" s="24">
        <f>IF(OR(O203="",O203=0),"",Z203/O203)</f>
        <v>0</v>
      </c>
      <c r="AB203" s="24">
        <f>IF(OR(O203="",O203=0),"",N(T203)/O203)</f>
        <v>0</v>
      </c>
      <c r="AC203" s="24">
        <f>IF(OR(O203="",O203=0),"",N(S203)/O203)</f>
        <v>0</v>
      </c>
      <c r="AD203" s="24">
        <f>IF(OR(O203="",O203=0),"",N(R203)/O203)</f>
        <v>0</v>
      </c>
      <c r="AE203" s="24">
        <f>IF(OR(O203="",O203=0),"",N(U203)/O203)</f>
        <v>0</v>
      </c>
      <c r="AF203" s="24">
        <f>IF(OR(U203="",U203=0),"",N(W203)/U203)</f>
        <v>0</v>
      </c>
      <c r="AG203" s="25">
        <f>IF(OR(O203="",O203=0),"",N(X203)/(O203/1000))</f>
        <v>0</v>
      </c>
      <c r="AH203" s="24">
        <f>IF(O203="","",IF(Y203="",TargetEngagement,Y203))</f>
        <v>0</v>
      </c>
      <c r="AI203" s="24">
        <f>IF(OR(AA203="",AH203=""),"",AA203-AH203)</f>
        <v>0</v>
      </c>
      <c r="AJ203" s="31">
        <f>IF(AA203="","",AA203+ROW()/1000000)</f>
        <v>0</v>
      </c>
      <c r="AK203" s="23">
        <f>IF(AA203="","",RANK(AJ203,Performance!$AJ$5:$AJ$404))</f>
        <v>0</v>
      </c>
      <c r="AL203" s="29">
        <f>IF(AA203="","",IF(AA203&gt;=AH203*1.5,"Top performer",IF(AA203&gt;=AH203,"Above target",IF(AA203&gt;=AH203*0.6,"Below target","Weak - review it"))))</f>
        <v>0</v>
      </c>
      <c r="AM203" s="29">
        <f>IF(B203="","",IF(COUNTIF(Performance!$B$5:$B$404,B203)&gt;1,"Duplicate","OK"))</f>
        <v>0</v>
      </c>
      <c r="AN203" s="29">
        <f>IF(B203="","",IF(C203="Not found","Check - content ID not on the calendar",IF(O203="","Add - no numbers entered yet",IF(AM203="Duplicate","Duplicate - this post is entered twice",IF(AL203="Top performer","Repurpose this one","OK")))))</f>
        <v>0</v>
      </c>
    </row>
    <row r="204" spans="1:40">
      <c r="A204" s="41">
        <f>IF(B204="","","PF-"&amp;TEXT(ROW()-4,"0000"))</f>
        <v>0</v>
      </c>
      <c r="C204" s="17">
        <f>IF(B204="","",IFERROR(INDEX('Content Calendar'!$H$5:$H$604,MATCH(B204,'Content Calendar'!$A$5:$A$604,0)),"Not found"))</f>
        <v>0</v>
      </c>
      <c r="D204" s="16">
        <f>IF(B204="","",IFERROR(INDEX('Content Calendar'!$B$5:$B$604,MATCH(B204,'Content Calendar'!$A$5:$A$604,0)),"Not found"))</f>
        <v>0</v>
      </c>
      <c r="E204" s="17">
        <f>IF(B204="","",IFERROR(INDEX('Content Calendar'!$D$5:$D$604,MATCH(B204,'Content Calendar'!$A$5:$A$604,0)),"Not found"))</f>
        <v>0</v>
      </c>
      <c r="F204" s="17">
        <f>IF(B204="","",IFERROR(INDEX('Content Calendar'!$G$5:$G$604,MATCH(B204,'Content Calendar'!$A$5:$A$604,0)),"Not found"))</f>
        <v>0</v>
      </c>
      <c r="G204" s="17">
        <f>IF(B204="","",IFERROR(INDEX('Content Calendar'!$K$5:$K$604,MATCH(B204,'Content Calendar'!$A$5:$A$604,0)),"Not found"))</f>
        <v>0</v>
      </c>
      <c r="H204" s="17">
        <f>IF(B204="","",IFERROR(INDEX('Content Calendar'!$J$5:$J$604,MATCH(B204,'Content Calendar'!$A$5:$A$604,0)),"Not found"))</f>
        <v>0</v>
      </c>
      <c r="I204" s="17">
        <f>IF(B204="","",IFERROR(INDEX('Content Calendar'!$L$5:$L$604,MATCH(B204,'Content Calendar'!$A$5:$A$604,0)),"Not found"))</f>
        <v>0</v>
      </c>
      <c r="J204" s="17">
        <f>IF(B204="","",IFERROR(INDEX('Content Calendar'!$P$5:$P$604,MATCH(B204,'Content Calendar'!$A$5:$A$604,0)),"Not found"))</f>
        <v>0</v>
      </c>
      <c r="K204" s="17">
        <f>IF(B204="","",IFERROR(INDEX('Content Calendar'!$O$5:$O$604,MATCH(B204,'Content Calendar'!$A$5:$A$604,0)),"Not found"))</f>
        <v>0</v>
      </c>
      <c r="L204" s="17">
        <f>IF(B204="","",IFERROR(INDEX('Content Calendar'!$N$5:$N$604,MATCH(B204,'Content Calendar'!$A$5:$A$604,0)),"Not found"))</f>
        <v>0</v>
      </c>
      <c r="M204" s="17">
        <f>IF(B204="","",IFERROR(INDEX('Content Calendar'!$C$5:$C$604,MATCH(B204,'Content Calendar'!$A$5:$A$604,0)),"Not found"))</f>
        <v>0</v>
      </c>
      <c r="N204" s="17">
        <f>IF(B204="","",IFERROR(INDEX('Content Calendar'!$F$5:$F$604,MATCH(B204,'Content Calendar'!$A$5:$A$604,0)),"Not found"))</f>
        <v>0</v>
      </c>
      <c r="Z204" s="23">
        <f>IF(O204="","",N(Q204)+N(R204)+N(S204)+N(T204))</f>
        <v>0</v>
      </c>
      <c r="AA204" s="24">
        <f>IF(OR(O204="",O204=0),"",Z204/O204)</f>
        <v>0</v>
      </c>
      <c r="AB204" s="24">
        <f>IF(OR(O204="",O204=0),"",N(T204)/O204)</f>
        <v>0</v>
      </c>
      <c r="AC204" s="24">
        <f>IF(OR(O204="",O204=0),"",N(S204)/O204)</f>
        <v>0</v>
      </c>
      <c r="AD204" s="24">
        <f>IF(OR(O204="",O204=0),"",N(R204)/O204)</f>
        <v>0</v>
      </c>
      <c r="AE204" s="24">
        <f>IF(OR(O204="",O204=0),"",N(U204)/O204)</f>
        <v>0</v>
      </c>
      <c r="AF204" s="24">
        <f>IF(OR(U204="",U204=0),"",N(W204)/U204)</f>
        <v>0</v>
      </c>
      <c r="AG204" s="25">
        <f>IF(OR(O204="",O204=0),"",N(X204)/(O204/1000))</f>
        <v>0</v>
      </c>
      <c r="AH204" s="24">
        <f>IF(O204="","",IF(Y204="",TargetEngagement,Y204))</f>
        <v>0</v>
      </c>
      <c r="AI204" s="24">
        <f>IF(OR(AA204="",AH204=""),"",AA204-AH204)</f>
        <v>0</v>
      </c>
      <c r="AJ204" s="31">
        <f>IF(AA204="","",AA204+ROW()/1000000)</f>
        <v>0</v>
      </c>
      <c r="AK204" s="23">
        <f>IF(AA204="","",RANK(AJ204,Performance!$AJ$5:$AJ$404))</f>
        <v>0</v>
      </c>
      <c r="AL204" s="29">
        <f>IF(AA204="","",IF(AA204&gt;=AH204*1.5,"Top performer",IF(AA204&gt;=AH204,"Above target",IF(AA204&gt;=AH204*0.6,"Below target","Weak - review it"))))</f>
        <v>0</v>
      </c>
      <c r="AM204" s="29">
        <f>IF(B204="","",IF(COUNTIF(Performance!$B$5:$B$404,B204)&gt;1,"Duplicate","OK"))</f>
        <v>0</v>
      </c>
      <c r="AN204" s="29">
        <f>IF(B204="","",IF(C204="Not found","Check - content ID not on the calendar",IF(O204="","Add - no numbers entered yet",IF(AM204="Duplicate","Duplicate - this post is entered twice",IF(AL204="Top performer","Repurpose this one","OK")))))</f>
        <v>0</v>
      </c>
    </row>
    <row r="205" spans="1:40">
      <c r="A205" s="41">
        <f>IF(B205="","","PF-"&amp;TEXT(ROW()-4,"0000"))</f>
        <v>0</v>
      </c>
      <c r="C205" s="17">
        <f>IF(B205="","",IFERROR(INDEX('Content Calendar'!$H$5:$H$604,MATCH(B205,'Content Calendar'!$A$5:$A$604,0)),"Not found"))</f>
        <v>0</v>
      </c>
      <c r="D205" s="16">
        <f>IF(B205="","",IFERROR(INDEX('Content Calendar'!$B$5:$B$604,MATCH(B205,'Content Calendar'!$A$5:$A$604,0)),"Not found"))</f>
        <v>0</v>
      </c>
      <c r="E205" s="17">
        <f>IF(B205="","",IFERROR(INDEX('Content Calendar'!$D$5:$D$604,MATCH(B205,'Content Calendar'!$A$5:$A$604,0)),"Not found"))</f>
        <v>0</v>
      </c>
      <c r="F205" s="17">
        <f>IF(B205="","",IFERROR(INDEX('Content Calendar'!$G$5:$G$604,MATCH(B205,'Content Calendar'!$A$5:$A$604,0)),"Not found"))</f>
        <v>0</v>
      </c>
      <c r="G205" s="17">
        <f>IF(B205="","",IFERROR(INDEX('Content Calendar'!$K$5:$K$604,MATCH(B205,'Content Calendar'!$A$5:$A$604,0)),"Not found"))</f>
        <v>0</v>
      </c>
      <c r="H205" s="17">
        <f>IF(B205="","",IFERROR(INDEX('Content Calendar'!$J$5:$J$604,MATCH(B205,'Content Calendar'!$A$5:$A$604,0)),"Not found"))</f>
        <v>0</v>
      </c>
      <c r="I205" s="17">
        <f>IF(B205="","",IFERROR(INDEX('Content Calendar'!$L$5:$L$604,MATCH(B205,'Content Calendar'!$A$5:$A$604,0)),"Not found"))</f>
        <v>0</v>
      </c>
      <c r="J205" s="17">
        <f>IF(B205="","",IFERROR(INDEX('Content Calendar'!$P$5:$P$604,MATCH(B205,'Content Calendar'!$A$5:$A$604,0)),"Not found"))</f>
        <v>0</v>
      </c>
      <c r="K205" s="17">
        <f>IF(B205="","",IFERROR(INDEX('Content Calendar'!$O$5:$O$604,MATCH(B205,'Content Calendar'!$A$5:$A$604,0)),"Not found"))</f>
        <v>0</v>
      </c>
      <c r="L205" s="17">
        <f>IF(B205="","",IFERROR(INDEX('Content Calendar'!$N$5:$N$604,MATCH(B205,'Content Calendar'!$A$5:$A$604,0)),"Not found"))</f>
        <v>0</v>
      </c>
      <c r="M205" s="17">
        <f>IF(B205="","",IFERROR(INDEX('Content Calendar'!$C$5:$C$604,MATCH(B205,'Content Calendar'!$A$5:$A$604,0)),"Not found"))</f>
        <v>0</v>
      </c>
      <c r="N205" s="17">
        <f>IF(B205="","",IFERROR(INDEX('Content Calendar'!$F$5:$F$604,MATCH(B205,'Content Calendar'!$A$5:$A$604,0)),"Not found"))</f>
        <v>0</v>
      </c>
      <c r="Z205" s="23">
        <f>IF(O205="","",N(Q205)+N(R205)+N(S205)+N(T205))</f>
        <v>0</v>
      </c>
      <c r="AA205" s="24">
        <f>IF(OR(O205="",O205=0),"",Z205/O205)</f>
        <v>0</v>
      </c>
      <c r="AB205" s="24">
        <f>IF(OR(O205="",O205=0),"",N(T205)/O205)</f>
        <v>0</v>
      </c>
      <c r="AC205" s="24">
        <f>IF(OR(O205="",O205=0),"",N(S205)/O205)</f>
        <v>0</v>
      </c>
      <c r="AD205" s="24">
        <f>IF(OR(O205="",O205=0),"",N(R205)/O205)</f>
        <v>0</v>
      </c>
      <c r="AE205" s="24">
        <f>IF(OR(O205="",O205=0),"",N(U205)/O205)</f>
        <v>0</v>
      </c>
      <c r="AF205" s="24">
        <f>IF(OR(U205="",U205=0),"",N(W205)/U205)</f>
        <v>0</v>
      </c>
      <c r="AG205" s="25">
        <f>IF(OR(O205="",O205=0),"",N(X205)/(O205/1000))</f>
        <v>0</v>
      </c>
      <c r="AH205" s="24">
        <f>IF(O205="","",IF(Y205="",TargetEngagement,Y205))</f>
        <v>0</v>
      </c>
      <c r="AI205" s="24">
        <f>IF(OR(AA205="",AH205=""),"",AA205-AH205)</f>
        <v>0</v>
      </c>
      <c r="AJ205" s="31">
        <f>IF(AA205="","",AA205+ROW()/1000000)</f>
        <v>0</v>
      </c>
      <c r="AK205" s="23">
        <f>IF(AA205="","",RANK(AJ205,Performance!$AJ$5:$AJ$404))</f>
        <v>0</v>
      </c>
      <c r="AL205" s="29">
        <f>IF(AA205="","",IF(AA205&gt;=AH205*1.5,"Top performer",IF(AA205&gt;=AH205,"Above target",IF(AA205&gt;=AH205*0.6,"Below target","Weak - review it"))))</f>
        <v>0</v>
      </c>
      <c r="AM205" s="29">
        <f>IF(B205="","",IF(COUNTIF(Performance!$B$5:$B$404,B205)&gt;1,"Duplicate","OK"))</f>
        <v>0</v>
      </c>
      <c r="AN205" s="29">
        <f>IF(B205="","",IF(C205="Not found","Check - content ID not on the calendar",IF(O205="","Add - no numbers entered yet",IF(AM205="Duplicate","Duplicate - this post is entered twice",IF(AL205="Top performer","Repurpose this one","OK")))))</f>
        <v>0</v>
      </c>
    </row>
    <row r="206" spans="1:40">
      <c r="A206" s="41">
        <f>IF(B206="","","PF-"&amp;TEXT(ROW()-4,"0000"))</f>
        <v>0</v>
      </c>
      <c r="C206" s="17">
        <f>IF(B206="","",IFERROR(INDEX('Content Calendar'!$H$5:$H$604,MATCH(B206,'Content Calendar'!$A$5:$A$604,0)),"Not found"))</f>
        <v>0</v>
      </c>
      <c r="D206" s="16">
        <f>IF(B206="","",IFERROR(INDEX('Content Calendar'!$B$5:$B$604,MATCH(B206,'Content Calendar'!$A$5:$A$604,0)),"Not found"))</f>
        <v>0</v>
      </c>
      <c r="E206" s="17">
        <f>IF(B206="","",IFERROR(INDEX('Content Calendar'!$D$5:$D$604,MATCH(B206,'Content Calendar'!$A$5:$A$604,0)),"Not found"))</f>
        <v>0</v>
      </c>
      <c r="F206" s="17">
        <f>IF(B206="","",IFERROR(INDEX('Content Calendar'!$G$5:$G$604,MATCH(B206,'Content Calendar'!$A$5:$A$604,0)),"Not found"))</f>
        <v>0</v>
      </c>
      <c r="G206" s="17">
        <f>IF(B206="","",IFERROR(INDEX('Content Calendar'!$K$5:$K$604,MATCH(B206,'Content Calendar'!$A$5:$A$604,0)),"Not found"))</f>
        <v>0</v>
      </c>
      <c r="H206" s="17">
        <f>IF(B206="","",IFERROR(INDEX('Content Calendar'!$J$5:$J$604,MATCH(B206,'Content Calendar'!$A$5:$A$604,0)),"Not found"))</f>
        <v>0</v>
      </c>
      <c r="I206" s="17">
        <f>IF(B206="","",IFERROR(INDEX('Content Calendar'!$L$5:$L$604,MATCH(B206,'Content Calendar'!$A$5:$A$604,0)),"Not found"))</f>
        <v>0</v>
      </c>
      <c r="J206" s="17">
        <f>IF(B206="","",IFERROR(INDEX('Content Calendar'!$P$5:$P$604,MATCH(B206,'Content Calendar'!$A$5:$A$604,0)),"Not found"))</f>
        <v>0</v>
      </c>
      <c r="K206" s="17">
        <f>IF(B206="","",IFERROR(INDEX('Content Calendar'!$O$5:$O$604,MATCH(B206,'Content Calendar'!$A$5:$A$604,0)),"Not found"))</f>
        <v>0</v>
      </c>
      <c r="L206" s="17">
        <f>IF(B206="","",IFERROR(INDEX('Content Calendar'!$N$5:$N$604,MATCH(B206,'Content Calendar'!$A$5:$A$604,0)),"Not found"))</f>
        <v>0</v>
      </c>
      <c r="M206" s="17">
        <f>IF(B206="","",IFERROR(INDEX('Content Calendar'!$C$5:$C$604,MATCH(B206,'Content Calendar'!$A$5:$A$604,0)),"Not found"))</f>
        <v>0</v>
      </c>
      <c r="N206" s="17">
        <f>IF(B206="","",IFERROR(INDEX('Content Calendar'!$F$5:$F$604,MATCH(B206,'Content Calendar'!$A$5:$A$604,0)),"Not found"))</f>
        <v>0</v>
      </c>
      <c r="Z206" s="23">
        <f>IF(O206="","",N(Q206)+N(R206)+N(S206)+N(T206))</f>
        <v>0</v>
      </c>
      <c r="AA206" s="24">
        <f>IF(OR(O206="",O206=0),"",Z206/O206)</f>
        <v>0</v>
      </c>
      <c r="AB206" s="24">
        <f>IF(OR(O206="",O206=0),"",N(T206)/O206)</f>
        <v>0</v>
      </c>
      <c r="AC206" s="24">
        <f>IF(OR(O206="",O206=0),"",N(S206)/O206)</f>
        <v>0</v>
      </c>
      <c r="AD206" s="24">
        <f>IF(OR(O206="",O206=0),"",N(R206)/O206)</f>
        <v>0</v>
      </c>
      <c r="AE206" s="24">
        <f>IF(OR(O206="",O206=0),"",N(U206)/O206)</f>
        <v>0</v>
      </c>
      <c r="AF206" s="24">
        <f>IF(OR(U206="",U206=0),"",N(W206)/U206)</f>
        <v>0</v>
      </c>
      <c r="AG206" s="25">
        <f>IF(OR(O206="",O206=0),"",N(X206)/(O206/1000))</f>
        <v>0</v>
      </c>
      <c r="AH206" s="24">
        <f>IF(O206="","",IF(Y206="",TargetEngagement,Y206))</f>
        <v>0</v>
      </c>
      <c r="AI206" s="24">
        <f>IF(OR(AA206="",AH206=""),"",AA206-AH206)</f>
        <v>0</v>
      </c>
      <c r="AJ206" s="31">
        <f>IF(AA206="","",AA206+ROW()/1000000)</f>
        <v>0</v>
      </c>
      <c r="AK206" s="23">
        <f>IF(AA206="","",RANK(AJ206,Performance!$AJ$5:$AJ$404))</f>
        <v>0</v>
      </c>
      <c r="AL206" s="29">
        <f>IF(AA206="","",IF(AA206&gt;=AH206*1.5,"Top performer",IF(AA206&gt;=AH206,"Above target",IF(AA206&gt;=AH206*0.6,"Below target","Weak - review it"))))</f>
        <v>0</v>
      </c>
      <c r="AM206" s="29">
        <f>IF(B206="","",IF(COUNTIF(Performance!$B$5:$B$404,B206)&gt;1,"Duplicate","OK"))</f>
        <v>0</v>
      </c>
      <c r="AN206" s="29">
        <f>IF(B206="","",IF(C206="Not found","Check - content ID not on the calendar",IF(O206="","Add - no numbers entered yet",IF(AM206="Duplicate","Duplicate - this post is entered twice",IF(AL206="Top performer","Repurpose this one","OK")))))</f>
        <v>0</v>
      </c>
    </row>
    <row r="207" spans="1:40">
      <c r="A207" s="41">
        <f>IF(B207="","","PF-"&amp;TEXT(ROW()-4,"0000"))</f>
        <v>0</v>
      </c>
      <c r="C207" s="17">
        <f>IF(B207="","",IFERROR(INDEX('Content Calendar'!$H$5:$H$604,MATCH(B207,'Content Calendar'!$A$5:$A$604,0)),"Not found"))</f>
        <v>0</v>
      </c>
      <c r="D207" s="16">
        <f>IF(B207="","",IFERROR(INDEX('Content Calendar'!$B$5:$B$604,MATCH(B207,'Content Calendar'!$A$5:$A$604,0)),"Not found"))</f>
        <v>0</v>
      </c>
      <c r="E207" s="17">
        <f>IF(B207="","",IFERROR(INDEX('Content Calendar'!$D$5:$D$604,MATCH(B207,'Content Calendar'!$A$5:$A$604,0)),"Not found"))</f>
        <v>0</v>
      </c>
      <c r="F207" s="17">
        <f>IF(B207="","",IFERROR(INDEX('Content Calendar'!$G$5:$G$604,MATCH(B207,'Content Calendar'!$A$5:$A$604,0)),"Not found"))</f>
        <v>0</v>
      </c>
      <c r="G207" s="17">
        <f>IF(B207="","",IFERROR(INDEX('Content Calendar'!$K$5:$K$604,MATCH(B207,'Content Calendar'!$A$5:$A$604,0)),"Not found"))</f>
        <v>0</v>
      </c>
      <c r="H207" s="17">
        <f>IF(B207="","",IFERROR(INDEX('Content Calendar'!$J$5:$J$604,MATCH(B207,'Content Calendar'!$A$5:$A$604,0)),"Not found"))</f>
        <v>0</v>
      </c>
      <c r="I207" s="17">
        <f>IF(B207="","",IFERROR(INDEX('Content Calendar'!$L$5:$L$604,MATCH(B207,'Content Calendar'!$A$5:$A$604,0)),"Not found"))</f>
        <v>0</v>
      </c>
      <c r="J207" s="17">
        <f>IF(B207="","",IFERROR(INDEX('Content Calendar'!$P$5:$P$604,MATCH(B207,'Content Calendar'!$A$5:$A$604,0)),"Not found"))</f>
        <v>0</v>
      </c>
      <c r="K207" s="17">
        <f>IF(B207="","",IFERROR(INDEX('Content Calendar'!$O$5:$O$604,MATCH(B207,'Content Calendar'!$A$5:$A$604,0)),"Not found"))</f>
        <v>0</v>
      </c>
      <c r="L207" s="17">
        <f>IF(B207="","",IFERROR(INDEX('Content Calendar'!$N$5:$N$604,MATCH(B207,'Content Calendar'!$A$5:$A$604,0)),"Not found"))</f>
        <v>0</v>
      </c>
      <c r="M207" s="17">
        <f>IF(B207="","",IFERROR(INDEX('Content Calendar'!$C$5:$C$604,MATCH(B207,'Content Calendar'!$A$5:$A$604,0)),"Not found"))</f>
        <v>0</v>
      </c>
      <c r="N207" s="17">
        <f>IF(B207="","",IFERROR(INDEX('Content Calendar'!$F$5:$F$604,MATCH(B207,'Content Calendar'!$A$5:$A$604,0)),"Not found"))</f>
        <v>0</v>
      </c>
      <c r="Z207" s="23">
        <f>IF(O207="","",N(Q207)+N(R207)+N(S207)+N(T207))</f>
        <v>0</v>
      </c>
      <c r="AA207" s="24">
        <f>IF(OR(O207="",O207=0),"",Z207/O207)</f>
        <v>0</v>
      </c>
      <c r="AB207" s="24">
        <f>IF(OR(O207="",O207=0),"",N(T207)/O207)</f>
        <v>0</v>
      </c>
      <c r="AC207" s="24">
        <f>IF(OR(O207="",O207=0),"",N(S207)/O207)</f>
        <v>0</v>
      </c>
      <c r="AD207" s="24">
        <f>IF(OR(O207="",O207=0),"",N(R207)/O207)</f>
        <v>0</v>
      </c>
      <c r="AE207" s="24">
        <f>IF(OR(O207="",O207=0),"",N(U207)/O207)</f>
        <v>0</v>
      </c>
      <c r="AF207" s="24">
        <f>IF(OR(U207="",U207=0),"",N(W207)/U207)</f>
        <v>0</v>
      </c>
      <c r="AG207" s="25">
        <f>IF(OR(O207="",O207=0),"",N(X207)/(O207/1000))</f>
        <v>0</v>
      </c>
      <c r="AH207" s="24">
        <f>IF(O207="","",IF(Y207="",TargetEngagement,Y207))</f>
        <v>0</v>
      </c>
      <c r="AI207" s="24">
        <f>IF(OR(AA207="",AH207=""),"",AA207-AH207)</f>
        <v>0</v>
      </c>
      <c r="AJ207" s="31">
        <f>IF(AA207="","",AA207+ROW()/1000000)</f>
        <v>0</v>
      </c>
      <c r="AK207" s="23">
        <f>IF(AA207="","",RANK(AJ207,Performance!$AJ$5:$AJ$404))</f>
        <v>0</v>
      </c>
      <c r="AL207" s="29">
        <f>IF(AA207="","",IF(AA207&gt;=AH207*1.5,"Top performer",IF(AA207&gt;=AH207,"Above target",IF(AA207&gt;=AH207*0.6,"Below target","Weak - review it"))))</f>
        <v>0</v>
      </c>
      <c r="AM207" s="29">
        <f>IF(B207="","",IF(COUNTIF(Performance!$B$5:$B$404,B207)&gt;1,"Duplicate","OK"))</f>
        <v>0</v>
      </c>
      <c r="AN207" s="29">
        <f>IF(B207="","",IF(C207="Not found","Check - content ID not on the calendar",IF(O207="","Add - no numbers entered yet",IF(AM207="Duplicate","Duplicate - this post is entered twice",IF(AL207="Top performer","Repurpose this one","OK")))))</f>
        <v>0</v>
      </c>
    </row>
    <row r="208" spans="1:40">
      <c r="A208" s="41">
        <f>IF(B208="","","PF-"&amp;TEXT(ROW()-4,"0000"))</f>
        <v>0</v>
      </c>
      <c r="C208" s="17">
        <f>IF(B208="","",IFERROR(INDEX('Content Calendar'!$H$5:$H$604,MATCH(B208,'Content Calendar'!$A$5:$A$604,0)),"Not found"))</f>
        <v>0</v>
      </c>
      <c r="D208" s="16">
        <f>IF(B208="","",IFERROR(INDEX('Content Calendar'!$B$5:$B$604,MATCH(B208,'Content Calendar'!$A$5:$A$604,0)),"Not found"))</f>
        <v>0</v>
      </c>
      <c r="E208" s="17">
        <f>IF(B208="","",IFERROR(INDEX('Content Calendar'!$D$5:$D$604,MATCH(B208,'Content Calendar'!$A$5:$A$604,0)),"Not found"))</f>
        <v>0</v>
      </c>
      <c r="F208" s="17">
        <f>IF(B208="","",IFERROR(INDEX('Content Calendar'!$G$5:$G$604,MATCH(B208,'Content Calendar'!$A$5:$A$604,0)),"Not found"))</f>
        <v>0</v>
      </c>
      <c r="G208" s="17">
        <f>IF(B208="","",IFERROR(INDEX('Content Calendar'!$K$5:$K$604,MATCH(B208,'Content Calendar'!$A$5:$A$604,0)),"Not found"))</f>
        <v>0</v>
      </c>
      <c r="H208" s="17">
        <f>IF(B208="","",IFERROR(INDEX('Content Calendar'!$J$5:$J$604,MATCH(B208,'Content Calendar'!$A$5:$A$604,0)),"Not found"))</f>
        <v>0</v>
      </c>
      <c r="I208" s="17">
        <f>IF(B208="","",IFERROR(INDEX('Content Calendar'!$L$5:$L$604,MATCH(B208,'Content Calendar'!$A$5:$A$604,0)),"Not found"))</f>
        <v>0</v>
      </c>
      <c r="J208" s="17">
        <f>IF(B208="","",IFERROR(INDEX('Content Calendar'!$P$5:$P$604,MATCH(B208,'Content Calendar'!$A$5:$A$604,0)),"Not found"))</f>
        <v>0</v>
      </c>
      <c r="K208" s="17">
        <f>IF(B208="","",IFERROR(INDEX('Content Calendar'!$O$5:$O$604,MATCH(B208,'Content Calendar'!$A$5:$A$604,0)),"Not found"))</f>
        <v>0</v>
      </c>
      <c r="L208" s="17">
        <f>IF(B208="","",IFERROR(INDEX('Content Calendar'!$N$5:$N$604,MATCH(B208,'Content Calendar'!$A$5:$A$604,0)),"Not found"))</f>
        <v>0</v>
      </c>
      <c r="M208" s="17">
        <f>IF(B208="","",IFERROR(INDEX('Content Calendar'!$C$5:$C$604,MATCH(B208,'Content Calendar'!$A$5:$A$604,0)),"Not found"))</f>
        <v>0</v>
      </c>
      <c r="N208" s="17">
        <f>IF(B208="","",IFERROR(INDEX('Content Calendar'!$F$5:$F$604,MATCH(B208,'Content Calendar'!$A$5:$A$604,0)),"Not found"))</f>
        <v>0</v>
      </c>
      <c r="Z208" s="23">
        <f>IF(O208="","",N(Q208)+N(R208)+N(S208)+N(T208))</f>
        <v>0</v>
      </c>
      <c r="AA208" s="24">
        <f>IF(OR(O208="",O208=0),"",Z208/O208)</f>
        <v>0</v>
      </c>
      <c r="AB208" s="24">
        <f>IF(OR(O208="",O208=0),"",N(T208)/O208)</f>
        <v>0</v>
      </c>
      <c r="AC208" s="24">
        <f>IF(OR(O208="",O208=0),"",N(S208)/O208)</f>
        <v>0</v>
      </c>
      <c r="AD208" s="24">
        <f>IF(OR(O208="",O208=0),"",N(R208)/O208)</f>
        <v>0</v>
      </c>
      <c r="AE208" s="24">
        <f>IF(OR(O208="",O208=0),"",N(U208)/O208)</f>
        <v>0</v>
      </c>
      <c r="AF208" s="24">
        <f>IF(OR(U208="",U208=0),"",N(W208)/U208)</f>
        <v>0</v>
      </c>
      <c r="AG208" s="25">
        <f>IF(OR(O208="",O208=0),"",N(X208)/(O208/1000))</f>
        <v>0</v>
      </c>
      <c r="AH208" s="24">
        <f>IF(O208="","",IF(Y208="",TargetEngagement,Y208))</f>
        <v>0</v>
      </c>
      <c r="AI208" s="24">
        <f>IF(OR(AA208="",AH208=""),"",AA208-AH208)</f>
        <v>0</v>
      </c>
      <c r="AJ208" s="31">
        <f>IF(AA208="","",AA208+ROW()/1000000)</f>
        <v>0</v>
      </c>
      <c r="AK208" s="23">
        <f>IF(AA208="","",RANK(AJ208,Performance!$AJ$5:$AJ$404))</f>
        <v>0</v>
      </c>
      <c r="AL208" s="29">
        <f>IF(AA208="","",IF(AA208&gt;=AH208*1.5,"Top performer",IF(AA208&gt;=AH208,"Above target",IF(AA208&gt;=AH208*0.6,"Below target","Weak - review it"))))</f>
        <v>0</v>
      </c>
      <c r="AM208" s="29">
        <f>IF(B208="","",IF(COUNTIF(Performance!$B$5:$B$404,B208)&gt;1,"Duplicate","OK"))</f>
        <v>0</v>
      </c>
      <c r="AN208" s="29">
        <f>IF(B208="","",IF(C208="Not found","Check - content ID not on the calendar",IF(O208="","Add - no numbers entered yet",IF(AM208="Duplicate","Duplicate - this post is entered twice",IF(AL208="Top performer","Repurpose this one","OK")))))</f>
        <v>0</v>
      </c>
    </row>
    <row r="209" spans="1:40">
      <c r="A209" s="41">
        <f>IF(B209="","","PF-"&amp;TEXT(ROW()-4,"0000"))</f>
        <v>0</v>
      </c>
      <c r="C209" s="17">
        <f>IF(B209="","",IFERROR(INDEX('Content Calendar'!$H$5:$H$604,MATCH(B209,'Content Calendar'!$A$5:$A$604,0)),"Not found"))</f>
        <v>0</v>
      </c>
      <c r="D209" s="16">
        <f>IF(B209="","",IFERROR(INDEX('Content Calendar'!$B$5:$B$604,MATCH(B209,'Content Calendar'!$A$5:$A$604,0)),"Not found"))</f>
        <v>0</v>
      </c>
      <c r="E209" s="17">
        <f>IF(B209="","",IFERROR(INDEX('Content Calendar'!$D$5:$D$604,MATCH(B209,'Content Calendar'!$A$5:$A$604,0)),"Not found"))</f>
        <v>0</v>
      </c>
      <c r="F209" s="17">
        <f>IF(B209="","",IFERROR(INDEX('Content Calendar'!$G$5:$G$604,MATCH(B209,'Content Calendar'!$A$5:$A$604,0)),"Not found"))</f>
        <v>0</v>
      </c>
      <c r="G209" s="17">
        <f>IF(B209="","",IFERROR(INDEX('Content Calendar'!$K$5:$K$604,MATCH(B209,'Content Calendar'!$A$5:$A$604,0)),"Not found"))</f>
        <v>0</v>
      </c>
      <c r="H209" s="17">
        <f>IF(B209="","",IFERROR(INDEX('Content Calendar'!$J$5:$J$604,MATCH(B209,'Content Calendar'!$A$5:$A$604,0)),"Not found"))</f>
        <v>0</v>
      </c>
      <c r="I209" s="17">
        <f>IF(B209="","",IFERROR(INDEX('Content Calendar'!$L$5:$L$604,MATCH(B209,'Content Calendar'!$A$5:$A$604,0)),"Not found"))</f>
        <v>0</v>
      </c>
      <c r="J209" s="17">
        <f>IF(B209="","",IFERROR(INDEX('Content Calendar'!$P$5:$P$604,MATCH(B209,'Content Calendar'!$A$5:$A$604,0)),"Not found"))</f>
        <v>0</v>
      </c>
      <c r="K209" s="17">
        <f>IF(B209="","",IFERROR(INDEX('Content Calendar'!$O$5:$O$604,MATCH(B209,'Content Calendar'!$A$5:$A$604,0)),"Not found"))</f>
        <v>0</v>
      </c>
      <c r="L209" s="17">
        <f>IF(B209="","",IFERROR(INDEX('Content Calendar'!$N$5:$N$604,MATCH(B209,'Content Calendar'!$A$5:$A$604,0)),"Not found"))</f>
        <v>0</v>
      </c>
      <c r="M209" s="17">
        <f>IF(B209="","",IFERROR(INDEX('Content Calendar'!$C$5:$C$604,MATCH(B209,'Content Calendar'!$A$5:$A$604,0)),"Not found"))</f>
        <v>0</v>
      </c>
      <c r="N209" s="17">
        <f>IF(B209="","",IFERROR(INDEX('Content Calendar'!$F$5:$F$604,MATCH(B209,'Content Calendar'!$A$5:$A$604,0)),"Not found"))</f>
        <v>0</v>
      </c>
      <c r="Z209" s="23">
        <f>IF(O209="","",N(Q209)+N(R209)+N(S209)+N(T209))</f>
        <v>0</v>
      </c>
      <c r="AA209" s="24">
        <f>IF(OR(O209="",O209=0),"",Z209/O209)</f>
        <v>0</v>
      </c>
      <c r="AB209" s="24">
        <f>IF(OR(O209="",O209=0),"",N(T209)/O209)</f>
        <v>0</v>
      </c>
      <c r="AC209" s="24">
        <f>IF(OR(O209="",O209=0),"",N(S209)/O209)</f>
        <v>0</v>
      </c>
      <c r="AD209" s="24">
        <f>IF(OR(O209="",O209=0),"",N(R209)/O209)</f>
        <v>0</v>
      </c>
      <c r="AE209" s="24">
        <f>IF(OR(O209="",O209=0),"",N(U209)/O209)</f>
        <v>0</v>
      </c>
      <c r="AF209" s="24">
        <f>IF(OR(U209="",U209=0),"",N(W209)/U209)</f>
        <v>0</v>
      </c>
      <c r="AG209" s="25">
        <f>IF(OR(O209="",O209=0),"",N(X209)/(O209/1000))</f>
        <v>0</v>
      </c>
      <c r="AH209" s="24">
        <f>IF(O209="","",IF(Y209="",TargetEngagement,Y209))</f>
        <v>0</v>
      </c>
      <c r="AI209" s="24">
        <f>IF(OR(AA209="",AH209=""),"",AA209-AH209)</f>
        <v>0</v>
      </c>
      <c r="AJ209" s="31">
        <f>IF(AA209="","",AA209+ROW()/1000000)</f>
        <v>0</v>
      </c>
      <c r="AK209" s="23">
        <f>IF(AA209="","",RANK(AJ209,Performance!$AJ$5:$AJ$404))</f>
        <v>0</v>
      </c>
      <c r="AL209" s="29">
        <f>IF(AA209="","",IF(AA209&gt;=AH209*1.5,"Top performer",IF(AA209&gt;=AH209,"Above target",IF(AA209&gt;=AH209*0.6,"Below target","Weak - review it"))))</f>
        <v>0</v>
      </c>
      <c r="AM209" s="29">
        <f>IF(B209="","",IF(COUNTIF(Performance!$B$5:$B$404,B209)&gt;1,"Duplicate","OK"))</f>
        <v>0</v>
      </c>
      <c r="AN209" s="29">
        <f>IF(B209="","",IF(C209="Not found","Check - content ID not on the calendar",IF(O209="","Add - no numbers entered yet",IF(AM209="Duplicate","Duplicate - this post is entered twice",IF(AL209="Top performer","Repurpose this one","OK")))))</f>
        <v>0</v>
      </c>
    </row>
    <row r="210" spans="1:40">
      <c r="A210" s="41">
        <f>IF(B210="","","PF-"&amp;TEXT(ROW()-4,"0000"))</f>
        <v>0</v>
      </c>
      <c r="C210" s="17">
        <f>IF(B210="","",IFERROR(INDEX('Content Calendar'!$H$5:$H$604,MATCH(B210,'Content Calendar'!$A$5:$A$604,0)),"Not found"))</f>
        <v>0</v>
      </c>
      <c r="D210" s="16">
        <f>IF(B210="","",IFERROR(INDEX('Content Calendar'!$B$5:$B$604,MATCH(B210,'Content Calendar'!$A$5:$A$604,0)),"Not found"))</f>
        <v>0</v>
      </c>
      <c r="E210" s="17">
        <f>IF(B210="","",IFERROR(INDEX('Content Calendar'!$D$5:$D$604,MATCH(B210,'Content Calendar'!$A$5:$A$604,0)),"Not found"))</f>
        <v>0</v>
      </c>
      <c r="F210" s="17">
        <f>IF(B210="","",IFERROR(INDEX('Content Calendar'!$G$5:$G$604,MATCH(B210,'Content Calendar'!$A$5:$A$604,0)),"Not found"))</f>
        <v>0</v>
      </c>
      <c r="G210" s="17">
        <f>IF(B210="","",IFERROR(INDEX('Content Calendar'!$K$5:$K$604,MATCH(B210,'Content Calendar'!$A$5:$A$604,0)),"Not found"))</f>
        <v>0</v>
      </c>
      <c r="H210" s="17">
        <f>IF(B210="","",IFERROR(INDEX('Content Calendar'!$J$5:$J$604,MATCH(B210,'Content Calendar'!$A$5:$A$604,0)),"Not found"))</f>
        <v>0</v>
      </c>
      <c r="I210" s="17">
        <f>IF(B210="","",IFERROR(INDEX('Content Calendar'!$L$5:$L$604,MATCH(B210,'Content Calendar'!$A$5:$A$604,0)),"Not found"))</f>
        <v>0</v>
      </c>
      <c r="J210" s="17">
        <f>IF(B210="","",IFERROR(INDEX('Content Calendar'!$P$5:$P$604,MATCH(B210,'Content Calendar'!$A$5:$A$604,0)),"Not found"))</f>
        <v>0</v>
      </c>
      <c r="K210" s="17">
        <f>IF(B210="","",IFERROR(INDEX('Content Calendar'!$O$5:$O$604,MATCH(B210,'Content Calendar'!$A$5:$A$604,0)),"Not found"))</f>
        <v>0</v>
      </c>
      <c r="L210" s="17">
        <f>IF(B210="","",IFERROR(INDEX('Content Calendar'!$N$5:$N$604,MATCH(B210,'Content Calendar'!$A$5:$A$604,0)),"Not found"))</f>
        <v>0</v>
      </c>
      <c r="M210" s="17">
        <f>IF(B210="","",IFERROR(INDEX('Content Calendar'!$C$5:$C$604,MATCH(B210,'Content Calendar'!$A$5:$A$604,0)),"Not found"))</f>
        <v>0</v>
      </c>
      <c r="N210" s="17">
        <f>IF(B210="","",IFERROR(INDEX('Content Calendar'!$F$5:$F$604,MATCH(B210,'Content Calendar'!$A$5:$A$604,0)),"Not found"))</f>
        <v>0</v>
      </c>
      <c r="Z210" s="23">
        <f>IF(O210="","",N(Q210)+N(R210)+N(S210)+N(T210))</f>
        <v>0</v>
      </c>
      <c r="AA210" s="24">
        <f>IF(OR(O210="",O210=0),"",Z210/O210)</f>
        <v>0</v>
      </c>
      <c r="AB210" s="24">
        <f>IF(OR(O210="",O210=0),"",N(T210)/O210)</f>
        <v>0</v>
      </c>
      <c r="AC210" s="24">
        <f>IF(OR(O210="",O210=0),"",N(S210)/O210)</f>
        <v>0</v>
      </c>
      <c r="AD210" s="24">
        <f>IF(OR(O210="",O210=0),"",N(R210)/O210)</f>
        <v>0</v>
      </c>
      <c r="AE210" s="24">
        <f>IF(OR(O210="",O210=0),"",N(U210)/O210)</f>
        <v>0</v>
      </c>
      <c r="AF210" s="24">
        <f>IF(OR(U210="",U210=0),"",N(W210)/U210)</f>
        <v>0</v>
      </c>
      <c r="AG210" s="25">
        <f>IF(OR(O210="",O210=0),"",N(X210)/(O210/1000))</f>
        <v>0</v>
      </c>
      <c r="AH210" s="24">
        <f>IF(O210="","",IF(Y210="",TargetEngagement,Y210))</f>
        <v>0</v>
      </c>
      <c r="AI210" s="24">
        <f>IF(OR(AA210="",AH210=""),"",AA210-AH210)</f>
        <v>0</v>
      </c>
      <c r="AJ210" s="31">
        <f>IF(AA210="","",AA210+ROW()/1000000)</f>
        <v>0</v>
      </c>
      <c r="AK210" s="23">
        <f>IF(AA210="","",RANK(AJ210,Performance!$AJ$5:$AJ$404))</f>
        <v>0</v>
      </c>
      <c r="AL210" s="29">
        <f>IF(AA210="","",IF(AA210&gt;=AH210*1.5,"Top performer",IF(AA210&gt;=AH210,"Above target",IF(AA210&gt;=AH210*0.6,"Below target","Weak - review it"))))</f>
        <v>0</v>
      </c>
      <c r="AM210" s="29">
        <f>IF(B210="","",IF(COUNTIF(Performance!$B$5:$B$404,B210)&gt;1,"Duplicate","OK"))</f>
        <v>0</v>
      </c>
      <c r="AN210" s="29">
        <f>IF(B210="","",IF(C210="Not found","Check - content ID not on the calendar",IF(O210="","Add - no numbers entered yet",IF(AM210="Duplicate","Duplicate - this post is entered twice",IF(AL210="Top performer","Repurpose this one","OK")))))</f>
        <v>0</v>
      </c>
    </row>
    <row r="211" spans="1:40">
      <c r="A211" s="41">
        <f>IF(B211="","","PF-"&amp;TEXT(ROW()-4,"0000"))</f>
        <v>0</v>
      </c>
      <c r="C211" s="17">
        <f>IF(B211="","",IFERROR(INDEX('Content Calendar'!$H$5:$H$604,MATCH(B211,'Content Calendar'!$A$5:$A$604,0)),"Not found"))</f>
        <v>0</v>
      </c>
      <c r="D211" s="16">
        <f>IF(B211="","",IFERROR(INDEX('Content Calendar'!$B$5:$B$604,MATCH(B211,'Content Calendar'!$A$5:$A$604,0)),"Not found"))</f>
        <v>0</v>
      </c>
      <c r="E211" s="17">
        <f>IF(B211="","",IFERROR(INDEX('Content Calendar'!$D$5:$D$604,MATCH(B211,'Content Calendar'!$A$5:$A$604,0)),"Not found"))</f>
        <v>0</v>
      </c>
      <c r="F211" s="17">
        <f>IF(B211="","",IFERROR(INDEX('Content Calendar'!$G$5:$G$604,MATCH(B211,'Content Calendar'!$A$5:$A$604,0)),"Not found"))</f>
        <v>0</v>
      </c>
      <c r="G211" s="17">
        <f>IF(B211="","",IFERROR(INDEX('Content Calendar'!$K$5:$K$604,MATCH(B211,'Content Calendar'!$A$5:$A$604,0)),"Not found"))</f>
        <v>0</v>
      </c>
      <c r="H211" s="17">
        <f>IF(B211="","",IFERROR(INDEX('Content Calendar'!$J$5:$J$604,MATCH(B211,'Content Calendar'!$A$5:$A$604,0)),"Not found"))</f>
        <v>0</v>
      </c>
      <c r="I211" s="17">
        <f>IF(B211="","",IFERROR(INDEX('Content Calendar'!$L$5:$L$604,MATCH(B211,'Content Calendar'!$A$5:$A$604,0)),"Not found"))</f>
        <v>0</v>
      </c>
      <c r="J211" s="17">
        <f>IF(B211="","",IFERROR(INDEX('Content Calendar'!$P$5:$P$604,MATCH(B211,'Content Calendar'!$A$5:$A$604,0)),"Not found"))</f>
        <v>0</v>
      </c>
      <c r="K211" s="17">
        <f>IF(B211="","",IFERROR(INDEX('Content Calendar'!$O$5:$O$604,MATCH(B211,'Content Calendar'!$A$5:$A$604,0)),"Not found"))</f>
        <v>0</v>
      </c>
      <c r="L211" s="17">
        <f>IF(B211="","",IFERROR(INDEX('Content Calendar'!$N$5:$N$604,MATCH(B211,'Content Calendar'!$A$5:$A$604,0)),"Not found"))</f>
        <v>0</v>
      </c>
      <c r="M211" s="17">
        <f>IF(B211="","",IFERROR(INDEX('Content Calendar'!$C$5:$C$604,MATCH(B211,'Content Calendar'!$A$5:$A$604,0)),"Not found"))</f>
        <v>0</v>
      </c>
      <c r="N211" s="17">
        <f>IF(B211="","",IFERROR(INDEX('Content Calendar'!$F$5:$F$604,MATCH(B211,'Content Calendar'!$A$5:$A$604,0)),"Not found"))</f>
        <v>0</v>
      </c>
      <c r="Z211" s="23">
        <f>IF(O211="","",N(Q211)+N(R211)+N(S211)+N(T211))</f>
        <v>0</v>
      </c>
      <c r="AA211" s="24">
        <f>IF(OR(O211="",O211=0),"",Z211/O211)</f>
        <v>0</v>
      </c>
      <c r="AB211" s="24">
        <f>IF(OR(O211="",O211=0),"",N(T211)/O211)</f>
        <v>0</v>
      </c>
      <c r="AC211" s="24">
        <f>IF(OR(O211="",O211=0),"",N(S211)/O211)</f>
        <v>0</v>
      </c>
      <c r="AD211" s="24">
        <f>IF(OR(O211="",O211=0),"",N(R211)/O211)</f>
        <v>0</v>
      </c>
      <c r="AE211" s="24">
        <f>IF(OR(O211="",O211=0),"",N(U211)/O211)</f>
        <v>0</v>
      </c>
      <c r="AF211" s="24">
        <f>IF(OR(U211="",U211=0),"",N(W211)/U211)</f>
        <v>0</v>
      </c>
      <c r="AG211" s="25">
        <f>IF(OR(O211="",O211=0),"",N(X211)/(O211/1000))</f>
        <v>0</v>
      </c>
      <c r="AH211" s="24">
        <f>IF(O211="","",IF(Y211="",TargetEngagement,Y211))</f>
        <v>0</v>
      </c>
      <c r="AI211" s="24">
        <f>IF(OR(AA211="",AH211=""),"",AA211-AH211)</f>
        <v>0</v>
      </c>
      <c r="AJ211" s="31">
        <f>IF(AA211="","",AA211+ROW()/1000000)</f>
        <v>0</v>
      </c>
      <c r="AK211" s="23">
        <f>IF(AA211="","",RANK(AJ211,Performance!$AJ$5:$AJ$404))</f>
        <v>0</v>
      </c>
      <c r="AL211" s="29">
        <f>IF(AA211="","",IF(AA211&gt;=AH211*1.5,"Top performer",IF(AA211&gt;=AH211,"Above target",IF(AA211&gt;=AH211*0.6,"Below target","Weak - review it"))))</f>
        <v>0</v>
      </c>
      <c r="AM211" s="29">
        <f>IF(B211="","",IF(COUNTIF(Performance!$B$5:$B$404,B211)&gt;1,"Duplicate","OK"))</f>
        <v>0</v>
      </c>
      <c r="AN211" s="29">
        <f>IF(B211="","",IF(C211="Not found","Check - content ID not on the calendar",IF(O211="","Add - no numbers entered yet",IF(AM211="Duplicate","Duplicate - this post is entered twice",IF(AL211="Top performer","Repurpose this one","OK")))))</f>
        <v>0</v>
      </c>
    </row>
    <row r="212" spans="1:40">
      <c r="A212" s="41">
        <f>IF(B212="","","PF-"&amp;TEXT(ROW()-4,"0000"))</f>
        <v>0</v>
      </c>
      <c r="C212" s="17">
        <f>IF(B212="","",IFERROR(INDEX('Content Calendar'!$H$5:$H$604,MATCH(B212,'Content Calendar'!$A$5:$A$604,0)),"Not found"))</f>
        <v>0</v>
      </c>
      <c r="D212" s="16">
        <f>IF(B212="","",IFERROR(INDEX('Content Calendar'!$B$5:$B$604,MATCH(B212,'Content Calendar'!$A$5:$A$604,0)),"Not found"))</f>
        <v>0</v>
      </c>
      <c r="E212" s="17">
        <f>IF(B212="","",IFERROR(INDEX('Content Calendar'!$D$5:$D$604,MATCH(B212,'Content Calendar'!$A$5:$A$604,0)),"Not found"))</f>
        <v>0</v>
      </c>
      <c r="F212" s="17">
        <f>IF(B212="","",IFERROR(INDEX('Content Calendar'!$G$5:$G$604,MATCH(B212,'Content Calendar'!$A$5:$A$604,0)),"Not found"))</f>
        <v>0</v>
      </c>
      <c r="G212" s="17">
        <f>IF(B212="","",IFERROR(INDEX('Content Calendar'!$K$5:$K$604,MATCH(B212,'Content Calendar'!$A$5:$A$604,0)),"Not found"))</f>
        <v>0</v>
      </c>
      <c r="H212" s="17">
        <f>IF(B212="","",IFERROR(INDEX('Content Calendar'!$J$5:$J$604,MATCH(B212,'Content Calendar'!$A$5:$A$604,0)),"Not found"))</f>
        <v>0</v>
      </c>
      <c r="I212" s="17">
        <f>IF(B212="","",IFERROR(INDEX('Content Calendar'!$L$5:$L$604,MATCH(B212,'Content Calendar'!$A$5:$A$604,0)),"Not found"))</f>
        <v>0</v>
      </c>
      <c r="J212" s="17">
        <f>IF(B212="","",IFERROR(INDEX('Content Calendar'!$P$5:$P$604,MATCH(B212,'Content Calendar'!$A$5:$A$604,0)),"Not found"))</f>
        <v>0</v>
      </c>
      <c r="K212" s="17">
        <f>IF(B212="","",IFERROR(INDEX('Content Calendar'!$O$5:$O$604,MATCH(B212,'Content Calendar'!$A$5:$A$604,0)),"Not found"))</f>
        <v>0</v>
      </c>
      <c r="L212" s="17">
        <f>IF(B212="","",IFERROR(INDEX('Content Calendar'!$N$5:$N$604,MATCH(B212,'Content Calendar'!$A$5:$A$604,0)),"Not found"))</f>
        <v>0</v>
      </c>
      <c r="M212" s="17">
        <f>IF(B212="","",IFERROR(INDEX('Content Calendar'!$C$5:$C$604,MATCH(B212,'Content Calendar'!$A$5:$A$604,0)),"Not found"))</f>
        <v>0</v>
      </c>
      <c r="N212" s="17">
        <f>IF(B212="","",IFERROR(INDEX('Content Calendar'!$F$5:$F$604,MATCH(B212,'Content Calendar'!$A$5:$A$604,0)),"Not found"))</f>
        <v>0</v>
      </c>
      <c r="Z212" s="23">
        <f>IF(O212="","",N(Q212)+N(R212)+N(S212)+N(T212))</f>
        <v>0</v>
      </c>
      <c r="AA212" s="24">
        <f>IF(OR(O212="",O212=0),"",Z212/O212)</f>
        <v>0</v>
      </c>
      <c r="AB212" s="24">
        <f>IF(OR(O212="",O212=0),"",N(T212)/O212)</f>
        <v>0</v>
      </c>
      <c r="AC212" s="24">
        <f>IF(OR(O212="",O212=0),"",N(S212)/O212)</f>
        <v>0</v>
      </c>
      <c r="AD212" s="24">
        <f>IF(OR(O212="",O212=0),"",N(R212)/O212)</f>
        <v>0</v>
      </c>
      <c r="AE212" s="24">
        <f>IF(OR(O212="",O212=0),"",N(U212)/O212)</f>
        <v>0</v>
      </c>
      <c r="AF212" s="24">
        <f>IF(OR(U212="",U212=0),"",N(W212)/U212)</f>
        <v>0</v>
      </c>
      <c r="AG212" s="25">
        <f>IF(OR(O212="",O212=0),"",N(X212)/(O212/1000))</f>
        <v>0</v>
      </c>
      <c r="AH212" s="24">
        <f>IF(O212="","",IF(Y212="",TargetEngagement,Y212))</f>
        <v>0</v>
      </c>
      <c r="AI212" s="24">
        <f>IF(OR(AA212="",AH212=""),"",AA212-AH212)</f>
        <v>0</v>
      </c>
      <c r="AJ212" s="31">
        <f>IF(AA212="","",AA212+ROW()/1000000)</f>
        <v>0</v>
      </c>
      <c r="AK212" s="23">
        <f>IF(AA212="","",RANK(AJ212,Performance!$AJ$5:$AJ$404))</f>
        <v>0</v>
      </c>
      <c r="AL212" s="29">
        <f>IF(AA212="","",IF(AA212&gt;=AH212*1.5,"Top performer",IF(AA212&gt;=AH212,"Above target",IF(AA212&gt;=AH212*0.6,"Below target","Weak - review it"))))</f>
        <v>0</v>
      </c>
      <c r="AM212" s="29">
        <f>IF(B212="","",IF(COUNTIF(Performance!$B$5:$B$404,B212)&gt;1,"Duplicate","OK"))</f>
        <v>0</v>
      </c>
      <c r="AN212" s="29">
        <f>IF(B212="","",IF(C212="Not found","Check - content ID not on the calendar",IF(O212="","Add - no numbers entered yet",IF(AM212="Duplicate","Duplicate - this post is entered twice",IF(AL212="Top performer","Repurpose this one","OK")))))</f>
        <v>0</v>
      </c>
    </row>
    <row r="213" spans="1:40">
      <c r="A213" s="41">
        <f>IF(B213="","","PF-"&amp;TEXT(ROW()-4,"0000"))</f>
        <v>0</v>
      </c>
      <c r="C213" s="17">
        <f>IF(B213="","",IFERROR(INDEX('Content Calendar'!$H$5:$H$604,MATCH(B213,'Content Calendar'!$A$5:$A$604,0)),"Not found"))</f>
        <v>0</v>
      </c>
      <c r="D213" s="16">
        <f>IF(B213="","",IFERROR(INDEX('Content Calendar'!$B$5:$B$604,MATCH(B213,'Content Calendar'!$A$5:$A$604,0)),"Not found"))</f>
        <v>0</v>
      </c>
      <c r="E213" s="17">
        <f>IF(B213="","",IFERROR(INDEX('Content Calendar'!$D$5:$D$604,MATCH(B213,'Content Calendar'!$A$5:$A$604,0)),"Not found"))</f>
        <v>0</v>
      </c>
      <c r="F213" s="17">
        <f>IF(B213="","",IFERROR(INDEX('Content Calendar'!$G$5:$G$604,MATCH(B213,'Content Calendar'!$A$5:$A$604,0)),"Not found"))</f>
        <v>0</v>
      </c>
      <c r="G213" s="17">
        <f>IF(B213="","",IFERROR(INDEX('Content Calendar'!$K$5:$K$604,MATCH(B213,'Content Calendar'!$A$5:$A$604,0)),"Not found"))</f>
        <v>0</v>
      </c>
      <c r="H213" s="17">
        <f>IF(B213="","",IFERROR(INDEX('Content Calendar'!$J$5:$J$604,MATCH(B213,'Content Calendar'!$A$5:$A$604,0)),"Not found"))</f>
        <v>0</v>
      </c>
      <c r="I213" s="17">
        <f>IF(B213="","",IFERROR(INDEX('Content Calendar'!$L$5:$L$604,MATCH(B213,'Content Calendar'!$A$5:$A$604,0)),"Not found"))</f>
        <v>0</v>
      </c>
      <c r="J213" s="17">
        <f>IF(B213="","",IFERROR(INDEX('Content Calendar'!$P$5:$P$604,MATCH(B213,'Content Calendar'!$A$5:$A$604,0)),"Not found"))</f>
        <v>0</v>
      </c>
      <c r="K213" s="17">
        <f>IF(B213="","",IFERROR(INDEX('Content Calendar'!$O$5:$O$604,MATCH(B213,'Content Calendar'!$A$5:$A$604,0)),"Not found"))</f>
        <v>0</v>
      </c>
      <c r="L213" s="17">
        <f>IF(B213="","",IFERROR(INDEX('Content Calendar'!$N$5:$N$604,MATCH(B213,'Content Calendar'!$A$5:$A$604,0)),"Not found"))</f>
        <v>0</v>
      </c>
      <c r="M213" s="17">
        <f>IF(B213="","",IFERROR(INDEX('Content Calendar'!$C$5:$C$604,MATCH(B213,'Content Calendar'!$A$5:$A$604,0)),"Not found"))</f>
        <v>0</v>
      </c>
      <c r="N213" s="17">
        <f>IF(B213="","",IFERROR(INDEX('Content Calendar'!$F$5:$F$604,MATCH(B213,'Content Calendar'!$A$5:$A$604,0)),"Not found"))</f>
        <v>0</v>
      </c>
      <c r="Z213" s="23">
        <f>IF(O213="","",N(Q213)+N(R213)+N(S213)+N(T213))</f>
        <v>0</v>
      </c>
      <c r="AA213" s="24">
        <f>IF(OR(O213="",O213=0),"",Z213/O213)</f>
        <v>0</v>
      </c>
      <c r="AB213" s="24">
        <f>IF(OR(O213="",O213=0),"",N(T213)/O213)</f>
        <v>0</v>
      </c>
      <c r="AC213" s="24">
        <f>IF(OR(O213="",O213=0),"",N(S213)/O213)</f>
        <v>0</v>
      </c>
      <c r="AD213" s="24">
        <f>IF(OR(O213="",O213=0),"",N(R213)/O213)</f>
        <v>0</v>
      </c>
      <c r="AE213" s="24">
        <f>IF(OR(O213="",O213=0),"",N(U213)/O213)</f>
        <v>0</v>
      </c>
      <c r="AF213" s="24">
        <f>IF(OR(U213="",U213=0),"",N(W213)/U213)</f>
        <v>0</v>
      </c>
      <c r="AG213" s="25">
        <f>IF(OR(O213="",O213=0),"",N(X213)/(O213/1000))</f>
        <v>0</v>
      </c>
      <c r="AH213" s="24">
        <f>IF(O213="","",IF(Y213="",TargetEngagement,Y213))</f>
        <v>0</v>
      </c>
      <c r="AI213" s="24">
        <f>IF(OR(AA213="",AH213=""),"",AA213-AH213)</f>
        <v>0</v>
      </c>
      <c r="AJ213" s="31">
        <f>IF(AA213="","",AA213+ROW()/1000000)</f>
        <v>0</v>
      </c>
      <c r="AK213" s="23">
        <f>IF(AA213="","",RANK(AJ213,Performance!$AJ$5:$AJ$404))</f>
        <v>0</v>
      </c>
      <c r="AL213" s="29">
        <f>IF(AA213="","",IF(AA213&gt;=AH213*1.5,"Top performer",IF(AA213&gt;=AH213,"Above target",IF(AA213&gt;=AH213*0.6,"Below target","Weak - review it"))))</f>
        <v>0</v>
      </c>
      <c r="AM213" s="29">
        <f>IF(B213="","",IF(COUNTIF(Performance!$B$5:$B$404,B213)&gt;1,"Duplicate","OK"))</f>
        <v>0</v>
      </c>
      <c r="AN213" s="29">
        <f>IF(B213="","",IF(C213="Not found","Check - content ID not on the calendar",IF(O213="","Add - no numbers entered yet",IF(AM213="Duplicate","Duplicate - this post is entered twice",IF(AL213="Top performer","Repurpose this one","OK")))))</f>
        <v>0</v>
      </c>
    </row>
    <row r="214" spans="1:40">
      <c r="A214" s="41">
        <f>IF(B214="","","PF-"&amp;TEXT(ROW()-4,"0000"))</f>
        <v>0</v>
      </c>
      <c r="C214" s="17">
        <f>IF(B214="","",IFERROR(INDEX('Content Calendar'!$H$5:$H$604,MATCH(B214,'Content Calendar'!$A$5:$A$604,0)),"Not found"))</f>
        <v>0</v>
      </c>
      <c r="D214" s="16">
        <f>IF(B214="","",IFERROR(INDEX('Content Calendar'!$B$5:$B$604,MATCH(B214,'Content Calendar'!$A$5:$A$604,0)),"Not found"))</f>
        <v>0</v>
      </c>
      <c r="E214" s="17">
        <f>IF(B214="","",IFERROR(INDEX('Content Calendar'!$D$5:$D$604,MATCH(B214,'Content Calendar'!$A$5:$A$604,0)),"Not found"))</f>
        <v>0</v>
      </c>
      <c r="F214" s="17">
        <f>IF(B214="","",IFERROR(INDEX('Content Calendar'!$G$5:$G$604,MATCH(B214,'Content Calendar'!$A$5:$A$604,0)),"Not found"))</f>
        <v>0</v>
      </c>
      <c r="G214" s="17">
        <f>IF(B214="","",IFERROR(INDEX('Content Calendar'!$K$5:$K$604,MATCH(B214,'Content Calendar'!$A$5:$A$604,0)),"Not found"))</f>
        <v>0</v>
      </c>
      <c r="H214" s="17">
        <f>IF(B214="","",IFERROR(INDEX('Content Calendar'!$J$5:$J$604,MATCH(B214,'Content Calendar'!$A$5:$A$604,0)),"Not found"))</f>
        <v>0</v>
      </c>
      <c r="I214" s="17">
        <f>IF(B214="","",IFERROR(INDEX('Content Calendar'!$L$5:$L$604,MATCH(B214,'Content Calendar'!$A$5:$A$604,0)),"Not found"))</f>
        <v>0</v>
      </c>
      <c r="J214" s="17">
        <f>IF(B214="","",IFERROR(INDEX('Content Calendar'!$P$5:$P$604,MATCH(B214,'Content Calendar'!$A$5:$A$604,0)),"Not found"))</f>
        <v>0</v>
      </c>
      <c r="K214" s="17">
        <f>IF(B214="","",IFERROR(INDEX('Content Calendar'!$O$5:$O$604,MATCH(B214,'Content Calendar'!$A$5:$A$604,0)),"Not found"))</f>
        <v>0</v>
      </c>
      <c r="L214" s="17">
        <f>IF(B214="","",IFERROR(INDEX('Content Calendar'!$N$5:$N$604,MATCH(B214,'Content Calendar'!$A$5:$A$604,0)),"Not found"))</f>
        <v>0</v>
      </c>
      <c r="M214" s="17">
        <f>IF(B214="","",IFERROR(INDEX('Content Calendar'!$C$5:$C$604,MATCH(B214,'Content Calendar'!$A$5:$A$604,0)),"Not found"))</f>
        <v>0</v>
      </c>
      <c r="N214" s="17">
        <f>IF(B214="","",IFERROR(INDEX('Content Calendar'!$F$5:$F$604,MATCH(B214,'Content Calendar'!$A$5:$A$604,0)),"Not found"))</f>
        <v>0</v>
      </c>
      <c r="Z214" s="23">
        <f>IF(O214="","",N(Q214)+N(R214)+N(S214)+N(T214))</f>
        <v>0</v>
      </c>
      <c r="AA214" s="24">
        <f>IF(OR(O214="",O214=0),"",Z214/O214)</f>
        <v>0</v>
      </c>
      <c r="AB214" s="24">
        <f>IF(OR(O214="",O214=0),"",N(T214)/O214)</f>
        <v>0</v>
      </c>
      <c r="AC214" s="24">
        <f>IF(OR(O214="",O214=0),"",N(S214)/O214)</f>
        <v>0</v>
      </c>
      <c r="AD214" s="24">
        <f>IF(OR(O214="",O214=0),"",N(R214)/O214)</f>
        <v>0</v>
      </c>
      <c r="AE214" s="24">
        <f>IF(OR(O214="",O214=0),"",N(U214)/O214)</f>
        <v>0</v>
      </c>
      <c r="AF214" s="24">
        <f>IF(OR(U214="",U214=0),"",N(W214)/U214)</f>
        <v>0</v>
      </c>
      <c r="AG214" s="25">
        <f>IF(OR(O214="",O214=0),"",N(X214)/(O214/1000))</f>
        <v>0</v>
      </c>
      <c r="AH214" s="24">
        <f>IF(O214="","",IF(Y214="",TargetEngagement,Y214))</f>
        <v>0</v>
      </c>
      <c r="AI214" s="24">
        <f>IF(OR(AA214="",AH214=""),"",AA214-AH214)</f>
        <v>0</v>
      </c>
      <c r="AJ214" s="31">
        <f>IF(AA214="","",AA214+ROW()/1000000)</f>
        <v>0</v>
      </c>
      <c r="AK214" s="23">
        <f>IF(AA214="","",RANK(AJ214,Performance!$AJ$5:$AJ$404))</f>
        <v>0</v>
      </c>
      <c r="AL214" s="29">
        <f>IF(AA214="","",IF(AA214&gt;=AH214*1.5,"Top performer",IF(AA214&gt;=AH214,"Above target",IF(AA214&gt;=AH214*0.6,"Below target","Weak - review it"))))</f>
        <v>0</v>
      </c>
      <c r="AM214" s="29">
        <f>IF(B214="","",IF(COUNTIF(Performance!$B$5:$B$404,B214)&gt;1,"Duplicate","OK"))</f>
        <v>0</v>
      </c>
      <c r="AN214" s="29">
        <f>IF(B214="","",IF(C214="Not found","Check - content ID not on the calendar",IF(O214="","Add - no numbers entered yet",IF(AM214="Duplicate","Duplicate - this post is entered twice",IF(AL214="Top performer","Repurpose this one","OK")))))</f>
        <v>0</v>
      </c>
    </row>
    <row r="215" spans="1:40">
      <c r="A215" s="41">
        <f>IF(B215="","","PF-"&amp;TEXT(ROW()-4,"0000"))</f>
        <v>0</v>
      </c>
      <c r="C215" s="17">
        <f>IF(B215="","",IFERROR(INDEX('Content Calendar'!$H$5:$H$604,MATCH(B215,'Content Calendar'!$A$5:$A$604,0)),"Not found"))</f>
        <v>0</v>
      </c>
      <c r="D215" s="16">
        <f>IF(B215="","",IFERROR(INDEX('Content Calendar'!$B$5:$B$604,MATCH(B215,'Content Calendar'!$A$5:$A$604,0)),"Not found"))</f>
        <v>0</v>
      </c>
      <c r="E215" s="17">
        <f>IF(B215="","",IFERROR(INDEX('Content Calendar'!$D$5:$D$604,MATCH(B215,'Content Calendar'!$A$5:$A$604,0)),"Not found"))</f>
        <v>0</v>
      </c>
      <c r="F215" s="17">
        <f>IF(B215="","",IFERROR(INDEX('Content Calendar'!$G$5:$G$604,MATCH(B215,'Content Calendar'!$A$5:$A$604,0)),"Not found"))</f>
        <v>0</v>
      </c>
      <c r="G215" s="17">
        <f>IF(B215="","",IFERROR(INDEX('Content Calendar'!$K$5:$K$604,MATCH(B215,'Content Calendar'!$A$5:$A$604,0)),"Not found"))</f>
        <v>0</v>
      </c>
      <c r="H215" s="17">
        <f>IF(B215="","",IFERROR(INDEX('Content Calendar'!$J$5:$J$604,MATCH(B215,'Content Calendar'!$A$5:$A$604,0)),"Not found"))</f>
        <v>0</v>
      </c>
      <c r="I215" s="17">
        <f>IF(B215="","",IFERROR(INDEX('Content Calendar'!$L$5:$L$604,MATCH(B215,'Content Calendar'!$A$5:$A$604,0)),"Not found"))</f>
        <v>0</v>
      </c>
      <c r="J215" s="17">
        <f>IF(B215="","",IFERROR(INDEX('Content Calendar'!$P$5:$P$604,MATCH(B215,'Content Calendar'!$A$5:$A$604,0)),"Not found"))</f>
        <v>0</v>
      </c>
      <c r="K215" s="17">
        <f>IF(B215="","",IFERROR(INDEX('Content Calendar'!$O$5:$O$604,MATCH(B215,'Content Calendar'!$A$5:$A$604,0)),"Not found"))</f>
        <v>0</v>
      </c>
      <c r="L215" s="17">
        <f>IF(B215="","",IFERROR(INDEX('Content Calendar'!$N$5:$N$604,MATCH(B215,'Content Calendar'!$A$5:$A$604,0)),"Not found"))</f>
        <v>0</v>
      </c>
      <c r="M215" s="17">
        <f>IF(B215="","",IFERROR(INDEX('Content Calendar'!$C$5:$C$604,MATCH(B215,'Content Calendar'!$A$5:$A$604,0)),"Not found"))</f>
        <v>0</v>
      </c>
      <c r="N215" s="17">
        <f>IF(B215="","",IFERROR(INDEX('Content Calendar'!$F$5:$F$604,MATCH(B215,'Content Calendar'!$A$5:$A$604,0)),"Not found"))</f>
        <v>0</v>
      </c>
      <c r="Z215" s="23">
        <f>IF(O215="","",N(Q215)+N(R215)+N(S215)+N(T215))</f>
        <v>0</v>
      </c>
      <c r="AA215" s="24">
        <f>IF(OR(O215="",O215=0),"",Z215/O215)</f>
        <v>0</v>
      </c>
      <c r="AB215" s="24">
        <f>IF(OR(O215="",O215=0),"",N(T215)/O215)</f>
        <v>0</v>
      </c>
      <c r="AC215" s="24">
        <f>IF(OR(O215="",O215=0),"",N(S215)/O215)</f>
        <v>0</v>
      </c>
      <c r="AD215" s="24">
        <f>IF(OR(O215="",O215=0),"",N(R215)/O215)</f>
        <v>0</v>
      </c>
      <c r="AE215" s="24">
        <f>IF(OR(O215="",O215=0),"",N(U215)/O215)</f>
        <v>0</v>
      </c>
      <c r="AF215" s="24">
        <f>IF(OR(U215="",U215=0),"",N(W215)/U215)</f>
        <v>0</v>
      </c>
      <c r="AG215" s="25">
        <f>IF(OR(O215="",O215=0),"",N(X215)/(O215/1000))</f>
        <v>0</v>
      </c>
      <c r="AH215" s="24">
        <f>IF(O215="","",IF(Y215="",TargetEngagement,Y215))</f>
        <v>0</v>
      </c>
      <c r="AI215" s="24">
        <f>IF(OR(AA215="",AH215=""),"",AA215-AH215)</f>
        <v>0</v>
      </c>
      <c r="AJ215" s="31">
        <f>IF(AA215="","",AA215+ROW()/1000000)</f>
        <v>0</v>
      </c>
      <c r="AK215" s="23">
        <f>IF(AA215="","",RANK(AJ215,Performance!$AJ$5:$AJ$404))</f>
        <v>0</v>
      </c>
      <c r="AL215" s="29">
        <f>IF(AA215="","",IF(AA215&gt;=AH215*1.5,"Top performer",IF(AA215&gt;=AH215,"Above target",IF(AA215&gt;=AH215*0.6,"Below target","Weak - review it"))))</f>
        <v>0</v>
      </c>
      <c r="AM215" s="29">
        <f>IF(B215="","",IF(COUNTIF(Performance!$B$5:$B$404,B215)&gt;1,"Duplicate","OK"))</f>
        <v>0</v>
      </c>
      <c r="AN215" s="29">
        <f>IF(B215="","",IF(C215="Not found","Check - content ID not on the calendar",IF(O215="","Add - no numbers entered yet",IF(AM215="Duplicate","Duplicate - this post is entered twice",IF(AL215="Top performer","Repurpose this one","OK")))))</f>
        <v>0</v>
      </c>
    </row>
    <row r="216" spans="1:40">
      <c r="A216" s="41">
        <f>IF(B216="","","PF-"&amp;TEXT(ROW()-4,"0000"))</f>
        <v>0</v>
      </c>
      <c r="C216" s="17">
        <f>IF(B216="","",IFERROR(INDEX('Content Calendar'!$H$5:$H$604,MATCH(B216,'Content Calendar'!$A$5:$A$604,0)),"Not found"))</f>
        <v>0</v>
      </c>
      <c r="D216" s="16">
        <f>IF(B216="","",IFERROR(INDEX('Content Calendar'!$B$5:$B$604,MATCH(B216,'Content Calendar'!$A$5:$A$604,0)),"Not found"))</f>
        <v>0</v>
      </c>
      <c r="E216" s="17">
        <f>IF(B216="","",IFERROR(INDEX('Content Calendar'!$D$5:$D$604,MATCH(B216,'Content Calendar'!$A$5:$A$604,0)),"Not found"))</f>
        <v>0</v>
      </c>
      <c r="F216" s="17">
        <f>IF(B216="","",IFERROR(INDEX('Content Calendar'!$G$5:$G$604,MATCH(B216,'Content Calendar'!$A$5:$A$604,0)),"Not found"))</f>
        <v>0</v>
      </c>
      <c r="G216" s="17">
        <f>IF(B216="","",IFERROR(INDEX('Content Calendar'!$K$5:$K$604,MATCH(B216,'Content Calendar'!$A$5:$A$604,0)),"Not found"))</f>
        <v>0</v>
      </c>
      <c r="H216" s="17">
        <f>IF(B216="","",IFERROR(INDEX('Content Calendar'!$J$5:$J$604,MATCH(B216,'Content Calendar'!$A$5:$A$604,0)),"Not found"))</f>
        <v>0</v>
      </c>
      <c r="I216" s="17">
        <f>IF(B216="","",IFERROR(INDEX('Content Calendar'!$L$5:$L$604,MATCH(B216,'Content Calendar'!$A$5:$A$604,0)),"Not found"))</f>
        <v>0</v>
      </c>
      <c r="J216" s="17">
        <f>IF(B216="","",IFERROR(INDEX('Content Calendar'!$P$5:$P$604,MATCH(B216,'Content Calendar'!$A$5:$A$604,0)),"Not found"))</f>
        <v>0</v>
      </c>
      <c r="K216" s="17">
        <f>IF(B216="","",IFERROR(INDEX('Content Calendar'!$O$5:$O$604,MATCH(B216,'Content Calendar'!$A$5:$A$604,0)),"Not found"))</f>
        <v>0</v>
      </c>
      <c r="L216" s="17">
        <f>IF(B216="","",IFERROR(INDEX('Content Calendar'!$N$5:$N$604,MATCH(B216,'Content Calendar'!$A$5:$A$604,0)),"Not found"))</f>
        <v>0</v>
      </c>
      <c r="M216" s="17">
        <f>IF(B216="","",IFERROR(INDEX('Content Calendar'!$C$5:$C$604,MATCH(B216,'Content Calendar'!$A$5:$A$604,0)),"Not found"))</f>
        <v>0</v>
      </c>
      <c r="N216" s="17">
        <f>IF(B216="","",IFERROR(INDEX('Content Calendar'!$F$5:$F$604,MATCH(B216,'Content Calendar'!$A$5:$A$604,0)),"Not found"))</f>
        <v>0</v>
      </c>
      <c r="Z216" s="23">
        <f>IF(O216="","",N(Q216)+N(R216)+N(S216)+N(T216))</f>
        <v>0</v>
      </c>
      <c r="AA216" s="24">
        <f>IF(OR(O216="",O216=0),"",Z216/O216)</f>
        <v>0</v>
      </c>
      <c r="AB216" s="24">
        <f>IF(OR(O216="",O216=0),"",N(T216)/O216)</f>
        <v>0</v>
      </c>
      <c r="AC216" s="24">
        <f>IF(OR(O216="",O216=0),"",N(S216)/O216)</f>
        <v>0</v>
      </c>
      <c r="AD216" s="24">
        <f>IF(OR(O216="",O216=0),"",N(R216)/O216)</f>
        <v>0</v>
      </c>
      <c r="AE216" s="24">
        <f>IF(OR(O216="",O216=0),"",N(U216)/O216)</f>
        <v>0</v>
      </c>
      <c r="AF216" s="24">
        <f>IF(OR(U216="",U216=0),"",N(W216)/U216)</f>
        <v>0</v>
      </c>
      <c r="AG216" s="25">
        <f>IF(OR(O216="",O216=0),"",N(X216)/(O216/1000))</f>
        <v>0</v>
      </c>
      <c r="AH216" s="24">
        <f>IF(O216="","",IF(Y216="",TargetEngagement,Y216))</f>
        <v>0</v>
      </c>
      <c r="AI216" s="24">
        <f>IF(OR(AA216="",AH216=""),"",AA216-AH216)</f>
        <v>0</v>
      </c>
      <c r="AJ216" s="31">
        <f>IF(AA216="","",AA216+ROW()/1000000)</f>
        <v>0</v>
      </c>
      <c r="AK216" s="23">
        <f>IF(AA216="","",RANK(AJ216,Performance!$AJ$5:$AJ$404))</f>
        <v>0</v>
      </c>
      <c r="AL216" s="29">
        <f>IF(AA216="","",IF(AA216&gt;=AH216*1.5,"Top performer",IF(AA216&gt;=AH216,"Above target",IF(AA216&gt;=AH216*0.6,"Below target","Weak - review it"))))</f>
        <v>0</v>
      </c>
      <c r="AM216" s="29">
        <f>IF(B216="","",IF(COUNTIF(Performance!$B$5:$B$404,B216)&gt;1,"Duplicate","OK"))</f>
        <v>0</v>
      </c>
      <c r="AN216" s="29">
        <f>IF(B216="","",IF(C216="Not found","Check - content ID not on the calendar",IF(O216="","Add - no numbers entered yet",IF(AM216="Duplicate","Duplicate - this post is entered twice",IF(AL216="Top performer","Repurpose this one","OK")))))</f>
        <v>0</v>
      </c>
    </row>
    <row r="217" spans="1:40">
      <c r="A217" s="41">
        <f>IF(B217="","","PF-"&amp;TEXT(ROW()-4,"0000"))</f>
        <v>0</v>
      </c>
      <c r="C217" s="17">
        <f>IF(B217="","",IFERROR(INDEX('Content Calendar'!$H$5:$H$604,MATCH(B217,'Content Calendar'!$A$5:$A$604,0)),"Not found"))</f>
        <v>0</v>
      </c>
      <c r="D217" s="16">
        <f>IF(B217="","",IFERROR(INDEX('Content Calendar'!$B$5:$B$604,MATCH(B217,'Content Calendar'!$A$5:$A$604,0)),"Not found"))</f>
        <v>0</v>
      </c>
      <c r="E217" s="17">
        <f>IF(B217="","",IFERROR(INDEX('Content Calendar'!$D$5:$D$604,MATCH(B217,'Content Calendar'!$A$5:$A$604,0)),"Not found"))</f>
        <v>0</v>
      </c>
      <c r="F217" s="17">
        <f>IF(B217="","",IFERROR(INDEX('Content Calendar'!$G$5:$G$604,MATCH(B217,'Content Calendar'!$A$5:$A$604,0)),"Not found"))</f>
        <v>0</v>
      </c>
      <c r="G217" s="17">
        <f>IF(B217="","",IFERROR(INDEX('Content Calendar'!$K$5:$K$604,MATCH(B217,'Content Calendar'!$A$5:$A$604,0)),"Not found"))</f>
        <v>0</v>
      </c>
      <c r="H217" s="17">
        <f>IF(B217="","",IFERROR(INDEX('Content Calendar'!$J$5:$J$604,MATCH(B217,'Content Calendar'!$A$5:$A$604,0)),"Not found"))</f>
        <v>0</v>
      </c>
      <c r="I217" s="17">
        <f>IF(B217="","",IFERROR(INDEX('Content Calendar'!$L$5:$L$604,MATCH(B217,'Content Calendar'!$A$5:$A$604,0)),"Not found"))</f>
        <v>0</v>
      </c>
      <c r="J217" s="17">
        <f>IF(B217="","",IFERROR(INDEX('Content Calendar'!$P$5:$P$604,MATCH(B217,'Content Calendar'!$A$5:$A$604,0)),"Not found"))</f>
        <v>0</v>
      </c>
      <c r="K217" s="17">
        <f>IF(B217="","",IFERROR(INDEX('Content Calendar'!$O$5:$O$604,MATCH(B217,'Content Calendar'!$A$5:$A$604,0)),"Not found"))</f>
        <v>0</v>
      </c>
      <c r="L217" s="17">
        <f>IF(B217="","",IFERROR(INDEX('Content Calendar'!$N$5:$N$604,MATCH(B217,'Content Calendar'!$A$5:$A$604,0)),"Not found"))</f>
        <v>0</v>
      </c>
      <c r="M217" s="17">
        <f>IF(B217="","",IFERROR(INDEX('Content Calendar'!$C$5:$C$604,MATCH(B217,'Content Calendar'!$A$5:$A$604,0)),"Not found"))</f>
        <v>0</v>
      </c>
      <c r="N217" s="17">
        <f>IF(B217="","",IFERROR(INDEX('Content Calendar'!$F$5:$F$604,MATCH(B217,'Content Calendar'!$A$5:$A$604,0)),"Not found"))</f>
        <v>0</v>
      </c>
      <c r="Z217" s="23">
        <f>IF(O217="","",N(Q217)+N(R217)+N(S217)+N(T217))</f>
        <v>0</v>
      </c>
      <c r="AA217" s="24">
        <f>IF(OR(O217="",O217=0),"",Z217/O217)</f>
        <v>0</v>
      </c>
      <c r="AB217" s="24">
        <f>IF(OR(O217="",O217=0),"",N(T217)/O217)</f>
        <v>0</v>
      </c>
      <c r="AC217" s="24">
        <f>IF(OR(O217="",O217=0),"",N(S217)/O217)</f>
        <v>0</v>
      </c>
      <c r="AD217" s="24">
        <f>IF(OR(O217="",O217=0),"",N(R217)/O217)</f>
        <v>0</v>
      </c>
      <c r="AE217" s="24">
        <f>IF(OR(O217="",O217=0),"",N(U217)/O217)</f>
        <v>0</v>
      </c>
      <c r="AF217" s="24">
        <f>IF(OR(U217="",U217=0),"",N(W217)/U217)</f>
        <v>0</v>
      </c>
      <c r="AG217" s="25">
        <f>IF(OR(O217="",O217=0),"",N(X217)/(O217/1000))</f>
        <v>0</v>
      </c>
      <c r="AH217" s="24">
        <f>IF(O217="","",IF(Y217="",TargetEngagement,Y217))</f>
        <v>0</v>
      </c>
      <c r="AI217" s="24">
        <f>IF(OR(AA217="",AH217=""),"",AA217-AH217)</f>
        <v>0</v>
      </c>
      <c r="AJ217" s="31">
        <f>IF(AA217="","",AA217+ROW()/1000000)</f>
        <v>0</v>
      </c>
      <c r="AK217" s="23">
        <f>IF(AA217="","",RANK(AJ217,Performance!$AJ$5:$AJ$404))</f>
        <v>0</v>
      </c>
      <c r="AL217" s="29">
        <f>IF(AA217="","",IF(AA217&gt;=AH217*1.5,"Top performer",IF(AA217&gt;=AH217,"Above target",IF(AA217&gt;=AH217*0.6,"Below target","Weak - review it"))))</f>
        <v>0</v>
      </c>
      <c r="AM217" s="29">
        <f>IF(B217="","",IF(COUNTIF(Performance!$B$5:$B$404,B217)&gt;1,"Duplicate","OK"))</f>
        <v>0</v>
      </c>
      <c r="AN217" s="29">
        <f>IF(B217="","",IF(C217="Not found","Check - content ID not on the calendar",IF(O217="","Add - no numbers entered yet",IF(AM217="Duplicate","Duplicate - this post is entered twice",IF(AL217="Top performer","Repurpose this one","OK")))))</f>
        <v>0</v>
      </c>
    </row>
    <row r="218" spans="1:40">
      <c r="A218" s="41">
        <f>IF(B218="","","PF-"&amp;TEXT(ROW()-4,"0000"))</f>
        <v>0</v>
      </c>
      <c r="C218" s="17">
        <f>IF(B218="","",IFERROR(INDEX('Content Calendar'!$H$5:$H$604,MATCH(B218,'Content Calendar'!$A$5:$A$604,0)),"Not found"))</f>
        <v>0</v>
      </c>
      <c r="D218" s="16">
        <f>IF(B218="","",IFERROR(INDEX('Content Calendar'!$B$5:$B$604,MATCH(B218,'Content Calendar'!$A$5:$A$604,0)),"Not found"))</f>
        <v>0</v>
      </c>
      <c r="E218" s="17">
        <f>IF(B218="","",IFERROR(INDEX('Content Calendar'!$D$5:$D$604,MATCH(B218,'Content Calendar'!$A$5:$A$604,0)),"Not found"))</f>
        <v>0</v>
      </c>
      <c r="F218" s="17">
        <f>IF(B218="","",IFERROR(INDEX('Content Calendar'!$G$5:$G$604,MATCH(B218,'Content Calendar'!$A$5:$A$604,0)),"Not found"))</f>
        <v>0</v>
      </c>
      <c r="G218" s="17">
        <f>IF(B218="","",IFERROR(INDEX('Content Calendar'!$K$5:$K$604,MATCH(B218,'Content Calendar'!$A$5:$A$604,0)),"Not found"))</f>
        <v>0</v>
      </c>
      <c r="H218" s="17">
        <f>IF(B218="","",IFERROR(INDEX('Content Calendar'!$J$5:$J$604,MATCH(B218,'Content Calendar'!$A$5:$A$604,0)),"Not found"))</f>
        <v>0</v>
      </c>
      <c r="I218" s="17">
        <f>IF(B218="","",IFERROR(INDEX('Content Calendar'!$L$5:$L$604,MATCH(B218,'Content Calendar'!$A$5:$A$604,0)),"Not found"))</f>
        <v>0</v>
      </c>
      <c r="J218" s="17">
        <f>IF(B218="","",IFERROR(INDEX('Content Calendar'!$P$5:$P$604,MATCH(B218,'Content Calendar'!$A$5:$A$604,0)),"Not found"))</f>
        <v>0</v>
      </c>
      <c r="K218" s="17">
        <f>IF(B218="","",IFERROR(INDEX('Content Calendar'!$O$5:$O$604,MATCH(B218,'Content Calendar'!$A$5:$A$604,0)),"Not found"))</f>
        <v>0</v>
      </c>
      <c r="L218" s="17">
        <f>IF(B218="","",IFERROR(INDEX('Content Calendar'!$N$5:$N$604,MATCH(B218,'Content Calendar'!$A$5:$A$604,0)),"Not found"))</f>
        <v>0</v>
      </c>
      <c r="M218" s="17">
        <f>IF(B218="","",IFERROR(INDEX('Content Calendar'!$C$5:$C$604,MATCH(B218,'Content Calendar'!$A$5:$A$604,0)),"Not found"))</f>
        <v>0</v>
      </c>
      <c r="N218" s="17">
        <f>IF(B218="","",IFERROR(INDEX('Content Calendar'!$F$5:$F$604,MATCH(B218,'Content Calendar'!$A$5:$A$604,0)),"Not found"))</f>
        <v>0</v>
      </c>
      <c r="Z218" s="23">
        <f>IF(O218="","",N(Q218)+N(R218)+N(S218)+N(T218))</f>
        <v>0</v>
      </c>
      <c r="AA218" s="24">
        <f>IF(OR(O218="",O218=0),"",Z218/O218)</f>
        <v>0</v>
      </c>
      <c r="AB218" s="24">
        <f>IF(OR(O218="",O218=0),"",N(T218)/O218)</f>
        <v>0</v>
      </c>
      <c r="AC218" s="24">
        <f>IF(OR(O218="",O218=0),"",N(S218)/O218)</f>
        <v>0</v>
      </c>
      <c r="AD218" s="24">
        <f>IF(OR(O218="",O218=0),"",N(R218)/O218)</f>
        <v>0</v>
      </c>
      <c r="AE218" s="24">
        <f>IF(OR(O218="",O218=0),"",N(U218)/O218)</f>
        <v>0</v>
      </c>
      <c r="AF218" s="24">
        <f>IF(OR(U218="",U218=0),"",N(W218)/U218)</f>
        <v>0</v>
      </c>
      <c r="AG218" s="25">
        <f>IF(OR(O218="",O218=0),"",N(X218)/(O218/1000))</f>
        <v>0</v>
      </c>
      <c r="AH218" s="24">
        <f>IF(O218="","",IF(Y218="",TargetEngagement,Y218))</f>
        <v>0</v>
      </c>
      <c r="AI218" s="24">
        <f>IF(OR(AA218="",AH218=""),"",AA218-AH218)</f>
        <v>0</v>
      </c>
      <c r="AJ218" s="31">
        <f>IF(AA218="","",AA218+ROW()/1000000)</f>
        <v>0</v>
      </c>
      <c r="AK218" s="23">
        <f>IF(AA218="","",RANK(AJ218,Performance!$AJ$5:$AJ$404))</f>
        <v>0</v>
      </c>
      <c r="AL218" s="29">
        <f>IF(AA218="","",IF(AA218&gt;=AH218*1.5,"Top performer",IF(AA218&gt;=AH218,"Above target",IF(AA218&gt;=AH218*0.6,"Below target","Weak - review it"))))</f>
        <v>0</v>
      </c>
      <c r="AM218" s="29">
        <f>IF(B218="","",IF(COUNTIF(Performance!$B$5:$B$404,B218)&gt;1,"Duplicate","OK"))</f>
        <v>0</v>
      </c>
      <c r="AN218" s="29">
        <f>IF(B218="","",IF(C218="Not found","Check - content ID not on the calendar",IF(O218="","Add - no numbers entered yet",IF(AM218="Duplicate","Duplicate - this post is entered twice",IF(AL218="Top performer","Repurpose this one","OK")))))</f>
        <v>0</v>
      </c>
    </row>
    <row r="219" spans="1:40">
      <c r="A219" s="41">
        <f>IF(B219="","","PF-"&amp;TEXT(ROW()-4,"0000"))</f>
        <v>0</v>
      </c>
      <c r="C219" s="17">
        <f>IF(B219="","",IFERROR(INDEX('Content Calendar'!$H$5:$H$604,MATCH(B219,'Content Calendar'!$A$5:$A$604,0)),"Not found"))</f>
        <v>0</v>
      </c>
      <c r="D219" s="16">
        <f>IF(B219="","",IFERROR(INDEX('Content Calendar'!$B$5:$B$604,MATCH(B219,'Content Calendar'!$A$5:$A$604,0)),"Not found"))</f>
        <v>0</v>
      </c>
      <c r="E219" s="17">
        <f>IF(B219="","",IFERROR(INDEX('Content Calendar'!$D$5:$D$604,MATCH(B219,'Content Calendar'!$A$5:$A$604,0)),"Not found"))</f>
        <v>0</v>
      </c>
      <c r="F219" s="17">
        <f>IF(B219="","",IFERROR(INDEX('Content Calendar'!$G$5:$G$604,MATCH(B219,'Content Calendar'!$A$5:$A$604,0)),"Not found"))</f>
        <v>0</v>
      </c>
      <c r="G219" s="17">
        <f>IF(B219="","",IFERROR(INDEX('Content Calendar'!$K$5:$K$604,MATCH(B219,'Content Calendar'!$A$5:$A$604,0)),"Not found"))</f>
        <v>0</v>
      </c>
      <c r="H219" s="17">
        <f>IF(B219="","",IFERROR(INDEX('Content Calendar'!$J$5:$J$604,MATCH(B219,'Content Calendar'!$A$5:$A$604,0)),"Not found"))</f>
        <v>0</v>
      </c>
      <c r="I219" s="17">
        <f>IF(B219="","",IFERROR(INDEX('Content Calendar'!$L$5:$L$604,MATCH(B219,'Content Calendar'!$A$5:$A$604,0)),"Not found"))</f>
        <v>0</v>
      </c>
      <c r="J219" s="17">
        <f>IF(B219="","",IFERROR(INDEX('Content Calendar'!$P$5:$P$604,MATCH(B219,'Content Calendar'!$A$5:$A$604,0)),"Not found"))</f>
        <v>0</v>
      </c>
      <c r="K219" s="17">
        <f>IF(B219="","",IFERROR(INDEX('Content Calendar'!$O$5:$O$604,MATCH(B219,'Content Calendar'!$A$5:$A$604,0)),"Not found"))</f>
        <v>0</v>
      </c>
      <c r="L219" s="17">
        <f>IF(B219="","",IFERROR(INDEX('Content Calendar'!$N$5:$N$604,MATCH(B219,'Content Calendar'!$A$5:$A$604,0)),"Not found"))</f>
        <v>0</v>
      </c>
      <c r="M219" s="17">
        <f>IF(B219="","",IFERROR(INDEX('Content Calendar'!$C$5:$C$604,MATCH(B219,'Content Calendar'!$A$5:$A$604,0)),"Not found"))</f>
        <v>0</v>
      </c>
      <c r="N219" s="17">
        <f>IF(B219="","",IFERROR(INDEX('Content Calendar'!$F$5:$F$604,MATCH(B219,'Content Calendar'!$A$5:$A$604,0)),"Not found"))</f>
        <v>0</v>
      </c>
      <c r="Z219" s="23">
        <f>IF(O219="","",N(Q219)+N(R219)+N(S219)+N(T219))</f>
        <v>0</v>
      </c>
      <c r="AA219" s="24">
        <f>IF(OR(O219="",O219=0),"",Z219/O219)</f>
        <v>0</v>
      </c>
      <c r="AB219" s="24">
        <f>IF(OR(O219="",O219=0),"",N(T219)/O219)</f>
        <v>0</v>
      </c>
      <c r="AC219" s="24">
        <f>IF(OR(O219="",O219=0),"",N(S219)/O219)</f>
        <v>0</v>
      </c>
      <c r="AD219" s="24">
        <f>IF(OR(O219="",O219=0),"",N(R219)/O219)</f>
        <v>0</v>
      </c>
      <c r="AE219" s="24">
        <f>IF(OR(O219="",O219=0),"",N(U219)/O219)</f>
        <v>0</v>
      </c>
      <c r="AF219" s="24">
        <f>IF(OR(U219="",U219=0),"",N(W219)/U219)</f>
        <v>0</v>
      </c>
      <c r="AG219" s="25">
        <f>IF(OR(O219="",O219=0),"",N(X219)/(O219/1000))</f>
        <v>0</v>
      </c>
      <c r="AH219" s="24">
        <f>IF(O219="","",IF(Y219="",TargetEngagement,Y219))</f>
        <v>0</v>
      </c>
      <c r="AI219" s="24">
        <f>IF(OR(AA219="",AH219=""),"",AA219-AH219)</f>
        <v>0</v>
      </c>
      <c r="AJ219" s="31">
        <f>IF(AA219="","",AA219+ROW()/1000000)</f>
        <v>0</v>
      </c>
      <c r="AK219" s="23">
        <f>IF(AA219="","",RANK(AJ219,Performance!$AJ$5:$AJ$404))</f>
        <v>0</v>
      </c>
      <c r="AL219" s="29">
        <f>IF(AA219="","",IF(AA219&gt;=AH219*1.5,"Top performer",IF(AA219&gt;=AH219,"Above target",IF(AA219&gt;=AH219*0.6,"Below target","Weak - review it"))))</f>
        <v>0</v>
      </c>
      <c r="AM219" s="29">
        <f>IF(B219="","",IF(COUNTIF(Performance!$B$5:$B$404,B219)&gt;1,"Duplicate","OK"))</f>
        <v>0</v>
      </c>
      <c r="AN219" s="29">
        <f>IF(B219="","",IF(C219="Not found","Check - content ID not on the calendar",IF(O219="","Add - no numbers entered yet",IF(AM219="Duplicate","Duplicate - this post is entered twice",IF(AL219="Top performer","Repurpose this one","OK")))))</f>
        <v>0</v>
      </c>
    </row>
    <row r="220" spans="1:40">
      <c r="A220" s="41">
        <f>IF(B220="","","PF-"&amp;TEXT(ROW()-4,"0000"))</f>
        <v>0</v>
      </c>
      <c r="C220" s="17">
        <f>IF(B220="","",IFERROR(INDEX('Content Calendar'!$H$5:$H$604,MATCH(B220,'Content Calendar'!$A$5:$A$604,0)),"Not found"))</f>
        <v>0</v>
      </c>
      <c r="D220" s="16">
        <f>IF(B220="","",IFERROR(INDEX('Content Calendar'!$B$5:$B$604,MATCH(B220,'Content Calendar'!$A$5:$A$604,0)),"Not found"))</f>
        <v>0</v>
      </c>
      <c r="E220" s="17">
        <f>IF(B220="","",IFERROR(INDEX('Content Calendar'!$D$5:$D$604,MATCH(B220,'Content Calendar'!$A$5:$A$604,0)),"Not found"))</f>
        <v>0</v>
      </c>
      <c r="F220" s="17">
        <f>IF(B220="","",IFERROR(INDEX('Content Calendar'!$G$5:$G$604,MATCH(B220,'Content Calendar'!$A$5:$A$604,0)),"Not found"))</f>
        <v>0</v>
      </c>
      <c r="G220" s="17">
        <f>IF(B220="","",IFERROR(INDEX('Content Calendar'!$K$5:$K$604,MATCH(B220,'Content Calendar'!$A$5:$A$604,0)),"Not found"))</f>
        <v>0</v>
      </c>
      <c r="H220" s="17">
        <f>IF(B220="","",IFERROR(INDEX('Content Calendar'!$J$5:$J$604,MATCH(B220,'Content Calendar'!$A$5:$A$604,0)),"Not found"))</f>
        <v>0</v>
      </c>
      <c r="I220" s="17">
        <f>IF(B220="","",IFERROR(INDEX('Content Calendar'!$L$5:$L$604,MATCH(B220,'Content Calendar'!$A$5:$A$604,0)),"Not found"))</f>
        <v>0</v>
      </c>
      <c r="J220" s="17">
        <f>IF(B220="","",IFERROR(INDEX('Content Calendar'!$P$5:$P$604,MATCH(B220,'Content Calendar'!$A$5:$A$604,0)),"Not found"))</f>
        <v>0</v>
      </c>
      <c r="K220" s="17">
        <f>IF(B220="","",IFERROR(INDEX('Content Calendar'!$O$5:$O$604,MATCH(B220,'Content Calendar'!$A$5:$A$604,0)),"Not found"))</f>
        <v>0</v>
      </c>
      <c r="L220" s="17">
        <f>IF(B220="","",IFERROR(INDEX('Content Calendar'!$N$5:$N$604,MATCH(B220,'Content Calendar'!$A$5:$A$604,0)),"Not found"))</f>
        <v>0</v>
      </c>
      <c r="M220" s="17">
        <f>IF(B220="","",IFERROR(INDEX('Content Calendar'!$C$5:$C$604,MATCH(B220,'Content Calendar'!$A$5:$A$604,0)),"Not found"))</f>
        <v>0</v>
      </c>
      <c r="N220" s="17">
        <f>IF(B220="","",IFERROR(INDEX('Content Calendar'!$F$5:$F$604,MATCH(B220,'Content Calendar'!$A$5:$A$604,0)),"Not found"))</f>
        <v>0</v>
      </c>
      <c r="Z220" s="23">
        <f>IF(O220="","",N(Q220)+N(R220)+N(S220)+N(T220))</f>
        <v>0</v>
      </c>
      <c r="AA220" s="24">
        <f>IF(OR(O220="",O220=0),"",Z220/O220)</f>
        <v>0</v>
      </c>
      <c r="AB220" s="24">
        <f>IF(OR(O220="",O220=0),"",N(T220)/O220)</f>
        <v>0</v>
      </c>
      <c r="AC220" s="24">
        <f>IF(OR(O220="",O220=0),"",N(S220)/O220)</f>
        <v>0</v>
      </c>
      <c r="AD220" s="24">
        <f>IF(OR(O220="",O220=0),"",N(R220)/O220)</f>
        <v>0</v>
      </c>
      <c r="AE220" s="24">
        <f>IF(OR(O220="",O220=0),"",N(U220)/O220)</f>
        <v>0</v>
      </c>
      <c r="AF220" s="24">
        <f>IF(OR(U220="",U220=0),"",N(W220)/U220)</f>
        <v>0</v>
      </c>
      <c r="AG220" s="25">
        <f>IF(OR(O220="",O220=0),"",N(X220)/(O220/1000))</f>
        <v>0</v>
      </c>
      <c r="AH220" s="24">
        <f>IF(O220="","",IF(Y220="",TargetEngagement,Y220))</f>
        <v>0</v>
      </c>
      <c r="AI220" s="24">
        <f>IF(OR(AA220="",AH220=""),"",AA220-AH220)</f>
        <v>0</v>
      </c>
      <c r="AJ220" s="31">
        <f>IF(AA220="","",AA220+ROW()/1000000)</f>
        <v>0</v>
      </c>
      <c r="AK220" s="23">
        <f>IF(AA220="","",RANK(AJ220,Performance!$AJ$5:$AJ$404))</f>
        <v>0</v>
      </c>
      <c r="AL220" s="29">
        <f>IF(AA220="","",IF(AA220&gt;=AH220*1.5,"Top performer",IF(AA220&gt;=AH220,"Above target",IF(AA220&gt;=AH220*0.6,"Below target","Weak - review it"))))</f>
        <v>0</v>
      </c>
      <c r="AM220" s="29">
        <f>IF(B220="","",IF(COUNTIF(Performance!$B$5:$B$404,B220)&gt;1,"Duplicate","OK"))</f>
        <v>0</v>
      </c>
      <c r="AN220" s="29">
        <f>IF(B220="","",IF(C220="Not found","Check - content ID not on the calendar",IF(O220="","Add - no numbers entered yet",IF(AM220="Duplicate","Duplicate - this post is entered twice",IF(AL220="Top performer","Repurpose this one","OK")))))</f>
        <v>0</v>
      </c>
    </row>
    <row r="221" spans="1:40">
      <c r="A221" s="41">
        <f>IF(B221="","","PF-"&amp;TEXT(ROW()-4,"0000"))</f>
        <v>0</v>
      </c>
      <c r="C221" s="17">
        <f>IF(B221="","",IFERROR(INDEX('Content Calendar'!$H$5:$H$604,MATCH(B221,'Content Calendar'!$A$5:$A$604,0)),"Not found"))</f>
        <v>0</v>
      </c>
      <c r="D221" s="16">
        <f>IF(B221="","",IFERROR(INDEX('Content Calendar'!$B$5:$B$604,MATCH(B221,'Content Calendar'!$A$5:$A$604,0)),"Not found"))</f>
        <v>0</v>
      </c>
      <c r="E221" s="17">
        <f>IF(B221="","",IFERROR(INDEX('Content Calendar'!$D$5:$D$604,MATCH(B221,'Content Calendar'!$A$5:$A$604,0)),"Not found"))</f>
        <v>0</v>
      </c>
      <c r="F221" s="17">
        <f>IF(B221="","",IFERROR(INDEX('Content Calendar'!$G$5:$G$604,MATCH(B221,'Content Calendar'!$A$5:$A$604,0)),"Not found"))</f>
        <v>0</v>
      </c>
      <c r="G221" s="17">
        <f>IF(B221="","",IFERROR(INDEX('Content Calendar'!$K$5:$K$604,MATCH(B221,'Content Calendar'!$A$5:$A$604,0)),"Not found"))</f>
        <v>0</v>
      </c>
      <c r="H221" s="17">
        <f>IF(B221="","",IFERROR(INDEX('Content Calendar'!$J$5:$J$604,MATCH(B221,'Content Calendar'!$A$5:$A$604,0)),"Not found"))</f>
        <v>0</v>
      </c>
      <c r="I221" s="17">
        <f>IF(B221="","",IFERROR(INDEX('Content Calendar'!$L$5:$L$604,MATCH(B221,'Content Calendar'!$A$5:$A$604,0)),"Not found"))</f>
        <v>0</v>
      </c>
      <c r="J221" s="17">
        <f>IF(B221="","",IFERROR(INDEX('Content Calendar'!$P$5:$P$604,MATCH(B221,'Content Calendar'!$A$5:$A$604,0)),"Not found"))</f>
        <v>0</v>
      </c>
      <c r="K221" s="17">
        <f>IF(B221="","",IFERROR(INDEX('Content Calendar'!$O$5:$O$604,MATCH(B221,'Content Calendar'!$A$5:$A$604,0)),"Not found"))</f>
        <v>0</v>
      </c>
      <c r="L221" s="17">
        <f>IF(B221="","",IFERROR(INDEX('Content Calendar'!$N$5:$N$604,MATCH(B221,'Content Calendar'!$A$5:$A$604,0)),"Not found"))</f>
        <v>0</v>
      </c>
      <c r="M221" s="17">
        <f>IF(B221="","",IFERROR(INDEX('Content Calendar'!$C$5:$C$604,MATCH(B221,'Content Calendar'!$A$5:$A$604,0)),"Not found"))</f>
        <v>0</v>
      </c>
      <c r="N221" s="17">
        <f>IF(B221="","",IFERROR(INDEX('Content Calendar'!$F$5:$F$604,MATCH(B221,'Content Calendar'!$A$5:$A$604,0)),"Not found"))</f>
        <v>0</v>
      </c>
      <c r="Z221" s="23">
        <f>IF(O221="","",N(Q221)+N(R221)+N(S221)+N(T221))</f>
        <v>0</v>
      </c>
      <c r="AA221" s="24">
        <f>IF(OR(O221="",O221=0),"",Z221/O221)</f>
        <v>0</v>
      </c>
      <c r="AB221" s="24">
        <f>IF(OR(O221="",O221=0),"",N(T221)/O221)</f>
        <v>0</v>
      </c>
      <c r="AC221" s="24">
        <f>IF(OR(O221="",O221=0),"",N(S221)/O221)</f>
        <v>0</v>
      </c>
      <c r="AD221" s="24">
        <f>IF(OR(O221="",O221=0),"",N(R221)/O221)</f>
        <v>0</v>
      </c>
      <c r="AE221" s="24">
        <f>IF(OR(O221="",O221=0),"",N(U221)/O221)</f>
        <v>0</v>
      </c>
      <c r="AF221" s="24">
        <f>IF(OR(U221="",U221=0),"",N(W221)/U221)</f>
        <v>0</v>
      </c>
      <c r="AG221" s="25">
        <f>IF(OR(O221="",O221=0),"",N(X221)/(O221/1000))</f>
        <v>0</v>
      </c>
      <c r="AH221" s="24">
        <f>IF(O221="","",IF(Y221="",TargetEngagement,Y221))</f>
        <v>0</v>
      </c>
      <c r="AI221" s="24">
        <f>IF(OR(AA221="",AH221=""),"",AA221-AH221)</f>
        <v>0</v>
      </c>
      <c r="AJ221" s="31">
        <f>IF(AA221="","",AA221+ROW()/1000000)</f>
        <v>0</v>
      </c>
      <c r="AK221" s="23">
        <f>IF(AA221="","",RANK(AJ221,Performance!$AJ$5:$AJ$404))</f>
        <v>0</v>
      </c>
      <c r="AL221" s="29">
        <f>IF(AA221="","",IF(AA221&gt;=AH221*1.5,"Top performer",IF(AA221&gt;=AH221,"Above target",IF(AA221&gt;=AH221*0.6,"Below target","Weak - review it"))))</f>
        <v>0</v>
      </c>
      <c r="AM221" s="29">
        <f>IF(B221="","",IF(COUNTIF(Performance!$B$5:$B$404,B221)&gt;1,"Duplicate","OK"))</f>
        <v>0</v>
      </c>
      <c r="AN221" s="29">
        <f>IF(B221="","",IF(C221="Not found","Check - content ID not on the calendar",IF(O221="","Add - no numbers entered yet",IF(AM221="Duplicate","Duplicate - this post is entered twice",IF(AL221="Top performer","Repurpose this one","OK")))))</f>
        <v>0</v>
      </c>
    </row>
    <row r="222" spans="1:40">
      <c r="A222" s="41">
        <f>IF(B222="","","PF-"&amp;TEXT(ROW()-4,"0000"))</f>
        <v>0</v>
      </c>
      <c r="C222" s="17">
        <f>IF(B222="","",IFERROR(INDEX('Content Calendar'!$H$5:$H$604,MATCH(B222,'Content Calendar'!$A$5:$A$604,0)),"Not found"))</f>
        <v>0</v>
      </c>
      <c r="D222" s="16">
        <f>IF(B222="","",IFERROR(INDEX('Content Calendar'!$B$5:$B$604,MATCH(B222,'Content Calendar'!$A$5:$A$604,0)),"Not found"))</f>
        <v>0</v>
      </c>
      <c r="E222" s="17">
        <f>IF(B222="","",IFERROR(INDEX('Content Calendar'!$D$5:$D$604,MATCH(B222,'Content Calendar'!$A$5:$A$604,0)),"Not found"))</f>
        <v>0</v>
      </c>
      <c r="F222" s="17">
        <f>IF(B222="","",IFERROR(INDEX('Content Calendar'!$G$5:$G$604,MATCH(B222,'Content Calendar'!$A$5:$A$604,0)),"Not found"))</f>
        <v>0</v>
      </c>
      <c r="G222" s="17">
        <f>IF(B222="","",IFERROR(INDEX('Content Calendar'!$K$5:$K$604,MATCH(B222,'Content Calendar'!$A$5:$A$604,0)),"Not found"))</f>
        <v>0</v>
      </c>
      <c r="H222" s="17">
        <f>IF(B222="","",IFERROR(INDEX('Content Calendar'!$J$5:$J$604,MATCH(B222,'Content Calendar'!$A$5:$A$604,0)),"Not found"))</f>
        <v>0</v>
      </c>
      <c r="I222" s="17">
        <f>IF(B222="","",IFERROR(INDEX('Content Calendar'!$L$5:$L$604,MATCH(B222,'Content Calendar'!$A$5:$A$604,0)),"Not found"))</f>
        <v>0</v>
      </c>
      <c r="J222" s="17">
        <f>IF(B222="","",IFERROR(INDEX('Content Calendar'!$P$5:$P$604,MATCH(B222,'Content Calendar'!$A$5:$A$604,0)),"Not found"))</f>
        <v>0</v>
      </c>
      <c r="K222" s="17">
        <f>IF(B222="","",IFERROR(INDEX('Content Calendar'!$O$5:$O$604,MATCH(B222,'Content Calendar'!$A$5:$A$604,0)),"Not found"))</f>
        <v>0</v>
      </c>
      <c r="L222" s="17">
        <f>IF(B222="","",IFERROR(INDEX('Content Calendar'!$N$5:$N$604,MATCH(B222,'Content Calendar'!$A$5:$A$604,0)),"Not found"))</f>
        <v>0</v>
      </c>
      <c r="M222" s="17">
        <f>IF(B222="","",IFERROR(INDEX('Content Calendar'!$C$5:$C$604,MATCH(B222,'Content Calendar'!$A$5:$A$604,0)),"Not found"))</f>
        <v>0</v>
      </c>
      <c r="N222" s="17">
        <f>IF(B222="","",IFERROR(INDEX('Content Calendar'!$F$5:$F$604,MATCH(B222,'Content Calendar'!$A$5:$A$604,0)),"Not found"))</f>
        <v>0</v>
      </c>
      <c r="Z222" s="23">
        <f>IF(O222="","",N(Q222)+N(R222)+N(S222)+N(T222))</f>
        <v>0</v>
      </c>
      <c r="AA222" s="24">
        <f>IF(OR(O222="",O222=0),"",Z222/O222)</f>
        <v>0</v>
      </c>
      <c r="AB222" s="24">
        <f>IF(OR(O222="",O222=0),"",N(T222)/O222)</f>
        <v>0</v>
      </c>
      <c r="AC222" s="24">
        <f>IF(OR(O222="",O222=0),"",N(S222)/O222)</f>
        <v>0</v>
      </c>
      <c r="AD222" s="24">
        <f>IF(OR(O222="",O222=0),"",N(R222)/O222)</f>
        <v>0</v>
      </c>
      <c r="AE222" s="24">
        <f>IF(OR(O222="",O222=0),"",N(U222)/O222)</f>
        <v>0</v>
      </c>
      <c r="AF222" s="24">
        <f>IF(OR(U222="",U222=0),"",N(W222)/U222)</f>
        <v>0</v>
      </c>
      <c r="AG222" s="25">
        <f>IF(OR(O222="",O222=0),"",N(X222)/(O222/1000))</f>
        <v>0</v>
      </c>
      <c r="AH222" s="24">
        <f>IF(O222="","",IF(Y222="",TargetEngagement,Y222))</f>
        <v>0</v>
      </c>
      <c r="AI222" s="24">
        <f>IF(OR(AA222="",AH222=""),"",AA222-AH222)</f>
        <v>0</v>
      </c>
      <c r="AJ222" s="31">
        <f>IF(AA222="","",AA222+ROW()/1000000)</f>
        <v>0</v>
      </c>
      <c r="AK222" s="23">
        <f>IF(AA222="","",RANK(AJ222,Performance!$AJ$5:$AJ$404))</f>
        <v>0</v>
      </c>
      <c r="AL222" s="29">
        <f>IF(AA222="","",IF(AA222&gt;=AH222*1.5,"Top performer",IF(AA222&gt;=AH222,"Above target",IF(AA222&gt;=AH222*0.6,"Below target","Weak - review it"))))</f>
        <v>0</v>
      </c>
      <c r="AM222" s="29">
        <f>IF(B222="","",IF(COUNTIF(Performance!$B$5:$B$404,B222)&gt;1,"Duplicate","OK"))</f>
        <v>0</v>
      </c>
      <c r="AN222" s="29">
        <f>IF(B222="","",IF(C222="Not found","Check - content ID not on the calendar",IF(O222="","Add - no numbers entered yet",IF(AM222="Duplicate","Duplicate - this post is entered twice",IF(AL222="Top performer","Repurpose this one","OK")))))</f>
        <v>0</v>
      </c>
    </row>
    <row r="223" spans="1:40">
      <c r="A223" s="41">
        <f>IF(B223="","","PF-"&amp;TEXT(ROW()-4,"0000"))</f>
        <v>0</v>
      </c>
      <c r="C223" s="17">
        <f>IF(B223="","",IFERROR(INDEX('Content Calendar'!$H$5:$H$604,MATCH(B223,'Content Calendar'!$A$5:$A$604,0)),"Not found"))</f>
        <v>0</v>
      </c>
      <c r="D223" s="16">
        <f>IF(B223="","",IFERROR(INDEX('Content Calendar'!$B$5:$B$604,MATCH(B223,'Content Calendar'!$A$5:$A$604,0)),"Not found"))</f>
        <v>0</v>
      </c>
      <c r="E223" s="17">
        <f>IF(B223="","",IFERROR(INDEX('Content Calendar'!$D$5:$D$604,MATCH(B223,'Content Calendar'!$A$5:$A$604,0)),"Not found"))</f>
        <v>0</v>
      </c>
      <c r="F223" s="17">
        <f>IF(B223="","",IFERROR(INDEX('Content Calendar'!$G$5:$G$604,MATCH(B223,'Content Calendar'!$A$5:$A$604,0)),"Not found"))</f>
        <v>0</v>
      </c>
      <c r="G223" s="17">
        <f>IF(B223="","",IFERROR(INDEX('Content Calendar'!$K$5:$K$604,MATCH(B223,'Content Calendar'!$A$5:$A$604,0)),"Not found"))</f>
        <v>0</v>
      </c>
      <c r="H223" s="17">
        <f>IF(B223="","",IFERROR(INDEX('Content Calendar'!$J$5:$J$604,MATCH(B223,'Content Calendar'!$A$5:$A$604,0)),"Not found"))</f>
        <v>0</v>
      </c>
      <c r="I223" s="17">
        <f>IF(B223="","",IFERROR(INDEX('Content Calendar'!$L$5:$L$604,MATCH(B223,'Content Calendar'!$A$5:$A$604,0)),"Not found"))</f>
        <v>0</v>
      </c>
      <c r="J223" s="17">
        <f>IF(B223="","",IFERROR(INDEX('Content Calendar'!$P$5:$P$604,MATCH(B223,'Content Calendar'!$A$5:$A$604,0)),"Not found"))</f>
        <v>0</v>
      </c>
      <c r="K223" s="17">
        <f>IF(B223="","",IFERROR(INDEX('Content Calendar'!$O$5:$O$604,MATCH(B223,'Content Calendar'!$A$5:$A$604,0)),"Not found"))</f>
        <v>0</v>
      </c>
      <c r="L223" s="17">
        <f>IF(B223="","",IFERROR(INDEX('Content Calendar'!$N$5:$N$604,MATCH(B223,'Content Calendar'!$A$5:$A$604,0)),"Not found"))</f>
        <v>0</v>
      </c>
      <c r="M223" s="17">
        <f>IF(B223="","",IFERROR(INDEX('Content Calendar'!$C$5:$C$604,MATCH(B223,'Content Calendar'!$A$5:$A$604,0)),"Not found"))</f>
        <v>0</v>
      </c>
      <c r="N223" s="17">
        <f>IF(B223="","",IFERROR(INDEX('Content Calendar'!$F$5:$F$604,MATCH(B223,'Content Calendar'!$A$5:$A$604,0)),"Not found"))</f>
        <v>0</v>
      </c>
      <c r="Z223" s="23">
        <f>IF(O223="","",N(Q223)+N(R223)+N(S223)+N(T223))</f>
        <v>0</v>
      </c>
      <c r="AA223" s="24">
        <f>IF(OR(O223="",O223=0),"",Z223/O223)</f>
        <v>0</v>
      </c>
      <c r="AB223" s="24">
        <f>IF(OR(O223="",O223=0),"",N(T223)/O223)</f>
        <v>0</v>
      </c>
      <c r="AC223" s="24">
        <f>IF(OR(O223="",O223=0),"",N(S223)/O223)</f>
        <v>0</v>
      </c>
      <c r="AD223" s="24">
        <f>IF(OR(O223="",O223=0),"",N(R223)/O223)</f>
        <v>0</v>
      </c>
      <c r="AE223" s="24">
        <f>IF(OR(O223="",O223=0),"",N(U223)/O223)</f>
        <v>0</v>
      </c>
      <c r="AF223" s="24">
        <f>IF(OR(U223="",U223=0),"",N(W223)/U223)</f>
        <v>0</v>
      </c>
      <c r="AG223" s="25">
        <f>IF(OR(O223="",O223=0),"",N(X223)/(O223/1000))</f>
        <v>0</v>
      </c>
      <c r="AH223" s="24">
        <f>IF(O223="","",IF(Y223="",TargetEngagement,Y223))</f>
        <v>0</v>
      </c>
      <c r="AI223" s="24">
        <f>IF(OR(AA223="",AH223=""),"",AA223-AH223)</f>
        <v>0</v>
      </c>
      <c r="AJ223" s="31">
        <f>IF(AA223="","",AA223+ROW()/1000000)</f>
        <v>0</v>
      </c>
      <c r="AK223" s="23">
        <f>IF(AA223="","",RANK(AJ223,Performance!$AJ$5:$AJ$404))</f>
        <v>0</v>
      </c>
      <c r="AL223" s="29">
        <f>IF(AA223="","",IF(AA223&gt;=AH223*1.5,"Top performer",IF(AA223&gt;=AH223,"Above target",IF(AA223&gt;=AH223*0.6,"Below target","Weak - review it"))))</f>
        <v>0</v>
      </c>
      <c r="AM223" s="29">
        <f>IF(B223="","",IF(COUNTIF(Performance!$B$5:$B$404,B223)&gt;1,"Duplicate","OK"))</f>
        <v>0</v>
      </c>
      <c r="AN223" s="29">
        <f>IF(B223="","",IF(C223="Not found","Check - content ID not on the calendar",IF(O223="","Add - no numbers entered yet",IF(AM223="Duplicate","Duplicate - this post is entered twice",IF(AL223="Top performer","Repurpose this one","OK")))))</f>
        <v>0</v>
      </c>
    </row>
    <row r="224" spans="1:40">
      <c r="A224" s="41">
        <f>IF(B224="","","PF-"&amp;TEXT(ROW()-4,"0000"))</f>
        <v>0</v>
      </c>
      <c r="C224" s="17">
        <f>IF(B224="","",IFERROR(INDEX('Content Calendar'!$H$5:$H$604,MATCH(B224,'Content Calendar'!$A$5:$A$604,0)),"Not found"))</f>
        <v>0</v>
      </c>
      <c r="D224" s="16">
        <f>IF(B224="","",IFERROR(INDEX('Content Calendar'!$B$5:$B$604,MATCH(B224,'Content Calendar'!$A$5:$A$604,0)),"Not found"))</f>
        <v>0</v>
      </c>
      <c r="E224" s="17">
        <f>IF(B224="","",IFERROR(INDEX('Content Calendar'!$D$5:$D$604,MATCH(B224,'Content Calendar'!$A$5:$A$604,0)),"Not found"))</f>
        <v>0</v>
      </c>
      <c r="F224" s="17">
        <f>IF(B224="","",IFERROR(INDEX('Content Calendar'!$G$5:$G$604,MATCH(B224,'Content Calendar'!$A$5:$A$604,0)),"Not found"))</f>
        <v>0</v>
      </c>
      <c r="G224" s="17">
        <f>IF(B224="","",IFERROR(INDEX('Content Calendar'!$K$5:$K$604,MATCH(B224,'Content Calendar'!$A$5:$A$604,0)),"Not found"))</f>
        <v>0</v>
      </c>
      <c r="H224" s="17">
        <f>IF(B224="","",IFERROR(INDEX('Content Calendar'!$J$5:$J$604,MATCH(B224,'Content Calendar'!$A$5:$A$604,0)),"Not found"))</f>
        <v>0</v>
      </c>
      <c r="I224" s="17">
        <f>IF(B224="","",IFERROR(INDEX('Content Calendar'!$L$5:$L$604,MATCH(B224,'Content Calendar'!$A$5:$A$604,0)),"Not found"))</f>
        <v>0</v>
      </c>
      <c r="J224" s="17">
        <f>IF(B224="","",IFERROR(INDEX('Content Calendar'!$P$5:$P$604,MATCH(B224,'Content Calendar'!$A$5:$A$604,0)),"Not found"))</f>
        <v>0</v>
      </c>
      <c r="K224" s="17">
        <f>IF(B224="","",IFERROR(INDEX('Content Calendar'!$O$5:$O$604,MATCH(B224,'Content Calendar'!$A$5:$A$604,0)),"Not found"))</f>
        <v>0</v>
      </c>
      <c r="L224" s="17">
        <f>IF(B224="","",IFERROR(INDEX('Content Calendar'!$N$5:$N$604,MATCH(B224,'Content Calendar'!$A$5:$A$604,0)),"Not found"))</f>
        <v>0</v>
      </c>
      <c r="M224" s="17">
        <f>IF(B224="","",IFERROR(INDEX('Content Calendar'!$C$5:$C$604,MATCH(B224,'Content Calendar'!$A$5:$A$604,0)),"Not found"))</f>
        <v>0</v>
      </c>
      <c r="N224" s="17">
        <f>IF(B224="","",IFERROR(INDEX('Content Calendar'!$F$5:$F$604,MATCH(B224,'Content Calendar'!$A$5:$A$604,0)),"Not found"))</f>
        <v>0</v>
      </c>
      <c r="Z224" s="23">
        <f>IF(O224="","",N(Q224)+N(R224)+N(S224)+N(T224))</f>
        <v>0</v>
      </c>
      <c r="AA224" s="24">
        <f>IF(OR(O224="",O224=0),"",Z224/O224)</f>
        <v>0</v>
      </c>
      <c r="AB224" s="24">
        <f>IF(OR(O224="",O224=0),"",N(T224)/O224)</f>
        <v>0</v>
      </c>
      <c r="AC224" s="24">
        <f>IF(OR(O224="",O224=0),"",N(S224)/O224)</f>
        <v>0</v>
      </c>
      <c r="AD224" s="24">
        <f>IF(OR(O224="",O224=0),"",N(R224)/O224)</f>
        <v>0</v>
      </c>
      <c r="AE224" s="24">
        <f>IF(OR(O224="",O224=0),"",N(U224)/O224)</f>
        <v>0</v>
      </c>
      <c r="AF224" s="24">
        <f>IF(OR(U224="",U224=0),"",N(W224)/U224)</f>
        <v>0</v>
      </c>
      <c r="AG224" s="25">
        <f>IF(OR(O224="",O224=0),"",N(X224)/(O224/1000))</f>
        <v>0</v>
      </c>
      <c r="AH224" s="24">
        <f>IF(O224="","",IF(Y224="",TargetEngagement,Y224))</f>
        <v>0</v>
      </c>
      <c r="AI224" s="24">
        <f>IF(OR(AA224="",AH224=""),"",AA224-AH224)</f>
        <v>0</v>
      </c>
      <c r="AJ224" s="31">
        <f>IF(AA224="","",AA224+ROW()/1000000)</f>
        <v>0</v>
      </c>
      <c r="AK224" s="23">
        <f>IF(AA224="","",RANK(AJ224,Performance!$AJ$5:$AJ$404))</f>
        <v>0</v>
      </c>
      <c r="AL224" s="29">
        <f>IF(AA224="","",IF(AA224&gt;=AH224*1.5,"Top performer",IF(AA224&gt;=AH224,"Above target",IF(AA224&gt;=AH224*0.6,"Below target","Weak - review it"))))</f>
        <v>0</v>
      </c>
      <c r="AM224" s="29">
        <f>IF(B224="","",IF(COUNTIF(Performance!$B$5:$B$404,B224)&gt;1,"Duplicate","OK"))</f>
        <v>0</v>
      </c>
      <c r="AN224" s="29">
        <f>IF(B224="","",IF(C224="Not found","Check - content ID not on the calendar",IF(O224="","Add - no numbers entered yet",IF(AM224="Duplicate","Duplicate - this post is entered twice",IF(AL224="Top performer","Repurpose this one","OK")))))</f>
        <v>0</v>
      </c>
    </row>
    <row r="225" spans="1:40">
      <c r="A225" s="41">
        <f>IF(B225="","","PF-"&amp;TEXT(ROW()-4,"0000"))</f>
        <v>0</v>
      </c>
      <c r="C225" s="17">
        <f>IF(B225="","",IFERROR(INDEX('Content Calendar'!$H$5:$H$604,MATCH(B225,'Content Calendar'!$A$5:$A$604,0)),"Not found"))</f>
        <v>0</v>
      </c>
      <c r="D225" s="16">
        <f>IF(B225="","",IFERROR(INDEX('Content Calendar'!$B$5:$B$604,MATCH(B225,'Content Calendar'!$A$5:$A$604,0)),"Not found"))</f>
        <v>0</v>
      </c>
      <c r="E225" s="17">
        <f>IF(B225="","",IFERROR(INDEX('Content Calendar'!$D$5:$D$604,MATCH(B225,'Content Calendar'!$A$5:$A$604,0)),"Not found"))</f>
        <v>0</v>
      </c>
      <c r="F225" s="17">
        <f>IF(B225="","",IFERROR(INDEX('Content Calendar'!$G$5:$G$604,MATCH(B225,'Content Calendar'!$A$5:$A$604,0)),"Not found"))</f>
        <v>0</v>
      </c>
      <c r="G225" s="17">
        <f>IF(B225="","",IFERROR(INDEX('Content Calendar'!$K$5:$K$604,MATCH(B225,'Content Calendar'!$A$5:$A$604,0)),"Not found"))</f>
        <v>0</v>
      </c>
      <c r="H225" s="17">
        <f>IF(B225="","",IFERROR(INDEX('Content Calendar'!$J$5:$J$604,MATCH(B225,'Content Calendar'!$A$5:$A$604,0)),"Not found"))</f>
        <v>0</v>
      </c>
      <c r="I225" s="17">
        <f>IF(B225="","",IFERROR(INDEX('Content Calendar'!$L$5:$L$604,MATCH(B225,'Content Calendar'!$A$5:$A$604,0)),"Not found"))</f>
        <v>0</v>
      </c>
      <c r="J225" s="17">
        <f>IF(B225="","",IFERROR(INDEX('Content Calendar'!$P$5:$P$604,MATCH(B225,'Content Calendar'!$A$5:$A$604,0)),"Not found"))</f>
        <v>0</v>
      </c>
      <c r="K225" s="17">
        <f>IF(B225="","",IFERROR(INDEX('Content Calendar'!$O$5:$O$604,MATCH(B225,'Content Calendar'!$A$5:$A$604,0)),"Not found"))</f>
        <v>0</v>
      </c>
      <c r="L225" s="17">
        <f>IF(B225="","",IFERROR(INDEX('Content Calendar'!$N$5:$N$604,MATCH(B225,'Content Calendar'!$A$5:$A$604,0)),"Not found"))</f>
        <v>0</v>
      </c>
      <c r="M225" s="17">
        <f>IF(B225="","",IFERROR(INDEX('Content Calendar'!$C$5:$C$604,MATCH(B225,'Content Calendar'!$A$5:$A$604,0)),"Not found"))</f>
        <v>0</v>
      </c>
      <c r="N225" s="17">
        <f>IF(B225="","",IFERROR(INDEX('Content Calendar'!$F$5:$F$604,MATCH(B225,'Content Calendar'!$A$5:$A$604,0)),"Not found"))</f>
        <v>0</v>
      </c>
      <c r="Z225" s="23">
        <f>IF(O225="","",N(Q225)+N(R225)+N(S225)+N(T225))</f>
        <v>0</v>
      </c>
      <c r="AA225" s="24">
        <f>IF(OR(O225="",O225=0),"",Z225/O225)</f>
        <v>0</v>
      </c>
      <c r="AB225" s="24">
        <f>IF(OR(O225="",O225=0),"",N(T225)/O225)</f>
        <v>0</v>
      </c>
      <c r="AC225" s="24">
        <f>IF(OR(O225="",O225=0),"",N(S225)/O225)</f>
        <v>0</v>
      </c>
      <c r="AD225" s="24">
        <f>IF(OR(O225="",O225=0),"",N(R225)/O225)</f>
        <v>0</v>
      </c>
      <c r="AE225" s="24">
        <f>IF(OR(O225="",O225=0),"",N(U225)/O225)</f>
        <v>0</v>
      </c>
      <c r="AF225" s="24">
        <f>IF(OR(U225="",U225=0),"",N(W225)/U225)</f>
        <v>0</v>
      </c>
      <c r="AG225" s="25">
        <f>IF(OR(O225="",O225=0),"",N(X225)/(O225/1000))</f>
        <v>0</v>
      </c>
      <c r="AH225" s="24">
        <f>IF(O225="","",IF(Y225="",TargetEngagement,Y225))</f>
        <v>0</v>
      </c>
      <c r="AI225" s="24">
        <f>IF(OR(AA225="",AH225=""),"",AA225-AH225)</f>
        <v>0</v>
      </c>
      <c r="AJ225" s="31">
        <f>IF(AA225="","",AA225+ROW()/1000000)</f>
        <v>0</v>
      </c>
      <c r="AK225" s="23">
        <f>IF(AA225="","",RANK(AJ225,Performance!$AJ$5:$AJ$404))</f>
        <v>0</v>
      </c>
      <c r="AL225" s="29">
        <f>IF(AA225="","",IF(AA225&gt;=AH225*1.5,"Top performer",IF(AA225&gt;=AH225,"Above target",IF(AA225&gt;=AH225*0.6,"Below target","Weak - review it"))))</f>
        <v>0</v>
      </c>
      <c r="AM225" s="29">
        <f>IF(B225="","",IF(COUNTIF(Performance!$B$5:$B$404,B225)&gt;1,"Duplicate","OK"))</f>
        <v>0</v>
      </c>
      <c r="AN225" s="29">
        <f>IF(B225="","",IF(C225="Not found","Check - content ID not on the calendar",IF(O225="","Add - no numbers entered yet",IF(AM225="Duplicate","Duplicate - this post is entered twice",IF(AL225="Top performer","Repurpose this one","OK")))))</f>
        <v>0</v>
      </c>
    </row>
    <row r="226" spans="1:40">
      <c r="A226" s="41">
        <f>IF(B226="","","PF-"&amp;TEXT(ROW()-4,"0000"))</f>
        <v>0</v>
      </c>
      <c r="C226" s="17">
        <f>IF(B226="","",IFERROR(INDEX('Content Calendar'!$H$5:$H$604,MATCH(B226,'Content Calendar'!$A$5:$A$604,0)),"Not found"))</f>
        <v>0</v>
      </c>
      <c r="D226" s="16">
        <f>IF(B226="","",IFERROR(INDEX('Content Calendar'!$B$5:$B$604,MATCH(B226,'Content Calendar'!$A$5:$A$604,0)),"Not found"))</f>
        <v>0</v>
      </c>
      <c r="E226" s="17">
        <f>IF(B226="","",IFERROR(INDEX('Content Calendar'!$D$5:$D$604,MATCH(B226,'Content Calendar'!$A$5:$A$604,0)),"Not found"))</f>
        <v>0</v>
      </c>
      <c r="F226" s="17">
        <f>IF(B226="","",IFERROR(INDEX('Content Calendar'!$G$5:$G$604,MATCH(B226,'Content Calendar'!$A$5:$A$604,0)),"Not found"))</f>
        <v>0</v>
      </c>
      <c r="G226" s="17">
        <f>IF(B226="","",IFERROR(INDEX('Content Calendar'!$K$5:$K$604,MATCH(B226,'Content Calendar'!$A$5:$A$604,0)),"Not found"))</f>
        <v>0</v>
      </c>
      <c r="H226" s="17">
        <f>IF(B226="","",IFERROR(INDEX('Content Calendar'!$J$5:$J$604,MATCH(B226,'Content Calendar'!$A$5:$A$604,0)),"Not found"))</f>
        <v>0</v>
      </c>
      <c r="I226" s="17">
        <f>IF(B226="","",IFERROR(INDEX('Content Calendar'!$L$5:$L$604,MATCH(B226,'Content Calendar'!$A$5:$A$604,0)),"Not found"))</f>
        <v>0</v>
      </c>
      <c r="J226" s="17">
        <f>IF(B226="","",IFERROR(INDEX('Content Calendar'!$P$5:$P$604,MATCH(B226,'Content Calendar'!$A$5:$A$604,0)),"Not found"))</f>
        <v>0</v>
      </c>
      <c r="K226" s="17">
        <f>IF(B226="","",IFERROR(INDEX('Content Calendar'!$O$5:$O$604,MATCH(B226,'Content Calendar'!$A$5:$A$604,0)),"Not found"))</f>
        <v>0</v>
      </c>
      <c r="L226" s="17">
        <f>IF(B226="","",IFERROR(INDEX('Content Calendar'!$N$5:$N$604,MATCH(B226,'Content Calendar'!$A$5:$A$604,0)),"Not found"))</f>
        <v>0</v>
      </c>
      <c r="M226" s="17">
        <f>IF(B226="","",IFERROR(INDEX('Content Calendar'!$C$5:$C$604,MATCH(B226,'Content Calendar'!$A$5:$A$604,0)),"Not found"))</f>
        <v>0</v>
      </c>
      <c r="N226" s="17">
        <f>IF(B226="","",IFERROR(INDEX('Content Calendar'!$F$5:$F$604,MATCH(B226,'Content Calendar'!$A$5:$A$604,0)),"Not found"))</f>
        <v>0</v>
      </c>
      <c r="Z226" s="23">
        <f>IF(O226="","",N(Q226)+N(R226)+N(S226)+N(T226))</f>
        <v>0</v>
      </c>
      <c r="AA226" s="24">
        <f>IF(OR(O226="",O226=0),"",Z226/O226)</f>
        <v>0</v>
      </c>
      <c r="AB226" s="24">
        <f>IF(OR(O226="",O226=0),"",N(T226)/O226)</f>
        <v>0</v>
      </c>
      <c r="AC226" s="24">
        <f>IF(OR(O226="",O226=0),"",N(S226)/O226)</f>
        <v>0</v>
      </c>
      <c r="AD226" s="24">
        <f>IF(OR(O226="",O226=0),"",N(R226)/O226)</f>
        <v>0</v>
      </c>
      <c r="AE226" s="24">
        <f>IF(OR(O226="",O226=0),"",N(U226)/O226)</f>
        <v>0</v>
      </c>
      <c r="AF226" s="24">
        <f>IF(OR(U226="",U226=0),"",N(W226)/U226)</f>
        <v>0</v>
      </c>
      <c r="AG226" s="25">
        <f>IF(OR(O226="",O226=0),"",N(X226)/(O226/1000))</f>
        <v>0</v>
      </c>
      <c r="AH226" s="24">
        <f>IF(O226="","",IF(Y226="",TargetEngagement,Y226))</f>
        <v>0</v>
      </c>
      <c r="AI226" s="24">
        <f>IF(OR(AA226="",AH226=""),"",AA226-AH226)</f>
        <v>0</v>
      </c>
      <c r="AJ226" s="31">
        <f>IF(AA226="","",AA226+ROW()/1000000)</f>
        <v>0</v>
      </c>
      <c r="AK226" s="23">
        <f>IF(AA226="","",RANK(AJ226,Performance!$AJ$5:$AJ$404))</f>
        <v>0</v>
      </c>
      <c r="AL226" s="29">
        <f>IF(AA226="","",IF(AA226&gt;=AH226*1.5,"Top performer",IF(AA226&gt;=AH226,"Above target",IF(AA226&gt;=AH226*0.6,"Below target","Weak - review it"))))</f>
        <v>0</v>
      </c>
      <c r="AM226" s="29">
        <f>IF(B226="","",IF(COUNTIF(Performance!$B$5:$B$404,B226)&gt;1,"Duplicate","OK"))</f>
        <v>0</v>
      </c>
      <c r="AN226" s="29">
        <f>IF(B226="","",IF(C226="Not found","Check - content ID not on the calendar",IF(O226="","Add - no numbers entered yet",IF(AM226="Duplicate","Duplicate - this post is entered twice",IF(AL226="Top performer","Repurpose this one","OK")))))</f>
        <v>0</v>
      </c>
    </row>
    <row r="227" spans="1:40">
      <c r="A227" s="41">
        <f>IF(B227="","","PF-"&amp;TEXT(ROW()-4,"0000"))</f>
        <v>0</v>
      </c>
      <c r="C227" s="17">
        <f>IF(B227="","",IFERROR(INDEX('Content Calendar'!$H$5:$H$604,MATCH(B227,'Content Calendar'!$A$5:$A$604,0)),"Not found"))</f>
        <v>0</v>
      </c>
      <c r="D227" s="16">
        <f>IF(B227="","",IFERROR(INDEX('Content Calendar'!$B$5:$B$604,MATCH(B227,'Content Calendar'!$A$5:$A$604,0)),"Not found"))</f>
        <v>0</v>
      </c>
      <c r="E227" s="17">
        <f>IF(B227="","",IFERROR(INDEX('Content Calendar'!$D$5:$D$604,MATCH(B227,'Content Calendar'!$A$5:$A$604,0)),"Not found"))</f>
        <v>0</v>
      </c>
      <c r="F227" s="17">
        <f>IF(B227="","",IFERROR(INDEX('Content Calendar'!$G$5:$G$604,MATCH(B227,'Content Calendar'!$A$5:$A$604,0)),"Not found"))</f>
        <v>0</v>
      </c>
      <c r="G227" s="17">
        <f>IF(B227="","",IFERROR(INDEX('Content Calendar'!$K$5:$K$604,MATCH(B227,'Content Calendar'!$A$5:$A$604,0)),"Not found"))</f>
        <v>0</v>
      </c>
      <c r="H227" s="17">
        <f>IF(B227="","",IFERROR(INDEX('Content Calendar'!$J$5:$J$604,MATCH(B227,'Content Calendar'!$A$5:$A$604,0)),"Not found"))</f>
        <v>0</v>
      </c>
      <c r="I227" s="17">
        <f>IF(B227="","",IFERROR(INDEX('Content Calendar'!$L$5:$L$604,MATCH(B227,'Content Calendar'!$A$5:$A$604,0)),"Not found"))</f>
        <v>0</v>
      </c>
      <c r="J227" s="17">
        <f>IF(B227="","",IFERROR(INDEX('Content Calendar'!$P$5:$P$604,MATCH(B227,'Content Calendar'!$A$5:$A$604,0)),"Not found"))</f>
        <v>0</v>
      </c>
      <c r="K227" s="17">
        <f>IF(B227="","",IFERROR(INDEX('Content Calendar'!$O$5:$O$604,MATCH(B227,'Content Calendar'!$A$5:$A$604,0)),"Not found"))</f>
        <v>0</v>
      </c>
      <c r="L227" s="17">
        <f>IF(B227="","",IFERROR(INDEX('Content Calendar'!$N$5:$N$604,MATCH(B227,'Content Calendar'!$A$5:$A$604,0)),"Not found"))</f>
        <v>0</v>
      </c>
      <c r="M227" s="17">
        <f>IF(B227="","",IFERROR(INDEX('Content Calendar'!$C$5:$C$604,MATCH(B227,'Content Calendar'!$A$5:$A$604,0)),"Not found"))</f>
        <v>0</v>
      </c>
      <c r="N227" s="17">
        <f>IF(B227="","",IFERROR(INDEX('Content Calendar'!$F$5:$F$604,MATCH(B227,'Content Calendar'!$A$5:$A$604,0)),"Not found"))</f>
        <v>0</v>
      </c>
      <c r="Z227" s="23">
        <f>IF(O227="","",N(Q227)+N(R227)+N(S227)+N(T227))</f>
        <v>0</v>
      </c>
      <c r="AA227" s="24">
        <f>IF(OR(O227="",O227=0),"",Z227/O227)</f>
        <v>0</v>
      </c>
      <c r="AB227" s="24">
        <f>IF(OR(O227="",O227=0),"",N(T227)/O227)</f>
        <v>0</v>
      </c>
      <c r="AC227" s="24">
        <f>IF(OR(O227="",O227=0),"",N(S227)/O227)</f>
        <v>0</v>
      </c>
      <c r="AD227" s="24">
        <f>IF(OR(O227="",O227=0),"",N(R227)/O227)</f>
        <v>0</v>
      </c>
      <c r="AE227" s="24">
        <f>IF(OR(O227="",O227=0),"",N(U227)/O227)</f>
        <v>0</v>
      </c>
      <c r="AF227" s="24">
        <f>IF(OR(U227="",U227=0),"",N(W227)/U227)</f>
        <v>0</v>
      </c>
      <c r="AG227" s="25">
        <f>IF(OR(O227="",O227=0),"",N(X227)/(O227/1000))</f>
        <v>0</v>
      </c>
      <c r="AH227" s="24">
        <f>IF(O227="","",IF(Y227="",TargetEngagement,Y227))</f>
        <v>0</v>
      </c>
      <c r="AI227" s="24">
        <f>IF(OR(AA227="",AH227=""),"",AA227-AH227)</f>
        <v>0</v>
      </c>
      <c r="AJ227" s="31">
        <f>IF(AA227="","",AA227+ROW()/1000000)</f>
        <v>0</v>
      </c>
      <c r="AK227" s="23">
        <f>IF(AA227="","",RANK(AJ227,Performance!$AJ$5:$AJ$404))</f>
        <v>0</v>
      </c>
      <c r="AL227" s="29">
        <f>IF(AA227="","",IF(AA227&gt;=AH227*1.5,"Top performer",IF(AA227&gt;=AH227,"Above target",IF(AA227&gt;=AH227*0.6,"Below target","Weak - review it"))))</f>
        <v>0</v>
      </c>
      <c r="AM227" s="29">
        <f>IF(B227="","",IF(COUNTIF(Performance!$B$5:$B$404,B227)&gt;1,"Duplicate","OK"))</f>
        <v>0</v>
      </c>
      <c r="AN227" s="29">
        <f>IF(B227="","",IF(C227="Not found","Check - content ID not on the calendar",IF(O227="","Add - no numbers entered yet",IF(AM227="Duplicate","Duplicate - this post is entered twice",IF(AL227="Top performer","Repurpose this one","OK")))))</f>
        <v>0</v>
      </c>
    </row>
    <row r="228" spans="1:40">
      <c r="A228" s="41">
        <f>IF(B228="","","PF-"&amp;TEXT(ROW()-4,"0000"))</f>
        <v>0</v>
      </c>
      <c r="C228" s="17">
        <f>IF(B228="","",IFERROR(INDEX('Content Calendar'!$H$5:$H$604,MATCH(B228,'Content Calendar'!$A$5:$A$604,0)),"Not found"))</f>
        <v>0</v>
      </c>
      <c r="D228" s="16">
        <f>IF(B228="","",IFERROR(INDEX('Content Calendar'!$B$5:$B$604,MATCH(B228,'Content Calendar'!$A$5:$A$604,0)),"Not found"))</f>
        <v>0</v>
      </c>
      <c r="E228" s="17">
        <f>IF(B228="","",IFERROR(INDEX('Content Calendar'!$D$5:$D$604,MATCH(B228,'Content Calendar'!$A$5:$A$604,0)),"Not found"))</f>
        <v>0</v>
      </c>
      <c r="F228" s="17">
        <f>IF(B228="","",IFERROR(INDEX('Content Calendar'!$G$5:$G$604,MATCH(B228,'Content Calendar'!$A$5:$A$604,0)),"Not found"))</f>
        <v>0</v>
      </c>
      <c r="G228" s="17">
        <f>IF(B228="","",IFERROR(INDEX('Content Calendar'!$K$5:$K$604,MATCH(B228,'Content Calendar'!$A$5:$A$604,0)),"Not found"))</f>
        <v>0</v>
      </c>
      <c r="H228" s="17">
        <f>IF(B228="","",IFERROR(INDEX('Content Calendar'!$J$5:$J$604,MATCH(B228,'Content Calendar'!$A$5:$A$604,0)),"Not found"))</f>
        <v>0</v>
      </c>
      <c r="I228" s="17">
        <f>IF(B228="","",IFERROR(INDEX('Content Calendar'!$L$5:$L$604,MATCH(B228,'Content Calendar'!$A$5:$A$604,0)),"Not found"))</f>
        <v>0</v>
      </c>
      <c r="J228" s="17">
        <f>IF(B228="","",IFERROR(INDEX('Content Calendar'!$P$5:$P$604,MATCH(B228,'Content Calendar'!$A$5:$A$604,0)),"Not found"))</f>
        <v>0</v>
      </c>
      <c r="K228" s="17">
        <f>IF(B228="","",IFERROR(INDEX('Content Calendar'!$O$5:$O$604,MATCH(B228,'Content Calendar'!$A$5:$A$604,0)),"Not found"))</f>
        <v>0</v>
      </c>
      <c r="L228" s="17">
        <f>IF(B228="","",IFERROR(INDEX('Content Calendar'!$N$5:$N$604,MATCH(B228,'Content Calendar'!$A$5:$A$604,0)),"Not found"))</f>
        <v>0</v>
      </c>
      <c r="M228" s="17">
        <f>IF(B228="","",IFERROR(INDEX('Content Calendar'!$C$5:$C$604,MATCH(B228,'Content Calendar'!$A$5:$A$604,0)),"Not found"))</f>
        <v>0</v>
      </c>
      <c r="N228" s="17">
        <f>IF(B228="","",IFERROR(INDEX('Content Calendar'!$F$5:$F$604,MATCH(B228,'Content Calendar'!$A$5:$A$604,0)),"Not found"))</f>
        <v>0</v>
      </c>
      <c r="Z228" s="23">
        <f>IF(O228="","",N(Q228)+N(R228)+N(S228)+N(T228))</f>
        <v>0</v>
      </c>
      <c r="AA228" s="24">
        <f>IF(OR(O228="",O228=0),"",Z228/O228)</f>
        <v>0</v>
      </c>
      <c r="AB228" s="24">
        <f>IF(OR(O228="",O228=0),"",N(T228)/O228)</f>
        <v>0</v>
      </c>
      <c r="AC228" s="24">
        <f>IF(OR(O228="",O228=0),"",N(S228)/O228)</f>
        <v>0</v>
      </c>
      <c r="AD228" s="24">
        <f>IF(OR(O228="",O228=0),"",N(R228)/O228)</f>
        <v>0</v>
      </c>
      <c r="AE228" s="24">
        <f>IF(OR(O228="",O228=0),"",N(U228)/O228)</f>
        <v>0</v>
      </c>
      <c r="AF228" s="24">
        <f>IF(OR(U228="",U228=0),"",N(W228)/U228)</f>
        <v>0</v>
      </c>
      <c r="AG228" s="25">
        <f>IF(OR(O228="",O228=0),"",N(X228)/(O228/1000))</f>
        <v>0</v>
      </c>
      <c r="AH228" s="24">
        <f>IF(O228="","",IF(Y228="",TargetEngagement,Y228))</f>
        <v>0</v>
      </c>
      <c r="AI228" s="24">
        <f>IF(OR(AA228="",AH228=""),"",AA228-AH228)</f>
        <v>0</v>
      </c>
      <c r="AJ228" s="31">
        <f>IF(AA228="","",AA228+ROW()/1000000)</f>
        <v>0</v>
      </c>
      <c r="AK228" s="23">
        <f>IF(AA228="","",RANK(AJ228,Performance!$AJ$5:$AJ$404))</f>
        <v>0</v>
      </c>
      <c r="AL228" s="29">
        <f>IF(AA228="","",IF(AA228&gt;=AH228*1.5,"Top performer",IF(AA228&gt;=AH228,"Above target",IF(AA228&gt;=AH228*0.6,"Below target","Weak - review it"))))</f>
        <v>0</v>
      </c>
      <c r="AM228" s="29">
        <f>IF(B228="","",IF(COUNTIF(Performance!$B$5:$B$404,B228)&gt;1,"Duplicate","OK"))</f>
        <v>0</v>
      </c>
      <c r="AN228" s="29">
        <f>IF(B228="","",IF(C228="Not found","Check - content ID not on the calendar",IF(O228="","Add - no numbers entered yet",IF(AM228="Duplicate","Duplicate - this post is entered twice",IF(AL228="Top performer","Repurpose this one","OK")))))</f>
        <v>0</v>
      </c>
    </row>
    <row r="229" spans="1:40">
      <c r="A229" s="41">
        <f>IF(B229="","","PF-"&amp;TEXT(ROW()-4,"0000"))</f>
        <v>0</v>
      </c>
      <c r="C229" s="17">
        <f>IF(B229="","",IFERROR(INDEX('Content Calendar'!$H$5:$H$604,MATCH(B229,'Content Calendar'!$A$5:$A$604,0)),"Not found"))</f>
        <v>0</v>
      </c>
      <c r="D229" s="16">
        <f>IF(B229="","",IFERROR(INDEX('Content Calendar'!$B$5:$B$604,MATCH(B229,'Content Calendar'!$A$5:$A$604,0)),"Not found"))</f>
        <v>0</v>
      </c>
      <c r="E229" s="17">
        <f>IF(B229="","",IFERROR(INDEX('Content Calendar'!$D$5:$D$604,MATCH(B229,'Content Calendar'!$A$5:$A$604,0)),"Not found"))</f>
        <v>0</v>
      </c>
      <c r="F229" s="17">
        <f>IF(B229="","",IFERROR(INDEX('Content Calendar'!$G$5:$G$604,MATCH(B229,'Content Calendar'!$A$5:$A$604,0)),"Not found"))</f>
        <v>0</v>
      </c>
      <c r="G229" s="17">
        <f>IF(B229="","",IFERROR(INDEX('Content Calendar'!$K$5:$K$604,MATCH(B229,'Content Calendar'!$A$5:$A$604,0)),"Not found"))</f>
        <v>0</v>
      </c>
      <c r="H229" s="17">
        <f>IF(B229="","",IFERROR(INDEX('Content Calendar'!$J$5:$J$604,MATCH(B229,'Content Calendar'!$A$5:$A$604,0)),"Not found"))</f>
        <v>0</v>
      </c>
      <c r="I229" s="17">
        <f>IF(B229="","",IFERROR(INDEX('Content Calendar'!$L$5:$L$604,MATCH(B229,'Content Calendar'!$A$5:$A$604,0)),"Not found"))</f>
        <v>0</v>
      </c>
      <c r="J229" s="17">
        <f>IF(B229="","",IFERROR(INDEX('Content Calendar'!$P$5:$P$604,MATCH(B229,'Content Calendar'!$A$5:$A$604,0)),"Not found"))</f>
        <v>0</v>
      </c>
      <c r="K229" s="17">
        <f>IF(B229="","",IFERROR(INDEX('Content Calendar'!$O$5:$O$604,MATCH(B229,'Content Calendar'!$A$5:$A$604,0)),"Not found"))</f>
        <v>0</v>
      </c>
      <c r="L229" s="17">
        <f>IF(B229="","",IFERROR(INDEX('Content Calendar'!$N$5:$N$604,MATCH(B229,'Content Calendar'!$A$5:$A$604,0)),"Not found"))</f>
        <v>0</v>
      </c>
      <c r="M229" s="17">
        <f>IF(B229="","",IFERROR(INDEX('Content Calendar'!$C$5:$C$604,MATCH(B229,'Content Calendar'!$A$5:$A$604,0)),"Not found"))</f>
        <v>0</v>
      </c>
      <c r="N229" s="17">
        <f>IF(B229="","",IFERROR(INDEX('Content Calendar'!$F$5:$F$604,MATCH(B229,'Content Calendar'!$A$5:$A$604,0)),"Not found"))</f>
        <v>0</v>
      </c>
      <c r="Z229" s="23">
        <f>IF(O229="","",N(Q229)+N(R229)+N(S229)+N(T229))</f>
        <v>0</v>
      </c>
      <c r="AA229" s="24">
        <f>IF(OR(O229="",O229=0),"",Z229/O229)</f>
        <v>0</v>
      </c>
      <c r="AB229" s="24">
        <f>IF(OR(O229="",O229=0),"",N(T229)/O229)</f>
        <v>0</v>
      </c>
      <c r="AC229" s="24">
        <f>IF(OR(O229="",O229=0),"",N(S229)/O229)</f>
        <v>0</v>
      </c>
      <c r="AD229" s="24">
        <f>IF(OR(O229="",O229=0),"",N(R229)/O229)</f>
        <v>0</v>
      </c>
      <c r="AE229" s="24">
        <f>IF(OR(O229="",O229=0),"",N(U229)/O229)</f>
        <v>0</v>
      </c>
      <c r="AF229" s="24">
        <f>IF(OR(U229="",U229=0),"",N(W229)/U229)</f>
        <v>0</v>
      </c>
      <c r="AG229" s="25">
        <f>IF(OR(O229="",O229=0),"",N(X229)/(O229/1000))</f>
        <v>0</v>
      </c>
      <c r="AH229" s="24">
        <f>IF(O229="","",IF(Y229="",TargetEngagement,Y229))</f>
        <v>0</v>
      </c>
      <c r="AI229" s="24">
        <f>IF(OR(AA229="",AH229=""),"",AA229-AH229)</f>
        <v>0</v>
      </c>
      <c r="AJ229" s="31">
        <f>IF(AA229="","",AA229+ROW()/1000000)</f>
        <v>0</v>
      </c>
      <c r="AK229" s="23">
        <f>IF(AA229="","",RANK(AJ229,Performance!$AJ$5:$AJ$404))</f>
        <v>0</v>
      </c>
      <c r="AL229" s="29">
        <f>IF(AA229="","",IF(AA229&gt;=AH229*1.5,"Top performer",IF(AA229&gt;=AH229,"Above target",IF(AA229&gt;=AH229*0.6,"Below target","Weak - review it"))))</f>
        <v>0</v>
      </c>
      <c r="AM229" s="29">
        <f>IF(B229="","",IF(COUNTIF(Performance!$B$5:$B$404,B229)&gt;1,"Duplicate","OK"))</f>
        <v>0</v>
      </c>
      <c r="AN229" s="29">
        <f>IF(B229="","",IF(C229="Not found","Check - content ID not on the calendar",IF(O229="","Add - no numbers entered yet",IF(AM229="Duplicate","Duplicate - this post is entered twice",IF(AL229="Top performer","Repurpose this one","OK")))))</f>
        <v>0</v>
      </c>
    </row>
    <row r="230" spans="1:40">
      <c r="A230" s="41">
        <f>IF(B230="","","PF-"&amp;TEXT(ROW()-4,"0000"))</f>
        <v>0</v>
      </c>
      <c r="C230" s="17">
        <f>IF(B230="","",IFERROR(INDEX('Content Calendar'!$H$5:$H$604,MATCH(B230,'Content Calendar'!$A$5:$A$604,0)),"Not found"))</f>
        <v>0</v>
      </c>
      <c r="D230" s="16">
        <f>IF(B230="","",IFERROR(INDEX('Content Calendar'!$B$5:$B$604,MATCH(B230,'Content Calendar'!$A$5:$A$604,0)),"Not found"))</f>
        <v>0</v>
      </c>
      <c r="E230" s="17">
        <f>IF(B230="","",IFERROR(INDEX('Content Calendar'!$D$5:$D$604,MATCH(B230,'Content Calendar'!$A$5:$A$604,0)),"Not found"))</f>
        <v>0</v>
      </c>
      <c r="F230" s="17">
        <f>IF(B230="","",IFERROR(INDEX('Content Calendar'!$G$5:$G$604,MATCH(B230,'Content Calendar'!$A$5:$A$604,0)),"Not found"))</f>
        <v>0</v>
      </c>
      <c r="G230" s="17">
        <f>IF(B230="","",IFERROR(INDEX('Content Calendar'!$K$5:$K$604,MATCH(B230,'Content Calendar'!$A$5:$A$604,0)),"Not found"))</f>
        <v>0</v>
      </c>
      <c r="H230" s="17">
        <f>IF(B230="","",IFERROR(INDEX('Content Calendar'!$J$5:$J$604,MATCH(B230,'Content Calendar'!$A$5:$A$604,0)),"Not found"))</f>
        <v>0</v>
      </c>
      <c r="I230" s="17">
        <f>IF(B230="","",IFERROR(INDEX('Content Calendar'!$L$5:$L$604,MATCH(B230,'Content Calendar'!$A$5:$A$604,0)),"Not found"))</f>
        <v>0</v>
      </c>
      <c r="J230" s="17">
        <f>IF(B230="","",IFERROR(INDEX('Content Calendar'!$P$5:$P$604,MATCH(B230,'Content Calendar'!$A$5:$A$604,0)),"Not found"))</f>
        <v>0</v>
      </c>
      <c r="K230" s="17">
        <f>IF(B230="","",IFERROR(INDEX('Content Calendar'!$O$5:$O$604,MATCH(B230,'Content Calendar'!$A$5:$A$604,0)),"Not found"))</f>
        <v>0</v>
      </c>
      <c r="L230" s="17">
        <f>IF(B230="","",IFERROR(INDEX('Content Calendar'!$N$5:$N$604,MATCH(B230,'Content Calendar'!$A$5:$A$604,0)),"Not found"))</f>
        <v>0</v>
      </c>
      <c r="M230" s="17">
        <f>IF(B230="","",IFERROR(INDEX('Content Calendar'!$C$5:$C$604,MATCH(B230,'Content Calendar'!$A$5:$A$604,0)),"Not found"))</f>
        <v>0</v>
      </c>
      <c r="N230" s="17">
        <f>IF(B230="","",IFERROR(INDEX('Content Calendar'!$F$5:$F$604,MATCH(B230,'Content Calendar'!$A$5:$A$604,0)),"Not found"))</f>
        <v>0</v>
      </c>
      <c r="Z230" s="23">
        <f>IF(O230="","",N(Q230)+N(R230)+N(S230)+N(T230))</f>
        <v>0</v>
      </c>
      <c r="AA230" s="24">
        <f>IF(OR(O230="",O230=0),"",Z230/O230)</f>
        <v>0</v>
      </c>
      <c r="AB230" s="24">
        <f>IF(OR(O230="",O230=0),"",N(T230)/O230)</f>
        <v>0</v>
      </c>
      <c r="AC230" s="24">
        <f>IF(OR(O230="",O230=0),"",N(S230)/O230)</f>
        <v>0</v>
      </c>
      <c r="AD230" s="24">
        <f>IF(OR(O230="",O230=0),"",N(R230)/O230)</f>
        <v>0</v>
      </c>
      <c r="AE230" s="24">
        <f>IF(OR(O230="",O230=0),"",N(U230)/O230)</f>
        <v>0</v>
      </c>
      <c r="AF230" s="24">
        <f>IF(OR(U230="",U230=0),"",N(W230)/U230)</f>
        <v>0</v>
      </c>
      <c r="AG230" s="25">
        <f>IF(OR(O230="",O230=0),"",N(X230)/(O230/1000))</f>
        <v>0</v>
      </c>
      <c r="AH230" s="24">
        <f>IF(O230="","",IF(Y230="",TargetEngagement,Y230))</f>
        <v>0</v>
      </c>
      <c r="AI230" s="24">
        <f>IF(OR(AA230="",AH230=""),"",AA230-AH230)</f>
        <v>0</v>
      </c>
      <c r="AJ230" s="31">
        <f>IF(AA230="","",AA230+ROW()/1000000)</f>
        <v>0</v>
      </c>
      <c r="AK230" s="23">
        <f>IF(AA230="","",RANK(AJ230,Performance!$AJ$5:$AJ$404))</f>
        <v>0</v>
      </c>
      <c r="AL230" s="29">
        <f>IF(AA230="","",IF(AA230&gt;=AH230*1.5,"Top performer",IF(AA230&gt;=AH230,"Above target",IF(AA230&gt;=AH230*0.6,"Below target","Weak - review it"))))</f>
        <v>0</v>
      </c>
      <c r="AM230" s="29">
        <f>IF(B230="","",IF(COUNTIF(Performance!$B$5:$B$404,B230)&gt;1,"Duplicate","OK"))</f>
        <v>0</v>
      </c>
      <c r="AN230" s="29">
        <f>IF(B230="","",IF(C230="Not found","Check - content ID not on the calendar",IF(O230="","Add - no numbers entered yet",IF(AM230="Duplicate","Duplicate - this post is entered twice",IF(AL230="Top performer","Repurpose this one","OK")))))</f>
        <v>0</v>
      </c>
    </row>
    <row r="231" spans="1:40">
      <c r="A231" s="41">
        <f>IF(B231="","","PF-"&amp;TEXT(ROW()-4,"0000"))</f>
        <v>0</v>
      </c>
      <c r="C231" s="17">
        <f>IF(B231="","",IFERROR(INDEX('Content Calendar'!$H$5:$H$604,MATCH(B231,'Content Calendar'!$A$5:$A$604,0)),"Not found"))</f>
        <v>0</v>
      </c>
      <c r="D231" s="16">
        <f>IF(B231="","",IFERROR(INDEX('Content Calendar'!$B$5:$B$604,MATCH(B231,'Content Calendar'!$A$5:$A$604,0)),"Not found"))</f>
        <v>0</v>
      </c>
      <c r="E231" s="17">
        <f>IF(B231="","",IFERROR(INDEX('Content Calendar'!$D$5:$D$604,MATCH(B231,'Content Calendar'!$A$5:$A$604,0)),"Not found"))</f>
        <v>0</v>
      </c>
      <c r="F231" s="17">
        <f>IF(B231="","",IFERROR(INDEX('Content Calendar'!$G$5:$G$604,MATCH(B231,'Content Calendar'!$A$5:$A$604,0)),"Not found"))</f>
        <v>0</v>
      </c>
      <c r="G231" s="17">
        <f>IF(B231="","",IFERROR(INDEX('Content Calendar'!$K$5:$K$604,MATCH(B231,'Content Calendar'!$A$5:$A$604,0)),"Not found"))</f>
        <v>0</v>
      </c>
      <c r="H231" s="17">
        <f>IF(B231="","",IFERROR(INDEX('Content Calendar'!$J$5:$J$604,MATCH(B231,'Content Calendar'!$A$5:$A$604,0)),"Not found"))</f>
        <v>0</v>
      </c>
      <c r="I231" s="17">
        <f>IF(B231="","",IFERROR(INDEX('Content Calendar'!$L$5:$L$604,MATCH(B231,'Content Calendar'!$A$5:$A$604,0)),"Not found"))</f>
        <v>0</v>
      </c>
      <c r="J231" s="17">
        <f>IF(B231="","",IFERROR(INDEX('Content Calendar'!$P$5:$P$604,MATCH(B231,'Content Calendar'!$A$5:$A$604,0)),"Not found"))</f>
        <v>0</v>
      </c>
      <c r="K231" s="17">
        <f>IF(B231="","",IFERROR(INDEX('Content Calendar'!$O$5:$O$604,MATCH(B231,'Content Calendar'!$A$5:$A$604,0)),"Not found"))</f>
        <v>0</v>
      </c>
      <c r="L231" s="17">
        <f>IF(B231="","",IFERROR(INDEX('Content Calendar'!$N$5:$N$604,MATCH(B231,'Content Calendar'!$A$5:$A$604,0)),"Not found"))</f>
        <v>0</v>
      </c>
      <c r="M231" s="17">
        <f>IF(B231="","",IFERROR(INDEX('Content Calendar'!$C$5:$C$604,MATCH(B231,'Content Calendar'!$A$5:$A$604,0)),"Not found"))</f>
        <v>0</v>
      </c>
      <c r="N231" s="17">
        <f>IF(B231="","",IFERROR(INDEX('Content Calendar'!$F$5:$F$604,MATCH(B231,'Content Calendar'!$A$5:$A$604,0)),"Not found"))</f>
        <v>0</v>
      </c>
      <c r="Z231" s="23">
        <f>IF(O231="","",N(Q231)+N(R231)+N(S231)+N(T231))</f>
        <v>0</v>
      </c>
      <c r="AA231" s="24">
        <f>IF(OR(O231="",O231=0),"",Z231/O231)</f>
        <v>0</v>
      </c>
      <c r="AB231" s="24">
        <f>IF(OR(O231="",O231=0),"",N(T231)/O231)</f>
        <v>0</v>
      </c>
      <c r="AC231" s="24">
        <f>IF(OR(O231="",O231=0),"",N(S231)/O231)</f>
        <v>0</v>
      </c>
      <c r="AD231" s="24">
        <f>IF(OR(O231="",O231=0),"",N(R231)/O231)</f>
        <v>0</v>
      </c>
      <c r="AE231" s="24">
        <f>IF(OR(O231="",O231=0),"",N(U231)/O231)</f>
        <v>0</v>
      </c>
      <c r="AF231" s="24">
        <f>IF(OR(U231="",U231=0),"",N(W231)/U231)</f>
        <v>0</v>
      </c>
      <c r="AG231" s="25">
        <f>IF(OR(O231="",O231=0),"",N(X231)/(O231/1000))</f>
        <v>0</v>
      </c>
      <c r="AH231" s="24">
        <f>IF(O231="","",IF(Y231="",TargetEngagement,Y231))</f>
        <v>0</v>
      </c>
      <c r="AI231" s="24">
        <f>IF(OR(AA231="",AH231=""),"",AA231-AH231)</f>
        <v>0</v>
      </c>
      <c r="AJ231" s="31">
        <f>IF(AA231="","",AA231+ROW()/1000000)</f>
        <v>0</v>
      </c>
      <c r="AK231" s="23">
        <f>IF(AA231="","",RANK(AJ231,Performance!$AJ$5:$AJ$404))</f>
        <v>0</v>
      </c>
      <c r="AL231" s="29">
        <f>IF(AA231="","",IF(AA231&gt;=AH231*1.5,"Top performer",IF(AA231&gt;=AH231,"Above target",IF(AA231&gt;=AH231*0.6,"Below target","Weak - review it"))))</f>
        <v>0</v>
      </c>
      <c r="AM231" s="29">
        <f>IF(B231="","",IF(COUNTIF(Performance!$B$5:$B$404,B231)&gt;1,"Duplicate","OK"))</f>
        <v>0</v>
      </c>
      <c r="AN231" s="29">
        <f>IF(B231="","",IF(C231="Not found","Check - content ID not on the calendar",IF(O231="","Add - no numbers entered yet",IF(AM231="Duplicate","Duplicate - this post is entered twice",IF(AL231="Top performer","Repurpose this one","OK")))))</f>
        <v>0</v>
      </c>
    </row>
    <row r="232" spans="1:40">
      <c r="A232" s="41">
        <f>IF(B232="","","PF-"&amp;TEXT(ROW()-4,"0000"))</f>
        <v>0</v>
      </c>
      <c r="C232" s="17">
        <f>IF(B232="","",IFERROR(INDEX('Content Calendar'!$H$5:$H$604,MATCH(B232,'Content Calendar'!$A$5:$A$604,0)),"Not found"))</f>
        <v>0</v>
      </c>
      <c r="D232" s="16">
        <f>IF(B232="","",IFERROR(INDEX('Content Calendar'!$B$5:$B$604,MATCH(B232,'Content Calendar'!$A$5:$A$604,0)),"Not found"))</f>
        <v>0</v>
      </c>
      <c r="E232" s="17">
        <f>IF(B232="","",IFERROR(INDEX('Content Calendar'!$D$5:$D$604,MATCH(B232,'Content Calendar'!$A$5:$A$604,0)),"Not found"))</f>
        <v>0</v>
      </c>
      <c r="F232" s="17">
        <f>IF(B232="","",IFERROR(INDEX('Content Calendar'!$G$5:$G$604,MATCH(B232,'Content Calendar'!$A$5:$A$604,0)),"Not found"))</f>
        <v>0</v>
      </c>
      <c r="G232" s="17">
        <f>IF(B232="","",IFERROR(INDEX('Content Calendar'!$K$5:$K$604,MATCH(B232,'Content Calendar'!$A$5:$A$604,0)),"Not found"))</f>
        <v>0</v>
      </c>
      <c r="H232" s="17">
        <f>IF(B232="","",IFERROR(INDEX('Content Calendar'!$J$5:$J$604,MATCH(B232,'Content Calendar'!$A$5:$A$604,0)),"Not found"))</f>
        <v>0</v>
      </c>
      <c r="I232" s="17">
        <f>IF(B232="","",IFERROR(INDEX('Content Calendar'!$L$5:$L$604,MATCH(B232,'Content Calendar'!$A$5:$A$604,0)),"Not found"))</f>
        <v>0</v>
      </c>
      <c r="J232" s="17">
        <f>IF(B232="","",IFERROR(INDEX('Content Calendar'!$P$5:$P$604,MATCH(B232,'Content Calendar'!$A$5:$A$604,0)),"Not found"))</f>
        <v>0</v>
      </c>
      <c r="K232" s="17">
        <f>IF(B232="","",IFERROR(INDEX('Content Calendar'!$O$5:$O$604,MATCH(B232,'Content Calendar'!$A$5:$A$604,0)),"Not found"))</f>
        <v>0</v>
      </c>
      <c r="L232" s="17">
        <f>IF(B232="","",IFERROR(INDEX('Content Calendar'!$N$5:$N$604,MATCH(B232,'Content Calendar'!$A$5:$A$604,0)),"Not found"))</f>
        <v>0</v>
      </c>
      <c r="M232" s="17">
        <f>IF(B232="","",IFERROR(INDEX('Content Calendar'!$C$5:$C$604,MATCH(B232,'Content Calendar'!$A$5:$A$604,0)),"Not found"))</f>
        <v>0</v>
      </c>
      <c r="N232" s="17">
        <f>IF(B232="","",IFERROR(INDEX('Content Calendar'!$F$5:$F$604,MATCH(B232,'Content Calendar'!$A$5:$A$604,0)),"Not found"))</f>
        <v>0</v>
      </c>
      <c r="Z232" s="23">
        <f>IF(O232="","",N(Q232)+N(R232)+N(S232)+N(T232))</f>
        <v>0</v>
      </c>
      <c r="AA232" s="24">
        <f>IF(OR(O232="",O232=0),"",Z232/O232)</f>
        <v>0</v>
      </c>
      <c r="AB232" s="24">
        <f>IF(OR(O232="",O232=0),"",N(T232)/O232)</f>
        <v>0</v>
      </c>
      <c r="AC232" s="24">
        <f>IF(OR(O232="",O232=0),"",N(S232)/O232)</f>
        <v>0</v>
      </c>
      <c r="AD232" s="24">
        <f>IF(OR(O232="",O232=0),"",N(R232)/O232)</f>
        <v>0</v>
      </c>
      <c r="AE232" s="24">
        <f>IF(OR(O232="",O232=0),"",N(U232)/O232)</f>
        <v>0</v>
      </c>
      <c r="AF232" s="24">
        <f>IF(OR(U232="",U232=0),"",N(W232)/U232)</f>
        <v>0</v>
      </c>
      <c r="AG232" s="25">
        <f>IF(OR(O232="",O232=0),"",N(X232)/(O232/1000))</f>
        <v>0</v>
      </c>
      <c r="AH232" s="24">
        <f>IF(O232="","",IF(Y232="",TargetEngagement,Y232))</f>
        <v>0</v>
      </c>
      <c r="AI232" s="24">
        <f>IF(OR(AA232="",AH232=""),"",AA232-AH232)</f>
        <v>0</v>
      </c>
      <c r="AJ232" s="31">
        <f>IF(AA232="","",AA232+ROW()/1000000)</f>
        <v>0</v>
      </c>
      <c r="AK232" s="23">
        <f>IF(AA232="","",RANK(AJ232,Performance!$AJ$5:$AJ$404))</f>
        <v>0</v>
      </c>
      <c r="AL232" s="29">
        <f>IF(AA232="","",IF(AA232&gt;=AH232*1.5,"Top performer",IF(AA232&gt;=AH232,"Above target",IF(AA232&gt;=AH232*0.6,"Below target","Weak - review it"))))</f>
        <v>0</v>
      </c>
      <c r="AM232" s="29">
        <f>IF(B232="","",IF(COUNTIF(Performance!$B$5:$B$404,B232)&gt;1,"Duplicate","OK"))</f>
        <v>0</v>
      </c>
      <c r="AN232" s="29">
        <f>IF(B232="","",IF(C232="Not found","Check - content ID not on the calendar",IF(O232="","Add - no numbers entered yet",IF(AM232="Duplicate","Duplicate - this post is entered twice",IF(AL232="Top performer","Repurpose this one","OK")))))</f>
        <v>0</v>
      </c>
    </row>
    <row r="233" spans="1:40">
      <c r="A233" s="41">
        <f>IF(B233="","","PF-"&amp;TEXT(ROW()-4,"0000"))</f>
        <v>0</v>
      </c>
      <c r="C233" s="17">
        <f>IF(B233="","",IFERROR(INDEX('Content Calendar'!$H$5:$H$604,MATCH(B233,'Content Calendar'!$A$5:$A$604,0)),"Not found"))</f>
        <v>0</v>
      </c>
      <c r="D233" s="16">
        <f>IF(B233="","",IFERROR(INDEX('Content Calendar'!$B$5:$B$604,MATCH(B233,'Content Calendar'!$A$5:$A$604,0)),"Not found"))</f>
        <v>0</v>
      </c>
      <c r="E233" s="17">
        <f>IF(B233="","",IFERROR(INDEX('Content Calendar'!$D$5:$D$604,MATCH(B233,'Content Calendar'!$A$5:$A$604,0)),"Not found"))</f>
        <v>0</v>
      </c>
      <c r="F233" s="17">
        <f>IF(B233="","",IFERROR(INDEX('Content Calendar'!$G$5:$G$604,MATCH(B233,'Content Calendar'!$A$5:$A$604,0)),"Not found"))</f>
        <v>0</v>
      </c>
      <c r="G233" s="17">
        <f>IF(B233="","",IFERROR(INDEX('Content Calendar'!$K$5:$K$604,MATCH(B233,'Content Calendar'!$A$5:$A$604,0)),"Not found"))</f>
        <v>0</v>
      </c>
      <c r="H233" s="17">
        <f>IF(B233="","",IFERROR(INDEX('Content Calendar'!$J$5:$J$604,MATCH(B233,'Content Calendar'!$A$5:$A$604,0)),"Not found"))</f>
        <v>0</v>
      </c>
      <c r="I233" s="17">
        <f>IF(B233="","",IFERROR(INDEX('Content Calendar'!$L$5:$L$604,MATCH(B233,'Content Calendar'!$A$5:$A$604,0)),"Not found"))</f>
        <v>0</v>
      </c>
      <c r="J233" s="17">
        <f>IF(B233="","",IFERROR(INDEX('Content Calendar'!$P$5:$P$604,MATCH(B233,'Content Calendar'!$A$5:$A$604,0)),"Not found"))</f>
        <v>0</v>
      </c>
      <c r="K233" s="17">
        <f>IF(B233="","",IFERROR(INDEX('Content Calendar'!$O$5:$O$604,MATCH(B233,'Content Calendar'!$A$5:$A$604,0)),"Not found"))</f>
        <v>0</v>
      </c>
      <c r="L233" s="17">
        <f>IF(B233="","",IFERROR(INDEX('Content Calendar'!$N$5:$N$604,MATCH(B233,'Content Calendar'!$A$5:$A$604,0)),"Not found"))</f>
        <v>0</v>
      </c>
      <c r="M233" s="17">
        <f>IF(B233="","",IFERROR(INDEX('Content Calendar'!$C$5:$C$604,MATCH(B233,'Content Calendar'!$A$5:$A$604,0)),"Not found"))</f>
        <v>0</v>
      </c>
      <c r="N233" s="17">
        <f>IF(B233="","",IFERROR(INDEX('Content Calendar'!$F$5:$F$604,MATCH(B233,'Content Calendar'!$A$5:$A$604,0)),"Not found"))</f>
        <v>0</v>
      </c>
      <c r="Z233" s="23">
        <f>IF(O233="","",N(Q233)+N(R233)+N(S233)+N(T233))</f>
        <v>0</v>
      </c>
      <c r="AA233" s="24">
        <f>IF(OR(O233="",O233=0),"",Z233/O233)</f>
        <v>0</v>
      </c>
      <c r="AB233" s="24">
        <f>IF(OR(O233="",O233=0),"",N(T233)/O233)</f>
        <v>0</v>
      </c>
      <c r="AC233" s="24">
        <f>IF(OR(O233="",O233=0),"",N(S233)/O233)</f>
        <v>0</v>
      </c>
      <c r="AD233" s="24">
        <f>IF(OR(O233="",O233=0),"",N(R233)/O233)</f>
        <v>0</v>
      </c>
      <c r="AE233" s="24">
        <f>IF(OR(O233="",O233=0),"",N(U233)/O233)</f>
        <v>0</v>
      </c>
      <c r="AF233" s="24">
        <f>IF(OR(U233="",U233=0),"",N(W233)/U233)</f>
        <v>0</v>
      </c>
      <c r="AG233" s="25">
        <f>IF(OR(O233="",O233=0),"",N(X233)/(O233/1000))</f>
        <v>0</v>
      </c>
      <c r="AH233" s="24">
        <f>IF(O233="","",IF(Y233="",TargetEngagement,Y233))</f>
        <v>0</v>
      </c>
      <c r="AI233" s="24">
        <f>IF(OR(AA233="",AH233=""),"",AA233-AH233)</f>
        <v>0</v>
      </c>
      <c r="AJ233" s="31">
        <f>IF(AA233="","",AA233+ROW()/1000000)</f>
        <v>0</v>
      </c>
      <c r="AK233" s="23">
        <f>IF(AA233="","",RANK(AJ233,Performance!$AJ$5:$AJ$404))</f>
        <v>0</v>
      </c>
      <c r="AL233" s="29">
        <f>IF(AA233="","",IF(AA233&gt;=AH233*1.5,"Top performer",IF(AA233&gt;=AH233,"Above target",IF(AA233&gt;=AH233*0.6,"Below target","Weak - review it"))))</f>
        <v>0</v>
      </c>
      <c r="AM233" s="29">
        <f>IF(B233="","",IF(COUNTIF(Performance!$B$5:$B$404,B233)&gt;1,"Duplicate","OK"))</f>
        <v>0</v>
      </c>
      <c r="AN233" s="29">
        <f>IF(B233="","",IF(C233="Not found","Check - content ID not on the calendar",IF(O233="","Add - no numbers entered yet",IF(AM233="Duplicate","Duplicate - this post is entered twice",IF(AL233="Top performer","Repurpose this one","OK")))))</f>
        <v>0</v>
      </c>
    </row>
    <row r="234" spans="1:40">
      <c r="A234" s="41">
        <f>IF(B234="","","PF-"&amp;TEXT(ROW()-4,"0000"))</f>
        <v>0</v>
      </c>
      <c r="C234" s="17">
        <f>IF(B234="","",IFERROR(INDEX('Content Calendar'!$H$5:$H$604,MATCH(B234,'Content Calendar'!$A$5:$A$604,0)),"Not found"))</f>
        <v>0</v>
      </c>
      <c r="D234" s="16">
        <f>IF(B234="","",IFERROR(INDEX('Content Calendar'!$B$5:$B$604,MATCH(B234,'Content Calendar'!$A$5:$A$604,0)),"Not found"))</f>
        <v>0</v>
      </c>
      <c r="E234" s="17">
        <f>IF(B234="","",IFERROR(INDEX('Content Calendar'!$D$5:$D$604,MATCH(B234,'Content Calendar'!$A$5:$A$604,0)),"Not found"))</f>
        <v>0</v>
      </c>
      <c r="F234" s="17">
        <f>IF(B234="","",IFERROR(INDEX('Content Calendar'!$G$5:$G$604,MATCH(B234,'Content Calendar'!$A$5:$A$604,0)),"Not found"))</f>
        <v>0</v>
      </c>
      <c r="G234" s="17">
        <f>IF(B234="","",IFERROR(INDEX('Content Calendar'!$K$5:$K$604,MATCH(B234,'Content Calendar'!$A$5:$A$604,0)),"Not found"))</f>
        <v>0</v>
      </c>
      <c r="H234" s="17">
        <f>IF(B234="","",IFERROR(INDEX('Content Calendar'!$J$5:$J$604,MATCH(B234,'Content Calendar'!$A$5:$A$604,0)),"Not found"))</f>
        <v>0</v>
      </c>
      <c r="I234" s="17">
        <f>IF(B234="","",IFERROR(INDEX('Content Calendar'!$L$5:$L$604,MATCH(B234,'Content Calendar'!$A$5:$A$604,0)),"Not found"))</f>
        <v>0</v>
      </c>
      <c r="J234" s="17">
        <f>IF(B234="","",IFERROR(INDEX('Content Calendar'!$P$5:$P$604,MATCH(B234,'Content Calendar'!$A$5:$A$604,0)),"Not found"))</f>
        <v>0</v>
      </c>
      <c r="K234" s="17">
        <f>IF(B234="","",IFERROR(INDEX('Content Calendar'!$O$5:$O$604,MATCH(B234,'Content Calendar'!$A$5:$A$604,0)),"Not found"))</f>
        <v>0</v>
      </c>
      <c r="L234" s="17">
        <f>IF(B234="","",IFERROR(INDEX('Content Calendar'!$N$5:$N$604,MATCH(B234,'Content Calendar'!$A$5:$A$604,0)),"Not found"))</f>
        <v>0</v>
      </c>
      <c r="M234" s="17">
        <f>IF(B234="","",IFERROR(INDEX('Content Calendar'!$C$5:$C$604,MATCH(B234,'Content Calendar'!$A$5:$A$604,0)),"Not found"))</f>
        <v>0</v>
      </c>
      <c r="N234" s="17">
        <f>IF(B234="","",IFERROR(INDEX('Content Calendar'!$F$5:$F$604,MATCH(B234,'Content Calendar'!$A$5:$A$604,0)),"Not found"))</f>
        <v>0</v>
      </c>
      <c r="Z234" s="23">
        <f>IF(O234="","",N(Q234)+N(R234)+N(S234)+N(T234))</f>
        <v>0</v>
      </c>
      <c r="AA234" s="24">
        <f>IF(OR(O234="",O234=0),"",Z234/O234)</f>
        <v>0</v>
      </c>
      <c r="AB234" s="24">
        <f>IF(OR(O234="",O234=0),"",N(T234)/O234)</f>
        <v>0</v>
      </c>
      <c r="AC234" s="24">
        <f>IF(OR(O234="",O234=0),"",N(S234)/O234)</f>
        <v>0</v>
      </c>
      <c r="AD234" s="24">
        <f>IF(OR(O234="",O234=0),"",N(R234)/O234)</f>
        <v>0</v>
      </c>
      <c r="AE234" s="24">
        <f>IF(OR(O234="",O234=0),"",N(U234)/O234)</f>
        <v>0</v>
      </c>
      <c r="AF234" s="24">
        <f>IF(OR(U234="",U234=0),"",N(W234)/U234)</f>
        <v>0</v>
      </c>
      <c r="AG234" s="25">
        <f>IF(OR(O234="",O234=0),"",N(X234)/(O234/1000))</f>
        <v>0</v>
      </c>
      <c r="AH234" s="24">
        <f>IF(O234="","",IF(Y234="",TargetEngagement,Y234))</f>
        <v>0</v>
      </c>
      <c r="AI234" s="24">
        <f>IF(OR(AA234="",AH234=""),"",AA234-AH234)</f>
        <v>0</v>
      </c>
      <c r="AJ234" s="31">
        <f>IF(AA234="","",AA234+ROW()/1000000)</f>
        <v>0</v>
      </c>
      <c r="AK234" s="23">
        <f>IF(AA234="","",RANK(AJ234,Performance!$AJ$5:$AJ$404))</f>
        <v>0</v>
      </c>
      <c r="AL234" s="29">
        <f>IF(AA234="","",IF(AA234&gt;=AH234*1.5,"Top performer",IF(AA234&gt;=AH234,"Above target",IF(AA234&gt;=AH234*0.6,"Below target","Weak - review it"))))</f>
        <v>0</v>
      </c>
      <c r="AM234" s="29">
        <f>IF(B234="","",IF(COUNTIF(Performance!$B$5:$B$404,B234)&gt;1,"Duplicate","OK"))</f>
        <v>0</v>
      </c>
      <c r="AN234" s="29">
        <f>IF(B234="","",IF(C234="Not found","Check - content ID not on the calendar",IF(O234="","Add - no numbers entered yet",IF(AM234="Duplicate","Duplicate - this post is entered twice",IF(AL234="Top performer","Repurpose this one","OK")))))</f>
        <v>0</v>
      </c>
    </row>
    <row r="235" spans="1:40">
      <c r="A235" s="41">
        <f>IF(B235="","","PF-"&amp;TEXT(ROW()-4,"0000"))</f>
        <v>0</v>
      </c>
      <c r="C235" s="17">
        <f>IF(B235="","",IFERROR(INDEX('Content Calendar'!$H$5:$H$604,MATCH(B235,'Content Calendar'!$A$5:$A$604,0)),"Not found"))</f>
        <v>0</v>
      </c>
      <c r="D235" s="16">
        <f>IF(B235="","",IFERROR(INDEX('Content Calendar'!$B$5:$B$604,MATCH(B235,'Content Calendar'!$A$5:$A$604,0)),"Not found"))</f>
        <v>0</v>
      </c>
      <c r="E235" s="17">
        <f>IF(B235="","",IFERROR(INDEX('Content Calendar'!$D$5:$D$604,MATCH(B235,'Content Calendar'!$A$5:$A$604,0)),"Not found"))</f>
        <v>0</v>
      </c>
      <c r="F235" s="17">
        <f>IF(B235="","",IFERROR(INDEX('Content Calendar'!$G$5:$G$604,MATCH(B235,'Content Calendar'!$A$5:$A$604,0)),"Not found"))</f>
        <v>0</v>
      </c>
      <c r="G235" s="17">
        <f>IF(B235="","",IFERROR(INDEX('Content Calendar'!$K$5:$K$604,MATCH(B235,'Content Calendar'!$A$5:$A$604,0)),"Not found"))</f>
        <v>0</v>
      </c>
      <c r="H235" s="17">
        <f>IF(B235="","",IFERROR(INDEX('Content Calendar'!$J$5:$J$604,MATCH(B235,'Content Calendar'!$A$5:$A$604,0)),"Not found"))</f>
        <v>0</v>
      </c>
      <c r="I235" s="17">
        <f>IF(B235="","",IFERROR(INDEX('Content Calendar'!$L$5:$L$604,MATCH(B235,'Content Calendar'!$A$5:$A$604,0)),"Not found"))</f>
        <v>0</v>
      </c>
      <c r="J235" s="17">
        <f>IF(B235="","",IFERROR(INDEX('Content Calendar'!$P$5:$P$604,MATCH(B235,'Content Calendar'!$A$5:$A$604,0)),"Not found"))</f>
        <v>0</v>
      </c>
      <c r="K235" s="17">
        <f>IF(B235="","",IFERROR(INDEX('Content Calendar'!$O$5:$O$604,MATCH(B235,'Content Calendar'!$A$5:$A$604,0)),"Not found"))</f>
        <v>0</v>
      </c>
      <c r="L235" s="17">
        <f>IF(B235="","",IFERROR(INDEX('Content Calendar'!$N$5:$N$604,MATCH(B235,'Content Calendar'!$A$5:$A$604,0)),"Not found"))</f>
        <v>0</v>
      </c>
      <c r="M235" s="17">
        <f>IF(B235="","",IFERROR(INDEX('Content Calendar'!$C$5:$C$604,MATCH(B235,'Content Calendar'!$A$5:$A$604,0)),"Not found"))</f>
        <v>0</v>
      </c>
      <c r="N235" s="17">
        <f>IF(B235="","",IFERROR(INDEX('Content Calendar'!$F$5:$F$604,MATCH(B235,'Content Calendar'!$A$5:$A$604,0)),"Not found"))</f>
        <v>0</v>
      </c>
      <c r="Z235" s="23">
        <f>IF(O235="","",N(Q235)+N(R235)+N(S235)+N(T235))</f>
        <v>0</v>
      </c>
      <c r="AA235" s="24">
        <f>IF(OR(O235="",O235=0),"",Z235/O235)</f>
        <v>0</v>
      </c>
      <c r="AB235" s="24">
        <f>IF(OR(O235="",O235=0),"",N(T235)/O235)</f>
        <v>0</v>
      </c>
      <c r="AC235" s="24">
        <f>IF(OR(O235="",O235=0),"",N(S235)/O235)</f>
        <v>0</v>
      </c>
      <c r="AD235" s="24">
        <f>IF(OR(O235="",O235=0),"",N(R235)/O235)</f>
        <v>0</v>
      </c>
      <c r="AE235" s="24">
        <f>IF(OR(O235="",O235=0),"",N(U235)/O235)</f>
        <v>0</v>
      </c>
      <c r="AF235" s="24">
        <f>IF(OR(U235="",U235=0),"",N(W235)/U235)</f>
        <v>0</v>
      </c>
      <c r="AG235" s="25">
        <f>IF(OR(O235="",O235=0),"",N(X235)/(O235/1000))</f>
        <v>0</v>
      </c>
      <c r="AH235" s="24">
        <f>IF(O235="","",IF(Y235="",TargetEngagement,Y235))</f>
        <v>0</v>
      </c>
      <c r="AI235" s="24">
        <f>IF(OR(AA235="",AH235=""),"",AA235-AH235)</f>
        <v>0</v>
      </c>
      <c r="AJ235" s="31">
        <f>IF(AA235="","",AA235+ROW()/1000000)</f>
        <v>0</v>
      </c>
      <c r="AK235" s="23">
        <f>IF(AA235="","",RANK(AJ235,Performance!$AJ$5:$AJ$404))</f>
        <v>0</v>
      </c>
      <c r="AL235" s="29">
        <f>IF(AA235="","",IF(AA235&gt;=AH235*1.5,"Top performer",IF(AA235&gt;=AH235,"Above target",IF(AA235&gt;=AH235*0.6,"Below target","Weak - review it"))))</f>
        <v>0</v>
      </c>
      <c r="AM235" s="29">
        <f>IF(B235="","",IF(COUNTIF(Performance!$B$5:$B$404,B235)&gt;1,"Duplicate","OK"))</f>
        <v>0</v>
      </c>
      <c r="AN235" s="29">
        <f>IF(B235="","",IF(C235="Not found","Check - content ID not on the calendar",IF(O235="","Add - no numbers entered yet",IF(AM235="Duplicate","Duplicate - this post is entered twice",IF(AL235="Top performer","Repurpose this one","OK")))))</f>
        <v>0</v>
      </c>
    </row>
    <row r="236" spans="1:40">
      <c r="A236" s="41">
        <f>IF(B236="","","PF-"&amp;TEXT(ROW()-4,"0000"))</f>
        <v>0</v>
      </c>
      <c r="C236" s="17">
        <f>IF(B236="","",IFERROR(INDEX('Content Calendar'!$H$5:$H$604,MATCH(B236,'Content Calendar'!$A$5:$A$604,0)),"Not found"))</f>
        <v>0</v>
      </c>
      <c r="D236" s="16">
        <f>IF(B236="","",IFERROR(INDEX('Content Calendar'!$B$5:$B$604,MATCH(B236,'Content Calendar'!$A$5:$A$604,0)),"Not found"))</f>
        <v>0</v>
      </c>
      <c r="E236" s="17">
        <f>IF(B236="","",IFERROR(INDEX('Content Calendar'!$D$5:$D$604,MATCH(B236,'Content Calendar'!$A$5:$A$604,0)),"Not found"))</f>
        <v>0</v>
      </c>
      <c r="F236" s="17">
        <f>IF(B236="","",IFERROR(INDEX('Content Calendar'!$G$5:$G$604,MATCH(B236,'Content Calendar'!$A$5:$A$604,0)),"Not found"))</f>
        <v>0</v>
      </c>
      <c r="G236" s="17">
        <f>IF(B236="","",IFERROR(INDEX('Content Calendar'!$K$5:$K$604,MATCH(B236,'Content Calendar'!$A$5:$A$604,0)),"Not found"))</f>
        <v>0</v>
      </c>
      <c r="H236" s="17">
        <f>IF(B236="","",IFERROR(INDEX('Content Calendar'!$J$5:$J$604,MATCH(B236,'Content Calendar'!$A$5:$A$604,0)),"Not found"))</f>
        <v>0</v>
      </c>
      <c r="I236" s="17">
        <f>IF(B236="","",IFERROR(INDEX('Content Calendar'!$L$5:$L$604,MATCH(B236,'Content Calendar'!$A$5:$A$604,0)),"Not found"))</f>
        <v>0</v>
      </c>
      <c r="J236" s="17">
        <f>IF(B236="","",IFERROR(INDEX('Content Calendar'!$P$5:$P$604,MATCH(B236,'Content Calendar'!$A$5:$A$604,0)),"Not found"))</f>
        <v>0</v>
      </c>
      <c r="K236" s="17">
        <f>IF(B236="","",IFERROR(INDEX('Content Calendar'!$O$5:$O$604,MATCH(B236,'Content Calendar'!$A$5:$A$604,0)),"Not found"))</f>
        <v>0</v>
      </c>
      <c r="L236" s="17">
        <f>IF(B236="","",IFERROR(INDEX('Content Calendar'!$N$5:$N$604,MATCH(B236,'Content Calendar'!$A$5:$A$604,0)),"Not found"))</f>
        <v>0</v>
      </c>
      <c r="M236" s="17">
        <f>IF(B236="","",IFERROR(INDEX('Content Calendar'!$C$5:$C$604,MATCH(B236,'Content Calendar'!$A$5:$A$604,0)),"Not found"))</f>
        <v>0</v>
      </c>
      <c r="N236" s="17">
        <f>IF(B236="","",IFERROR(INDEX('Content Calendar'!$F$5:$F$604,MATCH(B236,'Content Calendar'!$A$5:$A$604,0)),"Not found"))</f>
        <v>0</v>
      </c>
      <c r="Z236" s="23">
        <f>IF(O236="","",N(Q236)+N(R236)+N(S236)+N(T236))</f>
        <v>0</v>
      </c>
      <c r="AA236" s="24">
        <f>IF(OR(O236="",O236=0),"",Z236/O236)</f>
        <v>0</v>
      </c>
      <c r="AB236" s="24">
        <f>IF(OR(O236="",O236=0),"",N(T236)/O236)</f>
        <v>0</v>
      </c>
      <c r="AC236" s="24">
        <f>IF(OR(O236="",O236=0),"",N(S236)/O236)</f>
        <v>0</v>
      </c>
      <c r="AD236" s="24">
        <f>IF(OR(O236="",O236=0),"",N(R236)/O236)</f>
        <v>0</v>
      </c>
      <c r="AE236" s="24">
        <f>IF(OR(O236="",O236=0),"",N(U236)/O236)</f>
        <v>0</v>
      </c>
      <c r="AF236" s="24">
        <f>IF(OR(U236="",U236=0),"",N(W236)/U236)</f>
        <v>0</v>
      </c>
      <c r="AG236" s="25">
        <f>IF(OR(O236="",O236=0),"",N(X236)/(O236/1000))</f>
        <v>0</v>
      </c>
      <c r="AH236" s="24">
        <f>IF(O236="","",IF(Y236="",TargetEngagement,Y236))</f>
        <v>0</v>
      </c>
      <c r="AI236" s="24">
        <f>IF(OR(AA236="",AH236=""),"",AA236-AH236)</f>
        <v>0</v>
      </c>
      <c r="AJ236" s="31">
        <f>IF(AA236="","",AA236+ROW()/1000000)</f>
        <v>0</v>
      </c>
      <c r="AK236" s="23">
        <f>IF(AA236="","",RANK(AJ236,Performance!$AJ$5:$AJ$404))</f>
        <v>0</v>
      </c>
      <c r="AL236" s="29">
        <f>IF(AA236="","",IF(AA236&gt;=AH236*1.5,"Top performer",IF(AA236&gt;=AH236,"Above target",IF(AA236&gt;=AH236*0.6,"Below target","Weak - review it"))))</f>
        <v>0</v>
      </c>
      <c r="AM236" s="29">
        <f>IF(B236="","",IF(COUNTIF(Performance!$B$5:$B$404,B236)&gt;1,"Duplicate","OK"))</f>
        <v>0</v>
      </c>
      <c r="AN236" s="29">
        <f>IF(B236="","",IF(C236="Not found","Check - content ID not on the calendar",IF(O236="","Add - no numbers entered yet",IF(AM236="Duplicate","Duplicate - this post is entered twice",IF(AL236="Top performer","Repurpose this one","OK")))))</f>
        <v>0</v>
      </c>
    </row>
    <row r="237" spans="1:40">
      <c r="A237" s="41">
        <f>IF(B237="","","PF-"&amp;TEXT(ROW()-4,"0000"))</f>
        <v>0</v>
      </c>
      <c r="C237" s="17">
        <f>IF(B237="","",IFERROR(INDEX('Content Calendar'!$H$5:$H$604,MATCH(B237,'Content Calendar'!$A$5:$A$604,0)),"Not found"))</f>
        <v>0</v>
      </c>
      <c r="D237" s="16">
        <f>IF(B237="","",IFERROR(INDEX('Content Calendar'!$B$5:$B$604,MATCH(B237,'Content Calendar'!$A$5:$A$604,0)),"Not found"))</f>
        <v>0</v>
      </c>
      <c r="E237" s="17">
        <f>IF(B237="","",IFERROR(INDEX('Content Calendar'!$D$5:$D$604,MATCH(B237,'Content Calendar'!$A$5:$A$604,0)),"Not found"))</f>
        <v>0</v>
      </c>
      <c r="F237" s="17">
        <f>IF(B237="","",IFERROR(INDEX('Content Calendar'!$G$5:$G$604,MATCH(B237,'Content Calendar'!$A$5:$A$604,0)),"Not found"))</f>
        <v>0</v>
      </c>
      <c r="G237" s="17">
        <f>IF(B237="","",IFERROR(INDEX('Content Calendar'!$K$5:$K$604,MATCH(B237,'Content Calendar'!$A$5:$A$604,0)),"Not found"))</f>
        <v>0</v>
      </c>
      <c r="H237" s="17">
        <f>IF(B237="","",IFERROR(INDEX('Content Calendar'!$J$5:$J$604,MATCH(B237,'Content Calendar'!$A$5:$A$604,0)),"Not found"))</f>
        <v>0</v>
      </c>
      <c r="I237" s="17">
        <f>IF(B237="","",IFERROR(INDEX('Content Calendar'!$L$5:$L$604,MATCH(B237,'Content Calendar'!$A$5:$A$604,0)),"Not found"))</f>
        <v>0</v>
      </c>
      <c r="J237" s="17">
        <f>IF(B237="","",IFERROR(INDEX('Content Calendar'!$P$5:$P$604,MATCH(B237,'Content Calendar'!$A$5:$A$604,0)),"Not found"))</f>
        <v>0</v>
      </c>
      <c r="K237" s="17">
        <f>IF(B237="","",IFERROR(INDEX('Content Calendar'!$O$5:$O$604,MATCH(B237,'Content Calendar'!$A$5:$A$604,0)),"Not found"))</f>
        <v>0</v>
      </c>
      <c r="L237" s="17">
        <f>IF(B237="","",IFERROR(INDEX('Content Calendar'!$N$5:$N$604,MATCH(B237,'Content Calendar'!$A$5:$A$604,0)),"Not found"))</f>
        <v>0</v>
      </c>
      <c r="M237" s="17">
        <f>IF(B237="","",IFERROR(INDEX('Content Calendar'!$C$5:$C$604,MATCH(B237,'Content Calendar'!$A$5:$A$604,0)),"Not found"))</f>
        <v>0</v>
      </c>
      <c r="N237" s="17">
        <f>IF(B237="","",IFERROR(INDEX('Content Calendar'!$F$5:$F$604,MATCH(B237,'Content Calendar'!$A$5:$A$604,0)),"Not found"))</f>
        <v>0</v>
      </c>
      <c r="Z237" s="23">
        <f>IF(O237="","",N(Q237)+N(R237)+N(S237)+N(T237))</f>
        <v>0</v>
      </c>
      <c r="AA237" s="24">
        <f>IF(OR(O237="",O237=0),"",Z237/O237)</f>
        <v>0</v>
      </c>
      <c r="AB237" s="24">
        <f>IF(OR(O237="",O237=0),"",N(T237)/O237)</f>
        <v>0</v>
      </c>
      <c r="AC237" s="24">
        <f>IF(OR(O237="",O237=0),"",N(S237)/O237)</f>
        <v>0</v>
      </c>
      <c r="AD237" s="24">
        <f>IF(OR(O237="",O237=0),"",N(R237)/O237)</f>
        <v>0</v>
      </c>
      <c r="AE237" s="24">
        <f>IF(OR(O237="",O237=0),"",N(U237)/O237)</f>
        <v>0</v>
      </c>
      <c r="AF237" s="24">
        <f>IF(OR(U237="",U237=0),"",N(W237)/U237)</f>
        <v>0</v>
      </c>
      <c r="AG237" s="25">
        <f>IF(OR(O237="",O237=0),"",N(X237)/(O237/1000))</f>
        <v>0</v>
      </c>
      <c r="AH237" s="24">
        <f>IF(O237="","",IF(Y237="",TargetEngagement,Y237))</f>
        <v>0</v>
      </c>
      <c r="AI237" s="24">
        <f>IF(OR(AA237="",AH237=""),"",AA237-AH237)</f>
        <v>0</v>
      </c>
      <c r="AJ237" s="31">
        <f>IF(AA237="","",AA237+ROW()/1000000)</f>
        <v>0</v>
      </c>
      <c r="AK237" s="23">
        <f>IF(AA237="","",RANK(AJ237,Performance!$AJ$5:$AJ$404))</f>
        <v>0</v>
      </c>
      <c r="AL237" s="29">
        <f>IF(AA237="","",IF(AA237&gt;=AH237*1.5,"Top performer",IF(AA237&gt;=AH237,"Above target",IF(AA237&gt;=AH237*0.6,"Below target","Weak - review it"))))</f>
        <v>0</v>
      </c>
      <c r="AM237" s="29">
        <f>IF(B237="","",IF(COUNTIF(Performance!$B$5:$B$404,B237)&gt;1,"Duplicate","OK"))</f>
        <v>0</v>
      </c>
      <c r="AN237" s="29">
        <f>IF(B237="","",IF(C237="Not found","Check - content ID not on the calendar",IF(O237="","Add - no numbers entered yet",IF(AM237="Duplicate","Duplicate - this post is entered twice",IF(AL237="Top performer","Repurpose this one","OK")))))</f>
        <v>0</v>
      </c>
    </row>
    <row r="238" spans="1:40">
      <c r="A238" s="41">
        <f>IF(B238="","","PF-"&amp;TEXT(ROW()-4,"0000"))</f>
        <v>0</v>
      </c>
      <c r="C238" s="17">
        <f>IF(B238="","",IFERROR(INDEX('Content Calendar'!$H$5:$H$604,MATCH(B238,'Content Calendar'!$A$5:$A$604,0)),"Not found"))</f>
        <v>0</v>
      </c>
      <c r="D238" s="16">
        <f>IF(B238="","",IFERROR(INDEX('Content Calendar'!$B$5:$B$604,MATCH(B238,'Content Calendar'!$A$5:$A$604,0)),"Not found"))</f>
        <v>0</v>
      </c>
      <c r="E238" s="17">
        <f>IF(B238="","",IFERROR(INDEX('Content Calendar'!$D$5:$D$604,MATCH(B238,'Content Calendar'!$A$5:$A$604,0)),"Not found"))</f>
        <v>0</v>
      </c>
      <c r="F238" s="17">
        <f>IF(B238="","",IFERROR(INDEX('Content Calendar'!$G$5:$G$604,MATCH(B238,'Content Calendar'!$A$5:$A$604,0)),"Not found"))</f>
        <v>0</v>
      </c>
      <c r="G238" s="17">
        <f>IF(B238="","",IFERROR(INDEX('Content Calendar'!$K$5:$K$604,MATCH(B238,'Content Calendar'!$A$5:$A$604,0)),"Not found"))</f>
        <v>0</v>
      </c>
      <c r="H238" s="17">
        <f>IF(B238="","",IFERROR(INDEX('Content Calendar'!$J$5:$J$604,MATCH(B238,'Content Calendar'!$A$5:$A$604,0)),"Not found"))</f>
        <v>0</v>
      </c>
      <c r="I238" s="17">
        <f>IF(B238="","",IFERROR(INDEX('Content Calendar'!$L$5:$L$604,MATCH(B238,'Content Calendar'!$A$5:$A$604,0)),"Not found"))</f>
        <v>0</v>
      </c>
      <c r="J238" s="17">
        <f>IF(B238="","",IFERROR(INDEX('Content Calendar'!$P$5:$P$604,MATCH(B238,'Content Calendar'!$A$5:$A$604,0)),"Not found"))</f>
        <v>0</v>
      </c>
      <c r="K238" s="17">
        <f>IF(B238="","",IFERROR(INDEX('Content Calendar'!$O$5:$O$604,MATCH(B238,'Content Calendar'!$A$5:$A$604,0)),"Not found"))</f>
        <v>0</v>
      </c>
      <c r="L238" s="17">
        <f>IF(B238="","",IFERROR(INDEX('Content Calendar'!$N$5:$N$604,MATCH(B238,'Content Calendar'!$A$5:$A$604,0)),"Not found"))</f>
        <v>0</v>
      </c>
      <c r="M238" s="17">
        <f>IF(B238="","",IFERROR(INDEX('Content Calendar'!$C$5:$C$604,MATCH(B238,'Content Calendar'!$A$5:$A$604,0)),"Not found"))</f>
        <v>0</v>
      </c>
      <c r="N238" s="17">
        <f>IF(B238="","",IFERROR(INDEX('Content Calendar'!$F$5:$F$604,MATCH(B238,'Content Calendar'!$A$5:$A$604,0)),"Not found"))</f>
        <v>0</v>
      </c>
      <c r="Z238" s="23">
        <f>IF(O238="","",N(Q238)+N(R238)+N(S238)+N(T238))</f>
        <v>0</v>
      </c>
      <c r="AA238" s="24">
        <f>IF(OR(O238="",O238=0),"",Z238/O238)</f>
        <v>0</v>
      </c>
      <c r="AB238" s="24">
        <f>IF(OR(O238="",O238=0),"",N(T238)/O238)</f>
        <v>0</v>
      </c>
      <c r="AC238" s="24">
        <f>IF(OR(O238="",O238=0),"",N(S238)/O238)</f>
        <v>0</v>
      </c>
      <c r="AD238" s="24">
        <f>IF(OR(O238="",O238=0),"",N(R238)/O238)</f>
        <v>0</v>
      </c>
      <c r="AE238" s="24">
        <f>IF(OR(O238="",O238=0),"",N(U238)/O238)</f>
        <v>0</v>
      </c>
      <c r="AF238" s="24">
        <f>IF(OR(U238="",U238=0),"",N(W238)/U238)</f>
        <v>0</v>
      </c>
      <c r="AG238" s="25">
        <f>IF(OR(O238="",O238=0),"",N(X238)/(O238/1000))</f>
        <v>0</v>
      </c>
      <c r="AH238" s="24">
        <f>IF(O238="","",IF(Y238="",TargetEngagement,Y238))</f>
        <v>0</v>
      </c>
      <c r="AI238" s="24">
        <f>IF(OR(AA238="",AH238=""),"",AA238-AH238)</f>
        <v>0</v>
      </c>
      <c r="AJ238" s="31">
        <f>IF(AA238="","",AA238+ROW()/1000000)</f>
        <v>0</v>
      </c>
      <c r="AK238" s="23">
        <f>IF(AA238="","",RANK(AJ238,Performance!$AJ$5:$AJ$404))</f>
        <v>0</v>
      </c>
      <c r="AL238" s="29">
        <f>IF(AA238="","",IF(AA238&gt;=AH238*1.5,"Top performer",IF(AA238&gt;=AH238,"Above target",IF(AA238&gt;=AH238*0.6,"Below target","Weak - review it"))))</f>
        <v>0</v>
      </c>
      <c r="AM238" s="29">
        <f>IF(B238="","",IF(COUNTIF(Performance!$B$5:$B$404,B238)&gt;1,"Duplicate","OK"))</f>
        <v>0</v>
      </c>
      <c r="AN238" s="29">
        <f>IF(B238="","",IF(C238="Not found","Check - content ID not on the calendar",IF(O238="","Add - no numbers entered yet",IF(AM238="Duplicate","Duplicate - this post is entered twice",IF(AL238="Top performer","Repurpose this one","OK")))))</f>
        <v>0</v>
      </c>
    </row>
    <row r="239" spans="1:40">
      <c r="A239" s="41">
        <f>IF(B239="","","PF-"&amp;TEXT(ROW()-4,"0000"))</f>
        <v>0</v>
      </c>
      <c r="C239" s="17">
        <f>IF(B239="","",IFERROR(INDEX('Content Calendar'!$H$5:$H$604,MATCH(B239,'Content Calendar'!$A$5:$A$604,0)),"Not found"))</f>
        <v>0</v>
      </c>
      <c r="D239" s="16">
        <f>IF(B239="","",IFERROR(INDEX('Content Calendar'!$B$5:$B$604,MATCH(B239,'Content Calendar'!$A$5:$A$604,0)),"Not found"))</f>
        <v>0</v>
      </c>
      <c r="E239" s="17">
        <f>IF(B239="","",IFERROR(INDEX('Content Calendar'!$D$5:$D$604,MATCH(B239,'Content Calendar'!$A$5:$A$604,0)),"Not found"))</f>
        <v>0</v>
      </c>
      <c r="F239" s="17">
        <f>IF(B239="","",IFERROR(INDEX('Content Calendar'!$G$5:$G$604,MATCH(B239,'Content Calendar'!$A$5:$A$604,0)),"Not found"))</f>
        <v>0</v>
      </c>
      <c r="G239" s="17">
        <f>IF(B239="","",IFERROR(INDEX('Content Calendar'!$K$5:$K$604,MATCH(B239,'Content Calendar'!$A$5:$A$604,0)),"Not found"))</f>
        <v>0</v>
      </c>
      <c r="H239" s="17">
        <f>IF(B239="","",IFERROR(INDEX('Content Calendar'!$J$5:$J$604,MATCH(B239,'Content Calendar'!$A$5:$A$604,0)),"Not found"))</f>
        <v>0</v>
      </c>
      <c r="I239" s="17">
        <f>IF(B239="","",IFERROR(INDEX('Content Calendar'!$L$5:$L$604,MATCH(B239,'Content Calendar'!$A$5:$A$604,0)),"Not found"))</f>
        <v>0</v>
      </c>
      <c r="J239" s="17">
        <f>IF(B239="","",IFERROR(INDEX('Content Calendar'!$P$5:$P$604,MATCH(B239,'Content Calendar'!$A$5:$A$604,0)),"Not found"))</f>
        <v>0</v>
      </c>
      <c r="K239" s="17">
        <f>IF(B239="","",IFERROR(INDEX('Content Calendar'!$O$5:$O$604,MATCH(B239,'Content Calendar'!$A$5:$A$604,0)),"Not found"))</f>
        <v>0</v>
      </c>
      <c r="L239" s="17">
        <f>IF(B239="","",IFERROR(INDEX('Content Calendar'!$N$5:$N$604,MATCH(B239,'Content Calendar'!$A$5:$A$604,0)),"Not found"))</f>
        <v>0</v>
      </c>
      <c r="M239" s="17">
        <f>IF(B239="","",IFERROR(INDEX('Content Calendar'!$C$5:$C$604,MATCH(B239,'Content Calendar'!$A$5:$A$604,0)),"Not found"))</f>
        <v>0</v>
      </c>
      <c r="N239" s="17">
        <f>IF(B239="","",IFERROR(INDEX('Content Calendar'!$F$5:$F$604,MATCH(B239,'Content Calendar'!$A$5:$A$604,0)),"Not found"))</f>
        <v>0</v>
      </c>
      <c r="Z239" s="23">
        <f>IF(O239="","",N(Q239)+N(R239)+N(S239)+N(T239))</f>
        <v>0</v>
      </c>
      <c r="AA239" s="24">
        <f>IF(OR(O239="",O239=0),"",Z239/O239)</f>
        <v>0</v>
      </c>
      <c r="AB239" s="24">
        <f>IF(OR(O239="",O239=0),"",N(T239)/O239)</f>
        <v>0</v>
      </c>
      <c r="AC239" s="24">
        <f>IF(OR(O239="",O239=0),"",N(S239)/O239)</f>
        <v>0</v>
      </c>
      <c r="AD239" s="24">
        <f>IF(OR(O239="",O239=0),"",N(R239)/O239)</f>
        <v>0</v>
      </c>
      <c r="AE239" s="24">
        <f>IF(OR(O239="",O239=0),"",N(U239)/O239)</f>
        <v>0</v>
      </c>
      <c r="AF239" s="24">
        <f>IF(OR(U239="",U239=0),"",N(W239)/U239)</f>
        <v>0</v>
      </c>
      <c r="AG239" s="25">
        <f>IF(OR(O239="",O239=0),"",N(X239)/(O239/1000))</f>
        <v>0</v>
      </c>
      <c r="AH239" s="24">
        <f>IF(O239="","",IF(Y239="",TargetEngagement,Y239))</f>
        <v>0</v>
      </c>
      <c r="AI239" s="24">
        <f>IF(OR(AA239="",AH239=""),"",AA239-AH239)</f>
        <v>0</v>
      </c>
      <c r="AJ239" s="31">
        <f>IF(AA239="","",AA239+ROW()/1000000)</f>
        <v>0</v>
      </c>
      <c r="AK239" s="23">
        <f>IF(AA239="","",RANK(AJ239,Performance!$AJ$5:$AJ$404))</f>
        <v>0</v>
      </c>
      <c r="AL239" s="29">
        <f>IF(AA239="","",IF(AA239&gt;=AH239*1.5,"Top performer",IF(AA239&gt;=AH239,"Above target",IF(AA239&gt;=AH239*0.6,"Below target","Weak - review it"))))</f>
        <v>0</v>
      </c>
      <c r="AM239" s="29">
        <f>IF(B239="","",IF(COUNTIF(Performance!$B$5:$B$404,B239)&gt;1,"Duplicate","OK"))</f>
        <v>0</v>
      </c>
      <c r="AN239" s="29">
        <f>IF(B239="","",IF(C239="Not found","Check - content ID not on the calendar",IF(O239="","Add - no numbers entered yet",IF(AM239="Duplicate","Duplicate - this post is entered twice",IF(AL239="Top performer","Repurpose this one","OK")))))</f>
        <v>0</v>
      </c>
    </row>
    <row r="240" spans="1:40">
      <c r="A240" s="41">
        <f>IF(B240="","","PF-"&amp;TEXT(ROW()-4,"0000"))</f>
        <v>0</v>
      </c>
      <c r="C240" s="17">
        <f>IF(B240="","",IFERROR(INDEX('Content Calendar'!$H$5:$H$604,MATCH(B240,'Content Calendar'!$A$5:$A$604,0)),"Not found"))</f>
        <v>0</v>
      </c>
      <c r="D240" s="16">
        <f>IF(B240="","",IFERROR(INDEX('Content Calendar'!$B$5:$B$604,MATCH(B240,'Content Calendar'!$A$5:$A$604,0)),"Not found"))</f>
        <v>0</v>
      </c>
      <c r="E240" s="17">
        <f>IF(B240="","",IFERROR(INDEX('Content Calendar'!$D$5:$D$604,MATCH(B240,'Content Calendar'!$A$5:$A$604,0)),"Not found"))</f>
        <v>0</v>
      </c>
      <c r="F240" s="17">
        <f>IF(B240="","",IFERROR(INDEX('Content Calendar'!$G$5:$G$604,MATCH(B240,'Content Calendar'!$A$5:$A$604,0)),"Not found"))</f>
        <v>0</v>
      </c>
      <c r="G240" s="17">
        <f>IF(B240="","",IFERROR(INDEX('Content Calendar'!$K$5:$K$604,MATCH(B240,'Content Calendar'!$A$5:$A$604,0)),"Not found"))</f>
        <v>0</v>
      </c>
      <c r="H240" s="17">
        <f>IF(B240="","",IFERROR(INDEX('Content Calendar'!$J$5:$J$604,MATCH(B240,'Content Calendar'!$A$5:$A$604,0)),"Not found"))</f>
        <v>0</v>
      </c>
      <c r="I240" s="17">
        <f>IF(B240="","",IFERROR(INDEX('Content Calendar'!$L$5:$L$604,MATCH(B240,'Content Calendar'!$A$5:$A$604,0)),"Not found"))</f>
        <v>0</v>
      </c>
      <c r="J240" s="17">
        <f>IF(B240="","",IFERROR(INDEX('Content Calendar'!$P$5:$P$604,MATCH(B240,'Content Calendar'!$A$5:$A$604,0)),"Not found"))</f>
        <v>0</v>
      </c>
      <c r="K240" s="17">
        <f>IF(B240="","",IFERROR(INDEX('Content Calendar'!$O$5:$O$604,MATCH(B240,'Content Calendar'!$A$5:$A$604,0)),"Not found"))</f>
        <v>0</v>
      </c>
      <c r="L240" s="17">
        <f>IF(B240="","",IFERROR(INDEX('Content Calendar'!$N$5:$N$604,MATCH(B240,'Content Calendar'!$A$5:$A$604,0)),"Not found"))</f>
        <v>0</v>
      </c>
      <c r="M240" s="17">
        <f>IF(B240="","",IFERROR(INDEX('Content Calendar'!$C$5:$C$604,MATCH(B240,'Content Calendar'!$A$5:$A$604,0)),"Not found"))</f>
        <v>0</v>
      </c>
      <c r="N240" s="17">
        <f>IF(B240="","",IFERROR(INDEX('Content Calendar'!$F$5:$F$604,MATCH(B240,'Content Calendar'!$A$5:$A$604,0)),"Not found"))</f>
        <v>0</v>
      </c>
      <c r="Z240" s="23">
        <f>IF(O240="","",N(Q240)+N(R240)+N(S240)+N(T240))</f>
        <v>0</v>
      </c>
      <c r="AA240" s="24">
        <f>IF(OR(O240="",O240=0),"",Z240/O240)</f>
        <v>0</v>
      </c>
      <c r="AB240" s="24">
        <f>IF(OR(O240="",O240=0),"",N(T240)/O240)</f>
        <v>0</v>
      </c>
      <c r="AC240" s="24">
        <f>IF(OR(O240="",O240=0),"",N(S240)/O240)</f>
        <v>0</v>
      </c>
      <c r="AD240" s="24">
        <f>IF(OR(O240="",O240=0),"",N(R240)/O240)</f>
        <v>0</v>
      </c>
      <c r="AE240" s="24">
        <f>IF(OR(O240="",O240=0),"",N(U240)/O240)</f>
        <v>0</v>
      </c>
      <c r="AF240" s="24">
        <f>IF(OR(U240="",U240=0),"",N(W240)/U240)</f>
        <v>0</v>
      </c>
      <c r="AG240" s="25">
        <f>IF(OR(O240="",O240=0),"",N(X240)/(O240/1000))</f>
        <v>0</v>
      </c>
      <c r="AH240" s="24">
        <f>IF(O240="","",IF(Y240="",TargetEngagement,Y240))</f>
        <v>0</v>
      </c>
      <c r="AI240" s="24">
        <f>IF(OR(AA240="",AH240=""),"",AA240-AH240)</f>
        <v>0</v>
      </c>
      <c r="AJ240" s="31">
        <f>IF(AA240="","",AA240+ROW()/1000000)</f>
        <v>0</v>
      </c>
      <c r="AK240" s="23">
        <f>IF(AA240="","",RANK(AJ240,Performance!$AJ$5:$AJ$404))</f>
        <v>0</v>
      </c>
      <c r="AL240" s="29">
        <f>IF(AA240="","",IF(AA240&gt;=AH240*1.5,"Top performer",IF(AA240&gt;=AH240,"Above target",IF(AA240&gt;=AH240*0.6,"Below target","Weak - review it"))))</f>
        <v>0</v>
      </c>
      <c r="AM240" s="29">
        <f>IF(B240="","",IF(COUNTIF(Performance!$B$5:$B$404,B240)&gt;1,"Duplicate","OK"))</f>
        <v>0</v>
      </c>
      <c r="AN240" s="29">
        <f>IF(B240="","",IF(C240="Not found","Check - content ID not on the calendar",IF(O240="","Add - no numbers entered yet",IF(AM240="Duplicate","Duplicate - this post is entered twice",IF(AL240="Top performer","Repurpose this one","OK")))))</f>
        <v>0</v>
      </c>
    </row>
    <row r="241" spans="1:40">
      <c r="A241" s="41">
        <f>IF(B241="","","PF-"&amp;TEXT(ROW()-4,"0000"))</f>
        <v>0</v>
      </c>
      <c r="C241" s="17">
        <f>IF(B241="","",IFERROR(INDEX('Content Calendar'!$H$5:$H$604,MATCH(B241,'Content Calendar'!$A$5:$A$604,0)),"Not found"))</f>
        <v>0</v>
      </c>
      <c r="D241" s="16">
        <f>IF(B241="","",IFERROR(INDEX('Content Calendar'!$B$5:$B$604,MATCH(B241,'Content Calendar'!$A$5:$A$604,0)),"Not found"))</f>
        <v>0</v>
      </c>
      <c r="E241" s="17">
        <f>IF(B241="","",IFERROR(INDEX('Content Calendar'!$D$5:$D$604,MATCH(B241,'Content Calendar'!$A$5:$A$604,0)),"Not found"))</f>
        <v>0</v>
      </c>
      <c r="F241" s="17">
        <f>IF(B241="","",IFERROR(INDEX('Content Calendar'!$G$5:$G$604,MATCH(B241,'Content Calendar'!$A$5:$A$604,0)),"Not found"))</f>
        <v>0</v>
      </c>
      <c r="G241" s="17">
        <f>IF(B241="","",IFERROR(INDEX('Content Calendar'!$K$5:$K$604,MATCH(B241,'Content Calendar'!$A$5:$A$604,0)),"Not found"))</f>
        <v>0</v>
      </c>
      <c r="H241" s="17">
        <f>IF(B241="","",IFERROR(INDEX('Content Calendar'!$J$5:$J$604,MATCH(B241,'Content Calendar'!$A$5:$A$604,0)),"Not found"))</f>
        <v>0</v>
      </c>
      <c r="I241" s="17">
        <f>IF(B241="","",IFERROR(INDEX('Content Calendar'!$L$5:$L$604,MATCH(B241,'Content Calendar'!$A$5:$A$604,0)),"Not found"))</f>
        <v>0</v>
      </c>
      <c r="J241" s="17">
        <f>IF(B241="","",IFERROR(INDEX('Content Calendar'!$P$5:$P$604,MATCH(B241,'Content Calendar'!$A$5:$A$604,0)),"Not found"))</f>
        <v>0</v>
      </c>
      <c r="K241" s="17">
        <f>IF(B241="","",IFERROR(INDEX('Content Calendar'!$O$5:$O$604,MATCH(B241,'Content Calendar'!$A$5:$A$604,0)),"Not found"))</f>
        <v>0</v>
      </c>
      <c r="L241" s="17">
        <f>IF(B241="","",IFERROR(INDEX('Content Calendar'!$N$5:$N$604,MATCH(B241,'Content Calendar'!$A$5:$A$604,0)),"Not found"))</f>
        <v>0</v>
      </c>
      <c r="M241" s="17">
        <f>IF(B241="","",IFERROR(INDEX('Content Calendar'!$C$5:$C$604,MATCH(B241,'Content Calendar'!$A$5:$A$604,0)),"Not found"))</f>
        <v>0</v>
      </c>
      <c r="N241" s="17">
        <f>IF(B241="","",IFERROR(INDEX('Content Calendar'!$F$5:$F$604,MATCH(B241,'Content Calendar'!$A$5:$A$604,0)),"Not found"))</f>
        <v>0</v>
      </c>
      <c r="Z241" s="23">
        <f>IF(O241="","",N(Q241)+N(R241)+N(S241)+N(T241))</f>
        <v>0</v>
      </c>
      <c r="AA241" s="24">
        <f>IF(OR(O241="",O241=0),"",Z241/O241)</f>
        <v>0</v>
      </c>
      <c r="AB241" s="24">
        <f>IF(OR(O241="",O241=0),"",N(T241)/O241)</f>
        <v>0</v>
      </c>
      <c r="AC241" s="24">
        <f>IF(OR(O241="",O241=0),"",N(S241)/O241)</f>
        <v>0</v>
      </c>
      <c r="AD241" s="24">
        <f>IF(OR(O241="",O241=0),"",N(R241)/O241)</f>
        <v>0</v>
      </c>
      <c r="AE241" s="24">
        <f>IF(OR(O241="",O241=0),"",N(U241)/O241)</f>
        <v>0</v>
      </c>
      <c r="AF241" s="24">
        <f>IF(OR(U241="",U241=0),"",N(W241)/U241)</f>
        <v>0</v>
      </c>
      <c r="AG241" s="25">
        <f>IF(OR(O241="",O241=0),"",N(X241)/(O241/1000))</f>
        <v>0</v>
      </c>
      <c r="AH241" s="24">
        <f>IF(O241="","",IF(Y241="",TargetEngagement,Y241))</f>
        <v>0</v>
      </c>
      <c r="AI241" s="24">
        <f>IF(OR(AA241="",AH241=""),"",AA241-AH241)</f>
        <v>0</v>
      </c>
      <c r="AJ241" s="31">
        <f>IF(AA241="","",AA241+ROW()/1000000)</f>
        <v>0</v>
      </c>
      <c r="AK241" s="23">
        <f>IF(AA241="","",RANK(AJ241,Performance!$AJ$5:$AJ$404))</f>
        <v>0</v>
      </c>
      <c r="AL241" s="29">
        <f>IF(AA241="","",IF(AA241&gt;=AH241*1.5,"Top performer",IF(AA241&gt;=AH241,"Above target",IF(AA241&gt;=AH241*0.6,"Below target","Weak - review it"))))</f>
        <v>0</v>
      </c>
      <c r="AM241" s="29">
        <f>IF(B241="","",IF(COUNTIF(Performance!$B$5:$B$404,B241)&gt;1,"Duplicate","OK"))</f>
        <v>0</v>
      </c>
      <c r="AN241" s="29">
        <f>IF(B241="","",IF(C241="Not found","Check - content ID not on the calendar",IF(O241="","Add - no numbers entered yet",IF(AM241="Duplicate","Duplicate - this post is entered twice",IF(AL241="Top performer","Repurpose this one","OK")))))</f>
        <v>0</v>
      </c>
    </row>
    <row r="242" spans="1:40">
      <c r="A242" s="41">
        <f>IF(B242="","","PF-"&amp;TEXT(ROW()-4,"0000"))</f>
        <v>0</v>
      </c>
      <c r="C242" s="17">
        <f>IF(B242="","",IFERROR(INDEX('Content Calendar'!$H$5:$H$604,MATCH(B242,'Content Calendar'!$A$5:$A$604,0)),"Not found"))</f>
        <v>0</v>
      </c>
      <c r="D242" s="16">
        <f>IF(B242="","",IFERROR(INDEX('Content Calendar'!$B$5:$B$604,MATCH(B242,'Content Calendar'!$A$5:$A$604,0)),"Not found"))</f>
        <v>0</v>
      </c>
      <c r="E242" s="17">
        <f>IF(B242="","",IFERROR(INDEX('Content Calendar'!$D$5:$D$604,MATCH(B242,'Content Calendar'!$A$5:$A$604,0)),"Not found"))</f>
        <v>0</v>
      </c>
      <c r="F242" s="17">
        <f>IF(B242="","",IFERROR(INDEX('Content Calendar'!$G$5:$G$604,MATCH(B242,'Content Calendar'!$A$5:$A$604,0)),"Not found"))</f>
        <v>0</v>
      </c>
      <c r="G242" s="17">
        <f>IF(B242="","",IFERROR(INDEX('Content Calendar'!$K$5:$K$604,MATCH(B242,'Content Calendar'!$A$5:$A$604,0)),"Not found"))</f>
        <v>0</v>
      </c>
      <c r="H242" s="17">
        <f>IF(B242="","",IFERROR(INDEX('Content Calendar'!$J$5:$J$604,MATCH(B242,'Content Calendar'!$A$5:$A$604,0)),"Not found"))</f>
        <v>0</v>
      </c>
      <c r="I242" s="17">
        <f>IF(B242="","",IFERROR(INDEX('Content Calendar'!$L$5:$L$604,MATCH(B242,'Content Calendar'!$A$5:$A$604,0)),"Not found"))</f>
        <v>0</v>
      </c>
      <c r="J242" s="17">
        <f>IF(B242="","",IFERROR(INDEX('Content Calendar'!$P$5:$P$604,MATCH(B242,'Content Calendar'!$A$5:$A$604,0)),"Not found"))</f>
        <v>0</v>
      </c>
      <c r="K242" s="17">
        <f>IF(B242="","",IFERROR(INDEX('Content Calendar'!$O$5:$O$604,MATCH(B242,'Content Calendar'!$A$5:$A$604,0)),"Not found"))</f>
        <v>0</v>
      </c>
      <c r="L242" s="17">
        <f>IF(B242="","",IFERROR(INDEX('Content Calendar'!$N$5:$N$604,MATCH(B242,'Content Calendar'!$A$5:$A$604,0)),"Not found"))</f>
        <v>0</v>
      </c>
      <c r="M242" s="17">
        <f>IF(B242="","",IFERROR(INDEX('Content Calendar'!$C$5:$C$604,MATCH(B242,'Content Calendar'!$A$5:$A$604,0)),"Not found"))</f>
        <v>0</v>
      </c>
      <c r="N242" s="17">
        <f>IF(B242="","",IFERROR(INDEX('Content Calendar'!$F$5:$F$604,MATCH(B242,'Content Calendar'!$A$5:$A$604,0)),"Not found"))</f>
        <v>0</v>
      </c>
      <c r="Z242" s="23">
        <f>IF(O242="","",N(Q242)+N(R242)+N(S242)+N(T242))</f>
        <v>0</v>
      </c>
      <c r="AA242" s="24">
        <f>IF(OR(O242="",O242=0),"",Z242/O242)</f>
        <v>0</v>
      </c>
      <c r="AB242" s="24">
        <f>IF(OR(O242="",O242=0),"",N(T242)/O242)</f>
        <v>0</v>
      </c>
      <c r="AC242" s="24">
        <f>IF(OR(O242="",O242=0),"",N(S242)/O242)</f>
        <v>0</v>
      </c>
      <c r="AD242" s="24">
        <f>IF(OR(O242="",O242=0),"",N(R242)/O242)</f>
        <v>0</v>
      </c>
      <c r="AE242" s="24">
        <f>IF(OR(O242="",O242=0),"",N(U242)/O242)</f>
        <v>0</v>
      </c>
      <c r="AF242" s="24">
        <f>IF(OR(U242="",U242=0),"",N(W242)/U242)</f>
        <v>0</v>
      </c>
      <c r="AG242" s="25">
        <f>IF(OR(O242="",O242=0),"",N(X242)/(O242/1000))</f>
        <v>0</v>
      </c>
      <c r="AH242" s="24">
        <f>IF(O242="","",IF(Y242="",TargetEngagement,Y242))</f>
        <v>0</v>
      </c>
      <c r="AI242" s="24">
        <f>IF(OR(AA242="",AH242=""),"",AA242-AH242)</f>
        <v>0</v>
      </c>
      <c r="AJ242" s="31">
        <f>IF(AA242="","",AA242+ROW()/1000000)</f>
        <v>0</v>
      </c>
      <c r="AK242" s="23">
        <f>IF(AA242="","",RANK(AJ242,Performance!$AJ$5:$AJ$404))</f>
        <v>0</v>
      </c>
      <c r="AL242" s="29">
        <f>IF(AA242="","",IF(AA242&gt;=AH242*1.5,"Top performer",IF(AA242&gt;=AH242,"Above target",IF(AA242&gt;=AH242*0.6,"Below target","Weak - review it"))))</f>
        <v>0</v>
      </c>
      <c r="AM242" s="29">
        <f>IF(B242="","",IF(COUNTIF(Performance!$B$5:$B$404,B242)&gt;1,"Duplicate","OK"))</f>
        <v>0</v>
      </c>
      <c r="AN242" s="29">
        <f>IF(B242="","",IF(C242="Not found","Check - content ID not on the calendar",IF(O242="","Add - no numbers entered yet",IF(AM242="Duplicate","Duplicate - this post is entered twice",IF(AL242="Top performer","Repurpose this one","OK")))))</f>
        <v>0</v>
      </c>
    </row>
    <row r="243" spans="1:40">
      <c r="A243" s="41">
        <f>IF(B243="","","PF-"&amp;TEXT(ROW()-4,"0000"))</f>
        <v>0</v>
      </c>
      <c r="C243" s="17">
        <f>IF(B243="","",IFERROR(INDEX('Content Calendar'!$H$5:$H$604,MATCH(B243,'Content Calendar'!$A$5:$A$604,0)),"Not found"))</f>
        <v>0</v>
      </c>
      <c r="D243" s="16">
        <f>IF(B243="","",IFERROR(INDEX('Content Calendar'!$B$5:$B$604,MATCH(B243,'Content Calendar'!$A$5:$A$604,0)),"Not found"))</f>
        <v>0</v>
      </c>
      <c r="E243" s="17">
        <f>IF(B243="","",IFERROR(INDEX('Content Calendar'!$D$5:$D$604,MATCH(B243,'Content Calendar'!$A$5:$A$604,0)),"Not found"))</f>
        <v>0</v>
      </c>
      <c r="F243" s="17">
        <f>IF(B243="","",IFERROR(INDEX('Content Calendar'!$G$5:$G$604,MATCH(B243,'Content Calendar'!$A$5:$A$604,0)),"Not found"))</f>
        <v>0</v>
      </c>
      <c r="G243" s="17">
        <f>IF(B243="","",IFERROR(INDEX('Content Calendar'!$K$5:$K$604,MATCH(B243,'Content Calendar'!$A$5:$A$604,0)),"Not found"))</f>
        <v>0</v>
      </c>
      <c r="H243" s="17">
        <f>IF(B243="","",IFERROR(INDEX('Content Calendar'!$J$5:$J$604,MATCH(B243,'Content Calendar'!$A$5:$A$604,0)),"Not found"))</f>
        <v>0</v>
      </c>
      <c r="I243" s="17">
        <f>IF(B243="","",IFERROR(INDEX('Content Calendar'!$L$5:$L$604,MATCH(B243,'Content Calendar'!$A$5:$A$604,0)),"Not found"))</f>
        <v>0</v>
      </c>
      <c r="J243" s="17">
        <f>IF(B243="","",IFERROR(INDEX('Content Calendar'!$P$5:$P$604,MATCH(B243,'Content Calendar'!$A$5:$A$604,0)),"Not found"))</f>
        <v>0</v>
      </c>
      <c r="K243" s="17">
        <f>IF(B243="","",IFERROR(INDEX('Content Calendar'!$O$5:$O$604,MATCH(B243,'Content Calendar'!$A$5:$A$604,0)),"Not found"))</f>
        <v>0</v>
      </c>
      <c r="L243" s="17">
        <f>IF(B243="","",IFERROR(INDEX('Content Calendar'!$N$5:$N$604,MATCH(B243,'Content Calendar'!$A$5:$A$604,0)),"Not found"))</f>
        <v>0</v>
      </c>
      <c r="M243" s="17">
        <f>IF(B243="","",IFERROR(INDEX('Content Calendar'!$C$5:$C$604,MATCH(B243,'Content Calendar'!$A$5:$A$604,0)),"Not found"))</f>
        <v>0</v>
      </c>
      <c r="N243" s="17">
        <f>IF(B243="","",IFERROR(INDEX('Content Calendar'!$F$5:$F$604,MATCH(B243,'Content Calendar'!$A$5:$A$604,0)),"Not found"))</f>
        <v>0</v>
      </c>
      <c r="Z243" s="23">
        <f>IF(O243="","",N(Q243)+N(R243)+N(S243)+N(T243))</f>
        <v>0</v>
      </c>
      <c r="AA243" s="24">
        <f>IF(OR(O243="",O243=0),"",Z243/O243)</f>
        <v>0</v>
      </c>
      <c r="AB243" s="24">
        <f>IF(OR(O243="",O243=0),"",N(T243)/O243)</f>
        <v>0</v>
      </c>
      <c r="AC243" s="24">
        <f>IF(OR(O243="",O243=0),"",N(S243)/O243)</f>
        <v>0</v>
      </c>
      <c r="AD243" s="24">
        <f>IF(OR(O243="",O243=0),"",N(R243)/O243)</f>
        <v>0</v>
      </c>
      <c r="AE243" s="24">
        <f>IF(OR(O243="",O243=0),"",N(U243)/O243)</f>
        <v>0</v>
      </c>
      <c r="AF243" s="24">
        <f>IF(OR(U243="",U243=0),"",N(W243)/U243)</f>
        <v>0</v>
      </c>
      <c r="AG243" s="25">
        <f>IF(OR(O243="",O243=0),"",N(X243)/(O243/1000))</f>
        <v>0</v>
      </c>
      <c r="AH243" s="24">
        <f>IF(O243="","",IF(Y243="",TargetEngagement,Y243))</f>
        <v>0</v>
      </c>
      <c r="AI243" s="24">
        <f>IF(OR(AA243="",AH243=""),"",AA243-AH243)</f>
        <v>0</v>
      </c>
      <c r="AJ243" s="31">
        <f>IF(AA243="","",AA243+ROW()/1000000)</f>
        <v>0</v>
      </c>
      <c r="AK243" s="23">
        <f>IF(AA243="","",RANK(AJ243,Performance!$AJ$5:$AJ$404))</f>
        <v>0</v>
      </c>
      <c r="AL243" s="29">
        <f>IF(AA243="","",IF(AA243&gt;=AH243*1.5,"Top performer",IF(AA243&gt;=AH243,"Above target",IF(AA243&gt;=AH243*0.6,"Below target","Weak - review it"))))</f>
        <v>0</v>
      </c>
      <c r="AM243" s="29">
        <f>IF(B243="","",IF(COUNTIF(Performance!$B$5:$B$404,B243)&gt;1,"Duplicate","OK"))</f>
        <v>0</v>
      </c>
      <c r="AN243" s="29">
        <f>IF(B243="","",IF(C243="Not found","Check - content ID not on the calendar",IF(O243="","Add - no numbers entered yet",IF(AM243="Duplicate","Duplicate - this post is entered twice",IF(AL243="Top performer","Repurpose this one","OK")))))</f>
        <v>0</v>
      </c>
    </row>
    <row r="244" spans="1:40">
      <c r="A244" s="41">
        <f>IF(B244="","","PF-"&amp;TEXT(ROW()-4,"0000"))</f>
        <v>0</v>
      </c>
      <c r="C244" s="17">
        <f>IF(B244="","",IFERROR(INDEX('Content Calendar'!$H$5:$H$604,MATCH(B244,'Content Calendar'!$A$5:$A$604,0)),"Not found"))</f>
        <v>0</v>
      </c>
      <c r="D244" s="16">
        <f>IF(B244="","",IFERROR(INDEX('Content Calendar'!$B$5:$B$604,MATCH(B244,'Content Calendar'!$A$5:$A$604,0)),"Not found"))</f>
        <v>0</v>
      </c>
      <c r="E244" s="17">
        <f>IF(B244="","",IFERROR(INDEX('Content Calendar'!$D$5:$D$604,MATCH(B244,'Content Calendar'!$A$5:$A$604,0)),"Not found"))</f>
        <v>0</v>
      </c>
      <c r="F244" s="17">
        <f>IF(B244="","",IFERROR(INDEX('Content Calendar'!$G$5:$G$604,MATCH(B244,'Content Calendar'!$A$5:$A$604,0)),"Not found"))</f>
        <v>0</v>
      </c>
      <c r="G244" s="17">
        <f>IF(B244="","",IFERROR(INDEX('Content Calendar'!$K$5:$K$604,MATCH(B244,'Content Calendar'!$A$5:$A$604,0)),"Not found"))</f>
        <v>0</v>
      </c>
      <c r="H244" s="17">
        <f>IF(B244="","",IFERROR(INDEX('Content Calendar'!$J$5:$J$604,MATCH(B244,'Content Calendar'!$A$5:$A$604,0)),"Not found"))</f>
        <v>0</v>
      </c>
      <c r="I244" s="17">
        <f>IF(B244="","",IFERROR(INDEX('Content Calendar'!$L$5:$L$604,MATCH(B244,'Content Calendar'!$A$5:$A$604,0)),"Not found"))</f>
        <v>0</v>
      </c>
      <c r="J244" s="17">
        <f>IF(B244="","",IFERROR(INDEX('Content Calendar'!$P$5:$P$604,MATCH(B244,'Content Calendar'!$A$5:$A$604,0)),"Not found"))</f>
        <v>0</v>
      </c>
      <c r="K244" s="17">
        <f>IF(B244="","",IFERROR(INDEX('Content Calendar'!$O$5:$O$604,MATCH(B244,'Content Calendar'!$A$5:$A$604,0)),"Not found"))</f>
        <v>0</v>
      </c>
      <c r="L244" s="17">
        <f>IF(B244="","",IFERROR(INDEX('Content Calendar'!$N$5:$N$604,MATCH(B244,'Content Calendar'!$A$5:$A$604,0)),"Not found"))</f>
        <v>0</v>
      </c>
      <c r="M244" s="17">
        <f>IF(B244="","",IFERROR(INDEX('Content Calendar'!$C$5:$C$604,MATCH(B244,'Content Calendar'!$A$5:$A$604,0)),"Not found"))</f>
        <v>0</v>
      </c>
      <c r="N244" s="17">
        <f>IF(B244="","",IFERROR(INDEX('Content Calendar'!$F$5:$F$604,MATCH(B244,'Content Calendar'!$A$5:$A$604,0)),"Not found"))</f>
        <v>0</v>
      </c>
      <c r="Z244" s="23">
        <f>IF(O244="","",N(Q244)+N(R244)+N(S244)+N(T244))</f>
        <v>0</v>
      </c>
      <c r="AA244" s="24">
        <f>IF(OR(O244="",O244=0),"",Z244/O244)</f>
        <v>0</v>
      </c>
      <c r="AB244" s="24">
        <f>IF(OR(O244="",O244=0),"",N(T244)/O244)</f>
        <v>0</v>
      </c>
      <c r="AC244" s="24">
        <f>IF(OR(O244="",O244=0),"",N(S244)/O244)</f>
        <v>0</v>
      </c>
      <c r="AD244" s="24">
        <f>IF(OR(O244="",O244=0),"",N(R244)/O244)</f>
        <v>0</v>
      </c>
      <c r="AE244" s="24">
        <f>IF(OR(O244="",O244=0),"",N(U244)/O244)</f>
        <v>0</v>
      </c>
      <c r="AF244" s="24">
        <f>IF(OR(U244="",U244=0),"",N(W244)/U244)</f>
        <v>0</v>
      </c>
      <c r="AG244" s="25">
        <f>IF(OR(O244="",O244=0),"",N(X244)/(O244/1000))</f>
        <v>0</v>
      </c>
      <c r="AH244" s="24">
        <f>IF(O244="","",IF(Y244="",TargetEngagement,Y244))</f>
        <v>0</v>
      </c>
      <c r="AI244" s="24">
        <f>IF(OR(AA244="",AH244=""),"",AA244-AH244)</f>
        <v>0</v>
      </c>
      <c r="AJ244" s="31">
        <f>IF(AA244="","",AA244+ROW()/1000000)</f>
        <v>0</v>
      </c>
      <c r="AK244" s="23">
        <f>IF(AA244="","",RANK(AJ244,Performance!$AJ$5:$AJ$404))</f>
        <v>0</v>
      </c>
      <c r="AL244" s="29">
        <f>IF(AA244="","",IF(AA244&gt;=AH244*1.5,"Top performer",IF(AA244&gt;=AH244,"Above target",IF(AA244&gt;=AH244*0.6,"Below target","Weak - review it"))))</f>
        <v>0</v>
      </c>
      <c r="AM244" s="29">
        <f>IF(B244="","",IF(COUNTIF(Performance!$B$5:$B$404,B244)&gt;1,"Duplicate","OK"))</f>
        <v>0</v>
      </c>
      <c r="AN244" s="29">
        <f>IF(B244="","",IF(C244="Not found","Check - content ID not on the calendar",IF(O244="","Add - no numbers entered yet",IF(AM244="Duplicate","Duplicate - this post is entered twice",IF(AL244="Top performer","Repurpose this one","OK")))))</f>
        <v>0</v>
      </c>
    </row>
    <row r="245" spans="1:40">
      <c r="A245" s="41">
        <f>IF(B245="","","PF-"&amp;TEXT(ROW()-4,"0000"))</f>
        <v>0</v>
      </c>
      <c r="C245" s="17">
        <f>IF(B245="","",IFERROR(INDEX('Content Calendar'!$H$5:$H$604,MATCH(B245,'Content Calendar'!$A$5:$A$604,0)),"Not found"))</f>
        <v>0</v>
      </c>
      <c r="D245" s="16">
        <f>IF(B245="","",IFERROR(INDEX('Content Calendar'!$B$5:$B$604,MATCH(B245,'Content Calendar'!$A$5:$A$604,0)),"Not found"))</f>
        <v>0</v>
      </c>
      <c r="E245" s="17">
        <f>IF(B245="","",IFERROR(INDEX('Content Calendar'!$D$5:$D$604,MATCH(B245,'Content Calendar'!$A$5:$A$604,0)),"Not found"))</f>
        <v>0</v>
      </c>
      <c r="F245" s="17">
        <f>IF(B245="","",IFERROR(INDEX('Content Calendar'!$G$5:$G$604,MATCH(B245,'Content Calendar'!$A$5:$A$604,0)),"Not found"))</f>
        <v>0</v>
      </c>
      <c r="G245" s="17">
        <f>IF(B245="","",IFERROR(INDEX('Content Calendar'!$K$5:$K$604,MATCH(B245,'Content Calendar'!$A$5:$A$604,0)),"Not found"))</f>
        <v>0</v>
      </c>
      <c r="H245" s="17">
        <f>IF(B245="","",IFERROR(INDEX('Content Calendar'!$J$5:$J$604,MATCH(B245,'Content Calendar'!$A$5:$A$604,0)),"Not found"))</f>
        <v>0</v>
      </c>
      <c r="I245" s="17">
        <f>IF(B245="","",IFERROR(INDEX('Content Calendar'!$L$5:$L$604,MATCH(B245,'Content Calendar'!$A$5:$A$604,0)),"Not found"))</f>
        <v>0</v>
      </c>
      <c r="J245" s="17">
        <f>IF(B245="","",IFERROR(INDEX('Content Calendar'!$P$5:$P$604,MATCH(B245,'Content Calendar'!$A$5:$A$604,0)),"Not found"))</f>
        <v>0</v>
      </c>
      <c r="K245" s="17">
        <f>IF(B245="","",IFERROR(INDEX('Content Calendar'!$O$5:$O$604,MATCH(B245,'Content Calendar'!$A$5:$A$604,0)),"Not found"))</f>
        <v>0</v>
      </c>
      <c r="L245" s="17">
        <f>IF(B245="","",IFERROR(INDEX('Content Calendar'!$N$5:$N$604,MATCH(B245,'Content Calendar'!$A$5:$A$604,0)),"Not found"))</f>
        <v>0</v>
      </c>
      <c r="M245" s="17">
        <f>IF(B245="","",IFERROR(INDEX('Content Calendar'!$C$5:$C$604,MATCH(B245,'Content Calendar'!$A$5:$A$604,0)),"Not found"))</f>
        <v>0</v>
      </c>
      <c r="N245" s="17">
        <f>IF(B245="","",IFERROR(INDEX('Content Calendar'!$F$5:$F$604,MATCH(B245,'Content Calendar'!$A$5:$A$604,0)),"Not found"))</f>
        <v>0</v>
      </c>
      <c r="Z245" s="23">
        <f>IF(O245="","",N(Q245)+N(R245)+N(S245)+N(T245))</f>
        <v>0</v>
      </c>
      <c r="AA245" s="24">
        <f>IF(OR(O245="",O245=0),"",Z245/O245)</f>
        <v>0</v>
      </c>
      <c r="AB245" s="24">
        <f>IF(OR(O245="",O245=0),"",N(T245)/O245)</f>
        <v>0</v>
      </c>
      <c r="AC245" s="24">
        <f>IF(OR(O245="",O245=0),"",N(S245)/O245)</f>
        <v>0</v>
      </c>
      <c r="AD245" s="24">
        <f>IF(OR(O245="",O245=0),"",N(R245)/O245)</f>
        <v>0</v>
      </c>
      <c r="AE245" s="24">
        <f>IF(OR(O245="",O245=0),"",N(U245)/O245)</f>
        <v>0</v>
      </c>
      <c r="AF245" s="24">
        <f>IF(OR(U245="",U245=0),"",N(W245)/U245)</f>
        <v>0</v>
      </c>
      <c r="AG245" s="25">
        <f>IF(OR(O245="",O245=0),"",N(X245)/(O245/1000))</f>
        <v>0</v>
      </c>
      <c r="AH245" s="24">
        <f>IF(O245="","",IF(Y245="",TargetEngagement,Y245))</f>
        <v>0</v>
      </c>
      <c r="AI245" s="24">
        <f>IF(OR(AA245="",AH245=""),"",AA245-AH245)</f>
        <v>0</v>
      </c>
      <c r="AJ245" s="31">
        <f>IF(AA245="","",AA245+ROW()/1000000)</f>
        <v>0</v>
      </c>
      <c r="AK245" s="23">
        <f>IF(AA245="","",RANK(AJ245,Performance!$AJ$5:$AJ$404))</f>
        <v>0</v>
      </c>
      <c r="AL245" s="29">
        <f>IF(AA245="","",IF(AA245&gt;=AH245*1.5,"Top performer",IF(AA245&gt;=AH245,"Above target",IF(AA245&gt;=AH245*0.6,"Below target","Weak - review it"))))</f>
        <v>0</v>
      </c>
      <c r="AM245" s="29">
        <f>IF(B245="","",IF(COUNTIF(Performance!$B$5:$B$404,B245)&gt;1,"Duplicate","OK"))</f>
        <v>0</v>
      </c>
      <c r="AN245" s="29">
        <f>IF(B245="","",IF(C245="Not found","Check - content ID not on the calendar",IF(O245="","Add - no numbers entered yet",IF(AM245="Duplicate","Duplicate - this post is entered twice",IF(AL245="Top performer","Repurpose this one","OK")))))</f>
        <v>0</v>
      </c>
    </row>
    <row r="246" spans="1:40">
      <c r="A246" s="41">
        <f>IF(B246="","","PF-"&amp;TEXT(ROW()-4,"0000"))</f>
        <v>0</v>
      </c>
      <c r="C246" s="17">
        <f>IF(B246="","",IFERROR(INDEX('Content Calendar'!$H$5:$H$604,MATCH(B246,'Content Calendar'!$A$5:$A$604,0)),"Not found"))</f>
        <v>0</v>
      </c>
      <c r="D246" s="16">
        <f>IF(B246="","",IFERROR(INDEX('Content Calendar'!$B$5:$B$604,MATCH(B246,'Content Calendar'!$A$5:$A$604,0)),"Not found"))</f>
        <v>0</v>
      </c>
      <c r="E246" s="17">
        <f>IF(B246="","",IFERROR(INDEX('Content Calendar'!$D$5:$D$604,MATCH(B246,'Content Calendar'!$A$5:$A$604,0)),"Not found"))</f>
        <v>0</v>
      </c>
      <c r="F246" s="17">
        <f>IF(B246="","",IFERROR(INDEX('Content Calendar'!$G$5:$G$604,MATCH(B246,'Content Calendar'!$A$5:$A$604,0)),"Not found"))</f>
        <v>0</v>
      </c>
      <c r="G246" s="17">
        <f>IF(B246="","",IFERROR(INDEX('Content Calendar'!$K$5:$K$604,MATCH(B246,'Content Calendar'!$A$5:$A$604,0)),"Not found"))</f>
        <v>0</v>
      </c>
      <c r="H246" s="17">
        <f>IF(B246="","",IFERROR(INDEX('Content Calendar'!$J$5:$J$604,MATCH(B246,'Content Calendar'!$A$5:$A$604,0)),"Not found"))</f>
        <v>0</v>
      </c>
      <c r="I246" s="17">
        <f>IF(B246="","",IFERROR(INDEX('Content Calendar'!$L$5:$L$604,MATCH(B246,'Content Calendar'!$A$5:$A$604,0)),"Not found"))</f>
        <v>0</v>
      </c>
      <c r="J246" s="17">
        <f>IF(B246="","",IFERROR(INDEX('Content Calendar'!$P$5:$P$604,MATCH(B246,'Content Calendar'!$A$5:$A$604,0)),"Not found"))</f>
        <v>0</v>
      </c>
      <c r="K246" s="17">
        <f>IF(B246="","",IFERROR(INDEX('Content Calendar'!$O$5:$O$604,MATCH(B246,'Content Calendar'!$A$5:$A$604,0)),"Not found"))</f>
        <v>0</v>
      </c>
      <c r="L246" s="17">
        <f>IF(B246="","",IFERROR(INDEX('Content Calendar'!$N$5:$N$604,MATCH(B246,'Content Calendar'!$A$5:$A$604,0)),"Not found"))</f>
        <v>0</v>
      </c>
      <c r="M246" s="17">
        <f>IF(B246="","",IFERROR(INDEX('Content Calendar'!$C$5:$C$604,MATCH(B246,'Content Calendar'!$A$5:$A$604,0)),"Not found"))</f>
        <v>0</v>
      </c>
      <c r="N246" s="17">
        <f>IF(B246="","",IFERROR(INDEX('Content Calendar'!$F$5:$F$604,MATCH(B246,'Content Calendar'!$A$5:$A$604,0)),"Not found"))</f>
        <v>0</v>
      </c>
      <c r="Z246" s="23">
        <f>IF(O246="","",N(Q246)+N(R246)+N(S246)+N(T246))</f>
        <v>0</v>
      </c>
      <c r="AA246" s="24">
        <f>IF(OR(O246="",O246=0),"",Z246/O246)</f>
        <v>0</v>
      </c>
      <c r="AB246" s="24">
        <f>IF(OR(O246="",O246=0),"",N(T246)/O246)</f>
        <v>0</v>
      </c>
      <c r="AC246" s="24">
        <f>IF(OR(O246="",O246=0),"",N(S246)/O246)</f>
        <v>0</v>
      </c>
      <c r="AD246" s="24">
        <f>IF(OR(O246="",O246=0),"",N(R246)/O246)</f>
        <v>0</v>
      </c>
      <c r="AE246" s="24">
        <f>IF(OR(O246="",O246=0),"",N(U246)/O246)</f>
        <v>0</v>
      </c>
      <c r="AF246" s="24">
        <f>IF(OR(U246="",U246=0),"",N(W246)/U246)</f>
        <v>0</v>
      </c>
      <c r="AG246" s="25">
        <f>IF(OR(O246="",O246=0),"",N(X246)/(O246/1000))</f>
        <v>0</v>
      </c>
      <c r="AH246" s="24">
        <f>IF(O246="","",IF(Y246="",TargetEngagement,Y246))</f>
        <v>0</v>
      </c>
      <c r="AI246" s="24">
        <f>IF(OR(AA246="",AH246=""),"",AA246-AH246)</f>
        <v>0</v>
      </c>
      <c r="AJ246" s="31">
        <f>IF(AA246="","",AA246+ROW()/1000000)</f>
        <v>0</v>
      </c>
      <c r="AK246" s="23">
        <f>IF(AA246="","",RANK(AJ246,Performance!$AJ$5:$AJ$404))</f>
        <v>0</v>
      </c>
      <c r="AL246" s="29">
        <f>IF(AA246="","",IF(AA246&gt;=AH246*1.5,"Top performer",IF(AA246&gt;=AH246,"Above target",IF(AA246&gt;=AH246*0.6,"Below target","Weak - review it"))))</f>
        <v>0</v>
      </c>
      <c r="AM246" s="29">
        <f>IF(B246="","",IF(COUNTIF(Performance!$B$5:$B$404,B246)&gt;1,"Duplicate","OK"))</f>
        <v>0</v>
      </c>
      <c r="AN246" s="29">
        <f>IF(B246="","",IF(C246="Not found","Check - content ID not on the calendar",IF(O246="","Add - no numbers entered yet",IF(AM246="Duplicate","Duplicate - this post is entered twice",IF(AL246="Top performer","Repurpose this one","OK")))))</f>
        <v>0</v>
      </c>
    </row>
    <row r="247" spans="1:40">
      <c r="A247" s="41">
        <f>IF(B247="","","PF-"&amp;TEXT(ROW()-4,"0000"))</f>
        <v>0</v>
      </c>
      <c r="C247" s="17">
        <f>IF(B247="","",IFERROR(INDEX('Content Calendar'!$H$5:$H$604,MATCH(B247,'Content Calendar'!$A$5:$A$604,0)),"Not found"))</f>
        <v>0</v>
      </c>
      <c r="D247" s="16">
        <f>IF(B247="","",IFERROR(INDEX('Content Calendar'!$B$5:$B$604,MATCH(B247,'Content Calendar'!$A$5:$A$604,0)),"Not found"))</f>
        <v>0</v>
      </c>
      <c r="E247" s="17">
        <f>IF(B247="","",IFERROR(INDEX('Content Calendar'!$D$5:$D$604,MATCH(B247,'Content Calendar'!$A$5:$A$604,0)),"Not found"))</f>
        <v>0</v>
      </c>
      <c r="F247" s="17">
        <f>IF(B247="","",IFERROR(INDEX('Content Calendar'!$G$5:$G$604,MATCH(B247,'Content Calendar'!$A$5:$A$604,0)),"Not found"))</f>
        <v>0</v>
      </c>
      <c r="G247" s="17">
        <f>IF(B247="","",IFERROR(INDEX('Content Calendar'!$K$5:$K$604,MATCH(B247,'Content Calendar'!$A$5:$A$604,0)),"Not found"))</f>
        <v>0</v>
      </c>
      <c r="H247" s="17">
        <f>IF(B247="","",IFERROR(INDEX('Content Calendar'!$J$5:$J$604,MATCH(B247,'Content Calendar'!$A$5:$A$604,0)),"Not found"))</f>
        <v>0</v>
      </c>
      <c r="I247" s="17">
        <f>IF(B247="","",IFERROR(INDEX('Content Calendar'!$L$5:$L$604,MATCH(B247,'Content Calendar'!$A$5:$A$604,0)),"Not found"))</f>
        <v>0</v>
      </c>
      <c r="J247" s="17">
        <f>IF(B247="","",IFERROR(INDEX('Content Calendar'!$P$5:$P$604,MATCH(B247,'Content Calendar'!$A$5:$A$604,0)),"Not found"))</f>
        <v>0</v>
      </c>
      <c r="K247" s="17">
        <f>IF(B247="","",IFERROR(INDEX('Content Calendar'!$O$5:$O$604,MATCH(B247,'Content Calendar'!$A$5:$A$604,0)),"Not found"))</f>
        <v>0</v>
      </c>
      <c r="L247" s="17">
        <f>IF(B247="","",IFERROR(INDEX('Content Calendar'!$N$5:$N$604,MATCH(B247,'Content Calendar'!$A$5:$A$604,0)),"Not found"))</f>
        <v>0</v>
      </c>
      <c r="M247" s="17">
        <f>IF(B247="","",IFERROR(INDEX('Content Calendar'!$C$5:$C$604,MATCH(B247,'Content Calendar'!$A$5:$A$604,0)),"Not found"))</f>
        <v>0</v>
      </c>
      <c r="N247" s="17">
        <f>IF(B247="","",IFERROR(INDEX('Content Calendar'!$F$5:$F$604,MATCH(B247,'Content Calendar'!$A$5:$A$604,0)),"Not found"))</f>
        <v>0</v>
      </c>
      <c r="Z247" s="23">
        <f>IF(O247="","",N(Q247)+N(R247)+N(S247)+N(T247))</f>
        <v>0</v>
      </c>
      <c r="AA247" s="24">
        <f>IF(OR(O247="",O247=0),"",Z247/O247)</f>
        <v>0</v>
      </c>
      <c r="AB247" s="24">
        <f>IF(OR(O247="",O247=0),"",N(T247)/O247)</f>
        <v>0</v>
      </c>
      <c r="AC247" s="24">
        <f>IF(OR(O247="",O247=0),"",N(S247)/O247)</f>
        <v>0</v>
      </c>
      <c r="AD247" s="24">
        <f>IF(OR(O247="",O247=0),"",N(R247)/O247)</f>
        <v>0</v>
      </c>
      <c r="AE247" s="24">
        <f>IF(OR(O247="",O247=0),"",N(U247)/O247)</f>
        <v>0</v>
      </c>
      <c r="AF247" s="24">
        <f>IF(OR(U247="",U247=0),"",N(W247)/U247)</f>
        <v>0</v>
      </c>
      <c r="AG247" s="25">
        <f>IF(OR(O247="",O247=0),"",N(X247)/(O247/1000))</f>
        <v>0</v>
      </c>
      <c r="AH247" s="24">
        <f>IF(O247="","",IF(Y247="",TargetEngagement,Y247))</f>
        <v>0</v>
      </c>
      <c r="AI247" s="24">
        <f>IF(OR(AA247="",AH247=""),"",AA247-AH247)</f>
        <v>0</v>
      </c>
      <c r="AJ247" s="31">
        <f>IF(AA247="","",AA247+ROW()/1000000)</f>
        <v>0</v>
      </c>
      <c r="AK247" s="23">
        <f>IF(AA247="","",RANK(AJ247,Performance!$AJ$5:$AJ$404))</f>
        <v>0</v>
      </c>
      <c r="AL247" s="29">
        <f>IF(AA247="","",IF(AA247&gt;=AH247*1.5,"Top performer",IF(AA247&gt;=AH247,"Above target",IF(AA247&gt;=AH247*0.6,"Below target","Weak - review it"))))</f>
        <v>0</v>
      </c>
      <c r="AM247" s="29">
        <f>IF(B247="","",IF(COUNTIF(Performance!$B$5:$B$404,B247)&gt;1,"Duplicate","OK"))</f>
        <v>0</v>
      </c>
      <c r="AN247" s="29">
        <f>IF(B247="","",IF(C247="Not found","Check - content ID not on the calendar",IF(O247="","Add - no numbers entered yet",IF(AM247="Duplicate","Duplicate - this post is entered twice",IF(AL247="Top performer","Repurpose this one","OK")))))</f>
        <v>0</v>
      </c>
    </row>
    <row r="248" spans="1:40">
      <c r="A248" s="41">
        <f>IF(B248="","","PF-"&amp;TEXT(ROW()-4,"0000"))</f>
        <v>0</v>
      </c>
      <c r="C248" s="17">
        <f>IF(B248="","",IFERROR(INDEX('Content Calendar'!$H$5:$H$604,MATCH(B248,'Content Calendar'!$A$5:$A$604,0)),"Not found"))</f>
        <v>0</v>
      </c>
      <c r="D248" s="16">
        <f>IF(B248="","",IFERROR(INDEX('Content Calendar'!$B$5:$B$604,MATCH(B248,'Content Calendar'!$A$5:$A$604,0)),"Not found"))</f>
        <v>0</v>
      </c>
      <c r="E248" s="17">
        <f>IF(B248="","",IFERROR(INDEX('Content Calendar'!$D$5:$D$604,MATCH(B248,'Content Calendar'!$A$5:$A$604,0)),"Not found"))</f>
        <v>0</v>
      </c>
      <c r="F248" s="17">
        <f>IF(B248="","",IFERROR(INDEX('Content Calendar'!$G$5:$G$604,MATCH(B248,'Content Calendar'!$A$5:$A$604,0)),"Not found"))</f>
        <v>0</v>
      </c>
      <c r="G248" s="17">
        <f>IF(B248="","",IFERROR(INDEX('Content Calendar'!$K$5:$K$604,MATCH(B248,'Content Calendar'!$A$5:$A$604,0)),"Not found"))</f>
        <v>0</v>
      </c>
      <c r="H248" s="17">
        <f>IF(B248="","",IFERROR(INDEX('Content Calendar'!$J$5:$J$604,MATCH(B248,'Content Calendar'!$A$5:$A$604,0)),"Not found"))</f>
        <v>0</v>
      </c>
      <c r="I248" s="17">
        <f>IF(B248="","",IFERROR(INDEX('Content Calendar'!$L$5:$L$604,MATCH(B248,'Content Calendar'!$A$5:$A$604,0)),"Not found"))</f>
        <v>0</v>
      </c>
      <c r="J248" s="17">
        <f>IF(B248="","",IFERROR(INDEX('Content Calendar'!$P$5:$P$604,MATCH(B248,'Content Calendar'!$A$5:$A$604,0)),"Not found"))</f>
        <v>0</v>
      </c>
      <c r="K248" s="17">
        <f>IF(B248="","",IFERROR(INDEX('Content Calendar'!$O$5:$O$604,MATCH(B248,'Content Calendar'!$A$5:$A$604,0)),"Not found"))</f>
        <v>0</v>
      </c>
      <c r="L248" s="17">
        <f>IF(B248="","",IFERROR(INDEX('Content Calendar'!$N$5:$N$604,MATCH(B248,'Content Calendar'!$A$5:$A$604,0)),"Not found"))</f>
        <v>0</v>
      </c>
      <c r="M248" s="17">
        <f>IF(B248="","",IFERROR(INDEX('Content Calendar'!$C$5:$C$604,MATCH(B248,'Content Calendar'!$A$5:$A$604,0)),"Not found"))</f>
        <v>0</v>
      </c>
      <c r="N248" s="17">
        <f>IF(B248="","",IFERROR(INDEX('Content Calendar'!$F$5:$F$604,MATCH(B248,'Content Calendar'!$A$5:$A$604,0)),"Not found"))</f>
        <v>0</v>
      </c>
      <c r="Z248" s="23">
        <f>IF(O248="","",N(Q248)+N(R248)+N(S248)+N(T248))</f>
        <v>0</v>
      </c>
      <c r="AA248" s="24">
        <f>IF(OR(O248="",O248=0),"",Z248/O248)</f>
        <v>0</v>
      </c>
      <c r="AB248" s="24">
        <f>IF(OR(O248="",O248=0),"",N(T248)/O248)</f>
        <v>0</v>
      </c>
      <c r="AC248" s="24">
        <f>IF(OR(O248="",O248=0),"",N(S248)/O248)</f>
        <v>0</v>
      </c>
      <c r="AD248" s="24">
        <f>IF(OR(O248="",O248=0),"",N(R248)/O248)</f>
        <v>0</v>
      </c>
      <c r="AE248" s="24">
        <f>IF(OR(O248="",O248=0),"",N(U248)/O248)</f>
        <v>0</v>
      </c>
      <c r="AF248" s="24">
        <f>IF(OR(U248="",U248=0),"",N(W248)/U248)</f>
        <v>0</v>
      </c>
      <c r="AG248" s="25">
        <f>IF(OR(O248="",O248=0),"",N(X248)/(O248/1000))</f>
        <v>0</v>
      </c>
      <c r="AH248" s="24">
        <f>IF(O248="","",IF(Y248="",TargetEngagement,Y248))</f>
        <v>0</v>
      </c>
      <c r="AI248" s="24">
        <f>IF(OR(AA248="",AH248=""),"",AA248-AH248)</f>
        <v>0</v>
      </c>
      <c r="AJ248" s="31">
        <f>IF(AA248="","",AA248+ROW()/1000000)</f>
        <v>0</v>
      </c>
      <c r="AK248" s="23">
        <f>IF(AA248="","",RANK(AJ248,Performance!$AJ$5:$AJ$404))</f>
        <v>0</v>
      </c>
      <c r="AL248" s="29">
        <f>IF(AA248="","",IF(AA248&gt;=AH248*1.5,"Top performer",IF(AA248&gt;=AH248,"Above target",IF(AA248&gt;=AH248*0.6,"Below target","Weak - review it"))))</f>
        <v>0</v>
      </c>
      <c r="AM248" s="29">
        <f>IF(B248="","",IF(COUNTIF(Performance!$B$5:$B$404,B248)&gt;1,"Duplicate","OK"))</f>
        <v>0</v>
      </c>
      <c r="AN248" s="29">
        <f>IF(B248="","",IF(C248="Not found","Check - content ID not on the calendar",IF(O248="","Add - no numbers entered yet",IF(AM248="Duplicate","Duplicate - this post is entered twice",IF(AL248="Top performer","Repurpose this one","OK")))))</f>
        <v>0</v>
      </c>
    </row>
    <row r="249" spans="1:40">
      <c r="A249" s="41">
        <f>IF(B249="","","PF-"&amp;TEXT(ROW()-4,"0000"))</f>
        <v>0</v>
      </c>
      <c r="C249" s="17">
        <f>IF(B249="","",IFERROR(INDEX('Content Calendar'!$H$5:$H$604,MATCH(B249,'Content Calendar'!$A$5:$A$604,0)),"Not found"))</f>
        <v>0</v>
      </c>
      <c r="D249" s="16">
        <f>IF(B249="","",IFERROR(INDEX('Content Calendar'!$B$5:$B$604,MATCH(B249,'Content Calendar'!$A$5:$A$604,0)),"Not found"))</f>
        <v>0</v>
      </c>
      <c r="E249" s="17">
        <f>IF(B249="","",IFERROR(INDEX('Content Calendar'!$D$5:$D$604,MATCH(B249,'Content Calendar'!$A$5:$A$604,0)),"Not found"))</f>
        <v>0</v>
      </c>
      <c r="F249" s="17">
        <f>IF(B249="","",IFERROR(INDEX('Content Calendar'!$G$5:$G$604,MATCH(B249,'Content Calendar'!$A$5:$A$604,0)),"Not found"))</f>
        <v>0</v>
      </c>
      <c r="G249" s="17">
        <f>IF(B249="","",IFERROR(INDEX('Content Calendar'!$K$5:$K$604,MATCH(B249,'Content Calendar'!$A$5:$A$604,0)),"Not found"))</f>
        <v>0</v>
      </c>
      <c r="H249" s="17">
        <f>IF(B249="","",IFERROR(INDEX('Content Calendar'!$J$5:$J$604,MATCH(B249,'Content Calendar'!$A$5:$A$604,0)),"Not found"))</f>
        <v>0</v>
      </c>
      <c r="I249" s="17">
        <f>IF(B249="","",IFERROR(INDEX('Content Calendar'!$L$5:$L$604,MATCH(B249,'Content Calendar'!$A$5:$A$604,0)),"Not found"))</f>
        <v>0</v>
      </c>
      <c r="J249" s="17">
        <f>IF(B249="","",IFERROR(INDEX('Content Calendar'!$P$5:$P$604,MATCH(B249,'Content Calendar'!$A$5:$A$604,0)),"Not found"))</f>
        <v>0</v>
      </c>
      <c r="K249" s="17">
        <f>IF(B249="","",IFERROR(INDEX('Content Calendar'!$O$5:$O$604,MATCH(B249,'Content Calendar'!$A$5:$A$604,0)),"Not found"))</f>
        <v>0</v>
      </c>
      <c r="L249" s="17">
        <f>IF(B249="","",IFERROR(INDEX('Content Calendar'!$N$5:$N$604,MATCH(B249,'Content Calendar'!$A$5:$A$604,0)),"Not found"))</f>
        <v>0</v>
      </c>
      <c r="M249" s="17">
        <f>IF(B249="","",IFERROR(INDEX('Content Calendar'!$C$5:$C$604,MATCH(B249,'Content Calendar'!$A$5:$A$604,0)),"Not found"))</f>
        <v>0</v>
      </c>
      <c r="N249" s="17">
        <f>IF(B249="","",IFERROR(INDEX('Content Calendar'!$F$5:$F$604,MATCH(B249,'Content Calendar'!$A$5:$A$604,0)),"Not found"))</f>
        <v>0</v>
      </c>
      <c r="Z249" s="23">
        <f>IF(O249="","",N(Q249)+N(R249)+N(S249)+N(T249))</f>
        <v>0</v>
      </c>
      <c r="AA249" s="24">
        <f>IF(OR(O249="",O249=0),"",Z249/O249)</f>
        <v>0</v>
      </c>
      <c r="AB249" s="24">
        <f>IF(OR(O249="",O249=0),"",N(T249)/O249)</f>
        <v>0</v>
      </c>
      <c r="AC249" s="24">
        <f>IF(OR(O249="",O249=0),"",N(S249)/O249)</f>
        <v>0</v>
      </c>
      <c r="AD249" s="24">
        <f>IF(OR(O249="",O249=0),"",N(R249)/O249)</f>
        <v>0</v>
      </c>
      <c r="AE249" s="24">
        <f>IF(OR(O249="",O249=0),"",N(U249)/O249)</f>
        <v>0</v>
      </c>
      <c r="AF249" s="24">
        <f>IF(OR(U249="",U249=0),"",N(W249)/U249)</f>
        <v>0</v>
      </c>
      <c r="AG249" s="25">
        <f>IF(OR(O249="",O249=0),"",N(X249)/(O249/1000))</f>
        <v>0</v>
      </c>
      <c r="AH249" s="24">
        <f>IF(O249="","",IF(Y249="",TargetEngagement,Y249))</f>
        <v>0</v>
      </c>
      <c r="AI249" s="24">
        <f>IF(OR(AA249="",AH249=""),"",AA249-AH249)</f>
        <v>0</v>
      </c>
      <c r="AJ249" s="31">
        <f>IF(AA249="","",AA249+ROW()/1000000)</f>
        <v>0</v>
      </c>
      <c r="AK249" s="23">
        <f>IF(AA249="","",RANK(AJ249,Performance!$AJ$5:$AJ$404))</f>
        <v>0</v>
      </c>
      <c r="AL249" s="29">
        <f>IF(AA249="","",IF(AA249&gt;=AH249*1.5,"Top performer",IF(AA249&gt;=AH249,"Above target",IF(AA249&gt;=AH249*0.6,"Below target","Weak - review it"))))</f>
        <v>0</v>
      </c>
      <c r="AM249" s="29">
        <f>IF(B249="","",IF(COUNTIF(Performance!$B$5:$B$404,B249)&gt;1,"Duplicate","OK"))</f>
        <v>0</v>
      </c>
      <c r="AN249" s="29">
        <f>IF(B249="","",IF(C249="Not found","Check - content ID not on the calendar",IF(O249="","Add - no numbers entered yet",IF(AM249="Duplicate","Duplicate - this post is entered twice",IF(AL249="Top performer","Repurpose this one","OK")))))</f>
        <v>0</v>
      </c>
    </row>
    <row r="250" spans="1:40">
      <c r="A250" s="41">
        <f>IF(B250="","","PF-"&amp;TEXT(ROW()-4,"0000"))</f>
        <v>0</v>
      </c>
      <c r="C250" s="17">
        <f>IF(B250="","",IFERROR(INDEX('Content Calendar'!$H$5:$H$604,MATCH(B250,'Content Calendar'!$A$5:$A$604,0)),"Not found"))</f>
        <v>0</v>
      </c>
      <c r="D250" s="16">
        <f>IF(B250="","",IFERROR(INDEX('Content Calendar'!$B$5:$B$604,MATCH(B250,'Content Calendar'!$A$5:$A$604,0)),"Not found"))</f>
        <v>0</v>
      </c>
      <c r="E250" s="17">
        <f>IF(B250="","",IFERROR(INDEX('Content Calendar'!$D$5:$D$604,MATCH(B250,'Content Calendar'!$A$5:$A$604,0)),"Not found"))</f>
        <v>0</v>
      </c>
      <c r="F250" s="17">
        <f>IF(B250="","",IFERROR(INDEX('Content Calendar'!$G$5:$G$604,MATCH(B250,'Content Calendar'!$A$5:$A$604,0)),"Not found"))</f>
        <v>0</v>
      </c>
      <c r="G250" s="17">
        <f>IF(B250="","",IFERROR(INDEX('Content Calendar'!$K$5:$K$604,MATCH(B250,'Content Calendar'!$A$5:$A$604,0)),"Not found"))</f>
        <v>0</v>
      </c>
      <c r="H250" s="17">
        <f>IF(B250="","",IFERROR(INDEX('Content Calendar'!$J$5:$J$604,MATCH(B250,'Content Calendar'!$A$5:$A$604,0)),"Not found"))</f>
        <v>0</v>
      </c>
      <c r="I250" s="17">
        <f>IF(B250="","",IFERROR(INDEX('Content Calendar'!$L$5:$L$604,MATCH(B250,'Content Calendar'!$A$5:$A$604,0)),"Not found"))</f>
        <v>0</v>
      </c>
      <c r="J250" s="17">
        <f>IF(B250="","",IFERROR(INDEX('Content Calendar'!$P$5:$P$604,MATCH(B250,'Content Calendar'!$A$5:$A$604,0)),"Not found"))</f>
        <v>0</v>
      </c>
      <c r="K250" s="17">
        <f>IF(B250="","",IFERROR(INDEX('Content Calendar'!$O$5:$O$604,MATCH(B250,'Content Calendar'!$A$5:$A$604,0)),"Not found"))</f>
        <v>0</v>
      </c>
      <c r="L250" s="17">
        <f>IF(B250="","",IFERROR(INDEX('Content Calendar'!$N$5:$N$604,MATCH(B250,'Content Calendar'!$A$5:$A$604,0)),"Not found"))</f>
        <v>0</v>
      </c>
      <c r="M250" s="17">
        <f>IF(B250="","",IFERROR(INDEX('Content Calendar'!$C$5:$C$604,MATCH(B250,'Content Calendar'!$A$5:$A$604,0)),"Not found"))</f>
        <v>0</v>
      </c>
      <c r="N250" s="17">
        <f>IF(B250="","",IFERROR(INDEX('Content Calendar'!$F$5:$F$604,MATCH(B250,'Content Calendar'!$A$5:$A$604,0)),"Not found"))</f>
        <v>0</v>
      </c>
      <c r="Z250" s="23">
        <f>IF(O250="","",N(Q250)+N(R250)+N(S250)+N(T250))</f>
        <v>0</v>
      </c>
      <c r="AA250" s="24">
        <f>IF(OR(O250="",O250=0),"",Z250/O250)</f>
        <v>0</v>
      </c>
      <c r="AB250" s="24">
        <f>IF(OR(O250="",O250=0),"",N(T250)/O250)</f>
        <v>0</v>
      </c>
      <c r="AC250" s="24">
        <f>IF(OR(O250="",O250=0),"",N(S250)/O250)</f>
        <v>0</v>
      </c>
      <c r="AD250" s="24">
        <f>IF(OR(O250="",O250=0),"",N(R250)/O250)</f>
        <v>0</v>
      </c>
      <c r="AE250" s="24">
        <f>IF(OR(O250="",O250=0),"",N(U250)/O250)</f>
        <v>0</v>
      </c>
      <c r="AF250" s="24">
        <f>IF(OR(U250="",U250=0),"",N(W250)/U250)</f>
        <v>0</v>
      </c>
      <c r="AG250" s="25">
        <f>IF(OR(O250="",O250=0),"",N(X250)/(O250/1000))</f>
        <v>0</v>
      </c>
      <c r="AH250" s="24">
        <f>IF(O250="","",IF(Y250="",TargetEngagement,Y250))</f>
        <v>0</v>
      </c>
      <c r="AI250" s="24">
        <f>IF(OR(AA250="",AH250=""),"",AA250-AH250)</f>
        <v>0</v>
      </c>
      <c r="AJ250" s="31">
        <f>IF(AA250="","",AA250+ROW()/1000000)</f>
        <v>0</v>
      </c>
      <c r="AK250" s="23">
        <f>IF(AA250="","",RANK(AJ250,Performance!$AJ$5:$AJ$404))</f>
        <v>0</v>
      </c>
      <c r="AL250" s="29">
        <f>IF(AA250="","",IF(AA250&gt;=AH250*1.5,"Top performer",IF(AA250&gt;=AH250,"Above target",IF(AA250&gt;=AH250*0.6,"Below target","Weak - review it"))))</f>
        <v>0</v>
      </c>
      <c r="AM250" s="29">
        <f>IF(B250="","",IF(COUNTIF(Performance!$B$5:$B$404,B250)&gt;1,"Duplicate","OK"))</f>
        <v>0</v>
      </c>
      <c r="AN250" s="29">
        <f>IF(B250="","",IF(C250="Not found","Check - content ID not on the calendar",IF(O250="","Add - no numbers entered yet",IF(AM250="Duplicate","Duplicate - this post is entered twice",IF(AL250="Top performer","Repurpose this one","OK")))))</f>
        <v>0</v>
      </c>
    </row>
    <row r="251" spans="1:40">
      <c r="A251" s="41">
        <f>IF(B251="","","PF-"&amp;TEXT(ROW()-4,"0000"))</f>
        <v>0</v>
      </c>
      <c r="C251" s="17">
        <f>IF(B251="","",IFERROR(INDEX('Content Calendar'!$H$5:$H$604,MATCH(B251,'Content Calendar'!$A$5:$A$604,0)),"Not found"))</f>
        <v>0</v>
      </c>
      <c r="D251" s="16">
        <f>IF(B251="","",IFERROR(INDEX('Content Calendar'!$B$5:$B$604,MATCH(B251,'Content Calendar'!$A$5:$A$604,0)),"Not found"))</f>
        <v>0</v>
      </c>
      <c r="E251" s="17">
        <f>IF(B251="","",IFERROR(INDEX('Content Calendar'!$D$5:$D$604,MATCH(B251,'Content Calendar'!$A$5:$A$604,0)),"Not found"))</f>
        <v>0</v>
      </c>
      <c r="F251" s="17">
        <f>IF(B251="","",IFERROR(INDEX('Content Calendar'!$G$5:$G$604,MATCH(B251,'Content Calendar'!$A$5:$A$604,0)),"Not found"))</f>
        <v>0</v>
      </c>
      <c r="G251" s="17">
        <f>IF(B251="","",IFERROR(INDEX('Content Calendar'!$K$5:$K$604,MATCH(B251,'Content Calendar'!$A$5:$A$604,0)),"Not found"))</f>
        <v>0</v>
      </c>
      <c r="H251" s="17">
        <f>IF(B251="","",IFERROR(INDEX('Content Calendar'!$J$5:$J$604,MATCH(B251,'Content Calendar'!$A$5:$A$604,0)),"Not found"))</f>
        <v>0</v>
      </c>
      <c r="I251" s="17">
        <f>IF(B251="","",IFERROR(INDEX('Content Calendar'!$L$5:$L$604,MATCH(B251,'Content Calendar'!$A$5:$A$604,0)),"Not found"))</f>
        <v>0</v>
      </c>
      <c r="J251" s="17">
        <f>IF(B251="","",IFERROR(INDEX('Content Calendar'!$P$5:$P$604,MATCH(B251,'Content Calendar'!$A$5:$A$604,0)),"Not found"))</f>
        <v>0</v>
      </c>
      <c r="K251" s="17">
        <f>IF(B251="","",IFERROR(INDEX('Content Calendar'!$O$5:$O$604,MATCH(B251,'Content Calendar'!$A$5:$A$604,0)),"Not found"))</f>
        <v>0</v>
      </c>
      <c r="L251" s="17">
        <f>IF(B251="","",IFERROR(INDEX('Content Calendar'!$N$5:$N$604,MATCH(B251,'Content Calendar'!$A$5:$A$604,0)),"Not found"))</f>
        <v>0</v>
      </c>
      <c r="M251" s="17">
        <f>IF(B251="","",IFERROR(INDEX('Content Calendar'!$C$5:$C$604,MATCH(B251,'Content Calendar'!$A$5:$A$604,0)),"Not found"))</f>
        <v>0</v>
      </c>
      <c r="N251" s="17">
        <f>IF(B251="","",IFERROR(INDEX('Content Calendar'!$F$5:$F$604,MATCH(B251,'Content Calendar'!$A$5:$A$604,0)),"Not found"))</f>
        <v>0</v>
      </c>
      <c r="Z251" s="23">
        <f>IF(O251="","",N(Q251)+N(R251)+N(S251)+N(T251))</f>
        <v>0</v>
      </c>
      <c r="AA251" s="24">
        <f>IF(OR(O251="",O251=0),"",Z251/O251)</f>
        <v>0</v>
      </c>
      <c r="AB251" s="24">
        <f>IF(OR(O251="",O251=0),"",N(T251)/O251)</f>
        <v>0</v>
      </c>
      <c r="AC251" s="24">
        <f>IF(OR(O251="",O251=0),"",N(S251)/O251)</f>
        <v>0</v>
      </c>
      <c r="AD251" s="24">
        <f>IF(OR(O251="",O251=0),"",N(R251)/O251)</f>
        <v>0</v>
      </c>
      <c r="AE251" s="24">
        <f>IF(OR(O251="",O251=0),"",N(U251)/O251)</f>
        <v>0</v>
      </c>
      <c r="AF251" s="24">
        <f>IF(OR(U251="",U251=0),"",N(W251)/U251)</f>
        <v>0</v>
      </c>
      <c r="AG251" s="25">
        <f>IF(OR(O251="",O251=0),"",N(X251)/(O251/1000))</f>
        <v>0</v>
      </c>
      <c r="AH251" s="24">
        <f>IF(O251="","",IF(Y251="",TargetEngagement,Y251))</f>
        <v>0</v>
      </c>
      <c r="AI251" s="24">
        <f>IF(OR(AA251="",AH251=""),"",AA251-AH251)</f>
        <v>0</v>
      </c>
      <c r="AJ251" s="31">
        <f>IF(AA251="","",AA251+ROW()/1000000)</f>
        <v>0</v>
      </c>
      <c r="AK251" s="23">
        <f>IF(AA251="","",RANK(AJ251,Performance!$AJ$5:$AJ$404))</f>
        <v>0</v>
      </c>
      <c r="AL251" s="29">
        <f>IF(AA251="","",IF(AA251&gt;=AH251*1.5,"Top performer",IF(AA251&gt;=AH251,"Above target",IF(AA251&gt;=AH251*0.6,"Below target","Weak - review it"))))</f>
        <v>0</v>
      </c>
      <c r="AM251" s="29">
        <f>IF(B251="","",IF(COUNTIF(Performance!$B$5:$B$404,B251)&gt;1,"Duplicate","OK"))</f>
        <v>0</v>
      </c>
      <c r="AN251" s="29">
        <f>IF(B251="","",IF(C251="Not found","Check - content ID not on the calendar",IF(O251="","Add - no numbers entered yet",IF(AM251="Duplicate","Duplicate - this post is entered twice",IF(AL251="Top performer","Repurpose this one","OK")))))</f>
        <v>0</v>
      </c>
    </row>
    <row r="252" spans="1:40">
      <c r="A252" s="41">
        <f>IF(B252="","","PF-"&amp;TEXT(ROW()-4,"0000"))</f>
        <v>0</v>
      </c>
      <c r="C252" s="17">
        <f>IF(B252="","",IFERROR(INDEX('Content Calendar'!$H$5:$H$604,MATCH(B252,'Content Calendar'!$A$5:$A$604,0)),"Not found"))</f>
        <v>0</v>
      </c>
      <c r="D252" s="16">
        <f>IF(B252="","",IFERROR(INDEX('Content Calendar'!$B$5:$B$604,MATCH(B252,'Content Calendar'!$A$5:$A$604,0)),"Not found"))</f>
        <v>0</v>
      </c>
      <c r="E252" s="17">
        <f>IF(B252="","",IFERROR(INDEX('Content Calendar'!$D$5:$D$604,MATCH(B252,'Content Calendar'!$A$5:$A$604,0)),"Not found"))</f>
        <v>0</v>
      </c>
      <c r="F252" s="17">
        <f>IF(B252="","",IFERROR(INDEX('Content Calendar'!$G$5:$G$604,MATCH(B252,'Content Calendar'!$A$5:$A$604,0)),"Not found"))</f>
        <v>0</v>
      </c>
      <c r="G252" s="17">
        <f>IF(B252="","",IFERROR(INDEX('Content Calendar'!$K$5:$K$604,MATCH(B252,'Content Calendar'!$A$5:$A$604,0)),"Not found"))</f>
        <v>0</v>
      </c>
      <c r="H252" s="17">
        <f>IF(B252="","",IFERROR(INDEX('Content Calendar'!$J$5:$J$604,MATCH(B252,'Content Calendar'!$A$5:$A$604,0)),"Not found"))</f>
        <v>0</v>
      </c>
      <c r="I252" s="17">
        <f>IF(B252="","",IFERROR(INDEX('Content Calendar'!$L$5:$L$604,MATCH(B252,'Content Calendar'!$A$5:$A$604,0)),"Not found"))</f>
        <v>0</v>
      </c>
      <c r="J252" s="17">
        <f>IF(B252="","",IFERROR(INDEX('Content Calendar'!$P$5:$P$604,MATCH(B252,'Content Calendar'!$A$5:$A$604,0)),"Not found"))</f>
        <v>0</v>
      </c>
      <c r="K252" s="17">
        <f>IF(B252="","",IFERROR(INDEX('Content Calendar'!$O$5:$O$604,MATCH(B252,'Content Calendar'!$A$5:$A$604,0)),"Not found"))</f>
        <v>0</v>
      </c>
      <c r="L252" s="17">
        <f>IF(B252="","",IFERROR(INDEX('Content Calendar'!$N$5:$N$604,MATCH(B252,'Content Calendar'!$A$5:$A$604,0)),"Not found"))</f>
        <v>0</v>
      </c>
      <c r="M252" s="17">
        <f>IF(B252="","",IFERROR(INDEX('Content Calendar'!$C$5:$C$604,MATCH(B252,'Content Calendar'!$A$5:$A$604,0)),"Not found"))</f>
        <v>0</v>
      </c>
      <c r="N252" s="17">
        <f>IF(B252="","",IFERROR(INDEX('Content Calendar'!$F$5:$F$604,MATCH(B252,'Content Calendar'!$A$5:$A$604,0)),"Not found"))</f>
        <v>0</v>
      </c>
      <c r="Z252" s="23">
        <f>IF(O252="","",N(Q252)+N(R252)+N(S252)+N(T252))</f>
        <v>0</v>
      </c>
      <c r="AA252" s="24">
        <f>IF(OR(O252="",O252=0),"",Z252/O252)</f>
        <v>0</v>
      </c>
      <c r="AB252" s="24">
        <f>IF(OR(O252="",O252=0),"",N(T252)/O252)</f>
        <v>0</v>
      </c>
      <c r="AC252" s="24">
        <f>IF(OR(O252="",O252=0),"",N(S252)/O252)</f>
        <v>0</v>
      </c>
      <c r="AD252" s="24">
        <f>IF(OR(O252="",O252=0),"",N(R252)/O252)</f>
        <v>0</v>
      </c>
      <c r="AE252" s="24">
        <f>IF(OR(O252="",O252=0),"",N(U252)/O252)</f>
        <v>0</v>
      </c>
      <c r="AF252" s="24">
        <f>IF(OR(U252="",U252=0),"",N(W252)/U252)</f>
        <v>0</v>
      </c>
      <c r="AG252" s="25">
        <f>IF(OR(O252="",O252=0),"",N(X252)/(O252/1000))</f>
        <v>0</v>
      </c>
      <c r="AH252" s="24">
        <f>IF(O252="","",IF(Y252="",TargetEngagement,Y252))</f>
        <v>0</v>
      </c>
      <c r="AI252" s="24">
        <f>IF(OR(AA252="",AH252=""),"",AA252-AH252)</f>
        <v>0</v>
      </c>
      <c r="AJ252" s="31">
        <f>IF(AA252="","",AA252+ROW()/1000000)</f>
        <v>0</v>
      </c>
      <c r="AK252" s="23">
        <f>IF(AA252="","",RANK(AJ252,Performance!$AJ$5:$AJ$404))</f>
        <v>0</v>
      </c>
      <c r="AL252" s="29">
        <f>IF(AA252="","",IF(AA252&gt;=AH252*1.5,"Top performer",IF(AA252&gt;=AH252,"Above target",IF(AA252&gt;=AH252*0.6,"Below target","Weak - review it"))))</f>
        <v>0</v>
      </c>
      <c r="AM252" s="29">
        <f>IF(B252="","",IF(COUNTIF(Performance!$B$5:$B$404,B252)&gt;1,"Duplicate","OK"))</f>
        <v>0</v>
      </c>
      <c r="AN252" s="29">
        <f>IF(B252="","",IF(C252="Not found","Check - content ID not on the calendar",IF(O252="","Add - no numbers entered yet",IF(AM252="Duplicate","Duplicate - this post is entered twice",IF(AL252="Top performer","Repurpose this one","OK")))))</f>
        <v>0</v>
      </c>
    </row>
    <row r="253" spans="1:40">
      <c r="A253" s="41">
        <f>IF(B253="","","PF-"&amp;TEXT(ROW()-4,"0000"))</f>
        <v>0</v>
      </c>
      <c r="C253" s="17">
        <f>IF(B253="","",IFERROR(INDEX('Content Calendar'!$H$5:$H$604,MATCH(B253,'Content Calendar'!$A$5:$A$604,0)),"Not found"))</f>
        <v>0</v>
      </c>
      <c r="D253" s="16">
        <f>IF(B253="","",IFERROR(INDEX('Content Calendar'!$B$5:$B$604,MATCH(B253,'Content Calendar'!$A$5:$A$604,0)),"Not found"))</f>
        <v>0</v>
      </c>
      <c r="E253" s="17">
        <f>IF(B253="","",IFERROR(INDEX('Content Calendar'!$D$5:$D$604,MATCH(B253,'Content Calendar'!$A$5:$A$604,0)),"Not found"))</f>
        <v>0</v>
      </c>
      <c r="F253" s="17">
        <f>IF(B253="","",IFERROR(INDEX('Content Calendar'!$G$5:$G$604,MATCH(B253,'Content Calendar'!$A$5:$A$604,0)),"Not found"))</f>
        <v>0</v>
      </c>
      <c r="G253" s="17">
        <f>IF(B253="","",IFERROR(INDEX('Content Calendar'!$K$5:$K$604,MATCH(B253,'Content Calendar'!$A$5:$A$604,0)),"Not found"))</f>
        <v>0</v>
      </c>
      <c r="H253" s="17">
        <f>IF(B253="","",IFERROR(INDEX('Content Calendar'!$J$5:$J$604,MATCH(B253,'Content Calendar'!$A$5:$A$604,0)),"Not found"))</f>
        <v>0</v>
      </c>
      <c r="I253" s="17">
        <f>IF(B253="","",IFERROR(INDEX('Content Calendar'!$L$5:$L$604,MATCH(B253,'Content Calendar'!$A$5:$A$604,0)),"Not found"))</f>
        <v>0</v>
      </c>
      <c r="J253" s="17">
        <f>IF(B253="","",IFERROR(INDEX('Content Calendar'!$P$5:$P$604,MATCH(B253,'Content Calendar'!$A$5:$A$604,0)),"Not found"))</f>
        <v>0</v>
      </c>
      <c r="K253" s="17">
        <f>IF(B253="","",IFERROR(INDEX('Content Calendar'!$O$5:$O$604,MATCH(B253,'Content Calendar'!$A$5:$A$604,0)),"Not found"))</f>
        <v>0</v>
      </c>
      <c r="L253" s="17">
        <f>IF(B253="","",IFERROR(INDEX('Content Calendar'!$N$5:$N$604,MATCH(B253,'Content Calendar'!$A$5:$A$604,0)),"Not found"))</f>
        <v>0</v>
      </c>
      <c r="M253" s="17">
        <f>IF(B253="","",IFERROR(INDEX('Content Calendar'!$C$5:$C$604,MATCH(B253,'Content Calendar'!$A$5:$A$604,0)),"Not found"))</f>
        <v>0</v>
      </c>
      <c r="N253" s="17">
        <f>IF(B253="","",IFERROR(INDEX('Content Calendar'!$F$5:$F$604,MATCH(B253,'Content Calendar'!$A$5:$A$604,0)),"Not found"))</f>
        <v>0</v>
      </c>
      <c r="Z253" s="23">
        <f>IF(O253="","",N(Q253)+N(R253)+N(S253)+N(T253))</f>
        <v>0</v>
      </c>
      <c r="AA253" s="24">
        <f>IF(OR(O253="",O253=0),"",Z253/O253)</f>
        <v>0</v>
      </c>
      <c r="AB253" s="24">
        <f>IF(OR(O253="",O253=0),"",N(T253)/O253)</f>
        <v>0</v>
      </c>
      <c r="AC253" s="24">
        <f>IF(OR(O253="",O253=0),"",N(S253)/O253)</f>
        <v>0</v>
      </c>
      <c r="AD253" s="24">
        <f>IF(OR(O253="",O253=0),"",N(R253)/O253)</f>
        <v>0</v>
      </c>
      <c r="AE253" s="24">
        <f>IF(OR(O253="",O253=0),"",N(U253)/O253)</f>
        <v>0</v>
      </c>
      <c r="AF253" s="24">
        <f>IF(OR(U253="",U253=0),"",N(W253)/U253)</f>
        <v>0</v>
      </c>
      <c r="AG253" s="25">
        <f>IF(OR(O253="",O253=0),"",N(X253)/(O253/1000))</f>
        <v>0</v>
      </c>
      <c r="AH253" s="24">
        <f>IF(O253="","",IF(Y253="",TargetEngagement,Y253))</f>
        <v>0</v>
      </c>
      <c r="AI253" s="24">
        <f>IF(OR(AA253="",AH253=""),"",AA253-AH253)</f>
        <v>0</v>
      </c>
      <c r="AJ253" s="31">
        <f>IF(AA253="","",AA253+ROW()/1000000)</f>
        <v>0</v>
      </c>
      <c r="AK253" s="23">
        <f>IF(AA253="","",RANK(AJ253,Performance!$AJ$5:$AJ$404))</f>
        <v>0</v>
      </c>
      <c r="AL253" s="29">
        <f>IF(AA253="","",IF(AA253&gt;=AH253*1.5,"Top performer",IF(AA253&gt;=AH253,"Above target",IF(AA253&gt;=AH253*0.6,"Below target","Weak - review it"))))</f>
        <v>0</v>
      </c>
      <c r="AM253" s="29">
        <f>IF(B253="","",IF(COUNTIF(Performance!$B$5:$B$404,B253)&gt;1,"Duplicate","OK"))</f>
        <v>0</v>
      </c>
      <c r="AN253" s="29">
        <f>IF(B253="","",IF(C253="Not found","Check - content ID not on the calendar",IF(O253="","Add - no numbers entered yet",IF(AM253="Duplicate","Duplicate - this post is entered twice",IF(AL253="Top performer","Repurpose this one","OK")))))</f>
        <v>0</v>
      </c>
    </row>
    <row r="254" spans="1:40">
      <c r="A254" s="41">
        <f>IF(B254="","","PF-"&amp;TEXT(ROW()-4,"0000"))</f>
        <v>0</v>
      </c>
      <c r="C254" s="17">
        <f>IF(B254="","",IFERROR(INDEX('Content Calendar'!$H$5:$H$604,MATCH(B254,'Content Calendar'!$A$5:$A$604,0)),"Not found"))</f>
        <v>0</v>
      </c>
      <c r="D254" s="16">
        <f>IF(B254="","",IFERROR(INDEX('Content Calendar'!$B$5:$B$604,MATCH(B254,'Content Calendar'!$A$5:$A$604,0)),"Not found"))</f>
        <v>0</v>
      </c>
      <c r="E254" s="17">
        <f>IF(B254="","",IFERROR(INDEX('Content Calendar'!$D$5:$D$604,MATCH(B254,'Content Calendar'!$A$5:$A$604,0)),"Not found"))</f>
        <v>0</v>
      </c>
      <c r="F254" s="17">
        <f>IF(B254="","",IFERROR(INDEX('Content Calendar'!$G$5:$G$604,MATCH(B254,'Content Calendar'!$A$5:$A$604,0)),"Not found"))</f>
        <v>0</v>
      </c>
      <c r="G254" s="17">
        <f>IF(B254="","",IFERROR(INDEX('Content Calendar'!$K$5:$K$604,MATCH(B254,'Content Calendar'!$A$5:$A$604,0)),"Not found"))</f>
        <v>0</v>
      </c>
      <c r="H254" s="17">
        <f>IF(B254="","",IFERROR(INDEX('Content Calendar'!$J$5:$J$604,MATCH(B254,'Content Calendar'!$A$5:$A$604,0)),"Not found"))</f>
        <v>0</v>
      </c>
      <c r="I254" s="17">
        <f>IF(B254="","",IFERROR(INDEX('Content Calendar'!$L$5:$L$604,MATCH(B254,'Content Calendar'!$A$5:$A$604,0)),"Not found"))</f>
        <v>0</v>
      </c>
      <c r="J254" s="17">
        <f>IF(B254="","",IFERROR(INDEX('Content Calendar'!$P$5:$P$604,MATCH(B254,'Content Calendar'!$A$5:$A$604,0)),"Not found"))</f>
        <v>0</v>
      </c>
      <c r="K254" s="17">
        <f>IF(B254="","",IFERROR(INDEX('Content Calendar'!$O$5:$O$604,MATCH(B254,'Content Calendar'!$A$5:$A$604,0)),"Not found"))</f>
        <v>0</v>
      </c>
      <c r="L254" s="17">
        <f>IF(B254="","",IFERROR(INDEX('Content Calendar'!$N$5:$N$604,MATCH(B254,'Content Calendar'!$A$5:$A$604,0)),"Not found"))</f>
        <v>0</v>
      </c>
      <c r="M254" s="17">
        <f>IF(B254="","",IFERROR(INDEX('Content Calendar'!$C$5:$C$604,MATCH(B254,'Content Calendar'!$A$5:$A$604,0)),"Not found"))</f>
        <v>0</v>
      </c>
      <c r="N254" s="17">
        <f>IF(B254="","",IFERROR(INDEX('Content Calendar'!$F$5:$F$604,MATCH(B254,'Content Calendar'!$A$5:$A$604,0)),"Not found"))</f>
        <v>0</v>
      </c>
      <c r="Z254" s="23">
        <f>IF(O254="","",N(Q254)+N(R254)+N(S254)+N(T254))</f>
        <v>0</v>
      </c>
      <c r="AA254" s="24">
        <f>IF(OR(O254="",O254=0),"",Z254/O254)</f>
        <v>0</v>
      </c>
      <c r="AB254" s="24">
        <f>IF(OR(O254="",O254=0),"",N(T254)/O254)</f>
        <v>0</v>
      </c>
      <c r="AC254" s="24">
        <f>IF(OR(O254="",O254=0),"",N(S254)/O254)</f>
        <v>0</v>
      </c>
      <c r="AD254" s="24">
        <f>IF(OR(O254="",O254=0),"",N(R254)/O254)</f>
        <v>0</v>
      </c>
      <c r="AE254" s="24">
        <f>IF(OR(O254="",O254=0),"",N(U254)/O254)</f>
        <v>0</v>
      </c>
      <c r="AF254" s="24">
        <f>IF(OR(U254="",U254=0),"",N(W254)/U254)</f>
        <v>0</v>
      </c>
      <c r="AG254" s="25">
        <f>IF(OR(O254="",O254=0),"",N(X254)/(O254/1000))</f>
        <v>0</v>
      </c>
      <c r="AH254" s="24">
        <f>IF(O254="","",IF(Y254="",TargetEngagement,Y254))</f>
        <v>0</v>
      </c>
      <c r="AI254" s="24">
        <f>IF(OR(AA254="",AH254=""),"",AA254-AH254)</f>
        <v>0</v>
      </c>
      <c r="AJ254" s="31">
        <f>IF(AA254="","",AA254+ROW()/1000000)</f>
        <v>0</v>
      </c>
      <c r="AK254" s="23">
        <f>IF(AA254="","",RANK(AJ254,Performance!$AJ$5:$AJ$404))</f>
        <v>0</v>
      </c>
      <c r="AL254" s="29">
        <f>IF(AA254="","",IF(AA254&gt;=AH254*1.5,"Top performer",IF(AA254&gt;=AH254,"Above target",IF(AA254&gt;=AH254*0.6,"Below target","Weak - review it"))))</f>
        <v>0</v>
      </c>
      <c r="AM254" s="29">
        <f>IF(B254="","",IF(COUNTIF(Performance!$B$5:$B$404,B254)&gt;1,"Duplicate","OK"))</f>
        <v>0</v>
      </c>
      <c r="AN254" s="29">
        <f>IF(B254="","",IF(C254="Not found","Check - content ID not on the calendar",IF(O254="","Add - no numbers entered yet",IF(AM254="Duplicate","Duplicate - this post is entered twice",IF(AL254="Top performer","Repurpose this one","OK")))))</f>
        <v>0</v>
      </c>
    </row>
    <row r="255" spans="1:40">
      <c r="A255" s="41">
        <f>IF(B255="","","PF-"&amp;TEXT(ROW()-4,"0000"))</f>
        <v>0</v>
      </c>
      <c r="C255" s="17">
        <f>IF(B255="","",IFERROR(INDEX('Content Calendar'!$H$5:$H$604,MATCH(B255,'Content Calendar'!$A$5:$A$604,0)),"Not found"))</f>
        <v>0</v>
      </c>
      <c r="D255" s="16">
        <f>IF(B255="","",IFERROR(INDEX('Content Calendar'!$B$5:$B$604,MATCH(B255,'Content Calendar'!$A$5:$A$604,0)),"Not found"))</f>
        <v>0</v>
      </c>
      <c r="E255" s="17">
        <f>IF(B255="","",IFERROR(INDEX('Content Calendar'!$D$5:$D$604,MATCH(B255,'Content Calendar'!$A$5:$A$604,0)),"Not found"))</f>
        <v>0</v>
      </c>
      <c r="F255" s="17">
        <f>IF(B255="","",IFERROR(INDEX('Content Calendar'!$G$5:$G$604,MATCH(B255,'Content Calendar'!$A$5:$A$604,0)),"Not found"))</f>
        <v>0</v>
      </c>
      <c r="G255" s="17">
        <f>IF(B255="","",IFERROR(INDEX('Content Calendar'!$K$5:$K$604,MATCH(B255,'Content Calendar'!$A$5:$A$604,0)),"Not found"))</f>
        <v>0</v>
      </c>
      <c r="H255" s="17">
        <f>IF(B255="","",IFERROR(INDEX('Content Calendar'!$J$5:$J$604,MATCH(B255,'Content Calendar'!$A$5:$A$604,0)),"Not found"))</f>
        <v>0</v>
      </c>
      <c r="I255" s="17">
        <f>IF(B255="","",IFERROR(INDEX('Content Calendar'!$L$5:$L$604,MATCH(B255,'Content Calendar'!$A$5:$A$604,0)),"Not found"))</f>
        <v>0</v>
      </c>
      <c r="J255" s="17">
        <f>IF(B255="","",IFERROR(INDEX('Content Calendar'!$P$5:$P$604,MATCH(B255,'Content Calendar'!$A$5:$A$604,0)),"Not found"))</f>
        <v>0</v>
      </c>
      <c r="K255" s="17">
        <f>IF(B255="","",IFERROR(INDEX('Content Calendar'!$O$5:$O$604,MATCH(B255,'Content Calendar'!$A$5:$A$604,0)),"Not found"))</f>
        <v>0</v>
      </c>
      <c r="L255" s="17">
        <f>IF(B255="","",IFERROR(INDEX('Content Calendar'!$N$5:$N$604,MATCH(B255,'Content Calendar'!$A$5:$A$604,0)),"Not found"))</f>
        <v>0</v>
      </c>
      <c r="M255" s="17">
        <f>IF(B255="","",IFERROR(INDEX('Content Calendar'!$C$5:$C$604,MATCH(B255,'Content Calendar'!$A$5:$A$604,0)),"Not found"))</f>
        <v>0</v>
      </c>
      <c r="N255" s="17">
        <f>IF(B255="","",IFERROR(INDEX('Content Calendar'!$F$5:$F$604,MATCH(B255,'Content Calendar'!$A$5:$A$604,0)),"Not found"))</f>
        <v>0</v>
      </c>
      <c r="Z255" s="23">
        <f>IF(O255="","",N(Q255)+N(R255)+N(S255)+N(T255))</f>
        <v>0</v>
      </c>
      <c r="AA255" s="24">
        <f>IF(OR(O255="",O255=0),"",Z255/O255)</f>
        <v>0</v>
      </c>
      <c r="AB255" s="24">
        <f>IF(OR(O255="",O255=0),"",N(T255)/O255)</f>
        <v>0</v>
      </c>
      <c r="AC255" s="24">
        <f>IF(OR(O255="",O255=0),"",N(S255)/O255)</f>
        <v>0</v>
      </c>
      <c r="AD255" s="24">
        <f>IF(OR(O255="",O255=0),"",N(R255)/O255)</f>
        <v>0</v>
      </c>
      <c r="AE255" s="24">
        <f>IF(OR(O255="",O255=0),"",N(U255)/O255)</f>
        <v>0</v>
      </c>
      <c r="AF255" s="24">
        <f>IF(OR(U255="",U255=0),"",N(W255)/U255)</f>
        <v>0</v>
      </c>
      <c r="AG255" s="25">
        <f>IF(OR(O255="",O255=0),"",N(X255)/(O255/1000))</f>
        <v>0</v>
      </c>
      <c r="AH255" s="24">
        <f>IF(O255="","",IF(Y255="",TargetEngagement,Y255))</f>
        <v>0</v>
      </c>
      <c r="AI255" s="24">
        <f>IF(OR(AA255="",AH255=""),"",AA255-AH255)</f>
        <v>0</v>
      </c>
      <c r="AJ255" s="31">
        <f>IF(AA255="","",AA255+ROW()/1000000)</f>
        <v>0</v>
      </c>
      <c r="AK255" s="23">
        <f>IF(AA255="","",RANK(AJ255,Performance!$AJ$5:$AJ$404))</f>
        <v>0</v>
      </c>
      <c r="AL255" s="29">
        <f>IF(AA255="","",IF(AA255&gt;=AH255*1.5,"Top performer",IF(AA255&gt;=AH255,"Above target",IF(AA255&gt;=AH255*0.6,"Below target","Weak - review it"))))</f>
        <v>0</v>
      </c>
      <c r="AM255" s="29">
        <f>IF(B255="","",IF(COUNTIF(Performance!$B$5:$B$404,B255)&gt;1,"Duplicate","OK"))</f>
        <v>0</v>
      </c>
      <c r="AN255" s="29">
        <f>IF(B255="","",IF(C255="Not found","Check - content ID not on the calendar",IF(O255="","Add - no numbers entered yet",IF(AM255="Duplicate","Duplicate - this post is entered twice",IF(AL255="Top performer","Repurpose this one","OK")))))</f>
        <v>0</v>
      </c>
    </row>
    <row r="256" spans="1:40">
      <c r="A256" s="41">
        <f>IF(B256="","","PF-"&amp;TEXT(ROW()-4,"0000"))</f>
        <v>0</v>
      </c>
      <c r="C256" s="17">
        <f>IF(B256="","",IFERROR(INDEX('Content Calendar'!$H$5:$H$604,MATCH(B256,'Content Calendar'!$A$5:$A$604,0)),"Not found"))</f>
        <v>0</v>
      </c>
      <c r="D256" s="16">
        <f>IF(B256="","",IFERROR(INDEX('Content Calendar'!$B$5:$B$604,MATCH(B256,'Content Calendar'!$A$5:$A$604,0)),"Not found"))</f>
        <v>0</v>
      </c>
      <c r="E256" s="17">
        <f>IF(B256="","",IFERROR(INDEX('Content Calendar'!$D$5:$D$604,MATCH(B256,'Content Calendar'!$A$5:$A$604,0)),"Not found"))</f>
        <v>0</v>
      </c>
      <c r="F256" s="17">
        <f>IF(B256="","",IFERROR(INDEX('Content Calendar'!$G$5:$G$604,MATCH(B256,'Content Calendar'!$A$5:$A$604,0)),"Not found"))</f>
        <v>0</v>
      </c>
      <c r="G256" s="17">
        <f>IF(B256="","",IFERROR(INDEX('Content Calendar'!$K$5:$K$604,MATCH(B256,'Content Calendar'!$A$5:$A$604,0)),"Not found"))</f>
        <v>0</v>
      </c>
      <c r="H256" s="17">
        <f>IF(B256="","",IFERROR(INDEX('Content Calendar'!$J$5:$J$604,MATCH(B256,'Content Calendar'!$A$5:$A$604,0)),"Not found"))</f>
        <v>0</v>
      </c>
      <c r="I256" s="17">
        <f>IF(B256="","",IFERROR(INDEX('Content Calendar'!$L$5:$L$604,MATCH(B256,'Content Calendar'!$A$5:$A$604,0)),"Not found"))</f>
        <v>0</v>
      </c>
      <c r="J256" s="17">
        <f>IF(B256="","",IFERROR(INDEX('Content Calendar'!$P$5:$P$604,MATCH(B256,'Content Calendar'!$A$5:$A$604,0)),"Not found"))</f>
        <v>0</v>
      </c>
      <c r="K256" s="17">
        <f>IF(B256="","",IFERROR(INDEX('Content Calendar'!$O$5:$O$604,MATCH(B256,'Content Calendar'!$A$5:$A$604,0)),"Not found"))</f>
        <v>0</v>
      </c>
      <c r="L256" s="17">
        <f>IF(B256="","",IFERROR(INDEX('Content Calendar'!$N$5:$N$604,MATCH(B256,'Content Calendar'!$A$5:$A$604,0)),"Not found"))</f>
        <v>0</v>
      </c>
      <c r="M256" s="17">
        <f>IF(B256="","",IFERROR(INDEX('Content Calendar'!$C$5:$C$604,MATCH(B256,'Content Calendar'!$A$5:$A$604,0)),"Not found"))</f>
        <v>0</v>
      </c>
      <c r="N256" s="17">
        <f>IF(B256="","",IFERROR(INDEX('Content Calendar'!$F$5:$F$604,MATCH(B256,'Content Calendar'!$A$5:$A$604,0)),"Not found"))</f>
        <v>0</v>
      </c>
      <c r="Z256" s="23">
        <f>IF(O256="","",N(Q256)+N(R256)+N(S256)+N(T256))</f>
        <v>0</v>
      </c>
      <c r="AA256" s="24">
        <f>IF(OR(O256="",O256=0),"",Z256/O256)</f>
        <v>0</v>
      </c>
      <c r="AB256" s="24">
        <f>IF(OR(O256="",O256=0),"",N(T256)/O256)</f>
        <v>0</v>
      </c>
      <c r="AC256" s="24">
        <f>IF(OR(O256="",O256=0),"",N(S256)/O256)</f>
        <v>0</v>
      </c>
      <c r="AD256" s="24">
        <f>IF(OR(O256="",O256=0),"",N(R256)/O256)</f>
        <v>0</v>
      </c>
      <c r="AE256" s="24">
        <f>IF(OR(O256="",O256=0),"",N(U256)/O256)</f>
        <v>0</v>
      </c>
      <c r="AF256" s="24">
        <f>IF(OR(U256="",U256=0),"",N(W256)/U256)</f>
        <v>0</v>
      </c>
      <c r="AG256" s="25">
        <f>IF(OR(O256="",O256=0),"",N(X256)/(O256/1000))</f>
        <v>0</v>
      </c>
      <c r="AH256" s="24">
        <f>IF(O256="","",IF(Y256="",TargetEngagement,Y256))</f>
        <v>0</v>
      </c>
      <c r="AI256" s="24">
        <f>IF(OR(AA256="",AH256=""),"",AA256-AH256)</f>
        <v>0</v>
      </c>
      <c r="AJ256" s="31">
        <f>IF(AA256="","",AA256+ROW()/1000000)</f>
        <v>0</v>
      </c>
      <c r="AK256" s="23">
        <f>IF(AA256="","",RANK(AJ256,Performance!$AJ$5:$AJ$404))</f>
        <v>0</v>
      </c>
      <c r="AL256" s="29">
        <f>IF(AA256="","",IF(AA256&gt;=AH256*1.5,"Top performer",IF(AA256&gt;=AH256,"Above target",IF(AA256&gt;=AH256*0.6,"Below target","Weak - review it"))))</f>
        <v>0</v>
      </c>
      <c r="AM256" s="29">
        <f>IF(B256="","",IF(COUNTIF(Performance!$B$5:$B$404,B256)&gt;1,"Duplicate","OK"))</f>
        <v>0</v>
      </c>
      <c r="AN256" s="29">
        <f>IF(B256="","",IF(C256="Not found","Check - content ID not on the calendar",IF(O256="","Add - no numbers entered yet",IF(AM256="Duplicate","Duplicate - this post is entered twice",IF(AL256="Top performer","Repurpose this one","OK")))))</f>
        <v>0</v>
      </c>
    </row>
    <row r="257" spans="1:40">
      <c r="A257" s="41">
        <f>IF(B257="","","PF-"&amp;TEXT(ROW()-4,"0000"))</f>
        <v>0</v>
      </c>
      <c r="C257" s="17">
        <f>IF(B257="","",IFERROR(INDEX('Content Calendar'!$H$5:$H$604,MATCH(B257,'Content Calendar'!$A$5:$A$604,0)),"Not found"))</f>
        <v>0</v>
      </c>
      <c r="D257" s="16">
        <f>IF(B257="","",IFERROR(INDEX('Content Calendar'!$B$5:$B$604,MATCH(B257,'Content Calendar'!$A$5:$A$604,0)),"Not found"))</f>
        <v>0</v>
      </c>
      <c r="E257" s="17">
        <f>IF(B257="","",IFERROR(INDEX('Content Calendar'!$D$5:$D$604,MATCH(B257,'Content Calendar'!$A$5:$A$604,0)),"Not found"))</f>
        <v>0</v>
      </c>
      <c r="F257" s="17">
        <f>IF(B257="","",IFERROR(INDEX('Content Calendar'!$G$5:$G$604,MATCH(B257,'Content Calendar'!$A$5:$A$604,0)),"Not found"))</f>
        <v>0</v>
      </c>
      <c r="G257" s="17">
        <f>IF(B257="","",IFERROR(INDEX('Content Calendar'!$K$5:$K$604,MATCH(B257,'Content Calendar'!$A$5:$A$604,0)),"Not found"))</f>
        <v>0</v>
      </c>
      <c r="H257" s="17">
        <f>IF(B257="","",IFERROR(INDEX('Content Calendar'!$J$5:$J$604,MATCH(B257,'Content Calendar'!$A$5:$A$604,0)),"Not found"))</f>
        <v>0</v>
      </c>
      <c r="I257" s="17">
        <f>IF(B257="","",IFERROR(INDEX('Content Calendar'!$L$5:$L$604,MATCH(B257,'Content Calendar'!$A$5:$A$604,0)),"Not found"))</f>
        <v>0</v>
      </c>
      <c r="J257" s="17">
        <f>IF(B257="","",IFERROR(INDEX('Content Calendar'!$P$5:$P$604,MATCH(B257,'Content Calendar'!$A$5:$A$604,0)),"Not found"))</f>
        <v>0</v>
      </c>
      <c r="K257" s="17">
        <f>IF(B257="","",IFERROR(INDEX('Content Calendar'!$O$5:$O$604,MATCH(B257,'Content Calendar'!$A$5:$A$604,0)),"Not found"))</f>
        <v>0</v>
      </c>
      <c r="L257" s="17">
        <f>IF(B257="","",IFERROR(INDEX('Content Calendar'!$N$5:$N$604,MATCH(B257,'Content Calendar'!$A$5:$A$604,0)),"Not found"))</f>
        <v>0</v>
      </c>
      <c r="M257" s="17">
        <f>IF(B257="","",IFERROR(INDEX('Content Calendar'!$C$5:$C$604,MATCH(B257,'Content Calendar'!$A$5:$A$604,0)),"Not found"))</f>
        <v>0</v>
      </c>
      <c r="N257" s="17">
        <f>IF(B257="","",IFERROR(INDEX('Content Calendar'!$F$5:$F$604,MATCH(B257,'Content Calendar'!$A$5:$A$604,0)),"Not found"))</f>
        <v>0</v>
      </c>
      <c r="Z257" s="23">
        <f>IF(O257="","",N(Q257)+N(R257)+N(S257)+N(T257))</f>
        <v>0</v>
      </c>
      <c r="AA257" s="24">
        <f>IF(OR(O257="",O257=0),"",Z257/O257)</f>
        <v>0</v>
      </c>
      <c r="AB257" s="24">
        <f>IF(OR(O257="",O257=0),"",N(T257)/O257)</f>
        <v>0</v>
      </c>
      <c r="AC257" s="24">
        <f>IF(OR(O257="",O257=0),"",N(S257)/O257)</f>
        <v>0</v>
      </c>
      <c r="AD257" s="24">
        <f>IF(OR(O257="",O257=0),"",N(R257)/O257)</f>
        <v>0</v>
      </c>
      <c r="AE257" s="24">
        <f>IF(OR(O257="",O257=0),"",N(U257)/O257)</f>
        <v>0</v>
      </c>
      <c r="AF257" s="24">
        <f>IF(OR(U257="",U257=0),"",N(W257)/U257)</f>
        <v>0</v>
      </c>
      <c r="AG257" s="25">
        <f>IF(OR(O257="",O257=0),"",N(X257)/(O257/1000))</f>
        <v>0</v>
      </c>
      <c r="AH257" s="24">
        <f>IF(O257="","",IF(Y257="",TargetEngagement,Y257))</f>
        <v>0</v>
      </c>
      <c r="AI257" s="24">
        <f>IF(OR(AA257="",AH257=""),"",AA257-AH257)</f>
        <v>0</v>
      </c>
      <c r="AJ257" s="31">
        <f>IF(AA257="","",AA257+ROW()/1000000)</f>
        <v>0</v>
      </c>
      <c r="AK257" s="23">
        <f>IF(AA257="","",RANK(AJ257,Performance!$AJ$5:$AJ$404))</f>
        <v>0</v>
      </c>
      <c r="AL257" s="29">
        <f>IF(AA257="","",IF(AA257&gt;=AH257*1.5,"Top performer",IF(AA257&gt;=AH257,"Above target",IF(AA257&gt;=AH257*0.6,"Below target","Weak - review it"))))</f>
        <v>0</v>
      </c>
      <c r="AM257" s="29">
        <f>IF(B257="","",IF(COUNTIF(Performance!$B$5:$B$404,B257)&gt;1,"Duplicate","OK"))</f>
        <v>0</v>
      </c>
      <c r="AN257" s="29">
        <f>IF(B257="","",IF(C257="Not found","Check - content ID not on the calendar",IF(O257="","Add - no numbers entered yet",IF(AM257="Duplicate","Duplicate - this post is entered twice",IF(AL257="Top performer","Repurpose this one","OK")))))</f>
        <v>0</v>
      </c>
    </row>
    <row r="258" spans="1:40">
      <c r="A258" s="41">
        <f>IF(B258="","","PF-"&amp;TEXT(ROW()-4,"0000"))</f>
        <v>0</v>
      </c>
      <c r="C258" s="17">
        <f>IF(B258="","",IFERROR(INDEX('Content Calendar'!$H$5:$H$604,MATCH(B258,'Content Calendar'!$A$5:$A$604,0)),"Not found"))</f>
        <v>0</v>
      </c>
      <c r="D258" s="16">
        <f>IF(B258="","",IFERROR(INDEX('Content Calendar'!$B$5:$B$604,MATCH(B258,'Content Calendar'!$A$5:$A$604,0)),"Not found"))</f>
        <v>0</v>
      </c>
      <c r="E258" s="17">
        <f>IF(B258="","",IFERROR(INDEX('Content Calendar'!$D$5:$D$604,MATCH(B258,'Content Calendar'!$A$5:$A$604,0)),"Not found"))</f>
        <v>0</v>
      </c>
      <c r="F258" s="17">
        <f>IF(B258="","",IFERROR(INDEX('Content Calendar'!$G$5:$G$604,MATCH(B258,'Content Calendar'!$A$5:$A$604,0)),"Not found"))</f>
        <v>0</v>
      </c>
      <c r="G258" s="17">
        <f>IF(B258="","",IFERROR(INDEX('Content Calendar'!$K$5:$K$604,MATCH(B258,'Content Calendar'!$A$5:$A$604,0)),"Not found"))</f>
        <v>0</v>
      </c>
      <c r="H258" s="17">
        <f>IF(B258="","",IFERROR(INDEX('Content Calendar'!$J$5:$J$604,MATCH(B258,'Content Calendar'!$A$5:$A$604,0)),"Not found"))</f>
        <v>0</v>
      </c>
      <c r="I258" s="17">
        <f>IF(B258="","",IFERROR(INDEX('Content Calendar'!$L$5:$L$604,MATCH(B258,'Content Calendar'!$A$5:$A$604,0)),"Not found"))</f>
        <v>0</v>
      </c>
      <c r="J258" s="17">
        <f>IF(B258="","",IFERROR(INDEX('Content Calendar'!$P$5:$P$604,MATCH(B258,'Content Calendar'!$A$5:$A$604,0)),"Not found"))</f>
        <v>0</v>
      </c>
      <c r="K258" s="17">
        <f>IF(B258="","",IFERROR(INDEX('Content Calendar'!$O$5:$O$604,MATCH(B258,'Content Calendar'!$A$5:$A$604,0)),"Not found"))</f>
        <v>0</v>
      </c>
      <c r="L258" s="17">
        <f>IF(B258="","",IFERROR(INDEX('Content Calendar'!$N$5:$N$604,MATCH(B258,'Content Calendar'!$A$5:$A$604,0)),"Not found"))</f>
        <v>0</v>
      </c>
      <c r="M258" s="17">
        <f>IF(B258="","",IFERROR(INDEX('Content Calendar'!$C$5:$C$604,MATCH(B258,'Content Calendar'!$A$5:$A$604,0)),"Not found"))</f>
        <v>0</v>
      </c>
      <c r="N258" s="17">
        <f>IF(B258="","",IFERROR(INDEX('Content Calendar'!$F$5:$F$604,MATCH(B258,'Content Calendar'!$A$5:$A$604,0)),"Not found"))</f>
        <v>0</v>
      </c>
      <c r="Z258" s="23">
        <f>IF(O258="","",N(Q258)+N(R258)+N(S258)+N(T258))</f>
        <v>0</v>
      </c>
      <c r="AA258" s="24">
        <f>IF(OR(O258="",O258=0),"",Z258/O258)</f>
        <v>0</v>
      </c>
      <c r="AB258" s="24">
        <f>IF(OR(O258="",O258=0),"",N(T258)/O258)</f>
        <v>0</v>
      </c>
      <c r="AC258" s="24">
        <f>IF(OR(O258="",O258=0),"",N(S258)/O258)</f>
        <v>0</v>
      </c>
      <c r="AD258" s="24">
        <f>IF(OR(O258="",O258=0),"",N(R258)/O258)</f>
        <v>0</v>
      </c>
      <c r="AE258" s="24">
        <f>IF(OR(O258="",O258=0),"",N(U258)/O258)</f>
        <v>0</v>
      </c>
      <c r="AF258" s="24">
        <f>IF(OR(U258="",U258=0),"",N(W258)/U258)</f>
        <v>0</v>
      </c>
      <c r="AG258" s="25">
        <f>IF(OR(O258="",O258=0),"",N(X258)/(O258/1000))</f>
        <v>0</v>
      </c>
      <c r="AH258" s="24">
        <f>IF(O258="","",IF(Y258="",TargetEngagement,Y258))</f>
        <v>0</v>
      </c>
      <c r="AI258" s="24">
        <f>IF(OR(AA258="",AH258=""),"",AA258-AH258)</f>
        <v>0</v>
      </c>
      <c r="AJ258" s="31">
        <f>IF(AA258="","",AA258+ROW()/1000000)</f>
        <v>0</v>
      </c>
      <c r="AK258" s="23">
        <f>IF(AA258="","",RANK(AJ258,Performance!$AJ$5:$AJ$404))</f>
        <v>0</v>
      </c>
      <c r="AL258" s="29">
        <f>IF(AA258="","",IF(AA258&gt;=AH258*1.5,"Top performer",IF(AA258&gt;=AH258,"Above target",IF(AA258&gt;=AH258*0.6,"Below target","Weak - review it"))))</f>
        <v>0</v>
      </c>
      <c r="AM258" s="29">
        <f>IF(B258="","",IF(COUNTIF(Performance!$B$5:$B$404,B258)&gt;1,"Duplicate","OK"))</f>
        <v>0</v>
      </c>
      <c r="AN258" s="29">
        <f>IF(B258="","",IF(C258="Not found","Check - content ID not on the calendar",IF(O258="","Add - no numbers entered yet",IF(AM258="Duplicate","Duplicate - this post is entered twice",IF(AL258="Top performer","Repurpose this one","OK")))))</f>
        <v>0</v>
      </c>
    </row>
    <row r="259" spans="1:40">
      <c r="A259" s="41">
        <f>IF(B259="","","PF-"&amp;TEXT(ROW()-4,"0000"))</f>
        <v>0</v>
      </c>
      <c r="C259" s="17">
        <f>IF(B259="","",IFERROR(INDEX('Content Calendar'!$H$5:$H$604,MATCH(B259,'Content Calendar'!$A$5:$A$604,0)),"Not found"))</f>
        <v>0</v>
      </c>
      <c r="D259" s="16">
        <f>IF(B259="","",IFERROR(INDEX('Content Calendar'!$B$5:$B$604,MATCH(B259,'Content Calendar'!$A$5:$A$604,0)),"Not found"))</f>
        <v>0</v>
      </c>
      <c r="E259" s="17">
        <f>IF(B259="","",IFERROR(INDEX('Content Calendar'!$D$5:$D$604,MATCH(B259,'Content Calendar'!$A$5:$A$604,0)),"Not found"))</f>
        <v>0</v>
      </c>
      <c r="F259" s="17">
        <f>IF(B259="","",IFERROR(INDEX('Content Calendar'!$G$5:$G$604,MATCH(B259,'Content Calendar'!$A$5:$A$604,0)),"Not found"))</f>
        <v>0</v>
      </c>
      <c r="G259" s="17">
        <f>IF(B259="","",IFERROR(INDEX('Content Calendar'!$K$5:$K$604,MATCH(B259,'Content Calendar'!$A$5:$A$604,0)),"Not found"))</f>
        <v>0</v>
      </c>
      <c r="H259" s="17">
        <f>IF(B259="","",IFERROR(INDEX('Content Calendar'!$J$5:$J$604,MATCH(B259,'Content Calendar'!$A$5:$A$604,0)),"Not found"))</f>
        <v>0</v>
      </c>
      <c r="I259" s="17">
        <f>IF(B259="","",IFERROR(INDEX('Content Calendar'!$L$5:$L$604,MATCH(B259,'Content Calendar'!$A$5:$A$604,0)),"Not found"))</f>
        <v>0</v>
      </c>
      <c r="J259" s="17">
        <f>IF(B259="","",IFERROR(INDEX('Content Calendar'!$P$5:$P$604,MATCH(B259,'Content Calendar'!$A$5:$A$604,0)),"Not found"))</f>
        <v>0</v>
      </c>
      <c r="K259" s="17">
        <f>IF(B259="","",IFERROR(INDEX('Content Calendar'!$O$5:$O$604,MATCH(B259,'Content Calendar'!$A$5:$A$604,0)),"Not found"))</f>
        <v>0</v>
      </c>
      <c r="L259" s="17">
        <f>IF(B259="","",IFERROR(INDEX('Content Calendar'!$N$5:$N$604,MATCH(B259,'Content Calendar'!$A$5:$A$604,0)),"Not found"))</f>
        <v>0</v>
      </c>
      <c r="M259" s="17">
        <f>IF(B259="","",IFERROR(INDEX('Content Calendar'!$C$5:$C$604,MATCH(B259,'Content Calendar'!$A$5:$A$604,0)),"Not found"))</f>
        <v>0</v>
      </c>
      <c r="N259" s="17">
        <f>IF(B259="","",IFERROR(INDEX('Content Calendar'!$F$5:$F$604,MATCH(B259,'Content Calendar'!$A$5:$A$604,0)),"Not found"))</f>
        <v>0</v>
      </c>
      <c r="Z259" s="23">
        <f>IF(O259="","",N(Q259)+N(R259)+N(S259)+N(T259))</f>
        <v>0</v>
      </c>
      <c r="AA259" s="24">
        <f>IF(OR(O259="",O259=0),"",Z259/O259)</f>
        <v>0</v>
      </c>
      <c r="AB259" s="24">
        <f>IF(OR(O259="",O259=0),"",N(T259)/O259)</f>
        <v>0</v>
      </c>
      <c r="AC259" s="24">
        <f>IF(OR(O259="",O259=0),"",N(S259)/O259)</f>
        <v>0</v>
      </c>
      <c r="AD259" s="24">
        <f>IF(OR(O259="",O259=0),"",N(R259)/O259)</f>
        <v>0</v>
      </c>
      <c r="AE259" s="24">
        <f>IF(OR(O259="",O259=0),"",N(U259)/O259)</f>
        <v>0</v>
      </c>
      <c r="AF259" s="24">
        <f>IF(OR(U259="",U259=0),"",N(W259)/U259)</f>
        <v>0</v>
      </c>
      <c r="AG259" s="25">
        <f>IF(OR(O259="",O259=0),"",N(X259)/(O259/1000))</f>
        <v>0</v>
      </c>
      <c r="AH259" s="24">
        <f>IF(O259="","",IF(Y259="",TargetEngagement,Y259))</f>
        <v>0</v>
      </c>
      <c r="AI259" s="24">
        <f>IF(OR(AA259="",AH259=""),"",AA259-AH259)</f>
        <v>0</v>
      </c>
      <c r="AJ259" s="31">
        <f>IF(AA259="","",AA259+ROW()/1000000)</f>
        <v>0</v>
      </c>
      <c r="AK259" s="23">
        <f>IF(AA259="","",RANK(AJ259,Performance!$AJ$5:$AJ$404))</f>
        <v>0</v>
      </c>
      <c r="AL259" s="29">
        <f>IF(AA259="","",IF(AA259&gt;=AH259*1.5,"Top performer",IF(AA259&gt;=AH259,"Above target",IF(AA259&gt;=AH259*0.6,"Below target","Weak - review it"))))</f>
        <v>0</v>
      </c>
      <c r="AM259" s="29">
        <f>IF(B259="","",IF(COUNTIF(Performance!$B$5:$B$404,B259)&gt;1,"Duplicate","OK"))</f>
        <v>0</v>
      </c>
      <c r="AN259" s="29">
        <f>IF(B259="","",IF(C259="Not found","Check - content ID not on the calendar",IF(O259="","Add - no numbers entered yet",IF(AM259="Duplicate","Duplicate - this post is entered twice",IF(AL259="Top performer","Repurpose this one","OK")))))</f>
        <v>0</v>
      </c>
    </row>
    <row r="260" spans="1:40">
      <c r="A260" s="41">
        <f>IF(B260="","","PF-"&amp;TEXT(ROW()-4,"0000"))</f>
        <v>0</v>
      </c>
      <c r="C260" s="17">
        <f>IF(B260="","",IFERROR(INDEX('Content Calendar'!$H$5:$H$604,MATCH(B260,'Content Calendar'!$A$5:$A$604,0)),"Not found"))</f>
        <v>0</v>
      </c>
      <c r="D260" s="16">
        <f>IF(B260="","",IFERROR(INDEX('Content Calendar'!$B$5:$B$604,MATCH(B260,'Content Calendar'!$A$5:$A$604,0)),"Not found"))</f>
        <v>0</v>
      </c>
      <c r="E260" s="17">
        <f>IF(B260="","",IFERROR(INDEX('Content Calendar'!$D$5:$D$604,MATCH(B260,'Content Calendar'!$A$5:$A$604,0)),"Not found"))</f>
        <v>0</v>
      </c>
      <c r="F260" s="17">
        <f>IF(B260="","",IFERROR(INDEX('Content Calendar'!$G$5:$G$604,MATCH(B260,'Content Calendar'!$A$5:$A$604,0)),"Not found"))</f>
        <v>0</v>
      </c>
      <c r="G260" s="17">
        <f>IF(B260="","",IFERROR(INDEX('Content Calendar'!$K$5:$K$604,MATCH(B260,'Content Calendar'!$A$5:$A$604,0)),"Not found"))</f>
        <v>0</v>
      </c>
      <c r="H260" s="17">
        <f>IF(B260="","",IFERROR(INDEX('Content Calendar'!$J$5:$J$604,MATCH(B260,'Content Calendar'!$A$5:$A$604,0)),"Not found"))</f>
        <v>0</v>
      </c>
      <c r="I260" s="17">
        <f>IF(B260="","",IFERROR(INDEX('Content Calendar'!$L$5:$L$604,MATCH(B260,'Content Calendar'!$A$5:$A$604,0)),"Not found"))</f>
        <v>0</v>
      </c>
      <c r="J260" s="17">
        <f>IF(B260="","",IFERROR(INDEX('Content Calendar'!$P$5:$P$604,MATCH(B260,'Content Calendar'!$A$5:$A$604,0)),"Not found"))</f>
        <v>0</v>
      </c>
      <c r="K260" s="17">
        <f>IF(B260="","",IFERROR(INDEX('Content Calendar'!$O$5:$O$604,MATCH(B260,'Content Calendar'!$A$5:$A$604,0)),"Not found"))</f>
        <v>0</v>
      </c>
      <c r="L260" s="17">
        <f>IF(B260="","",IFERROR(INDEX('Content Calendar'!$N$5:$N$604,MATCH(B260,'Content Calendar'!$A$5:$A$604,0)),"Not found"))</f>
        <v>0</v>
      </c>
      <c r="M260" s="17">
        <f>IF(B260="","",IFERROR(INDEX('Content Calendar'!$C$5:$C$604,MATCH(B260,'Content Calendar'!$A$5:$A$604,0)),"Not found"))</f>
        <v>0</v>
      </c>
      <c r="N260" s="17">
        <f>IF(B260="","",IFERROR(INDEX('Content Calendar'!$F$5:$F$604,MATCH(B260,'Content Calendar'!$A$5:$A$604,0)),"Not found"))</f>
        <v>0</v>
      </c>
      <c r="Z260" s="23">
        <f>IF(O260="","",N(Q260)+N(R260)+N(S260)+N(T260))</f>
        <v>0</v>
      </c>
      <c r="AA260" s="24">
        <f>IF(OR(O260="",O260=0),"",Z260/O260)</f>
        <v>0</v>
      </c>
      <c r="AB260" s="24">
        <f>IF(OR(O260="",O260=0),"",N(T260)/O260)</f>
        <v>0</v>
      </c>
      <c r="AC260" s="24">
        <f>IF(OR(O260="",O260=0),"",N(S260)/O260)</f>
        <v>0</v>
      </c>
      <c r="AD260" s="24">
        <f>IF(OR(O260="",O260=0),"",N(R260)/O260)</f>
        <v>0</v>
      </c>
      <c r="AE260" s="24">
        <f>IF(OR(O260="",O260=0),"",N(U260)/O260)</f>
        <v>0</v>
      </c>
      <c r="AF260" s="24">
        <f>IF(OR(U260="",U260=0),"",N(W260)/U260)</f>
        <v>0</v>
      </c>
      <c r="AG260" s="25">
        <f>IF(OR(O260="",O260=0),"",N(X260)/(O260/1000))</f>
        <v>0</v>
      </c>
      <c r="AH260" s="24">
        <f>IF(O260="","",IF(Y260="",TargetEngagement,Y260))</f>
        <v>0</v>
      </c>
      <c r="AI260" s="24">
        <f>IF(OR(AA260="",AH260=""),"",AA260-AH260)</f>
        <v>0</v>
      </c>
      <c r="AJ260" s="31">
        <f>IF(AA260="","",AA260+ROW()/1000000)</f>
        <v>0</v>
      </c>
      <c r="AK260" s="23">
        <f>IF(AA260="","",RANK(AJ260,Performance!$AJ$5:$AJ$404))</f>
        <v>0</v>
      </c>
      <c r="AL260" s="29">
        <f>IF(AA260="","",IF(AA260&gt;=AH260*1.5,"Top performer",IF(AA260&gt;=AH260,"Above target",IF(AA260&gt;=AH260*0.6,"Below target","Weak - review it"))))</f>
        <v>0</v>
      </c>
      <c r="AM260" s="29">
        <f>IF(B260="","",IF(COUNTIF(Performance!$B$5:$B$404,B260)&gt;1,"Duplicate","OK"))</f>
        <v>0</v>
      </c>
      <c r="AN260" s="29">
        <f>IF(B260="","",IF(C260="Not found","Check - content ID not on the calendar",IF(O260="","Add - no numbers entered yet",IF(AM260="Duplicate","Duplicate - this post is entered twice",IF(AL260="Top performer","Repurpose this one","OK")))))</f>
        <v>0</v>
      </c>
    </row>
    <row r="261" spans="1:40">
      <c r="A261" s="41">
        <f>IF(B261="","","PF-"&amp;TEXT(ROW()-4,"0000"))</f>
        <v>0</v>
      </c>
      <c r="C261" s="17">
        <f>IF(B261="","",IFERROR(INDEX('Content Calendar'!$H$5:$H$604,MATCH(B261,'Content Calendar'!$A$5:$A$604,0)),"Not found"))</f>
        <v>0</v>
      </c>
      <c r="D261" s="16">
        <f>IF(B261="","",IFERROR(INDEX('Content Calendar'!$B$5:$B$604,MATCH(B261,'Content Calendar'!$A$5:$A$604,0)),"Not found"))</f>
        <v>0</v>
      </c>
      <c r="E261" s="17">
        <f>IF(B261="","",IFERROR(INDEX('Content Calendar'!$D$5:$D$604,MATCH(B261,'Content Calendar'!$A$5:$A$604,0)),"Not found"))</f>
        <v>0</v>
      </c>
      <c r="F261" s="17">
        <f>IF(B261="","",IFERROR(INDEX('Content Calendar'!$G$5:$G$604,MATCH(B261,'Content Calendar'!$A$5:$A$604,0)),"Not found"))</f>
        <v>0</v>
      </c>
      <c r="G261" s="17">
        <f>IF(B261="","",IFERROR(INDEX('Content Calendar'!$K$5:$K$604,MATCH(B261,'Content Calendar'!$A$5:$A$604,0)),"Not found"))</f>
        <v>0</v>
      </c>
      <c r="H261" s="17">
        <f>IF(B261="","",IFERROR(INDEX('Content Calendar'!$J$5:$J$604,MATCH(B261,'Content Calendar'!$A$5:$A$604,0)),"Not found"))</f>
        <v>0</v>
      </c>
      <c r="I261" s="17">
        <f>IF(B261="","",IFERROR(INDEX('Content Calendar'!$L$5:$L$604,MATCH(B261,'Content Calendar'!$A$5:$A$604,0)),"Not found"))</f>
        <v>0</v>
      </c>
      <c r="J261" s="17">
        <f>IF(B261="","",IFERROR(INDEX('Content Calendar'!$P$5:$P$604,MATCH(B261,'Content Calendar'!$A$5:$A$604,0)),"Not found"))</f>
        <v>0</v>
      </c>
      <c r="K261" s="17">
        <f>IF(B261="","",IFERROR(INDEX('Content Calendar'!$O$5:$O$604,MATCH(B261,'Content Calendar'!$A$5:$A$604,0)),"Not found"))</f>
        <v>0</v>
      </c>
      <c r="L261" s="17">
        <f>IF(B261="","",IFERROR(INDEX('Content Calendar'!$N$5:$N$604,MATCH(B261,'Content Calendar'!$A$5:$A$604,0)),"Not found"))</f>
        <v>0</v>
      </c>
      <c r="M261" s="17">
        <f>IF(B261="","",IFERROR(INDEX('Content Calendar'!$C$5:$C$604,MATCH(B261,'Content Calendar'!$A$5:$A$604,0)),"Not found"))</f>
        <v>0</v>
      </c>
      <c r="N261" s="17">
        <f>IF(B261="","",IFERROR(INDEX('Content Calendar'!$F$5:$F$604,MATCH(B261,'Content Calendar'!$A$5:$A$604,0)),"Not found"))</f>
        <v>0</v>
      </c>
      <c r="Z261" s="23">
        <f>IF(O261="","",N(Q261)+N(R261)+N(S261)+N(T261))</f>
        <v>0</v>
      </c>
      <c r="AA261" s="24">
        <f>IF(OR(O261="",O261=0),"",Z261/O261)</f>
        <v>0</v>
      </c>
      <c r="AB261" s="24">
        <f>IF(OR(O261="",O261=0),"",N(T261)/O261)</f>
        <v>0</v>
      </c>
      <c r="AC261" s="24">
        <f>IF(OR(O261="",O261=0),"",N(S261)/O261)</f>
        <v>0</v>
      </c>
      <c r="AD261" s="24">
        <f>IF(OR(O261="",O261=0),"",N(R261)/O261)</f>
        <v>0</v>
      </c>
      <c r="AE261" s="24">
        <f>IF(OR(O261="",O261=0),"",N(U261)/O261)</f>
        <v>0</v>
      </c>
      <c r="AF261" s="24">
        <f>IF(OR(U261="",U261=0),"",N(W261)/U261)</f>
        <v>0</v>
      </c>
      <c r="AG261" s="25">
        <f>IF(OR(O261="",O261=0),"",N(X261)/(O261/1000))</f>
        <v>0</v>
      </c>
      <c r="AH261" s="24">
        <f>IF(O261="","",IF(Y261="",TargetEngagement,Y261))</f>
        <v>0</v>
      </c>
      <c r="AI261" s="24">
        <f>IF(OR(AA261="",AH261=""),"",AA261-AH261)</f>
        <v>0</v>
      </c>
      <c r="AJ261" s="31">
        <f>IF(AA261="","",AA261+ROW()/1000000)</f>
        <v>0</v>
      </c>
      <c r="AK261" s="23">
        <f>IF(AA261="","",RANK(AJ261,Performance!$AJ$5:$AJ$404))</f>
        <v>0</v>
      </c>
      <c r="AL261" s="29">
        <f>IF(AA261="","",IF(AA261&gt;=AH261*1.5,"Top performer",IF(AA261&gt;=AH261,"Above target",IF(AA261&gt;=AH261*0.6,"Below target","Weak - review it"))))</f>
        <v>0</v>
      </c>
      <c r="AM261" s="29">
        <f>IF(B261="","",IF(COUNTIF(Performance!$B$5:$B$404,B261)&gt;1,"Duplicate","OK"))</f>
        <v>0</v>
      </c>
      <c r="AN261" s="29">
        <f>IF(B261="","",IF(C261="Not found","Check - content ID not on the calendar",IF(O261="","Add - no numbers entered yet",IF(AM261="Duplicate","Duplicate - this post is entered twice",IF(AL261="Top performer","Repurpose this one","OK")))))</f>
        <v>0</v>
      </c>
    </row>
    <row r="262" spans="1:40">
      <c r="A262" s="41">
        <f>IF(B262="","","PF-"&amp;TEXT(ROW()-4,"0000"))</f>
        <v>0</v>
      </c>
      <c r="C262" s="17">
        <f>IF(B262="","",IFERROR(INDEX('Content Calendar'!$H$5:$H$604,MATCH(B262,'Content Calendar'!$A$5:$A$604,0)),"Not found"))</f>
        <v>0</v>
      </c>
      <c r="D262" s="16">
        <f>IF(B262="","",IFERROR(INDEX('Content Calendar'!$B$5:$B$604,MATCH(B262,'Content Calendar'!$A$5:$A$604,0)),"Not found"))</f>
        <v>0</v>
      </c>
      <c r="E262" s="17">
        <f>IF(B262="","",IFERROR(INDEX('Content Calendar'!$D$5:$D$604,MATCH(B262,'Content Calendar'!$A$5:$A$604,0)),"Not found"))</f>
        <v>0</v>
      </c>
      <c r="F262" s="17">
        <f>IF(B262="","",IFERROR(INDEX('Content Calendar'!$G$5:$G$604,MATCH(B262,'Content Calendar'!$A$5:$A$604,0)),"Not found"))</f>
        <v>0</v>
      </c>
      <c r="G262" s="17">
        <f>IF(B262="","",IFERROR(INDEX('Content Calendar'!$K$5:$K$604,MATCH(B262,'Content Calendar'!$A$5:$A$604,0)),"Not found"))</f>
        <v>0</v>
      </c>
      <c r="H262" s="17">
        <f>IF(B262="","",IFERROR(INDEX('Content Calendar'!$J$5:$J$604,MATCH(B262,'Content Calendar'!$A$5:$A$604,0)),"Not found"))</f>
        <v>0</v>
      </c>
      <c r="I262" s="17">
        <f>IF(B262="","",IFERROR(INDEX('Content Calendar'!$L$5:$L$604,MATCH(B262,'Content Calendar'!$A$5:$A$604,0)),"Not found"))</f>
        <v>0</v>
      </c>
      <c r="J262" s="17">
        <f>IF(B262="","",IFERROR(INDEX('Content Calendar'!$P$5:$P$604,MATCH(B262,'Content Calendar'!$A$5:$A$604,0)),"Not found"))</f>
        <v>0</v>
      </c>
      <c r="K262" s="17">
        <f>IF(B262="","",IFERROR(INDEX('Content Calendar'!$O$5:$O$604,MATCH(B262,'Content Calendar'!$A$5:$A$604,0)),"Not found"))</f>
        <v>0</v>
      </c>
      <c r="L262" s="17">
        <f>IF(B262="","",IFERROR(INDEX('Content Calendar'!$N$5:$N$604,MATCH(B262,'Content Calendar'!$A$5:$A$604,0)),"Not found"))</f>
        <v>0</v>
      </c>
      <c r="M262" s="17">
        <f>IF(B262="","",IFERROR(INDEX('Content Calendar'!$C$5:$C$604,MATCH(B262,'Content Calendar'!$A$5:$A$604,0)),"Not found"))</f>
        <v>0</v>
      </c>
      <c r="N262" s="17">
        <f>IF(B262="","",IFERROR(INDEX('Content Calendar'!$F$5:$F$604,MATCH(B262,'Content Calendar'!$A$5:$A$604,0)),"Not found"))</f>
        <v>0</v>
      </c>
      <c r="Z262" s="23">
        <f>IF(O262="","",N(Q262)+N(R262)+N(S262)+N(T262))</f>
        <v>0</v>
      </c>
      <c r="AA262" s="24">
        <f>IF(OR(O262="",O262=0),"",Z262/O262)</f>
        <v>0</v>
      </c>
      <c r="AB262" s="24">
        <f>IF(OR(O262="",O262=0),"",N(T262)/O262)</f>
        <v>0</v>
      </c>
      <c r="AC262" s="24">
        <f>IF(OR(O262="",O262=0),"",N(S262)/O262)</f>
        <v>0</v>
      </c>
      <c r="AD262" s="24">
        <f>IF(OR(O262="",O262=0),"",N(R262)/O262)</f>
        <v>0</v>
      </c>
      <c r="AE262" s="24">
        <f>IF(OR(O262="",O262=0),"",N(U262)/O262)</f>
        <v>0</v>
      </c>
      <c r="AF262" s="24">
        <f>IF(OR(U262="",U262=0),"",N(W262)/U262)</f>
        <v>0</v>
      </c>
      <c r="AG262" s="25">
        <f>IF(OR(O262="",O262=0),"",N(X262)/(O262/1000))</f>
        <v>0</v>
      </c>
      <c r="AH262" s="24">
        <f>IF(O262="","",IF(Y262="",TargetEngagement,Y262))</f>
        <v>0</v>
      </c>
      <c r="AI262" s="24">
        <f>IF(OR(AA262="",AH262=""),"",AA262-AH262)</f>
        <v>0</v>
      </c>
      <c r="AJ262" s="31">
        <f>IF(AA262="","",AA262+ROW()/1000000)</f>
        <v>0</v>
      </c>
      <c r="AK262" s="23">
        <f>IF(AA262="","",RANK(AJ262,Performance!$AJ$5:$AJ$404))</f>
        <v>0</v>
      </c>
      <c r="AL262" s="29">
        <f>IF(AA262="","",IF(AA262&gt;=AH262*1.5,"Top performer",IF(AA262&gt;=AH262,"Above target",IF(AA262&gt;=AH262*0.6,"Below target","Weak - review it"))))</f>
        <v>0</v>
      </c>
      <c r="AM262" s="29">
        <f>IF(B262="","",IF(COUNTIF(Performance!$B$5:$B$404,B262)&gt;1,"Duplicate","OK"))</f>
        <v>0</v>
      </c>
      <c r="AN262" s="29">
        <f>IF(B262="","",IF(C262="Not found","Check - content ID not on the calendar",IF(O262="","Add - no numbers entered yet",IF(AM262="Duplicate","Duplicate - this post is entered twice",IF(AL262="Top performer","Repurpose this one","OK")))))</f>
        <v>0</v>
      </c>
    </row>
    <row r="263" spans="1:40">
      <c r="A263" s="41">
        <f>IF(B263="","","PF-"&amp;TEXT(ROW()-4,"0000"))</f>
        <v>0</v>
      </c>
      <c r="C263" s="17">
        <f>IF(B263="","",IFERROR(INDEX('Content Calendar'!$H$5:$H$604,MATCH(B263,'Content Calendar'!$A$5:$A$604,0)),"Not found"))</f>
        <v>0</v>
      </c>
      <c r="D263" s="16">
        <f>IF(B263="","",IFERROR(INDEX('Content Calendar'!$B$5:$B$604,MATCH(B263,'Content Calendar'!$A$5:$A$604,0)),"Not found"))</f>
        <v>0</v>
      </c>
      <c r="E263" s="17">
        <f>IF(B263="","",IFERROR(INDEX('Content Calendar'!$D$5:$D$604,MATCH(B263,'Content Calendar'!$A$5:$A$604,0)),"Not found"))</f>
        <v>0</v>
      </c>
      <c r="F263" s="17">
        <f>IF(B263="","",IFERROR(INDEX('Content Calendar'!$G$5:$G$604,MATCH(B263,'Content Calendar'!$A$5:$A$604,0)),"Not found"))</f>
        <v>0</v>
      </c>
      <c r="G263" s="17">
        <f>IF(B263="","",IFERROR(INDEX('Content Calendar'!$K$5:$K$604,MATCH(B263,'Content Calendar'!$A$5:$A$604,0)),"Not found"))</f>
        <v>0</v>
      </c>
      <c r="H263" s="17">
        <f>IF(B263="","",IFERROR(INDEX('Content Calendar'!$J$5:$J$604,MATCH(B263,'Content Calendar'!$A$5:$A$604,0)),"Not found"))</f>
        <v>0</v>
      </c>
      <c r="I263" s="17">
        <f>IF(B263="","",IFERROR(INDEX('Content Calendar'!$L$5:$L$604,MATCH(B263,'Content Calendar'!$A$5:$A$604,0)),"Not found"))</f>
        <v>0</v>
      </c>
      <c r="J263" s="17">
        <f>IF(B263="","",IFERROR(INDEX('Content Calendar'!$P$5:$P$604,MATCH(B263,'Content Calendar'!$A$5:$A$604,0)),"Not found"))</f>
        <v>0</v>
      </c>
      <c r="K263" s="17">
        <f>IF(B263="","",IFERROR(INDEX('Content Calendar'!$O$5:$O$604,MATCH(B263,'Content Calendar'!$A$5:$A$604,0)),"Not found"))</f>
        <v>0</v>
      </c>
      <c r="L263" s="17">
        <f>IF(B263="","",IFERROR(INDEX('Content Calendar'!$N$5:$N$604,MATCH(B263,'Content Calendar'!$A$5:$A$604,0)),"Not found"))</f>
        <v>0</v>
      </c>
      <c r="M263" s="17">
        <f>IF(B263="","",IFERROR(INDEX('Content Calendar'!$C$5:$C$604,MATCH(B263,'Content Calendar'!$A$5:$A$604,0)),"Not found"))</f>
        <v>0</v>
      </c>
      <c r="N263" s="17">
        <f>IF(B263="","",IFERROR(INDEX('Content Calendar'!$F$5:$F$604,MATCH(B263,'Content Calendar'!$A$5:$A$604,0)),"Not found"))</f>
        <v>0</v>
      </c>
      <c r="Z263" s="23">
        <f>IF(O263="","",N(Q263)+N(R263)+N(S263)+N(T263))</f>
        <v>0</v>
      </c>
      <c r="AA263" s="24">
        <f>IF(OR(O263="",O263=0),"",Z263/O263)</f>
        <v>0</v>
      </c>
      <c r="AB263" s="24">
        <f>IF(OR(O263="",O263=0),"",N(T263)/O263)</f>
        <v>0</v>
      </c>
      <c r="AC263" s="24">
        <f>IF(OR(O263="",O263=0),"",N(S263)/O263)</f>
        <v>0</v>
      </c>
      <c r="AD263" s="24">
        <f>IF(OR(O263="",O263=0),"",N(R263)/O263)</f>
        <v>0</v>
      </c>
      <c r="AE263" s="24">
        <f>IF(OR(O263="",O263=0),"",N(U263)/O263)</f>
        <v>0</v>
      </c>
      <c r="AF263" s="24">
        <f>IF(OR(U263="",U263=0),"",N(W263)/U263)</f>
        <v>0</v>
      </c>
      <c r="AG263" s="25">
        <f>IF(OR(O263="",O263=0),"",N(X263)/(O263/1000))</f>
        <v>0</v>
      </c>
      <c r="AH263" s="24">
        <f>IF(O263="","",IF(Y263="",TargetEngagement,Y263))</f>
        <v>0</v>
      </c>
      <c r="AI263" s="24">
        <f>IF(OR(AA263="",AH263=""),"",AA263-AH263)</f>
        <v>0</v>
      </c>
      <c r="AJ263" s="31">
        <f>IF(AA263="","",AA263+ROW()/1000000)</f>
        <v>0</v>
      </c>
      <c r="AK263" s="23">
        <f>IF(AA263="","",RANK(AJ263,Performance!$AJ$5:$AJ$404))</f>
        <v>0</v>
      </c>
      <c r="AL263" s="29">
        <f>IF(AA263="","",IF(AA263&gt;=AH263*1.5,"Top performer",IF(AA263&gt;=AH263,"Above target",IF(AA263&gt;=AH263*0.6,"Below target","Weak - review it"))))</f>
        <v>0</v>
      </c>
      <c r="AM263" s="29">
        <f>IF(B263="","",IF(COUNTIF(Performance!$B$5:$B$404,B263)&gt;1,"Duplicate","OK"))</f>
        <v>0</v>
      </c>
      <c r="AN263" s="29">
        <f>IF(B263="","",IF(C263="Not found","Check - content ID not on the calendar",IF(O263="","Add - no numbers entered yet",IF(AM263="Duplicate","Duplicate - this post is entered twice",IF(AL263="Top performer","Repurpose this one","OK")))))</f>
        <v>0</v>
      </c>
    </row>
    <row r="264" spans="1:40">
      <c r="A264" s="41">
        <f>IF(B264="","","PF-"&amp;TEXT(ROW()-4,"0000"))</f>
        <v>0</v>
      </c>
      <c r="C264" s="17">
        <f>IF(B264="","",IFERROR(INDEX('Content Calendar'!$H$5:$H$604,MATCH(B264,'Content Calendar'!$A$5:$A$604,0)),"Not found"))</f>
        <v>0</v>
      </c>
      <c r="D264" s="16">
        <f>IF(B264="","",IFERROR(INDEX('Content Calendar'!$B$5:$B$604,MATCH(B264,'Content Calendar'!$A$5:$A$604,0)),"Not found"))</f>
        <v>0</v>
      </c>
      <c r="E264" s="17">
        <f>IF(B264="","",IFERROR(INDEX('Content Calendar'!$D$5:$D$604,MATCH(B264,'Content Calendar'!$A$5:$A$604,0)),"Not found"))</f>
        <v>0</v>
      </c>
      <c r="F264" s="17">
        <f>IF(B264="","",IFERROR(INDEX('Content Calendar'!$G$5:$G$604,MATCH(B264,'Content Calendar'!$A$5:$A$604,0)),"Not found"))</f>
        <v>0</v>
      </c>
      <c r="G264" s="17">
        <f>IF(B264="","",IFERROR(INDEX('Content Calendar'!$K$5:$K$604,MATCH(B264,'Content Calendar'!$A$5:$A$604,0)),"Not found"))</f>
        <v>0</v>
      </c>
      <c r="H264" s="17">
        <f>IF(B264="","",IFERROR(INDEX('Content Calendar'!$J$5:$J$604,MATCH(B264,'Content Calendar'!$A$5:$A$604,0)),"Not found"))</f>
        <v>0</v>
      </c>
      <c r="I264" s="17">
        <f>IF(B264="","",IFERROR(INDEX('Content Calendar'!$L$5:$L$604,MATCH(B264,'Content Calendar'!$A$5:$A$604,0)),"Not found"))</f>
        <v>0</v>
      </c>
      <c r="J264" s="17">
        <f>IF(B264="","",IFERROR(INDEX('Content Calendar'!$P$5:$P$604,MATCH(B264,'Content Calendar'!$A$5:$A$604,0)),"Not found"))</f>
        <v>0</v>
      </c>
      <c r="K264" s="17">
        <f>IF(B264="","",IFERROR(INDEX('Content Calendar'!$O$5:$O$604,MATCH(B264,'Content Calendar'!$A$5:$A$604,0)),"Not found"))</f>
        <v>0</v>
      </c>
      <c r="L264" s="17">
        <f>IF(B264="","",IFERROR(INDEX('Content Calendar'!$N$5:$N$604,MATCH(B264,'Content Calendar'!$A$5:$A$604,0)),"Not found"))</f>
        <v>0</v>
      </c>
      <c r="M264" s="17">
        <f>IF(B264="","",IFERROR(INDEX('Content Calendar'!$C$5:$C$604,MATCH(B264,'Content Calendar'!$A$5:$A$604,0)),"Not found"))</f>
        <v>0</v>
      </c>
      <c r="N264" s="17">
        <f>IF(B264="","",IFERROR(INDEX('Content Calendar'!$F$5:$F$604,MATCH(B264,'Content Calendar'!$A$5:$A$604,0)),"Not found"))</f>
        <v>0</v>
      </c>
      <c r="Z264" s="23">
        <f>IF(O264="","",N(Q264)+N(R264)+N(S264)+N(T264))</f>
        <v>0</v>
      </c>
      <c r="AA264" s="24">
        <f>IF(OR(O264="",O264=0),"",Z264/O264)</f>
        <v>0</v>
      </c>
      <c r="AB264" s="24">
        <f>IF(OR(O264="",O264=0),"",N(T264)/O264)</f>
        <v>0</v>
      </c>
      <c r="AC264" s="24">
        <f>IF(OR(O264="",O264=0),"",N(S264)/O264)</f>
        <v>0</v>
      </c>
      <c r="AD264" s="24">
        <f>IF(OR(O264="",O264=0),"",N(R264)/O264)</f>
        <v>0</v>
      </c>
      <c r="AE264" s="24">
        <f>IF(OR(O264="",O264=0),"",N(U264)/O264)</f>
        <v>0</v>
      </c>
      <c r="AF264" s="24">
        <f>IF(OR(U264="",U264=0),"",N(W264)/U264)</f>
        <v>0</v>
      </c>
      <c r="AG264" s="25">
        <f>IF(OR(O264="",O264=0),"",N(X264)/(O264/1000))</f>
        <v>0</v>
      </c>
      <c r="AH264" s="24">
        <f>IF(O264="","",IF(Y264="",TargetEngagement,Y264))</f>
        <v>0</v>
      </c>
      <c r="AI264" s="24">
        <f>IF(OR(AA264="",AH264=""),"",AA264-AH264)</f>
        <v>0</v>
      </c>
      <c r="AJ264" s="31">
        <f>IF(AA264="","",AA264+ROW()/1000000)</f>
        <v>0</v>
      </c>
      <c r="AK264" s="23">
        <f>IF(AA264="","",RANK(AJ264,Performance!$AJ$5:$AJ$404))</f>
        <v>0</v>
      </c>
      <c r="AL264" s="29">
        <f>IF(AA264="","",IF(AA264&gt;=AH264*1.5,"Top performer",IF(AA264&gt;=AH264,"Above target",IF(AA264&gt;=AH264*0.6,"Below target","Weak - review it"))))</f>
        <v>0</v>
      </c>
      <c r="AM264" s="29">
        <f>IF(B264="","",IF(COUNTIF(Performance!$B$5:$B$404,B264)&gt;1,"Duplicate","OK"))</f>
        <v>0</v>
      </c>
      <c r="AN264" s="29">
        <f>IF(B264="","",IF(C264="Not found","Check - content ID not on the calendar",IF(O264="","Add - no numbers entered yet",IF(AM264="Duplicate","Duplicate - this post is entered twice",IF(AL264="Top performer","Repurpose this one","OK")))))</f>
        <v>0</v>
      </c>
    </row>
    <row r="265" spans="1:40">
      <c r="A265" s="41">
        <f>IF(B265="","","PF-"&amp;TEXT(ROW()-4,"0000"))</f>
        <v>0</v>
      </c>
      <c r="C265" s="17">
        <f>IF(B265="","",IFERROR(INDEX('Content Calendar'!$H$5:$H$604,MATCH(B265,'Content Calendar'!$A$5:$A$604,0)),"Not found"))</f>
        <v>0</v>
      </c>
      <c r="D265" s="16">
        <f>IF(B265="","",IFERROR(INDEX('Content Calendar'!$B$5:$B$604,MATCH(B265,'Content Calendar'!$A$5:$A$604,0)),"Not found"))</f>
        <v>0</v>
      </c>
      <c r="E265" s="17">
        <f>IF(B265="","",IFERROR(INDEX('Content Calendar'!$D$5:$D$604,MATCH(B265,'Content Calendar'!$A$5:$A$604,0)),"Not found"))</f>
        <v>0</v>
      </c>
      <c r="F265" s="17">
        <f>IF(B265="","",IFERROR(INDEX('Content Calendar'!$G$5:$G$604,MATCH(B265,'Content Calendar'!$A$5:$A$604,0)),"Not found"))</f>
        <v>0</v>
      </c>
      <c r="G265" s="17">
        <f>IF(B265="","",IFERROR(INDEX('Content Calendar'!$K$5:$K$604,MATCH(B265,'Content Calendar'!$A$5:$A$604,0)),"Not found"))</f>
        <v>0</v>
      </c>
      <c r="H265" s="17">
        <f>IF(B265="","",IFERROR(INDEX('Content Calendar'!$J$5:$J$604,MATCH(B265,'Content Calendar'!$A$5:$A$604,0)),"Not found"))</f>
        <v>0</v>
      </c>
      <c r="I265" s="17">
        <f>IF(B265="","",IFERROR(INDEX('Content Calendar'!$L$5:$L$604,MATCH(B265,'Content Calendar'!$A$5:$A$604,0)),"Not found"))</f>
        <v>0</v>
      </c>
      <c r="J265" s="17">
        <f>IF(B265="","",IFERROR(INDEX('Content Calendar'!$P$5:$P$604,MATCH(B265,'Content Calendar'!$A$5:$A$604,0)),"Not found"))</f>
        <v>0</v>
      </c>
      <c r="K265" s="17">
        <f>IF(B265="","",IFERROR(INDEX('Content Calendar'!$O$5:$O$604,MATCH(B265,'Content Calendar'!$A$5:$A$604,0)),"Not found"))</f>
        <v>0</v>
      </c>
      <c r="L265" s="17">
        <f>IF(B265="","",IFERROR(INDEX('Content Calendar'!$N$5:$N$604,MATCH(B265,'Content Calendar'!$A$5:$A$604,0)),"Not found"))</f>
        <v>0</v>
      </c>
      <c r="M265" s="17">
        <f>IF(B265="","",IFERROR(INDEX('Content Calendar'!$C$5:$C$604,MATCH(B265,'Content Calendar'!$A$5:$A$604,0)),"Not found"))</f>
        <v>0</v>
      </c>
      <c r="N265" s="17">
        <f>IF(B265="","",IFERROR(INDEX('Content Calendar'!$F$5:$F$604,MATCH(B265,'Content Calendar'!$A$5:$A$604,0)),"Not found"))</f>
        <v>0</v>
      </c>
      <c r="Z265" s="23">
        <f>IF(O265="","",N(Q265)+N(R265)+N(S265)+N(T265))</f>
        <v>0</v>
      </c>
      <c r="AA265" s="24">
        <f>IF(OR(O265="",O265=0),"",Z265/O265)</f>
        <v>0</v>
      </c>
      <c r="AB265" s="24">
        <f>IF(OR(O265="",O265=0),"",N(T265)/O265)</f>
        <v>0</v>
      </c>
      <c r="AC265" s="24">
        <f>IF(OR(O265="",O265=0),"",N(S265)/O265)</f>
        <v>0</v>
      </c>
      <c r="AD265" s="24">
        <f>IF(OR(O265="",O265=0),"",N(R265)/O265)</f>
        <v>0</v>
      </c>
      <c r="AE265" s="24">
        <f>IF(OR(O265="",O265=0),"",N(U265)/O265)</f>
        <v>0</v>
      </c>
      <c r="AF265" s="24">
        <f>IF(OR(U265="",U265=0),"",N(W265)/U265)</f>
        <v>0</v>
      </c>
      <c r="AG265" s="25">
        <f>IF(OR(O265="",O265=0),"",N(X265)/(O265/1000))</f>
        <v>0</v>
      </c>
      <c r="AH265" s="24">
        <f>IF(O265="","",IF(Y265="",TargetEngagement,Y265))</f>
        <v>0</v>
      </c>
      <c r="AI265" s="24">
        <f>IF(OR(AA265="",AH265=""),"",AA265-AH265)</f>
        <v>0</v>
      </c>
      <c r="AJ265" s="31">
        <f>IF(AA265="","",AA265+ROW()/1000000)</f>
        <v>0</v>
      </c>
      <c r="AK265" s="23">
        <f>IF(AA265="","",RANK(AJ265,Performance!$AJ$5:$AJ$404))</f>
        <v>0</v>
      </c>
      <c r="AL265" s="29">
        <f>IF(AA265="","",IF(AA265&gt;=AH265*1.5,"Top performer",IF(AA265&gt;=AH265,"Above target",IF(AA265&gt;=AH265*0.6,"Below target","Weak - review it"))))</f>
        <v>0</v>
      </c>
      <c r="AM265" s="29">
        <f>IF(B265="","",IF(COUNTIF(Performance!$B$5:$B$404,B265)&gt;1,"Duplicate","OK"))</f>
        <v>0</v>
      </c>
      <c r="AN265" s="29">
        <f>IF(B265="","",IF(C265="Not found","Check - content ID not on the calendar",IF(O265="","Add - no numbers entered yet",IF(AM265="Duplicate","Duplicate - this post is entered twice",IF(AL265="Top performer","Repurpose this one","OK")))))</f>
        <v>0</v>
      </c>
    </row>
    <row r="266" spans="1:40">
      <c r="A266" s="41">
        <f>IF(B266="","","PF-"&amp;TEXT(ROW()-4,"0000"))</f>
        <v>0</v>
      </c>
      <c r="C266" s="17">
        <f>IF(B266="","",IFERROR(INDEX('Content Calendar'!$H$5:$H$604,MATCH(B266,'Content Calendar'!$A$5:$A$604,0)),"Not found"))</f>
        <v>0</v>
      </c>
      <c r="D266" s="16">
        <f>IF(B266="","",IFERROR(INDEX('Content Calendar'!$B$5:$B$604,MATCH(B266,'Content Calendar'!$A$5:$A$604,0)),"Not found"))</f>
        <v>0</v>
      </c>
      <c r="E266" s="17">
        <f>IF(B266="","",IFERROR(INDEX('Content Calendar'!$D$5:$D$604,MATCH(B266,'Content Calendar'!$A$5:$A$604,0)),"Not found"))</f>
        <v>0</v>
      </c>
      <c r="F266" s="17">
        <f>IF(B266="","",IFERROR(INDEX('Content Calendar'!$G$5:$G$604,MATCH(B266,'Content Calendar'!$A$5:$A$604,0)),"Not found"))</f>
        <v>0</v>
      </c>
      <c r="G266" s="17">
        <f>IF(B266="","",IFERROR(INDEX('Content Calendar'!$K$5:$K$604,MATCH(B266,'Content Calendar'!$A$5:$A$604,0)),"Not found"))</f>
        <v>0</v>
      </c>
      <c r="H266" s="17">
        <f>IF(B266="","",IFERROR(INDEX('Content Calendar'!$J$5:$J$604,MATCH(B266,'Content Calendar'!$A$5:$A$604,0)),"Not found"))</f>
        <v>0</v>
      </c>
      <c r="I266" s="17">
        <f>IF(B266="","",IFERROR(INDEX('Content Calendar'!$L$5:$L$604,MATCH(B266,'Content Calendar'!$A$5:$A$604,0)),"Not found"))</f>
        <v>0</v>
      </c>
      <c r="J266" s="17">
        <f>IF(B266="","",IFERROR(INDEX('Content Calendar'!$P$5:$P$604,MATCH(B266,'Content Calendar'!$A$5:$A$604,0)),"Not found"))</f>
        <v>0</v>
      </c>
      <c r="K266" s="17">
        <f>IF(B266="","",IFERROR(INDEX('Content Calendar'!$O$5:$O$604,MATCH(B266,'Content Calendar'!$A$5:$A$604,0)),"Not found"))</f>
        <v>0</v>
      </c>
      <c r="L266" s="17">
        <f>IF(B266="","",IFERROR(INDEX('Content Calendar'!$N$5:$N$604,MATCH(B266,'Content Calendar'!$A$5:$A$604,0)),"Not found"))</f>
        <v>0</v>
      </c>
      <c r="M266" s="17">
        <f>IF(B266="","",IFERROR(INDEX('Content Calendar'!$C$5:$C$604,MATCH(B266,'Content Calendar'!$A$5:$A$604,0)),"Not found"))</f>
        <v>0</v>
      </c>
      <c r="N266" s="17">
        <f>IF(B266="","",IFERROR(INDEX('Content Calendar'!$F$5:$F$604,MATCH(B266,'Content Calendar'!$A$5:$A$604,0)),"Not found"))</f>
        <v>0</v>
      </c>
      <c r="Z266" s="23">
        <f>IF(O266="","",N(Q266)+N(R266)+N(S266)+N(T266))</f>
        <v>0</v>
      </c>
      <c r="AA266" s="24">
        <f>IF(OR(O266="",O266=0),"",Z266/O266)</f>
        <v>0</v>
      </c>
      <c r="AB266" s="24">
        <f>IF(OR(O266="",O266=0),"",N(T266)/O266)</f>
        <v>0</v>
      </c>
      <c r="AC266" s="24">
        <f>IF(OR(O266="",O266=0),"",N(S266)/O266)</f>
        <v>0</v>
      </c>
      <c r="AD266" s="24">
        <f>IF(OR(O266="",O266=0),"",N(R266)/O266)</f>
        <v>0</v>
      </c>
      <c r="AE266" s="24">
        <f>IF(OR(O266="",O266=0),"",N(U266)/O266)</f>
        <v>0</v>
      </c>
      <c r="AF266" s="24">
        <f>IF(OR(U266="",U266=0),"",N(W266)/U266)</f>
        <v>0</v>
      </c>
      <c r="AG266" s="25">
        <f>IF(OR(O266="",O266=0),"",N(X266)/(O266/1000))</f>
        <v>0</v>
      </c>
      <c r="AH266" s="24">
        <f>IF(O266="","",IF(Y266="",TargetEngagement,Y266))</f>
        <v>0</v>
      </c>
      <c r="AI266" s="24">
        <f>IF(OR(AA266="",AH266=""),"",AA266-AH266)</f>
        <v>0</v>
      </c>
      <c r="AJ266" s="31">
        <f>IF(AA266="","",AA266+ROW()/1000000)</f>
        <v>0</v>
      </c>
      <c r="AK266" s="23">
        <f>IF(AA266="","",RANK(AJ266,Performance!$AJ$5:$AJ$404))</f>
        <v>0</v>
      </c>
      <c r="AL266" s="29">
        <f>IF(AA266="","",IF(AA266&gt;=AH266*1.5,"Top performer",IF(AA266&gt;=AH266,"Above target",IF(AA266&gt;=AH266*0.6,"Below target","Weak - review it"))))</f>
        <v>0</v>
      </c>
      <c r="AM266" s="29">
        <f>IF(B266="","",IF(COUNTIF(Performance!$B$5:$B$404,B266)&gt;1,"Duplicate","OK"))</f>
        <v>0</v>
      </c>
      <c r="AN266" s="29">
        <f>IF(B266="","",IF(C266="Not found","Check - content ID not on the calendar",IF(O266="","Add - no numbers entered yet",IF(AM266="Duplicate","Duplicate - this post is entered twice",IF(AL266="Top performer","Repurpose this one","OK")))))</f>
        <v>0</v>
      </c>
    </row>
    <row r="267" spans="1:40">
      <c r="A267" s="41">
        <f>IF(B267="","","PF-"&amp;TEXT(ROW()-4,"0000"))</f>
        <v>0</v>
      </c>
      <c r="C267" s="17">
        <f>IF(B267="","",IFERROR(INDEX('Content Calendar'!$H$5:$H$604,MATCH(B267,'Content Calendar'!$A$5:$A$604,0)),"Not found"))</f>
        <v>0</v>
      </c>
      <c r="D267" s="16">
        <f>IF(B267="","",IFERROR(INDEX('Content Calendar'!$B$5:$B$604,MATCH(B267,'Content Calendar'!$A$5:$A$604,0)),"Not found"))</f>
        <v>0</v>
      </c>
      <c r="E267" s="17">
        <f>IF(B267="","",IFERROR(INDEX('Content Calendar'!$D$5:$D$604,MATCH(B267,'Content Calendar'!$A$5:$A$604,0)),"Not found"))</f>
        <v>0</v>
      </c>
      <c r="F267" s="17">
        <f>IF(B267="","",IFERROR(INDEX('Content Calendar'!$G$5:$G$604,MATCH(B267,'Content Calendar'!$A$5:$A$604,0)),"Not found"))</f>
        <v>0</v>
      </c>
      <c r="G267" s="17">
        <f>IF(B267="","",IFERROR(INDEX('Content Calendar'!$K$5:$K$604,MATCH(B267,'Content Calendar'!$A$5:$A$604,0)),"Not found"))</f>
        <v>0</v>
      </c>
      <c r="H267" s="17">
        <f>IF(B267="","",IFERROR(INDEX('Content Calendar'!$J$5:$J$604,MATCH(B267,'Content Calendar'!$A$5:$A$604,0)),"Not found"))</f>
        <v>0</v>
      </c>
      <c r="I267" s="17">
        <f>IF(B267="","",IFERROR(INDEX('Content Calendar'!$L$5:$L$604,MATCH(B267,'Content Calendar'!$A$5:$A$604,0)),"Not found"))</f>
        <v>0</v>
      </c>
      <c r="J267" s="17">
        <f>IF(B267="","",IFERROR(INDEX('Content Calendar'!$P$5:$P$604,MATCH(B267,'Content Calendar'!$A$5:$A$604,0)),"Not found"))</f>
        <v>0</v>
      </c>
      <c r="K267" s="17">
        <f>IF(B267="","",IFERROR(INDEX('Content Calendar'!$O$5:$O$604,MATCH(B267,'Content Calendar'!$A$5:$A$604,0)),"Not found"))</f>
        <v>0</v>
      </c>
      <c r="L267" s="17">
        <f>IF(B267="","",IFERROR(INDEX('Content Calendar'!$N$5:$N$604,MATCH(B267,'Content Calendar'!$A$5:$A$604,0)),"Not found"))</f>
        <v>0</v>
      </c>
      <c r="M267" s="17">
        <f>IF(B267="","",IFERROR(INDEX('Content Calendar'!$C$5:$C$604,MATCH(B267,'Content Calendar'!$A$5:$A$604,0)),"Not found"))</f>
        <v>0</v>
      </c>
      <c r="N267" s="17">
        <f>IF(B267="","",IFERROR(INDEX('Content Calendar'!$F$5:$F$604,MATCH(B267,'Content Calendar'!$A$5:$A$604,0)),"Not found"))</f>
        <v>0</v>
      </c>
      <c r="Z267" s="23">
        <f>IF(O267="","",N(Q267)+N(R267)+N(S267)+N(T267))</f>
        <v>0</v>
      </c>
      <c r="AA267" s="24">
        <f>IF(OR(O267="",O267=0),"",Z267/O267)</f>
        <v>0</v>
      </c>
      <c r="AB267" s="24">
        <f>IF(OR(O267="",O267=0),"",N(T267)/O267)</f>
        <v>0</v>
      </c>
      <c r="AC267" s="24">
        <f>IF(OR(O267="",O267=0),"",N(S267)/O267)</f>
        <v>0</v>
      </c>
      <c r="AD267" s="24">
        <f>IF(OR(O267="",O267=0),"",N(R267)/O267)</f>
        <v>0</v>
      </c>
      <c r="AE267" s="24">
        <f>IF(OR(O267="",O267=0),"",N(U267)/O267)</f>
        <v>0</v>
      </c>
      <c r="AF267" s="24">
        <f>IF(OR(U267="",U267=0),"",N(W267)/U267)</f>
        <v>0</v>
      </c>
      <c r="AG267" s="25">
        <f>IF(OR(O267="",O267=0),"",N(X267)/(O267/1000))</f>
        <v>0</v>
      </c>
      <c r="AH267" s="24">
        <f>IF(O267="","",IF(Y267="",TargetEngagement,Y267))</f>
        <v>0</v>
      </c>
      <c r="AI267" s="24">
        <f>IF(OR(AA267="",AH267=""),"",AA267-AH267)</f>
        <v>0</v>
      </c>
      <c r="AJ267" s="31">
        <f>IF(AA267="","",AA267+ROW()/1000000)</f>
        <v>0</v>
      </c>
      <c r="AK267" s="23">
        <f>IF(AA267="","",RANK(AJ267,Performance!$AJ$5:$AJ$404))</f>
        <v>0</v>
      </c>
      <c r="AL267" s="29">
        <f>IF(AA267="","",IF(AA267&gt;=AH267*1.5,"Top performer",IF(AA267&gt;=AH267,"Above target",IF(AA267&gt;=AH267*0.6,"Below target","Weak - review it"))))</f>
        <v>0</v>
      </c>
      <c r="AM267" s="29">
        <f>IF(B267="","",IF(COUNTIF(Performance!$B$5:$B$404,B267)&gt;1,"Duplicate","OK"))</f>
        <v>0</v>
      </c>
      <c r="AN267" s="29">
        <f>IF(B267="","",IF(C267="Not found","Check - content ID not on the calendar",IF(O267="","Add - no numbers entered yet",IF(AM267="Duplicate","Duplicate - this post is entered twice",IF(AL267="Top performer","Repurpose this one","OK")))))</f>
        <v>0</v>
      </c>
    </row>
    <row r="268" spans="1:40">
      <c r="A268" s="41">
        <f>IF(B268="","","PF-"&amp;TEXT(ROW()-4,"0000"))</f>
        <v>0</v>
      </c>
      <c r="C268" s="17">
        <f>IF(B268="","",IFERROR(INDEX('Content Calendar'!$H$5:$H$604,MATCH(B268,'Content Calendar'!$A$5:$A$604,0)),"Not found"))</f>
        <v>0</v>
      </c>
      <c r="D268" s="16">
        <f>IF(B268="","",IFERROR(INDEX('Content Calendar'!$B$5:$B$604,MATCH(B268,'Content Calendar'!$A$5:$A$604,0)),"Not found"))</f>
        <v>0</v>
      </c>
      <c r="E268" s="17">
        <f>IF(B268="","",IFERROR(INDEX('Content Calendar'!$D$5:$D$604,MATCH(B268,'Content Calendar'!$A$5:$A$604,0)),"Not found"))</f>
        <v>0</v>
      </c>
      <c r="F268" s="17">
        <f>IF(B268="","",IFERROR(INDEX('Content Calendar'!$G$5:$G$604,MATCH(B268,'Content Calendar'!$A$5:$A$604,0)),"Not found"))</f>
        <v>0</v>
      </c>
      <c r="G268" s="17">
        <f>IF(B268="","",IFERROR(INDEX('Content Calendar'!$K$5:$K$604,MATCH(B268,'Content Calendar'!$A$5:$A$604,0)),"Not found"))</f>
        <v>0</v>
      </c>
      <c r="H268" s="17">
        <f>IF(B268="","",IFERROR(INDEX('Content Calendar'!$J$5:$J$604,MATCH(B268,'Content Calendar'!$A$5:$A$604,0)),"Not found"))</f>
        <v>0</v>
      </c>
      <c r="I268" s="17">
        <f>IF(B268="","",IFERROR(INDEX('Content Calendar'!$L$5:$L$604,MATCH(B268,'Content Calendar'!$A$5:$A$604,0)),"Not found"))</f>
        <v>0</v>
      </c>
      <c r="J268" s="17">
        <f>IF(B268="","",IFERROR(INDEX('Content Calendar'!$P$5:$P$604,MATCH(B268,'Content Calendar'!$A$5:$A$604,0)),"Not found"))</f>
        <v>0</v>
      </c>
      <c r="K268" s="17">
        <f>IF(B268="","",IFERROR(INDEX('Content Calendar'!$O$5:$O$604,MATCH(B268,'Content Calendar'!$A$5:$A$604,0)),"Not found"))</f>
        <v>0</v>
      </c>
      <c r="L268" s="17">
        <f>IF(B268="","",IFERROR(INDEX('Content Calendar'!$N$5:$N$604,MATCH(B268,'Content Calendar'!$A$5:$A$604,0)),"Not found"))</f>
        <v>0</v>
      </c>
      <c r="M268" s="17">
        <f>IF(B268="","",IFERROR(INDEX('Content Calendar'!$C$5:$C$604,MATCH(B268,'Content Calendar'!$A$5:$A$604,0)),"Not found"))</f>
        <v>0</v>
      </c>
      <c r="N268" s="17">
        <f>IF(B268="","",IFERROR(INDEX('Content Calendar'!$F$5:$F$604,MATCH(B268,'Content Calendar'!$A$5:$A$604,0)),"Not found"))</f>
        <v>0</v>
      </c>
      <c r="Z268" s="23">
        <f>IF(O268="","",N(Q268)+N(R268)+N(S268)+N(T268))</f>
        <v>0</v>
      </c>
      <c r="AA268" s="24">
        <f>IF(OR(O268="",O268=0),"",Z268/O268)</f>
        <v>0</v>
      </c>
      <c r="AB268" s="24">
        <f>IF(OR(O268="",O268=0),"",N(T268)/O268)</f>
        <v>0</v>
      </c>
      <c r="AC268" s="24">
        <f>IF(OR(O268="",O268=0),"",N(S268)/O268)</f>
        <v>0</v>
      </c>
      <c r="AD268" s="24">
        <f>IF(OR(O268="",O268=0),"",N(R268)/O268)</f>
        <v>0</v>
      </c>
      <c r="AE268" s="24">
        <f>IF(OR(O268="",O268=0),"",N(U268)/O268)</f>
        <v>0</v>
      </c>
      <c r="AF268" s="24">
        <f>IF(OR(U268="",U268=0),"",N(W268)/U268)</f>
        <v>0</v>
      </c>
      <c r="AG268" s="25">
        <f>IF(OR(O268="",O268=0),"",N(X268)/(O268/1000))</f>
        <v>0</v>
      </c>
      <c r="AH268" s="24">
        <f>IF(O268="","",IF(Y268="",TargetEngagement,Y268))</f>
        <v>0</v>
      </c>
      <c r="AI268" s="24">
        <f>IF(OR(AA268="",AH268=""),"",AA268-AH268)</f>
        <v>0</v>
      </c>
      <c r="AJ268" s="31">
        <f>IF(AA268="","",AA268+ROW()/1000000)</f>
        <v>0</v>
      </c>
      <c r="AK268" s="23">
        <f>IF(AA268="","",RANK(AJ268,Performance!$AJ$5:$AJ$404))</f>
        <v>0</v>
      </c>
      <c r="AL268" s="29">
        <f>IF(AA268="","",IF(AA268&gt;=AH268*1.5,"Top performer",IF(AA268&gt;=AH268,"Above target",IF(AA268&gt;=AH268*0.6,"Below target","Weak - review it"))))</f>
        <v>0</v>
      </c>
      <c r="AM268" s="29">
        <f>IF(B268="","",IF(COUNTIF(Performance!$B$5:$B$404,B268)&gt;1,"Duplicate","OK"))</f>
        <v>0</v>
      </c>
      <c r="AN268" s="29">
        <f>IF(B268="","",IF(C268="Not found","Check - content ID not on the calendar",IF(O268="","Add - no numbers entered yet",IF(AM268="Duplicate","Duplicate - this post is entered twice",IF(AL268="Top performer","Repurpose this one","OK")))))</f>
        <v>0</v>
      </c>
    </row>
    <row r="269" spans="1:40">
      <c r="A269" s="41">
        <f>IF(B269="","","PF-"&amp;TEXT(ROW()-4,"0000"))</f>
        <v>0</v>
      </c>
      <c r="C269" s="17">
        <f>IF(B269="","",IFERROR(INDEX('Content Calendar'!$H$5:$H$604,MATCH(B269,'Content Calendar'!$A$5:$A$604,0)),"Not found"))</f>
        <v>0</v>
      </c>
      <c r="D269" s="16">
        <f>IF(B269="","",IFERROR(INDEX('Content Calendar'!$B$5:$B$604,MATCH(B269,'Content Calendar'!$A$5:$A$604,0)),"Not found"))</f>
        <v>0</v>
      </c>
      <c r="E269" s="17">
        <f>IF(B269="","",IFERROR(INDEX('Content Calendar'!$D$5:$D$604,MATCH(B269,'Content Calendar'!$A$5:$A$604,0)),"Not found"))</f>
        <v>0</v>
      </c>
      <c r="F269" s="17">
        <f>IF(B269="","",IFERROR(INDEX('Content Calendar'!$G$5:$G$604,MATCH(B269,'Content Calendar'!$A$5:$A$604,0)),"Not found"))</f>
        <v>0</v>
      </c>
      <c r="G269" s="17">
        <f>IF(B269="","",IFERROR(INDEX('Content Calendar'!$K$5:$K$604,MATCH(B269,'Content Calendar'!$A$5:$A$604,0)),"Not found"))</f>
        <v>0</v>
      </c>
      <c r="H269" s="17">
        <f>IF(B269="","",IFERROR(INDEX('Content Calendar'!$J$5:$J$604,MATCH(B269,'Content Calendar'!$A$5:$A$604,0)),"Not found"))</f>
        <v>0</v>
      </c>
      <c r="I269" s="17">
        <f>IF(B269="","",IFERROR(INDEX('Content Calendar'!$L$5:$L$604,MATCH(B269,'Content Calendar'!$A$5:$A$604,0)),"Not found"))</f>
        <v>0</v>
      </c>
      <c r="J269" s="17">
        <f>IF(B269="","",IFERROR(INDEX('Content Calendar'!$P$5:$P$604,MATCH(B269,'Content Calendar'!$A$5:$A$604,0)),"Not found"))</f>
        <v>0</v>
      </c>
      <c r="K269" s="17">
        <f>IF(B269="","",IFERROR(INDEX('Content Calendar'!$O$5:$O$604,MATCH(B269,'Content Calendar'!$A$5:$A$604,0)),"Not found"))</f>
        <v>0</v>
      </c>
      <c r="L269" s="17">
        <f>IF(B269="","",IFERROR(INDEX('Content Calendar'!$N$5:$N$604,MATCH(B269,'Content Calendar'!$A$5:$A$604,0)),"Not found"))</f>
        <v>0</v>
      </c>
      <c r="M269" s="17">
        <f>IF(B269="","",IFERROR(INDEX('Content Calendar'!$C$5:$C$604,MATCH(B269,'Content Calendar'!$A$5:$A$604,0)),"Not found"))</f>
        <v>0</v>
      </c>
      <c r="N269" s="17">
        <f>IF(B269="","",IFERROR(INDEX('Content Calendar'!$F$5:$F$604,MATCH(B269,'Content Calendar'!$A$5:$A$604,0)),"Not found"))</f>
        <v>0</v>
      </c>
      <c r="Z269" s="23">
        <f>IF(O269="","",N(Q269)+N(R269)+N(S269)+N(T269))</f>
        <v>0</v>
      </c>
      <c r="AA269" s="24">
        <f>IF(OR(O269="",O269=0),"",Z269/O269)</f>
        <v>0</v>
      </c>
      <c r="AB269" s="24">
        <f>IF(OR(O269="",O269=0),"",N(T269)/O269)</f>
        <v>0</v>
      </c>
      <c r="AC269" s="24">
        <f>IF(OR(O269="",O269=0),"",N(S269)/O269)</f>
        <v>0</v>
      </c>
      <c r="AD269" s="24">
        <f>IF(OR(O269="",O269=0),"",N(R269)/O269)</f>
        <v>0</v>
      </c>
      <c r="AE269" s="24">
        <f>IF(OR(O269="",O269=0),"",N(U269)/O269)</f>
        <v>0</v>
      </c>
      <c r="AF269" s="24">
        <f>IF(OR(U269="",U269=0),"",N(W269)/U269)</f>
        <v>0</v>
      </c>
      <c r="AG269" s="25">
        <f>IF(OR(O269="",O269=0),"",N(X269)/(O269/1000))</f>
        <v>0</v>
      </c>
      <c r="AH269" s="24">
        <f>IF(O269="","",IF(Y269="",TargetEngagement,Y269))</f>
        <v>0</v>
      </c>
      <c r="AI269" s="24">
        <f>IF(OR(AA269="",AH269=""),"",AA269-AH269)</f>
        <v>0</v>
      </c>
      <c r="AJ269" s="31">
        <f>IF(AA269="","",AA269+ROW()/1000000)</f>
        <v>0</v>
      </c>
      <c r="AK269" s="23">
        <f>IF(AA269="","",RANK(AJ269,Performance!$AJ$5:$AJ$404))</f>
        <v>0</v>
      </c>
      <c r="AL269" s="29">
        <f>IF(AA269="","",IF(AA269&gt;=AH269*1.5,"Top performer",IF(AA269&gt;=AH269,"Above target",IF(AA269&gt;=AH269*0.6,"Below target","Weak - review it"))))</f>
        <v>0</v>
      </c>
      <c r="AM269" s="29">
        <f>IF(B269="","",IF(COUNTIF(Performance!$B$5:$B$404,B269)&gt;1,"Duplicate","OK"))</f>
        <v>0</v>
      </c>
      <c r="AN269" s="29">
        <f>IF(B269="","",IF(C269="Not found","Check - content ID not on the calendar",IF(O269="","Add - no numbers entered yet",IF(AM269="Duplicate","Duplicate - this post is entered twice",IF(AL269="Top performer","Repurpose this one","OK")))))</f>
        <v>0</v>
      </c>
    </row>
    <row r="270" spans="1:40">
      <c r="A270" s="41">
        <f>IF(B270="","","PF-"&amp;TEXT(ROW()-4,"0000"))</f>
        <v>0</v>
      </c>
      <c r="C270" s="17">
        <f>IF(B270="","",IFERROR(INDEX('Content Calendar'!$H$5:$H$604,MATCH(B270,'Content Calendar'!$A$5:$A$604,0)),"Not found"))</f>
        <v>0</v>
      </c>
      <c r="D270" s="16">
        <f>IF(B270="","",IFERROR(INDEX('Content Calendar'!$B$5:$B$604,MATCH(B270,'Content Calendar'!$A$5:$A$604,0)),"Not found"))</f>
        <v>0</v>
      </c>
      <c r="E270" s="17">
        <f>IF(B270="","",IFERROR(INDEX('Content Calendar'!$D$5:$D$604,MATCH(B270,'Content Calendar'!$A$5:$A$604,0)),"Not found"))</f>
        <v>0</v>
      </c>
      <c r="F270" s="17">
        <f>IF(B270="","",IFERROR(INDEX('Content Calendar'!$G$5:$G$604,MATCH(B270,'Content Calendar'!$A$5:$A$604,0)),"Not found"))</f>
        <v>0</v>
      </c>
      <c r="G270" s="17">
        <f>IF(B270="","",IFERROR(INDEX('Content Calendar'!$K$5:$K$604,MATCH(B270,'Content Calendar'!$A$5:$A$604,0)),"Not found"))</f>
        <v>0</v>
      </c>
      <c r="H270" s="17">
        <f>IF(B270="","",IFERROR(INDEX('Content Calendar'!$J$5:$J$604,MATCH(B270,'Content Calendar'!$A$5:$A$604,0)),"Not found"))</f>
        <v>0</v>
      </c>
      <c r="I270" s="17">
        <f>IF(B270="","",IFERROR(INDEX('Content Calendar'!$L$5:$L$604,MATCH(B270,'Content Calendar'!$A$5:$A$604,0)),"Not found"))</f>
        <v>0</v>
      </c>
      <c r="J270" s="17">
        <f>IF(B270="","",IFERROR(INDEX('Content Calendar'!$P$5:$P$604,MATCH(B270,'Content Calendar'!$A$5:$A$604,0)),"Not found"))</f>
        <v>0</v>
      </c>
      <c r="K270" s="17">
        <f>IF(B270="","",IFERROR(INDEX('Content Calendar'!$O$5:$O$604,MATCH(B270,'Content Calendar'!$A$5:$A$604,0)),"Not found"))</f>
        <v>0</v>
      </c>
      <c r="L270" s="17">
        <f>IF(B270="","",IFERROR(INDEX('Content Calendar'!$N$5:$N$604,MATCH(B270,'Content Calendar'!$A$5:$A$604,0)),"Not found"))</f>
        <v>0</v>
      </c>
      <c r="M270" s="17">
        <f>IF(B270="","",IFERROR(INDEX('Content Calendar'!$C$5:$C$604,MATCH(B270,'Content Calendar'!$A$5:$A$604,0)),"Not found"))</f>
        <v>0</v>
      </c>
      <c r="N270" s="17">
        <f>IF(B270="","",IFERROR(INDEX('Content Calendar'!$F$5:$F$604,MATCH(B270,'Content Calendar'!$A$5:$A$604,0)),"Not found"))</f>
        <v>0</v>
      </c>
      <c r="Z270" s="23">
        <f>IF(O270="","",N(Q270)+N(R270)+N(S270)+N(T270))</f>
        <v>0</v>
      </c>
      <c r="AA270" s="24">
        <f>IF(OR(O270="",O270=0),"",Z270/O270)</f>
        <v>0</v>
      </c>
      <c r="AB270" s="24">
        <f>IF(OR(O270="",O270=0),"",N(T270)/O270)</f>
        <v>0</v>
      </c>
      <c r="AC270" s="24">
        <f>IF(OR(O270="",O270=0),"",N(S270)/O270)</f>
        <v>0</v>
      </c>
      <c r="AD270" s="24">
        <f>IF(OR(O270="",O270=0),"",N(R270)/O270)</f>
        <v>0</v>
      </c>
      <c r="AE270" s="24">
        <f>IF(OR(O270="",O270=0),"",N(U270)/O270)</f>
        <v>0</v>
      </c>
      <c r="AF270" s="24">
        <f>IF(OR(U270="",U270=0),"",N(W270)/U270)</f>
        <v>0</v>
      </c>
      <c r="AG270" s="25">
        <f>IF(OR(O270="",O270=0),"",N(X270)/(O270/1000))</f>
        <v>0</v>
      </c>
      <c r="AH270" s="24">
        <f>IF(O270="","",IF(Y270="",TargetEngagement,Y270))</f>
        <v>0</v>
      </c>
      <c r="AI270" s="24">
        <f>IF(OR(AA270="",AH270=""),"",AA270-AH270)</f>
        <v>0</v>
      </c>
      <c r="AJ270" s="31">
        <f>IF(AA270="","",AA270+ROW()/1000000)</f>
        <v>0</v>
      </c>
      <c r="AK270" s="23">
        <f>IF(AA270="","",RANK(AJ270,Performance!$AJ$5:$AJ$404))</f>
        <v>0</v>
      </c>
      <c r="AL270" s="29">
        <f>IF(AA270="","",IF(AA270&gt;=AH270*1.5,"Top performer",IF(AA270&gt;=AH270,"Above target",IF(AA270&gt;=AH270*0.6,"Below target","Weak - review it"))))</f>
        <v>0</v>
      </c>
      <c r="AM270" s="29">
        <f>IF(B270="","",IF(COUNTIF(Performance!$B$5:$B$404,B270)&gt;1,"Duplicate","OK"))</f>
        <v>0</v>
      </c>
      <c r="AN270" s="29">
        <f>IF(B270="","",IF(C270="Not found","Check - content ID not on the calendar",IF(O270="","Add - no numbers entered yet",IF(AM270="Duplicate","Duplicate - this post is entered twice",IF(AL270="Top performer","Repurpose this one","OK")))))</f>
        <v>0</v>
      </c>
    </row>
    <row r="271" spans="1:40">
      <c r="A271" s="41">
        <f>IF(B271="","","PF-"&amp;TEXT(ROW()-4,"0000"))</f>
        <v>0</v>
      </c>
      <c r="C271" s="17">
        <f>IF(B271="","",IFERROR(INDEX('Content Calendar'!$H$5:$H$604,MATCH(B271,'Content Calendar'!$A$5:$A$604,0)),"Not found"))</f>
        <v>0</v>
      </c>
      <c r="D271" s="16">
        <f>IF(B271="","",IFERROR(INDEX('Content Calendar'!$B$5:$B$604,MATCH(B271,'Content Calendar'!$A$5:$A$604,0)),"Not found"))</f>
        <v>0</v>
      </c>
      <c r="E271" s="17">
        <f>IF(B271="","",IFERROR(INDEX('Content Calendar'!$D$5:$D$604,MATCH(B271,'Content Calendar'!$A$5:$A$604,0)),"Not found"))</f>
        <v>0</v>
      </c>
      <c r="F271" s="17">
        <f>IF(B271="","",IFERROR(INDEX('Content Calendar'!$G$5:$G$604,MATCH(B271,'Content Calendar'!$A$5:$A$604,0)),"Not found"))</f>
        <v>0</v>
      </c>
      <c r="G271" s="17">
        <f>IF(B271="","",IFERROR(INDEX('Content Calendar'!$K$5:$K$604,MATCH(B271,'Content Calendar'!$A$5:$A$604,0)),"Not found"))</f>
        <v>0</v>
      </c>
      <c r="H271" s="17">
        <f>IF(B271="","",IFERROR(INDEX('Content Calendar'!$J$5:$J$604,MATCH(B271,'Content Calendar'!$A$5:$A$604,0)),"Not found"))</f>
        <v>0</v>
      </c>
      <c r="I271" s="17">
        <f>IF(B271="","",IFERROR(INDEX('Content Calendar'!$L$5:$L$604,MATCH(B271,'Content Calendar'!$A$5:$A$604,0)),"Not found"))</f>
        <v>0</v>
      </c>
      <c r="J271" s="17">
        <f>IF(B271="","",IFERROR(INDEX('Content Calendar'!$P$5:$P$604,MATCH(B271,'Content Calendar'!$A$5:$A$604,0)),"Not found"))</f>
        <v>0</v>
      </c>
      <c r="K271" s="17">
        <f>IF(B271="","",IFERROR(INDEX('Content Calendar'!$O$5:$O$604,MATCH(B271,'Content Calendar'!$A$5:$A$604,0)),"Not found"))</f>
        <v>0</v>
      </c>
      <c r="L271" s="17">
        <f>IF(B271="","",IFERROR(INDEX('Content Calendar'!$N$5:$N$604,MATCH(B271,'Content Calendar'!$A$5:$A$604,0)),"Not found"))</f>
        <v>0</v>
      </c>
      <c r="M271" s="17">
        <f>IF(B271="","",IFERROR(INDEX('Content Calendar'!$C$5:$C$604,MATCH(B271,'Content Calendar'!$A$5:$A$604,0)),"Not found"))</f>
        <v>0</v>
      </c>
      <c r="N271" s="17">
        <f>IF(B271="","",IFERROR(INDEX('Content Calendar'!$F$5:$F$604,MATCH(B271,'Content Calendar'!$A$5:$A$604,0)),"Not found"))</f>
        <v>0</v>
      </c>
      <c r="Z271" s="23">
        <f>IF(O271="","",N(Q271)+N(R271)+N(S271)+N(T271))</f>
        <v>0</v>
      </c>
      <c r="AA271" s="24">
        <f>IF(OR(O271="",O271=0),"",Z271/O271)</f>
        <v>0</v>
      </c>
      <c r="AB271" s="24">
        <f>IF(OR(O271="",O271=0),"",N(T271)/O271)</f>
        <v>0</v>
      </c>
      <c r="AC271" s="24">
        <f>IF(OR(O271="",O271=0),"",N(S271)/O271)</f>
        <v>0</v>
      </c>
      <c r="AD271" s="24">
        <f>IF(OR(O271="",O271=0),"",N(R271)/O271)</f>
        <v>0</v>
      </c>
      <c r="AE271" s="24">
        <f>IF(OR(O271="",O271=0),"",N(U271)/O271)</f>
        <v>0</v>
      </c>
      <c r="AF271" s="24">
        <f>IF(OR(U271="",U271=0),"",N(W271)/U271)</f>
        <v>0</v>
      </c>
      <c r="AG271" s="25">
        <f>IF(OR(O271="",O271=0),"",N(X271)/(O271/1000))</f>
        <v>0</v>
      </c>
      <c r="AH271" s="24">
        <f>IF(O271="","",IF(Y271="",TargetEngagement,Y271))</f>
        <v>0</v>
      </c>
      <c r="AI271" s="24">
        <f>IF(OR(AA271="",AH271=""),"",AA271-AH271)</f>
        <v>0</v>
      </c>
      <c r="AJ271" s="31">
        <f>IF(AA271="","",AA271+ROW()/1000000)</f>
        <v>0</v>
      </c>
      <c r="AK271" s="23">
        <f>IF(AA271="","",RANK(AJ271,Performance!$AJ$5:$AJ$404))</f>
        <v>0</v>
      </c>
      <c r="AL271" s="29">
        <f>IF(AA271="","",IF(AA271&gt;=AH271*1.5,"Top performer",IF(AA271&gt;=AH271,"Above target",IF(AA271&gt;=AH271*0.6,"Below target","Weak - review it"))))</f>
        <v>0</v>
      </c>
      <c r="AM271" s="29">
        <f>IF(B271="","",IF(COUNTIF(Performance!$B$5:$B$404,B271)&gt;1,"Duplicate","OK"))</f>
        <v>0</v>
      </c>
      <c r="AN271" s="29">
        <f>IF(B271="","",IF(C271="Not found","Check - content ID not on the calendar",IF(O271="","Add - no numbers entered yet",IF(AM271="Duplicate","Duplicate - this post is entered twice",IF(AL271="Top performer","Repurpose this one","OK")))))</f>
        <v>0</v>
      </c>
    </row>
    <row r="272" spans="1:40">
      <c r="A272" s="41">
        <f>IF(B272="","","PF-"&amp;TEXT(ROW()-4,"0000"))</f>
        <v>0</v>
      </c>
      <c r="C272" s="17">
        <f>IF(B272="","",IFERROR(INDEX('Content Calendar'!$H$5:$H$604,MATCH(B272,'Content Calendar'!$A$5:$A$604,0)),"Not found"))</f>
        <v>0</v>
      </c>
      <c r="D272" s="16">
        <f>IF(B272="","",IFERROR(INDEX('Content Calendar'!$B$5:$B$604,MATCH(B272,'Content Calendar'!$A$5:$A$604,0)),"Not found"))</f>
        <v>0</v>
      </c>
      <c r="E272" s="17">
        <f>IF(B272="","",IFERROR(INDEX('Content Calendar'!$D$5:$D$604,MATCH(B272,'Content Calendar'!$A$5:$A$604,0)),"Not found"))</f>
        <v>0</v>
      </c>
      <c r="F272" s="17">
        <f>IF(B272="","",IFERROR(INDEX('Content Calendar'!$G$5:$G$604,MATCH(B272,'Content Calendar'!$A$5:$A$604,0)),"Not found"))</f>
        <v>0</v>
      </c>
      <c r="G272" s="17">
        <f>IF(B272="","",IFERROR(INDEX('Content Calendar'!$K$5:$K$604,MATCH(B272,'Content Calendar'!$A$5:$A$604,0)),"Not found"))</f>
        <v>0</v>
      </c>
      <c r="H272" s="17">
        <f>IF(B272="","",IFERROR(INDEX('Content Calendar'!$J$5:$J$604,MATCH(B272,'Content Calendar'!$A$5:$A$604,0)),"Not found"))</f>
        <v>0</v>
      </c>
      <c r="I272" s="17">
        <f>IF(B272="","",IFERROR(INDEX('Content Calendar'!$L$5:$L$604,MATCH(B272,'Content Calendar'!$A$5:$A$604,0)),"Not found"))</f>
        <v>0</v>
      </c>
      <c r="J272" s="17">
        <f>IF(B272="","",IFERROR(INDEX('Content Calendar'!$P$5:$P$604,MATCH(B272,'Content Calendar'!$A$5:$A$604,0)),"Not found"))</f>
        <v>0</v>
      </c>
      <c r="K272" s="17">
        <f>IF(B272="","",IFERROR(INDEX('Content Calendar'!$O$5:$O$604,MATCH(B272,'Content Calendar'!$A$5:$A$604,0)),"Not found"))</f>
        <v>0</v>
      </c>
      <c r="L272" s="17">
        <f>IF(B272="","",IFERROR(INDEX('Content Calendar'!$N$5:$N$604,MATCH(B272,'Content Calendar'!$A$5:$A$604,0)),"Not found"))</f>
        <v>0</v>
      </c>
      <c r="M272" s="17">
        <f>IF(B272="","",IFERROR(INDEX('Content Calendar'!$C$5:$C$604,MATCH(B272,'Content Calendar'!$A$5:$A$604,0)),"Not found"))</f>
        <v>0</v>
      </c>
      <c r="N272" s="17">
        <f>IF(B272="","",IFERROR(INDEX('Content Calendar'!$F$5:$F$604,MATCH(B272,'Content Calendar'!$A$5:$A$604,0)),"Not found"))</f>
        <v>0</v>
      </c>
      <c r="Z272" s="23">
        <f>IF(O272="","",N(Q272)+N(R272)+N(S272)+N(T272))</f>
        <v>0</v>
      </c>
      <c r="AA272" s="24">
        <f>IF(OR(O272="",O272=0),"",Z272/O272)</f>
        <v>0</v>
      </c>
      <c r="AB272" s="24">
        <f>IF(OR(O272="",O272=0),"",N(T272)/O272)</f>
        <v>0</v>
      </c>
      <c r="AC272" s="24">
        <f>IF(OR(O272="",O272=0),"",N(S272)/O272)</f>
        <v>0</v>
      </c>
      <c r="AD272" s="24">
        <f>IF(OR(O272="",O272=0),"",N(R272)/O272)</f>
        <v>0</v>
      </c>
      <c r="AE272" s="24">
        <f>IF(OR(O272="",O272=0),"",N(U272)/O272)</f>
        <v>0</v>
      </c>
      <c r="AF272" s="24">
        <f>IF(OR(U272="",U272=0),"",N(W272)/U272)</f>
        <v>0</v>
      </c>
      <c r="AG272" s="25">
        <f>IF(OR(O272="",O272=0),"",N(X272)/(O272/1000))</f>
        <v>0</v>
      </c>
      <c r="AH272" s="24">
        <f>IF(O272="","",IF(Y272="",TargetEngagement,Y272))</f>
        <v>0</v>
      </c>
      <c r="AI272" s="24">
        <f>IF(OR(AA272="",AH272=""),"",AA272-AH272)</f>
        <v>0</v>
      </c>
      <c r="AJ272" s="31">
        <f>IF(AA272="","",AA272+ROW()/1000000)</f>
        <v>0</v>
      </c>
      <c r="AK272" s="23">
        <f>IF(AA272="","",RANK(AJ272,Performance!$AJ$5:$AJ$404))</f>
        <v>0</v>
      </c>
      <c r="AL272" s="29">
        <f>IF(AA272="","",IF(AA272&gt;=AH272*1.5,"Top performer",IF(AA272&gt;=AH272,"Above target",IF(AA272&gt;=AH272*0.6,"Below target","Weak - review it"))))</f>
        <v>0</v>
      </c>
      <c r="AM272" s="29">
        <f>IF(B272="","",IF(COUNTIF(Performance!$B$5:$B$404,B272)&gt;1,"Duplicate","OK"))</f>
        <v>0</v>
      </c>
      <c r="AN272" s="29">
        <f>IF(B272="","",IF(C272="Not found","Check - content ID not on the calendar",IF(O272="","Add - no numbers entered yet",IF(AM272="Duplicate","Duplicate - this post is entered twice",IF(AL272="Top performer","Repurpose this one","OK")))))</f>
        <v>0</v>
      </c>
    </row>
    <row r="273" spans="1:40">
      <c r="A273" s="41">
        <f>IF(B273="","","PF-"&amp;TEXT(ROW()-4,"0000"))</f>
        <v>0</v>
      </c>
      <c r="C273" s="17">
        <f>IF(B273="","",IFERROR(INDEX('Content Calendar'!$H$5:$H$604,MATCH(B273,'Content Calendar'!$A$5:$A$604,0)),"Not found"))</f>
        <v>0</v>
      </c>
      <c r="D273" s="16">
        <f>IF(B273="","",IFERROR(INDEX('Content Calendar'!$B$5:$B$604,MATCH(B273,'Content Calendar'!$A$5:$A$604,0)),"Not found"))</f>
        <v>0</v>
      </c>
      <c r="E273" s="17">
        <f>IF(B273="","",IFERROR(INDEX('Content Calendar'!$D$5:$D$604,MATCH(B273,'Content Calendar'!$A$5:$A$604,0)),"Not found"))</f>
        <v>0</v>
      </c>
      <c r="F273" s="17">
        <f>IF(B273="","",IFERROR(INDEX('Content Calendar'!$G$5:$G$604,MATCH(B273,'Content Calendar'!$A$5:$A$604,0)),"Not found"))</f>
        <v>0</v>
      </c>
      <c r="G273" s="17">
        <f>IF(B273="","",IFERROR(INDEX('Content Calendar'!$K$5:$K$604,MATCH(B273,'Content Calendar'!$A$5:$A$604,0)),"Not found"))</f>
        <v>0</v>
      </c>
      <c r="H273" s="17">
        <f>IF(B273="","",IFERROR(INDEX('Content Calendar'!$J$5:$J$604,MATCH(B273,'Content Calendar'!$A$5:$A$604,0)),"Not found"))</f>
        <v>0</v>
      </c>
      <c r="I273" s="17">
        <f>IF(B273="","",IFERROR(INDEX('Content Calendar'!$L$5:$L$604,MATCH(B273,'Content Calendar'!$A$5:$A$604,0)),"Not found"))</f>
        <v>0</v>
      </c>
      <c r="J273" s="17">
        <f>IF(B273="","",IFERROR(INDEX('Content Calendar'!$P$5:$P$604,MATCH(B273,'Content Calendar'!$A$5:$A$604,0)),"Not found"))</f>
        <v>0</v>
      </c>
      <c r="K273" s="17">
        <f>IF(B273="","",IFERROR(INDEX('Content Calendar'!$O$5:$O$604,MATCH(B273,'Content Calendar'!$A$5:$A$604,0)),"Not found"))</f>
        <v>0</v>
      </c>
      <c r="L273" s="17">
        <f>IF(B273="","",IFERROR(INDEX('Content Calendar'!$N$5:$N$604,MATCH(B273,'Content Calendar'!$A$5:$A$604,0)),"Not found"))</f>
        <v>0</v>
      </c>
      <c r="M273" s="17">
        <f>IF(B273="","",IFERROR(INDEX('Content Calendar'!$C$5:$C$604,MATCH(B273,'Content Calendar'!$A$5:$A$604,0)),"Not found"))</f>
        <v>0</v>
      </c>
      <c r="N273" s="17">
        <f>IF(B273="","",IFERROR(INDEX('Content Calendar'!$F$5:$F$604,MATCH(B273,'Content Calendar'!$A$5:$A$604,0)),"Not found"))</f>
        <v>0</v>
      </c>
      <c r="Z273" s="23">
        <f>IF(O273="","",N(Q273)+N(R273)+N(S273)+N(T273))</f>
        <v>0</v>
      </c>
      <c r="AA273" s="24">
        <f>IF(OR(O273="",O273=0),"",Z273/O273)</f>
        <v>0</v>
      </c>
      <c r="AB273" s="24">
        <f>IF(OR(O273="",O273=0),"",N(T273)/O273)</f>
        <v>0</v>
      </c>
      <c r="AC273" s="24">
        <f>IF(OR(O273="",O273=0),"",N(S273)/O273)</f>
        <v>0</v>
      </c>
      <c r="AD273" s="24">
        <f>IF(OR(O273="",O273=0),"",N(R273)/O273)</f>
        <v>0</v>
      </c>
      <c r="AE273" s="24">
        <f>IF(OR(O273="",O273=0),"",N(U273)/O273)</f>
        <v>0</v>
      </c>
      <c r="AF273" s="24">
        <f>IF(OR(U273="",U273=0),"",N(W273)/U273)</f>
        <v>0</v>
      </c>
      <c r="AG273" s="25">
        <f>IF(OR(O273="",O273=0),"",N(X273)/(O273/1000))</f>
        <v>0</v>
      </c>
      <c r="AH273" s="24">
        <f>IF(O273="","",IF(Y273="",TargetEngagement,Y273))</f>
        <v>0</v>
      </c>
      <c r="AI273" s="24">
        <f>IF(OR(AA273="",AH273=""),"",AA273-AH273)</f>
        <v>0</v>
      </c>
      <c r="AJ273" s="31">
        <f>IF(AA273="","",AA273+ROW()/1000000)</f>
        <v>0</v>
      </c>
      <c r="AK273" s="23">
        <f>IF(AA273="","",RANK(AJ273,Performance!$AJ$5:$AJ$404))</f>
        <v>0</v>
      </c>
      <c r="AL273" s="29">
        <f>IF(AA273="","",IF(AA273&gt;=AH273*1.5,"Top performer",IF(AA273&gt;=AH273,"Above target",IF(AA273&gt;=AH273*0.6,"Below target","Weak - review it"))))</f>
        <v>0</v>
      </c>
      <c r="AM273" s="29">
        <f>IF(B273="","",IF(COUNTIF(Performance!$B$5:$B$404,B273)&gt;1,"Duplicate","OK"))</f>
        <v>0</v>
      </c>
      <c r="AN273" s="29">
        <f>IF(B273="","",IF(C273="Not found","Check - content ID not on the calendar",IF(O273="","Add - no numbers entered yet",IF(AM273="Duplicate","Duplicate - this post is entered twice",IF(AL273="Top performer","Repurpose this one","OK")))))</f>
        <v>0</v>
      </c>
    </row>
    <row r="274" spans="1:40">
      <c r="A274" s="41">
        <f>IF(B274="","","PF-"&amp;TEXT(ROW()-4,"0000"))</f>
        <v>0</v>
      </c>
      <c r="C274" s="17">
        <f>IF(B274="","",IFERROR(INDEX('Content Calendar'!$H$5:$H$604,MATCH(B274,'Content Calendar'!$A$5:$A$604,0)),"Not found"))</f>
        <v>0</v>
      </c>
      <c r="D274" s="16">
        <f>IF(B274="","",IFERROR(INDEX('Content Calendar'!$B$5:$B$604,MATCH(B274,'Content Calendar'!$A$5:$A$604,0)),"Not found"))</f>
        <v>0</v>
      </c>
      <c r="E274" s="17">
        <f>IF(B274="","",IFERROR(INDEX('Content Calendar'!$D$5:$D$604,MATCH(B274,'Content Calendar'!$A$5:$A$604,0)),"Not found"))</f>
        <v>0</v>
      </c>
      <c r="F274" s="17">
        <f>IF(B274="","",IFERROR(INDEX('Content Calendar'!$G$5:$G$604,MATCH(B274,'Content Calendar'!$A$5:$A$604,0)),"Not found"))</f>
        <v>0</v>
      </c>
      <c r="G274" s="17">
        <f>IF(B274="","",IFERROR(INDEX('Content Calendar'!$K$5:$K$604,MATCH(B274,'Content Calendar'!$A$5:$A$604,0)),"Not found"))</f>
        <v>0</v>
      </c>
      <c r="H274" s="17">
        <f>IF(B274="","",IFERROR(INDEX('Content Calendar'!$J$5:$J$604,MATCH(B274,'Content Calendar'!$A$5:$A$604,0)),"Not found"))</f>
        <v>0</v>
      </c>
      <c r="I274" s="17">
        <f>IF(B274="","",IFERROR(INDEX('Content Calendar'!$L$5:$L$604,MATCH(B274,'Content Calendar'!$A$5:$A$604,0)),"Not found"))</f>
        <v>0</v>
      </c>
      <c r="J274" s="17">
        <f>IF(B274="","",IFERROR(INDEX('Content Calendar'!$P$5:$P$604,MATCH(B274,'Content Calendar'!$A$5:$A$604,0)),"Not found"))</f>
        <v>0</v>
      </c>
      <c r="K274" s="17">
        <f>IF(B274="","",IFERROR(INDEX('Content Calendar'!$O$5:$O$604,MATCH(B274,'Content Calendar'!$A$5:$A$604,0)),"Not found"))</f>
        <v>0</v>
      </c>
      <c r="L274" s="17">
        <f>IF(B274="","",IFERROR(INDEX('Content Calendar'!$N$5:$N$604,MATCH(B274,'Content Calendar'!$A$5:$A$604,0)),"Not found"))</f>
        <v>0</v>
      </c>
      <c r="M274" s="17">
        <f>IF(B274="","",IFERROR(INDEX('Content Calendar'!$C$5:$C$604,MATCH(B274,'Content Calendar'!$A$5:$A$604,0)),"Not found"))</f>
        <v>0</v>
      </c>
      <c r="N274" s="17">
        <f>IF(B274="","",IFERROR(INDEX('Content Calendar'!$F$5:$F$604,MATCH(B274,'Content Calendar'!$A$5:$A$604,0)),"Not found"))</f>
        <v>0</v>
      </c>
      <c r="Z274" s="23">
        <f>IF(O274="","",N(Q274)+N(R274)+N(S274)+N(T274))</f>
        <v>0</v>
      </c>
      <c r="AA274" s="24">
        <f>IF(OR(O274="",O274=0),"",Z274/O274)</f>
        <v>0</v>
      </c>
      <c r="AB274" s="24">
        <f>IF(OR(O274="",O274=0),"",N(T274)/O274)</f>
        <v>0</v>
      </c>
      <c r="AC274" s="24">
        <f>IF(OR(O274="",O274=0),"",N(S274)/O274)</f>
        <v>0</v>
      </c>
      <c r="AD274" s="24">
        <f>IF(OR(O274="",O274=0),"",N(R274)/O274)</f>
        <v>0</v>
      </c>
      <c r="AE274" s="24">
        <f>IF(OR(O274="",O274=0),"",N(U274)/O274)</f>
        <v>0</v>
      </c>
      <c r="AF274" s="24">
        <f>IF(OR(U274="",U274=0),"",N(W274)/U274)</f>
        <v>0</v>
      </c>
      <c r="AG274" s="25">
        <f>IF(OR(O274="",O274=0),"",N(X274)/(O274/1000))</f>
        <v>0</v>
      </c>
      <c r="AH274" s="24">
        <f>IF(O274="","",IF(Y274="",TargetEngagement,Y274))</f>
        <v>0</v>
      </c>
      <c r="AI274" s="24">
        <f>IF(OR(AA274="",AH274=""),"",AA274-AH274)</f>
        <v>0</v>
      </c>
      <c r="AJ274" s="31">
        <f>IF(AA274="","",AA274+ROW()/1000000)</f>
        <v>0</v>
      </c>
      <c r="AK274" s="23">
        <f>IF(AA274="","",RANK(AJ274,Performance!$AJ$5:$AJ$404))</f>
        <v>0</v>
      </c>
      <c r="AL274" s="29">
        <f>IF(AA274="","",IF(AA274&gt;=AH274*1.5,"Top performer",IF(AA274&gt;=AH274,"Above target",IF(AA274&gt;=AH274*0.6,"Below target","Weak - review it"))))</f>
        <v>0</v>
      </c>
      <c r="AM274" s="29">
        <f>IF(B274="","",IF(COUNTIF(Performance!$B$5:$B$404,B274)&gt;1,"Duplicate","OK"))</f>
        <v>0</v>
      </c>
      <c r="AN274" s="29">
        <f>IF(B274="","",IF(C274="Not found","Check - content ID not on the calendar",IF(O274="","Add - no numbers entered yet",IF(AM274="Duplicate","Duplicate - this post is entered twice",IF(AL274="Top performer","Repurpose this one","OK")))))</f>
        <v>0</v>
      </c>
    </row>
    <row r="275" spans="1:40">
      <c r="A275" s="41">
        <f>IF(B275="","","PF-"&amp;TEXT(ROW()-4,"0000"))</f>
        <v>0</v>
      </c>
      <c r="C275" s="17">
        <f>IF(B275="","",IFERROR(INDEX('Content Calendar'!$H$5:$H$604,MATCH(B275,'Content Calendar'!$A$5:$A$604,0)),"Not found"))</f>
        <v>0</v>
      </c>
      <c r="D275" s="16">
        <f>IF(B275="","",IFERROR(INDEX('Content Calendar'!$B$5:$B$604,MATCH(B275,'Content Calendar'!$A$5:$A$604,0)),"Not found"))</f>
        <v>0</v>
      </c>
      <c r="E275" s="17">
        <f>IF(B275="","",IFERROR(INDEX('Content Calendar'!$D$5:$D$604,MATCH(B275,'Content Calendar'!$A$5:$A$604,0)),"Not found"))</f>
        <v>0</v>
      </c>
      <c r="F275" s="17">
        <f>IF(B275="","",IFERROR(INDEX('Content Calendar'!$G$5:$G$604,MATCH(B275,'Content Calendar'!$A$5:$A$604,0)),"Not found"))</f>
        <v>0</v>
      </c>
      <c r="G275" s="17">
        <f>IF(B275="","",IFERROR(INDEX('Content Calendar'!$K$5:$K$604,MATCH(B275,'Content Calendar'!$A$5:$A$604,0)),"Not found"))</f>
        <v>0</v>
      </c>
      <c r="H275" s="17">
        <f>IF(B275="","",IFERROR(INDEX('Content Calendar'!$J$5:$J$604,MATCH(B275,'Content Calendar'!$A$5:$A$604,0)),"Not found"))</f>
        <v>0</v>
      </c>
      <c r="I275" s="17">
        <f>IF(B275="","",IFERROR(INDEX('Content Calendar'!$L$5:$L$604,MATCH(B275,'Content Calendar'!$A$5:$A$604,0)),"Not found"))</f>
        <v>0</v>
      </c>
      <c r="J275" s="17">
        <f>IF(B275="","",IFERROR(INDEX('Content Calendar'!$P$5:$P$604,MATCH(B275,'Content Calendar'!$A$5:$A$604,0)),"Not found"))</f>
        <v>0</v>
      </c>
      <c r="K275" s="17">
        <f>IF(B275="","",IFERROR(INDEX('Content Calendar'!$O$5:$O$604,MATCH(B275,'Content Calendar'!$A$5:$A$604,0)),"Not found"))</f>
        <v>0</v>
      </c>
      <c r="L275" s="17">
        <f>IF(B275="","",IFERROR(INDEX('Content Calendar'!$N$5:$N$604,MATCH(B275,'Content Calendar'!$A$5:$A$604,0)),"Not found"))</f>
        <v>0</v>
      </c>
      <c r="M275" s="17">
        <f>IF(B275="","",IFERROR(INDEX('Content Calendar'!$C$5:$C$604,MATCH(B275,'Content Calendar'!$A$5:$A$604,0)),"Not found"))</f>
        <v>0</v>
      </c>
      <c r="N275" s="17">
        <f>IF(B275="","",IFERROR(INDEX('Content Calendar'!$F$5:$F$604,MATCH(B275,'Content Calendar'!$A$5:$A$604,0)),"Not found"))</f>
        <v>0</v>
      </c>
      <c r="Z275" s="23">
        <f>IF(O275="","",N(Q275)+N(R275)+N(S275)+N(T275))</f>
        <v>0</v>
      </c>
      <c r="AA275" s="24">
        <f>IF(OR(O275="",O275=0),"",Z275/O275)</f>
        <v>0</v>
      </c>
      <c r="AB275" s="24">
        <f>IF(OR(O275="",O275=0),"",N(T275)/O275)</f>
        <v>0</v>
      </c>
      <c r="AC275" s="24">
        <f>IF(OR(O275="",O275=0),"",N(S275)/O275)</f>
        <v>0</v>
      </c>
      <c r="AD275" s="24">
        <f>IF(OR(O275="",O275=0),"",N(R275)/O275)</f>
        <v>0</v>
      </c>
      <c r="AE275" s="24">
        <f>IF(OR(O275="",O275=0),"",N(U275)/O275)</f>
        <v>0</v>
      </c>
      <c r="AF275" s="24">
        <f>IF(OR(U275="",U275=0),"",N(W275)/U275)</f>
        <v>0</v>
      </c>
      <c r="AG275" s="25">
        <f>IF(OR(O275="",O275=0),"",N(X275)/(O275/1000))</f>
        <v>0</v>
      </c>
      <c r="AH275" s="24">
        <f>IF(O275="","",IF(Y275="",TargetEngagement,Y275))</f>
        <v>0</v>
      </c>
      <c r="AI275" s="24">
        <f>IF(OR(AA275="",AH275=""),"",AA275-AH275)</f>
        <v>0</v>
      </c>
      <c r="AJ275" s="31">
        <f>IF(AA275="","",AA275+ROW()/1000000)</f>
        <v>0</v>
      </c>
      <c r="AK275" s="23">
        <f>IF(AA275="","",RANK(AJ275,Performance!$AJ$5:$AJ$404))</f>
        <v>0</v>
      </c>
      <c r="AL275" s="29">
        <f>IF(AA275="","",IF(AA275&gt;=AH275*1.5,"Top performer",IF(AA275&gt;=AH275,"Above target",IF(AA275&gt;=AH275*0.6,"Below target","Weak - review it"))))</f>
        <v>0</v>
      </c>
      <c r="AM275" s="29">
        <f>IF(B275="","",IF(COUNTIF(Performance!$B$5:$B$404,B275)&gt;1,"Duplicate","OK"))</f>
        <v>0</v>
      </c>
      <c r="AN275" s="29">
        <f>IF(B275="","",IF(C275="Not found","Check - content ID not on the calendar",IF(O275="","Add - no numbers entered yet",IF(AM275="Duplicate","Duplicate - this post is entered twice",IF(AL275="Top performer","Repurpose this one","OK")))))</f>
        <v>0</v>
      </c>
    </row>
    <row r="276" spans="1:40">
      <c r="A276" s="41">
        <f>IF(B276="","","PF-"&amp;TEXT(ROW()-4,"0000"))</f>
        <v>0</v>
      </c>
      <c r="C276" s="17">
        <f>IF(B276="","",IFERROR(INDEX('Content Calendar'!$H$5:$H$604,MATCH(B276,'Content Calendar'!$A$5:$A$604,0)),"Not found"))</f>
        <v>0</v>
      </c>
      <c r="D276" s="16">
        <f>IF(B276="","",IFERROR(INDEX('Content Calendar'!$B$5:$B$604,MATCH(B276,'Content Calendar'!$A$5:$A$604,0)),"Not found"))</f>
        <v>0</v>
      </c>
      <c r="E276" s="17">
        <f>IF(B276="","",IFERROR(INDEX('Content Calendar'!$D$5:$D$604,MATCH(B276,'Content Calendar'!$A$5:$A$604,0)),"Not found"))</f>
        <v>0</v>
      </c>
      <c r="F276" s="17">
        <f>IF(B276="","",IFERROR(INDEX('Content Calendar'!$G$5:$G$604,MATCH(B276,'Content Calendar'!$A$5:$A$604,0)),"Not found"))</f>
        <v>0</v>
      </c>
      <c r="G276" s="17">
        <f>IF(B276="","",IFERROR(INDEX('Content Calendar'!$K$5:$K$604,MATCH(B276,'Content Calendar'!$A$5:$A$604,0)),"Not found"))</f>
        <v>0</v>
      </c>
      <c r="H276" s="17">
        <f>IF(B276="","",IFERROR(INDEX('Content Calendar'!$J$5:$J$604,MATCH(B276,'Content Calendar'!$A$5:$A$604,0)),"Not found"))</f>
        <v>0</v>
      </c>
      <c r="I276" s="17">
        <f>IF(B276="","",IFERROR(INDEX('Content Calendar'!$L$5:$L$604,MATCH(B276,'Content Calendar'!$A$5:$A$604,0)),"Not found"))</f>
        <v>0</v>
      </c>
      <c r="J276" s="17">
        <f>IF(B276="","",IFERROR(INDEX('Content Calendar'!$P$5:$P$604,MATCH(B276,'Content Calendar'!$A$5:$A$604,0)),"Not found"))</f>
        <v>0</v>
      </c>
      <c r="K276" s="17">
        <f>IF(B276="","",IFERROR(INDEX('Content Calendar'!$O$5:$O$604,MATCH(B276,'Content Calendar'!$A$5:$A$604,0)),"Not found"))</f>
        <v>0</v>
      </c>
      <c r="L276" s="17">
        <f>IF(B276="","",IFERROR(INDEX('Content Calendar'!$N$5:$N$604,MATCH(B276,'Content Calendar'!$A$5:$A$604,0)),"Not found"))</f>
        <v>0</v>
      </c>
      <c r="M276" s="17">
        <f>IF(B276="","",IFERROR(INDEX('Content Calendar'!$C$5:$C$604,MATCH(B276,'Content Calendar'!$A$5:$A$604,0)),"Not found"))</f>
        <v>0</v>
      </c>
      <c r="N276" s="17">
        <f>IF(B276="","",IFERROR(INDEX('Content Calendar'!$F$5:$F$604,MATCH(B276,'Content Calendar'!$A$5:$A$604,0)),"Not found"))</f>
        <v>0</v>
      </c>
      <c r="Z276" s="23">
        <f>IF(O276="","",N(Q276)+N(R276)+N(S276)+N(T276))</f>
        <v>0</v>
      </c>
      <c r="AA276" s="24">
        <f>IF(OR(O276="",O276=0),"",Z276/O276)</f>
        <v>0</v>
      </c>
      <c r="AB276" s="24">
        <f>IF(OR(O276="",O276=0),"",N(T276)/O276)</f>
        <v>0</v>
      </c>
      <c r="AC276" s="24">
        <f>IF(OR(O276="",O276=0),"",N(S276)/O276)</f>
        <v>0</v>
      </c>
      <c r="AD276" s="24">
        <f>IF(OR(O276="",O276=0),"",N(R276)/O276)</f>
        <v>0</v>
      </c>
      <c r="AE276" s="24">
        <f>IF(OR(O276="",O276=0),"",N(U276)/O276)</f>
        <v>0</v>
      </c>
      <c r="AF276" s="24">
        <f>IF(OR(U276="",U276=0),"",N(W276)/U276)</f>
        <v>0</v>
      </c>
      <c r="AG276" s="25">
        <f>IF(OR(O276="",O276=0),"",N(X276)/(O276/1000))</f>
        <v>0</v>
      </c>
      <c r="AH276" s="24">
        <f>IF(O276="","",IF(Y276="",TargetEngagement,Y276))</f>
        <v>0</v>
      </c>
      <c r="AI276" s="24">
        <f>IF(OR(AA276="",AH276=""),"",AA276-AH276)</f>
        <v>0</v>
      </c>
      <c r="AJ276" s="31">
        <f>IF(AA276="","",AA276+ROW()/1000000)</f>
        <v>0</v>
      </c>
      <c r="AK276" s="23">
        <f>IF(AA276="","",RANK(AJ276,Performance!$AJ$5:$AJ$404))</f>
        <v>0</v>
      </c>
      <c r="AL276" s="29">
        <f>IF(AA276="","",IF(AA276&gt;=AH276*1.5,"Top performer",IF(AA276&gt;=AH276,"Above target",IF(AA276&gt;=AH276*0.6,"Below target","Weak - review it"))))</f>
        <v>0</v>
      </c>
      <c r="AM276" s="29">
        <f>IF(B276="","",IF(COUNTIF(Performance!$B$5:$B$404,B276)&gt;1,"Duplicate","OK"))</f>
        <v>0</v>
      </c>
      <c r="AN276" s="29">
        <f>IF(B276="","",IF(C276="Not found","Check - content ID not on the calendar",IF(O276="","Add - no numbers entered yet",IF(AM276="Duplicate","Duplicate - this post is entered twice",IF(AL276="Top performer","Repurpose this one","OK")))))</f>
        <v>0</v>
      </c>
    </row>
    <row r="277" spans="1:40">
      <c r="A277" s="41">
        <f>IF(B277="","","PF-"&amp;TEXT(ROW()-4,"0000"))</f>
        <v>0</v>
      </c>
      <c r="C277" s="17">
        <f>IF(B277="","",IFERROR(INDEX('Content Calendar'!$H$5:$H$604,MATCH(B277,'Content Calendar'!$A$5:$A$604,0)),"Not found"))</f>
        <v>0</v>
      </c>
      <c r="D277" s="16">
        <f>IF(B277="","",IFERROR(INDEX('Content Calendar'!$B$5:$B$604,MATCH(B277,'Content Calendar'!$A$5:$A$604,0)),"Not found"))</f>
        <v>0</v>
      </c>
      <c r="E277" s="17">
        <f>IF(B277="","",IFERROR(INDEX('Content Calendar'!$D$5:$D$604,MATCH(B277,'Content Calendar'!$A$5:$A$604,0)),"Not found"))</f>
        <v>0</v>
      </c>
      <c r="F277" s="17">
        <f>IF(B277="","",IFERROR(INDEX('Content Calendar'!$G$5:$G$604,MATCH(B277,'Content Calendar'!$A$5:$A$604,0)),"Not found"))</f>
        <v>0</v>
      </c>
      <c r="G277" s="17">
        <f>IF(B277="","",IFERROR(INDEX('Content Calendar'!$K$5:$K$604,MATCH(B277,'Content Calendar'!$A$5:$A$604,0)),"Not found"))</f>
        <v>0</v>
      </c>
      <c r="H277" s="17">
        <f>IF(B277="","",IFERROR(INDEX('Content Calendar'!$J$5:$J$604,MATCH(B277,'Content Calendar'!$A$5:$A$604,0)),"Not found"))</f>
        <v>0</v>
      </c>
      <c r="I277" s="17">
        <f>IF(B277="","",IFERROR(INDEX('Content Calendar'!$L$5:$L$604,MATCH(B277,'Content Calendar'!$A$5:$A$604,0)),"Not found"))</f>
        <v>0</v>
      </c>
      <c r="J277" s="17">
        <f>IF(B277="","",IFERROR(INDEX('Content Calendar'!$P$5:$P$604,MATCH(B277,'Content Calendar'!$A$5:$A$604,0)),"Not found"))</f>
        <v>0</v>
      </c>
      <c r="K277" s="17">
        <f>IF(B277="","",IFERROR(INDEX('Content Calendar'!$O$5:$O$604,MATCH(B277,'Content Calendar'!$A$5:$A$604,0)),"Not found"))</f>
        <v>0</v>
      </c>
      <c r="L277" s="17">
        <f>IF(B277="","",IFERROR(INDEX('Content Calendar'!$N$5:$N$604,MATCH(B277,'Content Calendar'!$A$5:$A$604,0)),"Not found"))</f>
        <v>0</v>
      </c>
      <c r="M277" s="17">
        <f>IF(B277="","",IFERROR(INDEX('Content Calendar'!$C$5:$C$604,MATCH(B277,'Content Calendar'!$A$5:$A$604,0)),"Not found"))</f>
        <v>0</v>
      </c>
      <c r="N277" s="17">
        <f>IF(B277="","",IFERROR(INDEX('Content Calendar'!$F$5:$F$604,MATCH(B277,'Content Calendar'!$A$5:$A$604,0)),"Not found"))</f>
        <v>0</v>
      </c>
      <c r="Z277" s="23">
        <f>IF(O277="","",N(Q277)+N(R277)+N(S277)+N(T277))</f>
        <v>0</v>
      </c>
      <c r="AA277" s="24">
        <f>IF(OR(O277="",O277=0),"",Z277/O277)</f>
        <v>0</v>
      </c>
      <c r="AB277" s="24">
        <f>IF(OR(O277="",O277=0),"",N(T277)/O277)</f>
        <v>0</v>
      </c>
      <c r="AC277" s="24">
        <f>IF(OR(O277="",O277=0),"",N(S277)/O277)</f>
        <v>0</v>
      </c>
      <c r="AD277" s="24">
        <f>IF(OR(O277="",O277=0),"",N(R277)/O277)</f>
        <v>0</v>
      </c>
      <c r="AE277" s="24">
        <f>IF(OR(O277="",O277=0),"",N(U277)/O277)</f>
        <v>0</v>
      </c>
      <c r="AF277" s="24">
        <f>IF(OR(U277="",U277=0),"",N(W277)/U277)</f>
        <v>0</v>
      </c>
      <c r="AG277" s="25">
        <f>IF(OR(O277="",O277=0),"",N(X277)/(O277/1000))</f>
        <v>0</v>
      </c>
      <c r="AH277" s="24">
        <f>IF(O277="","",IF(Y277="",TargetEngagement,Y277))</f>
        <v>0</v>
      </c>
      <c r="AI277" s="24">
        <f>IF(OR(AA277="",AH277=""),"",AA277-AH277)</f>
        <v>0</v>
      </c>
      <c r="AJ277" s="31">
        <f>IF(AA277="","",AA277+ROW()/1000000)</f>
        <v>0</v>
      </c>
      <c r="AK277" s="23">
        <f>IF(AA277="","",RANK(AJ277,Performance!$AJ$5:$AJ$404))</f>
        <v>0</v>
      </c>
      <c r="AL277" s="29">
        <f>IF(AA277="","",IF(AA277&gt;=AH277*1.5,"Top performer",IF(AA277&gt;=AH277,"Above target",IF(AA277&gt;=AH277*0.6,"Below target","Weak - review it"))))</f>
        <v>0</v>
      </c>
      <c r="AM277" s="29">
        <f>IF(B277="","",IF(COUNTIF(Performance!$B$5:$B$404,B277)&gt;1,"Duplicate","OK"))</f>
        <v>0</v>
      </c>
      <c r="AN277" s="29">
        <f>IF(B277="","",IF(C277="Not found","Check - content ID not on the calendar",IF(O277="","Add - no numbers entered yet",IF(AM277="Duplicate","Duplicate - this post is entered twice",IF(AL277="Top performer","Repurpose this one","OK")))))</f>
        <v>0</v>
      </c>
    </row>
    <row r="278" spans="1:40">
      <c r="A278" s="41">
        <f>IF(B278="","","PF-"&amp;TEXT(ROW()-4,"0000"))</f>
        <v>0</v>
      </c>
      <c r="C278" s="17">
        <f>IF(B278="","",IFERROR(INDEX('Content Calendar'!$H$5:$H$604,MATCH(B278,'Content Calendar'!$A$5:$A$604,0)),"Not found"))</f>
        <v>0</v>
      </c>
      <c r="D278" s="16">
        <f>IF(B278="","",IFERROR(INDEX('Content Calendar'!$B$5:$B$604,MATCH(B278,'Content Calendar'!$A$5:$A$604,0)),"Not found"))</f>
        <v>0</v>
      </c>
      <c r="E278" s="17">
        <f>IF(B278="","",IFERROR(INDEX('Content Calendar'!$D$5:$D$604,MATCH(B278,'Content Calendar'!$A$5:$A$604,0)),"Not found"))</f>
        <v>0</v>
      </c>
      <c r="F278" s="17">
        <f>IF(B278="","",IFERROR(INDEX('Content Calendar'!$G$5:$G$604,MATCH(B278,'Content Calendar'!$A$5:$A$604,0)),"Not found"))</f>
        <v>0</v>
      </c>
      <c r="G278" s="17">
        <f>IF(B278="","",IFERROR(INDEX('Content Calendar'!$K$5:$K$604,MATCH(B278,'Content Calendar'!$A$5:$A$604,0)),"Not found"))</f>
        <v>0</v>
      </c>
      <c r="H278" s="17">
        <f>IF(B278="","",IFERROR(INDEX('Content Calendar'!$J$5:$J$604,MATCH(B278,'Content Calendar'!$A$5:$A$604,0)),"Not found"))</f>
        <v>0</v>
      </c>
      <c r="I278" s="17">
        <f>IF(B278="","",IFERROR(INDEX('Content Calendar'!$L$5:$L$604,MATCH(B278,'Content Calendar'!$A$5:$A$604,0)),"Not found"))</f>
        <v>0</v>
      </c>
      <c r="J278" s="17">
        <f>IF(B278="","",IFERROR(INDEX('Content Calendar'!$P$5:$P$604,MATCH(B278,'Content Calendar'!$A$5:$A$604,0)),"Not found"))</f>
        <v>0</v>
      </c>
      <c r="K278" s="17">
        <f>IF(B278="","",IFERROR(INDEX('Content Calendar'!$O$5:$O$604,MATCH(B278,'Content Calendar'!$A$5:$A$604,0)),"Not found"))</f>
        <v>0</v>
      </c>
      <c r="L278" s="17">
        <f>IF(B278="","",IFERROR(INDEX('Content Calendar'!$N$5:$N$604,MATCH(B278,'Content Calendar'!$A$5:$A$604,0)),"Not found"))</f>
        <v>0</v>
      </c>
      <c r="M278" s="17">
        <f>IF(B278="","",IFERROR(INDEX('Content Calendar'!$C$5:$C$604,MATCH(B278,'Content Calendar'!$A$5:$A$604,0)),"Not found"))</f>
        <v>0</v>
      </c>
      <c r="N278" s="17">
        <f>IF(B278="","",IFERROR(INDEX('Content Calendar'!$F$5:$F$604,MATCH(B278,'Content Calendar'!$A$5:$A$604,0)),"Not found"))</f>
        <v>0</v>
      </c>
      <c r="Z278" s="23">
        <f>IF(O278="","",N(Q278)+N(R278)+N(S278)+N(T278))</f>
        <v>0</v>
      </c>
      <c r="AA278" s="24">
        <f>IF(OR(O278="",O278=0),"",Z278/O278)</f>
        <v>0</v>
      </c>
      <c r="AB278" s="24">
        <f>IF(OR(O278="",O278=0),"",N(T278)/O278)</f>
        <v>0</v>
      </c>
      <c r="AC278" s="24">
        <f>IF(OR(O278="",O278=0),"",N(S278)/O278)</f>
        <v>0</v>
      </c>
      <c r="AD278" s="24">
        <f>IF(OR(O278="",O278=0),"",N(R278)/O278)</f>
        <v>0</v>
      </c>
      <c r="AE278" s="24">
        <f>IF(OR(O278="",O278=0),"",N(U278)/O278)</f>
        <v>0</v>
      </c>
      <c r="AF278" s="24">
        <f>IF(OR(U278="",U278=0),"",N(W278)/U278)</f>
        <v>0</v>
      </c>
      <c r="AG278" s="25">
        <f>IF(OR(O278="",O278=0),"",N(X278)/(O278/1000))</f>
        <v>0</v>
      </c>
      <c r="AH278" s="24">
        <f>IF(O278="","",IF(Y278="",TargetEngagement,Y278))</f>
        <v>0</v>
      </c>
      <c r="AI278" s="24">
        <f>IF(OR(AA278="",AH278=""),"",AA278-AH278)</f>
        <v>0</v>
      </c>
      <c r="AJ278" s="31">
        <f>IF(AA278="","",AA278+ROW()/1000000)</f>
        <v>0</v>
      </c>
      <c r="AK278" s="23">
        <f>IF(AA278="","",RANK(AJ278,Performance!$AJ$5:$AJ$404))</f>
        <v>0</v>
      </c>
      <c r="AL278" s="29">
        <f>IF(AA278="","",IF(AA278&gt;=AH278*1.5,"Top performer",IF(AA278&gt;=AH278,"Above target",IF(AA278&gt;=AH278*0.6,"Below target","Weak - review it"))))</f>
        <v>0</v>
      </c>
      <c r="AM278" s="29">
        <f>IF(B278="","",IF(COUNTIF(Performance!$B$5:$B$404,B278)&gt;1,"Duplicate","OK"))</f>
        <v>0</v>
      </c>
      <c r="AN278" s="29">
        <f>IF(B278="","",IF(C278="Not found","Check - content ID not on the calendar",IF(O278="","Add - no numbers entered yet",IF(AM278="Duplicate","Duplicate - this post is entered twice",IF(AL278="Top performer","Repurpose this one","OK")))))</f>
        <v>0</v>
      </c>
    </row>
    <row r="279" spans="1:40">
      <c r="A279" s="41">
        <f>IF(B279="","","PF-"&amp;TEXT(ROW()-4,"0000"))</f>
        <v>0</v>
      </c>
      <c r="C279" s="17">
        <f>IF(B279="","",IFERROR(INDEX('Content Calendar'!$H$5:$H$604,MATCH(B279,'Content Calendar'!$A$5:$A$604,0)),"Not found"))</f>
        <v>0</v>
      </c>
      <c r="D279" s="16">
        <f>IF(B279="","",IFERROR(INDEX('Content Calendar'!$B$5:$B$604,MATCH(B279,'Content Calendar'!$A$5:$A$604,0)),"Not found"))</f>
        <v>0</v>
      </c>
      <c r="E279" s="17">
        <f>IF(B279="","",IFERROR(INDEX('Content Calendar'!$D$5:$D$604,MATCH(B279,'Content Calendar'!$A$5:$A$604,0)),"Not found"))</f>
        <v>0</v>
      </c>
      <c r="F279" s="17">
        <f>IF(B279="","",IFERROR(INDEX('Content Calendar'!$G$5:$G$604,MATCH(B279,'Content Calendar'!$A$5:$A$604,0)),"Not found"))</f>
        <v>0</v>
      </c>
      <c r="G279" s="17">
        <f>IF(B279="","",IFERROR(INDEX('Content Calendar'!$K$5:$K$604,MATCH(B279,'Content Calendar'!$A$5:$A$604,0)),"Not found"))</f>
        <v>0</v>
      </c>
      <c r="H279" s="17">
        <f>IF(B279="","",IFERROR(INDEX('Content Calendar'!$J$5:$J$604,MATCH(B279,'Content Calendar'!$A$5:$A$604,0)),"Not found"))</f>
        <v>0</v>
      </c>
      <c r="I279" s="17">
        <f>IF(B279="","",IFERROR(INDEX('Content Calendar'!$L$5:$L$604,MATCH(B279,'Content Calendar'!$A$5:$A$604,0)),"Not found"))</f>
        <v>0</v>
      </c>
      <c r="J279" s="17">
        <f>IF(B279="","",IFERROR(INDEX('Content Calendar'!$P$5:$P$604,MATCH(B279,'Content Calendar'!$A$5:$A$604,0)),"Not found"))</f>
        <v>0</v>
      </c>
      <c r="K279" s="17">
        <f>IF(B279="","",IFERROR(INDEX('Content Calendar'!$O$5:$O$604,MATCH(B279,'Content Calendar'!$A$5:$A$604,0)),"Not found"))</f>
        <v>0</v>
      </c>
      <c r="L279" s="17">
        <f>IF(B279="","",IFERROR(INDEX('Content Calendar'!$N$5:$N$604,MATCH(B279,'Content Calendar'!$A$5:$A$604,0)),"Not found"))</f>
        <v>0</v>
      </c>
      <c r="M279" s="17">
        <f>IF(B279="","",IFERROR(INDEX('Content Calendar'!$C$5:$C$604,MATCH(B279,'Content Calendar'!$A$5:$A$604,0)),"Not found"))</f>
        <v>0</v>
      </c>
      <c r="N279" s="17">
        <f>IF(B279="","",IFERROR(INDEX('Content Calendar'!$F$5:$F$604,MATCH(B279,'Content Calendar'!$A$5:$A$604,0)),"Not found"))</f>
        <v>0</v>
      </c>
      <c r="Z279" s="23">
        <f>IF(O279="","",N(Q279)+N(R279)+N(S279)+N(T279))</f>
        <v>0</v>
      </c>
      <c r="AA279" s="24">
        <f>IF(OR(O279="",O279=0),"",Z279/O279)</f>
        <v>0</v>
      </c>
      <c r="AB279" s="24">
        <f>IF(OR(O279="",O279=0),"",N(T279)/O279)</f>
        <v>0</v>
      </c>
      <c r="AC279" s="24">
        <f>IF(OR(O279="",O279=0),"",N(S279)/O279)</f>
        <v>0</v>
      </c>
      <c r="AD279" s="24">
        <f>IF(OR(O279="",O279=0),"",N(R279)/O279)</f>
        <v>0</v>
      </c>
      <c r="AE279" s="24">
        <f>IF(OR(O279="",O279=0),"",N(U279)/O279)</f>
        <v>0</v>
      </c>
      <c r="AF279" s="24">
        <f>IF(OR(U279="",U279=0),"",N(W279)/U279)</f>
        <v>0</v>
      </c>
      <c r="AG279" s="25">
        <f>IF(OR(O279="",O279=0),"",N(X279)/(O279/1000))</f>
        <v>0</v>
      </c>
      <c r="AH279" s="24">
        <f>IF(O279="","",IF(Y279="",TargetEngagement,Y279))</f>
        <v>0</v>
      </c>
      <c r="AI279" s="24">
        <f>IF(OR(AA279="",AH279=""),"",AA279-AH279)</f>
        <v>0</v>
      </c>
      <c r="AJ279" s="31">
        <f>IF(AA279="","",AA279+ROW()/1000000)</f>
        <v>0</v>
      </c>
      <c r="AK279" s="23">
        <f>IF(AA279="","",RANK(AJ279,Performance!$AJ$5:$AJ$404))</f>
        <v>0</v>
      </c>
      <c r="AL279" s="29">
        <f>IF(AA279="","",IF(AA279&gt;=AH279*1.5,"Top performer",IF(AA279&gt;=AH279,"Above target",IF(AA279&gt;=AH279*0.6,"Below target","Weak - review it"))))</f>
        <v>0</v>
      </c>
      <c r="AM279" s="29">
        <f>IF(B279="","",IF(COUNTIF(Performance!$B$5:$B$404,B279)&gt;1,"Duplicate","OK"))</f>
        <v>0</v>
      </c>
      <c r="AN279" s="29">
        <f>IF(B279="","",IF(C279="Not found","Check - content ID not on the calendar",IF(O279="","Add - no numbers entered yet",IF(AM279="Duplicate","Duplicate - this post is entered twice",IF(AL279="Top performer","Repurpose this one","OK")))))</f>
        <v>0</v>
      </c>
    </row>
    <row r="280" spans="1:40">
      <c r="A280" s="41">
        <f>IF(B280="","","PF-"&amp;TEXT(ROW()-4,"0000"))</f>
        <v>0</v>
      </c>
      <c r="C280" s="17">
        <f>IF(B280="","",IFERROR(INDEX('Content Calendar'!$H$5:$H$604,MATCH(B280,'Content Calendar'!$A$5:$A$604,0)),"Not found"))</f>
        <v>0</v>
      </c>
      <c r="D280" s="16">
        <f>IF(B280="","",IFERROR(INDEX('Content Calendar'!$B$5:$B$604,MATCH(B280,'Content Calendar'!$A$5:$A$604,0)),"Not found"))</f>
        <v>0</v>
      </c>
      <c r="E280" s="17">
        <f>IF(B280="","",IFERROR(INDEX('Content Calendar'!$D$5:$D$604,MATCH(B280,'Content Calendar'!$A$5:$A$604,0)),"Not found"))</f>
        <v>0</v>
      </c>
      <c r="F280" s="17">
        <f>IF(B280="","",IFERROR(INDEX('Content Calendar'!$G$5:$G$604,MATCH(B280,'Content Calendar'!$A$5:$A$604,0)),"Not found"))</f>
        <v>0</v>
      </c>
      <c r="G280" s="17">
        <f>IF(B280="","",IFERROR(INDEX('Content Calendar'!$K$5:$K$604,MATCH(B280,'Content Calendar'!$A$5:$A$604,0)),"Not found"))</f>
        <v>0</v>
      </c>
      <c r="H280" s="17">
        <f>IF(B280="","",IFERROR(INDEX('Content Calendar'!$J$5:$J$604,MATCH(B280,'Content Calendar'!$A$5:$A$604,0)),"Not found"))</f>
        <v>0</v>
      </c>
      <c r="I280" s="17">
        <f>IF(B280="","",IFERROR(INDEX('Content Calendar'!$L$5:$L$604,MATCH(B280,'Content Calendar'!$A$5:$A$604,0)),"Not found"))</f>
        <v>0</v>
      </c>
      <c r="J280" s="17">
        <f>IF(B280="","",IFERROR(INDEX('Content Calendar'!$P$5:$P$604,MATCH(B280,'Content Calendar'!$A$5:$A$604,0)),"Not found"))</f>
        <v>0</v>
      </c>
      <c r="K280" s="17">
        <f>IF(B280="","",IFERROR(INDEX('Content Calendar'!$O$5:$O$604,MATCH(B280,'Content Calendar'!$A$5:$A$604,0)),"Not found"))</f>
        <v>0</v>
      </c>
      <c r="L280" s="17">
        <f>IF(B280="","",IFERROR(INDEX('Content Calendar'!$N$5:$N$604,MATCH(B280,'Content Calendar'!$A$5:$A$604,0)),"Not found"))</f>
        <v>0</v>
      </c>
      <c r="M280" s="17">
        <f>IF(B280="","",IFERROR(INDEX('Content Calendar'!$C$5:$C$604,MATCH(B280,'Content Calendar'!$A$5:$A$604,0)),"Not found"))</f>
        <v>0</v>
      </c>
      <c r="N280" s="17">
        <f>IF(B280="","",IFERROR(INDEX('Content Calendar'!$F$5:$F$604,MATCH(B280,'Content Calendar'!$A$5:$A$604,0)),"Not found"))</f>
        <v>0</v>
      </c>
      <c r="Z280" s="23">
        <f>IF(O280="","",N(Q280)+N(R280)+N(S280)+N(T280))</f>
        <v>0</v>
      </c>
      <c r="AA280" s="24">
        <f>IF(OR(O280="",O280=0),"",Z280/O280)</f>
        <v>0</v>
      </c>
      <c r="AB280" s="24">
        <f>IF(OR(O280="",O280=0),"",N(T280)/O280)</f>
        <v>0</v>
      </c>
      <c r="AC280" s="24">
        <f>IF(OR(O280="",O280=0),"",N(S280)/O280)</f>
        <v>0</v>
      </c>
      <c r="AD280" s="24">
        <f>IF(OR(O280="",O280=0),"",N(R280)/O280)</f>
        <v>0</v>
      </c>
      <c r="AE280" s="24">
        <f>IF(OR(O280="",O280=0),"",N(U280)/O280)</f>
        <v>0</v>
      </c>
      <c r="AF280" s="24">
        <f>IF(OR(U280="",U280=0),"",N(W280)/U280)</f>
        <v>0</v>
      </c>
      <c r="AG280" s="25">
        <f>IF(OR(O280="",O280=0),"",N(X280)/(O280/1000))</f>
        <v>0</v>
      </c>
      <c r="AH280" s="24">
        <f>IF(O280="","",IF(Y280="",TargetEngagement,Y280))</f>
        <v>0</v>
      </c>
      <c r="AI280" s="24">
        <f>IF(OR(AA280="",AH280=""),"",AA280-AH280)</f>
        <v>0</v>
      </c>
      <c r="AJ280" s="31">
        <f>IF(AA280="","",AA280+ROW()/1000000)</f>
        <v>0</v>
      </c>
      <c r="AK280" s="23">
        <f>IF(AA280="","",RANK(AJ280,Performance!$AJ$5:$AJ$404))</f>
        <v>0</v>
      </c>
      <c r="AL280" s="29">
        <f>IF(AA280="","",IF(AA280&gt;=AH280*1.5,"Top performer",IF(AA280&gt;=AH280,"Above target",IF(AA280&gt;=AH280*0.6,"Below target","Weak - review it"))))</f>
        <v>0</v>
      </c>
      <c r="AM280" s="29">
        <f>IF(B280="","",IF(COUNTIF(Performance!$B$5:$B$404,B280)&gt;1,"Duplicate","OK"))</f>
        <v>0</v>
      </c>
      <c r="AN280" s="29">
        <f>IF(B280="","",IF(C280="Not found","Check - content ID not on the calendar",IF(O280="","Add - no numbers entered yet",IF(AM280="Duplicate","Duplicate - this post is entered twice",IF(AL280="Top performer","Repurpose this one","OK")))))</f>
        <v>0</v>
      </c>
    </row>
    <row r="281" spans="1:40">
      <c r="A281" s="41">
        <f>IF(B281="","","PF-"&amp;TEXT(ROW()-4,"0000"))</f>
        <v>0</v>
      </c>
      <c r="C281" s="17">
        <f>IF(B281="","",IFERROR(INDEX('Content Calendar'!$H$5:$H$604,MATCH(B281,'Content Calendar'!$A$5:$A$604,0)),"Not found"))</f>
        <v>0</v>
      </c>
      <c r="D281" s="16">
        <f>IF(B281="","",IFERROR(INDEX('Content Calendar'!$B$5:$B$604,MATCH(B281,'Content Calendar'!$A$5:$A$604,0)),"Not found"))</f>
        <v>0</v>
      </c>
      <c r="E281" s="17">
        <f>IF(B281="","",IFERROR(INDEX('Content Calendar'!$D$5:$D$604,MATCH(B281,'Content Calendar'!$A$5:$A$604,0)),"Not found"))</f>
        <v>0</v>
      </c>
      <c r="F281" s="17">
        <f>IF(B281="","",IFERROR(INDEX('Content Calendar'!$G$5:$G$604,MATCH(B281,'Content Calendar'!$A$5:$A$604,0)),"Not found"))</f>
        <v>0</v>
      </c>
      <c r="G281" s="17">
        <f>IF(B281="","",IFERROR(INDEX('Content Calendar'!$K$5:$K$604,MATCH(B281,'Content Calendar'!$A$5:$A$604,0)),"Not found"))</f>
        <v>0</v>
      </c>
      <c r="H281" s="17">
        <f>IF(B281="","",IFERROR(INDEX('Content Calendar'!$J$5:$J$604,MATCH(B281,'Content Calendar'!$A$5:$A$604,0)),"Not found"))</f>
        <v>0</v>
      </c>
      <c r="I281" s="17">
        <f>IF(B281="","",IFERROR(INDEX('Content Calendar'!$L$5:$L$604,MATCH(B281,'Content Calendar'!$A$5:$A$604,0)),"Not found"))</f>
        <v>0</v>
      </c>
      <c r="J281" s="17">
        <f>IF(B281="","",IFERROR(INDEX('Content Calendar'!$P$5:$P$604,MATCH(B281,'Content Calendar'!$A$5:$A$604,0)),"Not found"))</f>
        <v>0</v>
      </c>
      <c r="K281" s="17">
        <f>IF(B281="","",IFERROR(INDEX('Content Calendar'!$O$5:$O$604,MATCH(B281,'Content Calendar'!$A$5:$A$604,0)),"Not found"))</f>
        <v>0</v>
      </c>
      <c r="L281" s="17">
        <f>IF(B281="","",IFERROR(INDEX('Content Calendar'!$N$5:$N$604,MATCH(B281,'Content Calendar'!$A$5:$A$604,0)),"Not found"))</f>
        <v>0</v>
      </c>
      <c r="M281" s="17">
        <f>IF(B281="","",IFERROR(INDEX('Content Calendar'!$C$5:$C$604,MATCH(B281,'Content Calendar'!$A$5:$A$604,0)),"Not found"))</f>
        <v>0</v>
      </c>
      <c r="N281" s="17">
        <f>IF(B281="","",IFERROR(INDEX('Content Calendar'!$F$5:$F$604,MATCH(B281,'Content Calendar'!$A$5:$A$604,0)),"Not found"))</f>
        <v>0</v>
      </c>
      <c r="Z281" s="23">
        <f>IF(O281="","",N(Q281)+N(R281)+N(S281)+N(T281))</f>
        <v>0</v>
      </c>
      <c r="AA281" s="24">
        <f>IF(OR(O281="",O281=0),"",Z281/O281)</f>
        <v>0</v>
      </c>
      <c r="AB281" s="24">
        <f>IF(OR(O281="",O281=0),"",N(T281)/O281)</f>
        <v>0</v>
      </c>
      <c r="AC281" s="24">
        <f>IF(OR(O281="",O281=0),"",N(S281)/O281)</f>
        <v>0</v>
      </c>
      <c r="AD281" s="24">
        <f>IF(OR(O281="",O281=0),"",N(R281)/O281)</f>
        <v>0</v>
      </c>
      <c r="AE281" s="24">
        <f>IF(OR(O281="",O281=0),"",N(U281)/O281)</f>
        <v>0</v>
      </c>
      <c r="AF281" s="24">
        <f>IF(OR(U281="",U281=0),"",N(W281)/U281)</f>
        <v>0</v>
      </c>
      <c r="AG281" s="25">
        <f>IF(OR(O281="",O281=0),"",N(X281)/(O281/1000))</f>
        <v>0</v>
      </c>
      <c r="AH281" s="24">
        <f>IF(O281="","",IF(Y281="",TargetEngagement,Y281))</f>
        <v>0</v>
      </c>
      <c r="AI281" s="24">
        <f>IF(OR(AA281="",AH281=""),"",AA281-AH281)</f>
        <v>0</v>
      </c>
      <c r="AJ281" s="31">
        <f>IF(AA281="","",AA281+ROW()/1000000)</f>
        <v>0</v>
      </c>
      <c r="AK281" s="23">
        <f>IF(AA281="","",RANK(AJ281,Performance!$AJ$5:$AJ$404))</f>
        <v>0</v>
      </c>
      <c r="AL281" s="29">
        <f>IF(AA281="","",IF(AA281&gt;=AH281*1.5,"Top performer",IF(AA281&gt;=AH281,"Above target",IF(AA281&gt;=AH281*0.6,"Below target","Weak - review it"))))</f>
        <v>0</v>
      </c>
      <c r="AM281" s="29">
        <f>IF(B281="","",IF(COUNTIF(Performance!$B$5:$B$404,B281)&gt;1,"Duplicate","OK"))</f>
        <v>0</v>
      </c>
      <c r="AN281" s="29">
        <f>IF(B281="","",IF(C281="Not found","Check - content ID not on the calendar",IF(O281="","Add - no numbers entered yet",IF(AM281="Duplicate","Duplicate - this post is entered twice",IF(AL281="Top performer","Repurpose this one","OK")))))</f>
        <v>0</v>
      </c>
    </row>
    <row r="282" spans="1:40">
      <c r="A282" s="41">
        <f>IF(B282="","","PF-"&amp;TEXT(ROW()-4,"0000"))</f>
        <v>0</v>
      </c>
      <c r="C282" s="17">
        <f>IF(B282="","",IFERROR(INDEX('Content Calendar'!$H$5:$H$604,MATCH(B282,'Content Calendar'!$A$5:$A$604,0)),"Not found"))</f>
        <v>0</v>
      </c>
      <c r="D282" s="16">
        <f>IF(B282="","",IFERROR(INDEX('Content Calendar'!$B$5:$B$604,MATCH(B282,'Content Calendar'!$A$5:$A$604,0)),"Not found"))</f>
        <v>0</v>
      </c>
      <c r="E282" s="17">
        <f>IF(B282="","",IFERROR(INDEX('Content Calendar'!$D$5:$D$604,MATCH(B282,'Content Calendar'!$A$5:$A$604,0)),"Not found"))</f>
        <v>0</v>
      </c>
      <c r="F282" s="17">
        <f>IF(B282="","",IFERROR(INDEX('Content Calendar'!$G$5:$G$604,MATCH(B282,'Content Calendar'!$A$5:$A$604,0)),"Not found"))</f>
        <v>0</v>
      </c>
      <c r="G282" s="17">
        <f>IF(B282="","",IFERROR(INDEX('Content Calendar'!$K$5:$K$604,MATCH(B282,'Content Calendar'!$A$5:$A$604,0)),"Not found"))</f>
        <v>0</v>
      </c>
      <c r="H282" s="17">
        <f>IF(B282="","",IFERROR(INDEX('Content Calendar'!$J$5:$J$604,MATCH(B282,'Content Calendar'!$A$5:$A$604,0)),"Not found"))</f>
        <v>0</v>
      </c>
      <c r="I282" s="17">
        <f>IF(B282="","",IFERROR(INDEX('Content Calendar'!$L$5:$L$604,MATCH(B282,'Content Calendar'!$A$5:$A$604,0)),"Not found"))</f>
        <v>0</v>
      </c>
      <c r="J282" s="17">
        <f>IF(B282="","",IFERROR(INDEX('Content Calendar'!$P$5:$P$604,MATCH(B282,'Content Calendar'!$A$5:$A$604,0)),"Not found"))</f>
        <v>0</v>
      </c>
      <c r="K282" s="17">
        <f>IF(B282="","",IFERROR(INDEX('Content Calendar'!$O$5:$O$604,MATCH(B282,'Content Calendar'!$A$5:$A$604,0)),"Not found"))</f>
        <v>0</v>
      </c>
      <c r="L282" s="17">
        <f>IF(B282="","",IFERROR(INDEX('Content Calendar'!$N$5:$N$604,MATCH(B282,'Content Calendar'!$A$5:$A$604,0)),"Not found"))</f>
        <v>0</v>
      </c>
      <c r="M282" s="17">
        <f>IF(B282="","",IFERROR(INDEX('Content Calendar'!$C$5:$C$604,MATCH(B282,'Content Calendar'!$A$5:$A$604,0)),"Not found"))</f>
        <v>0</v>
      </c>
      <c r="N282" s="17">
        <f>IF(B282="","",IFERROR(INDEX('Content Calendar'!$F$5:$F$604,MATCH(B282,'Content Calendar'!$A$5:$A$604,0)),"Not found"))</f>
        <v>0</v>
      </c>
      <c r="Z282" s="23">
        <f>IF(O282="","",N(Q282)+N(R282)+N(S282)+N(T282))</f>
        <v>0</v>
      </c>
      <c r="AA282" s="24">
        <f>IF(OR(O282="",O282=0),"",Z282/O282)</f>
        <v>0</v>
      </c>
      <c r="AB282" s="24">
        <f>IF(OR(O282="",O282=0),"",N(T282)/O282)</f>
        <v>0</v>
      </c>
      <c r="AC282" s="24">
        <f>IF(OR(O282="",O282=0),"",N(S282)/O282)</f>
        <v>0</v>
      </c>
      <c r="AD282" s="24">
        <f>IF(OR(O282="",O282=0),"",N(R282)/O282)</f>
        <v>0</v>
      </c>
      <c r="AE282" s="24">
        <f>IF(OR(O282="",O282=0),"",N(U282)/O282)</f>
        <v>0</v>
      </c>
      <c r="AF282" s="24">
        <f>IF(OR(U282="",U282=0),"",N(W282)/U282)</f>
        <v>0</v>
      </c>
      <c r="AG282" s="25">
        <f>IF(OR(O282="",O282=0),"",N(X282)/(O282/1000))</f>
        <v>0</v>
      </c>
      <c r="AH282" s="24">
        <f>IF(O282="","",IF(Y282="",TargetEngagement,Y282))</f>
        <v>0</v>
      </c>
      <c r="AI282" s="24">
        <f>IF(OR(AA282="",AH282=""),"",AA282-AH282)</f>
        <v>0</v>
      </c>
      <c r="AJ282" s="31">
        <f>IF(AA282="","",AA282+ROW()/1000000)</f>
        <v>0</v>
      </c>
      <c r="AK282" s="23">
        <f>IF(AA282="","",RANK(AJ282,Performance!$AJ$5:$AJ$404))</f>
        <v>0</v>
      </c>
      <c r="AL282" s="29">
        <f>IF(AA282="","",IF(AA282&gt;=AH282*1.5,"Top performer",IF(AA282&gt;=AH282,"Above target",IF(AA282&gt;=AH282*0.6,"Below target","Weak - review it"))))</f>
        <v>0</v>
      </c>
      <c r="AM282" s="29">
        <f>IF(B282="","",IF(COUNTIF(Performance!$B$5:$B$404,B282)&gt;1,"Duplicate","OK"))</f>
        <v>0</v>
      </c>
      <c r="AN282" s="29">
        <f>IF(B282="","",IF(C282="Not found","Check - content ID not on the calendar",IF(O282="","Add - no numbers entered yet",IF(AM282="Duplicate","Duplicate - this post is entered twice",IF(AL282="Top performer","Repurpose this one","OK")))))</f>
        <v>0</v>
      </c>
    </row>
    <row r="283" spans="1:40">
      <c r="A283" s="41">
        <f>IF(B283="","","PF-"&amp;TEXT(ROW()-4,"0000"))</f>
        <v>0</v>
      </c>
      <c r="C283" s="17">
        <f>IF(B283="","",IFERROR(INDEX('Content Calendar'!$H$5:$H$604,MATCH(B283,'Content Calendar'!$A$5:$A$604,0)),"Not found"))</f>
        <v>0</v>
      </c>
      <c r="D283" s="16">
        <f>IF(B283="","",IFERROR(INDEX('Content Calendar'!$B$5:$B$604,MATCH(B283,'Content Calendar'!$A$5:$A$604,0)),"Not found"))</f>
        <v>0</v>
      </c>
      <c r="E283" s="17">
        <f>IF(B283="","",IFERROR(INDEX('Content Calendar'!$D$5:$D$604,MATCH(B283,'Content Calendar'!$A$5:$A$604,0)),"Not found"))</f>
        <v>0</v>
      </c>
      <c r="F283" s="17">
        <f>IF(B283="","",IFERROR(INDEX('Content Calendar'!$G$5:$G$604,MATCH(B283,'Content Calendar'!$A$5:$A$604,0)),"Not found"))</f>
        <v>0</v>
      </c>
      <c r="G283" s="17">
        <f>IF(B283="","",IFERROR(INDEX('Content Calendar'!$K$5:$K$604,MATCH(B283,'Content Calendar'!$A$5:$A$604,0)),"Not found"))</f>
        <v>0</v>
      </c>
      <c r="H283" s="17">
        <f>IF(B283="","",IFERROR(INDEX('Content Calendar'!$J$5:$J$604,MATCH(B283,'Content Calendar'!$A$5:$A$604,0)),"Not found"))</f>
        <v>0</v>
      </c>
      <c r="I283" s="17">
        <f>IF(B283="","",IFERROR(INDEX('Content Calendar'!$L$5:$L$604,MATCH(B283,'Content Calendar'!$A$5:$A$604,0)),"Not found"))</f>
        <v>0</v>
      </c>
      <c r="J283" s="17">
        <f>IF(B283="","",IFERROR(INDEX('Content Calendar'!$P$5:$P$604,MATCH(B283,'Content Calendar'!$A$5:$A$604,0)),"Not found"))</f>
        <v>0</v>
      </c>
      <c r="K283" s="17">
        <f>IF(B283="","",IFERROR(INDEX('Content Calendar'!$O$5:$O$604,MATCH(B283,'Content Calendar'!$A$5:$A$604,0)),"Not found"))</f>
        <v>0</v>
      </c>
      <c r="L283" s="17">
        <f>IF(B283="","",IFERROR(INDEX('Content Calendar'!$N$5:$N$604,MATCH(B283,'Content Calendar'!$A$5:$A$604,0)),"Not found"))</f>
        <v>0</v>
      </c>
      <c r="M283" s="17">
        <f>IF(B283="","",IFERROR(INDEX('Content Calendar'!$C$5:$C$604,MATCH(B283,'Content Calendar'!$A$5:$A$604,0)),"Not found"))</f>
        <v>0</v>
      </c>
      <c r="N283" s="17">
        <f>IF(B283="","",IFERROR(INDEX('Content Calendar'!$F$5:$F$604,MATCH(B283,'Content Calendar'!$A$5:$A$604,0)),"Not found"))</f>
        <v>0</v>
      </c>
      <c r="Z283" s="23">
        <f>IF(O283="","",N(Q283)+N(R283)+N(S283)+N(T283))</f>
        <v>0</v>
      </c>
      <c r="AA283" s="24">
        <f>IF(OR(O283="",O283=0),"",Z283/O283)</f>
        <v>0</v>
      </c>
      <c r="AB283" s="24">
        <f>IF(OR(O283="",O283=0),"",N(T283)/O283)</f>
        <v>0</v>
      </c>
      <c r="AC283" s="24">
        <f>IF(OR(O283="",O283=0),"",N(S283)/O283)</f>
        <v>0</v>
      </c>
      <c r="AD283" s="24">
        <f>IF(OR(O283="",O283=0),"",N(R283)/O283)</f>
        <v>0</v>
      </c>
      <c r="AE283" s="24">
        <f>IF(OR(O283="",O283=0),"",N(U283)/O283)</f>
        <v>0</v>
      </c>
      <c r="AF283" s="24">
        <f>IF(OR(U283="",U283=0),"",N(W283)/U283)</f>
        <v>0</v>
      </c>
      <c r="AG283" s="25">
        <f>IF(OR(O283="",O283=0),"",N(X283)/(O283/1000))</f>
        <v>0</v>
      </c>
      <c r="AH283" s="24">
        <f>IF(O283="","",IF(Y283="",TargetEngagement,Y283))</f>
        <v>0</v>
      </c>
      <c r="AI283" s="24">
        <f>IF(OR(AA283="",AH283=""),"",AA283-AH283)</f>
        <v>0</v>
      </c>
      <c r="AJ283" s="31">
        <f>IF(AA283="","",AA283+ROW()/1000000)</f>
        <v>0</v>
      </c>
      <c r="AK283" s="23">
        <f>IF(AA283="","",RANK(AJ283,Performance!$AJ$5:$AJ$404))</f>
        <v>0</v>
      </c>
      <c r="AL283" s="29">
        <f>IF(AA283="","",IF(AA283&gt;=AH283*1.5,"Top performer",IF(AA283&gt;=AH283,"Above target",IF(AA283&gt;=AH283*0.6,"Below target","Weak - review it"))))</f>
        <v>0</v>
      </c>
      <c r="AM283" s="29">
        <f>IF(B283="","",IF(COUNTIF(Performance!$B$5:$B$404,B283)&gt;1,"Duplicate","OK"))</f>
        <v>0</v>
      </c>
      <c r="AN283" s="29">
        <f>IF(B283="","",IF(C283="Not found","Check - content ID not on the calendar",IF(O283="","Add - no numbers entered yet",IF(AM283="Duplicate","Duplicate - this post is entered twice",IF(AL283="Top performer","Repurpose this one","OK")))))</f>
        <v>0</v>
      </c>
    </row>
    <row r="284" spans="1:40">
      <c r="A284" s="41">
        <f>IF(B284="","","PF-"&amp;TEXT(ROW()-4,"0000"))</f>
        <v>0</v>
      </c>
      <c r="C284" s="17">
        <f>IF(B284="","",IFERROR(INDEX('Content Calendar'!$H$5:$H$604,MATCH(B284,'Content Calendar'!$A$5:$A$604,0)),"Not found"))</f>
        <v>0</v>
      </c>
      <c r="D284" s="16">
        <f>IF(B284="","",IFERROR(INDEX('Content Calendar'!$B$5:$B$604,MATCH(B284,'Content Calendar'!$A$5:$A$604,0)),"Not found"))</f>
        <v>0</v>
      </c>
      <c r="E284" s="17">
        <f>IF(B284="","",IFERROR(INDEX('Content Calendar'!$D$5:$D$604,MATCH(B284,'Content Calendar'!$A$5:$A$604,0)),"Not found"))</f>
        <v>0</v>
      </c>
      <c r="F284" s="17">
        <f>IF(B284="","",IFERROR(INDEX('Content Calendar'!$G$5:$G$604,MATCH(B284,'Content Calendar'!$A$5:$A$604,0)),"Not found"))</f>
        <v>0</v>
      </c>
      <c r="G284" s="17">
        <f>IF(B284="","",IFERROR(INDEX('Content Calendar'!$K$5:$K$604,MATCH(B284,'Content Calendar'!$A$5:$A$604,0)),"Not found"))</f>
        <v>0</v>
      </c>
      <c r="H284" s="17">
        <f>IF(B284="","",IFERROR(INDEX('Content Calendar'!$J$5:$J$604,MATCH(B284,'Content Calendar'!$A$5:$A$604,0)),"Not found"))</f>
        <v>0</v>
      </c>
      <c r="I284" s="17">
        <f>IF(B284="","",IFERROR(INDEX('Content Calendar'!$L$5:$L$604,MATCH(B284,'Content Calendar'!$A$5:$A$604,0)),"Not found"))</f>
        <v>0</v>
      </c>
      <c r="J284" s="17">
        <f>IF(B284="","",IFERROR(INDEX('Content Calendar'!$P$5:$P$604,MATCH(B284,'Content Calendar'!$A$5:$A$604,0)),"Not found"))</f>
        <v>0</v>
      </c>
      <c r="K284" s="17">
        <f>IF(B284="","",IFERROR(INDEX('Content Calendar'!$O$5:$O$604,MATCH(B284,'Content Calendar'!$A$5:$A$604,0)),"Not found"))</f>
        <v>0</v>
      </c>
      <c r="L284" s="17">
        <f>IF(B284="","",IFERROR(INDEX('Content Calendar'!$N$5:$N$604,MATCH(B284,'Content Calendar'!$A$5:$A$604,0)),"Not found"))</f>
        <v>0</v>
      </c>
      <c r="M284" s="17">
        <f>IF(B284="","",IFERROR(INDEX('Content Calendar'!$C$5:$C$604,MATCH(B284,'Content Calendar'!$A$5:$A$604,0)),"Not found"))</f>
        <v>0</v>
      </c>
      <c r="N284" s="17">
        <f>IF(B284="","",IFERROR(INDEX('Content Calendar'!$F$5:$F$604,MATCH(B284,'Content Calendar'!$A$5:$A$604,0)),"Not found"))</f>
        <v>0</v>
      </c>
      <c r="Z284" s="23">
        <f>IF(O284="","",N(Q284)+N(R284)+N(S284)+N(T284))</f>
        <v>0</v>
      </c>
      <c r="AA284" s="24">
        <f>IF(OR(O284="",O284=0),"",Z284/O284)</f>
        <v>0</v>
      </c>
      <c r="AB284" s="24">
        <f>IF(OR(O284="",O284=0),"",N(T284)/O284)</f>
        <v>0</v>
      </c>
      <c r="AC284" s="24">
        <f>IF(OR(O284="",O284=0),"",N(S284)/O284)</f>
        <v>0</v>
      </c>
      <c r="AD284" s="24">
        <f>IF(OR(O284="",O284=0),"",N(R284)/O284)</f>
        <v>0</v>
      </c>
      <c r="AE284" s="24">
        <f>IF(OR(O284="",O284=0),"",N(U284)/O284)</f>
        <v>0</v>
      </c>
      <c r="AF284" s="24">
        <f>IF(OR(U284="",U284=0),"",N(W284)/U284)</f>
        <v>0</v>
      </c>
      <c r="AG284" s="25">
        <f>IF(OR(O284="",O284=0),"",N(X284)/(O284/1000))</f>
        <v>0</v>
      </c>
      <c r="AH284" s="24">
        <f>IF(O284="","",IF(Y284="",TargetEngagement,Y284))</f>
        <v>0</v>
      </c>
      <c r="AI284" s="24">
        <f>IF(OR(AA284="",AH284=""),"",AA284-AH284)</f>
        <v>0</v>
      </c>
      <c r="AJ284" s="31">
        <f>IF(AA284="","",AA284+ROW()/1000000)</f>
        <v>0</v>
      </c>
      <c r="AK284" s="23">
        <f>IF(AA284="","",RANK(AJ284,Performance!$AJ$5:$AJ$404))</f>
        <v>0</v>
      </c>
      <c r="AL284" s="29">
        <f>IF(AA284="","",IF(AA284&gt;=AH284*1.5,"Top performer",IF(AA284&gt;=AH284,"Above target",IF(AA284&gt;=AH284*0.6,"Below target","Weak - review it"))))</f>
        <v>0</v>
      </c>
      <c r="AM284" s="29">
        <f>IF(B284="","",IF(COUNTIF(Performance!$B$5:$B$404,B284)&gt;1,"Duplicate","OK"))</f>
        <v>0</v>
      </c>
      <c r="AN284" s="29">
        <f>IF(B284="","",IF(C284="Not found","Check - content ID not on the calendar",IF(O284="","Add - no numbers entered yet",IF(AM284="Duplicate","Duplicate - this post is entered twice",IF(AL284="Top performer","Repurpose this one","OK")))))</f>
        <v>0</v>
      </c>
    </row>
    <row r="285" spans="1:40">
      <c r="A285" s="41">
        <f>IF(B285="","","PF-"&amp;TEXT(ROW()-4,"0000"))</f>
        <v>0</v>
      </c>
      <c r="C285" s="17">
        <f>IF(B285="","",IFERROR(INDEX('Content Calendar'!$H$5:$H$604,MATCH(B285,'Content Calendar'!$A$5:$A$604,0)),"Not found"))</f>
        <v>0</v>
      </c>
      <c r="D285" s="16">
        <f>IF(B285="","",IFERROR(INDEX('Content Calendar'!$B$5:$B$604,MATCH(B285,'Content Calendar'!$A$5:$A$604,0)),"Not found"))</f>
        <v>0</v>
      </c>
      <c r="E285" s="17">
        <f>IF(B285="","",IFERROR(INDEX('Content Calendar'!$D$5:$D$604,MATCH(B285,'Content Calendar'!$A$5:$A$604,0)),"Not found"))</f>
        <v>0</v>
      </c>
      <c r="F285" s="17">
        <f>IF(B285="","",IFERROR(INDEX('Content Calendar'!$G$5:$G$604,MATCH(B285,'Content Calendar'!$A$5:$A$604,0)),"Not found"))</f>
        <v>0</v>
      </c>
      <c r="G285" s="17">
        <f>IF(B285="","",IFERROR(INDEX('Content Calendar'!$K$5:$K$604,MATCH(B285,'Content Calendar'!$A$5:$A$604,0)),"Not found"))</f>
        <v>0</v>
      </c>
      <c r="H285" s="17">
        <f>IF(B285="","",IFERROR(INDEX('Content Calendar'!$J$5:$J$604,MATCH(B285,'Content Calendar'!$A$5:$A$604,0)),"Not found"))</f>
        <v>0</v>
      </c>
      <c r="I285" s="17">
        <f>IF(B285="","",IFERROR(INDEX('Content Calendar'!$L$5:$L$604,MATCH(B285,'Content Calendar'!$A$5:$A$604,0)),"Not found"))</f>
        <v>0</v>
      </c>
      <c r="J285" s="17">
        <f>IF(B285="","",IFERROR(INDEX('Content Calendar'!$P$5:$P$604,MATCH(B285,'Content Calendar'!$A$5:$A$604,0)),"Not found"))</f>
        <v>0</v>
      </c>
      <c r="K285" s="17">
        <f>IF(B285="","",IFERROR(INDEX('Content Calendar'!$O$5:$O$604,MATCH(B285,'Content Calendar'!$A$5:$A$604,0)),"Not found"))</f>
        <v>0</v>
      </c>
      <c r="L285" s="17">
        <f>IF(B285="","",IFERROR(INDEX('Content Calendar'!$N$5:$N$604,MATCH(B285,'Content Calendar'!$A$5:$A$604,0)),"Not found"))</f>
        <v>0</v>
      </c>
      <c r="M285" s="17">
        <f>IF(B285="","",IFERROR(INDEX('Content Calendar'!$C$5:$C$604,MATCH(B285,'Content Calendar'!$A$5:$A$604,0)),"Not found"))</f>
        <v>0</v>
      </c>
      <c r="N285" s="17">
        <f>IF(B285="","",IFERROR(INDEX('Content Calendar'!$F$5:$F$604,MATCH(B285,'Content Calendar'!$A$5:$A$604,0)),"Not found"))</f>
        <v>0</v>
      </c>
      <c r="Z285" s="23">
        <f>IF(O285="","",N(Q285)+N(R285)+N(S285)+N(T285))</f>
        <v>0</v>
      </c>
      <c r="AA285" s="24">
        <f>IF(OR(O285="",O285=0),"",Z285/O285)</f>
        <v>0</v>
      </c>
      <c r="AB285" s="24">
        <f>IF(OR(O285="",O285=0),"",N(T285)/O285)</f>
        <v>0</v>
      </c>
      <c r="AC285" s="24">
        <f>IF(OR(O285="",O285=0),"",N(S285)/O285)</f>
        <v>0</v>
      </c>
      <c r="AD285" s="24">
        <f>IF(OR(O285="",O285=0),"",N(R285)/O285)</f>
        <v>0</v>
      </c>
      <c r="AE285" s="24">
        <f>IF(OR(O285="",O285=0),"",N(U285)/O285)</f>
        <v>0</v>
      </c>
      <c r="AF285" s="24">
        <f>IF(OR(U285="",U285=0),"",N(W285)/U285)</f>
        <v>0</v>
      </c>
      <c r="AG285" s="25">
        <f>IF(OR(O285="",O285=0),"",N(X285)/(O285/1000))</f>
        <v>0</v>
      </c>
      <c r="AH285" s="24">
        <f>IF(O285="","",IF(Y285="",TargetEngagement,Y285))</f>
        <v>0</v>
      </c>
      <c r="AI285" s="24">
        <f>IF(OR(AA285="",AH285=""),"",AA285-AH285)</f>
        <v>0</v>
      </c>
      <c r="AJ285" s="31">
        <f>IF(AA285="","",AA285+ROW()/1000000)</f>
        <v>0</v>
      </c>
      <c r="AK285" s="23">
        <f>IF(AA285="","",RANK(AJ285,Performance!$AJ$5:$AJ$404))</f>
        <v>0</v>
      </c>
      <c r="AL285" s="29">
        <f>IF(AA285="","",IF(AA285&gt;=AH285*1.5,"Top performer",IF(AA285&gt;=AH285,"Above target",IF(AA285&gt;=AH285*0.6,"Below target","Weak - review it"))))</f>
        <v>0</v>
      </c>
      <c r="AM285" s="29">
        <f>IF(B285="","",IF(COUNTIF(Performance!$B$5:$B$404,B285)&gt;1,"Duplicate","OK"))</f>
        <v>0</v>
      </c>
      <c r="AN285" s="29">
        <f>IF(B285="","",IF(C285="Not found","Check - content ID not on the calendar",IF(O285="","Add - no numbers entered yet",IF(AM285="Duplicate","Duplicate - this post is entered twice",IF(AL285="Top performer","Repurpose this one","OK")))))</f>
        <v>0</v>
      </c>
    </row>
    <row r="286" spans="1:40">
      <c r="A286" s="41">
        <f>IF(B286="","","PF-"&amp;TEXT(ROW()-4,"0000"))</f>
        <v>0</v>
      </c>
      <c r="C286" s="17">
        <f>IF(B286="","",IFERROR(INDEX('Content Calendar'!$H$5:$H$604,MATCH(B286,'Content Calendar'!$A$5:$A$604,0)),"Not found"))</f>
        <v>0</v>
      </c>
      <c r="D286" s="16">
        <f>IF(B286="","",IFERROR(INDEX('Content Calendar'!$B$5:$B$604,MATCH(B286,'Content Calendar'!$A$5:$A$604,0)),"Not found"))</f>
        <v>0</v>
      </c>
      <c r="E286" s="17">
        <f>IF(B286="","",IFERROR(INDEX('Content Calendar'!$D$5:$D$604,MATCH(B286,'Content Calendar'!$A$5:$A$604,0)),"Not found"))</f>
        <v>0</v>
      </c>
      <c r="F286" s="17">
        <f>IF(B286="","",IFERROR(INDEX('Content Calendar'!$G$5:$G$604,MATCH(B286,'Content Calendar'!$A$5:$A$604,0)),"Not found"))</f>
        <v>0</v>
      </c>
      <c r="G286" s="17">
        <f>IF(B286="","",IFERROR(INDEX('Content Calendar'!$K$5:$K$604,MATCH(B286,'Content Calendar'!$A$5:$A$604,0)),"Not found"))</f>
        <v>0</v>
      </c>
      <c r="H286" s="17">
        <f>IF(B286="","",IFERROR(INDEX('Content Calendar'!$J$5:$J$604,MATCH(B286,'Content Calendar'!$A$5:$A$604,0)),"Not found"))</f>
        <v>0</v>
      </c>
      <c r="I286" s="17">
        <f>IF(B286="","",IFERROR(INDEX('Content Calendar'!$L$5:$L$604,MATCH(B286,'Content Calendar'!$A$5:$A$604,0)),"Not found"))</f>
        <v>0</v>
      </c>
      <c r="J286" s="17">
        <f>IF(B286="","",IFERROR(INDEX('Content Calendar'!$P$5:$P$604,MATCH(B286,'Content Calendar'!$A$5:$A$604,0)),"Not found"))</f>
        <v>0</v>
      </c>
      <c r="K286" s="17">
        <f>IF(B286="","",IFERROR(INDEX('Content Calendar'!$O$5:$O$604,MATCH(B286,'Content Calendar'!$A$5:$A$604,0)),"Not found"))</f>
        <v>0</v>
      </c>
      <c r="L286" s="17">
        <f>IF(B286="","",IFERROR(INDEX('Content Calendar'!$N$5:$N$604,MATCH(B286,'Content Calendar'!$A$5:$A$604,0)),"Not found"))</f>
        <v>0</v>
      </c>
      <c r="M286" s="17">
        <f>IF(B286="","",IFERROR(INDEX('Content Calendar'!$C$5:$C$604,MATCH(B286,'Content Calendar'!$A$5:$A$604,0)),"Not found"))</f>
        <v>0</v>
      </c>
      <c r="N286" s="17">
        <f>IF(B286="","",IFERROR(INDEX('Content Calendar'!$F$5:$F$604,MATCH(B286,'Content Calendar'!$A$5:$A$604,0)),"Not found"))</f>
        <v>0</v>
      </c>
      <c r="Z286" s="23">
        <f>IF(O286="","",N(Q286)+N(R286)+N(S286)+N(T286))</f>
        <v>0</v>
      </c>
      <c r="AA286" s="24">
        <f>IF(OR(O286="",O286=0),"",Z286/O286)</f>
        <v>0</v>
      </c>
      <c r="AB286" s="24">
        <f>IF(OR(O286="",O286=0),"",N(T286)/O286)</f>
        <v>0</v>
      </c>
      <c r="AC286" s="24">
        <f>IF(OR(O286="",O286=0),"",N(S286)/O286)</f>
        <v>0</v>
      </c>
      <c r="AD286" s="24">
        <f>IF(OR(O286="",O286=0),"",N(R286)/O286)</f>
        <v>0</v>
      </c>
      <c r="AE286" s="24">
        <f>IF(OR(O286="",O286=0),"",N(U286)/O286)</f>
        <v>0</v>
      </c>
      <c r="AF286" s="24">
        <f>IF(OR(U286="",U286=0),"",N(W286)/U286)</f>
        <v>0</v>
      </c>
      <c r="AG286" s="25">
        <f>IF(OR(O286="",O286=0),"",N(X286)/(O286/1000))</f>
        <v>0</v>
      </c>
      <c r="AH286" s="24">
        <f>IF(O286="","",IF(Y286="",TargetEngagement,Y286))</f>
        <v>0</v>
      </c>
      <c r="AI286" s="24">
        <f>IF(OR(AA286="",AH286=""),"",AA286-AH286)</f>
        <v>0</v>
      </c>
      <c r="AJ286" s="31">
        <f>IF(AA286="","",AA286+ROW()/1000000)</f>
        <v>0</v>
      </c>
      <c r="AK286" s="23">
        <f>IF(AA286="","",RANK(AJ286,Performance!$AJ$5:$AJ$404))</f>
        <v>0</v>
      </c>
      <c r="AL286" s="29">
        <f>IF(AA286="","",IF(AA286&gt;=AH286*1.5,"Top performer",IF(AA286&gt;=AH286,"Above target",IF(AA286&gt;=AH286*0.6,"Below target","Weak - review it"))))</f>
        <v>0</v>
      </c>
      <c r="AM286" s="29">
        <f>IF(B286="","",IF(COUNTIF(Performance!$B$5:$B$404,B286)&gt;1,"Duplicate","OK"))</f>
        <v>0</v>
      </c>
      <c r="AN286" s="29">
        <f>IF(B286="","",IF(C286="Not found","Check - content ID not on the calendar",IF(O286="","Add - no numbers entered yet",IF(AM286="Duplicate","Duplicate - this post is entered twice",IF(AL286="Top performer","Repurpose this one","OK")))))</f>
        <v>0</v>
      </c>
    </row>
    <row r="287" spans="1:40">
      <c r="A287" s="41">
        <f>IF(B287="","","PF-"&amp;TEXT(ROW()-4,"0000"))</f>
        <v>0</v>
      </c>
      <c r="C287" s="17">
        <f>IF(B287="","",IFERROR(INDEX('Content Calendar'!$H$5:$H$604,MATCH(B287,'Content Calendar'!$A$5:$A$604,0)),"Not found"))</f>
        <v>0</v>
      </c>
      <c r="D287" s="16">
        <f>IF(B287="","",IFERROR(INDEX('Content Calendar'!$B$5:$B$604,MATCH(B287,'Content Calendar'!$A$5:$A$604,0)),"Not found"))</f>
        <v>0</v>
      </c>
      <c r="E287" s="17">
        <f>IF(B287="","",IFERROR(INDEX('Content Calendar'!$D$5:$D$604,MATCH(B287,'Content Calendar'!$A$5:$A$604,0)),"Not found"))</f>
        <v>0</v>
      </c>
      <c r="F287" s="17">
        <f>IF(B287="","",IFERROR(INDEX('Content Calendar'!$G$5:$G$604,MATCH(B287,'Content Calendar'!$A$5:$A$604,0)),"Not found"))</f>
        <v>0</v>
      </c>
      <c r="G287" s="17">
        <f>IF(B287="","",IFERROR(INDEX('Content Calendar'!$K$5:$K$604,MATCH(B287,'Content Calendar'!$A$5:$A$604,0)),"Not found"))</f>
        <v>0</v>
      </c>
      <c r="H287" s="17">
        <f>IF(B287="","",IFERROR(INDEX('Content Calendar'!$J$5:$J$604,MATCH(B287,'Content Calendar'!$A$5:$A$604,0)),"Not found"))</f>
        <v>0</v>
      </c>
      <c r="I287" s="17">
        <f>IF(B287="","",IFERROR(INDEX('Content Calendar'!$L$5:$L$604,MATCH(B287,'Content Calendar'!$A$5:$A$604,0)),"Not found"))</f>
        <v>0</v>
      </c>
      <c r="J287" s="17">
        <f>IF(B287="","",IFERROR(INDEX('Content Calendar'!$P$5:$P$604,MATCH(B287,'Content Calendar'!$A$5:$A$604,0)),"Not found"))</f>
        <v>0</v>
      </c>
      <c r="K287" s="17">
        <f>IF(B287="","",IFERROR(INDEX('Content Calendar'!$O$5:$O$604,MATCH(B287,'Content Calendar'!$A$5:$A$604,0)),"Not found"))</f>
        <v>0</v>
      </c>
      <c r="L287" s="17">
        <f>IF(B287="","",IFERROR(INDEX('Content Calendar'!$N$5:$N$604,MATCH(B287,'Content Calendar'!$A$5:$A$604,0)),"Not found"))</f>
        <v>0</v>
      </c>
      <c r="M287" s="17">
        <f>IF(B287="","",IFERROR(INDEX('Content Calendar'!$C$5:$C$604,MATCH(B287,'Content Calendar'!$A$5:$A$604,0)),"Not found"))</f>
        <v>0</v>
      </c>
      <c r="N287" s="17">
        <f>IF(B287="","",IFERROR(INDEX('Content Calendar'!$F$5:$F$604,MATCH(B287,'Content Calendar'!$A$5:$A$604,0)),"Not found"))</f>
        <v>0</v>
      </c>
      <c r="Z287" s="23">
        <f>IF(O287="","",N(Q287)+N(R287)+N(S287)+N(T287))</f>
        <v>0</v>
      </c>
      <c r="AA287" s="24">
        <f>IF(OR(O287="",O287=0),"",Z287/O287)</f>
        <v>0</v>
      </c>
      <c r="AB287" s="24">
        <f>IF(OR(O287="",O287=0),"",N(T287)/O287)</f>
        <v>0</v>
      </c>
      <c r="AC287" s="24">
        <f>IF(OR(O287="",O287=0),"",N(S287)/O287)</f>
        <v>0</v>
      </c>
      <c r="AD287" s="24">
        <f>IF(OR(O287="",O287=0),"",N(R287)/O287)</f>
        <v>0</v>
      </c>
      <c r="AE287" s="24">
        <f>IF(OR(O287="",O287=0),"",N(U287)/O287)</f>
        <v>0</v>
      </c>
      <c r="AF287" s="24">
        <f>IF(OR(U287="",U287=0),"",N(W287)/U287)</f>
        <v>0</v>
      </c>
      <c r="AG287" s="25">
        <f>IF(OR(O287="",O287=0),"",N(X287)/(O287/1000))</f>
        <v>0</v>
      </c>
      <c r="AH287" s="24">
        <f>IF(O287="","",IF(Y287="",TargetEngagement,Y287))</f>
        <v>0</v>
      </c>
      <c r="AI287" s="24">
        <f>IF(OR(AA287="",AH287=""),"",AA287-AH287)</f>
        <v>0</v>
      </c>
      <c r="AJ287" s="31">
        <f>IF(AA287="","",AA287+ROW()/1000000)</f>
        <v>0</v>
      </c>
      <c r="AK287" s="23">
        <f>IF(AA287="","",RANK(AJ287,Performance!$AJ$5:$AJ$404))</f>
        <v>0</v>
      </c>
      <c r="AL287" s="29">
        <f>IF(AA287="","",IF(AA287&gt;=AH287*1.5,"Top performer",IF(AA287&gt;=AH287,"Above target",IF(AA287&gt;=AH287*0.6,"Below target","Weak - review it"))))</f>
        <v>0</v>
      </c>
      <c r="AM287" s="29">
        <f>IF(B287="","",IF(COUNTIF(Performance!$B$5:$B$404,B287)&gt;1,"Duplicate","OK"))</f>
        <v>0</v>
      </c>
      <c r="AN287" s="29">
        <f>IF(B287="","",IF(C287="Not found","Check - content ID not on the calendar",IF(O287="","Add - no numbers entered yet",IF(AM287="Duplicate","Duplicate - this post is entered twice",IF(AL287="Top performer","Repurpose this one","OK")))))</f>
        <v>0</v>
      </c>
    </row>
    <row r="288" spans="1:40">
      <c r="A288" s="41">
        <f>IF(B288="","","PF-"&amp;TEXT(ROW()-4,"0000"))</f>
        <v>0</v>
      </c>
      <c r="C288" s="17">
        <f>IF(B288="","",IFERROR(INDEX('Content Calendar'!$H$5:$H$604,MATCH(B288,'Content Calendar'!$A$5:$A$604,0)),"Not found"))</f>
        <v>0</v>
      </c>
      <c r="D288" s="16">
        <f>IF(B288="","",IFERROR(INDEX('Content Calendar'!$B$5:$B$604,MATCH(B288,'Content Calendar'!$A$5:$A$604,0)),"Not found"))</f>
        <v>0</v>
      </c>
      <c r="E288" s="17">
        <f>IF(B288="","",IFERROR(INDEX('Content Calendar'!$D$5:$D$604,MATCH(B288,'Content Calendar'!$A$5:$A$604,0)),"Not found"))</f>
        <v>0</v>
      </c>
      <c r="F288" s="17">
        <f>IF(B288="","",IFERROR(INDEX('Content Calendar'!$G$5:$G$604,MATCH(B288,'Content Calendar'!$A$5:$A$604,0)),"Not found"))</f>
        <v>0</v>
      </c>
      <c r="G288" s="17">
        <f>IF(B288="","",IFERROR(INDEX('Content Calendar'!$K$5:$K$604,MATCH(B288,'Content Calendar'!$A$5:$A$604,0)),"Not found"))</f>
        <v>0</v>
      </c>
      <c r="H288" s="17">
        <f>IF(B288="","",IFERROR(INDEX('Content Calendar'!$J$5:$J$604,MATCH(B288,'Content Calendar'!$A$5:$A$604,0)),"Not found"))</f>
        <v>0</v>
      </c>
      <c r="I288" s="17">
        <f>IF(B288="","",IFERROR(INDEX('Content Calendar'!$L$5:$L$604,MATCH(B288,'Content Calendar'!$A$5:$A$604,0)),"Not found"))</f>
        <v>0</v>
      </c>
      <c r="J288" s="17">
        <f>IF(B288="","",IFERROR(INDEX('Content Calendar'!$P$5:$P$604,MATCH(B288,'Content Calendar'!$A$5:$A$604,0)),"Not found"))</f>
        <v>0</v>
      </c>
      <c r="K288" s="17">
        <f>IF(B288="","",IFERROR(INDEX('Content Calendar'!$O$5:$O$604,MATCH(B288,'Content Calendar'!$A$5:$A$604,0)),"Not found"))</f>
        <v>0</v>
      </c>
      <c r="L288" s="17">
        <f>IF(B288="","",IFERROR(INDEX('Content Calendar'!$N$5:$N$604,MATCH(B288,'Content Calendar'!$A$5:$A$604,0)),"Not found"))</f>
        <v>0</v>
      </c>
      <c r="M288" s="17">
        <f>IF(B288="","",IFERROR(INDEX('Content Calendar'!$C$5:$C$604,MATCH(B288,'Content Calendar'!$A$5:$A$604,0)),"Not found"))</f>
        <v>0</v>
      </c>
      <c r="N288" s="17">
        <f>IF(B288="","",IFERROR(INDEX('Content Calendar'!$F$5:$F$604,MATCH(B288,'Content Calendar'!$A$5:$A$604,0)),"Not found"))</f>
        <v>0</v>
      </c>
      <c r="Z288" s="23">
        <f>IF(O288="","",N(Q288)+N(R288)+N(S288)+N(T288))</f>
        <v>0</v>
      </c>
      <c r="AA288" s="24">
        <f>IF(OR(O288="",O288=0),"",Z288/O288)</f>
        <v>0</v>
      </c>
      <c r="AB288" s="24">
        <f>IF(OR(O288="",O288=0),"",N(T288)/O288)</f>
        <v>0</v>
      </c>
      <c r="AC288" s="24">
        <f>IF(OR(O288="",O288=0),"",N(S288)/O288)</f>
        <v>0</v>
      </c>
      <c r="AD288" s="24">
        <f>IF(OR(O288="",O288=0),"",N(R288)/O288)</f>
        <v>0</v>
      </c>
      <c r="AE288" s="24">
        <f>IF(OR(O288="",O288=0),"",N(U288)/O288)</f>
        <v>0</v>
      </c>
      <c r="AF288" s="24">
        <f>IF(OR(U288="",U288=0),"",N(W288)/U288)</f>
        <v>0</v>
      </c>
      <c r="AG288" s="25">
        <f>IF(OR(O288="",O288=0),"",N(X288)/(O288/1000))</f>
        <v>0</v>
      </c>
      <c r="AH288" s="24">
        <f>IF(O288="","",IF(Y288="",TargetEngagement,Y288))</f>
        <v>0</v>
      </c>
      <c r="AI288" s="24">
        <f>IF(OR(AA288="",AH288=""),"",AA288-AH288)</f>
        <v>0</v>
      </c>
      <c r="AJ288" s="31">
        <f>IF(AA288="","",AA288+ROW()/1000000)</f>
        <v>0</v>
      </c>
      <c r="AK288" s="23">
        <f>IF(AA288="","",RANK(AJ288,Performance!$AJ$5:$AJ$404))</f>
        <v>0</v>
      </c>
      <c r="AL288" s="29">
        <f>IF(AA288="","",IF(AA288&gt;=AH288*1.5,"Top performer",IF(AA288&gt;=AH288,"Above target",IF(AA288&gt;=AH288*0.6,"Below target","Weak - review it"))))</f>
        <v>0</v>
      </c>
      <c r="AM288" s="29">
        <f>IF(B288="","",IF(COUNTIF(Performance!$B$5:$B$404,B288)&gt;1,"Duplicate","OK"))</f>
        <v>0</v>
      </c>
      <c r="AN288" s="29">
        <f>IF(B288="","",IF(C288="Not found","Check - content ID not on the calendar",IF(O288="","Add - no numbers entered yet",IF(AM288="Duplicate","Duplicate - this post is entered twice",IF(AL288="Top performer","Repurpose this one","OK")))))</f>
        <v>0</v>
      </c>
    </row>
    <row r="289" spans="1:40">
      <c r="A289" s="41">
        <f>IF(B289="","","PF-"&amp;TEXT(ROW()-4,"0000"))</f>
        <v>0</v>
      </c>
      <c r="C289" s="17">
        <f>IF(B289="","",IFERROR(INDEX('Content Calendar'!$H$5:$H$604,MATCH(B289,'Content Calendar'!$A$5:$A$604,0)),"Not found"))</f>
        <v>0</v>
      </c>
      <c r="D289" s="16">
        <f>IF(B289="","",IFERROR(INDEX('Content Calendar'!$B$5:$B$604,MATCH(B289,'Content Calendar'!$A$5:$A$604,0)),"Not found"))</f>
        <v>0</v>
      </c>
      <c r="E289" s="17">
        <f>IF(B289="","",IFERROR(INDEX('Content Calendar'!$D$5:$D$604,MATCH(B289,'Content Calendar'!$A$5:$A$604,0)),"Not found"))</f>
        <v>0</v>
      </c>
      <c r="F289" s="17">
        <f>IF(B289="","",IFERROR(INDEX('Content Calendar'!$G$5:$G$604,MATCH(B289,'Content Calendar'!$A$5:$A$604,0)),"Not found"))</f>
        <v>0</v>
      </c>
      <c r="G289" s="17">
        <f>IF(B289="","",IFERROR(INDEX('Content Calendar'!$K$5:$K$604,MATCH(B289,'Content Calendar'!$A$5:$A$604,0)),"Not found"))</f>
        <v>0</v>
      </c>
      <c r="H289" s="17">
        <f>IF(B289="","",IFERROR(INDEX('Content Calendar'!$J$5:$J$604,MATCH(B289,'Content Calendar'!$A$5:$A$604,0)),"Not found"))</f>
        <v>0</v>
      </c>
      <c r="I289" s="17">
        <f>IF(B289="","",IFERROR(INDEX('Content Calendar'!$L$5:$L$604,MATCH(B289,'Content Calendar'!$A$5:$A$604,0)),"Not found"))</f>
        <v>0</v>
      </c>
      <c r="J289" s="17">
        <f>IF(B289="","",IFERROR(INDEX('Content Calendar'!$P$5:$P$604,MATCH(B289,'Content Calendar'!$A$5:$A$604,0)),"Not found"))</f>
        <v>0</v>
      </c>
      <c r="K289" s="17">
        <f>IF(B289="","",IFERROR(INDEX('Content Calendar'!$O$5:$O$604,MATCH(B289,'Content Calendar'!$A$5:$A$604,0)),"Not found"))</f>
        <v>0</v>
      </c>
      <c r="L289" s="17">
        <f>IF(B289="","",IFERROR(INDEX('Content Calendar'!$N$5:$N$604,MATCH(B289,'Content Calendar'!$A$5:$A$604,0)),"Not found"))</f>
        <v>0</v>
      </c>
      <c r="M289" s="17">
        <f>IF(B289="","",IFERROR(INDEX('Content Calendar'!$C$5:$C$604,MATCH(B289,'Content Calendar'!$A$5:$A$604,0)),"Not found"))</f>
        <v>0</v>
      </c>
      <c r="N289" s="17">
        <f>IF(B289="","",IFERROR(INDEX('Content Calendar'!$F$5:$F$604,MATCH(B289,'Content Calendar'!$A$5:$A$604,0)),"Not found"))</f>
        <v>0</v>
      </c>
      <c r="Z289" s="23">
        <f>IF(O289="","",N(Q289)+N(R289)+N(S289)+N(T289))</f>
        <v>0</v>
      </c>
      <c r="AA289" s="24">
        <f>IF(OR(O289="",O289=0),"",Z289/O289)</f>
        <v>0</v>
      </c>
      <c r="AB289" s="24">
        <f>IF(OR(O289="",O289=0),"",N(T289)/O289)</f>
        <v>0</v>
      </c>
      <c r="AC289" s="24">
        <f>IF(OR(O289="",O289=0),"",N(S289)/O289)</f>
        <v>0</v>
      </c>
      <c r="AD289" s="24">
        <f>IF(OR(O289="",O289=0),"",N(R289)/O289)</f>
        <v>0</v>
      </c>
      <c r="AE289" s="24">
        <f>IF(OR(O289="",O289=0),"",N(U289)/O289)</f>
        <v>0</v>
      </c>
      <c r="AF289" s="24">
        <f>IF(OR(U289="",U289=0),"",N(W289)/U289)</f>
        <v>0</v>
      </c>
      <c r="AG289" s="25">
        <f>IF(OR(O289="",O289=0),"",N(X289)/(O289/1000))</f>
        <v>0</v>
      </c>
      <c r="AH289" s="24">
        <f>IF(O289="","",IF(Y289="",TargetEngagement,Y289))</f>
        <v>0</v>
      </c>
      <c r="AI289" s="24">
        <f>IF(OR(AA289="",AH289=""),"",AA289-AH289)</f>
        <v>0</v>
      </c>
      <c r="AJ289" s="31">
        <f>IF(AA289="","",AA289+ROW()/1000000)</f>
        <v>0</v>
      </c>
      <c r="AK289" s="23">
        <f>IF(AA289="","",RANK(AJ289,Performance!$AJ$5:$AJ$404))</f>
        <v>0</v>
      </c>
      <c r="AL289" s="29">
        <f>IF(AA289="","",IF(AA289&gt;=AH289*1.5,"Top performer",IF(AA289&gt;=AH289,"Above target",IF(AA289&gt;=AH289*0.6,"Below target","Weak - review it"))))</f>
        <v>0</v>
      </c>
      <c r="AM289" s="29">
        <f>IF(B289="","",IF(COUNTIF(Performance!$B$5:$B$404,B289)&gt;1,"Duplicate","OK"))</f>
        <v>0</v>
      </c>
      <c r="AN289" s="29">
        <f>IF(B289="","",IF(C289="Not found","Check - content ID not on the calendar",IF(O289="","Add - no numbers entered yet",IF(AM289="Duplicate","Duplicate - this post is entered twice",IF(AL289="Top performer","Repurpose this one","OK")))))</f>
        <v>0</v>
      </c>
    </row>
    <row r="290" spans="1:40">
      <c r="A290" s="41">
        <f>IF(B290="","","PF-"&amp;TEXT(ROW()-4,"0000"))</f>
        <v>0</v>
      </c>
      <c r="C290" s="17">
        <f>IF(B290="","",IFERROR(INDEX('Content Calendar'!$H$5:$H$604,MATCH(B290,'Content Calendar'!$A$5:$A$604,0)),"Not found"))</f>
        <v>0</v>
      </c>
      <c r="D290" s="16">
        <f>IF(B290="","",IFERROR(INDEX('Content Calendar'!$B$5:$B$604,MATCH(B290,'Content Calendar'!$A$5:$A$604,0)),"Not found"))</f>
        <v>0</v>
      </c>
      <c r="E290" s="17">
        <f>IF(B290="","",IFERROR(INDEX('Content Calendar'!$D$5:$D$604,MATCH(B290,'Content Calendar'!$A$5:$A$604,0)),"Not found"))</f>
        <v>0</v>
      </c>
      <c r="F290" s="17">
        <f>IF(B290="","",IFERROR(INDEX('Content Calendar'!$G$5:$G$604,MATCH(B290,'Content Calendar'!$A$5:$A$604,0)),"Not found"))</f>
        <v>0</v>
      </c>
      <c r="G290" s="17">
        <f>IF(B290="","",IFERROR(INDEX('Content Calendar'!$K$5:$K$604,MATCH(B290,'Content Calendar'!$A$5:$A$604,0)),"Not found"))</f>
        <v>0</v>
      </c>
      <c r="H290" s="17">
        <f>IF(B290="","",IFERROR(INDEX('Content Calendar'!$J$5:$J$604,MATCH(B290,'Content Calendar'!$A$5:$A$604,0)),"Not found"))</f>
        <v>0</v>
      </c>
      <c r="I290" s="17">
        <f>IF(B290="","",IFERROR(INDEX('Content Calendar'!$L$5:$L$604,MATCH(B290,'Content Calendar'!$A$5:$A$604,0)),"Not found"))</f>
        <v>0</v>
      </c>
      <c r="J290" s="17">
        <f>IF(B290="","",IFERROR(INDEX('Content Calendar'!$P$5:$P$604,MATCH(B290,'Content Calendar'!$A$5:$A$604,0)),"Not found"))</f>
        <v>0</v>
      </c>
      <c r="K290" s="17">
        <f>IF(B290="","",IFERROR(INDEX('Content Calendar'!$O$5:$O$604,MATCH(B290,'Content Calendar'!$A$5:$A$604,0)),"Not found"))</f>
        <v>0</v>
      </c>
      <c r="L290" s="17">
        <f>IF(B290="","",IFERROR(INDEX('Content Calendar'!$N$5:$N$604,MATCH(B290,'Content Calendar'!$A$5:$A$604,0)),"Not found"))</f>
        <v>0</v>
      </c>
      <c r="M290" s="17">
        <f>IF(B290="","",IFERROR(INDEX('Content Calendar'!$C$5:$C$604,MATCH(B290,'Content Calendar'!$A$5:$A$604,0)),"Not found"))</f>
        <v>0</v>
      </c>
      <c r="N290" s="17">
        <f>IF(B290="","",IFERROR(INDEX('Content Calendar'!$F$5:$F$604,MATCH(B290,'Content Calendar'!$A$5:$A$604,0)),"Not found"))</f>
        <v>0</v>
      </c>
      <c r="Z290" s="23">
        <f>IF(O290="","",N(Q290)+N(R290)+N(S290)+N(T290))</f>
        <v>0</v>
      </c>
      <c r="AA290" s="24">
        <f>IF(OR(O290="",O290=0),"",Z290/O290)</f>
        <v>0</v>
      </c>
      <c r="AB290" s="24">
        <f>IF(OR(O290="",O290=0),"",N(T290)/O290)</f>
        <v>0</v>
      </c>
      <c r="AC290" s="24">
        <f>IF(OR(O290="",O290=0),"",N(S290)/O290)</f>
        <v>0</v>
      </c>
      <c r="AD290" s="24">
        <f>IF(OR(O290="",O290=0),"",N(R290)/O290)</f>
        <v>0</v>
      </c>
      <c r="AE290" s="24">
        <f>IF(OR(O290="",O290=0),"",N(U290)/O290)</f>
        <v>0</v>
      </c>
      <c r="AF290" s="24">
        <f>IF(OR(U290="",U290=0),"",N(W290)/U290)</f>
        <v>0</v>
      </c>
      <c r="AG290" s="25">
        <f>IF(OR(O290="",O290=0),"",N(X290)/(O290/1000))</f>
        <v>0</v>
      </c>
      <c r="AH290" s="24">
        <f>IF(O290="","",IF(Y290="",TargetEngagement,Y290))</f>
        <v>0</v>
      </c>
      <c r="AI290" s="24">
        <f>IF(OR(AA290="",AH290=""),"",AA290-AH290)</f>
        <v>0</v>
      </c>
      <c r="AJ290" s="31">
        <f>IF(AA290="","",AA290+ROW()/1000000)</f>
        <v>0</v>
      </c>
      <c r="AK290" s="23">
        <f>IF(AA290="","",RANK(AJ290,Performance!$AJ$5:$AJ$404))</f>
        <v>0</v>
      </c>
      <c r="AL290" s="29">
        <f>IF(AA290="","",IF(AA290&gt;=AH290*1.5,"Top performer",IF(AA290&gt;=AH290,"Above target",IF(AA290&gt;=AH290*0.6,"Below target","Weak - review it"))))</f>
        <v>0</v>
      </c>
      <c r="AM290" s="29">
        <f>IF(B290="","",IF(COUNTIF(Performance!$B$5:$B$404,B290)&gt;1,"Duplicate","OK"))</f>
        <v>0</v>
      </c>
      <c r="AN290" s="29">
        <f>IF(B290="","",IF(C290="Not found","Check - content ID not on the calendar",IF(O290="","Add - no numbers entered yet",IF(AM290="Duplicate","Duplicate - this post is entered twice",IF(AL290="Top performer","Repurpose this one","OK")))))</f>
        <v>0</v>
      </c>
    </row>
    <row r="291" spans="1:40">
      <c r="A291" s="41">
        <f>IF(B291="","","PF-"&amp;TEXT(ROW()-4,"0000"))</f>
        <v>0</v>
      </c>
      <c r="C291" s="17">
        <f>IF(B291="","",IFERROR(INDEX('Content Calendar'!$H$5:$H$604,MATCH(B291,'Content Calendar'!$A$5:$A$604,0)),"Not found"))</f>
        <v>0</v>
      </c>
      <c r="D291" s="16">
        <f>IF(B291="","",IFERROR(INDEX('Content Calendar'!$B$5:$B$604,MATCH(B291,'Content Calendar'!$A$5:$A$604,0)),"Not found"))</f>
        <v>0</v>
      </c>
      <c r="E291" s="17">
        <f>IF(B291="","",IFERROR(INDEX('Content Calendar'!$D$5:$D$604,MATCH(B291,'Content Calendar'!$A$5:$A$604,0)),"Not found"))</f>
        <v>0</v>
      </c>
      <c r="F291" s="17">
        <f>IF(B291="","",IFERROR(INDEX('Content Calendar'!$G$5:$G$604,MATCH(B291,'Content Calendar'!$A$5:$A$604,0)),"Not found"))</f>
        <v>0</v>
      </c>
      <c r="G291" s="17">
        <f>IF(B291="","",IFERROR(INDEX('Content Calendar'!$K$5:$K$604,MATCH(B291,'Content Calendar'!$A$5:$A$604,0)),"Not found"))</f>
        <v>0</v>
      </c>
      <c r="H291" s="17">
        <f>IF(B291="","",IFERROR(INDEX('Content Calendar'!$J$5:$J$604,MATCH(B291,'Content Calendar'!$A$5:$A$604,0)),"Not found"))</f>
        <v>0</v>
      </c>
      <c r="I291" s="17">
        <f>IF(B291="","",IFERROR(INDEX('Content Calendar'!$L$5:$L$604,MATCH(B291,'Content Calendar'!$A$5:$A$604,0)),"Not found"))</f>
        <v>0</v>
      </c>
      <c r="J291" s="17">
        <f>IF(B291="","",IFERROR(INDEX('Content Calendar'!$P$5:$P$604,MATCH(B291,'Content Calendar'!$A$5:$A$604,0)),"Not found"))</f>
        <v>0</v>
      </c>
      <c r="K291" s="17">
        <f>IF(B291="","",IFERROR(INDEX('Content Calendar'!$O$5:$O$604,MATCH(B291,'Content Calendar'!$A$5:$A$604,0)),"Not found"))</f>
        <v>0</v>
      </c>
      <c r="L291" s="17">
        <f>IF(B291="","",IFERROR(INDEX('Content Calendar'!$N$5:$N$604,MATCH(B291,'Content Calendar'!$A$5:$A$604,0)),"Not found"))</f>
        <v>0</v>
      </c>
      <c r="M291" s="17">
        <f>IF(B291="","",IFERROR(INDEX('Content Calendar'!$C$5:$C$604,MATCH(B291,'Content Calendar'!$A$5:$A$604,0)),"Not found"))</f>
        <v>0</v>
      </c>
      <c r="N291" s="17">
        <f>IF(B291="","",IFERROR(INDEX('Content Calendar'!$F$5:$F$604,MATCH(B291,'Content Calendar'!$A$5:$A$604,0)),"Not found"))</f>
        <v>0</v>
      </c>
      <c r="Z291" s="23">
        <f>IF(O291="","",N(Q291)+N(R291)+N(S291)+N(T291))</f>
        <v>0</v>
      </c>
      <c r="AA291" s="24">
        <f>IF(OR(O291="",O291=0),"",Z291/O291)</f>
        <v>0</v>
      </c>
      <c r="AB291" s="24">
        <f>IF(OR(O291="",O291=0),"",N(T291)/O291)</f>
        <v>0</v>
      </c>
      <c r="AC291" s="24">
        <f>IF(OR(O291="",O291=0),"",N(S291)/O291)</f>
        <v>0</v>
      </c>
      <c r="AD291" s="24">
        <f>IF(OR(O291="",O291=0),"",N(R291)/O291)</f>
        <v>0</v>
      </c>
      <c r="AE291" s="24">
        <f>IF(OR(O291="",O291=0),"",N(U291)/O291)</f>
        <v>0</v>
      </c>
      <c r="AF291" s="24">
        <f>IF(OR(U291="",U291=0),"",N(W291)/U291)</f>
        <v>0</v>
      </c>
      <c r="AG291" s="25">
        <f>IF(OR(O291="",O291=0),"",N(X291)/(O291/1000))</f>
        <v>0</v>
      </c>
      <c r="AH291" s="24">
        <f>IF(O291="","",IF(Y291="",TargetEngagement,Y291))</f>
        <v>0</v>
      </c>
      <c r="AI291" s="24">
        <f>IF(OR(AA291="",AH291=""),"",AA291-AH291)</f>
        <v>0</v>
      </c>
      <c r="AJ291" s="31">
        <f>IF(AA291="","",AA291+ROW()/1000000)</f>
        <v>0</v>
      </c>
      <c r="AK291" s="23">
        <f>IF(AA291="","",RANK(AJ291,Performance!$AJ$5:$AJ$404))</f>
        <v>0</v>
      </c>
      <c r="AL291" s="29">
        <f>IF(AA291="","",IF(AA291&gt;=AH291*1.5,"Top performer",IF(AA291&gt;=AH291,"Above target",IF(AA291&gt;=AH291*0.6,"Below target","Weak - review it"))))</f>
        <v>0</v>
      </c>
      <c r="AM291" s="29">
        <f>IF(B291="","",IF(COUNTIF(Performance!$B$5:$B$404,B291)&gt;1,"Duplicate","OK"))</f>
        <v>0</v>
      </c>
      <c r="AN291" s="29">
        <f>IF(B291="","",IF(C291="Not found","Check - content ID not on the calendar",IF(O291="","Add - no numbers entered yet",IF(AM291="Duplicate","Duplicate - this post is entered twice",IF(AL291="Top performer","Repurpose this one","OK")))))</f>
        <v>0</v>
      </c>
    </row>
    <row r="292" spans="1:40">
      <c r="A292" s="41">
        <f>IF(B292="","","PF-"&amp;TEXT(ROW()-4,"0000"))</f>
        <v>0</v>
      </c>
      <c r="C292" s="17">
        <f>IF(B292="","",IFERROR(INDEX('Content Calendar'!$H$5:$H$604,MATCH(B292,'Content Calendar'!$A$5:$A$604,0)),"Not found"))</f>
        <v>0</v>
      </c>
      <c r="D292" s="16">
        <f>IF(B292="","",IFERROR(INDEX('Content Calendar'!$B$5:$B$604,MATCH(B292,'Content Calendar'!$A$5:$A$604,0)),"Not found"))</f>
        <v>0</v>
      </c>
      <c r="E292" s="17">
        <f>IF(B292="","",IFERROR(INDEX('Content Calendar'!$D$5:$D$604,MATCH(B292,'Content Calendar'!$A$5:$A$604,0)),"Not found"))</f>
        <v>0</v>
      </c>
      <c r="F292" s="17">
        <f>IF(B292="","",IFERROR(INDEX('Content Calendar'!$G$5:$G$604,MATCH(B292,'Content Calendar'!$A$5:$A$604,0)),"Not found"))</f>
        <v>0</v>
      </c>
      <c r="G292" s="17">
        <f>IF(B292="","",IFERROR(INDEX('Content Calendar'!$K$5:$K$604,MATCH(B292,'Content Calendar'!$A$5:$A$604,0)),"Not found"))</f>
        <v>0</v>
      </c>
      <c r="H292" s="17">
        <f>IF(B292="","",IFERROR(INDEX('Content Calendar'!$J$5:$J$604,MATCH(B292,'Content Calendar'!$A$5:$A$604,0)),"Not found"))</f>
        <v>0</v>
      </c>
      <c r="I292" s="17">
        <f>IF(B292="","",IFERROR(INDEX('Content Calendar'!$L$5:$L$604,MATCH(B292,'Content Calendar'!$A$5:$A$604,0)),"Not found"))</f>
        <v>0</v>
      </c>
      <c r="J292" s="17">
        <f>IF(B292="","",IFERROR(INDEX('Content Calendar'!$P$5:$P$604,MATCH(B292,'Content Calendar'!$A$5:$A$604,0)),"Not found"))</f>
        <v>0</v>
      </c>
      <c r="K292" s="17">
        <f>IF(B292="","",IFERROR(INDEX('Content Calendar'!$O$5:$O$604,MATCH(B292,'Content Calendar'!$A$5:$A$604,0)),"Not found"))</f>
        <v>0</v>
      </c>
      <c r="L292" s="17">
        <f>IF(B292="","",IFERROR(INDEX('Content Calendar'!$N$5:$N$604,MATCH(B292,'Content Calendar'!$A$5:$A$604,0)),"Not found"))</f>
        <v>0</v>
      </c>
      <c r="M292" s="17">
        <f>IF(B292="","",IFERROR(INDEX('Content Calendar'!$C$5:$C$604,MATCH(B292,'Content Calendar'!$A$5:$A$604,0)),"Not found"))</f>
        <v>0</v>
      </c>
      <c r="N292" s="17">
        <f>IF(B292="","",IFERROR(INDEX('Content Calendar'!$F$5:$F$604,MATCH(B292,'Content Calendar'!$A$5:$A$604,0)),"Not found"))</f>
        <v>0</v>
      </c>
      <c r="Z292" s="23">
        <f>IF(O292="","",N(Q292)+N(R292)+N(S292)+N(T292))</f>
        <v>0</v>
      </c>
      <c r="AA292" s="24">
        <f>IF(OR(O292="",O292=0),"",Z292/O292)</f>
        <v>0</v>
      </c>
      <c r="AB292" s="24">
        <f>IF(OR(O292="",O292=0),"",N(T292)/O292)</f>
        <v>0</v>
      </c>
      <c r="AC292" s="24">
        <f>IF(OR(O292="",O292=0),"",N(S292)/O292)</f>
        <v>0</v>
      </c>
      <c r="AD292" s="24">
        <f>IF(OR(O292="",O292=0),"",N(R292)/O292)</f>
        <v>0</v>
      </c>
      <c r="AE292" s="24">
        <f>IF(OR(O292="",O292=0),"",N(U292)/O292)</f>
        <v>0</v>
      </c>
      <c r="AF292" s="24">
        <f>IF(OR(U292="",U292=0),"",N(W292)/U292)</f>
        <v>0</v>
      </c>
      <c r="AG292" s="25">
        <f>IF(OR(O292="",O292=0),"",N(X292)/(O292/1000))</f>
        <v>0</v>
      </c>
      <c r="AH292" s="24">
        <f>IF(O292="","",IF(Y292="",TargetEngagement,Y292))</f>
        <v>0</v>
      </c>
      <c r="AI292" s="24">
        <f>IF(OR(AA292="",AH292=""),"",AA292-AH292)</f>
        <v>0</v>
      </c>
      <c r="AJ292" s="31">
        <f>IF(AA292="","",AA292+ROW()/1000000)</f>
        <v>0</v>
      </c>
      <c r="AK292" s="23">
        <f>IF(AA292="","",RANK(AJ292,Performance!$AJ$5:$AJ$404))</f>
        <v>0</v>
      </c>
      <c r="AL292" s="29">
        <f>IF(AA292="","",IF(AA292&gt;=AH292*1.5,"Top performer",IF(AA292&gt;=AH292,"Above target",IF(AA292&gt;=AH292*0.6,"Below target","Weak - review it"))))</f>
        <v>0</v>
      </c>
      <c r="AM292" s="29">
        <f>IF(B292="","",IF(COUNTIF(Performance!$B$5:$B$404,B292)&gt;1,"Duplicate","OK"))</f>
        <v>0</v>
      </c>
      <c r="AN292" s="29">
        <f>IF(B292="","",IF(C292="Not found","Check - content ID not on the calendar",IF(O292="","Add - no numbers entered yet",IF(AM292="Duplicate","Duplicate - this post is entered twice",IF(AL292="Top performer","Repurpose this one","OK")))))</f>
        <v>0</v>
      </c>
    </row>
    <row r="293" spans="1:40">
      <c r="A293" s="41">
        <f>IF(B293="","","PF-"&amp;TEXT(ROW()-4,"0000"))</f>
        <v>0</v>
      </c>
      <c r="C293" s="17">
        <f>IF(B293="","",IFERROR(INDEX('Content Calendar'!$H$5:$H$604,MATCH(B293,'Content Calendar'!$A$5:$A$604,0)),"Not found"))</f>
        <v>0</v>
      </c>
      <c r="D293" s="16">
        <f>IF(B293="","",IFERROR(INDEX('Content Calendar'!$B$5:$B$604,MATCH(B293,'Content Calendar'!$A$5:$A$604,0)),"Not found"))</f>
        <v>0</v>
      </c>
      <c r="E293" s="17">
        <f>IF(B293="","",IFERROR(INDEX('Content Calendar'!$D$5:$D$604,MATCH(B293,'Content Calendar'!$A$5:$A$604,0)),"Not found"))</f>
        <v>0</v>
      </c>
      <c r="F293" s="17">
        <f>IF(B293="","",IFERROR(INDEX('Content Calendar'!$G$5:$G$604,MATCH(B293,'Content Calendar'!$A$5:$A$604,0)),"Not found"))</f>
        <v>0</v>
      </c>
      <c r="G293" s="17">
        <f>IF(B293="","",IFERROR(INDEX('Content Calendar'!$K$5:$K$604,MATCH(B293,'Content Calendar'!$A$5:$A$604,0)),"Not found"))</f>
        <v>0</v>
      </c>
      <c r="H293" s="17">
        <f>IF(B293="","",IFERROR(INDEX('Content Calendar'!$J$5:$J$604,MATCH(B293,'Content Calendar'!$A$5:$A$604,0)),"Not found"))</f>
        <v>0</v>
      </c>
      <c r="I293" s="17">
        <f>IF(B293="","",IFERROR(INDEX('Content Calendar'!$L$5:$L$604,MATCH(B293,'Content Calendar'!$A$5:$A$604,0)),"Not found"))</f>
        <v>0</v>
      </c>
      <c r="J293" s="17">
        <f>IF(B293="","",IFERROR(INDEX('Content Calendar'!$P$5:$P$604,MATCH(B293,'Content Calendar'!$A$5:$A$604,0)),"Not found"))</f>
        <v>0</v>
      </c>
      <c r="K293" s="17">
        <f>IF(B293="","",IFERROR(INDEX('Content Calendar'!$O$5:$O$604,MATCH(B293,'Content Calendar'!$A$5:$A$604,0)),"Not found"))</f>
        <v>0</v>
      </c>
      <c r="L293" s="17">
        <f>IF(B293="","",IFERROR(INDEX('Content Calendar'!$N$5:$N$604,MATCH(B293,'Content Calendar'!$A$5:$A$604,0)),"Not found"))</f>
        <v>0</v>
      </c>
      <c r="M293" s="17">
        <f>IF(B293="","",IFERROR(INDEX('Content Calendar'!$C$5:$C$604,MATCH(B293,'Content Calendar'!$A$5:$A$604,0)),"Not found"))</f>
        <v>0</v>
      </c>
      <c r="N293" s="17">
        <f>IF(B293="","",IFERROR(INDEX('Content Calendar'!$F$5:$F$604,MATCH(B293,'Content Calendar'!$A$5:$A$604,0)),"Not found"))</f>
        <v>0</v>
      </c>
      <c r="Z293" s="23">
        <f>IF(O293="","",N(Q293)+N(R293)+N(S293)+N(T293))</f>
        <v>0</v>
      </c>
      <c r="AA293" s="24">
        <f>IF(OR(O293="",O293=0),"",Z293/O293)</f>
        <v>0</v>
      </c>
      <c r="AB293" s="24">
        <f>IF(OR(O293="",O293=0),"",N(T293)/O293)</f>
        <v>0</v>
      </c>
      <c r="AC293" s="24">
        <f>IF(OR(O293="",O293=0),"",N(S293)/O293)</f>
        <v>0</v>
      </c>
      <c r="AD293" s="24">
        <f>IF(OR(O293="",O293=0),"",N(R293)/O293)</f>
        <v>0</v>
      </c>
      <c r="AE293" s="24">
        <f>IF(OR(O293="",O293=0),"",N(U293)/O293)</f>
        <v>0</v>
      </c>
      <c r="AF293" s="24">
        <f>IF(OR(U293="",U293=0),"",N(W293)/U293)</f>
        <v>0</v>
      </c>
      <c r="AG293" s="25">
        <f>IF(OR(O293="",O293=0),"",N(X293)/(O293/1000))</f>
        <v>0</v>
      </c>
      <c r="AH293" s="24">
        <f>IF(O293="","",IF(Y293="",TargetEngagement,Y293))</f>
        <v>0</v>
      </c>
      <c r="AI293" s="24">
        <f>IF(OR(AA293="",AH293=""),"",AA293-AH293)</f>
        <v>0</v>
      </c>
      <c r="AJ293" s="31">
        <f>IF(AA293="","",AA293+ROW()/1000000)</f>
        <v>0</v>
      </c>
      <c r="AK293" s="23">
        <f>IF(AA293="","",RANK(AJ293,Performance!$AJ$5:$AJ$404))</f>
        <v>0</v>
      </c>
      <c r="AL293" s="29">
        <f>IF(AA293="","",IF(AA293&gt;=AH293*1.5,"Top performer",IF(AA293&gt;=AH293,"Above target",IF(AA293&gt;=AH293*0.6,"Below target","Weak - review it"))))</f>
        <v>0</v>
      </c>
      <c r="AM293" s="29">
        <f>IF(B293="","",IF(COUNTIF(Performance!$B$5:$B$404,B293)&gt;1,"Duplicate","OK"))</f>
        <v>0</v>
      </c>
      <c r="AN293" s="29">
        <f>IF(B293="","",IF(C293="Not found","Check - content ID not on the calendar",IF(O293="","Add - no numbers entered yet",IF(AM293="Duplicate","Duplicate - this post is entered twice",IF(AL293="Top performer","Repurpose this one","OK")))))</f>
        <v>0</v>
      </c>
    </row>
    <row r="294" spans="1:40">
      <c r="A294" s="41">
        <f>IF(B294="","","PF-"&amp;TEXT(ROW()-4,"0000"))</f>
        <v>0</v>
      </c>
      <c r="C294" s="17">
        <f>IF(B294="","",IFERROR(INDEX('Content Calendar'!$H$5:$H$604,MATCH(B294,'Content Calendar'!$A$5:$A$604,0)),"Not found"))</f>
        <v>0</v>
      </c>
      <c r="D294" s="16">
        <f>IF(B294="","",IFERROR(INDEX('Content Calendar'!$B$5:$B$604,MATCH(B294,'Content Calendar'!$A$5:$A$604,0)),"Not found"))</f>
        <v>0</v>
      </c>
      <c r="E294" s="17">
        <f>IF(B294="","",IFERROR(INDEX('Content Calendar'!$D$5:$D$604,MATCH(B294,'Content Calendar'!$A$5:$A$604,0)),"Not found"))</f>
        <v>0</v>
      </c>
      <c r="F294" s="17">
        <f>IF(B294="","",IFERROR(INDEX('Content Calendar'!$G$5:$G$604,MATCH(B294,'Content Calendar'!$A$5:$A$604,0)),"Not found"))</f>
        <v>0</v>
      </c>
      <c r="G294" s="17">
        <f>IF(B294="","",IFERROR(INDEX('Content Calendar'!$K$5:$K$604,MATCH(B294,'Content Calendar'!$A$5:$A$604,0)),"Not found"))</f>
        <v>0</v>
      </c>
      <c r="H294" s="17">
        <f>IF(B294="","",IFERROR(INDEX('Content Calendar'!$J$5:$J$604,MATCH(B294,'Content Calendar'!$A$5:$A$604,0)),"Not found"))</f>
        <v>0</v>
      </c>
      <c r="I294" s="17">
        <f>IF(B294="","",IFERROR(INDEX('Content Calendar'!$L$5:$L$604,MATCH(B294,'Content Calendar'!$A$5:$A$604,0)),"Not found"))</f>
        <v>0</v>
      </c>
      <c r="J294" s="17">
        <f>IF(B294="","",IFERROR(INDEX('Content Calendar'!$P$5:$P$604,MATCH(B294,'Content Calendar'!$A$5:$A$604,0)),"Not found"))</f>
        <v>0</v>
      </c>
      <c r="K294" s="17">
        <f>IF(B294="","",IFERROR(INDEX('Content Calendar'!$O$5:$O$604,MATCH(B294,'Content Calendar'!$A$5:$A$604,0)),"Not found"))</f>
        <v>0</v>
      </c>
      <c r="L294" s="17">
        <f>IF(B294="","",IFERROR(INDEX('Content Calendar'!$N$5:$N$604,MATCH(B294,'Content Calendar'!$A$5:$A$604,0)),"Not found"))</f>
        <v>0</v>
      </c>
      <c r="M294" s="17">
        <f>IF(B294="","",IFERROR(INDEX('Content Calendar'!$C$5:$C$604,MATCH(B294,'Content Calendar'!$A$5:$A$604,0)),"Not found"))</f>
        <v>0</v>
      </c>
      <c r="N294" s="17">
        <f>IF(B294="","",IFERROR(INDEX('Content Calendar'!$F$5:$F$604,MATCH(B294,'Content Calendar'!$A$5:$A$604,0)),"Not found"))</f>
        <v>0</v>
      </c>
      <c r="Z294" s="23">
        <f>IF(O294="","",N(Q294)+N(R294)+N(S294)+N(T294))</f>
        <v>0</v>
      </c>
      <c r="AA294" s="24">
        <f>IF(OR(O294="",O294=0),"",Z294/O294)</f>
        <v>0</v>
      </c>
      <c r="AB294" s="24">
        <f>IF(OR(O294="",O294=0),"",N(T294)/O294)</f>
        <v>0</v>
      </c>
      <c r="AC294" s="24">
        <f>IF(OR(O294="",O294=0),"",N(S294)/O294)</f>
        <v>0</v>
      </c>
      <c r="AD294" s="24">
        <f>IF(OR(O294="",O294=0),"",N(R294)/O294)</f>
        <v>0</v>
      </c>
      <c r="AE294" s="24">
        <f>IF(OR(O294="",O294=0),"",N(U294)/O294)</f>
        <v>0</v>
      </c>
      <c r="AF294" s="24">
        <f>IF(OR(U294="",U294=0),"",N(W294)/U294)</f>
        <v>0</v>
      </c>
      <c r="AG294" s="25">
        <f>IF(OR(O294="",O294=0),"",N(X294)/(O294/1000))</f>
        <v>0</v>
      </c>
      <c r="AH294" s="24">
        <f>IF(O294="","",IF(Y294="",TargetEngagement,Y294))</f>
        <v>0</v>
      </c>
      <c r="AI294" s="24">
        <f>IF(OR(AA294="",AH294=""),"",AA294-AH294)</f>
        <v>0</v>
      </c>
      <c r="AJ294" s="31">
        <f>IF(AA294="","",AA294+ROW()/1000000)</f>
        <v>0</v>
      </c>
      <c r="AK294" s="23">
        <f>IF(AA294="","",RANK(AJ294,Performance!$AJ$5:$AJ$404))</f>
        <v>0</v>
      </c>
      <c r="AL294" s="29">
        <f>IF(AA294="","",IF(AA294&gt;=AH294*1.5,"Top performer",IF(AA294&gt;=AH294,"Above target",IF(AA294&gt;=AH294*0.6,"Below target","Weak - review it"))))</f>
        <v>0</v>
      </c>
      <c r="AM294" s="29">
        <f>IF(B294="","",IF(COUNTIF(Performance!$B$5:$B$404,B294)&gt;1,"Duplicate","OK"))</f>
        <v>0</v>
      </c>
      <c r="AN294" s="29">
        <f>IF(B294="","",IF(C294="Not found","Check - content ID not on the calendar",IF(O294="","Add - no numbers entered yet",IF(AM294="Duplicate","Duplicate - this post is entered twice",IF(AL294="Top performer","Repurpose this one","OK")))))</f>
        <v>0</v>
      </c>
    </row>
    <row r="295" spans="1:40">
      <c r="A295" s="41">
        <f>IF(B295="","","PF-"&amp;TEXT(ROW()-4,"0000"))</f>
        <v>0</v>
      </c>
      <c r="C295" s="17">
        <f>IF(B295="","",IFERROR(INDEX('Content Calendar'!$H$5:$H$604,MATCH(B295,'Content Calendar'!$A$5:$A$604,0)),"Not found"))</f>
        <v>0</v>
      </c>
      <c r="D295" s="16">
        <f>IF(B295="","",IFERROR(INDEX('Content Calendar'!$B$5:$B$604,MATCH(B295,'Content Calendar'!$A$5:$A$604,0)),"Not found"))</f>
        <v>0</v>
      </c>
      <c r="E295" s="17">
        <f>IF(B295="","",IFERROR(INDEX('Content Calendar'!$D$5:$D$604,MATCH(B295,'Content Calendar'!$A$5:$A$604,0)),"Not found"))</f>
        <v>0</v>
      </c>
      <c r="F295" s="17">
        <f>IF(B295="","",IFERROR(INDEX('Content Calendar'!$G$5:$G$604,MATCH(B295,'Content Calendar'!$A$5:$A$604,0)),"Not found"))</f>
        <v>0</v>
      </c>
      <c r="G295" s="17">
        <f>IF(B295="","",IFERROR(INDEX('Content Calendar'!$K$5:$K$604,MATCH(B295,'Content Calendar'!$A$5:$A$604,0)),"Not found"))</f>
        <v>0</v>
      </c>
      <c r="H295" s="17">
        <f>IF(B295="","",IFERROR(INDEX('Content Calendar'!$J$5:$J$604,MATCH(B295,'Content Calendar'!$A$5:$A$604,0)),"Not found"))</f>
        <v>0</v>
      </c>
      <c r="I295" s="17">
        <f>IF(B295="","",IFERROR(INDEX('Content Calendar'!$L$5:$L$604,MATCH(B295,'Content Calendar'!$A$5:$A$604,0)),"Not found"))</f>
        <v>0</v>
      </c>
      <c r="J295" s="17">
        <f>IF(B295="","",IFERROR(INDEX('Content Calendar'!$P$5:$P$604,MATCH(B295,'Content Calendar'!$A$5:$A$604,0)),"Not found"))</f>
        <v>0</v>
      </c>
      <c r="K295" s="17">
        <f>IF(B295="","",IFERROR(INDEX('Content Calendar'!$O$5:$O$604,MATCH(B295,'Content Calendar'!$A$5:$A$604,0)),"Not found"))</f>
        <v>0</v>
      </c>
      <c r="L295" s="17">
        <f>IF(B295="","",IFERROR(INDEX('Content Calendar'!$N$5:$N$604,MATCH(B295,'Content Calendar'!$A$5:$A$604,0)),"Not found"))</f>
        <v>0</v>
      </c>
      <c r="M295" s="17">
        <f>IF(B295="","",IFERROR(INDEX('Content Calendar'!$C$5:$C$604,MATCH(B295,'Content Calendar'!$A$5:$A$604,0)),"Not found"))</f>
        <v>0</v>
      </c>
      <c r="N295" s="17">
        <f>IF(B295="","",IFERROR(INDEX('Content Calendar'!$F$5:$F$604,MATCH(B295,'Content Calendar'!$A$5:$A$604,0)),"Not found"))</f>
        <v>0</v>
      </c>
      <c r="Z295" s="23">
        <f>IF(O295="","",N(Q295)+N(R295)+N(S295)+N(T295))</f>
        <v>0</v>
      </c>
      <c r="AA295" s="24">
        <f>IF(OR(O295="",O295=0),"",Z295/O295)</f>
        <v>0</v>
      </c>
      <c r="AB295" s="24">
        <f>IF(OR(O295="",O295=0),"",N(T295)/O295)</f>
        <v>0</v>
      </c>
      <c r="AC295" s="24">
        <f>IF(OR(O295="",O295=0),"",N(S295)/O295)</f>
        <v>0</v>
      </c>
      <c r="AD295" s="24">
        <f>IF(OR(O295="",O295=0),"",N(R295)/O295)</f>
        <v>0</v>
      </c>
      <c r="AE295" s="24">
        <f>IF(OR(O295="",O295=0),"",N(U295)/O295)</f>
        <v>0</v>
      </c>
      <c r="AF295" s="24">
        <f>IF(OR(U295="",U295=0),"",N(W295)/U295)</f>
        <v>0</v>
      </c>
      <c r="AG295" s="25">
        <f>IF(OR(O295="",O295=0),"",N(X295)/(O295/1000))</f>
        <v>0</v>
      </c>
      <c r="AH295" s="24">
        <f>IF(O295="","",IF(Y295="",TargetEngagement,Y295))</f>
        <v>0</v>
      </c>
      <c r="AI295" s="24">
        <f>IF(OR(AA295="",AH295=""),"",AA295-AH295)</f>
        <v>0</v>
      </c>
      <c r="AJ295" s="31">
        <f>IF(AA295="","",AA295+ROW()/1000000)</f>
        <v>0</v>
      </c>
      <c r="AK295" s="23">
        <f>IF(AA295="","",RANK(AJ295,Performance!$AJ$5:$AJ$404))</f>
        <v>0</v>
      </c>
      <c r="AL295" s="29">
        <f>IF(AA295="","",IF(AA295&gt;=AH295*1.5,"Top performer",IF(AA295&gt;=AH295,"Above target",IF(AA295&gt;=AH295*0.6,"Below target","Weak - review it"))))</f>
        <v>0</v>
      </c>
      <c r="AM295" s="29">
        <f>IF(B295="","",IF(COUNTIF(Performance!$B$5:$B$404,B295)&gt;1,"Duplicate","OK"))</f>
        <v>0</v>
      </c>
      <c r="AN295" s="29">
        <f>IF(B295="","",IF(C295="Not found","Check - content ID not on the calendar",IF(O295="","Add - no numbers entered yet",IF(AM295="Duplicate","Duplicate - this post is entered twice",IF(AL295="Top performer","Repurpose this one","OK")))))</f>
        <v>0</v>
      </c>
    </row>
    <row r="296" spans="1:40">
      <c r="A296" s="41">
        <f>IF(B296="","","PF-"&amp;TEXT(ROW()-4,"0000"))</f>
        <v>0</v>
      </c>
      <c r="C296" s="17">
        <f>IF(B296="","",IFERROR(INDEX('Content Calendar'!$H$5:$H$604,MATCH(B296,'Content Calendar'!$A$5:$A$604,0)),"Not found"))</f>
        <v>0</v>
      </c>
      <c r="D296" s="16">
        <f>IF(B296="","",IFERROR(INDEX('Content Calendar'!$B$5:$B$604,MATCH(B296,'Content Calendar'!$A$5:$A$604,0)),"Not found"))</f>
        <v>0</v>
      </c>
      <c r="E296" s="17">
        <f>IF(B296="","",IFERROR(INDEX('Content Calendar'!$D$5:$D$604,MATCH(B296,'Content Calendar'!$A$5:$A$604,0)),"Not found"))</f>
        <v>0</v>
      </c>
      <c r="F296" s="17">
        <f>IF(B296="","",IFERROR(INDEX('Content Calendar'!$G$5:$G$604,MATCH(B296,'Content Calendar'!$A$5:$A$604,0)),"Not found"))</f>
        <v>0</v>
      </c>
      <c r="G296" s="17">
        <f>IF(B296="","",IFERROR(INDEX('Content Calendar'!$K$5:$K$604,MATCH(B296,'Content Calendar'!$A$5:$A$604,0)),"Not found"))</f>
        <v>0</v>
      </c>
      <c r="H296" s="17">
        <f>IF(B296="","",IFERROR(INDEX('Content Calendar'!$J$5:$J$604,MATCH(B296,'Content Calendar'!$A$5:$A$604,0)),"Not found"))</f>
        <v>0</v>
      </c>
      <c r="I296" s="17">
        <f>IF(B296="","",IFERROR(INDEX('Content Calendar'!$L$5:$L$604,MATCH(B296,'Content Calendar'!$A$5:$A$604,0)),"Not found"))</f>
        <v>0</v>
      </c>
      <c r="J296" s="17">
        <f>IF(B296="","",IFERROR(INDEX('Content Calendar'!$P$5:$P$604,MATCH(B296,'Content Calendar'!$A$5:$A$604,0)),"Not found"))</f>
        <v>0</v>
      </c>
      <c r="K296" s="17">
        <f>IF(B296="","",IFERROR(INDEX('Content Calendar'!$O$5:$O$604,MATCH(B296,'Content Calendar'!$A$5:$A$604,0)),"Not found"))</f>
        <v>0</v>
      </c>
      <c r="L296" s="17">
        <f>IF(B296="","",IFERROR(INDEX('Content Calendar'!$N$5:$N$604,MATCH(B296,'Content Calendar'!$A$5:$A$604,0)),"Not found"))</f>
        <v>0</v>
      </c>
      <c r="M296" s="17">
        <f>IF(B296="","",IFERROR(INDEX('Content Calendar'!$C$5:$C$604,MATCH(B296,'Content Calendar'!$A$5:$A$604,0)),"Not found"))</f>
        <v>0</v>
      </c>
      <c r="N296" s="17">
        <f>IF(B296="","",IFERROR(INDEX('Content Calendar'!$F$5:$F$604,MATCH(B296,'Content Calendar'!$A$5:$A$604,0)),"Not found"))</f>
        <v>0</v>
      </c>
      <c r="Z296" s="23">
        <f>IF(O296="","",N(Q296)+N(R296)+N(S296)+N(T296))</f>
        <v>0</v>
      </c>
      <c r="AA296" s="24">
        <f>IF(OR(O296="",O296=0),"",Z296/O296)</f>
        <v>0</v>
      </c>
      <c r="AB296" s="24">
        <f>IF(OR(O296="",O296=0),"",N(T296)/O296)</f>
        <v>0</v>
      </c>
      <c r="AC296" s="24">
        <f>IF(OR(O296="",O296=0),"",N(S296)/O296)</f>
        <v>0</v>
      </c>
      <c r="AD296" s="24">
        <f>IF(OR(O296="",O296=0),"",N(R296)/O296)</f>
        <v>0</v>
      </c>
      <c r="AE296" s="24">
        <f>IF(OR(O296="",O296=0),"",N(U296)/O296)</f>
        <v>0</v>
      </c>
      <c r="AF296" s="24">
        <f>IF(OR(U296="",U296=0),"",N(W296)/U296)</f>
        <v>0</v>
      </c>
      <c r="AG296" s="25">
        <f>IF(OR(O296="",O296=0),"",N(X296)/(O296/1000))</f>
        <v>0</v>
      </c>
      <c r="AH296" s="24">
        <f>IF(O296="","",IF(Y296="",TargetEngagement,Y296))</f>
        <v>0</v>
      </c>
      <c r="AI296" s="24">
        <f>IF(OR(AA296="",AH296=""),"",AA296-AH296)</f>
        <v>0</v>
      </c>
      <c r="AJ296" s="31">
        <f>IF(AA296="","",AA296+ROW()/1000000)</f>
        <v>0</v>
      </c>
      <c r="AK296" s="23">
        <f>IF(AA296="","",RANK(AJ296,Performance!$AJ$5:$AJ$404))</f>
        <v>0</v>
      </c>
      <c r="AL296" s="29">
        <f>IF(AA296="","",IF(AA296&gt;=AH296*1.5,"Top performer",IF(AA296&gt;=AH296,"Above target",IF(AA296&gt;=AH296*0.6,"Below target","Weak - review it"))))</f>
        <v>0</v>
      </c>
      <c r="AM296" s="29">
        <f>IF(B296="","",IF(COUNTIF(Performance!$B$5:$B$404,B296)&gt;1,"Duplicate","OK"))</f>
        <v>0</v>
      </c>
      <c r="AN296" s="29">
        <f>IF(B296="","",IF(C296="Not found","Check - content ID not on the calendar",IF(O296="","Add - no numbers entered yet",IF(AM296="Duplicate","Duplicate - this post is entered twice",IF(AL296="Top performer","Repurpose this one","OK")))))</f>
        <v>0</v>
      </c>
    </row>
    <row r="297" spans="1:40">
      <c r="A297" s="41">
        <f>IF(B297="","","PF-"&amp;TEXT(ROW()-4,"0000"))</f>
        <v>0</v>
      </c>
      <c r="C297" s="17">
        <f>IF(B297="","",IFERROR(INDEX('Content Calendar'!$H$5:$H$604,MATCH(B297,'Content Calendar'!$A$5:$A$604,0)),"Not found"))</f>
        <v>0</v>
      </c>
      <c r="D297" s="16">
        <f>IF(B297="","",IFERROR(INDEX('Content Calendar'!$B$5:$B$604,MATCH(B297,'Content Calendar'!$A$5:$A$604,0)),"Not found"))</f>
        <v>0</v>
      </c>
      <c r="E297" s="17">
        <f>IF(B297="","",IFERROR(INDEX('Content Calendar'!$D$5:$D$604,MATCH(B297,'Content Calendar'!$A$5:$A$604,0)),"Not found"))</f>
        <v>0</v>
      </c>
      <c r="F297" s="17">
        <f>IF(B297="","",IFERROR(INDEX('Content Calendar'!$G$5:$G$604,MATCH(B297,'Content Calendar'!$A$5:$A$604,0)),"Not found"))</f>
        <v>0</v>
      </c>
      <c r="G297" s="17">
        <f>IF(B297="","",IFERROR(INDEX('Content Calendar'!$K$5:$K$604,MATCH(B297,'Content Calendar'!$A$5:$A$604,0)),"Not found"))</f>
        <v>0</v>
      </c>
      <c r="H297" s="17">
        <f>IF(B297="","",IFERROR(INDEX('Content Calendar'!$J$5:$J$604,MATCH(B297,'Content Calendar'!$A$5:$A$604,0)),"Not found"))</f>
        <v>0</v>
      </c>
      <c r="I297" s="17">
        <f>IF(B297="","",IFERROR(INDEX('Content Calendar'!$L$5:$L$604,MATCH(B297,'Content Calendar'!$A$5:$A$604,0)),"Not found"))</f>
        <v>0</v>
      </c>
      <c r="J297" s="17">
        <f>IF(B297="","",IFERROR(INDEX('Content Calendar'!$P$5:$P$604,MATCH(B297,'Content Calendar'!$A$5:$A$604,0)),"Not found"))</f>
        <v>0</v>
      </c>
      <c r="K297" s="17">
        <f>IF(B297="","",IFERROR(INDEX('Content Calendar'!$O$5:$O$604,MATCH(B297,'Content Calendar'!$A$5:$A$604,0)),"Not found"))</f>
        <v>0</v>
      </c>
      <c r="L297" s="17">
        <f>IF(B297="","",IFERROR(INDEX('Content Calendar'!$N$5:$N$604,MATCH(B297,'Content Calendar'!$A$5:$A$604,0)),"Not found"))</f>
        <v>0</v>
      </c>
      <c r="M297" s="17">
        <f>IF(B297="","",IFERROR(INDEX('Content Calendar'!$C$5:$C$604,MATCH(B297,'Content Calendar'!$A$5:$A$604,0)),"Not found"))</f>
        <v>0</v>
      </c>
      <c r="N297" s="17">
        <f>IF(B297="","",IFERROR(INDEX('Content Calendar'!$F$5:$F$604,MATCH(B297,'Content Calendar'!$A$5:$A$604,0)),"Not found"))</f>
        <v>0</v>
      </c>
      <c r="Z297" s="23">
        <f>IF(O297="","",N(Q297)+N(R297)+N(S297)+N(T297))</f>
        <v>0</v>
      </c>
      <c r="AA297" s="24">
        <f>IF(OR(O297="",O297=0),"",Z297/O297)</f>
        <v>0</v>
      </c>
      <c r="AB297" s="24">
        <f>IF(OR(O297="",O297=0),"",N(T297)/O297)</f>
        <v>0</v>
      </c>
      <c r="AC297" s="24">
        <f>IF(OR(O297="",O297=0),"",N(S297)/O297)</f>
        <v>0</v>
      </c>
      <c r="AD297" s="24">
        <f>IF(OR(O297="",O297=0),"",N(R297)/O297)</f>
        <v>0</v>
      </c>
      <c r="AE297" s="24">
        <f>IF(OR(O297="",O297=0),"",N(U297)/O297)</f>
        <v>0</v>
      </c>
      <c r="AF297" s="24">
        <f>IF(OR(U297="",U297=0),"",N(W297)/U297)</f>
        <v>0</v>
      </c>
      <c r="AG297" s="25">
        <f>IF(OR(O297="",O297=0),"",N(X297)/(O297/1000))</f>
        <v>0</v>
      </c>
      <c r="AH297" s="24">
        <f>IF(O297="","",IF(Y297="",TargetEngagement,Y297))</f>
        <v>0</v>
      </c>
      <c r="AI297" s="24">
        <f>IF(OR(AA297="",AH297=""),"",AA297-AH297)</f>
        <v>0</v>
      </c>
      <c r="AJ297" s="31">
        <f>IF(AA297="","",AA297+ROW()/1000000)</f>
        <v>0</v>
      </c>
      <c r="AK297" s="23">
        <f>IF(AA297="","",RANK(AJ297,Performance!$AJ$5:$AJ$404))</f>
        <v>0</v>
      </c>
      <c r="AL297" s="29">
        <f>IF(AA297="","",IF(AA297&gt;=AH297*1.5,"Top performer",IF(AA297&gt;=AH297,"Above target",IF(AA297&gt;=AH297*0.6,"Below target","Weak - review it"))))</f>
        <v>0</v>
      </c>
      <c r="AM297" s="29">
        <f>IF(B297="","",IF(COUNTIF(Performance!$B$5:$B$404,B297)&gt;1,"Duplicate","OK"))</f>
        <v>0</v>
      </c>
      <c r="AN297" s="29">
        <f>IF(B297="","",IF(C297="Not found","Check - content ID not on the calendar",IF(O297="","Add - no numbers entered yet",IF(AM297="Duplicate","Duplicate - this post is entered twice",IF(AL297="Top performer","Repurpose this one","OK")))))</f>
        <v>0</v>
      </c>
    </row>
    <row r="298" spans="1:40">
      <c r="A298" s="41">
        <f>IF(B298="","","PF-"&amp;TEXT(ROW()-4,"0000"))</f>
        <v>0</v>
      </c>
      <c r="C298" s="17">
        <f>IF(B298="","",IFERROR(INDEX('Content Calendar'!$H$5:$H$604,MATCH(B298,'Content Calendar'!$A$5:$A$604,0)),"Not found"))</f>
        <v>0</v>
      </c>
      <c r="D298" s="16">
        <f>IF(B298="","",IFERROR(INDEX('Content Calendar'!$B$5:$B$604,MATCH(B298,'Content Calendar'!$A$5:$A$604,0)),"Not found"))</f>
        <v>0</v>
      </c>
      <c r="E298" s="17">
        <f>IF(B298="","",IFERROR(INDEX('Content Calendar'!$D$5:$D$604,MATCH(B298,'Content Calendar'!$A$5:$A$604,0)),"Not found"))</f>
        <v>0</v>
      </c>
      <c r="F298" s="17">
        <f>IF(B298="","",IFERROR(INDEX('Content Calendar'!$G$5:$G$604,MATCH(B298,'Content Calendar'!$A$5:$A$604,0)),"Not found"))</f>
        <v>0</v>
      </c>
      <c r="G298" s="17">
        <f>IF(B298="","",IFERROR(INDEX('Content Calendar'!$K$5:$K$604,MATCH(B298,'Content Calendar'!$A$5:$A$604,0)),"Not found"))</f>
        <v>0</v>
      </c>
      <c r="H298" s="17">
        <f>IF(B298="","",IFERROR(INDEX('Content Calendar'!$J$5:$J$604,MATCH(B298,'Content Calendar'!$A$5:$A$604,0)),"Not found"))</f>
        <v>0</v>
      </c>
      <c r="I298" s="17">
        <f>IF(B298="","",IFERROR(INDEX('Content Calendar'!$L$5:$L$604,MATCH(B298,'Content Calendar'!$A$5:$A$604,0)),"Not found"))</f>
        <v>0</v>
      </c>
      <c r="J298" s="17">
        <f>IF(B298="","",IFERROR(INDEX('Content Calendar'!$P$5:$P$604,MATCH(B298,'Content Calendar'!$A$5:$A$604,0)),"Not found"))</f>
        <v>0</v>
      </c>
      <c r="K298" s="17">
        <f>IF(B298="","",IFERROR(INDEX('Content Calendar'!$O$5:$O$604,MATCH(B298,'Content Calendar'!$A$5:$A$604,0)),"Not found"))</f>
        <v>0</v>
      </c>
      <c r="L298" s="17">
        <f>IF(B298="","",IFERROR(INDEX('Content Calendar'!$N$5:$N$604,MATCH(B298,'Content Calendar'!$A$5:$A$604,0)),"Not found"))</f>
        <v>0</v>
      </c>
      <c r="M298" s="17">
        <f>IF(B298="","",IFERROR(INDEX('Content Calendar'!$C$5:$C$604,MATCH(B298,'Content Calendar'!$A$5:$A$604,0)),"Not found"))</f>
        <v>0</v>
      </c>
      <c r="N298" s="17">
        <f>IF(B298="","",IFERROR(INDEX('Content Calendar'!$F$5:$F$604,MATCH(B298,'Content Calendar'!$A$5:$A$604,0)),"Not found"))</f>
        <v>0</v>
      </c>
      <c r="Z298" s="23">
        <f>IF(O298="","",N(Q298)+N(R298)+N(S298)+N(T298))</f>
        <v>0</v>
      </c>
      <c r="AA298" s="24">
        <f>IF(OR(O298="",O298=0),"",Z298/O298)</f>
        <v>0</v>
      </c>
      <c r="AB298" s="24">
        <f>IF(OR(O298="",O298=0),"",N(T298)/O298)</f>
        <v>0</v>
      </c>
      <c r="AC298" s="24">
        <f>IF(OR(O298="",O298=0),"",N(S298)/O298)</f>
        <v>0</v>
      </c>
      <c r="AD298" s="24">
        <f>IF(OR(O298="",O298=0),"",N(R298)/O298)</f>
        <v>0</v>
      </c>
      <c r="AE298" s="24">
        <f>IF(OR(O298="",O298=0),"",N(U298)/O298)</f>
        <v>0</v>
      </c>
      <c r="AF298" s="24">
        <f>IF(OR(U298="",U298=0),"",N(W298)/U298)</f>
        <v>0</v>
      </c>
      <c r="AG298" s="25">
        <f>IF(OR(O298="",O298=0),"",N(X298)/(O298/1000))</f>
        <v>0</v>
      </c>
      <c r="AH298" s="24">
        <f>IF(O298="","",IF(Y298="",TargetEngagement,Y298))</f>
        <v>0</v>
      </c>
      <c r="AI298" s="24">
        <f>IF(OR(AA298="",AH298=""),"",AA298-AH298)</f>
        <v>0</v>
      </c>
      <c r="AJ298" s="31">
        <f>IF(AA298="","",AA298+ROW()/1000000)</f>
        <v>0</v>
      </c>
      <c r="AK298" s="23">
        <f>IF(AA298="","",RANK(AJ298,Performance!$AJ$5:$AJ$404))</f>
        <v>0</v>
      </c>
      <c r="AL298" s="29">
        <f>IF(AA298="","",IF(AA298&gt;=AH298*1.5,"Top performer",IF(AA298&gt;=AH298,"Above target",IF(AA298&gt;=AH298*0.6,"Below target","Weak - review it"))))</f>
        <v>0</v>
      </c>
      <c r="AM298" s="29">
        <f>IF(B298="","",IF(COUNTIF(Performance!$B$5:$B$404,B298)&gt;1,"Duplicate","OK"))</f>
        <v>0</v>
      </c>
      <c r="AN298" s="29">
        <f>IF(B298="","",IF(C298="Not found","Check - content ID not on the calendar",IF(O298="","Add - no numbers entered yet",IF(AM298="Duplicate","Duplicate - this post is entered twice",IF(AL298="Top performer","Repurpose this one","OK")))))</f>
        <v>0</v>
      </c>
    </row>
    <row r="299" spans="1:40">
      <c r="A299" s="41">
        <f>IF(B299="","","PF-"&amp;TEXT(ROW()-4,"0000"))</f>
        <v>0</v>
      </c>
      <c r="C299" s="17">
        <f>IF(B299="","",IFERROR(INDEX('Content Calendar'!$H$5:$H$604,MATCH(B299,'Content Calendar'!$A$5:$A$604,0)),"Not found"))</f>
        <v>0</v>
      </c>
      <c r="D299" s="16">
        <f>IF(B299="","",IFERROR(INDEX('Content Calendar'!$B$5:$B$604,MATCH(B299,'Content Calendar'!$A$5:$A$604,0)),"Not found"))</f>
        <v>0</v>
      </c>
      <c r="E299" s="17">
        <f>IF(B299="","",IFERROR(INDEX('Content Calendar'!$D$5:$D$604,MATCH(B299,'Content Calendar'!$A$5:$A$604,0)),"Not found"))</f>
        <v>0</v>
      </c>
      <c r="F299" s="17">
        <f>IF(B299="","",IFERROR(INDEX('Content Calendar'!$G$5:$G$604,MATCH(B299,'Content Calendar'!$A$5:$A$604,0)),"Not found"))</f>
        <v>0</v>
      </c>
      <c r="G299" s="17">
        <f>IF(B299="","",IFERROR(INDEX('Content Calendar'!$K$5:$K$604,MATCH(B299,'Content Calendar'!$A$5:$A$604,0)),"Not found"))</f>
        <v>0</v>
      </c>
      <c r="H299" s="17">
        <f>IF(B299="","",IFERROR(INDEX('Content Calendar'!$J$5:$J$604,MATCH(B299,'Content Calendar'!$A$5:$A$604,0)),"Not found"))</f>
        <v>0</v>
      </c>
      <c r="I299" s="17">
        <f>IF(B299="","",IFERROR(INDEX('Content Calendar'!$L$5:$L$604,MATCH(B299,'Content Calendar'!$A$5:$A$604,0)),"Not found"))</f>
        <v>0</v>
      </c>
      <c r="J299" s="17">
        <f>IF(B299="","",IFERROR(INDEX('Content Calendar'!$P$5:$P$604,MATCH(B299,'Content Calendar'!$A$5:$A$604,0)),"Not found"))</f>
        <v>0</v>
      </c>
      <c r="K299" s="17">
        <f>IF(B299="","",IFERROR(INDEX('Content Calendar'!$O$5:$O$604,MATCH(B299,'Content Calendar'!$A$5:$A$604,0)),"Not found"))</f>
        <v>0</v>
      </c>
      <c r="L299" s="17">
        <f>IF(B299="","",IFERROR(INDEX('Content Calendar'!$N$5:$N$604,MATCH(B299,'Content Calendar'!$A$5:$A$604,0)),"Not found"))</f>
        <v>0</v>
      </c>
      <c r="M299" s="17">
        <f>IF(B299="","",IFERROR(INDEX('Content Calendar'!$C$5:$C$604,MATCH(B299,'Content Calendar'!$A$5:$A$604,0)),"Not found"))</f>
        <v>0</v>
      </c>
      <c r="N299" s="17">
        <f>IF(B299="","",IFERROR(INDEX('Content Calendar'!$F$5:$F$604,MATCH(B299,'Content Calendar'!$A$5:$A$604,0)),"Not found"))</f>
        <v>0</v>
      </c>
      <c r="Z299" s="23">
        <f>IF(O299="","",N(Q299)+N(R299)+N(S299)+N(T299))</f>
        <v>0</v>
      </c>
      <c r="AA299" s="24">
        <f>IF(OR(O299="",O299=0),"",Z299/O299)</f>
        <v>0</v>
      </c>
      <c r="AB299" s="24">
        <f>IF(OR(O299="",O299=0),"",N(T299)/O299)</f>
        <v>0</v>
      </c>
      <c r="AC299" s="24">
        <f>IF(OR(O299="",O299=0),"",N(S299)/O299)</f>
        <v>0</v>
      </c>
      <c r="AD299" s="24">
        <f>IF(OR(O299="",O299=0),"",N(R299)/O299)</f>
        <v>0</v>
      </c>
      <c r="AE299" s="24">
        <f>IF(OR(O299="",O299=0),"",N(U299)/O299)</f>
        <v>0</v>
      </c>
      <c r="AF299" s="24">
        <f>IF(OR(U299="",U299=0),"",N(W299)/U299)</f>
        <v>0</v>
      </c>
      <c r="AG299" s="25">
        <f>IF(OR(O299="",O299=0),"",N(X299)/(O299/1000))</f>
        <v>0</v>
      </c>
      <c r="AH299" s="24">
        <f>IF(O299="","",IF(Y299="",TargetEngagement,Y299))</f>
        <v>0</v>
      </c>
      <c r="AI299" s="24">
        <f>IF(OR(AA299="",AH299=""),"",AA299-AH299)</f>
        <v>0</v>
      </c>
      <c r="AJ299" s="31">
        <f>IF(AA299="","",AA299+ROW()/1000000)</f>
        <v>0</v>
      </c>
      <c r="AK299" s="23">
        <f>IF(AA299="","",RANK(AJ299,Performance!$AJ$5:$AJ$404))</f>
        <v>0</v>
      </c>
      <c r="AL299" s="29">
        <f>IF(AA299="","",IF(AA299&gt;=AH299*1.5,"Top performer",IF(AA299&gt;=AH299,"Above target",IF(AA299&gt;=AH299*0.6,"Below target","Weak - review it"))))</f>
        <v>0</v>
      </c>
      <c r="AM299" s="29">
        <f>IF(B299="","",IF(COUNTIF(Performance!$B$5:$B$404,B299)&gt;1,"Duplicate","OK"))</f>
        <v>0</v>
      </c>
      <c r="AN299" s="29">
        <f>IF(B299="","",IF(C299="Not found","Check - content ID not on the calendar",IF(O299="","Add - no numbers entered yet",IF(AM299="Duplicate","Duplicate - this post is entered twice",IF(AL299="Top performer","Repurpose this one","OK")))))</f>
        <v>0</v>
      </c>
    </row>
    <row r="300" spans="1:40">
      <c r="A300" s="41">
        <f>IF(B300="","","PF-"&amp;TEXT(ROW()-4,"0000"))</f>
        <v>0</v>
      </c>
      <c r="C300" s="17">
        <f>IF(B300="","",IFERROR(INDEX('Content Calendar'!$H$5:$H$604,MATCH(B300,'Content Calendar'!$A$5:$A$604,0)),"Not found"))</f>
        <v>0</v>
      </c>
      <c r="D300" s="16">
        <f>IF(B300="","",IFERROR(INDEX('Content Calendar'!$B$5:$B$604,MATCH(B300,'Content Calendar'!$A$5:$A$604,0)),"Not found"))</f>
        <v>0</v>
      </c>
      <c r="E300" s="17">
        <f>IF(B300="","",IFERROR(INDEX('Content Calendar'!$D$5:$D$604,MATCH(B300,'Content Calendar'!$A$5:$A$604,0)),"Not found"))</f>
        <v>0</v>
      </c>
      <c r="F300" s="17">
        <f>IF(B300="","",IFERROR(INDEX('Content Calendar'!$G$5:$G$604,MATCH(B300,'Content Calendar'!$A$5:$A$604,0)),"Not found"))</f>
        <v>0</v>
      </c>
      <c r="G300" s="17">
        <f>IF(B300="","",IFERROR(INDEX('Content Calendar'!$K$5:$K$604,MATCH(B300,'Content Calendar'!$A$5:$A$604,0)),"Not found"))</f>
        <v>0</v>
      </c>
      <c r="H300" s="17">
        <f>IF(B300="","",IFERROR(INDEX('Content Calendar'!$J$5:$J$604,MATCH(B300,'Content Calendar'!$A$5:$A$604,0)),"Not found"))</f>
        <v>0</v>
      </c>
      <c r="I300" s="17">
        <f>IF(B300="","",IFERROR(INDEX('Content Calendar'!$L$5:$L$604,MATCH(B300,'Content Calendar'!$A$5:$A$604,0)),"Not found"))</f>
        <v>0</v>
      </c>
      <c r="J300" s="17">
        <f>IF(B300="","",IFERROR(INDEX('Content Calendar'!$P$5:$P$604,MATCH(B300,'Content Calendar'!$A$5:$A$604,0)),"Not found"))</f>
        <v>0</v>
      </c>
      <c r="K300" s="17">
        <f>IF(B300="","",IFERROR(INDEX('Content Calendar'!$O$5:$O$604,MATCH(B300,'Content Calendar'!$A$5:$A$604,0)),"Not found"))</f>
        <v>0</v>
      </c>
      <c r="L300" s="17">
        <f>IF(B300="","",IFERROR(INDEX('Content Calendar'!$N$5:$N$604,MATCH(B300,'Content Calendar'!$A$5:$A$604,0)),"Not found"))</f>
        <v>0</v>
      </c>
      <c r="M300" s="17">
        <f>IF(B300="","",IFERROR(INDEX('Content Calendar'!$C$5:$C$604,MATCH(B300,'Content Calendar'!$A$5:$A$604,0)),"Not found"))</f>
        <v>0</v>
      </c>
      <c r="N300" s="17">
        <f>IF(B300="","",IFERROR(INDEX('Content Calendar'!$F$5:$F$604,MATCH(B300,'Content Calendar'!$A$5:$A$604,0)),"Not found"))</f>
        <v>0</v>
      </c>
      <c r="Z300" s="23">
        <f>IF(O300="","",N(Q300)+N(R300)+N(S300)+N(T300))</f>
        <v>0</v>
      </c>
      <c r="AA300" s="24">
        <f>IF(OR(O300="",O300=0),"",Z300/O300)</f>
        <v>0</v>
      </c>
      <c r="AB300" s="24">
        <f>IF(OR(O300="",O300=0),"",N(T300)/O300)</f>
        <v>0</v>
      </c>
      <c r="AC300" s="24">
        <f>IF(OR(O300="",O300=0),"",N(S300)/O300)</f>
        <v>0</v>
      </c>
      <c r="AD300" s="24">
        <f>IF(OR(O300="",O300=0),"",N(R300)/O300)</f>
        <v>0</v>
      </c>
      <c r="AE300" s="24">
        <f>IF(OR(O300="",O300=0),"",N(U300)/O300)</f>
        <v>0</v>
      </c>
      <c r="AF300" s="24">
        <f>IF(OR(U300="",U300=0),"",N(W300)/U300)</f>
        <v>0</v>
      </c>
      <c r="AG300" s="25">
        <f>IF(OR(O300="",O300=0),"",N(X300)/(O300/1000))</f>
        <v>0</v>
      </c>
      <c r="AH300" s="24">
        <f>IF(O300="","",IF(Y300="",TargetEngagement,Y300))</f>
        <v>0</v>
      </c>
      <c r="AI300" s="24">
        <f>IF(OR(AA300="",AH300=""),"",AA300-AH300)</f>
        <v>0</v>
      </c>
      <c r="AJ300" s="31">
        <f>IF(AA300="","",AA300+ROW()/1000000)</f>
        <v>0</v>
      </c>
      <c r="AK300" s="23">
        <f>IF(AA300="","",RANK(AJ300,Performance!$AJ$5:$AJ$404))</f>
        <v>0</v>
      </c>
      <c r="AL300" s="29">
        <f>IF(AA300="","",IF(AA300&gt;=AH300*1.5,"Top performer",IF(AA300&gt;=AH300,"Above target",IF(AA300&gt;=AH300*0.6,"Below target","Weak - review it"))))</f>
        <v>0</v>
      </c>
      <c r="AM300" s="29">
        <f>IF(B300="","",IF(COUNTIF(Performance!$B$5:$B$404,B300)&gt;1,"Duplicate","OK"))</f>
        <v>0</v>
      </c>
      <c r="AN300" s="29">
        <f>IF(B300="","",IF(C300="Not found","Check - content ID not on the calendar",IF(O300="","Add - no numbers entered yet",IF(AM300="Duplicate","Duplicate - this post is entered twice",IF(AL300="Top performer","Repurpose this one","OK")))))</f>
        <v>0</v>
      </c>
    </row>
    <row r="301" spans="1:40">
      <c r="A301" s="41">
        <f>IF(B301="","","PF-"&amp;TEXT(ROW()-4,"0000"))</f>
        <v>0</v>
      </c>
      <c r="C301" s="17">
        <f>IF(B301="","",IFERROR(INDEX('Content Calendar'!$H$5:$H$604,MATCH(B301,'Content Calendar'!$A$5:$A$604,0)),"Not found"))</f>
        <v>0</v>
      </c>
      <c r="D301" s="16">
        <f>IF(B301="","",IFERROR(INDEX('Content Calendar'!$B$5:$B$604,MATCH(B301,'Content Calendar'!$A$5:$A$604,0)),"Not found"))</f>
        <v>0</v>
      </c>
      <c r="E301" s="17">
        <f>IF(B301="","",IFERROR(INDEX('Content Calendar'!$D$5:$D$604,MATCH(B301,'Content Calendar'!$A$5:$A$604,0)),"Not found"))</f>
        <v>0</v>
      </c>
      <c r="F301" s="17">
        <f>IF(B301="","",IFERROR(INDEX('Content Calendar'!$G$5:$G$604,MATCH(B301,'Content Calendar'!$A$5:$A$604,0)),"Not found"))</f>
        <v>0</v>
      </c>
      <c r="G301" s="17">
        <f>IF(B301="","",IFERROR(INDEX('Content Calendar'!$K$5:$K$604,MATCH(B301,'Content Calendar'!$A$5:$A$604,0)),"Not found"))</f>
        <v>0</v>
      </c>
      <c r="H301" s="17">
        <f>IF(B301="","",IFERROR(INDEX('Content Calendar'!$J$5:$J$604,MATCH(B301,'Content Calendar'!$A$5:$A$604,0)),"Not found"))</f>
        <v>0</v>
      </c>
      <c r="I301" s="17">
        <f>IF(B301="","",IFERROR(INDEX('Content Calendar'!$L$5:$L$604,MATCH(B301,'Content Calendar'!$A$5:$A$604,0)),"Not found"))</f>
        <v>0</v>
      </c>
      <c r="J301" s="17">
        <f>IF(B301="","",IFERROR(INDEX('Content Calendar'!$P$5:$P$604,MATCH(B301,'Content Calendar'!$A$5:$A$604,0)),"Not found"))</f>
        <v>0</v>
      </c>
      <c r="K301" s="17">
        <f>IF(B301="","",IFERROR(INDEX('Content Calendar'!$O$5:$O$604,MATCH(B301,'Content Calendar'!$A$5:$A$604,0)),"Not found"))</f>
        <v>0</v>
      </c>
      <c r="L301" s="17">
        <f>IF(B301="","",IFERROR(INDEX('Content Calendar'!$N$5:$N$604,MATCH(B301,'Content Calendar'!$A$5:$A$604,0)),"Not found"))</f>
        <v>0</v>
      </c>
      <c r="M301" s="17">
        <f>IF(B301="","",IFERROR(INDEX('Content Calendar'!$C$5:$C$604,MATCH(B301,'Content Calendar'!$A$5:$A$604,0)),"Not found"))</f>
        <v>0</v>
      </c>
      <c r="N301" s="17">
        <f>IF(B301="","",IFERROR(INDEX('Content Calendar'!$F$5:$F$604,MATCH(B301,'Content Calendar'!$A$5:$A$604,0)),"Not found"))</f>
        <v>0</v>
      </c>
      <c r="Z301" s="23">
        <f>IF(O301="","",N(Q301)+N(R301)+N(S301)+N(T301))</f>
        <v>0</v>
      </c>
      <c r="AA301" s="24">
        <f>IF(OR(O301="",O301=0),"",Z301/O301)</f>
        <v>0</v>
      </c>
      <c r="AB301" s="24">
        <f>IF(OR(O301="",O301=0),"",N(T301)/O301)</f>
        <v>0</v>
      </c>
      <c r="AC301" s="24">
        <f>IF(OR(O301="",O301=0),"",N(S301)/O301)</f>
        <v>0</v>
      </c>
      <c r="AD301" s="24">
        <f>IF(OR(O301="",O301=0),"",N(R301)/O301)</f>
        <v>0</v>
      </c>
      <c r="AE301" s="24">
        <f>IF(OR(O301="",O301=0),"",N(U301)/O301)</f>
        <v>0</v>
      </c>
      <c r="AF301" s="24">
        <f>IF(OR(U301="",U301=0),"",N(W301)/U301)</f>
        <v>0</v>
      </c>
      <c r="AG301" s="25">
        <f>IF(OR(O301="",O301=0),"",N(X301)/(O301/1000))</f>
        <v>0</v>
      </c>
      <c r="AH301" s="24">
        <f>IF(O301="","",IF(Y301="",TargetEngagement,Y301))</f>
        <v>0</v>
      </c>
      <c r="AI301" s="24">
        <f>IF(OR(AA301="",AH301=""),"",AA301-AH301)</f>
        <v>0</v>
      </c>
      <c r="AJ301" s="31">
        <f>IF(AA301="","",AA301+ROW()/1000000)</f>
        <v>0</v>
      </c>
      <c r="AK301" s="23">
        <f>IF(AA301="","",RANK(AJ301,Performance!$AJ$5:$AJ$404))</f>
        <v>0</v>
      </c>
      <c r="AL301" s="29">
        <f>IF(AA301="","",IF(AA301&gt;=AH301*1.5,"Top performer",IF(AA301&gt;=AH301,"Above target",IF(AA301&gt;=AH301*0.6,"Below target","Weak - review it"))))</f>
        <v>0</v>
      </c>
      <c r="AM301" s="29">
        <f>IF(B301="","",IF(COUNTIF(Performance!$B$5:$B$404,B301)&gt;1,"Duplicate","OK"))</f>
        <v>0</v>
      </c>
      <c r="AN301" s="29">
        <f>IF(B301="","",IF(C301="Not found","Check - content ID not on the calendar",IF(O301="","Add - no numbers entered yet",IF(AM301="Duplicate","Duplicate - this post is entered twice",IF(AL301="Top performer","Repurpose this one","OK")))))</f>
        <v>0</v>
      </c>
    </row>
    <row r="302" spans="1:40">
      <c r="A302" s="41">
        <f>IF(B302="","","PF-"&amp;TEXT(ROW()-4,"0000"))</f>
        <v>0</v>
      </c>
      <c r="C302" s="17">
        <f>IF(B302="","",IFERROR(INDEX('Content Calendar'!$H$5:$H$604,MATCH(B302,'Content Calendar'!$A$5:$A$604,0)),"Not found"))</f>
        <v>0</v>
      </c>
      <c r="D302" s="16">
        <f>IF(B302="","",IFERROR(INDEX('Content Calendar'!$B$5:$B$604,MATCH(B302,'Content Calendar'!$A$5:$A$604,0)),"Not found"))</f>
        <v>0</v>
      </c>
      <c r="E302" s="17">
        <f>IF(B302="","",IFERROR(INDEX('Content Calendar'!$D$5:$D$604,MATCH(B302,'Content Calendar'!$A$5:$A$604,0)),"Not found"))</f>
        <v>0</v>
      </c>
      <c r="F302" s="17">
        <f>IF(B302="","",IFERROR(INDEX('Content Calendar'!$G$5:$G$604,MATCH(B302,'Content Calendar'!$A$5:$A$604,0)),"Not found"))</f>
        <v>0</v>
      </c>
      <c r="G302" s="17">
        <f>IF(B302="","",IFERROR(INDEX('Content Calendar'!$K$5:$K$604,MATCH(B302,'Content Calendar'!$A$5:$A$604,0)),"Not found"))</f>
        <v>0</v>
      </c>
      <c r="H302" s="17">
        <f>IF(B302="","",IFERROR(INDEX('Content Calendar'!$J$5:$J$604,MATCH(B302,'Content Calendar'!$A$5:$A$604,0)),"Not found"))</f>
        <v>0</v>
      </c>
      <c r="I302" s="17">
        <f>IF(B302="","",IFERROR(INDEX('Content Calendar'!$L$5:$L$604,MATCH(B302,'Content Calendar'!$A$5:$A$604,0)),"Not found"))</f>
        <v>0</v>
      </c>
      <c r="J302" s="17">
        <f>IF(B302="","",IFERROR(INDEX('Content Calendar'!$P$5:$P$604,MATCH(B302,'Content Calendar'!$A$5:$A$604,0)),"Not found"))</f>
        <v>0</v>
      </c>
      <c r="K302" s="17">
        <f>IF(B302="","",IFERROR(INDEX('Content Calendar'!$O$5:$O$604,MATCH(B302,'Content Calendar'!$A$5:$A$604,0)),"Not found"))</f>
        <v>0</v>
      </c>
      <c r="L302" s="17">
        <f>IF(B302="","",IFERROR(INDEX('Content Calendar'!$N$5:$N$604,MATCH(B302,'Content Calendar'!$A$5:$A$604,0)),"Not found"))</f>
        <v>0</v>
      </c>
      <c r="M302" s="17">
        <f>IF(B302="","",IFERROR(INDEX('Content Calendar'!$C$5:$C$604,MATCH(B302,'Content Calendar'!$A$5:$A$604,0)),"Not found"))</f>
        <v>0</v>
      </c>
      <c r="N302" s="17">
        <f>IF(B302="","",IFERROR(INDEX('Content Calendar'!$F$5:$F$604,MATCH(B302,'Content Calendar'!$A$5:$A$604,0)),"Not found"))</f>
        <v>0</v>
      </c>
      <c r="Z302" s="23">
        <f>IF(O302="","",N(Q302)+N(R302)+N(S302)+N(T302))</f>
        <v>0</v>
      </c>
      <c r="AA302" s="24">
        <f>IF(OR(O302="",O302=0),"",Z302/O302)</f>
        <v>0</v>
      </c>
      <c r="AB302" s="24">
        <f>IF(OR(O302="",O302=0),"",N(T302)/O302)</f>
        <v>0</v>
      </c>
      <c r="AC302" s="24">
        <f>IF(OR(O302="",O302=0),"",N(S302)/O302)</f>
        <v>0</v>
      </c>
      <c r="AD302" s="24">
        <f>IF(OR(O302="",O302=0),"",N(R302)/O302)</f>
        <v>0</v>
      </c>
      <c r="AE302" s="24">
        <f>IF(OR(O302="",O302=0),"",N(U302)/O302)</f>
        <v>0</v>
      </c>
      <c r="AF302" s="24">
        <f>IF(OR(U302="",U302=0),"",N(W302)/U302)</f>
        <v>0</v>
      </c>
      <c r="AG302" s="25">
        <f>IF(OR(O302="",O302=0),"",N(X302)/(O302/1000))</f>
        <v>0</v>
      </c>
      <c r="AH302" s="24">
        <f>IF(O302="","",IF(Y302="",TargetEngagement,Y302))</f>
        <v>0</v>
      </c>
      <c r="AI302" s="24">
        <f>IF(OR(AA302="",AH302=""),"",AA302-AH302)</f>
        <v>0</v>
      </c>
      <c r="AJ302" s="31">
        <f>IF(AA302="","",AA302+ROW()/1000000)</f>
        <v>0</v>
      </c>
      <c r="AK302" s="23">
        <f>IF(AA302="","",RANK(AJ302,Performance!$AJ$5:$AJ$404))</f>
        <v>0</v>
      </c>
      <c r="AL302" s="29">
        <f>IF(AA302="","",IF(AA302&gt;=AH302*1.5,"Top performer",IF(AA302&gt;=AH302,"Above target",IF(AA302&gt;=AH302*0.6,"Below target","Weak - review it"))))</f>
        <v>0</v>
      </c>
      <c r="AM302" s="29">
        <f>IF(B302="","",IF(COUNTIF(Performance!$B$5:$B$404,B302)&gt;1,"Duplicate","OK"))</f>
        <v>0</v>
      </c>
      <c r="AN302" s="29">
        <f>IF(B302="","",IF(C302="Not found","Check - content ID not on the calendar",IF(O302="","Add - no numbers entered yet",IF(AM302="Duplicate","Duplicate - this post is entered twice",IF(AL302="Top performer","Repurpose this one","OK")))))</f>
        <v>0</v>
      </c>
    </row>
    <row r="303" spans="1:40">
      <c r="A303" s="41">
        <f>IF(B303="","","PF-"&amp;TEXT(ROW()-4,"0000"))</f>
        <v>0</v>
      </c>
      <c r="C303" s="17">
        <f>IF(B303="","",IFERROR(INDEX('Content Calendar'!$H$5:$H$604,MATCH(B303,'Content Calendar'!$A$5:$A$604,0)),"Not found"))</f>
        <v>0</v>
      </c>
      <c r="D303" s="16">
        <f>IF(B303="","",IFERROR(INDEX('Content Calendar'!$B$5:$B$604,MATCH(B303,'Content Calendar'!$A$5:$A$604,0)),"Not found"))</f>
        <v>0</v>
      </c>
      <c r="E303" s="17">
        <f>IF(B303="","",IFERROR(INDEX('Content Calendar'!$D$5:$D$604,MATCH(B303,'Content Calendar'!$A$5:$A$604,0)),"Not found"))</f>
        <v>0</v>
      </c>
      <c r="F303" s="17">
        <f>IF(B303="","",IFERROR(INDEX('Content Calendar'!$G$5:$G$604,MATCH(B303,'Content Calendar'!$A$5:$A$604,0)),"Not found"))</f>
        <v>0</v>
      </c>
      <c r="G303" s="17">
        <f>IF(B303="","",IFERROR(INDEX('Content Calendar'!$K$5:$K$604,MATCH(B303,'Content Calendar'!$A$5:$A$604,0)),"Not found"))</f>
        <v>0</v>
      </c>
      <c r="H303" s="17">
        <f>IF(B303="","",IFERROR(INDEX('Content Calendar'!$J$5:$J$604,MATCH(B303,'Content Calendar'!$A$5:$A$604,0)),"Not found"))</f>
        <v>0</v>
      </c>
      <c r="I303" s="17">
        <f>IF(B303="","",IFERROR(INDEX('Content Calendar'!$L$5:$L$604,MATCH(B303,'Content Calendar'!$A$5:$A$604,0)),"Not found"))</f>
        <v>0</v>
      </c>
      <c r="J303" s="17">
        <f>IF(B303="","",IFERROR(INDEX('Content Calendar'!$P$5:$P$604,MATCH(B303,'Content Calendar'!$A$5:$A$604,0)),"Not found"))</f>
        <v>0</v>
      </c>
      <c r="K303" s="17">
        <f>IF(B303="","",IFERROR(INDEX('Content Calendar'!$O$5:$O$604,MATCH(B303,'Content Calendar'!$A$5:$A$604,0)),"Not found"))</f>
        <v>0</v>
      </c>
      <c r="L303" s="17">
        <f>IF(B303="","",IFERROR(INDEX('Content Calendar'!$N$5:$N$604,MATCH(B303,'Content Calendar'!$A$5:$A$604,0)),"Not found"))</f>
        <v>0</v>
      </c>
      <c r="M303" s="17">
        <f>IF(B303="","",IFERROR(INDEX('Content Calendar'!$C$5:$C$604,MATCH(B303,'Content Calendar'!$A$5:$A$604,0)),"Not found"))</f>
        <v>0</v>
      </c>
      <c r="N303" s="17">
        <f>IF(B303="","",IFERROR(INDEX('Content Calendar'!$F$5:$F$604,MATCH(B303,'Content Calendar'!$A$5:$A$604,0)),"Not found"))</f>
        <v>0</v>
      </c>
      <c r="Z303" s="23">
        <f>IF(O303="","",N(Q303)+N(R303)+N(S303)+N(T303))</f>
        <v>0</v>
      </c>
      <c r="AA303" s="24">
        <f>IF(OR(O303="",O303=0),"",Z303/O303)</f>
        <v>0</v>
      </c>
      <c r="AB303" s="24">
        <f>IF(OR(O303="",O303=0),"",N(T303)/O303)</f>
        <v>0</v>
      </c>
      <c r="AC303" s="24">
        <f>IF(OR(O303="",O303=0),"",N(S303)/O303)</f>
        <v>0</v>
      </c>
      <c r="AD303" s="24">
        <f>IF(OR(O303="",O303=0),"",N(R303)/O303)</f>
        <v>0</v>
      </c>
      <c r="AE303" s="24">
        <f>IF(OR(O303="",O303=0),"",N(U303)/O303)</f>
        <v>0</v>
      </c>
      <c r="AF303" s="24">
        <f>IF(OR(U303="",U303=0),"",N(W303)/U303)</f>
        <v>0</v>
      </c>
      <c r="AG303" s="25">
        <f>IF(OR(O303="",O303=0),"",N(X303)/(O303/1000))</f>
        <v>0</v>
      </c>
      <c r="AH303" s="24">
        <f>IF(O303="","",IF(Y303="",TargetEngagement,Y303))</f>
        <v>0</v>
      </c>
      <c r="AI303" s="24">
        <f>IF(OR(AA303="",AH303=""),"",AA303-AH303)</f>
        <v>0</v>
      </c>
      <c r="AJ303" s="31">
        <f>IF(AA303="","",AA303+ROW()/1000000)</f>
        <v>0</v>
      </c>
      <c r="AK303" s="23">
        <f>IF(AA303="","",RANK(AJ303,Performance!$AJ$5:$AJ$404))</f>
        <v>0</v>
      </c>
      <c r="AL303" s="29">
        <f>IF(AA303="","",IF(AA303&gt;=AH303*1.5,"Top performer",IF(AA303&gt;=AH303,"Above target",IF(AA303&gt;=AH303*0.6,"Below target","Weak - review it"))))</f>
        <v>0</v>
      </c>
      <c r="AM303" s="29">
        <f>IF(B303="","",IF(COUNTIF(Performance!$B$5:$B$404,B303)&gt;1,"Duplicate","OK"))</f>
        <v>0</v>
      </c>
      <c r="AN303" s="29">
        <f>IF(B303="","",IF(C303="Not found","Check - content ID not on the calendar",IF(O303="","Add - no numbers entered yet",IF(AM303="Duplicate","Duplicate - this post is entered twice",IF(AL303="Top performer","Repurpose this one","OK")))))</f>
        <v>0</v>
      </c>
    </row>
    <row r="304" spans="1:40">
      <c r="A304" s="41">
        <f>IF(B304="","","PF-"&amp;TEXT(ROW()-4,"0000"))</f>
        <v>0</v>
      </c>
      <c r="C304" s="17">
        <f>IF(B304="","",IFERROR(INDEX('Content Calendar'!$H$5:$H$604,MATCH(B304,'Content Calendar'!$A$5:$A$604,0)),"Not found"))</f>
        <v>0</v>
      </c>
      <c r="D304" s="16">
        <f>IF(B304="","",IFERROR(INDEX('Content Calendar'!$B$5:$B$604,MATCH(B304,'Content Calendar'!$A$5:$A$604,0)),"Not found"))</f>
        <v>0</v>
      </c>
      <c r="E304" s="17">
        <f>IF(B304="","",IFERROR(INDEX('Content Calendar'!$D$5:$D$604,MATCH(B304,'Content Calendar'!$A$5:$A$604,0)),"Not found"))</f>
        <v>0</v>
      </c>
      <c r="F304" s="17">
        <f>IF(B304="","",IFERROR(INDEX('Content Calendar'!$G$5:$G$604,MATCH(B304,'Content Calendar'!$A$5:$A$604,0)),"Not found"))</f>
        <v>0</v>
      </c>
      <c r="G304" s="17">
        <f>IF(B304="","",IFERROR(INDEX('Content Calendar'!$K$5:$K$604,MATCH(B304,'Content Calendar'!$A$5:$A$604,0)),"Not found"))</f>
        <v>0</v>
      </c>
      <c r="H304" s="17">
        <f>IF(B304="","",IFERROR(INDEX('Content Calendar'!$J$5:$J$604,MATCH(B304,'Content Calendar'!$A$5:$A$604,0)),"Not found"))</f>
        <v>0</v>
      </c>
      <c r="I304" s="17">
        <f>IF(B304="","",IFERROR(INDEX('Content Calendar'!$L$5:$L$604,MATCH(B304,'Content Calendar'!$A$5:$A$604,0)),"Not found"))</f>
        <v>0</v>
      </c>
      <c r="J304" s="17">
        <f>IF(B304="","",IFERROR(INDEX('Content Calendar'!$P$5:$P$604,MATCH(B304,'Content Calendar'!$A$5:$A$604,0)),"Not found"))</f>
        <v>0</v>
      </c>
      <c r="K304" s="17">
        <f>IF(B304="","",IFERROR(INDEX('Content Calendar'!$O$5:$O$604,MATCH(B304,'Content Calendar'!$A$5:$A$604,0)),"Not found"))</f>
        <v>0</v>
      </c>
      <c r="L304" s="17">
        <f>IF(B304="","",IFERROR(INDEX('Content Calendar'!$N$5:$N$604,MATCH(B304,'Content Calendar'!$A$5:$A$604,0)),"Not found"))</f>
        <v>0</v>
      </c>
      <c r="M304" s="17">
        <f>IF(B304="","",IFERROR(INDEX('Content Calendar'!$C$5:$C$604,MATCH(B304,'Content Calendar'!$A$5:$A$604,0)),"Not found"))</f>
        <v>0</v>
      </c>
      <c r="N304" s="17">
        <f>IF(B304="","",IFERROR(INDEX('Content Calendar'!$F$5:$F$604,MATCH(B304,'Content Calendar'!$A$5:$A$604,0)),"Not found"))</f>
        <v>0</v>
      </c>
      <c r="Z304" s="23">
        <f>IF(O304="","",N(Q304)+N(R304)+N(S304)+N(T304))</f>
        <v>0</v>
      </c>
      <c r="AA304" s="24">
        <f>IF(OR(O304="",O304=0),"",Z304/O304)</f>
        <v>0</v>
      </c>
      <c r="AB304" s="24">
        <f>IF(OR(O304="",O304=0),"",N(T304)/O304)</f>
        <v>0</v>
      </c>
      <c r="AC304" s="24">
        <f>IF(OR(O304="",O304=0),"",N(S304)/O304)</f>
        <v>0</v>
      </c>
      <c r="AD304" s="24">
        <f>IF(OR(O304="",O304=0),"",N(R304)/O304)</f>
        <v>0</v>
      </c>
      <c r="AE304" s="24">
        <f>IF(OR(O304="",O304=0),"",N(U304)/O304)</f>
        <v>0</v>
      </c>
      <c r="AF304" s="24">
        <f>IF(OR(U304="",U304=0),"",N(W304)/U304)</f>
        <v>0</v>
      </c>
      <c r="AG304" s="25">
        <f>IF(OR(O304="",O304=0),"",N(X304)/(O304/1000))</f>
        <v>0</v>
      </c>
      <c r="AH304" s="24">
        <f>IF(O304="","",IF(Y304="",TargetEngagement,Y304))</f>
        <v>0</v>
      </c>
      <c r="AI304" s="24">
        <f>IF(OR(AA304="",AH304=""),"",AA304-AH304)</f>
        <v>0</v>
      </c>
      <c r="AJ304" s="31">
        <f>IF(AA304="","",AA304+ROW()/1000000)</f>
        <v>0</v>
      </c>
      <c r="AK304" s="23">
        <f>IF(AA304="","",RANK(AJ304,Performance!$AJ$5:$AJ$404))</f>
        <v>0</v>
      </c>
      <c r="AL304" s="29">
        <f>IF(AA304="","",IF(AA304&gt;=AH304*1.5,"Top performer",IF(AA304&gt;=AH304,"Above target",IF(AA304&gt;=AH304*0.6,"Below target","Weak - review it"))))</f>
        <v>0</v>
      </c>
      <c r="AM304" s="29">
        <f>IF(B304="","",IF(COUNTIF(Performance!$B$5:$B$404,B304)&gt;1,"Duplicate","OK"))</f>
        <v>0</v>
      </c>
      <c r="AN304" s="29">
        <f>IF(B304="","",IF(C304="Not found","Check - content ID not on the calendar",IF(O304="","Add - no numbers entered yet",IF(AM304="Duplicate","Duplicate - this post is entered twice",IF(AL304="Top performer","Repurpose this one","OK")))))</f>
        <v>0</v>
      </c>
    </row>
    <row r="305" spans="1:40">
      <c r="A305" s="41">
        <f>IF(B305="","","PF-"&amp;TEXT(ROW()-4,"0000"))</f>
        <v>0</v>
      </c>
      <c r="C305" s="17">
        <f>IF(B305="","",IFERROR(INDEX('Content Calendar'!$H$5:$H$604,MATCH(B305,'Content Calendar'!$A$5:$A$604,0)),"Not found"))</f>
        <v>0</v>
      </c>
      <c r="D305" s="16">
        <f>IF(B305="","",IFERROR(INDEX('Content Calendar'!$B$5:$B$604,MATCH(B305,'Content Calendar'!$A$5:$A$604,0)),"Not found"))</f>
        <v>0</v>
      </c>
      <c r="E305" s="17">
        <f>IF(B305="","",IFERROR(INDEX('Content Calendar'!$D$5:$D$604,MATCH(B305,'Content Calendar'!$A$5:$A$604,0)),"Not found"))</f>
        <v>0</v>
      </c>
      <c r="F305" s="17">
        <f>IF(B305="","",IFERROR(INDEX('Content Calendar'!$G$5:$G$604,MATCH(B305,'Content Calendar'!$A$5:$A$604,0)),"Not found"))</f>
        <v>0</v>
      </c>
      <c r="G305" s="17">
        <f>IF(B305="","",IFERROR(INDEX('Content Calendar'!$K$5:$K$604,MATCH(B305,'Content Calendar'!$A$5:$A$604,0)),"Not found"))</f>
        <v>0</v>
      </c>
      <c r="H305" s="17">
        <f>IF(B305="","",IFERROR(INDEX('Content Calendar'!$J$5:$J$604,MATCH(B305,'Content Calendar'!$A$5:$A$604,0)),"Not found"))</f>
        <v>0</v>
      </c>
      <c r="I305" s="17">
        <f>IF(B305="","",IFERROR(INDEX('Content Calendar'!$L$5:$L$604,MATCH(B305,'Content Calendar'!$A$5:$A$604,0)),"Not found"))</f>
        <v>0</v>
      </c>
      <c r="J305" s="17">
        <f>IF(B305="","",IFERROR(INDEX('Content Calendar'!$P$5:$P$604,MATCH(B305,'Content Calendar'!$A$5:$A$604,0)),"Not found"))</f>
        <v>0</v>
      </c>
      <c r="K305" s="17">
        <f>IF(B305="","",IFERROR(INDEX('Content Calendar'!$O$5:$O$604,MATCH(B305,'Content Calendar'!$A$5:$A$604,0)),"Not found"))</f>
        <v>0</v>
      </c>
      <c r="L305" s="17">
        <f>IF(B305="","",IFERROR(INDEX('Content Calendar'!$N$5:$N$604,MATCH(B305,'Content Calendar'!$A$5:$A$604,0)),"Not found"))</f>
        <v>0</v>
      </c>
      <c r="M305" s="17">
        <f>IF(B305="","",IFERROR(INDEX('Content Calendar'!$C$5:$C$604,MATCH(B305,'Content Calendar'!$A$5:$A$604,0)),"Not found"))</f>
        <v>0</v>
      </c>
      <c r="N305" s="17">
        <f>IF(B305="","",IFERROR(INDEX('Content Calendar'!$F$5:$F$604,MATCH(B305,'Content Calendar'!$A$5:$A$604,0)),"Not found"))</f>
        <v>0</v>
      </c>
      <c r="Z305" s="23">
        <f>IF(O305="","",N(Q305)+N(R305)+N(S305)+N(T305))</f>
        <v>0</v>
      </c>
      <c r="AA305" s="24">
        <f>IF(OR(O305="",O305=0),"",Z305/O305)</f>
        <v>0</v>
      </c>
      <c r="AB305" s="24">
        <f>IF(OR(O305="",O305=0),"",N(T305)/O305)</f>
        <v>0</v>
      </c>
      <c r="AC305" s="24">
        <f>IF(OR(O305="",O305=0),"",N(S305)/O305)</f>
        <v>0</v>
      </c>
      <c r="AD305" s="24">
        <f>IF(OR(O305="",O305=0),"",N(R305)/O305)</f>
        <v>0</v>
      </c>
      <c r="AE305" s="24">
        <f>IF(OR(O305="",O305=0),"",N(U305)/O305)</f>
        <v>0</v>
      </c>
      <c r="AF305" s="24">
        <f>IF(OR(U305="",U305=0),"",N(W305)/U305)</f>
        <v>0</v>
      </c>
      <c r="AG305" s="25">
        <f>IF(OR(O305="",O305=0),"",N(X305)/(O305/1000))</f>
        <v>0</v>
      </c>
      <c r="AH305" s="24">
        <f>IF(O305="","",IF(Y305="",TargetEngagement,Y305))</f>
        <v>0</v>
      </c>
      <c r="AI305" s="24">
        <f>IF(OR(AA305="",AH305=""),"",AA305-AH305)</f>
        <v>0</v>
      </c>
      <c r="AJ305" s="31">
        <f>IF(AA305="","",AA305+ROW()/1000000)</f>
        <v>0</v>
      </c>
      <c r="AK305" s="23">
        <f>IF(AA305="","",RANK(AJ305,Performance!$AJ$5:$AJ$404))</f>
        <v>0</v>
      </c>
      <c r="AL305" s="29">
        <f>IF(AA305="","",IF(AA305&gt;=AH305*1.5,"Top performer",IF(AA305&gt;=AH305,"Above target",IF(AA305&gt;=AH305*0.6,"Below target","Weak - review it"))))</f>
        <v>0</v>
      </c>
      <c r="AM305" s="29">
        <f>IF(B305="","",IF(COUNTIF(Performance!$B$5:$B$404,B305)&gt;1,"Duplicate","OK"))</f>
        <v>0</v>
      </c>
      <c r="AN305" s="29">
        <f>IF(B305="","",IF(C305="Not found","Check - content ID not on the calendar",IF(O305="","Add - no numbers entered yet",IF(AM305="Duplicate","Duplicate - this post is entered twice",IF(AL305="Top performer","Repurpose this one","OK")))))</f>
        <v>0</v>
      </c>
    </row>
    <row r="306" spans="1:40">
      <c r="A306" s="41">
        <f>IF(B306="","","PF-"&amp;TEXT(ROW()-4,"0000"))</f>
        <v>0</v>
      </c>
      <c r="C306" s="17">
        <f>IF(B306="","",IFERROR(INDEX('Content Calendar'!$H$5:$H$604,MATCH(B306,'Content Calendar'!$A$5:$A$604,0)),"Not found"))</f>
        <v>0</v>
      </c>
      <c r="D306" s="16">
        <f>IF(B306="","",IFERROR(INDEX('Content Calendar'!$B$5:$B$604,MATCH(B306,'Content Calendar'!$A$5:$A$604,0)),"Not found"))</f>
        <v>0</v>
      </c>
      <c r="E306" s="17">
        <f>IF(B306="","",IFERROR(INDEX('Content Calendar'!$D$5:$D$604,MATCH(B306,'Content Calendar'!$A$5:$A$604,0)),"Not found"))</f>
        <v>0</v>
      </c>
      <c r="F306" s="17">
        <f>IF(B306="","",IFERROR(INDEX('Content Calendar'!$G$5:$G$604,MATCH(B306,'Content Calendar'!$A$5:$A$604,0)),"Not found"))</f>
        <v>0</v>
      </c>
      <c r="G306" s="17">
        <f>IF(B306="","",IFERROR(INDEX('Content Calendar'!$K$5:$K$604,MATCH(B306,'Content Calendar'!$A$5:$A$604,0)),"Not found"))</f>
        <v>0</v>
      </c>
      <c r="H306" s="17">
        <f>IF(B306="","",IFERROR(INDEX('Content Calendar'!$J$5:$J$604,MATCH(B306,'Content Calendar'!$A$5:$A$604,0)),"Not found"))</f>
        <v>0</v>
      </c>
      <c r="I306" s="17">
        <f>IF(B306="","",IFERROR(INDEX('Content Calendar'!$L$5:$L$604,MATCH(B306,'Content Calendar'!$A$5:$A$604,0)),"Not found"))</f>
        <v>0</v>
      </c>
      <c r="J306" s="17">
        <f>IF(B306="","",IFERROR(INDEX('Content Calendar'!$P$5:$P$604,MATCH(B306,'Content Calendar'!$A$5:$A$604,0)),"Not found"))</f>
        <v>0</v>
      </c>
      <c r="K306" s="17">
        <f>IF(B306="","",IFERROR(INDEX('Content Calendar'!$O$5:$O$604,MATCH(B306,'Content Calendar'!$A$5:$A$604,0)),"Not found"))</f>
        <v>0</v>
      </c>
      <c r="L306" s="17">
        <f>IF(B306="","",IFERROR(INDEX('Content Calendar'!$N$5:$N$604,MATCH(B306,'Content Calendar'!$A$5:$A$604,0)),"Not found"))</f>
        <v>0</v>
      </c>
      <c r="M306" s="17">
        <f>IF(B306="","",IFERROR(INDEX('Content Calendar'!$C$5:$C$604,MATCH(B306,'Content Calendar'!$A$5:$A$604,0)),"Not found"))</f>
        <v>0</v>
      </c>
      <c r="N306" s="17">
        <f>IF(B306="","",IFERROR(INDEX('Content Calendar'!$F$5:$F$604,MATCH(B306,'Content Calendar'!$A$5:$A$604,0)),"Not found"))</f>
        <v>0</v>
      </c>
      <c r="Z306" s="23">
        <f>IF(O306="","",N(Q306)+N(R306)+N(S306)+N(T306))</f>
        <v>0</v>
      </c>
      <c r="AA306" s="24">
        <f>IF(OR(O306="",O306=0),"",Z306/O306)</f>
        <v>0</v>
      </c>
      <c r="AB306" s="24">
        <f>IF(OR(O306="",O306=0),"",N(T306)/O306)</f>
        <v>0</v>
      </c>
      <c r="AC306" s="24">
        <f>IF(OR(O306="",O306=0),"",N(S306)/O306)</f>
        <v>0</v>
      </c>
      <c r="AD306" s="24">
        <f>IF(OR(O306="",O306=0),"",N(R306)/O306)</f>
        <v>0</v>
      </c>
      <c r="AE306" s="24">
        <f>IF(OR(O306="",O306=0),"",N(U306)/O306)</f>
        <v>0</v>
      </c>
      <c r="AF306" s="24">
        <f>IF(OR(U306="",U306=0),"",N(W306)/U306)</f>
        <v>0</v>
      </c>
      <c r="AG306" s="25">
        <f>IF(OR(O306="",O306=0),"",N(X306)/(O306/1000))</f>
        <v>0</v>
      </c>
      <c r="AH306" s="24">
        <f>IF(O306="","",IF(Y306="",TargetEngagement,Y306))</f>
        <v>0</v>
      </c>
      <c r="AI306" s="24">
        <f>IF(OR(AA306="",AH306=""),"",AA306-AH306)</f>
        <v>0</v>
      </c>
      <c r="AJ306" s="31">
        <f>IF(AA306="","",AA306+ROW()/1000000)</f>
        <v>0</v>
      </c>
      <c r="AK306" s="23">
        <f>IF(AA306="","",RANK(AJ306,Performance!$AJ$5:$AJ$404))</f>
        <v>0</v>
      </c>
      <c r="AL306" s="29">
        <f>IF(AA306="","",IF(AA306&gt;=AH306*1.5,"Top performer",IF(AA306&gt;=AH306,"Above target",IF(AA306&gt;=AH306*0.6,"Below target","Weak - review it"))))</f>
        <v>0</v>
      </c>
      <c r="AM306" s="29">
        <f>IF(B306="","",IF(COUNTIF(Performance!$B$5:$B$404,B306)&gt;1,"Duplicate","OK"))</f>
        <v>0</v>
      </c>
      <c r="AN306" s="29">
        <f>IF(B306="","",IF(C306="Not found","Check - content ID not on the calendar",IF(O306="","Add - no numbers entered yet",IF(AM306="Duplicate","Duplicate - this post is entered twice",IF(AL306="Top performer","Repurpose this one","OK")))))</f>
        <v>0</v>
      </c>
    </row>
    <row r="307" spans="1:40">
      <c r="A307" s="41">
        <f>IF(B307="","","PF-"&amp;TEXT(ROW()-4,"0000"))</f>
        <v>0</v>
      </c>
      <c r="C307" s="17">
        <f>IF(B307="","",IFERROR(INDEX('Content Calendar'!$H$5:$H$604,MATCH(B307,'Content Calendar'!$A$5:$A$604,0)),"Not found"))</f>
        <v>0</v>
      </c>
      <c r="D307" s="16">
        <f>IF(B307="","",IFERROR(INDEX('Content Calendar'!$B$5:$B$604,MATCH(B307,'Content Calendar'!$A$5:$A$604,0)),"Not found"))</f>
        <v>0</v>
      </c>
      <c r="E307" s="17">
        <f>IF(B307="","",IFERROR(INDEX('Content Calendar'!$D$5:$D$604,MATCH(B307,'Content Calendar'!$A$5:$A$604,0)),"Not found"))</f>
        <v>0</v>
      </c>
      <c r="F307" s="17">
        <f>IF(B307="","",IFERROR(INDEX('Content Calendar'!$G$5:$G$604,MATCH(B307,'Content Calendar'!$A$5:$A$604,0)),"Not found"))</f>
        <v>0</v>
      </c>
      <c r="G307" s="17">
        <f>IF(B307="","",IFERROR(INDEX('Content Calendar'!$K$5:$K$604,MATCH(B307,'Content Calendar'!$A$5:$A$604,0)),"Not found"))</f>
        <v>0</v>
      </c>
      <c r="H307" s="17">
        <f>IF(B307="","",IFERROR(INDEX('Content Calendar'!$J$5:$J$604,MATCH(B307,'Content Calendar'!$A$5:$A$604,0)),"Not found"))</f>
        <v>0</v>
      </c>
      <c r="I307" s="17">
        <f>IF(B307="","",IFERROR(INDEX('Content Calendar'!$L$5:$L$604,MATCH(B307,'Content Calendar'!$A$5:$A$604,0)),"Not found"))</f>
        <v>0</v>
      </c>
      <c r="J307" s="17">
        <f>IF(B307="","",IFERROR(INDEX('Content Calendar'!$P$5:$P$604,MATCH(B307,'Content Calendar'!$A$5:$A$604,0)),"Not found"))</f>
        <v>0</v>
      </c>
      <c r="K307" s="17">
        <f>IF(B307="","",IFERROR(INDEX('Content Calendar'!$O$5:$O$604,MATCH(B307,'Content Calendar'!$A$5:$A$604,0)),"Not found"))</f>
        <v>0</v>
      </c>
      <c r="L307" s="17">
        <f>IF(B307="","",IFERROR(INDEX('Content Calendar'!$N$5:$N$604,MATCH(B307,'Content Calendar'!$A$5:$A$604,0)),"Not found"))</f>
        <v>0</v>
      </c>
      <c r="M307" s="17">
        <f>IF(B307="","",IFERROR(INDEX('Content Calendar'!$C$5:$C$604,MATCH(B307,'Content Calendar'!$A$5:$A$604,0)),"Not found"))</f>
        <v>0</v>
      </c>
      <c r="N307" s="17">
        <f>IF(B307="","",IFERROR(INDEX('Content Calendar'!$F$5:$F$604,MATCH(B307,'Content Calendar'!$A$5:$A$604,0)),"Not found"))</f>
        <v>0</v>
      </c>
      <c r="Z307" s="23">
        <f>IF(O307="","",N(Q307)+N(R307)+N(S307)+N(T307))</f>
        <v>0</v>
      </c>
      <c r="AA307" s="24">
        <f>IF(OR(O307="",O307=0),"",Z307/O307)</f>
        <v>0</v>
      </c>
      <c r="AB307" s="24">
        <f>IF(OR(O307="",O307=0),"",N(T307)/O307)</f>
        <v>0</v>
      </c>
      <c r="AC307" s="24">
        <f>IF(OR(O307="",O307=0),"",N(S307)/O307)</f>
        <v>0</v>
      </c>
      <c r="AD307" s="24">
        <f>IF(OR(O307="",O307=0),"",N(R307)/O307)</f>
        <v>0</v>
      </c>
      <c r="AE307" s="24">
        <f>IF(OR(O307="",O307=0),"",N(U307)/O307)</f>
        <v>0</v>
      </c>
      <c r="AF307" s="24">
        <f>IF(OR(U307="",U307=0),"",N(W307)/U307)</f>
        <v>0</v>
      </c>
      <c r="AG307" s="25">
        <f>IF(OR(O307="",O307=0),"",N(X307)/(O307/1000))</f>
        <v>0</v>
      </c>
      <c r="AH307" s="24">
        <f>IF(O307="","",IF(Y307="",TargetEngagement,Y307))</f>
        <v>0</v>
      </c>
      <c r="AI307" s="24">
        <f>IF(OR(AA307="",AH307=""),"",AA307-AH307)</f>
        <v>0</v>
      </c>
      <c r="AJ307" s="31">
        <f>IF(AA307="","",AA307+ROW()/1000000)</f>
        <v>0</v>
      </c>
      <c r="AK307" s="23">
        <f>IF(AA307="","",RANK(AJ307,Performance!$AJ$5:$AJ$404))</f>
        <v>0</v>
      </c>
      <c r="AL307" s="29">
        <f>IF(AA307="","",IF(AA307&gt;=AH307*1.5,"Top performer",IF(AA307&gt;=AH307,"Above target",IF(AA307&gt;=AH307*0.6,"Below target","Weak - review it"))))</f>
        <v>0</v>
      </c>
      <c r="AM307" s="29">
        <f>IF(B307="","",IF(COUNTIF(Performance!$B$5:$B$404,B307)&gt;1,"Duplicate","OK"))</f>
        <v>0</v>
      </c>
      <c r="AN307" s="29">
        <f>IF(B307="","",IF(C307="Not found","Check - content ID not on the calendar",IF(O307="","Add - no numbers entered yet",IF(AM307="Duplicate","Duplicate - this post is entered twice",IF(AL307="Top performer","Repurpose this one","OK")))))</f>
        <v>0</v>
      </c>
    </row>
    <row r="308" spans="1:40">
      <c r="A308" s="41">
        <f>IF(B308="","","PF-"&amp;TEXT(ROW()-4,"0000"))</f>
        <v>0</v>
      </c>
      <c r="C308" s="17">
        <f>IF(B308="","",IFERROR(INDEX('Content Calendar'!$H$5:$H$604,MATCH(B308,'Content Calendar'!$A$5:$A$604,0)),"Not found"))</f>
        <v>0</v>
      </c>
      <c r="D308" s="16">
        <f>IF(B308="","",IFERROR(INDEX('Content Calendar'!$B$5:$B$604,MATCH(B308,'Content Calendar'!$A$5:$A$604,0)),"Not found"))</f>
        <v>0</v>
      </c>
      <c r="E308" s="17">
        <f>IF(B308="","",IFERROR(INDEX('Content Calendar'!$D$5:$D$604,MATCH(B308,'Content Calendar'!$A$5:$A$604,0)),"Not found"))</f>
        <v>0</v>
      </c>
      <c r="F308" s="17">
        <f>IF(B308="","",IFERROR(INDEX('Content Calendar'!$G$5:$G$604,MATCH(B308,'Content Calendar'!$A$5:$A$604,0)),"Not found"))</f>
        <v>0</v>
      </c>
      <c r="G308" s="17">
        <f>IF(B308="","",IFERROR(INDEX('Content Calendar'!$K$5:$K$604,MATCH(B308,'Content Calendar'!$A$5:$A$604,0)),"Not found"))</f>
        <v>0</v>
      </c>
      <c r="H308" s="17">
        <f>IF(B308="","",IFERROR(INDEX('Content Calendar'!$J$5:$J$604,MATCH(B308,'Content Calendar'!$A$5:$A$604,0)),"Not found"))</f>
        <v>0</v>
      </c>
      <c r="I308" s="17">
        <f>IF(B308="","",IFERROR(INDEX('Content Calendar'!$L$5:$L$604,MATCH(B308,'Content Calendar'!$A$5:$A$604,0)),"Not found"))</f>
        <v>0</v>
      </c>
      <c r="J308" s="17">
        <f>IF(B308="","",IFERROR(INDEX('Content Calendar'!$P$5:$P$604,MATCH(B308,'Content Calendar'!$A$5:$A$604,0)),"Not found"))</f>
        <v>0</v>
      </c>
      <c r="K308" s="17">
        <f>IF(B308="","",IFERROR(INDEX('Content Calendar'!$O$5:$O$604,MATCH(B308,'Content Calendar'!$A$5:$A$604,0)),"Not found"))</f>
        <v>0</v>
      </c>
      <c r="L308" s="17">
        <f>IF(B308="","",IFERROR(INDEX('Content Calendar'!$N$5:$N$604,MATCH(B308,'Content Calendar'!$A$5:$A$604,0)),"Not found"))</f>
        <v>0</v>
      </c>
      <c r="M308" s="17">
        <f>IF(B308="","",IFERROR(INDEX('Content Calendar'!$C$5:$C$604,MATCH(B308,'Content Calendar'!$A$5:$A$604,0)),"Not found"))</f>
        <v>0</v>
      </c>
      <c r="N308" s="17">
        <f>IF(B308="","",IFERROR(INDEX('Content Calendar'!$F$5:$F$604,MATCH(B308,'Content Calendar'!$A$5:$A$604,0)),"Not found"))</f>
        <v>0</v>
      </c>
      <c r="Z308" s="23">
        <f>IF(O308="","",N(Q308)+N(R308)+N(S308)+N(T308))</f>
        <v>0</v>
      </c>
      <c r="AA308" s="24">
        <f>IF(OR(O308="",O308=0),"",Z308/O308)</f>
        <v>0</v>
      </c>
      <c r="AB308" s="24">
        <f>IF(OR(O308="",O308=0),"",N(T308)/O308)</f>
        <v>0</v>
      </c>
      <c r="AC308" s="24">
        <f>IF(OR(O308="",O308=0),"",N(S308)/O308)</f>
        <v>0</v>
      </c>
      <c r="AD308" s="24">
        <f>IF(OR(O308="",O308=0),"",N(R308)/O308)</f>
        <v>0</v>
      </c>
      <c r="AE308" s="24">
        <f>IF(OR(O308="",O308=0),"",N(U308)/O308)</f>
        <v>0</v>
      </c>
      <c r="AF308" s="24">
        <f>IF(OR(U308="",U308=0),"",N(W308)/U308)</f>
        <v>0</v>
      </c>
      <c r="AG308" s="25">
        <f>IF(OR(O308="",O308=0),"",N(X308)/(O308/1000))</f>
        <v>0</v>
      </c>
      <c r="AH308" s="24">
        <f>IF(O308="","",IF(Y308="",TargetEngagement,Y308))</f>
        <v>0</v>
      </c>
      <c r="AI308" s="24">
        <f>IF(OR(AA308="",AH308=""),"",AA308-AH308)</f>
        <v>0</v>
      </c>
      <c r="AJ308" s="31">
        <f>IF(AA308="","",AA308+ROW()/1000000)</f>
        <v>0</v>
      </c>
      <c r="AK308" s="23">
        <f>IF(AA308="","",RANK(AJ308,Performance!$AJ$5:$AJ$404))</f>
        <v>0</v>
      </c>
      <c r="AL308" s="29">
        <f>IF(AA308="","",IF(AA308&gt;=AH308*1.5,"Top performer",IF(AA308&gt;=AH308,"Above target",IF(AA308&gt;=AH308*0.6,"Below target","Weak - review it"))))</f>
        <v>0</v>
      </c>
      <c r="AM308" s="29">
        <f>IF(B308="","",IF(COUNTIF(Performance!$B$5:$B$404,B308)&gt;1,"Duplicate","OK"))</f>
        <v>0</v>
      </c>
      <c r="AN308" s="29">
        <f>IF(B308="","",IF(C308="Not found","Check - content ID not on the calendar",IF(O308="","Add - no numbers entered yet",IF(AM308="Duplicate","Duplicate - this post is entered twice",IF(AL308="Top performer","Repurpose this one","OK")))))</f>
        <v>0</v>
      </c>
    </row>
    <row r="309" spans="1:40">
      <c r="A309" s="41">
        <f>IF(B309="","","PF-"&amp;TEXT(ROW()-4,"0000"))</f>
        <v>0</v>
      </c>
      <c r="C309" s="17">
        <f>IF(B309="","",IFERROR(INDEX('Content Calendar'!$H$5:$H$604,MATCH(B309,'Content Calendar'!$A$5:$A$604,0)),"Not found"))</f>
        <v>0</v>
      </c>
      <c r="D309" s="16">
        <f>IF(B309="","",IFERROR(INDEX('Content Calendar'!$B$5:$B$604,MATCH(B309,'Content Calendar'!$A$5:$A$604,0)),"Not found"))</f>
        <v>0</v>
      </c>
      <c r="E309" s="17">
        <f>IF(B309="","",IFERROR(INDEX('Content Calendar'!$D$5:$D$604,MATCH(B309,'Content Calendar'!$A$5:$A$604,0)),"Not found"))</f>
        <v>0</v>
      </c>
      <c r="F309" s="17">
        <f>IF(B309="","",IFERROR(INDEX('Content Calendar'!$G$5:$G$604,MATCH(B309,'Content Calendar'!$A$5:$A$604,0)),"Not found"))</f>
        <v>0</v>
      </c>
      <c r="G309" s="17">
        <f>IF(B309="","",IFERROR(INDEX('Content Calendar'!$K$5:$K$604,MATCH(B309,'Content Calendar'!$A$5:$A$604,0)),"Not found"))</f>
        <v>0</v>
      </c>
      <c r="H309" s="17">
        <f>IF(B309="","",IFERROR(INDEX('Content Calendar'!$J$5:$J$604,MATCH(B309,'Content Calendar'!$A$5:$A$604,0)),"Not found"))</f>
        <v>0</v>
      </c>
      <c r="I309" s="17">
        <f>IF(B309="","",IFERROR(INDEX('Content Calendar'!$L$5:$L$604,MATCH(B309,'Content Calendar'!$A$5:$A$604,0)),"Not found"))</f>
        <v>0</v>
      </c>
      <c r="J309" s="17">
        <f>IF(B309="","",IFERROR(INDEX('Content Calendar'!$P$5:$P$604,MATCH(B309,'Content Calendar'!$A$5:$A$604,0)),"Not found"))</f>
        <v>0</v>
      </c>
      <c r="K309" s="17">
        <f>IF(B309="","",IFERROR(INDEX('Content Calendar'!$O$5:$O$604,MATCH(B309,'Content Calendar'!$A$5:$A$604,0)),"Not found"))</f>
        <v>0</v>
      </c>
      <c r="L309" s="17">
        <f>IF(B309="","",IFERROR(INDEX('Content Calendar'!$N$5:$N$604,MATCH(B309,'Content Calendar'!$A$5:$A$604,0)),"Not found"))</f>
        <v>0</v>
      </c>
      <c r="M309" s="17">
        <f>IF(B309="","",IFERROR(INDEX('Content Calendar'!$C$5:$C$604,MATCH(B309,'Content Calendar'!$A$5:$A$604,0)),"Not found"))</f>
        <v>0</v>
      </c>
      <c r="N309" s="17">
        <f>IF(B309="","",IFERROR(INDEX('Content Calendar'!$F$5:$F$604,MATCH(B309,'Content Calendar'!$A$5:$A$604,0)),"Not found"))</f>
        <v>0</v>
      </c>
      <c r="Z309" s="23">
        <f>IF(O309="","",N(Q309)+N(R309)+N(S309)+N(T309))</f>
        <v>0</v>
      </c>
      <c r="AA309" s="24">
        <f>IF(OR(O309="",O309=0),"",Z309/O309)</f>
        <v>0</v>
      </c>
      <c r="AB309" s="24">
        <f>IF(OR(O309="",O309=0),"",N(T309)/O309)</f>
        <v>0</v>
      </c>
      <c r="AC309" s="24">
        <f>IF(OR(O309="",O309=0),"",N(S309)/O309)</f>
        <v>0</v>
      </c>
      <c r="AD309" s="24">
        <f>IF(OR(O309="",O309=0),"",N(R309)/O309)</f>
        <v>0</v>
      </c>
      <c r="AE309" s="24">
        <f>IF(OR(O309="",O309=0),"",N(U309)/O309)</f>
        <v>0</v>
      </c>
      <c r="AF309" s="24">
        <f>IF(OR(U309="",U309=0),"",N(W309)/U309)</f>
        <v>0</v>
      </c>
      <c r="AG309" s="25">
        <f>IF(OR(O309="",O309=0),"",N(X309)/(O309/1000))</f>
        <v>0</v>
      </c>
      <c r="AH309" s="24">
        <f>IF(O309="","",IF(Y309="",TargetEngagement,Y309))</f>
        <v>0</v>
      </c>
      <c r="AI309" s="24">
        <f>IF(OR(AA309="",AH309=""),"",AA309-AH309)</f>
        <v>0</v>
      </c>
      <c r="AJ309" s="31">
        <f>IF(AA309="","",AA309+ROW()/1000000)</f>
        <v>0</v>
      </c>
      <c r="AK309" s="23">
        <f>IF(AA309="","",RANK(AJ309,Performance!$AJ$5:$AJ$404))</f>
        <v>0</v>
      </c>
      <c r="AL309" s="29">
        <f>IF(AA309="","",IF(AA309&gt;=AH309*1.5,"Top performer",IF(AA309&gt;=AH309,"Above target",IF(AA309&gt;=AH309*0.6,"Below target","Weak - review it"))))</f>
        <v>0</v>
      </c>
      <c r="AM309" s="29">
        <f>IF(B309="","",IF(COUNTIF(Performance!$B$5:$B$404,B309)&gt;1,"Duplicate","OK"))</f>
        <v>0</v>
      </c>
      <c r="AN309" s="29">
        <f>IF(B309="","",IF(C309="Not found","Check - content ID not on the calendar",IF(O309="","Add - no numbers entered yet",IF(AM309="Duplicate","Duplicate - this post is entered twice",IF(AL309="Top performer","Repurpose this one","OK")))))</f>
        <v>0</v>
      </c>
    </row>
    <row r="310" spans="1:40">
      <c r="A310" s="41">
        <f>IF(B310="","","PF-"&amp;TEXT(ROW()-4,"0000"))</f>
        <v>0</v>
      </c>
      <c r="C310" s="17">
        <f>IF(B310="","",IFERROR(INDEX('Content Calendar'!$H$5:$H$604,MATCH(B310,'Content Calendar'!$A$5:$A$604,0)),"Not found"))</f>
        <v>0</v>
      </c>
      <c r="D310" s="16">
        <f>IF(B310="","",IFERROR(INDEX('Content Calendar'!$B$5:$B$604,MATCH(B310,'Content Calendar'!$A$5:$A$604,0)),"Not found"))</f>
        <v>0</v>
      </c>
      <c r="E310" s="17">
        <f>IF(B310="","",IFERROR(INDEX('Content Calendar'!$D$5:$D$604,MATCH(B310,'Content Calendar'!$A$5:$A$604,0)),"Not found"))</f>
        <v>0</v>
      </c>
      <c r="F310" s="17">
        <f>IF(B310="","",IFERROR(INDEX('Content Calendar'!$G$5:$G$604,MATCH(B310,'Content Calendar'!$A$5:$A$604,0)),"Not found"))</f>
        <v>0</v>
      </c>
      <c r="G310" s="17">
        <f>IF(B310="","",IFERROR(INDEX('Content Calendar'!$K$5:$K$604,MATCH(B310,'Content Calendar'!$A$5:$A$604,0)),"Not found"))</f>
        <v>0</v>
      </c>
      <c r="H310" s="17">
        <f>IF(B310="","",IFERROR(INDEX('Content Calendar'!$J$5:$J$604,MATCH(B310,'Content Calendar'!$A$5:$A$604,0)),"Not found"))</f>
        <v>0</v>
      </c>
      <c r="I310" s="17">
        <f>IF(B310="","",IFERROR(INDEX('Content Calendar'!$L$5:$L$604,MATCH(B310,'Content Calendar'!$A$5:$A$604,0)),"Not found"))</f>
        <v>0</v>
      </c>
      <c r="J310" s="17">
        <f>IF(B310="","",IFERROR(INDEX('Content Calendar'!$P$5:$P$604,MATCH(B310,'Content Calendar'!$A$5:$A$604,0)),"Not found"))</f>
        <v>0</v>
      </c>
      <c r="K310" s="17">
        <f>IF(B310="","",IFERROR(INDEX('Content Calendar'!$O$5:$O$604,MATCH(B310,'Content Calendar'!$A$5:$A$604,0)),"Not found"))</f>
        <v>0</v>
      </c>
      <c r="L310" s="17">
        <f>IF(B310="","",IFERROR(INDEX('Content Calendar'!$N$5:$N$604,MATCH(B310,'Content Calendar'!$A$5:$A$604,0)),"Not found"))</f>
        <v>0</v>
      </c>
      <c r="M310" s="17">
        <f>IF(B310="","",IFERROR(INDEX('Content Calendar'!$C$5:$C$604,MATCH(B310,'Content Calendar'!$A$5:$A$604,0)),"Not found"))</f>
        <v>0</v>
      </c>
      <c r="N310" s="17">
        <f>IF(B310="","",IFERROR(INDEX('Content Calendar'!$F$5:$F$604,MATCH(B310,'Content Calendar'!$A$5:$A$604,0)),"Not found"))</f>
        <v>0</v>
      </c>
      <c r="Z310" s="23">
        <f>IF(O310="","",N(Q310)+N(R310)+N(S310)+N(T310))</f>
        <v>0</v>
      </c>
      <c r="AA310" s="24">
        <f>IF(OR(O310="",O310=0),"",Z310/O310)</f>
        <v>0</v>
      </c>
      <c r="AB310" s="24">
        <f>IF(OR(O310="",O310=0),"",N(T310)/O310)</f>
        <v>0</v>
      </c>
      <c r="AC310" s="24">
        <f>IF(OR(O310="",O310=0),"",N(S310)/O310)</f>
        <v>0</v>
      </c>
      <c r="AD310" s="24">
        <f>IF(OR(O310="",O310=0),"",N(R310)/O310)</f>
        <v>0</v>
      </c>
      <c r="AE310" s="24">
        <f>IF(OR(O310="",O310=0),"",N(U310)/O310)</f>
        <v>0</v>
      </c>
      <c r="AF310" s="24">
        <f>IF(OR(U310="",U310=0),"",N(W310)/U310)</f>
        <v>0</v>
      </c>
      <c r="AG310" s="25">
        <f>IF(OR(O310="",O310=0),"",N(X310)/(O310/1000))</f>
        <v>0</v>
      </c>
      <c r="AH310" s="24">
        <f>IF(O310="","",IF(Y310="",TargetEngagement,Y310))</f>
        <v>0</v>
      </c>
      <c r="AI310" s="24">
        <f>IF(OR(AA310="",AH310=""),"",AA310-AH310)</f>
        <v>0</v>
      </c>
      <c r="AJ310" s="31">
        <f>IF(AA310="","",AA310+ROW()/1000000)</f>
        <v>0</v>
      </c>
      <c r="AK310" s="23">
        <f>IF(AA310="","",RANK(AJ310,Performance!$AJ$5:$AJ$404))</f>
        <v>0</v>
      </c>
      <c r="AL310" s="29">
        <f>IF(AA310="","",IF(AA310&gt;=AH310*1.5,"Top performer",IF(AA310&gt;=AH310,"Above target",IF(AA310&gt;=AH310*0.6,"Below target","Weak - review it"))))</f>
        <v>0</v>
      </c>
      <c r="AM310" s="29">
        <f>IF(B310="","",IF(COUNTIF(Performance!$B$5:$B$404,B310)&gt;1,"Duplicate","OK"))</f>
        <v>0</v>
      </c>
      <c r="AN310" s="29">
        <f>IF(B310="","",IF(C310="Not found","Check - content ID not on the calendar",IF(O310="","Add - no numbers entered yet",IF(AM310="Duplicate","Duplicate - this post is entered twice",IF(AL310="Top performer","Repurpose this one","OK")))))</f>
        <v>0</v>
      </c>
    </row>
    <row r="311" spans="1:40">
      <c r="A311" s="41">
        <f>IF(B311="","","PF-"&amp;TEXT(ROW()-4,"0000"))</f>
        <v>0</v>
      </c>
      <c r="C311" s="17">
        <f>IF(B311="","",IFERROR(INDEX('Content Calendar'!$H$5:$H$604,MATCH(B311,'Content Calendar'!$A$5:$A$604,0)),"Not found"))</f>
        <v>0</v>
      </c>
      <c r="D311" s="16">
        <f>IF(B311="","",IFERROR(INDEX('Content Calendar'!$B$5:$B$604,MATCH(B311,'Content Calendar'!$A$5:$A$604,0)),"Not found"))</f>
        <v>0</v>
      </c>
      <c r="E311" s="17">
        <f>IF(B311="","",IFERROR(INDEX('Content Calendar'!$D$5:$D$604,MATCH(B311,'Content Calendar'!$A$5:$A$604,0)),"Not found"))</f>
        <v>0</v>
      </c>
      <c r="F311" s="17">
        <f>IF(B311="","",IFERROR(INDEX('Content Calendar'!$G$5:$G$604,MATCH(B311,'Content Calendar'!$A$5:$A$604,0)),"Not found"))</f>
        <v>0</v>
      </c>
      <c r="G311" s="17">
        <f>IF(B311="","",IFERROR(INDEX('Content Calendar'!$K$5:$K$604,MATCH(B311,'Content Calendar'!$A$5:$A$604,0)),"Not found"))</f>
        <v>0</v>
      </c>
      <c r="H311" s="17">
        <f>IF(B311="","",IFERROR(INDEX('Content Calendar'!$J$5:$J$604,MATCH(B311,'Content Calendar'!$A$5:$A$604,0)),"Not found"))</f>
        <v>0</v>
      </c>
      <c r="I311" s="17">
        <f>IF(B311="","",IFERROR(INDEX('Content Calendar'!$L$5:$L$604,MATCH(B311,'Content Calendar'!$A$5:$A$604,0)),"Not found"))</f>
        <v>0</v>
      </c>
      <c r="J311" s="17">
        <f>IF(B311="","",IFERROR(INDEX('Content Calendar'!$P$5:$P$604,MATCH(B311,'Content Calendar'!$A$5:$A$604,0)),"Not found"))</f>
        <v>0</v>
      </c>
      <c r="K311" s="17">
        <f>IF(B311="","",IFERROR(INDEX('Content Calendar'!$O$5:$O$604,MATCH(B311,'Content Calendar'!$A$5:$A$604,0)),"Not found"))</f>
        <v>0</v>
      </c>
      <c r="L311" s="17">
        <f>IF(B311="","",IFERROR(INDEX('Content Calendar'!$N$5:$N$604,MATCH(B311,'Content Calendar'!$A$5:$A$604,0)),"Not found"))</f>
        <v>0</v>
      </c>
      <c r="M311" s="17">
        <f>IF(B311="","",IFERROR(INDEX('Content Calendar'!$C$5:$C$604,MATCH(B311,'Content Calendar'!$A$5:$A$604,0)),"Not found"))</f>
        <v>0</v>
      </c>
      <c r="N311" s="17">
        <f>IF(B311="","",IFERROR(INDEX('Content Calendar'!$F$5:$F$604,MATCH(B311,'Content Calendar'!$A$5:$A$604,0)),"Not found"))</f>
        <v>0</v>
      </c>
      <c r="Z311" s="23">
        <f>IF(O311="","",N(Q311)+N(R311)+N(S311)+N(T311))</f>
        <v>0</v>
      </c>
      <c r="AA311" s="24">
        <f>IF(OR(O311="",O311=0),"",Z311/O311)</f>
        <v>0</v>
      </c>
      <c r="AB311" s="24">
        <f>IF(OR(O311="",O311=0),"",N(T311)/O311)</f>
        <v>0</v>
      </c>
      <c r="AC311" s="24">
        <f>IF(OR(O311="",O311=0),"",N(S311)/O311)</f>
        <v>0</v>
      </c>
      <c r="AD311" s="24">
        <f>IF(OR(O311="",O311=0),"",N(R311)/O311)</f>
        <v>0</v>
      </c>
      <c r="AE311" s="24">
        <f>IF(OR(O311="",O311=0),"",N(U311)/O311)</f>
        <v>0</v>
      </c>
      <c r="AF311" s="24">
        <f>IF(OR(U311="",U311=0),"",N(W311)/U311)</f>
        <v>0</v>
      </c>
      <c r="AG311" s="25">
        <f>IF(OR(O311="",O311=0),"",N(X311)/(O311/1000))</f>
        <v>0</v>
      </c>
      <c r="AH311" s="24">
        <f>IF(O311="","",IF(Y311="",TargetEngagement,Y311))</f>
        <v>0</v>
      </c>
      <c r="AI311" s="24">
        <f>IF(OR(AA311="",AH311=""),"",AA311-AH311)</f>
        <v>0</v>
      </c>
      <c r="AJ311" s="31">
        <f>IF(AA311="","",AA311+ROW()/1000000)</f>
        <v>0</v>
      </c>
      <c r="AK311" s="23">
        <f>IF(AA311="","",RANK(AJ311,Performance!$AJ$5:$AJ$404))</f>
        <v>0</v>
      </c>
      <c r="AL311" s="29">
        <f>IF(AA311="","",IF(AA311&gt;=AH311*1.5,"Top performer",IF(AA311&gt;=AH311,"Above target",IF(AA311&gt;=AH311*0.6,"Below target","Weak - review it"))))</f>
        <v>0</v>
      </c>
      <c r="AM311" s="29">
        <f>IF(B311="","",IF(COUNTIF(Performance!$B$5:$B$404,B311)&gt;1,"Duplicate","OK"))</f>
        <v>0</v>
      </c>
      <c r="AN311" s="29">
        <f>IF(B311="","",IF(C311="Not found","Check - content ID not on the calendar",IF(O311="","Add - no numbers entered yet",IF(AM311="Duplicate","Duplicate - this post is entered twice",IF(AL311="Top performer","Repurpose this one","OK")))))</f>
        <v>0</v>
      </c>
    </row>
    <row r="312" spans="1:40">
      <c r="A312" s="41">
        <f>IF(B312="","","PF-"&amp;TEXT(ROW()-4,"0000"))</f>
        <v>0</v>
      </c>
      <c r="C312" s="17">
        <f>IF(B312="","",IFERROR(INDEX('Content Calendar'!$H$5:$H$604,MATCH(B312,'Content Calendar'!$A$5:$A$604,0)),"Not found"))</f>
        <v>0</v>
      </c>
      <c r="D312" s="16">
        <f>IF(B312="","",IFERROR(INDEX('Content Calendar'!$B$5:$B$604,MATCH(B312,'Content Calendar'!$A$5:$A$604,0)),"Not found"))</f>
        <v>0</v>
      </c>
      <c r="E312" s="17">
        <f>IF(B312="","",IFERROR(INDEX('Content Calendar'!$D$5:$D$604,MATCH(B312,'Content Calendar'!$A$5:$A$604,0)),"Not found"))</f>
        <v>0</v>
      </c>
      <c r="F312" s="17">
        <f>IF(B312="","",IFERROR(INDEX('Content Calendar'!$G$5:$G$604,MATCH(B312,'Content Calendar'!$A$5:$A$604,0)),"Not found"))</f>
        <v>0</v>
      </c>
      <c r="G312" s="17">
        <f>IF(B312="","",IFERROR(INDEX('Content Calendar'!$K$5:$K$604,MATCH(B312,'Content Calendar'!$A$5:$A$604,0)),"Not found"))</f>
        <v>0</v>
      </c>
      <c r="H312" s="17">
        <f>IF(B312="","",IFERROR(INDEX('Content Calendar'!$J$5:$J$604,MATCH(B312,'Content Calendar'!$A$5:$A$604,0)),"Not found"))</f>
        <v>0</v>
      </c>
      <c r="I312" s="17">
        <f>IF(B312="","",IFERROR(INDEX('Content Calendar'!$L$5:$L$604,MATCH(B312,'Content Calendar'!$A$5:$A$604,0)),"Not found"))</f>
        <v>0</v>
      </c>
      <c r="J312" s="17">
        <f>IF(B312="","",IFERROR(INDEX('Content Calendar'!$P$5:$P$604,MATCH(B312,'Content Calendar'!$A$5:$A$604,0)),"Not found"))</f>
        <v>0</v>
      </c>
      <c r="K312" s="17">
        <f>IF(B312="","",IFERROR(INDEX('Content Calendar'!$O$5:$O$604,MATCH(B312,'Content Calendar'!$A$5:$A$604,0)),"Not found"))</f>
        <v>0</v>
      </c>
      <c r="L312" s="17">
        <f>IF(B312="","",IFERROR(INDEX('Content Calendar'!$N$5:$N$604,MATCH(B312,'Content Calendar'!$A$5:$A$604,0)),"Not found"))</f>
        <v>0</v>
      </c>
      <c r="M312" s="17">
        <f>IF(B312="","",IFERROR(INDEX('Content Calendar'!$C$5:$C$604,MATCH(B312,'Content Calendar'!$A$5:$A$604,0)),"Not found"))</f>
        <v>0</v>
      </c>
      <c r="N312" s="17">
        <f>IF(B312="","",IFERROR(INDEX('Content Calendar'!$F$5:$F$604,MATCH(B312,'Content Calendar'!$A$5:$A$604,0)),"Not found"))</f>
        <v>0</v>
      </c>
      <c r="Z312" s="23">
        <f>IF(O312="","",N(Q312)+N(R312)+N(S312)+N(T312))</f>
        <v>0</v>
      </c>
      <c r="AA312" s="24">
        <f>IF(OR(O312="",O312=0),"",Z312/O312)</f>
        <v>0</v>
      </c>
      <c r="AB312" s="24">
        <f>IF(OR(O312="",O312=0),"",N(T312)/O312)</f>
        <v>0</v>
      </c>
      <c r="AC312" s="24">
        <f>IF(OR(O312="",O312=0),"",N(S312)/O312)</f>
        <v>0</v>
      </c>
      <c r="AD312" s="24">
        <f>IF(OR(O312="",O312=0),"",N(R312)/O312)</f>
        <v>0</v>
      </c>
      <c r="AE312" s="24">
        <f>IF(OR(O312="",O312=0),"",N(U312)/O312)</f>
        <v>0</v>
      </c>
      <c r="AF312" s="24">
        <f>IF(OR(U312="",U312=0),"",N(W312)/U312)</f>
        <v>0</v>
      </c>
      <c r="AG312" s="25">
        <f>IF(OR(O312="",O312=0),"",N(X312)/(O312/1000))</f>
        <v>0</v>
      </c>
      <c r="AH312" s="24">
        <f>IF(O312="","",IF(Y312="",TargetEngagement,Y312))</f>
        <v>0</v>
      </c>
      <c r="AI312" s="24">
        <f>IF(OR(AA312="",AH312=""),"",AA312-AH312)</f>
        <v>0</v>
      </c>
      <c r="AJ312" s="31">
        <f>IF(AA312="","",AA312+ROW()/1000000)</f>
        <v>0</v>
      </c>
      <c r="AK312" s="23">
        <f>IF(AA312="","",RANK(AJ312,Performance!$AJ$5:$AJ$404))</f>
        <v>0</v>
      </c>
      <c r="AL312" s="29">
        <f>IF(AA312="","",IF(AA312&gt;=AH312*1.5,"Top performer",IF(AA312&gt;=AH312,"Above target",IF(AA312&gt;=AH312*0.6,"Below target","Weak - review it"))))</f>
        <v>0</v>
      </c>
      <c r="AM312" s="29">
        <f>IF(B312="","",IF(COUNTIF(Performance!$B$5:$B$404,B312)&gt;1,"Duplicate","OK"))</f>
        <v>0</v>
      </c>
      <c r="AN312" s="29">
        <f>IF(B312="","",IF(C312="Not found","Check - content ID not on the calendar",IF(O312="","Add - no numbers entered yet",IF(AM312="Duplicate","Duplicate - this post is entered twice",IF(AL312="Top performer","Repurpose this one","OK")))))</f>
        <v>0</v>
      </c>
    </row>
    <row r="313" spans="1:40">
      <c r="A313" s="41">
        <f>IF(B313="","","PF-"&amp;TEXT(ROW()-4,"0000"))</f>
        <v>0</v>
      </c>
      <c r="C313" s="17">
        <f>IF(B313="","",IFERROR(INDEX('Content Calendar'!$H$5:$H$604,MATCH(B313,'Content Calendar'!$A$5:$A$604,0)),"Not found"))</f>
        <v>0</v>
      </c>
      <c r="D313" s="16">
        <f>IF(B313="","",IFERROR(INDEX('Content Calendar'!$B$5:$B$604,MATCH(B313,'Content Calendar'!$A$5:$A$604,0)),"Not found"))</f>
        <v>0</v>
      </c>
      <c r="E313" s="17">
        <f>IF(B313="","",IFERROR(INDEX('Content Calendar'!$D$5:$D$604,MATCH(B313,'Content Calendar'!$A$5:$A$604,0)),"Not found"))</f>
        <v>0</v>
      </c>
      <c r="F313" s="17">
        <f>IF(B313="","",IFERROR(INDEX('Content Calendar'!$G$5:$G$604,MATCH(B313,'Content Calendar'!$A$5:$A$604,0)),"Not found"))</f>
        <v>0</v>
      </c>
      <c r="G313" s="17">
        <f>IF(B313="","",IFERROR(INDEX('Content Calendar'!$K$5:$K$604,MATCH(B313,'Content Calendar'!$A$5:$A$604,0)),"Not found"))</f>
        <v>0</v>
      </c>
      <c r="H313" s="17">
        <f>IF(B313="","",IFERROR(INDEX('Content Calendar'!$J$5:$J$604,MATCH(B313,'Content Calendar'!$A$5:$A$604,0)),"Not found"))</f>
        <v>0</v>
      </c>
      <c r="I313" s="17">
        <f>IF(B313="","",IFERROR(INDEX('Content Calendar'!$L$5:$L$604,MATCH(B313,'Content Calendar'!$A$5:$A$604,0)),"Not found"))</f>
        <v>0</v>
      </c>
      <c r="J313" s="17">
        <f>IF(B313="","",IFERROR(INDEX('Content Calendar'!$P$5:$P$604,MATCH(B313,'Content Calendar'!$A$5:$A$604,0)),"Not found"))</f>
        <v>0</v>
      </c>
      <c r="K313" s="17">
        <f>IF(B313="","",IFERROR(INDEX('Content Calendar'!$O$5:$O$604,MATCH(B313,'Content Calendar'!$A$5:$A$604,0)),"Not found"))</f>
        <v>0</v>
      </c>
      <c r="L313" s="17">
        <f>IF(B313="","",IFERROR(INDEX('Content Calendar'!$N$5:$N$604,MATCH(B313,'Content Calendar'!$A$5:$A$604,0)),"Not found"))</f>
        <v>0</v>
      </c>
      <c r="M313" s="17">
        <f>IF(B313="","",IFERROR(INDEX('Content Calendar'!$C$5:$C$604,MATCH(B313,'Content Calendar'!$A$5:$A$604,0)),"Not found"))</f>
        <v>0</v>
      </c>
      <c r="N313" s="17">
        <f>IF(B313="","",IFERROR(INDEX('Content Calendar'!$F$5:$F$604,MATCH(B313,'Content Calendar'!$A$5:$A$604,0)),"Not found"))</f>
        <v>0</v>
      </c>
      <c r="Z313" s="23">
        <f>IF(O313="","",N(Q313)+N(R313)+N(S313)+N(T313))</f>
        <v>0</v>
      </c>
      <c r="AA313" s="24">
        <f>IF(OR(O313="",O313=0),"",Z313/O313)</f>
        <v>0</v>
      </c>
      <c r="AB313" s="24">
        <f>IF(OR(O313="",O313=0),"",N(T313)/O313)</f>
        <v>0</v>
      </c>
      <c r="AC313" s="24">
        <f>IF(OR(O313="",O313=0),"",N(S313)/O313)</f>
        <v>0</v>
      </c>
      <c r="AD313" s="24">
        <f>IF(OR(O313="",O313=0),"",N(R313)/O313)</f>
        <v>0</v>
      </c>
      <c r="AE313" s="24">
        <f>IF(OR(O313="",O313=0),"",N(U313)/O313)</f>
        <v>0</v>
      </c>
      <c r="AF313" s="24">
        <f>IF(OR(U313="",U313=0),"",N(W313)/U313)</f>
        <v>0</v>
      </c>
      <c r="AG313" s="25">
        <f>IF(OR(O313="",O313=0),"",N(X313)/(O313/1000))</f>
        <v>0</v>
      </c>
      <c r="AH313" s="24">
        <f>IF(O313="","",IF(Y313="",TargetEngagement,Y313))</f>
        <v>0</v>
      </c>
      <c r="AI313" s="24">
        <f>IF(OR(AA313="",AH313=""),"",AA313-AH313)</f>
        <v>0</v>
      </c>
      <c r="AJ313" s="31">
        <f>IF(AA313="","",AA313+ROW()/1000000)</f>
        <v>0</v>
      </c>
      <c r="AK313" s="23">
        <f>IF(AA313="","",RANK(AJ313,Performance!$AJ$5:$AJ$404))</f>
        <v>0</v>
      </c>
      <c r="AL313" s="29">
        <f>IF(AA313="","",IF(AA313&gt;=AH313*1.5,"Top performer",IF(AA313&gt;=AH313,"Above target",IF(AA313&gt;=AH313*0.6,"Below target","Weak - review it"))))</f>
        <v>0</v>
      </c>
      <c r="AM313" s="29">
        <f>IF(B313="","",IF(COUNTIF(Performance!$B$5:$B$404,B313)&gt;1,"Duplicate","OK"))</f>
        <v>0</v>
      </c>
      <c r="AN313" s="29">
        <f>IF(B313="","",IF(C313="Not found","Check - content ID not on the calendar",IF(O313="","Add - no numbers entered yet",IF(AM313="Duplicate","Duplicate - this post is entered twice",IF(AL313="Top performer","Repurpose this one","OK")))))</f>
        <v>0</v>
      </c>
    </row>
    <row r="314" spans="1:40">
      <c r="A314" s="41">
        <f>IF(B314="","","PF-"&amp;TEXT(ROW()-4,"0000"))</f>
        <v>0</v>
      </c>
      <c r="C314" s="17">
        <f>IF(B314="","",IFERROR(INDEX('Content Calendar'!$H$5:$H$604,MATCH(B314,'Content Calendar'!$A$5:$A$604,0)),"Not found"))</f>
        <v>0</v>
      </c>
      <c r="D314" s="16">
        <f>IF(B314="","",IFERROR(INDEX('Content Calendar'!$B$5:$B$604,MATCH(B314,'Content Calendar'!$A$5:$A$604,0)),"Not found"))</f>
        <v>0</v>
      </c>
      <c r="E314" s="17">
        <f>IF(B314="","",IFERROR(INDEX('Content Calendar'!$D$5:$D$604,MATCH(B314,'Content Calendar'!$A$5:$A$604,0)),"Not found"))</f>
        <v>0</v>
      </c>
      <c r="F314" s="17">
        <f>IF(B314="","",IFERROR(INDEX('Content Calendar'!$G$5:$G$604,MATCH(B314,'Content Calendar'!$A$5:$A$604,0)),"Not found"))</f>
        <v>0</v>
      </c>
      <c r="G314" s="17">
        <f>IF(B314="","",IFERROR(INDEX('Content Calendar'!$K$5:$K$604,MATCH(B314,'Content Calendar'!$A$5:$A$604,0)),"Not found"))</f>
        <v>0</v>
      </c>
      <c r="H314" s="17">
        <f>IF(B314="","",IFERROR(INDEX('Content Calendar'!$J$5:$J$604,MATCH(B314,'Content Calendar'!$A$5:$A$604,0)),"Not found"))</f>
        <v>0</v>
      </c>
      <c r="I314" s="17">
        <f>IF(B314="","",IFERROR(INDEX('Content Calendar'!$L$5:$L$604,MATCH(B314,'Content Calendar'!$A$5:$A$604,0)),"Not found"))</f>
        <v>0</v>
      </c>
      <c r="J314" s="17">
        <f>IF(B314="","",IFERROR(INDEX('Content Calendar'!$P$5:$P$604,MATCH(B314,'Content Calendar'!$A$5:$A$604,0)),"Not found"))</f>
        <v>0</v>
      </c>
      <c r="K314" s="17">
        <f>IF(B314="","",IFERROR(INDEX('Content Calendar'!$O$5:$O$604,MATCH(B314,'Content Calendar'!$A$5:$A$604,0)),"Not found"))</f>
        <v>0</v>
      </c>
      <c r="L314" s="17">
        <f>IF(B314="","",IFERROR(INDEX('Content Calendar'!$N$5:$N$604,MATCH(B314,'Content Calendar'!$A$5:$A$604,0)),"Not found"))</f>
        <v>0</v>
      </c>
      <c r="M314" s="17">
        <f>IF(B314="","",IFERROR(INDEX('Content Calendar'!$C$5:$C$604,MATCH(B314,'Content Calendar'!$A$5:$A$604,0)),"Not found"))</f>
        <v>0</v>
      </c>
      <c r="N314" s="17">
        <f>IF(B314="","",IFERROR(INDEX('Content Calendar'!$F$5:$F$604,MATCH(B314,'Content Calendar'!$A$5:$A$604,0)),"Not found"))</f>
        <v>0</v>
      </c>
      <c r="Z314" s="23">
        <f>IF(O314="","",N(Q314)+N(R314)+N(S314)+N(T314))</f>
        <v>0</v>
      </c>
      <c r="AA314" s="24">
        <f>IF(OR(O314="",O314=0),"",Z314/O314)</f>
        <v>0</v>
      </c>
      <c r="AB314" s="24">
        <f>IF(OR(O314="",O314=0),"",N(T314)/O314)</f>
        <v>0</v>
      </c>
      <c r="AC314" s="24">
        <f>IF(OR(O314="",O314=0),"",N(S314)/O314)</f>
        <v>0</v>
      </c>
      <c r="AD314" s="24">
        <f>IF(OR(O314="",O314=0),"",N(R314)/O314)</f>
        <v>0</v>
      </c>
      <c r="AE314" s="24">
        <f>IF(OR(O314="",O314=0),"",N(U314)/O314)</f>
        <v>0</v>
      </c>
      <c r="AF314" s="24">
        <f>IF(OR(U314="",U314=0),"",N(W314)/U314)</f>
        <v>0</v>
      </c>
      <c r="AG314" s="25">
        <f>IF(OR(O314="",O314=0),"",N(X314)/(O314/1000))</f>
        <v>0</v>
      </c>
      <c r="AH314" s="24">
        <f>IF(O314="","",IF(Y314="",TargetEngagement,Y314))</f>
        <v>0</v>
      </c>
      <c r="AI314" s="24">
        <f>IF(OR(AA314="",AH314=""),"",AA314-AH314)</f>
        <v>0</v>
      </c>
      <c r="AJ314" s="31">
        <f>IF(AA314="","",AA314+ROW()/1000000)</f>
        <v>0</v>
      </c>
      <c r="AK314" s="23">
        <f>IF(AA314="","",RANK(AJ314,Performance!$AJ$5:$AJ$404))</f>
        <v>0</v>
      </c>
      <c r="AL314" s="29">
        <f>IF(AA314="","",IF(AA314&gt;=AH314*1.5,"Top performer",IF(AA314&gt;=AH314,"Above target",IF(AA314&gt;=AH314*0.6,"Below target","Weak - review it"))))</f>
        <v>0</v>
      </c>
      <c r="AM314" s="29">
        <f>IF(B314="","",IF(COUNTIF(Performance!$B$5:$B$404,B314)&gt;1,"Duplicate","OK"))</f>
        <v>0</v>
      </c>
      <c r="AN314" s="29">
        <f>IF(B314="","",IF(C314="Not found","Check - content ID not on the calendar",IF(O314="","Add - no numbers entered yet",IF(AM314="Duplicate","Duplicate - this post is entered twice",IF(AL314="Top performer","Repurpose this one","OK")))))</f>
        <v>0</v>
      </c>
    </row>
    <row r="315" spans="1:40">
      <c r="A315" s="41">
        <f>IF(B315="","","PF-"&amp;TEXT(ROW()-4,"0000"))</f>
        <v>0</v>
      </c>
      <c r="C315" s="17">
        <f>IF(B315="","",IFERROR(INDEX('Content Calendar'!$H$5:$H$604,MATCH(B315,'Content Calendar'!$A$5:$A$604,0)),"Not found"))</f>
        <v>0</v>
      </c>
      <c r="D315" s="16">
        <f>IF(B315="","",IFERROR(INDEX('Content Calendar'!$B$5:$B$604,MATCH(B315,'Content Calendar'!$A$5:$A$604,0)),"Not found"))</f>
        <v>0</v>
      </c>
      <c r="E315" s="17">
        <f>IF(B315="","",IFERROR(INDEX('Content Calendar'!$D$5:$D$604,MATCH(B315,'Content Calendar'!$A$5:$A$604,0)),"Not found"))</f>
        <v>0</v>
      </c>
      <c r="F315" s="17">
        <f>IF(B315="","",IFERROR(INDEX('Content Calendar'!$G$5:$G$604,MATCH(B315,'Content Calendar'!$A$5:$A$604,0)),"Not found"))</f>
        <v>0</v>
      </c>
      <c r="G315" s="17">
        <f>IF(B315="","",IFERROR(INDEX('Content Calendar'!$K$5:$K$604,MATCH(B315,'Content Calendar'!$A$5:$A$604,0)),"Not found"))</f>
        <v>0</v>
      </c>
      <c r="H315" s="17">
        <f>IF(B315="","",IFERROR(INDEX('Content Calendar'!$J$5:$J$604,MATCH(B315,'Content Calendar'!$A$5:$A$604,0)),"Not found"))</f>
        <v>0</v>
      </c>
      <c r="I315" s="17">
        <f>IF(B315="","",IFERROR(INDEX('Content Calendar'!$L$5:$L$604,MATCH(B315,'Content Calendar'!$A$5:$A$604,0)),"Not found"))</f>
        <v>0</v>
      </c>
      <c r="J315" s="17">
        <f>IF(B315="","",IFERROR(INDEX('Content Calendar'!$P$5:$P$604,MATCH(B315,'Content Calendar'!$A$5:$A$604,0)),"Not found"))</f>
        <v>0</v>
      </c>
      <c r="K315" s="17">
        <f>IF(B315="","",IFERROR(INDEX('Content Calendar'!$O$5:$O$604,MATCH(B315,'Content Calendar'!$A$5:$A$604,0)),"Not found"))</f>
        <v>0</v>
      </c>
      <c r="L315" s="17">
        <f>IF(B315="","",IFERROR(INDEX('Content Calendar'!$N$5:$N$604,MATCH(B315,'Content Calendar'!$A$5:$A$604,0)),"Not found"))</f>
        <v>0</v>
      </c>
      <c r="M315" s="17">
        <f>IF(B315="","",IFERROR(INDEX('Content Calendar'!$C$5:$C$604,MATCH(B315,'Content Calendar'!$A$5:$A$604,0)),"Not found"))</f>
        <v>0</v>
      </c>
      <c r="N315" s="17">
        <f>IF(B315="","",IFERROR(INDEX('Content Calendar'!$F$5:$F$604,MATCH(B315,'Content Calendar'!$A$5:$A$604,0)),"Not found"))</f>
        <v>0</v>
      </c>
      <c r="Z315" s="23">
        <f>IF(O315="","",N(Q315)+N(R315)+N(S315)+N(T315))</f>
        <v>0</v>
      </c>
      <c r="AA315" s="24">
        <f>IF(OR(O315="",O315=0),"",Z315/O315)</f>
        <v>0</v>
      </c>
      <c r="AB315" s="24">
        <f>IF(OR(O315="",O315=0),"",N(T315)/O315)</f>
        <v>0</v>
      </c>
      <c r="AC315" s="24">
        <f>IF(OR(O315="",O315=0),"",N(S315)/O315)</f>
        <v>0</v>
      </c>
      <c r="AD315" s="24">
        <f>IF(OR(O315="",O315=0),"",N(R315)/O315)</f>
        <v>0</v>
      </c>
      <c r="AE315" s="24">
        <f>IF(OR(O315="",O315=0),"",N(U315)/O315)</f>
        <v>0</v>
      </c>
      <c r="AF315" s="24">
        <f>IF(OR(U315="",U315=0),"",N(W315)/U315)</f>
        <v>0</v>
      </c>
      <c r="AG315" s="25">
        <f>IF(OR(O315="",O315=0),"",N(X315)/(O315/1000))</f>
        <v>0</v>
      </c>
      <c r="AH315" s="24">
        <f>IF(O315="","",IF(Y315="",TargetEngagement,Y315))</f>
        <v>0</v>
      </c>
      <c r="AI315" s="24">
        <f>IF(OR(AA315="",AH315=""),"",AA315-AH315)</f>
        <v>0</v>
      </c>
      <c r="AJ315" s="31">
        <f>IF(AA315="","",AA315+ROW()/1000000)</f>
        <v>0</v>
      </c>
      <c r="AK315" s="23">
        <f>IF(AA315="","",RANK(AJ315,Performance!$AJ$5:$AJ$404))</f>
        <v>0</v>
      </c>
      <c r="AL315" s="29">
        <f>IF(AA315="","",IF(AA315&gt;=AH315*1.5,"Top performer",IF(AA315&gt;=AH315,"Above target",IF(AA315&gt;=AH315*0.6,"Below target","Weak - review it"))))</f>
        <v>0</v>
      </c>
      <c r="AM315" s="29">
        <f>IF(B315="","",IF(COUNTIF(Performance!$B$5:$B$404,B315)&gt;1,"Duplicate","OK"))</f>
        <v>0</v>
      </c>
      <c r="AN315" s="29">
        <f>IF(B315="","",IF(C315="Not found","Check - content ID not on the calendar",IF(O315="","Add - no numbers entered yet",IF(AM315="Duplicate","Duplicate - this post is entered twice",IF(AL315="Top performer","Repurpose this one","OK")))))</f>
        <v>0</v>
      </c>
    </row>
    <row r="316" spans="1:40">
      <c r="A316" s="41">
        <f>IF(B316="","","PF-"&amp;TEXT(ROW()-4,"0000"))</f>
        <v>0</v>
      </c>
      <c r="C316" s="17">
        <f>IF(B316="","",IFERROR(INDEX('Content Calendar'!$H$5:$H$604,MATCH(B316,'Content Calendar'!$A$5:$A$604,0)),"Not found"))</f>
        <v>0</v>
      </c>
      <c r="D316" s="16">
        <f>IF(B316="","",IFERROR(INDEX('Content Calendar'!$B$5:$B$604,MATCH(B316,'Content Calendar'!$A$5:$A$604,0)),"Not found"))</f>
        <v>0</v>
      </c>
      <c r="E316" s="17">
        <f>IF(B316="","",IFERROR(INDEX('Content Calendar'!$D$5:$D$604,MATCH(B316,'Content Calendar'!$A$5:$A$604,0)),"Not found"))</f>
        <v>0</v>
      </c>
      <c r="F316" s="17">
        <f>IF(B316="","",IFERROR(INDEX('Content Calendar'!$G$5:$G$604,MATCH(B316,'Content Calendar'!$A$5:$A$604,0)),"Not found"))</f>
        <v>0</v>
      </c>
      <c r="G316" s="17">
        <f>IF(B316="","",IFERROR(INDEX('Content Calendar'!$K$5:$K$604,MATCH(B316,'Content Calendar'!$A$5:$A$604,0)),"Not found"))</f>
        <v>0</v>
      </c>
      <c r="H316" s="17">
        <f>IF(B316="","",IFERROR(INDEX('Content Calendar'!$J$5:$J$604,MATCH(B316,'Content Calendar'!$A$5:$A$604,0)),"Not found"))</f>
        <v>0</v>
      </c>
      <c r="I316" s="17">
        <f>IF(B316="","",IFERROR(INDEX('Content Calendar'!$L$5:$L$604,MATCH(B316,'Content Calendar'!$A$5:$A$604,0)),"Not found"))</f>
        <v>0</v>
      </c>
      <c r="J316" s="17">
        <f>IF(B316="","",IFERROR(INDEX('Content Calendar'!$P$5:$P$604,MATCH(B316,'Content Calendar'!$A$5:$A$604,0)),"Not found"))</f>
        <v>0</v>
      </c>
      <c r="K316" s="17">
        <f>IF(B316="","",IFERROR(INDEX('Content Calendar'!$O$5:$O$604,MATCH(B316,'Content Calendar'!$A$5:$A$604,0)),"Not found"))</f>
        <v>0</v>
      </c>
      <c r="L316" s="17">
        <f>IF(B316="","",IFERROR(INDEX('Content Calendar'!$N$5:$N$604,MATCH(B316,'Content Calendar'!$A$5:$A$604,0)),"Not found"))</f>
        <v>0</v>
      </c>
      <c r="M316" s="17">
        <f>IF(B316="","",IFERROR(INDEX('Content Calendar'!$C$5:$C$604,MATCH(B316,'Content Calendar'!$A$5:$A$604,0)),"Not found"))</f>
        <v>0</v>
      </c>
      <c r="N316" s="17">
        <f>IF(B316="","",IFERROR(INDEX('Content Calendar'!$F$5:$F$604,MATCH(B316,'Content Calendar'!$A$5:$A$604,0)),"Not found"))</f>
        <v>0</v>
      </c>
      <c r="Z316" s="23">
        <f>IF(O316="","",N(Q316)+N(R316)+N(S316)+N(T316))</f>
        <v>0</v>
      </c>
      <c r="AA316" s="24">
        <f>IF(OR(O316="",O316=0),"",Z316/O316)</f>
        <v>0</v>
      </c>
      <c r="AB316" s="24">
        <f>IF(OR(O316="",O316=0),"",N(T316)/O316)</f>
        <v>0</v>
      </c>
      <c r="AC316" s="24">
        <f>IF(OR(O316="",O316=0),"",N(S316)/O316)</f>
        <v>0</v>
      </c>
      <c r="AD316" s="24">
        <f>IF(OR(O316="",O316=0),"",N(R316)/O316)</f>
        <v>0</v>
      </c>
      <c r="AE316" s="24">
        <f>IF(OR(O316="",O316=0),"",N(U316)/O316)</f>
        <v>0</v>
      </c>
      <c r="AF316" s="24">
        <f>IF(OR(U316="",U316=0),"",N(W316)/U316)</f>
        <v>0</v>
      </c>
      <c r="AG316" s="25">
        <f>IF(OR(O316="",O316=0),"",N(X316)/(O316/1000))</f>
        <v>0</v>
      </c>
      <c r="AH316" s="24">
        <f>IF(O316="","",IF(Y316="",TargetEngagement,Y316))</f>
        <v>0</v>
      </c>
      <c r="AI316" s="24">
        <f>IF(OR(AA316="",AH316=""),"",AA316-AH316)</f>
        <v>0</v>
      </c>
      <c r="AJ316" s="31">
        <f>IF(AA316="","",AA316+ROW()/1000000)</f>
        <v>0</v>
      </c>
      <c r="AK316" s="23">
        <f>IF(AA316="","",RANK(AJ316,Performance!$AJ$5:$AJ$404))</f>
        <v>0</v>
      </c>
      <c r="AL316" s="29">
        <f>IF(AA316="","",IF(AA316&gt;=AH316*1.5,"Top performer",IF(AA316&gt;=AH316,"Above target",IF(AA316&gt;=AH316*0.6,"Below target","Weak - review it"))))</f>
        <v>0</v>
      </c>
      <c r="AM316" s="29">
        <f>IF(B316="","",IF(COUNTIF(Performance!$B$5:$B$404,B316)&gt;1,"Duplicate","OK"))</f>
        <v>0</v>
      </c>
      <c r="AN316" s="29">
        <f>IF(B316="","",IF(C316="Not found","Check - content ID not on the calendar",IF(O316="","Add - no numbers entered yet",IF(AM316="Duplicate","Duplicate - this post is entered twice",IF(AL316="Top performer","Repurpose this one","OK")))))</f>
        <v>0</v>
      </c>
    </row>
    <row r="317" spans="1:40">
      <c r="A317" s="41">
        <f>IF(B317="","","PF-"&amp;TEXT(ROW()-4,"0000"))</f>
        <v>0</v>
      </c>
      <c r="C317" s="17">
        <f>IF(B317="","",IFERROR(INDEX('Content Calendar'!$H$5:$H$604,MATCH(B317,'Content Calendar'!$A$5:$A$604,0)),"Not found"))</f>
        <v>0</v>
      </c>
      <c r="D317" s="16">
        <f>IF(B317="","",IFERROR(INDEX('Content Calendar'!$B$5:$B$604,MATCH(B317,'Content Calendar'!$A$5:$A$604,0)),"Not found"))</f>
        <v>0</v>
      </c>
      <c r="E317" s="17">
        <f>IF(B317="","",IFERROR(INDEX('Content Calendar'!$D$5:$D$604,MATCH(B317,'Content Calendar'!$A$5:$A$604,0)),"Not found"))</f>
        <v>0</v>
      </c>
      <c r="F317" s="17">
        <f>IF(B317="","",IFERROR(INDEX('Content Calendar'!$G$5:$G$604,MATCH(B317,'Content Calendar'!$A$5:$A$604,0)),"Not found"))</f>
        <v>0</v>
      </c>
      <c r="G317" s="17">
        <f>IF(B317="","",IFERROR(INDEX('Content Calendar'!$K$5:$K$604,MATCH(B317,'Content Calendar'!$A$5:$A$604,0)),"Not found"))</f>
        <v>0</v>
      </c>
      <c r="H317" s="17">
        <f>IF(B317="","",IFERROR(INDEX('Content Calendar'!$J$5:$J$604,MATCH(B317,'Content Calendar'!$A$5:$A$604,0)),"Not found"))</f>
        <v>0</v>
      </c>
      <c r="I317" s="17">
        <f>IF(B317="","",IFERROR(INDEX('Content Calendar'!$L$5:$L$604,MATCH(B317,'Content Calendar'!$A$5:$A$604,0)),"Not found"))</f>
        <v>0</v>
      </c>
      <c r="J317" s="17">
        <f>IF(B317="","",IFERROR(INDEX('Content Calendar'!$P$5:$P$604,MATCH(B317,'Content Calendar'!$A$5:$A$604,0)),"Not found"))</f>
        <v>0</v>
      </c>
      <c r="K317" s="17">
        <f>IF(B317="","",IFERROR(INDEX('Content Calendar'!$O$5:$O$604,MATCH(B317,'Content Calendar'!$A$5:$A$604,0)),"Not found"))</f>
        <v>0</v>
      </c>
      <c r="L317" s="17">
        <f>IF(B317="","",IFERROR(INDEX('Content Calendar'!$N$5:$N$604,MATCH(B317,'Content Calendar'!$A$5:$A$604,0)),"Not found"))</f>
        <v>0</v>
      </c>
      <c r="M317" s="17">
        <f>IF(B317="","",IFERROR(INDEX('Content Calendar'!$C$5:$C$604,MATCH(B317,'Content Calendar'!$A$5:$A$604,0)),"Not found"))</f>
        <v>0</v>
      </c>
      <c r="N317" s="17">
        <f>IF(B317="","",IFERROR(INDEX('Content Calendar'!$F$5:$F$604,MATCH(B317,'Content Calendar'!$A$5:$A$604,0)),"Not found"))</f>
        <v>0</v>
      </c>
      <c r="Z317" s="23">
        <f>IF(O317="","",N(Q317)+N(R317)+N(S317)+N(T317))</f>
        <v>0</v>
      </c>
      <c r="AA317" s="24">
        <f>IF(OR(O317="",O317=0),"",Z317/O317)</f>
        <v>0</v>
      </c>
      <c r="AB317" s="24">
        <f>IF(OR(O317="",O317=0),"",N(T317)/O317)</f>
        <v>0</v>
      </c>
      <c r="AC317" s="24">
        <f>IF(OR(O317="",O317=0),"",N(S317)/O317)</f>
        <v>0</v>
      </c>
      <c r="AD317" s="24">
        <f>IF(OR(O317="",O317=0),"",N(R317)/O317)</f>
        <v>0</v>
      </c>
      <c r="AE317" s="24">
        <f>IF(OR(O317="",O317=0),"",N(U317)/O317)</f>
        <v>0</v>
      </c>
      <c r="AF317" s="24">
        <f>IF(OR(U317="",U317=0),"",N(W317)/U317)</f>
        <v>0</v>
      </c>
      <c r="AG317" s="25">
        <f>IF(OR(O317="",O317=0),"",N(X317)/(O317/1000))</f>
        <v>0</v>
      </c>
      <c r="AH317" s="24">
        <f>IF(O317="","",IF(Y317="",TargetEngagement,Y317))</f>
        <v>0</v>
      </c>
      <c r="AI317" s="24">
        <f>IF(OR(AA317="",AH317=""),"",AA317-AH317)</f>
        <v>0</v>
      </c>
      <c r="AJ317" s="31">
        <f>IF(AA317="","",AA317+ROW()/1000000)</f>
        <v>0</v>
      </c>
      <c r="AK317" s="23">
        <f>IF(AA317="","",RANK(AJ317,Performance!$AJ$5:$AJ$404))</f>
        <v>0</v>
      </c>
      <c r="AL317" s="29">
        <f>IF(AA317="","",IF(AA317&gt;=AH317*1.5,"Top performer",IF(AA317&gt;=AH317,"Above target",IF(AA317&gt;=AH317*0.6,"Below target","Weak - review it"))))</f>
        <v>0</v>
      </c>
      <c r="AM317" s="29">
        <f>IF(B317="","",IF(COUNTIF(Performance!$B$5:$B$404,B317)&gt;1,"Duplicate","OK"))</f>
        <v>0</v>
      </c>
      <c r="AN317" s="29">
        <f>IF(B317="","",IF(C317="Not found","Check - content ID not on the calendar",IF(O317="","Add - no numbers entered yet",IF(AM317="Duplicate","Duplicate - this post is entered twice",IF(AL317="Top performer","Repurpose this one","OK")))))</f>
        <v>0</v>
      </c>
    </row>
    <row r="318" spans="1:40">
      <c r="A318" s="41">
        <f>IF(B318="","","PF-"&amp;TEXT(ROW()-4,"0000"))</f>
        <v>0</v>
      </c>
      <c r="C318" s="17">
        <f>IF(B318="","",IFERROR(INDEX('Content Calendar'!$H$5:$H$604,MATCH(B318,'Content Calendar'!$A$5:$A$604,0)),"Not found"))</f>
        <v>0</v>
      </c>
      <c r="D318" s="16">
        <f>IF(B318="","",IFERROR(INDEX('Content Calendar'!$B$5:$B$604,MATCH(B318,'Content Calendar'!$A$5:$A$604,0)),"Not found"))</f>
        <v>0</v>
      </c>
      <c r="E318" s="17">
        <f>IF(B318="","",IFERROR(INDEX('Content Calendar'!$D$5:$D$604,MATCH(B318,'Content Calendar'!$A$5:$A$604,0)),"Not found"))</f>
        <v>0</v>
      </c>
      <c r="F318" s="17">
        <f>IF(B318="","",IFERROR(INDEX('Content Calendar'!$G$5:$G$604,MATCH(B318,'Content Calendar'!$A$5:$A$604,0)),"Not found"))</f>
        <v>0</v>
      </c>
      <c r="G318" s="17">
        <f>IF(B318="","",IFERROR(INDEX('Content Calendar'!$K$5:$K$604,MATCH(B318,'Content Calendar'!$A$5:$A$604,0)),"Not found"))</f>
        <v>0</v>
      </c>
      <c r="H318" s="17">
        <f>IF(B318="","",IFERROR(INDEX('Content Calendar'!$J$5:$J$604,MATCH(B318,'Content Calendar'!$A$5:$A$604,0)),"Not found"))</f>
        <v>0</v>
      </c>
      <c r="I318" s="17">
        <f>IF(B318="","",IFERROR(INDEX('Content Calendar'!$L$5:$L$604,MATCH(B318,'Content Calendar'!$A$5:$A$604,0)),"Not found"))</f>
        <v>0</v>
      </c>
      <c r="J318" s="17">
        <f>IF(B318="","",IFERROR(INDEX('Content Calendar'!$P$5:$P$604,MATCH(B318,'Content Calendar'!$A$5:$A$604,0)),"Not found"))</f>
        <v>0</v>
      </c>
      <c r="K318" s="17">
        <f>IF(B318="","",IFERROR(INDEX('Content Calendar'!$O$5:$O$604,MATCH(B318,'Content Calendar'!$A$5:$A$604,0)),"Not found"))</f>
        <v>0</v>
      </c>
      <c r="L318" s="17">
        <f>IF(B318="","",IFERROR(INDEX('Content Calendar'!$N$5:$N$604,MATCH(B318,'Content Calendar'!$A$5:$A$604,0)),"Not found"))</f>
        <v>0</v>
      </c>
      <c r="M318" s="17">
        <f>IF(B318="","",IFERROR(INDEX('Content Calendar'!$C$5:$C$604,MATCH(B318,'Content Calendar'!$A$5:$A$604,0)),"Not found"))</f>
        <v>0</v>
      </c>
      <c r="N318" s="17">
        <f>IF(B318="","",IFERROR(INDEX('Content Calendar'!$F$5:$F$604,MATCH(B318,'Content Calendar'!$A$5:$A$604,0)),"Not found"))</f>
        <v>0</v>
      </c>
      <c r="Z318" s="23">
        <f>IF(O318="","",N(Q318)+N(R318)+N(S318)+N(T318))</f>
        <v>0</v>
      </c>
      <c r="AA318" s="24">
        <f>IF(OR(O318="",O318=0),"",Z318/O318)</f>
        <v>0</v>
      </c>
      <c r="AB318" s="24">
        <f>IF(OR(O318="",O318=0),"",N(T318)/O318)</f>
        <v>0</v>
      </c>
      <c r="AC318" s="24">
        <f>IF(OR(O318="",O318=0),"",N(S318)/O318)</f>
        <v>0</v>
      </c>
      <c r="AD318" s="24">
        <f>IF(OR(O318="",O318=0),"",N(R318)/O318)</f>
        <v>0</v>
      </c>
      <c r="AE318" s="24">
        <f>IF(OR(O318="",O318=0),"",N(U318)/O318)</f>
        <v>0</v>
      </c>
      <c r="AF318" s="24">
        <f>IF(OR(U318="",U318=0),"",N(W318)/U318)</f>
        <v>0</v>
      </c>
      <c r="AG318" s="25">
        <f>IF(OR(O318="",O318=0),"",N(X318)/(O318/1000))</f>
        <v>0</v>
      </c>
      <c r="AH318" s="24">
        <f>IF(O318="","",IF(Y318="",TargetEngagement,Y318))</f>
        <v>0</v>
      </c>
      <c r="AI318" s="24">
        <f>IF(OR(AA318="",AH318=""),"",AA318-AH318)</f>
        <v>0</v>
      </c>
      <c r="AJ318" s="31">
        <f>IF(AA318="","",AA318+ROW()/1000000)</f>
        <v>0</v>
      </c>
      <c r="AK318" s="23">
        <f>IF(AA318="","",RANK(AJ318,Performance!$AJ$5:$AJ$404))</f>
        <v>0</v>
      </c>
      <c r="AL318" s="29">
        <f>IF(AA318="","",IF(AA318&gt;=AH318*1.5,"Top performer",IF(AA318&gt;=AH318,"Above target",IF(AA318&gt;=AH318*0.6,"Below target","Weak - review it"))))</f>
        <v>0</v>
      </c>
      <c r="AM318" s="29">
        <f>IF(B318="","",IF(COUNTIF(Performance!$B$5:$B$404,B318)&gt;1,"Duplicate","OK"))</f>
        <v>0</v>
      </c>
      <c r="AN318" s="29">
        <f>IF(B318="","",IF(C318="Not found","Check - content ID not on the calendar",IF(O318="","Add - no numbers entered yet",IF(AM318="Duplicate","Duplicate - this post is entered twice",IF(AL318="Top performer","Repurpose this one","OK")))))</f>
        <v>0</v>
      </c>
    </row>
    <row r="319" spans="1:40">
      <c r="A319" s="41">
        <f>IF(B319="","","PF-"&amp;TEXT(ROW()-4,"0000"))</f>
        <v>0</v>
      </c>
      <c r="C319" s="17">
        <f>IF(B319="","",IFERROR(INDEX('Content Calendar'!$H$5:$H$604,MATCH(B319,'Content Calendar'!$A$5:$A$604,0)),"Not found"))</f>
        <v>0</v>
      </c>
      <c r="D319" s="16">
        <f>IF(B319="","",IFERROR(INDEX('Content Calendar'!$B$5:$B$604,MATCH(B319,'Content Calendar'!$A$5:$A$604,0)),"Not found"))</f>
        <v>0</v>
      </c>
      <c r="E319" s="17">
        <f>IF(B319="","",IFERROR(INDEX('Content Calendar'!$D$5:$D$604,MATCH(B319,'Content Calendar'!$A$5:$A$604,0)),"Not found"))</f>
        <v>0</v>
      </c>
      <c r="F319" s="17">
        <f>IF(B319="","",IFERROR(INDEX('Content Calendar'!$G$5:$G$604,MATCH(B319,'Content Calendar'!$A$5:$A$604,0)),"Not found"))</f>
        <v>0</v>
      </c>
      <c r="G319" s="17">
        <f>IF(B319="","",IFERROR(INDEX('Content Calendar'!$K$5:$K$604,MATCH(B319,'Content Calendar'!$A$5:$A$604,0)),"Not found"))</f>
        <v>0</v>
      </c>
      <c r="H319" s="17">
        <f>IF(B319="","",IFERROR(INDEX('Content Calendar'!$J$5:$J$604,MATCH(B319,'Content Calendar'!$A$5:$A$604,0)),"Not found"))</f>
        <v>0</v>
      </c>
      <c r="I319" s="17">
        <f>IF(B319="","",IFERROR(INDEX('Content Calendar'!$L$5:$L$604,MATCH(B319,'Content Calendar'!$A$5:$A$604,0)),"Not found"))</f>
        <v>0</v>
      </c>
      <c r="J319" s="17">
        <f>IF(B319="","",IFERROR(INDEX('Content Calendar'!$P$5:$P$604,MATCH(B319,'Content Calendar'!$A$5:$A$604,0)),"Not found"))</f>
        <v>0</v>
      </c>
      <c r="K319" s="17">
        <f>IF(B319="","",IFERROR(INDEX('Content Calendar'!$O$5:$O$604,MATCH(B319,'Content Calendar'!$A$5:$A$604,0)),"Not found"))</f>
        <v>0</v>
      </c>
      <c r="L319" s="17">
        <f>IF(B319="","",IFERROR(INDEX('Content Calendar'!$N$5:$N$604,MATCH(B319,'Content Calendar'!$A$5:$A$604,0)),"Not found"))</f>
        <v>0</v>
      </c>
      <c r="M319" s="17">
        <f>IF(B319="","",IFERROR(INDEX('Content Calendar'!$C$5:$C$604,MATCH(B319,'Content Calendar'!$A$5:$A$604,0)),"Not found"))</f>
        <v>0</v>
      </c>
      <c r="N319" s="17">
        <f>IF(B319="","",IFERROR(INDEX('Content Calendar'!$F$5:$F$604,MATCH(B319,'Content Calendar'!$A$5:$A$604,0)),"Not found"))</f>
        <v>0</v>
      </c>
      <c r="Z319" s="23">
        <f>IF(O319="","",N(Q319)+N(R319)+N(S319)+N(T319))</f>
        <v>0</v>
      </c>
      <c r="AA319" s="24">
        <f>IF(OR(O319="",O319=0),"",Z319/O319)</f>
        <v>0</v>
      </c>
      <c r="AB319" s="24">
        <f>IF(OR(O319="",O319=0),"",N(T319)/O319)</f>
        <v>0</v>
      </c>
      <c r="AC319" s="24">
        <f>IF(OR(O319="",O319=0),"",N(S319)/O319)</f>
        <v>0</v>
      </c>
      <c r="AD319" s="24">
        <f>IF(OR(O319="",O319=0),"",N(R319)/O319)</f>
        <v>0</v>
      </c>
      <c r="AE319" s="24">
        <f>IF(OR(O319="",O319=0),"",N(U319)/O319)</f>
        <v>0</v>
      </c>
      <c r="AF319" s="24">
        <f>IF(OR(U319="",U319=0),"",N(W319)/U319)</f>
        <v>0</v>
      </c>
      <c r="AG319" s="25">
        <f>IF(OR(O319="",O319=0),"",N(X319)/(O319/1000))</f>
        <v>0</v>
      </c>
      <c r="AH319" s="24">
        <f>IF(O319="","",IF(Y319="",TargetEngagement,Y319))</f>
        <v>0</v>
      </c>
      <c r="AI319" s="24">
        <f>IF(OR(AA319="",AH319=""),"",AA319-AH319)</f>
        <v>0</v>
      </c>
      <c r="AJ319" s="31">
        <f>IF(AA319="","",AA319+ROW()/1000000)</f>
        <v>0</v>
      </c>
      <c r="AK319" s="23">
        <f>IF(AA319="","",RANK(AJ319,Performance!$AJ$5:$AJ$404))</f>
        <v>0</v>
      </c>
      <c r="AL319" s="29">
        <f>IF(AA319="","",IF(AA319&gt;=AH319*1.5,"Top performer",IF(AA319&gt;=AH319,"Above target",IF(AA319&gt;=AH319*0.6,"Below target","Weak - review it"))))</f>
        <v>0</v>
      </c>
      <c r="AM319" s="29">
        <f>IF(B319="","",IF(COUNTIF(Performance!$B$5:$B$404,B319)&gt;1,"Duplicate","OK"))</f>
        <v>0</v>
      </c>
      <c r="AN319" s="29">
        <f>IF(B319="","",IF(C319="Not found","Check - content ID not on the calendar",IF(O319="","Add - no numbers entered yet",IF(AM319="Duplicate","Duplicate - this post is entered twice",IF(AL319="Top performer","Repurpose this one","OK")))))</f>
        <v>0</v>
      </c>
    </row>
    <row r="320" spans="1:40">
      <c r="A320" s="41">
        <f>IF(B320="","","PF-"&amp;TEXT(ROW()-4,"0000"))</f>
        <v>0</v>
      </c>
      <c r="C320" s="17">
        <f>IF(B320="","",IFERROR(INDEX('Content Calendar'!$H$5:$H$604,MATCH(B320,'Content Calendar'!$A$5:$A$604,0)),"Not found"))</f>
        <v>0</v>
      </c>
      <c r="D320" s="16">
        <f>IF(B320="","",IFERROR(INDEX('Content Calendar'!$B$5:$B$604,MATCH(B320,'Content Calendar'!$A$5:$A$604,0)),"Not found"))</f>
        <v>0</v>
      </c>
      <c r="E320" s="17">
        <f>IF(B320="","",IFERROR(INDEX('Content Calendar'!$D$5:$D$604,MATCH(B320,'Content Calendar'!$A$5:$A$604,0)),"Not found"))</f>
        <v>0</v>
      </c>
      <c r="F320" s="17">
        <f>IF(B320="","",IFERROR(INDEX('Content Calendar'!$G$5:$G$604,MATCH(B320,'Content Calendar'!$A$5:$A$604,0)),"Not found"))</f>
        <v>0</v>
      </c>
      <c r="G320" s="17">
        <f>IF(B320="","",IFERROR(INDEX('Content Calendar'!$K$5:$K$604,MATCH(B320,'Content Calendar'!$A$5:$A$604,0)),"Not found"))</f>
        <v>0</v>
      </c>
      <c r="H320" s="17">
        <f>IF(B320="","",IFERROR(INDEX('Content Calendar'!$J$5:$J$604,MATCH(B320,'Content Calendar'!$A$5:$A$604,0)),"Not found"))</f>
        <v>0</v>
      </c>
      <c r="I320" s="17">
        <f>IF(B320="","",IFERROR(INDEX('Content Calendar'!$L$5:$L$604,MATCH(B320,'Content Calendar'!$A$5:$A$604,0)),"Not found"))</f>
        <v>0</v>
      </c>
      <c r="J320" s="17">
        <f>IF(B320="","",IFERROR(INDEX('Content Calendar'!$P$5:$P$604,MATCH(B320,'Content Calendar'!$A$5:$A$604,0)),"Not found"))</f>
        <v>0</v>
      </c>
      <c r="K320" s="17">
        <f>IF(B320="","",IFERROR(INDEX('Content Calendar'!$O$5:$O$604,MATCH(B320,'Content Calendar'!$A$5:$A$604,0)),"Not found"))</f>
        <v>0</v>
      </c>
      <c r="L320" s="17">
        <f>IF(B320="","",IFERROR(INDEX('Content Calendar'!$N$5:$N$604,MATCH(B320,'Content Calendar'!$A$5:$A$604,0)),"Not found"))</f>
        <v>0</v>
      </c>
      <c r="M320" s="17">
        <f>IF(B320="","",IFERROR(INDEX('Content Calendar'!$C$5:$C$604,MATCH(B320,'Content Calendar'!$A$5:$A$604,0)),"Not found"))</f>
        <v>0</v>
      </c>
      <c r="N320" s="17">
        <f>IF(B320="","",IFERROR(INDEX('Content Calendar'!$F$5:$F$604,MATCH(B320,'Content Calendar'!$A$5:$A$604,0)),"Not found"))</f>
        <v>0</v>
      </c>
      <c r="Z320" s="23">
        <f>IF(O320="","",N(Q320)+N(R320)+N(S320)+N(T320))</f>
        <v>0</v>
      </c>
      <c r="AA320" s="24">
        <f>IF(OR(O320="",O320=0),"",Z320/O320)</f>
        <v>0</v>
      </c>
      <c r="AB320" s="24">
        <f>IF(OR(O320="",O320=0),"",N(T320)/O320)</f>
        <v>0</v>
      </c>
      <c r="AC320" s="24">
        <f>IF(OR(O320="",O320=0),"",N(S320)/O320)</f>
        <v>0</v>
      </c>
      <c r="AD320" s="24">
        <f>IF(OR(O320="",O320=0),"",N(R320)/O320)</f>
        <v>0</v>
      </c>
      <c r="AE320" s="24">
        <f>IF(OR(O320="",O320=0),"",N(U320)/O320)</f>
        <v>0</v>
      </c>
      <c r="AF320" s="24">
        <f>IF(OR(U320="",U320=0),"",N(W320)/U320)</f>
        <v>0</v>
      </c>
      <c r="AG320" s="25">
        <f>IF(OR(O320="",O320=0),"",N(X320)/(O320/1000))</f>
        <v>0</v>
      </c>
      <c r="AH320" s="24">
        <f>IF(O320="","",IF(Y320="",TargetEngagement,Y320))</f>
        <v>0</v>
      </c>
      <c r="AI320" s="24">
        <f>IF(OR(AA320="",AH320=""),"",AA320-AH320)</f>
        <v>0</v>
      </c>
      <c r="AJ320" s="31">
        <f>IF(AA320="","",AA320+ROW()/1000000)</f>
        <v>0</v>
      </c>
      <c r="AK320" s="23">
        <f>IF(AA320="","",RANK(AJ320,Performance!$AJ$5:$AJ$404))</f>
        <v>0</v>
      </c>
      <c r="AL320" s="29">
        <f>IF(AA320="","",IF(AA320&gt;=AH320*1.5,"Top performer",IF(AA320&gt;=AH320,"Above target",IF(AA320&gt;=AH320*0.6,"Below target","Weak - review it"))))</f>
        <v>0</v>
      </c>
      <c r="AM320" s="29">
        <f>IF(B320="","",IF(COUNTIF(Performance!$B$5:$B$404,B320)&gt;1,"Duplicate","OK"))</f>
        <v>0</v>
      </c>
      <c r="AN320" s="29">
        <f>IF(B320="","",IF(C320="Not found","Check - content ID not on the calendar",IF(O320="","Add - no numbers entered yet",IF(AM320="Duplicate","Duplicate - this post is entered twice",IF(AL320="Top performer","Repurpose this one","OK")))))</f>
        <v>0</v>
      </c>
    </row>
    <row r="321" spans="1:40">
      <c r="A321" s="41">
        <f>IF(B321="","","PF-"&amp;TEXT(ROW()-4,"0000"))</f>
        <v>0</v>
      </c>
      <c r="C321" s="17">
        <f>IF(B321="","",IFERROR(INDEX('Content Calendar'!$H$5:$H$604,MATCH(B321,'Content Calendar'!$A$5:$A$604,0)),"Not found"))</f>
        <v>0</v>
      </c>
      <c r="D321" s="16">
        <f>IF(B321="","",IFERROR(INDEX('Content Calendar'!$B$5:$B$604,MATCH(B321,'Content Calendar'!$A$5:$A$604,0)),"Not found"))</f>
        <v>0</v>
      </c>
      <c r="E321" s="17">
        <f>IF(B321="","",IFERROR(INDEX('Content Calendar'!$D$5:$D$604,MATCH(B321,'Content Calendar'!$A$5:$A$604,0)),"Not found"))</f>
        <v>0</v>
      </c>
      <c r="F321" s="17">
        <f>IF(B321="","",IFERROR(INDEX('Content Calendar'!$G$5:$G$604,MATCH(B321,'Content Calendar'!$A$5:$A$604,0)),"Not found"))</f>
        <v>0</v>
      </c>
      <c r="G321" s="17">
        <f>IF(B321="","",IFERROR(INDEX('Content Calendar'!$K$5:$K$604,MATCH(B321,'Content Calendar'!$A$5:$A$604,0)),"Not found"))</f>
        <v>0</v>
      </c>
      <c r="H321" s="17">
        <f>IF(B321="","",IFERROR(INDEX('Content Calendar'!$J$5:$J$604,MATCH(B321,'Content Calendar'!$A$5:$A$604,0)),"Not found"))</f>
        <v>0</v>
      </c>
      <c r="I321" s="17">
        <f>IF(B321="","",IFERROR(INDEX('Content Calendar'!$L$5:$L$604,MATCH(B321,'Content Calendar'!$A$5:$A$604,0)),"Not found"))</f>
        <v>0</v>
      </c>
      <c r="J321" s="17">
        <f>IF(B321="","",IFERROR(INDEX('Content Calendar'!$P$5:$P$604,MATCH(B321,'Content Calendar'!$A$5:$A$604,0)),"Not found"))</f>
        <v>0</v>
      </c>
      <c r="K321" s="17">
        <f>IF(B321="","",IFERROR(INDEX('Content Calendar'!$O$5:$O$604,MATCH(B321,'Content Calendar'!$A$5:$A$604,0)),"Not found"))</f>
        <v>0</v>
      </c>
      <c r="L321" s="17">
        <f>IF(B321="","",IFERROR(INDEX('Content Calendar'!$N$5:$N$604,MATCH(B321,'Content Calendar'!$A$5:$A$604,0)),"Not found"))</f>
        <v>0</v>
      </c>
      <c r="M321" s="17">
        <f>IF(B321="","",IFERROR(INDEX('Content Calendar'!$C$5:$C$604,MATCH(B321,'Content Calendar'!$A$5:$A$604,0)),"Not found"))</f>
        <v>0</v>
      </c>
      <c r="N321" s="17">
        <f>IF(B321="","",IFERROR(INDEX('Content Calendar'!$F$5:$F$604,MATCH(B321,'Content Calendar'!$A$5:$A$604,0)),"Not found"))</f>
        <v>0</v>
      </c>
      <c r="Z321" s="23">
        <f>IF(O321="","",N(Q321)+N(R321)+N(S321)+N(T321))</f>
        <v>0</v>
      </c>
      <c r="AA321" s="24">
        <f>IF(OR(O321="",O321=0),"",Z321/O321)</f>
        <v>0</v>
      </c>
      <c r="AB321" s="24">
        <f>IF(OR(O321="",O321=0),"",N(T321)/O321)</f>
        <v>0</v>
      </c>
      <c r="AC321" s="24">
        <f>IF(OR(O321="",O321=0),"",N(S321)/O321)</f>
        <v>0</v>
      </c>
      <c r="AD321" s="24">
        <f>IF(OR(O321="",O321=0),"",N(R321)/O321)</f>
        <v>0</v>
      </c>
      <c r="AE321" s="24">
        <f>IF(OR(O321="",O321=0),"",N(U321)/O321)</f>
        <v>0</v>
      </c>
      <c r="AF321" s="24">
        <f>IF(OR(U321="",U321=0),"",N(W321)/U321)</f>
        <v>0</v>
      </c>
      <c r="AG321" s="25">
        <f>IF(OR(O321="",O321=0),"",N(X321)/(O321/1000))</f>
        <v>0</v>
      </c>
      <c r="AH321" s="24">
        <f>IF(O321="","",IF(Y321="",TargetEngagement,Y321))</f>
        <v>0</v>
      </c>
      <c r="AI321" s="24">
        <f>IF(OR(AA321="",AH321=""),"",AA321-AH321)</f>
        <v>0</v>
      </c>
      <c r="AJ321" s="31">
        <f>IF(AA321="","",AA321+ROW()/1000000)</f>
        <v>0</v>
      </c>
      <c r="AK321" s="23">
        <f>IF(AA321="","",RANK(AJ321,Performance!$AJ$5:$AJ$404))</f>
        <v>0</v>
      </c>
      <c r="AL321" s="29">
        <f>IF(AA321="","",IF(AA321&gt;=AH321*1.5,"Top performer",IF(AA321&gt;=AH321,"Above target",IF(AA321&gt;=AH321*0.6,"Below target","Weak - review it"))))</f>
        <v>0</v>
      </c>
      <c r="AM321" s="29">
        <f>IF(B321="","",IF(COUNTIF(Performance!$B$5:$B$404,B321)&gt;1,"Duplicate","OK"))</f>
        <v>0</v>
      </c>
      <c r="AN321" s="29">
        <f>IF(B321="","",IF(C321="Not found","Check - content ID not on the calendar",IF(O321="","Add - no numbers entered yet",IF(AM321="Duplicate","Duplicate - this post is entered twice",IF(AL321="Top performer","Repurpose this one","OK")))))</f>
        <v>0</v>
      </c>
    </row>
    <row r="322" spans="1:40">
      <c r="A322" s="41">
        <f>IF(B322="","","PF-"&amp;TEXT(ROW()-4,"0000"))</f>
        <v>0</v>
      </c>
      <c r="C322" s="17">
        <f>IF(B322="","",IFERROR(INDEX('Content Calendar'!$H$5:$H$604,MATCH(B322,'Content Calendar'!$A$5:$A$604,0)),"Not found"))</f>
        <v>0</v>
      </c>
      <c r="D322" s="16">
        <f>IF(B322="","",IFERROR(INDEX('Content Calendar'!$B$5:$B$604,MATCH(B322,'Content Calendar'!$A$5:$A$604,0)),"Not found"))</f>
        <v>0</v>
      </c>
      <c r="E322" s="17">
        <f>IF(B322="","",IFERROR(INDEX('Content Calendar'!$D$5:$D$604,MATCH(B322,'Content Calendar'!$A$5:$A$604,0)),"Not found"))</f>
        <v>0</v>
      </c>
      <c r="F322" s="17">
        <f>IF(B322="","",IFERROR(INDEX('Content Calendar'!$G$5:$G$604,MATCH(B322,'Content Calendar'!$A$5:$A$604,0)),"Not found"))</f>
        <v>0</v>
      </c>
      <c r="G322" s="17">
        <f>IF(B322="","",IFERROR(INDEX('Content Calendar'!$K$5:$K$604,MATCH(B322,'Content Calendar'!$A$5:$A$604,0)),"Not found"))</f>
        <v>0</v>
      </c>
      <c r="H322" s="17">
        <f>IF(B322="","",IFERROR(INDEX('Content Calendar'!$J$5:$J$604,MATCH(B322,'Content Calendar'!$A$5:$A$604,0)),"Not found"))</f>
        <v>0</v>
      </c>
      <c r="I322" s="17">
        <f>IF(B322="","",IFERROR(INDEX('Content Calendar'!$L$5:$L$604,MATCH(B322,'Content Calendar'!$A$5:$A$604,0)),"Not found"))</f>
        <v>0</v>
      </c>
      <c r="J322" s="17">
        <f>IF(B322="","",IFERROR(INDEX('Content Calendar'!$P$5:$P$604,MATCH(B322,'Content Calendar'!$A$5:$A$604,0)),"Not found"))</f>
        <v>0</v>
      </c>
      <c r="K322" s="17">
        <f>IF(B322="","",IFERROR(INDEX('Content Calendar'!$O$5:$O$604,MATCH(B322,'Content Calendar'!$A$5:$A$604,0)),"Not found"))</f>
        <v>0</v>
      </c>
      <c r="L322" s="17">
        <f>IF(B322="","",IFERROR(INDEX('Content Calendar'!$N$5:$N$604,MATCH(B322,'Content Calendar'!$A$5:$A$604,0)),"Not found"))</f>
        <v>0</v>
      </c>
      <c r="M322" s="17">
        <f>IF(B322="","",IFERROR(INDEX('Content Calendar'!$C$5:$C$604,MATCH(B322,'Content Calendar'!$A$5:$A$604,0)),"Not found"))</f>
        <v>0</v>
      </c>
      <c r="N322" s="17">
        <f>IF(B322="","",IFERROR(INDEX('Content Calendar'!$F$5:$F$604,MATCH(B322,'Content Calendar'!$A$5:$A$604,0)),"Not found"))</f>
        <v>0</v>
      </c>
      <c r="Z322" s="23">
        <f>IF(O322="","",N(Q322)+N(R322)+N(S322)+N(T322))</f>
        <v>0</v>
      </c>
      <c r="AA322" s="24">
        <f>IF(OR(O322="",O322=0),"",Z322/O322)</f>
        <v>0</v>
      </c>
      <c r="AB322" s="24">
        <f>IF(OR(O322="",O322=0),"",N(T322)/O322)</f>
        <v>0</v>
      </c>
      <c r="AC322" s="24">
        <f>IF(OR(O322="",O322=0),"",N(S322)/O322)</f>
        <v>0</v>
      </c>
      <c r="AD322" s="24">
        <f>IF(OR(O322="",O322=0),"",N(R322)/O322)</f>
        <v>0</v>
      </c>
      <c r="AE322" s="24">
        <f>IF(OR(O322="",O322=0),"",N(U322)/O322)</f>
        <v>0</v>
      </c>
      <c r="AF322" s="24">
        <f>IF(OR(U322="",U322=0),"",N(W322)/U322)</f>
        <v>0</v>
      </c>
      <c r="AG322" s="25">
        <f>IF(OR(O322="",O322=0),"",N(X322)/(O322/1000))</f>
        <v>0</v>
      </c>
      <c r="AH322" s="24">
        <f>IF(O322="","",IF(Y322="",TargetEngagement,Y322))</f>
        <v>0</v>
      </c>
      <c r="AI322" s="24">
        <f>IF(OR(AA322="",AH322=""),"",AA322-AH322)</f>
        <v>0</v>
      </c>
      <c r="AJ322" s="31">
        <f>IF(AA322="","",AA322+ROW()/1000000)</f>
        <v>0</v>
      </c>
      <c r="AK322" s="23">
        <f>IF(AA322="","",RANK(AJ322,Performance!$AJ$5:$AJ$404))</f>
        <v>0</v>
      </c>
      <c r="AL322" s="29">
        <f>IF(AA322="","",IF(AA322&gt;=AH322*1.5,"Top performer",IF(AA322&gt;=AH322,"Above target",IF(AA322&gt;=AH322*0.6,"Below target","Weak - review it"))))</f>
        <v>0</v>
      </c>
      <c r="AM322" s="29">
        <f>IF(B322="","",IF(COUNTIF(Performance!$B$5:$B$404,B322)&gt;1,"Duplicate","OK"))</f>
        <v>0</v>
      </c>
      <c r="AN322" s="29">
        <f>IF(B322="","",IF(C322="Not found","Check - content ID not on the calendar",IF(O322="","Add - no numbers entered yet",IF(AM322="Duplicate","Duplicate - this post is entered twice",IF(AL322="Top performer","Repurpose this one","OK")))))</f>
        <v>0</v>
      </c>
    </row>
    <row r="323" spans="1:40">
      <c r="A323" s="41">
        <f>IF(B323="","","PF-"&amp;TEXT(ROW()-4,"0000"))</f>
        <v>0</v>
      </c>
      <c r="C323" s="17">
        <f>IF(B323="","",IFERROR(INDEX('Content Calendar'!$H$5:$H$604,MATCH(B323,'Content Calendar'!$A$5:$A$604,0)),"Not found"))</f>
        <v>0</v>
      </c>
      <c r="D323" s="16">
        <f>IF(B323="","",IFERROR(INDEX('Content Calendar'!$B$5:$B$604,MATCH(B323,'Content Calendar'!$A$5:$A$604,0)),"Not found"))</f>
        <v>0</v>
      </c>
      <c r="E323" s="17">
        <f>IF(B323="","",IFERROR(INDEX('Content Calendar'!$D$5:$D$604,MATCH(B323,'Content Calendar'!$A$5:$A$604,0)),"Not found"))</f>
        <v>0</v>
      </c>
      <c r="F323" s="17">
        <f>IF(B323="","",IFERROR(INDEX('Content Calendar'!$G$5:$G$604,MATCH(B323,'Content Calendar'!$A$5:$A$604,0)),"Not found"))</f>
        <v>0</v>
      </c>
      <c r="G323" s="17">
        <f>IF(B323="","",IFERROR(INDEX('Content Calendar'!$K$5:$K$604,MATCH(B323,'Content Calendar'!$A$5:$A$604,0)),"Not found"))</f>
        <v>0</v>
      </c>
      <c r="H323" s="17">
        <f>IF(B323="","",IFERROR(INDEX('Content Calendar'!$J$5:$J$604,MATCH(B323,'Content Calendar'!$A$5:$A$604,0)),"Not found"))</f>
        <v>0</v>
      </c>
      <c r="I323" s="17">
        <f>IF(B323="","",IFERROR(INDEX('Content Calendar'!$L$5:$L$604,MATCH(B323,'Content Calendar'!$A$5:$A$604,0)),"Not found"))</f>
        <v>0</v>
      </c>
      <c r="J323" s="17">
        <f>IF(B323="","",IFERROR(INDEX('Content Calendar'!$P$5:$P$604,MATCH(B323,'Content Calendar'!$A$5:$A$604,0)),"Not found"))</f>
        <v>0</v>
      </c>
      <c r="K323" s="17">
        <f>IF(B323="","",IFERROR(INDEX('Content Calendar'!$O$5:$O$604,MATCH(B323,'Content Calendar'!$A$5:$A$604,0)),"Not found"))</f>
        <v>0</v>
      </c>
      <c r="L323" s="17">
        <f>IF(B323="","",IFERROR(INDEX('Content Calendar'!$N$5:$N$604,MATCH(B323,'Content Calendar'!$A$5:$A$604,0)),"Not found"))</f>
        <v>0</v>
      </c>
      <c r="M323" s="17">
        <f>IF(B323="","",IFERROR(INDEX('Content Calendar'!$C$5:$C$604,MATCH(B323,'Content Calendar'!$A$5:$A$604,0)),"Not found"))</f>
        <v>0</v>
      </c>
      <c r="N323" s="17">
        <f>IF(B323="","",IFERROR(INDEX('Content Calendar'!$F$5:$F$604,MATCH(B323,'Content Calendar'!$A$5:$A$604,0)),"Not found"))</f>
        <v>0</v>
      </c>
      <c r="Z323" s="23">
        <f>IF(O323="","",N(Q323)+N(R323)+N(S323)+N(T323))</f>
        <v>0</v>
      </c>
      <c r="AA323" s="24">
        <f>IF(OR(O323="",O323=0),"",Z323/O323)</f>
        <v>0</v>
      </c>
      <c r="AB323" s="24">
        <f>IF(OR(O323="",O323=0),"",N(T323)/O323)</f>
        <v>0</v>
      </c>
      <c r="AC323" s="24">
        <f>IF(OR(O323="",O323=0),"",N(S323)/O323)</f>
        <v>0</v>
      </c>
      <c r="AD323" s="24">
        <f>IF(OR(O323="",O323=0),"",N(R323)/O323)</f>
        <v>0</v>
      </c>
      <c r="AE323" s="24">
        <f>IF(OR(O323="",O323=0),"",N(U323)/O323)</f>
        <v>0</v>
      </c>
      <c r="AF323" s="24">
        <f>IF(OR(U323="",U323=0),"",N(W323)/U323)</f>
        <v>0</v>
      </c>
      <c r="AG323" s="25">
        <f>IF(OR(O323="",O323=0),"",N(X323)/(O323/1000))</f>
        <v>0</v>
      </c>
      <c r="AH323" s="24">
        <f>IF(O323="","",IF(Y323="",TargetEngagement,Y323))</f>
        <v>0</v>
      </c>
      <c r="AI323" s="24">
        <f>IF(OR(AA323="",AH323=""),"",AA323-AH323)</f>
        <v>0</v>
      </c>
      <c r="AJ323" s="31">
        <f>IF(AA323="","",AA323+ROW()/1000000)</f>
        <v>0</v>
      </c>
      <c r="AK323" s="23">
        <f>IF(AA323="","",RANK(AJ323,Performance!$AJ$5:$AJ$404))</f>
        <v>0</v>
      </c>
      <c r="AL323" s="29">
        <f>IF(AA323="","",IF(AA323&gt;=AH323*1.5,"Top performer",IF(AA323&gt;=AH323,"Above target",IF(AA323&gt;=AH323*0.6,"Below target","Weak - review it"))))</f>
        <v>0</v>
      </c>
      <c r="AM323" s="29">
        <f>IF(B323="","",IF(COUNTIF(Performance!$B$5:$B$404,B323)&gt;1,"Duplicate","OK"))</f>
        <v>0</v>
      </c>
      <c r="AN323" s="29">
        <f>IF(B323="","",IF(C323="Not found","Check - content ID not on the calendar",IF(O323="","Add - no numbers entered yet",IF(AM323="Duplicate","Duplicate - this post is entered twice",IF(AL323="Top performer","Repurpose this one","OK")))))</f>
        <v>0</v>
      </c>
    </row>
    <row r="324" spans="1:40">
      <c r="A324" s="41">
        <f>IF(B324="","","PF-"&amp;TEXT(ROW()-4,"0000"))</f>
        <v>0</v>
      </c>
      <c r="C324" s="17">
        <f>IF(B324="","",IFERROR(INDEX('Content Calendar'!$H$5:$H$604,MATCH(B324,'Content Calendar'!$A$5:$A$604,0)),"Not found"))</f>
        <v>0</v>
      </c>
      <c r="D324" s="16">
        <f>IF(B324="","",IFERROR(INDEX('Content Calendar'!$B$5:$B$604,MATCH(B324,'Content Calendar'!$A$5:$A$604,0)),"Not found"))</f>
        <v>0</v>
      </c>
      <c r="E324" s="17">
        <f>IF(B324="","",IFERROR(INDEX('Content Calendar'!$D$5:$D$604,MATCH(B324,'Content Calendar'!$A$5:$A$604,0)),"Not found"))</f>
        <v>0</v>
      </c>
      <c r="F324" s="17">
        <f>IF(B324="","",IFERROR(INDEX('Content Calendar'!$G$5:$G$604,MATCH(B324,'Content Calendar'!$A$5:$A$604,0)),"Not found"))</f>
        <v>0</v>
      </c>
      <c r="G324" s="17">
        <f>IF(B324="","",IFERROR(INDEX('Content Calendar'!$K$5:$K$604,MATCH(B324,'Content Calendar'!$A$5:$A$604,0)),"Not found"))</f>
        <v>0</v>
      </c>
      <c r="H324" s="17">
        <f>IF(B324="","",IFERROR(INDEX('Content Calendar'!$J$5:$J$604,MATCH(B324,'Content Calendar'!$A$5:$A$604,0)),"Not found"))</f>
        <v>0</v>
      </c>
      <c r="I324" s="17">
        <f>IF(B324="","",IFERROR(INDEX('Content Calendar'!$L$5:$L$604,MATCH(B324,'Content Calendar'!$A$5:$A$604,0)),"Not found"))</f>
        <v>0</v>
      </c>
      <c r="J324" s="17">
        <f>IF(B324="","",IFERROR(INDEX('Content Calendar'!$P$5:$P$604,MATCH(B324,'Content Calendar'!$A$5:$A$604,0)),"Not found"))</f>
        <v>0</v>
      </c>
      <c r="K324" s="17">
        <f>IF(B324="","",IFERROR(INDEX('Content Calendar'!$O$5:$O$604,MATCH(B324,'Content Calendar'!$A$5:$A$604,0)),"Not found"))</f>
        <v>0</v>
      </c>
      <c r="L324" s="17">
        <f>IF(B324="","",IFERROR(INDEX('Content Calendar'!$N$5:$N$604,MATCH(B324,'Content Calendar'!$A$5:$A$604,0)),"Not found"))</f>
        <v>0</v>
      </c>
      <c r="M324" s="17">
        <f>IF(B324="","",IFERROR(INDEX('Content Calendar'!$C$5:$C$604,MATCH(B324,'Content Calendar'!$A$5:$A$604,0)),"Not found"))</f>
        <v>0</v>
      </c>
      <c r="N324" s="17">
        <f>IF(B324="","",IFERROR(INDEX('Content Calendar'!$F$5:$F$604,MATCH(B324,'Content Calendar'!$A$5:$A$604,0)),"Not found"))</f>
        <v>0</v>
      </c>
      <c r="Z324" s="23">
        <f>IF(O324="","",N(Q324)+N(R324)+N(S324)+N(T324))</f>
        <v>0</v>
      </c>
      <c r="AA324" s="24">
        <f>IF(OR(O324="",O324=0),"",Z324/O324)</f>
        <v>0</v>
      </c>
      <c r="AB324" s="24">
        <f>IF(OR(O324="",O324=0),"",N(T324)/O324)</f>
        <v>0</v>
      </c>
      <c r="AC324" s="24">
        <f>IF(OR(O324="",O324=0),"",N(S324)/O324)</f>
        <v>0</v>
      </c>
      <c r="AD324" s="24">
        <f>IF(OR(O324="",O324=0),"",N(R324)/O324)</f>
        <v>0</v>
      </c>
      <c r="AE324" s="24">
        <f>IF(OR(O324="",O324=0),"",N(U324)/O324)</f>
        <v>0</v>
      </c>
      <c r="AF324" s="24">
        <f>IF(OR(U324="",U324=0),"",N(W324)/U324)</f>
        <v>0</v>
      </c>
      <c r="AG324" s="25">
        <f>IF(OR(O324="",O324=0),"",N(X324)/(O324/1000))</f>
        <v>0</v>
      </c>
      <c r="AH324" s="24">
        <f>IF(O324="","",IF(Y324="",TargetEngagement,Y324))</f>
        <v>0</v>
      </c>
      <c r="AI324" s="24">
        <f>IF(OR(AA324="",AH324=""),"",AA324-AH324)</f>
        <v>0</v>
      </c>
      <c r="AJ324" s="31">
        <f>IF(AA324="","",AA324+ROW()/1000000)</f>
        <v>0</v>
      </c>
      <c r="AK324" s="23">
        <f>IF(AA324="","",RANK(AJ324,Performance!$AJ$5:$AJ$404))</f>
        <v>0</v>
      </c>
      <c r="AL324" s="29">
        <f>IF(AA324="","",IF(AA324&gt;=AH324*1.5,"Top performer",IF(AA324&gt;=AH324,"Above target",IF(AA324&gt;=AH324*0.6,"Below target","Weak - review it"))))</f>
        <v>0</v>
      </c>
      <c r="AM324" s="29">
        <f>IF(B324="","",IF(COUNTIF(Performance!$B$5:$B$404,B324)&gt;1,"Duplicate","OK"))</f>
        <v>0</v>
      </c>
      <c r="AN324" s="29">
        <f>IF(B324="","",IF(C324="Not found","Check - content ID not on the calendar",IF(O324="","Add - no numbers entered yet",IF(AM324="Duplicate","Duplicate - this post is entered twice",IF(AL324="Top performer","Repurpose this one","OK")))))</f>
        <v>0</v>
      </c>
    </row>
    <row r="325" spans="1:40">
      <c r="A325" s="41">
        <f>IF(B325="","","PF-"&amp;TEXT(ROW()-4,"0000"))</f>
        <v>0</v>
      </c>
      <c r="C325" s="17">
        <f>IF(B325="","",IFERROR(INDEX('Content Calendar'!$H$5:$H$604,MATCH(B325,'Content Calendar'!$A$5:$A$604,0)),"Not found"))</f>
        <v>0</v>
      </c>
      <c r="D325" s="16">
        <f>IF(B325="","",IFERROR(INDEX('Content Calendar'!$B$5:$B$604,MATCH(B325,'Content Calendar'!$A$5:$A$604,0)),"Not found"))</f>
        <v>0</v>
      </c>
      <c r="E325" s="17">
        <f>IF(B325="","",IFERROR(INDEX('Content Calendar'!$D$5:$D$604,MATCH(B325,'Content Calendar'!$A$5:$A$604,0)),"Not found"))</f>
        <v>0</v>
      </c>
      <c r="F325" s="17">
        <f>IF(B325="","",IFERROR(INDEX('Content Calendar'!$G$5:$G$604,MATCH(B325,'Content Calendar'!$A$5:$A$604,0)),"Not found"))</f>
        <v>0</v>
      </c>
      <c r="G325" s="17">
        <f>IF(B325="","",IFERROR(INDEX('Content Calendar'!$K$5:$K$604,MATCH(B325,'Content Calendar'!$A$5:$A$604,0)),"Not found"))</f>
        <v>0</v>
      </c>
      <c r="H325" s="17">
        <f>IF(B325="","",IFERROR(INDEX('Content Calendar'!$J$5:$J$604,MATCH(B325,'Content Calendar'!$A$5:$A$604,0)),"Not found"))</f>
        <v>0</v>
      </c>
      <c r="I325" s="17">
        <f>IF(B325="","",IFERROR(INDEX('Content Calendar'!$L$5:$L$604,MATCH(B325,'Content Calendar'!$A$5:$A$604,0)),"Not found"))</f>
        <v>0</v>
      </c>
      <c r="J325" s="17">
        <f>IF(B325="","",IFERROR(INDEX('Content Calendar'!$P$5:$P$604,MATCH(B325,'Content Calendar'!$A$5:$A$604,0)),"Not found"))</f>
        <v>0</v>
      </c>
      <c r="K325" s="17">
        <f>IF(B325="","",IFERROR(INDEX('Content Calendar'!$O$5:$O$604,MATCH(B325,'Content Calendar'!$A$5:$A$604,0)),"Not found"))</f>
        <v>0</v>
      </c>
      <c r="L325" s="17">
        <f>IF(B325="","",IFERROR(INDEX('Content Calendar'!$N$5:$N$604,MATCH(B325,'Content Calendar'!$A$5:$A$604,0)),"Not found"))</f>
        <v>0</v>
      </c>
      <c r="M325" s="17">
        <f>IF(B325="","",IFERROR(INDEX('Content Calendar'!$C$5:$C$604,MATCH(B325,'Content Calendar'!$A$5:$A$604,0)),"Not found"))</f>
        <v>0</v>
      </c>
      <c r="N325" s="17">
        <f>IF(B325="","",IFERROR(INDEX('Content Calendar'!$F$5:$F$604,MATCH(B325,'Content Calendar'!$A$5:$A$604,0)),"Not found"))</f>
        <v>0</v>
      </c>
      <c r="Z325" s="23">
        <f>IF(O325="","",N(Q325)+N(R325)+N(S325)+N(T325))</f>
        <v>0</v>
      </c>
      <c r="AA325" s="24">
        <f>IF(OR(O325="",O325=0),"",Z325/O325)</f>
        <v>0</v>
      </c>
      <c r="AB325" s="24">
        <f>IF(OR(O325="",O325=0),"",N(T325)/O325)</f>
        <v>0</v>
      </c>
      <c r="AC325" s="24">
        <f>IF(OR(O325="",O325=0),"",N(S325)/O325)</f>
        <v>0</v>
      </c>
      <c r="AD325" s="24">
        <f>IF(OR(O325="",O325=0),"",N(R325)/O325)</f>
        <v>0</v>
      </c>
      <c r="AE325" s="24">
        <f>IF(OR(O325="",O325=0),"",N(U325)/O325)</f>
        <v>0</v>
      </c>
      <c r="AF325" s="24">
        <f>IF(OR(U325="",U325=0),"",N(W325)/U325)</f>
        <v>0</v>
      </c>
      <c r="AG325" s="25">
        <f>IF(OR(O325="",O325=0),"",N(X325)/(O325/1000))</f>
        <v>0</v>
      </c>
      <c r="AH325" s="24">
        <f>IF(O325="","",IF(Y325="",TargetEngagement,Y325))</f>
        <v>0</v>
      </c>
      <c r="AI325" s="24">
        <f>IF(OR(AA325="",AH325=""),"",AA325-AH325)</f>
        <v>0</v>
      </c>
      <c r="AJ325" s="31">
        <f>IF(AA325="","",AA325+ROW()/1000000)</f>
        <v>0</v>
      </c>
      <c r="AK325" s="23">
        <f>IF(AA325="","",RANK(AJ325,Performance!$AJ$5:$AJ$404))</f>
        <v>0</v>
      </c>
      <c r="AL325" s="29">
        <f>IF(AA325="","",IF(AA325&gt;=AH325*1.5,"Top performer",IF(AA325&gt;=AH325,"Above target",IF(AA325&gt;=AH325*0.6,"Below target","Weak - review it"))))</f>
        <v>0</v>
      </c>
      <c r="AM325" s="29">
        <f>IF(B325="","",IF(COUNTIF(Performance!$B$5:$B$404,B325)&gt;1,"Duplicate","OK"))</f>
        <v>0</v>
      </c>
      <c r="AN325" s="29">
        <f>IF(B325="","",IF(C325="Not found","Check - content ID not on the calendar",IF(O325="","Add - no numbers entered yet",IF(AM325="Duplicate","Duplicate - this post is entered twice",IF(AL325="Top performer","Repurpose this one","OK")))))</f>
        <v>0</v>
      </c>
    </row>
    <row r="326" spans="1:40">
      <c r="A326" s="41">
        <f>IF(B326="","","PF-"&amp;TEXT(ROW()-4,"0000"))</f>
        <v>0</v>
      </c>
      <c r="C326" s="17">
        <f>IF(B326="","",IFERROR(INDEX('Content Calendar'!$H$5:$H$604,MATCH(B326,'Content Calendar'!$A$5:$A$604,0)),"Not found"))</f>
        <v>0</v>
      </c>
      <c r="D326" s="16">
        <f>IF(B326="","",IFERROR(INDEX('Content Calendar'!$B$5:$B$604,MATCH(B326,'Content Calendar'!$A$5:$A$604,0)),"Not found"))</f>
        <v>0</v>
      </c>
      <c r="E326" s="17">
        <f>IF(B326="","",IFERROR(INDEX('Content Calendar'!$D$5:$D$604,MATCH(B326,'Content Calendar'!$A$5:$A$604,0)),"Not found"))</f>
        <v>0</v>
      </c>
      <c r="F326" s="17">
        <f>IF(B326="","",IFERROR(INDEX('Content Calendar'!$G$5:$G$604,MATCH(B326,'Content Calendar'!$A$5:$A$604,0)),"Not found"))</f>
        <v>0</v>
      </c>
      <c r="G326" s="17">
        <f>IF(B326="","",IFERROR(INDEX('Content Calendar'!$K$5:$K$604,MATCH(B326,'Content Calendar'!$A$5:$A$604,0)),"Not found"))</f>
        <v>0</v>
      </c>
      <c r="H326" s="17">
        <f>IF(B326="","",IFERROR(INDEX('Content Calendar'!$J$5:$J$604,MATCH(B326,'Content Calendar'!$A$5:$A$604,0)),"Not found"))</f>
        <v>0</v>
      </c>
      <c r="I326" s="17">
        <f>IF(B326="","",IFERROR(INDEX('Content Calendar'!$L$5:$L$604,MATCH(B326,'Content Calendar'!$A$5:$A$604,0)),"Not found"))</f>
        <v>0</v>
      </c>
      <c r="J326" s="17">
        <f>IF(B326="","",IFERROR(INDEX('Content Calendar'!$P$5:$P$604,MATCH(B326,'Content Calendar'!$A$5:$A$604,0)),"Not found"))</f>
        <v>0</v>
      </c>
      <c r="K326" s="17">
        <f>IF(B326="","",IFERROR(INDEX('Content Calendar'!$O$5:$O$604,MATCH(B326,'Content Calendar'!$A$5:$A$604,0)),"Not found"))</f>
        <v>0</v>
      </c>
      <c r="L326" s="17">
        <f>IF(B326="","",IFERROR(INDEX('Content Calendar'!$N$5:$N$604,MATCH(B326,'Content Calendar'!$A$5:$A$604,0)),"Not found"))</f>
        <v>0</v>
      </c>
      <c r="M326" s="17">
        <f>IF(B326="","",IFERROR(INDEX('Content Calendar'!$C$5:$C$604,MATCH(B326,'Content Calendar'!$A$5:$A$604,0)),"Not found"))</f>
        <v>0</v>
      </c>
      <c r="N326" s="17">
        <f>IF(B326="","",IFERROR(INDEX('Content Calendar'!$F$5:$F$604,MATCH(B326,'Content Calendar'!$A$5:$A$604,0)),"Not found"))</f>
        <v>0</v>
      </c>
      <c r="Z326" s="23">
        <f>IF(O326="","",N(Q326)+N(R326)+N(S326)+N(T326))</f>
        <v>0</v>
      </c>
      <c r="AA326" s="24">
        <f>IF(OR(O326="",O326=0),"",Z326/O326)</f>
        <v>0</v>
      </c>
      <c r="AB326" s="24">
        <f>IF(OR(O326="",O326=0),"",N(T326)/O326)</f>
        <v>0</v>
      </c>
      <c r="AC326" s="24">
        <f>IF(OR(O326="",O326=0),"",N(S326)/O326)</f>
        <v>0</v>
      </c>
      <c r="AD326" s="24">
        <f>IF(OR(O326="",O326=0),"",N(R326)/O326)</f>
        <v>0</v>
      </c>
      <c r="AE326" s="24">
        <f>IF(OR(O326="",O326=0),"",N(U326)/O326)</f>
        <v>0</v>
      </c>
      <c r="AF326" s="24">
        <f>IF(OR(U326="",U326=0),"",N(W326)/U326)</f>
        <v>0</v>
      </c>
      <c r="AG326" s="25">
        <f>IF(OR(O326="",O326=0),"",N(X326)/(O326/1000))</f>
        <v>0</v>
      </c>
      <c r="AH326" s="24">
        <f>IF(O326="","",IF(Y326="",TargetEngagement,Y326))</f>
        <v>0</v>
      </c>
      <c r="AI326" s="24">
        <f>IF(OR(AA326="",AH326=""),"",AA326-AH326)</f>
        <v>0</v>
      </c>
      <c r="AJ326" s="31">
        <f>IF(AA326="","",AA326+ROW()/1000000)</f>
        <v>0</v>
      </c>
      <c r="AK326" s="23">
        <f>IF(AA326="","",RANK(AJ326,Performance!$AJ$5:$AJ$404))</f>
        <v>0</v>
      </c>
      <c r="AL326" s="29">
        <f>IF(AA326="","",IF(AA326&gt;=AH326*1.5,"Top performer",IF(AA326&gt;=AH326,"Above target",IF(AA326&gt;=AH326*0.6,"Below target","Weak - review it"))))</f>
        <v>0</v>
      </c>
      <c r="AM326" s="29">
        <f>IF(B326="","",IF(COUNTIF(Performance!$B$5:$B$404,B326)&gt;1,"Duplicate","OK"))</f>
        <v>0</v>
      </c>
      <c r="AN326" s="29">
        <f>IF(B326="","",IF(C326="Not found","Check - content ID not on the calendar",IF(O326="","Add - no numbers entered yet",IF(AM326="Duplicate","Duplicate - this post is entered twice",IF(AL326="Top performer","Repurpose this one","OK")))))</f>
        <v>0</v>
      </c>
    </row>
    <row r="327" spans="1:40">
      <c r="A327" s="41">
        <f>IF(B327="","","PF-"&amp;TEXT(ROW()-4,"0000"))</f>
        <v>0</v>
      </c>
      <c r="C327" s="17">
        <f>IF(B327="","",IFERROR(INDEX('Content Calendar'!$H$5:$H$604,MATCH(B327,'Content Calendar'!$A$5:$A$604,0)),"Not found"))</f>
        <v>0</v>
      </c>
      <c r="D327" s="16">
        <f>IF(B327="","",IFERROR(INDEX('Content Calendar'!$B$5:$B$604,MATCH(B327,'Content Calendar'!$A$5:$A$604,0)),"Not found"))</f>
        <v>0</v>
      </c>
      <c r="E327" s="17">
        <f>IF(B327="","",IFERROR(INDEX('Content Calendar'!$D$5:$D$604,MATCH(B327,'Content Calendar'!$A$5:$A$604,0)),"Not found"))</f>
        <v>0</v>
      </c>
      <c r="F327" s="17">
        <f>IF(B327="","",IFERROR(INDEX('Content Calendar'!$G$5:$G$604,MATCH(B327,'Content Calendar'!$A$5:$A$604,0)),"Not found"))</f>
        <v>0</v>
      </c>
      <c r="G327" s="17">
        <f>IF(B327="","",IFERROR(INDEX('Content Calendar'!$K$5:$K$604,MATCH(B327,'Content Calendar'!$A$5:$A$604,0)),"Not found"))</f>
        <v>0</v>
      </c>
      <c r="H327" s="17">
        <f>IF(B327="","",IFERROR(INDEX('Content Calendar'!$J$5:$J$604,MATCH(B327,'Content Calendar'!$A$5:$A$604,0)),"Not found"))</f>
        <v>0</v>
      </c>
      <c r="I327" s="17">
        <f>IF(B327="","",IFERROR(INDEX('Content Calendar'!$L$5:$L$604,MATCH(B327,'Content Calendar'!$A$5:$A$604,0)),"Not found"))</f>
        <v>0</v>
      </c>
      <c r="J327" s="17">
        <f>IF(B327="","",IFERROR(INDEX('Content Calendar'!$P$5:$P$604,MATCH(B327,'Content Calendar'!$A$5:$A$604,0)),"Not found"))</f>
        <v>0</v>
      </c>
      <c r="K327" s="17">
        <f>IF(B327="","",IFERROR(INDEX('Content Calendar'!$O$5:$O$604,MATCH(B327,'Content Calendar'!$A$5:$A$604,0)),"Not found"))</f>
        <v>0</v>
      </c>
      <c r="L327" s="17">
        <f>IF(B327="","",IFERROR(INDEX('Content Calendar'!$N$5:$N$604,MATCH(B327,'Content Calendar'!$A$5:$A$604,0)),"Not found"))</f>
        <v>0</v>
      </c>
      <c r="M327" s="17">
        <f>IF(B327="","",IFERROR(INDEX('Content Calendar'!$C$5:$C$604,MATCH(B327,'Content Calendar'!$A$5:$A$604,0)),"Not found"))</f>
        <v>0</v>
      </c>
      <c r="N327" s="17">
        <f>IF(B327="","",IFERROR(INDEX('Content Calendar'!$F$5:$F$604,MATCH(B327,'Content Calendar'!$A$5:$A$604,0)),"Not found"))</f>
        <v>0</v>
      </c>
      <c r="Z327" s="23">
        <f>IF(O327="","",N(Q327)+N(R327)+N(S327)+N(T327))</f>
        <v>0</v>
      </c>
      <c r="AA327" s="24">
        <f>IF(OR(O327="",O327=0),"",Z327/O327)</f>
        <v>0</v>
      </c>
      <c r="AB327" s="24">
        <f>IF(OR(O327="",O327=0),"",N(T327)/O327)</f>
        <v>0</v>
      </c>
      <c r="AC327" s="24">
        <f>IF(OR(O327="",O327=0),"",N(S327)/O327)</f>
        <v>0</v>
      </c>
      <c r="AD327" s="24">
        <f>IF(OR(O327="",O327=0),"",N(R327)/O327)</f>
        <v>0</v>
      </c>
      <c r="AE327" s="24">
        <f>IF(OR(O327="",O327=0),"",N(U327)/O327)</f>
        <v>0</v>
      </c>
      <c r="AF327" s="24">
        <f>IF(OR(U327="",U327=0),"",N(W327)/U327)</f>
        <v>0</v>
      </c>
      <c r="AG327" s="25">
        <f>IF(OR(O327="",O327=0),"",N(X327)/(O327/1000))</f>
        <v>0</v>
      </c>
      <c r="AH327" s="24">
        <f>IF(O327="","",IF(Y327="",TargetEngagement,Y327))</f>
        <v>0</v>
      </c>
      <c r="AI327" s="24">
        <f>IF(OR(AA327="",AH327=""),"",AA327-AH327)</f>
        <v>0</v>
      </c>
      <c r="AJ327" s="31">
        <f>IF(AA327="","",AA327+ROW()/1000000)</f>
        <v>0</v>
      </c>
      <c r="AK327" s="23">
        <f>IF(AA327="","",RANK(AJ327,Performance!$AJ$5:$AJ$404))</f>
        <v>0</v>
      </c>
      <c r="AL327" s="29">
        <f>IF(AA327="","",IF(AA327&gt;=AH327*1.5,"Top performer",IF(AA327&gt;=AH327,"Above target",IF(AA327&gt;=AH327*0.6,"Below target","Weak - review it"))))</f>
        <v>0</v>
      </c>
      <c r="AM327" s="29">
        <f>IF(B327="","",IF(COUNTIF(Performance!$B$5:$B$404,B327)&gt;1,"Duplicate","OK"))</f>
        <v>0</v>
      </c>
      <c r="AN327" s="29">
        <f>IF(B327="","",IF(C327="Not found","Check - content ID not on the calendar",IF(O327="","Add - no numbers entered yet",IF(AM327="Duplicate","Duplicate - this post is entered twice",IF(AL327="Top performer","Repurpose this one","OK")))))</f>
        <v>0</v>
      </c>
    </row>
    <row r="328" spans="1:40">
      <c r="A328" s="41">
        <f>IF(B328="","","PF-"&amp;TEXT(ROW()-4,"0000"))</f>
        <v>0</v>
      </c>
      <c r="C328" s="17">
        <f>IF(B328="","",IFERROR(INDEX('Content Calendar'!$H$5:$H$604,MATCH(B328,'Content Calendar'!$A$5:$A$604,0)),"Not found"))</f>
        <v>0</v>
      </c>
      <c r="D328" s="16">
        <f>IF(B328="","",IFERROR(INDEX('Content Calendar'!$B$5:$B$604,MATCH(B328,'Content Calendar'!$A$5:$A$604,0)),"Not found"))</f>
        <v>0</v>
      </c>
      <c r="E328" s="17">
        <f>IF(B328="","",IFERROR(INDEX('Content Calendar'!$D$5:$D$604,MATCH(B328,'Content Calendar'!$A$5:$A$604,0)),"Not found"))</f>
        <v>0</v>
      </c>
      <c r="F328" s="17">
        <f>IF(B328="","",IFERROR(INDEX('Content Calendar'!$G$5:$G$604,MATCH(B328,'Content Calendar'!$A$5:$A$604,0)),"Not found"))</f>
        <v>0</v>
      </c>
      <c r="G328" s="17">
        <f>IF(B328="","",IFERROR(INDEX('Content Calendar'!$K$5:$K$604,MATCH(B328,'Content Calendar'!$A$5:$A$604,0)),"Not found"))</f>
        <v>0</v>
      </c>
      <c r="H328" s="17">
        <f>IF(B328="","",IFERROR(INDEX('Content Calendar'!$J$5:$J$604,MATCH(B328,'Content Calendar'!$A$5:$A$604,0)),"Not found"))</f>
        <v>0</v>
      </c>
      <c r="I328" s="17">
        <f>IF(B328="","",IFERROR(INDEX('Content Calendar'!$L$5:$L$604,MATCH(B328,'Content Calendar'!$A$5:$A$604,0)),"Not found"))</f>
        <v>0</v>
      </c>
      <c r="J328" s="17">
        <f>IF(B328="","",IFERROR(INDEX('Content Calendar'!$P$5:$P$604,MATCH(B328,'Content Calendar'!$A$5:$A$604,0)),"Not found"))</f>
        <v>0</v>
      </c>
      <c r="K328" s="17">
        <f>IF(B328="","",IFERROR(INDEX('Content Calendar'!$O$5:$O$604,MATCH(B328,'Content Calendar'!$A$5:$A$604,0)),"Not found"))</f>
        <v>0</v>
      </c>
      <c r="L328" s="17">
        <f>IF(B328="","",IFERROR(INDEX('Content Calendar'!$N$5:$N$604,MATCH(B328,'Content Calendar'!$A$5:$A$604,0)),"Not found"))</f>
        <v>0</v>
      </c>
      <c r="M328" s="17">
        <f>IF(B328="","",IFERROR(INDEX('Content Calendar'!$C$5:$C$604,MATCH(B328,'Content Calendar'!$A$5:$A$604,0)),"Not found"))</f>
        <v>0</v>
      </c>
      <c r="N328" s="17">
        <f>IF(B328="","",IFERROR(INDEX('Content Calendar'!$F$5:$F$604,MATCH(B328,'Content Calendar'!$A$5:$A$604,0)),"Not found"))</f>
        <v>0</v>
      </c>
      <c r="Z328" s="23">
        <f>IF(O328="","",N(Q328)+N(R328)+N(S328)+N(T328))</f>
        <v>0</v>
      </c>
      <c r="AA328" s="24">
        <f>IF(OR(O328="",O328=0),"",Z328/O328)</f>
        <v>0</v>
      </c>
      <c r="AB328" s="24">
        <f>IF(OR(O328="",O328=0),"",N(T328)/O328)</f>
        <v>0</v>
      </c>
      <c r="AC328" s="24">
        <f>IF(OR(O328="",O328=0),"",N(S328)/O328)</f>
        <v>0</v>
      </c>
      <c r="AD328" s="24">
        <f>IF(OR(O328="",O328=0),"",N(R328)/O328)</f>
        <v>0</v>
      </c>
      <c r="AE328" s="24">
        <f>IF(OR(O328="",O328=0),"",N(U328)/O328)</f>
        <v>0</v>
      </c>
      <c r="AF328" s="24">
        <f>IF(OR(U328="",U328=0),"",N(W328)/U328)</f>
        <v>0</v>
      </c>
      <c r="AG328" s="25">
        <f>IF(OR(O328="",O328=0),"",N(X328)/(O328/1000))</f>
        <v>0</v>
      </c>
      <c r="AH328" s="24">
        <f>IF(O328="","",IF(Y328="",TargetEngagement,Y328))</f>
        <v>0</v>
      </c>
      <c r="AI328" s="24">
        <f>IF(OR(AA328="",AH328=""),"",AA328-AH328)</f>
        <v>0</v>
      </c>
      <c r="AJ328" s="31">
        <f>IF(AA328="","",AA328+ROW()/1000000)</f>
        <v>0</v>
      </c>
      <c r="AK328" s="23">
        <f>IF(AA328="","",RANK(AJ328,Performance!$AJ$5:$AJ$404))</f>
        <v>0</v>
      </c>
      <c r="AL328" s="29">
        <f>IF(AA328="","",IF(AA328&gt;=AH328*1.5,"Top performer",IF(AA328&gt;=AH328,"Above target",IF(AA328&gt;=AH328*0.6,"Below target","Weak - review it"))))</f>
        <v>0</v>
      </c>
      <c r="AM328" s="29">
        <f>IF(B328="","",IF(COUNTIF(Performance!$B$5:$B$404,B328)&gt;1,"Duplicate","OK"))</f>
        <v>0</v>
      </c>
      <c r="AN328" s="29">
        <f>IF(B328="","",IF(C328="Not found","Check - content ID not on the calendar",IF(O328="","Add - no numbers entered yet",IF(AM328="Duplicate","Duplicate - this post is entered twice",IF(AL328="Top performer","Repurpose this one","OK")))))</f>
        <v>0</v>
      </c>
    </row>
    <row r="329" spans="1:40">
      <c r="A329" s="41">
        <f>IF(B329="","","PF-"&amp;TEXT(ROW()-4,"0000"))</f>
        <v>0</v>
      </c>
      <c r="C329" s="17">
        <f>IF(B329="","",IFERROR(INDEX('Content Calendar'!$H$5:$H$604,MATCH(B329,'Content Calendar'!$A$5:$A$604,0)),"Not found"))</f>
        <v>0</v>
      </c>
      <c r="D329" s="16">
        <f>IF(B329="","",IFERROR(INDEX('Content Calendar'!$B$5:$B$604,MATCH(B329,'Content Calendar'!$A$5:$A$604,0)),"Not found"))</f>
        <v>0</v>
      </c>
      <c r="E329" s="17">
        <f>IF(B329="","",IFERROR(INDEX('Content Calendar'!$D$5:$D$604,MATCH(B329,'Content Calendar'!$A$5:$A$604,0)),"Not found"))</f>
        <v>0</v>
      </c>
      <c r="F329" s="17">
        <f>IF(B329="","",IFERROR(INDEX('Content Calendar'!$G$5:$G$604,MATCH(B329,'Content Calendar'!$A$5:$A$604,0)),"Not found"))</f>
        <v>0</v>
      </c>
      <c r="G329" s="17">
        <f>IF(B329="","",IFERROR(INDEX('Content Calendar'!$K$5:$K$604,MATCH(B329,'Content Calendar'!$A$5:$A$604,0)),"Not found"))</f>
        <v>0</v>
      </c>
      <c r="H329" s="17">
        <f>IF(B329="","",IFERROR(INDEX('Content Calendar'!$J$5:$J$604,MATCH(B329,'Content Calendar'!$A$5:$A$604,0)),"Not found"))</f>
        <v>0</v>
      </c>
      <c r="I329" s="17">
        <f>IF(B329="","",IFERROR(INDEX('Content Calendar'!$L$5:$L$604,MATCH(B329,'Content Calendar'!$A$5:$A$604,0)),"Not found"))</f>
        <v>0</v>
      </c>
      <c r="J329" s="17">
        <f>IF(B329="","",IFERROR(INDEX('Content Calendar'!$P$5:$P$604,MATCH(B329,'Content Calendar'!$A$5:$A$604,0)),"Not found"))</f>
        <v>0</v>
      </c>
      <c r="K329" s="17">
        <f>IF(B329="","",IFERROR(INDEX('Content Calendar'!$O$5:$O$604,MATCH(B329,'Content Calendar'!$A$5:$A$604,0)),"Not found"))</f>
        <v>0</v>
      </c>
      <c r="L329" s="17">
        <f>IF(B329="","",IFERROR(INDEX('Content Calendar'!$N$5:$N$604,MATCH(B329,'Content Calendar'!$A$5:$A$604,0)),"Not found"))</f>
        <v>0</v>
      </c>
      <c r="M329" s="17">
        <f>IF(B329="","",IFERROR(INDEX('Content Calendar'!$C$5:$C$604,MATCH(B329,'Content Calendar'!$A$5:$A$604,0)),"Not found"))</f>
        <v>0</v>
      </c>
      <c r="N329" s="17">
        <f>IF(B329="","",IFERROR(INDEX('Content Calendar'!$F$5:$F$604,MATCH(B329,'Content Calendar'!$A$5:$A$604,0)),"Not found"))</f>
        <v>0</v>
      </c>
      <c r="Z329" s="23">
        <f>IF(O329="","",N(Q329)+N(R329)+N(S329)+N(T329))</f>
        <v>0</v>
      </c>
      <c r="AA329" s="24">
        <f>IF(OR(O329="",O329=0),"",Z329/O329)</f>
        <v>0</v>
      </c>
      <c r="AB329" s="24">
        <f>IF(OR(O329="",O329=0),"",N(T329)/O329)</f>
        <v>0</v>
      </c>
      <c r="AC329" s="24">
        <f>IF(OR(O329="",O329=0),"",N(S329)/O329)</f>
        <v>0</v>
      </c>
      <c r="AD329" s="24">
        <f>IF(OR(O329="",O329=0),"",N(R329)/O329)</f>
        <v>0</v>
      </c>
      <c r="AE329" s="24">
        <f>IF(OR(O329="",O329=0),"",N(U329)/O329)</f>
        <v>0</v>
      </c>
      <c r="AF329" s="24">
        <f>IF(OR(U329="",U329=0),"",N(W329)/U329)</f>
        <v>0</v>
      </c>
      <c r="AG329" s="25">
        <f>IF(OR(O329="",O329=0),"",N(X329)/(O329/1000))</f>
        <v>0</v>
      </c>
      <c r="AH329" s="24">
        <f>IF(O329="","",IF(Y329="",TargetEngagement,Y329))</f>
        <v>0</v>
      </c>
      <c r="AI329" s="24">
        <f>IF(OR(AA329="",AH329=""),"",AA329-AH329)</f>
        <v>0</v>
      </c>
      <c r="AJ329" s="31">
        <f>IF(AA329="","",AA329+ROW()/1000000)</f>
        <v>0</v>
      </c>
      <c r="AK329" s="23">
        <f>IF(AA329="","",RANK(AJ329,Performance!$AJ$5:$AJ$404))</f>
        <v>0</v>
      </c>
      <c r="AL329" s="29">
        <f>IF(AA329="","",IF(AA329&gt;=AH329*1.5,"Top performer",IF(AA329&gt;=AH329,"Above target",IF(AA329&gt;=AH329*0.6,"Below target","Weak - review it"))))</f>
        <v>0</v>
      </c>
      <c r="AM329" s="29">
        <f>IF(B329="","",IF(COUNTIF(Performance!$B$5:$B$404,B329)&gt;1,"Duplicate","OK"))</f>
        <v>0</v>
      </c>
      <c r="AN329" s="29">
        <f>IF(B329="","",IF(C329="Not found","Check - content ID not on the calendar",IF(O329="","Add - no numbers entered yet",IF(AM329="Duplicate","Duplicate - this post is entered twice",IF(AL329="Top performer","Repurpose this one","OK")))))</f>
        <v>0</v>
      </c>
    </row>
    <row r="330" spans="1:40">
      <c r="A330" s="41">
        <f>IF(B330="","","PF-"&amp;TEXT(ROW()-4,"0000"))</f>
        <v>0</v>
      </c>
      <c r="C330" s="17">
        <f>IF(B330="","",IFERROR(INDEX('Content Calendar'!$H$5:$H$604,MATCH(B330,'Content Calendar'!$A$5:$A$604,0)),"Not found"))</f>
        <v>0</v>
      </c>
      <c r="D330" s="16">
        <f>IF(B330="","",IFERROR(INDEX('Content Calendar'!$B$5:$B$604,MATCH(B330,'Content Calendar'!$A$5:$A$604,0)),"Not found"))</f>
        <v>0</v>
      </c>
      <c r="E330" s="17">
        <f>IF(B330="","",IFERROR(INDEX('Content Calendar'!$D$5:$D$604,MATCH(B330,'Content Calendar'!$A$5:$A$604,0)),"Not found"))</f>
        <v>0</v>
      </c>
      <c r="F330" s="17">
        <f>IF(B330="","",IFERROR(INDEX('Content Calendar'!$G$5:$G$604,MATCH(B330,'Content Calendar'!$A$5:$A$604,0)),"Not found"))</f>
        <v>0</v>
      </c>
      <c r="G330" s="17">
        <f>IF(B330="","",IFERROR(INDEX('Content Calendar'!$K$5:$K$604,MATCH(B330,'Content Calendar'!$A$5:$A$604,0)),"Not found"))</f>
        <v>0</v>
      </c>
      <c r="H330" s="17">
        <f>IF(B330="","",IFERROR(INDEX('Content Calendar'!$J$5:$J$604,MATCH(B330,'Content Calendar'!$A$5:$A$604,0)),"Not found"))</f>
        <v>0</v>
      </c>
      <c r="I330" s="17">
        <f>IF(B330="","",IFERROR(INDEX('Content Calendar'!$L$5:$L$604,MATCH(B330,'Content Calendar'!$A$5:$A$604,0)),"Not found"))</f>
        <v>0</v>
      </c>
      <c r="J330" s="17">
        <f>IF(B330="","",IFERROR(INDEX('Content Calendar'!$P$5:$P$604,MATCH(B330,'Content Calendar'!$A$5:$A$604,0)),"Not found"))</f>
        <v>0</v>
      </c>
      <c r="K330" s="17">
        <f>IF(B330="","",IFERROR(INDEX('Content Calendar'!$O$5:$O$604,MATCH(B330,'Content Calendar'!$A$5:$A$604,0)),"Not found"))</f>
        <v>0</v>
      </c>
      <c r="L330" s="17">
        <f>IF(B330="","",IFERROR(INDEX('Content Calendar'!$N$5:$N$604,MATCH(B330,'Content Calendar'!$A$5:$A$604,0)),"Not found"))</f>
        <v>0</v>
      </c>
      <c r="M330" s="17">
        <f>IF(B330="","",IFERROR(INDEX('Content Calendar'!$C$5:$C$604,MATCH(B330,'Content Calendar'!$A$5:$A$604,0)),"Not found"))</f>
        <v>0</v>
      </c>
      <c r="N330" s="17">
        <f>IF(B330="","",IFERROR(INDEX('Content Calendar'!$F$5:$F$604,MATCH(B330,'Content Calendar'!$A$5:$A$604,0)),"Not found"))</f>
        <v>0</v>
      </c>
      <c r="Z330" s="23">
        <f>IF(O330="","",N(Q330)+N(R330)+N(S330)+N(T330))</f>
        <v>0</v>
      </c>
      <c r="AA330" s="24">
        <f>IF(OR(O330="",O330=0),"",Z330/O330)</f>
        <v>0</v>
      </c>
      <c r="AB330" s="24">
        <f>IF(OR(O330="",O330=0),"",N(T330)/O330)</f>
        <v>0</v>
      </c>
      <c r="AC330" s="24">
        <f>IF(OR(O330="",O330=0),"",N(S330)/O330)</f>
        <v>0</v>
      </c>
      <c r="AD330" s="24">
        <f>IF(OR(O330="",O330=0),"",N(R330)/O330)</f>
        <v>0</v>
      </c>
      <c r="AE330" s="24">
        <f>IF(OR(O330="",O330=0),"",N(U330)/O330)</f>
        <v>0</v>
      </c>
      <c r="AF330" s="24">
        <f>IF(OR(U330="",U330=0),"",N(W330)/U330)</f>
        <v>0</v>
      </c>
      <c r="AG330" s="25">
        <f>IF(OR(O330="",O330=0),"",N(X330)/(O330/1000))</f>
        <v>0</v>
      </c>
      <c r="AH330" s="24">
        <f>IF(O330="","",IF(Y330="",TargetEngagement,Y330))</f>
        <v>0</v>
      </c>
      <c r="AI330" s="24">
        <f>IF(OR(AA330="",AH330=""),"",AA330-AH330)</f>
        <v>0</v>
      </c>
      <c r="AJ330" s="31">
        <f>IF(AA330="","",AA330+ROW()/1000000)</f>
        <v>0</v>
      </c>
      <c r="AK330" s="23">
        <f>IF(AA330="","",RANK(AJ330,Performance!$AJ$5:$AJ$404))</f>
        <v>0</v>
      </c>
      <c r="AL330" s="29">
        <f>IF(AA330="","",IF(AA330&gt;=AH330*1.5,"Top performer",IF(AA330&gt;=AH330,"Above target",IF(AA330&gt;=AH330*0.6,"Below target","Weak - review it"))))</f>
        <v>0</v>
      </c>
      <c r="AM330" s="29">
        <f>IF(B330="","",IF(COUNTIF(Performance!$B$5:$B$404,B330)&gt;1,"Duplicate","OK"))</f>
        <v>0</v>
      </c>
      <c r="AN330" s="29">
        <f>IF(B330="","",IF(C330="Not found","Check - content ID not on the calendar",IF(O330="","Add - no numbers entered yet",IF(AM330="Duplicate","Duplicate - this post is entered twice",IF(AL330="Top performer","Repurpose this one","OK")))))</f>
        <v>0</v>
      </c>
    </row>
    <row r="331" spans="1:40">
      <c r="A331" s="41">
        <f>IF(B331="","","PF-"&amp;TEXT(ROW()-4,"0000"))</f>
        <v>0</v>
      </c>
      <c r="C331" s="17">
        <f>IF(B331="","",IFERROR(INDEX('Content Calendar'!$H$5:$H$604,MATCH(B331,'Content Calendar'!$A$5:$A$604,0)),"Not found"))</f>
        <v>0</v>
      </c>
      <c r="D331" s="16">
        <f>IF(B331="","",IFERROR(INDEX('Content Calendar'!$B$5:$B$604,MATCH(B331,'Content Calendar'!$A$5:$A$604,0)),"Not found"))</f>
        <v>0</v>
      </c>
      <c r="E331" s="17">
        <f>IF(B331="","",IFERROR(INDEX('Content Calendar'!$D$5:$D$604,MATCH(B331,'Content Calendar'!$A$5:$A$604,0)),"Not found"))</f>
        <v>0</v>
      </c>
      <c r="F331" s="17">
        <f>IF(B331="","",IFERROR(INDEX('Content Calendar'!$G$5:$G$604,MATCH(B331,'Content Calendar'!$A$5:$A$604,0)),"Not found"))</f>
        <v>0</v>
      </c>
      <c r="G331" s="17">
        <f>IF(B331="","",IFERROR(INDEX('Content Calendar'!$K$5:$K$604,MATCH(B331,'Content Calendar'!$A$5:$A$604,0)),"Not found"))</f>
        <v>0</v>
      </c>
      <c r="H331" s="17">
        <f>IF(B331="","",IFERROR(INDEX('Content Calendar'!$J$5:$J$604,MATCH(B331,'Content Calendar'!$A$5:$A$604,0)),"Not found"))</f>
        <v>0</v>
      </c>
      <c r="I331" s="17">
        <f>IF(B331="","",IFERROR(INDEX('Content Calendar'!$L$5:$L$604,MATCH(B331,'Content Calendar'!$A$5:$A$604,0)),"Not found"))</f>
        <v>0</v>
      </c>
      <c r="J331" s="17">
        <f>IF(B331="","",IFERROR(INDEX('Content Calendar'!$P$5:$P$604,MATCH(B331,'Content Calendar'!$A$5:$A$604,0)),"Not found"))</f>
        <v>0</v>
      </c>
      <c r="K331" s="17">
        <f>IF(B331="","",IFERROR(INDEX('Content Calendar'!$O$5:$O$604,MATCH(B331,'Content Calendar'!$A$5:$A$604,0)),"Not found"))</f>
        <v>0</v>
      </c>
      <c r="L331" s="17">
        <f>IF(B331="","",IFERROR(INDEX('Content Calendar'!$N$5:$N$604,MATCH(B331,'Content Calendar'!$A$5:$A$604,0)),"Not found"))</f>
        <v>0</v>
      </c>
      <c r="M331" s="17">
        <f>IF(B331="","",IFERROR(INDEX('Content Calendar'!$C$5:$C$604,MATCH(B331,'Content Calendar'!$A$5:$A$604,0)),"Not found"))</f>
        <v>0</v>
      </c>
      <c r="N331" s="17">
        <f>IF(B331="","",IFERROR(INDEX('Content Calendar'!$F$5:$F$604,MATCH(B331,'Content Calendar'!$A$5:$A$604,0)),"Not found"))</f>
        <v>0</v>
      </c>
      <c r="Z331" s="23">
        <f>IF(O331="","",N(Q331)+N(R331)+N(S331)+N(T331))</f>
        <v>0</v>
      </c>
      <c r="AA331" s="24">
        <f>IF(OR(O331="",O331=0),"",Z331/O331)</f>
        <v>0</v>
      </c>
      <c r="AB331" s="24">
        <f>IF(OR(O331="",O331=0),"",N(T331)/O331)</f>
        <v>0</v>
      </c>
      <c r="AC331" s="24">
        <f>IF(OR(O331="",O331=0),"",N(S331)/O331)</f>
        <v>0</v>
      </c>
      <c r="AD331" s="24">
        <f>IF(OR(O331="",O331=0),"",N(R331)/O331)</f>
        <v>0</v>
      </c>
      <c r="AE331" s="24">
        <f>IF(OR(O331="",O331=0),"",N(U331)/O331)</f>
        <v>0</v>
      </c>
      <c r="AF331" s="24">
        <f>IF(OR(U331="",U331=0),"",N(W331)/U331)</f>
        <v>0</v>
      </c>
      <c r="AG331" s="25">
        <f>IF(OR(O331="",O331=0),"",N(X331)/(O331/1000))</f>
        <v>0</v>
      </c>
      <c r="AH331" s="24">
        <f>IF(O331="","",IF(Y331="",TargetEngagement,Y331))</f>
        <v>0</v>
      </c>
      <c r="AI331" s="24">
        <f>IF(OR(AA331="",AH331=""),"",AA331-AH331)</f>
        <v>0</v>
      </c>
      <c r="AJ331" s="31">
        <f>IF(AA331="","",AA331+ROW()/1000000)</f>
        <v>0</v>
      </c>
      <c r="AK331" s="23">
        <f>IF(AA331="","",RANK(AJ331,Performance!$AJ$5:$AJ$404))</f>
        <v>0</v>
      </c>
      <c r="AL331" s="29">
        <f>IF(AA331="","",IF(AA331&gt;=AH331*1.5,"Top performer",IF(AA331&gt;=AH331,"Above target",IF(AA331&gt;=AH331*0.6,"Below target","Weak - review it"))))</f>
        <v>0</v>
      </c>
      <c r="AM331" s="29">
        <f>IF(B331="","",IF(COUNTIF(Performance!$B$5:$B$404,B331)&gt;1,"Duplicate","OK"))</f>
        <v>0</v>
      </c>
      <c r="AN331" s="29">
        <f>IF(B331="","",IF(C331="Not found","Check - content ID not on the calendar",IF(O331="","Add - no numbers entered yet",IF(AM331="Duplicate","Duplicate - this post is entered twice",IF(AL331="Top performer","Repurpose this one","OK")))))</f>
        <v>0</v>
      </c>
    </row>
    <row r="332" spans="1:40">
      <c r="A332" s="41">
        <f>IF(B332="","","PF-"&amp;TEXT(ROW()-4,"0000"))</f>
        <v>0</v>
      </c>
      <c r="C332" s="17">
        <f>IF(B332="","",IFERROR(INDEX('Content Calendar'!$H$5:$H$604,MATCH(B332,'Content Calendar'!$A$5:$A$604,0)),"Not found"))</f>
        <v>0</v>
      </c>
      <c r="D332" s="16">
        <f>IF(B332="","",IFERROR(INDEX('Content Calendar'!$B$5:$B$604,MATCH(B332,'Content Calendar'!$A$5:$A$604,0)),"Not found"))</f>
        <v>0</v>
      </c>
      <c r="E332" s="17">
        <f>IF(B332="","",IFERROR(INDEX('Content Calendar'!$D$5:$D$604,MATCH(B332,'Content Calendar'!$A$5:$A$604,0)),"Not found"))</f>
        <v>0</v>
      </c>
      <c r="F332" s="17">
        <f>IF(B332="","",IFERROR(INDEX('Content Calendar'!$G$5:$G$604,MATCH(B332,'Content Calendar'!$A$5:$A$604,0)),"Not found"))</f>
        <v>0</v>
      </c>
      <c r="G332" s="17">
        <f>IF(B332="","",IFERROR(INDEX('Content Calendar'!$K$5:$K$604,MATCH(B332,'Content Calendar'!$A$5:$A$604,0)),"Not found"))</f>
        <v>0</v>
      </c>
      <c r="H332" s="17">
        <f>IF(B332="","",IFERROR(INDEX('Content Calendar'!$J$5:$J$604,MATCH(B332,'Content Calendar'!$A$5:$A$604,0)),"Not found"))</f>
        <v>0</v>
      </c>
      <c r="I332" s="17">
        <f>IF(B332="","",IFERROR(INDEX('Content Calendar'!$L$5:$L$604,MATCH(B332,'Content Calendar'!$A$5:$A$604,0)),"Not found"))</f>
        <v>0</v>
      </c>
      <c r="J332" s="17">
        <f>IF(B332="","",IFERROR(INDEX('Content Calendar'!$P$5:$P$604,MATCH(B332,'Content Calendar'!$A$5:$A$604,0)),"Not found"))</f>
        <v>0</v>
      </c>
      <c r="K332" s="17">
        <f>IF(B332="","",IFERROR(INDEX('Content Calendar'!$O$5:$O$604,MATCH(B332,'Content Calendar'!$A$5:$A$604,0)),"Not found"))</f>
        <v>0</v>
      </c>
      <c r="L332" s="17">
        <f>IF(B332="","",IFERROR(INDEX('Content Calendar'!$N$5:$N$604,MATCH(B332,'Content Calendar'!$A$5:$A$604,0)),"Not found"))</f>
        <v>0</v>
      </c>
      <c r="M332" s="17">
        <f>IF(B332="","",IFERROR(INDEX('Content Calendar'!$C$5:$C$604,MATCH(B332,'Content Calendar'!$A$5:$A$604,0)),"Not found"))</f>
        <v>0</v>
      </c>
      <c r="N332" s="17">
        <f>IF(B332="","",IFERROR(INDEX('Content Calendar'!$F$5:$F$604,MATCH(B332,'Content Calendar'!$A$5:$A$604,0)),"Not found"))</f>
        <v>0</v>
      </c>
      <c r="Z332" s="23">
        <f>IF(O332="","",N(Q332)+N(R332)+N(S332)+N(T332))</f>
        <v>0</v>
      </c>
      <c r="AA332" s="24">
        <f>IF(OR(O332="",O332=0),"",Z332/O332)</f>
        <v>0</v>
      </c>
      <c r="AB332" s="24">
        <f>IF(OR(O332="",O332=0),"",N(T332)/O332)</f>
        <v>0</v>
      </c>
      <c r="AC332" s="24">
        <f>IF(OR(O332="",O332=0),"",N(S332)/O332)</f>
        <v>0</v>
      </c>
      <c r="AD332" s="24">
        <f>IF(OR(O332="",O332=0),"",N(R332)/O332)</f>
        <v>0</v>
      </c>
      <c r="AE332" s="24">
        <f>IF(OR(O332="",O332=0),"",N(U332)/O332)</f>
        <v>0</v>
      </c>
      <c r="AF332" s="24">
        <f>IF(OR(U332="",U332=0),"",N(W332)/U332)</f>
        <v>0</v>
      </c>
      <c r="AG332" s="25">
        <f>IF(OR(O332="",O332=0),"",N(X332)/(O332/1000))</f>
        <v>0</v>
      </c>
      <c r="AH332" s="24">
        <f>IF(O332="","",IF(Y332="",TargetEngagement,Y332))</f>
        <v>0</v>
      </c>
      <c r="AI332" s="24">
        <f>IF(OR(AA332="",AH332=""),"",AA332-AH332)</f>
        <v>0</v>
      </c>
      <c r="AJ332" s="31">
        <f>IF(AA332="","",AA332+ROW()/1000000)</f>
        <v>0</v>
      </c>
      <c r="AK332" s="23">
        <f>IF(AA332="","",RANK(AJ332,Performance!$AJ$5:$AJ$404))</f>
        <v>0</v>
      </c>
      <c r="AL332" s="29">
        <f>IF(AA332="","",IF(AA332&gt;=AH332*1.5,"Top performer",IF(AA332&gt;=AH332,"Above target",IF(AA332&gt;=AH332*0.6,"Below target","Weak - review it"))))</f>
        <v>0</v>
      </c>
      <c r="AM332" s="29">
        <f>IF(B332="","",IF(COUNTIF(Performance!$B$5:$B$404,B332)&gt;1,"Duplicate","OK"))</f>
        <v>0</v>
      </c>
      <c r="AN332" s="29">
        <f>IF(B332="","",IF(C332="Not found","Check - content ID not on the calendar",IF(O332="","Add - no numbers entered yet",IF(AM332="Duplicate","Duplicate - this post is entered twice",IF(AL332="Top performer","Repurpose this one","OK")))))</f>
        <v>0</v>
      </c>
    </row>
    <row r="333" spans="1:40">
      <c r="A333" s="41">
        <f>IF(B333="","","PF-"&amp;TEXT(ROW()-4,"0000"))</f>
        <v>0</v>
      </c>
      <c r="C333" s="17">
        <f>IF(B333="","",IFERROR(INDEX('Content Calendar'!$H$5:$H$604,MATCH(B333,'Content Calendar'!$A$5:$A$604,0)),"Not found"))</f>
        <v>0</v>
      </c>
      <c r="D333" s="16">
        <f>IF(B333="","",IFERROR(INDEX('Content Calendar'!$B$5:$B$604,MATCH(B333,'Content Calendar'!$A$5:$A$604,0)),"Not found"))</f>
        <v>0</v>
      </c>
      <c r="E333" s="17">
        <f>IF(B333="","",IFERROR(INDEX('Content Calendar'!$D$5:$D$604,MATCH(B333,'Content Calendar'!$A$5:$A$604,0)),"Not found"))</f>
        <v>0</v>
      </c>
      <c r="F333" s="17">
        <f>IF(B333="","",IFERROR(INDEX('Content Calendar'!$G$5:$G$604,MATCH(B333,'Content Calendar'!$A$5:$A$604,0)),"Not found"))</f>
        <v>0</v>
      </c>
      <c r="G333" s="17">
        <f>IF(B333="","",IFERROR(INDEX('Content Calendar'!$K$5:$K$604,MATCH(B333,'Content Calendar'!$A$5:$A$604,0)),"Not found"))</f>
        <v>0</v>
      </c>
      <c r="H333" s="17">
        <f>IF(B333="","",IFERROR(INDEX('Content Calendar'!$J$5:$J$604,MATCH(B333,'Content Calendar'!$A$5:$A$604,0)),"Not found"))</f>
        <v>0</v>
      </c>
      <c r="I333" s="17">
        <f>IF(B333="","",IFERROR(INDEX('Content Calendar'!$L$5:$L$604,MATCH(B333,'Content Calendar'!$A$5:$A$604,0)),"Not found"))</f>
        <v>0</v>
      </c>
      <c r="J333" s="17">
        <f>IF(B333="","",IFERROR(INDEX('Content Calendar'!$P$5:$P$604,MATCH(B333,'Content Calendar'!$A$5:$A$604,0)),"Not found"))</f>
        <v>0</v>
      </c>
      <c r="K333" s="17">
        <f>IF(B333="","",IFERROR(INDEX('Content Calendar'!$O$5:$O$604,MATCH(B333,'Content Calendar'!$A$5:$A$604,0)),"Not found"))</f>
        <v>0</v>
      </c>
      <c r="L333" s="17">
        <f>IF(B333="","",IFERROR(INDEX('Content Calendar'!$N$5:$N$604,MATCH(B333,'Content Calendar'!$A$5:$A$604,0)),"Not found"))</f>
        <v>0</v>
      </c>
      <c r="M333" s="17">
        <f>IF(B333="","",IFERROR(INDEX('Content Calendar'!$C$5:$C$604,MATCH(B333,'Content Calendar'!$A$5:$A$604,0)),"Not found"))</f>
        <v>0</v>
      </c>
      <c r="N333" s="17">
        <f>IF(B333="","",IFERROR(INDEX('Content Calendar'!$F$5:$F$604,MATCH(B333,'Content Calendar'!$A$5:$A$604,0)),"Not found"))</f>
        <v>0</v>
      </c>
      <c r="Z333" s="23">
        <f>IF(O333="","",N(Q333)+N(R333)+N(S333)+N(T333))</f>
        <v>0</v>
      </c>
      <c r="AA333" s="24">
        <f>IF(OR(O333="",O333=0),"",Z333/O333)</f>
        <v>0</v>
      </c>
      <c r="AB333" s="24">
        <f>IF(OR(O333="",O333=0),"",N(T333)/O333)</f>
        <v>0</v>
      </c>
      <c r="AC333" s="24">
        <f>IF(OR(O333="",O333=0),"",N(S333)/O333)</f>
        <v>0</v>
      </c>
      <c r="AD333" s="24">
        <f>IF(OR(O333="",O333=0),"",N(R333)/O333)</f>
        <v>0</v>
      </c>
      <c r="AE333" s="24">
        <f>IF(OR(O333="",O333=0),"",N(U333)/O333)</f>
        <v>0</v>
      </c>
      <c r="AF333" s="24">
        <f>IF(OR(U333="",U333=0),"",N(W333)/U333)</f>
        <v>0</v>
      </c>
      <c r="AG333" s="25">
        <f>IF(OR(O333="",O333=0),"",N(X333)/(O333/1000))</f>
        <v>0</v>
      </c>
      <c r="AH333" s="24">
        <f>IF(O333="","",IF(Y333="",TargetEngagement,Y333))</f>
        <v>0</v>
      </c>
      <c r="AI333" s="24">
        <f>IF(OR(AA333="",AH333=""),"",AA333-AH333)</f>
        <v>0</v>
      </c>
      <c r="AJ333" s="31">
        <f>IF(AA333="","",AA333+ROW()/1000000)</f>
        <v>0</v>
      </c>
      <c r="AK333" s="23">
        <f>IF(AA333="","",RANK(AJ333,Performance!$AJ$5:$AJ$404))</f>
        <v>0</v>
      </c>
      <c r="AL333" s="29">
        <f>IF(AA333="","",IF(AA333&gt;=AH333*1.5,"Top performer",IF(AA333&gt;=AH333,"Above target",IF(AA333&gt;=AH333*0.6,"Below target","Weak - review it"))))</f>
        <v>0</v>
      </c>
      <c r="AM333" s="29">
        <f>IF(B333="","",IF(COUNTIF(Performance!$B$5:$B$404,B333)&gt;1,"Duplicate","OK"))</f>
        <v>0</v>
      </c>
      <c r="AN333" s="29">
        <f>IF(B333="","",IF(C333="Not found","Check - content ID not on the calendar",IF(O333="","Add - no numbers entered yet",IF(AM333="Duplicate","Duplicate - this post is entered twice",IF(AL333="Top performer","Repurpose this one","OK")))))</f>
        <v>0</v>
      </c>
    </row>
    <row r="334" spans="1:40">
      <c r="A334" s="41">
        <f>IF(B334="","","PF-"&amp;TEXT(ROW()-4,"0000"))</f>
        <v>0</v>
      </c>
      <c r="C334" s="17">
        <f>IF(B334="","",IFERROR(INDEX('Content Calendar'!$H$5:$H$604,MATCH(B334,'Content Calendar'!$A$5:$A$604,0)),"Not found"))</f>
        <v>0</v>
      </c>
      <c r="D334" s="16">
        <f>IF(B334="","",IFERROR(INDEX('Content Calendar'!$B$5:$B$604,MATCH(B334,'Content Calendar'!$A$5:$A$604,0)),"Not found"))</f>
        <v>0</v>
      </c>
      <c r="E334" s="17">
        <f>IF(B334="","",IFERROR(INDEX('Content Calendar'!$D$5:$D$604,MATCH(B334,'Content Calendar'!$A$5:$A$604,0)),"Not found"))</f>
        <v>0</v>
      </c>
      <c r="F334" s="17">
        <f>IF(B334="","",IFERROR(INDEX('Content Calendar'!$G$5:$G$604,MATCH(B334,'Content Calendar'!$A$5:$A$604,0)),"Not found"))</f>
        <v>0</v>
      </c>
      <c r="G334" s="17">
        <f>IF(B334="","",IFERROR(INDEX('Content Calendar'!$K$5:$K$604,MATCH(B334,'Content Calendar'!$A$5:$A$604,0)),"Not found"))</f>
        <v>0</v>
      </c>
      <c r="H334" s="17">
        <f>IF(B334="","",IFERROR(INDEX('Content Calendar'!$J$5:$J$604,MATCH(B334,'Content Calendar'!$A$5:$A$604,0)),"Not found"))</f>
        <v>0</v>
      </c>
      <c r="I334" s="17">
        <f>IF(B334="","",IFERROR(INDEX('Content Calendar'!$L$5:$L$604,MATCH(B334,'Content Calendar'!$A$5:$A$604,0)),"Not found"))</f>
        <v>0</v>
      </c>
      <c r="J334" s="17">
        <f>IF(B334="","",IFERROR(INDEX('Content Calendar'!$P$5:$P$604,MATCH(B334,'Content Calendar'!$A$5:$A$604,0)),"Not found"))</f>
        <v>0</v>
      </c>
      <c r="K334" s="17">
        <f>IF(B334="","",IFERROR(INDEX('Content Calendar'!$O$5:$O$604,MATCH(B334,'Content Calendar'!$A$5:$A$604,0)),"Not found"))</f>
        <v>0</v>
      </c>
      <c r="L334" s="17">
        <f>IF(B334="","",IFERROR(INDEX('Content Calendar'!$N$5:$N$604,MATCH(B334,'Content Calendar'!$A$5:$A$604,0)),"Not found"))</f>
        <v>0</v>
      </c>
      <c r="M334" s="17">
        <f>IF(B334="","",IFERROR(INDEX('Content Calendar'!$C$5:$C$604,MATCH(B334,'Content Calendar'!$A$5:$A$604,0)),"Not found"))</f>
        <v>0</v>
      </c>
      <c r="N334" s="17">
        <f>IF(B334="","",IFERROR(INDEX('Content Calendar'!$F$5:$F$604,MATCH(B334,'Content Calendar'!$A$5:$A$604,0)),"Not found"))</f>
        <v>0</v>
      </c>
      <c r="Z334" s="23">
        <f>IF(O334="","",N(Q334)+N(R334)+N(S334)+N(T334))</f>
        <v>0</v>
      </c>
      <c r="AA334" s="24">
        <f>IF(OR(O334="",O334=0),"",Z334/O334)</f>
        <v>0</v>
      </c>
      <c r="AB334" s="24">
        <f>IF(OR(O334="",O334=0),"",N(T334)/O334)</f>
        <v>0</v>
      </c>
      <c r="AC334" s="24">
        <f>IF(OR(O334="",O334=0),"",N(S334)/O334)</f>
        <v>0</v>
      </c>
      <c r="AD334" s="24">
        <f>IF(OR(O334="",O334=0),"",N(R334)/O334)</f>
        <v>0</v>
      </c>
      <c r="AE334" s="24">
        <f>IF(OR(O334="",O334=0),"",N(U334)/O334)</f>
        <v>0</v>
      </c>
      <c r="AF334" s="24">
        <f>IF(OR(U334="",U334=0),"",N(W334)/U334)</f>
        <v>0</v>
      </c>
      <c r="AG334" s="25">
        <f>IF(OR(O334="",O334=0),"",N(X334)/(O334/1000))</f>
        <v>0</v>
      </c>
      <c r="AH334" s="24">
        <f>IF(O334="","",IF(Y334="",TargetEngagement,Y334))</f>
        <v>0</v>
      </c>
      <c r="AI334" s="24">
        <f>IF(OR(AA334="",AH334=""),"",AA334-AH334)</f>
        <v>0</v>
      </c>
      <c r="AJ334" s="31">
        <f>IF(AA334="","",AA334+ROW()/1000000)</f>
        <v>0</v>
      </c>
      <c r="AK334" s="23">
        <f>IF(AA334="","",RANK(AJ334,Performance!$AJ$5:$AJ$404))</f>
        <v>0</v>
      </c>
      <c r="AL334" s="29">
        <f>IF(AA334="","",IF(AA334&gt;=AH334*1.5,"Top performer",IF(AA334&gt;=AH334,"Above target",IF(AA334&gt;=AH334*0.6,"Below target","Weak - review it"))))</f>
        <v>0</v>
      </c>
      <c r="AM334" s="29">
        <f>IF(B334="","",IF(COUNTIF(Performance!$B$5:$B$404,B334)&gt;1,"Duplicate","OK"))</f>
        <v>0</v>
      </c>
      <c r="AN334" s="29">
        <f>IF(B334="","",IF(C334="Not found","Check - content ID not on the calendar",IF(O334="","Add - no numbers entered yet",IF(AM334="Duplicate","Duplicate - this post is entered twice",IF(AL334="Top performer","Repurpose this one","OK")))))</f>
        <v>0</v>
      </c>
    </row>
    <row r="335" spans="1:40">
      <c r="A335" s="41">
        <f>IF(B335="","","PF-"&amp;TEXT(ROW()-4,"0000"))</f>
        <v>0</v>
      </c>
      <c r="C335" s="17">
        <f>IF(B335="","",IFERROR(INDEX('Content Calendar'!$H$5:$H$604,MATCH(B335,'Content Calendar'!$A$5:$A$604,0)),"Not found"))</f>
        <v>0</v>
      </c>
      <c r="D335" s="16">
        <f>IF(B335="","",IFERROR(INDEX('Content Calendar'!$B$5:$B$604,MATCH(B335,'Content Calendar'!$A$5:$A$604,0)),"Not found"))</f>
        <v>0</v>
      </c>
      <c r="E335" s="17">
        <f>IF(B335="","",IFERROR(INDEX('Content Calendar'!$D$5:$D$604,MATCH(B335,'Content Calendar'!$A$5:$A$604,0)),"Not found"))</f>
        <v>0</v>
      </c>
      <c r="F335" s="17">
        <f>IF(B335="","",IFERROR(INDEX('Content Calendar'!$G$5:$G$604,MATCH(B335,'Content Calendar'!$A$5:$A$604,0)),"Not found"))</f>
        <v>0</v>
      </c>
      <c r="G335" s="17">
        <f>IF(B335="","",IFERROR(INDEX('Content Calendar'!$K$5:$K$604,MATCH(B335,'Content Calendar'!$A$5:$A$604,0)),"Not found"))</f>
        <v>0</v>
      </c>
      <c r="H335" s="17">
        <f>IF(B335="","",IFERROR(INDEX('Content Calendar'!$J$5:$J$604,MATCH(B335,'Content Calendar'!$A$5:$A$604,0)),"Not found"))</f>
        <v>0</v>
      </c>
      <c r="I335" s="17">
        <f>IF(B335="","",IFERROR(INDEX('Content Calendar'!$L$5:$L$604,MATCH(B335,'Content Calendar'!$A$5:$A$604,0)),"Not found"))</f>
        <v>0</v>
      </c>
      <c r="J335" s="17">
        <f>IF(B335="","",IFERROR(INDEX('Content Calendar'!$P$5:$P$604,MATCH(B335,'Content Calendar'!$A$5:$A$604,0)),"Not found"))</f>
        <v>0</v>
      </c>
      <c r="K335" s="17">
        <f>IF(B335="","",IFERROR(INDEX('Content Calendar'!$O$5:$O$604,MATCH(B335,'Content Calendar'!$A$5:$A$604,0)),"Not found"))</f>
        <v>0</v>
      </c>
      <c r="L335" s="17">
        <f>IF(B335="","",IFERROR(INDEX('Content Calendar'!$N$5:$N$604,MATCH(B335,'Content Calendar'!$A$5:$A$604,0)),"Not found"))</f>
        <v>0</v>
      </c>
      <c r="M335" s="17">
        <f>IF(B335="","",IFERROR(INDEX('Content Calendar'!$C$5:$C$604,MATCH(B335,'Content Calendar'!$A$5:$A$604,0)),"Not found"))</f>
        <v>0</v>
      </c>
      <c r="N335" s="17">
        <f>IF(B335="","",IFERROR(INDEX('Content Calendar'!$F$5:$F$604,MATCH(B335,'Content Calendar'!$A$5:$A$604,0)),"Not found"))</f>
        <v>0</v>
      </c>
      <c r="Z335" s="23">
        <f>IF(O335="","",N(Q335)+N(R335)+N(S335)+N(T335))</f>
        <v>0</v>
      </c>
      <c r="AA335" s="24">
        <f>IF(OR(O335="",O335=0),"",Z335/O335)</f>
        <v>0</v>
      </c>
      <c r="AB335" s="24">
        <f>IF(OR(O335="",O335=0),"",N(T335)/O335)</f>
        <v>0</v>
      </c>
      <c r="AC335" s="24">
        <f>IF(OR(O335="",O335=0),"",N(S335)/O335)</f>
        <v>0</v>
      </c>
      <c r="AD335" s="24">
        <f>IF(OR(O335="",O335=0),"",N(R335)/O335)</f>
        <v>0</v>
      </c>
      <c r="AE335" s="24">
        <f>IF(OR(O335="",O335=0),"",N(U335)/O335)</f>
        <v>0</v>
      </c>
      <c r="AF335" s="24">
        <f>IF(OR(U335="",U335=0),"",N(W335)/U335)</f>
        <v>0</v>
      </c>
      <c r="AG335" s="25">
        <f>IF(OR(O335="",O335=0),"",N(X335)/(O335/1000))</f>
        <v>0</v>
      </c>
      <c r="AH335" s="24">
        <f>IF(O335="","",IF(Y335="",TargetEngagement,Y335))</f>
        <v>0</v>
      </c>
      <c r="AI335" s="24">
        <f>IF(OR(AA335="",AH335=""),"",AA335-AH335)</f>
        <v>0</v>
      </c>
      <c r="AJ335" s="31">
        <f>IF(AA335="","",AA335+ROW()/1000000)</f>
        <v>0</v>
      </c>
      <c r="AK335" s="23">
        <f>IF(AA335="","",RANK(AJ335,Performance!$AJ$5:$AJ$404))</f>
        <v>0</v>
      </c>
      <c r="AL335" s="29">
        <f>IF(AA335="","",IF(AA335&gt;=AH335*1.5,"Top performer",IF(AA335&gt;=AH335,"Above target",IF(AA335&gt;=AH335*0.6,"Below target","Weak - review it"))))</f>
        <v>0</v>
      </c>
      <c r="AM335" s="29">
        <f>IF(B335="","",IF(COUNTIF(Performance!$B$5:$B$404,B335)&gt;1,"Duplicate","OK"))</f>
        <v>0</v>
      </c>
      <c r="AN335" s="29">
        <f>IF(B335="","",IF(C335="Not found","Check - content ID not on the calendar",IF(O335="","Add - no numbers entered yet",IF(AM335="Duplicate","Duplicate - this post is entered twice",IF(AL335="Top performer","Repurpose this one","OK")))))</f>
        <v>0</v>
      </c>
    </row>
    <row r="336" spans="1:40">
      <c r="A336" s="41">
        <f>IF(B336="","","PF-"&amp;TEXT(ROW()-4,"0000"))</f>
        <v>0</v>
      </c>
      <c r="C336" s="17">
        <f>IF(B336="","",IFERROR(INDEX('Content Calendar'!$H$5:$H$604,MATCH(B336,'Content Calendar'!$A$5:$A$604,0)),"Not found"))</f>
        <v>0</v>
      </c>
      <c r="D336" s="16">
        <f>IF(B336="","",IFERROR(INDEX('Content Calendar'!$B$5:$B$604,MATCH(B336,'Content Calendar'!$A$5:$A$604,0)),"Not found"))</f>
        <v>0</v>
      </c>
      <c r="E336" s="17">
        <f>IF(B336="","",IFERROR(INDEX('Content Calendar'!$D$5:$D$604,MATCH(B336,'Content Calendar'!$A$5:$A$604,0)),"Not found"))</f>
        <v>0</v>
      </c>
      <c r="F336" s="17">
        <f>IF(B336="","",IFERROR(INDEX('Content Calendar'!$G$5:$G$604,MATCH(B336,'Content Calendar'!$A$5:$A$604,0)),"Not found"))</f>
        <v>0</v>
      </c>
      <c r="G336" s="17">
        <f>IF(B336="","",IFERROR(INDEX('Content Calendar'!$K$5:$K$604,MATCH(B336,'Content Calendar'!$A$5:$A$604,0)),"Not found"))</f>
        <v>0</v>
      </c>
      <c r="H336" s="17">
        <f>IF(B336="","",IFERROR(INDEX('Content Calendar'!$J$5:$J$604,MATCH(B336,'Content Calendar'!$A$5:$A$604,0)),"Not found"))</f>
        <v>0</v>
      </c>
      <c r="I336" s="17">
        <f>IF(B336="","",IFERROR(INDEX('Content Calendar'!$L$5:$L$604,MATCH(B336,'Content Calendar'!$A$5:$A$604,0)),"Not found"))</f>
        <v>0</v>
      </c>
      <c r="J336" s="17">
        <f>IF(B336="","",IFERROR(INDEX('Content Calendar'!$P$5:$P$604,MATCH(B336,'Content Calendar'!$A$5:$A$604,0)),"Not found"))</f>
        <v>0</v>
      </c>
      <c r="K336" s="17">
        <f>IF(B336="","",IFERROR(INDEX('Content Calendar'!$O$5:$O$604,MATCH(B336,'Content Calendar'!$A$5:$A$604,0)),"Not found"))</f>
        <v>0</v>
      </c>
      <c r="L336" s="17">
        <f>IF(B336="","",IFERROR(INDEX('Content Calendar'!$N$5:$N$604,MATCH(B336,'Content Calendar'!$A$5:$A$604,0)),"Not found"))</f>
        <v>0</v>
      </c>
      <c r="M336" s="17">
        <f>IF(B336="","",IFERROR(INDEX('Content Calendar'!$C$5:$C$604,MATCH(B336,'Content Calendar'!$A$5:$A$604,0)),"Not found"))</f>
        <v>0</v>
      </c>
      <c r="N336" s="17">
        <f>IF(B336="","",IFERROR(INDEX('Content Calendar'!$F$5:$F$604,MATCH(B336,'Content Calendar'!$A$5:$A$604,0)),"Not found"))</f>
        <v>0</v>
      </c>
      <c r="Z336" s="23">
        <f>IF(O336="","",N(Q336)+N(R336)+N(S336)+N(T336))</f>
        <v>0</v>
      </c>
      <c r="AA336" s="24">
        <f>IF(OR(O336="",O336=0),"",Z336/O336)</f>
        <v>0</v>
      </c>
      <c r="AB336" s="24">
        <f>IF(OR(O336="",O336=0),"",N(T336)/O336)</f>
        <v>0</v>
      </c>
      <c r="AC336" s="24">
        <f>IF(OR(O336="",O336=0),"",N(S336)/O336)</f>
        <v>0</v>
      </c>
      <c r="AD336" s="24">
        <f>IF(OR(O336="",O336=0),"",N(R336)/O336)</f>
        <v>0</v>
      </c>
      <c r="AE336" s="24">
        <f>IF(OR(O336="",O336=0),"",N(U336)/O336)</f>
        <v>0</v>
      </c>
      <c r="AF336" s="24">
        <f>IF(OR(U336="",U336=0),"",N(W336)/U336)</f>
        <v>0</v>
      </c>
      <c r="AG336" s="25">
        <f>IF(OR(O336="",O336=0),"",N(X336)/(O336/1000))</f>
        <v>0</v>
      </c>
      <c r="AH336" s="24">
        <f>IF(O336="","",IF(Y336="",TargetEngagement,Y336))</f>
        <v>0</v>
      </c>
      <c r="AI336" s="24">
        <f>IF(OR(AA336="",AH336=""),"",AA336-AH336)</f>
        <v>0</v>
      </c>
      <c r="AJ336" s="31">
        <f>IF(AA336="","",AA336+ROW()/1000000)</f>
        <v>0</v>
      </c>
      <c r="AK336" s="23">
        <f>IF(AA336="","",RANK(AJ336,Performance!$AJ$5:$AJ$404))</f>
        <v>0</v>
      </c>
      <c r="AL336" s="29">
        <f>IF(AA336="","",IF(AA336&gt;=AH336*1.5,"Top performer",IF(AA336&gt;=AH336,"Above target",IF(AA336&gt;=AH336*0.6,"Below target","Weak - review it"))))</f>
        <v>0</v>
      </c>
      <c r="AM336" s="29">
        <f>IF(B336="","",IF(COUNTIF(Performance!$B$5:$B$404,B336)&gt;1,"Duplicate","OK"))</f>
        <v>0</v>
      </c>
      <c r="AN336" s="29">
        <f>IF(B336="","",IF(C336="Not found","Check - content ID not on the calendar",IF(O336="","Add - no numbers entered yet",IF(AM336="Duplicate","Duplicate - this post is entered twice",IF(AL336="Top performer","Repurpose this one","OK")))))</f>
        <v>0</v>
      </c>
    </row>
    <row r="337" spans="1:40">
      <c r="A337" s="41">
        <f>IF(B337="","","PF-"&amp;TEXT(ROW()-4,"0000"))</f>
        <v>0</v>
      </c>
      <c r="C337" s="17">
        <f>IF(B337="","",IFERROR(INDEX('Content Calendar'!$H$5:$H$604,MATCH(B337,'Content Calendar'!$A$5:$A$604,0)),"Not found"))</f>
        <v>0</v>
      </c>
      <c r="D337" s="16">
        <f>IF(B337="","",IFERROR(INDEX('Content Calendar'!$B$5:$B$604,MATCH(B337,'Content Calendar'!$A$5:$A$604,0)),"Not found"))</f>
        <v>0</v>
      </c>
      <c r="E337" s="17">
        <f>IF(B337="","",IFERROR(INDEX('Content Calendar'!$D$5:$D$604,MATCH(B337,'Content Calendar'!$A$5:$A$604,0)),"Not found"))</f>
        <v>0</v>
      </c>
      <c r="F337" s="17">
        <f>IF(B337="","",IFERROR(INDEX('Content Calendar'!$G$5:$G$604,MATCH(B337,'Content Calendar'!$A$5:$A$604,0)),"Not found"))</f>
        <v>0</v>
      </c>
      <c r="G337" s="17">
        <f>IF(B337="","",IFERROR(INDEX('Content Calendar'!$K$5:$K$604,MATCH(B337,'Content Calendar'!$A$5:$A$604,0)),"Not found"))</f>
        <v>0</v>
      </c>
      <c r="H337" s="17">
        <f>IF(B337="","",IFERROR(INDEX('Content Calendar'!$J$5:$J$604,MATCH(B337,'Content Calendar'!$A$5:$A$604,0)),"Not found"))</f>
        <v>0</v>
      </c>
      <c r="I337" s="17">
        <f>IF(B337="","",IFERROR(INDEX('Content Calendar'!$L$5:$L$604,MATCH(B337,'Content Calendar'!$A$5:$A$604,0)),"Not found"))</f>
        <v>0</v>
      </c>
      <c r="J337" s="17">
        <f>IF(B337="","",IFERROR(INDEX('Content Calendar'!$P$5:$P$604,MATCH(B337,'Content Calendar'!$A$5:$A$604,0)),"Not found"))</f>
        <v>0</v>
      </c>
      <c r="K337" s="17">
        <f>IF(B337="","",IFERROR(INDEX('Content Calendar'!$O$5:$O$604,MATCH(B337,'Content Calendar'!$A$5:$A$604,0)),"Not found"))</f>
        <v>0</v>
      </c>
      <c r="L337" s="17">
        <f>IF(B337="","",IFERROR(INDEX('Content Calendar'!$N$5:$N$604,MATCH(B337,'Content Calendar'!$A$5:$A$604,0)),"Not found"))</f>
        <v>0</v>
      </c>
      <c r="M337" s="17">
        <f>IF(B337="","",IFERROR(INDEX('Content Calendar'!$C$5:$C$604,MATCH(B337,'Content Calendar'!$A$5:$A$604,0)),"Not found"))</f>
        <v>0</v>
      </c>
      <c r="N337" s="17">
        <f>IF(B337="","",IFERROR(INDEX('Content Calendar'!$F$5:$F$604,MATCH(B337,'Content Calendar'!$A$5:$A$604,0)),"Not found"))</f>
        <v>0</v>
      </c>
      <c r="Z337" s="23">
        <f>IF(O337="","",N(Q337)+N(R337)+N(S337)+N(T337))</f>
        <v>0</v>
      </c>
      <c r="AA337" s="24">
        <f>IF(OR(O337="",O337=0),"",Z337/O337)</f>
        <v>0</v>
      </c>
      <c r="AB337" s="24">
        <f>IF(OR(O337="",O337=0),"",N(T337)/O337)</f>
        <v>0</v>
      </c>
      <c r="AC337" s="24">
        <f>IF(OR(O337="",O337=0),"",N(S337)/O337)</f>
        <v>0</v>
      </c>
      <c r="AD337" s="24">
        <f>IF(OR(O337="",O337=0),"",N(R337)/O337)</f>
        <v>0</v>
      </c>
      <c r="AE337" s="24">
        <f>IF(OR(O337="",O337=0),"",N(U337)/O337)</f>
        <v>0</v>
      </c>
      <c r="AF337" s="24">
        <f>IF(OR(U337="",U337=0),"",N(W337)/U337)</f>
        <v>0</v>
      </c>
      <c r="AG337" s="25">
        <f>IF(OR(O337="",O337=0),"",N(X337)/(O337/1000))</f>
        <v>0</v>
      </c>
      <c r="AH337" s="24">
        <f>IF(O337="","",IF(Y337="",TargetEngagement,Y337))</f>
        <v>0</v>
      </c>
      <c r="AI337" s="24">
        <f>IF(OR(AA337="",AH337=""),"",AA337-AH337)</f>
        <v>0</v>
      </c>
      <c r="AJ337" s="31">
        <f>IF(AA337="","",AA337+ROW()/1000000)</f>
        <v>0</v>
      </c>
      <c r="AK337" s="23">
        <f>IF(AA337="","",RANK(AJ337,Performance!$AJ$5:$AJ$404))</f>
        <v>0</v>
      </c>
      <c r="AL337" s="29">
        <f>IF(AA337="","",IF(AA337&gt;=AH337*1.5,"Top performer",IF(AA337&gt;=AH337,"Above target",IF(AA337&gt;=AH337*0.6,"Below target","Weak - review it"))))</f>
        <v>0</v>
      </c>
      <c r="AM337" s="29">
        <f>IF(B337="","",IF(COUNTIF(Performance!$B$5:$B$404,B337)&gt;1,"Duplicate","OK"))</f>
        <v>0</v>
      </c>
      <c r="AN337" s="29">
        <f>IF(B337="","",IF(C337="Not found","Check - content ID not on the calendar",IF(O337="","Add - no numbers entered yet",IF(AM337="Duplicate","Duplicate - this post is entered twice",IF(AL337="Top performer","Repurpose this one","OK")))))</f>
        <v>0</v>
      </c>
    </row>
    <row r="338" spans="1:40">
      <c r="A338" s="41">
        <f>IF(B338="","","PF-"&amp;TEXT(ROW()-4,"0000"))</f>
        <v>0</v>
      </c>
      <c r="C338" s="17">
        <f>IF(B338="","",IFERROR(INDEX('Content Calendar'!$H$5:$H$604,MATCH(B338,'Content Calendar'!$A$5:$A$604,0)),"Not found"))</f>
        <v>0</v>
      </c>
      <c r="D338" s="16">
        <f>IF(B338="","",IFERROR(INDEX('Content Calendar'!$B$5:$B$604,MATCH(B338,'Content Calendar'!$A$5:$A$604,0)),"Not found"))</f>
        <v>0</v>
      </c>
      <c r="E338" s="17">
        <f>IF(B338="","",IFERROR(INDEX('Content Calendar'!$D$5:$D$604,MATCH(B338,'Content Calendar'!$A$5:$A$604,0)),"Not found"))</f>
        <v>0</v>
      </c>
      <c r="F338" s="17">
        <f>IF(B338="","",IFERROR(INDEX('Content Calendar'!$G$5:$G$604,MATCH(B338,'Content Calendar'!$A$5:$A$604,0)),"Not found"))</f>
        <v>0</v>
      </c>
      <c r="G338" s="17">
        <f>IF(B338="","",IFERROR(INDEX('Content Calendar'!$K$5:$K$604,MATCH(B338,'Content Calendar'!$A$5:$A$604,0)),"Not found"))</f>
        <v>0</v>
      </c>
      <c r="H338" s="17">
        <f>IF(B338="","",IFERROR(INDEX('Content Calendar'!$J$5:$J$604,MATCH(B338,'Content Calendar'!$A$5:$A$604,0)),"Not found"))</f>
        <v>0</v>
      </c>
      <c r="I338" s="17">
        <f>IF(B338="","",IFERROR(INDEX('Content Calendar'!$L$5:$L$604,MATCH(B338,'Content Calendar'!$A$5:$A$604,0)),"Not found"))</f>
        <v>0</v>
      </c>
      <c r="J338" s="17">
        <f>IF(B338="","",IFERROR(INDEX('Content Calendar'!$P$5:$P$604,MATCH(B338,'Content Calendar'!$A$5:$A$604,0)),"Not found"))</f>
        <v>0</v>
      </c>
      <c r="K338" s="17">
        <f>IF(B338="","",IFERROR(INDEX('Content Calendar'!$O$5:$O$604,MATCH(B338,'Content Calendar'!$A$5:$A$604,0)),"Not found"))</f>
        <v>0</v>
      </c>
      <c r="L338" s="17">
        <f>IF(B338="","",IFERROR(INDEX('Content Calendar'!$N$5:$N$604,MATCH(B338,'Content Calendar'!$A$5:$A$604,0)),"Not found"))</f>
        <v>0</v>
      </c>
      <c r="M338" s="17">
        <f>IF(B338="","",IFERROR(INDEX('Content Calendar'!$C$5:$C$604,MATCH(B338,'Content Calendar'!$A$5:$A$604,0)),"Not found"))</f>
        <v>0</v>
      </c>
      <c r="N338" s="17">
        <f>IF(B338="","",IFERROR(INDEX('Content Calendar'!$F$5:$F$604,MATCH(B338,'Content Calendar'!$A$5:$A$604,0)),"Not found"))</f>
        <v>0</v>
      </c>
      <c r="Z338" s="23">
        <f>IF(O338="","",N(Q338)+N(R338)+N(S338)+N(T338))</f>
        <v>0</v>
      </c>
      <c r="AA338" s="24">
        <f>IF(OR(O338="",O338=0),"",Z338/O338)</f>
        <v>0</v>
      </c>
      <c r="AB338" s="24">
        <f>IF(OR(O338="",O338=0),"",N(T338)/O338)</f>
        <v>0</v>
      </c>
      <c r="AC338" s="24">
        <f>IF(OR(O338="",O338=0),"",N(S338)/O338)</f>
        <v>0</v>
      </c>
      <c r="AD338" s="24">
        <f>IF(OR(O338="",O338=0),"",N(R338)/O338)</f>
        <v>0</v>
      </c>
      <c r="AE338" s="24">
        <f>IF(OR(O338="",O338=0),"",N(U338)/O338)</f>
        <v>0</v>
      </c>
      <c r="AF338" s="24">
        <f>IF(OR(U338="",U338=0),"",N(W338)/U338)</f>
        <v>0</v>
      </c>
      <c r="AG338" s="25">
        <f>IF(OR(O338="",O338=0),"",N(X338)/(O338/1000))</f>
        <v>0</v>
      </c>
      <c r="AH338" s="24">
        <f>IF(O338="","",IF(Y338="",TargetEngagement,Y338))</f>
        <v>0</v>
      </c>
      <c r="AI338" s="24">
        <f>IF(OR(AA338="",AH338=""),"",AA338-AH338)</f>
        <v>0</v>
      </c>
      <c r="AJ338" s="31">
        <f>IF(AA338="","",AA338+ROW()/1000000)</f>
        <v>0</v>
      </c>
      <c r="AK338" s="23">
        <f>IF(AA338="","",RANK(AJ338,Performance!$AJ$5:$AJ$404))</f>
        <v>0</v>
      </c>
      <c r="AL338" s="29">
        <f>IF(AA338="","",IF(AA338&gt;=AH338*1.5,"Top performer",IF(AA338&gt;=AH338,"Above target",IF(AA338&gt;=AH338*0.6,"Below target","Weak - review it"))))</f>
        <v>0</v>
      </c>
      <c r="AM338" s="29">
        <f>IF(B338="","",IF(COUNTIF(Performance!$B$5:$B$404,B338)&gt;1,"Duplicate","OK"))</f>
        <v>0</v>
      </c>
      <c r="AN338" s="29">
        <f>IF(B338="","",IF(C338="Not found","Check - content ID not on the calendar",IF(O338="","Add - no numbers entered yet",IF(AM338="Duplicate","Duplicate - this post is entered twice",IF(AL338="Top performer","Repurpose this one","OK")))))</f>
        <v>0</v>
      </c>
    </row>
    <row r="339" spans="1:40">
      <c r="A339" s="41">
        <f>IF(B339="","","PF-"&amp;TEXT(ROW()-4,"0000"))</f>
        <v>0</v>
      </c>
      <c r="C339" s="17">
        <f>IF(B339="","",IFERROR(INDEX('Content Calendar'!$H$5:$H$604,MATCH(B339,'Content Calendar'!$A$5:$A$604,0)),"Not found"))</f>
        <v>0</v>
      </c>
      <c r="D339" s="16">
        <f>IF(B339="","",IFERROR(INDEX('Content Calendar'!$B$5:$B$604,MATCH(B339,'Content Calendar'!$A$5:$A$604,0)),"Not found"))</f>
        <v>0</v>
      </c>
      <c r="E339" s="17">
        <f>IF(B339="","",IFERROR(INDEX('Content Calendar'!$D$5:$D$604,MATCH(B339,'Content Calendar'!$A$5:$A$604,0)),"Not found"))</f>
        <v>0</v>
      </c>
      <c r="F339" s="17">
        <f>IF(B339="","",IFERROR(INDEX('Content Calendar'!$G$5:$G$604,MATCH(B339,'Content Calendar'!$A$5:$A$604,0)),"Not found"))</f>
        <v>0</v>
      </c>
      <c r="G339" s="17">
        <f>IF(B339="","",IFERROR(INDEX('Content Calendar'!$K$5:$K$604,MATCH(B339,'Content Calendar'!$A$5:$A$604,0)),"Not found"))</f>
        <v>0</v>
      </c>
      <c r="H339" s="17">
        <f>IF(B339="","",IFERROR(INDEX('Content Calendar'!$J$5:$J$604,MATCH(B339,'Content Calendar'!$A$5:$A$604,0)),"Not found"))</f>
        <v>0</v>
      </c>
      <c r="I339" s="17">
        <f>IF(B339="","",IFERROR(INDEX('Content Calendar'!$L$5:$L$604,MATCH(B339,'Content Calendar'!$A$5:$A$604,0)),"Not found"))</f>
        <v>0</v>
      </c>
      <c r="J339" s="17">
        <f>IF(B339="","",IFERROR(INDEX('Content Calendar'!$P$5:$P$604,MATCH(B339,'Content Calendar'!$A$5:$A$604,0)),"Not found"))</f>
        <v>0</v>
      </c>
      <c r="K339" s="17">
        <f>IF(B339="","",IFERROR(INDEX('Content Calendar'!$O$5:$O$604,MATCH(B339,'Content Calendar'!$A$5:$A$604,0)),"Not found"))</f>
        <v>0</v>
      </c>
      <c r="L339" s="17">
        <f>IF(B339="","",IFERROR(INDEX('Content Calendar'!$N$5:$N$604,MATCH(B339,'Content Calendar'!$A$5:$A$604,0)),"Not found"))</f>
        <v>0</v>
      </c>
      <c r="M339" s="17">
        <f>IF(B339="","",IFERROR(INDEX('Content Calendar'!$C$5:$C$604,MATCH(B339,'Content Calendar'!$A$5:$A$604,0)),"Not found"))</f>
        <v>0</v>
      </c>
      <c r="N339" s="17">
        <f>IF(B339="","",IFERROR(INDEX('Content Calendar'!$F$5:$F$604,MATCH(B339,'Content Calendar'!$A$5:$A$604,0)),"Not found"))</f>
        <v>0</v>
      </c>
      <c r="Z339" s="23">
        <f>IF(O339="","",N(Q339)+N(R339)+N(S339)+N(T339))</f>
        <v>0</v>
      </c>
      <c r="AA339" s="24">
        <f>IF(OR(O339="",O339=0),"",Z339/O339)</f>
        <v>0</v>
      </c>
      <c r="AB339" s="24">
        <f>IF(OR(O339="",O339=0),"",N(T339)/O339)</f>
        <v>0</v>
      </c>
      <c r="AC339" s="24">
        <f>IF(OR(O339="",O339=0),"",N(S339)/O339)</f>
        <v>0</v>
      </c>
      <c r="AD339" s="24">
        <f>IF(OR(O339="",O339=0),"",N(R339)/O339)</f>
        <v>0</v>
      </c>
      <c r="AE339" s="24">
        <f>IF(OR(O339="",O339=0),"",N(U339)/O339)</f>
        <v>0</v>
      </c>
      <c r="AF339" s="24">
        <f>IF(OR(U339="",U339=0),"",N(W339)/U339)</f>
        <v>0</v>
      </c>
      <c r="AG339" s="25">
        <f>IF(OR(O339="",O339=0),"",N(X339)/(O339/1000))</f>
        <v>0</v>
      </c>
      <c r="AH339" s="24">
        <f>IF(O339="","",IF(Y339="",TargetEngagement,Y339))</f>
        <v>0</v>
      </c>
      <c r="AI339" s="24">
        <f>IF(OR(AA339="",AH339=""),"",AA339-AH339)</f>
        <v>0</v>
      </c>
      <c r="AJ339" s="31">
        <f>IF(AA339="","",AA339+ROW()/1000000)</f>
        <v>0</v>
      </c>
      <c r="AK339" s="23">
        <f>IF(AA339="","",RANK(AJ339,Performance!$AJ$5:$AJ$404))</f>
        <v>0</v>
      </c>
      <c r="AL339" s="29">
        <f>IF(AA339="","",IF(AA339&gt;=AH339*1.5,"Top performer",IF(AA339&gt;=AH339,"Above target",IF(AA339&gt;=AH339*0.6,"Below target","Weak - review it"))))</f>
        <v>0</v>
      </c>
      <c r="AM339" s="29">
        <f>IF(B339="","",IF(COUNTIF(Performance!$B$5:$B$404,B339)&gt;1,"Duplicate","OK"))</f>
        <v>0</v>
      </c>
      <c r="AN339" s="29">
        <f>IF(B339="","",IF(C339="Not found","Check - content ID not on the calendar",IF(O339="","Add - no numbers entered yet",IF(AM339="Duplicate","Duplicate - this post is entered twice",IF(AL339="Top performer","Repurpose this one","OK")))))</f>
        <v>0</v>
      </c>
    </row>
    <row r="340" spans="1:40">
      <c r="A340" s="41">
        <f>IF(B340="","","PF-"&amp;TEXT(ROW()-4,"0000"))</f>
        <v>0</v>
      </c>
      <c r="C340" s="17">
        <f>IF(B340="","",IFERROR(INDEX('Content Calendar'!$H$5:$H$604,MATCH(B340,'Content Calendar'!$A$5:$A$604,0)),"Not found"))</f>
        <v>0</v>
      </c>
      <c r="D340" s="16">
        <f>IF(B340="","",IFERROR(INDEX('Content Calendar'!$B$5:$B$604,MATCH(B340,'Content Calendar'!$A$5:$A$604,0)),"Not found"))</f>
        <v>0</v>
      </c>
      <c r="E340" s="17">
        <f>IF(B340="","",IFERROR(INDEX('Content Calendar'!$D$5:$D$604,MATCH(B340,'Content Calendar'!$A$5:$A$604,0)),"Not found"))</f>
        <v>0</v>
      </c>
      <c r="F340" s="17">
        <f>IF(B340="","",IFERROR(INDEX('Content Calendar'!$G$5:$G$604,MATCH(B340,'Content Calendar'!$A$5:$A$604,0)),"Not found"))</f>
        <v>0</v>
      </c>
      <c r="G340" s="17">
        <f>IF(B340="","",IFERROR(INDEX('Content Calendar'!$K$5:$K$604,MATCH(B340,'Content Calendar'!$A$5:$A$604,0)),"Not found"))</f>
        <v>0</v>
      </c>
      <c r="H340" s="17">
        <f>IF(B340="","",IFERROR(INDEX('Content Calendar'!$J$5:$J$604,MATCH(B340,'Content Calendar'!$A$5:$A$604,0)),"Not found"))</f>
        <v>0</v>
      </c>
      <c r="I340" s="17">
        <f>IF(B340="","",IFERROR(INDEX('Content Calendar'!$L$5:$L$604,MATCH(B340,'Content Calendar'!$A$5:$A$604,0)),"Not found"))</f>
        <v>0</v>
      </c>
      <c r="J340" s="17">
        <f>IF(B340="","",IFERROR(INDEX('Content Calendar'!$P$5:$P$604,MATCH(B340,'Content Calendar'!$A$5:$A$604,0)),"Not found"))</f>
        <v>0</v>
      </c>
      <c r="K340" s="17">
        <f>IF(B340="","",IFERROR(INDEX('Content Calendar'!$O$5:$O$604,MATCH(B340,'Content Calendar'!$A$5:$A$604,0)),"Not found"))</f>
        <v>0</v>
      </c>
      <c r="L340" s="17">
        <f>IF(B340="","",IFERROR(INDEX('Content Calendar'!$N$5:$N$604,MATCH(B340,'Content Calendar'!$A$5:$A$604,0)),"Not found"))</f>
        <v>0</v>
      </c>
      <c r="M340" s="17">
        <f>IF(B340="","",IFERROR(INDEX('Content Calendar'!$C$5:$C$604,MATCH(B340,'Content Calendar'!$A$5:$A$604,0)),"Not found"))</f>
        <v>0</v>
      </c>
      <c r="N340" s="17">
        <f>IF(B340="","",IFERROR(INDEX('Content Calendar'!$F$5:$F$604,MATCH(B340,'Content Calendar'!$A$5:$A$604,0)),"Not found"))</f>
        <v>0</v>
      </c>
      <c r="Z340" s="23">
        <f>IF(O340="","",N(Q340)+N(R340)+N(S340)+N(T340))</f>
        <v>0</v>
      </c>
      <c r="AA340" s="24">
        <f>IF(OR(O340="",O340=0),"",Z340/O340)</f>
        <v>0</v>
      </c>
      <c r="AB340" s="24">
        <f>IF(OR(O340="",O340=0),"",N(T340)/O340)</f>
        <v>0</v>
      </c>
      <c r="AC340" s="24">
        <f>IF(OR(O340="",O340=0),"",N(S340)/O340)</f>
        <v>0</v>
      </c>
      <c r="AD340" s="24">
        <f>IF(OR(O340="",O340=0),"",N(R340)/O340)</f>
        <v>0</v>
      </c>
      <c r="AE340" s="24">
        <f>IF(OR(O340="",O340=0),"",N(U340)/O340)</f>
        <v>0</v>
      </c>
      <c r="AF340" s="24">
        <f>IF(OR(U340="",U340=0),"",N(W340)/U340)</f>
        <v>0</v>
      </c>
      <c r="AG340" s="25">
        <f>IF(OR(O340="",O340=0),"",N(X340)/(O340/1000))</f>
        <v>0</v>
      </c>
      <c r="AH340" s="24">
        <f>IF(O340="","",IF(Y340="",TargetEngagement,Y340))</f>
        <v>0</v>
      </c>
      <c r="AI340" s="24">
        <f>IF(OR(AA340="",AH340=""),"",AA340-AH340)</f>
        <v>0</v>
      </c>
      <c r="AJ340" s="31">
        <f>IF(AA340="","",AA340+ROW()/1000000)</f>
        <v>0</v>
      </c>
      <c r="AK340" s="23">
        <f>IF(AA340="","",RANK(AJ340,Performance!$AJ$5:$AJ$404))</f>
        <v>0</v>
      </c>
      <c r="AL340" s="29">
        <f>IF(AA340="","",IF(AA340&gt;=AH340*1.5,"Top performer",IF(AA340&gt;=AH340,"Above target",IF(AA340&gt;=AH340*0.6,"Below target","Weak - review it"))))</f>
        <v>0</v>
      </c>
      <c r="AM340" s="29">
        <f>IF(B340="","",IF(COUNTIF(Performance!$B$5:$B$404,B340)&gt;1,"Duplicate","OK"))</f>
        <v>0</v>
      </c>
      <c r="AN340" s="29">
        <f>IF(B340="","",IF(C340="Not found","Check - content ID not on the calendar",IF(O340="","Add - no numbers entered yet",IF(AM340="Duplicate","Duplicate - this post is entered twice",IF(AL340="Top performer","Repurpose this one","OK")))))</f>
        <v>0</v>
      </c>
    </row>
    <row r="341" spans="1:40">
      <c r="A341" s="41">
        <f>IF(B341="","","PF-"&amp;TEXT(ROW()-4,"0000"))</f>
        <v>0</v>
      </c>
      <c r="C341" s="17">
        <f>IF(B341="","",IFERROR(INDEX('Content Calendar'!$H$5:$H$604,MATCH(B341,'Content Calendar'!$A$5:$A$604,0)),"Not found"))</f>
        <v>0</v>
      </c>
      <c r="D341" s="16">
        <f>IF(B341="","",IFERROR(INDEX('Content Calendar'!$B$5:$B$604,MATCH(B341,'Content Calendar'!$A$5:$A$604,0)),"Not found"))</f>
        <v>0</v>
      </c>
      <c r="E341" s="17">
        <f>IF(B341="","",IFERROR(INDEX('Content Calendar'!$D$5:$D$604,MATCH(B341,'Content Calendar'!$A$5:$A$604,0)),"Not found"))</f>
        <v>0</v>
      </c>
      <c r="F341" s="17">
        <f>IF(B341="","",IFERROR(INDEX('Content Calendar'!$G$5:$G$604,MATCH(B341,'Content Calendar'!$A$5:$A$604,0)),"Not found"))</f>
        <v>0</v>
      </c>
      <c r="G341" s="17">
        <f>IF(B341="","",IFERROR(INDEX('Content Calendar'!$K$5:$K$604,MATCH(B341,'Content Calendar'!$A$5:$A$604,0)),"Not found"))</f>
        <v>0</v>
      </c>
      <c r="H341" s="17">
        <f>IF(B341="","",IFERROR(INDEX('Content Calendar'!$J$5:$J$604,MATCH(B341,'Content Calendar'!$A$5:$A$604,0)),"Not found"))</f>
        <v>0</v>
      </c>
      <c r="I341" s="17">
        <f>IF(B341="","",IFERROR(INDEX('Content Calendar'!$L$5:$L$604,MATCH(B341,'Content Calendar'!$A$5:$A$604,0)),"Not found"))</f>
        <v>0</v>
      </c>
      <c r="J341" s="17">
        <f>IF(B341="","",IFERROR(INDEX('Content Calendar'!$P$5:$P$604,MATCH(B341,'Content Calendar'!$A$5:$A$604,0)),"Not found"))</f>
        <v>0</v>
      </c>
      <c r="K341" s="17">
        <f>IF(B341="","",IFERROR(INDEX('Content Calendar'!$O$5:$O$604,MATCH(B341,'Content Calendar'!$A$5:$A$604,0)),"Not found"))</f>
        <v>0</v>
      </c>
      <c r="L341" s="17">
        <f>IF(B341="","",IFERROR(INDEX('Content Calendar'!$N$5:$N$604,MATCH(B341,'Content Calendar'!$A$5:$A$604,0)),"Not found"))</f>
        <v>0</v>
      </c>
      <c r="M341" s="17">
        <f>IF(B341="","",IFERROR(INDEX('Content Calendar'!$C$5:$C$604,MATCH(B341,'Content Calendar'!$A$5:$A$604,0)),"Not found"))</f>
        <v>0</v>
      </c>
      <c r="N341" s="17">
        <f>IF(B341="","",IFERROR(INDEX('Content Calendar'!$F$5:$F$604,MATCH(B341,'Content Calendar'!$A$5:$A$604,0)),"Not found"))</f>
        <v>0</v>
      </c>
      <c r="Z341" s="23">
        <f>IF(O341="","",N(Q341)+N(R341)+N(S341)+N(T341))</f>
        <v>0</v>
      </c>
      <c r="AA341" s="24">
        <f>IF(OR(O341="",O341=0),"",Z341/O341)</f>
        <v>0</v>
      </c>
      <c r="AB341" s="24">
        <f>IF(OR(O341="",O341=0),"",N(T341)/O341)</f>
        <v>0</v>
      </c>
      <c r="AC341" s="24">
        <f>IF(OR(O341="",O341=0),"",N(S341)/O341)</f>
        <v>0</v>
      </c>
      <c r="AD341" s="24">
        <f>IF(OR(O341="",O341=0),"",N(R341)/O341)</f>
        <v>0</v>
      </c>
      <c r="AE341" s="24">
        <f>IF(OR(O341="",O341=0),"",N(U341)/O341)</f>
        <v>0</v>
      </c>
      <c r="AF341" s="24">
        <f>IF(OR(U341="",U341=0),"",N(W341)/U341)</f>
        <v>0</v>
      </c>
      <c r="AG341" s="25">
        <f>IF(OR(O341="",O341=0),"",N(X341)/(O341/1000))</f>
        <v>0</v>
      </c>
      <c r="AH341" s="24">
        <f>IF(O341="","",IF(Y341="",TargetEngagement,Y341))</f>
        <v>0</v>
      </c>
      <c r="AI341" s="24">
        <f>IF(OR(AA341="",AH341=""),"",AA341-AH341)</f>
        <v>0</v>
      </c>
      <c r="AJ341" s="31">
        <f>IF(AA341="","",AA341+ROW()/1000000)</f>
        <v>0</v>
      </c>
      <c r="AK341" s="23">
        <f>IF(AA341="","",RANK(AJ341,Performance!$AJ$5:$AJ$404))</f>
        <v>0</v>
      </c>
      <c r="AL341" s="29">
        <f>IF(AA341="","",IF(AA341&gt;=AH341*1.5,"Top performer",IF(AA341&gt;=AH341,"Above target",IF(AA341&gt;=AH341*0.6,"Below target","Weak - review it"))))</f>
        <v>0</v>
      </c>
      <c r="AM341" s="29">
        <f>IF(B341="","",IF(COUNTIF(Performance!$B$5:$B$404,B341)&gt;1,"Duplicate","OK"))</f>
        <v>0</v>
      </c>
      <c r="AN341" s="29">
        <f>IF(B341="","",IF(C341="Not found","Check - content ID not on the calendar",IF(O341="","Add - no numbers entered yet",IF(AM341="Duplicate","Duplicate - this post is entered twice",IF(AL341="Top performer","Repurpose this one","OK")))))</f>
        <v>0</v>
      </c>
    </row>
    <row r="342" spans="1:40">
      <c r="A342" s="41">
        <f>IF(B342="","","PF-"&amp;TEXT(ROW()-4,"0000"))</f>
        <v>0</v>
      </c>
      <c r="C342" s="17">
        <f>IF(B342="","",IFERROR(INDEX('Content Calendar'!$H$5:$H$604,MATCH(B342,'Content Calendar'!$A$5:$A$604,0)),"Not found"))</f>
        <v>0</v>
      </c>
      <c r="D342" s="16">
        <f>IF(B342="","",IFERROR(INDEX('Content Calendar'!$B$5:$B$604,MATCH(B342,'Content Calendar'!$A$5:$A$604,0)),"Not found"))</f>
        <v>0</v>
      </c>
      <c r="E342" s="17">
        <f>IF(B342="","",IFERROR(INDEX('Content Calendar'!$D$5:$D$604,MATCH(B342,'Content Calendar'!$A$5:$A$604,0)),"Not found"))</f>
        <v>0</v>
      </c>
      <c r="F342" s="17">
        <f>IF(B342="","",IFERROR(INDEX('Content Calendar'!$G$5:$G$604,MATCH(B342,'Content Calendar'!$A$5:$A$604,0)),"Not found"))</f>
        <v>0</v>
      </c>
      <c r="G342" s="17">
        <f>IF(B342="","",IFERROR(INDEX('Content Calendar'!$K$5:$K$604,MATCH(B342,'Content Calendar'!$A$5:$A$604,0)),"Not found"))</f>
        <v>0</v>
      </c>
      <c r="H342" s="17">
        <f>IF(B342="","",IFERROR(INDEX('Content Calendar'!$J$5:$J$604,MATCH(B342,'Content Calendar'!$A$5:$A$604,0)),"Not found"))</f>
        <v>0</v>
      </c>
      <c r="I342" s="17">
        <f>IF(B342="","",IFERROR(INDEX('Content Calendar'!$L$5:$L$604,MATCH(B342,'Content Calendar'!$A$5:$A$604,0)),"Not found"))</f>
        <v>0</v>
      </c>
      <c r="J342" s="17">
        <f>IF(B342="","",IFERROR(INDEX('Content Calendar'!$P$5:$P$604,MATCH(B342,'Content Calendar'!$A$5:$A$604,0)),"Not found"))</f>
        <v>0</v>
      </c>
      <c r="K342" s="17">
        <f>IF(B342="","",IFERROR(INDEX('Content Calendar'!$O$5:$O$604,MATCH(B342,'Content Calendar'!$A$5:$A$604,0)),"Not found"))</f>
        <v>0</v>
      </c>
      <c r="L342" s="17">
        <f>IF(B342="","",IFERROR(INDEX('Content Calendar'!$N$5:$N$604,MATCH(B342,'Content Calendar'!$A$5:$A$604,0)),"Not found"))</f>
        <v>0</v>
      </c>
      <c r="M342" s="17">
        <f>IF(B342="","",IFERROR(INDEX('Content Calendar'!$C$5:$C$604,MATCH(B342,'Content Calendar'!$A$5:$A$604,0)),"Not found"))</f>
        <v>0</v>
      </c>
      <c r="N342" s="17">
        <f>IF(B342="","",IFERROR(INDEX('Content Calendar'!$F$5:$F$604,MATCH(B342,'Content Calendar'!$A$5:$A$604,0)),"Not found"))</f>
        <v>0</v>
      </c>
      <c r="Z342" s="23">
        <f>IF(O342="","",N(Q342)+N(R342)+N(S342)+N(T342))</f>
        <v>0</v>
      </c>
      <c r="AA342" s="24">
        <f>IF(OR(O342="",O342=0),"",Z342/O342)</f>
        <v>0</v>
      </c>
      <c r="AB342" s="24">
        <f>IF(OR(O342="",O342=0),"",N(T342)/O342)</f>
        <v>0</v>
      </c>
      <c r="AC342" s="24">
        <f>IF(OR(O342="",O342=0),"",N(S342)/O342)</f>
        <v>0</v>
      </c>
      <c r="AD342" s="24">
        <f>IF(OR(O342="",O342=0),"",N(R342)/O342)</f>
        <v>0</v>
      </c>
      <c r="AE342" s="24">
        <f>IF(OR(O342="",O342=0),"",N(U342)/O342)</f>
        <v>0</v>
      </c>
      <c r="AF342" s="24">
        <f>IF(OR(U342="",U342=0),"",N(W342)/U342)</f>
        <v>0</v>
      </c>
      <c r="AG342" s="25">
        <f>IF(OR(O342="",O342=0),"",N(X342)/(O342/1000))</f>
        <v>0</v>
      </c>
      <c r="AH342" s="24">
        <f>IF(O342="","",IF(Y342="",TargetEngagement,Y342))</f>
        <v>0</v>
      </c>
      <c r="AI342" s="24">
        <f>IF(OR(AA342="",AH342=""),"",AA342-AH342)</f>
        <v>0</v>
      </c>
      <c r="AJ342" s="31">
        <f>IF(AA342="","",AA342+ROW()/1000000)</f>
        <v>0</v>
      </c>
      <c r="AK342" s="23">
        <f>IF(AA342="","",RANK(AJ342,Performance!$AJ$5:$AJ$404))</f>
        <v>0</v>
      </c>
      <c r="AL342" s="29">
        <f>IF(AA342="","",IF(AA342&gt;=AH342*1.5,"Top performer",IF(AA342&gt;=AH342,"Above target",IF(AA342&gt;=AH342*0.6,"Below target","Weak - review it"))))</f>
        <v>0</v>
      </c>
      <c r="AM342" s="29">
        <f>IF(B342="","",IF(COUNTIF(Performance!$B$5:$B$404,B342)&gt;1,"Duplicate","OK"))</f>
        <v>0</v>
      </c>
      <c r="AN342" s="29">
        <f>IF(B342="","",IF(C342="Not found","Check - content ID not on the calendar",IF(O342="","Add - no numbers entered yet",IF(AM342="Duplicate","Duplicate - this post is entered twice",IF(AL342="Top performer","Repurpose this one","OK")))))</f>
        <v>0</v>
      </c>
    </row>
    <row r="343" spans="1:40">
      <c r="A343" s="41">
        <f>IF(B343="","","PF-"&amp;TEXT(ROW()-4,"0000"))</f>
        <v>0</v>
      </c>
      <c r="C343" s="17">
        <f>IF(B343="","",IFERROR(INDEX('Content Calendar'!$H$5:$H$604,MATCH(B343,'Content Calendar'!$A$5:$A$604,0)),"Not found"))</f>
        <v>0</v>
      </c>
      <c r="D343" s="16">
        <f>IF(B343="","",IFERROR(INDEX('Content Calendar'!$B$5:$B$604,MATCH(B343,'Content Calendar'!$A$5:$A$604,0)),"Not found"))</f>
        <v>0</v>
      </c>
      <c r="E343" s="17">
        <f>IF(B343="","",IFERROR(INDEX('Content Calendar'!$D$5:$D$604,MATCH(B343,'Content Calendar'!$A$5:$A$604,0)),"Not found"))</f>
        <v>0</v>
      </c>
      <c r="F343" s="17">
        <f>IF(B343="","",IFERROR(INDEX('Content Calendar'!$G$5:$G$604,MATCH(B343,'Content Calendar'!$A$5:$A$604,0)),"Not found"))</f>
        <v>0</v>
      </c>
      <c r="G343" s="17">
        <f>IF(B343="","",IFERROR(INDEX('Content Calendar'!$K$5:$K$604,MATCH(B343,'Content Calendar'!$A$5:$A$604,0)),"Not found"))</f>
        <v>0</v>
      </c>
      <c r="H343" s="17">
        <f>IF(B343="","",IFERROR(INDEX('Content Calendar'!$J$5:$J$604,MATCH(B343,'Content Calendar'!$A$5:$A$604,0)),"Not found"))</f>
        <v>0</v>
      </c>
      <c r="I343" s="17">
        <f>IF(B343="","",IFERROR(INDEX('Content Calendar'!$L$5:$L$604,MATCH(B343,'Content Calendar'!$A$5:$A$604,0)),"Not found"))</f>
        <v>0</v>
      </c>
      <c r="J343" s="17">
        <f>IF(B343="","",IFERROR(INDEX('Content Calendar'!$P$5:$P$604,MATCH(B343,'Content Calendar'!$A$5:$A$604,0)),"Not found"))</f>
        <v>0</v>
      </c>
      <c r="K343" s="17">
        <f>IF(B343="","",IFERROR(INDEX('Content Calendar'!$O$5:$O$604,MATCH(B343,'Content Calendar'!$A$5:$A$604,0)),"Not found"))</f>
        <v>0</v>
      </c>
      <c r="L343" s="17">
        <f>IF(B343="","",IFERROR(INDEX('Content Calendar'!$N$5:$N$604,MATCH(B343,'Content Calendar'!$A$5:$A$604,0)),"Not found"))</f>
        <v>0</v>
      </c>
      <c r="M343" s="17">
        <f>IF(B343="","",IFERROR(INDEX('Content Calendar'!$C$5:$C$604,MATCH(B343,'Content Calendar'!$A$5:$A$604,0)),"Not found"))</f>
        <v>0</v>
      </c>
      <c r="N343" s="17">
        <f>IF(B343="","",IFERROR(INDEX('Content Calendar'!$F$5:$F$604,MATCH(B343,'Content Calendar'!$A$5:$A$604,0)),"Not found"))</f>
        <v>0</v>
      </c>
      <c r="Z343" s="23">
        <f>IF(O343="","",N(Q343)+N(R343)+N(S343)+N(T343))</f>
        <v>0</v>
      </c>
      <c r="AA343" s="24">
        <f>IF(OR(O343="",O343=0),"",Z343/O343)</f>
        <v>0</v>
      </c>
      <c r="AB343" s="24">
        <f>IF(OR(O343="",O343=0),"",N(T343)/O343)</f>
        <v>0</v>
      </c>
      <c r="AC343" s="24">
        <f>IF(OR(O343="",O343=0),"",N(S343)/O343)</f>
        <v>0</v>
      </c>
      <c r="AD343" s="24">
        <f>IF(OR(O343="",O343=0),"",N(R343)/O343)</f>
        <v>0</v>
      </c>
      <c r="AE343" s="24">
        <f>IF(OR(O343="",O343=0),"",N(U343)/O343)</f>
        <v>0</v>
      </c>
      <c r="AF343" s="24">
        <f>IF(OR(U343="",U343=0),"",N(W343)/U343)</f>
        <v>0</v>
      </c>
      <c r="AG343" s="25">
        <f>IF(OR(O343="",O343=0),"",N(X343)/(O343/1000))</f>
        <v>0</v>
      </c>
      <c r="AH343" s="24">
        <f>IF(O343="","",IF(Y343="",TargetEngagement,Y343))</f>
        <v>0</v>
      </c>
      <c r="AI343" s="24">
        <f>IF(OR(AA343="",AH343=""),"",AA343-AH343)</f>
        <v>0</v>
      </c>
      <c r="AJ343" s="31">
        <f>IF(AA343="","",AA343+ROW()/1000000)</f>
        <v>0</v>
      </c>
      <c r="AK343" s="23">
        <f>IF(AA343="","",RANK(AJ343,Performance!$AJ$5:$AJ$404))</f>
        <v>0</v>
      </c>
      <c r="AL343" s="29">
        <f>IF(AA343="","",IF(AA343&gt;=AH343*1.5,"Top performer",IF(AA343&gt;=AH343,"Above target",IF(AA343&gt;=AH343*0.6,"Below target","Weak - review it"))))</f>
        <v>0</v>
      </c>
      <c r="AM343" s="29">
        <f>IF(B343="","",IF(COUNTIF(Performance!$B$5:$B$404,B343)&gt;1,"Duplicate","OK"))</f>
        <v>0</v>
      </c>
      <c r="AN343" s="29">
        <f>IF(B343="","",IF(C343="Not found","Check - content ID not on the calendar",IF(O343="","Add - no numbers entered yet",IF(AM343="Duplicate","Duplicate - this post is entered twice",IF(AL343="Top performer","Repurpose this one","OK")))))</f>
        <v>0</v>
      </c>
    </row>
    <row r="344" spans="1:40">
      <c r="A344" s="41">
        <f>IF(B344="","","PF-"&amp;TEXT(ROW()-4,"0000"))</f>
        <v>0</v>
      </c>
      <c r="C344" s="17">
        <f>IF(B344="","",IFERROR(INDEX('Content Calendar'!$H$5:$H$604,MATCH(B344,'Content Calendar'!$A$5:$A$604,0)),"Not found"))</f>
        <v>0</v>
      </c>
      <c r="D344" s="16">
        <f>IF(B344="","",IFERROR(INDEX('Content Calendar'!$B$5:$B$604,MATCH(B344,'Content Calendar'!$A$5:$A$604,0)),"Not found"))</f>
        <v>0</v>
      </c>
      <c r="E344" s="17">
        <f>IF(B344="","",IFERROR(INDEX('Content Calendar'!$D$5:$D$604,MATCH(B344,'Content Calendar'!$A$5:$A$604,0)),"Not found"))</f>
        <v>0</v>
      </c>
      <c r="F344" s="17">
        <f>IF(B344="","",IFERROR(INDEX('Content Calendar'!$G$5:$G$604,MATCH(B344,'Content Calendar'!$A$5:$A$604,0)),"Not found"))</f>
        <v>0</v>
      </c>
      <c r="G344" s="17">
        <f>IF(B344="","",IFERROR(INDEX('Content Calendar'!$K$5:$K$604,MATCH(B344,'Content Calendar'!$A$5:$A$604,0)),"Not found"))</f>
        <v>0</v>
      </c>
      <c r="H344" s="17">
        <f>IF(B344="","",IFERROR(INDEX('Content Calendar'!$J$5:$J$604,MATCH(B344,'Content Calendar'!$A$5:$A$604,0)),"Not found"))</f>
        <v>0</v>
      </c>
      <c r="I344" s="17">
        <f>IF(B344="","",IFERROR(INDEX('Content Calendar'!$L$5:$L$604,MATCH(B344,'Content Calendar'!$A$5:$A$604,0)),"Not found"))</f>
        <v>0</v>
      </c>
      <c r="J344" s="17">
        <f>IF(B344="","",IFERROR(INDEX('Content Calendar'!$P$5:$P$604,MATCH(B344,'Content Calendar'!$A$5:$A$604,0)),"Not found"))</f>
        <v>0</v>
      </c>
      <c r="K344" s="17">
        <f>IF(B344="","",IFERROR(INDEX('Content Calendar'!$O$5:$O$604,MATCH(B344,'Content Calendar'!$A$5:$A$604,0)),"Not found"))</f>
        <v>0</v>
      </c>
      <c r="L344" s="17">
        <f>IF(B344="","",IFERROR(INDEX('Content Calendar'!$N$5:$N$604,MATCH(B344,'Content Calendar'!$A$5:$A$604,0)),"Not found"))</f>
        <v>0</v>
      </c>
      <c r="M344" s="17">
        <f>IF(B344="","",IFERROR(INDEX('Content Calendar'!$C$5:$C$604,MATCH(B344,'Content Calendar'!$A$5:$A$604,0)),"Not found"))</f>
        <v>0</v>
      </c>
      <c r="N344" s="17">
        <f>IF(B344="","",IFERROR(INDEX('Content Calendar'!$F$5:$F$604,MATCH(B344,'Content Calendar'!$A$5:$A$604,0)),"Not found"))</f>
        <v>0</v>
      </c>
      <c r="Z344" s="23">
        <f>IF(O344="","",N(Q344)+N(R344)+N(S344)+N(T344))</f>
        <v>0</v>
      </c>
      <c r="AA344" s="24">
        <f>IF(OR(O344="",O344=0),"",Z344/O344)</f>
        <v>0</v>
      </c>
      <c r="AB344" s="24">
        <f>IF(OR(O344="",O344=0),"",N(T344)/O344)</f>
        <v>0</v>
      </c>
      <c r="AC344" s="24">
        <f>IF(OR(O344="",O344=0),"",N(S344)/O344)</f>
        <v>0</v>
      </c>
      <c r="AD344" s="24">
        <f>IF(OR(O344="",O344=0),"",N(R344)/O344)</f>
        <v>0</v>
      </c>
      <c r="AE344" s="24">
        <f>IF(OR(O344="",O344=0),"",N(U344)/O344)</f>
        <v>0</v>
      </c>
      <c r="AF344" s="24">
        <f>IF(OR(U344="",U344=0),"",N(W344)/U344)</f>
        <v>0</v>
      </c>
      <c r="AG344" s="25">
        <f>IF(OR(O344="",O344=0),"",N(X344)/(O344/1000))</f>
        <v>0</v>
      </c>
      <c r="AH344" s="24">
        <f>IF(O344="","",IF(Y344="",TargetEngagement,Y344))</f>
        <v>0</v>
      </c>
      <c r="AI344" s="24">
        <f>IF(OR(AA344="",AH344=""),"",AA344-AH344)</f>
        <v>0</v>
      </c>
      <c r="AJ344" s="31">
        <f>IF(AA344="","",AA344+ROW()/1000000)</f>
        <v>0</v>
      </c>
      <c r="AK344" s="23">
        <f>IF(AA344="","",RANK(AJ344,Performance!$AJ$5:$AJ$404))</f>
        <v>0</v>
      </c>
      <c r="AL344" s="29">
        <f>IF(AA344="","",IF(AA344&gt;=AH344*1.5,"Top performer",IF(AA344&gt;=AH344,"Above target",IF(AA344&gt;=AH344*0.6,"Below target","Weak - review it"))))</f>
        <v>0</v>
      </c>
      <c r="AM344" s="29">
        <f>IF(B344="","",IF(COUNTIF(Performance!$B$5:$B$404,B344)&gt;1,"Duplicate","OK"))</f>
        <v>0</v>
      </c>
      <c r="AN344" s="29">
        <f>IF(B344="","",IF(C344="Not found","Check - content ID not on the calendar",IF(O344="","Add - no numbers entered yet",IF(AM344="Duplicate","Duplicate - this post is entered twice",IF(AL344="Top performer","Repurpose this one","OK")))))</f>
        <v>0</v>
      </c>
    </row>
    <row r="345" spans="1:40">
      <c r="A345" s="41">
        <f>IF(B345="","","PF-"&amp;TEXT(ROW()-4,"0000"))</f>
        <v>0</v>
      </c>
      <c r="C345" s="17">
        <f>IF(B345="","",IFERROR(INDEX('Content Calendar'!$H$5:$H$604,MATCH(B345,'Content Calendar'!$A$5:$A$604,0)),"Not found"))</f>
        <v>0</v>
      </c>
      <c r="D345" s="16">
        <f>IF(B345="","",IFERROR(INDEX('Content Calendar'!$B$5:$B$604,MATCH(B345,'Content Calendar'!$A$5:$A$604,0)),"Not found"))</f>
        <v>0</v>
      </c>
      <c r="E345" s="17">
        <f>IF(B345="","",IFERROR(INDEX('Content Calendar'!$D$5:$D$604,MATCH(B345,'Content Calendar'!$A$5:$A$604,0)),"Not found"))</f>
        <v>0</v>
      </c>
      <c r="F345" s="17">
        <f>IF(B345="","",IFERROR(INDEX('Content Calendar'!$G$5:$G$604,MATCH(B345,'Content Calendar'!$A$5:$A$604,0)),"Not found"))</f>
        <v>0</v>
      </c>
      <c r="G345" s="17">
        <f>IF(B345="","",IFERROR(INDEX('Content Calendar'!$K$5:$K$604,MATCH(B345,'Content Calendar'!$A$5:$A$604,0)),"Not found"))</f>
        <v>0</v>
      </c>
      <c r="H345" s="17">
        <f>IF(B345="","",IFERROR(INDEX('Content Calendar'!$J$5:$J$604,MATCH(B345,'Content Calendar'!$A$5:$A$604,0)),"Not found"))</f>
        <v>0</v>
      </c>
      <c r="I345" s="17">
        <f>IF(B345="","",IFERROR(INDEX('Content Calendar'!$L$5:$L$604,MATCH(B345,'Content Calendar'!$A$5:$A$604,0)),"Not found"))</f>
        <v>0</v>
      </c>
      <c r="J345" s="17">
        <f>IF(B345="","",IFERROR(INDEX('Content Calendar'!$P$5:$P$604,MATCH(B345,'Content Calendar'!$A$5:$A$604,0)),"Not found"))</f>
        <v>0</v>
      </c>
      <c r="K345" s="17">
        <f>IF(B345="","",IFERROR(INDEX('Content Calendar'!$O$5:$O$604,MATCH(B345,'Content Calendar'!$A$5:$A$604,0)),"Not found"))</f>
        <v>0</v>
      </c>
      <c r="L345" s="17">
        <f>IF(B345="","",IFERROR(INDEX('Content Calendar'!$N$5:$N$604,MATCH(B345,'Content Calendar'!$A$5:$A$604,0)),"Not found"))</f>
        <v>0</v>
      </c>
      <c r="M345" s="17">
        <f>IF(B345="","",IFERROR(INDEX('Content Calendar'!$C$5:$C$604,MATCH(B345,'Content Calendar'!$A$5:$A$604,0)),"Not found"))</f>
        <v>0</v>
      </c>
      <c r="N345" s="17">
        <f>IF(B345="","",IFERROR(INDEX('Content Calendar'!$F$5:$F$604,MATCH(B345,'Content Calendar'!$A$5:$A$604,0)),"Not found"))</f>
        <v>0</v>
      </c>
      <c r="Z345" s="23">
        <f>IF(O345="","",N(Q345)+N(R345)+N(S345)+N(T345))</f>
        <v>0</v>
      </c>
      <c r="AA345" s="24">
        <f>IF(OR(O345="",O345=0),"",Z345/O345)</f>
        <v>0</v>
      </c>
      <c r="AB345" s="24">
        <f>IF(OR(O345="",O345=0),"",N(T345)/O345)</f>
        <v>0</v>
      </c>
      <c r="AC345" s="24">
        <f>IF(OR(O345="",O345=0),"",N(S345)/O345)</f>
        <v>0</v>
      </c>
      <c r="AD345" s="24">
        <f>IF(OR(O345="",O345=0),"",N(R345)/O345)</f>
        <v>0</v>
      </c>
      <c r="AE345" s="24">
        <f>IF(OR(O345="",O345=0),"",N(U345)/O345)</f>
        <v>0</v>
      </c>
      <c r="AF345" s="24">
        <f>IF(OR(U345="",U345=0),"",N(W345)/U345)</f>
        <v>0</v>
      </c>
      <c r="AG345" s="25">
        <f>IF(OR(O345="",O345=0),"",N(X345)/(O345/1000))</f>
        <v>0</v>
      </c>
      <c r="AH345" s="24">
        <f>IF(O345="","",IF(Y345="",TargetEngagement,Y345))</f>
        <v>0</v>
      </c>
      <c r="AI345" s="24">
        <f>IF(OR(AA345="",AH345=""),"",AA345-AH345)</f>
        <v>0</v>
      </c>
      <c r="AJ345" s="31">
        <f>IF(AA345="","",AA345+ROW()/1000000)</f>
        <v>0</v>
      </c>
      <c r="AK345" s="23">
        <f>IF(AA345="","",RANK(AJ345,Performance!$AJ$5:$AJ$404))</f>
        <v>0</v>
      </c>
      <c r="AL345" s="29">
        <f>IF(AA345="","",IF(AA345&gt;=AH345*1.5,"Top performer",IF(AA345&gt;=AH345,"Above target",IF(AA345&gt;=AH345*0.6,"Below target","Weak - review it"))))</f>
        <v>0</v>
      </c>
      <c r="AM345" s="29">
        <f>IF(B345="","",IF(COUNTIF(Performance!$B$5:$B$404,B345)&gt;1,"Duplicate","OK"))</f>
        <v>0</v>
      </c>
      <c r="AN345" s="29">
        <f>IF(B345="","",IF(C345="Not found","Check - content ID not on the calendar",IF(O345="","Add - no numbers entered yet",IF(AM345="Duplicate","Duplicate - this post is entered twice",IF(AL345="Top performer","Repurpose this one","OK")))))</f>
        <v>0</v>
      </c>
    </row>
    <row r="346" spans="1:40">
      <c r="A346" s="41">
        <f>IF(B346="","","PF-"&amp;TEXT(ROW()-4,"0000"))</f>
        <v>0</v>
      </c>
      <c r="C346" s="17">
        <f>IF(B346="","",IFERROR(INDEX('Content Calendar'!$H$5:$H$604,MATCH(B346,'Content Calendar'!$A$5:$A$604,0)),"Not found"))</f>
        <v>0</v>
      </c>
      <c r="D346" s="16">
        <f>IF(B346="","",IFERROR(INDEX('Content Calendar'!$B$5:$B$604,MATCH(B346,'Content Calendar'!$A$5:$A$604,0)),"Not found"))</f>
        <v>0</v>
      </c>
      <c r="E346" s="17">
        <f>IF(B346="","",IFERROR(INDEX('Content Calendar'!$D$5:$D$604,MATCH(B346,'Content Calendar'!$A$5:$A$604,0)),"Not found"))</f>
        <v>0</v>
      </c>
      <c r="F346" s="17">
        <f>IF(B346="","",IFERROR(INDEX('Content Calendar'!$G$5:$G$604,MATCH(B346,'Content Calendar'!$A$5:$A$604,0)),"Not found"))</f>
        <v>0</v>
      </c>
      <c r="G346" s="17">
        <f>IF(B346="","",IFERROR(INDEX('Content Calendar'!$K$5:$K$604,MATCH(B346,'Content Calendar'!$A$5:$A$604,0)),"Not found"))</f>
        <v>0</v>
      </c>
      <c r="H346" s="17">
        <f>IF(B346="","",IFERROR(INDEX('Content Calendar'!$J$5:$J$604,MATCH(B346,'Content Calendar'!$A$5:$A$604,0)),"Not found"))</f>
        <v>0</v>
      </c>
      <c r="I346" s="17">
        <f>IF(B346="","",IFERROR(INDEX('Content Calendar'!$L$5:$L$604,MATCH(B346,'Content Calendar'!$A$5:$A$604,0)),"Not found"))</f>
        <v>0</v>
      </c>
      <c r="J346" s="17">
        <f>IF(B346="","",IFERROR(INDEX('Content Calendar'!$P$5:$P$604,MATCH(B346,'Content Calendar'!$A$5:$A$604,0)),"Not found"))</f>
        <v>0</v>
      </c>
      <c r="K346" s="17">
        <f>IF(B346="","",IFERROR(INDEX('Content Calendar'!$O$5:$O$604,MATCH(B346,'Content Calendar'!$A$5:$A$604,0)),"Not found"))</f>
        <v>0</v>
      </c>
      <c r="L346" s="17">
        <f>IF(B346="","",IFERROR(INDEX('Content Calendar'!$N$5:$N$604,MATCH(B346,'Content Calendar'!$A$5:$A$604,0)),"Not found"))</f>
        <v>0</v>
      </c>
      <c r="M346" s="17">
        <f>IF(B346="","",IFERROR(INDEX('Content Calendar'!$C$5:$C$604,MATCH(B346,'Content Calendar'!$A$5:$A$604,0)),"Not found"))</f>
        <v>0</v>
      </c>
      <c r="N346" s="17">
        <f>IF(B346="","",IFERROR(INDEX('Content Calendar'!$F$5:$F$604,MATCH(B346,'Content Calendar'!$A$5:$A$604,0)),"Not found"))</f>
        <v>0</v>
      </c>
      <c r="Z346" s="23">
        <f>IF(O346="","",N(Q346)+N(R346)+N(S346)+N(T346))</f>
        <v>0</v>
      </c>
      <c r="AA346" s="24">
        <f>IF(OR(O346="",O346=0),"",Z346/O346)</f>
        <v>0</v>
      </c>
      <c r="AB346" s="24">
        <f>IF(OR(O346="",O346=0),"",N(T346)/O346)</f>
        <v>0</v>
      </c>
      <c r="AC346" s="24">
        <f>IF(OR(O346="",O346=0),"",N(S346)/O346)</f>
        <v>0</v>
      </c>
      <c r="AD346" s="24">
        <f>IF(OR(O346="",O346=0),"",N(R346)/O346)</f>
        <v>0</v>
      </c>
      <c r="AE346" s="24">
        <f>IF(OR(O346="",O346=0),"",N(U346)/O346)</f>
        <v>0</v>
      </c>
      <c r="AF346" s="24">
        <f>IF(OR(U346="",U346=0),"",N(W346)/U346)</f>
        <v>0</v>
      </c>
      <c r="AG346" s="25">
        <f>IF(OR(O346="",O346=0),"",N(X346)/(O346/1000))</f>
        <v>0</v>
      </c>
      <c r="AH346" s="24">
        <f>IF(O346="","",IF(Y346="",TargetEngagement,Y346))</f>
        <v>0</v>
      </c>
      <c r="AI346" s="24">
        <f>IF(OR(AA346="",AH346=""),"",AA346-AH346)</f>
        <v>0</v>
      </c>
      <c r="AJ346" s="31">
        <f>IF(AA346="","",AA346+ROW()/1000000)</f>
        <v>0</v>
      </c>
      <c r="AK346" s="23">
        <f>IF(AA346="","",RANK(AJ346,Performance!$AJ$5:$AJ$404))</f>
        <v>0</v>
      </c>
      <c r="AL346" s="29">
        <f>IF(AA346="","",IF(AA346&gt;=AH346*1.5,"Top performer",IF(AA346&gt;=AH346,"Above target",IF(AA346&gt;=AH346*0.6,"Below target","Weak - review it"))))</f>
        <v>0</v>
      </c>
      <c r="AM346" s="29">
        <f>IF(B346="","",IF(COUNTIF(Performance!$B$5:$B$404,B346)&gt;1,"Duplicate","OK"))</f>
        <v>0</v>
      </c>
      <c r="AN346" s="29">
        <f>IF(B346="","",IF(C346="Not found","Check - content ID not on the calendar",IF(O346="","Add - no numbers entered yet",IF(AM346="Duplicate","Duplicate - this post is entered twice",IF(AL346="Top performer","Repurpose this one","OK")))))</f>
        <v>0</v>
      </c>
    </row>
    <row r="347" spans="1:40">
      <c r="A347" s="41">
        <f>IF(B347="","","PF-"&amp;TEXT(ROW()-4,"0000"))</f>
        <v>0</v>
      </c>
      <c r="C347" s="17">
        <f>IF(B347="","",IFERROR(INDEX('Content Calendar'!$H$5:$H$604,MATCH(B347,'Content Calendar'!$A$5:$A$604,0)),"Not found"))</f>
        <v>0</v>
      </c>
      <c r="D347" s="16">
        <f>IF(B347="","",IFERROR(INDEX('Content Calendar'!$B$5:$B$604,MATCH(B347,'Content Calendar'!$A$5:$A$604,0)),"Not found"))</f>
        <v>0</v>
      </c>
      <c r="E347" s="17">
        <f>IF(B347="","",IFERROR(INDEX('Content Calendar'!$D$5:$D$604,MATCH(B347,'Content Calendar'!$A$5:$A$604,0)),"Not found"))</f>
        <v>0</v>
      </c>
      <c r="F347" s="17">
        <f>IF(B347="","",IFERROR(INDEX('Content Calendar'!$G$5:$G$604,MATCH(B347,'Content Calendar'!$A$5:$A$604,0)),"Not found"))</f>
        <v>0</v>
      </c>
      <c r="G347" s="17">
        <f>IF(B347="","",IFERROR(INDEX('Content Calendar'!$K$5:$K$604,MATCH(B347,'Content Calendar'!$A$5:$A$604,0)),"Not found"))</f>
        <v>0</v>
      </c>
      <c r="H347" s="17">
        <f>IF(B347="","",IFERROR(INDEX('Content Calendar'!$J$5:$J$604,MATCH(B347,'Content Calendar'!$A$5:$A$604,0)),"Not found"))</f>
        <v>0</v>
      </c>
      <c r="I347" s="17">
        <f>IF(B347="","",IFERROR(INDEX('Content Calendar'!$L$5:$L$604,MATCH(B347,'Content Calendar'!$A$5:$A$604,0)),"Not found"))</f>
        <v>0</v>
      </c>
      <c r="J347" s="17">
        <f>IF(B347="","",IFERROR(INDEX('Content Calendar'!$P$5:$P$604,MATCH(B347,'Content Calendar'!$A$5:$A$604,0)),"Not found"))</f>
        <v>0</v>
      </c>
      <c r="K347" s="17">
        <f>IF(B347="","",IFERROR(INDEX('Content Calendar'!$O$5:$O$604,MATCH(B347,'Content Calendar'!$A$5:$A$604,0)),"Not found"))</f>
        <v>0</v>
      </c>
      <c r="L347" s="17">
        <f>IF(B347="","",IFERROR(INDEX('Content Calendar'!$N$5:$N$604,MATCH(B347,'Content Calendar'!$A$5:$A$604,0)),"Not found"))</f>
        <v>0</v>
      </c>
      <c r="M347" s="17">
        <f>IF(B347="","",IFERROR(INDEX('Content Calendar'!$C$5:$C$604,MATCH(B347,'Content Calendar'!$A$5:$A$604,0)),"Not found"))</f>
        <v>0</v>
      </c>
      <c r="N347" s="17">
        <f>IF(B347="","",IFERROR(INDEX('Content Calendar'!$F$5:$F$604,MATCH(B347,'Content Calendar'!$A$5:$A$604,0)),"Not found"))</f>
        <v>0</v>
      </c>
      <c r="Z347" s="23">
        <f>IF(O347="","",N(Q347)+N(R347)+N(S347)+N(T347))</f>
        <v>0</v>
      </c>
      <c r="AA347" s="24">
        <f>IF(OR(O347="",O347=0),"",Z347/O347)</f>
        <v>0</v>
      </c>
      <c r="AB347" s="24">
        <f>IF(OR(O347="",O347=0),"",N(T347)/O347)</f>
        <v>0</v>
      </c>
      <c r="AC347" s="24">
        <f>IF(OR(O347="",O347=0),"",N(S347)/O347)</f>
        <v>0</v>
      </c>
      <c r="AD347" s="24">
        <f>IF(OR(O347="",O347=0),"",N(R347)/O347)</f>
        <v>0</v>
      </c>
      <c r="AE347" s="24">
        <f>IF(OR(O347="",O347=0),"",N(U347)/O347)</f>
        <v>0</v>
      </c>
      <c r="AF347" s="24">
        <f>IF(OR(U347="",U347=0),"",N(W347)/U347)</f>
        <v>0</v>
      </c>
      <c r="AG347" s="25">
        <f>IF(OR(O347="",O347=0),"",N(X347)/(O347/1000))</f>
        <v>0</v>
      </c>
      <c r="AH347" s="24">
        <f>IF(O347="","",IF(Y347="",TargetEngagement,Y347))</f>
        <v>0</v>
      </c>
      <c r="AI347" s="24">
        <f>IF(OR(AA347="",AH347=""),"",AA347-AH347)</f>
        <v>0</v>
      </c>
      <c r="AJ347" s="31">
        <f>IF(AA347="","",AA347+ROW()/1000000)</f>
        <v>0</v>
      </c>
      <c r="AK347" s="23">
        <f>IF(AA347="","",RANK(AJ347,Performance!$AJ$5:$AJ$404))</f>
        <v>0</v>
      </c>
      <c r="AL347" s="29">
        <f>IF(AA347="","",IF(AA347&gt;=AH347*1.5,"Top performer",IF(AA347&gt;=AH347,"Above target",IF(AA347&gt;=AH347*0.6,"Below target","Weak - review it"))))</f>
        <v>0</v>
      </c>
      <c r="AM347" s="29">
        <f>IF(B347="","",IF(COUNTIF(Performance!$B$5:$B$404,B347)&gt;1,"Duplicate","OK"))</f>
        <v>0</v>
      </c>
      <c r="AN347" s="29">
        <f>IF(B347="","",IF(C347="Not found","Check - content ID not on the calendar",IF(O347="","Add - no numbers entered yet",IF(AM347="Duplicate","Duplicate - this post is entered twice",IF(AL347="Top performer","Repurpose this one","OK")))))</f>
        <v>0</v>
      </c>
    </row>
    <row r="348" spans="1:40">
      <c r="A348" s="41">
        <f>IF(B348="","","PF-"&amp;TEXT(ROW()-4,"0000"))</f>
        <v>0</v>
      </c>
      <c r="C348" s="17">
        <f>IF(B348="","",IFERROR(INDEX('Content Calendar'!$H$5:$H$604,MATCH(B348,'Content Calendar'!$A$5:$A$604,0)),"Not found"))</f>
        <v>0</v>
      </c>
      <c r="D348" s="16">
        <f>IF(B348="","",IFERROR(INDEX('Content Calendar'!$B$5:$B$604,MATCH(B348,'Content Calendar'!$A$5:$A$604,0)),"Not found"))</f>
        <v>0</v>
      </c>
      <c r="E348" s="17">
        <f>IF(B348="","",IFERROR(INDEX('Content Calendar'!$D$5:$D$604,MATCH(B348,'Content Calendar'!$A$5:$A$604,0)),"Not found"))</f>
        <v>0</v>
      </c>
      <c r="F348" s="17">
        <f>IF(B348="","",IFERROR(INDEX('Content Calendar'!$G$5:$G$604,MATCH(B348,'Content Calendar'!$A$5:$A$604,0)),"Not found"))</f>
        <v>0</v>
      </c>
      <c r="G348" s="17">
        <f>IF(B348="","",IFERROR(INDEX('Content Calendar'!$K$5:$K$604,MATCH(B348,'Content Calendar'!$A$5:$A$604,0)),"Not found"))</f>
        <v>0</v>
      </c>
      <c r="H348" s="17">
        <f>IF(B348="","",IFERROR(INDEX('Content Calendar'!$J$5:$J$604,MATCH(B348,'Content Calendar'!$A$5:$A$604,0)),"Not found"))</f>
        <v>0</v>
      </c>
      <c r="I348" s="17">
        <f>IF(B348="","",IFERROR(INDEX('Content Calendar'!$L$5:$L$604,MATCH(B348,'Content Calendar'!$A$5:$A$604,0)),"Not found"))</f>
        <v>0</v>
      </c>
      <c r="J348" s="17">
        <f>IF(B348="","",IFERROR(INDEX('Content Calendar'!$P$5:$P$604,MATCH(B348,'Content Calendar'!$A$5:$A$604,0)),"Not found"))</f>
        <v>0</v>
      </c>
      <c r="K348" s="17">
        <f>IF(B348="","",IFERROR(INDEX('Content Calendar'!$O$5:$O$604,MATCH(B348,'Content Calendar'!$A$5:$A$604,0)),"Not found"))</f>
        <v>0</v>
      </c>
      <c r="L348" s="17">
        <f>IF(B348="","",IFERROR(INDEX('Content Calendar'!$N$5:$N$604,MATCH(B348,'Content Calendar'!$A$5:$A$604,0)),"Not found"))</f>
        <v>0</v>
      </c>
      <c r="M348" s="17">
        <f>IF(B348="","",IFERROR(INDEX('Content Calendar'!$C$5:$C$604,MATCH(B348,'Content Calendar'!$A$5:$A$604,0)),"Not found"))</f>
        <v>0</v>
      </c>
      <c r="N348" s="17">
        <f>IF(B348="","",IFERROR(INDEX('Content Calendar'!$F$5:$F$604,MATCH(B348,'Content Calendar'!$A$5:$A$604,0)),"Not found"))</f>
        <v>0</v>
      </c>
      <c r="Z348" s="23">
        <f>IF(O348="","",N(Q348)+N(R348)+N(S348)+N(T348))</f>
        <v>0</v>
      </c>
      <c r="AA348" s="24">
        <f>IF(OR(O348="",O348=0),"",Z348/O348)</f>
        <v>0</v>
      </c>
      <c r="AB348" s="24">
        <f>IF(OR(O348="",O348=0),"",N(T348)/O348)</f>
        <v>0</v>
      </c>
      <c r="AC348" s="24">
        <f>IF(OR(O348="",O348=0),"",N(S348)/O348)</f>
        <v>0</v>
      </c>
      <c r="AD348" s="24">
        <f>IF(OR(O348="",O348=0),"",N(R348)/O348)</f>
        <v>0</v>
      </c>
      <c r="AE348" s="24">
        <f>IF(OR(O348="",O348=0),"",N(U348)/O348)</f>
        <v>0</v>
      </c>
      <c r="AF348" s="24">
        <f>IF(OR(U348="",U348=0),"",N(W348)/U348)</f>
        <v>0</v>
      </c>
      <c r="AG348" s="25">
        <f>IF(OR(O348="",O348=0),"",N(X348)/(O348/1000))</f>
        <v>0</v>
      </c>
      <c r="AH348" s="24">
        <f>IF(O348="","",IF(Y348="",TargetEngagement,Y348))</f>
        <v>0</v>
      </c>
      <c r="AI348" s="24">
        <f>IF(OR(AA348="",AH348=""),"",AA348-AH348)</f>
        <v>0</v>
      </c>
      <c r="AJ348" s="31">
        <f>IF(AA348="","",AA348+ROW()/1000000)</f>
        <v>0</v>
      </c>
      <c r="AK348" s="23">
        <f>IF(AA348="","",RANK(AJ348,Performance!$AJ$5:$AJ$404))</f>
        <v>0</v>
      </c>
      <c r="AL348" s="29">
        <f>IF(AA348="","",IF(AA348&gt;=AH348*1.5,"Top performer",IF(AA348&gt;=AH348,"Above target",IF(AA348&gt;=AH348*0.6,"Below target","Weak - review it"))))</f>
        <v>0</v>
      </c>
      <c r="AM348" s="29">
        <f>IF(B348="","",IF(COUNTIF(Performance!$B$5:$B$404,B348)&gt;1,"Duplicate","OK"))</f>
        <v>0</v>
      </c>
      <c r="AN348" s="29">
        <f>IF(B348="","",IF(C348="Not found","Check - content ID not on the calendar",IF(O348="","Add - no numbers entered yet",IF(AM348="Duplicate","Duplicate - this post is entered twice",IF(AL348="Top performer","Repurpose this one","OK")))))</f>
        <v>0</v>
      </c>
    </row>
    <row r="349" spans="1:40">
      <c r="A349" s="41">
        <f>IF(B349="","","PF-"&amp;TEXT(ROW()-4,"0000"))</f>
        <v>0</v>
      </c>
      <c r="C349" s="17">
        <f>IF(B349="","",IFERROR(INDEX('Content Calendar'!$H$5:$H$604,MATCH(B349,'Content Calendar'!$A$5:$A$604,0)),"Not found"))</f>
        <v>0</v>
      </c>
      <c r="D349" s="16">
        <f>IF(B349="","",IFERROR(INDEX('Content Calendar'!$B$5:$B$604,MATCH(B349,'Content Calendar'!$A$5:$A$604,0)),"Not found"))</f>
        <v>0</v>
      </c>
      <c r="E349" s="17">
        <f>IF(B349="","",IFERROR(INDEX('Content Calendar'!$D$5:$D$604,MATCH(B349,'Content Calendar'!$A$5:$A$604,0)),"Not found"))</f>
        <v>0</v>
      </c>
      <c r="F349" s="17">
        <f>IF(B349="","",IFERROR(INDEX('Content Calendar'!$G$5:$G$604,MATCH(B349,'Content Calendar'!$A$5:$A$604,0)),"Not found"))</f>
        <v>0</v>
      </c>
      <c r="G349" s="17">
        <f>IF(B349="","",IFERROR(INDEX('Content Calendar'!$K$5:$K$604,MATCH(B349,'Content Calendar'!$A$5:$A$604,0)),"Not found"))</f>
        <v>0</v>
      </c>
      <c r="H349" s="17">
        <f>IF(B349="","",IFERROR(INDEX('Content Calendar'!$J$5:$J$604,MATCH(B349,'Content Calendar'!$A$5:$A$604,0)),"Not found"))</f>
        <v>0</v>
      </c>
      <c r="I349" s="17">
        <f>IF(B349="","",IFERROR(INDEX('Content Calendar'!$L$5:$L$604,MATCH(B349,'Content Calendar'!$A$5:$A$604,0)),"Not found"))</f>
        <v>0</v>
      </c>
      <c r="J349" s="17">
        <f>IF(B349="","",IFERROR(INDEX('Content Calendar'!$P$5:$P$604,MATCH(B349,'Content Calendar'!$A$5:$A$604,0)),"Not found"))</f>
        <v>0</v>
      </c>
      <c r="K349" s="17">
        <f>IF(B349="","",IFERROR(INDEX('Content Calendar'!$O$5:$O$604,MATCH(B349,'Content Calendar'!$A$5:$A$604,0)),"Not found"))</f>
        <v>0</v>
      </c>
      <c r="L349" s="17">
        <f>IF(B349="","",IFERROR(INDEX('Content Calendar'!$N$5:$N$604,MATCH(B349,'Content Calendar'!$A$5:$A$604,0)),"Not found"))</f>
        <v>0</v>
      </c>
      <c r="M349" s="17">
        <f>IF(B349="","",IFERROR(INDEX('Content Calendar'!$C$5:$C$604,MATCH(B349,'Content Calendar'!$A$5:$A$604,0)),"Not found"))</f>
        <v>0</v>
      </c>
      <c r="N349" s="17">
        <f>IF(B349="","",IFERROR(INDEX('Content Calendar'!$F$5:$F$604,MATCH(B349,'Content Calendar'!$A$5:$A$604,0)),"Not found"))</f>
        <v>0</v>
      </c>
      <c r="Z349" s="23">
        <f>IF(O349="","",N(Q349)+N(R349)+N(S349)+N(T349))</f>
        <v>0</v>
      </c>
      <c r="AA349" s="24">
        <f>IF(OR(O349="",O349=0),"",Z349/O349)</f>
        <v>0</v>
      </c>
      <c r="AB349" s="24">
        <f>IF(OR(O349="",O349=0),"",N(T349)/O349)</f>
        <v>0</v>
      </c>
      <c r="AC349" s="24">
        <f>IF(OR(O349="",O349=0),"",N(S349)/O349)</f>
        <v>0</v>
      </c>
      <c r="AD349" s="24">
        <f>IF(OR(O349="",O349=0),"",N(R349)/O349)</f>
        <v>0</v>
      </c>
      <c r="AE349" s="24">
        <f>IF(OR(O349="",O349=0),"",N(U349)/O349)</f>
        <v>0</v>
      </c>
      <c r="AF349" s="24">
        <f>IF(OR(U349="",U349=0),"",N(W349)/U349)</f>
        <v>0</v>
      </c>
      <c r="AG349" s="25">
        <f>IF(OR(O349="",O349=0),"",N(X349)/(O349/1000))</f>
        <v>0</v>
      </c>
      <c r="AH349" s="24">
        <f>IF(O349="","",IF(Y349="",TargetEngagement,Y349))</f>
        <v>0</v>
      </c>
      <c r="AI349" s="24">
        <f>IF(OR(AA349="",AH349=""),"",AA349-AH349)</f>
        <v>0</v>
      </c>
      <c r="AJ349" s="31">
        <f>IF(AA349="","",AA349+ROW()/1000000)</f>
        <v>0</v>
      </c>
      <c r="AK349" s="23">
        <f>IF(AA349="","",RANK(AJ349,Performance!$AJ$5:$AJ$404))</f>
        <v>0</v>
      </c>
      <c r="AL349" s="29">
        <f>IF(AA349="","",IF(AA349&gt;=AH349*1.5,"Top performer",IF(AA349&gt;=AH349,"Above target",IF(AA349&gt;=AH349*0.6,"Below target","Weak - review it"))))</f>
        <v>0</v>
      </c>
      <c r="AM349" s="29">
        <f>IF(B349="","",IF(COUNTIF(Performance!$B$5:$B$404,B349)&gt;1,"Duplicate","OK"))</f>
        <v>0</v>
      </c>
      <c r="AN349" s="29">
        <f>IF(B349="","",IF(C349="Not found","Check - content ID not on the calendar",IF(O349="","Add - no numbers entered yet",IF(AM349="Duplicate","Duplicate - this post is entered twice",IF(AL349="Top performer","Repurpose this one","OK")))))</f>
        <v>0</v>
      </c>
    </row>
    <row r="350" spans="1:40">
      <c r="A350" s="41">
        <f>IF(B350="","","PF-"&amp;TEXT(ROW()-4,"0000"))</f>
        <v>0</v>
      </c>
      <c r="C350" s="17">
        <f>IF(B350="","",IFERROR(INDEX('Content Calendar'!$H$5:$H$604,MATCH(B350,'Content Calendar'!$A$5:$A$604,0)),"Not found"))</f>
        <v>0</v>
      </c>
      <c r="D350" s="16">
        <f>IF(B350="","",IFERROR(INDEX('Content Calendar'!$B$5:$B$604,MATCH(B350,'Content Calendar'!$A$5:$A$604,0)),"Not found"))</f>
        <v>0</v>
      </c>
      <c r="E350" s="17">
        <f>IF(B350="","",IFERROR(INDEX('Content Calendar'!$D$5:$D$604,MATCH(B350,'Content Calendar'!$A$5:$A$604,0)),"Not found"))</f>
        <v>0</v>
      </c>
      <c r="F350" s="17">
        <f>IF(B350="","",IFERROR(INDEX('Content Calendar'!$G$5:$G$604,MATCH(B350,'Content Calendar'!$A$5:$A$604,0)),"Not found"))</f>
        <v>0</v>
      </c>
      <c r="G350" s="17">
        <f>IF(B350="","",IFERROR(INDEX('Content Calendar'!$K$5:$K$604,MATCH(B350,'Content Calendar'!$A$5:$A$604,0)),"Not found"))</f>
        <v>0</v>
      </c>
      <c r="H350" s="17">
        <f>IF(B350="","",IFERROR(INDEX('Content Calendar'!$J$5:$J$604,MATCH(B350,'Content Calendar'!$A$5:$A$604,0)),"Not found"))</f>
        <v>0</v>
      </c>
      <c r="I350" s="17">
        <f>IF(B350="","",IFERROR(INDEX('Content Calendar'!$L$5:$L$604,MATCH(B350,'Content Calendar'!$A$5:$A$604,0)),"Not found"))</f>
        <v>0</v>
      </c>
      <c r="J350" s="17">
        <f>IF(B350="","",IFERROR(INDEX('Content Calendar'!$P$5:$P$604,MATCH(B350,'Content Calendar'!$A$5:$A$604,0)),"Not found"))</f>
        <v>0</v>
      </c>
      <c r="K350" s="17">
        <f>IF(B350="","",IFERROR(INDEX('Content Calendar'!$O$5:$O$604,MATCH(B350,'Content Calendar'!$A$5:$A$604,0)),"Not found"))</f>
        <v>0</v>
      </c>
      <c r="L350" s="17">
        <f>IF(B350="","",IFERROR(INDEX('Content Calendar'!$N$5:$N$604,MATCH(B350,'Content Calendar'!$A$5:$A$604,0)),"Not found"))</f>
        <v>0</v>
      </c>
      <c r="M350" s="17">
        <f>IF(B350="","",IFERROR(INDEX('Content Calendar'!$C$5:$C$604,MATCH(B350,'Content Calendar'!$A$5:$A$604,0)),"Not found"))</f>
        <v>0</v>
      </c>
      <c r="N350" s="17">
        <f>IF(B350="","",IFERROR(INDEX('Content Calendar'!$F$5:$F$604,MATCH(B350,'Content Calendar'!$A$5:$A$604,0)),"Not found"))</f>
        <v>0</v>
      </c>
      <c r="Z350" s="23">
        <f>IF(O350="","",N(Q350)+N(R350)+N(S350)+N(T350))</f>
        <v>0</v>
      </c>
      <c r="AA350" s="24">
        <f>IF(OR(O350="",O350=0),"",Z350/O350)</f>
        <v>0</v>
      </c>
      <c r="AB350" s="24">
        <f>IF(OR(O350="",O350=0),"",N(T350)/O350)</f>
        <v>0</v>
      </c>
      <c r="AC350" s="24">
        <f>IF(OR(O350="",O350=0),"",N(S350)/O350)</f>
        <v>0</v>
      </c>
      <c r="AD350" s="24">
        <f>IF(OR(O350="",O350=0),"",N(R350)/O350)</f>
        <v>0</v>
      </c>
      <c r="AE350" s="24">
        <f>IF(OR(O350="",O350=0),"",N(U350)/O350)</f>
        <v>0</v>
      </c>
      <c r="AF350" s="24">
        <f>IF(OR(U350="",U350=0),"",N(W350)/U350)</f>
        <v>0</v>
      </c>
      <c r="AG350" s="25">
        <f>IF(OR(O350="",O350=0),"",N(X350)/(O350/1000))</f>
        <v>0</v>
      </c>
      <c r="AH350" s="24">
        <f>IF(O350="","",IF(Y350="",TargetEngagement,Y350))</f>
        <v>0</v>
      </c>
      <c r="AI350" s="24">
        <f>IF(OR(AA350="",AH350=""),"",AA350-AH350)</f>
        <v>0</v>
      </c>
      <c r="AJ350" s="31">
        <f>IF(AA350="","",AA350+ROW()/1000000)</f>
        <v>0</v>
      </c>
      <c r="AK350" s="23">
        <f>IF(AA350="","",RANK(AJ350,Performance!$AJ$5:$AJ$404))</f>
        <v>0</v>
      </c>
      <c r="AL350" s="29">
        <f>IF(AA350="","",IF(AA350&gt;=AH350*1.5,"Top performer",IF(AA350&gt;=AH350,"Above target",IF(AA350&gt;=AH350*0.6,"Below target","Weak - review it"))))</f>
        <v>0</v>
      </c>
      <c r="AM350" s="29">
        <f>IF(B350="","",IF(COUNTIF(Performance!$B$5:$B$404,B350)&gt;1,"Duplicate","OK"))</f>
        <v>0</v>
      </c>
      <c r="AN350" s="29">
        <f>IF(B350="","",IF(C350="Not found","Check - content ID not on the calendar",IF(O350="","Add - no numbers entered yet",IF(AM350="Duplicate","Duplicate - this post is entered twice",IF(AL350="Top performer","Repurpose this one","OK")))))</f>
        <v>0</v>
      </c>
    </row>
    <row r="351" spans="1:40">
      <c r="A351" s="41">
        <f>IF(B351="","","PF-"&amp;TEXT(ROW()-4,"0000"))</f>
        <v>0</v>
      </c>
      <c r="C351" s="17">
        <f>IF(B351="","",IFERROR(INDEX('Content Calendar'!$H$5:$H$604,MATCH(B351,'Content Calendar'!$A$5:$A$604,0)),"Not found"))</f>
        <v>0</v>
      </c>
      <c r="D351" s="16">
        <f>IF(B351="","",IFERROR(INDEX('Content Calendar'!$B$5:$B$604,MATCH(B351,'Content Calendar'!$A$5:$A$604,0)),"Not found"))</f>
        <v>0</v>
      </c>
      <c r="E351" s="17">
        <f>IF(B351="","",IFERROR(INDEX('Content Calendar'!$D$5:$D$604,MATCH(B351,'Content Calendar'!$A$5:$A$604,0)),"Not found"))</f>
        <v>0</v>
      </c>
      <c r="F351" s="17">
        <f>IF(B351="","",IFERROR(INDEX('Content Calendar'!$G$5:$G$604,MATCH(B351,'Content Calendar'!$A$5:$A$604,0)),"Not found"))</f>
        <v>0</v>
      </c>
      <c r="G351" s="17">
        <f>IF(B351="","",IFERROR(INDEX('Content Calendar'!$K$5:$K$604,MATCH(B351,'Content Calendar'!$A$5:$A$604,0)),"Not found"))</f>
        <v>0</v>
      </c>
      <c r="H351" s="17">
        <f>IF(B351="","",IFERROR(INDEX('Content Calendar'!$J$5:$J$604,MATCH(B351,'Content Calendar'!$A$5:$A$604,0)),"Not found"))</f>
        <v>0</v>
      </c>
      <c r="I351" s="17">
        <f>IF(B351="","",IFERROR(INDEX('Content Calendar'!$L$5:$L$604,MATCH(B351,'Content Calendar'!$A$5:$A$604,0)),"Not found"))</f>
        <v>0</v>
      </c>
      <c r="J351" s="17">
        <f>IF(B351="","",IFERROR(INDEX('Content Calendar'!$P$5:$P$604,MATCH(B351,'Content Calendar'!$A$5:$A$604,0)),"Not found"))</f>
        <v>0</v>
      </c>
      <c r="K351" s="17">
        <f>IF(B351="","",IFERROR(INDEX('Content Calendar'!$O$5:$O$604,MATCH(B351,'Content Calendar'!$A$5:$A$604,0)),"Not found"))</f>
        <v>0</v>
      </c>
      <c r="L351" s="17">
        <f>IF(B351="","",IFERROR(INDEX('Content Calendar'!$N$5:$N$604,MATCH(B351,'Content Calendar'!$A$5:$A$604,0)),"Not found"))</f>
        <v>0</v>
      </c>
      <c r="M351" s="17">
        <f>IF(B351="","",IFERROR(INDEX('Content Calendar'!$C$5:$C$604,MATCH(B351,'Content Calendar'!$A$5:$A$604,0)),"Not found"))</f>
        <v>0</v>
      </c>
      <c r="N351" s="17">
        <f>IF(B351="","",IFERROR(INDEX('Content Calendar'!$F$5:$F$604,MATCH(B351,'Content Calendar'!$A$5:$A$604,0)),"Not found"))</f>
        <v>0</v>
      </c>
      <c r="Z351" s="23">
        <f>IF(O351="","",N(Q351)+N(R351)+N(S351)+N(T351))</f>
        <v>0</v>
      </c>
      <c r="AA351" s="24">
        <f>IF(OR(O351="",O351=0),"",Z351/O351)</f>
        <v>0</v>
      </c>
      <c r="AB351" s="24">
        <f>IF(OR(O351="",O351=0),"",N(T351)/O351)</f>
        <v>0</v>
      </c>
      <c r="AC351" s="24">
        <f>IF(OR(O351="",O351=0),"",N(S351)/O351)</f>
        <v>0</v>
      </c>
      <c r="AD351" s="24">
        <f>IF(OR(O351="",O351=0),"",N(R351)/O351)</f>
        <v>0</v>
      </c>
      <c r="AE351" s="24">
        <f>IF(OR(O351="",O351=0),"",N(U351)/O351)</f>
        <v>0</v>
      </c>
      <c r="AF351" s="24">
        <f>IF(OR(U351="",U351=0),"",N(W351)/U351)</f>
        <v>0</v>
      </c>
      <c r="AG351" s="25">
        <f>IF(OR(O351="",O351=0),"",N(X351)/(O351/1000))</f>
        <v>0</v>
      </c>
      <c r="AH351" s="24">
        <f>IF(O351="","",IF(Y351="",TargetEngagement,Y351))</f>
        <v>0</v>
      </c>
      <c r="AI351" s="24">
        <f>IF(OR(AA351="",AH351=""),"",AA351-AH351)</f>
        <v>0</v>
      </c>
      <c r="AJ351" s="31">
        <f>IF(AA351="","",AA351+ROW()/1000000)</f>
        <v>0</v>
      </c>
      <c r="AK351" s="23">
        <f>IF(AA351="","",RANK(AJ351,Performance!$AJ$5:$AJ$404))</f>
        <v>0</v>
      </c>
      <c r="AL351" s="29">
        <f>IF(AA351="","",IF(AA351&gt;=AH351*1.5,"Top performer",IF(AA351&gt;=AH351,"Above target",IF(AA351&gt;=AH351*0.6,"Below target","Weak - review it"))))</f>
        <v>0</v>
      </c>
      <c r="AM351" s="29">
        <f>IF(B351="","",IF(COUNTIF(Performance!$B$5:$B$404,B351)&gt;1,"Duplicate","OK"))</f>
        <v>0</v>
      </c>
      <c r="AN351" s="29">
        <f>IF(B351="","",IF(C351="Not found","Check - content ID not on the calendar",IF(O351="","Add - no numbers entered yet",IF(AM351="Duplicate","Duplicate - this post is entered twice",IF(AL351="Top performer","Repurpose this one","OK")))))</f>
        <v>0</v>
      </c>
    </row>
    <row r="352" spans="1:40">
      <c r="A352" s="41">
        <f>IF(B352="","","PF-"&amp;TEXT(ROW()-4,"0000"))</f>
        <v>0</v>
      </c>
      <c r="C352" s="17">
        <f>IF(B352="","",IFERROR(INDEX('Content Calendar'!$H$5:$H$604,MATCH(B352,'Content Calendar'!$A$5:$A$604,0)),"Not found"))</f>
        <v>0</v>
      </c>
      <c r="D352" s="16">
        <f>IF(B352="","",IFERROR(INDEX('Content Calendar'!$B$5:$B$604,MATCH(B352,'Content Calendar'!$A$5:$A$604,0)),"Not found"))</f>
        <v>0</v>
      </c>
      <c r="E352" s="17">
        <f>IF(B352="","",IFERROR(INDEX('Content Calendar'!$D$5:$D$604,MATCH(B352,'Content Calendar'!$A$5:$A$604,0)),"Not found"))</f>
        <v>0</v>
      </c>
      <c r="F352" s="17">
        <f>IF(B352="","",IFERROR(INDEX('Content Calendar'!$G$5:$G$604,MATCH(B352,'Content Calendar'!$A$5:$A$604,0)),"Not found"))</f>
        <v>0</v>
      </c>
      <c r="G352" s="17">
        <f>IF(B352="","",IFERROR(INDEX('Content Calendar'!$K$5:$K$604,MATCH(B352,'Content Calendar'!$A$5:$A$604,0)),"Not found"))</f>
        <v>0</v>
      </c>
      <c r="H352" s="17">
        <f>IF(B352="","",IFERROR(INDEX('Content Calendar'!$J$5:$J$604,MATCH(B352,'Content Calendar'!$A$5:$A$604,0)),"Not found"))</f>
        <v>0</v>
      </c>
      <c r="I352" s="17">
        <f>IF(B352="","",IFERROR(INDEX('Content Calendar'!$L$5:$L$604,MATCH(B352,'Content Calendar'!$A$5:$A$604,0)),"Not found"))</f>
        <v>0</v>
      </c>
      <c r="J352" s="17">
        <f>IF(B352="","",IFERROR(INDEX('Content Calendar'!$P$5:$P$604,MATCH(B352,'Content Calendar'!$A$5:$A$604,0)),"Not found"))</f>
        <v>0</v>
      </c>
      <c r="K352" s="17">
        <f>IF(B352="","",IFERROR(INDEX('Content Calendar'!$O$5:$O$604,MATCH(B352,'Content Calendar'!$A$5:$A$604,0)),"Not found"))</f>
        <v>0</v>
      </c>
      <c r="L352" s="17">
        <f>IF(B352="","",IFERROR(INDEX('Content Calendar'!$N$5:$N$604,MATCH(B352,'Content Calendar'!$A$5:$A$604,0)),"Not found"))</f>
        <v>0</v>
      </c>
      <c r="M352" s="17">
        <f>IF(B352="","",IFERROR(INDEX('Content Calendar'!$C$5:$C$604,MATCH(B352,'Content Calendar'!$A$5:$A$604,0)),"Not found"))</f>
        <v>0</v>
      </c>
      <c r="N352" s="17">
        <f>IF(B352="","",IFERROR(INDEX('Content Calendar'!$F$5:$F$604,MATCH(B352,'Content Calendar'!$A$5:$A$604,0)),"Not found"))</f>
        <v>0</v>
      </c>
      <c r="Z352" s="23">
        <f>IF(O352="","",N(Q352)+N(R352)+N(S352)+N(T352))</f>
        <v>0</v>
      </c>
      <c r="AA352" s="24">
        <f>IF(OR(O352="",O352=0),"",Z352/O352)</f>
        <v>0</v>
      </c>
      <c r="AB352" s="24">
        <f>IF(OR(O352="",O352=0),"",N(T352)/O352)</f>
        <v>0</v>
      </c>
      <c r="AC352" s="24">
        <f>IF(OR(O352="",O352=0),"",N(S352)/O352)</f>
        <v>0</v>
      </c>
      <c r="AD352" s="24">
        <f>IF(OR(O352="",O352=0),"",N(R352)/O352)</f>
        <v>0</v>
      </c>
      <c r="AE352" s="24">
        <f>IF(OR(O352="",O352=0),"",N(U352)/O352)</f>
        <v>0</v>
      </c>
      <c r="AF352" s="24">
        <f>IF(OR(U352="",U352=0),"",N(W352)/U352)</f>
        <v>0</v>
      </c>
      <c r="AG352" s="25">
        <f>IF(OR(O352="",O352=0),"",N(X352)/(O352/1000))</f>
        <v>0</v>
      </c>
      <c r="AH352" s="24">
        <f>IF(O352="","",IF(Y352="",TargetEngagement,Y352))</f>
        <v>0</v>
      </c>
      <c r="AI352" s="24">
        <f>IF(OR(AA352="",AH352=""),"",AA352-AH352)</f>
        <v>0</v>
      </c>
      <c r="AJ352" s="31">
        <f>IF(AA352="","",AA352+ROW()/1000000)</f>
        <v>0</v>
      </c>
      <c r="AK352" s="23">
        <f>IF(AA352="","",RANK(AJ352,Performance!$AJ$5:$AJ$404))</f>
        <v>0</v>
      </c>
      <c r="AL352" s="29">
        <f>IF(AA352="","",IF(AA352&gt;=AH352*1.5,"Top performer",IF(AA352&gt;=AH352,"Above target",IF(AA352&gt;=AH352*0.6,"Below target","Weak - review it"))))</f>
        <v>0</v>
      </c>
      <c r="AM352" s="29">
        <f>IF(B352="","",IF(COUNTIF(Performance!$B$5:$B$404,B352)&gt;1,"Duplicate","OK"))</f>
        <v>0</v>
      </c>
      <c r="AN352" s="29">
        <f>IF(B352="","",IF(C352="Not found","Check - content ID not on the calendar",IF(O352="","Add - no numbers entered yet",IF(AM352="Duplicate","Duplicate - this post is entered twice",IF(AL352="Top performer","Repurpose this one","OK")))))</f>
        <v>0</v>
      </c>
    </row>
    <row r="353" spans="1:40">
      <c r="A353" s="41">
        <f>IF(B353="","","PF-"&amp;TEXT(ROW()-4,"0000"))</f>
        <v>0</v>
      </c>
      <c r="C353" s="17">
        <f>IF(B353="","",IFERROR(INDEX('Content Calendar'!$H$5:$H$604,MATCH(B353,'Content Calendar'!$A$5:$A$604,0)),"Not found"))</f>
        <v>0</v>
      </c>
      <c r="D353" s="16">
        <f>IF(B353="","",IFERROR(INDEX('Content Calendar'!$B$5:$B$604,MATCH(B353,'Content Calendar'!$A$5:$A$604,0)),"Not found"))</f>
        <v>0</v>
      </c>
      <c r="E353" s="17">
        <f>IF(B353="","",IFERROR(INDEX('Content Calendar'!$D$5:$D$604,MATCH(B353,'Content Calendar'!$A$5:$A$604,0)),"Not found"))</f>
        <v>0</v>
      </c>
      <c r="F353" s="17">
        <f>IF(B353="","",IFERROR(INDEX('Content Calendar'!$G$5:$G$604,MATCH(B353,'Content Calendar'!$A$5:$A$604,0)),"Not found"))</f>
        <v>0</v>
      </c>
      <c r="G353" s="17">
        <f>IF(B353="","",IFERROR(INDEX('Content Calendar'!$K$5:$K$604,MATCH(B353,'Content Calendar'!$A$5:$A$604,0)),"Not found"))</f>
        <v>0</v>
      </c>
      <c r="H353" s="17">
        <f>IF(B353="","",IFERROR(INDEX('Content Calendar'!$J$5:$J$604,MATCH(B353,'Content Calendar'!$A$5:$A$604,0)),"Not found"))</f>
        <v>0</v>
      </c>
      <c r="I353" s="17">
        <f>IF(B353="","",IFERROR(INDEX('Content Calendar'!$L$5:$L$604,MATCH(B353,'Content Calendar'!$A$5:$A$604,0)),"Not found"))</f>
        <v>0</v>
      </c>
      <c r="J353" s="17">
        <f>IF(B353="","",IFERROR(INDEX('Content Calendar'!$P$5:$P$604,MATCH(B353,'Content Calendar'!$A$5:$A$604,0)),"Not found"))</f>
        <v>0</v>
      </c>
      <c r="K353" s="17">
        <f>IF(B353="","",IFERROR(INDEX('Content Calendar'!$O$5:$O$604,MATCH(B353,'Content Calendar'!$A$5:$A$604,0)),"Not found"))</f>
        <v>0</v>
      </c>
      <c r="L353" s="17">
        <f>IF(B353="","",IFERROR(INDEX('Content Calendar'!$N$5:$N$604,MATCH(B353,'Content Calendar'!$A$5:$A$604,0)),"Not found"))</f>
        <v>0</v>
      </c>
      <c r="M353" s="17">
        <f>IF(B353="","",IFERROR(INDEX('Content Calendar'!$C$5:$C$604,MATCH(B353,'Content Calendar'!$A$5:$A$604,0)),"Not found"))</f>
        <v>0</v>
      </c>
      <c r="N353" s="17">
        <f>IF(B353="","",IFERROR(INDEX('Content Calendar'!$F$5:$F$604,MATCH(B353,'Content Calendar'!$A$5:$A$604,0)),"Not found"))</f>
        <v>0</v>
      </c>
      <c r="Z353" s="23">
        <f>IF(O353="","",N(Q353)+N(R353)+N(S353)+N(T353))</f>
        <v>0</v>
      </c>
      <c r="AA353" s="24">
        <f>IF(OR(O353="",O353=0),"",Z353/O353)</f>
        <v>0</v>
      </c>
      <c r="AB353" s="24">
        <f>IF(OR(O353="",O353=0),"",N(T353)/O353)</f>
        <v>0</v>
      </c>
      <c r="AC353" s="24">
        <f>IF(OR(O353="",O353=0),"",N(S353)/O353)</f>
        <v>0</v>
      </c>
      <c r="AD353" s="24">
        <f>IF(OR(O353="",O353=0),"",N(R353)/O353)</f>
        <v>0</v>
      </c>
      <c r="AE353" s="24">
        <f>IF(OR(O353="",O353=0),"",N(U353)/O353)</f>
        <v>0</v>
      </c>
      <c r="AF353" s="24">
        <f>IF(OR(U353="",U353=0),"",N(W353)/U353)</f>
        <v>0</v>
      </c>
      <c r="AG353" s="25">
        <f>IF(OR(O353="",O353=0),"",N(X353)/(O353/1000))</f>
        <v>0</v>
      </c>
      <c r="AH353" s="24">
        <f>IF(O353="","",IF(Y353="",TargetEngagement,Y353))</f>
        <v>0</v>
      </c>
      <c r="AI353" s="24">
        <f>IF(OR(AA353="",AH353=""),"",AA353-AH353)</f>
        <v>0</v>
      </c>
      <c r="AJ353" s="31">
        <f>IF(AA353="","",AA353+ROW()/1000000)</f>
        <v>0</v>
      </c>
      <c r="AK353" s="23">
        <f>IF(AA353="","",RANK(AJ353,Performance!$AJ$5:$AJ$404))</f>
        <v>0</v>
      </c>
      <c r="AL353" s="29">
        <f>IF(AA353="","",IF(AA353&gt;=AH353*1.5,"Top performer",IF(AA353&gt;=AH353,"Above target",IF(AA353&gt;=AH353*0.6,"Below target","Weak - review it"))))</f>
        <v>0</v>
      </c>
      <c r="AM353" s="29">
        <f>IF(B353="","",IF(COUNTIF(Performance!$B$5:$B$404,B353)&gt;1,"Duplicate","OK"))</f>
        <v>0</v>
      </c>
      <c r="AN353" s="29">
        <f>IF(B353="","",IF(C353="Not found","Check - content ID not on the calendar",IF(O353="","Add - no numbers entered yet",IF(AM353="Duplicate","Duplicate - this post is entered twice",IF(AL353="Top performer","Repurpose this one","OK")))))</f>
        <v>0</v>
      </c>
    </row>
    <row r="354" spans="1:40">
      <c r="A354" s="41">
        <f>IF(B354="","","PF-"&amp;TEXT(ROW()-4,"0000"))</f>
        <v>0</v>
      </c>
      <c r="C354" s="17">
        <f>IF(B354="","",IFERROR(INDEX('Content Calendar'!$H$5:$H$604,MATCH(B354,'Content Calendar'!$A$5:$A$604,0)),"Not found"))</f>
        <v>0</v>
      </c>
      <c r="D354" s="16">
        <f>IF(B354="","",IFERROR(INDEX('Content Calendar'!$B$5:$B$604,MATCH(B354,'Content Calendar'!$A$5:$A$604,0)),"Not found"))</f>
        <v>0</v>
      </c>
      <c r="E354" s="17">
        <f>IF(B354="","",IFERROR(INDEX('Content Calendar'!$D$5:$D$604,MATCH(B354,'Content Calendar'!$A$5:$A$604,0)),"Not found"))</f>
        <v>0</v>
      </c>
      <c r="F354" s="17">
        <f>IF(B354="","",IFERROR(INDEX('Content Calendar'!$G$5:$G$604,MATCH(B354,'Content Calendar'!$A$5:$A$604,0)),"Not found"))</f>
        <v>0</v>
      </c>
      <c r="G354" s="17">
        <f>IF(B354="","",IFERROR(INDEX('Content Calendar'!$K$5:$K$604,MATCH(B354,'Content Calendar'!$A$5:$A$604,0)),"Not found"))</f>
        <v>0</v>
      </c>
      <c r="H354" s="17">
        <f>IF(B354="","",IFERROR(INDEX('Content Calendar'!$J$5:$J$604,MATCH(B354,'Content Calendar'!$A$5:$A$604,0)),"Not found"))</f>
        <v>0</v>
      </c>
      <c r="I354" s="17">
        <f>IF(B354="","",IFERROR(INDEX('Content Calendar'!$L$5:$L$604,MATCH(B354,'Content Calendar'!$A$5:$A$604,0)),"Not found"))</f>
        <v>0</v>
      </c>
      <c r="J354" s="17">
        <f>IF(B354="","",IFERROR(INDEX('Content Calendar'!$P$5:$P$604,MATCH(B354,'Content Calendar'!$A$5:$A$604,0)),"Not found"))</f>
        <v>0</v>
      </c>
      <c r="K354" s="17">
        <f>IF(B354="","",IFERROR(INDEX('Content Calendar'!$O$5:$O$604,MATCH(B354,'Content Calendar'!$A$5:$A$604,0)),"Not found"))</f>
        <v>0</v>
      </c>
      <c r="L354" s="17">
        <f>IF(B354="","",IFERROR(INDEX('Content Calendar'!$N$5:$N$604,MATCH(B354,'Content Calendar'!$A$5:$A$604,0)),"Not found"))</f>
        <v>0</v>
      </c>
      <c r="M354" s="17">
        <f>IF(B354="","",IFERROR(INDEX('Content Calendar'!$C$5:$C$604,MATCH(B354,'Content Calendar'!$A$5:$A$604,0)),"Not found"))</f>
        <v>0</v>
      </c>
      <c r="N354" s="17">
        <f>IF(B354="","",IFERROR(INDEX('Content Calendar'!$F$5:$F$604,MATCH(B354,'Content Calendar'!$A$5:$A$604,0)),"Not found"))</f>
        <v>0</v>
      </c>
      <c r="Z354" s="23">
        <f>IF(O354="","",N(Q354)+N(R354)+N(S354)+N(T354))</f>
        <v>0</v>
      </c>
      <c r="AA354" s="24">
        <f>IF(OR(O354="",O354=0),"",Z354/O354)</f>
        <v>0</v>
      </c>
      <c r="AB354" s="24">
        <f>IF(OR(O354="",O354=0),"",N(T354)/O354)</f>
        <v>0</v>
      </c>
      <c r="AC354" s="24">
        <f>IF(OR(O354="",O354=0),"",N(S354)/O354)</f>
        <v>0</v>
      </c>
      <c r="AD354" s="24">
        <f>IF(OR(O354="",O354=0),"",N(R354)/O354)</f>
        <v>0</v>
      </c>
      <c r="AE354" s="24">
        <f>IF(OR(O354="",O354=0),"",N(U354)/O354)</f>
        <v>0</v>
      </c>
      <c r="AF354" s="24">
        <f>IF(OR(U354="",U354=0),"",N(W354)/U354)</f>
        <v>0</v>
      </c>
      <c r="AG354" s="25">
        <f>IF(OR(O354="",O354=0),"",N(X354)/(O354/1000))</f>
        <v>0</v>
      </c>
      <c r="AH354" s="24">
        <f>IF(O354="","",IF(Y354="",TargetEngagement,Y354))</f>
        <v>0</v>
      </c>
      <c r="AI354" s="24">
        <f>IF(OR(AA354="",AH354=""),"",AA354-AH354)</f>
        <v>0</v>
      </c>
      <c r="AJ354" s="31">
        <f>IF(AA354="","",AA354+ROW()/1000000)</f>
        <v>0</v>
      </c>
      <c r="AK354" s="23">
        <f>IF(AA354="","",RANK(AJ354,Performance!$AJ$5:$AJ$404))</f>
        <v>0</v>
      </c>
      <c r="AL354" s="29">
        <f>IF(AA354="","",IF(AA354&gt;=AH354*1.5,"Top performer",IF(AA354&gt;=AH354,"Above target",IF(AA354&gt;=AH354*0.6,"Below target","Weak - review it"))))</f>
        <v>0</v>
      </c>
      <c r="AM354" s="29">
        <f>IF(B354="","",IF(COUNTIF(Performance!$B$5:$B$404,B354)&gt;1,"Duplicate","OK"))</f>
        <v>0</v>
      </c>
      <c r="AN354" s="29">
        <f>IF(B354="","",IF(C354="Not found","Check - content ID not on the calendar",IF(O354="","Add - no numbers entered yet",IF(AM354="Duplicate","Duplicate - this post is entered twice",IF(AL354="Top performer","Repurpose this one","OK")))))</f>
        <v>0</v>
      </c>
    </row>
    <row r="355" spans="1:40">
      <c r="A355" s="41">
        <f>IF(B355="","","PF-"&amp;TEXT(ROW()-4,"0000"))</f>
        <v>0</v>
      </c>
      <c r="C355" s="17">
        <f>IF(B355="","",IFERROR(INDEX('Content Calendar'!$H$5:$H$604,MATCH(B355,'Content Calendar'!$A$5:$A$604,0)),"Not found"))</f>
        <v>0</v>
      </c>
      <c r="D355" s="16">
        <f>IF(B355="","",IFERROR(INDEX('Content Calendar'!$B$5:$B$604,MATCH(B355,'Content Calendar'!$A$5:$A$604,0)),"Not found"))</f>
        <v>0</v>
      </c>
      <c r="E355" s="17">
        <f>IF(B355="","",IFERROR(INDEX('Content Calendar'!$D$5:$D$604,MATCH(B355,'Content Calendar'!$A$5:$A$604,0)),"Not found"))</f>
        <v>0</v>
      </c>
      <c r="F355" s="17">
        <f>IF(B355="","",IFERROR(INDEX('Content Calendar'!$G$5:$G$604,MATCH(B355,'Content Calendar'!$A$5:$A$604,0)),"Not found"))</f>
        <v>0</v>
      </c>
      <c r="G355" s="17">
        <f>IF(B355="","",IFERROR(INDEX('Content Calendar'!$K$5:$K$604,MATCH(B355,'Content Calendar'!$A$5:$A$604,0)),"Not found"))</f>
        <v>0</v>
      </c>
      <c r="H355" s="17">
        <f>IF(B355="","",IFERROR(INDEX('Content Calendar'!$J$5:$J$604,MATCH(B355,'Content Calendar'!$A$5:$A$604,0)),"Not found"))</f>
        <v>0</v>
      </c>
      <c r="I355" s="17">
        <f>IF(B355="","",IFERROR(INDEX('Content Calendar'!$L$5:$L$604,MATCH(B355,'Content Calendar'!$A$5:$A$604,0)),"Not found"))</f>
        <v>0</v>
      </c>
      <c r="J355" s="17">
        <f>IF(B355="","",IFERROR(INDEX('Content Calendar'!$P$5:$P$604,MATCH(B355,'Content Calendar'!$A$5:$A$604,0)),"Not found"))</f>
        <v>0</v>
      </c>
      <c r="K355" s="17">
        <f>IF(B355="","",IFERROR(INDEX('Content Calendar'!$O$5:$O$604,MATCH(B355,'Content Calendar'!$A$5:$A$604,0)),"Not found"))</f>
        <v>0</v>
      </c>
      <c r="L355" s="17">
        <f>IF(B355="","",IFERROR(INDEX('Content Calendar'!$N$5:$N$604,MATCH(B355,'Content Calendar'!$A$5:$A$604,0)),"Not found"))</f>
        <v>0</v>
      </c>
      <c r="M355" s="17">
        <f>IF(B355="","",IFERROR(INDEX('Content Calendar'!$C$5:$C$604,MATCH(B355,'Content Calendar'!$A$5:$A$604,0)),"Not found"))</f>
        <v>0</v>
      </c>
      <c r="N355" s="17">
        <f>IF(B355="","",IFERROR(INDEX('Content Calendar'!$F$5:$F$604,MATCH(B355,'Content Calendar'!$A$5:$A$604,0)),"Not found"))</f>
        <v>0</v>
      </c>
      <c r="Z355" s="23">
        <f>IF(O355="","",N(Q355)+N(R355)+N(S355)+N(T355))</f>
        <v>0</v>
      </c>
      <c r="AA355" s="24">
        <f>IF(OR(O355="",O355=0),"",Z355/O355)</f>
        <v>0</v>
      </c>
      <c r="AB355" s="24">
        <f>IF(OR(O355="",O355=0),"",N(T355)/O355)</f>
        <v>0</v>
      </c>
      <c r="AC355" s="24">
        <f>IF(OR(O355="",O355=0),"",N(S355)/O355)</f>
        <v>0</v>
      </c>
      <c r="AD355" s="24">
        <f>IF(OR(O355="",O355=0),"",N(R355)/O355)</f>
        <v>0</v>
      </c>
      <c r="AE355" s="24">
        <f>IF(OR(O355="",O355=0),"",N(U355)/O355)</f>
        <v>0</v>
      </c>
      <c r="AF355" s="24">
        <f>IF(OR(U355="",U355=0),"",N(W355)/U355)</f>
        <v>0</v>
      </c>
      <c r="AG355" s="25">
        <f>IF(OR(O355="",O355=0),"",N(X355)/(O355/1000))</f>
        <v>0</v>
      </c>
      <c r="AH355" s="24">
        <f>IF(O355="","",IF(Y355="",TargetEngagement,Y355))</f>
        <v>0</v>
      </c>
      <c r="AI355" s="24">
        <f>IF(OR(AA355="",AH355=""),"",AA355-AH355)</f>
        <v>0</v>
      </c>
      <c r="AJ355" s="31">
        <f>IF(AA355="","",AA355+ROW()/1000000)</f>
        <v>0</v>
      </c>
      <c r="AK355" s="23">
        <f>IF(AA355="","",RANK(AJ355,Performance!$AJ$5:$AJ$404))</f>
        <v>0</v>
      </c>
      <c r="AL355" s="29">
        <f>IF(AA355="","",IF(AA355&gt;=AH355*1.5,"Top performer",IF(AA355&gt;=AH355,"Above target",IF(AA355&gt;=AH355*0.6,"Below target","Weak - review it"))))</f>
        <v>0</v>
      </c>
      <c r="AM355" s="29">
        <f>IF(B355="","",IF(COUNTIF(Performance!$B$5:$B$404,B355)&gt;1,"Duplicate","OK"))</f>
        <v>0</v>
      </c>
      <c r="AN355" s="29">
        <f>IF(B355="","",IF(C355="Not found","Check - content ID not on the calendar",IF(O355="","Add - no numbers entered yet",IF(AM355="Duplicate","Duplicate - this post is entered twice",IF(AL355="Top performer","Repurpose this one","OK")))))</f>
        <v>0</v>
      </c>
    </row>
    <row r="356" spans="1:40">
      <c r="A356" s="41">
        <f>IF(B356="","","PF-"&amp;TEXT(ROW()-4,"0000"))</f>
        <v>0</v>
      </c>
      <c r="C356" s="17">
        <f>IF(B356="","",IFERROR(INDEX('Content Calendar'!$H$5:$H$604,MATCH(B356,'Content Calendar'!$A$5:$A$604,0)),"Not found"))</f>
        <v>0</v>
      </c>
      <c r="D356" s="16">
        <f>IF(B356="","",IFERROR(INDEX('Content Calendar'!$B$5:$B$604,MATCH(B356,'Content Calendar'!$A$5:$A$604,0)),"Not found"))</f>
        <v>0</v>
      </c>
      <c r="E356" s="17">
        <f>IF(B356="","",IFERROR(INDEX('Content Calendar'!$D$5:$D$604,MATCH(B356,'Content Calendar'!$A$5:$A$604,0)),"Not found"))</f>
        <v>0</v>
      </c>
      <c r="F356" s="17">
        <f>IF(B356="","",IFERROR(INDEX('Content Calendar'!$G$5:$G$604,MATCH(B356,'Content Calendar'!$A$5:$A$604,0)),"Not found"))</f>
        <v>0</v>
      </c>
      <c r="G356" s="17">
        <f>IF(B356="","",IFERROR(INDEX('Content Calendar'!$K$5:$K$604,MATCH(B356,'Content Calendar'!$A$5:$A$604,0)),"Not found"))</f>
        <v>0</v>
      </c>
      <c r="H356" s="17">
        <f>IF(B356="","",IFERROR(INDEX('Content Calendar'!$J$5:$J$604,MATCH(B356,'Content Calendar'!$A$5:$A$604,0)),"Not found"))</f>
        <v>0</v>
      </c>
      <c r="I356" s="17">
        <f>IF(B356="","",IFERROR(INDEX('Content Calendar'!$L$5:$L$604,MATCH(B356,'Content Calendar'!$A$5:$A$604,0)),"Not found"))</f>
        <v>0</v>
      </c>
      <c r="J356" s="17">
        <f>IF(B356="","",IFERROR(INDEX('Content Calendar'!$P$5:$P$604,MATCH(B356,'Content Calendar'!$A$5:$A$604,0)),"Not found"))</f>
        <v>0</v>
      </c>
      <c r="K356" s="17">
        <f>IF(B356="","",IFERROR(INDEX('Content Calendar'!$O$5:$O$604,MATCH(B356,'Content Calendar'!$A$5:$A$604,0)),"Not found"))</f>
        <v>0</v>
      </c>
      <c r="L356" s="17">
        <f>IF(B356="","",IFERROR(INDEX('Content Calendar'!$N$5:$N$604,MATCH(B356,'Content Calendar'!$A$5:$A$604,0)),"Not found"))</f>
        <v>0</v>
      </c>
      <c r="M356" s="17">
        <f>IF(B356="","",IFERROR(INDEX('Content Calendar'!$C$5:$C$604,MATCH(B356,'Content Calendar'!$A$5:$A$604,0)),"Not found"))</f>
        <v>0</v>
      </c>
      <c r="N356" s="17">
        <f>IF(B356="","",IFERROR(INDEX('Content Calendar'!$F$5:$F$604,MATCH(B356,'Content Calendar'!$A$5:$A$604,0)),"Not found"))</f>
        <v>0</v>
      </c>
      <c r="Z356" s="23">
        <f>IF(O356="","",N(Q356)+N(R356)+N(S356)+N(T356))</f>
        <v>0</v>
      </c>
      <c r="AA356" s="24">
        <f>IF(OR(O356="",O356=0),"",Z356/O356)</f>
        <v>0</v>
      </c>
      <c r="AB356" s="24">
        <f>IF(OR(O356="",O356=0),"",N(T356)/O356)</f>
        <v>0</v>
      </c>
      <c r="AC356" s="24">
        <f>IF(OR(O356="",O356=0),"",N(S356)/O356)</f>
        <v>0</v>
      </c>
      <c r="AD356" s="24">
        <f>IF(OR(O356="",O356=0),"",N(R356)/O356)</f>
        <v>0</v>
      </c>
      <c r="AE356" s="24">
        <f>IF(OR(O356="",O356=0),"",N(U356)/O356)</f>
        <v>0</v>
      </c>
      <c r="AF356" s="24">
        <f>IF(OR(U356="",U356=0),"",N(W356)/U356)</f>
        <v>0</v>
      </c>
      <c r="AG356" s="25">
        <f>IF(OR(O356="",O356=0),"",N(X356)/(O356/1000))</f>
        <v>0</v>
      </c>
      <c r="AH356" s="24">
        <f>IF(O356="","",IF(Y356="",TargetEngagement,Y356))</f>
        <v>0</v>
      </c>
      <c r="AI356" s="24">
        <f>IF(OR(AA356="",AH356=""),"",AA356-AH356)</f>
        <v>0</v>
      </c>
      <c r="AJ356" s="31">
        <f>IF(AA356="","",AA356+ROW()/1000000)</f>
        <v>0</v>
      </c>
      <c r="AK356" s="23">
        <f>IF(AA356="","",RANK(AJ356,Performance!$AJ$5:$AJ$404))</f>
        <v>0</v>
      </c>
      <c r="AL356" s="29">
        <f>IF(AA356="","",IF(AA356&gt;=AH356*1.5,"Top performer",IF(AA356&gt;=AH356,"Above target",IF(AA356&gt;=AH356*0.6,"Below target","Weak - review it"))))</f>
        <v>0</v>
      </c>
      <c r="AM356" s="29">
        <f>IF(B356="","",IF(COUNTIF(Performance!$B$5:$B$404,B356)&gt;1,"Duplicate","OK"))</f>
        <v>0</v>
      </c>
      <c r="AN356" s="29">
        <f>IF(B356="","",IF(C356="Not found","Check - content ID not on the calendar",IF(O356="","Add - no numbers entered yet",IF(AM356="Duplicate","Duplicate - this post is entered twice",IF(AL356="Top performer","Repurpose this one","OK")))))</f>
        <v>0</v>
      </c>
    </row>
    <row r="357" spans="1:40">
      <c r="A357" s="41">
        <f>IF(B357="","","PF-"&amp;TEXT(ROW()-4,"0000"))</f>
        <v>0</v>
      </c>
      <c r="C357" s="17">
        <f>IF(B357="","",IFERROR(INDEX('Content Calendar'!$H$5:$H$604,MATCH(B357,'Content Calendar'!$A$5:$A$604,0)),"Not found"))</f>
        <v>0</v>
      </c>
      <c r="D357" s="16">
        <f>IF(B357="","",IFERROR(INDEX('Content Calendar'!$B$5:$B$604,MATCH(B357,'Content Calendar'!$A$5:$A$604,0)),"Not found"))</f>
        <v>0</v>
      </c>
      <c r="E357" s="17">
        <f>IF(B357="","",IFERROR(INDEX('Content Calendar'!$D$5:$D$604,MATCH(B357,'Content Calendar'!$A$5:$A$604,0)),"Not found"))</f>
        <v>0</v>
      </c>
      <c r="F357" s="17">
        <f>IF(B357="","",IFERROR(INDEX('Content Calendar'!$G$5:$G$604,MATCH(B357,'Content Calendar'!$A$5:$A$604,0)),"Not found"))</f>
        <v>0</v>
      </c>
      <c r="G357" s="17">
        <f>IF(B357="","",IFERROR(INDEX('Content Calendar'!$K$5:$K$604,MATCH(B357,'Content Calendar'!$A$5:$A$604,0)),"Not found"))</f>
        <v>0</v>
      </c>
      <c r="H357" s="17">
        <f>IF(B357="","",IFERROR(INDEX('Content Calendar'!$J$5:$J$604,MATCH(B357,'Content Calendar'!$A$5:$A$604,0)),"Not found"))</f>
        <v>0</v>
      </c>
      <c r="I357" s="17">
        <f>IF(B357="","",IFERROR(INDEX('Content Calendar'!$L$5:$L$604,MATCH(B357,'Content Calendar'!$A$5:$A$604,0)),"Not found"))</f>
        <v>0</v>
      </c>
      <c r="J357" s="17">
        <f>IF(B357="","",IFERROR(INDEX('Content Calendar'!$P$5:$P$604,MATCH(B357,'Content Calendar'!$A$5:$A$604,0)),"Not found"))</f>
        <v>0</v>
      </c>
      <c r="K357" s="17">
        <f>IF(B357="","",IFERROR(INDEX('Content Calendar'!$O$5:$O$604,MATCH(B357,'Content Calendar'!$A$5:$A$604,0)),"Not found"))</f>
        <v>0</v>
      </c>
      <c r="L357" s="17">
        <f>IF(B357="","",IFERROR(INDEX('Content Calendar'!$N$5:$N$604,MATCH(B357,'Content Calendar'!$A$5:$A$604,0)),"Not found"))</f>
        <v>0</v>
      </c>
      <c r="M357" s="17">
        <f>IF(B357="","",IFERROR(INDEX('Content Calendar'!$C$5:$C$604,MATCH(B357,'Content Calendar'!$A$5:$A$604,0)),"Not found"))</f>
        <v>0</v>
      </c>
      <c r="N357" s="17">
        <f>IF(B357="","",IFERROR(INDEX('Content Calendar'!$F$5:$F$604,MATCH(B357,'Content Calendar'!$A$5:$A$604,0)),"Not found"))</f>
        <v>0</v>
      </c>
      <c r="Z357" s="23">
        <f>IF(O357="","",N(Q357)+N(R357)+N(S357)+N(T357))</f>
        <v>0</v>
      </c>
      <c r="AA357" s="24">
        <f>IF(OR(O357="",O357=0),"",Z357/O357)</f>
        <v>0</v>
      </c>
      <c r="AB357" s="24">
        <f>IF(OR(O357="",O357=0),"",N(T357)/O357)</f>
        <v>0</v>
      </c>
      <c r="AC357" s="24">
        <f>IF(OR(O357="",O357=0),"",N(S357)/O357)</f>
        <v>0</v>
      </c>
      <c r="AD357" s="24">
        <f>IF(OR(O357="",O357=0),"",N(R357)/O357)</f>
        <v>0</v>
      </c>
      <c r="AE357" s="24">
        <f>IF(OR(O357="",O357=0),"",N(U357)/O357)</f>
        <v>0</v>
      </c>
      <c r="AF357" s="24">
        <f>IF(OR(U357="",U357=0),"",N(W357)/U357)</f>
        <v>0</v>
      </c>
      <c r="AG357" s="25">
        <f>IF(OR(O357="",O357=0),"",N(X357)/(O357/1000))</f>
        <v>0</v>
      </c>
      <c r="AH357" s="24">
        <f>IF(O357="","",IF(Y357="",TargetEngagement,Y357))</f>
        <v>0</v>
      </c>
      <c r="AI357" s="24">
        <f>IF(OR(AA357="",AH357=""),"",AA357-AH357)</f>
        <v>0</v>
      </c>
      <c r="AJ357" s="31">
        <f>IF(AA357="","",AA357+ROW()/1000000)</f>
        <v>0</v>
      </c>
      <c r="AK357" s="23">
        <f>IF(AA357="","",RANK(AJ357,Performance!$AJ$5:$AJ$404))</f>
        <v>0</v>
      </c>
      <c r="AL357" s="29">
        <f>IF(AA357="","",IF(AA357&gt;=AH357*1.5,"Top performer",IF(AA357&gt;=AH357,"Above target",IF(AA357&gt;=AH357*0.6,"Below target","Weak - review it"))))</f>
        <v>0</v>
      </c>
      <c r="AM357" s="29">
        <f>IF(B357="","",IF(COUNTIF(Performance!$B$5:$B$404,B357)&gt;1,"Duplicate","OK"))</f>
        <v>0</v>
      </c>
      <c r="AN357" s="29">
        <f>IF(B357="","",IF(C357="Not found","Check - content ID not on the calendar",IF(O357="","Add - no numbers entered yet",IF(AM357="Duplicate","Duplicate - this post is entered twice",IF(AL357="Top performer","Repurpose this one","OK")))))</f>
        <v>0</v>
      </c>
    </row>
    <row r="358" spans="1:40">
      <c r="A358" s="41">
        <f>IF(B358="","","PF-"&amp;TEXT(ROW()-4,"0000"))</f>
        <v>0</v>
      </c>
      <c r="C358" s="17">
        <f>IF(B358="","",IFERROR(INDEX('Content Calendar'!$H$5:$H$604,MATCH(B358,'Content Calendar'!$A$5:$A$604,0)),"Not found"))</f>
        <v>0</v>
      </c>
      <c r="D358" s="16">
        <f>IF(B358="","",IFERROR(INDEX('Content Calendar'!$B$5:$B$604,MATCH(B358,'Content Calendar'!$A$5:$A$604,0)),"Not found"))</f>
        <v>0</v>
      </c>
      <c r="E358" s="17">
        <f>IF(B358="","",IFERROR(INDEX('Content Calendar'!$D$5:$D$604,MATCH(B358,'Content Calendar'!$A$5:$A$604,0)),"Not found"))</f>
        <v>0</v>
      </c>
      <c r="F358" s="17">
        <f>IF(B358="","",IFERROR(INDEX('Content Calendar'!$G$5:$G$604,MATCH(B358,'Content Calendar'!$A$5:$A$604,0)),"Not found"))</f>
        <v>0</v>
      </c>
      <c r="G358" s="17">
        <f>IF(B358="","",IFERROR(INDEX('Content Calendar'!$K$5:$K$604,MATCH(B358,'Content Calendar'!$A$5:$A$604,0)),"Not found"))</f>
        <v>0</v>
      </c>
      <c r="H358" s="17">
        <f>IF(B358="","",IFERROR(INDEX('Content Calendar'!$J$5:$J$604,MATCH(B358,'Content Calendar'!$A$5:$A$604,0)),"Not found"))</f>
        <v>0</v>
      </c>
      <c r="I358" s="17">
        <f>IF(B358="","",IFERROR(INDEX('Content Calendar'!$L$5:$L$604,MATCH(B358,'Content Calendar'!$A$5:$A$604,0)),"Not found"))</f>
        <v>0</v>
      </c>
      <c r="J358" s="17">
        <f>IF(B358="","",IFERROR(INDEX('Content Calendar'!$P$5:$P$604,MATCH(B358,'Content Calendar'!$A$5:$A$604,0)),"Not found"))</f>
        <v>0</v>
      </c>
      <c r="K358" s="17">
        <f>IF(B358="","",IFERROR(INDEX('Content Calendar'!$O$5:$O$604,MATCH(B358,'Content Calendar'!$A$5:$A$604,0)),"Not found"))</f>
        <v>0</v>
      </c>
      <c r="L358" s="17">
        <f>IF(B358="","",IFERROR(INDEX('Content Calendar'!$N$5:$N$604,MATCH(B358,'Content Calendar'!$A$5:$A$604,0)),"Not found"))</f>
        <v>0</v>
      </c>
      <c r="M358" s="17">
        <f>IF(B358="","",IFERROR(INDEX('Content Calendar'!$C$5:$C$604,MATCH(B358,'Content Calendar'!$A$5:$A$604,0)),"Not found"))</f>
        <v>0</v>
      </c>
      <c r="N358" s="17">
        <f>IF(B358="","",IFERROR(INDEX('Content Calendar'!$F$5:$F$604,MATCH(B358,'Content Calendar'!$A$5:$A$604,0)),"Not found"))</f>
        <v>0</v>
      </c>
      <c r="Z358" s="23">
        <f>IF(O358="","",N(Q358)+N(R358)+N(S358)+N(T358))</f>
        <v>0</v>
      </c>
      <c r="AA358" s="24">
        <f>IF(OR(O358="",O358=0),"",Z358/O358)</f>
        <v>0</v>
      </c>
      <c r="AB358" s="24">
        <f>IF(OR(O358="",O358=0),"",N(T358)/O358)</f>
        <v>0</v>
      </c>
      <c r="AC358" s="24">
        <f>IF(OR(O358="",O358=0),"",N(S358)/O358)</f>
        <v>0</v>
      </c>
      <c r="AD358" s="24">
        <f>IF(OR(O358="",O358=0),"",N(R358)/O358)</f>
        <v>0</v>
      </c>
      <c r="AE358" s="24">
        <f>IF(OR(O358="",O358=0),"",N(U358)/O358)</f>
        <v>0</v>
      </c>
      <c r="AF358" s="24">
        <f>IF(OR(U358="",U358=0),"",N(W358)/U358)</f>
        <v>0</v>
      </c>
      <c r="AG358" s="25">
        <f>IF(OR(O358="",O358=0),"",N(X358)/(O358/1000))</f>
        <v>0</v>
      </c>
      <c r="AH358" s="24">
        <f>IF(O358="","",IF(Y358="",TargetEngagement,Y358))</f>
        <v>0</v>
      </c>
      <c r="AI358" s="24">
        <f>IF(OR(AA358="",AH358=""),"",AA358-AH358)</f>
        <v>0</v>
      </c>
      <c r="AJ358" s="31">
        <f>IF(AA358="","",AA358+ROW()/1000000)</f>
        <v>0</v>
      </c>
      <c r="AK358" s="23">
        <f>IF(AA358="","",RANK(AJ358,Performance!$AJ$5:$AJ$404))</f>
        <v>0</v>
      </c>
      <c r="AL358" s="29">
        <f>IF(AA358="","",IF(AA358&gt;=AH358*1.5,"Top performer",IF(AA358&gt;=AH358,"Above target",IF(AA358&gt;=AH358*0.6,"Below target","Weak - review it"))))</f>
        <v>0</v>
      </c>
      <c r="AM358" s="29">
        <f>IF(B358="","",IF(COUNTIF(Performance!$B$5:$B$404,B358)&gt;1,"Duplicate","OK"))</f>
        <v>0</v>
      </c>
      <c r="AN358" s="29">
        <f>IF(B358="","",IF(C358="Not found","Check - content ID not on the calendar",IF(O358="","Add - no numbers entered yet",IF(AM358="Duplicate","Duplicate - this post is entered twice",IF(AL358="Top performer","Repurpose this one","OK")))))</f>
        <v>0</v>
      </c>
    </row>
    <row r="359" spans="1:40">
      <c r="A359" s="41">
        <f>IF(B359="","","PF-"&amp;TEXT(ROW()-4,"0000"))</f>
        <v>0</v>
      </c>
      <c r="C359" s="17">
        <f>IF(B359="","",IFERROR(INDEX('Content Calendar'!$H$5:$H$604,MATCH(B359,'Content Calendar'!$A$5:$A$604,0)),"Not found"))</f>
        <v>0</v>
      </c>
      <c r="D359" s="16">
        <f>IF(B359="","",IFERROR(INDEX('Content Calendar'!$B$5:$B$604,MATCH(B359,'Content Calendar'!$A$5:$A$604,0)),"Not found"))</f>
        <v>0</v>
      </c>
      <c r="E359" s="17">
        <f>IF(B359="","",IFERROR(INDEX('Content Calendar'!$D$5:$D$604,MATCH(B359,'Content Calendar'!$A$5:$A$604,0)),"Not found"))</f>
        <v>0</v>
      </c>
      <c r="F359" s="17">
        <f>IF(B359="","",IFERROR(INDEX('Content Calendar'!$G$5:$G$604,MATCH(B359,'Content Calendar'!$A$5:$A$604,0)),"Not found"))</f>
        <v>0</v>
      </c>
      <c r="G359" s="17">
        <f>IF(B359="","",IFERROR(INDEX('Content Calendar'!$K$5:$K$604,MATCH(B359,'Content Calendar'!$A$5:$A$604,0)),"Not found"))</f>
        <v>0</v>
      </c>
      <c r="H359" s="17">
        <f>IF(B359="","",IFERROR(INDEX('Content Calendar'!$J$5:$J$604,MATCH(B359,'Content Calendar'!$A$5:$A$604,0)),"Not found"))</f>
        <v>0</v>
      </c>
      <c r="I359" s="17">
        <f>IF(B359="","",IFERROR(INDEX('Content Calendar'!$L$5:$L$604,MATCH(B359,'Content Calendar'!$A$5:$A$604,0)),"Not found"))</f>
        <v>0</v>
      </c>
      <c r="J359" s="17">
        <f>IF(B359="","",IFERROR(INDEX('Content Calendar'!$P$5:$P$604,MATCH(B359,'Content Calendar'!$A$5:$A$604,0)),"Not found"))</f>
        <v>0</v>
      </c>
      <c r="K359" s="17">
        <f>IF(B359="","",IFERROR(INDEX('Content Calendar'!$O$5:$O$604,MATCH(B359,'Content Calendar'!$A$5:$A$604,0)),"Not found"))</f>
        <v>0</v>
      </c>
      <c r="L359" s="17">
        <f>IF(B359="","",IFERROR(INDEX('Content Calendar'!$N$5:$N$604,MATCH(B359,'Content Calendar'!$A$5:$A$604,0)),"Not found"))</f>
        <v>0</v>
      </c>
      <c r="M359" s="17">
        <f>IF(B359="","",IFERROR(INDEX('Content Calendar'!$C$5:$C$604,MATCH(B359,'Content Calendar'!$A$5:$A$604,0)),"Not found"))</f>
        <v>0</v>
      </c>
      <c r="N359" s="17">
        <f>IF(B359="","",IFERROR(INDEX('Content Calendar'!$F$5:$F$604,MATCH(B359,'Content Calendar'!$A$5:$A$604,0)),"Not found"))</f>
        <v>0</v>
      </c>
      <c r="Z359" s="23">
        <f>IF(O359="","",N(Q359)+N(R359)+N(S359)+N(T359))</f>
        <v>0</v>
      </c>
      <c r="AA359" s="24">
        <f>IF(OR(O359="",O359=0),"",Z359/O359)</f>
        <v>0</v>
      </c>
      <c r="AB359" s="24">
        <f>IF(OR(O359="",O359=0),"",N(T359)/O359)</f>
        <v>0</v>
      </c>
      <c r="AC359" s="24">
        <f>IF(OR(O359="",O359=0),"",N(S359)/O359)</f>
        <v>0</v>
      </c>
      <c r="AD359" s="24">
        <f>IF(OR(O359="",O359=0),"",N(R359)/O359)</f>
        <v>0</v>
      </c>
      <c r="AE359" s="24">
        <f>IF(OR(O359="",O359=0),"",N(U359)/O359)</f>
        <v>0</v>
      </c>
      <c r="AF359" s="24">
        <f>IF(OR(U359="",U359=0),"",N(W359)/U359)</f>
        <v>0</v>
      </c>
      <c r="AG359" s="25">
        <f>IF(OR(O359="",O359=0),"",N(X359)/(O359/1000))</f>
        <v>0</v>
      </c>
      <c r="AH359" s="24">
        <f>IF(O359="","",IF(Y359="",TargetEngagement,Y359))</f>
        <v>0</v>
      </c>
      <c r="AI359" s="24">
        <f>IF(OR(AA359="",AH359=""),"",AA359-AH359)</f>
        <v>0</v>
      </c>
      <c r="AJ359" s="31">
        <f>IF(AA359="","",AA359+ROW()/1000000)</f>
        <v>0</v>
      </c>
      <c r="AK359" s="23">
        <f>IF(AA359="","",RANK(AJ359,Performance!$AJ$5:$AJ$404))</f>
        <v>0</v>
      </c>
      <c r="AL359" s="29">
        <f>IF(AA359="","",IF(AA359&gt;=AH359*1.5,"Top performer",IF(AA359&gt;=AH359,"Above target",IF(AA359&gt;=AH359*0.6,"Below target","Weak - review it"))))</f>
        <v>0</v>
      </c>
      <c r="AM359" s="29">
        <f>IF(B359="","",IF(COUNTIF(Performance!$B$5:$B$404,B359)&gt;1,"Duplicate","OK"))</f>
        <v>0</v>
      </c>
      <c r="AN359" s="29">
        <f>IF(B359="","",IF(C359="Not found","Check - content ID not on the calendar",IF(O359="","Add - no numbers entered yet",IF(AM359="Duplicate","Duplicate - this post is entered twice",IF(AL359="Top performer","Repurpose this one","OK")))))</f>
        <v>0</v>
      </c>
    </row>
    <row r="360" spans="1:40">
      <c r="A360" s="41">
        <f>IF(B360="","","PF-"&amp;TEXT(ROW()-4,"0000"))</f>
        <v>0</v>
      </c>
      <c r="C360" s="17">
        <f>IF(B360="","",IFERROR(INDEX('Content Calendar'!$H$5:$H$604,MATCH(B360,'Content Calendar'!$A$5:$A$604,0)),"Not found"))</f>
        <v>0</v>
      </c>
      <c r="D360" s="16">
        <f>IF(B360="","",IFERROR(INDEX('Content Calendar'!$B$5:$B$604,MATCH(B360,'Content Calendar'!$A$5:$A$604,0)),"Not found"))</f>
        <v>0</v>
      </c>
      <c r="E360" s="17">
        <f>IF(B360="","",IFERROR(INDEX('Content Calendar'!$D$5:$D$604,MATCH(B360,'Content Calendar'!$A$5:$A$604,0)),"Not found"))</f>
        <v>0</v>
      </c>
      <c r="F360" s="17">
        <f>IF(B360="","",IFERROR(INDEX('Content Calendar'!$G$5:$G$604,MATCH(B360,'Content Calendar'!$A$5:$A$604,0)),"Not found"))</f>
        <v>0</v>
      </c>
      <c r="G360" s="17">
        <f>IF(B360="","",IFERROR(INDEX('Content Calendar'!$K$5:$K$604,MATCH(B360,'Content Calendar'!$A$5:$A$604,0)),"Not found"))</f>
        <v>0</v>
      </c>
      <c r="H360" s="17">
        <f>IF(B360="","",IFERROR(INDEX('Content Calendar'!$J$5:$J$604,MATCH(B360,'Content Calendar'!$A$5:$A$604,0)),"Not found"))</f>
        <v>0</v>
      </c>
      <c r="I360" s="17">
        <f>IF(B360="","",IFERROR(INDEX('Content Calendar'!$L$5:$L$604,MATCH(B360,'Content Calendar'!$A$5:$A$604,0)),"Not found"))</f>
        <v>0</v>
      </c>
      <c r="J360" s="17">
        <f>IF(B360="","",IFERROR(INDEX('Content Calendar'!$P$5:$P$604,MATCH(B360,'Content Calendar'!$A$5:$A$604,0)),"Not found"))</f>
        <v>0</v>
      </c>
      <c r="K360" s="17">
        <f>IF(B360="","",IFERROR(INDEX('Content Calendar'!$O$5:$O$604,MATCH(B360,'Content Calendar'!$A$5:$A$604,0)),"Not found"))</f>
        <v>0</v>
      </c>
      <c r="L360" s="17">
        <f>IF(B360="","",IFERROR(INDEX('Content Calendar'!$N$5:$N$604,MATCH(B360,'Content Calendar'!$A$5:$A$604,0)),"Not found"))</f>
        <v>0</v>
      </c>
      <c r="M360" s="17">
        <f>IF(B360="","",IFERROR(INDEX('Content Calendar'!$C$5:$C$604,MATCH(B360,'Content Calendar'!$A$5:$A$604,0)),"Not found"))</f>
        <v>0</v>
      </c>
      <c r="N360" s="17">
        <f>IF(B360="","",IFERROR(INDEX('Content Calendar'!$F$5:$F$604,MATCH(B360,'Content Calendar'!$A$5:$A$604,0)),"Not found"))</f>
        <v>0</v>
      </c>
      <c r="Z360" s="23">
        <f>IF(O360="","",N(Q360)+N(R360)+N(S360)+N(T360))</f>
        <v>0</v>
      </c>
      <c r="AA360" s="24">
        <f>IF(OR(O360="",O360=0),"",Z360/O360)</f>
        <v>0</v>
      </c>
      <c r="AB360" s="24">
        <f>IF(OR(O360="",O360=0),"",N(T360)/O360)</f>
        <v>0</v>
      </c>
      <c r="AC360" s="24">
        <f>IF(OR(O360="",O360=0),"",N(S360)/O360)</f>
        <v>0</v>
      </c>
      <c r="AD360" s="24">
        <f>IF(OR(O360="",O360=0),"",N(R360)/O360)</f>
        <v>0</v>
      </c>
      <c r="AE360" s="24">
        <f>IF(OR(O360="",O360=0),"",N(U360)/O360)</f>
        <v>0</v>
      </c>
      <c r="AF360" s="24">
        <f>IF(OR(U360="",U360=0),"",N(W360)/U360)</f>
        <v>0</v>
      </c>
      <c r="AG360" s="25">
        <f>IF(OR(O360="",O360=0),"",N(X360)/(O360/1000))</f>
        <v>0</v>
      </c>
      <c r="AH360" s="24">
        <f>IF(O360="","",IF(Y360="",TargetEngagement,Y360))</f>
        <v>0</v>
      </c>
      <c r="AI360" s="24">
        <f>IF(OR(AA360="",AH360=""),"",AA360-AH360)</f>
        <v>0</v>
      </c>
      <c r="AJ360" s="31">
        <f>IF(AA360="","",AA360+ROW()/1000000)</f>
        <v>0</v>
      </c>
      <c r="AK360" s="23">
        <f>IF(AA360="","",RANK(AJ360,Performance!$AJ$5:$AJ$404))</f>
        <v>0</v>
      </c>
      <c r="AL360" s="29">
        <f>IF(AA360="","",IF(AA360&gt;=AH360*1.5,"Top performer",IF(AA360&gt;=AH360,"Above target",IF(AA360&gt;=AH360*0.6,"Below target","Weak - review it"))))</f>
        <v>0</v>
      </c>
      <c r="AM360" s="29">
        <f>IF(B360="","",IF(COUNTIF(Performance!$B$5:$B$404,B360)&gt;1,"Duplicate","OK"))</f>
        <v>0</v>
      </c>
      <c r="AN360" s="29">
        <f>IF(B360="","",IF(C360="Not found","Check - content ID not on the calendar",IF(O360="","Add - no numbers entered yet",IF(AM360="Duplicate","Duplicate - this post is entered twice",IF(AL360="Top performer","Repurpose this one","OK")))))</f>
        <v>0</v>
      </c>
    </row>
    <row r="361" spans="1:40">
      <c r="A361" s="41">
        <f>IF(B361="","","PF-"&amp;TEXT(ROW()-4,"0000"))</f>
        <v>0</v>
      </c>
      <c r="C361" s="17">
        <f>IF(B361="","",IFERROR(INDEX('Content Calendar'!$H$5:$H$604,MATCH(B361,'Content Calendar'!$A$5:$A$604,0)),"Not found"))</f>
        <v>0</v>
      </c>
      <c r="D361" s="16">
        <f>IF(B361="","",IFERROR(INDEX('Content Calendar'!$B$5:$B$604,MATCH(B361,'Content Calendar'!$A$5:$A$604,0)),"Not found"))</f>
        <v>0</v>
      </c>
      <c r="E361" s="17">
        <f>IF(B361="","",IFERROR(INDEX('Content Calendar'!$D$5:$D$604,MATCH(B361,'Content Calendar'!$A$5:$A$604,0)),"Not found"))</f>
        <v>0</v>
      </c>
      <c r="F361" s="17">
        <f>IF(B361="","",IFERROR(INDEX('Content Calendar'!$G$5:$G$604,MATCH(B361,'Content Calendar'!$A$5:$A$604,0)),"Not found"))</f>
        <v>0</v>
      </c>
      <c r="G361" s="17">
        <f>IF(B361="","",IFERROR(INDEX('Content Calendar'!$K$5:$K$604,MATCH(B361,'Content Calendar'!$A$5:$A$604,0)),"Not found"))</f>
        <v>0</v>
      </c>
      <c r="H361" s="17">
        <f>IF(B361="","",IFERROR(INDEX('Content Calendar'!$J$5:$J$604,MATCH(B361,'Content Calendar'!$A$5:$A$604,0)),"Not found"))</f>
        <v>0</v>
      </c>
      <c r="I361" s="17">
        <f>IF(B361="","",IFERROR(INDEX('Content Calendar'!$L$5:$L$604,MATCH(B361,'Content Calendar'!$A$5:$A$604,0)),"Not found"))</f>
        <v>0</v>
      </c>
      <c r="J361" s="17">
        <f>IF(B361="","",IFERROR(INDEX('Content Calendar'!$P$5:$P$604,MATCH(B361,'Content Calendar'!$A$5:$A$604,0)),"Not found"))</f>
        <v>0</v>
      </c>
      <c r="K361" s="17">
        <f>IF(B361="","",IFERROR(INDEX('Content Calendar'!$O$5:$O$604,MATCH(B361,'Content Calendar'!$A$5:$A$604,0)),"Not found"))</f>
        <v>0</v>
      </c>
      <c r="L361" s="17">
        <f>IF(B361="","",IFERROR(INDEX('Content Calendar'!$N$5:$N$604,MATCH(B361,'Content Calendar'!$A$5:$A$604,0)),"Not found"))</f>
        <v>0</v>
      </c>
      <c r="M361" s="17">
        <f>IF(B361="","",IFERROR(INDEX('Content Calendar'!$C$5:$C$604,MATCH(B361,'Content Calendar'!$A$5:$A$604,0)),"Not found"))</f>
        <v>0</v>
      </c>
      <c r="N361" s="17">
        <f>IF(B361="","",IFERROR(INDEX('Content Calendar'!$F$5:$F$604,MATCH(B361,'Content Calendar'!$A$5:$A$604,0)),"Not found"))</f>
        <v>0</v>
      </c>
      <c r="Z361" s="23">
        <f>IF(O361="","",N(Q361)+N(R361)+N(S361)+N(T361))</f>
        <v>0</v>
      </c>
      <c r="AA361" s="24">
        <f>IF(OR(O361="",O361=0),"",Z361/O361)</f>
        <v>0</v>
      </c>
      <c r="AB361" s="24">
        <f>IF(OR(O361="",O361=0),"",N(T361)/O361)</f>
        <v>0</v>
      </c>
      <c r="AC361" s="24">
        <f>IF(OR(O361="",O361=0),"",N(S361)/O361)</f>
        <v>0</v>
      </c>
      <c r="AD361" s="24">
        <f>IF(OR(O361="",O361=0),"",N(R361)/O361)</f>
        <v>0</v>
      </c>
      <c r="AE361" s="24">
        <f>IF(OR(O361="",O361=0),"",N(U361)/O361)</f>
        <v>0</v>
      </c>
      <c r="AF361" s="24">
        <f>IF(OR(U361="",U361=0),"",N(W361)/U361)</f>
        <v>0</v>
      </c>
      <c r="AG361" s="25">
        <f>IF(OR(O361="",O361=0),"",N(X361)/(O361/1000))</f>
        <v>0</v>
      </c>
      <c r="AH361" s="24">
        <f>IF(O361="","",IF(Y361="",TargetEngagement,Y361))</f>
        <v>0</v>
      </c>
      <c r="AI361" s="24">
        <f>IF(OR(AA361="",AH361=""),"",AA361-AH361)</f>
        <v>0</v>
      </c>
      <c r="AJ361" s="31">
        <f>IF(AA361="","",AA361+ROW()/1000000)</f>
        <v>0</v>
      </c>
      <c r="AK361" s="23">
        <f>IF(AA361="","",RANK(AJ361,Performance!$AJ$5:$AJ$404))</f>
        <v>0</v>
      </c>
      <c r="AL361" s="29">
        <f>IF(AA361="","",IF(AA361&gt;=AH361*1.5,"Top performer",IF(AA361&gt;=AH361,"Above target",IF(AA361&gt;=AH361*0.6,"Below target","Weak - review it"))))</f>
        <v>0</v>
      </c>
      <c r="AM361" s="29">
        <f>IF(B361="","",IF(COUNTIF(Performance!$B$5:$B$404,B361)&gt;1,"Duplicate","OK"))</f>
        <v>0</v>
      </c>
      <c r="AN361" s="29">
        <f>IF(B361="","",IF(C361="Not found","Check - content ID not on the calendar",IF(O361="","Add - no numbers entered yet",IF(AM361="Duplicate","Duplicate - this post is entered twice",IF(AL361="Top performer","Repurpose this one","OK")))))</f>
        <v>0</v>
      </c>
    </row>
    <row r="362" spans="1:40">
      <c r="A362" s="41">
        <f>IF(B362="","","PF-"&amp;TEXT(ROW()-4,"0000"))</f>
        <v>0</v>
      </c>
      <c r="C362" s="17">
        <f>IF(B362="","",IFERROR(INDEX('Content Calendar'!$H$5:$H$604,MATCH(B362,'Content Calendar'!$A$5:$A$604,0)),"Not found"))</f>
        <v>0</v>
      </c>
      <c r="D362" s="16">
        <f>IF(B362="","",IFERROR(INDEX('Content Calendar'!$B$5:$B$604,MATCH(B362,'Content Calendar'!$A$5:$A$604,0)),"Not found"))</f>
        <v>0</v>
      </c>
      <c r="E362" s="17">
        <f>IF(B362="","",IFERROR(INDEX('Content Calendar'!$D$5:$D$604,MATCH(B362,'Content Calendar'!$A$5:$A$604,0)),"Not found"))</f>
        <v>0</v>
      </c>
      <c r="F362" s="17">
        <f>IF(B362="","",IFERROR(INDEX('Content Calendar'!$G$5:$G$604,MATCH(B362,'Content Calendar'!$A$5:$A$604,0)),"Not found"))</f>
        <v>0</v>
      </c>
      <c r="G362" s="17">
        <f>IF(B362="","",IFERROR(INDEX('Content Calendar'!$K$5:$K$604,MATCH(B362,'Content Calendar'!$A$5:$A$604,0)),"Not found"))</f>
        <v>0</v>
      </c>
      <c r="H362" s="17">
        <f>IF(B362="","",IFERROR(INDEX('Content Calendar'!$J$5:$J$604,MATCH(B362,'Content Calendar'!$A$5:$A$604,0)),"Not found"))</f>
        <v>0</v>
      </c>
      <c r="I362" s="17">
        <f>IF(B362="","",IFERROR(INDEX('Content Calendar'!$L$5:$L$604,MATCH(B362,'Content Calendar'!$A$5:$A$604,0)),"Not found"))</f>
        <v>0</v>
      </c>
      <c r="J362" s="17">
        <f>IF(B362="","",IFERROR(INDEX('Content Calendar'!$P$5:$P$604,MATCH(B362,'Content Calendar'!$A$5:$A$604,0)),"Not found"))</f>
        <v>0</v>
      </c>
      <c r="K362" s="17">
        <f>IF(B362="","",IFERROR(INDEX('Content Calendar'!$O$5:$O$604,MATCH(B362,'Content Calendar'!$A$5:$A$604,0)),"Not found"))</f>
        <v>0</v>
      </c>
      <c r="L362" s="17">
        <f>IF(B362="","",IFERROR(INDEX('Content Calendar'!$N$5:$N$604,MATCH(B362,'Content Calendar'!$A$5:$A$604,0)),"Not found"))</f>
        <v>0</v>
      </c>
      <c r="M362" s="17">
        <f>IF(B362="","",IFERROR(INDEX('Content Calendar'!$C$5:$C$604,MATCH(B362,'Content Calendar'!$A$5:$A$604,0)),"Not found"))</f>
        <v>0</v>
      </c>
      <c r="N362" s="17">
        <f>IF(B362="","",IFERROR(INDEX('Content Calendar'!$F$5:$F$604,MATCH(B362,'Content Calendar'!$A$5:$A$604,0)),"Not found"))</f>
        <v>0</v>
      </c>
      <c r="Z362" s="23">
        <f>IF(O362="","",N(Q362)+N(R362)+N(S362)+N(T362))</f>
        <v>0</v>
      </c>
      <c r="AA362" s="24">
        <f>IF(OR(O362="",O362=0),"",Z362/O362)</f>
        <v>0</v>
      </c>
      <c r="AB362" s="24">
        <f>IF(OR(O362="",O362=0),"",N(T362)/O362)</f>
        <v>0</v>
      </c>
      <c r="AC362" s="24">
        <f>IF(OR(O362="",O362=0),"",N(S362)/O362)</f>
        <v>0</v>
      </c>
      <c r="AD362" s="24">
        <f>IF(OR(O362="",O362=0),"",N(R362)/O362)</f>
        <v>0</v>
      </c>
      <c r="AE362" s="24">
        <f>IF(OR(O362="",O362=0),"",N(U362)/O362)</f>
        <v>0</v>
      </c>
      <c r="AF362" s="24">
        <f>IF(OR(U362="",U362=0),"",N(W362)/U362)</f>
        <v>0</v>
      </c>
      <c r="AG362" s="25">
        <f>IF(OR(O362="",O362=0),"",N(X362)/(O362/1000))</f>
        <v>0</v>
      </c>
      <c r="AH362" s="24">
        <f>IF(O362="","",IF(Y362="",TargetEngagement,Y362))</f>
        <v>0</v>
      </c>
      <c r="AI362" s="24">
        <f>IF(OR(AA362="",AH362=""),"",AA362-AH362)</f>
        <v>0</v>
      </c>
      <c r="AJ362" s="31">
        <f>IF(AA362="","",AA362+ROW()/1000000)</f>
        <v>0</v>
      </c>
      <c r="AK362" s="23">
        <f>IF(AA362="","",RANK(AJ362,Performance!$AJ$5:$AJ$404))</f>
        <v>0</v>
      </c>
      <c r="AL362" s="29">
        <f>IF(AA362="","",IF(AA362&gt;=AH362*1.5,"Top performer",IF(AA362&gt;=AH362,"Above target",IF(AA362&gt;=AH362*0.6,"Below target","Weak - review it"))))</f>
        <v>0</v>
      </c>
      <c r="AM362" s="29">
        <f>IF(B362="","",IF(COUNTIF(Performance!$B$5:$B$404,B362)&gt;1,"Duplicate","OK"))</f>
        <v>0</v>
      </c>
      <c r="AN362" s="29">
        <f>IF(B362="","",IF(C362="Not found","Check - content ID not on the calendar",IF(O362="","Add - no numbers entered yet",IF(AM362="Duplicate","Duplicate - this post is entered twice",IF(AL362="Top performer","Repurpose this one","OK")))))</f>
        <v>0</v>
      </c>
    </row>
    <row r="363" spans="1:40">
      <c r="A363" s="41">
        <f>IF(B363="","","PF-"&amp;TEXT(ROW()-4,"0000"))</f>
        <v>0</v>
      </c>
      <c r="C363" s="17">
        <f>IF(B363="","",IFERROR(INDEX('Content Calendar'!$H$5:$H$604,MATCH(B363,'Content Calendar'!$A$5:$A$604,0)),"Not found"))</f>
        <v>0</v>
      </c>
      <c r="D363" s="16">
        <f>IF(B363="","",IFERROR(INDEX('Content Calendar'!$B$5:$B$604,MATCH(B363,'Content Calendar'!$A$5:$A$604,0)),"Not found"))</f>
        <v>0</v>
      </c>
      <c r="E363" s="17">
        <f>IF(B363="","",IFERROR(INDEX('Content Calendar'!$D$5:$D$604,MATCH(B363,'Content Calendar'!$A$5:$A$604,0)),"Not found"))</f>
        <v>0</v>
      </c>
      <c r="F363" s="17">
        <f>IF(B363="","",IFERROR(INDEX('Content Calendar'!$G$5:$G$604,MATCH(B363,'Content Calendar'!$A$5:$A$604,0)),"Not found"))</f>
        <v>0</v>
      </c>
      <c r="G363" s="17">
        <f>IF(B363="","",IFERROR(INDEX('Content Calendar'!$K$5:$K$604,MATCH(B363,'Content Calendar'!$A$5:$A$604,0)),"Not found"))</f>
        <v>0</v>
      </c>
      <c r="H363" s="17">
        <f>IF(B363="","",IFERROR(INDEX('Content Calendar'!$J$5:$J$604,MATCH(B363,'Content Calendar'!$A$5:$A$604,0)),"Not found"))</f>
        <v>0</v>
      </c>
      <c r="I363" s="17">
        <f>IF(B363="","",IFERROR(INDEX('Content Calendar'!$L$5:$L$604,MATCH(B363,'Content Calendar'!$A$5:$A$604,0)),"Not found"))</f>
        <v>0</v>
      </c>
      <c r="J363" s="17">
        <f>IF(B363="","",IFERROR(INDEX('Content Calendar'!$P$5:$P$604,MATCH(B363,'Content Calendar'!$A$5:$A$604,0)),"Not found"))</f>
        <v>0</v>
      </c>
      <c r="K363" s="17">
        <f>IF(B363="","",IFERROR(INDEX('Content Calendar'!$O$5:$O$604,MATCH(B363,'Content Calendar'!$A$5:$A$604,0)),"Not found"))</f>
        <v>0</v>
      </c>
      <c r="L363" s="17">
        <f>IF(B363="","",IFERROR(INDEX('Content Calendar'!$N$5:$N$604,MATCH(B363,'Content Calendar'!$A$5:$A$604,0)),"Not found"))</f>
        <v>0</v>
      </c>
      <c r="M363" s="17">
        <f>IF(B363="","",IFERROR(INDEX('Content Calendar'!$C$5:$C$604,MATCH(B363,'Content Calendar'!$A$5:$A$604,0)),"Not found"))</f>
        <v>0</v>
      </c>
      <c r="N363" s="17">
        <f>IF(B363="","",IFERROR(INDEX('Content Calendar'!$F$5:$F$604,MATCH(B363,'Content Calendar'!$A$5:$A$604,0)),"Not found"))</f>
        <v>0</v>
      </c>
      <c r="Z363" s="23">
        <f>IF(O363="","",N(Q363)+N(R363)+N(S363)+N(T363))</f>
        <v>0</v>
      </c>
      <c r="AA363" s="24">
        <f>IF(OR(O363="",O363=0),"",Z363/O363)</f>
        <v>0</v>
      </c>
      <c r="AB363" s="24">
        <f>IF(OR(O363="",O363=0),"",N(T363)/O363)</f>
        <v>0</v>
      </c>
      <c r="AC363" s="24">
        <f>IF(OR(O363="",O363=0),"",N(S363)/O363)</f>
        <v>0</v>
      </c>
      <c r="AD363" s="24">
        <f>IF(OR(O363="",O363=0),"",N(R363)/O363)</f>
        <v>0</v>
      </c>
      <c r="AE363" s="24">
        <f>IF(OR(O363="",O363=0),"",N(U363)/O363)</f>
        <v>0</v>
      </c>
      <c r="AF363" s="24">
        <f>IF(OR(U363="",U363=0),"",N(W363)/U363)</f>
        <v>0</v>
      </c>
      <c r="AG363" s="25">
        <f>IF(OR(O363="",O363=0),"",N(X363)/(O363/1000))</f>
        <v>0</v>
      </c>
      <c r="AH363" s="24">
        <f>IF(O363="","",IF(Y363="",TargetEngagement,Y363))</f>
        <v>0</v>
      </c>
      <c r="AI363" s="24">
        <f>IF(OR(AA363="",AH363=""),"",AA363-AH363)</f>
        <v>0</v>
      </c>
      <c r="AJ363" s="31">
        <f>IF(AA363="","",AA363+ROW()/1000000)</f>
        <v>0</v>
      </c>
      <c r="AK363" s="23">
        <f>IF(AA363="","",RANK(AJ363,Performance!$AJ$5:$AJ$404))</f>
        <v>0</v>
      </c>
      <c r="AL363" s="29">
        <f>IF(AA363="","",IF(AA363&gt;=AH363*1.5,"Top performer",IF(AA363&gt;=AH363,"Above target",IF(AA363&gt;=AH363*0.6,"Below target","Weak - review it"))))</f>
        <v>0</v>
      </c>
      <c r="AM363" s="29">
        <f>IF(B363="","",IF(COUNTIF(Performance!$B$5:$B$404,B363)&gt;1,"Duplicate","OK"))</f>
        <v>0</v>
      </c>
      <c r="AN363" s="29">
        <f>IF(B363="","",IF(C363="Not found","Check - content ID not on the calendar",IF(O363="","Add - no numbers entered yet",IF(AM363="Duplicate","Duplicate - this post is entered twice",IF(AL363="Top performer","Repurpose this one","OK")))))</f>
        <v>0</v>
      </c>
    </row>
    <row r="364" spans="1:40">
      <c r="A364" s="41">
        <f>IF(B364="","","PF-"&amp;TEXT(ROW()-4,"0000"))</f>
        <v>0</v>
      </c>
      <c r="C364" s="17">
        <f>IF(B364="","",IFERROR(INDEX('Content Calendar'!$H$5:$H$604,MATCH(B364,'Content Calendar'!$A$5:$A$604,0)),"Not found"))</f>
        <v>0</v>
      </c>
      <c r="D364" s="16">
        <f>IF(B364="","",IFERROR(INDEX('Content Calendar'!$B$5:$B$604,MATCH(B364,'Content Calendar'!$A$5:$A$604,0)),"Not found"))</f>
        <v>0</v>
      </c>
      <c r="E364" s="17">
        <f>IF(B364="","",IFERROR(INDEX('Content Calendar'!$D$5:$D$604,MATCH(B364,'Content Calendar'!$A$5:$A$604,0)),"Not found"))</f>
        <v>0</v>
      </c>
      <c r="F364" s="17">
        <f>IF(B364="","",IFERROR(INDEX('Content Calendar'!$G$5:$G$604,MATCH(B364,'Content Calendar'!$A$5:$A$604,0)),"Not found"))</f>
        <v>0</v>
      </c>
      <c r="G364" s="17">
        <f>IF(B364="","",IFERROR(INDEX('Content Calendar'!$K$5:$K$604,MATCH(B364,'Content Calendar'!$A$5:$A$604,0)),"Not found"))</f>
        <v>0</v>
      </c>
      <c r="H364" s="17">
        <f>IF(B364="","",IFERROR(INDEX('Content Calendar'!$J$5:$J$604,MATCH(B364,'Content Calendar'!$A$5:$A$604,0)),"Not found"))</f>
        <v>0</v>
      </c>
      <c r="I364" s="17">
        <f>IF(B364="","",IFERROR(INDEX('Content Calendar'!$L$5:$L$604,MATCH(B364,'Content Calendar'!$A$5:$A$604,0)),"Not found"))</f>
        <v>0</v>
      </c>
      <c r="J364" s="17">
        <f>IF(B364="","",IFERROR(INDEX('Content Calendar'!$P$5:$P$604,MATCH(B364,'Content Calendar'!$A$5:$A$604,0)),"Not found"))</f>
        <v>0</v>
      </c>
      <c r="K364" s="17">
        <f>IF(B364="","",IFERROR(INDEX('Content Calendar'!$O$5:$O$604,MATCH(B364,'Content Calendar'!$A$5:$A$604,0)),"Not found"))</f>
        <v>0</v>
      </c>
      <c r="L364" s="17">
        <f>IF(B364="","",IFERROR(INDEX('Content Calendar'!$N$5:$N$604,MATCH(B364,'Content Calendar'!$A$5:$A$604,0)),"Not found"))</f>
        <v>0</v>
      </c>
      <c r="M364" s="17">
        <f>IF(B364="","",IFERROR(INDEX('Content Calendar'!$C$5:$C$604,MATCH(B364,'Content Calendar'!$A$5:$A$604,0)),"Not found"))</f>
        <v>0</v>
      </c>
      <c r="N364" s="17">
        <f>IF(B364="","",IFERROR(INDEX('Content Calendar'!$F$5:$F$604,MATCH(B364,'Content Calendar'!$A$5:$A$604,0)),"Not found"))</f>
        <v>0</v>
      </c>
      <c r="Z364" s="23">
        <f>IF(O364="","",N(Q364)+N(R364)+N(S364)+N(T364))</f>
        <v>0</v>
      </c>
      <c r="AA364" s="24">
        <f>IF(OR(O364="",O364=0),"",Z364/O364)</f>
        <v>0</v>
      </c>
      <c r="AB364" s="24">
        <f>IF(OR(O364="",O364=0),"",N(T364)/O364)</f>
        <v>0</v>
      </c>
      <c r="AC364" s="24">
        <f>IF(OR(O364="",O364=0),"",N(S364)/O364)</f>
        <v>0</v>
      </c>
      <c r="AD364" s="24">
        <f>IF(OR(O364="",O364=0),"",N(R364)/O364)</f>
        <v>0</v>
      </c>
      <c r="AE364" s="24">
        <f>IF(OR(O364="",O364=0),"",N(U364)/O364)</f>
        <v>0</v>
      </c>
      <c r="AF364" s="24">
        <f>IF(OR(U364="",U364=0),"",N(W364)/U364)</f>
        <v>0</v>
      </c>
      <c r="AG364" s="25">
        <f>IF(OR(O364="",O364=0),"",N(X364)/(O364/1000))</f>
        <v>0</v>
      </c>
      <c r="AH364" s="24">
        <f>IF(O364="","",IF(Y364="",TargetEngagement,Y364))</f>
        <v>0</v>
      </c>
      <c r="AI364" s="24">
        <f>IF(OR(AA364="",AH364=""),"",AA364-AH364)</f>
        <v>0</v>
      </c>
      <c r="AJ364" s="31">
        <f>IF(AA364="","",AA364+ROW()/1000000)</f>
        <v>0</v>
      </c>
      <c r="AK364" s="23">
        <f>IF(AA364="","",RANK(AJ364,Performance!$AJ$5:$AJ$404))</f>
        <v>0</v>
      </c>
      <c r="AL364" s="29">
        <f>IF(AA364="","",IF(AA364&gt;=AH364*1.5,"Top performer",IF(AA364&gt;=AH364,"Above target",IF(AA364&gt;=AH364*0.6,"Below target","Weak - review it"))))</f>
        <v>0</v>
      </c>
      <c r="AM364" s="29">
        <f>IF(B364="","",IF(COUNTIF(Performance!$B$5:$B$404,B364)&gt;1,"Duplicate","OK"))</f>
        <v>0</v>
      </c>
      <c r="AN364" s="29">
        <f>IF(B364="","",IF(C364="Not found","Check - content ID not on the calendar",IF(O364="","Add - no numbers entered yet",IF(AM364="Duplicate","Duplicate - this post is entered twice",IF(AL364="Top performer","Repurpose this one","OK")))))</f>
        <v>0</v>
      </c>
    </row>
    <row r="365" spans="1:40">
      <c r="A365" s="41">
        <f>IF(B365="","","PF-"&amp;TEXT(ROW()-4,"0000"))</f>
        <v>0</v>
      </c>
      <c r="C365" s="17">
        <f>IF(B365="","",IFERROR(INDEX('Content Calendar'!$H$5:$H$604,MATCH(B365,'Content Calendar'!$A$5:$A$604,0)),"Not found"))</f>
        <v>0</v>
      </c>
      <c r="D365" s="16">
        <f>IF(B365="","",IFERROR(INDEX('Content Calendar'!$B$5:$B$604,MATCH(B365,'Content Calendar'!$A$5:$A$604,0)),"Not found"))</f>
        <v>0</v>
      </c>
      <c r="E365" s="17">
        <f>IF(B365="","",IFERROR(INDEX('Content Calendar'!$D$5:$D$604,MATCH(B365,'Content Calendar'!$A$5:$A$604,0)),"Not found"))</f>
        <v>0</v>
      </c>
      <c r="F365" s="17">
        <f>IF(B365="","",IFERROR(INDEX('Content Calendar'!$G$5:$G$604,MATCH(B365,'Content Calendar'!$A$5:$A$604,0)),"Not found"))</f>
        <v>0</v>
      </c>
      <c r="G365" s="17">
        <f>IF(B365="","",IFERROR(INDEX('Content Calendar'!$K$5:$K$604,MATCH(B365,'Content Calendar'!$A$5:$A$604,0)),"Not found"))</f>
        <v>0</v>
      </c>
      <c r="H365" s="17">
        <f>IF(B365="","",IFERROR(INDEX('Content Calendar'!$J$5:$J$604,MATCH(B365,'Content Calendar'!$A$5:$A$604,0)),"Not found"))</f>
        <v>0</v>
      </c>
      <c r="I365" s="17">
        <f>IF(B365="","",IFERROR(INDEX('Content Calendar'!$L$5:$L$604,MATCH(B365,'Content Calendar'!$A$5:$A$604,0)),"Not found"))</f>
        <v>0</v>
      </c>
      <c r="J365" s="17">
        <f>IF(B365="","",IFERROR(INDEX('Content Calendar'!$P$5:$P$604,MATCH(B365,'Content Calendar'!$A$5:$A$604,0)),"Not found"))</f>
        <v>0</v>
      </c>
      <c r="K365" s="17">
        <f>IF(B365="","",IFERROR(INDEX('Content Calendar'!$O$5:$O$604,MATCH(B365,'Content Calendar'!$A$5:$A$604,0)),"Not found"))</f>
        <v>0</v>
      </c>
      <c r="L365" s="17">
        <f>IF(B365="","",IFERROR(INDEX('Content Calendar'!$N$5:$N$604,MATCH(B365,'Content Calendar'!$A$5:$A$604,0)),"Not found"))</f>
        <v>0</v>
      </c>
      <c r="M365" s="17">
        <f>IF(B365="","",IFERROR(INDEX('Content Calendar'!$C$5:$C$604,MATCH(B365,'Content Calendar'!$A$5:$A$604,0)),"Not found"))</f>
        <v>0</v>
      </c>
      <c r="N365" s="17">
        <f>IF(B365="","",IFERROR(INDEX('Content Calendar'!$F$5:$F$604,MATCH(B365,'Content Calendar'!$A$5:$A$604,0)),"Not found"))</f>
        <v>0</v>
      </c>
      <c r="Z365" s="23">
        <f>IF(O365="","",N(Q365)+N(R365)+N(S365)+N(T365))</f>
        <v>0</v>
      </c>
      <c r="AA365" s="24">
        <f>IF(OR(O365="",O365=0),"",Z365/O365)</f>
        <v>0</v>
      </c>
      <c r="AB365" s="24">
        <f>IF(OR(O365="",O365=0),"",N(T365)/O365)</f>
        <v>0</v>
      </c>
      <c r="AC365" s="24">
        <f>IF(OR(O365="",O365=0),"",N(S365)/O365)</f>
        <v>0</v>
      </c>
      <c r="AD365" s="24">
        <f>IF(OR(O365="",O365=0),"",N(R365)/O365)</f>
        <v>0</v>
      </c>
      <c r="AE365" s="24">
        <f>IF(OR(O365="",O365=0),"",N(U365)/O365)</f>
        <v>0</v>
      </c>
      <c r="AF365" s="24">
        <f>IF(OR(U365="",U365=0),"",N(W365)/U365)</f>
        <v>0</v>
      </c>
      <c r="AG365" s="25">
        <f>IF(OR(O365="",O365=0),"",N(X365)/(O365/1000))</f>
        <v>0</v>
      </c>
      <c r="AH365" s="24">
        <f>IF(O365="","",IF(Y365="",TargetEngagement,Y365))</f>
        <v>0</v>
      </c>
      <c r="AI365" s="24">
        <f>IF(OR(AA365="",AH365=""),"",AA365-AH365)</f>
        <v>0</v>
      </c>
      <c r="AJ365" s="31">
        <f>IF(AA365="","",AA365+ROW()/1000000)</f>
        <v>0</v>
      </c>
      <c r="AK365" s="23">
        <f>IF(AA365="","",RANK(AJ365,Performance!$AJ$5:$AJ$404))</f>
        <v>0</v>
      </c>
      <c r="AL365" s="29">
        <f>IF(AA365="","",IF(AA365&gt;=AH365*1.5,"Top performer",IF(AA365&gt;=AH365,"Above target",IF(AA365&gt;=AH365*0.6,"Below target","Weak - review it"))))</f>
        <v>0</v>
      </c>
      <c r="AM365" s="29">
        <f>IF(B365="","",IF(COUNTIF(Performance!$B$5:$B$404,B365)&gt;1,"Duplicate","OK"))</f>
        <v>0</v>
      </c>
      <c r="AN365" s="29">
        <f>IF(B365="","",IF(C365="Not found","Check - content ID not on the calendar",IF(O365="","Add - no numbers entered yet",IF(AM365="Duplicate","Duplicate - this post is entered twice",IF(AL365="Top performer","Repurpose this one","OK")))))</f>
        <v>0</v>
      </c>
    </row>
    <row r="366" spans="1:40">
      <c r="A366" s="41">
        <f>IF(B366="","","PF-"&amp;TEXT(ROW()-4,"0000"))</f>
        <v>0</v>
      </c>
      <c r="C366" s="17">
        <f>IF(B366="","",IFERROR(INDEX('Content Calendar'!$H$5:$H$604,MATCH(B366,'Content Calendar'!$A$5:$A$604,0)),"Not found"))</f>
        <v>0</v>
      </c>
      <c r="D366" s="16">
        <f>IF(B366="","",IFERROR(INDEX('Content Calendar'!$B$5:$B$604,MATCH(B366,'Content Calendar'!$A$5:$A$604,0)),"Not found"))</f>
        <v>0</v>
      </c>
      <c r="E366" s="17">
        <f>IF(B366="","",IFERROR(INDEX('Content Calendar'!$D$5:$D$604,MATCH(B366,'Content Calendar'!$A$5:$A$604,0)),"Not found"))</f>
        <v>0</v>
      </c>
      <c r="F366" s="17">
        <f>IF(B366="","",IFERROR(INDEX('Content Calendar'!$G$5:$G$604,MATCH(B366,'Content Calendar'!$A$5:$A$604,0)),"Not found"))</f>
        <v>0</v>
      </c>
      <c r="G366" s="17">
        <f>IF(B366="","",IFERROR(INDEX('Content Calendar'!$K$5:$K$604,MATCH(B366,'Content Calendar'!$A$5:$A$604,0)),"Not found"))</f>
        <v>0</v>
      </c>
      <c r="H366" s="17">
        <f>IF(B366="","",IFERROR(INDEX('Content Calendar'!$J$5:$J$604,MATCH(B366,'Content Calendar'!$A$5:$A$604,0)),"Not found"))</f>
        <v>0</v>
      </c>
      <c r="I366" s="17">
        <f>IF(B366="","",IFERROR(INDEX('Content Calendar'!$L$5:$L$604,MATCH(B366,'Content Calendar'!$A$5:$A$604,0)),"Not found"))</f>
        <v>0</v>
      </c>
      <c r="J366" s="17">
        <f>IF(B366="","",IFERROR(INDEX('Content Calendar'!$P$5:$P$604,MATCH(B366,'Content Calendar'!$A$5:$A$604,0)),"Not found"))</f>
        <v>0</v>
      </c>
      <c r="K366" s="17">
        <f>IF(B366="","",IFERROR(INDEX('Content Calendar'!$O$5:$O$604,MATCH(B366,'Content Calendar'!$A$5:$A$604,0)),"Not found"))</f>
        <v>0</v>
      </c>
      <c r="L366" s="17">
        <f>IF(B366="","",IFERROR(INDEX('Content Calendar'!$N$5:$N$604,MATCH(B366,'Content Calendar'!$A$5:$A$604,0)),"Not found"))</f>
        <v>0</v>
      </c>
      <c r="M366" s="17">
        <f>IF(B366="","",IFERROR(INDEX('Content Calendar'!$C$5:$C$604,MATCH(B366,'Content Calendar'!$A$5:$A$604,0)),"Not found"))</f>
        <v>0</v>
      </c>
      <c r="N366" s="17">
        <f>IF(B366="","",IFERROR(INDEX('Content Calendar'!$F$5:$F$604,MATCH(B366,'Content Calendar'!$A$5:$A$604,0)),"Not found"))</f>
        <v>0</v>
      </c>
      <c r="Z366" s="23">
        <f>IF(O366="","",N(Q366)+N(R366)+N(S366)+N(T366))</f>
        <v>0</v>
      </c>
      <c r="AA366" s="24">
        <f>IF(OR(O366="",O366=0),"",Z366/O366)</f>
        <v>0</v>
      </c>
      <c r="AB366" s="24">
        <f>IF(OR(O366="",O366=0),"",N(T366)/O366)</f>
        <v>0</v>
      </c>
      <c r="AC366" s="24">
        <f>IF(OR(O366="",O366=0),"",N(S366)/O366)</f>
        <v>0</v>
      </c>
      <c r="AD366" s="24">
        <f>IF(OR(O366="",O366=0),"",N(R366)/O366)</f>
        <v>0</v>
      </c>
      <c r="AE366" s="24">
        <f>IF(OR(O366="",O366=0),"",N(U366)/O366)</f>
        <v>0</v>
      </c>
      <c r="AF366" s="24">
        <f>IF(OR(U366="",U366=0),"",N(W366)/U366)</f>
        <v>0</v>
      </c>
      <c r="AG366" s="25">
        <f>IF(OR(O366="",O366=0),"",N(X366)/(O366/1000))</f>
        <v>0</v>
      </c>
      <c r="AH366" s="24">
        <f>IF(O366="","",IF(Y366="",TargetEngagement,Y366))</f>
        <v>0</v>
      </c>
      <c r="AI366" s="24">
        <f>IF(OR(AA366="",AH366=""),"",AA366-AH366)</f>
        <v>0</v>
      </c>
      <c r="AJ366" s="31">
        <f>IF(AA366="","",AA366+ROW()/1000000)</f>
        <v>0</v>
      </c>
      <c r="AK366" s="23">
        <f>IF(AA366="","",RANK(AJ366,Performance!$AJ$5:$AJ$404))</f>
        <v>0</v>
      </c>
      <c r="AL366" s="29">
        <f>IF(AA366="","",IF(AA366&gt;=AH366*1.5,"Top performer",IF(AA366&gt;=AH366,"Above target",IF(AA366&gt;=AH366*0.6,"Below target","Weak - review it"))))</f>
        <v>0</v>
      </c>
      <c r="AM366" s="29">
        <f>IF(B366="","",IF(COUNTIF(Performance!$B$5:$B$404,B366)&gt;1,"Duplicate","OK"))</f>
        <v>0</v>
      </c>
      <c r="AN366" s="29">
        <f>IF(B366="","",IF(C366="Not found","Check - content ID not on the calendar",IF(O366="","Add - no numbers entered yet",IF(AM366="Duplicate","Duplicate - this post is entered twice",IF(AL366="Top performer","Repurpose this one","OK")))))</f>
        <v>0</v>
      </c>
    </row>
    <row r="367" spans="1:40">
      <c r="A367" s="41">
        <f>IF(B367="","","PF-"&amp;TEXT(ROW()-4,"0000"))</f>
        <v>0</v>
      </c>
      <c r="C367" s="17">
        <f>IF(B367="","",IFERROR(INDEX('Content Calendar'!$H$5:$H$604,MATCH(B367,'Content Calendar'!$A$5:$A$604,0)),"Not found"))</f>
        <v>0</v>
      </c>
      <c r="D367" s="16">
        <f>IF(B367="","",IFERROR(INDEX('Content Calendar'!$B$5:$B$604,MATCH(B367,'Content Calendar'!$A$5:$A$604,0)),"Not found"))</f>
        <v>0</v>
      </c>
      <c r="E367" s="17">
        <f>IF(B367="","",IFERROR(INDEX('Content Calendar'!$D$5:$D$604,MATCH(B367,'Content Calendar'!$A$5:$A$604,0)),"Not found"))</f>
        <v>0</v>
      </c>
      <c r="F367" s="17">
        <f>IF(B367="","",IFERROR(INDEX('Content Calendar'!$G$5:$G$604,MATCH(B367,'Content Calendar'!$A$5:$A$604,0)),"Not found"))</f>
        <v>0</v>
      </c>
      <c r="G367" s="17">
        <f>IF(B367="","",IFERROR(INDEX('Content Calendar'!$K$5:$K$604,MATCH(B367,'Content Calendar'!$A$5:$A$604,0)),"Not found"))</f>
        <v>0</v>
      </c>
      <c r="H367" s="17">
        <f>IF(B367="","",IFERROR(INDEX('Content Calendar'!$J$5:$J$604,MATCH(B367,'Content Calendar'!$A$5:$A$604,0)),"Not found"))</f>
        <v>0</v>
      </c>
      <c r="I367" s="17">
        <f>IF(B367="","",IFERROR(INDEX('Content Calendar'!$L$5:$L$604,MATCH(B367,'Content Calendar'!$A$5:$A$604,0)),"Not found"))</f>
        <v>0</v>
      </c>
      <c r="J367" s="17">
        <f>IF(B367="","",IFERROR(INDEX('Content Calendar'!$P$5:$P$604,MATCH(B367,'Content Calendar'!$A$5:$A$604,0)),"Not found"))</f>
        <v>0</v>
      </c>
      <c r="K367" s="17">
        <f>IF(B367="","",IFERROR(INDEX('Content Calendar'!$O$5:$O$604,MATCH(B367,'Content Calendar'!$A$5:$A$604,0)),"Not found"))</f>
        <v>0</v>
      </c>
      <c r="L367" s="17">
        <f>IF(B367="","",IFERROR(INDEX('Content Calendar'!$N$5:$N$604,MATCH(B367,'Content Calendar'!$A$5:$A$604,0)),"Not found"))</f>
        <v>0</v>
      </c>
      <c r="M367" s="17">
        <f>IF(B367="","",IFERROR(INDEX('Content Calendar'!$C$5:$C$604,MATCH(B367,'Content Calendar'!$A$5:$A$604,0)),"Not found"))</f>
        <v>0</v>
      </c>
      <c r="N367" s="17">
        <f>IF(B367="","",IFERROR(INDEX('Content Calendar'!$F$5:$F$604,MATCH(B367,'Content Calendar'!$A$5:$A$604,0)),"Not found"))</f>
        <v>0</v>
      </c>
      <c r="Z367" s="23">
        <f>IF(O367="","",N(Q367)+N(R367)+N(S367)+N(T367))</f>
        <v>0</v>
      </c>
      <c r="AA367" s="24">
        <f>IF(OR(O367="",O367=0),"",Z367/O367)</f>
        <v>0</v>
      </c>
      <c r="AB367" s="24">
        <f>IF(OR(O367="",O367=0),"",N(T367)/O367)</f>
        <v>0</v>
      </c>
      <c r="AC367" s="24">
        <f>IF(OR(O367="",O367=0),"",N(S367)/O367)</f>
        <v>0</v>
      </c>
      <c r="AD367" s="24">
        <f>IF(OR(O367="",O367=0),"",N(R367)/O367)</f>
        <v>0</v>
      </c>
      <c r="AE367" s="24">
        <f>IF(OR(O367="",O367=0),"",N(U367)/O367)</f>
        <v>0</v>
      </c>
      <c r="AF367" s="24">
        <f>IF(OR(U367="",U367=0),"",N(W367)/U367)</f>
        <v>0</v>
      </c>
      <c r="AG367" s="25">
        <f>IF(OR(O367="",O367=0),"",N(X367)/(O367/1000))</f>
        <v>0</v>
      </c>
      <c r="AH367" s="24">
        <f>IF(O367="","",IF(Y367="",TargetEngagement,Y367))</f>
        <v>0</v>
      </c>
      <c r="AI367" s="24">
        <f>IF(OR(AA367="",AH367=""),"",AA367-AH367)</f>
        <v>0</v>
      </c>
      <c r="AJ367" s="31">
        <f>IF(AA367="","",AA367+ROW()/1000000)</f>
        <v>0</v>
      </c>
      <c r="AK367" s="23">
        <f>IF(AA367="","",RANK(AJ367,Performance!$AJ$5:$AJ$404))</f>
        <v>0</v>
      </c>
      <c r="AL367" s="29">
        <f>IF(AA367="","",IF(AA367&gt;=AH367*1.5,"Top performer",IF(AA367&gt;=AH367,"Above target",IF(AA367&gt;=AH367*0.6,"Below target","Weak - review it"))))</f>
        <v>0</v>
      </c>
      <c r="AM367" s="29">
        <f>IF(B367="","",IF(COUNTIF(Performance!$B$5:$B$404,B367)&gt;1,"Duplicate","OK"))</f>
        <v>0</v>
      </c>
      <c r="AN367" s="29">
        <f>IF(B367="","",IF(C367="Not found","Check - content ID not on the calendar",IF(O367="","Add - no numbers entered yet",IF(AM367="Duplicate","Duplicate - this post is entered twice",IF(AL367="Top performer","Repurpose this one","OK")))))</f>
        <v>0</v>
      </c>
    </row>
    <row r="368" spans="1:40">
      <c r="A368" s="41">
        <f>IF(B368="","","PF-"&amp;TEXT(ROW()-4,"0000"))</f>
        <v>0</v>
      </c>
      <c r="C368" s="17">
        <f>IF(B368="","",IFERROR(INDEX('Content Calendar'!$H$5:$H$604,MATCH(B368,'Content Calendar'!$A$5:$A$604,0)),"Not found"))</f>
        <v>0</v>
      </c>
      <c r="D368" s="16">
        <f>IF(B368="","",IFERROR(INDEX('Content Calendar'!$B$5:$B$604,MATCH(B368,'Content Calendar'!$A$5:$A$604,0)),"Not found"))</f>
        <v>0</v>
      </c>
      <c r="E368" s="17">
        <f>IF(B368="","",IFERROR(INDEX('Content Calendar'!$D$5:$D$604,MATCH(B368,'Content Calendar'!$A$5:$A$604,0)),"Not found"))</f>
        <v>0</v>
      </c>
      <c r="F368" s="17">
        <f>IF(B368="","",IFERROR(INDEX('Content Calendar'!$G$5:$G$604,MATCH(B368,'Content Calendar'!$A$5:$A$604,0)),"Not found"))</f>
        <v>0</v>
      </c>
      <c r="G368" s="17">
        <f>IF(B368="","",IFERROR(INDEX('Content Calendar'!$K$5:$K$604,MATCH(B368,'Content Calendar'!$A$5:$A$604,0)),"Not found"))</f>
        <v>0</v>
      </c>
      <c r="H368" s="17">
        <f>IF(B368="","",IFERROR(INDEX('Content Calendar'!$J$5:$J$604,MATCH(B368,'Content Calendar'!$A$5:$A$604,0)),"Not found"))</f>
        <v>0</v>
      </c>
      <c r="I368" s="17">
        <f>IF(B368="","",IFERROR(INDEX('Content Calendar'!$L$5:$L$604,MATCH(B368,'Content Calendar'!$A$5:$A$604,0)),"Not found"))</f>
        <v>0</v>
      </c>
      <c r="J368" s="17">
        <f>IF(B368="","",IFERROR(INDEX('Content Calendar'!$P$5:$P$604,MATCH(B368,'Content Calendar'!$A$5:$A$604,0)),"Not found"))</f>
        <v>0</v>
      </c>
      <c r="K368" s="17">
        <f>IF(B368="","",IFERROR(INDEX('Content Calendar'!$O$5:$O$604,MATCH(B368,'Content Calendar'!$A$5:$A$604,0)),"Not found"))</f>
        <v>0</v>
      </c>
      <c r="L368" s="17">
        <f>IF(B368="","",IFERROR(INDEX('Content Calendar'!$N$5:$N$604,MATCH(B368,'Content Calendar'!$A$5:$A$604,0)),"Not found"))</f>
        <v>0</v>
      </c>
      <c r="M368" s="17">
        <f>IF(B368="","",IFERROR(INDEX('Content Calendar'!$C$5:$C$604,MATCH(B368,'Content Calendar'!$A$5:$A$604,0)),"Not found"))</f>
        <v>0</v>
      </c>
      <c r="N368" s="17">
        <f>IF(B368="","",IFERROR(INDEX('Content Calendar'!$F$5:$F$604,MATCH(B368,'Content Calendar'!$A$5:$A$604,0)),"Not found"))</f>
        <v>0</v>
      </c>
      <c r="Z368" s="23">
        <f>IF(O368="","",N(Q368)+N(R368)+N(S368)+N(T368))</f>
        <v>0</v>
      </c>
      <c r="AA368" s="24">
        <f>IF(OR(O368="",O368=0),"",Z368/O368)</f>
        <v>0</v>
      </c>
      <c r="AB368" s="24">
        <f>IF(OR(O368="",O368=0),"",N(T368)/O368)</f>
        <v>0</v>
      </c>
      <c r="AC368" s="24">
        <f>IF(OR(O368="",O368=0),"",N(S368)/O368)</f>
        <v>0</v>
      </c>
      <c r="AD368" s="24">
        <f>IF(OR(O368="",O368=0),"",N(R368)/O368)</f>
        <v>0</v>
      </c>
      <c r="AE368" s="24">
        <f>IF(OR(O368="",O368=0),"",N(U368)/O368)</f>
        <v>0</v>
      </c>
      <c r="AF368" s="24">
        <f>IF(OR(U368="",U368=0),"",N(W368)/U368)</f>
        <v>0</v>
      </c>
      <c r="AG368" s="25">
        <f>IF(OR(O368="",O368=0),"",N(X368)/(O368/1000))</f>
        <v>0</v>
      </c>
      <c r="AH368" s="24">
        <f>IF(O368="","",IF(Y368="",TargetEngagement,Y368))</f>
        <v>0</v>
      </c>
      <c r="AI368" s="24">
        <f>IF(OR(AA368="",AH368=""),"",AA368-AH368)</f>
        <v>0</v>
      </c>
      <c r="AJ368" s="31">
        <f>IF(AA368="","",AA368+ROW()/1000000)</f>
        <v>0</v>
      </c>
      <c r="AK368" s="23">
        <f>IF(AA368="","",RANK(AJ368,Performance!$AJ$5:$AJ$404))</f>
        <v>0</v>
      </c>
      <c r="AL368" s="29">
        <f>IF(AA368="","",IF(AA368&gt;=AH368*1.5,"Top performer",IF(AA368&gt;=AH368,"Above target",IF(AA368&gt;=AH368*0.6,"Below target","Weak - review it"))))</f>
        <v>0</v>
      </c>
      <c r="AM368" s="29">
        <f>IF(B368="","",IF(COUNTIF(Performance!$B$5:$B$404,B368)&gt;1,"Duplicate","OK"))</f>
        <v>0</v>
      </c>
      <c r="AN368" s="29">
        <f>IF(B368="","",IF(C368="Not found","Check - content ID not on the calendar",IF(O368="","Add - no numbers entered yet",IF(AM368="Duplicate","Duplicate - this post is entered twice",IF(AL368="Top performer","Repurpose this one","OK")))))</f>
        <v>0</v>
      </c>
    </row>
    <row r="369" spans="1:40">
      <c r="A369" s="41">
        <f>IF(B369="","","PF-"&amp;TEXT(ROW()-4,"0000"))</f>
        <v>0</v>
      </c>
      <c r="C369" s="17">
        <f>IF(B369="","",IFERROR(INDEX('Content Calendar'!$H$5:$H$604,MATCH(B369,'Content Calendar'!$A$5:$A$604,0)),"Not found"))</f>
        <v>0</v>
      </c>
      <c r="D369" s="16">
        <f>IF(B369="","",IFERROR(INDEX('Content Calendar'!$B$5:$B$604,MATCH(B369,'Content Calendar'!$A$5:$A$604,0)),"Not found"))</f>
        <v>0</v>
      </c>
      <c r="E369" s="17">
        <f>IF(B369="","",IFERROR(INDEX('Content Calendar'!$D$5:$D$604,MATCH(B369,'Content Calendar'!$A$5:$A$604,0)),"Not found"))</f>
        <v>0</v>
      </c>
      <c r="F369" s="17">
        <f>IF(B369="","",IFERROR(INDEX('Content Calendar'!$G$5:$G$604,MATCH(B369,'Content Calendar'!$A$5:$A$604,0)),"Not found"))</f>
        <v>0</v>
      </c>
      <c r="G369" s="17">
        <f>IF(B369="","",IFERROR(INDEX('Content Calendar'!$K$5:$K$604,MATCH(B369,'Content Calendar'!$A$5:$A$604,0)),"Not found"))</f>
        <v>0</v>
      </c>
      <c r="H369" s="17">
        <f>IF(B369="","",IFERROR(INDEX('Content Calendar'!$J$5:$J$604,MATCH(B369,'Content Calendar'!$A$5:$A$604,0)),"Not found"))</f>
        <v>0</v>
      </c>
      <c r="I369" s="17">
        <f>IF(B369="","",IFERROR(INDEX('Content Calendar'!$L$5:$L$604,MATCH(B369,'Content Calendar'!$A$5:$A$604,0)),"Not found"))</f>
        <v>0</v>
      </c>
      <c r="J369" s="17">
        <f>IF(B369="","",IFERROR(INDEX('Content Calendar'!$P$5:$P$604,MATCH(B369,'Content Calendar'!$A$5:$A$604,0)),"Not found"))</f>
        <v>0</v>
      </c>
      <c r="K369" s="17">
        <f>IF(B369="","",IFERROR(INDEX('Content Calendar'!$O$5:$O$604,MATCH(B369,'Content Calendar'!$A$5:$A$604,0)),"Not found"))</f>
        <v>0</v>
      </c>
      <c r="L369" s="17">
        <f>IF(B369="","",IFERROR(INDEX('Content Calendar'!$N$5:$N$604,MATCH(B369,'Content Calendar'!$A$5:$A$604,0)),"Not found"))</f>
        <v>0</v>
      </c>
      <c r="M369" s="17">
        <f>IF(B369="","",IFERROR(INDEX('Content Calendar'!$C$5:$C$604,MATCH(B369,'Content Calendar'!$A$5:$A$604,0)),"Not found"))</f>
        <v>0</v>
      </c>
      <c r="N369" s="17">
        <f>IF(B369="","",IFERROR(INDEX('Content Calendar'!$F$5:$F$604,MATCH(B369,'Content Calendar'!$A$5:$A$604,0)),"Not found"))</f>
        <v>0</v>
      </c>
      <c r="Z369" s="23">
        <f>IF(O369="","",N(Q369)+N(R369)+N(S369)+N(T369))</f>
        <v>0</v>
      </c>
      <c r="AA369" s="24">
        <f>IF(OR(O369="",O369=0),"",Z369/O369)</f>
        <v>0</v>
      </c>
      <c r="AB369" s="24">
        <f>IF(OR(O369="",O369=0),"",N(T369)/O369)</f>
        <v>0</v>
      </c>
      <c r="AC369" s="24">
        <f>IF(OR(O369="",O369=0),"",N(S369)/O369)</f>
        <v>0</v>
      </c>
      <c r="AD369" s="24">
        <f>IF(OR(O369="",O369=0),"",N(R369)/O369)</f>
        <v>0</v>
      </c>
      <c r="AE369" s="24">
        <f>IF(OR(O369="",O369=0),"",N(U369)/O369)</f>
        <v>0</v>
      </c>
      <c r="AF369" s="24">
        <f>IF(OR(U369="",U369=0),"",N(W369)/U369)</f>
        <v>0</v>
      </c>
      <c r="AG369" s="25">
        <f>IF(OR(O369="",O369=0),"",N(X369)/(O369/1000))</f>
        <v>0</v>
      </c>
      <c r="AH369" s="24">
        <f>IF(O369="","",IF(Y369="",TargetEngagement,Y369))</f>
        <v>0</v>
      </c>
      <c r="AI369" s="24">
        <f>IF(OR(AA369="",AH369=""),"",AA369-AH369)</f>
        <v>0</v>
      </c>
      <c r="AJ369" s="31">
        <f>IF(AA369="","",AA369+ROW()/1000000)</f>
        <v>0</v>
      </c>
      <c r="AK369" s="23">
        <f>IF(AA369="","",RANK(AJ369,Performance!$AJ$5:$AJ$404))</f>
        <v>0</v>
      </c>
      <c r="AL369" s="29">
        <f>IF(AA369="","",IF(AA369&gt;=AH369*1.5,"Top performer",IF(AA369&gt;=AH369,"Above target",IF(AA369&gt;=AH369*0.6,"Below target","Weak - review it"))))</f>
        <v>0</v>
      </c>
      <c r="AM369" s="29">
        <f>IF(B369="","",IF(COUNTIF(Performance!$B$5:$B$404,B369)&gt;1,"Duplicate","OK"))</f>
        <v>0</v>
      </c>
      <c r="AN369" s="29">
        <f>IF(B369="","",IF(C369="Not found","Check - content ID not on the calendar",IF(O369="","Add - no numbers entered yet",IF(AM369="Duplicate","Duplicate - this post is entered twice",IF(AL369="Top performer","Repurpose this one","OK")))))</f>
        <v>0</v>
      </c>
    </row>
    <row r="370" spans="1:40">
      <c r="A370" s="41">
        <f>IF(B370="","","PF-"&amp;TEXT(ROW()-4,"0000"))</f>
        <v>0</v>
      </c>
      <c r="C370" s="17">
        <f>IF(B370="","",IFERROR(INDEX('Content Calendar'!$H$5:$H$604,MATCH(B370,'Content Calendar'!$A$5:$A$604,0)),"Not found"))</f>
        <v>0</v>
      </c>
      <c r="D370" s="16">
        <f>IF(B370="","",IFERROR(INDEX('Content Calendar'!$B$5:$B$604,MATCH(B370,'Content Calendar'!$A$5:$A$604,0)),"Not found"))</f>
        <v>0</v>
      </c>
      <c r="E370" s="17">
        <f>IF(B370="","",IFERROR(INDEX('Content Calendar'!$D$5:$D$604,MATCH(B370,'Content Calendar'!$A$5:$A$604,0)),"Not found"))</f>
        <v>0</v>
      </c>
      <c r="F370" s="17">
        <f>IF(B370="","",IFERROR(INDEX('Content Calendar'!$G$5:$G$604,MATCH(B370,'Content Calendar'!$A$5:$A$604,0)),"Not found"))</f>
        <v>0</v>
      </c>
      <c r="G370" s="17">
        <f>IF(B370="","",IFERROR(INDEX('Content Calendar'!$K$5:$K$604,MATCH(B370,'Content Calendar'!$A$5:$A$604,0)),"Not found"))</f>
        <v>0</v>
      </c>
      <c r="H370" s="17">
        <f>IF(B370="","",IFERROR(INDEX('Content Calendar'!$J$5:$J$604,MATCH(B370,'Content Calendar'!$A$5:$A$604,0)),"Not found"))</f>
        <v>0</v>
      </c>
      <c r="I370" s="17">
        <f>IF(B370="","",IFERROR(INDEX('Content Calendar'!$L$5:$L$604,MATCH(B370,'Content Calendar'!$A$5:$A$604,0)),"Not found"))</f>
        <v>0</v>
      </c>
      <c r="J370" s="17">
        <f>IF(B370="","",IFERROR(INDEX('Content Calendar'!$P$5:$P$604,MATCH(B370,'Content Calendar'!$A$5:$A$604,0)),"Not found"))</f>
        <v>0</v>
      </c>
      <c r="K370" s="17">
        <f>IF(B370="","",IFERROR(INDEX('Content Calendar'!$O$5:$O$604,MATCH(B370,'Content Calendar'!$A$5:$A$604,0)),"Not found"))</f>
        <v>0</v>
      </c>
      <c r="L370" s="17">
        <f>IF(B370="","",IFERROR(INDEX('Content Calendar'!$N$5:$N$604,MATCH(B370,'Content Calendar'!$A$5:$A$604,0)),"Not found"))</f>
        <v>0</v>
      </c>
      <c r="M370" s="17">
        <f>IF(B370="","",IFERROR(INDEX('Content Calendar'!$C$5:$C$604,MATCH(B370,'Content Calendar'!$A$5:$A$604,0)),"Not found"))</f>
        <v>0</v>
      </c>
      <c r="N370" s="17">
        <f>IF(B370="","",IFERROR(INDEX('Content Calendar'!$F$5:$F$604,MATCH(B370,'Content Calendar'!$A$5:$A$604,0)),"Not found"))</f>
        <v>0</v>
      </c>
      <c r="Z370" s="23">
        <f>IF(O370="","",N(Q370)+N(R370)+N(S370)+N(T370))</f>
        <v>0</v>
      </c>
      <c r="AA370" s="24">
        <f>IF(OR(O370="",O370=0),"",Z370/O370)</f>
        <v>0</v>
      </c>
      <c r="AB370" s="24">
        <f>IF(OR(O370="",O370=0),"",N(T370)/O370)</f>
        <v>0</v>
      </c>
      <c r="AC370" s="24">
        <f>IF(OR(O370="",O370=0),"",N(S370)/O370)</f>
        <v>0</v>
      </c>
      <c r="AD370" s="24">
        <f>IF(OR(O370="",O370=0),"",N(R370)/O370)</f>
        <v>0</v>
      </c>
      <c r="AE370" s="24">
        <f>IF(OR(O370="",O370=0),"",N(U370)/O370)</f>
        <v>0</v>
      </c>
      <c r="AF370" s="24">
        <f>IF(OR(U370="",U370=0),"",N(W370)/U370)</f>
        <v>0</v>
      </c>
      <c r="AG370" s="25">
        <f>IF(OR(O370="",O370=0),"",N(X370)/(O370/1000))</f>
        <v>0</v>
      </c>
      <c r="AH370" s="24">
        <f>IF(O370="","",IF(Y370="",TargetEngagement,Y370))</f>
        <v>0</v>
      </c>
      <c r="AI370" s="24">
        <f>IF(OR(AA370="",AH370=""),"",AA370-AH370)</f>
        <v>0</v>
      </c>
      <c r="AJ370" s="31">
        <f>IF(AA370="","",AA370+ROW()/1000000)</f>
        <v>0</v>
      </c>
      <c r="AK370" s="23">
        <f>IF(AA370="","",RANK(AJ370,Performance!$AJ$5:$AJ$404))</f>
        <v>0</v>
      </c>
      <c r="AL370" s="29">
        <f>IF(AA370="","",IF(AA370&gt;=AH370*1.5,"Top performer",IF(AA370&gt;=AH370,"Above target",IF(AA370&gt;=AH370*0.6,"Below target","Weak - review it"))))</f>
        <v>0</v>
      </c>
      <c r="AM370" s="29">
        <f>IF(B370="","",IF(COUNTIF(Performance!$B$5:$B$404,B370)&gt;1,"Duplicate","OK"))</f>
        <v>0</v>
      </c>
      <c r="AN370" s="29">
        <f>IF(B370="","",IF(C370="Not found","Check - content ID not on the calendar",IF(O370="","Add - no numbers entered yet",IF(AM370="Duplicate","Duplicate - this post is entered twice",IF(AL370="Top performer","Repurpose this one","OK")))))</f>
        <v>0</v>
      </c>
    </row>
    <row r="371" spans="1:40">
      <c r="A371" s="41">
        <f>IF(B371="","","PF-"&amp;TEXT(ROW()-4,"0000"))</f>
        <v>0</v>
      </c>
      <c r="C371" s="17">
        <f>IF(B371="","",IFERROR(INDEX('Content Calendar'!$H$5:$H$604,MATCH(B371,'Content Calendar'!$A$5:$A$604,0)),"Not found"))</f>
        <v>0</v>
      </c>
      <c r="D371" s="16">
        <f>IF(B371="","",IFERROR(INDEX('Content Calendar'!$B$5:$B$604,MATCH(B371,'Content Calendar'!$A$5:$A$604,0)),"Not found"))</f>
        <v>0</v>
      </c>
      <c r="E371" s="17">
        <f>IF(B371="","",IFERROR(INDEX('Content Calendar'!$D$5:$D$604,MATCH(B371,'Content Calendar'!$A$5:$A$604,0)),"Not found"))</f>
        <v>0</v>
      </c>
      <c r="F371" s="17">
        <f>IF(B371="","",IFERROR(INDEX('Content Calendar'!$G$5:$G$604,MATCH(B371,'Content Calendar'!$A$5:$A$604,0)),"Not found"))</f>
        <v>0</v>
      </c>
      <c r="G371" s="17">
        <f>IF(B371="","",IFERROR(INDEX('Content Calendar'!$K$5:$K$604,MATCH(B371,'Content Calendar'!$A$5:$A$604,0)),"Not found"))</f>
        <v>0</v>
      </c>
      <c r="H371" s="17">
        <f>IF(B371="","",IFERROR(INDEX('Content Calendar'!$J$5:$J$604,MATCH(B371,'Content Calendar'!$A$5:$A$604,0)),"Not found"))</f>
        <v>0</v>
      </c>
      <c r="I371" s="17">
        <f>IF(B371="","",IFERROR(INDEX('Content Calendar'!$L$5:$L$604,MATCH(B371,'Content Calendar'!$A$5:$A$604,0)),"Not found"))</f>
        <v>0</v>
      </c>
      <c r="J371" s="17">
        <f>IF(B371="","",IFERROR(INDEX('Content Calendar'!$P$5:$P$604,MATCH(B371,'Content Calendar'!$A$5:$A$604,0)),"Not found"))</f>
        <v>0</v>
      </c>
      <c r="K371" s="17">
        <f>IF(B371="","",IFERROR(INDEX('Content Calendar'!$O$5:$O$604,MATCH(B371,'Content Calendar'!$A$5:$A$604,0)),"Not found"))</f>
        <v>0</v>
      </c>
      <c r="L371" s="17">
        <f>IF(B371="","",IFERROR(INDEX('Content Calendar'!$N$5:$N$604,MATCH(B371,'Content Calendar'!$A$5:$A$604,0)),"Not found"))</f>
        <v>0</v>
      </c>
      <c r="M371" s="17">
        <f>IF(B371="","",IFERROR(INDEX('Content Calendar'!$C$5:$C$604,MATCH(B371,'Content Calendar'!$A$5:$A$604,0)),"Not found"))</f>
        <v>0</v>
      </c>
      <c r="N371" s="17">
        <f>IF(B371="","",IFERROR(INDEX('Content Calendar'!$F$5:$F$604,MATCH(B371,'Content Calendar'!$A$5:$A$604,0)),"Not found"))</f>
        <v>0</v>
      </c>
      <c r="Z371" s="23">
        <f>IF(O371="","",N(Q371)+N(R371)+N(S371)+N(T371))</f>
        <v>0</v>
      </c>
      <c r="AA371" s="24">
        <f>IF(OR(O371="",O371=0),"",Z371/O371)</f>
        <v>0</v>
      </c>
      <c r="AB371" s="24">
        <f>IF(OR(O371="",O371=0),"",N(T371)/O371)</f>
        <v>0</v>
      </c>
      <c r="AC371" s="24">
        <f>IF(OR(O371="",O371=0),"",N(S371)/O371)</f>
        <v>0</v>
      </c>
      <c r="AD371" s="24">
        <f>IF(OR(O371="",O371=0),"",N(R371)/O371)</f>
        <v>0</v>
      </c>
      <c r="AE371" s="24">
        <f>IF(OR(O371="",O371=0),"",N(U371)/O371)</f>
        <v>0</v>
      </c>
      <c r="AF371" s="24">
        <f>IF(OR(U371="",U371=0),"",N(W371)/U371)</f>
        <v>0</v>
      </c>
      <c r="AG371" s="25">
        <f>IF(OR(O371="",O371=0),"",N(X371)/(O371/1000))</f>
        <v>0</v>
      </c>
      <c r="AH371" s="24">
        <f>IF(O371="","",IF(Y371="",TargetEngagement,Y371))</f>
        <v>0</v>
      </c>
      <c r="AI371" s="24">
        <f>IF(OR(AA371="",AH371=""),"",AA371-AH371)</f>
        <v>0</v>
      </c>
      <c r="AJ371" s="31">
        <f>IF(AA371="","",AA371+ROW()/1000000)</f>
        <v>0</v>
      </c>
      <c r="AK371" s="23">
        <f>IF(AA371="","",RANK(AJ371,Performance!$AJ$5:$AJ$404))</f>
        <v>0</v>
      </c>
      <c r="AL371" s="29">
        <f>IF(AA371="","",IF(AA371&gt;=AH371*1.5,"Top performer",IF(AA371&gt;=AH371,"Above target",IF(AA371&gt;=AH371*0.6,"Below target","Weak - review it"))))</f>
        <v>0</v>
      </c>
      <c r="AM371" s="29">
        <f>IF(B371="","",IF(COUNTIF(Performance!$B$5:$B$404,B371)&gt;1,"Duplicate","OK"))</f>
        <v>0</v>
      </c>
      <c r="AN371" s="29">
        <f>IF(B371="","",IF(C371="Not found","Check - content ID not on the calendar",IF(O371="","Add - no numbers entered yet",IF(AM371="Duplicate","Duplicate - this post is entered twice",IF(AL371="Top performer","Repurpose this one","OK")))))</f>
        <v>0</v>
      </c>
    </row>
    <row r="372" spans="1:40">
      <c r="A372" s="41">
        <f>IF(B372="","","PF-"&amp;TEXT(ROW()-4,"0000"))</f>
        <v>0</v>
      </c>
      <c r="C372" s="17">
        <f>IF(B372="","",IFERROR(INDEX('Content Calendar'!$H$5:$H$604,MATCH(B372,'Content Calendar'!$A$5:$A$604,0)),"Not found"))</f>
        <v>0</v>
      </c>
      <c r="D372" s="16">
        <f>IF(B372="","",IFERROR(INDEX('Content Calendar'!$B$5:$B$604,MATCH(B372,'Content Calendar'!$A$5:$A$604,0)),"Not found"))</f>
        <v>0</v>
      </c>
      <c r="E372" s="17">
        <f>IF(B372="","",IFERROR(INDEX('Content Calendar'!$D$5:$D$604,MATCH(B372,'Content Calendar'!$A$5:$A$604,0)),"Not found"))</f>
        <v>0</v>
      </c>
      <c r="F372" s="17">
        <f>IF(B372="","",IFERROR(INDEX('Content Calendar'!$G$5:$G$604,MATCH(B372,'Content Calendar'!$A$5:$A$604,0)),"Not found"))</f>
        <v>0</v>
      </c>
      <c r="G372" s="17">
        <f>IF(B372="","",IFERROR(INDEX('Content Calendar'!$K$5:$K$604,MATCH(B372,'Content Calendar'!$A$5:$A$604,0)),"Not found"))</f>
        <v>0</v>
      </c>
      <c r="H372" s="17">
        <f>IF(B372="","",IFERROR(INDEX('Content Calendar'!$J$5:$J$604,MATCH(B372,'Content Calendar'!$A$5:$A$604,0)),"Not found"))</f>
        <v>0</v>
      </c>
      <c r="I372" s="17">
        <f>IF(B372="","",IFERROR(INDEX('Content Calendar'!$L$5:$L$604,MATCH(B372,'Content Calendar'!$A$5:$A$604,0)),"Not found"))</f>
        <v>0</v>
      </c>
      <c r="J372" s="17">
        <f>IF(B372="","",IFERROR(INDEX('Content Calendar'!$P$5:$P$604,MATCH(B372,'Content Calendar'!$A$5:$A$604,0)),"Not found"))</f>
        <v>0</v>
      </c>
      <c r="K372" s="17">
        <f>IF(B372="","",IFERROR(INDEX('Content Calendar'!$O$5:$O$604,MATCH(B372,'Content Calendar'!$A$5:$A$604,0)),"Not found"))</f>
        <v>0</v>
      </c>
      <c r="L372" s="17">
        <f>IF(B372="","",IFERROR(INDEX('Content Calendar'!$N$5:$N$604,MATCH(B372,'Content Calendar'!$A$5:$A$604,0)),"Not found"))</f>
        <v>0</v>
      </c>
      <c r="M372" s="17">
        <f>IF(B372="","",IFERROR(INDEX('Content Calendar'!$C$5:$C$604,MATCH(B372,'Content Calendar'!$A$5:$A$604,0)),"Not found"))</f>
        <v>0</v>
      </c>
      <c r="N372" s="17">
        <f>IF(B372="","",IFERROR(INDEX('Content Calendar'!$F$5:$F$604,MATCH(B372,'Content Calendar'!$A$5:$A$604,0)),"Not found"))</f>
        <v>0</v>
      </c>
      <c r="Z372" s="23">
        <f>IF(O372="","",N(Q372)+N(R372)+N(S372)+N(T372))</f>
        <v>0</v>
      </c>
      <c r="AA372" s="24">
        <f>IF(OR(O372="",O372=0),"",Z372/O372)</f>
        <v>0</v>
      </c>
      <c r="AB372" s="24">
        <f>IF(OR(O372="",O372=0),"",N(T372)/O372)</f>
        <v>0</v>
      </c>
      <c r="AC372" s="24">
        <f>IF(OR(O372="",O372=0),"",N(S372)/O372)</f>
        <v>0</v>
      </c>
      <c r="AD372" s="24">
        <f>IF(OR(O372="",O372=0),"",N(R372)/O372)</f>
        <v>0</v>
      </c>
      <c r="AE372" s="24">
        <f>IF(OR(O372="",O372=0),"",N(U372)/O372)</f>
        <v>0</v>
      </c>
      <c r="AF372" s="24">
        <f>IF(OR(U372="",U372=0),"",N(W372)/U372)</f>
        <v>0</v>
      </c>
      <c r="AG372" s="25">
        <f>IF(OR(O372="",O372=0),"",N(X372)/(O372/1000))</f>
        <v>0</v>
      </c>
      <c r="AH372" s="24">
        <f>IF(O372="","",IF(Y372="",TargetEngagement,Y372))</f>
        <v>0</v>
      </c>
      <c r="AI372" s="24">
        <f>IF(OR(AA372="",AH372=""),"",AA372-AH372)</f>
        <v>0</v>
      </c>
      <c r="AJ372" s="31">
        <f>IF(AA372="","",AA372+ROW()/1000000)</f>
        <v>0</v>
      </c>
      <c r="AK372" s="23">
        <f>IF(AA372="","",RANK(AJ372,Performance!$AJ$5:$AJ$404))</f>
        <v>0</v>
      </c>
      <c r="AL372" s="29">
        <f>IF(AA372="","",IF(AA372&gt;=AH372*1.5,"Top performer",IF(AA372&gt;=AH372,"Above target",IF(AA372&gt;=AH372*0.6,"Below target","Weak - review it"))))</f>
        <v>0</v>
      </c>
      <c r="AM372" s="29">
        <f>IF(B372="","",IF(COUNTIF(Performance!$B$5:$B$404,B372)&gt;1,"Duplicate","OK"))</f>
        <v>0</v>
      </c>
      <c r="AN372" s="29">
        <f>IF(B372="","",IF(C372="Not found","Check - content ID not on the calendar",IF(O372="","Add - no numbers entered yet",IF(AM372="Duplicate","Duplicate - this post is entered twice",IF(AL372="Top performer","Repurpose this one","OK")))))</f>
        <v>0</v>
      </c>
    </row>
    <row r="373" spans="1:40">
      <c r="A373" s="41">
        <f>IF(B373="","","PF-"&amp;TEXT(ROW()-4,"0000"))</f>
        <v>0</v>
      </c>
      <c r="C373" s="17">
        <f>IF(B373="","",IFERROR(INDEX('Content Calendar'!$H$5:$H$604,MATCH(B373,'Content Calendar'!$A$5:$A$604,0)),"Not found"))</f>
        <v>0</v>
      </c>
      <c r="D373" s="16">
        <f>IF(B373="","",IFERROR(INDEX('Content Calendar'!$B$5:$B$604,MATCH(B373,'Content Calendar'!$A$5:$A$604,0)),"Not found"))</f>
        <v>0</v>
      </c>
      <c r="E373" s="17">
        <f>IF(B373="","",IFERROR(INDEX('Content Calendar'!$D$5:$D$604,MATCH(B373,'Content Calendar'!$A$5:$A$604,0)),"Not found"))</f>
        <v>0</v>
      </c>
      <c r="F373" s="17">
        <f>IF(B373="","",IFERROR(INDEX('Content Calendar'!$G$5:$G$604,MATCH(B373,'Content Calendar'!$A$5:$A$604,0)),"Not found"))</f>
        <v>0</v>
      </c>
      <c r="G373" s="17">
        <f>IF(B373="","",IFERROR(INDEX('Content Calendar'!$K$5:$K$604,MATCH(B373,'Content Calendar'!$A$5:$A$604,0)),"Not found"))</f>
        <v>0</v>
      </c>
      <c r="H373" s="17">
        <f>IF(B373="","",IFERROR(INDEX('Content Calendar'!$J$5:$J$604,MATCH(B373,'Content Calendar'!$A$5:$A$604,0)),"Not found"))</f>
        <v>0</v>
      </c>
      <c r="I373" s="17">
        <f>IF(B373="","",IFERROR(INDEX('Content Calendar'!$L$5:$L$604,MATCH(B373,'Content Calendar'!$A$5:$A$604,0)),"Not found"))</f>
        <v>0</v>
      </c>
      <c r="J373" s="17">
        <f>IF(B373="","",IFERROR(INDEX('Content Calendar'!$P$5:$P$604,MATCH(B373,'Content Calendar'!$A$5:$A$604,0)),"Not found"))</f>
        <v>0</v>
      </c>
      <c r="K373" s="17">
        <f>IF(B373="","",IFERROR(INDEX('Content Calendar'!$O$5:$O$604,MATCH(B373,'Content Calendar'!$A$5:$A$604,0)),"Not found"))</f>
        <v>0</v>
      </c>
      <c r="L373" s="17">
        <f>IF(B373="","",IFERROR(INDEX('Content Calendar'!$N$5:$N$604,MATCH(B373,'Content Calendar'!$A$5:$A$604,0)),"Not found"))</f>
        <v>0</v>
      </c>
      <c r="M373" s="17">
        <f>IF(B373="","",IFERROR(INDEX('Content Calendar'!$C$5:$C$604,MATCH(B373,'Content Calendar'!$A$5:$A$604,0)),"Not found"))</f>
        <v>0</v>
      </c>
      <c r="N373" s="17">
        <f>IF(B373="","",IFERROR(INDEX('Content Calendar'!$F$5:$F$604,MATCH(B373,'Content Calendar'!$A$5:$A$604,0)),"Not found"))</f>
        <v>0</v>
      </c>
      <c r="Z373" s="23">
        <f>IF(O373="","",N(Q373)+N(R373)+N(S373)+N(T373))</f>
        <v>0</v>
      </c>
      <c r="AA373" s="24">
        <f>IF(OR(O373="",O373=0),"",Z373/O373)</f>
        <v>0</v>
      </c>
      <c r="AB373" s="24">
        <f>IF(OR(O373="",O373=0),"",N(T373)/O373)</f>
        <v>0</v>
      </c>
      <c r="AC373" s="24">
        <f>IF(OR(O373="",O373=0),"",N(S373)/O373)</f>
        <v>0</v>
      </c>
      <c r="AD373" s="24">
        <f>IF(OR(O373="",O373=0),"",N(R373)/O373)</f>
        <v>0</v>
      </c>
      <c r="AE373" s="24">
        <f>IF(OR(O373="",O373=0),"",N(U373)/O373)</f>
        <v>0</v>
      </c>
      <c r="AF373" s="24">
        <f>IF(OR(U373="",U373=0),"",N(W373)/U373)</f>
        <v>0</v>
      </c>
      <c r="AG373" s="25">
        <f>IF(OR(O373="",O373=0),"",N(X373)/(O373/1000))</f>
        <v>0</v>
      </c>
      <c r="AH373" s="24">
        <f>IF(O373="","",IF(Y373="",TargetEngagement,Y373))</f>
        <v>0</v>
      </c>
      <c r="AI373" s="24">
        <f>IF(OR(AA373="",AH373=""),"",AA373-AH373)</f>
        <v>0</v>
      </c>
      <c r="AJ373" s="31">
        <f>IF(AA373="","",AA373+ROW()/1000000)</f>
        <v>0</v>
      </c>
      <c r="AK373" s="23">
        <f>IF(AA373="","",RANK(AJ373,Performance!$AJ$5:$AJ$404))</f>
        <v>0</v>
      </c>
      <c r="AL373" s="29">
        <f>IF(AA373="","",IF(AA373&gt;=AH373*1.5,"Top performer",IF(AA373&gt;=AH373,"Above target",IF(AA373&gt;=AH373*0.6,"Below target","Weak - review it"))))</f>
        <v>0</v>
      </c>
      <c r="AM373" s="29">
        <f>IF(B373="","",IF(COUNTIF(Performance!$B$5:$B$404,B373)&gt;1,"Duplicate","OK"))</f>
        <v>0</v>
      </c>
      <c r="AN373" s="29">
        <f>IF(B373="","",IF(C373="Not found","Check - content ID not on the calendar",IF(O373="","Add - no numbers entered yet",IF(AM373="Duplicate","Duplicate - this post is entered twice",IF(AL373="Top performer","Repurpose this one","OK")))))</f>
        <v>0</v>
      </c>
    </row>
    <row r="374" spans="1:40">
      <c r="A374" s="41">
        <f>IF(B374="","","PF-"&amp;TEXT(ROW()-4,"0000"))</f>
        <v>0</v>
      </c>
      <c r="C374" s="17">
        <f>IF(B374="","",IFERROR(INDEX('Content Calendar'!$H$5:$H$604,MATCH(B374,'Content Calendar'!$A$5:$A$604,0)),"Not found"))</f>
        <v>0</v>
      </c>
      <c r="D374" s="16">
        <f>IF(B374="","",IFERROR(INDEX('Content Calendar'!$B$5:$B$604,MATCH(B374,'Content Calendar'!$A$5:$A$604,0)),"Not found"))</f>
        <v>0</v>
      </c>
      <c r="E374" s="17">
        <f>IF(B374="","",IFERROR(INDEX('Content Calendar'!$D$5:$D$604,MATCH(B374,'Content Calendar'!$A$5:$A$604,0)),"Not found"))</f>
        <v>0</v>
      </c>
      <c r="F374" s="17">
        <f>IF(B374="","",IFERROR(INDEX('Content Calendar'!$G$5:$G$604,MATCH(B374,'Content Calendar'!$A$5:$A$604,0)),"Not found"))</f>
        <v>0</v>
      </c>
      <c r="G374" s="17">
        <f>IF(B374="","",IFERROR(INDEX('Content Calendar'!$K$5:$K$604,MATCH(B374,'Content Calendar'!$A$5:$A$604,0)),"Not found"))</f>
        <v>0</v>
      </c>
      <c r="H374" s="17">
        <f>IF(B374="","",IFERROR(INDEX('Content Calendar'!$J$5:$J$604,MATCH(B374,'Content Calendar'!$A$5:$A$604,0)),"Not found"))</f>
        <v>0</v>
      </c>
      <c r="I374" s="17">
        <f>IF(B374="","",IFERROR(INDEX('Content Calendar'!$L$5:$L$604,MATCH(B374,'Content Calendar'!$A$5:$A$604,0)),"Not found"))</f>
        <v>0</v>
      </c>
      <c r="J374" s="17">
        <f>IF(B374="","",IFERROR(INDEX('Content Calendar'!$P$5:$P$604,MATCH(B374,'Content Calendar'!$A$5:$A$604,0)),"Not found"))</f>
        <v>0</v>
      </c>
      <c r="K374" s="17">
        <f>IF(B374="","",IFERROR(INDEX('Content Calendar'!$O$5:$O$604,MATCH(B374,'Content Calendar'!$A$5:$A$604,0)),"Not found"))</f>
        <v>0</v>
      </c>
      <c r="L374" s="17">
        <f>IF(B374="","",IFERROR(INDEX('Content Calendar'!$N$5:$N$604,MATCH(B374,'Content Calendar'!$A$5:$A$604,0)),"Not found"))</f>
        <v>0</v>
      </c>
      <c r="M374" s="17">
        <f>IF(B374="","",IFERROR(INDEX('Content Calendar'!$C$5:$C$604,MATCH(B374,'Content Calendar'!$A$5:$A$604,0)),"Not found"))</f>
        <v>0</v>
      </c>
      <c r="N374" s="17">
        <f>IF(B374="","",IFERROR(INDEX('Content Calendar'!$F$5:$F$604,MATCH(B374,'Content Calendar'!$A$5:$A$604,0)),"Not found"))</f>
        <v>0</v>
      </c>
      <c r="Z374" s="23">
        <f>IF(O374="","",N(Q374)+N(R374)+N(S374)+N(T374))</f>
        <v>0</v>
      </c>
      <c r="AA374" s="24">
        <f>IF(OR(O374="",O374=0),"",Z374/O374)</f>
        <v>0</v>
      </c>
      <c r="AB374" s="24">
        <f>IF(OR(O374="",O374=0),"",N(T374)/O374)</f>
        <v>0</v>
      </c>
      <c r="AC374" s="24">
        <f>IF(OR(O374="",O374=0),"",N(S374)/O374)</f>
        <v>0</v>
      </c>
      <c r="AD374" s="24">
        <f>IF(OR(O374="",O374=0),"",N(R374)/O374)</f>
        <v>0</v>
      </c>
      <c r="AE374" s="24">
        <f>IF(OR(O374="",O374=0),"",N(U374)/O374)</f>
        <v>0</v>
      </c>
      <c r="AF374" s="24">
        <f>IF(OR(U374="",U374=0),"",N(W374)/U374)</f>
        <v>0</v>
      </c>
      <c r="AG374" s="25">
        <f>IF(OR(O374="",O374=0),"",N(X374)/(O374/1000))</f>
        <v>0</v>
      </c>
      <c r="AH374" s="24">
        <f>IF(O374="","",IF(Y374="",TargetEngagement,Y374))</f>
        <v>0</v>
      </c>
      <c r="AI374" s="24">
        <f>IF(OR(AA374="",AH374=""),"",AA374-AH374)</f>
        <v>0</v>
      </c>
      <c r="AJ374" s="31">
        <f>IF(AA374="","",AA374+ROW()/1000000)</f>
        <v>0</v>
      </c>
      <c r="AK374" s="23">
        <f>IF(AA374="","",RANK(AJ374,Performance!$AJ$5:$AJ$404))</f>
        <v>0</v>
      </c>
      <c r="AL374" s="29">
        <f>IF(AA374="","",IF(AA374&gt;=AH374*1.5,"Top performer",IF(AA374&gt;=AH374,"Above target",IF(AA374&gt;=AH374*0.6,"Below target","Weak - review it"))))</f>
        <v>0</v>
      </c>
      <c r="AM374" s="29">
        <f>IF(B374="","",IF(COUNTIF(Performance!$B$5:$B$404,B374)&gt;1,"Duplicate","OK"))</f>
        <v>0</v>
      </c>
      <c r="AN374" s="29">
        <f>IF(B374="","",IF(C374="Not found","Check - content ID not on the calendar",IF(O374="","Add - no numbers entered yet",IF(AM374="Duplicate","Duplicate - this post is entered twice",IF(AL374="Top performer","Repurpose this one","OK")))))</f>
        <v>0</v>
      </c>
    </row>
    <row r="375" spans="1:40">
      <c r="A375" s="41">
        <f>IF(B375="","","PF-"&amp;TEXT(ROW()-4,"0000"))</f>
        <v>0</v>
      </c>
      <c r="C375" s="17">
        <f>IF(B375="","",IFERROR(INDEX('Content Calendar'!$H$5:$H$604,MATCH(B375,'Content Calendar'!$A$5:$A$604,0)),"Not found"))</f>
        <v>0</v>
      </c>
      <c r="D375" s="16">
        <f>IF(B375="","",IFERROR(INDEX('Content Calendar'!$B$5:$B$604,MATCH(B375,'Content Calendar'!$A$5:$A$604,0)),"Not found"))</f>
        <v>0</v>
      </c>
      <c r="E375" s="17">
        <f>IF(B375="","",IFERROR(INDEX('Content Calendar'!$D$5:$D$604,MATCH(B375,'Content Calendar'!$A$5:$A$604,0)),"Not found"))</f>
        <v>0</v>
      </c>
      <c r="F375" s="17">
        <f>IF(B375="","",IFERROR(INDEX('Content Calendar'!$G$5:$G$604,MATCH(B375,'Content Calendar'!$A$5:$A$604,0)),"Not found"))</f>
        <v>0</v>
      </c>
      <c r="G375" s="17">
        <f>IF(B375="","",IFERROR(INDEX('Content Calendar'!$K$5:$K$604,MATCH(B375,'Content Calendar'!$A$5:$A$604,0)),"Not found"))</f>
        <v>0</v>
      </c>
      <c r="H375" s="17">
        <f>IF(B375="","",IFERROR(INDEX('Content Calendar'!$J$5:$J$604,MATCH(B375,'Content Calendar'!$A$5:$A$604,0)),"Not found"))</f>
        <v>0</v>
      </c>
      <c r="I375" s="17">
        <f>IF(B375="","",IFERROR(INDEX('Content Calendar'!$L$5:$L$604,MATCH(B375,'Content Calendar'!$A$5:$A$604,0)),"Not found"))</f>
        <v>0</v>
      </c>
      <c r="J375" s="17">
        <f>IF(B375="","",IFERROR(INDEX('Content Calendar'!$P$5:$P$604,MATCH(B375,'Content Calendar'!$A$5:$A$604,0)),"Not found"))</f>
        <v>0</v>
      </c>
      <c r="K375" s="17">
        <f>IF(B375="","",IFERROR(INDEX('Content Calendar'!$O$5:$O$604,MATCH(B375,'Content Calendar'!$A$5:$A$604,0)),"Not found"))</f>
        <v>0</v>
      </c>
      <c r="L375" s="17">
        <f>IF(B375="","",IFERROR(INDEX('Content Calendar'!$N$5:$N$604,MATCH(B375,'Content Calendar'!$A$5:$A$604,0)),"Not found"))</f>
        <v>0</v>
      </c>
      <c r="M375" s="17">
        <f>IF(B375="","",IFERROR(INDEX('Content Calendar'!$C$5:$C$604,MATCH(B375,'Content Calendar'!$A$5:$A$604,0)),"Not found"))</f>
        <v>0</v>
      </c>
      <c r="N375" s="17">
        <f>IF(B375="","",IFERROR(INDEX('Content Calendar'!$F$5:$F$604,MATCH(B375,'Content Calendar'!$A$5:$A$604,0)),"Not found"))</f>
        <v>0</v>
      </c>
      <c r="Z375" s="23">
        <f>IF(O375="","",N(Q375)+N(R375)+N(S375)+N(T375))</f>
        <v>0</v>
      </c>
      <c r="AA375" s="24">
        <f>IF(OR(O375="",O375=0),"",Z375/O375)</f>
        <v>0</v>
      </c>
      <c r="AB375" s="24">
        <f>IF(OR(O375="",O375=0),"",N(T375)/O375)</f>
        <v>0</v>
      </c>
      <c r="AC375" s="24">
        <f>IF(OR(O375="",O375=0),"",N(S375)/O375)</f>
        <v>0</v>
      </c>
      <c r="AD375" s="24">
        <f>IF(OR(O375="",O375=0),"",N(R375)/O375)</f>
        <v>0</v>
      </c>
      <c r="AE375" s="24">
        <f>IF(OR(O375="",O375=0),"",N(U375)/O375)</f>
        <v>0</v>
      </c>
      <c r="AF375" s="24">
        <f>IF(OR(U375="",U375=0),"",N(W375)/U375)</f>
        <v>0</v>
      </c>
      <c r="AG375" s="25">
        <f>IF(OR(O375="",O375=0),"",N(X375)/(O375/1000))</f>
        <v>0</v>
      </c>
      <c r="AH375" s="24">
        <f>IF(O375="","",IF(Y375="",TargetEngagement,Y375))</f>
        <v>0</v>
      </c>
      <c r="AI375" s="24">
        <f>IF(OR(AA375="",AH375=""),"",AA375-AH375)</f>
        <v>0</v>
      </c>
      <c r="AJ375" s="31">
        <f>IF(AA375="","",AA375+ROW()/1000000)</f>
        <v>0</v>
      </c>
      <c r="AK375" s="23">
        <f>IF(AA375="","",RANK(AJ375,Performance!$AJ$5:$AJ$404))</f>
        <v>0</v>
      </c>
      <c r="AL375" s="29">
        <f>IF(AA375="","",IF(AA375&gt;=AH375*1.5,"Top performer",IF(AA375&gt;=AH375,"Above target",IF(AA375&gt;=AH375*0.6,"Below target","Weak - review it"))))</f>
        <v>0</v>
      </c>
      <c r="AM375" s="29">
        <f>IF(B375="","",IF(COUNTIF(Performance!$B$5:$B$404,B375)&gt;1,"Duplicate","OK"))</f>
        <v>0</v>
      </c>
      <c r="AN375" s="29">
        <f>IF(B375="","",IF(C375="Not found","Check - content ID not on the calendar",IF(O375="","Add - no numbers entered yet",IF(AM375="Duplicate","Duplicate - this post is entered twice",IF(AL375="Top performer","Repurpose this one","OK")))))</f>
        <v>0</v>
      </c>
    </row>
    <row r="376" spans="1:40">
      <c r="A376" s="41">
        <f>IF(B376="","","PF-"&amp;TEXT(ROW()-4,"0000"))</f>
        <v>0</v>
      </c>
      <c r="C376" s="17">
        <f>IF(B376="","",IFERROR(INDEX('Content Calendar'!$H$5:$H$604,MATCH(B376,'Content Calendar'!$A$5:$A$604,0)),"Not found"))</f>
        <v>0</v>
      </c>
      <c r="D376" s="16">
        <f>IF(B376="","",IFERROR(INDEX('Content Calendar'!$B$5:$B$604,MATCH(B376,'Content Calendar'!$A$5:$A$604,0)),"Not found"))</f>
        <v>0</v>
      </c>
      <c r="E376" s="17">
        <f>IF(B376="","",IFERROR(INDEX('Content Calendar'!$D$5:$D$604,MATCH(B376,'Content Calendar'!$A$5:$A$604,0)),"Not found"))</f>
        <v>0</v>
      </c>
      <c r="F376" s="17">
        <f>IF(B376="","",IFERROR(INDEX('Content Calendar'!$G$5:$G$604,MATCH(B376,'Content Calendar'!$A$5:$A$604,0)),"Not found"))</f>
        <v>0</v>
      </c>
      <c r="G376" s="17">
        <f>IF(B376="","",IFERROR(INDEX('Content Calendar'!$K$5:$K$604,MATCH(B376,'Content Calendar'!$A$5:$A$604,0)),"Not found"))</f>
        <v>0</v>
      </c>
      <c r="H376" s="17">
        <f>IF(B376="","",IFERROR(INDEX('Content Calendar'!$J$5:$J$604,MATCH(B376,'Content Calendar'!$A$5:$A$604,0)),"Not found"))</f>
        <v>0</v>
      </c>
      <c r="I376" s="17">
        <f>IF(B376="","",IFERROR(INDEX('Content Calendar'!$L$5:$L$604,MATCH(B376,'Content Calendar'!$A$5:$A$604,0)),"Not found"))</f>
        <v>0</v>
      </c>
      <c r="J376" s="17">
        <f>IF(B376="","",IFERROR(INDEX('Content Calendar'!$P$5:$P$604,MATCH(B376,'Content Calendar'!$A$5:$A$604,0)),"Not found"))</f>
        <v>0</v>
      </c>
      <c r="K376" s="17">
        <f>IF(B376="","",IFERROR(INDEX('Content Calendar'!$O$5:$O$604,MATCH(B376,'Content Calendar'!$A$5:$A$604,0)),"Not found"))</f>
        <v>0</v>
      </c>
      <c r="L376" s="17">
        <f>IF(B376="","",IFERROR(INDEX('Content Calendar'!$N$5:$N$604,MATCH(B376,'Content Calendar'!$A$5:$A$604,0)),"Not found"))</f>
        <v>0</v>
      </c>
      <c r="M376" s="17">
        <f>IF(B376="","",IFERROR(INDEX('Content Calendar'!$C$5:$C$604,MATCH(B376,'Content Calendar'!$A$5:$A$604,0)),"Not found"))</f>
        <v>0</v>
      </c>
      <c r="N376" s="17">
        <f>IF(B376="","",IFERROR(INDEX('Content Calendar'!$F$5:$F$604,MATCH(B376,'Content Calendar'!$A$5:$A$604,0)),"Not found"))</f>
        <v>0</v>
      </c>
      <c r="Z376" s="23">
        <f>IF(O376="","",N(Q376)+N(R376)+N(S376)+N(T376))</f>
        <v>0</v>
      </c>
      <c r="AA376" s="24">
        <f>IF(OR(O376="",O376=0),"",Z376/O376)</f>
        <v>0</v>
      </c>
      <c r="AB376" s="24">
        <f>IF(OR(O376="",O376=0),"",N(T376)/O376)</f>
        <v>0</v>
      </c>
      <c r="AC376" s="24">
        <f>IF(OR(O376="",O376=0),"",N(S376)/O376)</f>
        <v>0</v>
      </c>
      <c r="AD376" s="24">
        <f>IF(OR(O376="",O376=0),"",N(R376)/O376)</f>
        <v>0</v>
      </c>
      <c r="AE376" s="24">
        <f>IF(OR(O376="",O376=0),"",N(U376)/O376)</f>
        <v>0</v>
      </c>
      <c r="AF376" s="24">
        <f>IF(OR(U376="",U376=0),"",N(W376)/U376)</f>
        <v>0</v>
      </c>
      <c r="AG376" s="25">
        <f>IF(OR(O376="",O376=0),"",N(X376)/(O376/1000))</f>
        <v>0</v>
      </c>
      <c r="AH376" s="24">
        <f>IF(O376="","",IF(Y376="",TargetEngagement,Y376))</f>
        <v>0</v>
      </c>
      <c r="AI376" s="24">
        <f>IF(OR(AA376="",AH376=""),"",AA376-AH376)</f>
        <v>0</v>
      </c>
      <c r="AJ376" s="31">
        <f>IF(AA376="","",AA376+ROW()/1000000)</f>
        <v>0</v>
      </c>
      <c r="AK376" s="23">
        <f>IF(AA376="","",RANK(AJ376,Performance!$AJ$5:$AJ$404))</f>
        <v>0</v>
      </c>
      <c r="AL376" s="29">
        <f>IF(AA376="","",IF(AA376&gt;=AH376*1.5,"Top performer",IF(AA376&gt;=AH376,"Above target",IF(AA376&gt;=AH376*0.6,"Below target","Weak - review it"))))</f>
        <v>0</v>
      </c>
      <c r="AM376" s="29">
        <f>IF(B376="","",IF(COUNTIF(Performance!$B$5:$B$404,B376)&gt;1,"Duplicate","OK"))</f>
        <v>0</v>
      </c>
      <c r="AN376" s="29">
        <f>IF(B376="","",IF(C376="Not found","Check - content ID not on the calendar",IF(O376="","Add - no numbers entered yet",IF(AM376="Duplicate","Duplicate - this post is entered twice",IF(AL376="Top performer","Repurpose this one","OK")))))</f>
        <v>0</v>
      </c>
    </row>
    <row r="377" spans="1:40">
      <c r="A377" s="41">
        <f>IF(B377="","","PF-"&amp;TEXT(ROW()-4,"0000"))</f>
        <v>0</v>
      </c>
      <c r="C377" s="17">
        <f>IF(B377="","",IFERROR(INDEX('Content Calendar'!$H$5:$H$604,MATCH(B377,'Content Calendar'!$A$5:$A$604,0)),"Not found"))</f>
        <v>0</v>
      </c>
      <c r="D377" s="16">
        <f>IF(B377="","",IFERROR(INDEX('Content Calendar'!$B$5:$B$604,MATCH(B377,'Content Calendar'!$A$5:$A$604,0)),"Not found"))</f>
        <v>0</v>
      </c>
      <c r="E377" s="17">
        <f>IF(B377="","",IFERROR(INDEX('Content Calendar'!$D$5:$D$604,MATCH(B377,'Content Calendar'!$A$5:$A$604,0)),"Not found"))</f>
        <v>0</v>
      </c>
      <c r="F377" s="17">
        <f>IF(B377="","",IFERROR(INDEX('Content Calendar'!$G$5:$G$604,MATCH(B377,'Content Calendar'!$A$5:$A$604,0)),"Not found"))</f>
        <v>0</v>
      </c>
      <c r="G377" s="17">
        <f>IF(B377="","",IFERROR(INDEX('Content Calendar'!$K$5:$K$604,MATCH(B377,'Content Calendar'!$A$5:$A$604,0)),"Not found"))</f>
        <v>0</v>
      </c>
      <c r="H377" s="17">
        <f>IF(B377="","",IFERROR(INDEX('Content Calendar'!$J$5:$J$604,MATCH(B377,'Content Calendar'!$A$5:$A$604,0)),"Not found"))</f>
        <v>0</v>
      </c>
      <c r="I377" s="17">
        <f>IF(B377="","",IFERROR(INDEX('Content Calendar'!$L$5:$L$604,MATCH(B377,'Content Calendar'!$A$5:$A$604,0)),"Not found"))</f>
        <v>0</v>
      </c>
      <c r="J377" s="17">
        <f>IF(B377="","",IFERROR(INDEX('Content Calendar'!$P$5:$P$604,MATCH(B377,'Content Calendar'!$A$5:$A$604,0)),"Not found"))</f>
        <v>0</v>
      </c>
      <c r="K377" s="17">
        <f>IF(B377="","",IFERROR(INDEX('Content Calendar'!$O$5:$O$604,MATCH(B377,'Content Calendar'!$A$5:$A$604,0)),"Not found"))</f>
        <v>0</v>
      </c>
      <c r="L377" s="17">
        <f>IF(B377="","",IFERROR(INDEX('Content Calendar'!$N$5:$N$604,MATCH(B377,'Content Calendar'!$A$5:$A$604,0)),"Not found"))</f>
        <v>0</v>
      </c>
      <c r="M377" s="17">
        <f>IF(B377="","",IFERROR(INDEX('Content Calendar'!$C$5:$C$604,MATCH(B377,'Content Calendar'!$A$5:$A$604,0)),"Not found"))</f>
        <v>0</v>
      </c>
      <c r="N377" s="17">
        <f>IF(B377="","",IFERROR(INDEX('Content Calendar'!$F$5:$F$604,MATCH(B377,'Content Calendar'!$A$5:$A$604,0)),"Not found"))</f>
        <v>0</v>
      </c>
      <c r="Z377" s="23">
        <f>IF(O377="","",N(Q377)+N(R377)+N(S377)+N(T377))</f>
        <v>0</v>
      </c>
      <c r="AA377" s="24">
        <f>IF(OR(O377="",O377=0),"",Z377/O377)</f>
        <v>0</v>
      </c>
      <c r="AB377" s="24">
        <f>IF(OR(O377="",O377=0),"",N(T377)/O377)</f>
        <v>0</v>
      </c>
      <c r="AC377" s="24">
        <f>IF(OR(O377="",O377=0),"",N(S377)/O377)</f>
        <v>0</v>
      </c>
      <c r="AD377" s="24">
        <f>IF(OR(O377="",O377=0),"",N(R377)/O377)</f>
        <v>0</v>
      </c>
      <c r="AE377" s="24">
        <f>IF(OR(O377="",O377=0),"",N(U377)/O377)</f>
        <v>0</v>
      </c>
      <c r="AF377" s="24">
        <f>IF(OR(U377="",U377=0),"",N(W377)/U377)</f>
        <v>0</v>
      </c>
      <c r="AG377" s="25">
        <f>IF(OR(O377="",O377=0),"",N(X377)/(O377/1000))</f>
        <v>0</v>
      </c>
      <c r="AH377" s="24">
        <f>IF(O377="","",IF(Y377="",TargetEngagement,Y377))</f>
        <v>0</v>
      </c>
      <c r="AI377" s="24">
        <f>IF(OR(AA377="",AH377=""),"",AA377-AH377)</f>
        <v>0</v>
      </c>
      <c r="AJ377" s="31">
        <f>IF(AA377="","",AA377+ROW()/1000000)</f>
        <v>0</v>
      </c>
      <c r="AK377" s="23">
        <f>IF(AA377="","",RANK(AJ377,Performance!$AJ$5:$AJ$404))</f>
        <v>0</v>
      </c>
      <c r="AL377" s="29">
        <f>IF(AA377="","",IF(AA377&gt;=AH377*1.5,"Top performer",IF(AA377&gt;=AH377,"Above target",IF(AA377&gt;=AH377*0.6,"Below target","Weak - review it"))))</f>
        <v>0</v>
      </c>
      <c r="AM377" s="29">
        <f>IF(B377="","",IF(COUNTIF(Performance!$B$5:$B$404,B377)&gt;1,"Duplicate","OK"))</f>
        <v>0</v>
      </c>
      <c r="AN377" s="29">
        <f>IF(B377="","",IF(C377="Not found","Check - content ID not on the calendar",IF(O377="","Add - no numbers entered yet",IF(AM377="Duplicate","Duplicate - this post is entered twice",IF(AL377="Top performer","Repurpose this one","OK")))))</f>
        <v>0</v>
      </c>
    </row>
    <row r="378" spans="1:40">
      <c r="A378" s="41">
        <f>IF(B378="","","PF-"&amp;TEXT(ROW()-4,"0000"))</f>
        <v>0</v>
      </c>
      <c r="C378" s="17">
        <f>IF(B378="","",IFERROR(INDEX('Content Calendar'!$H$5:$H$604,MATCH(B378,'Content Calendar'!$A$5:$A$604,0)),"Not found"))</f>
        <v>0</v>
      </c>
      <c r="D378" s="16">
        <f>IF(B378="","",IFERROR(INDEX('Content Calendar'!$B$5:$B$604,MATCH(B378,'Content Calendar'!$A$5:$A$604,0)),"Not found"))</f>
        <v>0</v>
      </c>
      <c r="E378" s="17">
        <f>IF(B378="","",IFERROR(INDEX('Content Calendar'!$D$5:$D$604,MATCH(B378,'Content Calendar'!$A$5:$A$604,0)),"Not found"))</f>
        <v>0</v>
      </c>
      <c r="F378" s="17">
        <f>IF(B378="","",IFERROR(INDEX('Content Calendar'!$G$5:$G$604,MATCH(B378,'Content Calendar'!$A$5:$A$604,0)),"Not found"))</f>
        <v>0</v>
      </c>
      <c r="G378" s="17">
        <f>IF(B378="","",IFERROR(INDEX('Content Calendar'!$K$5:$K$604,MATCH(B378,'Content Calendar'!$A$5:$A$604,0)),"Not found"))</f>
        <v>0</v>
      </c>
      <c r="H378" s="17">
        <f>IF(B378="","",IFERROR(INDEX('Content Calendar'!$J$5:$J$604,MATCH(B378,'Content Calendar'!$A$5:$A$604,0)),"Not found"))</f>
        <v>0</v>
      </c>
      <c r="I378" s="17">
        <f>IF(B378="","",IFERROR(INDEX('Content Calendar'!$L$5:$L$604,MATCH(B378,'Content Calendar'!$A$5:$A$604,0)),"Not found"))</f>
        <v>0</v>
      </c>
      <c r="J378" s="17">
        <f>IF(B378="","",IFERROR(INDEX('Content Calendar'!$P$5:$P$604,MATCH(B378,'Content Calendar'!$A$5:$A$604,0)),"Not found"))</f>
        <v>0</v>
      </c>
      <c r="K378" s="17">
        <f>IF(B378="","",IFERROR(INDEX('Content Calendar'!$O$5:$O$604,MATCH(B378,'Content Calendar'!$A$5:$A$604,0)),"Not found"))</f>
        <v>0</v>
      </c>
      <c r="L378" s="17">
        <f>IF(B378="","",IFERROR(INDEX('Content Calendar'!$N$5:$N$604,MATCH(B378,'Content Calendar'!$A$5:$A$604,0)),"Not found"))</f>
        <v>0</v>
      </c>
      <c r="M378" s="17">
        <f>IF(B378="","",IFERROR(INDEX('Content Calendar'!$C$5:$C$604,MATCH(B378,'Content Calendar'!$A$5:$A$604,0)),"Not found"))</f>
        <v>0</v>
      </c>
      <c r="N378" s="17">
        <f>IF(B378="","",IFERROR(INDEX('Content Calendar'!$F$5:$F$604,MATCH(B378,'Content Calendar'!$A$5:$A$604,0)),"Not found"))</f>
        <v>0</v>
      </c>
      <c r="Z378" s="23">
        <f>IF(O378="","",N(Q378)+N(R378)+N(S378)+N(T378))</f>
        <v>0</v>
      </c>
      <c r="AA378" s="24">
        <f>IF(OR(O378="",O378=0),"",Z378/O378)</f>
        <v>0</v>
      </c>
      <c r="AB378" s="24">
        <f>IF(OR(O378="",O378=0),"",N(T378)/O378)</f>
        <v>0</v>
      </c>
      <c r="AC378" s="24">
        <f>IF(OR(O378="",O378=0),"",N(S378)/O378)</f>
        <v>0</v>
      </c>
      <c r="AD378" s="24">
        <f>IF(OR(O378="",O378=0),"",N(R378)/O378)</f>
        <v>0</v>
      </c>
      <c r="AE378" s="24">
        <f>IF(OR(O378="",O378=0),"",N(U378)/O378)</f>
        <v>0</v>
      </c>
      <c r="AF378" s="24">
        <f>IF(OR(U378="",U378=0),"",N(W378)/U378)</f>
        <v>0</v>
      </c>
      <c r="AG378" s="25">
        <f>IF(OR(O378="",O378=0),"",N(X378)/(O378/1000))</f>
        <v>0</v>
      </c>
      <c r="AH378" s="24">
        <f>IF(O378="","",IF(Y378="",TargetEngagement,Y378))</f>
        <v>0</v>
      </c>
      <c r="AI378" s="24">
        <f>IF(OR(AA378="",AH378=""),"",AA378-AH378)</f>
        <v>0</v>
      </c>
      <c r="AJ378" s="31">
        <f>IF(AA378="","",AA378+ROW()/1000000)</f>
        <v>0</v>
      </c>
      <c r="AK378" s="23">
        <f>IF(AA378="","",RANK(AJ378,Performance!$AJ$5:$AJ$404))</f>
        <v>0</v>
      </c>
      <c r="AL378" s="29">
        <f>IF(AA378="","",IF(AA378&gt;=AH378*1.5,"Top performer",IF(AA378&gt;=AH378,"Above target",IF(AA378&gt;=AH378*0.6,"Below target","Weak - review it"))))</f>
        <v>0</v>
      </c>
      <c r="AM378" s="29">
        <f>IF(B378="","",IF(COUNTIF(Performance!$B$5:$B$404,B378)&gt;1,"Duplicate","OK"))</f>
        <v>0</v>
      </c>
      <c r="AN378" s="29">
        <f>IF(B378="","",IF(C378="Not found","Check - content ID not on the calendar",IF(O378="","Add - no numbers entered yet",IF(AM378="Duplicate","Duplicate - this post is entered twice",IF(AL378="Top performer","Repurpose this one","OK")))))</f>
        <v>0</v>
      </c>
    </row>
    <row r="379" spans="1:40">
      <c r="A379" s="41">
        <f>IF(B379="","","PF-"&amp;TEXT(ROW()-4,"0000"))</f>
        <v>0</v>
      </c>
      <c r="C379" s="17">
        <f>IF(B379="","",IFERROR(INDEX('Content Calendar'!$H$5:$H$604,MATCH(B379,'Content Calendar'!$A$5:$A$604,0)),"Not found"))</f>
        <v>0</v>
      </c>
      <c r="D379" s="16">
        <f>IF(B379="","",IFERROR(INDEX('Content Calendar'!$B$5:$B$604,MATCH(B379,'Content Calendar'!$A$5:$A$604,0)),"Not found"))</f>
        <v>0</v>
      </c>
      <c r="E379" s="17">
        <f>IF(B379="","",IFERROR(INDEX('Content Calendar'!$D$5:$D$604,MATCH(B379,'Content Calendar'!$A$5:$A$604,0)),"Not found"))</f>
        <v>0</v>
      </c>
      <c r="F379" s="17">
        <f>IF(B379="","",IFERROR(INDEX('Content Calendar'!$G$5:$G$604,MATCH(B379,'Content Calendar'!$A$5:$A$604,0)),"Not found"))</f>
        <v>0</v>
      </c>
      <c r="G379" s="17">
        <f>IF(B379="","",IFERROR(INDEX('Content Calendar'!$K$5:$K$604,MATCH(B379,'Content Calendar'!$A$5:$A$604,0)),"Not found"))</f>
        <v>0</v>
      </c>
      <c r="H379" s="17">
        <f>IF(B379="","",IFERROR(INDEX('Content Calendar'!$J$5:$J$604,MATCH(B379,'Content Calendar'!$A$5:$A$604,0)),"Not found"))</f>
        <v>0</v>
      </c>
      <c r="I379" s="17">
        <f>IF(B379="","",IFERROR(INDEX('Content Calendar'!$L$5:$L$604,MATCH(B379,'Content Calendar'!$A$5:$A$604,0)),"Not found"))</f>
        <v>0</v>
      </c>
      <c r="J379" s="17">
        <f>IF(B379="","",IFERROR(INDEX('Content Calendar'!$P$5:$P$604,MATCH(B379,'Content Calendar'!$A$5:$A$604,0)),"Not found"))</f>
        <v>0</v>
      </c>
      <c r="K379" s="17">
        <f>IF(B379="","",IFERROR(INDEX('Content Calendar'!$O$5:$O$604,MATCH(B379,'Content Calendar'!$A$5:$A$604,0)),"Not found"))</f>
        <v>0</v>
      </c>
      <c r="L379" s="17">
        <f>IF(B379="","",IFERROR(INDEX('Content Calendar'!$N$5:$N$604,MATCH(B379,'Content Calendar'!$A$5:$A$604,0)),"Not found"))</f>
        <v>0</v>
      </c>
      <c r="M379" s="17">
        <f>IF(B379="","",IFERROR(INDEX('Content Calendar'!$C$5:$C$604,MATCH(B379,'Content Calendar'!$A$5:$A$604,0)),"Not found"))</f>
        <v>0</v>
      </c>
      <c r="N379" s="17">
        <f>IF(B379="","",IFERROR(INDEX('Content Calendar'!$F$5:$F$604,MATCH(B379,'Content Calendar'!$A$5:$A$604,0)),"Not found"))</f>
        <v>0</v>
      </c>
      <c r="Z379" s="23">
        <f>IF(O379="","",N(Q379)+N(R379)+N(S379)+N(T379))</f>
        <v>0</v>
      </c>
      <c r="AA379" s="24">
        <f>IF(OR(O379="",O379=0),"",Z379/O379)</f>
        <v>0</v>
      </c>
      <c r="AB379" s="24">
        <f>IF(OR(O379="",O379=0),"",N(T379)/O379)</f>
        <v>0</v>
      </c>
      <c r="AC379" s="24">
        <f>IF(OR(O379="",O379=0),"",N(S379)/O379)</f>
        <v>0</v>
      </c>
      <c r="AD379" s="24">
        <f>IF(OR(O379="",O379=0),"",N(R379)/O379)</f>
        <v>0</v>
      </c>
      <c r="AE379" s="24">
        <f>IF(OR(O379="",O379=0),"",N(U379)/O379)</f>
        <v>0</v>
      </c>
      <c r="AF379" s="24">
        <f>IF(OR(U379="",U379=0),"",N(W379)/U379)</f>
        <v>0</v>
      </c>
      <c r="AG379" s="25">
        <f>IF(OR(O379="",O379=0),"",N(X379)/(O379/1000))</f>
        <v>0</v>
      </c>
      <c r="AH379" s="24">
        <f>IF(O379="","",IF(Y379="",TargetEngagement,Y379))</f>
        <v>0</v>
      </c>
      <c r="AI379" s="24">
        <f>IF(OR(AA379="",AH379=""),"",AA379-AH379)</f>
        <v>0</v>
      </c>
      <c r="AJ379" s="31">
        <f>IF(AA379="","",AA379+ROW()/1000000)</f>
        <v>0</v>
      </c>
      <c r="AK379" s="23">
        <f>IF(AA379="","",RANK(AJ379,Performance!$AJ$5:$AJ$404))</f>
        <v>0</v>
      </c>
      <c r="AL379" s="29">
        <f>IF(AA379="","",IF(AA379&gt;=AH379*1.5,"Top performer",IF(AA379&gt;=AH379,"Above target",IF(AA379&gt;=AH379*0.6,"Below target","Weak - review it"))))</f>
        <v>0</v>
      </c>
      <c r="AM379" s="29">
        <f>IF(B379="","",IF(COUNTIF(Performance!$B$5:$B$404,B379)&gt;1,"Duplicate","OK"))</f>
        <v>0</v>
      </c>
      <c r="AN379" s="29">
        <f>IF(B379="","",IF(C379="Not found","Check - content ID not on the calendar",IF(O379="","Add - no numbers entered yet",IF(AM379="Duplicate","Duplicate - this post is entered twice",IF(AL379="Top performer","Repurpose this one","OK")))))</f>
        <v>0</v>
      </c>
    </row>
    <row r="380" spans="1:40">
      <c r="A380" s="41">
        <f>IF(B380="","","PF-"&amp;TEXT(ROW()-4,"0000"))</f>
        <v>0</v>
      </c>
      <c r="C380" s="17">
        <f>IF(B380="","",IFERROR(INDEX('Content Calendar'!$H$5:$H$604,MATCH(B380,'Content Calendar'!$A$5:$A$604,0)),"Not found"))</f>
        <v>0</v>
      </c>
      <c r="D380" s="16">
        <f>IF(B380="","",IFERROR(INDEX('Content Calendar'!$B$5:$B$604,MATCH(B380,'Content Calendar'!$A$5:$A$604,0)),"Not found"))</f>
        <v>0</v>
      </c>
      <c r="E380" s="17">
        <f>IF(B380="","",IFERROR(INDEX('Content Calendar'!$D$5:$D$604,MATCH(B380,'Content Calendar'!$A$5:$A$604,0)),"Not found"))</f>
        <v>0</v>
      </c>
      <c r="F380" s="17">
        <f>IF(B380="","",IFERROR(INDEX('Content Calendar'!$G$5:$G$604,MATCH(B380,'Content Calendar'!$A$5:$A$604,0)),"Not found"))</f>
        <v>0</v>
      </c>
      <c r="G380" s="17">
        <f>IF(B380="","",IFERROR(INDEX('Content Calendar'!$K$5:$K$604,MATCH(B380,'Content Calendar'!$A$5:$A$604,0)),"Not found"))</f>
        <v>0</v>
      </c>
      <c r="H380" s="17">
        <f>IF(B380="","",IFERROR(INDEX('Content Calendar'!$J$5:$J$604,MATCH(B380,'Content Calendar'!$A$5:$A$604,0)),"Not found"))</f>
        <v>0</v>
      </c>
      <c r="I380" s="17">
        <f>IF(B380="","",IFERROR(INDEX('Content Calendar'!$L$5:$L$604,MATCH(B380,'Content Calendar'!$A$5:$A$604,0)),"Not found"))</f>
        <v>0</v>
      </c>
      <c r="J380" s="17">
        <f>IF(B380="","",IFERROR(INDEX('Content Calendar'!$P$5:$P$604,MATCH(B380,'Content Calendar'!$A$5:$A$604,0)),"Not found"))</f>
        <v>0</v>
      </c>
      <c r="K380" s="17">
        <f>IF(B380="","",IFERROR(INDEX('Content Calendar'!$O$5:$O$604,MATCH(B380,'Content Calendar'!$A$5:$A$604,0)),"Not found"))</f>
        <v>0</v>
      </c>
      <c r="L380" s="17">
        <f>IF(B380="","",IFERROR(INDEX('Content Calendar'!$N$5:$N$604,MATCH(B380,'Content Calendar'!$A$5:$A$604,0)),"Not found"))</f>
        <v>0</v>
      </c>
      <c r="M380" s="17">
        <f>IF(B380="","",IFERROR(INDEX('Content Calendar'!$C$5:$C$604,MATCH(B380,'Content Calendar'!$A$5:$A$604,0)),"Not found"))</f>
        <v>0</v>
      </c>
      <c r="N380" s="17">
        <f>IF(B380="","",IFERROR(INDEX('Content Calendar'!$F$5:$F$604,MATCH(B380,'Content Calendar'!$A$5:$A$604,0)),"Not found"))</f>
        <v>0</v>
      </c>
      <c r="Z380" s="23">
        <f>IF(O380="","",N(Q380)+N(R380)+N(S380)+N(T380))</f>
        <v>0</v>
      </c>
      <c r="AA380" s="24">
        <f>IF(OR(O380="",O380=0),"",Z380/O380)</f>
        <v>0</v>
      </c>
      <c r="AB380" s="24">
        <f>IF(OR(O380="",O380=0),"",N(T380)/O380)</f>
        <v>0</v>
      </c>
      <c r="AC380" s="24">
        <f>IF(OR(O380="",O380=0),"",N(S380)/O380)</f>
        <v>0</v>
      </c>
      <c r="AD380" s="24">
        <f>IF(OR(O380="",O380=0),"",N(R380)/O380)</f>
        <v>0</v>
      </c>
      <c r="AE380" s="24">
        <f>IF(OR(O380="",O380=0),"",N(U380)/O380)</f>
        <v>0</v>
      </c>
      <c r="AF380" s="24">
        <f>IF(OR(U380="",U380=0),"",N(W380)/U380)</f>
        <v>0</v>
      </c>
      <c r="AG380" s="25">
        <f>IF(OR(O380="",O380=0),"",N(X380)/(O380/1000))</f>
        <v>0</v>
      </c>
      <c r="AH380" s="24">
        <f>IF(O380="","",IF(Y380="",TargetEngagement,Y380))</f>
        <v>0</v>
      </c>
      <c r="AI380" s="24">
        <f>IF(OR(AA380="",AH380=""),"",AA380-AH380)</f>
        <v>0</v>
      </c>
      <c r="AJ380" s="31">
        <f>IF(AA380="","",AA380+ROW()/1000000)</f>
        <v>0</v>
      </c>
      <c r="AK380" s="23">
        <f>IF(AA380="","",RANK(AJ380,Performance!$AJ$5:$AJ$404))</f>
        <v>0</v>
      </c>
      <c r="AL380" s="29">
        <f>IF(AA380="","",IF(AA380&gt;=AH380*1.5,"Top performer",IF(AA380&gt;=AH380,"Above target",IF(AA380&gt;=AH380*0.6,"Below target","Weak - review it"))))</f>
        <v>0</v>
      </c>
      <c r="AM380" s="29">
        <f>IF(B380="","",IF(COUNTIF(Performance!$B$5:$B$404,B380)&gt;1,"Duplicate","OK"))</f>
        <v>0</v>
      </c>
      <c r="AN380" s="29">
        <f>IF(B380="","",IF(C380="Not found","Check - content ID not on the calendar",IF(O380="","Add - no numbers entered yet",IF(AM380="Duplicate","Duplicate - this post is entered twice",IF(AL380="Top performer","Repurpose this one","OK")))))</f>
        <v>0</v>
      </c>
    </row>
    <row r="381" spans="1:40">
      <c r="A381" s="41">
        <f>IF(B381="","","PF-"&amp;TEXT(ROW()-4,"0000"))</f>
        <v>0</v>
      </c>
      <c r="C381" s="17">
        <f>IF(B381="","",IFERROR(INDEX('Content Calendar'!$H$5:$H$604,MATCH(B381,'Content Calendar'!$A$5:$A$604,0)),"Not found"))</f>
        <v>0</v>
      </c>
      <c r="D381" s="16">
        <f>IF(B381="","",IFERROR(INDEX('Content Calendar'!$B$5:$B$604,MATCH(B381,'Content Calendar'!$A$5:$A$604,0)),"Not found"))</f>
        <v>0</v>
      </c>
      <c r="E381" s="17">
        <f>IF(B381="","",IFERROR(INDEX('Content Calendar'!$D$5:$D$604,MATCH(B381,'Content Calendar'!$A$5:$A$604,0)),"Not found"))</f>
        <v>0</v>
      </c>
      <c r="F381" s="17">
        <f>IF(B381="","",IFERROR(INDEX('Content Calendar'!$G$5:$G$604,MATCH(B381,'Content Calendar'!$A$5:$A$604,0)),"Not found"))</f>
        <v>0</v>
      </c>
      <c r="G381" s="17">
        <f>IF(B381="","",IFERROR(INDEX('Content Calendar'!$K$5:$K$604,MATCH(B381,'Content Calendar'!$A$5:$A$604,0)),"Not found"))</f>
        <v>0</v>
      </c>
      <c r="H381" s="17">
        <f>IF(B381="","",IFERROR(INDEX('Content Calendar'!$J$5:$J$604,MATCH(B381,'Content Calendar'!$A$5:$A$604,0)),"Not found"))</f>
        <v>0</v>
      </c>
      <c r="I381" s="17">
        <f>IF(B381="","",IFERROR(INDEX('Content Calendar'!$L$5:$L$604,MATCH(B381,'Content Calendar'!$A$5:$A$604,0)),"Not found"))</f>
        <v>0</v>
      </c>
      <c r="J381" s="17">
        <f>IF(B381="","",IFERROR(INDEX('Content Calendar'!$P$5:$P$604,MATCH(B381,'Content Calendar'!$A$5:$A$604,0)),"Not found"))</f>
        <v>0</v>
      </c>
      <c r="K381" s="17">
        <f>IF(B381="","",IFERROR(INDEX('Content Calendar'!$O$5:$O$604,MATCH(B381,'Content Calendar'!$A$5:$A$604,0)),"Not found"))</f>
        <v>0</v>
      </c>
      <c r="L381" s="17">
        <f>IF(B381="","",IFERROR(INDEX('Content Calendar'!$N$5:$N$604,MATCH(B381,'Content Calendar'!$A$5:$A$604,0)),"Not found"))</f>
        <v>0</v>
      </c>
      <c r="M381" s="17">
        <f>IF(B381="","",IFERROR(INDEX('Content Calendar'!$C$5:$C$604,MATCH(B381,'Content Calendar'!$A$5:$A$604,0)),"Not found"))</f>
        <v>0</v>
      </c>
      <c r="N381" s="17">
        <f>IF(B381="","",IFERROR(INDEX('Content Calendar'!$F$5:$F$604,MATCH(B381,'Content Calendar'!$A$5:$A$604,0)),"Not found"))</f>
        <v>0</v>
      </c>
      <c r="Z381" s="23">
        <f>IF(O381="","",N(Q381)+N(R381)+N(S381)+N(T381))</f>
        <v>0</v>
      </c>
      <c r="AA381" s="24">
        <f>IF(OR(O381="",O381=0),"",Z381/O381)</f>
        <v>0</v>
      </c>
      <c r="AB381" s="24">
        <f>IF(OR(O381="",O381=0),"",N(T381)/O381)</f>
        <v>0</v>
      </c>
      <c r="AC381" s="24">
        <f>IF(OR(O381="",O381=0),"",N(S381)/O381)</f>
        <v>0</v>
      </c>
      <c r="AD381" s="24">
        <f>IF(OR(O381="",O381=0),"",N(R381)/O381)</f>
        <v>0</v>
      </c>
      <c r="AE381" s="24">
        <f>IF(OR(O381="",O381=0),"",N(U381)/O381)</f>
        <v>0</v>
      </c>
      <c r="AF381" s="24">
        <f>IF(OR(U381="",U381=0),"",N(W381)/U381)</f>
        <v>0</v>
      </c>
      <c r="AG381" s="25">
        <f>IF(OR(O381="",O381=0),"",N(X381)/(O381/1000))</f>
        <v>0</v>
      </c>
      <c r="AH381" s="24">
        <f>IF(O381="","",IF(Y381="",TargetEngagement,Y381))</f>
        <v>0</v>
      </c>
      <c r="AI381" s="24">
        <f>IF(OR(AA381="",AH381=""),"",AA381-AH381)</f>
        <v>0</v>
      </c>
      <c r="AJ381" s="31">
        <f>IF(AA381="","",AA381+ROW()/1000000)</f>
        <v>0</v>
      </c>
      <c r="AK381" s="23">
        <f>IF(AA381="","",RANK(AJ381,Performance!$AJ$5:$AJ$404))</f>
        <v>0</v>
      </c>
      <c r="AL381" s="29">
        <f>IF(AA381="","",IF(AA381&gt;=AH381*1.5,"Top performer",IF(AA381&gt;=AH381,"Above target",IF(AA381&gt;=AH381*0.6,"Below target","Weak - review it"))))</f>
        <v>0</v>
      </c>
      <c r="AM381" s="29">
        <f>IF(B381="","",IF(COUNTIF(Performance!$B$5:$B$404,B381)&gt;1,"Duplicate","OK"))</f>
        <v>0</v>
      </c>
      <c r="AN381" s="29">
        <f>IF(B381="","",IF(C381="Not found","Check - content ID not on the calendar",IF(O381="","Add - no numbers entered yet",IF(AM381="Duplicate","Duplicate - this post is entered twice",IF(AL381="Top performer","Repurpose this one","OK")))))</f>
        <v>0</v>
      </c>
    </row>
    <row r="382" spans="1:40">
      <c r="A382" s="41">
        <f>IF(B382="","","PF-"&amp;TEXT(ROW()-4,"0000"))</f>
        <v>0</v>
      </c>
      <c r="C382" s="17">
        <f>IF(B382="","",IFERROR(INDEX('Content Calendar'!$H$5:$H$604,MATCH(B382,'Content Calendar'!$A$5:$A$604,0)),"Not found"))</f>
        <v>0</v>
      </c>
      <c r="D382" s="16">
        <f>IF(B382="","",IFERROR(INDEX('Content Calendar'!$B$5:$B$604,MATCH(B382,'Content Calendar'!$A$5:$A$604,0)),"Not found"))</f>
        <v>0</v>
      </c>
      <c r="E382" s="17">
        <f>IF(B382="","",IFERROR(INDEX('Content Calendar'!$D$5:$D$604,MATCH(B382,'Content Calendar'!$A$5:$A$604,0)),"Not found"))</f>
        <v>0</v>
      </c>
      <c r="F382" s="17">
        <f>IF(B382="","",IFERROR(INDEX('Content Calendar'!$G$5:$G$604,MATCH(B382,'Content Calendar'!$A$5:$A$604,0)),"Not found"))</f>
        <v>0</v>
      </c>
      <c r="G382" s="17">
        <f>IF(B382="","",IFERROR(INDEX('Content Calendar'!$K$5:$K$604,MATCH(B382,'Content Calendar'!$A$5:$A$604,0)),"Not found"))</f>
        <v>0</v>
      </c>
      <c r="H382" s="17">
        <f>IF(B382="","",IFERROR(INDEX('Content Calendar'!$J$5:$J$604,MATCH(B382,'Content Calendar'!$A$5:$A$604,0)),"Not found"))</f>
        <v>0</v>
      </c>
      <c r="I382" s="17">
        <f>IF(B382="","",IFERROR(INDEX('Content Calendar'!$L$5:$L$604,MATCH(B382,'Content Calendar'!$A$5:$A$604,0)),"Not found"))</f>
        <v>0</v>
      </c>
      <c r="J382" s="17">
        <f>IF(B382="","",IFERROR(INDEX('Content Calendar'!$P$5:$P$604,MATCH(B382,'Content Calendar'!$A$5:$A$604,0)),"Not found"))</f>
        <v>0</v>
      </c>
      <c r="K382" s="17">
        <f>IF(B382="","",IFERROR(INDEX('Content Calendar'!$O$5:$O$604,MATCH(B382,'Content Calendar'!$A$5:$A$604,0)),"Not found"))</f>
        <v>0</v>
      </c>
      <c r="L382" s="17">
        <f>IF(B382="","",IFERROR(INDEX('Content Calendar'!$N$5:$N$604,MATCH(B382,'Content Calendar'!$A$5:$A$604,0)),"Not found"))</f>
        <v>0</v>
      </c>
      <c r="M382" s="17">
        <f>IF(B382="","",IFERROR(INDEX('Content Calendar'!$C$5:$C$604,MATCH(B382,'Content Calendar'!$A$5:$A$604,0)),"Not found"))</f>
        <v>0</v>
      </c>
      <c r="N382" s="17">
        <f>IF(B382="","",IFERROR(INDEX('Content Calendar'!$F$5:$F$604,MATCH(B382,'Content Calendar'!$A$5:$A$604,0)),"Not found"))</f>
        <v>0</v>
      </c>
      <c r="Z382" s="23">
        <f>IF(O382="","",N(Q382)+N(R382)+N(S382)+N(T382))</f>
        <v>0</v>
      </c>
      <c r="AA382" s="24">
        <f>IF(OR(O382="",O382=0),"",Z382/O382)</f>
        <v>0</v>
      </c>
      <c r="AB382" s="24">
        <f>IF(OR(O382="",O382=0),"",N(T382)/O382)</f>
        <v>0</v>
      </c>
      <c r="AC382" s="24">
        <f>IF(OR(O382="",O382=0),"",N(S382)/O382)</f>
        <v>0</v>
      </c>
      <c r="AD382" s="24">
        <f>IF(OR(O382="",O382=0),"",N(R382)/O382)</f>
        <v>0</v>
      </c>
      <c r="AE382" s="24">
        <f>IF(OR(O382="",O382=0),"",N(U382)/O382)</f>
        <v>0</v>
      </c>
      <c r="AF382" s="24">
        <f>IF(OR(U382="",U382=0),"",N(W382)/U382)</f>
        <v>0</v>
      </c>
      <c r="AG382" s="25">
        <f>IF(OR(O382="",O382=0),"",N(X382)/(O382/1000))</f>
        <v>0</v>
      </c>
      <c r="AH382" s="24">
        <f>IF(O382="","",IF(Y382="",TargetEngagement,Y382))</f>
        <v>0</v>
      </c>
      <c r="AI382" s="24">
        <f>IF(OR(AA382="",AH382=""),"",AA382-AH382)</f>
        <v>0</v>
      </c>
      <c r="AJ382" s="31">
        <f>IF(AA382="","",AA382+ROW()/1000000)</f>
        <v>0</v>
      </c>
      <c r="AK382" s="23">
        <f>IF(AA382="","",RANK(AJ382,Performance!$AJ$5:$AJ$404))</f>
        <v>0</v>
      </c>
      <c r="AL382" s="29">
        <f>IF(AA382="","",IF(AA382&gt;=AH382*1.5,"Top performer",IF(AA382&gt;=AH382,"Above target",IF(AA382&gt;=AH382*0.6,"Below target","Weak - review it"))))</f>
        <v>0</v>
      </c>
      <c r="AM382" s="29">
        <f>IF(B382="","",IF(COUNTIF(Performance!$B$5:$B$404,B382)&gt;1,"Duplicate","OK"))</f>
        <v>0</v>
      </c>
      <c r="AN382" s="29">
        <f>IF(B382="","",IF(C382="Not found","Check - content ID not on the calendar",IF(O382="","Add - no numbers entered yet",IF(AM382="Duplicate","Duplicate - this post is entered twice",IF(AL382="Top performer","Repurpose this one","OK")))))</f>
        <v>0</v>
      </c>
    </row>
    <row r="383" spans="1:40">
      <c r="A383" s="41">
        <f>IF(B383="","","PF-"&amp;TEXT(ROW()-4,"0000"))</f>
        <v>0</v>
      </c>
      <c r="C383" s="17">
        <f>IF(B383="","",IFERROR(INDEX('Content Calendar'!$H$5:$H$604,MATCH(B383,'Content Calendar'!$A$5:$A$604,0)),"Not found"))</f>
        <v>0</v>
      </c>
      <c r="D383" s="16">
        <f>IF(B383="","",IFERROR(INDEX('Content Calendar'!$B$5:$B$604,MATCH(B383,'Content Calendar'!$A$5:$A$604,0)),"Not found"))</f>
        <v>0</v>
      </c>
      <c r="E383" s="17">
        <f>IF(B383="","",IFERROR(INDEX('Content Calendar'!$D$5:$D$604,MATCH(B383,'Content Calendar'!$A$5:$A$604,0)),"Not found"))</f>
        <v>0</v>
      </c>
      <c r="F383" s="17">
        <f>IF(B383="","",IFERROR(INDEX('Content Calendar'!$G$5:$G$604,MATCH(B383,'Content Calendar'!$A$5:$A$604,0)),"Not found"))</f>
        <v>0</v>
      </c>
      <c r="G383" s="17">
        <f>IF(B383="","",IFERROR(INDEX('Content Calendar'!$K$5:$K$604,MATCH(B383,'Content Calendar'!$A$5:$A$604,0)),"Not found"))</f>
        <v>0</v>
      </c>
      <c r="H383" s="17">
        <f>IF(B383="","",IFERROR(INDEX('Content Calendar'!$J$5:$J$604,MATCH(B383,'Content Calendar'!$A$5:$A$604,0)),"Not found"))</f>
        <v>0</v>
      </c>
      <c r="I383" s="17">
        <f>IF(B383="","",IFERROR(INDEX('Content Calendar'!$L$5:$L$604,MATCH(B383,'Content Calendar'!$A$5:$A$604,0)),"Not found"))</f>
        <v>0</v>
      </c>
      <c r="J383" s="17">
        <f>IF(B383="","",IFERROR(INDEX('Content Calendar'!$P$5:$P$604,MATCH(B383,'Content Calendar'!$A$5:$A$604,0)),"Not found"))</f>
        <v>0</v>
      </c>
      <c r="K383" s="17">
        <f>IF(B383="","",IFERROR(INDEX('Content Calendar'!$O$5:$O$604,MATCH(B383,'Content Calendar'!$A$5:$A$604,0)),"Not found"))</f>
        <v>0</v>
      </c>
      <c r="L383" s="17">
        <f>IF(B383="","",IFERROR(INDEX('Content Calendar'!$N$5:$N$604,MATCH(B383,'Content Calendar'!$A$5:$A$604,0)),"Not found"))</f>
        <v>0</v>
      </c>
      <c r="M383" s="17">
        <f>IF(B383="","",IFERROR(INDEX('Content Calendar'!$C$5:$C$604,MATCH(B383,'Content Calendar'!$A$5:$A$604,0)),"Not found"))</f>
        <v>0</v>
      </c>
      <c r="N383" s="17">
        <f>IF(B383="","",IFERROR(INDEX('Content Calendar'!$F$5:$F$604,MATCH(B383,'Content Calendar'!$A$5:$A$604,0)),"Not found"))</f>
        <v>0</v>
      </c>
      <c r="Z383" s="23">
        <f>IF(O383="","",N(Q383)+N(R383)+N(S383)+N(T383))</f>
        <v>0</v>
      </c>
      <c r="AA383" s="24">
        <f>IF(OR(O383="",O383=0),"",Z383/O383)</f>
        <v>0</v>
      </c>
      <c r="AB383" s="24">
        <f>IF(OR(O383="",O383=0),"",N(T383)/O383)</f>
        <v>0</v>
      </c>
      <c r="AC383" s="24">
        <f>IF(OR(O383="",O383=0),"",N(S383)/O383)</f>
        <v>0</v>
      </c>
      <c r="AD383" s="24">
        <f>IF(OR(O383="",O383=0),"",N(R383)/O383)</f>
        <v>0</v>
      </c>
      <c r="AE383" s="24">
        <f>IF(OR(O383="",O383=0),"",N(U383)/O383)</f>
        <v>0</v>
      </c>
      <c r="AF383" s="24">
        <f>IF(OR(U383="",U383=0),"",N(W383)/U383)</f>
        <v>0</v>
      </c>
      <c r="AG383" s="25">
        <f>IF(OR(O383="",O383=0),"",N(X383)/(O383/1000))</f>
        <v>0</v>
      </c>
      <c r="AH383" s="24">
        <f>IF(O383="","",IF(Y383="",TargetEngagement,Y383))</f>
        <v>0</v>
      </c>
      <c r="AI383" s="24">
        <f>IF(OR(AA383="",AH383=""),"",AA383-AH383)</f>
        <v>0</v>
      </c>
      <c r="AJ383" s="31">
        <f>IF(AA383="","",AA383+ROW()/1000000)</f>
        <v>0</v>
      </c>
      <c r="AK383" s="23">
        <f>IF(AA383="","",RANK(AJ383,Performance!$AJ$5:$AJ$404))</f>
        <v>0</v>
      </c>
      <c r="AL383" s="29">
        <f>IF(AA383="","",IF(AA383&gt;=AH383*1.5,"Top performer",IF(AA383&gt;=AH383,"Above target",IF(AA383&gt;=AH383*0.6,"Below target","Weak - review it"))))</f>
        <v>0</v>
      </c>
      <c r="AM383" s="29">
        <f>IF(B383="","",IF(COUNTIF(Performance!$B$5:$B$404,B383)&gt;1,"Duplicate","OK"))</f>
        <v>0</v>
      </c>
      <c r="AN383" s="29">
        <f>IF(B383="","",IF(C383="Not found","Check - content ID not on the calendar",IF(O383="","Add - no numbers entered yet",IF(AM383="Duplicate","Duplicate - this post is entered twice",IF(AL383="Top performer","Repurpose this one","OK")))))</f>
        <v>0</v>
      </c>
    </row>
    <row r="384" spans="1:40">
      <c r="A384" s="41">
        <f>IF(B384="","","PF-"&amp;TEXT(ROW()-4,"0000"))</f>
        <v>0</v>
      </c>
      <c r="C384" s="17">
        <f>IF(B384="","",IFERROR(INDEX('Content Calendar'!$H$5:$H$604,MATCH(B384,'Content Calendar'!$A$5:$A$604,0)),"Not found"))</f>
        <v>0</v>
      </c>
      <c r="D384" s="16">
        <f>IF(B384="","",IFERROR(INDEX('Content Calendar'!$B$5:$B$604,MATCH(B384,'Content Calendar'!$A$5:$A$604,0)),"Not found"))</f>
        <v>0</v>
      </c>
      <c r="E384" s="17">
        <f>IF(B384="","",IFERROR(INDEX('Content Calendar'!$D$5:$D$604,MATCH(B384,'Content Calendar'!$A$5:$A$604,0)),"Not found"))</f>
        <v>0</v>
      </c>
      <c r="F384" s="17">
        <f>IF(B384="","",IFERROR(INDEX('Content Calendar'!$G$5:$G$604,MATCH(B384,'Content Calendar'!$A$5:$A$604,0)),"Not found"))</f>
        <v>0</v>
      </c>
      <c r="G384" s="17">
        <f>IF(B384="","",IFERROR(INDEX('Content Calendar'!$K$5:$K$604,MATCH(B384,'Content Calendar'!$A$5:$A$604,0)),"Not found"))</f>
        <v>0</v>
      </c>
      <c r="H384" s="17">
        <f>IF(B384="","",IFERROR(INDEX('Content Calendar'!$J$5:$J$604,MATCH(B384,'Content Calendar'!$A$5:$A$604,0)),"Not found"))</f>
        <v>0</v>
      </c>
      <c r="I384" s="17">
        <f>IF(B384="","",IFERROR(INDEX('Content Calendar'!$L$5:$L$604,MATCH(B384,'Content Calendar'!$A$5:$A$604,0)),"Not found"))</f>
        <v>0</v>
      </c>
      <c r="J384" s="17">
        <f>IF(B384="","",IFERROR(INDEX('Content Calendar'!$P$5:$P$604,MATCH(B384,'Content Calendar'!$A$5:$A$604,0)),"Not found"))</f>
        <v>0</v>
      </c>
      <c r="K384" s="17">
        <f>IF(B384="","",IFERROR(INDEX('Content Calendar'!$O$5:$O$604,MATCH(B384,'Content Calendar'!$A$5:$A$604,0)),"Not found"))</f>
        <v>0</v>
      </c>
      <c r="L384" s="17">
        <f>IF(B384="","",IFERROR(INDEX('Content Calendar'!$N$5:$N$604,MATCH(B384,'Content Calendar'!$A$5:$A$604,0)),"Not found"))</f>
        <v>0</v>
      </c>
      <c r="M384" s="17">
        <f>IF(B384="","",IFERROR(INDEX('Content Calendar'!$C$5:$C$604,MATCH(B384,'Content Calendar'!$A$5:$A$604,0)),"Not found"))</f>
        <v>0</v>
      </c>
      <c r="N384" s="17">
        <f>IF(B384="","",IFERROR(INDEX('Content Calendar'!$F$5:$F$604,MATCH(B384,'Content Calendar'!$A$5:$A$604,0)),"Not found"))</f>
        <v>0</v>
      </c>
      <c r="Z384" s="23">
        <f>IF(O384="","",N(Q384)+N(R384)+N(S384)+N(T384))</f>
        <v>0</v>
      </c>
      <c r="AA384" s="24">
        <f>IF(OR(O384="",O384=0),"",Z384/O384)</f>
        <v>0</v>
      </c>
      <c r="AB384" s="24">
        <f>IF(OR(O384="",O384=0),"",N(T384)/O384)</f>
        <v>0</v>
      </c>
      <c r="AC384" s="24">
        <f>IF(OR(O384="",O384=0),"",N(S384)/O384)</f>
        <v>0</v>
      </c>
      <c r="AD384" s="24">
        <f>IF(OR(O384="",O384=0),"",N(R384)/O384)</f>
        <v>0</v>
      </c>
      <c r="AE384" s="24">
        <f>IF(OR(O384="",O384=0),"",N(U384)/O384)</f>
        <v>0</v>
      </c>
      <c r="AF384" s="24">
        <f>IF(OR(U384="",U384=0),"",N(W384)/U384)</f>
        <v>0</v>
      </c>
      <c r="AG384" s="25">
        <f>IF(OR(O384="",O384=0),"",N(X384)/(O384/1000))</f>
        <v>0</v>
      </c>
      <c r="AH384" s="24">
        <f>IF(O384="","",IF(Y384="",TargetEngagement,Y384))</f>
        <v>0</v>
      </c>
      <c r="AI384" s="24">
        <f>IF(OR(AA384="",AH384=""),"",AA384-AH384)</f>
        <v>0</v>
      </c>
      <c r="AJ384" s="31">
        <f>IF(AA384="","",AA384+ROW()/1000000)</f>
        <v>0</v>
      </c>
      <c r="AK384" s="23">
        <f>IF(AA384="","",RANK(AJ384,Performance!$AJ$5:$AJ$404))</f>
        <v>0</v>
      </c>
      <c r="AL384" s="29">
        <f>IF(AA384="","",IF(AA384&gt;=AH384*1.5,"Top performer",IF(AA384&gt;=AH384,"Above target",IF(AA384&gt;=AH384*0.6,"Below target","Weak - review it"))))</f>
        <v>0</v>
      </c>
      <c r="AM384" s="29">
        <f>IF(B384="","",IF(COUNTIF(Performance!$B$5:$B$404,B384)&gt;1,"Duplicate","OK"))</f>
        <v>0</v>
      </c>
      <c r="AN384" s="29">
        <f>IF(B384="","",IF(C384="Not found","Check - content ID not on the calendar",IF(O384="","Add - no numbers entered yet",IF(AM384="Duplicate","Duplicate - this post is entered twice",IF(AL384="Top performer","Repurpose this one","OK")))))</f>
        <v>0</v>
      </c>
    </row>
    <row r="385" spans="1:40">
      <c r="A385" s="41">
        <f>IF(B385="","","PF-"&amp;TEXT(ROW()-4,"0000"))</f>
        <v>0</v>
      </c>
      <c r="C385" s="17">
        <f>IF(B385="","",IFERROR(INDEX('Content Calendar'!$H$5:$H$604,MATCH(B385,'Content Calendar'!$A$5:$A$604,0)),"Not found"))</f>
        <v>0</v>
      </c>
      <c r="D385" s="16">
        <f>IF(B385="","",IFERROR(INDEX('Content Calendar'!$B$5:$B$604,MATCH(B385,'Content Calendar'!$A$5:$A$604,0)),"Not found"))</f>
        <v>0</v>
      </c>
      <c r="E385" s="17">
        <f>IF(B385="","",IFERROR(INDEX('Content Calendar'!$D$5:$D$604,MATCH(B385,'Content Calendar'!$A$5:$A$604,0)),"Not found"))</f>
        <v>0</v>
      </c>
      <c r="F385" s="17">
        <f>IF(B385="","",IFERROR(INDEX('Content Calendar'!$G$5:$G$604,MATCH(B385,'Content Calendar'!$A$5:$A$604,0)),"Not found"))</f>
        <v>0</v>
      </c>
      <c r="G385" s="17">
        <f>IF(B385="","",IFERROR(INDEX('Content Calendar'!$K$5:$K$604,MATCH(B385,'Content Calendar'!$A$5:$A$604,0)),"Not found"))</f>
        <v>0</v>
      </c>
      <c r="H385" s="17">
        <f>IF(B385="","",IFERROR(INDEX('Content Calendar'!$J$5:$J$604,MATCH(B385,'Content Calendar'!$A$5:$A$604,0)),"Not found"))</f>
        <v>0</v>
      </c>
      <c r="I385" s="17">
        <f>IF(B385="","",IFERROR(INDEX('Content Calendar'!$L$5:$L$604,MATCH(B385,'Content Calendar'!$A$5:$A$604,0)),"Not found"))</f>
        <v>0</v>
      </c>
      <c r="J385" s="17">
        <f>IF(B385="","",IFERROR(INDEX('Content Calendar'!$P$5:$P$604,MATCH(B385,'Content Calendar'!$A$5:$A$604,0)),"Not found"))</f>
        <v>0</v>
      </c>
      <c r="K385" s="17">
        <f>IF(B385="","",IFERROR(INDEX('Content Calendar'!$O$5:$O$604,MATCH(B385,'Content Calendar'!$A$5:$A$604,0)),"Not found"))</f>
        <v>0</v>
      </c>
      <c r="L385" s="17">
        <f>IF(B385="","",IFERROR(INDEX('Content Calendar'!$N$5:$N$604,MATCH(B385,'Content Calendar'!$A$5:$A$604,0)),"Not found"))</f>
        <v>0</v>
      </c>
      <c r="M385" s="17">
        <f>IF(B385="","",IFERROR(INDEX('Content Calendar'!$C$5:$C$604,MATCH(B385,'Content Calendar'!$A$5:$A$604,0)),"Not found"))</f>
        <v>0</v>
      </c>
      <c r="N385" s="17">
        <f>IF(B385="","",IFERROR(INDEX('Content Calendar'!$F$5:$F$604,MATCH(B385,'Content Calendar'!$A$5:$A$604,0)),"Not found"))</f>
        <v>0</v>
      </c>
      <c r="Z385" s="23">
        <f>IF(O385="","",N(Q385)+N(R385)+N(S385)+N(T385))</f>
        <v>0</v>
      </c>
      <c r="AA385" s="24">
        <f>IF(OR(O385="",O385=0),"",Z385/O385)</f>
        <v>0</v>
      </c>
      <c r="AB385" s="24">
        <f>IF(OR(O385="",O385=0),"",N(T385)/O385)</f>
        <v>0</v>
      </c>
      <c r="AC385" s="24">
        <f>IF(OR(O385="",O385=0),"",N(S385)/O385)</f>
        <v>0</v>
      </c>
      <c r="AD385" s="24">
        <f>IF(OR(O385="",O385=0),"",N(R385)/O385)</f>
        <v>0</v>
      </c>
      <c r="AE385" s="24">
        <f>IF(OR(O385="",O385=0),"",N(U385)/O385)</f>
        <v>0</v>
      </c>
      <c r="AF385" s="24">
        <f>IF(OR(U385="",U385=0),"",N(W385)/U385)</f>
        <v>0</v>
      </c>
      <c r="AG385" s="25">
        <f>IF(OR(O385="",O385=0),"",N(X385)/(O385/1000))</f>
        <v>0</v>
      </c>
      <c r="AH385" s="24">
        <f>IF(O385="","",IF(Y385="",TargetEngagement,Y385))</f>
        <v>0</v>
      </c>
      <c r="AI385" s="24">
        <f>IF(OR(AA385="",AH385=""),"",AA385-AH385)</f>
        <v>0</v>
      </c>
      <c r="AJ385" s="31">
        <f>IF(AA385="","",AA385+ROW()/1000000)</f>
        <v>0</v>
      </c>
      <c r="AK385" s="23">
        <f>IF(AA385="","",RANK(AJ385,Performance!$AJ$5:$AJ$404))</f>
        <v>0</v>
      </c>
      <c r="AL385" s="29">
        <f>IF(AA385="","",IF(AA385&gt;=AH385*1.5,"Top performer",IF(AA385&gt;=AH385,"Above target",IF(AA385&gt;=AH385*0.6,"Below target","Weak - review it"))))</f>
        <v>0</v>
      </c>
      <c r="AM385" s="29">
        <f>IF(B385="","",IF(COUNTIF(Performance!$B$5:$B$404,B385)&gt;1,"Duplicate","OK"))</f>
        <v>0</v>
      </c>
      <c r="AN385" s="29">
        <f>IF(B385="","",IF(C385="Not found","Check - content ID not on the calendar",IF(O385="","Add - no numbers entered yet",IF(AM385="Duplicate","Duplicate - this post is entered twice",IF(AL385="Top performer","Repurpose this one","OK")))))</f>
        <v>0</v>
      </c>
    </row>
    <row r="386" spans="1:40">
      <c r="A386" s="41">
        <f>IF(B386="","","PF-"&amp;TEXT(ROW()-4,"0000"))</f>
        <v>0</v>
      </c>
      <c r="C386" s="17">
        <f>IF(B386="","",IFERROR(INDEX('Content Calendar'!$H$5:$H$604,MATCH(B386,'Content Calendar'!$A$5:$A$604,0)),"Not found"))</f>
        <v>0</v>
      </c>
      <c r="D386" s="16">
        <f>IF(B386="","",IFERROR(INDEX('Content Calendar'!$B$5:$B$604,MATCH(B386,'Content Calendar'!$A$5:$A$604,0)),"Not found"))</f>
        <v>0</v>
      </c>
      <c r="E386" s="17">
        <f>IF(B386="","",IFERROR(INDEX('Content Calendar'!$D$5:$D$604,MATCH(B386,'Content Calendar'!$A$5:$A$604,0)),"Not found"))</f>
        <v>0</v>
      </c>
      <c r="F386" s="17">
        <f>IF(B386="","",IFERROR(INDEX('Content Calendar'!$G$5:$G$604,MATCH(B386,'Content Calendar'!$A$5:$A$604,0)),"Not found"))</f>
        <v>0</v>
      </c>
      <c r="G386" s="17">
        <f>IF(B386="","",IFERROR(INDEX('Content Calendar'!$K$5:$K$604,MATCH(B386,'Content Calendar'!$A$5:$A$604,0)),"Not found"))</f>
        <v>0</v>
      </c>
      <c r="H386" s="17">
        <f>IF(B386="","",IFERROR(INDEX('Content Calendar'!$J$5:$J$604,MATCH(B386,'Content Calendar'!$A$5:$A$604,0)),"Not found"))</f>
        <v>0</v>
      </c>
      <c r="I386" s="17">
        <f>IF(B386="","",IFERROR(INDEX('Content Calendar'!$L$5:$L$604,MATCH(B386,'Content Calendar'!$A$5:$A$604,0)),"Not found"))</f>
        <v>0</v>
      </c>
      <c r="J386" s="17">
        <f>IF(B386="","",IFERROR(INDEX('Content Calendar'!$P$5:$P$604,MATCH(B386,'Content Calendar'!$A$5:$A$604,0)),"Not found"))</f>
        <v>0</v>
      </c>
      <c r="K386" s="17">
        <f>IF(B386="","",IFERROR(INDEX('Content Calendar'!$O$5:$O$604,MATCH(B386,'Content Calendar'!$A$5:$A$604,0)),"Not found"))</f>
        <v>0</v>
      </c>
      <c r="L386" s="17">
        <f>IF(B386="","",IFERROR(INDEX('Content Calendar'!$N$5:$N$604,MATCH(B386,'Content Calendar'!$A$5:$A$604,0)),"Not found"))</f>
        <v>0</v>
      </c>
      <c r="M386" s="17">
        <f>IF(B386="","",IFERROR(INDEX('Content Calendar'!$C$5:$C$604,MATCH(B386,'Content Calendar'!$A$5:$A$604,0)),"Not found"))</f>
        <v>0</v>
      </c>
      <c r="N386" s="17">
        <f>IF(B386="","",IFERROR(INDEX('Content Calendar'!$F$5:$F$604,MATCH(B386,'Content Calendar'!$A$5:$A$604,0)),"Not found"))</f>
        <v>0</v>
      </c>
      <c r="Z386" s="23">
        <f>IF(O386="","",N(Q386)+N(R386)+N(S386)+N(T386))</f>
        <v>0</v>
      </c>
      <c r="AA386" s="24">
        <f>IF(OR(O386="",O386=0),"",Z386/O386)</f>
        <v>0</v>
      </c>
      <c r="AB386" s="24">
        <f>IF(OR(O386="",O386=0),"",N(T386)/O386)</f>
        <v>0</v>
      </c>
      <c r="AC386" s="24">
        <f>IF(OR(O386="",O386=0),"",N(S386)/O386)</f>
        <v>0</v>
      </c>
      <c r="AD386" s="24">
        <f>IF(OR(O386="",O386=0),"",N(R386)/O386)</f>
        <v>0</v>
      </c>
      <c r="AE386" s="24">
        <f>IF(OR(O386="",O386=0),"",N(U386)/O386)</f>
        <v>0</v>
      </c>
      <c r="AF386" s="24">
        <f>IF(OR(U386="",U386=0),"",N(W386)/U386)</f>
        <v>0</v>
      </c>
      <c r="AG386" s="25">
        <f>IF(OR(O386="",O386=0),"",N(X386)/(O386/1000))</f>
        <v>0</v>
      </c>
      <c r="AH386" s="24">
        <f>IF(O386="","",IF(Y386="",TargetEngagement,Y386))</f>
        <v>0</v>
      </c>
      <c r="AI386" s="24">
        <f>IF(OR(AA386="",AH386=""),"",AA386-AH386)</f>
        <v>0</v>
      </c>
      <c r="AJ386" s="31">
        <f>IF(AA386="","",AA386+ROW()/1000000)</f>
        <v>0</v>
      </c>
      <c r="AK386" s="23">
        <f>IF(AA386="","",RANK(AJ386,Performance!$AJ$5:$AJ$404))</f>
        <v>0</v>
      </c>
      <c r="AL386" s="29">
        <f>IF(AA386="","",IF(AA386&gt;=AH386*1.5,"Top performer",IF(AA386&gt;=AH386,"Above target",IF(AA386&gt;=AH386*0.6,"Below target","Weak - review it"))))</f>
        <v>0</v>
      </c>
      <c r="AM386" s="29">
        <f>IF(B386="","",IF(COUNTIF(Performance!$B$5:$B$404,B386)&gt;1,"Duplicate","OK"))</f>
        <v>0</v>
      </c>
      <c r="AN386" s="29">
        <f>IF(B386="","",IF(C386="Not found","Check - content ID not on the calendar",IF(O386="","Add - no numbers entered yet",IF(AM386="Duplicate","Duplicate - this post is entered twice",IF(AL386="Top performer","Repurpose this one","OK")))))</f>
        <v>0</v>
      </c>
    </row>
    <row r="387" spans="1:40">
      <c r="A387" s="41">
        <f>IF(B387="","","PF-"&amp;TEXT(ROW()-4,"0000"))</f>
        <v>0</v>
      </c>
      <c r="C387" s="17">
        <f>IF(B387="","",IFERROR(INDEX('Content Calendar'!$H$5:$H$604,MATCH(B387,'Content Calendar'!$A$5:$A$604,0)),"Not found"))</f>
        <v>0</v>
      </c>
      <c r="D387" s="16">
        <f>IF(B387="","",IFERROR(INDEX('Content Calendar'!$B$5:$B$604,MATCH(B387,'Content Calendar'!$A$5:$A$604,0)),"Not found"))</f>
        <v>0</v>
      </c>
      <c r="E387" s="17">
        <f>IF(B387="","",IFERROR(INDEX('Content Calendar'!$D$5:$D$604,MATCH(B387,'Content Calendar'!$A$5:$A$604,0)),"Not found"))</f>
        <v>0</v>
      </c>
      <c r="F387" s="17">
        <f>IF(B387="","",IFERROR(INDEX('Content Calendar'!$G$5:$G$604,MATCH(B387,'Content Calendar'!$A$5:$A$604,0)),"Not found"))</f>
        <v>0</v>
      </c>
      <c r="G387" s="17">
        <f>IF(B387="","",IFERROR(INDEX('Content Calendar'!$K$5:$K$604,MATCH(B387,'Content Calendar'!$A$5:$A$604,0)),"Not found"))</f>
        <v>0</v>
      </c>
      <c r="H387" s="17">
        <f>IF(B387="","",IFERROR(INDEX('Content Calendar'!$J$5:$J$604,MATCH(B387,'Content Calendar'!$A$5:$A$604,0)),"Not found"))</f>
        <v>0</v>
      </c>
      <c r="I387" s="17">
        <f>IF(B387="","",IFERROR(INDEX('Content Calendar'!$L$5:$L$604,MATCH(B387,'Content Calendar'!$A$5:$A$604,0)),"Not found"))</f>
        <v>0</v>
      </c>
      <c r="J387" s="17">
        <f>IF(B387="","",IFERROR(INDEX('Content Calendar'!$P$5:$P$604,MATCH(B387,'Content Calendar'!$A$5:$A$604,0)),"Not found"))</f>
        <v>0</v>
      </c>
      <c r="K387" s="17">
        <f>IF(B387="","",IFERROR(INDEX('Content Calendar'!$O$5:$O$604,MATCH(B387,'Content Calendar'!$A$5:$A$604,0)),"Not found"))</f>
        <v>0</v>
      </c>
      <c r="L387" s="17">
        <f>IF(B387="","",IFERROR(INDEX('Content Calendar'!$N$5:$N$604,MATCH(B387,'Content Calendar'!$A$5:$A$604,0)),"Not found"))</f>
        <v>0</v>
      </c>
      <c r="M387" s="17">
        <f>IF(B387="","",IFERROR(INDEX('Content Calendar'!$C$5:$C$604,MATCH(B387,'Content Calendar'!$A$5:$A$604,0)),"Not found"))</f>
        <v>0</v>
      </c>
      <c r="N387" s="17">
        <f>IF(B387="","",IFERROR(INDEX('Content Calendar'!$F$5:$F$604,MATCH(B387,'Content Calendar'!$A$5:$A$604,0)),"Not found"))</f>
        <v>0</v>
      </c>
      <c r="Z387" s="23">
        <f>IF(O387="","",N(Q387)+N(R387)+N(S387)+N(T387))</f>
        <v>0</v>
      </c>
      <c r="AA387" s="24">
        <f>IF(OR(O387="",O387=0),"",Z387/O387)</f>
        <v>0</v>
      </c>
      <c r="AB387" s="24">
        <f>IF(OR(O387="",O387=0),"",N(T387)/O387)</f>
        <v>0</v>
      </c>
      <c r="AC387" s="24">
        <f>IF(OR(O387="",O387=0),"",N(S387)/O387)</f>
        <v>0</v>
      </c>
      <c r="AD387" s="24">
        <f>IF(OR(O387="",O387=0),"",N(R387)/O387)</f>
        <v>0</v>
      </c>
      <c r="AE387" s="24">
        <f>IF(OR(O387="",O387=0),"",N(U387)/O387)</f>
        <v>0</v>
      </c>
      <c r="AF387" s="24">
        <f>IF(OR(U387="",U387=0),"",N(W387)/U387)</f>
        <v>0</v>
      </c>
      <c r="AG387" s="25">
        <f>IF(OR(O387="",O387=0),"",N(X387)/(O387/1000))</f>
        <v>0</v>
      </c>
      <c r="AH387" s="24">
        <f>IF(O387="","",IF(Y387="",TargetEngagement,Y387))</f>
        <v>0</v>
      </c>
      <c r="AI387" s="24">
        <f>IF(OR(AA387="",AH387=""),"",AA387-AH387)</f>
        <v>0</v>
      </c>
      <c r="AJ387" s="31">
        <f>IF(AA387="","",AA387+ROW()/1000000)</f>
        <v>0</v>
      </c>
      <c r="AK387" s="23">
        <f>IF(AA387="","",RANK(AJ387,Performance!$AJ$5:$AJ$404))</f>
        <v>0</v>
      </c>
      <c r="AL387" s="29">
        <f>IF(AA387="","",IF(AA387&gt;=AH387*1.5,"Top performer",IF(AA387&gt;=AH387,"Above target",IF(AA387&gt;=AH387*0.6,"Below target","Weak - review it"))))</f>
        <v>0</v>
      </c>
      <c r="AM387" s="29">
        <f>IF(B387="","",IF(COUNTIF(Performance!$B$5:$B$404,B387)&gt;1,"Duplicate","OK"))</f>
        <v>0</v>
      </c>
      <c r="AN387" s="29">
        <f>IF(B387="","",IF(C387="Not found","Check - content ID not on the calendar",IF(O387="","Add - no numbers entered yet",IF(AM387="Duplicate","Duplicate - this post is entered twice",IF(AL387="Top performer","Repurpose this one","OK")))))</f>
        <v>0</v>
      </c>
    </row>
    <row r="388" spans="1:40">
      <c r="A388" s="41">
        <f>IF(B388="","","PF-"&amp;TEXT(ROW()-4,"0000"))</f>
        <v>0</v>
      </c>
      <c r="C388" s="17">
        <f>IF(B388="","",IFERROR(INDEX('Content Calendar'!$H$5:$H$604,MATCH(B388,'Content Calendar'!$A$5:$A$604,0)),"Not found"))</f>
        <v>0</v>
      </c>
      <c r="D388" s="16">
        <f>IF(B388="","",IFERROR(INDEX('Content Calendar'!$B$5:$B$604,MATCH(B388,'Content Calendar'!$A$5:$A$604,0)),"Not found"))</f>
        <v>0</v>
      </c>
      <c r="E388" s="17">
        <f>IF(B388="","",IFERROR(INDEX('Content Calendar'!$D$5:$D$604,MATCH(B388,'Content Calendar'!$A$5:$A$604,0)),"Not found"))</f>
        <v>0</v>
      </c>
      <c r="F388" s="17">
        <f>IF(B388="","",IFERROR(INDEX('Content Calendar'!$G$5:$G$604,MATCH(B388,'Content Calendar'!$A$5:$A$604,0)),"Not found"))</f>
        <v>0</v>
      </c>
      <c r="G388" s="17">
        <f>IF(B388="","",IFERROR(INDEX('Content Calendar'!$K$5:$K$604,MATCH(B388,'Content Calendar'!$A$5:$A$604,0)),"Not found"))</f>
        <v>0</v>
      </c>
      <c r="H388" s="17">
        <f>IF(B388="","",IFERROR(INDEX('Content Calendar'!$J$5:$J$604,MATCH(B388,'Content Calendar'!$A$5:$A$604,0)),"Not found"))</f>
        <v>0</v>
      </c>
      <c r="I388" s="17">
        <f>IF(B388="","",IFERROR(INDEX('Content Calendar'!$L$5:$L$604,MATCH(B388,'Content Calendar'!$A$5:$A$604,0)),"Not found"))</f>
        <v>0</v>
      </c>
      <c r="J388" s="17">
        <f>IF(B388="","",IFERROR(INDEX('Content Calendar'!$P$5:$P$604,MATCH(B388,'Content Calendar'!$A$5:$A$604,0)),"Not found"))</f>
        <v>0</v>
      </c>
      <c r="K388" s="17">
        <f>IF(B388="","",IFERROR(INDEX('Content Calendar'!$O$5:$O$604,MATCH(B388,'Content Calendar'!$A$5:$A$604,0)),"Not found"))</f>
        <v>0</v>
      </c>
      <c r="L388" s="17">
        <f>IF(B388="","",IFERROR(INDEX('Content Calendar'!$N$5:$N$604,MATCH(B388,'Content Calendar'!$A$5:$A$604,0)),"Not found"))</f>
        <v>0</v>
      </c>
      <c r="M388" s="17">
        <f>IF(B388="","",IFERROR(INDEX('Content Calendar'!$C$5:$C$604,MATCH(B388,'Content Calendar'!$A$5:$A$604,0)),"Not found"))</f>
        <v>0</v>
      </c>
      <c r="N388" s="17">
        <f>IF(B388="","",IFERROR(INDEX('Content Calendar'!$F$5:$F$604,MATCH(B388,'Content Calendar'!$A$5:$A$604,0)),"Not found"))</f>
        <v>0</v>
      </c>
      <c r="Z388" s="23">
        <f>IF(O388="","",N(Q388)+N(R388)+N(S388)+N(T388))</f>
        <v>0</v>
      </c>
      <c r="AA388" s="24">
        <f>IF(OR(O388="",O388=0),"",Z388/O388)</f>
        <v>0</v>
      </c>
      <c r="AB388" s="24">
        <f>IF(OR(O388="",O388=0),"",N(T388)/O388)</f>
        <v>0</v>
      </c>
      <c r="AC388" s="24">
        <f>IF(OR(O388="",O388=0),"",N(S388)/O388)</f>
        <v>0</v>
      </c>
      <c r="AD388" s="24">
        <f>IF(OR(O388="",O388=0),"",N(R388)/O388)</f>
        <v>0</v>
      </c>
      <c r="AE388" s="24">
        <f>IF(OR(O388="",O388=0),"",N(U388)/O388)</f>
        <v>0</v>
      </c>
      <c r="AF388" s="24">
        <f>IF(OR(U388="",U388=0),"",N(W388)/U388)</f>
        <v>0</v>
      </c>
      <c r="AG388" s="25">
        <f>IF(OR(O388="",O388=0),"",N(X388)/(O388/1000))</f>
        <v>0</v>
      </c>
      <c r="AH388" s="24">
        <f>IF(O388="","",IF(Y388="",TargetEngagement,Y388))</f>
        <v>0</v>
      </c>
      <c r="AI388" s="24">
        <f>IF(OR(AA388="",AH388=""),"",AA388-AH388)</f>
        <v>0</v>
      </c>
      <c r="AJ388" s="31">
        <f>IF(AA388="","",AA388+ROW()/1000000)</f>
        <v>0</v>
      </c>
      <c r="AK388" s="23">
        <f>IF(AA388="","",RANK(AJ388,Performance!$AJ$5:$AJ$404))</f>
        <v>0</v>
      </c>
      <c r="AL388" s="29">
        <f>IF(AA388="","",IF(AA388&gt;=AH388*1.5,"Top performer",IF(AA388&gt;=AH388,"Above target",IF(AA388&gt;=AH388*0.6,"Below target","Weak - review it"))))</f>
        <v>0</v>
      </c>
      <c r="AM388" s="29">
        <f>IF(B388="","",IF(COUNTIF(Performance!$B$5:$B$404,B388)&gt;1,"Duplicate","OK"))</f>
        <v>0</v>
      </c>
      <c r="AN388" s="29">
        <f>IF(B388="","",IF(C388="Not found","Check - content ID not on the calendar",IF(O388="","Add - no numbers entered yet",IF(AM388="Duplicate","Duplicate - this post is entered twice",IF(AL388="Top performer","Repurpose this one","OK")))))</f>
        <v>0</v>
      </c>
    </row>
    <row r="389" spans="1:40">
      <c r="A389" s="41">
        <f>IF(B389="","","PF-"&amp;TEXT(ROW()-4,"0000"))</f>
        <v>0</v>
      </c>
      <c r="C389" s="17">
        <f>IF(B389="","",IFERROR(INDEX('Content Calendar'!$H$5:$H$604,MATCH(B389,'Content Calendar'!$A$5:$A$604,0)),"Not found"))</f>
        <v>0</v>
      </c>
      <c r="D389" s="16">
        <f>IF(B389="","",IFERROR(INDEX('Content Calendar'!$B$5:$B$604,MATCH(B389,'Content Calendar'!$A$5:$A$604,0)),"Not found"))</f>
        <v>0</v>
      </c>
      <c r="E389" s="17">
        <f>IF(B389="","",IFERROR(INDEX('Content Calendar'!$D$5:$D$604,MATCH(B389,'Content Calendar'!$A$5:$A$604,0)),"Not found"))</f>
        <v>0</v>
      </c>
      <c r="F389" s="17">
        <f>IF(B389="","",IFERROR(INDEX('Content Calendar'!$G$5:$G$604,MATCH(B389,'Content Calendar'!$A$5:$A$604,0)),"Not found"))</f>
        <v>0</v>
      </c>
      <c r="G389" s="17">
        <f>IF(B389="","",IFERROR(INDEX('Content Calendar'!$K$5:$K$604,MATCH(B389,'Content Calendar'!$A$5:$A$604,0)),"Not found"))</f>
        <v>0</v>
      </c>
      <c r="H389" s="17">
        <f>IF(B389="","",IFERROR(INDEX('Content Calendar'!$J$5:$J$604,MATCH(B389,'Content Calendar'!$A$5:$A$604,0)),"Not found"))</f>
        <v>0</v>
      </c>
      <c r="I389" s="17">
        <f>IF(B389="","",IFERROR(INDEX('Content Calendar'!$L$5:$L$604,MATCH(B389,'Content Calendar'!$A$5:$A$604,0)),"Not found"))</f>
        <v>0</v>
      </c>
      <c r="J389" s="17">
        <f>IF(B389="","",IFERROR(INDEX('Content Calendar'!$P$5:$P$604,MATCH(B389,'Content Calendar'!$A$5:$A$604,0)),"Not found"))</f>
        <v>0</v>
      </c>
      <c r="K389" s="17">
        <f>IF(B389="","",IFERROR(INDEX('Content Calendar'!$O$5:$O$604,MATCH(B389,'Content Calendar'!$A$5:$A$604,0)),"Not found"))</f>
        <v>0</v>
      </c>
      <c r="L389" s="17">
        <f>IF(B389="","",IFERROR(INDEX('Content Calendar'!$N$5:$N$604,MATCH(B389,'Content Calendar'!$A$5:$A$604,0)),"Not found"))</f>
        <v>0</v>
      </c>
      <c r="M389" s="17">
        <f>IF(B389="","",IFERROR(INDEX('Content Calendar'!$C$5:$C$604,MATCH(B389,'Content Calendar'!$A$5:$A$604,0)),"Not found"))</f>
        <v>0</v>
      </c>
      <c r="N389" s="17">
        <f>IF(B389="","",IFERROR(INDEX('Content Calendar'!$F$5:$F$604,MATCH(B389,'Content Calendar'!$A$5:$A$604,0)),"Not found"))</f>
        <v>0</v>
      </c>
      <c r="Z389" s="23">
        <f>IF(O389="","",N(Q389)+N(R389)+N(S389)+N(T389))</f>
        <v>0</v>
      </c>
      <c r="AA389" s="24">
        <f>IF(OR(O389="",O389=0),"",Z389/O389)</f>
        <v>0</v>
      </c>
      <c r="AB389" s="24">
        <f>IF(OR(O389="",O389=0),"",N(T389)/O389)</f>
        <v>0</v>
      </c>
      <c r="AC389" s="24">
        <f>IF(OR(O389="",O389=0),"",N(S389)/O389)</f>
        <v>0</v>
      </c>
      <c r="AD389" s="24">
        <f>IF(OR(O389="",O389=0),"",N(R389)/O389)</f>
        <v>0</v>
      </c>
      <c r="AE389" s="24">
        <f>IF(OR(O389="",O389=0),"",N(U389)/O389)</f>
        <v>0</v>
      </c>
      <c r="AF389" s="24">
        <f>IF(OR(U389="",U389=0),"",N(W389)/U389)</f>
        <v>0</v>
      </c>
      <c r="AG389" s="25">
        <f>IF(OR(O389="",O389=0),"",N(X389)/(O389/1000))</f>
        <v>0</v>
      </c>
      <c r="AH389" s="24">
        <f>IF(O389="","",IF(Y389="",TargetEngagement,Y389))</f>
        <v>0</v>
      </c>
      <c r="AI389" s="24">
        <f>IF(OR(AA389="",AH389=""),"",AA389-AH389)</f>
        <v>0</v>
      </c>
      <c r="AJ389" s="31">
        <f>IF(AA389="","",AA389+ROW()/1000000)</f>
        <v>0</v>
      </c>
      <c r="AK389" s="23">
        <f>IF(AA389="","",RANK(AJ389,Performance!$AJ$5:$AJ$404))</f>
        <v>0</v>
      </c>
      <c r="AL389" s="29">
        <f>IF(AA389="","",IF(AA389&gt;=AH389*1.5,"Top performer",IF(AA389&gt;=AH389,"Above target",IF(AA389&gt;=AH389*0.6,"Below target","Weak - review it"))))</f>
        <v>0</v>
      </c>
      <c r="AM389" s="29">
        <f>IF(B389="","",IF(COUNTIF(Performance!$B$5:$B$404,B389)&gt;1,"Duplicate","OK"))</f>
        <v>0</v>
      </c>
      <c r="AN389" s="29">
        <f>IF(B389="","",IF(C389="Not found","Check - content ID not on the calendar",IF(O389="","Add - no numbers entered yet",IF(AM389="Duplicate","Duplicate - this post is entered twice",IF(AL389="Top performer","Repurpose this one","OK")))))</f>
        <v>0</v>
      </c>
    </row>
    <row r="390" spans="1:40">
      <c r="A390" s="41">
        <f>IF(B390="","","PF-"&amp;TEXT(ROW()-4,"0000"))</f>
        <v>0</v>
      </c>
      <c r="C390" s="17">
        <f>IF(B390="","",IFERROR(INDEX('Content Calendar'!$H$5:$H$604,MATCH(B390,'Content Calendar'!$A$5:$A$604,0)),"Not found"))</f>
        <v>0</v>
      </c>
      <c r="D390" s="16">
        <f>IF(B390="","",IFERROR(INDEX('Content Calendar'!$B$5:$B$604,MATCH(B390,'Content Calendar'!$A$5:$A$604,0)),"Not found"))</f>
        <v>0</v>
      </c>
      <c r="E390" s="17">
        <f>IF(B390="","",IFERROR(INDEX('Content Calendar'!$D$5:$D$604,MATCH(B390,'Content Calendar'!$A$5:$A$604,0)),"Not found"))</f>
        <v>0</v>
      </c>
      <c r="F390" s="17">
        <f>IF(B390="","",IFERROR(INDEX('Content Calendar'!$G$5:$G$604,MATCH(B390,'Content Calendar'!$A$5:$A$604,0)),"Not found"))</f>
        <v>0</v>
      </c>
      <c r="G390" s="17">
        <f>IF(B390="","",IFERROR(INDEX('Content Calendar'!$K$5:$K$604,MATCH(B390,'Content Calendar'!$A$5:$A$604,0)),"Not found"))</f>
        <v>0</v>
      </c>
      <c r="H390" s="17">
        <f>IF(B390="","",IFERROR(INDEX('Content Calendar'!$J$5:$J$604,MATCH(B390,'Content Calendar'!$A$5:$A$604,0)),"Not found"))</f>
        <v>0</v>
      </c>
      <c r="I390" s="17">
        <f>IF(B390="","",IFERROR(INDEX('Content Calendar'!$L$5:$L$604,MATCH(B390,'Content Calendar'!$A$5:$A$604,0)),"Not found"))</f>
        <v>0</v>
      </c>
      <c r="J390" s="17">
        <f>IF(B390="","",IFERROR(INDEX('Content Calendar'!$P$5:$P$604,MATCH(B390,'Content Calendar'!$A$5:$A$604,0)),"Not found"))</f>
        <v>0</v>
      </c>
      <c r="K390" s="17">
        <f>IF(B390="","",IFERROR(INDEX('Content Calendar'!$O$5:$O$604,MATCH(B390,'Content Calendar'!$A$5:$A$604,0)),"Not found"))</f>
        <v>0</v>
      </c>
      <c r="L390" s="17">
        <f>IF(B390="","",IFERROR(INDEX('Content Calendar'!$N$5:$N$604,MATCH(B390,'Content Calendar'!$A$5:$A$604,0)),"Not found"))</f>
        <v>0</v>
      </c>
      <c r="M390" s="17">
        <f>IF(B390="","",IFERROR(INDEX('Content Calendar'!$C$5:$C$604,MATCH(B390,'Content Calendar'!$A$5:$A$604,0)),"Not found"))</f>
        <v>0</v>
      </c>
      <c r="N390" s="17">
        <f>IF(B390="","",IFERROR(INDEX('Content Calendar'!$F$5:$F$604,MATCH(B390,'Content Calendar'!$A$5:$A$604,0)),"Not found"))</f>
        <v>0</v>
      </c>
      <c r="Z390" s="23">
        <f>IF(O390="","",N(Q390)+N(R390)+N(S390)+N(T390))</f>
        <v>0</v>
      </c>
      <c r="AA390" s="24">
        <f>IF(OR(O390="",O390=0),"",Z390/O390)</f>
        <v>0</v>
      </c>
      <c r="AB390" s="24">
        <f>IF(OR(O390="",O390=0),"",N(T390)/O390)</f>
        <v>0</v>
      </c>
      <c r="AC390" s="24">
        <f>IF(OR(O390="",O390=0),"",N(S390)/O390)</f>
        <v>0</v>
      </c>
      <c r="AD390" s="24">
        <f>IF(OR(O390="",O390=0),"",N(R390)/O390)</f>
        <v>0</v>
      </c>
      <c r="AE390" s="24">
        <f>IF(OR(O390="",O390=0),"",N(U390)/O390)</f>
        <v>0</v>
      </c>
      <c r="AF390" s="24">
        <f>IF(OR(U390="",U390=0),"",N(W390)/U390)</f>
        <v>0</v>
      </c>
      <c r="AG390" s="25">
        <f>IF(OR(O390="",O390=0),"",N(X390)/(O390/1000))</f>
        <v>0</v>
      </c>
      <c r="AH390" s="24">
        <f>IF(O390="","",IF(Y390="",TargetEngagement,Y390))</f>
        <v>0</v>
      </c>
      <c r="AI390" s="24">
        <f>IF(OR(AA390="",AH390=""),"",AA390-AH390)</f>
        <v>0</v>
      </c>
      <c r="AJ390" s="31">
        <f>IF(AA390="","",AA390+ROW()/1000000)</f>
        <v>0</v>
      </c>
      <c r="AK390" s="23">
        <f>IF(AA390="","",RANK(AJ390,Performance!$AJ$5:$AJ$404))</f>
        <v>0</v>
      </c>
      <c r="AL390" s="29">
        <f>IF(AA390="","",IF(AA390&gt;=AH390*1.5,"Top performer",IF(AA390&gt;=AH390,"Above target",IF(AA390&gt;=AH390*0.6,"Below target","Weak - review it"))))</f>
        <v>0</v>
      </c>
      <c r="AM390" s="29">
        <f>IF(B390="","",IF(COUNTIF(Performance!$B$5:$B$404,B390)&gt;1,"Duplicate","OK"))</f>
        <v>0</v>
      </c>
      <c r="AN390" s="29">
        <f>IF(B390="","",IF(C390="Not found","Check - content ID not on the calendar",IF(O390="","Add - no numbers entered yet",IF(AM390="Duplicate","Duplicate - this post is entered twice",IF(AL390="Top performer","Repurpose this one","OK")))))</f>
        <v>0</v>
      </c>
    </row>
    <row r="391" spans="1:40">
      <c r="A391" s="41">
        <f>IF(B391="","","PF-"&amp;TEXT(ROW()-4,"0000"))</f>
        <v>0</v>
      </c>
      <c r="C391" s="17">
        <f>IF(B391="","",IFERROR(INDEX('Content Calendar'!$H$5:$H$604,MATCH(B391,'Content Calendar'!$A$5:$A$604,0)),"Not found"))</f>
        <v>0</v>
      </c>
      <c r="D391" s="16">
        <f>IF(B391="","",IFERROR(INDEX('Content Calendar'!$B$5:$B$604,MATCH(B391,'Content Calendar'!$A$5:$A$604,0)),"Not found"))</f>
        <v>0</v>
      </c>
      <c r="E391" s="17">
        <f>IF(B391="","",IFERROR(INDEX('Content Calendar'!$D$5:$D$604,MATCH(B391,'Content Calendar'!$A$5:$A$604,0)),"Not found"))</f>
        <v>0</v>
      </c>
      <c r="F391" s="17">
        <f>IF(B391="","",IFERROR(INDEX('Content Calendar'!$G$5:$G$604,MATCH(B391,'Content Calendar'!$A$5:$A$604,0)),"Not found"))</f>
        <v>0</v>
      </c>
      <c r="G391" s="17">
        <f>IF(B391="","",IFERROR(INDEX('Content Calendar'!$K$5:$K$604,MATCH(B391,'Content Calendar'!$A$5:$A$604,0)),"Not found"))</f>
        <v>0</v>
      </c>
      <c r="H391" s="17">
        <f>IF(B391="","",IFERROR(INDEX('Content Calendar'!$J$5:$J$604,MATCH(B391,'Content Calendar'!$A$5:$A$604,0)),"Not found"))</f>
        <v>0</v>
      </c>
      <c r="I391" s="17">
        <f>IF(B391="","",IFERROR(INDEX('Content Calendar'!$L$5:$L$604,MATCH(B391,'Content Calendar'!$A$5:$A$604,0)),"Not found"))</f>
        <v>0</v>
      </c>
      <c r="J391" s="17">
        <f>IF(B391="","",IFERROR(INDEX('Content Calendar'!$P$5:$P$604,MATCH(B391,'Content Calendar'!$A$5:$A$604,0)),"Not found"))</f>
        <v>0</v>
      </c>
      <c r="K391" s="17">
        <f>IF(B391="","",IFERROR(INDEX('Content Calendar'!$O$5:$O$604,MATCH(B391,'Content Calendar'!$A$5:$A$604,0)),"Not found"))</f>
        <v>0</v>
      </c>
      <c r="L391" s="17">
        <f>IF(B391="","",IFERROR(INDEX('Content Calendar'!$N$5:$N$604,MATCH(B391,'Content Calendar'!$A$5:$A$604,0)),"Not found"))</f>
        <v>0</v>
      </c>
      <c r="M391" s="17">
        <f>IF(B391="","",IFERROR(INDEX('Content Calendar'!$C$5:$C$604,MATCH(B391,'Content Calendar'!$A$5:$A$604,0)),"Not found"))</f>
        <v>0</v>
      </c>
      <c r="N391" s="17">
        <f>IF(B391="","",IFERROR(INDEX('Content Calendar'!$F$5:$F$604,MATCH(B391,'Content Calendar'!$A$5:$A$604,0)),"Not found"))</f>
        <v>0</v>
      </c>
      <c r="Z391" s="23">
        <f>IF(O391="","",N(Q391)+N(R391)+N(S391)+N(T391))</f>
        <v>0</v>
      </c>
      <c r="AA391" s="24">
        <f>IF(OR(O391="",O391=0),"",Z391/O391)</f>
        <v>0</v>
      </c>
      <c r="AB391" s="24">
        <f>IF(OR(O391="",O391=0),"",N(T391)/O391)</f>
        <v>0</v>
      </c>
      <c r="AC391" s="24">
        <f>IF(OR(O391="",O391=0),"",N(S391)/O391)</f>
        <v>0</v>
      </c>
      <c r="AD391" s="24">
        <f>IF(OR(O391="",O391=0),"",N(R391)/O391)</f>
        <v>0</v>
      </c>
      <c r="AE391" s="24">
        <f>IF(OR(O391="",O391=0),"",N(U391)/O391)</f>
        <v>0</v>
      </c>
      <c r="AF391" s="24">
        <f>IF(OR(U391="",U391=0),"",N(W391)/U391)</f>
        <v>0</v>
      </c>
      <c r="AG391" s="25">
        <f>IF(OR(O391="",O391=0),"",N(X391)/(O391/1000))</f>
        <v>0</v>
      </c>
      <c r="AH391" s="24">
        <f>IF(O391="","",IF(Y391="",TargetEngagement,Y391))</f>
        <v>0</v>
      </c>
      <c r="AI391" s="24">
        <f>IF(OR(AA391="",AH391=""),"",AA391-AH391)</f>
        <v>0</v>
      </c>
      <c r="AJ391" s="31">
        <f>IF(AA391="","",AA391+ROW()/1000000)</f>
        <v>0</v>
      </c>
      <c r="AK391" s="23">
        <f>IF(AA391="","",RANK(AJ391,Performance!$AJ$5:$AJ$404))</f>
        <v>0</v>
      </c>
      <c r="AL391" s="29">
        <f>IF(AA391="","",IF(AA391&gt;=AH391*1.5,"Top performer",IF(AA391&gt;=AH391,"Above target",IF(AA391&gt;=AH391*0.6,"Below target","Weak - review it"))))</f>
        <v>0</v>
      </c>
      <c r="AM391" s="29">
        <f>IF(B391="","",IF(COUNTIF(Performance!$B$5:$B$404,B391)&gt;1,"Duplicate","OK"))</f>
        <v>0</v>
      </c>
      <c r="AN391" s="29">
        <f>IF(B391="","",IF(C391="Not found","Check - content ID not on the calendar",IF(O391="","Add - no numbers entered yet",IF(AM391="Duplicate","Duplicate - this post is entered twice",IF(AL391="Top performer","Repurpose this one","OK")))))</f>
        <v>0</v>
      </c>
    </row>
    <row r="392" spans="1:40">
      <c r="A392" s="41">
        <f>IF(B392="","","PF-"&amp;TEXT(ROW()-4,"0000"))</f>
        <v>0</v>
      </c>
      <c r="C392" s="17">
        <f>IF(B392="","",IFERROR(INDEX('Content Calendar'!$H$5:$H$604,MATCH(B392,'Content Calendar'!$A$5:$A$604,0)),"Not found"))</f>
        <v>0</v>
      </c>
      <c r="D392" s="16">
        <f>IF(B392="","",IFERROR(INDEX('Content Calendar'!$B$5:$B$604,MATCH(B392,'Content Calendar'!$A$5:$A$604,0)),"Not found"))</f>
        <v>0</v>
      </c>
      <c r="E392" s="17">
        <f>IF(B392="","",IFERROR(INDEX('Content Calendar'!$D$5:$D$604,MATCH(B392,'Content Calendar'!$A$5:$A$604,0)),"Not found"))</f>
        <v>0</v>
      </c>
      <c r="F392" s="17">
        <f>IF(B392="","",IFERROR(INDEX('Content Calendar'!$G$5:$G$604,MATCH(B392,'Content Calendar'!$A$5:$A$604,0)),"Not found"))</f>
        <v>0</v>
      </c>
      <c r="G392" s="17">
        <f>IF(B392="","",IFERROR(INDEX('Content Calendar'!$K$5:$K$604,MATCH(B392,'Content Calendar'!$A$5:$A$604,0)),"Not found"))</f>
        <v>0</v>
      </c>
      <c r="H392" s="17">
        <f>IF(B392="","",IFERROR(INDEX('Content Calendar'!$J$5:$J$604,MATCH(B392,'Content Calendar'!$A$5:$A$604,0)),"Not found"))</f>
        <v>0</v>
      </c>
      <c r="I392" s="17">
        <f>IF(B392="","",IFERROR(INDEX('Content Calendar'!$L$5:$L$604,MATCH(B392,'Content Calendar'!$A$5:$A$604,0)),"Not found"))</f>
        <v>0</v>
      </c>
      <c r="J392" s="17">
        <f>IF(B392="","",IFERROR(INDEX('Content Calendar'!$P$5:$P$604,MATCH(B392,'Content Calendar'!$A$5:$A$604,0)),"Not found"))</f>
        <v>0</v>
      </c>
      <c r="K392" s="17">
        <f>IF(B392="","",IFERROR(INDEX('Content Calendar'!$O$5:$O$604,MATCH(B392,'Content Calendar'!$A$5:$A$604,0)),"Not found"))</f>
        <v>0</v>
      </c>
      <c r="L392" s="17">
        <f>IF(B392="","",IFERROR(INDEX('Content Calendar'!$N$5:$N$604,MATCH(B392,'Content Calendar'!$A$5:$A$604,0)),"Not found"))</f>
        <v>0</v>
      </c>
      <c r="M392" s="17">
        <f>IF(B392="","",IFERROR(INDEX('Content Calendar'!$C$5:$C$604,MATCH(B392,'Content Calendar'!$A$5:$A$604,0)),"Not found"))</f>
        <v>0</v>
      </c>
      <c r="N392" s="17">
        <f>IF(B392="","",IFERROR(INDEX('Content Calendar'!$F$5:$F$604,MATCH(B392,'Content Calendar'!$A$5:$A$604,0)),"Not found"))</f>
        <v>0</v>
      </c>
      <c r="Z392" s="23">
        <f>IF(O392="","",N(Q392)+N(R392)+N(S392)+N(T392))</f>
        <v>0</v>
      </c>
      <c r="AA392" s="24">
        <f>IF(OR(O392="",O392=0),"",Z392/O392)</f>
        <v>0</v>
      </c>
      <c r="AB392" s="24">
        <f>IF(OR(O392="",O392=0),"",N(T392)/O392)</f>
        <v>0</v>
      </c>
      <c r="AC392" s="24">
        <f>IF(OR(O392="",O392=0),"",N(S392)/O392)</f>
        <v>0</v>
      </c>
      <c r="AD392" s="24">
        <f>IF(OR(O392="",O392=0),"",N(R392)/O392)</f>
        <v>0</v>
      </c>
      <c r="AE392" s="24">
        <f>IF(OR(O392="",O392=0),"",N(U392)/O392)</f>
        <v>0</v>
      </c>
      <c r="AF392" s="24">
        <f>IF(OR(U392="",U392=0),"",N(W392)/U392)</f>
        <v>0</v>
      </c>
      <c r="AG392" s="25">
        <f>IF(OR(O392="",O392=0),"",N(X392)/(O392/1000))</f>
        <v>0</v>
      </c>
      <c r="AH392" s="24">
        <f>IF(O392="","",IF(Y392="",TargetEngagement,Y392))</f>
        <v>0</v>
      </c>
      <c r="AI392" s="24">
        <f>IF(OR(AA392="",AH392=""),"",AA392-AH392)</f>
        <v>0</v>
      </c>
      <c r="AJ392" s="31">
        <f>IF(AA392="","",AA392+ROW()/1000000)</f>
        <v>0</v>
      </c>
      <c r="AK392" s="23">
        <f>IF(AA392="","",RANK(AJ392,Performance!$AJ$5:$AJ$404))</f>
        <v>0</v>
      </c>
      <c r="AL392" s="29">
        <f>IF(AA392="","",IF(AA392&gt;=AH392*1.5,"Top performer",IF(AA392&gt;=AH392,"Above target",IF(AA392&gt;=AH392*0.6,"Below target","Weak - review it"))))</f>
        <v>0</v>
      </c>
      <c r="AM392" s="29">
        <f>IF(B392="","",IF(COUNTIF(Performance!$B$5:$B$404,B392)&gt;1,"Duplicate","OK"))</f>
        <v>0</v>
      </c>
      <c r="AN392" s="29">
        <f>IF(B392="","",IF(C392="Not found","Check - content ID not on the calendar",IF(O392="","Add - no numbers entered yet",IF(AM392="Duplicate","Duplicate - this post is entered twice",IF(AL392="Top performer","Repurpose this one","OK")))))</f>
        <v>0</v>
      </c>
    </row>
    <row r="393" spans="1:40">
      <c r="A393" s="41">
        <f>IF(B393="","","PF-"&amp;TEXT(ROW()-4,"0000"))</f>
        <v>0</v>
      </c>
      <c r="C393" s="17">
        <f>IF(B393="","",IFERROR(INDEX('Content Calendar'!$H$5:$H$604,MATCH(B393,'Content Calendar'!$A$5:$A$604,0)),"Not found"))</f>
        <v>0</v>
      </c>
      <c r="D393" s="16">
        <f>IF(B393="","",IFERROR(INDEX('Content Calendar'!$B$5:$B$604,MATCH(B393,'Content Calendar'!$A$5:$A$604,0)),"Not found"))</f>
        <v>0</v>
      </c>
      <c r="E393" s="17">
        <f>IF(B393="","",IFERROR(INDEX('Content Calendar'!$D$5:$D$604,MATCH(B393,'Content Calendar'!$A$5:$A$604,0)),"Not found"))</f>
        <v>0</v>
      </c>
      <c r="F393" s="17">
        <f>IF(B393="","",IFERROR(INDEX('Content Calendar'!$G$5:$G$604,MATCH(B393,'Content Calendar'!$A$5:$A$604,0)),"Not found"))</f>
        <v>0</v>
      </c>
      <c r="G393" s="17">
        <f>IF(B393="","",IFERROR(INDEX('Content Calendar'!$K$5:$K$604,MATCH(B393,'Content Calendar'!$A$5:$A$604,0)),"Not found"))</f>
        <v>0</v>
      </c>
      <c r="H393" s="17">
        <f>IF(B393="","",IFERROR(INDEX('Content Calendar'!$J$5:$J$604,MATCH(B393,'Content Calendar'!$A$5:$A$604,0)),"Not found"))</f>
        <v>0</v>
      </c>
      <c r="I393" s="17">
        <f>IF(B393="","",IFERROR(INDEX('Content Calendar'!$L$5:$L$604,MATCH(B393,'Content Calendar'!$A$5:$A$604,0)),"Not found"))</f>
        <v>0</v>
      </c>
      <c r="J393" s="17">
        <f>IF(B393="","",IFERROR(INDEX('Content Calendar'!$P$5:$P$604,MATCH(B393,'Content Calendar'!$A$5:$A$604,0)),"Not found"))</f>
        <v>0</v>
      </c>
      <c r="K393" s="17">
        <f>IF(B393="","",IFERROR(INDEX('Content Calendar'!$O$5:$O$604,MATCH(B393,'Content Calendar'!$A$5:$A$604,0)),"Not found"))</f>
        <v>0</v>
      </c>
      <c r="L393" s="17">
        <f>IF(B393="","",IFERROR(INDEX('Content Calendar'!$N$5:$N$604,MATCH(B393,'Content Calendar'!$A$5:$A$604,0)),"Not found"))</f>
        <v>0</v>
      </c>
      <c r="M393" s="17">
        <f>IF(B393="","",IFERROR(INDEX('Content Calendar'!$C$5:$C$604,MATCH(B393,'Content Calendar'!$A$5:$A$604,0)),"Not found"))</f>
        <v>0</v>
      </c>
      <c r="N393" s="17">
        <f>IF(B393="","",IFERROR(INDEX('Content Calendar'!$F$5:$F$604,MATCH(B393,'Content Calendar'!$A$5:$A$604,0)),"Not found"))</f>
        <v>0</v>
      </c>
      <c r="Z393" s="23">
        <f>IF(O393="","",N(Q393)+N(R393)+N(S393)+N(T393))</f>
        <v>0</v>
      </c>
      <c r="AA393" s="24">
        <f>IF(OR(O393="",O393=0),"",Z393/O393)</f>
        <v>0</v>
      </c>
      <c r="AB393" s="24">
        <f>IF(OR(O393="",O393=0),"",N(T393)/O393)</f>
        <v>0</v>
      </c>
      <c r="AC393" s="24">
        <f>IF(OR(O393="",O393=0),"",N(S393)/O393)</f>
        <v>0</v>
      </c>
      <c r="AD393" s="24">
        <f>IF(OR(O393="",O393=0),"",N(R393)/O393)</f>
        <v>0</v>
      </c>
      <c r="AE393" s="24">
        <f>IF(OR(O393="",O393=0),"",N(U393)/O393)</f>
        <v>0</v>
      </c>
      <c r="AF393" s="24">
        <f>IF(OR(U393="",U393=0),"",N(W393)/U393)</f>
        <v>0</v>
      </c>
      <c r="AG393" s="25">
        <f>IF(OR(O393="",O393=0),"",N(X393)/(O393/1000))</f>
        <v>0</v>
      </c>
      <c r="AH393" s="24">
        <f>IF(O393="","",IF(Y393="",TargetEngagement,Y393))</f>
        <v>0</v>
      </c>
      <c r="AI393" s="24">
        <f>IF(OR(AA393="",AH393=""),"",AA393-AH393)</f>
        <v>0</v>
      </c>
      <c r="AJ393" s="31">
        <f>IF(AA393="","",AA393+ROW()/1000000)</f>
        <v>0</v>
      </c>
      <c r="AK393" s="23">
        <f>IF(AA393="","",RANK(AJ393,Performance!$AJ$5:$AJ$404))</f>
        <v>0</v>
      </c>
      <c r="AL393" s="29">
        <f>IF(AA393="","",IF(AA393&gt;=AH393*1.5,"Top performer",IF(AA393&gt;=AH393,"Above target",IF(AA393&gt;=AH393*0.6,"Below target","Weak - review it"))))</f>
        <v>0</v>
      </c>
      <c r="AM393" s="29">
        <f>IF(B393="","",IF(COUNTIF(Performance!$B$5:$B$404,B393)&gt;1,"Duplicate","OK"))</f>
        <v>0</v>
      </c>
      <c r="AN393" s="29">
        <f>IF(B393="","",IF(C393="Not found","Check - content ID not on the calendar",IF(O393="","Add - no numbers entered yet",IF(AM393="Duplicate","Duplicate - this post is entered twice",IF(AL393="Top performer","Repurpose this one","OK")))))</f>
        <v>0</v>
      </c>
    </row>
    <row r="394" spans="1:40">
      <c r="A394" s="41">
        <f>IF(B394="","","PF-"&amp;TEXT(ROW()-4,"0000"))</f>
        <v>0</v>
      </c>
      <c r="C394" s="17">
        <f>IF(B394="","",IFERROR(INDEX('Content Calendar'!$H$5:$H$604,MATCH(B394,'Content Calendar'!$A$5:$A$604,0)),"Not found"))</f>
        <v>0</v>
      </c>
      <c r="D394" s="16">
        <f>IF(B394="","",IFERROR(INDEX('Content Calendar'!$B$5:$B$604,MATCH(B394,'Content Calendar'!$A$5:$A$604,0)),"Not found"))</f>
        <v>0</v>
      </c>
      <c r="E394" s="17">
        <f>IF(B394="","",IFERROR(INDEX('Content Calendar'!$D$5:$D$604,MATCH(B394,'Content Calendar'!$A$5:$A$604,0)),"Not found"))</f>
        <v>0</v>
      </c>
      <c r="F394" s="17">
        <f>IF(B394="","",IFERROR(INDEX('Content Calendar'!$G$5:$G$604,MATCH(B394,'Content Calendar'!$A$5:$A$604,0)),"Not found"))</f>
        <v>0</v>
      </c>
      <c r="G394" s="17">
        <f>IF(B394="","",IFERROR(INDEX('Content Calendar'!$K$5:$K$604,MATCH(B394,'Content Calendar'!$A$5:$A$604,0)),"Not found"))</f>
        <v>0</v>
      </c>
      <c r="H394" s="17">
        <f>IF(B394="","",IFERROR(INDEX('Content Calendar'!$J$5:$J$604,MATCH(B394,'Content Calendar'!$A$5:$A$604,0)),"Not found"))</f>
        <v>0</v>
      </c>
      <c r="I394" s="17">
        <f>IF(B394="","",IFERROR(INDEX('Content Calendar'!$L$5:$L$604,MATCH(B394,'Content Calendar'!$A$5:$A$604,0)),"Not found"))</f>
        <v>0</v>
      </c>
      <c r="J394" s="17">
        <f>IF(B394="","",IFERROR(INDEX('Content Calendar'!$P$5:$P$604,MATCH(B394,'Content Calendar'!$A$5:$A$604,0)),"Not found"))</f>
        <v>0</v>
      </c>
      <c r="K394" s="17">
        <f>IF(B394="","",IFERROR(INDEX('Content Calendar'!$O$5:$O$604,MATCH(B394,'Content Calendar'!$A$5:$A$604,0)),"Not found"))</f>
        <v>0</v>
      </c>
      <c r="L394" s="17">
        <f>IF(B394="","",IFERROR(INDEX('Content Calendar'!$N$5:$N$604,MATCH(B394,'Content Calendar'!$A$5:$A$604,0)),"Not found"))</f>
        <v>0</v>
      </c>
      <c r="M394" s="17">
        <f>IF(B394="","",IFERROR(INDEX('Content Calendar'!$C$5:$C$604,MATCH(B394,'Content Calendar'!$A$5:$A$604,0)),"Not found"))</f>
        <v>0</v>
      </c>
      <c r="N394" s="17">
        <f>IF(B394="","",IFERROR(INDEX('Content Calendar'!$F$5:$F$604,MATCH(B394,'Content Calendar'!$A$5:$A$604,0)),"Not found"))</f>
        <v>0</v>
      </c>
      <c r="Z394" s="23">
        <f>IF(O394="","",N(Q394)+N(R394)+N(S394)+N(T394))</f>
        <v>0</v>
      </c>
      <c r="AA394" s="24">
        <f>IF(OR(O394="",O394=0),"",Z394/O394)</f>
        <v>0</v>
      </c>
      <c r="AB394" s="24">
        <f>IF(OR(O394="",O394=0),"",N(T394)/O394)</f>
        <v>0</v>
      </c>
      <c r="AC394" s="24">
        <f>IF(OR(O394="",O394=0),"",N(S394)/O394)</f>
        <v>0</v>
      </c>
      <c r="AD394" s="24">
        <f>IF(OR(O394="",O394=0),"",N(R394)/O394)</f>
        <v>0</v>
      </c>
      <c r="AE394" s="24">
        <f>IF(OR(O394="",O394=0),"",N(U394)/O394)</f>
        <v>0</v>
      </c>
      <c r="AF394" s="24">
        <f>IF(OR(U394="",U394=0),"",N(W394)/U394)</f>
        <v>0</v>
      </c>
      <c r="AG394" s="25">
        <f>IF(OR(O394="",O394=0),"",N(X394)/(O394/1000))</f>
        <v>0</v>
      </c>
      <c r="AH394" s="24">
        <f>IF(O394="","",IF(Y394="",TargetEngagement,Y394))</f>
        <v>0</v>
      </c>
      <c r="AI394" s="24">
        <f>IF(OR(AA394="",AH394=""),"",AA394-AH394)</f>
        <v>0</v>
      </c>
      <c r="AJ394" s="31">
        <f>IF(AA394="","",AA394+ROW()/1000000)</f>
        <v>0</v>
      </c>
      <c r="AK394" s="23">
        <f>IF(AA394="","",RANK(AJ394,Performance!$AJ$5:$AJ$404))</f>
        <v>0</v>
      </c>
      <c r="AL394" s="29">
        <f>IF(AA394="","",IF(AA394&gt;=AH394*1.5,"Top performer",IF(AA394&gt;=AH394,"Above target",IF(AA394&gt;=AH394*0.6,"Below target","Weak - review it"))))</f>
        <v>0</v>
      </c>
      <c r="AM394" s="29">
        <f>IF(B394="","",IF(COUNTIF(Performance!$B$5:$B$404,B394)&gt;1,"Duplicate","OK"))</f>
        <v>0</v>
      </c>
      <c r="AN394" s="29">
        <f>IF(B394="","",IF(C394="Not found","Check - content ID not on the calendar",IF(O394="","Add - no numbers entered yet",IF(AM394="Duplicate","Duplicate - this post is entered twice",IF(AL394="Top performer","Repurpose this one","OK")))))</f>
        <v>0</v>
      </c>
    </row>
    <row r="395" spans="1:40">
      <c r="A395" s="41">
        <f>IF(B395="","","PF-"&amp;TEXT(ROW()-4,"0000"))</f>
        <v>0</v>
      </c>
      <c r="C395" s="17">
        <f>IF(B395="","",IFERROR(INDEX('Content Calendar'!$H$5:$H$604,MATCH(B395,'Content Calendar'!$A$5:$A$604,0)),"Not found"))</f>
        <v>0</v>
      </c>
      <c r="D395" s="16">
        <f>IF(B395="","",IFERROR(INDEX('Content Calendar'!$B$5:$B$604,MATCH(B395,'Content Calendar'!$A$5:$A$604,0)),"Not found"))</f>
        <v>0</v>
      </c>
      <c r="E395" s="17">
        <f>IF(B395="","",IFERROR(INDEX('Content Calendar'!$D$5:$D$604,MATCH(B395,'Content Calendar'!$A$5:$A$604,0)),"Not found"))</f>
        <v>0</v>
      </c>
      <c r="F395" s="17">
        <f>IF(B395="","",IFERROR(INDEX('Content Calendar'!$G$5:$G$604,MATCH(B395,'Content Calendar'!$A$5:$A$604,0)),"Not found"))</f>
        <v>0</v>
      </c>
      <c r="G395" s="17">
        <f>IF(B395="","",IFERROR(INDEX('Content Calendar'!$K$5:$K$604,MATCH(B395,'Content Calendar'!$A$5:$A$604,0)),"Not found"))</f>
        <v>0</v>
      </c>
      <c r="H395" s="17">
        <f>IF(B395="","",IFERROR(INDEX('Content Calendar'!$J$5:$J$604,MATCH(B395,'Content Calendar'!$A$5:$A$604,0)),"Not found"))</f>
        <v>0</v>
      </c>
      <c r="I395" s="17">
        <f>IF(B395="","",IFERROR(INDEX('Content Calendar'!$L$5:$L$604,MATCH(B395,'Content Calendar'!$A$5:$A$604,0)),"Not found"))</f>
        <v>0</v>
      </c>
      <c r="J395" s="17">
        <f>IF(B395="","",IFERROR(INDEX('Content Calendar'!$P$5:$P$604,MATCH(B395,'Content Calendar'!$A$5:$A$604,0)),"Not found"))</f>
        <v>0</v>
      </c>
      <c r="K395" s="17">
        <f>IF(B395="","",IFERROR(INDEX('Content Calendar'!$O$5:$O$604,MATCH(B395,'Content Calendar'!$A$5:$A$604,0)),"Not found"))</f>
        <v>0</v>
      </c>
      <c r="L395" s="17">
        <f>IF(B395="","",IFERROR(INDEX('Content Calendar'!$N$5:$N$604,MATCH(B395,'Content Calendar'!$A$5:$A$604,0)),"Not found"))</f>
        <v>0</v>
      </c>
      <c r="M395" s="17">
        <f>IF(B395="","",IFERROR(INDEX('Content Calendar'!$C$5:$C$604,MATCH(B395,'Content Calendar'!$A$5:$A$604,0)),"Not found"))</f>
        <v>0</v>
      </c>
      <c r="N395" s="17">
        <f>IF(B395="","",IFERROR(INDEX('Content Calendar'!$F$5:$F$604,MATCH(B395,'Content Calendar'!$A$5:$A$604,0)),"Not found"))</f>
        <v>0</v>
      </c>
      <c r="Z395" s="23">
        <f>IF(O395="","",N(Q395)+N(R395)+N(S395)+N(T395))</f>
        <v>0</v>
      </c>
      <c r="AA395" s="24">
        <f>IF(OR(O395="",O395=0),"",Z395/O395)</f>
        <v>0</v>
      </c>
      <c r="AB395" s="24">
        <f>IF(OR(O395="",O395=0),"",N(T395)/O395)</f>
        <v>0</v>
      </c>
      <c r="AC395" s="24">
        <f>IF(OR(O395="",O395=0),"",N(S395)/O395)</f>
        <v>0</v>
      </c>
      <c r="AD395" s="24">
        <f>IF(OR(O395="",O395=0),"",N(R395)/O395)</f>
        <v>0</v>
      </c>
      <c r="AE395" s="24">
        <f>IF(OR(O395="",O395=0),"",N(U395)/O395)</f>
        <v>0</v>
      </c>
      <c r="AF395" s="24">
        <f>IF(OR(U395="",U395=0),"",N(W395)/U395)</f>
        <v>0</v>
      </c>
      <c r="AG395" s="25">
        <f>IF(OR(O395="",O395=0),"",N(X395)/(O395/1000))</f>
        <v>0</v>
      </c>
      <c r="AH395" s="24">
        <f>IF(O395="","",IF(Y395="",TargetEngagement,Y395))</f>
        <v>0</v>
      </c>
      <c r="AI395" s="24">
        <f>IF(OR(AA395="",AH395=""),"",AA395-AH395)</f>
        <v>0</v>
      </c>
      <c r="AJ395" s="31">
        <f>IF(AA395="","",AA395+ROW()/1000000)</f>
        <v>0</v>
      </c>
      <c r="AK395" s="23">
        <f>IF(AA395="","",RANK(AJ395,Performance!$AJ$5:$AJ$404))</f>
        <v>0</v>
      </c>
      <c r="AL395" s="29">
        <f>IF(AA395="","",IF(AA395&gt;=AH395*1.5,"Top performer",IF(AA395&gt;=AH395,"Above target",IF(AA395&gt;=AH395*0.6,"Below target","Weak - review it"))))</f>
        <v>0</v>
      </c>
      <c r="AM395" s="29">
        <f>IF(B395="","",IF(COUNTIF(Performance!$B$5:$B$404,B395)&gt;1,"Duplicate","OK"))</f>
        <v>0</v>
      </c>
      <c r="AN395" s="29">
        <f>IF(B395="","",IF(C395="Not found","Check - content ID not on the calendar",IF(O395="","Add - no numbers entered yet",IF(AM395="Duplicate","Duplicate - this post is entered twice",IF(AL395="Top performer","Repurpose this one","OK")))))</f>
        <v>0</v>
      </c>
    </row>
    <row r="396" spans="1:40">
      <c r="A396" s="41">
        <f>IF(B396="","","PF-"&amp;TEXT(ROW()-4,"0000"))</f>
        <v>0</v>
      </c>
      <c r="C396" s="17">
        <f>IF(B396="","",IFERROR(INDEX('Content Calendar'!$H$5:$H$604,MATCH(B396,'Content Calendar'!$A$5:$A$604,0)),"Not found"))</f>
        <v>0</v>
      </c>
      <c r="D396" s="16">
        <f>IF(B396="","",IFERROR(INDEX('Content Calendar'!$B$5:$B$604,MATCH(B396,'Content Calendar'!$A$5:$A$604,0)),"Not found"))</f>
        <v>0</v>
      </c>
      <c r="E396" s="17">
        <f>IF(B396="","",IFERROR(INDEX('Content Calendar'!$D$5:$D$604,MATCH(B396,'Content Calendar'!$A$5:$A$604,0)),"Not found"))</f>
        <v>0</v>
      </c>
      <c r="F396" s="17">
        <f>IF(B396="","",IFERROR(INDEX('Content Calendar'!$G$5:$G$604,MATCH(B396,'Content Calendar'!$A$5:$A$604,0)),"Not found"))</f>
        <v>0</v>
      </c>
      <c r="G396" s="17">
        <f>IF(B396="","",IFERROR(INDEX('Content Calendar'!$K$5:$K$604,MATCH(B396,'Content Calendar'!$A$5:$A$604,0)),"Not found"))</f>
        <v>0</v>
      </c>
      <c r="H396" s="17">
        <f>IF(B396="","",IFERROR(INDEX('Content Calendar'!$J$5:$J$604,MATCH(B396,'Content Calendar'!$A$5:$A$604,0)),"Not found"))</f>
        <v>0</v>
      </c>
      <c r="I396" s="17">
        <f>IF(B396="","",IFERROR(INDEX('Content Calendar'!$L$5:$L$604,MATCH(B396,'Content Calendar'!$A$5:$A$604,0)),"Not found"))</f>
        <v>0</v>
      </c>
      <c r="J396" s="17">
        <f>IF(B396="","",IFERROR(INDEX('Content Calendar'!$P$5:$P$604,MATCH(B396,'Content Calendar'!$A$5:$A$604,0)),"Not found"))</f>
        <v>0</v>
      </c>
      <c r="K396" s="17">
        <f>IF(B396="","",IFERROR(INDEX('Content Calendar'!$O$5:$O$604,MATCH(B396,'Content Calendar'!$A$5:$A$604,0)),"Not found"))</f>
        <v>0</v>
      </c>
      <c r="L396" s="17">
        <f>IF(B396="","",IFERROR(INDEX('Content Calendar'!$N$5:$N$604,MATCH(B396,'Content Calendar'!$A$5:$A$604,0)),"Not found"))</f>
        <v>0</v>
      </c>
      <c r="M396" s="17">
        <f>IF(B396="","",IFERROR(INDEX('Content Calendar'!$C$5:$C$604,MATCH(B396,'Content Calendar'!$A$5:$A$604,0)),"Not found"))</f>
        <v>0</v>
      </c>
      <c r="N396" s="17">
        <f>IF(B396="","",IFERROR(INDEX('Content Calendar'!$F$5:$F$604,MATCH(B396,'Content Calendar'!$A$5:$A$604,0)),"Not found"))</f>
        <v>0</v>
      </c>
      <c r="Z396" s="23">
        <f>IF(O396="","",N(Q396)+N(R396)+N(S396)+N(T396))</f>
        <v>0</v>
      </c>
      <c r="AA396" s="24">
        <f>IF(OR(O396="",O396=0),"",Z396/O396)</f>
        <v>0</v>
      </c>
      <c r="AB396" s="24">
        <f>IF(OR(O396="",O396=0),"",N(T396)/O396)</f>
        <v>0</v>
      </c>
      <c r="AC396" s="24">
        <f>IF(OR(O396="",O396=0),"",N(S396)/O396)</f>
        <v>0</v>
      </c>
      <c r="AD396" s="24">
        <f>IF(OR(O396="",O396=0),"",N(R396)/O396)</f>
        <v>0</v>
      </c>
      <c r="AE396" s="24">
        <f>IF(OR(O396="",O396=0),"",N(U396)/O396)</f>
        <v>0</v>
      </c>
      <c r="AF396" s="24">
        <f>IF(OR(U396="",U396=0),"",N(W396)/U396)</f>
        <v>0</v>
      </c>
      <c r="AG396" s="25">
        <f>IF(OR(O396="",O396=0),"",N(X396)/(O396/1000))</f>
        <v>0</v>
      </c>
      <c r="AH396" s="24">
        <f>IF(O396="","",IF(Y396="",TargetEngagement,Y396))</f>
        <v>0</v>
      </c>
      <c r="AI396" s="24">
        <f>IF(OR(AA396="",AH396=""),"",AA396-AH396)</f>
        <v>0</v>
      </c>
      <c r="AJ396" s="31">
        <f>IF(AA396="","",AA396+ROW()/1000000)</f>
        <v>0</v>
      </c>
      <c r="AK396" s="23">
        <f>IF(AA396="","",RANK(AJ396,Performance!$AJ$5:$AJ$404))</f>
        <v>0</v>
      </c>
      <c r="AL396" s="29">
        <f>IF(AA396="","",IF(AA396&gt;=AH396*1.5,"Top performer",IF(AA396&gt;=AH396,"Above target",IF(AA396&gt;=AH396*0.6,"Below target","Weak - review it"))))</f>
        <v>0</v>
      </c>
      <c r="AM396" s="29">
        <f>IF(B396="","",IF(COUNTIF(Performance!$B$5:$B$404,B396)&gt;1,"Duplicate","OK"))</f>
        <v>0</v>
      </c>
      <c r="AN396" s="29">
        <f>IF(B396="","",IF(C396="Not found","Check - content ID not on the calendar",IF(O396="","Add - no numbers entered yet",IF(AM396="Duplicate","Duplicate - this post is entered twice",IF(AL396="Top performer","Repurpose this one","OK")))))</f>
        <v>0</v>
      </c>
    </row>
    <row r="397" spans="1:40">
      <c r="A397" s="41">
        <f>IF(B397="","","PF-"&amp;TEXT(ROW()-4,"0000"))</f>
        <v>0</v>
      </c>
      <c r="C397" s="17">
        <f>IF(B397="","",IFERROR(INDEX('Content Calendar'!$H$5:$H$604,MATCH(B397,'Content Calendar'!$A$5:$A$604,0)),"Not found"))</f>
        <v>0</v>
      </c>
      <c r="D397" s="16">
        <f>IF(B397="","",IFERROR(INDEX('Content Calendar'!$B$5:$B$604,MATCH(B397,'Content Calendar'!$A$5:$A$604,0)),"Not found"))</f>
        <v>0</v>
      </c>
      <c r="E397" s="17">
        <f>IF(B397="","",IFERROR(INDEX('Content Calendar'!$D$5:$D$604,MATCH(B397,'Content Calendar'!$A$5:$A$604,0)),"Not found"))</f>
        <v>0</v>
      </c>
      <c r="F397" s="17">
        <f>IF(B397="","",IFERROR(INDEX('Content Calendar'!$G$5:$G$604,MATCH(B397,'Content Calendar'!$A$5:$A$604,0)),"Not found"))</f>
        <v>0</v>
      </c>
      <c r="G397" s="17">
        <f>IF(B397="","",IFERROR(INDEX('Content Calendar'!$K$5:$K$604,MATCH(B397,'Content Calendar'!$A$5:$A$604,0)),"Not found"))</f>
        <v>0</v>
      </c>
      <c r="H397" s="17">
        <f>IF(B397="","",IFERROR(INDEX('Content Calendar'!$J$5:$J$604,MATCH(B397,'Content Calendar'!$A$5:$A$604,0)),"Not found"))</f>
        <v>0</v>
      </c>
      <c r="I397" s="17">
        <f>IF(B397="","",IFERROR(INDEX('Content Calendar'!$L$5:$L$604,MATCH(B397,'Content Calendar'!$A$5:$A$604,0)),"Not found"))</f>
        <v>0</v>
      </c>
      <c r="J397" s="17">
        <f>IF(B397="","",IFERROR(INDEX('Content Calendar'!$P$5:$P$604,MATCH(B397,'Content Calendar'!$A$5:$A$604,0)),"Not found"))</f>
        <v>0</v>
      </c>
      <c r="K397" s="17">
        <f>IF(B397="","",IFERROR(INDEX('Content Calendar'!$O$5:$O$604,MATCH(B397,'Content Calendar'!$A$5:$A$604,0)),"Not found"))</f>
        <v>0</v>
      </c>
      <c r="L397" s="17">
        <f>IF(B397="","",IFERROR(INDEX('Content Calendar'!$N$5:$N$604,MATCH(B397,'Content Calendar'!$A$5:$A$604,0)),"Not found"))</f>
        <v>0</v>
      </c>
      <c r="M397" s="17">
        <f>IF(B397="","",IFERROR(INDEX('Content Calendar'!$C$5:$C$604,MATCH(B397,'Content Calendar'!$A$5:$A$604,0)),"Not found"))</f>
        <v>0</v>
      </c>
      <c r="N397" s="17">
        <f>IF(B397="","",IFERROR(INDEX('Content Calendar'!$F$5:$F$604,MATCH(B397,'Content Calendar'!$A$5:$A$604,0)),"Not found"))</f>
        <v>0</v>
      </c>
      <c r="Z397" s="23">
        <f>IF(O397="","",N(Q397)+N(R397)+N(S397)+N(T397))</f>
        <v>0</v>
      </c>
      <c r="AA397" s="24">
        <f>IF(OR(O397="",O397=0),"",Z397/O397)</f>
        <v>0</v>
      </c>
      <c r="AB397" s="24">
        <f>IF(OR(O397="",O397=0),"",N(T397)/O397)</f>
        <v>0</v>
      </c>
      <c r="AC397" s="24">
        <f>IF(OR(O397="",O397=0),"",N(S397)/O397)</f>
        <v>0</v>
      </c>
      <c r="AD397" s="24">
        <f>IF(OR(O397="",O397=0),"",N(R397)/O397)</f>
        <v>0</v>
      </c>
      <c r="AE397" s="24">
        <f>IF(OR(O397="",O397=0),"",N(U397)/O397)</f>
        <v>0</v>
      </c>
      <c r="AF397" s="24">
        <f>IF(OR(U397="",U397=0),"",N(W397)/U397)</f>
        <v>0</v>
      </c>
      <c r="AG397" s="25">
        <f>IF(OR(O397="",O397=0),"",N(X397)/(O397/1000))</f>
        <v>0</v>
      </c>
      <c r="AH397" s="24">
        <f>IF(O397="","",IF(Y397="",TargetEngagement,Y397))</f>
        <v>0</v>
      </c>
      <c r="AI397" s="24">
        <f>IF(OR(AA397="",AH397=""),"",AA397-AH397)</f>
        <v>0</v>
      </c>
      <c r="AJ397" s="31">
        <f>IF(AA397="","",AA397+ROW()/1000000)</f>
        <v>0</v>
      </c>
      <c r="AK397" s="23">
        <f>IF(AA397="","",RANK(AJ397,Performance!$AJ$5:$AJ$404))</f>
        <v>0</v>
      </c>
      <c r="AL397" s="29">
        <f>IF(AA397="","",IF(AA397&gt;=AH397*1.5,"Top performer",IF(AA397&gt;=AH397,"Above target",IF(AA397&gt;=AH397*0.6,"Below target","Weak - review it"))))</f>
        <v>0</v>
      </c>
      <c r="AM397" s="29">
        <f>IF(B397="","",IF(COUNTIF(Performance!$B$5:$B$404,B397)&gt;1,"Duplicate","OK"))</f>
        <v>0</v>
      </c>
      <c r="AN397" s="29">
        <f>IF(B397="","",IF(C397="Not found","Check - content ID not on the calendar",IF(O397="","Add - no numbers entered yet",IF(AM397="Duplicate","Duplicate - this post is entered twice",IF(AL397="Top performer","Repurpose this one","OK")))))</f>
        <v>0</v>
      </c>
    </row>
    <row r="398" spans="1:40">
      <c r="A398" s="41">
        <f>IF(B398="","","PF-"&amp;TEXT(ROW()-4,"0000"))</f>
        <v>0</v>
      </c>
      <c r="C398" s="17">
        <f>IF(B398="","",IFERROR(INDEX('Content Calendar'!$H$5:$H$604,MATCH(B398,'Content Calendar'!$A$5:$A$604,0)),"Not found"))</f>
        <v>0</v>
      </c>
      <c r="D398" s="16">
        <f>IF(B398="","",IFERROR(INDEX('Content Calendar'!$B$5:$B$604,MATCH(B398,'Content Calendar'!$A$5:$A$604,0)),"Not found"))</f>
        <v>0</v>
      </c>
      <c r="E398" s="17">
        <f>IF(B398="","",IFERROR(INDEX('Content Calendar'!$D$5:$D$604,MATCH(B398,'Content Calendar'!$A$5:$A$604,0)),"Not found"))</f>
        <v>0</v>
      </c>
      <c r="F398" s="17">
        <f>IF(B398="","",IFERROR(INDEX('Content Calendar'!$G$5:$G$604,MATCH(B398,'Content Calendar'!$A$5:$A$604,0)),"Not found"))</f>
        <v>0</v>
      </c>
      <c r="G398" s="17">
        <f>IF(B398="","",IFERROR(INDEX('Content Calendar'!$K$5:$K$604,MATCH(B398,'Content Calendar'!$A$5:$A$604,0)),"Not found"))</f>
        <v>0</v>
      </c>
      <c r="H398" s="17">
        <f>IF(B398="","",IFERROR(INDEX('Content Calendar'!$J$5:$J$604,MATCH(B398,'Content Calendar'!$A$5:$A$604,0)),"Not found"))</f>
        <v>0</v>
      </c>
      <c r="I398" s="17">
        <f>IF(B398="","",IFERROR(INDEX('Content Calendar'!$L$5:$L$604,MATCH(B398,'Content Calendar'!$A$5:$A$604,0)),"Not found"))</f>
        <v>0</v>
      </c>
      <c r="J398" s="17">
        <f>IF(B398="","",IFERROR(INDEX('Content Calendar'!$P$5:$P$604,MATCH(B398,'Content Calendar'!$A$5:$A$604,0)),"Not found"))</f>
        <v>0</v>
      </c>
      <c r="K398" s="17">
        <f>IF(B398="","",IFERROR(INDEX('Content Calendar'!$O$5:$O$604,MATCH(B398,'Content Calendar'!$A$5:$A$604,0)),"Not found"))</f>
        <v>0</v>
      </c>
      <c r="L398" s="17">
        <f>IF(B398="","",IFERROR(INDEX('Content Calendar'!$N$5:$N$604,MATCH(B398,'Content Calendar'!$A$5:$A$604,0)),"Not found"))</f>
        <v>0</v>
      </c>
      <c r="M398" s="17">
        <f>IF(B398="","",IFERROR(INDEX('Content Calendar'!$C$5:$C$604,MATCH(B398,'Content Calendar'!$A$5:$A$604,0)),"Not found"))</f>
        <v>0</v>
      </c>
      <c r="N398" s="17">
        <f>IF(B398="","",IFERROR(INDEX('Content Calendar'!$F$5:$F$604,MATCH(B398,'Content Calendar'!$A$5:$A$604,0)),"Not found"))</f>
        <v>0</v>
      </c>
      <c r="Z398" s="23">
        <f>IF(O398="","",N(Q398)+N(R398)+N(S398)+N(T398))</f>
        <v>0</v>
      </c>
      <c r="AA398" s="24">
        <f>IF(OR(O398="",O398=0),"",Z398/O398)</f>
        <v>0</v>
      </c>
      <c r="AB398" s="24">
        <f>IF(OR(O398="",O398=0),"",N(T398)/O398)</f>
        <v>0</v>
      </c>
      <c r="AC398" s="24">
        <f>IF(OR(O398="",O398=0),"",N(S398)/O398)</f>
        <v>0</v>
      </c>
      <c r="AD398" s="24">
        <f>IF(OR(O398="",O398=0),"",N(R398)/O398)</f>
        <v>0</v>
      </c>
      <c r="AE398" s="24">
        <f>IF(OR(O398="",O398=0),"",N(U398)/O398)</f>
        <v>0</v>
      </c>
      <c r="AF398" s="24">
        <f>IF(OR(U398="",U398=0),"",N(W398)/U398)</f>
        <v>0</v>
      </c>
      <c r="AG398" s="25">
        <f>IF(OR(O398="",O398=0),"",N(X398)/(O398/1000))</f>
        <v>0</v>
      </c>
      <c r="AH398" s="24">
        <f>IF(O398="","",IF(Y398="",TargetEngagement,Y398))</f>
        <v>0</v>
      </c>
      <c r="AI398" s="24">
        <f>IF(OR(AA398="",AH398=""),"",AA398-AH398)</f>
        <v>0</v>
      </c>
      <c r="AJ398" s="31">
        <f>IF(AA398="","",AA398+ROW()/1000000)</f>
        <v>0</v>
      </c>
      <c r="AK398" s="23">
        <f>IF(AA398="","",RANK(AJ398,Performance!$AJ$5:$AJ$404))</f>
        <v>0</v>
      </c>
      <c r="AL398" s="29">
        <f>IF(AA398="","",IF(AA398&gt;=AH398*1.5,"Top performer",IF(AA398&gt;=AH398,"Above target",IF(AA398&gt;=AH398*0.6,"Below target","Weak - review it"))))</f>
        <v>0</v>
      </c>
      <c r="AM398" s="29">
        <f>IF(B398="","",IF(COUNTIF(Performance!$B$5:$B$404,B398)&gt;1,"Duplicate","OK"))</f>
        <v>0</v>
      </c>
      <c r="AN398" s="29">
        <f>IF(B398="","",IF(C398="Not found","Check - content ID not on the calendar",IF(O398="","Add - no numbers entered yet",IF(AM398="Duplicate","Duplicate - this post is entered twice",IF(AL398="Top performer","Repurpose this one","OK")))))</f>
        <v>0</v>
      </c>
    </row>
    <row r="399" spans="1:40">
      <c r="A399" s="41">
        <f>IF(B399="","","PF-"&amp;TEXT(ROW()-4,"0000"))</f>
        <v>0</v>
      </c>
      <c r="C399" s="17">
        <f>IF(B399="","",IFERROR(INDEX('Content Calendar'!$H$5:$H$604,MATCH(B399,'Content Calendar'!$A$5:$A$604,0)),"Not found"))</f>
        <v>0</v>
      </c>
      <c r="D399" s="16">
        <f>IF(B399="","",IFERROR(INDEX('Content Calendar'!$B$5:$B$604,MATCH(B399,'Content Calendar'!$A$5:$A$604,0)),"Not found"))</f>
        <v>0</v>
      </c>
      <c r="E399" s="17">
        <f>IF(B399="","",IFERROR(INDEX('Content Calendar'!$D$5:$D$604,MATCH(B399,'Content Calendar'!$A$5:$A$604,0)),"Not found"))</f>
        <v>0</v>
      </c>
      <c r="F399" s="17">
        <f>IF(B399="","",IFERROR(INDEX('Content Calendar'!$G$5:$G$604,MATCH(B399,'Content Calendar'!$A$5:$A$604,0)),"Not found"))</f>
        <v>0</v>
      </c>
      <c r="G399" s="17">
        <f>IF(B399="","",IFERROR(INDEX('Content Calendar'!$K$5:$K$604,MATCH(B399,'Content Calendar'!$A$5:$A$604,0)),"Not found"))</f>
        <v>0</v>
      </c>
      <c r="H399" s="17">
        <f>IF(B399="","",IFERROR(INDEX('Content Calendar'!$J$5:$J$604,MATCH(B399,'Content Calendar'!$A$5:$A$604,0)),"Not found"))</f>
        <v>0</v>
      </c>
      <c r="I399" s="17">
        <f>IF(B399="","",IFERROR(INDEX('Content Calendar'!$L$5:$L$604,MATCH(B399,'Content Calendar'!$A$5:$A$604,0)),"Not found"))</f>
        <v>0</v>
      </c>
      <c r="J399" s="17">
        <f>IF(B399="","",IFERROR(INDEX('Content Calendar'!$P$5:$P$604,MATCH(B399,'Content Calendar'!$A$5:$A$604,0)),"Not found"))</f>
        <v>0</v>
      </c>
      <c r="K399" s="17">
        <f>IF(B399="","",IFERROR(INDEX('Content Calendar'!$O$5:$O$604,MATCH(B399,'Content Calendar'!$A$5:$A$604,0)),"Not found"))</f>
        <v>0</v>
      </c>
      <c r="L399" s="17">
        <f>IF(B399="","",IFERROR(INDEX('Content Calendar'!$N$5:$N$604,MATCH(B399,'Content Calendar'!$A$5:$A$604,0)),"Not found"))</f>
        <v>0</v>
      </c>
      <c r="M399" s="17">
        <f>IF(B399="","",IFERROR(INDEX('Content Calendar'!$C$5:$C$604,MATCH(B399,'Content Calendar'!$A$5:$A$604,0)),"Not found"))</f>
        <v>0</v>
      </c>
      <c r="N399" s="17">
        <f>IF(B399="","",IFERROR(INDEX('Content Calendar'!$F$5:$F$604,MATCH(B399,'Content Calendar'!$A$5:$A$604,0)),"Not found"))</f>
        <v>0</v>
      </c>
      <c r="Z399" s="23">
        <f>IF(O399="","",N(Q399)+N(R399)+N(S399)+N(T399))</f>
        <v>0</v>
      </c>
      <c r="AA399" s="24">
        <f>IF(OR(O399="",O399=0),"",Z399/O399)</f>
        <v>0</v>
      </c>
      <c r="AB399" s="24">
        <f>IF(OR(O399="",O399=0),"",N(T399)/O399)</f>
        <v>0</v>
      </c>
      <c r="AC399" s="24">
        <f>IF(OR(O399="",O399=0),"",N(S399)/O399)</f>
        <v>0</v>
      </c>
      <c r="AD399" s="24">
        <f>IF(OR(O399="",O399=0),"",N(R399)/O399)</f>
        <v>0</v>
      </c>
      <c r="AE399" s="24">
        <f>IF(OR(O399="",O399=0),"",N(U399)/O399)</f>
        <v>0</v>
      </c>
      <c r="AF399" s="24">
        <f>IF(OR(U399="",U399=0),"",N(W399)/U399)</f>
        <v>0</v>
      </c>
      <c r="AG399" s="25">
        <f>IF(OR(O399="",O399=0),"",N(X399)/(O399/1000))</f>
        <v>0</v>
      </c>
      <c r="AH399" s="24">
        <f>IF(O399="","",IF(Y399="",TargetEngagement,Y399))</f>
        <v>0</v>
      </c>
      <c r="AI399" s="24">
        <f>IF(OR(AA399="",AH399=""),"",AA399-AH399)</f>
        <v>0</v>
      </c>
      <c r="AJ399" s="31">
        <f>IF(AA399="","",AA399+ROW()/1000000)</f>
        <v>0</v>
      </c>
      <c r="AK399" s="23">
        <f>IF(AA399="","",RANK(AJ399,Performance!$AJ$5:$AJ$404))</f>
        <v>0</v>
      </c>
      <c r="AL399" s="29">
        <f>IF(AA399="","",IF(AA399&gt;=AH399*1.5,"Top performer",IF(AA399&gt;=AH399,"Above target",IF(AA399&gt;=AH399*0.6,"Below target","Weak - review it"))))</f>
        <v>0</v>
      </c>
      <c r="AM399" s="29">
        <f>IF(B399="","",IF(COUNTIF(Performance!$B$5:$B$404,B399)&gt;1,"Duplicate","OK"))</f>
        <v>0</v>
      </c>
      <c r="AN399" s="29">
        <f>IF(B399="","",IF(C399="Not found","Check - content ID not on the calendar",IF(O399="","Add - no numbers entered yet",IF(AM399="Duplicate","Duplicate - this post is entered twice",IF(AL399="Top performer","Repurpose this one","OK")))))</f>
        <v>0</v>
      </c>
    </row>
    <row r="400" spans="1:40">
      <c r="A400" s="41">
        <f>IF(B400="","","PF-"&amp;TEXT(ROW()-4,"0000"))</f>
        <v>0</v>
      </c>
      <c r="C400" s="17">
        <f>IF(B400="","",IFERROR(INDEX('Content Calendar'!$H$5:$H$604,MATCH(B400,'Content Calendar'!$A$5:$A$604,0)),"Not found"))</f>
        <v>0</v>
      </c>
      <c r="D400" s="16">
        <f>IF(B400="","",IFERROR(INDEX('Content Calendar'!$B$5:$B$604,MATCH(B400,'Content Calendar'!$A$5:$A$604,0)),"Not found"))</f>
        <v>0</v>
      </c>
      <c r="E400" s="17">
        <f>IF(B400="","",IFERROR(INDEX('Content Calendar'!$D$5:$D$604,MATCH(B400,'Content Calendar'!$A$5:$A$604,0)),"Not found"))</f>
        <v>0</v>
      </c>
      <c r="F400" s="17">
        <f>IF(B400="","",IFERROR(INDEX('Content Calendar'!$G$5:$G$604,MATCH(B400,'Content Calendar'!$A$5:$A$604,0)),"Not found"))</f>
        <v>0</v>
      </c>
      <c r="G400" s="17">
        <f>IF(B400="","",IFERROR(INDEX('Content Calendar'!$K$5:$K$604,MATCH(B400,'Content Calendar'!$A$5:$A$604,0)),"Not found"))</f>
        <v>0</v>
      </c>
      <c r="H400" s="17">
        <f>IF(B400="","",IFERROR(INDEX('Content Calendar'!$J$5:$J$604,MATCH(B400,'Content Calendar'!$A$5:$A$604,0)),"Not found"))</f>
        <v>0</v>
      </c>
      <c r="I400" s="17">
        <f>IF(B400="","",IFERROR(INDEX('Content Calendar'!$L$5:$L$604,MATCH(B400,'Content Calendar'!$A$5:$A$604,0)),"Not found"))</f>
        <v>0</v>
      </c>
      <c r="J400" s="17">
        <f>IF(B400="","",IFERROR(INDEX('Content Calendar'!$P$5:$P$604,MATCH(B400,'Content Calendar'!$A$5:$A$604,0)),"Not found"))</f>
        <v>0</v>
      </c>
      <c r="K400" s="17">
        <f>IF(B400="","",IFERROR(INDEX('Content Calendar'!$O$5:$O$604,MATCH(B400,'Content Calendar'!$A$5:$A$604,0)),"Not found"))</f>
        <v>0</v>
      </c>
      <c r="L400" s="17">
        <f>IF(B400="","",IFERROR(INDEX('Content Calendar'!$N$5:$N$604,MATCH(B400,'Content Calendar'!$A$5:$A$604,0)),"Not found"))</f>
        <v>0</v>
      </c>
      <c r="M400" s="17">
        <f>IF(B400="","",IFERROR(INDEX('Content Calendar'!$C$5:$C$604,MATCH(B400,'Content Calendar'!$A$5:$A$604,0)),"Not found"))</f>
        <v>0</v>
      </c>
      <c r="N400" s="17">
        <f>IF(B400="","",IFERROR(INDEX('Content Calendar'!$F$5:$F$604,MATCH(B400,'Content Calendar'!$A$5:$A$604,0)),"Not found"))</f>
        <v>0</v>
      </c>
      <c r="Z400" s="23">
        <f>IF(O400="","",N(Q400)+N(R400)+N(S400)+N(T400))</f>
        <v>0</v>
      </c>
      <c r="AA400" s="24">
        <f>IF(OR(O400="",O400=0),"",Z400/O400)</f>
        <v>0</v>
      </c>
      <c r="AB400" s="24">
        <f>IF(OR(O400="",O400=0),"",N(T400)/O400)</f>
        <v>0</v>
      </c>
      <c r="AC400" s="24">
        <f>IF(OR(O400="",O400=0),"",N(S400)/O400)</f>
        <v>0</v>
      </c>
      <c r="AD400" s="24">
        <f>IF(OR(O400="",O400=0),"",N(R400)/O400)</f>
        <v>0</v>
      </c>
      <c r="AE400" s="24">
        <f>IF(OR(O400="",O400=0),"",N(U400)/O400)</f>
        <v>0</v>
      </c>
      <c r="AF400" s="24">
        <f>IF(OR(U400="",U400=0),"",N(W400)/U400)</f>
        <v>0</v>
      </c>
      <c r="AG400" s="25">
        <f>IF(OR(O400="",O400=0),"",N(X400)/(O400/1000))</f>
        <v>0</v>
      </c>
      <c r="AH400" s="24">
        <f>IF(O400="","",IF(Y400="",TargetEngagement,Y400))</f>
        <v>0</v>
      </c>
      <c r="AI400" s="24">
        <f>IF(OR(AA400="",AH400=""),"",AA400-AH400)</f>
        <v>0</v>
      </c>
      <c r="AJ400" s="31">
        <f>IF(AA400="","",AA400+ROW()/1000000)</f>
        <v>0</v>
      </c>
      <c r="AK400" s="23">
        <f>IF(AA400="","",RANK(AJ400,Performance!$AJ$5:$AJ$404))</f>
        <v>0</v>
      </c>
      <c r="AL400" s="29">
        <f>IF(AA400="","",IF(AA400&gt;=AH400*1.5,"Top performer",IF(AA400&gt;=AH400,"Above target",IF(AA400&gt;=AH400*0.6,"Below target","Weak - review it"))))</f>
        <v>0</v>
      </c>
      <c r="AM400" s="29">
        <f>IF(B400="","",IF(COUNTIF(Performance!$B$5:$B$404,B400)&gt;1,"Duplicate","OK"))</f>
        <v>0</v>
      </c>
      <c r="AN400" s="29">
        <f>IF(B400="","",IF(C400="Not found","Check - content ID not on the calendar",IF(O400="","Add - no numbers entered yet",IF(AM400="Duplicate","Duplicate - this post is entered twice",IF(AL400="Top performer","Repurpose this one","OK")))))</f>
        <v>0</v>
      </c>
    </row>
    <row r="401" spans="1:40">
      <c r="A401" s="41">
        <f>IF(B401="","","PF-"&amp;TEXT(ROW()-4,"0000"))</f>
        <v>0</v>
      </c>
      <c r="C401" s="17">
        <f>IF(B401="","",IFERROR(INDEX('Content Calendar'!$H$5:$H$604,MATCH(B401,'Content Calendar'!$A$5:$A$604,0)),"Not found"))</f>
        <v>0</v>
      </c>
      <c r="D401" s="16">
        <f>IF(B401="","",IFERROR(INDEX('Content Calendar'!$B$5:$B$604,MATCH(B401,'Content Calendar'!$A$5:$A$604,0)),"Not found"))</f>
        <v>0</v>
      </c>
      <c r="E401" s="17">
        <f>IF(B401="","",IFERROR(INDEX('Content Calendar'!$D$5:$D$604,MATCH(B401,'Content Calendar'!$A$5:$A$604,0)),"Not found"))</f>
        <v>0</v>
      </c>
      <c r="F401" s="17">
        <f>IF(B401="","",IFERROR(INDEX('Content Calendar'!$G$5:$G$604,MATCH(B401,'Content Calendar'!$A$5:$A$604,0)),"Not found"))</f>
        <v>0</v>
      </c>
      <c r="G401" s="17">
        <f>IF(B401="","",IFERROR(INDEX('Content Calendar'!$K$5:$K$604,MATCH(B401,'Content Calendar'!$A$5:$A$604,0)),"Not found"))</f>
        <v>0</v>
      </c>
      <c r="H401" s="17">
        <f>IF(B401="","",IFERROR(INDEX('Content Calendar'!$J$5:$J$604,MATCH(B401,'Content Calendar'!$A$5:$A$604,0)),"Not found"))</f>
        <v>0</v>
      </c>
      <c r="I401" s="17">
        <f>IF(B401="","",IFERROR(INDEX('Content Calendar'!$L$5:$L$604,MATCH(B401,'Content Calendar'!$A$5:$A$604,0)),"Not found"))</f>
        <v>0</v>
      </c>
      <c r="J401" s="17">
        <f>IF(B401="","",IFERROR(INDEX('Content Calendar'!$P$5:$P$604,MATCH(B401,'Content Calendar'!$A$5:$A$604,0)),"Not found"))</f>
        <v>0</v>
      </c>
      <c r="K401" s="17">
        <f>IF(B401="","",IFERROR(INDEX('Content Calendar'!$O$5:$O$604,MATCH(B401,'Content Calendar'!$A$5:$A$604,0)),"Not found"))</f>
        <v>0</v>
      </c>
      <c r="L401" s="17">
        <f>IF(B401="","",IFERROR(INDEX('Content Calendar'!$N$5:$N$604,MATCH(B401,'Content Calendar'!$A$5:$A$604,0)),"Not found"))</f>
        <v>0</v>
      </c>
      <c r="M401" s="17">
        <f>IF(B401="","",IFERROR(INDEX('Content Calendar'!$C$5:$C$604,MATCH(B401,'Content Calendar'!$A$5:$A$604,0)),"Not found"))</f>
        <v>0</v>
      </c>
      <c r="N401" s="17">
        <f>IF(B401="","",IFERROR(INDEX('Content Calendar'!$F$5:$F$604,MATCH(B401,'Content Calendar'!$A$5:$A$604,0)),"Not found"))</f>
        <v>0</v>
      </c>
      <c r="Z401" s="23">
        <f>IF(O401="","",N(Q401)+N(R401)+N(S401)+N(T401))</f>
        <v>0</v>
      </c>
      <c r="AA401" s="24">
        <f>IF(OR(O401="",O401=0),"",Z401/O401)</f>
        <v>0</v>
      </c>
      <c r="AB401" s="24">
        <f>IF(OR(O401="",O401=0),"",N(T401)/O401)</f>
        <v>0</v>
      </c>
      <c r="AC401" s="24">
        <f>IF(OR(O401="",O401=0),"",N(S401)/O401)</f>
        <v>0</v>
      </c>
      <c r="AD401" s="24">
        <f>IF(OR(O401="",O401=0),"",N(R401)/O401)</f>
        <v>0</v>
      </c>
      <c r="AE401" s="24">
        <f>IF(OR(O401="",O401=0),"",N(U401)/O401)</f>
        <v>0</v>
      </c>
      <c r="AF401" s="24">
        <f>IF(OR(U401="",U401=0),"",N(W401)/U401)</f>
        <v>0</v>
      </c>
      <c r="AG401" s="25">
        <f>IF(OR(O401="",O401=0),"",N(X401)/(O401/1000))</f>
        <v>0</v>
      </c>
      <c r="AH401" s="24">
        <f>IF(O401="","",IF(Y401="",TargetEngagement,Y401))</f>
        <v>0</v>
      </c>
      <c r="AI401" s="24">
        <f>IF(OR(AA401="",AH401=""),"",AA401-AH401)</f>
        <v>0</v>
      </c>
      <c r="AJ401" s="31">
        <f>IF(AA401="","",AA401+ROW()/1000000)</f>
        <v>0</v>
      </c>
      <c r="AK401" s="23">
        <f>IF(AA401="","",RANK(AJ401,Performance!$AJ$5:$AJ$404))</f>
        <v>0</v>
      </c>
      <c r="AL401" s="29">
        <f>IF(AA401="","",IF(AA401&gt;=AH401*1.5,"Top performer",IF(AA401&gt;=AH401,"Above target",IF(AA401&gt;=AH401*0.6,"Below target","Weak - review it"))))</f>
        <v>0</v>
      </c>
      <c r="AM401" s="29">
        <f>IF(B401="","",IF(COUNTIF(Performance!$B$5:$B$404,B401)&gt;1,"Duplicate","OK"))</f>
        <v>0</v>
      </c>
      <c r="AN401" s="29">
        <f>IF(B401="","",IF(C401="Not found","Check - content ID not on the calendar",IF(O401="","Add - no numbers entered yet",IF(AM401="Duplicate","Duplicate - this post is entered twice",IF(AL401="Top performer","Repurpose this one","OK")))))</f>
        <v>0</v>
      </c>
    </row>
    <row r="402" spans="1:40">
      <c r="A402" s="41">
        <f>IF(B402="","","PF-"&amp;TEXT(ROW()-4,"0000"))</f>
        <v>0</v>
      </c>
      <c r="C402" s="17">
        <f>IF(B402="","",IFERROR(INDEX('Content Calendar'!$H$5:$H$604,MATCH(B402,'Content Calendar'!$A$5:$A$604,0)),"Not found"))</f>
        <v>0</v>
      </c>
      <c r="D402" s="16">
        <f>IF(B402="","",IFERROR(INDEX('Content Calendar'!$B$5:$B$604,MATCH(B402,'Content Calendar'!$A$5:$A$604,0)),"Not found"))</f>
        <v>0</v>
      </c>
      <c r="E402" s="17">
        <f>IF(B402="","",IFERROR(INDEX('Content Calendar'!$D$5:$D$604,MATCH(B402,'Content Calendar'!$A$5:$A$604,0)),"Not found"))</f>
        <v>0</v>
      </c>
      <c r="F402" s="17">
        <f>IF(B402="","",IFERROR(INDEX('Content Calendar'!$G$5:$G$604,MATCH(B402,'Content Calendar'!$A$5:$A$604,0)),"Not found"))</f>
        <v>0</v>
      </c>
      <c r="G402" s="17">
        <f>IF(B402="","",IFERROR(INDEX('Content Calendar'!$K$5:$K$604,MATCH(B402,'Content Calendar'!$A$5:$A$604,0)),"Not found"))</f>
        <v>0</v>
      </c>
      <c r="H402" s="17">
        <f>IF(B402="","",IFERROR(INDEX('Content Calendar'!$J$5:$J$604,MATCH(B402,'Content Calendar'!$A$5:$A$604,0)),"Not found"))</f>
        <v>0</v>
      </c>
      <c r="I402" s="17">
        <f>IF(B402="","",IFERROR(INDEX('Content Calendar'!$L$5:$L$604,MATCH(B402,'Content Calendar'!$A$5:$A$604,0)),"Not found"))</f>
        <v>0</v>
      </c>
      <c r="J402" s="17">
        <f>IF(B402="","",IFERROR(INDEX('Content Calendar'!$P$5:$P$604,MATCH(B402,'Content Calendar'!$A$5:$A$604,0)),"Not found"))</f>
        <v>0</v>
      </c>
      <c r="K402" s="17">
        <f>IF(B402="","",IFERROR(INDEX('Content Calendar'!$O$5:$O$604,MATCH(B402,'Content Calendar'!$A$5:$A$604,0)),"Not found"))</f>
        <v>0</v>
      </c>
      <c r="L402" s="17">
        <f>IF(B402="","",IFERROR(INDEX('Content Calendar'!$N$5:$N$604,MATCH(B402,'Content Calendar'!$A$5:$A$604,0)),"Not found"))</f>
        <v>0</v>
      </c>
      <c r="M402" s="17">
        <f>IF(B402="","",IFERROR(INDEX('Content Calendar'!$C$5:$C$604,MATCH(B402,'Content Calendar'!$A$5:$A$604,0)),"Not found"))</f>
        <v>0</v>
      </c>
      <c r="N402" s="17">
        <f>IF(B402="","",IFERROR(INDEX('Content Calendar'!$F$5:$F$604,MATCH(B402,'Content Calendar'!$A$5:$A$604,0)),"Not found"))</f>
        <v>0</v>
      </c>
      <c r="Z402" s="23">
        <f>IF(O402="","",N(Q402)+N(R402)+N(S402)+N(T402))</f>
        <v>0</v>
      </c>
      <c r="AA402" s="24">
        <f>IF(OR(O402="",O402=0),"",Z402/O402)</f>
        <v>0</v>
      </c>
      <c r="AB402" s="24">
        <f>IF(OR(O402="",O402=0),"",N(T402)/O402)</f>
        <v>0</v>
      </c>
      <c r="AC402" s="24">
        <f>IF(OR(O402="",O402=0),"",N(S402)/O402)</f>
        <v>0</v>
      </c>
      <c r="AD402" s="24">
        <f>IF(OR(O402="",O402=0),"",N(R402)/O402)</f>
        <v>0</v>
      </c>
      <c r="AE402" s="24">
        <f>IF(OR(O402="",O402=0),"",N(U402)/O402)</f>
        <v>0</v>
      </c>
      <c r="AF402" s="24">
        <f>IF(OR(U402="",U402=0),"",N(W402)/U402)</f>
        <v>0</v>
      </c>
      <c r="AG402" s="25">
        <f>IF(OR(O402="",O402=0),"",N(X402)/(O402/1000))</f>
        <v>0</v>
      </c>
      <c r="AH402" s="24">
        <f>IF(O402="","",IF(Y402="",TargetEngagement,Y402))</f>
        <v>0</v>
      </c>
      <c r="AI402" s="24">
        <f>IF(OR(AA402="",AH402=""),"",AA402-AH402)</f>
        <v>0</v>
      </c>
      <c r="AJ402" s="31">
        <f>IF(AA402="","",AA402+ROW()/1000000)</f>
        <v>0</v>
      </c>
      <c r="AK402" s="23">
        <f>IF(AA402="","",RANK(AJ402,Performance!$AJ$5:$AJ$404))</f>
        <v>0</v>
      </c>
      <c r="AL402" s="29">
        <f>IF(AA402="","",IF(AA402&gt;=AH402*1.5,"Top performer",IF(AA402&gt;=AH402,"Above target",IF(AA402&gt;=AH402*0.6,"Below target","Weak - review it"))))</f>
        <v>0</v>
      </c>
      <c r="AM402" s="29">
        <f>IF(B402="","",IF(COUNTIF(Performance!$B$5:$B$404,B402)&gt;1,"Duplicate","OK"))</f>
        <v>0</v>
      </c>
      <c r="AN402" s="29">
        <f>IF(B402="","",IF(C402="Not found","Check - content ID not on the calendar",IF(O402="","Add - no numbers entered yet",IF(AM402="Duplicate","Duplicate - this post is entered twice",IF(AL402="Top performer","Repurpose this one","OK")))))</f>
        <v>0</v>
      </c>
    </row>
    <row r="403" spans="1:40">
      <c r="A403" s="41">
        <f>IF(B403="","","PF-"&amp;TEXT(ROW()-4,"0000"))</f>
        <v>0</v>
      </c>
      <c r="C403" s="17">
        <f>IF(B403="","",IFERROR(INDEX('Content Calendar'!$H$5:$H$604,MATCH(B403,'Content Calendar'!$A$5:$A$604,0)),"Not found"))</f>
        <v>0</v>
      </c>
      <c r="D403" s="16">
        <f>IF(B403="","",IFERROR(INDEX('Content Calendar'!$B$5:$B$604,MATCH(B403,'Content Calendar'!$A$5:$A$604,0)),"Not found"))</f>
        <v>0</v>
      </c>
      <c r="E403" s="17">
        <f>IF(B403="","",IFERROR(INDEX('Content Calendar'!$D$5:$D$604,MATCH(B403,'Content Calendar'!$A$5:$A$604,0)),"Not found"))</f>
        <v>0</v>
      </c>
      <c r="F403" s="17">
        <f>IF(B403="","",IFERROR(INDEX('Content Calendar'!$G$5:$G$604,MATCH(B403,'Content Calendar'!$A$5:$A$604,0)),"Not found"))</f>
        <v>0</v>
      </c>
      <c r="G403" s="17">
        <f>IF(B403="","",IFERROR(INDEX('Content Calendar'!$K$5:$K$604,MATCH(B403,'Content Calendar'!$A$5:$A$604,0)),"Not found"))</f>
        <v>0</v>
      </c>
      <c r="H403" s="17">
        <f>IF(B403="","",IFERROR(INDEX('Content Calendar'!$J$5:$J$604,MATCH(B403,'Content Calendar'!$A$5:$A$604,0)),"Not found"))</f>
        <v>0</v>
      </c>
      <c r="I403" s="17">
        <f>IF(B403="","",IFERROR(INDEX('Content Calendar'!$L$5:$L$604,MATCH(B403,'Content Calendar'!$A$5:$A$604,0)),"Not found"))</f>
        <v>0</v>
      </c>
      <c r="J403" s="17">
        <f>IF(B403="","",IFERROR(INDEX('Content Calendar'!$P$5:$P$604,MATCH(B403,'Content Calendar'!$A$5:$A$604,0)),"Not found"))</f>
        <v>0</v>
      </c>
      <c r="K403" s="17">
        <f>IF(B403="","",IFERROR(INDEX('Content Calendar'!$O$5:$O$604,MATCH(B403,'Content Calendar'!$A$5:$A$604,0)),"Not found"))</f>
        <v>0</v>
      </c>
      <c r="L403" s="17">
        <f>IF(B403="","",IFERROR(INDEX('Content Calendar'!$N$5:$N$604,MATCH(B403,'Content Calendar'!$A$5:$A$604,0)),"Not found"))</f>
        <v>0</v>
      </c>
      <c r="M403" s="17">
        <f>IF(B403="","",IFERROR(INDEX('Content Calendar'!$C$5:$C$604,MATCH(B403,'Content Calendar'!$A$5:$A$604,0)),"Not found"))</f>
        <v>0</v>
      </c>
      <c r="N403" s="17">
        <f>IF(B403="","",IFERROR(INDEX('Content Calendar'!$F$5:$F$604,MATCH(B403,'Content Calendar'!$A$5:$A$604,0)),"Not found"))</f>
        <v>0</v>
      </c>
      <c r="Z403" s="23">
        <f>IF(O403="","",N(Q403)+N(R403)+N(S403)+N(T403))</f>
        <v>0</v>
      </c>
      <c r="AA403" s="24">
        <f>IF(OR(O403="",O403=0),"",Z403/O403)</f>
        <v>0</v>
      </c>
      <c r="AB403" s="24">
        <f>IF(OR(O403="",O403=0),"",N(T403)/O403)</f>
        <v>0</v>
      </c>
      <c r="AC403" s="24">
        <f>IF(OR(O403="",O403=0),"",N(S403)/O403)</f>
        <v>0</v>
      </c>
      <c r="AD403" s="24">
        <f>IF(OR(O403="",O403=0),"",N(R403)/O403)</f>
        <v>0</v>
      </c>
      <c r="AE403" s="24">
        <f>IF(OR(O403="",O403=0),"",N(U403)/O403)</f>
        <v>0</v>
      </c>
      <c r="AF403" s="24">
        <f>IF(OR(U403="",U403=0),"",N(W403)/U403)</f>
        <v>0</v>
      </c>
      <c r="AG403" s="25">
        <f>IF(OR(O403="",O403=0),"",N(X403)/(O403/1000))</f>
        <v>0</v>
      </c>
      <c r="AH403" s="24">
        <f>IF(O403="","",IF(Y403="",TargetEngagement,Y403))</f>
        <v>0</v>
      </c>
      <c r="AI403" s="24">
        <f>IF(OR(AA403="",AH403=""),"",AA403-AH403)</f>
        <v>0</v>
      </c>
      <c r="AJ403" s="31">
        <f>IF(AA403="","",AA403+ROW()/1000000)</f>
        <v>0</v>
      </c>
      <c r="AK403" s="23">
        <f>IF(AA403="","",RANK(AJ403,Performance!$AJ$5:$AJ$404))</f>
        <v>0</v>
      </c>
      <c r="AL403" s="29">
        <f>IF(AA403="","",IF(AA403&gt;=AH403*1.5,"Top performer",IF(AA403&gt;=AH403,"Above target",IF(AA403&gt;=AH403*0.6,"Below target","Weak - review it"))))</f>
        <v>0</v>
      </c>
      <c r="AM403" s="29">
        <f>IF(B403="","",IF(COUNTIF(Performance!$B$5:$B$404,B403)&gt;1,"Duplicate","OK"))</f>
        <v>0</v>
      </c>
      <c r="AN403" s="29">
        <f>IF(B403="","",IF(C403="Not found","Check - content ID not on the calendar",IF(O403="","Add - no numbers entered yet",IF(AM403="Duplicate","Duplicate - this post is entered twice",IF(AL403="Top performer","Repurpose this one","OK")))))</f>
        <v>0</v>
      </c>
    </row>
    <row r="404" spans="1:40">
      <c r="A404" s="41">
        <f>IF(B404="","","PF-"&amp;TEXT(ROW()-4,"0000"))</f>
        <v>0</v>
      </c>
      <c r="C404" s="17">
        <f>IF(B404="","",IFERROR(INDEX('Content Calendar'!$H$5:$H$604,MATCH(B404,'Content Calendar'!$A$5:$A$604,0)),"Not found"))</f>
        <v>0</v>
      </c>
      <c r="D404" s="16">
        <f>IF(B404="","",IFERROR(INDEX('Content Calendar'!$B$5:$B$604,MATCH(B404,'Content Calendar'!$A$5:$A$604,0)),"Not found"))</f>
        <v>0</v>
      </c>
      <c r="E404" s="17">
        <f>IF(B404="","",IFERROR(INDEX('Content Calendar'!$D$5:$D$604,MATCH(B404,'Content Calendar'!$A$5:$A$604,0)),"Not found"))</f>
        <v>0</v>
      </c>
      <c r="F404" s="17">
        <f>IF(B404="","",IFERROR(INDEX('Content Calendar'!$G$5:$G$604,MATCH(B404,'Content Calendar'!$A$5:$A$604,0)),"Not found"))</f>
        <v>0</v>
      </c>
      <c r="G404" s="17">
        <f>IF(B404="","",IFERROR(INDEX('Content Calendar'!$K$5:$K$604,MATCH(B404,'Content Calendar'!$A$5:$A$604,0)),"Not found"))</f>
        <v>0</v>
      </c>
      <c r="H404" s="17">
        <f>IF(B404="","",IFERROR(INDEX('Content Calendar'!$J$5:$J$604,MATCH(B404,'Content Calendar'!$A$5:$A$604,0)),"Not found"))</f>
        <v>0</v>
      </c>
      <c r="I404" s="17">
        <f>IF(B404="","",IFERROR(INDEX('Content Calendar'!$L$5:$L$604,MATCH(B404,'Content Calendar'!$A$5:$A$604,0)),"Not found"))</f>
        <v>0</v>
      </c>
      <c r="J404" s="17">
        <f>IF(B404="","",IFERROR(INDEX('Content Calendar'!$P$5:$P$604,MATCH(B404,'Content Calendar'!$A$5:$A$604,0)),"Not found"))</f>
        <v>0</v>
      </c>
      <c r="K404" s="17">
        <f>IF(B404="","",IFERROR(INDEX('Content Calendar'!$O$5:$O$604,MATCH(B404,'Content Calendar'!$A$5:$A$604,0)),"Not found"))</f>
        <v>0</v>
      </c>
      <c r="L404" s="17">
        <f>IF(B404="","",IFERROR(INDEX('Content Calendar'!$N$5:$N$604,MATCH(B404,'Content Calendar'!$A$5:$A$604,0)),"Not found"))</f>
        <v>0</v>
      </c>
      <c r="M404" s="17">
        <f>IF(B404="","",IFERROR(INDEX('Content Calendar'!$C$5:$C$604,MATCH(B404,'Content Calendar'!$A$5:$A$604,0)),"Not found"))</f>
        <v>0</v>
      </c>
      <c r="N404" s="17">
        <f>IF(B404="","",IFERROR(INDEX('Content Calendar'!$F$5:$F$604,MATCH(B404,'Content Calendar'!$A$5:$A$604,0)),"Not found"))</f>
        <v>0</v>
      </c>
      <c r="Z404" s="23">
        <f>IF(O404="","",N(Q404)+N(R404)+N(S404)+N(T404))</f>
        <v>0</v>
      </c>
      <c r="AA404" s="24">
        <f>IF(OR(O404="",O404=0),"",Z404/O404)</f>
        <v>0</v>
      </c>
      <c r="AB404" s="24">
        <f>IF(OR(O404="",O404=0),"",N(T404)/O404)</f>
        <v>0</v>
      </c>
      <c r="AC404" s="24">
        <f>IF(OR(O404="",O404=0),"",N(S404)/O404)</f>
        <v>0</v>
      </c>
      <c r="AD404" s="24">
        <f>IF(OR(O404="",O404=0),"",N(R404)/O404)</f>
        <v>0</v>
      </c>
      <c r="AE404" s="24">
        <f>IF(OR(O404="",O404=0),"",N(U404)/O404)</f>
        <v>0</v>
      </c>
      <c r="AF404" s="24">
        <f>IF(OR(U404="",U404=0),"",N(W404)/U404)</f>
        <v>0</v>
      </c>
      <c r="AG404" s="25">
        <f>IF(OR(O404="",O404=0),"",N(X404)/(O404/1000))</f>
        <v>0</v>
      </c>
      <c r="AH404" s="24">
        <f>IF(O404="","",IF(Y404="",TargetEngagement,Y404))</f>
        <v>0</v>
      </c>
      <c r="AI404" s="24">
        <f>IF(OR(AA404="",AH404=""),"",AA404-AH404)</f>
        <v>0</v>
      </c>
      <c r="AJ404" s="31">
        <f>IF(AA404="","",AA404+ROW()/1000000)</f>
        <v>0</v>
      </c>
      <c r="AK404" s="23">
        <f>IF(AA404="","",RANK(AJ404,Performance!$AJ$5:$AJ$404))</f>
        <v>0</v>
      </c>
      <c r="AL404" s="29">
        <f>IF(AA404="","",IF(AA404&gt;=AH404*1.5,"Top performer",IF(AA404&gt;=AH404,"Above target",IF(AA404&gt;=AH404*0.6,"Below target","Weak - review it"))))</f>
        <v>0</v>
      </c>
      <c r="AM404" s="29">
        <f>IF(B404="","",IF(COUNTIF(Performance!$B$5:$B$404,B404)&gt;1,"Duplicate","OK"))</f>
        <v>0</v>
      </c>
      <c r="AN404" s="29">
        <f>IF(B404="","",IF(C404="Not found","Check - content ID not on the calendar",IF(O404="","Add - no numbers entered yet",IF(AM404="Duplicate","Duplicate - this post is entered twice",IF(AL404="Top performer","Repurpose this one","OK")))))</f>
        <v>0</v>
      </c>
    </row>
  </sheetData>
  <sheetProtection password="EC7C" sheet="1" objects="1" scenarios="1" formatCells="0" formatColumns="0" formatRows="0" insertRows="0" insertHyperlinks="0" deleteRows="0" autoFilter="0"/>
  <autoFilter ref="A4:AO404"/>
  <mergeCells count="13">
    <mergeCell ref="A1:AL1"/>
    <mergeCell ref="AM1:AO1"/>
    <mergeCell ref="A2:AO2"/>
    <mergeCell ref="A3:B3"/>
    <mergeCell ref="C3:D3"/>
    <mergeCell ref="E3:F3"/>
    <mergeCell ref="G3:H3"/>
    <mergeCell ref="I3:J3"/>
    <mergeCell ref="K3:L3"/>
    <mergeCell ref="M3:N3"/>
    <mergeCell ref="O3:P3"/>
    <mergeCell ref="Q3:R3"/>
    <mergeCell ref="S3:AO3"/>
  </mergeCells>
  <conditionalFormatting sqref="AA5:AA404">
    <cfRule type="cellIs" dxfId="0" priority="3" operator="greaterThanOrEqual">
      <formula>TargetEngagement</formula>
    </cfRule>
    <cfRule type="cellIs" dxfId="2" priority="4" operator="lessThan">
      <formula>TargetEngagement</formula>
    </cfRule>
  </conditionalFormatting>
  <conditionalFormatting sqref="AI5:AI404">
    <cfRule type="cellIs" dxfId="0" priority="5" operator="greaterThanOrEqual">
      <formula>0</formula>
    </cfRule>
    <cfRule type="cellIs" dxfId="2" priority="6" operator="lessThan">
      <formula>0</formula>
    </cfRule>
  </conditionalFormatting>
  <conditionalFormatting sqref="AK5:AK404">
    <cfRule type="cellIs" dxfId="0" priority="7" operator="lessThanOrEqual">
      <formula>3</formula>
    </cfRule>
  </conditionalFormatting>
  <conditionalFormatting sqref="AL5:AL404">
    <cfRule type="containsText" dxfId="5" priority="8" operator="containsText" text="Top performer">
      <formula>NOT(ISERROR(SEARCH("Top performer",AL5)))</formula>
    </cfRule>
    <cfRule type="containsText" dxfId="0" priority="9" operator="containsText" text="Above target">
      <formula>NOT(ISERROR(SEARCH("Above target",AL5)))</formula>
    </cfRule>
    <cfRule type="containsText" dxfId="2" priority="10" operator="containsText" text="Below target">
      <formula>NOT(ISERROR(SEARCH("Below target",AL5)))</formula>
    </cfRule>
    <cfRule type="containsText" dxfId="1" priority="11" operator="containsText" text="Weak">
      <formula>NOT(ISERROR(SEARCH("Weak",AL5)))</formula>
    </cfRule>
  </conditionalFormatting>
  <conditionalFormatting sqref="AM5:AM404">
    <cfRule type="containsText" dxfId="1" priority="12" operator="containsText" text="Duplicate">
      <formula>NOT(ISERROR(SEARCH("Duplicate",AM5)))</formula>
    </cfRule>
    <cfRule type="containsText" dxfId="0" priority="13" operator="containsText" text="OK">
      <formula>NOT(ISERROR(SEARCH("OK",AM5)))</formula>
    </cfRule>
  </conditionalFormatting>
  <conditionalFormatting sqref="AN5:AN404">
    <cfRule type="beginsWith" dxfId="0" priority="14" operator="beginsWith" text="OK">
      <formula>LEFT(AN5,2)="OK"</formula>
    </cfRule>
    <cfRule type="containsText" dxfId="1" priority="15" operator="containsText" text="Overdue">
      <formula>NOT(ISERROR(SEARCH("Overdue",AN5)))</formula>
    </cfRule>
    <cfRule type="containsText" dxfId="1" priority="16" operator="containsText" text="Late">
      <formula>NOT(ISERROR(SEARCH("Late",AN5)))</formula>
    </cfRule>
    <cfRule type="containsText" dxfId="1" priority="17" operator="containsText" text="Missing">
      <formula>NOT(ISERROR(SEARCH("Missing",AN5)))</formula>
    </cfRule>
    <cfRule type="containsText" dxfId="1" priority="18" operator="containsText" text="Conflict">
      <formula>NOT(ISERROR(SEARCH("Conflict",AN5)))</formula>
    </cfRule>
    <cfRule type="containsText" dxfId="1" priority="19" operator="containsText" text="Expired">
      <formula>NOT(ISERROR(SEARCH("Expired",AN5)))</formula>
    </cfRule>
    <cfRule type="containsText" dxfId="1" priority="20" operator="containsText" text="Duplicate">
      <formula>NOT(ISERROR(SEARCH("Duplicate",AN5)))</formula>
    </cfRule>
    <cfRule type="containsText" dxfId="2" priority="21" operator="containsText" text="Action">
      <formula>NOT(ISERROR(SEARCH("Action",AN5)))</formula>
    </cfRule>
    <cfRule type="containsText" dxfId="2" priority="22" operator="containsText" text="Due">
      <formula>NOT(ISERROR(SEARCH("Due",AN5)))</formula>
    </cfRule>
    <cfRule type="containsText" dxfId="2" priority="23" operator="containsText" text="Check">
      <formula>NOT(ISERROR(SEARCH("Check",AN5)))</formula>
    </cfRule>
    <cfRule type="containsText" dxfId="2" priority="24" operator="containsText" text="Add">
      <formula>NOT(ISERROR(SEARCH("Add",AN5)))</formula>
    </cfRule>
    <cfRule type="containsText" dxfId="3" priority="25" operator="containsText" text="Today">
      <formula>NOT(ISERROR(SEARCH("Today",AN5)))</formula>
    </cfRule>
    <cfRule type="containsText" dxfId="3" priority="26" operator="containsText" text="Upcoming">
      <formula>NOT(ISERROR(SEARCH("Upcoming",AN5)))</formula>
    </cfRule>
    <cfRule type="containsText" dxfId="0" priority="27" operator="containsText" text="Published">
      <formula>NOT(ISERROR(SEARCH("Published",AN5)))</formula>
    </cfRule>
    <cfRule type="containsText" dxfId="0" priority="28" operator="containsText" text="Approved">
      <formula>NOT(ISERROR(SEARCH("Approved",AN5)))</formula>
    </cfRule>
    <cfRule type="containsText" dxfId="0" priority="29" operator="containsText" text="Complete">
      <formula>NOT(ISERROR(SEARCH("Complete",AN5)))</formula>
    </cfRule>
    <cfRule type="containsText" dxfId="0" priority="30" operator="containsText" text="Active">
      <formula>NOT(ISERROR(SEARCH("Active",AN5)))</formula>
    </cfRule>
    <cfRule type="containsText" dxfId="0" priority="31" operator="containsText" text="Agreed">
      <formula>NOT(ISERROR(SEARCH("Agreed",AN5)))</formula>
    </cfRule>
    <cfRule type="containsText" dxfId="0" priority="32" operator="containsText" text="Yes">
      <formula>NOT(ISERROR(SEARCH("Yes",AN5)))</formula>
    </cfRule>
    <cfRule type="containsText" dxfId="0" priority="33" operator="containsText" text="Won">
      <formula>NOT(ISERROR(SEARCH("Won",AN5)))</formula>
    </cfRule>
    <cfRule type="containsText" dxfId="3" priority="34" operator="containsText" text="Scheduled">
      <formula>NOT(ISERROR(SEARCH("Scheduled",AN5)))</formula>
    </cfRule>
    <cfRule type="containsText" dxfId="3" priority="35" operator="containsText" text="In production">
      <formula>NOT(ISERROR(SEARCH("In production",AN5)))</formula>
    </cfRule>
    <cfRule type="containsText" dxfId="3" priority="36" operator="containsText" text="Running">
      <formula>NOT(ISERROR(SEARCH("Running",AN5)))</formula>
    </cfRule>
    <cfRule type="containsText" dxfId="3" priority="37" operator="containsText" text="Sent">
      <formula>NOT(ISERROR(SEARCH("Sent",AN5)))</formula>
    </cfRule>
    <cfRule type="containsText" dxfId="3" priority="38" operator="containsText" text="Testing">
      <formula>NOT(ISERROR(SEARCH("Testing",AN5)))</formula>
    </cfRule>
    <cfRule type="containsText" dxfId="2" priority="39" operator="containsText" text="Idea">
      <formula>NOT(ISERROR(SEARCH("Idea",AN5)))</formula>
    </cfRule>
    <cfRule type="containsText" dxfId="2" priority="40" operator="containsText" text="Brief">
      <formula>NOT(ISERROR(SEARCH("Brief",AN5)))</formula>
    </cfRule>
    <cfRule type="containsText" dxfId="2" priority="41" operator="containsText" text="Draft">
      <formula>NOT(ISERROR(SEARCH("Draft",AN5)))</formula>
    </cfRule>
    <cfRule type="containsText" dxfId="2" priority="42" operator="containsText" text="Awaiting review">
      <formula>NOT(ISERROR(SEARCH("Awaiting review",AN5)))</formula>
    </cfRule>
    <cfRule type="containsText" dxfId="2" priority="43" operator="containsText" text="Pending">
      <formula>NOT(ISERROR(SEARCH("Pending",AN5)))</formula>
    </cfRule>
    <cfRule type="containsText" dxfId="2" priority="44" operator="containsText" text="On hold">
      <formula>NOT(ISERROR(SEARCH("On hold",AN5)))</formula>
    </cfRule>
    <cfRule type="containsText" dxfId="1" priority="45" operator="containsText" text="Revision needed">
      <formula>NOT(ISERROR(SEARCH("Revision needed",AN5)))</formula>
    </cfRule>
    <cfRule type="containsText" dxfId="1" priority="46" operator="containsText" text="Rejected">
      <formula>NOT(ISERROR(SEARCH("Rejected",AN5)))</formula>
    </cfRule>
    <cfRule type="containsText" dxfId="1" priority="47" operator="containsText" text="Cancelled">
      <formula>NOT(ISERROR(SEARCH("Cancelled",AN5)))</formula>
    </cfRule>
    <cfRule type="containsText" dxfId="1" priority="48" operator="containsText" text="Missed">
      <formula>NOT(ISERROR(SEARCH("Missed",AN5)))</formula>
    </cfRule>
    <cfRule type="containsText" dxfId="1" priority="49" operator="containsText" text="Overdue">
      <formula>NOT(ISERROR(SEARCH("Overdue",AN5)))</formula>
    </cfRule>
    <cfRule type="containsText" dxfId="1" priority="50" operator="containsText" text="Declined">
      <formula>NOT(ISERROR(SEARCH("Declined",AN5)))</formula>
    </cfRule>
    <cfRule type="containsText" dxfId="4" priority="51" operator="containsText" text="Archived">
      <formula>NOT(ISERROR(SEARCH("Archived",AN5)))</formula>
    </cfRule>
    <cfRule type="containsText" dxfId="4" priority="52" operator="containsText" text="Paused">
      <formula>NOT(ISERROR(SEARCH("Paused",AN5)))</formula>
    </cfRule>
    <cfRule type="containsText" dxfId="4" priority="53" operator="containsText" text="Not started">
      <formula>NOT(ISERROR(SEARCH("Not started",AN5)))</formula>
    </cfRule>
    <cfRule type="containsText" dxfId="3" priority="54" operator="containsText" text="Repurpose">
      <formula>NOT(ISERROR(SEARCH("Repurpose",AN5)))</formula>
    </cfRule>
  </conditionalFormatting>
  <conditionalFormatting sqref="O5:O404">
    <cfRule type="dataBar" priority="1">
      <dataBar>
        <cfvo type="min" val="0"/>
        <cfvo type="max" val="0"/>
        <color rgb="FF6350A8"/>
      </dataBar>
    </cfRule>
  </conditionalFormatting>
  <conditionalFormatting sqref="X5:X404">
    <cfRule type="cellIs" dxfId="5" priority="2" operator="greaterThan">
      <formula>0</formula>
    </cfRule>
  </conditionalFormatting>
  <dataValidations count="12">
    <dataValidation type="list" allowBlank="1" showInputMessage="1" showErrorMessage="1" promptTitle="Content ID" prompt="Pick the post from the Content Calendar - everything grey fills itself in." sqref="B5:B404">
      <formula1>ContentIDs</formula1>
    </dataValidation>
    <dataValidation type="whole" allowBlank="1" showInputMessage="1" showErrorMessage="1" errorTitle="Check the value" error="Enter a number between 0 and 1000000000.0." promptTitle="Reach" prompt="How many people saw it. If the platform only gives you impressions, use that and be consistent." sqref="O5:O404">
      <formula1>0</formula1>
      <formula2>1000000000.0</formula2>
    </dataValidation>
    <dataValidation type="whole" allowBlank="1" showInputMessage="1" showErrorMessage="1" errorTitle="Check the value" error="Enter a number between 0 and 1000000000.0." sqref="P5:P404">
      <formula1>0</formula1>
      <formula2>1000000000.0</formula2>
    </dataValidation>
    <dataValidation type="whole" allowBlank="1" showInputMessage="1" showErrorMessage="1" errorTitle="Check the value" error="Enter a number between 0 and 100000000.0." sqref="Q5:Q404">
      <formula1>0</formula1>
      <formula2>100000000.0</formula2>
    </dataValidation>
    <dataValidation type="whole" allowBlank="1" showInputMessage="1" showErrorMessage="1" errorTitle="Check the value" error="Enter a number between 0 and 100000000.0." sqref="R5:R404">
      <formula1>0</formula1>
      <formula2>100000000.0</formula2>
    </dataValidation>
    <dataValidation type="whole" allowBlank="1" showInputMessage="1" showErrorMessage="1" errorTitle="Check the value" error="Enter a number between 0 and 100000000.0." sqref="S5:S404">
      <formula1>0</formula1>
      <formula2>100000000.0</formula2>
    </dataValidation>
    <dataValidation type="whole" allowBlank="1" showInputMessage="1" showErrorMessage="1" errorTitle="Check the value" error="Enter a number between 0 and 100000000.0." sqref="T5:T404">
      <formula1>0</formula1>
      <formula2>100000000.0</formula2>
    </dataValidation>
    <dataValidation type="whole" allowBlank="1" showInputMessage="1" showErrorMessage="1" errorTitle="Check the value" error="Enter a number between 0 and 100000000.0." sqref="U5:U404">
      <formula1>0</formula1>
      <formula2>100000000.0</formula2>
    </dataValidation>
    <dataValidation type="decimal" allowBlank="1" showInputMessage="1" showErrorMessage="1" errorTitle="Check the value" error="Enter a number between 0 and 100000." sqref="V5:V404">
      <formula1>0</formula1>
      <formula2>100000</formula2>
    </dataValidation>
    <dataValidation type="whole" allowBlank="1" showInputMessage="1" showErrorMessage="1" errorTitle="Check the value" error="Enter a number between 0 and 10000000.0." sqref="W5:W404">
      <formula1>0</formula1>
      <formula2>10000000.0</formula2>
    </dataValidation>
    <dataValidation type="decimal" allowBlank="1" showInputMessage="1" showErrorMessage="1" errorTitle="Check the value" error="Enter a number between 0 and 1000000000.0." sqref="X5:X404">
      <formula1>0</formula1>
      <formula2>1000000000.0</formula2>
    </dataValidation>
    <dataValidation type="decimal" allowBlank="1" showInputMessage="1" showErrorMessage="1" errorTitle="Check the value" error="Enter a number between 0 and 1." promptTitle="Target rate" prompt="Leave blank to use the workbook target from the Settings tab." sqref="Y5:Y404">
      <formula1>0</formula1>
      <formula2>1</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&amp;L&amp;"Calibri,Bold"&amp;12&amp;C&amp;"Calibri,Bold"&amp;11Performance&amp;R&amp;"Calibri,Italic"&amp;9Social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1.xml><?xml version="1.0" encoding="utf-8"?>
<worksheet xmlns="http://schemas.openxmlformats.org/spreadsheetml/2006/main" xmlns:r="http://schemas.openxmlformats.org/officeDocument/2006/relationships">
  <sheetPr>
    <tabColor rgb="FF6350A8"/>
    <pageSetUpPr fitToPage="1"/>
  </sheetPr>
  <dimension ref="A1:AB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24.7109375" style="15" customWidth="1"/>
    <col min="3" max="3" width="16.7109375" style="15" customWidth="1"/>
    <col min="4" max="4" width="13.7109375" style="15" customWidth="1"/>
    <col min="5" max="5" width="34.7109375" style="39" customWidth="1"/>
    <col min="6" max="6" width="26.7109375" style="39" customWidth="1"/>
    <col min="7" max="7" width="26.7109375" style="39" customWidth="1"/>
    <col min="8" max="8" width="24.7109375" style="39" customWidth="1"/>
    <col min="9" max="9" width="16.7109375" style="15" customWidth="1"/>
    <col min="10" max="10" width="15.7109375" style="15" customWidth="1"/>
    <col min="11" max="11" width="12.7109375" style="43" customWidth="1"/>
    <col min="12" max="12" width="12.7109375" style="43" customWidth="1"/>
    <col min="13" max="13" width="11.7109375" style="35" customWidth="1"/>
    <col min="14" max="14" width="11.7109375" style="35" customWidth="1"/>
    <col min="15" max="15" width="10.7109375" style="34" customWidth="1"/>
    <col min="16" max="16" width="10.7109375" style="34" customWidth="1"/>
    <col min="17" max="17" width="9.7109375" style="34" customWidth="1"/>
    <col min="18" max="18" width="9.7109375" style="34" customWidth="1"/>
    <col min="19" max="19" width="13.7109375" style="48" customWidth="1"/>
    <col min="20" max="20" width="11.7109375" style="24" customWidth="1"/>
    <col min="21" max="21" width="11.7109375" style="24" customWidth="1"/>
    <col min="22" max="22" width="11.7109375" style="17" customWidth="1"/>
    <col min="23" max="23" width="11.7109375" style="23" customWidth="1"/>
    <col min="24" max="24" width="22.7109375" style="29" customWidth="1"/>
    <col min="25" max="25" width="9.7109375" style="23" customWidth="1"/>
    <col min="26" max="26" width="26.7109375" style="39" customWidth="1"/>
    <col min="27" max="27" width="26.7109375" style="39" customWidth="1"/>
    <col min="28" max="28" width="26.7109375" style="29" customWidth="1"/>
  </cols>
  <sheetData>
    <row r="1" spans="1:28" ht="34" customHeight="1">
      <c r="A1" s="2" t="s">
        <v>1913</v>
      </c>
      <c r="B1" s="2"/>
      <c r="C1" s="2"/>
      <c r="D1" s="2"/>
      <c r="E1" s="2"/>
      <c r="F1" s="2"/>
      <c r="G1" s="2"/>
      <c r="H1" s="2"/>
      <c r="I1" s="2"/>
      <c r="J1" s="2"/>
      <c r="K1" s="2"/>
      <c r="L1" s="2"/>
      <c r="M1" s="2"/>
      <c r="N1" s="2"/>
      <c r="O1" s="2"/>
      <c r="P1" s="2"/>
      <c r="Q1" s="2"/>
      <c r="R1" s="2"/>
      <c r="S1" s="2"/>
      <c r="T1" s="2"/>
      <c r="U1" s="2"/>
      <c r="V1" s="2"/>
      <c r="W1" s="2"/>
      <c r="X1" s="2"/>
      <c r="Y1" s="2"/>
      <c r="Z1" s="3" t="s">
        <v>1</v>
      </c>
      <c r="AA1" s="3"/>
      <c r="AB1" s="3"/>
    </row>
    <row r="2" spans="1:28" ht="18" customHeight="1">
      <c r="A2" s="4" t="s">
        <v>1914</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1915</v>
      </c>
      <c r="T3" s="38"/>
      <c r="U3" s="38"/>
      <c r="V3" s="38"/>
      <c r="W3" s="38"/>
      <c r="X3" s="38"/>
      <c r="Y3" s="38"/>
      <c r="Z3" s="38"/>
      <c r="AA3" s="38"/>
      <c r="AB3" s="38"/>
    </row>
    <row r="4" spans="1:28" ht="30" customHeight="1">
      <c r="A4" s="8" t="s">
        <v>766</v>
      </c>
      <c r="B4" s="8" t="s">
        <v>1916</v>
      </c>
      <c r="C4" s="9" t="s">
        <v>1917</v>
      </c>
      <c r="D4" s="9" t="s">
        <v>192</v>
      </c>
      <c r="E4" s="9" t="s">
        <v>1918</v>
      </c>
      <c r="F4" s="9" t="s">
        <v>1919</v>
      </c>
      <c r="G4" s="9" t="s">
        <v>1920</v>
      </c>
      <c r="H4" s="9" t="s">
        <v>1921</v>
      </c>
      <c r="I4" s="9" t="s">
        <v>1922</v>
      </c>
      <c r="J4" s="9" t="s">
        <v>1923</v>
      </c>
      <c r="K4" s="9" t="s">
        <v>1924</v>
      </c>
      <c r="L4" s="9" t="s">
        <v>1925</v>
      </c>
      <c r="M4" s="9" t="s">
        <v>1926</v>
      </c>
      <c r="N4" s="9" t="s">
        <v>1927</v>
      </c>
      <c r="O4" s="9" t="s">
        <v>1928</v>
      </c>
      <c r="P4" s="9" t="s">
        <v>1929</v>
      </c>
      <c r="Q4" s="9" t="s">
        <v>1930</v>
      </c>
      <c r="R4" s="9" t="s">
        <v>1931</v>
      </c>
      <c r="S4" s="9" t="s">
        <v>221</v>
      </c>
      <c r="T4" s="9" t="s">
        <v>1932</v>
      </c>
      <c r="U4" s="9" t="s">
        <v>1933</v>
      </c>
      <c r="V4" s="9" t="s">
        <v>1934</v>
      </c>
      <c r="W4" s="9" t="s">
        <v>1935</v>
      </c>
      <c r="X4" s="9" t="s">
        <v>1936</v>
      </c>
      <c r="Y4" s="9" t="s">
        <v>1937</v>
      </c>
      <c r="Z4" s="9" t="s">
        <v>1938</v>
      </c>
      <c r="AA4" s="9" t="s">
        <v>1939</v>
      </c>
      <c r="AB4" s="9" t="s">
        <v>787</v>
      </c>
    </row>
    <row r="5" spans="1:28">
      <c r="A5" s="41">
        <f>IF(B5="","","AB-"&amp;TEXT(ROW()-4,"000"))</f>
        <v>0</v>
      </c>
      <c r="B5" s="15" t="s">
        <v>1940</v>
      </c>
      <c r="C5" s="15" t="s">
        <v>609</v>
      </c>
      <c r="D5" s="15" t="s">
        <v>376</v>
      </c>
      <c r="E5" s="39" t="s">
        <v>1941</v>
      </c>
      <c r="F5" s="39" t="s">
        <v>1942</v>
      </c>
      <c r="G5" s="39" t="s">
        <v>1943</v>
      </c>
      <c r="H5" s="39" t="s">
        <v>1944</v>
      </c>
      <c r="I5" s="15" t="s">
        <v>155</v>
      </c>
      <c r="J5" s="15" t="s">
        <v>1400</v>
      </c>
      <c r="K5" s="43">
        <v>46276</v>
      </c>
      <c r="L5" s="43">
        <v>46283</v>
      </c>
      <c r="M5" s="35">
        <v>0.061</v>
      </c>
      <c r="N5" s="35">
        <v>0.043</v>
      </c>
      <c r="O5" s="34">
        <v>135</v>
      </c>
      <c r="P5" s="34">
        <v>47</v>
      </c>
      <c r="Q5" s="34">
        <v>18</v>
      </c>
      <c r="R5" s="34">
        <v>13</v>
      </c>
      <c r="S5" s="48" t="s">
        <v>504</v>
      </c>
      <c r="T5" s="24">
        <f>IF(OR(M5="",N5=""),"",N5-M5)</f>
        <v>0</v>
      </c>
      <c r="U5" s="24">
        <f>IF(OR(M5="",M5=0,N5=""),"",N5/M5-1)</f>
        <v>0</v>
      </c>
      <c r="V5" s="17">
        <f>IF(OR(M5="",N5=""),"",IF(ABS(U5)&lt;0.1,"Too close",IF(N5&gt;M5,"B","A")))</f>
        <v>0</v>
      </c>
      <c r="W5" s="23">
        <f>IF(AND(O5="",P5=""),"",N(O5)+N(P5))</f>
        <v>0</v>
      </c>
      <c r="X5" s="29">
        <f>IF(V5="","",IF(W5&lt;100,"Low - too small a sample",IF(ABS(U5)&lt;0.1,"Low - the gap is noise",IF(W5&lt;400,"Fair - worth repeating","Good - act on it"))))</f>
        <v>0</v>
      </c>
      <c r="Y5" s="23">
        <f>IF(OR(K5="",L5=""),"",L5-K5+1)</f>
        <v>0</v>
      </c>
      <c r="Z5" s="39" t="s">
        <v>1945</v>
      </c>
      <c r="AA5" s="39" t="s">
        <v>1946</v>
      </c>
      <c r="AB5" s="29">
        <f>IF(B5="","",IF(AND(S5="Running",L5&lt;&gt;"",L5&lt;TODAY()),"Due - test finished, record the result",IF(AND(S5="Complete",AA5=""),"Add - what will you test next?",IF(X5="Low - too small a sample","Check - run it for longer","OK"))))</f>
        <v>0</v>
      </c>
    </row>
    <row r="6" spans="1:28">
      <c r="A6" s="41">
        <f>IF(B6="","","AB-"&amp;TEXT(ROW()-4,"000"))</f>
        <v>0</v>
      </c>
      <c r="B6" s="15" t="s">
        <v>1947</v>
      </c>
      <c r="C6" s="15" t="s">
        <v>610</v>
      </c>
      <c r="D6" s="15" t="s">
        <v>376</v>
      </c>
      <c r="E6" s="39" t="s">
        <v>1948</v>
      </c>
      <c r="F6" s="39" t="s">
        <v>1949</v>
      </c>
      <c r="G6" s="39" t="s">
        <v>1950</v>
      </c>
      <c r="H6" s="39" t="s">
        <v>1944</v>
      </c>
      <c r="I6" s="15" t="s">
        <v>155</v>
      </c>
      <c r="J6" s="15" t="s">
        <v>1400</v>
      </c>
      <c r="K6" s="43">
        <v>46284</v>
      </c>
      <c r="L6" s="43">
        <v>46291</v>
      </c>
      <c r="M6" s="35">
        <v>0.038</v>
      </c>
      <c r="N6" s="35">
        <v>0.052</v>
      </c>
      <c r="O6" s="34">
        <v>82</v>
      </c>
      <c r="P6" s="34">
        <v>148</v>
      </c>
      <c r="Q6" s="34">
        <v>10</v>
      </c>
      <c r="R6" s="34">
        <v>7</v>
      </c>
      <c r="S6" s="48" t="s">
        <v>504</v>
      </c>
      <c r="T6" s="24">
        <f>IF(OR(M6="",N6=""),"",N6-M6)</f>
        <v>0</v>
      </c>
      <c r="U6" s="24">
        <f>IF(OR(M6="",M6=0,N6=""),"",N6/M6-1)</f>
        <v>0</v>
      </c>
      <c r="V6" s="17">
        <f>IF(OR(M6="",N6=""),"",IF(ABS(U6)&lt;0.1,"Too close",IF(N6&gt;M6,"B","A")))</f>
        <v>0</v>
      </c>
      <c r="W6" s="23">
        <f>IF(AND(O6="",P6=""),"",N(O6)+N(P6))</f>
        <v>0</v>
      </c>
      <c r="X6" s="29">
        <f>IF(V6="","",IF(W6&lt;100,"Low - too small a sample",IF(ABS(U6)&lt;0.1,"Low - the gap is noise",IF(W6&lt;400,"Fair - worth repeating","Good - act on it"))))</f>
        <v>0</v>
      </c>
      <c r="Y6" s="23">
        <f>IF(OR(K6="",L6=""),"",L6-K6+1)</f>
        <v>0</v>
      </c>
      <c r="Z6" s="39" t="s">
        <v>1945</v>
      </c>
      <c r="AA6" s="39" t="s">
        <v>1946</v>
      </c>
      <c r="AB6" s="29">
        <f>IF(B6="","",IF(AND(S6="Running",L6&lt;&gt;"",L6&lt;TODAY()),"Due - test finished, record the result",IF(AND(S6="Complete",AA6=""),"Add - what will you test next?",IF(X6="Low - too small a sample","Check - run it for longer","OK"))))</f>
        <v>0</v>
      </c>
    </row>
    <row r="7" spans="1:28">
      <c r="A7" s="41">
        <f>IF(B7="","","AB-"&amp;TEXT(ROW()-4,"000"))</f>
        <v>0</v>
      </c>
      <c r="B7" s="15" t="s">
        <v>611</v>
      </c>
      <c r="C7" s="15" t="s">
        <v>611</v>
      </c>
      <c r="D7" s="15" t="s">
        <v>377</v>
      </c>
      <c r="E7" s="39" t="s">
        <v>1951</v>
      </c>
      <c r="F7" s="39" t="s">
        <v>1952</v>
      </c>
      <c r="G7" s="39" t="s">
        <v>1953</v>
      </c>
      <c r="H7" s="39" t="s">
        <v>1944</v>
      </c>
      <c r="I7" s="15" t="s">
        <v>155</v>
      </c>
      <c r="J7" s="15" t="s">
        <v>1400</v>
      </c>
      <c r="K7" s="43">
        <v>46292</v>
      </c>
      <c r="L7" s="43">
        <v>46299</v>
      </c>
      <c r="M7" s="35">
        <v>0.031</v>
      </c>
      <c r="N7" s="35">
        <v>0.049</v>
      </c>
      <c r="O7" s="34">
        <v>36</v>
      </c>
      <c r="P7" s="34">
        <v>168</v>
      </c>
      <c r="Q7" s="34">
        <v>20</v>
      </c>
      <c r="R7" s="34">
        <v>1</v>
      </c>
      <c r="S7" s="48" t="s">
        <v>504</v>
      </c>
      <c r="T7" s="24">
        <f>IF(OR(M7="",N7=""),"",N7-M7)</f>
        <v>0</v>
      </c>
      <c r="U7" s="24">
        <f>IF(OR(M7="",M7=0,N7=""),"",N7/M7-1)</f>
        <v>0</v>
      </c>
      <c r="V7" s="17">
        <f>IF(OR(M7="",N7=""),"",IF(ABS(U7)&lt;0.1,"Too close",IF(N7&gt;M7,"B","A")))</f>
        <v>0</v>
      </c>
      <c r="W7" s="23">
        <f>IF(AND(O7="",P7=""),"",N(O7)+N(P7))</f>
        <v>0</v>
      </c>
      <c r="X7" s="29">
        <f>IF(V7="","",IF(W7&lt;100,"Low - too small a sample",IF(ABS(U7)&lt;0.1,"Low - the gap is noise",IF(W7&lt;400,"Fair - worth repeating","Good - act on it"))))</f>
        <v>0</v>
      </c>
      <c r="Y7" s="23">
        <f>IF(OR(K7="",L7=""),"",L7-K7+1)</f>
        <v>0</v>
      </c>
      <c r="Z7" s="39" t="s">
        <v>1945</v>
      </c>
      <c r="AA7" s="39" t="s">
        <v>1946</v>
      </c>
      <c r="AB7" s="29">
        <f>IF(B7="","",IF(AND(S7="Running",L7&lt;&gt;"",L7&lt;TODAY()),"Due - test finished, record the result",IF(AND(S7="Complete",AA7=""),"Add - what will you test next?",IF(X7="Low - too small a sample","Check - run it for longer","OK"))))</f>
        <v>0</v>
      </c>
    </row>
    <row r="8" spans="1:28">
      <c r="A8" s="41">
        <f>IF(B8="","","AB-"&amp;TEXT(ROW()-4,"000"))</f>
        <v>0</v>
      </c>
      <c r="B8" s="15" t="s">
        <v>1954</v>
      </c>
      <c r="C8" s="15" t="s">
        <v>524</v>
      </c>
      <c r="D8" s="15" t="s">
        <v>379</v>
      </c>
      <c r="E8" s="39" t="s">
        <v>1955</v>
      </c>
      <c r="F8" s="39" t="s">
        <v>1956</v>
      </c>
      <c r="G8" s="39" t="s">
        <v>1957</v>
      </c>
      <c r="H8" s="39" t="s">
        <v>1944</v>
      </c>
      <c r="I8" s="15" t="s">
        <v>155</v>
      </c>
      <c r="J8" s="15" t="s">
        <v>1400</v>
      </c>
      <c r="K8" s="43">
        <v>46300</v>
      </c>
      <c r="L8" s="43">
        <v>46314</v>
      </c>
      <c r="M8" s="35">
        <v>0.041</v>
      </c>
      <c r="N8" s="35">
        <v>0</v>
      </c>
      <c r="O8" s="34">
        <v>168</v>
      </c>
      <c r="P8" s="34">
        <v>71</v>
      </c>
      <c r="Q8" s="34">
        <v>7</v>
      </c>
      <c r="R8" s="34">
        <v>1</v>
      </c>
      <c r="S8" s="48" t="s">
        <v>502</v>
      </c>
      <c r="T8" s="24">
        <f>IF(OR(M8="",N8=""),"",N8-M8)</f>
        <v>0</v>
      </c>
      <c r="U8" s="24">
        <f>IF(OR(M8="",M8=0,N8=""),"",N8/M8-1)</f>
        <v>0</v>
      </c>
      <c r="V8" s="17">
        <f>IF(OR(M8="",N8=""),"",IF(ABS(U8)&lt;0.1,"Too close",IF(N8&gt;M8,"B","A")))</f>
        <v>0</v>
      </c>
      <c r="W8" s="23">
        <f>IF(AND(O8="",P8=""),"",N(O8)+N(P8))</f>
        <v>0</v>
      </c>
      <c r="X8" s="29">
        <f>IF(V8="","",IF(W8&lt;100,"Low - too small a sample",IF(ABS(U8)&lt;0.1,"Low - the gap is noise",IF(W8&lt;400,"Fair - worth repeating","Good - act on it"))))</f>
        <v>0</v>
      </c>
      <c r="Y8" s="23">
        <f>IF(OR(K8="",L8=""),"",L8-K8+1)</f>
        <v>0</v>
      </c>
      <c r="Z8" s="39" t="s">
        <v>1958</v>
      </c>
      <c r="AA8" s="39" t="s">
        <v>205</v>
      </c>
      <c r="AB8" s="29">
        <f>IF(B8="","",IF(AND(S8="Running",L8&lt;&gt;"",L8&lt;TODAY()),"Due - test finished, record the result",IF(AND(S8="Complete",AA8=""),"Add - what will you test next?",IF(X8="Low - too small a sample","Check - run it for longer","OK"))))</f>
        <v>0</v>
      </c>
    </row>
    <row r="9" spans="1:28">
      <c r="A9" s="41">
        <f>IF(B9="","","AB-"&amp;TEXT(ROW()-4,"000"))</f>
        <v>0</v>
      </c>
      <c r="T9" s="24">
        <f>IF(OR(M9="",N9=""),"",N9-M9)</f>
        <v>0</v>
      </c>
      <c r="U9" s="24">
        <f>IF(OR(M9="",M9=0,N9=""),"",N9/M9-1)</f>
        <v>0</v>
      </c>
      <c r="V9" s="17">
        <f>IF(OR(M9="",N9=""),"",IF(ABS(U9)&lt;0.1,"Too close",IF(N9&gt;M9,"B","A")))</f>
        <v>0</v>
      </c>
      <c r="W9" s="23">
        <f>IF(AND(O9="",P9=""),"",N(O9)+N(P9))</f>
        <v>0</v>
      </c>
      <c r="X9" s="29">
        <f>IF(V9="","",IF(W9&lt;100,"Low - too small a sample",IF(ABS(U9)&lt;0.1,"Low - the gap is noise",IF(W9&lt;400,"Fair - worth repeating","Good - act on it"))))</f>
        <v>0</v>
      </c>
      <c r="Y9" s="23">
        <f>IF(OR(K9="",L9=""),"",L9-K9+1)</f>
        <v>0</v>
      </c>
      <c r="AB9" s="29">
        <f>IF(B9="","",IF(AND(S9="Running",L9&lt;&gt;"",L9&lt;TODAY()),"Due - test finished, record the result",IF(AND(S9="Complete",AA9=""),"Add - what will you test next?",IF(X9="Low - too small a sample","Check - run it for longer","OK"))))</f>
        <v>0</v>
      </c>
    </row>
    <row r="10" spans="1:28">
      <c r="A10" s="41">
        <f>IF(B10="","","AB-"&amp;TEXT(ROW()-4,"000"))</f>
        <v>0</v>
      </c>
      <c r="T10" s="24">
        <f>IF(OR(M10="",N10=""),"",N10-M10)</f>
        <v>0</v>
      </c>
      <c r="U10" s="24">
        <f>IF(OR(M10="",M10=0,N10=""),"",N10/M10-1)</f>
        <v>0</v>
      </c>
      <c r="V10" s="17">
        <f>IF(OR(M10="",N10=""),"",IF(ABS(U10)&lt;0.1,"Too close",IF(N10&gt;M10,"B","A")))</f>
        <v>0</v>
      </c>
      <c r="W10" s="23">
        <f>IF(AND(O10="",P10=""),"",N(O10)+N(P10))</f>
        <v>0</v>
      </c>
      <c r="X10" s="29">
        <f>IF(V10="","",IF(W10&lt;100,"Low - too small a sample",IF(ABS(U10)&lt;0.1,"Low - the gap is noise",IF(W10&lt;400,"Fair - worth repeating","Good - act on it"))))</f>
        <v>0</v>
      </c>
      <c r="Y10" s="23">
        <f>IF(OR(K10="",L10=""),"",L10-K10+1)</f>
        <v>0</v>
      </c>
      <c r="AB10" s="29">
        <f>IF(B10="","",IF(AND(S10="Running",L10&lt;&gt;"",L10&lt;TODAY()),"Due - test finished, record the result",IF(AND(S10="Complete",AA10=""),"Add - what will you test next?",IF(X10="Low - too small a sample","Check - run it for longer","OK"))))</f>
        <v>0</v>
      </c>
    </row>
    <row r="11" spans="1:28">
      <c r="A11" s="41">
        <f>IF(B11="","","AB-"&amp;TEXT(ROW()-4,"000"))</f>
        <v>0</v>
      </c>
      <c r="T11" s="24">
        <f>IF(OR(M11="",N11=""),"",N11-M11)</f>
        <v>0</v>
      </c>
      <c r="U11" s="24">
        <f>IF(OR(M11="",M11=0,N11=""),"",N11/M11-1)</f>
        <v>0</v>
      </c>
      <c r="V11" s="17">
        <f>IF(OR(M11="",N11=""),"",IF(ABS(U11)&lt;0.1,"Too close",IF(N11&gt;M11,"B","A")))</f>
        <v>0</v>
      </c>
      <c r="W11" s="23">
        <f>IF(AND(O11="",P11=""),"",N(O11)+N(P11))</f>
        <v>0</v>
      </c>
      <c r="X11" s="29">
        <f>IF(V11="","",IF(W11&lt;100,"Low - too small a sample",IF(ABS(U11)&lt;0.1,"Low - the gap is noise",IF(W11&lt;400,"Fair - worth repeating","Good - act on it"))))</f>
        <v>0</v>
      </c>
      <c r="Y11" s="23">
        <f>IF(OR(K11="",L11=""),"",L11-K11+1)</f>
        <v>0</v>
      </c>
      <c r="AB11" s="29">
        <f>IF(B11="","",IF(AND(S11="Running",L11&lt;&gt;"",L11&lt;TODAY()),"Due - test finished, record the result",IF(AND(S11="Complete",AA11=""),"Add - what will you test next?",IF(X11="Low - too small a sample","Check - run it for longer","OK"))))</f>
        <v>0</v>
      </c>
    </row>
    <row r="12" spans="1:28">
      <c r="A12" s="41">
        <f>IF(B12="","","AB-"&amp;TEXT(ROW()-4,"000"))</f>
        <v>0</v>
      </c>
      <c r="T12" s="24">
        <f>IF(OR(M12="",N12=""),"",N12-M12)</f>
        <v>0</v>
      </c>
      <c r="U12" s="24">
        <f>IF(OR(M12="",M12=0,N12=""),"",N12/M12-1)</f>
        <v>0</v>
      </c>
      <c r="V12" s="17">
        <f>IF(OR(M12="",N12=""),"",IF(ABS(U12)&lt;0.1,"Too close",IF(N12&gt;M12,"B","A")))</f>
        <v>0</v>
      </c>
      <c r="W12" s="23">
        <f>IF(AND(O12="",P12=""),"",N(O12)+N(P12))</f>
        <v>0</v>
      </c>
      <c r="X12" s="29">
        <f>IF(V12="","",IF(W12&lt;100,"Low - too small a sample",IF(ABS(U12)&lt;0.1,"Low - the gap is noise",IF(W12&lt;400,"Fair - worth repeating","Good - act on it"))))</f>
        <v>0</v>
      </c>
      <c r="Y12" s="23">
        <f>IF(OR(K12="",L12=""),"",L12-K12+1)</f>
        <v>0</v>
      </c>
      <c r="AB12" s="29">
        <f>IF(B12="","",IF(AND(S12="Running",L12&lt;&gt;"",L12&lt;TODAY()),"Due - test finished, record the result",IF(AND(S12="Complete",AA12=""),"Add - what will you test next?",IF(X12="Low - too small a sample","Check - run it for longer","OK"))))</f>
        <v>0</v>
      </c>
    </row>
    <row r="13" spans="1:28">
      <c r="A13" s="41">
        <f>IF(B13="","","AB-"&amp;TEXT(ROW()-4,"000"))</f>
        <v>0</v>
      </c>
      <c r="T13" s="24">
        <f>IF(OR(M13="",N13=""),"",N13-M13)</f>
        <v>0</v>
      </c>
      <c r="U13" s="24">
        <f>IF(OR(M13="",M13=0,N13=""),"",N13/M13-1)</f>
        <v>0</v>
      </c>
      <c r="V13" s="17">
        <f>IF(OR(M13="",N13=""),"",IF(ABS(U13)&lt;0.1,"Too close",IF(N13&gt;M13,"B","A")))</f>
        <v>0</v>
      </c>
      <c r="W13" s="23">
        <f>IF(AND(O13="",P13=""),"",N(O13)+N(P13))</f>
        <v>0</v>
      </c>
      <c r="X13" s="29">
        <f>IF(V13="","",IF(W13&lt;100,"Low - too small a sample",IF(ABS(U13)&lt;0.1,"Low - the gap is noise",IF(W13&lt;400,"Fair - worth repeating","Good - act on it"))))</f>
        <v>0</v>
      </c>
      <c r="Y13" s="23">
        <f>IF(OR(K13="",L13=""),"",L13-K13+1)</f>
        <v>0</v>
      </c>
      <c r="AB13" s="29">
        <f>IF(B13="","",IF(AND(S13="Running",L13&lt;&gt;"",L13&lt;TODAY()),"Due - test finished, record the result",IF(AND(S13="Complete",AA13=""),"Add - what will you test next?",IF(X13="Low - too small a sample","Check - run it for longer","OK"))))</f>
        <v>0</v>
      </c>
    </row>
    <row r="14" spans="1:28">
      <c r="A14" s="41">
        <f>IF(B14="","","AB-"&amp;TEXT(ROW()-4,"000"))</f>
        <v>0</v>
      </c>
      <c r="T14" s="24">
        <f>IF(OR(M14="",N14=""),"",N14-M14)</f>
        <v>0</v>
      </c>
      <c r="U14" s="24">
        <f>IF(OR(M14="",M14=0,N14=""),"",N14/M14-1)</f>
        <v>0</v>
      </c>
      <c r="V14" s="17">
        <f>IF(OR(M14="",N14=""),"",IF(ABS(U14)&lt;0.1,"Too close",IF(N14&gt;M14,"B","A")))</f>
        <v>0</v>
      </c>
      <c r="W14" s="23">
        <f>IF(AND(O14="",P14=""),"",N(O14)+N(P14))</f>
        <v>0</v>
      </c>
      <c r="X14" s="29">
        <f>IF(V14="","",IF(W14&lt;100,"Low - too small a sample",IF(ABS(U14)&lt;0.1,"Low - the gap is noise",IF(W14&lt;400,"Fair - worth repeating","Good - act on it"))))</f>
        <v>0</v>
      </c>
      <c r="Y14" s="23">
        <f>IF(OR(K14="",L14=""),"",L14-K14+1)</f>
        <v>0</v>
      </c>
      <c r="AB14" s="29">
        <f>IF(B14="","",IF(AND(S14="Running",L14&lt;&gt;"",L14&lt;TODAY()),"Due - test finished, record the result",IF(AND(S14="Complete",AA14=""),"Add - what will you test next?",IF(X14="Low - too small a sample","Check - run it for longer","OK"))))</f>
        <v>0</v>
      </c>
    </row>
    <row r="15" spans="1:28">
      <c r="A15" s="41">
        <f>IF(B15="","","AB-"&amp;TEXT(ROW()-4,"000"))</f>
        <v>0</v>
      </c>
      <c r="T15" s="24">
        <f>IF(OR(M15="",N15=""),"",N15-M15)</f>
        <v>0</v>
      </c>
      <c r="U15" s="24">
        <f>IF(OR(M15="",M15=0,N15=""),"",N15/M15-1)</f>
        <v>0</v>
      </c>
      <c r="V15" s="17">
        <f>IF(OR(M15="",N15=""),"",IF(ABS(U15)&lt;0.1,"Too close",IF(N15&gt;M15,"B","A")))</f>
        <v>0</v>
      </c>
      <c r="W15" s="23">
        <f>IF(AND(O15="",P15=""),"",N(O15)+N(P15))</f>
        <v>0</v>
      </c>
      <c r="X15" s="29">
        <f>IF(V15="","",IF(W15&lt;100,"Low - too small a sample",IF(ABS(U15)&lt;0.1,"Low - the gap is noise",IF(W15&lt;400,"Fair - worth repeating","Good - act on it"))))</f>
        <v>0</v>
      </c>
      <c r="Y15" s="23">
        <f>IF(OR(K15="",L15=""),"",L15-K15+1)</f>
        <v>0</v>
      </c>
      <c r="AB15" s="29">
        <f>IF(B15="","",IF(AND(S15="Running",L15&lt;&gt;"",L15&lt;TODAY()),"Due - test finished, record the result",IF(AND(S15="Complete",AA15=""),"Add - what will you test next?",IF(X15="Low - too small a sample","Check - run it for longer","OK"))))</f>
        <v>0</v>
      </c>
    </row>
    <row r="16" spans="1:28">
      <c r="A16" s="41">
        <f>IF(B16="","","AB-"&amp;TEXT(ROW()-4,"000"))</f>
        <v>0</v>
      </c>
      <c r="T16" s="24">
        <f>IF(OR(M16="",N16=""),"",N16-M16)</f>
        <v>0</v>
      </c>
      <c r="U16" s="24">
        <f>IF(OR(M16="",M16=0,N16=""),"",N16/M16-1)</f>
        <v>0</v>
      </c>
      <c r="V16" s="17">
        <f>IF(OR(M16="",N16=""),"",IF(ABS(U16)&lt;0.1,"Too close",IF(N16&gt;M16,"B","A")))</f>
        <v>0</v>
      </c>
      <c r="W16" s="23">
        <f>IF(AND(O16="",P16=""),"",N(O16)+N(P16))</f>
        <v>0</v>
      </c>
      <c r="X16" s="29">
        <f>IF(V16="","",IF(W16&lt;100,"Low - too small a sample",IF(ABS(U16)&lt;0.1,"Low - the gap is noise",IF(W16&lt;400,"Fair - worth repeating","Good - act on it"))))</f>
        <v>0</v>
      </c>
      <c r="Y16" s="23">
        <f>IF(OR(K16="",L16=""),"",L16-K16+1)</f>
        <v>0</v>
      </c>
      <c r="AB16" s="29">
        <f>IF(B16="","",IF(AND(S16="Running",L16&lt;&gt;"",L16&lt;TODAY()),"Due - test finished, record the result",IF(AND(S16="Complete",AA16=""),"Add - what will you test next?",IF(X16="Low - too small a sample","Check - run it for longer","OK"))))</f>
        <v>0</v>
      </c>
    </row>
    <row r="17" spans="1:28">
      <c r="A17" s="41">
        <f>IF(B17="","","AB-"&amp;TEXT(ROW()-4,"000"))</f>
        <v>0</v>
      </c>
      <c r="T17" s="24">
        <f>IF(OR(M17="",N17=""),"",N17-M17)</f>
        <v>0</v>
      </c>
      <c r="U17" s="24">
        <f>IF(OR(M17="",M17=0,N17=""),"",N17/M17-1)</f>
        <v>0</v>
      </c>
      <c r="V17" s="17">
        <f>IF(OR(M17="",N17=""),"",IF(ABS(U17)&lt;0.1,"Too close",IF(N17&gt;M17,"B","A")))</f>
        <v>0</v>
      </c>
      <c r="W17" s="23">
        <f>IF(AND(O17="",P17=""),"",N(O17)+N(P17))</f>
        <v>0</v>
      </c>
      <c r="X17" s="29">
        <f>IF(V17="","",IF(W17&lt;100,"Low - too small a sample",IF(ABS(U17)&lt;0.1,"Low - the gap is noise",IF(W17&lt;400,"Fair - worth repeating","Good - act on it"))))</f>
        <v>0</v>
      </c>
      <c r="Y17" s="23">
        <f>IF(OR(K17="",L17=""),"",L17-K17+1)</f>
        <v>0</v>
      </c>
      <c r="AB17" s="29">
        <f>IF(B17="","",IF(AND(S17="Running",L17&lt;&gt;"",L17&lt;TODAY()),"Due - test finished, record the result",IF(AND(S17="Complete",AA17=""),"Add - what will you test next?",IF(X17="Low - too small a sample","Check - run it for longer","OK"))))</f>
        <v>0</v>
      </c>
    </row>
    <row r="18" spans="1:28">
      <c r="A18" s="41">
        <f>IF(B18="","","AB-"&amp;TEXT(ROW()-4,"000"))</f>
        <v>0</v>
      </c>
      <c r="T18" s="24">
        <f>IF(OR(M18="",N18=""),"",N18-M18)</f>
        <v>0</v>
      </c>
      <c r="U18" s="24">
        <f>IF(OR(M18="",M18=0,N18=""),"",N18/M18-1)</f>
        <v>0</v>
      </c>
      <c r="V18" s="17">
        <f>IF(OR(M18="",N18=""),"",IF(ABS(U18)&lt;0.1,"Too close",IF(N18&gt;M18,"B","A")))</f>
        <v>0</v>
      </c>
      <c r="W18" s="23">
        <f>IF(AND(O18="",P18=""),"",N(O18)+N(P18))</f>
        <v>0</v>
      </c>
      <c r="X18" s="29">
        <f>IF(V18="","",IF(W18&lt;100,"Low - too small a sample",IF(ABS(U18)&lt;0.1,"Low - the gap is noise",IF(W18&lt;400,"Fair - worth repeating","Good - act on it"))))</f>
        <v>0</v>
      </c>
      <c r="Y18" s="23">
        <f>IF(OR(K18="",L18=""),"",L18-K18+1)</f>
        <v>0</v>
      </c>
      <c r="AB18" s="29">
        <f>IF(B18="","",IF(AND(S18="Running",L18&lt;&gt;"",L18&lt;TODAY()),"Due - test finished, record the result",IF(AND(S18="Complete",AA18=""),"Add - what will you test next?",IF(X18="Low - too small a sample","Check - run it for longer","OK"))))</f>
        <v>0</v>
      </c>
    </row>
    <row r="19" spans="1:28">
      <c r="A19" s="41">
        <f>IF(B19="","","AB-"&amp;TEXT(ROW()-4,"000"))</f>
        <v>0</v>
      </c>
      <c r="T19" s="24">
        <f>IF(OR(M19="",N19=""),"",N19-M19)</f>
        <v>0</v>
      </c>
      <c r="U19" s="24">
        <f>IF(OR(M19="",M19=0,N19=""),"",N19/M19-1)</f>
        <v>0</v>
      </c>
      <c r="V19" s="17">
        <f>IF(OR(M19="",N19=""),"",IF(ABS(U19)&lt;0.1,"Too close",IF(N19&gt;M19,"B","A")))</f>
        <v>0</v>
      </c>
      <c r="W19" s="23">
        <f>IF(AND(O19="",P19=""),"",N(O19)+N(P19))</f>
        <v>0</v>
      </c>
      <c r="X19" s="29">
        <f>IF(V19="","",IF(W19&lt;100,"Low - too small a sample",IF(ABS(U19)&lt;0.1,"Low - the gap is noise",IF(W19&lt;400,"Fair - worth repeating","Good - act on it"))))</f>
        <v>0</v>
      </c>
      <c r="Y19" s="23">
        <f>IF(OR(K19="",L19=""),"",L19-K19+1)</f>
        <v>0</v>
      </c>
      <c r="AB19" s="29">
        <f>IF(B19="","",IF(AND(S19="Running",L19&lt;&gt;"",L19&lt;TODAY()),"Due - test finished, record the result",IF(AND(S19="Complete",AA19=""),"Add - what will you test next?",IF(X19="Low - too small a sample","Check - run it for longer","OK"))))</f>
        <v>0</v>
      </c>
    </row>
    <row r="20" spans="1:28">
      <c r="A20" s="41">
        <f>IF(B20="","","AB-"&amp;TEXT(ROW()-4,"000"))</f>
        <v>0</v>
      </c>
      <c r="T20" s="24">
        <f>IF(OR(M20="",N20=""),"",N20-M20)</f>
        <v>0</v>
      </c>
      <c r="U20" s="24">
        <f>IF(OR(M20="",M20=0,N20=""),"",N20/M20-1)</f>
        <v>0</v>
      </c>
      <c r="V20" s="17">
        <f>IF(OR(M20="",N20=""),"",IF(ABS(U20)&lt;0.1,"Too close",IF(N20&gt;M20,"B","A")))</f>
        <v>0</v>
      </c>
      <c r="W20" s="23">
        <f>IF(AND(O20="",P20=""),"",N(O20)+N(P20))</f>
        <v>0</v>
      </c>
      <c r="X20" s="29">
        <f>IF(V20="","",IF(W20&lt;100,"Low - too small a sample",IF(ABS(U20)&lt;0.1,"Low - the gap is noise",IF(W20&lt;400,"Fair - worth repeating","Good - act on it"))))</f>
        <v>0</v>
      </c>
      <c r="Y20" s="23">
        <f>IF(OR(K20="",L20=""),"",L20-K20+1)</f>
        <v>0</v>
      </c>
      <c r="AB20" s="29">
        <f>IF(B20="","",IF(AND(S20="Running",L20&lt;&gt;"",L20&lt;TODAY()),"Due - test finished, record the result",IF(AND(S20="Complete",AA20=""),"Add - what will you test next?",IF(X20="Low - too small a sample","Check - run it for longer","OK"))))</f>
        <v>0</v>
      </c>
    </row>
    <row r="21" spans="1:28">
      <c r="A21" s="41">
        <f>IF(B21="","","AB-"&amp;TEXT(ROW()-4,"000"))</f>
        <v>0</v>
      </c>
      <c r="T21" s="24">
        <f>IF(OR(M21="",N21=""),"",N21-M21)</f>
        <v>0</v>
      </c>
      <c r="U21" s="24">
        <f>IF(OR(M21="",M21=0,N21=""),"",N21/M21-1)</f>
        <v>0</v>
      </c>
      <c r="V21" s="17">
        <f>IF(OR(M21="",N21=""),"",IF(ABS(U21)&lt;0.1,"Too close",IF(N21&gt;M21,"B","A")))</f>
        <v>0</v>
      </c>
      <c r="W21" s="23">
        <f>IF(AND(O21="",P21=""),"",N(O21)+N(P21))</f>
        <v>0</v>
      </c>
      <c r="X21" s="29">
        <f>IF(V21="","",IF(W21&lt;100,"Low - too small a sample",IF(ABS(U21)&lt;0.1,"Low - the gap is noise",IF(W21&lt;400,"Fair - worth repeating","Good - act on it"))))</f>
        <v>0</v>
      </c>
      <c r="Y21" s="23">
        <f>IF(OR(K21="",L21=""),"",L21-K21+1)</f>
        <v>0</v>
      </c>
      <c r="AB21" s="29">
        <f>IF(B21="","",IF(AND(S21="Running",L21&lt;&gt;"",L21&lt;TODAY()),"Due - test finished, record the result",IF(AND(S21="Complete",AA21=""),"Add - what will you test next?",IF(X21="Low - too small a sample","Check - run it for longer","OK"))))</f>
        <v>0</v>
      </c>
    </row>
    <row r="22" spans="1:28">
      <c r="A22" s="41">
        <f>IF(B22="","","AB-"&amp;TEXT(ROW()-4,"000"))</f>
        <v>0</v>
      </c>
      <c r="T22" s="24">
        <f>IF(OR(M22="",N22=""),"",N22-M22)</f>
        <v>0</v>
      </c>
      <c r="U22" s="24">
        <f>IF(OR(M22="",M22=0,N22=""),"",N22/M22-1)</f>
        <v>0</v>
      </c>
      <c r="V22" s="17">
        <f>IF(OR(M22="",N22=""),"",IF(ABS(U22)&lt;0.1,"Too close",IF(N22&gt;M22,"B","A")))</f>
        <v>0</v>
      </c>
      <c r="W22" s="23">
        <f>IF(AND(O22="",P22=""),"",N(O22)+N(P22))</f>
        <v>0</v>
      </c>
      <c r="X22" s="29">
        <f>IF(V22="","",IF(W22&lt;100,"Low - too small a sample",IF(ABS(U22)&lt;0.1,"Low - the gap is noise",IF(W22&lt;400,"Fair - worth repeating","Good - act on it"))))</f>
        <v>0</v>
      </c>
      <c r="Y22" s="23">
        <f>IF(OR(K22="",L22=""),"",L22-K22+1)</f>
        <v>0</v>
      </c>
      <c r="AB22" s="29">
        <f>IF(B22="","",IF(AND(S22="Running",L22&lt;&gt;"",L22&lt;TODAY()),"Due - test finished, record the result",IF(AND(S22="Complete",AA22=""),"Add - what will you test next?",IF(X22="Low - too small a sample","Check - run it for longer","OK"))))</f>
        <v>0</v>
      </c>
    </row>
    <row r="23" spans="1:28">
      <c r="A23" s="41">
        <f>IF(B23="","","AB-"&amp;TEXT(ROW()-4,"000"))</f>
        <v>0</v>
      </c>
      <c r="T23" s="24">
        <f>IF(OR(M23="",N23=""),"",N23-M23)</f>
        <v>0</v>
      </c>
      <c r="U23" s="24">
        <f>IF(OR(M23="",M23=0,N23=""),"",N23/M23-1)</f>
        <v>0</v>
      </c>
      <c r="V23" s="17">
        <f>IF(OR(M23="",N23=""),"",IF(ABS(U23)&lt;0.1,"Too close",IF(N23&gt;M23,"B","A")))</f>
        <v>0</v>
      </c>
      <c r="W23" s="23">
        <f>IF(AND(O23="",P23=""),"",N(O23)+N(P23))</f>
        <v>0</v>
      </c>
      <c r="X23" s="29">
        <f>IF(V23="","",IF(W23&lt;100,"Low - too small a sample",IF(ABS(U23)&lt;0.1,"Low - the gap is noise",IF(W23&lt;400,"Fair - worth repeating","Good - act on it"))))</f>
        <v>0</v>
      </c>
      <c r="Y23" s="23">
        <f>IF(OR(K23="",L23=""),"",L23-K23+1)</f>
        <v>0</v>
      </c>
      <c r="AB23" s="29">
        <f>IF(B23="","",IF(AND(S23="Running",L23&lt;&gt;"",L23&lt;TODAY()),"Due - test finished, record the result",IF(AND(S23="Complete",AA23=""),"Add - what will you test next?",IF(X23="Low - too small a sample","Check - run it for longer","OK"))))</f>
        <v>0</v>
      </c>
    </row>
    <row r="24" spans="1:28">
      <c r="A24" s="41">
        <f>IF(B24="","","AB-"&amp;TEXT(ROW()-4,"000"))</f>
        <v>0</v>
      </c>
      <c r="T24" s="24">
        <f>IF(OR(M24="",N24=""),"",N24-M24)</f>
        <v>0</v>
      </c>
      <c r="U24" s="24">
        <f>IF(OR(M24="",M24=0,N24=""),"",N24/M24-1)</f>
        <v>0</v>
      </c>
      <c r="V24" s="17">
        <f>IF(OR(M24="",N24=""),"",IF(ABS(U24)&lt;0.1,"Too close",IF(N24&gt;M24,"B","A")))</f>
        <v>0</v>
      </c>
      <c r="W24" s="23">
        <f>IF(AND(O24="",P24=""),"",N(O24)+N(P24))</f>
        <v>0</v>
      </c>
      <c r="X24" s="29">
        <f>IF(V24="","",IF(W24&lt;100,"Low - too small a sample",IF(ABS(U24)&lt;0.1,"Low - the gap is noise",IF(W24&lt;400,"Fair - worth repeating","Good - act on it"))))</f>
        <v>0</v>
      </c>
      <c r="Y24" s="23">
        <f>IF(OR(K24="",L24=""),"",L24-K24+1)</f>
        <v>0</v>
      </c>
      <c r="AB24" s="29">
        <f>IF(B24="","",IF(AND(S24="Running",L24&lt;&gt;"",L24&lt;TODAY()),"Due - test finished, record the result",IF(AND(S24="Complete",AA24=""),"Add - what will you test next?",IF(X24="Low - too small a sample","Check - run it for longer","OK"))))</f>
        <v>0</v>
      </c>
    </row>
    <row r="25" spans="1:28">
      <c r="A25" s="41">
        <f>IF(B25="","","AB-"&amp;TEXT(ROW()-4,"000"))</f>
        <v>0</v>
      </c>
      <c r="T25" s="24">
        <f>IF(OR(M25="",N25=""),"",N25-M25)</f>
        <v>0</v>
      </c>
      <c r="U25" s="24">
        <f>IF(OR(M25="",M25=0,N25=""),"",N25/M25-1)</f>
        <v>0</v>
      </c>
      <c r="V25" s="17">
        <f>IF(OR(M25="",N25=""),"",IF(ABS(U25)&lt;0.1,"Too close",IF(N25&gt;M25,"B","A")))</f>
        <v>0</v>
      </c>
      <c r="W25" s="23">
        <f>IF(AND(O25="",P25=""),"",N(O25)+N(P25))</f>
        <v>0</v>
      </c>
      <c r="X25" s="29">
        <f>IF(V25="","",IF(W25&lt;100,"Low - too small a sample",IF(ABS(U25)&lt;0.1,"Low - the gap is noise",IF(W25&lt;400,"Fair - worth repeating","Good - act on it"))))</f>
        <v>0</v>
      </c>
      <c r="Y25" s="23">
        <f>IF(OR(K25="",L25=""),"",L25-K25+1)</f>
        <v>0</v>
      </c>
      <c r="AB25" s="29">
        <f>IF(B25="","",IF(AND(S25="Running",L25&lt;&gt;"",L25&lt;TODAY()),"Due - test finished, record the result",IF(AND(S25="Complete",AA25=""),"Add - what will you test next?",IF(X25="Low - too small a sample","Check - run it for longer","OK"))))</f>
        <v>0</v>
      </c>
    </row>
    <row r="26" spans="1:28">
      <c r="A26" s="41">
        <f>IF(B26="","","AB-"&amp;TEXT(ROW()-4,"000"))</f>
        <v>0</v>
      </c>
      <c r="T26" s="24">
        <f>IF(OR(M26="",N26=""),"",N26-M26)</f>
        <v>0</v>
      </c>
      <c r="U26" s="24">
        <f>IF(OR(M26="",M26=0,N26=""),"",N26/M26-1)</f>
        <v>0</v>
      </c>
      <c r="V26" s="17">
        <f>IF(OR(M26="",N26=""),"",IF(ABS(U26)&lt;0.1,"Too close",IF(N26&gt;M26,"B","A")))</f>
        <v>0</v>
      </c>
      <c r="W26" s="23">
        <f>IF(AND(O26="",P26=""),"",N(O26)+N(P26))</f>
        <v>0</v>
      </c>
      <c r="X26" s="29">
        <f>IF(V26="","",IF(W26&lt;100,"Low - too small a sample",IF(ABS(U26)&lt;0.1,"Low - the gap is noise",IF(W26&lt;400,"Fair - worth repeating","Good - act on it"))))</f>
        <v>0</v>
      </c>
      <c r="Y26" s="23">
        <f>IF(OR(K26="",L26=""),"",L26-K26+1)</f>
        <v>0</v>
      </c>
      <c r="AB26" s="29">
        <f>IF(B26="","",IF(AND(S26="Running",L26&lt;&gt;"",L26&lt;TODAY()),"Due - test finished, record the result",IF(AND(S26="Complete",AA26=""),"Add - what will you test next?",IF(X26="Low - too small a sample","Check - run it for longer","OK"))))</f>
        <v>0</v>
      </c>
    </row>
    <row r="27" spans="1:28">
      <c r="A27" s="41">
        <f>IF(B27="","","AB-"&amp;TEXT(ROW()-4,"000"))</f>
        <v>0</v>
      </c>
      <c r="T27" s="24">
        <f>IF(OR(M27="",N27=""),"",N27-M27)</f>
        <v>0</v>
      </c>
      <c r="U27" s="24">
        <f>IF(OR(M27="",M27=0,N27=""),"",N27/M27-1)</f>
        <v>0</v>
      </c>
      <c r="V27" s="17">
        <f>IF(OR(M27="",N27=""),"",IF(ABS(U27)&lt;0.1,"Too close",IF(N27&gt;M27,"B","A")))</f>
        <v>0</v>
      </c>
      <c r="W27" s="23">
        <f>IF(AND(O27="",P27=""),"",N(O27)+N(P27))</f>
        <v>0</v>
      </c>
      <c r="X27" s="29">
        <f>IF(V27="","",IF(W27&lt;100,"Low - too small a sample",IF(ABS(U27)&lt;0.1,"Low - the gap is noise",IF(W27&lt;400,"Fair - worth repeating","Good - act on it"))))</f>
        <v>0</v>
      </c>
      <c r="Y27" s="23">
        <f>IF(OR(K27="",L27=""),"",L27-K27+1)</f>
        <v>0</v>
      </c>
      <c r="AB27" s="29">
        <f>IF(B27="","",IF(AND(S27="Running",L27&lt;&gt;"",L27&lt;TODAY()),"Due - test finished, record the result",IF(AND(S27="Complete",AA27=""),"Add - what will you test next?",IF(X27="Low - too small a sample","Check - run it for longer","OK"))))</f>
        <v>0</v>
      </c>
    </row>
    <row r="28" spans="1:28">
      <c r="A28" s="41">
        <f>IF(B28="","","AB-"&amp;TEXT(ROW()-4,"000"))</f>
        <v>0</v>
      </c>
      <c r="T28" s="24">
        <f>IF(OR(M28="",N28=""),"",N28-M28)</f>
        <v>0</v>
      </c>
      <c r="U28" s="24">
        <f>IF(OR(M28="",M28=0,N28=""),"",N28/M28-1)</f>
        <v>0</v>
      </c>
      <c r="V28" s="17">
        <f>IF(OR(M28="",N28=""),"",IF(ABS(U28)&lt;0.1,"Too close",IF(N28&gt;M28,"B","A")))</f>
        <v>0</v>
      </c>
      <c r="W28" s="23">
        <f>IF(AND(O28="",P28=""),"",N(O28)+N(P28))</f>
        <v>0</v>
      </c>
      <c r="X28" s="29">
        <f>IF(V28="","",IF(W28&lt;100,"Low - too small a sample",IF(ABS(U28)&lt;0.1,"Low - the gap is noise",IF(W28&lt;400,"Fair - worth repeating","Good - act on it"))))</f>
        <v>0</v>
      </c>
      <c r="Y28" s="23">
        <f>IF(OR(K28="",L28=""),"",L28-K28+1)</f>
        <v>0</v>
      </c>
      <c r="AB28" s="29">
        <f>IF(B28="","",IF(AND(S28="Running",L28&lt;&gt;"",L28&lt;TODAY()),"Due - test finished, record the result",IF(AND(S28="Complete",AA28=""),"Add - what will you test next?",IF(X28="Low - too small a sample","Check - run it for longer","OK"))))</f>
        <v>0</v>
      </c>
    </row>
    <row r="29" spans="1:28">
      <c r="A29" s="41">
        <f>IF(B29="","","AB-"&amp;TEXT(ROW()-4,"000"))</f>
        <v>0</v>
      </c>
      <c r="T29" s="24">
        <f>IF(OR(M29="",N29=""),"",N29-M29)</f>
        <v>0</v>
      </c>
      <c r="U29" s="24">
        <f>IF(OR(M29="",M29=0,N29=""),"",N29/M29-1)</f>
        <v>0</v>
      </c>
      <c r="V29" s="17">
        <f>IF(OR(M29="",N29=""),"",IF(ABS(U29)&lt;0.1,"Too close",IF(N29&gt;M29,"B","A")))</f>
        <v>0</v>
      </c>
      <c r="W29" s="23">
        <f>IF(AND(O29="",P29=""),"",N(O29)+N(P29))</f>
        <v>0</v>
      </c>
      <c r="X29" s="29">
        <f>IF(V29="","",IF(W29&lt;100,"Low - too small a sample",IF(ABS(U29)&lt;0.1,"Low - the gap is noise",IF(W29&lt;400,"Fair - worth repeating","Good - act on it"))))</f>
        <v>0</v>
      </c>
      <c r="Y29" s="23">
        <f>IF(OR(K29="",L29=""),"",L29-K29+1)</f>
        <v>0</v>
      </c>
      <c r="AB29" s="29">
        <f>IF(B29="","",IF(AND(S29="Running",L29&lt;&gt;"",L29&lt;TODAY()),"Due - test finished, record the result",IF(AND(S29="Complete",AA29=""),"Add - what will you test next?",IF(X29="Low - too small a sample","Check - run it for longer","OK"))))</f>
        <v>0</v>
      </c>
    </row>
    <row r="30" spans="1:28">
      <c r="A30" s="41">
        <f>IF(B30="","","AB-"&amp;TEXT(ROW()-4,"000"))</f>
        <v>0</v>
      </c>
      <c r="T30" s="24">
        <f>IF(OR(M30="",N30=""),"",N30-M30)</f>
        <v>0</v>
      </c>
      <c r="U30" s="24">
        <f>IF(OR(M30="",M30=0,N30=""),"",N30/M30-1)</f>
        <v>0</v>
      </c>
      <c r="V30" s="17">
        <f>IF(OR(M30="",N30=""),"",IF(ABS(U30)&lt;0.1,"Too close",IF(N30&gt;M30,"B","A")))</f>
        <v>0</v>
      </c>
      <c r="W30" s="23">
        <f>IF(AND(O30="",P30=""),"",N(O30)+N(P30))</f>
        <v>0</v>
      </c>
      <c r="X30" s="29">
        <f>IF(V30="","",IF(W30&lt;100,"Low - too small a sample",IF(ABS(U30)&lt;0.1,"Low - the gap is noise",IF(W30&lt;400,"Fair - worth repeating","Good - act on it"))))</f>
        <v>0</v>
      </c>
      <c r="Y30" s="23">
        <f>IF(OR(K30="",L30=""),"",L30-K30+1)</f>
        <v>0</v>
      </c>
      <c r="AB30" s="29">
        <f>IF(B30="","",IF(AND(S30="Running",L30&lt;&gt;"",L30&lt;TODAY()),"Due - test finished, record the result",IF(AND(S30="Complete",AA30=""),"Add - what will you test next?",IF(X30="Low - too small a sample","Check - run it for longer","OK"))))</f>
        <v>0</v>
      </c>
    </row>
    <row r="31" spans="1:28">
      <c r="A31" s="41">
        <f>IF(B31="","","AB-"&amp;TEXT(ROW()-4,"000"))</f>
        <v>0</v>
      </c>
      <c r="T31" s="24">
        <f>IF(OR(M31="",N31=""),"",N31-M31)</f>
        <v>0</v>
      </c>
      <c r="U31" s="24">
        <f>IF(OR(M31="",M31=0,N31=""),"",N31/M31-1)</f>
        <v>0</v>
      </c>
      <c r="V31" s="17">
        <f>IF(OR(M31="",N31=""),"",IF(ABS(U31)&lt;0.1,"Too close",IF(N31&gt;M31,"B","A")))</f>
        <v>0</v>
      </c>
      <c r="W31" s="23">
        <f>IF(AND(O31="",P31=""),"",N(O31)+N(P31))</f>
        <v>0</v>
      </c>
      <c r="X31" s="29">
        <f>IF(V31="","",IF(W31&lt;100,"Low - too small a sample",IF(ABS(U31)&lt;0.1,"Low - the gap is noise",IF(W31&lt;400,"Fair - worth repeating","Good - act on it"))))</f>
        <v>0</v>
      </c>
      <c r="Y31" s="23">
        <f>IF(OR(K31="",L31=""),"",L31-K31+1)</f>
        <v>0</v>
      </c>
      <c r="AB31" s="29">
        <f>IF(B31="","",IF(AND(S31="Running",L31&lt;&gt;"",L31&lt;TODAY()),"Due - test finished, record the result",IF(AND(S31="Complete",AA31=""),"Add - what will you test next?",IF(X31="Low - too small a sample","Check - run it for longer","OK"))))</f>
        <v>0</v>
      </c>
    </row>
    <row r="32" spans="1:28">
      <c r="A32" s="41">
        <f>IF(B32="","","AB-"&amp;TEXT(ROW()-4,"000"))</f>
        <v>0</v>
      </c>
      <c r="T32" s="24">
        <f>IF(OR(M32="",N32=""),"",N32-M32)</f>
        <v>0</v>
      </c>
      <c r="U32" s="24">
        <f>IF(OR(M32="",M32=0,N32=""),"",N32/M32-1)</f>
        <v>0</v>
      </c>
      <c r="V32" s="17">
        <f>IF(OR(M32="",N32=""),"",IF(ABS(U32)&lt;0.1,"Too close",IF(N32&gt;M32,"B","A")))</f>
        <v>0</v>
      </c>
      <c r="W32" s="23">
        <f>IF(AND(O32="",P32=""),"",N(O32)+N(P32))</f>
        <v>0</v>
      </c>
      <c r="X32" s="29">
        <f>IF(V32="","",IF(W32&lt;100,"Low - too small a sample",IF(ABS(U32)&lt;0.1,"Low - the gap is noise",IF(W32&lt;400,"Fair - worth repeating","Good - act on it"))))</f>
        <v>0</v>
      </c>
      <c r="Y32" s="23">
        <f>IF(OR(K32="",L32=""),"",L32-K32+1)</f>
        <v>0</v>
      </c>
      <c r="AB32" s="29">
        <f>IF(B32="","",IF(AND(S32="Running",L32&lt;&gt;"",L32&lt;TODAY()),"Due - test finished, record the result",IF(AND(S32="Complete",AA32=""),"Add - what will you test next?",IF(X32="Low - too small a sample","Check - run it for longer","OK"))))</f>
        <v>0</v>
      </c>
    </row>
    <row r="33" spans="1:28">
      <c r="A33" s="41">
        <f>IF(B33="","","AB-"&amp;TEXT(ROW()-4,"000"))</f>
        <v>0</v>
      </c>
      <c r="T33" s="24">
        <f>IF(OR(M33="",N33=""),"",N33-M33)</f>
        <v>0</v>
      </c>
      <c r="U33" s="24">
        <f>IF(OR(M33="",M33=0,N33=""),"",N33/M33-1)</f>
        <v>0</v>
      </c>
      <c r="V33" s="17">
        <f>IF(OR(M33="",N33=""),"",IF(ABS(U33)&lt;0.1,"Too close",IF(N33&gt;M33,"B","A")))</f>
        <v>0</v>
      </c>
      <c r="W33" s="23">
        <f>IF(AND(O33="",P33=""),"",N(O33)+N(P33))</f>
        <v>0</v>
      </c>
      <c r="X33" s="29">
        <f>IF(V33="","",IF(W33&lt;100,"Low - too small a sample",IF(ABS(U33)&lt;0.1,"Low - the gap is noise",IF(W33&lt;400,"Fair - worth repeating","Good - act on it"))))</f>
        <v>0</v>
      </c>
      <c r="Y33" s="23">
        <f>IF(OR(K33="",L33=""),"",L33-K33+1)</f>
        <v>0</v>
      </c>
      <c r="AB33" s="29">
        <f>IF(B33="","",IF(AND(S33="Running",L33&lt;&gt;"",L33&lt;TODAY()),"Due - test finished, record the result",IF(AND(S33="Complete",AA33=""),"Add - what will you test next?",IF(X33="Low - too small a sample","Check - run it for longer","OK"))))</f>
        <v>0</v>
      </c>
    </row>
    <row r="34" spans="1:28">
      <c r="A34" s="41">
        <f>IF(B34="","","AB-"&amp;TEXT(ROW()-4,"000"))</f>
        <v>0</v>
      </c>
      <c r="T34" s="24">
        <f>IF(OR(M34="",N34=""),"",N34-M34)</f>
        <v>0</v>
      </c>
      <c r="U34" s="24">
        <f>IF(OR(M34="",M34=0,N34=""),"",N34/M34-1)</f>
        <v>0</v>
      </c>
      <c r="V34" s="17">
        <f>IF(OR(M34="",N34=""),"",IF(ABS(U34)&lt;0.1,"Too close",IF(N34&gt;M34,"B","A")))</f>
        <v>0</v>
      </c>
      <c r="W34" s="23">
        <f>IF(AND(O34="",P34=""),"",N(O34)+N(P34))</f>
        <v>0</v>
      </c>
      <c r="X34" s="29">
        <f>IF(V34="","",IF(W34&lt;100,"Low - too small a sample",IF(ABS(U34)&lt;0.1,"Low - the gap is noise",IF(W34&lt;400,"Fair - worth repeating","Good - act on it"))))</f>
        <v>0</v>
      </c>
      <c r="Y34" s="23">
        <f>IF(OR(K34="",L34=""),"",L34-K34+1)</f>
        <v>0</v>
      </c>
      <c r="AB34" s="29">
        <f>IF(B34="","",IF(AND(S34="Running",L34&lt;&gt;"",L34&lt;TODAY()),"Due - test finished, record the result",IF(AND(S34="Complete",AA34=""),"Add - what will you test next?",IF(X34="Low - too small a sample","Check - run it for longer","OK"))))</f>
        <v>0</v>
      </c>
    </row>
    <row r="35" spans="1:28">
      <c r="A35" s="41">
        <f>IF(B35="","","AB-"&amp;TEXT(ROW()-4,"000"))</f>
        <v>0</v>
      </c>
      <c r="T35" s="24">
        <f>IF(OR(M35="",N35=""),"",N35-M35)</f>
        <v>0</v>
      </c>
      <c r="U35" s="24">
        <f>IF(OR(M35="",M35=0,N35=""),"",N35/M35-1)</f>
        <v>0</v>
      </c>
      <c r="V35" s="17">
        <f>IF(OR(M35="",N35=""),"",IF(ABS(U35)&lt;0.1,"Too close",IF(N35&gt;M35,"B","A")))</f>
        <v>0</v>
      </c>
      <c r="W35" s="23">
        <f>IF(AND(O35="",P35=""),"",N(O35)+N(P35))</f>
        <v>0</v>
      </c>
      <c r="X35" s="29">
        <f>IF(V35="","",IF(W35&lt;100,"Low - too small a sample",IF(ABS(U35)&lt;0.1,"Low - the gap is noise",IF(W35&lt;400,"Fair - worth repeating","Good - act on it"))))</f>
        <v>0</v>
      </c>
      <c r="Y35" s="23">
        <f>IF(OR(K35="",L35=""),"",L35-K35+1)</f>
        <v>0</v>
      </c>
      <c r="AB35" s="29">
        <f>IF(B35="","",IF(AND(S35="Running",L35&lt;&gt;"",L35&lt;TODAY()),"Due - test finished, record the result",IF(AND(S35="Complete",AA35=""),"Add - what will you test next?",IF(X35="Low - too small a sample","Check - run it for longer","OK"))))</f>
        <v>0</v>
      </c>
    </row>
    <row r="36" spans="1:28">
      <c r="A36" s="41">
        <f>IF(B36="","","AB-"&amp;TEXT(ROW()-4,"000"))</f>
        <v>0</v>
      </c>
      <c r="T36" s="24">
        <f>IF(OR(M36="",N36=""),"",N36-M36)</f>
        <v>0</v>
      </c>
      <c r="U36" s="24">
        <f>IF(OR(M36="",M36=0,N36=""),"",N36/M36-1)</f>
        <v>0</v>
      </c>
      <c r="V36" s="17">
        <f>IF(OR(M36="",N36=""),"",IF(ABS(U36)&lt;0.1,"Too close",IF(N36&gt;M36,"B","A")))</f>
        <v>0</v>
      </c>
      <c r="W36" s="23">
        <f>IF(AND(O36="",P36=""),"",N(O36)+N(P36))</f>
        <v>0</v>
      </c>
      <c r="X36" s="29">
        <f>IF(V36="","",IF(W36&lt;100,"Low - too small a sample",IF(ABS(U36)&lt;0.1,"Low - the gap is noise",IF(W36&lt;400,"Fair - worth repeating","Good - act on it"))))</f>
        <v>0</v>
      </c>
      <c r="Y36" s="23">
        <f>IF(OR(K36="",L36=""),"",L36-K36+1)</f>
        <v>0</v>
      </c>
      <c r="AB36" s="29">
        <f>IF(B36="","",IF(AND(S36="Running",L36&lt;&gt;"",L36&lt;TODAY()),"Due - test finished, record the result",IF(AND(S36="Complete",AA36=""),"Add - what will you test next?",IF(X36="Low - too small a sample","Check - run it for longer","OK"))))</f>
        <v>0</v>
      </c>
    </row>
    <row r="37" spans="1:28">
      <c r="A37" s="41">
        <f>IF(B37="","","AB-"&amp;TEXT(ROW()-4,"000"))</f>
        <v>0</v>
      </c>
      <c r="T37" s="24">
        <f>IF(OR(M37="",N37=""),"",N37-M37)</f>
        <v>0</v>
      </c>
      <c r="U37" s="24">
        <f>IF(OR(M37="",M37=0,N37=""),"",N37/M37-1)</f>
        <v>0</v>
      </c>
      <c r="V37" s="17">
        <f>IF(OR(M37="",N37=""),"",IF(ABS(U37)&lt;0.1,"Too close",IF(N37&gt;M37,"B","A")))</f>
        <v>0</v>
      </c>
      <c r="W37" s="23">
        <f>IF(AND(O37="",P37=""),"",N(O37)+N(P37))</f>
        <v>0</v>
      </c>
      <c r="X37" s="29">
        <f>IF(V37="","",IF(W37&lt;100,"Low - too small a sample",IF(ABS(U37)&lt;0.1,"Low - the gap is noise",IF(W37&lt;400,"Fair - worth repeating","Good - act on it"))))</f>
        <v>0</v>
      </c>
      <c r="Y37" s="23">
        <f>IF(OR(K37="",L37=""),"",L37-K37+1)</f>
        <v>0</v>
      </c>
      <c r="AB37" s="29">
        <f>IF(B37="","",IF(AND(S37="Running",L37&lt;&gt;"",L37&lt;TODAY()),"Due - test finished, record the result",IF(AND(S37="Complete",AA37=""),"Add - what will you test next?",IF(X37="Low - too small a sample","Check - run it for longer","OK"))))</f>
        <v>0</v>
      </c>
    </row>
    <row r="38" spans="1:28">
      <c r="A38" s="41">
        <f>IF(B38="","","AB-"&amp;TEXT(ROW()-4,"000"))</f>
        <v>0</v>
      </c>
      <c r="T38" s="24">
        <f>IF(OR(M38="",N38=""),"",N38-M38)</f>
        <v>0</v>
      </c>
      <c r="U38" s="24">
        <f>IF(OR(M38="",M38=0,N38=""),"",N38/M38-1)</f>
        <v>0</v>
      </c>
      <c r="V38" s="17">
        <f>IF(OR(M38="",N38=""),"",IF(ABS(U38)&lt;0.1,"Too close",IF(N38&gt;M38,"B","A")))</f>
        <v>0</v>
      </c>
      <c r="W38" s="23">
        <f>IF(AND(O38="",P38=""),"",N(O38)+N(P38))</f>
        <v>0</v>
      </c>
      <c r="X38" s="29">
        <f>IF(V38="","",IF(W38&lt;100,"Low - too small a sample",IF(ABS(U38)&lt;0.1,"Low - the gap is noise",IF(W38&lt;400,"Fair - worth repeating","Good - act on it"))))</f>
        <v>0</v>
      </c>
      <c r="Y38" s="23">
        <f>IF(OR(K38="",L38=""),"",L38-K38+1)</f>
        <v>0</v>
      </c>
      <c r="AB38" s="29">
        <f>IF(B38="","",IF(AND(S38="Running",L38&lt;&gt;"",L38&lt;TODAY()),"Due - test finished, record the result",IF(AND(S38="Complete",AA38=""),"Add - what will you test next?",IF(X38="Low - too small a sample","Check - run it for longer","OK"))))</f>
        <v>0</v>
      </c>
    </row>
    <row r="39" spans="1:28">
      <c r="A39" s="41">
        <f>IF(B39="","","AB-"&amp;TEXT(ROW()-4,"000"))</f>
        <v>0</v>
      </c>
      <c r="T39" s="24">
        <f>IF(OR(M39="",N39=""),"",N39-M39)</f>
        <v>0</v>
      </c>
      <c r="U39" s="24">
        <f>IF(OR(M39="",M39=0,N39=""),"",N39/M39-1)</f>
        <v>0</v>
      </c>
      <c r="V39" s="17">
        <f>IF(OR(M39="",N39=""),"",IF(ABS(U39)&lt;0.1,"Too close",IF(N39&gt;M39,"B","A")))</f>
        <v>0</v>
      </c>
      <c r="W39" s="23">
        <f>IF(AND(O39="",P39=""),"",N(O39)+N(P39))</f>
        <v>0</v>
      </c>
      <c r="X39" s="29">
        <f>IF(V39="","",IF(W39&lt;100,"Low - too small a sample",IF(ABS(U39)&lt;0.1,"Low - the gap is noise",IF(W39&lt;400,"Fair - worth repeating","Good - act on it"))))</f>
        <v>0</v>
      </c>
      <c r="Y39" s="23">
        <f>IF(OR(K39="",L39=""),"",L39-K39+1)</f>
        <v>0</v>
      </c>
      <c r="AB39" s="29">
        <f>IF(B39="","",IF(AND(S39="Running",L39&lt;&gt;"",L39&lt;TODAY()),"Due - test finished, record the result",IF(AND(S39="Complete",AA39=""),"Add - what will you test next?",IF(X39="Low - too small a sample","Check - run it for longer","OK"))))</f>
        <v>0</v>
      </c>
    </row>
    <row r="40" spans="1:28">
      <c r="A40" s="41">
        <f>IF(B40="","","AB-"&amp;TEXT(ROW()-4,"000"))</f>
        <v>0</v>
      </c>
      <c r="T40" s="24">
        <f>IF(OR(M40="",N40=""),"",N40-M40)</f>
        <v>0</v>
      </c>
      <c r="U40" s="24">
        <f>IF(OR(M40="",M40=0,N40=""),"",N40/M40-1)</f>
        <v>0</v>
      </c>
      <c r="V40" s="17">
        <f>IF(OR(M40="",N40=""),"",IF(ABS(U40)&lt;0.1,"Too close",IF(N40&gt;M40,"B","A")))</f>
        <v>0</v>
      </c>
      <c r="W40" s="23">
        <f>IF(AND(O40="",P40=""),"",N(O40)+N(P40))</f>
        <v>0</v>
      </c>
      <c r="X40" s="29">
        <f>IF(V40="","",IF(W40&lt;100,"Low - too small a sample",IF(ABS(U40)&lt;0.1,"Low - the gap is noise",IF(W40&lt;400,"Fair - worth repeating","Good - act on it"))))</f>
        <v>0</v>
      </c>
      <c r="Y40" s="23">
        <f>IF(OR(K40="",L40=""),"",L40-K40+1)</f>
        <v>0</v>
      </c>
      <c r="AB40" s="29">
        <f>IF(B40="","",IF(AND(S40="Running",L40&lt;&gt;"",L40&lt;TODAY()),"Due - test finished, record the result",IF(AND(S40="Complete",AA40=""),"Add - what will you test next?",IF(X40="Low - too small a sample","Check - run it for longer","OK"))))</f>
        <v>0</v>
      </c>
    </row>
    <row r="41" spans="1:28">
      <c r="A41" s="41">
        <f>IF(B41="","","AB-"&amp;TEXT(ROW()-4,"000"))</f>
        <v>0</v>
      </c>
      <c r="T41" s="24">
        <f>IF(OR(M41="",N41=""),"",N41-M41)</f>
        <v>0</v>
      </c>
      <c r="U41" s="24">
        <f>IF(OR(M41="",M41=0,N41=""),"",N41/M41-1)</f>
        <v>0</v>
      </c>
      <c r="V41" s="17">
        <f>IF(OR(M41="",N41=""),"",IF(ABS(U41)&lt;0.1,"Too close",IF(N41&gt;M41,"B","A")))</f>
        <v>0</v>
      </c>
      <c r="W41" s="23">
        <f>IF(AND(O41="",P41=""),"",N(O41)+N(P41))</f>
        <v>0</v>
      </c>
      <c r="X41" s="29">
        <f>IF(V41="","",IF(W41&lt;100,"Low - too small a sample",IF(ABS(U41)&lt;0.1,"Low - the gap is noise",IF(W41&lt;400,"Fair - worth repeating","Good - act on it"))))</f>
        <v>0</v>
      </c>
      <c r="Y41" s="23">
        <f>IF(OR(K41="",L41=""),"",L41-K41+1)</f>
        <v>0</v>
      </c>
      <c r="AB41" s="29">
        <f>IF(B41="","",IF(AND(S41="Running",L41&lt;&gt;"",L41&lt;TODAY()),"Due - test finished, record the result",IF(AND(S41="Complete",AA41=""),"Add - what will you test next?",IF(X41="Low - too small a sample","Check - run it for longer","OK"))))</f>
        <v>0</v>
      </c>
    </row>
    <row r="42" spans="1:28">
      <c r="A42" s="41">
        <f>IF(B42="","","AB-"&amp;TEXT(ROW()-4,"000"))</f>
        <v>0</v>
      </c>
      <c r="T42" s="24">
        <f>IF(OR(M42="",N42=""),"",N42-M42)</f>
        <v>0</v>
      </c>
      <c r="U42" s="24">
        <f>IF(OR(M42="",M42=0,N42=""),"",N42/M42-1)</f>
        <v>0</v>
      </c>
      <c r="V42" s="17">
        <f>IF(OR(M42="",N42=""),"",IF(ABS(U42)&lt;0.1,"Too close",IF(N42&gt;M42,"B","A")))</f>
        <v>0</v>
      </c>
      <c r="W42" s="23">
        <f>IF(AND(O42="",P42=""),"",N(O42)+N(P42))</f>
        <v>0</v>
      </c>
      <c r="X42" s="29">
        <f>IF(V42="","",IF(W42&lt;100,"Low - too small a sample",IF(ABS(U42)&lt;0.1,"Low - the gap is noise",IF(W42&lt;400,"Fair - worth repeating","Good - act on it"))))</f>
        <v>0</v>
      </c>
      <c r="Y42" s="23">
        <f>IF(OR(K42="",L42=""),"",L42-K42+1)</f>
        <v>0</v>
      </c>
      <c r="AB42" s="29">
        <f>IF(B42="","",IF(AND(S42="Running",L42&lt;&gt;"",L42&lt;TODAY()),"Due - test finished, record the result",IF(AND(S42="Complete",AA42=""),"Add - what will you test next?",IF(X42="Low - too small a sample","Check - run it for longer","OK"))))</f>
        <v>0</v>
      </c>
    </row>
    <row r="43" spans="1:28">
      <c r="A43" s="41">
        <f>IF(B43="","","AB-"&amp;TEXT(ROW()-4,"000"))</f>
        <v>0</v>
      </c>
      <c r="T43" s="24">
        <f>IF(OR(M43="",N43=""),"",N43-M43)</f>
        <v>0</v>
      </c>
      <c r="U43" s="24">
        <f>IF(OR(M43="",M43=0,N43=""),"",N43/M43-1)</f>
        <v>0</v>
      </c>
      <c r="V43" s="17">
        <f>IF(OR(M43="",N43=""),"",IF(ABS(U43)&lt;0.1,"Too close",IF(N43&gt;M43,"B","A")))</f>
        <v>0</v>
      </c>
      <c r="W43" s="23">
        <f>IF(AND(O43="",P43=""),"",N(O43)+N(P43))</f>
        <v>0</v>
      </c>
      <c r="X43" s="29">
        <f>IF(V43="","",IF(W43&lt;100,"Low - too small a sample",IF(ABS(U43)&lt;0.1,"Low - the gap is noise",IF(W43&lt;400,"Fair - worth repeating","Good - act on it"))))</f>
        <v>0</v>
      </c>
      <c r="Y43" s="23">
        <f>IF(OR(K43="",L43=""),"",L43-K43+1)</f>
        <v>0</v>
      </c>
      <c r="AB43" s="29">
        <f>IF(B43="","",IF(AND(S43="Running",L43&lt;&gt;"",L43&lt;TODAY()),"Due - test finished, record the result",IF(AND(S43="Complete",AA43=""),"Add - what will you test next?",IF(X43="Low - too small a sample","Check - run it for longer","OK"))))</f>
        <v>0</v>
      </c>
    </row>
    <row r="44" spans="1:28">
      <c r="A44" s="41">
        <f>IF(B44="","","AB-"&amp;TEXT(ROW()-4,"000"))</f>
        <v>0</v>
      </c>
      <c r="T44" s="24">
        <f>IF(OR(M44="",N44=""),"",N44-M44)</f>
        <v>0</v>
      </c>
      <c r="U44" s="24">
        <f>IF(OR(M44="",M44=0,N44=""),"",N44/M44-1)</f>
        <v>0</v>
      </c>
      <c r="V44" s="17">
        <f>IF(OR(M44="",N44=""),"",IF(ABS(U44)&lt;0.1,"Too close",IF(N44&gt;M44,"B","A")))</f>
        <v>0</v>
      </c>
      <c r="W44" s="23">
        <f>IF(AND(O44="",P44=""),"",N(O44)+N(P44))</f>
        <v>0</v>
      </c>
      <c r="X44" s="29">
        <f>IF(V44="","",IF(W44&lt;100,"Low - too small a sample",IF(ABS(U44)&lt;0.1,"Low - the gap is noise",IF(W44&lt;400,"Fair - worth repeating","Good - act on it"))))</f>
        <v>0</v>
      </c>
      <c r="Y44" s="23">
        <f>IF(OR(K44="",L44=""),"",L44-K44+1)</f>
        <v>0</v>
      </c>
      <c r="AB44" s="29">
        <f>IF(B44="","",IF(AND(S44="Running",L44&lt;&gt;"",L44&lt;TODAY()),"Due - test finished, record the result",IF(AND(S44="Complete",AA44=""),"Add - what will you test next?",IF(X44="Low - too small a sample","Check - run it for longer","OK"))))</f>
        <v>0</v>
      </c>
    </row>
  </sheetData>
  <sheetProtection password="EC7C" sheet="1" objects="1" scenarios="1" formatCells="0" formatColumns="0" formatRows="0" insertRows="0" insertHyperlinks="0" deleteRows="0" autoFilter="0"/>
  <autoFilter ref="A4:AB4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B5:AB44">
    <cfRule type="beginsWith" dxfId="0" priority="36" operator="beginsWith" text="OK">
      <formula>LEFT(AB5,2)="OK"</formula>
    </cfRule>
    <cfRule type="containsText" dxfId="1" priority="37" operator="containsText" text="Overdue">
      <formula>NOT(ISERROR(SEARCH("Overdue",AB5)))</formula>
    </cfRule>
    <cfRule type="containsText" dxfId="1" priority="38" operator="containsText" text="Late">
      <formula>NOT(ISERROR(SEARCH("Late",AB5)))</formula>
    </cfRule>
    <cfRule type="containsText" dxfId="1" priority="39" operator="containsText" text="Missing">
      <formula>NOT(ISERROR(SEARCH("Missing",AB5)))</formula>
    </cfRule>
    <cfRule type="containsText" dxfId="1" priority="40" operator="containsText" text="Conflict">
      <formula>NOT(ISERROR(SEARCH("Conflict",AB5)))</formula>
    </cfRule>
    <cfRule type="containsText" dxfId="1" priority="41" operator="containsText" text="Expired">
      <formula>NOT(ISERROR(SEARCH("Expired",AB5)))</formula>
    </cfRule>
    <cfRule type="containsText" dxfId="1" priority="42" operator="containsText" text="Duplicate">
      <formula>NOT(ISERROR(SEARCH("Duplicate",AB5)))</formula>
    </cfRule>
    <cfRule type="containsText" dxfId="2" priority="43" operator="containsText" text="Action">
      <formula>NOT(ISERROR(SEARCH("Action",AB5)))</formula>
    </cfRule>
    <cfRule type="containsText" dxfId="2" priority="44" operator="containsText" text="Due">
      <formula>NOT(ISERROR(SEARCH("Due",AB5)))</formula>
    </cfRule>
    <cfRule type="containsText" dxfId="2" priority="45" operator="containsText" text="Check">
      <formula>NOT(ISERROR(SEARCH("Check",AB5)))</formula>
    </cfRule>
    <cfRule type="containsText" dxfId="2" priority="46" operator="containsText" text="Add">
      <formula>NOT(ISERROR(SEARCH("Add",AB5)))</formula>
    </cfRule>
    <cfRule type="containsText" dxfId="3" priority="47" operator="containsText" text="Today">
      <formula>NOT(ISERROR(SEARCH("Today",AB5)))</formula>
    </cfRule>
    <cfRule type="containsText" dxfId="3" priority="48" operator="containsText" text="Upcoming">
      <formula>NOT(ISERROR(SEARCH("Upcoming",AB5)))</formula>
    </cfRule>
  </conditionalFormatting>
  <conditionalFormatting sqref="S5:S44">
    <cfRule type="containsText" dxfId="0" priority="1" operator="containsText" text="Published">
      <formula>NOT(ISERROR(SEARCH("Published",S5)))</formula>
    </cfRule>
    <cfRule type="containsText" dxfId="0" priority="2" operator="containsText" text="Approved">
      <formula>NOT(ISERROR(SEARCH("Approved",S5)))</formula>
    </cfRule>
    <cfRule type="containsText" dxfId="0" priority="3" operator="containsText" text="Complete">
      <formula>NOT(ISERROR(SEARCH("Complete",S5)))</formula>
    </cfRule>
    <cfRule type="containsText" dxfId="0" priority="4" operator="containsText" text="Active">
      <formula>NOT(ISERROR(SEARCH("Active",S5)))</formula>
    </cfRule>
    <cfRule type="containsText" dxfId="0" priority="5" operator="containsText" text="Agreed">
      <formula>NOT(ISERROR(SEARCH("Agreed",S5)))</formula>
    </cfRule>
    <cfRule type="containsText" dxfId="0" priority="6" operator="containsText" text="Yes">
      <formula>NOT(ISERROR(SEARCH("Yes",S5)))</formula>
    </cfRule>
    <cfRule type="containsText" dxfId="0" priority="7" operator="containsText" text="Won">
      <formula>NOT(ISERROR(SEARCH("Won",S5)))</formula>
    </cfRule>
    <cfRule type="containsText" dxfId="3" priority="8" operator="containsText" text="Scheduled">
      <formula>NOT(ISERROR(SEARCH("Scheduled",S5)))</formula>
    </cfRule>
    <cfRule type="containsText" dxfId="3" priority="9" operator="containsText" text="In production">
      <formula>NOT(ISERROR(SEARCH("In production",S5)))</formula>
    </cfRule>
    <cfRule type="containsText" dxfId="3" priority="10" operator="containsText" text="Running">
      <formula>NOT(ISERROR(SEARCH("Running",S5)))</formula>
    </cfRule>
    <cfRule type="containsText" dxfId="3" priority="11" operator="containsText" text="Sent">
      <formula>NOT(ISERROR(SEARCH("Sent",S5)))</formula>
    </cfRule>
    <cfRule type="containsText" dxfId="3" priority="12" operator="containsText" text="Testing">
      <formula>NOT(ISERROR(SEARCH("Testing",S5)))</formula>
    </cfRule>
    <cfRule type="containsText" dxfId="2" priority="13" operator="containsText" text="Idea">
      <formula>NOT(ISERROR(SEARCH("Idea",S5)))</formula>
    </cfRule>
    <cfRule type="containsText" dxfId="2" priority="14" operator="containsText" text="Brief">
      <formula>NOT(ISERROR(SEARCH("Brief",S5)))</formula>
    </cfRule>
    <cfRule type="containsText" dxfId="2" priority="15" operator="containsText" text="Draft">
      <formula>NOT(ISERROR(SEARCH("Draft",S5)))</formula>
    </cfRule>
    <cfRule type="containsText" dxfId="2" priority="16" operator="containsText" text="Awaiting review">
      <formula>NOT(ISERROR(SEARCH("Awaiting review",S5)))</formula>
    </cfRule>
    <cfRule type="containsText" dxfId="2" priority="17" operator="containsText" text="Pending">
      <formula>NOT(ISERROR(SEARCH("Pending",S5)))</formula>
    </cfRule>
    <cfRule type="containsText" dxfId="2" priority="18" operator="containsText" text="On hold">
      <formula>NOT(ISERROR(SEARCH("On hold",S5)))</formula>
    </cfRule>
    <cfRule type="containsText" dxfId="1" priority="19" operator="containsText" text="Revision needed">
      <formula>NOT(ISERROR(SEARCH("Revision needed",S5)))</formula>
    </cfRule>
    <cfRule type="containsText" dxfId="1" priority="20" operator="containsText" text="Rejected">
      <formula>NOT(ISERROR(SEARCH("Rejected",S5)))</formula>
    </cfRule>
    <cfRule type="containsText" dxfId="1" priority="21" operator="containsText" text="Cancelled">
      <formula>NOT(ISERROR(SEARCH("Cancelled",S5)))</formula>
    </cfRule>
    <cfRule type="containsText" dxfId="1" priority="22" operator="containsText" text="Missed">
      <formula>NOT(ISERROR(SEARCH("Missed",S5)))</formula>
    </cfRule>
    <cfRule type="containsText" dxfId="1" priority="23" operator="containsText" text="Overdue">
      <formula>NOT(ISERROR(SEARCH("Overdue",S5)))</formula>
    </cfRule>
    <cfRule type="containsText" dxfId="1" priority="24" operator="containsText" text="Declined">
      <formula>NOT(ISERROR(SEARCH("Declined",S5)))</formula>
    </cfRule>
    <cfRule type="containsText" dxfId="4" priority="25" operator="containsText" text="Archived">
      <formula>NOT(ISERROR(SEARCH("Archived",S5)))</formula>
    </cfRule>
    <cfRule type="containsText" dxfId="4" priority="26" operator="containsText" text="Paused">
      <formula>NOT(ISERROR(SEARCH("Paused",S5)))</formula>
    </cfRule>
    <cfRule type="containsText" dxfId="4" priority="27" operator="containsText" text="Not started">
      <formula>NOT(ISERROR(SEARCH("Not started",S5)))</formula>
    </cfRule>
  </conditionalFormatting>
  <conditionalFormatting sqref="T5:T44">
    <cfRule type="cellIs" dxfId="0" priority="28" operator="greaterThan">
      <formula>0</formula>
    </cfRule>
    <cfRule type="cellIs" dxfId="1" priority="29" operator="lessThan">
      <formula>0</formula>
    </cfRule>
  </conditionalFormatting>
  <conditionalFormatting sqref="V5:V44">
    <cfRule type="containsText" dxfId="2" priority="30" operator="containsText" text="Too close">
      <formula>NOT(ISERROR(SEARCH("Too close",V5)))</formula>
    </cfRule>
    <cfRule type="containsText" dxfId="0" priority="31" operator="containsText" text="B">
      <formula>NOT(ISERROR(SEARCH("B",V5)))</formula>
    </cfRule>
    <cfRule type="containsText" dxfId="0" priority="32" operator="containsText" text="A">
      <formula>NOT(ISERROR(SEARCH("A",V5)))</formula>
    </cfRule>
  </conditionalFormatting>
  <conditionalFormatting sqref="X5:X44">
    <cfRule type="containsText" dxfId="0" priority="33" operator="containsText" text="Good">
      <formula>NOT(ISERROR(SEARCH("Good",X5)))</formula>
    </cfRule>
    <cfRule type="containsText" dxfId="2" priority="34" operator="containsText" text="Fair">
      <formula>NOT(ISERROR(SEARCH("Fair",X5)))</formula>
    </cfRule>
    <cfRule type="containsText" dxfId="1" priority="35" operator="containsText" text="Low">
      <formula>NOT(ISERROR(SEARCH("Low",X5)))</formula>
    </cfRule>
  </conditionalFormatting>
  <dataValidations count="11">
    <dataValidation type="list" allowBlank="1" showInputMessage="1" showErrorMessage="1" promptTitle="What you changed" prompt="Change one thing only, or you will not know what caused the difference." sqref="C5:C44">
      <formula1>TestVariableList</formula1>
    </dataValidation>
    <dataValidation type="list" allowBlank="1" showInputMessage="1" showErrorMessage="1" sqref="D5:D44">
      <formula1>PlatformList</formula1>
    </dataValidation>
    <dataValidation type="date" allowBlank="1" showInputMessage="1" showErrorMessage="1" errorTitle="Check the date" error="Enter a real date between 2000 and 2100." sqref="K5:K44">
      <formula1>36526</formula1>
      <formula2>73415</formula2>
    </dataValidation>
    <dataValidation type="date" allowBlank="1" showInputMessage="1" showErrorMessage="1" errorTitle="Check the date" error="Enter a real date between 2000 and 2100." sqref="L5:L44">
      <formula1>36526</formula1>
      <formula2>73415</formula2>
    </dataValidation>
    <dataValidation type="decimal" allowBlank="1" showInputMessage="1" showErrorMessage="1" errorTitle="Check the value" error="Enter a number between 0 and 10." sqref="M5:M44">
      <formula1>0</formula1>
      <formula2>10</formula2>
    </dataValidation>
    <dataValidation type="decimal" allowBlank="1" showInputMessage="1" showErrorMessage="1" errorTitle="Check the value" error="Enter a number between 0 and 10." sqref="N5:N44">
      <formula1>0</formula1>
      <formula2>10</formula2>
    </dataValidation>
    <dataValidation type="whole" allowBlank="1" showInputMessage="1" showErrorMessage="1" errorTitle="Check the value" error="Enter a number between 0 and 100000000.0." sqref="O5:O44">
      <formula1>0</formula1>
      <formula2>100000000.0</formula2>
    </dataValidation>
    <dataValidation type="whole" allowBlank="1" showInputMessage="1" showErrorMessage="1" errorTitle="Check the value" error="Enter a number between 0 and 100000000.0." sqref="P5:P44">
      <formula1>0</formula1>
      <formula2>100000000.0</formula2>
    </dataValidation>
    <dataValidation type="whole" allowBlank="1" showInputMessage="1" showErrorMessage="1" errorTitle="Check the value" error="Enter a number between 0 and 10000000.0." sqref="Q5:Q44">
      <formula1>0</formula1>
      <formula2>10000000.0</formula2>
    </dataValidation>
    <dataValidation type="whole" allowBlank="1" showInputMessage="1" showErrorMessage="1" errorTitle="Check the value" error="Enter a number between 0 and 10000000.0." sqref="R5:R44">
      <formula1>0</formula1>
      <formula2>10000000.0</formula2>
    </dataValidation>
    <dataValidation type="list" allowBlank="1" showInputMessage="1" showErrorMessage="1" sqref="S5:S44">
      <formula1>TestStatusList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&amp;L&amp;"Calibri,Bold"&amp;12&amp;C&amp;"Calibri,Bold"&amp;11AB Tests&amp;R&amp;"Calibri,Italic"&amp;9Social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2.xml><?xml version="1.0" encoding="utf-8"?>
<worksheet xmlns="http://schemas.openxmlformats.org/spreadsheetml/2006/main" xmlns:r="http://schemas.openxmlformats.org/officeDocument/2006/relationships">
  <sheetPr>
    <tabColor rgb="FF6350A8"/>
    <pageSetUpPr fitToPage="1"/>
  </sheetPr>
  <dimension ref="A1:AG1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24.7109375" style="15" customWidth="1"/>
    <col min="3" max="3" width="13.7109375" style="15" customWidth="1"/>
    <col min="4" max="4" width="15.7109375" style="15" customWidth="1"/>
    <col min="5" max="5" width="20.7109375" style="15" customWidth="1"/>
    <col min="6" max="6" width="28.7109375" style="39" customWidth="1"/>
    <col min="7" max="7" width="24.7109375" style="39" customWidth="1"/>
    <col min="8" max="8" width="13.7109375" style="15" customWidth="1"/>
    <col min="9" max="9" width="32.7109375" style="39" customWidth="1"/>
    <col min="10" max="10" width="26.7109375" style="39" customWidth="1"/>
    <col min="11" max="11" width="26.7109375" style="42" customWidth="1"/>
    <col min="12" max="12" width="12.7109375" style="43" customWidth="1"/>
    <col min="13" max="13" width="12.7109375" style="43" customWidth="1"/>
    <col min="14" max="14" width="12.7109375" style="36" customWidth="1"/>
    <col min="15" max="15" width="12.7109375" style="36" customWidth="1"/>
    <col min="16" max="16" width="12.7109375" style="34" customWidth="1"/>
    <col min="17" max="17" width="11.7109375" style="34" customWidth="1"/>
    <col min="18" max="18" width="10.7109375" style="34" customWidth="1"/>
    <col min="19" max="19" width="10.7109375" style="34" customWidth="1"/>
    <col min="20" max="20" width="13.7109375" style="36" customWidth="1"/>
    <col min="21" max="21" width="12.7109375" style="29" customWidth="1"/>
    <col min="22" max="22" width="9.7109375" style="23" customWidth="1"/>
    <col min="23" max="23" width="11.7109375" style="25" customWidth="1"/>
    <col min="24" max="24" width="10.7109375" style="24" customWidth="1"/>
    <col min="25" max="25" width="11.7109375" style="25" customWidth="1"/>
    <col min="26" max="26" width="12.7109375" style="25" customWidth="1"/>
    <col min="27" max="27" width="11.7109375" style="24" customWidth="1"/>
    <col min="28" max="28" width="11.7109375" style="25" customWidth="1"/>
    <col min="29" max="29" width="12.7109375" style="31" customWidth="1"/>
    <col min="30" max="30" width="13.7109375" style="25" customWidth="1"/>
    <col min="31" max="31" width="11.7109375" style="24" customWidth="1"/>
    <col min="32" max="32" width="28.7109375" style="29" customWidth="1"/>
    <col min="33" max="33" width="26.7109375" style="39" customWidth="1"/>
  </cols>
  <sheetData>
    <row r="1" spans="1:33" ht="34" customHeight="1">
      <c r="A1" s="2" t="s">
        <v>1959</v>
      </c>
      <c r="B1" s="2"/>
      <c r="C1" s="2"/>
      <c r="D1" s="2"/>
      <c r="E1" s="2"/>
      <c r="F1" s="2"/>
      <c r="G1" s="2"/>
      <c r="H1" s="2"/>
      <c r="I1" s="2"/>
      <c r="J1" s="2"/>
      <c r="K1" s="2"/>
      <c r="L1" s="2"/>
      <c r="M1" s="2"/>
      <c r="N1" s="2"/>
      <c r="O1" s="2"/>
      <c r="P1" s="2"/>
      <c r="Q1" s="2"/>
      <c r="R1" s="2"/>
      <c r="S1" s="2"/>
      <c r="T1" s="2"/>
      <c r="U1" s="2"/>
      <c r="V1" s="2"/>
      <c r="W1" s="2"/>
      <c r="X1" s="2"/>
      <c r="Y1" s="2"/>
      <c r="Z1" s="2"/>
      <c r="AA1" s="2"/>
      <c r="AB1" s="2"/>
      <c r="AC1" s="2"/>
      <c r="AD1" s="2"/>
      <c r="AE1" s="3" t="s">
        <v>1</v>
      </c>
      <c r="AF1" s="3"/>
      <c r="AG1" s="3"/>
    </row>
    <row r="2" spans="1:33" ht="18" customHeight="1">
      <c r="A2" s="4" t="s">
        <v>1960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1961</v>
      </c>
      <c r="T3" s="38"/>
      <c r="U3" s="38"/>
      <c r="V3" s="38"/>
      <c r="W3" s="38"/>
      <c r="X3" s="38"/>
      <c r="Y3" s="38"/>
      <c r="Z3" s="38"/>
      <c r="AA3" s="38"/>
      <c r="AB3" s="38"/>
      <c r="AC3" s="38"/>
      <c r="AD3" s="38"/>
      <c r="AE3" s="38"/>
      <c r="AF3" s="38"/>
      <c r="AG3" s="38"/>
    </row>
    <row r="4" spans="1:33" ht="30" customHeight="1">
      <c r="A4" s="8" t="s">
        <v>766</v>
      </c>
      <c r="B4" s="8" t="s">
        <v>1962</v>
      </c>
      <c r="C4" s="9" t="s">
        <v>192</v>
      </c>
      <c r="D4" s="9" t="s">
        <v>426</v>
      </c>
      <c r="E4" s="9" t="s">
        <v>1604</v>
      </c>
      <c r="F4" s="9" t="s">
        <v>1543</v>
      </c>
      <c r="G4" s="9" t="s">
        <v>1963</v>
      </c>
      <c r="H4" s="9" t="s">
        <v>1964</v>
      </c>
      <c r="I4" s="9" t="s">
        <v>1965</v>
      </c>
      <c r="J4" s="9" t="s">
        <v>1966</v>
      </c>
      <c r="K4" s="9" t="s">
        <v>1569</v>
      </c>
      <c r="L4" s="9" t="s">
        <v>1967</v>
      </c>
      <c r="M4" s="9" t="s">
        <v>1968</v>
      </c>
      <c r="N4" s="9" t="s">
        <v>97</v>
      </c>
      <c r="O4" s="9" t="s">
        <v>1969</v>
      </c>
      <c r="P4" s="9" t="s">
        <v>151</v>
      </c>
      <c r="Q4" s="9" t="s">
        <v>149</v>
      </c>
      <c r="R4" s="9" t="s">
        <v>188</v>
      </c>
      <c r="S4" s="9" t="s">
        <v>170</v>
      </c>
      <c r="T4" s="9" t="s">
        <v>172</v>
      </c>
      <c r="U4" s="9" t="s">
        <v>221</v>
      </c>
      <c r="V4" s="9" t="s">
        <v>1970</v>
      </c>
      <c r="W4" s="9" t="s">
        <v>1971</v>
      </c>
      <c r="X4" s="9" t="s">
        <v>1883</v>
      </c>
      <c r="Y4" s="9" t="s">
        <v>1972</v>
      </c>
      <c r="Z4" s="9" t="s">
        <v>1973</v>
      </c>
      <c r="AA4" s="9" t="s">
        <v>1896</v>
      </c>
      <c r="AB4" s="9" t="s">
        <v>1576</v>
      </c>
      <c r="AC4" s="9" t="s">
        <v>179</v>
      </c>
      <c r="AD4" s="9" t="s">
        <v>1578</v>
      </c>
      <c r="AE4" s="9" t="s">
        <v>1575</v>
      </c>
      <c r="AF4" s="9" t="s">
        <v>787</v>
      </c>
      <c r="AG4" s="9" t="s">
        <v>788</v>
      </c>
    </row>
    <row r="5" spans="1:33">
      <c r="A5" s="41">
        <f>IF(B5="","","AD-"&amp;TEXT(ROW()-4,"000"))</f>
        <v>0</v>
      </c>
      <c r="B5" s="15" t="s">
        <v>1974</v>
      </c>
      <c r="C5" s="15" t="s">
        <v>376</v>
      </c>
      <c r="D5" s="15" t="s">
        <v>429</v>
      </c>
      <c r="E5" s="15" t="s">
        <v>925</v>
      </c>
      <c r="F5" s="39" t="s">
        <v>1975</v>
      </c>
      <c r="G5" s="39" t="s">
        <v>1976</v>
      </c>
      <c r="H5" s="15" t="s">
        <v>940</v>
      </c>
      <c r="I5" s="39" t="s">
        <v>1581</v>
      </c>
      <c r="J5" s="39" t="s">
        <v>1977</v>
      </c>
      <c r="K5" s="42" t="s">
        <v>289</v>
      </c>
      <c r="L5" s="43">
        <v>46248</v>
      </c>
      <c r="M5" s="43">
        <v>46266</v>
      </c>
      <c r="N5" s="36">
        <v>180</v>
      </c>
      <c r="O5" s="36">
        <v>174.2</v>
      </c>
      <c r="P5" s="34">
        <v>46262</v>
      </c>
      <c r="Q5" s="34">
        <v>27524</v>
      </c>
      <c r="R5" s="34">
        <v>395</v>
      </c>
      <c r="S5" s="34">
        <v>21</v>
      </c>
      <c r="T5" s="36">
        <v>987.74</v>
      </c>
      <c r="U5" s="29">
        <f>IF(B5="","",IF(L5="","Planned",IF(AND(L5&lt;=TODAY(),OR(M5="",M5&gt;=TODAY())),"Running",IF(L5&gt;TODAY(),"Planned","Complete"))))</f>
        <v>0</v>
      </c>
      <c r="V5" s="23">
        <f>IF(L5="","",IF(M5="",TODAY()-L5+1,MIN(TODAY(),M5)-L5+1))</f>
        <v>0</v>
      </c>
      <c r="W5" s="25">
        <f>IF(OR(V5="",V5&lt;=0),"",N(O5)/V5)</f>
        <v>0</v>
      </c>
      <c r="X5" s="24">
        <f>IF(OR(P5="",P5=0),"",N(R5)/P5)</f>
        <v>0</v>
      </c>
      <c r="Y5" s="25">
        <f>IF(OR(R5="",R5=0),"",N(O5)/R5)</f>
        <v>0</v>
      </c>
      <c r="Z5" s="25">
        <f>IF(OR(P5="",P5=0),"",N(O5)/(P5/1000))</f>
        <v>0</v>
      </c>
      <c r="AA5" s="24">
        <f>IF(OR(R5="",R5=0),"",N(S5)/R5)</f>
        <v>0</v>
      </c>
      <c r="AB5" s="25">
        <f>IF(OR(S5="",S5=0),"",N(O5)/S5)</f>
        <v>0</v>
      </c>
      <c r="AC5" s="31">
        <f>IF(OR(O5="",O5=0),"",N(T5)/O5)</f>
        <v>0</v>
      </c>
      <c r="AD5" s="25">
        <f>IF(AND(T5="",O5=""),"",N(T5)-N(O5))</f>
        <v>0</v>
      </c>
      <c r="AE5" s="24">
        <f>IF(OR(N5="",N5=0),"",N(O5)/N5)</f>
        <v>0</v>
      </c>
      <c r="AF5" s="29">
        <f>IF(B5="","",IF(N(O5)&gt;N(N5),"Over budget - pause or top up",IF(AND(AC5&lt;&gt;"",AC5&lt;1),"Action - losing money, change it",IF(AND(X5&lt;&gt;"",X5&lt;0.005),"Check - the creative is not landing",IF(AND(U5="Complete",T5=""),"Add - record the revenue","OK")))))</f>
        <v>0</v>
      </c>
      <c r="AG5" s="39" t="s">
        <v>205</v>
      </c>
    </row>
    <row r="6" spans="1:33">
      <c r="A6" s="41">
        <f>IF(B6="","","AD-"&amp;TEXT(ROW()-4,"000"))</f>
        <v>0</v>
      </c>
      <c r="B6" s="15" t="s">
        <v>1978</v>
      </c>
      <c r="C6" s="15" t="s">
        <v>380</v>
      </c>
      <c r="D6" s="15" t="s">
        <v>606</v>
      </c>
      <c r="E6" s="15" t="s">
        <v>925</v>
      </c>
      <c r="F6" s="39" t="s">
        <v>1975</v>
      </c>
      <c r="G6" s="39" t="s">
        <v>1979</v>
      </c>
      <c r="H6" s="15" t="s">
        <v>962</v>
      </c>
      <c r="I6" s="39" t="s">
        <v>1581</v>
      </c>
      <c r="J6" s="39" t="s">
        <v>1977</v>
      </c>
      <c r="K6" s="42" t="s">
        <v>289</v>
      </c>
      <c r="L6" s="43">
        <v>46276</v>
      </c>
      <c r="M6" s="43">
        <v>46290</v>
      </c>
      <c r="N6" s="36">
        <v>120</v>
      </c>
      <c r="O6" s="36">
        <v>118.65</v>
      </c>
      <c r="P6" s="34">
        <v>37897</v>
      </c>
      <c r="Q6" s="34">
        <v>22939</v>
      </c>
      <c r="R6" s="34">
        <v>543</v>
      </c>
      <c r="S6" s="34">
        <v>18</v>
      </c>
      <c r="T6" s="36">
        <v>991.91</v>
      </c>
      <c r="U6" s="29">
        <f>IF(B6="","",IF(L6="","Planned",IF(AND(L6&lt;=TODAY(),OR(M6="",M6&gt;=TODAY())),"Running",IF(L6&gt;TODAY(),"Planned","Complete"))))</f>
        <v>0</v>
      </c>
      <c r="V6" s="23">
        <f>IF(L6="","",IF(M6="",TODAY()-L6+1,MIN(TODAY(),M6)-L6+1))</f>
        <v>0</v>
      </c>
      <c r="W6" s="25">
        <f>IF(OR(V6="",V6&lt;=0),"",N(O6)/V6)</f>
        <v>0</v>
      </c>
      <c r="X6" s="24">
        <f>IF(OR(P6="",P6=0),"",N(R6)/P6)</f>
        <v>0</v>
      </c>
      <c r="Y6" s="25">
        <f>IF(OR(R6="",R6=0),"",N(O6)/R6)</f>
        <v>0</v>
      </c>
      <c r="Z6" s="25">
        <f>IF(OR(P6="",P6=0),"",N(O6)/(P6/1000))</f>
        <v>0</v>
      </c>
      <c r="AA6" s="24">
        <f>IF(OR(R6="",R6=0),"",N(S6)/R6)</f>
        <v>0</v>
      </c>
      <c r="AB6" s="25">
        <f>IF(OR(S6="",S6=0),"",N(O6)/S6)</f>
        <v>0</v>
      </c>
      <c r="AC6" s="31">
        <f>IF(OR(O6="",O6=0),"",N(T6)/O6)</f>
        <v>0</v>
      </c>
      <c r="AD6" s="25">
        <f>IF(AND(T6="",O6=""),"",N(T6)-N(O6))</f>
        <v>0</v>
      </c>
      <c r="AE6" s="24">
        <f>IF(OR(N6="",N6=0),"",N(O6)/N6)</f>
        <v>0</v>
      </c>
      <c r="AF6" s="29">
        <f>IF(B6="","",IF(N(O6)&gt;N(N6),"Over budget - pause or top up",IF(AND(AC6&lt;&gt;"",AC6&lt;1),"Action - losing money, change it",IF(AND(X6&lt;&gt;"",X6&lt;0.005),"Check - the creative is not landing",IF(AND(U6="Complete",T6=""),"Add - record the revenue","OK")))))</f>
        <v>0</v>
      </c>
      <c r="AG6" s="39" t="s">
        <v>205</v>
      </c>
    </row>
    <row r="7" spans="1:33">
      <c r="A7" s="41">
        <f>IF(B7="","","AD-"&amp;TEXT(ROW()-4,"000"))</f>
        <v>0</v>
      </c>
      <c r="B7" s="15" t="s">
        <v>1980</v>
      </c>
      <c r="C7" s="15" t="s">
        <v>376</v>
      </c>
      <c r="D7" s="15" t="s">
        <v>170</v>
      </c>
      <c r="E7" s="15" t="s">
        <v>1049</v>
      </c>
      <c r="F7" s="39" t="s">
        <v>1975</v>
      </c>
      <c r="G7" s="39" t="s">
        <v>1976</v>
      </c>
      <c r="H7" s="15" t="s">
        <v>982</v>
      </c>
      <c r="I7" s="39" t="s">
        <v>1581</v>
      </c>
      <c r="J7" s="39" t="s">
        <v>1977</v>
      </c>
      <c r="K7" s="42" t="s">
        <v>289</v>
      </c>
      <c r="L7" s="43">
        <v>46298</v>
      </c>
      <c r="M7" s="43">
        <v>46320</v>
      </c>
      <c r="N7" s="36">
        <v>320</v>
      </c>
      <c r="O7" s="36">
        <v>96.4</v>
      </c>
      <c r="P7" s="34">
        <v>37131</v>
      </c>
      <c r="Q7" s="34">
        <v>26385</v>
      </c>
      <c r="R7" s="34">
        <v>354</v>
      </c>
      <c r="S7" s="34">
        <v>24</v>
      </c>
      <c r="T7" s="36">
        <v>1278.61</v>
      </c>
      <c r="U7" s="29">
        <f>IF(B7="","",IF(L7="","Planned",IF(AND(L7&lt;=TODAY(),OR(M7="",M7&gt;=TODAY())),"Running",IF(L7&gt;TODAY(),"Planned","Complete"))))</f>
        <v>0</v>
      </c>
      <c r="V7" s="23">
        <f>IF(L7="","",IF(M7="",TODAY()-L7+1,MIN(TODAY(),M7)-L7+1))</f>
        <v>0</v>
      </c>
      <c r="W7" s="25">
        <f>IF(OR(V7="",V7&lt;=0),"",N(O7)/V7)</f>
        <v>0</v>
      </c>
      <c r="X7" s="24">
        <f>IF(OR(P7="",P7=0),"",N(R7)/P7)</f>
        <v>0</v>
      </c>
      <c r="Y7" s="25">
        <f>IF(OR(R7="",R7=0),"",N(O7)/R7)</f>
        <v>0</v>
      </c>
      <c r="Z7" s="25">
        <f>IF(OR(P7="",P7=0),"",N(O7)/(P7/1000))</f>
        <v>0</v>
      </c>
      <c r="AA7" s="24">
        <f>IF(OR(R7="",R7=0),"",N(S7)/R7)</f>
        <v>0</v>
      </c>
      <c r="AB7" s="25">
        <f>IF(OR(S7="",S7=0),"",N(O7)/S7)</f>
        <v>0</v>
      </c>
      <c r="AC7" s="31">
        <f>IF(OR(O7="",O7=0),"",N(T7)/O7)</f>
        <v>0</v>
      </c>
      <c r="AD7" s="25">
        <f>IF(AND(T7="",O7=""),"",N(T7)-N(O7))</f>
        <v>0</v>
      </c>
      <c r="AE7" s="24">
        <f>IF(OR(N7="",N7=0),"",N(O7)/N7)</f>
        <v>0</v>
      </c>
      <c r="AF7" s="29">
        <f>IF(B7="","",IF(N(O7)&gt;N(N7),"Over budget - pause or top up",IF(AND(AC7&lt;&gt;"",AC7&lt;1),"Action - losing money, change it",IF(AND(X7&lt;&gt;"",X7&lt;0.005),"Check - the creative is not landing",IF(AND(U7="Complete",T7=""),"Add - record the revenue","OK")))))</f>
        <v>0</v>
      </c>
      <c r="AG7" s="39" t="s">
        <v>205</v>
      </c>
    </row>
    <row r="8" spans="1:33">
      <c r="A8" s="41">
        <f>IF(B8="","","AD-"&amp;TEXT(ROW()-4,"000"))</f>
        <v>0</v>
      </c>
      <c r="B8" s="15" t="s">
        <v>1981</v>
      </c>
      <c r="C8" s="15" t="s">
        <v>378</v>
      </c>
      <c r="D8" s="15" t="s">
        <v>429</v>
      </c>
      <c r="E8" s="15" t="s">
        <v>1049</v>
      </c>
      <c r="F8" s="39" t="s">
        <v>1975</v>
      </c>
      <c r="G8" s="39" t="s">
        <v>1976</v>
      </c>
      <c r="H8" s="15" t="s">
        <v>991</v>
      </c>
      <c r="I8" s="39" t="s">
        <v>1581</v>
      </c>
      <c r="J8" s="39" t="s">
        <v>1977</v>
      </c>
      <c r="K8" s="42" t="s">
        <v>289</v>
      </c>
      <c r="L8" s="43">
        <v>46294</v>
      </c>
      <c r="M8" s="43">
        <v>46324</v>
      </c>
      <c r="N8" s="36">
        <v>90</v>
      </c>
      <c r="O8" s="36">
        <v>38.2</v>
      </c>
      <c r="P8" s="34">
        <v>8680</v>
      </c>
      <c r="Q8" s="34">
        <v>5438</v>
      </c>
      <c r="R8" s="34">
        <v>83</v>
      </c>
      <c r="S8" s="34">
        <v>5</v>
      </c>
      <c r="T8" s="36">
        <v>213.67</v>
      </c>
      <c r="U8" s="29">
        <f>IF(B8="","",IF(L8="","Planned",IF(AND(L8&lt;=TODAY(),OR(M8="",M8&gt;=TODAY())),"Running",IF(L8&gt;TODAY(),"Planned","Complete"))))</f>
        <v>0</v>
      </c>
      <c r="V8" s="23">
        <f>IF(L8="","",IF(M8="",TODAY()-L8+1,MIN(TODAY(),M8)-L8+1))</f>
        <v>0</v>
      </c>
      <c r="W8" s="25">
        <f>IF(OR(V8="",V8&lt;=0),"",N(O8)/V8)</f>
        <v>0</v>
      </c>
      <c r="X8" s="24">
        <f>IF(OR(P8="",P8=0),"",N(R8)/P8)</f>
        <v>0</v>
      </c>
      <c r="Y8" s="25">
        <f>IF(OR(R8="",R8=0),"",N(O8)/R8)</f>
        <v>0</v>
      </c>
      <c r="Z8" s="25">
        <f>IF(OR(P8="",P8=0),"",N(O8)/(P8/1000))</f>
        <v>0</v>
      </c>
      <c r="AA8" s="24">
        <f>IF(OR(R8="",R8=0),"",N(S8)/R8)</f>
        <v>0</v>
      </c>
      <c r="AB8" s="25">
        <f>IF(OR(S8="",S8=0),"",N(O8)/S8)</f>
        <v>0</v>
      </c>
      <c r="AC8" s="31">
        <f>IF(OR(O8="",O8=0),"",N(T8)/O8)</f>
        <v>0</v>
      </c>
      <c r="AD8" s="25">
        <f>IF(AND(T8="",O8=""),"",N(T8)-N(O8))</f>
        <v>0</v>
      </c>
      <c r="AE8" s="24">
        <f>IF(OR(N8="",N8=0),"",N(O8)/N8)</f>
        <v>0</v>
      </c>
      <c r="AF8" s="29">
        <f>IF(B8="","",IF(N(O8)&gt;N(N8),"Over budget - pause or top up",IF(AND(AC8&lt;&gt;"",AC8&lt;1),"Action - losing money, change it",IF(AND(X8&lt;&gt;"",X8&lt;0.005),"Check - the creative is not landing",IF(AND(U8="Complete",T8=""),"Add - record the revenue","OK")))))</f>
        <v>0</v>
      </c>
      <c r="AG8" s="39" t="s">
        <v>205</v>
      </c>
    </row>
    <row r="9" spans="1:33">
      <c r="A9" s="41">
        <f>IF(B9="","","AD-"&amp;TEXT(ROW()-4,"000"))</f>
        <v>0</v>
      </c>
      <c r="B9" s="15" t="s">
        <v>1982</v>
      </c>
      <c r="C9" s="15" t="s">
        <v>379</v>
      </c>
      <c r="D9" s="15" t="s">
        <v>604</v>
      </c>
      <c r="E9" s="15" t="s">
        <v>925</v>
      </c>
      <c r="F9" s="39" t="s">
        <v>1975</v>
      </c>
      <c r="G9" s="39" t="s">
        <v>1976</v>
      </c>
      <c r="H9" s="15" t="s">
        <v>995</v>
      </c>
      <c r="I9" s="39" t="s">
        <v>1581</v>
      </c>
      <c r="J9" s="39" t="s">
        <v>1977</v>
      </c>
      <c r="K9" s="42" t="s">
        <v>289</v>
      </c>
      <c r="L9" s="43">
        <v>46282</v>
      </c>
      <c r="M9" s="43">
        <v>46296</v>
      </c>
      <c r="N9" s="36">
        <v>70</v>
      </c>
      <c r="O9" s="36">
        <v>68.9</v>
      </c>
      <c r="P9" s="34">
        <v>28956</v>
      </c>
      <c r="Q9" s="34">
        <v>21074</v>
      </c>
      <c r="R9" s="34">
        <v>360</v>
      </c>
      <c r="S9" s="34">
        <v>10</v>
      </c>
      <c r="T9" s="36">
        <v>770.32</v>
      </c>
      <c r="U9" s="29">
        <f>IF(B9="","",IF(L9="","Planned",IF(AND(L9&lt;=TODAY(),OR(M9="",M9&gt;=TODAY())),"Running",IF(L9&gt;TODAY(),"Planned","Complete"))))</f>
        <v>0</v>
      </c>
      <c r="V9" s="23">
        <f>IF(L9="","",IF(M9="",TODAY()-L9+1,MIN(TODAY(),M9)-L9+1))</f>
        <v>0</v>
      </c>
      <c r="W9" s="25">
        <f>IF(OR(V9="",V9&lt;=0),"",N(O9)/V9)</f>
        <v>0</v>
      </c>
      <c r="X9" s="24">
        <f>IF(OR(P9="",P9=0),"",N(R9)/P9)</f>
        <v>0</v>
      </c>
      <c r="Y9" s="25">
        <f>IF(OR(R9="",R9=0),"",N(O9)/R9)</f>
        <v>0</v>
      </c>
      <c r="Z9" s="25">
        <f>IF(OR(P9="",P9=0),"",N(O9)/(P9/1000))</f>
        <v>0</v>
      </c>
      <c r="AA9" s="24">
        <f>IF(OR(R9="",R9=0),"",N(S9)/R9)</f>
        <v>0</v>
      </c>
      <c r="AB9" s="25">
        <f>IF(OR(S9="",S9=0),"",N(O9)/S9)</f>
        <v>0</v>
      </c>
      <c r="AC9" s="31">
        <f>IF(OR(O9="",O9=0),"",N(T9)/O9)</f>
        <v>0</v>
      </c>
      <c r="AD9" s="25">
        <f>IF(AND(T9="",O9=""),"",N(T9)-N(O9))</f>
        <v>0</v>
      </c>
      <c r="AE9" s="24">
        <f>IF(OR(N9="",N9=0),"",N(O9)/N9)</f>
        <v>0</v>
      </c>
      <c r="AF9" s="29">
        <f>IF(B9="","",IF(N(O9)&gt;N(N9),"Over budget - pause or top up",IF(AND(AC9&lt;&gt;"",AC9&lt;1),"Action - losing money, change it",IF(AND(X9&lt;&gt;"",X9&lt;0.005),"Check - the creative is not landing",IF(AND(U9="Complete",T9=""),"Add - record the revenue","OK")))))</f>
        <v>0</v>
      </c>
      <c r="AG9" s="39" t="s">
        <v>205</v>
      </c>
    </row>
    <row r="10" spans="1:33">
      <c r="A10" s="41">
        <f>IF(B10="","","AD-"&amp;TEXT(ROW()-4,"000"))</f>
        <v>0</v>
      </c>
      <c r="B10" s="15" t="s">
        <v>1983</v>
      </c>
      <c r="C10" s="15" t="s">
        <v>380</v>
      </c>
      <c r="D10" s="15" t="s">
        <v>427</v>
      </c>
      <c r="E10" s="15" t="s">
        <v>1049</v>
      </c>
      <c r="F10" s="39" t="s">
        <v>1975</v>
      </c>
      <c r="G10" s="39" t="s">
        <v>1976</v>
      </c>
      <c r="H10" s="15" t="s">
        <v>934</v>
      </c>
      <c r="I10" s="39" t="s">
        <v>1581</v>
      </c>
      <c r="J10" s="39" t="s">
        <v>1977</v>
      </c>
      <c r="K10" s="42" t="s">
        <v>289</v>
      </c>
      <c r="L10" s="43">
        <v>46300</v>
      </c>
      <c r="M10" s="43">
        <v>46308</v>
      </c>
      <c r="N10" s="36">
        <v>45</v>
      </c>
      <c r="O10" s="36">
        <v>41.1</v>
      </c>
      <c r="P10" s="34">
        <v>19062</v>
      </c>
      <c r="Q10" s="34">
        <v>11718</v>
      </c>
      <c r="R10" s="34">
        <v>161</v>
      </c>
      <c r="S10" s="34">
        <v>10</v>
      </c>
      <c r="T10" s="36">
        <v>534.43</v>
      </c>
      <c r="U10" s="29">
        <f>IF(B10="","",IF(L10="","Planned",IF(AND(L10&lt;=TODAY(),OR(M10="",M10&gt;=TODAY())),"Running",IF(L10&gt;TODAY(),"Planned","Complete"))))</f>
        <v>0</v>
      </c>
      <c r="V10" s="23">
        <f>IF(L10="","",IF(M10="",TODAY()-L10+1,MIN(TODAY(),M10)-L10+1))</f>
        <v>0</v>
      </c>
      <c r="W10" s="25">
        <f>IF(OR(V10="",V10&lt;=0),"",N(O10)/V10)</f>
        <v>0</v>
      </c>
      <c r="X10" s="24">
        <f>IF(OR(P10="",P10=0),"",N(R10)/P10)</f>
        <v>0</v>
      </c>
      <c r="Y10" s="25">
        <f>IF(OR(R10="",R10=0),"",N(O10)/R10)</f>
        <v>0</v>
      </c>
      <c r="Z10" s="25">
        <f>IF(OR(P10="",P10=0),"",N(O10)/(P10/1000))</f>
        <v>0</v>
      </c>
      <c r="AA10" s="24">
        <f>IF(OR(R10="",R10=0),"",N(S10)/R10)</f>
        <v>0</v>
      </c>
      <c r="AB10" s="25">
        <f>IF(OR(S10="",S10=0),"",N(O10)/S10)</f>
        <v>0</v>
      </c>
      <c r="AC10" s="31">
        <f>IF(OR(O10="",O10=0),"",N(T10)/O10)</f>
        <v>0</v>
      </c>
      <c r="AD10" s="25">
        <f>IF(AND(T10="",O10=""),"",N(T10)-N(O10))</f>
        <v>0</v>
      </c>
      <c r="AE10" s="24">
        <f>IF(OR(N10="",N10=0),"",N(O10)/N10)</f>
        <v>0</v>
      </c>
      <c r="AF10" s="29">
        <f>IF(B10="","",IF(N(O10)&gt;N(N10),"Over budget - pause or top up",IF(AND(AC10&lt;&gt;"",AC10&lt;1),"Action - losing money, change it",IF(AND(X10&lt;&gt;"",X10&lt;0.005),"Check - the creative is not landing",IF(AND(U10="Complete",T10=""),"Add - record the revenue","OK")))))</f>
        <v>0</v>
      </c>
      <c r="AG10" s="39" t="s">
        <v>205</v>
      </c>
    </row>
    <row r="11" spans="1:33">
      <c r="A11" s="41">
        <f>IF(B11="","","AD-"&amp;TEXT(ROW()-4,"000"))</f>
        <v>0</v>
      </c>
      <c r="U11" s="29">
        <f>IF(B11="","",IF(L11="","Planned",IF(AND(L11&lt;=TODAY(),OR(M11="",M11&gt;=TODAY())),"Running",IF(L11&gt;TODAY(),"Planned","Complete"))))</f>
        <v>0</v>
      </c>
      <c r="V11" s="23">
        <f>IF(L11="","",IF(M11="",TODAY()-L11+1,MIN(TODAY(),M11)-L11+1))</f>
        <v>0</v>
      </c>
      <c r="W11" s="25">
        <f>IF(OR(V11="",V11&lt;=0),"",N(O11)/V11)</f>
        <v>0</v>
      </c>
      <c r="X11" s="24">
        <f>IF(OR(P11="",P11=0),"",N(R11)/P11)</f>
        <v>0</v>
      </c>
      <c r="Y11" s="25">
        <f>IF(OR(R11="",R11=0),"",N(O11)/R11)</f>
        <v>0</v>
      </c>
      <c r="Z11" s="25">
        <f>IF(OR(P11="",P11=0),"",N(O11)/(P11/1000))</f>
        <v>0</v>
      </c>
      <c r="AA11" s="24">
        <f>IF(OR(R11="",R11=0),"",N(S11)/R11)</f>
        <v>0</v>
      </c>
      <c r="AB11" s="25">
        <f>IF(OR(S11="",S11=0),"",N(O11)/S11)</f>
        <v>0</v>
      </c>
      <c r="AC11" s="31">
        <f>IF(OR(O11="",O11=0),"",N(T11)/O11)</f>
        <v>0</v>
      </c>
      <c r="AD11" s="25">
        <f>IF(AND(T11="",O11=""),"",N(T11)-N(O11))</f>
        <v>0</v>
      </c>
      <c r="AE11" s="24">
        <f>IF(OR(N11="",N11=0),"",N(O11)/N11)</f>
        <v>0</v>
      </c>
      <c r="AF11" s="29">
        <f>IF(B11="","",IF(N(O11)&gt;N(N11),"Over budget - pause or top up",IF(AND(AC11&lt;&gt;"",AC11&lt;1),"Action - losing money, change it",IF(AND(X11&lt;&gt;"",X11&lt;0.005),"Check - the creative is not landing",IF(AND(U11="Complete",T11=""),"Add - record the revenue","OK")))))</f>
        <v>0</v>
      </c>
    </row>
    <row r="12" spans="1:33">
      <c r="A12" s="41">
        <f>IF(B12="","","AD-"&amp;TEXT(ROW()-4,"000"))</f>
        <v>0</v>
      </c>
      <c r="U12" s="29">
        <f>IF(B12="","",IF(L12="","Planned",IF(AND(L12&lt;=TODAY(),OR(M12="",M12&gt;=TODAY())),"Running",IF(L12&gt;TODAY(),"Planned","Complete"))))</f>
        <v>0</v>
      </c>
      <c r="V12" s="23">
        <f>IF(L12="","",IF(M12="",TODAY()-L12+1,MIN(TODAY(),M12)-L12+1))</f>
        <v>0</v>
      </c>
      <c r="W12" s="25">
        <f>IF(OR(V12="",V12&lt;=0),"",N(O12)/V12)</f>
        <v>0</v>
      </c>
      <c r="X12" s="24">
        <f>IF(OR(P12="",P12=0),"",N(R12)/P12)</f>
        <v>0</v>
      </c>
      <c r="Y12" s="25">
        <f>IF(OR(R12="",R12=0),"",N(O12)/R12)</f>
        <v>0</v>
      </c>
      <c r="Z12" s="25">
        <f>IF(OR(P12="",P12=0),"",N(O12)/(P12/1000))</f>
        <v>0</v>
      </c>
      <c r="AA12" s="24">
        <f>IF(OR(R12="",R12=0),"",N(S12)/R12)</f>
        <v>0</v>
      </c>
      <c r="AB12" s="25">
        <f>IF(OR(S12="",S12=0),"",N(O12)/S12)</f>
        <v>0</v>
      </c>
      <c r="AC12" s="31">
        <f>IF(OR(O12="",O12=0),"",N(T12)/O12)</f>
        <v>0</v>
      </c>
      <c r="AD12" s="25">
        <f>IF(AND(T12="",O12=""),"",N(T12)-N(O12))</f>
        <v>0</v>
      </c>
      <c r="AE12" s="24">
        <f>IF(OR(N12="",N12=0),"",N(O12)/N12)</f>
        <v>0</v>
      </c>
      <c r="AF12" s="29">
        <f>IF(B12="","",IF(N(O12)&gt;N(N12),"Over budget - pause or top up",IF(AND(AC12&lt;&gt;"",AC12&lt;1),"Action - losing money, change it",IF(AND(X12&lt;&gt;"",X12&lt;0.005),"Check - the creative is not landing",IF(AND(U12="Complete",T12=""),"Add - record the revenue","OK")))))</f>
        <v>0</v>
      </c>
    </row>
    <row r="13" spans="1:33">
      <c r="A13" s="41">
        <f>IF(B13="","","AD-"&amp;TEXT(ROW()-4,"000"))</f>
        <v>0</v>
      </c>
      <c r="U13" s="29">
        <f>IF(B13="","",IF(L13="","Planned",IF(AND(L13&lt;=TODAY(),OR(M13="",M13&gt;=TODAY())),"Running",IF(L13&gt;TODAY(),"Planned","Complete"))))</f>
        <v>0</v>
      </c>
      <c r="V13" s="23">
        <f>IF(L13="","",IF(M13="",TODAY()-L13+1,MIN(TODAY(),M13)-L13+1))</f>
        <v>0</v>
      </c>
      <c r="W13" s="25">
        <f>IF(OR(V13="",V13&lt;=0),"",N(O13)/V13)</f>
        <v>0</v>
      </c>
      <c r="X13" s="24">
        <f>IF(OR(P13="",P13=0),"",N(R13)/P13)</f>
        <v>0</v>
      </c>
      <c r="Y13" s="25">
        <f>IF(OR(R13="",R13=0),"",N(O13)/R13)</f>
        <v>0</v>
      </c>
      <c r="Z13" s="25">
        <f>IF(OR(P13="",P13=0),"",N(O13)/(P13/1000))</f>
        <v>0</v>
      </c>
      <c r="AA13" s="24">
        <f>IF(OR(R13="",R13=0),"",N(S13)/R13)</f>
        <v>0</v>
      </c>
      <c r="AB13" s="25">
        <f>IF(OR(S13="",S13=0),"",N(O13)/S13)</f>
        <v>0</v>
      </c>
      <c r="AC13" s="31">
        <f>IF(OR(O13="",O13=0),"",N(T13)/O13)</f>
        <v>0</v>
      </c>
      <c r="AD13" s="25">
        <f>IF(AND(T13="",O13=""),"",N(T13)-N(O13))</f>
        <v>0</v>
      </c>
      <c r="AE13" s="24">
        <f>IF(OR(N13="",N13=0),"",N(O13)/N13)</f>
        <v>0</v>
      </c>
      <c r="AF13" s="29">
        <f>IF(B13="","",IF(N(O13)&gt;N(N13),"Over budget - pause or top up",IF(AND(AC13&lt;&gt;"",AC13&lt;1),"Action - losing money, change it",IF(AND(X13&lt;&gt;"",X13&lt;0.005),"Check - the creative is not landing",IF(AND(U13="Complete",T13=""),"Add - record the revenue","OK")))))</f>
        <v>0</v>
      </c>
    </row>
    <row r="14" spans="1:33">
      <c r="A14" s="41">
        <f>IF(B14="","","AD-"&amp;TEXT(ROW()-4,"000"))</f>
        <v>0</v>
      </c>
      <c r="U14" s="29">
        <f>IF(B14="","",IF(L14="","Planned",IF(AND(L14&lt;=TODAY(),OR(M14="",M14&gt;=TODAY())),"Running",IF(L14&gt;TODAY(),"Planned","Complete"))))</f>
        <v>0</v>
      </c>
      <c r="V14" s="23">
        <f>IF(L14="","",IF(M14="",TODAY()-L14+1,MIN(TODAY(),M14)-L14+1))</f>
        <v>0</v>
      </c>
      <c r="W14" s="25">
        <f>IF(OR(V14="",V14&lt;=0),"",N(O14)/V14)</f>
        <v>0</v>
      </c>
      <c r="X14" s="24">
        <f>IF(OR(P14="",P14=0),"",N(R14)/P14)</f>
        <v>0</v>
      </c>
      <c r="Y14" s="25">
        <f>IF(OR(R14="",R14=0),"",N(O14)/R14)</f>
        <v>0</v>
      </c>
      <c r="Z14" s="25">
        <f>IF(OR(P14="",P14=0),"",N(O14)/(P14/1000))</f>
        <v>0</v>
      </c>
      <c r="AA14" s="24">
        <f>IF(OR(R14="",R14=0),"",N(S14)/R14)</f>
        <v>0</v>
      </c>
      <c r="AB14" s="25">
        <f>IF(OR(S14="",S14=0),"",N(O14)/S14)</f>
        <v>0</v>
      </c>
      <c r="AC14" s="31">
        <f>IF(OR(O14="",O14=0),"",N(T14)/O14)</f>
        <v>0</v>
      </c>
      <c r="AD14" s="25">
        <f>IF(AND(T14="",O14=""),"",N(T14)-N(O14))</f>
        <v>0</v>
      </c>
      <c r="AE14" s="24">
        <f>IF(OR(N14="",N14=0),"",N(O14)/N14)</f>
        <v>0</v>
      </c>
      <c r="AF14" s="29">
        <f>IF(B14="","",IF(N(O14)&gt;N(N14),"Over budget - pause or top up",IF(AND(AC14&lt;&gt;"",AC14&lt;1),"Action - losing money, change it",IF(AND(X14&lt;&gt;"",X14&lt;0.005),"Check - the creative is not landing",IF(AND(U14="Complete",T14=""),"Add - record the revenue","OK")))))</f>
        <v>0</v>
      </c>
    </row>
    <row r="15" spans="1:33">
      <c r="A15" s="41">
        <f>IF(B15="","","AD-"&amp;TEXT(ROW()-4,"000"))</f>
        <v>0</v>
      </c>
      <c r="U15" s="29">
        <f>IF(B15="","",IF(L15="","Planned",IF(AND(L15&lt;=TODAY(),OR(M15="",M15&gt;=TODAY())),"Running",IF(L15&gt;TODAY(),"Planned","Complete"))))</f>
        <v>0</v>
      </c>
      <c r="V15" s="23">
        <f>IF(L15="","",IF(M15="",TODAY()-L15+1,MIN(TODAY(),M15)-L15+1))</f>
        <v>0</v>
      </c>
      <c r="W15" s="25">
        <f>IF(OR(V15="",V15&lt;=0),"",N(O15)/V15)</f>
        <v>0</v>
      </c>
      <c r="X15" s="24">
        <f>IF(OR(P15="",P15=0),"",N(R15)/P15)</f>
        <v>0</v>
      </c>
      <c r="Y15" s="25">
        <f>IF(OR(R15="",R15=0),"",N(O15)/R15)</f>
        <v>0</v>
      </c>
      <c r="Z15" s="25">
        <f>IF(OR(P15="",P15=0),"",N(O15)/(P15/1000))</f>
        <v>0</v>
      </c>
      <c r="AA15" s="24">
        <f>IF(OR(R15="",R15=0),"",N(S15)/R15)</f>
        <v>0</v>
      </c>
      <c r="AB15" s="25">
        <f>IF(OR(S15="",S15=0),"",N(O15)/S15)</f>
        <v>0</v>
      </c>
      <c r="AC15" s="31">
        <f>IF(OR(O15="",O15=0),"",N(T15)/O15)</f>
        <v>0</v>
      </c>
      <c r="AD15" s="25">
        <f>IF(AND(T15="",O15=""),"",N(T15)-N(O15))</f>
        <v>0</v>
      </c>
      <c r="AE15" s="24">
        <f>IF(OR(N15="",N15=0),"",N(O15)/N15)</f>
        <v>0</v>
      </c>
      <c r="AF15" s="29">
        <f>IF(B15="","",IF(N(O15)&gt;N(N15),"Over budget - pause or top up",IF(AND(AC15&lt;&gt;"",AC15&lt;1),"Action - losing money, change it",IF(AND(X15&lt;&gt;"",X15&lt;0.005),"Check - the creative is not landing",IF(AND(U15="Complete",T15=""),"Add - record the revenue","OK")))))</f>
        <v>0</v>
      </c>
    </row>
    <row r="16" spans="1:33">
      <c r="A16" s="41">
        <f>IF(B16="","","AD-"&amp;TEXT(ROW()-4,"000"))</f>
        <v>0</v>
      </c>
      <c r="U16" s="29">
        <f>IF(B16="","",IF(L16="","Planned",IF(AND(L16&lt;=TODAY(),OR(M16="",M16&gt;=TODAY())),"Running",IF(L16&gt;TODAY(),"Planned","Complete"))))</f>
        <v>0</v>
      </c>
      <c r="V16" s="23">
        <f>IF(L16="","",IF(M16="",TODAY()-L16+1,MIN(TODAY(),M16)-L16+1))</f>
        <v>0</v>
      </c>
      <c r="W16" s="25">
        <f>IF(OR(V16="",V16&lt;=0),"",N(O16)/V16)</f>
        <v>0</v>
      </c>
      <c r="X16" s="24">
        <f>IF(OR(P16="",P16=0),"",N(R16)/P16)</f>
        <v>0</v>
      </c>
      <c r="Y16" s="25">
        <f>IF(OR(R16="",R16=0),"",N(O16)/R16)</f>
        <v>0</v>
      </c>
      <c r="Z16" s="25">
        <f>IF(OR(P16="",P16=0),"",N(O16)/(P16/1000))</f>
        <v>0</v>
      </c>
      <c r="AA16" s="24">
        <f>IF(OR(R16="",R16=0),"",N(S16)/R16)</f>
        <v>0</v>
      </c>
      <c r="AB16" s="25">
        <f>IF(OR(S16="",S16=0),"",N(O16)/S16)</f>
        <v>0</v>
      </c>
      <c r="AC16" s="31">
        <f>IF(OR(O16="",O16=0),"",N(T16)/O16)</f>
        <v>0</v>
      </c>
      <c r="AD16" s="25">
        <f>IF(AND(T16="",O16=""),"",N(T16)-N(O16))</f>
        <v>0</v>
      </c>
      <c r="AE16" s="24">
        <f>IF(OR(N16="",N16=0),"",N(O16)/N16)</f>
        <v>0</v>
      </c>
      <c r="AF16" s="29">
        <f>IF(B16="","",IF(N(O16)&gt;N(N16),"Over budget - pause or top up",IF(AND(AC16&lt;&gt;"",AC16&lt;1),"Action - losing money, change it",IF(AND(X16&lt;&gt;"",X16&lt;0.005),"Check - the creative is not landing",IF(AND(U16="Complete",T16=""),"Add - record the revenue","OK")))))</f>
        <v>0</v>
      </c>
    </row>
    <row r="17" spans="1:32">
      <c r="A17" s="41">
        <f>IF(B17="","","AD-"&amp;TEXT(ROW()-4,"000"))</f>
        <v>0</v>
      </c>
      <c r="U17" s="29">
        <f>IF(B17="","",IF(L17="","Planned",IF(AND(L17&lt;=TODAY(),OR(M17="",M17&gt;=TODAY())),"Running",IF(L17&gt;TODAY(),"Planned","Complete"))))</f>
        <v>0</v>
      </c>
      <c r="V17" s="23">
        <f>IF(L17="","",IF(M17="",TODAY()-L17+1,MIN(TODAY(),M17)-L17+1))</f>
        <v>0</v>
      </c>
      <c r="W17" s="25">
        <f>IF(OR(V17="",V17&lt;=0),"",N(O17)/V17)</f>
        <v>0</v>
      </c>
      <c r="X17" s="24">
        <f>IF(OR(P17="",P17=0),"",N(R17)/P17)</f>
        <v>0</v>
      </c>
      <c r="Y17" s="25">
        <f>IF(OR(R17="",R17=0),"",N(O17)/R17)</f>
        <v>0</v>
      </c>
      <c r="Z17" s="25">
        <f>IF(OR(P17="",P17=0),"",N(O17)/(P17/1000))</f>
        <v>0</v>
      </c>
      <c r="AA17" s="24">
        <f>IF(OR(R17="",R17=0),"",N(S17)/R17)</f>
        <v>0</v>
      </c>
      <c r="AB17" s="25">
        <f>IF(OR(S17="",S17=0),"",N(O17)/S17)</f>
        <v>0</v>
      </c>
      <c r="AC17" s="31">
        <f>IF(OR(O17="",O17=0),"",N(T17)/O17)</f>
        <v>0</v>
      </c>
      <c r="AD17" s="25">
        <f>IF(AND(T17="",O17=""),"",N(T17)-N(O17))</f>
        <v>0</v>
      </c>
      <c r="AE17" s="24">
        <f>IF(OR(N17="",N17=0),"",N(O17)/N17)</f>
        <v>0</v>
      </c>
      <c r="AF17" s="29">
        <f>IF(B17="","",IF(N(O17)&gt;N(N17),"Over budget - pause or top up",IF(AND(AC17&lt;&gt;"",AC17&lt;1),"Action - losing money, change it",IF(AND(X17&lt;&gt;"",X17&lt;0.005),"Check - the creative is not landing",IF(AND(U17="Complete",T17=""),"Add - record the revenue","OK")))))</f>
        <v>0</v>
      </c>
    </row>
    <row r="18" spans="1:32">
      <c r="A18" s="41">
        <f>IF(B18="","","AD-"&amp;TEXT(ROW()-4,"000"))</f>
        <v>0</v>
      </c>
      <c r="U18" s="29">
        <f>IF(B18="","",IF(L18="","Planned",IF(AND(L18&lt;=TODAY(),OR(M18="",M18&gt;=TODAY())),"Running",IF(L18&gt;TODAY(),"Planned","Complete"))))</f>
        <v>0</v>
      </c>
      <c r="V18" s="23">
        <f>IF(L18="","",IF(M18="",TODAY()-L18+1,MIN(TODAY(),M18)-L18+1))</f>
        <v>0</v>
      </c>
      <c r="W18" s="25">
        <f>IF(OR(V18="",V18&lt;=0),"",N(O18)/V18)</f>
        <v>0</v>
      </c>
      <c r="X18" s="24">
        <f>IF(OR(P18="",P18=0),"",N(R18)/P18)</f>
        <v>0</v>
      </c>
      <c r="Y18" s="25">
        <f>IF(OR(R18="",R18=0),"",N(O18)/R18)</f>
        <v>0</v>
      </c>
      <c r="Z18" s="25">
        <f>IF(OR(P18="",P18=0),"",N(O18)/(P18/1000))</f>
        <v>0</v>
      </c>
      <c r="AA18" s="24">
        <f>IF(OR(R18="",R18=0),"",N(S18)/R18)</f>
        <v>0</v>
      </c>
      <c r="AB18" s="25">
        <f>IF(OR(S18="",S18=0),"",N(O18)/S18)</f>
        <v>0</v>
      </c>
      <c r="AC18" s="31">
        <f>IF(OR(O18="",O18=0),"",N(T18)/O18)</f>
        <v>0</v>
      </c>
      <c r="AD18" s="25">
        <f>IF(AND(T18="",O18=""),"",N(T18)-N(O18))</f>
        <v>0</v>
      </c>
      <c r="AE18" s="24">
        <f>IF(OR(N18="",N18=0),"",N(O18)/N18)</f>
        <v>0</v>
      </c>
      <c r="AF18" s="29">
        <f>IF(B18="","",IF(N(O18)&gt;N(N18),"Over budget - pause or top up",IF(AND(AC18&lt;&gt;"",AC18&lt;1),"Action - losing money, change it",IF(AND(X18&lt;&gt;"",X18&lt;0.005),"Check - the creative is not landing",IF(AND(U18="Complete",T18=""),"Add - record the revenue","OK")))))</f>
        <v>0</v>
      </c>
    </row>
    <row r="19" spans="1:32">
      <c r="A19" s="41">
        <f>IF(B19="","","AD-"&amp;TEXT(ROW()-4,"000"))</f>
        <v>0</v>
      </c>
      <c r="U19" s="29">
        <f>IF(B19="","",IF(L19="","Planned",IF(AND(L19&lt;=TODAY(),OR(M19="",M19&gt;=TODAY())),"Running",IF(L19&gt;TODAY(),"Planned","Complete"))))</f>
        <v>0</v>
      </c>
      <c r="V19" s="23">
        <f>IF(L19="","",IF(M19="",TODAY()-L19+1,MIN(TODAY(),M19)-L19+1))</f>
        <v>0</v>
      </c>
      <c r="W19" s="25">
        <f>IF(OR(V19="",V19&lt;=0),"",N(O19)/V19)</f>
        <v>0</v>
      </c>
      <c r="X19" s="24">
        <f>IF(OR(P19="",P19=0),"",N(R19)/P19)</f>
        <v>0</v>
      </c>
      <c r="Y19" s="25">
        <f>IF(OR(R19="",R19=0),"",N(O19)/R19)</f>
        <v>0</v>
      </c>
      <c r="Z19" s="25">
        <f>IF(OR(P19="",P19=0),"",N(O19)/(P19/1000))</f>
        <v>0</v>
      </c>
      <c r="AA19" s="24">
        <f>IF(OR(R19="",R19=0),"",N(S19)/R19)</f>
        <v>0</v>
      </c>
      <c r="AB19" s="25">
        <f>IF(OR(S19="",S19=0),"",N(O19)/S19)</f>
        <v>0</v>
      </c>
      <c r="AC19" s="31">
        <f>IF(OR(O19="",O19=0),"",N(T19)/O19)</f>
        <v>0</v>
      </c>
      <c r="AD19" s="25">
        <f>IF(AND(T19="",O19=""),"",N(T19)-N(O19))</f>
        <v>0</v>
      </c>
      <c r="AE19" s="24">
        <f>IF(OR(N19="",N19=0),"",N(O19)/N19)</f>
        <v>0</v>
      </c>
      <c r="AF19" s="29">
        <f>IF(B19="","",IF(N(O19)&gt;N(N19),"Over budget - pause or top up",IF(AND(AC19&lt;&gt;"",AC19&lt;1),"Action - losing money, change it",IF(AND(X19&lt;&gt;"",X19&lt;0.005),"Check - the creative is not landing",IF(AND(U19="Complete",T19=""),"Add - record the revenue","OK")))))</f>
        <v>0</v>
      </c>
    </row>
    <row r="20" spans="1:32">
      <c r="A20" s="41">
        <f>IF(B20="","","AD-"&amp;TEXT(ROW()-4,"000"))</f>
        <v>0</v>
      </c>
      <c r="U20" s="29">
        <f>IF(B20="","",IF(L20="","Planned",IF(AND(L20&lt;=TODAY(),OR(M20="",M20&gt;=TODAY())),"Running",IF(L20&gt;TODAY(),"Planned","Complete"))))</f>
        <v>0</v>
      </c>
      <c r="V20" s="23">
        <f>IF(L20="","",IF(M20="",TODAY()-L20+1,MIN(TODAY(),M20)-L20+1))</f>
        <v>0</v>
      </c>
      <c r="W20" s="25">
        <f>IF(OR(V20="",V20&lt;=0),"",N(O20)/V20)</f>
        <v>0</v>
      </c>
      <c r="X20" s="24">
        <f>IF(OR(P20="",P20=0),"",N(R20)/P20)</f>
        <v>0</v>
      </c>
      <c r="Y20" s="25">
        <f>IF(OR(R20="",R20=0),"",N(O20)/R20)</f>
        <v>0</v>
      </c>
      <c r="Z20" s="25">
        <f>IF(OR(P20="",P20=0),"",N(O20)/(P20/1000))</f>
        <v>0</v>
      </c>
      <c r="AA20" s="24">
        <f>IF(OR(R20="",R20=0),"",N(S20)/R20)</f>
        <v>0</v>
      </c>
      <c r="AB20" s="25">
        <f>IF(OR(S20="",S20=0),"",N(O20)/S20)</f>
        <v>0</v>
      </c>
      <c r="AC20" s="31">
        <f>IF(OR(O20="",O20=0),"",N(T20)/O20)</f>
        <v>0</v>
      </c>
      <c r="AD20" s="25">
        <f>IF(AND(T20="",O20=""),"",N(T20)-N(O20))</f>
        <v>0</v>
      </c>
      <c r="AE20" s="24">
        <f>IF(OR(N20="",N20=0),"",N(O20)/N20)</f>
        <v>0</v>
      </c>
      <c r="AF20" s="29">
        <f>IF(B20="","",IF(N(O20)&gt;N(N20),"Over budget - pause or top up",IF(AND(AC20&lt;&gt;"",AC20&lt;1),"Action - losing money, change it",IF(AND(X20&lt;&gt;"",X20&lt;0.005),"Check - the creative is not landing",IF(AND(U20="Complete",T20=""),"Add - record the revenue","OK")))))</f>
        <v>0</v>
      </c>
    </row>
    <row r="21" spans="1:32">
      <c r="A21" s="41">
        <f>IF(B21="","","AD-"&amp;TEXT(ROW()-4,"000"))</f>
        <v>0</v>
      </c>
      <c r="U21" s="29">
        <f>IF(B21="","",IF(L21="","Planned",IF(AND(L21&lt;=TODAY(),OR(M21="",M21&gt;=TODAY())),"Running",IF(L21&gt;TODAY(),"Planned","Complete"))))</f>
        <v>0</v>
      </c>
      <c r="V21" s="23">
        <f>IF(L21="","",IF(M21="",TODAY()-L21+1,MIN(TODAY(),M21)-L21+1))</f>
        <v>0</v>
      </c>
      <c r="W21" s="25">
        <f>IF(OR(V21="",V21&lt;=0),"",N(O21)/V21)</f>
        <v>0</v>
      </c>
      <c r="X21" s="24">
        <f>IF(OR(P21="",P21=0),"",N(R21)/P21)</f>
        <v>0</v>
      </c>
      <c r="Y21" s="25">
        <f>IF(OR(R21="",R21=0),"",N(O21)/R21)</f>
        <v>0</v>
      </c>
      <c r="Z21" s="25">
        <f>IF(OR(P21="",P21=0),"",N(O21)/(P21/1000))</f>
        <v>0</v>
      </c>
      <c r="AA21" s="24">
        <f>IF(OR(R21="",R21=0),"",N(S21)/R21)</f>
        <v>0</v>
      </c>
      <c r="AB21" s="25">
        <f>IF(OR(S21="",S21=0),"",N(O21)/S21)</f>
        <v>0</v>
      </c>
      <c r="AC21" s="31">
        <f>IF(OR(O21="",O21=0),"",N(T21)/O21)</f>
        <v>0</v>
      </c>
      <c r="AD21" s="25">
        <f>IF(AND(T21="",O21=""),"",N(T21)-N(O21))</f>
        <v>0</v>
      </c>
      <c r="AE21" s="24">
        <f>IF(OR(N21="",N21=0),"",N(O21)/N21)</f>
        <v>0</v>
      </c>
      <c r="AF21" s="29">
        <f>IF(B21="","",IF(N(O21)&gt;N(N21),"Over budget - pause or top up",IF(AND(AC21&lt;&gt;"",AC21&lt;1),"Action - losing money, change it",IF(AND(X21&lt;&gt;"",X21&lt;0.005),"Check - the creative is not landing",IF(AND(U21="Complete",T21=""),"Add - record the revenue","OK")))))</f>
        <v>0</v>
      </c>
    </row>
    <row r="22" spans="1:32">
      <c r="A22" s="41">
        <f>IF(B22="","","AD-"&amp;TEXT(ROW()-4,"000"))</f>
        <v>0</v>
      </c>
      <c r="U22" s="29">
        <f>IF(B22="","",IF(L22="","Planned",IF(AND(L22&lt;=TODAY(),OR(M22="",M22&gt;=TODAY())),"Running",IF(L22&gt;TODAY(),"Planned","Complete"))))</f>
        <v>0</v>
      </c>
      <c r="V22" s="23">
        <f>IF(L22="","",IF(M22="",TODAY()-L22+1,MIN(TODAY(),M22)-L22+1))</f>
        <v>0</v>
      </c>
      <c r="W22" s="25">
        <f>IF(OR(V22="",V22&lt;=0),"",N(O22)/V22)</f>
        <v>0</v>
      </c>
      <c r="X22" s="24">
        <f>IF(OR(P22="",P22=0),"",N(R22)/P22)</f>
        <v>0</v>
      </c>
      <c r="Y22" s="25">
        <f>IF(OR(R22="",R22=0),"",N(O22)/R22)</f>
        <v>0</v>
      </c>
      <c r="Z22" s="25">
        <f>IF(OR(P22="",P22=0),"",N(O22)/(P22/1000))</f>
        <v>0</v>
      </c>
      <c r="AA22" s="24">
        <f>IF(OR(R22="",R22=0),"",N(S22)/R22)</f>
        <v>0</v>
      </c>
      <c r="AB22" s="25">
        <f>IF(OR(S22="",S22=0),"",N(O22)/S22)</f>
        <v>0</v>
      </c>
      <c r="AC22" s="31">
        <f>IF(OR(O22="",O22=0),"",N(T22)/O22)</f>
        <v>0</v>
      </c>
      <c r="AD22" s="25">
        <f>IF(AND(T22="",O22=""),"",N(T22)-N(O22))</f>
        <v>0</v>
      </c>
      <c r="AE22" s="24">
        <f>IF(OR(N22="",N22=0),"",N(O22)/N22)</f>
        <v>0</v>
      </c>
      <c r="AF22" s="29">
        <f>IF(B22="","",IF(N(O22)&gt;N(N22),"Over budget - pause or top up",IF(AND(AC22&lt;&gt;"",AC22&lt;1),"Action - losing money, change it",IF(AND(X22&lt;&gt;"",X22&lt;0.005),"Check - the creative is not landing",IF(AND(U22="Complete",T22=""),"Add - record the revenue","OK")))))</f>
        <v>0</v>
      </c>
    </row>
    <row r="23" spans="1:32">
      <c r="A23" s="41">
        <f>IF(B23="","","AD-"&amp;TEXT(ROW()-4,"000"))</f>
        <v>0</v>
      </c>
      <c r="U23" s="29">
        <f>IF(B23="","",IF(L23="","Planned",IF(AND(L23&lt;=TODAY(),OR(M23="",M23&gt;=TODAY())),"Running",IF(L23&gt;TODAY(),"Planned","Complete"))))</f>
        <v>0</v>
      </c>
      <c r="V23" s="23">
        <f>IF(L23="","",IF(M23="",TODAY()-L23+1,MIN(TODAY(),M23)-L23+1))</f>
        <v>0</v>
      </c>
      <c r="W23" s="25">
        <f>IF(OR(V23="",V23&lt;=0),"",N(O23)/V23)</f>
        <v>0</v>
      </c>
      <c r="X23" s="24">
        <f>IF(OR(P23="",P23=0),"",N(R23)/P23)</f>
        <v>0</v>
      </c>
      <c r="Y23" s="25">
        <f>IF(OR(R23="",R23=0),"",N(O23)/R23)</f>
        <v>0</v>
      </c>
      <c r="Z23" s="25">
        <f>IF(OR(P23="",P23=0),"",N(O23)/(P23/1000))</f>
        <v>0</v>
      </c>
      <c r="AA23" s="24">
        <f>IF(OR(R23="",R23=0),"",N(S23)/R23)</f>
        <v>0</v>
      </c>
      <c r="AB23" s="25">
        <f>IF(OR(S23="",S23=0),"",N(O23)/S23)</f>
        <v>0</v>
      </c>
      <c r="AC23" s="31">
        <f>IF(OR(O23="",O23=0),"",N(T23)/O23)</f>
        <v>0</v>
      </c>
      <c r="AD23" s="25">
        <f>IF(AND(T23="",O23=""),"",N(T23)-N(O23))</f>
        <v>0</v>
      </c>
      <c r="AE23" s="24">
        <f>IF(OR(N23="",N23=0),"",N(O23)/N23)</f>
        <v>0</v>
      </c>
      <c r="AF23" s="29">
        <f>IF(B23="","",IF(N(O23)&gt;N(N23),"Over budget - pause or top up",IF(AND(AC23&lt;&gt;"",AC23&lt;1),"Action - losing money, change it",IF(AND(X23&lt;&gt;"",X23&lt;0.005),"Check - the creative is not landing",IF(AND(U23="Complete",T23=""),"Add - record the revenue","OK")))))</f>
        <v>0</v>
      </c>
    </row>
    <row r="24" spans="1:32">
      <c r="A24" s="41">
        <f>IF(B24="","","AD-"&amp;TEXT(ROW()-4,"000"))</f>
        <v>0</v>
      </c>
      <c r="U24" s="29">
        <f>IF(B24="","",IF(L24="","Planned",IF(AND(L24&lt;=TODAY(),OR(M24="",M24&gt;=TODAY())),"Running",IF(L24&gt;TODAY(),"Planned","Complete"))))</f>
        <v>0</v>
      </c>
      <c r="V24" s="23">
        <f>IF(L24="","",IF(M24="",TODAY()-L24+1,MIN(TODAY(),M24)-L24+1))</f>
        <v>0</v>
      </c>
      <c r="W24" s="25">
        <f>IF(OR(V24="",V24&lt;=0),"",N(O24)/V24)</f>
        <v>0</v>
      </c>
      <c r="X24" s="24">
        <f>IF(OR(P24="",P24=0),"",N(R24)/P24)</f>
        <v>0</v>
      </c>
      <c r="Y24" s="25">
        <f>IF(OR(R24="",R24=0),"",N(O24)/R24)</f>
        <v>0</v>
      </c>
      <c r="Z24" s="25">
        <f>IF(OR(P24="",P24=0),"",N(O24)/(P24/1000))</f>
        <v>0</v>
      </c>
      <c r="AA24" s="24">
        <f>IF(OR(R24="",R24=0),"",N(S24)/R24)</f>
        <v>0</v>
      </c>
      <c r="AB24" s="25">
        <f>IF(OR(S24="",S24=0),"",N(O24)/S24)</f>
        <v>0</v>
      </c>
      <c r="AC24" s="31">
        <f>IF(OR(O24="",O24=0),"",N(T24)/O24)</f>
        <v>0</v>
      </c>
      <c r="AD24" s="25">
        <f>IF(AND(T24="",O24=""),"",N(T24)-N(O24))</f>
        <v>0</v>
      </c>
      <c r="AE24" s="24">
        <f>IF(OR(N24="",N24=0),"",N(O24)/N24)</f>
        <v>0</v>
      </c>
      <c r="AF24" s="29">
        <f>IF(B24="","",IF(N(O24)&gt;N(N24),"Over budget - pause or top up",IF(AND(AC24&lt;&gt;"",AC24&lt;1),"Action - losing money, change it",IF(AND(X24&lt;&gt;"",X24&lt;0.005),"Check - the creative is not landing",IF(AND(U24="Complete",T24=""),"Add - record the revenue","OK")))))</f>
        <v>0</v>
      </c>
    </row>
    <row r="25" spans="1:32">
      <c r="A25" s="41">
        <f>IF(B25="","","AD-"&amp;TEXT(ROW()-4,"000"))</f>
        <v>0</v>
      </c>
      <c r="U25" s="29">
        <f>IF(B25="","",IF(L25="","Planned",IF(AND(L25&lt;=TODAY(),OR(M25="",M25&gt;=TODAY())),"Running",IF(L25&gt;TODAY(),"Planned","Complete"))))</f>
        <v>0</v>
      </c>
      <c r="V25" s="23">
        <f>IF(L25="","",IF(M25="",TODAY()-L25+1,MIN(TODAY(),M25)-L25+1))</f>
        <v>0</v>
      </c>
      <c r="W25" s="25">
        <f>IF(OR(V25="",V25&lt;=0),"",N(O25)/V25)</f>
        <v>0</v>
      </c>
      <c r="X25" s="24">
        <f>IF(OR(P25="",P25=0),"",N(R25)/P25)</f>
        <v>0</v>
      </c>
      <c r="Y25" s="25">
        <f>IF(OR(R25="",R25=0),"",N(O25)/R25)</f>
        <v>0</v>
      </c>
      <c r="Z25" s="25">
        <f>IF(OR(P25="",P25=0),"",N(O25)/(P25/1000))</f>
        <v>0</v>
      </c>
      <c r="AA25" s="24">
        <f>IF(OR(R25="",R25=0),"",N(S25)/R25)</f>
        <v>0</v>
      </c>
      <c r="AB25" s="25">
        <f>IF(OR(S25="",S25=0),"",N(O25)/S25)</f>
        <v>0</v>
      </c>
      <c r="AC25" s="31">
        <f>IF(OR(O25="",O25=0),"",N(T25)/O25)</f>
        <v>0</v>
      </c>
      <c r="AD25" s="25">
        <f>IF(AND(T25="",O25=""),"",N(T25)-N(O25))</f>
        <v>0</v>
      </c>
      <c r="AE25" s="24">
        <f>IF(OR(N25="",N25=0),"",N(O25)/N25)</f>
        <v>0</v>
      </c>
      <c r="AF25" s="29">
        <f>IF(B25="","",IF(N(O25)&gt;N(N25),"Over budget - pause or top up",IF(AND(AC25&lt;&gt;"",AC25&lt;1),"Action - losing money, change it",IF(AND(X25&lt;&gt;"",X25&lt;0.005),"Check - the creative is not landing",IF(AND(U25="Complete",T25=""),"Add - record the revenue","OK")))))</f>
        <v>0</v>
      </c>
    </row>
    <row r="26" spans="1:32">
      <c r="A26" s="41">
        <f>IF(B26="","","AD-"&amp;TEXT(ROW()-4,"000"))</f>
        <v>0</v>
      </c>
      <c r="U26" s="29">
        <f>IF(B26="","",IF(L26="","Planned",IF(AND(L26&lt;=TODAY(),OR(M26="",M26&gt;=TODAY())),"Running",IF(L26&gt;TODAY(),"Planned","Complete"))))</f>
        <v>0</v>
      </c>
      <c r="V26" s="23">
        <f>IF(L26="","",IF(M26="",TODAY()-L26+1,MIN(TODAY(),M26)-L26+1))</f>
        <v>0</v>
      </c>
      <c r="W26" s="25">
        <f>IF(OR(V26="",V26&lt;=0),"",N(O26)/V26)</f>
        <v>0</v>
      </c>
      <c r="X26" s="24">
        <f>IF(OR(P26="",P26=0),"",N(R26)/P26)</f>
        <v>0</v>
      </c>
      <c r="Y26" s="25">
        <f>IF(OR(R26="",R26=0),"",N(O26)/R26)</f>
        <v>0</v>
      </c>
      <c r="Z26" s="25">
        <f>IF(OR(P26="",P26=0),"",N(O26)/(P26/1000))</f>
        <v>0</v>
      </c>
      <c r="AA26" s="24">
        <f>IF(OR(R26="",R26=0),"",N(S26)/R26)</f>
        <v>0</v>
      </c>
      <c r="AB26" s="25">
        <f>IF(OR(S26="",S26=0),"",N(O26)/S26)</f>
        <v>0</v>
      </c>
      <c r="AC26" s="31">
        <f>IF(OR(O26="",O26=0),"",N(T26)/O26)</f>
        <v>0</v>
      </c>
      <c r="AD26" s="25">
        <f>IF(AND(T26="",O26=""),"",N(T26)-N(O26))</f>
        <v>0</v>
      </c>
      <c r="AE26" s="24">
        <f>IF(OR(N26="",N26=0),"",N(O26)/N26)</f>
        <v>0</v>
      </c>
      <c r="AF26" s="29">
        <f>IF(B26="","",IF(N(O26)&gt;N(N26),"Over budget - pause or top up",IF(AND(AC26&lt;&gt;"",AC26&lt;1),"Action - losing money, change it",IF(AND(X26&lt;&gt;"",X26&lt;0.005),"Check - the creative is not landing",IF(AND(U26="Complete",T26=""),"Add - record the revenue","OK")))))</f>
        <v>0</v>
      </c>
    </row>
    <row r="27" spans="1:32">
      <c r="A27" s="41">
        <f>IF(B27="","","AD-"&amp;TEXT(ROW()-4,"000"))</f>
        <v>0</v>
      </c>
      <c r="U27" s="29">
        <f>IF(B27="","",IF(L27="","Planned",IF(AND(L27&lt;=TODAY(),OR(M27="",M27&gt;=TODAY())),"Running",IF(L27&gt;TODAY(),"Planned","Complete"))))</f>
        <v>0</v>
      </c>
      <c r="V27" s="23">
        <f>IF(L27="","",IF(M27="",TODAY()-L27+1,MIN(TODAY(),M27)-L27+1))</f>
        <v>0</v>
      </c>
      <c r="W27" s="25">
        <f>IF(OR(V27="",V27&lt;=0),"",N(O27)/V27)</f>
        <v>0</v>
      </c>
      <c r="X27" s="24">
        <f>IF(OR(P27="",P27=0),"",N(R27)/P27)</f>
        <v>0</v>
      </c>
      <c r="Y27" s="25">
        <f>IF(OR(R27="",R27=0),"",N(O27)/R27)</f>
        <v>0</v>
      </c>
      <c r="Z27" s="25">
        <f>IF(OR(P27="",P27=0),"",N(O27)/(P27/1000))</f>
        <v>0</v>
      </c>
      <c r="AA27" s="24">
        <f>IF(OR(R27="",R27=0),"",N(S27)/R27)</f>
        <v>0</v>
      </c>
      <c r="AB27" s="25">
        <f>IF(OR(S27="",S27=0),"",N(O27)/S27)</f>
        <v>0</v>
      </c>
      <c r="AC27" s="31">
        <f>IF(OR(O27="",O27=0),"",N(T27)/O27)</f>
        <v>0</v>
      </c>
      <c r="AD27" s="25">
        <f>IF(AND(T27="",O27=""),"",N(T27)-N(O27))</f>
        <v>0</v>
      </c>
      <c r="AE27" s="24">
        <f>IF(OR(N27="",N27=0),"",N(O27)/N27)</f>
        <v>0</v>
      </c>
      <c r="AF27" s="29">
        <f>IF(B27="","",IF(N(O27)&gt;N(N27),"Over budget - pause or top up",IF(AND(AC27&lt;&gt;"",AC27&lt;1),"Action - losing money, change it",IF(AND(X27&lt;&gt;"",X27&lt;0.005),"Check - the creative is not landing",IF(AND(U27="Complete",T27=""),"Add - record the revenue","OK")))))</f>
        <v>0</v>
      </c>
    </row>
    <row r="28" spans="1:32">
      <c r="A28" s="41">
        <f>IF(B28="","","AD-"&amp;TEXT(ROW()-4,"000"))</f>
        <v>0</v>
      </c>
      <c r="U28" s="29">
        <f>IF(B28="","",IF(L28="","Planned",IF(AND(L28&lt;=TODAY(),OR(M28="",M28&gt;=TODAY())),"Running",IF(L28&gt;TODAY(),"Planned","Complete"))))</f>
        <v>0</v>
      </c>
      <c r="V28" s="23">
        <f>IF(L28="","",IF(M28="",TODAY()-L28+1,MIN(TODAY(),M28)-L28+1))</f>
        <v>0</v>
      </c>
      <c r="W28" s="25">
        <f>IF(OR(V28="",V28&lt;=0),"",N(O28)/V28)</f>
        <v>0</v>
      </c>
      <c r="X28" s="24">
        <f>IF(OR(P28="",P28=0),"",N(R28)/P28)</f>
        <v>0</v>
      </c>
      <c r="Y28" s="25">
        <f>IF(OR(R28="",R28=0),"",N(O28)/R28)</f>
        <v>0</v>
      </c>
      <c r="Z28" s="25">
        <f>IF(OR(P28="",P28=0),"",N(O28)/(P28/1000))</f>
        <v>0</v>
      </c>
      <c r="AA28" s="24">
        <f>IF(OR(R28="",R28=0),"",N(S28)/R28)</f>
        <v>0</v>
      </c>
      <c r="AB28" s="25">
        <f>IF(OR(S28="",S28=0),"",N(O28)/S28)</f>
        <v>0</v>
      </c>
      <c r="AC28" s="31">
        <f>IF(OR(O28="",O28=0),"",N(T28)/O28)</f>
        <v>0</v>
      </c>
      <c r="AD28" s="25">
        <f>IF(AND(T28="",O28=""),"",N(T28)-N(O28))</f>
        <v>0</v>
      </c>
      <c r="AE28" s="24">
        <f>IF(OR(N28="",N28=0),"",N(O28)/N28)</f>
        <v>0</v>
      </c>
      <c r="AF28" s="29">
        <f>IF(B28="","",IF(N(O28)&gt;N(N28),"Over budget - pause or top up",IF(AND(AC28&lt;&gt;"",AC28&lt;1),"Action - losing money, change it",IF(AND(X28&lt;&gt;"",X28&lt;0.005),"Check - the creative is not landing",IF(AND(U28="Complete",T28=""),"Add - record the revenue","OK")))))</f>
        <v>0</v>
      </c>
    </row>
    <row r="29" spans="1:32">
      <c r="A29" s="41">
        <f>IF(B29="","","AD-"&amp;TEXT(ROW()-4,"000"))</f>
        <v>0</v>
      </c>
      <c r="U29" s="29">
        <f>IF(B29="","",IF(L29="","Planned",IF(AND(L29&lt;=TODAY(),OR(M29="",M29&gt;=TODAY())),"Running",IF(L29&gt;TODAY(),"Planned","Complete"))))</f>
        <v>0</v>
      </c>
      <c r="V29" s="23">
        <f>IF(L29="","",IF(M29="",TODAY()-L29+1,MIN(TODAY(),M29)-L29+1))</f>
        <v>0</v>
      </c>
      <c r="W29" s="25">
        <f>IF(OR(V29="",V29&lt;=0),"",N(O29)/V29)</f>
        <v>0</v>
      </c>
      <c r="X29" s="24">
        <f>IF(OR(P29="",P29=0),"",N(R29)/P29)</f>
        <v>0</v>
      </c>
      <c r="Y29" s="25">
        <f>IF(OR(R29="",R29=0),"",N(O29)/R29)</f>
        <v>0</v>
      </c>
      <c r="Z29" s="25">
        <f>IF(OR(P29="",P29=0),"",N(O29)/(P29/1000))</f>
        <v>0</v>
      </c>
      <c r="AA29" s="24">
        <f>IF(OR(R29="",R29=0),"",N(S29)/R29)</f>
        <v>0</v>
      </c>
      <c r="AB29" s="25">
        <f>IF(OR(S29="",S29=0),"",N(O29)/S29)</f>
        <v>0</v>
      </c>
      <c r="AC29" s="31">
        <f>IF(OR(O29="",O29=0),"",N(T29)/O29)</f>
        <v>0</v>
      </c>
      <c r="AD29" s="25">
        <f>IF(AND(T29="",O29=""),"",N(T29)-N(O29))</f>
        <v>0</v>
      </c>
      <c r="AE29" s="24">
        <f>IF(OR(N29="",N29=0),"",N(O29)/N29)</f>
        <v>0</v>
      </c>
      <c r="AF29" s="29">
        <f>IF(B29="","",IF(N(O29)&gt;N(N29),"Over budget - pause or top up",IF(AND(AC29&lt;&gt;"",AC29&lt;1),"Action - losing money, change it",IF(AND(X29&lt;&gt;"",X29&lt;0.005),"Check - the creative is not landing",IF(AND(U29="Complete",T29=""),"Add - record the revenue","OK")))))</f>
        <v>0</v>
      </c>
    </row>
    <row r="30" spans="1:32">
      <c r="A30" s="41">
        <f>IF(B30="","","AD-"&amp;TEXT(ROW()-4,"000"))</f>
        <v>0</v>
      </c>
      <c r="U30" s="29">
        <f>IF(B30="","",IF(L30="","Planned",IF(AND(L30&lt;=TODAY(),OR(M30="",M30&gt;=TODAY())),"Running",IF(L30&gt;TODAY(),"Planned","Complete"))))</f>
        <v>0</v>
      </c>
      <c r="V30" s="23">
        <f>IF(L30="","",IF(M30="",TODAY()-L30+1,MIN(TODAY(),M30)-L30+1))</f>
        <v>0</v>
      </c>
      <c r="W30" s="25">
        <f>IF(OR(V30="",V30&lt;=0),"",N(O30)/V30)</f>
        <v>0</v>
      </c>
      <c r="X30" s="24">
        <f>IF(OR(P30="",P30=0),"",N(R30)/P30)</f>
        <v>0</v>
      </c>
      <c r="Y30" s="25">
        <f>IF(OR(R30="",R30=0),"",N(O30)/R30)</f>
        <v>0</v>
      </c>
      <c r="Z30" s="25">
        <f>IF(OR(P30="",P30=0),"",N(O30)/(P30/1000))</f>
        <v>0</v>
      </c>
      <c r="AA30" s="24">
        <f>IF(OR(R30="",R30=0),"",N(S30)/R30)</f>
        <v>0</v>
      </c>
      <c r="AB30" s="25">
        <f>IF(OR(S30="",S30=0),"",N(O30)/S30)</f>
        <v>0</v>
      </c>
      <c r="AC30" s="31">
        <f>IF(OR(O30="",O30=0),"",N(T30)/O30)</f>
        <v>0</v>
      </c>
      <c r="AD30" s="25">
        <f>IF(AND(T30="",O30=""),"",N(T30)-N(O30))</f>
        <v>0</v>
      </c>
      <c r="AE30" s="24">
        <f>IF(OR(N30="",N30=0),"",N(O30)/N30)</f>
        <v>0</v>
      </c>
      <c r="AF30" s="29">
        <f>IF(B30="","",IF(N(O30)&gt;N(N30),"Over budget - pause or top up",IF(AND(AC30&lt;&gt;"",AC30&lt;1),"Action - losing money, change it",IF(AND(X30&lt;&gt;"",X30&lt;0.005),"Check - the creative is not landing",IF(AND(U30="Complete",T30=""),"Add - record the revenue","OK")))))</f>
        <v>0</v>
      </c>
    </row>
    <row r="31" spans="1:32">
      <c r="A31" s="41">
        <f>IF(B31="","","AD-"&amp;TEXT(ROW()-4,"000"))</f>
        <v>0</v>
      </c>
      <c r="U31" s="29">
        <f>IF(B31="","",IF(L31="","Planned",IF(AND(L31&lt;=TODAY(),OR(M31="",M31&gt;=TODAY())),"Running",IF(L31&gt;TODAY(),"Planned","Complete"))))</f>
        <v>0</v>
      </c>
      <c r="V31" s="23">
        <f>IF(L31="","",IF(M31="",TODAY()-L31+1,MIN(TODAY(),M31)-L31+1))</f>
        <v>0</v>
      </c>
      <c r="W31" s="25">
        <f>IF(OR(V31="",V31&lt;=0),"",N(O31)/V31)</f>
        <v>0</v>
      </c>
      <c r="X31" s="24">
        <f>IF(OR(P31="",P31=0),"",N(R31)/P31)</f>
        <v>0</v>
      </c>
      <c r="Y31" s="25">
        <f>IF(OR(R31="",R31=0),"",N(O31)/R31)</f>
        <v>0</v>
      </c>
      <c r="Z31" s="25">
        <f>IF(OR(P31="",P31=0),"",N(O31)/(P31/1000))</f>
        <v>0</v>
      </c>
      <c r="AA31" s="24">
        <f>IF(OR(R31="",R31=0),"",N(S31)/R31)</f>
        <v>0</v>
      </c>
      <c r="AB31" s="25">
        <f>IF(OR(S31="",S31=0),"",N(O31)/S31)</f>
        <v>0</v>
      </c>
      <c r="AC31" s="31">
        <f>IF(OR(O31="",O31=0),"",N(T31)/O31)</f>
        <v>0</v>
      </c>
      <c r="AD31" s="25">
        <f>IF(AND(T31="",O31=""),"",N(T31)-N(O31))</f>
        <v>0</v>
      </c>
      <c r="AE31" s="24">
        <f>IF(OR(N31="",N31=0),"",N(O31)/N31)</f>
        <v>0</v>
      </c>
      <c r="AF31" s="29">
        <f>IF(B31="","",IF(N(O31)&gt;N(N31),"Over budget - pause or top up",IF(AND(AC31&lt;&gt;"",AC31&lt;1),"Action - losing money, change it",IF(AND(X31&lt;&gt;"",X31&lt;0.005),"Check - the creative is not landing",IF(AND(U31="Complete",T31=""),"Add - record the revenue","OK")))))</f>
        <v>0</v>
      </c>
    </row>
    <row r="32" spans="1:32">
      <c r="A32" s="41">
        <f>IF(B32="","","AD-"&amp;TEXT(ROW()-4,"000"))</f>
        <v>0</v>
      </c>
      <c r="U32" s="29">
        <f>IF(B32="","",IF(L32="","Planned",IF(AND(L32&lt;=TODAY(),OR(M32="",M32&gt;=TODAY())),"Running",IF(L32&gt;TODAY(),"Planned","Complete"))))</f>
        <v>0</v>
      </c>
      <c r="V32" s="23">
        <f>IF(L32="","",IF(M32="",TODAY()-L32+1,MIN(TODAY(),M32)-L32+1))</f>
        <v>0</v>
      </c>
      <c r="W32" s="25">
        <f>IF(OR(V32="",V32&lt;=0),"",N(O32)/V32)</f>
        <v>0</v>
      </c>
      <c r="X32" s="24">
        <f>IF(OR(P32="",P32=0),"",N(R32)/P32)</f>
        <v>0</v>
      </c>
      <c r="Y32" s="25">
        <f>IF(OR(R32="",R32=0),"",N(O32)/R32)</f>
        <v>0</v>
      </c>
      <c r="Z32" s="25">
        <f>IF(OR(P32="",P32=0),"",N(O32)/(P32/1000))</f>
        <v>0</v>
      </c>
      <c r="AA32" s="24">
        <f>IF(OR(R32="",R32=0),"",N(S32)/R32)</f>
        <v>0</v>
      </c>
      <c r="AB32" s="25">
        <f>IF(OR(S32="",S32=0),"",N(O32)/S32)</f>
        <v>0</v>
      </c>
      <c r="AC32" s="31">
        <f>IF(OR(O32="",O32=0),"",N(T32)/O32)</f>
        <v>0</v>
      </c>
      <c r="AD32" s="25">
        <f>IF(AND(T32="",O32=""),"",N(T32)-N(O32))</f>
        <v>0</v>
      </c>
      <c r="AE32" s="24">
        <f>IF(OR(N32="",N32=0),"",N(O32)/N32)</f>
        <v>0</v>
      </c>
      <c r="AF32" s="29">
        <f>IF(B32="","",IF(N(O32)&gt;N(N32),"Over budget - pause or top up",IF(AND(AC32&lt;&gt;"",AC32&lt;1),"Action - losing money, change it",IF(AND(X32&lt;&gt;"",X32&lt;0.005),"Check - the creative is not landing",IF(AND(U32="Complete",T32=""),"Add - record the revenue","OK")))))</f>
        <v>0</v>
      </c>
    </row>
    <row r="33" spans="1:32">
      <c r="A33" s="41">
        <f>IF(B33="","","AD-"&amp;TEXT(ROW()-4,"000"))</f>
        <v>0</v>
      </c>
      <c r="U33" s="29">
        <f>IF(B33="","",IF(L33="","Planned",IF(AND(L33&lt;=TODAY(),OR(M33="",M33&gt;=TODAY())),"Running",IF(L33&gt;TODAY(),"Planned","Complete"))))</f>
        <v>0</v>
      </c>
      <c r="V33" s="23">
        <f>IF(L33="","",IF(M33="",TODAY()-L33+1,MIN(TODAY(),M33)-L33+1))</f>
        <v>0</v>
      </c>
      <c r="W33" s="25">
        <f>IF(OR(V33="",V33&lt;=0),"",N(O33)/V33)</f>
        <v>0</v>
      </c>
      <c r="X33" s="24">
        <f>IF(OR(P33="",P33=0),"",N(R33)/P33)</f>
        <v>0</v>
      </c>
      <c r="Y33" s="25">
        <f>IF(OR(R33="",R33=0),"",N(O33)/R33)</f>
        <v>0</v>
      </c>
      <c r="Z33" s="25">
        <f>IF(OR(P33="",P33=0),"",N(O33)/(P33/1000))</f>
        <v>0</v>
      </c>
      <c r="AA33" s="24">
        <f>IF(OR(R33="",R33=0),"",N(S33)/R33)</f>
        <v>0</v>
      </c>
      <c r="AB33" s="25">
        <f>IF(OR(S33="",S33=0),"",N(O33)/S33)</f>
        <v>0</v>
      </c>
      <c r="AC33" s="31">
        <f>IF(OR(O33="",O33=0),"",N(T33)/O33)</f>
        <v>0</v>
      </c>
      <c r="AD33" s="25">
        <f>IF(AND(T33="",O33=""),"",N(T33)-N(O33))</f>
        <v>0</v>
      </c>
      <c r="AE33" s="24">
        <f>IF(OR(N33="",N33=0),"",N(O33)/N33)</f>
        <v>0</v>
      </c>
      <c r="AF33" s="29">
        <f>IF(B33="","",IF(N(O33)&gt;N(N33),"Over budget - pause or top up",IF(AND(AC33&lt;&gt;"",AC33&lt;1),"Action - losing money, change it",IF(AND(X33&lt;&gt;"",X33&lt;0.005),"Check - the creative is not landing",IF(AND(U33="Complete",T33=""),"Add - record the revenue","OK")))))</f>
        <v>0</v>
      </c>
    </row>
    <row r="34" spans="1:32">
      <c r="A34" s="41">
        <f>IF(B34="","","AD-"&amp;TEXT(ROW()-4,"000"))</f>
        <v>0</v>
      </c>
      <c r="U34" s="29">
        <f>IF(B34="","",IF(L34="","Planned",IF(AND(L34&lt;=TODAY(),OR(M34="",M34&gt;=TODAY())),"Running",IF(L34&gt;TODAY(),"Planned","Complete"))))</f>
        <v>0</v>
      </c>
      <c r="V34" s="23">
        <f>IF(L34="","",IF(M34="",TODAY()-L34+1,MIN(TODAY(),M34)-L34+1))</f>
        <v>0</v>
      </c>
      <c r="W34" s="25">
        <f>IF(OR(V34="",V34&lt;=0),"",N(O34)/V34)</f>
        <v>0</v>
      </c>
      <c r="X34" s="24">
        <f>IF(OR(P34="",P34=0),"",N(R34)/P34)</f>
        <v>0</v>
      </c>
      <c r="Y34" s="25">
        <f>IF(OR(R34="",R34=0),"",N(O34)/R34)</f>
        <v>0</v>
      </c>
      <c r="Z34" s="25">
        <f>IF(OR(P34="",P34=0),"",N(O34)/(P34/1000))</f>
        <v>0</v>
      </c>
      <c r="AA34" s="24">
        <f>IF(OR(R34="",R34=0),"",N(S34)/R34)</f>
        <v>0</v>
      </c>
      <c r="AB34" s="25">
        <f>IF(OR(S34="",S34=0),"",N(O34)/S34)</f>
        <v>0</v>
      </c>
      <c r="AC34" s="31">
        <f>IF(OR(O34="",O34=0),"",N(T34)/O34)</f>
        <v>0</v>
      </c>
      <c r="AD34" s="25">
        <f>IF(AND(T34="",O34=""),"",N(T34)-N(O34))</f>
        <v>0</v>
      </c>
      <c r="AE34" s="24">
        <f>IF(OR(N34="",N34=0),"",N(O34)/N34)</f>
        <v>0</v>
      </c>
      <c r="AF34" s="29">
        <f>IF(B34="","",IF(N(O34)&gt;N(N34),"Over budget - pause or top up",IF(AND(AC34&lt;&gt;"",AC34&lt;1),"Action - losing money, change it",IF(AND(X34&lt;&gt;"",X34&lt;0.005),"Check - the creative is not landing",IF(AND(U34="Complete",T34=""),"Add - record the revenue","OK")))))</f>
        <v>0</v>
      </c>
    </row>
    <row r="35" spans="1:32">
      <c r="A35" s="41">
        <f>IF(B35="","","AD-"&amp;TEXT(ROW()-4,"000"))</f>
        <v>0</v>
      </c>
      <c r="U35" s="29">
        <f>IF(B35="","",IF(L35="","Planned",IF(AND(L35&lt;=TODAY(),OR(M35="",M35&gt;=TODAY())),"Running",IF(L35&gt;TODAY(),"Planned","Complete"))))</f>
        <v>0</v>
      </c>
      <c r="V35" s="23">
        <f>IF(L35="","",IF(M35="",TODAY()-L35+1,MIN(TODAY(),M35)-L35+1))</f>
        <v>0</v>
      </c>
      <c r="W35" s="25">
        <f>IF(OR(V35="",V35&lt;=0),"",N(O35)/V35)</f>
        <v>0</v>
      </c>
      <c r="X35" s="24">
        <f>IF(OR(P35="",P35=0),"",N(R35)/P35)</f>
        <v>0</v>
      </c>
      <c r="Y35" s="25">
        <f>IF(OR(R35="",R35=0),"",N(O35)/R35)</f>
        <v>0</v>
      </c>
      <c r="Z35" s="25">
        <f>IF(OR(P35="",P35=0),"",N(O35)/(P35/1000))</f>
        <v>0</v>
      </c>
      <c r="AA35" s="24">
        <f>IF(OR(R35="",R35=0),"",N(S35)/R35)</f>
        <v>0</v>
      </c>
      <c r="AB35" s="25">
        <f>IF(OR(S35="",S35=0),"",N(O35)/S35)</f>
        <v>0</v>
      </c>
      <c r="AC35" s="31">
        <f>IF(OR(O35="",O35=0),"",N(T35)/O35)</f>
        <v>0</v>
      </c>
      <c r="AD35" s="25">
        <f>IF(AND(T35="",O35=""),"",N(T35)-N(O35))</f>
        <v>0</v>
      </c>
      <c r="AE35" s="24">
        <f>IF(OR(N35="",N35=0),"",N(O35)/N35)</f>
        <v>0</v>
      </c>
      <c r="AF35" s="29">
        <f>IF(B35="","",IF(N(O35)&gt;N(N35),"Over budget - pause or top up",IF(AND(AC35&lt;&gt;"",AC35&lt;1),"Action - losing money, change it",IF(AND(X35&lt;&gt;"",X35&lt;0.005),"Check - the creative is not landing",IF(AND(U35="Complete",T35=""),"Add - record the revenue","OK")))))</f>
        <v>0</v>
      </c>
    </row>
    <row r="36" spans="1:32">
      <c r="A36" s="41">
        <f>IF(B36="","","AD-"&amp;TEXT(ROW()-4,"000"))</f>
        <v>0</v>
      </c>
      <c r="U36" s="29">
        <f>IF(B36="","",IF(L36="","Planned",IF(AND(L36&lt;=TODAY(),OR(M36="",M36&gt;=TODAY())),"Running",IF(L36&gt;TODAY(),"Planned","Complete"))))</f>
        <v>0</v>
      </c>
      <c r="V36" s="23">
        <f>IF(L36="","",IF(M36="",TODAY()-L36+1,MIN(TODAY(),M36)-L36+1))</f>
        <v>0</v>
      </c>
      <c r="W36" s="25">
        <f>IF(OR(V36="",V36&lt;=0),"",N(O36)/V36)</f>
        <v>0</v>
      </c>
      <c r="X36" s="24">
        <f>IF(OR(P36="",P36=0),"",N(R36)/P36)</f>
        <v>0</v>
      </c>
      <c r="Y36" s="25">
        <f>IF(OR(R36="",R36=0),"",N(O36)/R36)</f>
        <v>0</v>
      </c>
      <c r="Z36" s="25">
        <f>IF(OR(P36="",P36=0),"",N(O36)/(P36/1000))</f>
        <v>0</v>
      </c>
      <c r="AA36" s="24">
        <f>IF(OR(R36="",R36=0),"",N(S36)/R36)</f>
        <v>0</v>
      </c>
      <c r="AB36" s="25">
        <f>IF(OR(S36="",S36=0),"",N(O36)/S36)</f>
        <v>0</v>
      </c>
      <c r="AC36" s="31">
        <f>IF(OR(O36="",O36=0),"",N(T36)/O36)</f>
        <v>0</v>
      </c>
      <c r="AD36" s="25">
        <f>IF(AND(T36="",O36=""),"",N(T36)-N(O36))</f>
        <v>0</v>
      </c>
      <c r="AE36" s="24">
        <f>IF(OR(N36="",N36=0),"",N(O36)/N36)</f>
        <v>0</v>
      </c>
      <c r="AF36" s="29">
        <f>IF(B36="","",IF(N(O36)&gt;N(N36),"Over budget - pause or top up",IF(AND(AC36&lt;&gt;"",AC36&lt;1),"Action - losing money, change it",IF(AND(X36&lt;&gt;"",X36&lt;0.005),"Check - the creative is not landing",IF(AND(U36="Complete",T36=""),"Add - record the revenue","OK")))))</f>
        <v>0</v>
      </c>
    </row>
    <row r="37" spans="1:32">
      <c r="A37" s="41">
        <f>IF(B37="","","AD-"&amp;TEXT(ROW()-4,"000"))</f>
        <v>0</v>
      </c>
      <c r="U37" s="29">
        <f>IF(B37="","",IF(L37="","Planned",IF(AND(L37&lt;=TODAY(),OR(M37="",M37&gt;=TODAY())),"Running",IF(L37&gt;TODAY(),"Planned","Complete"))))</f>
        <v>0</v>
      </c>
      <c r="V37" s="23">
        <f>IF(L37="","",IF(M37="",TODAY()-L37+1,MIN(TODAY(),M37)-L37+1))</f>
        <v>0</v>
      </c>
      <c r="W37" s="25">
        <f>IF(OR(V37="",V37&lt;=0),"",N(O37)/V37)</f>
        <v>0</v>
      </c>
      <c r="X37" s="24">
        <f>IF(OR(P37="",P37=0),"",N(R37)/P37)</f>
        <v>0</v>
      </c>
      <c r="Y37" s="25">
        <f>IF(OR(R37="",R37=0),"",N(O37)/R37)</f>
        <v>0</v>
      </c>
      <c r="Z37" s="25">
        <f>IF(OR(P37="",P37=0),"",N(O37)/(P37/1000))</f>
        <v>0</v>
      </c>
      <c r="AA37" s="24">
        <f>IF(OR(R37="",R37=0),"",N(S37)/R37)</f>
        <v>0</v>
      </c>
      <c r="AB37" s="25">
        <f>IF(OR(S37="",S37=0),"",N(O37)/S37)</f>
        <v>0</v>
      </c>
      <c r="AC37" s="31">
        <f>IF(OR(O37="",O37=0),"",N(T37)/O37)</f>
        <v>0</v>
      </c>
      <c r="AD37" s="25">
        <f>IF(AND(T37="",O37=""),"",N(T37)-N(O37))</f>
        <v>0</v>
      </c>
      <c r="AE37" s="24">
        <f>IF(OR(N37="",N37=0),"",N(O37)/N37)</f>
        <v>0</v>
      </c>
      <c r="AF37" s="29">
        <f>IF(B37="","",IF(N(O37)&gt;N(N37),"Over budget - pause or top up",IF(AND(AC37&lt;&gt;"",AC37&lt;1),"Action - losing money, change it",IF(AND(X37&lt;&gt;"",X37&lt;0.005),"Check - the creative is not landing",IF(AND(U37="Complete",T37=""),"Add - record the revenue","OK")))))</f>
        <v>0</v>
      </c>
    </row>
    <row r="38" spans="1:32">
      <c r="A38" s="41">
        <f>IF(B38="","","AD-"&amp;TEXT(ROW()-4,"000"))</f>
        <v>0</v>
      </c>
      <c r="U38" s="29">
        <f>IF(B38="","",IF(L38="","Planned",IF(AND(L38&lt;=TODAY(),OR(M38="",M38&gt;=TODAY())),"Running",IF(L38&gt;TODAY(),"Planned","Complete"))))</f>
        <v>0</v>
      </c>
      <c r="V38" s="23">
        <f>IF(L38="","",IF(M38="",TODAY()-L38+1,MIN(TODAY(),M38)-L38+1))</f>
        <v>0</v>
      </c>
      <c r="W38" s="25">
        <f>IF(OR(V38="",V38&lt;=0),"",N(O38)/V38)</f>
        <v>0</v>
      </c>
      <c r="X38" s="24">
        <f>IF(OR(P38="",P38=0),"",N(R38)/P38)</f>
        <v>0</v>
      </c>
      <c r="Y38" s="25">
        <f>IF(OR(R38="",R38=0),"",N(O38)/R38)</f>
        <v>0</v>
      </c>
      <c r="Z38" s="25">
        <f>IF(OR(P38="",P38=0),"",N(O38)/(P38/1000))</f>
        <v>0</v>
      </c>
      <c r="AA38" s="24">
        <f>IF(OR(R38="",R38=0),"",N(S38)/R38)</f>
        <v>0</v>
      </c>
      <c r="AB38" s="25">
        <f>IF(OR(S38="",S38=0),"",N(O38)/S38)</f>
        <v>0</v>
      </c>
      <c r="AC38" s="31">
        <f>IF(OR(O38="",O38=0),"",N(T38)/O38)</f>
        <v>0</v>
      </c>
      <c r="AD38" s="25">
        <f>IF(AND(T38="",O38=""),"",N(T38)-N(O38))</f>
        <v>0</v>
      </c>
      <c r="AE38" s="24">
        <f>IF(OR(N38="",N38=0),"",N(O38)/N38)</f>
        <v>0</v>
      </c>
      <c r="AF38" s="29">
        <f>IF(B38="","",IF(N(O38)&gt;N(N38),"Over budget - pause or top up",IF(AND(AC38&lt;&gt;"",AC38&lt;1),"Action - losing money, change it",IF(AND(X38&lt;&gt;"",X38&lt;0.005),"Check - the creative is not landing",IF(AND(U38="Complete",T38=""),"Add - record the revenue","OK")))))</f>
        <v>0</v>
      </c>
    </row>
    <row r="39" spans="1:32">
      <c r="A39" s="41">
        <f>IF(B39="","","AD-"&amp;TEXT(ROW()-4,"000"))</f>
        <v>0</v>
      </c>
      <c r="U39" s="29">
        <f>IF(B39="","",IF(L39="","Planned",IF(AND(L39&lt;=TODAY(),OR(M39="",M39&gt;=TODAY())),"Running",IF(L39&gt;TODAY(),"Planned","Complete"))))</f>
        <v>0</v>
      </c>
      <c r="V39" s="23">
        <f>IF(L39="","",IF(M39="",TODAY()-L39+1,MIN(TODAY(),M39)-L39+1))</f>
        <v>0</v>
      </c>
      <c r="W39" s="25">
        <f>IF(OR(V39="",V39&lt;=0),"",N(O39)/V39)</f>
        <v>0</v>
      </c>
      <c r="X39" s="24">
        <f>IF(OR(P39="",P39=0),"",N(R39)/P39)</f>
        <v>0</v>
      </c>
      <c r="Y39" s="25">
        <f>IF(OR(R39="",R39=0),"",N(O39)/R39)</f>
        <v>0</v>
      </c>
      <c r="Z39" s="25">
        <f>IF(OR(P39="",P39=0),"",N(O39)/(P39/1000))</f>
        <v>0</v>
      </c>
      <c r="AA39" s="24">
        <f>IF(OR(R39="",R39=0),"",N(S39)/R39)</f>
        <v>0</v>
      </c>
      <c r="AB39" s="25">
        <f>IF(OR(S39="",S39=0),"",N(O39)/S39)</f>
        <v>0</v>
      </c>
      <c r="AC39" s="31">
        <f>IF(OR(O39="",O39=0),"",N(T39)/O39)</f>
        <v>0</v>
      </c>
      <c r="AD39" s="25">
        <f>IF(AND(T39="",O39=""),"",N(T39)-N(O39))</f>
        <v>0</v>
      </c>
      <c r="AE39" s="24">
        <f>IF(OR(N39="",N39=0),"",N(O39)/N39)</f>
        <v>0</v>
      </c>
      <c r="AF39" s="29">
        <f>IF(B39="","",IF(N(O39)&gt;N(N39),"Over budget - pause or top up",IF(AND(AC39&lt;&gt;"",AC39&lt;1),"Action - losing money, change it",IF(AND(X39&lt;&gt;"",X39&lt;0.005),"Check - the creative is not landing",IF(AND(U39="Complete",T39=""),"Add - record the revenue","OK")))))</f>
        <v>0</v>
      </c>
    </row>
    <row r="40" spans="1:32">
      <c r="A40" s="41">
        <f>IF(B40="","","AD-"&amp;TEXT(ROW()-4,"000"))</f>
        <v>0</v>
      </c>
      <c r="U40" s="29">
        <f>IF(B40="","",IF(L40="","Planned",IF(AND(L40&lt;=TODAY(),OR(M40="",M40&gt;=TODAY())),"Running",IF(L40&gt;TODAY(),"Planned","Complete"))))</f>
        <v>0</v>
      </c>
      <c r="V40" s="23">
        <f>IF(L40="","",IF(M40="",TODAY()-L40+1,MIN(TODAY(),M40)-L40+1))</f>
        <v>0</v>
      </c>
      <c r="W40" s="25">
        <f>IF(OR(V40="",V40&lt;=0),"",N(O40)/V40)</f>
        <v>0</v>
      </c>
      <c r="X40" s="24">
        <f>IF(OR(P40="",P40=0),"",N(R40)/P40)</f>
        <v>0</v>
      </c>
      <c r="Y40" s="25">
        <f>IF(OR(R40="",R40=0),"",N(O40)/R40)</f>
        <v>0</v>
      </c>
      <c r="Z40" s="25">
        <f>IF(OR(P40="",P40=0),"",N(O40)/(P40/1000))</f>
        <v>0</v>
      </c>
      <c r="AA40" s="24">
        <f>IF(OR(R40="",R40=0),"",N(S40)/R40)</f>
        <v>0</v>
      </c>
      <c r="AB40" s="25">
        <f>IF(OR(S40="",S40=0),"",N(O40)/S40)</f>
        <v>0</v>
      </c>
      <c r="AC40" s="31">
        <f>IF(OR(O40="",O40=0),"",N(T40)/O40)</f>
        <v>0</v>
      </c>
      <c r="AD40" s="25">
        <f>IF(AND(T40="",O40=""),"",N(T40)-N(O40))</f>
        <v>0</v>
      </c>
      <c r="AE40" s="24">
        <f>IF(OR(N40="",N40=0),"",N(O40)/N40)</f>
        <v>0</v>
      </c>
      <c r="AF40" s="29">
        <f>IF(B40="","",IF(N(O40)&gt;N(N40),"Over budget - pause or top up",IF(AND(AC40&lt;&gt;"",AC40&lt;1),"Action - losing money, change it",IF(AND(X40&lt;&gt;"",X40&lt;0.005),"Check - the creative is not landing",IF(AND(U40="Complete",T40=""),"Add - record the revenue","OK")))))</f>
        <v>0</v>
      </c>
    </row>
    <row r="41" spans="1:32">
      <c r="A41" s="41">
        <f>IF(B41="","","AD-"&amp;TEXT(ROW()-4,"000"))</f>
        <v>0</v>
      </c>
      <c r="U41" s="29">
        <f>IF(B41="","",IF(L41="","Planned",IF(AND(L41&lt;=TODAY(),OR(M41="",M41&gt;=TODAY())),"Running",IF(L41&gt;TODAY(),"Planned","Complete"))))</f>
        <v>0</v>
      </c>
      <c r="V41" s="23">
        <f>IF(L41="","",IF(M41="",TODAY()-L41+1,MIN(TODAY(),M41)-L41+1))</f>
        <v>0</v>
      </c>
      <c r="W41" s="25">
        <f>IF(OR(V41="",V41&lt;=0),"",N(O41)/V41)</f>
        <v>0</v>
      </c>
      <c r="X41" s="24">
        <f>IF(OR(P41="",P41=0),"",N(R41)/P41)</f>
        <v>0</v>
      </c>
      <c r="Y41" s="25">
        <f>IF(OR(R41="",R41=0),"",N(O41)/R41)</f>
        <v>0</v>
      </c>
      <c r="Z41" s="25">
        <f>IF(OR(P41="",P41=0),"",N(O41)/(P41/1000))</f>
        <v>0</v>
      </c>
      <c r="AA41" s="24">
        <f>IF(OR(R41="",R41=0),"",N(S41)/R41)</f>
        <v>0</v>
      </c>
      <c r="AB41" s="25">
        <f>IF(OR(S41="",S41=0),"",N(O41)/S41)</f>
        <v>0</v>
      </c>
      <c r="AC41" s="31">
        <f>IF(OR(O41="",O41=0),"",N(T41)/O41)</f>
        <v>0</v>
      </c>
      <c r="AD41" s="25">
        <f>IF(AND(T41="",O41=""),"",N(T41)-N(O41))</f>
        <v>0</v>
      </c>
      <c r="AE41" s="24">
        <f>IF(OR(N41="",N41=0),"",N(O41)/N41)</f>
        <v>0</v>
      </c>
      <c r="AF41" s="29">
        <f>IF(B41="","",IF(N(O41)&gt;N(N41),"Over budget - pause or top up",IF(AND(AC41&lt;&gt;"",AC41&lt;1),"Action - losing money, change it",IF(AND(X41&lt;&gt;"",X41&lt;0.005),"Check - the creative is not landing",IF(AND(U41="Complete",T41=""),"Add - record the revenue","OK")))))</f>
        <v>0</v>
      </c>
    </row>
    <row r="42" spans="1:32">
      <c r="A42" s="41">
        <f>IF(B42="","","AD-"&amp;TEXT(ROW()-4,"000"))</f>
        <v>0</v>
      </c>
      <c r="U42" s="29">
        <f>IF(B42="","",IF(L42="","Planned",IF(AND(L42&lt;=TODAY(),OR(M42="",M42&gt;=TODAY())),"Running",IF(L42&gt;TODAY(),"Planned","Complete"))))</f>
        <v>0</v>
      </c>
      <c r="V42" s="23">
        <f>IF(L42="","",IF(M42="",TODAY()-L42+1,MIN(TODAY(),M42)-L42+1))</f>
        <v>0</v>
      </c>
      <c r="W42" s="25">
        <f>IF(OR(V42="",V42&lt;=0),"",N(O42)/V42)</f>
        <v>0</v>
      </c>
      <c r="X42" s="24">
        <f>IF(OR(P42="",P42=0),"",N(R42)/P42)</f>
        <v>0</v>
      </c>
      <c r="Y42" s="25">
        <f>IF(OR(R42="",R42=0),"",N(O42)/R42)</f>
        <v>0</v>
      </c>
      <c r="Z42" s="25">
        <f>IF(OR(P42="",P42=0),"",N(O42)/(P42/1000))</f>
        <v>0</v>
      </c>
      <c r="AA42" s="24">
        <f>IF(OR(R42="",R42=0),"",N(S42)/R42)</f>
        <v>0</v>
      </c>
      <c r="AB42" s="25">
        <f>IF(OR(S42="",S42=0),"",N(O42)/S42)</f>
        <v>0</v>
      </c>
      <c r="AC42" s="31">
        <f>IF(OR(O42="",O42=0),"",N(T42)/O42)</f>
        <v>0</v>
      </c>
      <c r="AD42" s="25">
        <f>IF(AND(T42="",O42=""),"",N(T42)-N(O42))</f>
        <v>0</v>
      </c>
      <c r="AE42" s="24">
        <f>IF(OR(N42="",N42=0),"",N(O42)/N42)</f>
        <v>0</v>
      </c>
      <c r="AF42" s="29">
        <f>IF(B42="","",IF(N(O42)&gt;N(N42),"Over budget - pause or top up",IF(AND(AC42&lt;&gt;"",AC42&lt;1),"Action - losing money, change it",IF(AND(X42&lt;&gt;"",X42&lt;0.005),"Check - the creative is not landing",IF(AND(U42="Complete",T42=""),"Add - record the revenue","OK")))))</f>
        <v>0</v>
      </c>
    </row>
    <row r="43" spans="1:32">
      <c r="A43" s="41">
        <f>IF(B43="","","AD-"&amp;TEXT(ROW()-4,"000"))</f>
        <v>0</v>
      </c>
      <c r="U43" s="29">
        <f>IF(B43="","",IF(L43="","Planned",IF(AND(L43&lt;=TODAY(),OR(M43="",M43&gt;=TODAY())),"Running",IF(L43&gt;TODAY(),"Planned","Complete"))))</f>
        <v>0</v>
      </c>
      <c r="V43" s="23">
        <f>IF(L43="","",IF(M43="",TODAY()-L43+1,MIN(TODAY(),M43)-L43+1))</f>
        <v>0</v>
      </c>
      <c r="W43" s="25">
        <f>IF(OR(V43="",V43&lt;=0),"",N(O43)/V43)</f>
        <v>0</v>
      </c>
      <c r="X43" s="24">
        <f>IF(OR(P43="",P43=0),"",N(R43)/P43)</f>
        <v>0</v>
      </c>
      <c r="Y43" s="25">
        <f>IF(OR(R43="",R43=0),"",N(O43)/R43)</f>
        <v>0</v>
      </c>
      <c r="Z43" s="25">
        <f>IF(OR(P43="",P43=0),"",N(O43)/(P43/1000))</f>
        <v>0</v>
      </c>
      <c r="AA43" s="24">
        <f>IF(OR(R43="",R43=0),"",N(S43)/R43)</f>
        <v>0</v>
      </c>
      <c r="AB43" s="25">
        <f>IF(OR(S43="",S43=0),"",N(O43)/S43)</f>
        <v>0</v>
      </c>
      <c r="AC43" s="31">
        <f>IF(OR(O43="",O43=0),"",N(T43)/O43)</f>
        <v>0</v>
      </c>
      <c r="AD43" s="25">
        <f>IF(AND(T43="",O43=""),"",N(T43)-N(O43))</f>
        <v>0</v>
      </c>
      <c r="AE43" s="24">
        <f>IF(OR(N43="",N43=0),"",N(O43)/N43)</f>
        <v>0</v>
      </c>
      <c r="AF43" s="29">
        <f>IF(B43="","",IF(N(O43)&gt;N(N43),"Over budget - pause or top up",IF(AND(AC43&lt;&gt;"",AC43&lt;1),"Action - losing money, change it",IF(AND(X43&lt;&gt;"",X43&lt;0.005),"Check - the creative is not landing",IF(AND(U43="Complete",T43=""),"Add - record the revenue","OK")))))</f>
        <v>0</v>
      </c>
    </row>
    <row r="44" spans="1:32">
      <c r="A44" s="41">
        <f>IF(B44="","","AD-"&amp;TEXT(ROW()-4,"000"))</f>
        <v>0</v>
      </c>
      <c r="U44" s="29">
        <f>IF(B44="","",IF(L44="","Planned",IF(AND(L44&lt;=TODAY(),OR(M44="",M44&gt;=TODAY())),"Running",IF(L44&gt;TODAY(),"Planned","Complete"))))</f>
        <v>0</v>
      </c>
      <c r="V44" s="23">
        <f>IF(L44="","",IF(M44="",TODAY()-L44+1,MIN(TODAY(),M44)-L44+1))</f>
        <v>0</v>
      </c>
      <c r="W44" s="25">
        <f>IF(OR(V44="",V44&lt;=0),"",N(O44)/V44)</f>
        <v>0</v>
      </c>
      <c r="X44" s="24">
        <f>IF(OR(P44="",P44=0),"",N(R44)/P44)</f>
        <v>0</v>
      </c>
      <c r="Y44" s="25">
        <f>IF(OR(R44="",R44=0),"",N(O44)/R44)</f>
        <v>0</v>
      </c>
      <c r="Z44" s="25">
        <f>IF(OR(P44="",P44=0),"",N(O44)/(P44/1000))</f>
        <v>0</v>
      </c>
      <c r="AA44" s="24">
        <f>IF(OR(R44="",R44=0),"",N(S44)/R44)</f>
        <v>0</v>
      </c>
      <c r="AB44" s="25">
        <f>IF(OR(S44="",S44=0),"",N(O44)/S44)</f>
        <v>0</v>
      </c>
      <c r="AC44" s="31">
        <f>IF(OR(O44="",O44=0),"",N(T44)/O44)</f>
        <v>0</v>
      </c>
      <c r="AD44" s="25">
        <f>IF(AND(T44="",O44=""),"",N(T44)-N(O44))</f>
        <v>0</v>
      </c>
      <c r="AE44" s="24">
        <f>IF(OR(N44="",N44=0),"",N(O44)/N44)</f>
        <v>0</v>
      </c>
      <c r="AF44" s="29">
        <f>IF(B44="","",IF(N(O44)&gt;N(N44),"Over budget - pause or top up",IF(AND(AC44&lt;&gt;"",AC44&lt;1),"Action - losing money, change it",IF(AND(X44&lt;&gt;"",X44&lt;0.005),"Check - the creative is not landing",IF(AND(U44="Complete",T44=""),"Add - record the revenue","OK")))))</f>
        <v>0</v>
      </c>
    </row>
    <row r="45" spans="1:32">
      <c r="A45" s="41">
        <f>IF(B45="","","AD-"&amp;TEXT(ROW()-4,"000"))</f>
        <v>0</v>
      </c>
      <c r="U45" s="29">
        <f>IF(B45="","",IF(L45="","Planned",IF(AND(L45&lt;=TODAY(),OR(M45="",M45&gt;=TODAY())),"Running",IF(L45&gt;TODAY(),"Planned","Complete"))))</f>
        <v>0</v>
      </c>
      <c r="V45" s="23">
        <f>IF(L45="","",IF(M45="",TODAY()-L45+1,MIN(TODAY(),M45)-L45+1))</f>
        <v>0</v>
      </c>
      <c r="W45" s="25">
        <f>IF(OR(V45="",V45&lt;=0),"",N(O45)/V45)</f>
        <v>0</v>
      </c>
      <c r="X45" s="24">
        <f>IF(OR(P45="",P45=0),"",N(R45)/P45)</f>
        <v>0</v>
      </c>
      <c r="Y45" s="25">
        <f>IF(OR(R45="",R45=0),"",N(O45)/R45)</f>
        <v>0</v>
      </c>
      <c r="Z45" s="25">
        <f>IF(OR(P45="",P45=0),"",N(O45)/(P45/1000))</f>
        <v>0</v>
      </c>
      <c r="AA45" s="24">
        <f>IF(OR(R45="",R45=0),"",N(S45)/R45)</f>
        <v>0</v>
      </c>
      <c r="AB45" s="25">
        <f>IF(OR(S45="",S45=0),"",N(O45)/S45)</f>
        <v>0</v>
      </c>
      <c r="AC45" s="31">
        <f>IF(OR(O45="",O45=0),"",N(T45)/O45)</f>
        <v>0</v>
      </c>
      <c r="AD45" s="25">
        <f>IF(AND(T45="",O45=""),"",N(T45)-N(O45))</f>
        <v>0</v>
      </c>
      <c r="AE45" s="24">
        <f>IF(OR(N45="",N45=0),"",N(O45)/N45)</f>
        <v>0</v>
      </c>
      <c r="AF45" s="29">
        <f>IF(B45="","",IF(N(O45)&gt;N(N45),"Over budget - pause or top up",IF(AND(AC45&lt;&gt;"",AC45&lt;1),"Action - losing money, change it",IF(AND(X45&lt;&gt;"",X45&lt;0.005),"Check - the creative is not landing",IF(AND(U45="Complete",T45=""),"Add - record the revenue","OK")))))</f>
        <v>0</v>
      </c>
    </row>
    <row r="46" spans="1:32">
      <c r="A46" s="41">
        <f>IF(B46="","","AD-"&amp;TEXT(ROW()-4,"000"))</f>
        <v>0</v>
      </c>
      <c r="U46" s="29">
        <f>IF(B46="","",IF(L46="","Planned",IF(AND(L46&lt;=TODAY(),OR(M46="",M46&gt;=TODAY())),"Running",IF(L46&gt;TODAY(),"Planned","Complete"))))</f>
        <v>0</v>
      </c>
      <c r="V46" s="23">
        <f>IF(L46="","",IF(M46="",TODAY()-L46+1,MIN(TODAY(),M46)-L46+1))</f>
        <v>0</v>
      </c>
      <c r="W46" s="25">
        <f>IF(OR(V46="",V46&lt;=0),"",N(O46)/V46)</f>
        <v>0</v>
      </c>
      <c r="X46" s="24">
        <f>IF(OR(P46="",P46=0),"",N(R46)/P46)</f>
        <v>0</v>
      </c>
      <c r="Y46" s="25">
        <f>IF(OR(R46="",R46=0),"",N(O46)/R46)</f>
        <v>0</v>
      </c>
      <c r="Z46" s="25">
        <f>IF(OR(P46="",P46=0),"",N(O46)/(P46/1000))</f>
        <v>0</v>
      </c>
      <c r="AA46" s="24">
        <f>IF(OR(R46="",R46=0),"",N(S46)/R46)</f>
        <v>0</v>
      </c>
      <c r="AB46" s="25">
        <f>IF(OR(S46="",S46=0),"",N(O46)/S46)</f>
        <v>0</v>
      </c>
      <c r="AC46" s="31">
        <f>IF(OR(O46="",O46=0),"",N(T46)/O46)</f>
        <v>0</v>
      </c>
      <c r="AD46" s="25">
        <f>IF(AND(T46="",O46=""),"",N(T46)-N(O46))</f>
        <v>0</v>
      </c>
      <c r="AE46" s="24">
        <f>IF(OR(N46="",N46=0),"",N(O46)/N46)</f>
        <v>0</v>
      </c>
      <c r="AF46" s="29">
        <f>IF(B46="","",IF(N(O46)&gt;N(N46),"Over budget - pause or top up",IF(AND(AC46&lt;&gt;"",AC46&lt;1),"Action - losing money, change it",IF(AND(X46&lt;&gt;"",X46&lt;0.005),"Check - the creative is not landing",IF(AND(U46="Complete",T46=""),"Add - record the revenue","OK")))))</f>
        <v>0</v>
      </c>
    </row>
    <row r="47" spans="1:32">
      <c r="A47" s="41">
        <f>IF(B47="","","AD-"&amp;TEXT(ROW()-4,"000"))</f>
        <v>0</v>
      </c>
      <c r="U47" s="29">
        <f>IF(B47="","",IF(L47="","Planned",IF(AND(L47&lt;=TODAY(),OR(M47="",M47&gt;=TODAY())),"Running",IF(L47&gt;TODAY(),"Planned","Complete"))))</f>
        <v>0</v>
      </c>
      <c r="V47" s="23">
        <f>IF(L47="","",IF(M47="",TODAY()-L47+1,MIN(TODAY(),M47)-L47+1))</f>
        <v>0</v>
      </c>
      <c r="W47" s="25">
        <f>IF(OR(V47="",V47&lt;=0),"",N(O47)/V47)</f>
        <v>0</v>
      </c>
      <c r="X47" s="24">
        <f>IF(OR(P47="",P47=0),"",N(R47)/P47)</f>
        <v>0</v>
      </c>
      <c r="Y47" s="25">
        <f>IF(OR(R47="",R47=0),"",N(O47)/R47)</f>
        <v>0</v>
      </c>
      <c r="Z47" s="25">
        <f>IF(OR(P47="",P47=0),"",N(O47)/(P47/1000))</f>
        <v>0</v>
      </c>
      <c r="AA47" s="24">
        <f>IF(OR(R47="",R47=0),"",N(S47)/R47)</f>
        <v>0</v>
      </c>
      <c r="AB47" s="25">
        <f>IF(OR(S47="",S47=0),"",N(O47)/S47)</f>
        <v>0</v>
      </c>
      <c r="AC47" s="31">
        <f>IF(OR(O47="",O47=0),"",N(T47)/O47)</f>
        <v>0</v>
      </c>
      <c r="AD47" s="25">
        <f>IF(AND(T47="",O47=""),"",N(T47)-N(O47))</f>
        <v>0</v>
      </c>
      <c r="AE47" s="24">
        <f>IF(OR(N47="",N47=0),"",N(O47)/N47)</f>
        <v>0</v>
      </c>
      <c r="AF47" s="29">
        <f>IF(B47="","",IF(N(O47)&gt;N(N47),"Over budget - pause or top up",IF(AND(AC47&lt;&gt;"",AC47&lt;1),"Action - losing money, change it",IF(AND(X47&lt;&gt;"",X47&lt;0.005),"Check - the creative is not landing",IF(AND(U47="Complete",T47=""),"Add - record the revenue","OK")))))</f>
        <v>0</v>
      </c>
    </row>
    <row r="48" spans="1:32">
      <c r="A48" s="41">
        <f>IF(B48="","","AD-"&amp;TEXT(ROW()-4,"000"))</f>
        <v>0</v>
      </c>
      <c r="U48" s="29">
        <f>IF(B48="","",IF(L48="","Planned",IF(AND(L48&lt;=TODAY(),OR(M48="",M48&gt;=TODAY())),"Running",IF(L48&gt;TODAY(),"Planned","Complete"))))</f>
        <v>0</v>
      </c>
      <c r="V48" s="23">
        <f>IF(L48="","",IF(M48="",TODAY()-L48+1,MIN(TODAY(),M48)-L48+1))</f>
        <v>0</v>
      </c>
      <c r="W48" s="25">
        <f>IF(OR(V48="",V48&lt;=0),"",N(O48)/V48)</f>
        <v>0</v>
      </c>
      <c r="X48" s="24">
        <f>IF(OR(P48="",P48=0),"",N(R48)/P48)</f>
        <v>0</v>
      </c>
      <c r="Y48" s="25">
        <f>IF(OR(R48="",R48=0),"",N(O48)/R48)</f>
        <v>0</v>
      </c>
      <c r="Z48" s="25">
        <f>IF(OR(P48="",P48=0),"",N(O48)/(P48/1000))</f>
        <v>0</v>
      </c>
      <c r="AA48" s="24">
        <f>IF(OR(R48="",R48=0),"",N(S48)/R48)</f>
        <v>0</v>
      </c>
      <c r="AB48" s="25">
        <f>IF(OR(S48="",S48=0),"",N(O48)/S48)</f>
        <v>0</v>
      </c>
      <c r="AC48" s="31">
        <f>IF(OR(O48="",O48=0),"",N(T48)/O48)</f>
        <v>0</v>
      </c>
      <c r="AD48" s="25">
        <f>IF(AND(T48="",O48=""),"",N(T48)-N(O48))</f>
        <v>0</v>
      </c>
      <c r="AE48" s="24">
        <f>IF(OR(N48="",N48=0),"",N(O48)/N48)</f>
        <v>0</v>
      </c>
      <c r="AF48" s="29">
        <f>IF(B48="","",IF(N(O48)&gt;N(N48),"Over budget - pause or top up",IF(AND(AC48&lt;&gt;"",AC48&lt;1),"Action - losing money, change it",IF(AND(X48&lt;&gt;"",X48&lt;0.005),"Check - the creative is not landing",IF(AND(U48="Complete",T48=""),"Add - record the revenue","OK")))))</f>
        <v>0</v>
      </c>
    </row>
    <row r="49" spans="1:32">
      <c r="A49" s="41">
        <f>IF(B49="","","AD-"&amp;TEXT(ROW()-4,"000"))</f>
        <v>0</v>
      </c>
      <c r="U49" s="29">
        <f>IF(B49="","",IF(L49="","Planned",IF(AND(L49&lt;=TODAY(),OR(M49="",M49&gt;=TODAY())),"Running",IF(L49&gt;TODAY(),"Planned","Complete"))))</f>
        <v>0</v>
      </c>
      <c r="V49" s="23">
        <f>IF(L49="","",IF(M49="",TODAY()-L49+1,MIN(TODAY(),M49)-L49+1))</f>
        <v>0</v>
      </c>
      <c r="W49" s="25">
        <f>IF(OR(V49="",V49&lt;=0),"",N(O49)/V49)</f>
        <v>0</v>
      </c>
      <c r="X49" s="24">
        <f>IF(OR(P49="",P49=0),"",N(R49)/P49)</f>
        <v>0</v>
      </c>
      <c r="Y49" s="25">
        <f>IF(OR(R49="",R49=0),"",N(O49)/R49)</f>
        <v>0</v>
      </c>
      <c r="Z49" s="25">
        <f>IF(OR(P49="",P49=0),"",N(O49)/(P49/1000))</f>
        <v>0</v>
      </c>
      <c r="AA49" s="24">
        <f>IF(OR(R49="",R49=0),"",N(S49)/R49)</f>
        <v>0</v>
      </c>
      <c r="AB49" s="25">
        <f>IF(OR(S49="",S49=0),"",N(O49)/S49)</f>
        <v>0</v>
      </c>
      <c r="AC49" s="31">
        <f>IF(OR(O49="",O49=0),"",N(T49)/O49)</f>
        <v>0</v>
      </c>
      <c r="AD49" s="25">
        <f>IF(AND(T49="",O49=""),"",N(T49)-N(O49))</f>
        <v>0</v>
      </c>
      <c r="AE49" s="24">
        <f>IF(OR(N49="",N49=0),"",N(O49)/N49)</f>
        <v>0</v>
      </c>
      <c r="AF49" s="29">
        <f>IF(B49="","",IF(N(O49)&gt;N(N49),"Over budget - pause or top up",IF(AND(AC49&lt;&gt;"",AC49&lt;1),"Action - losing money, change it",IF(AND(X49&lt;&gt;"",X49&lt;0.005),"Check - the creative is not landing",IF(AND(U49="Complete",T49=""),"Add - record the revenue","OK")))))</f>
        <v>0</v>
      </c>
    </row>
    <row r="50" spans="1:32">
      <c r="A50" s="41">
        <f>IF(B50="","","AD-"&amp;TEXT(ROW()-4,"000"))</f>
        <v>0</v>
      </c>
      <c r="U50" s="29">
        <f>IF(B50="","",IF(L50="","Planned",IF(AND(L50&lt;=TODAY(),OR(M50="",M50&gt;=TODAY())),"Running",IF(L50&gt;TODAY(),"Planned","Complete"))))</f>
        <v>0</v>
      </c>
      <c r="V50" s="23">
        <f>IF(L50="","",IF(M50="",TODAY()-L50+1,MIN(TODAY(),M50)-L50+1))</f>
        <v>0</v>
      </c>
      <c r="W50" s="25">
        <f>IF(OR(V50="",V50&lt;=0),"",N(O50)/V50)</f>
        <v>0</v>
      </c>
      <c r="X50" s="24">
        <f>IF(OR(P50="",P50=0),"",N(R50)/P50)</f>
        <v>0</v>
      </c>
      <c r="Y50" s="25">
        <f>IF(OR(R50="",R50=0),"",N(O50)/R50)</f>
        <v>0</v>
      </c>
      <c r="Z50" s="25">
        <f>IF(OR(P50="",P50=0),"",N(O50)/(P50/1000))</f>
        <v>0</v>
      </c>
      <c r="AA50" s="24">
        <f>IF(OR(R50="",R50=0),"",N(S50)/R50)</f>
        <v>0</v>
      </c>
      <c r="AB50" s="25">
        <f>IF(OR(S50="",S50=0),"",N(O50)/S50)</f>
        <v>0</v>
      </c>
      <c r="AC50" s="31">
        <f>IF(OR(O50="",O50=0),"",N(T50)/O50)</f>
        <v>0</v>
      </c>
      <c r="AD50" s="25">
        <f>IF(AND(T50="",O50=""),"",N(T50)-N(O50))</f>
        <v>0</v>
      </c>
      <c r="AE50" s="24">
        <f>IF(OR(N50="",N50=0),"",N(O50)/N50)</f>
        <v>0</v>
      </c>
      <c r="AF50" s="29">
        <f>IF(B50="","",IF(N(O50)&gt;N(N50),"Over budget - pause or top up",IF(AND(AC50&lt;&gt;"",AC50&lt;1),"Action - losing money, change it",IF(AND(X50&lt;&gt;"",X50&lt;0.005),"Check - the creative is not landing",IF(AND(U50="Complete",T50=""),"Add - record the revenue","OK")))))</f>
        <v>0</v>
      </c>
    </row>
    <row r="51" spans="1:32">
      <c r="A51" s="41">
        <f>IF(B51="","","AD-"&amp;TEXT(ROW()-4,"000"))</f>
        <v>0</v>
      </c>
      <c r="U51" s="29">
        <f>IF(B51="","",IF(L51="","Planned",IF(AND(L51&lt;=TODAY(),OR(M51="",M51&gt;=TODAY())),"Running",IF(L51&gt;TODAY(),"Planned","Complete"))))</f>
        <v>0</v>
      </c>
      <c r="V51" s="23">
        <f>IF(L51="","",IF(M51="",TODAY()-L51+1,MIN(TODAY(),M51)-L51+1))</f>
        <v>0</v>
      </c>
      <c r="W51" s="25">
        <f>IF(OR(V51="",V51&lt;=0),"",N(O51)/V51)</f>
        <v>0</v>
      </c>
      <c r="X51" s="24">
        <f>IF(OR(P51="",P51=0),"",N(R51)/P51)</f>
        <v>0</v>
      </c>
      <c r="Y51" s="25">
        <f>IF(OR(R51="",R51=0),"",N(O51)/R51)</f>
        <v>0</v>
      </c>
      <c r="Z51" s="25">
        <f>IF(OR(P51="",P51=0),"",N(O51)/(P51/1000))</f>
        <v>0</v>
      </c>
      <c r="AA51" s="24">
        <f>IF(OR(R51="",R51=0),"",N(S51)/R51)</f>
        <v>0</v>
      </c>
      <c r="AB51" s="25">
        <f>IF(OR(S51="",S51=0),"",N(O51)/S51)</f>
        <v>0</v>
      </c>
      <c r="AC51" s="31">
        <f>IF(OR(O51="",O51=0),"",N(T51)/O51)</f>
        <v>0</v>
      </c>
      <c r="AD51" s="25">
        <f>IF(AND(T51="",O51=""),"",N(T51)-N(O51))</f>
        <v>0</v>
      </c>
      <c r="AE51" s="24">
        <f>IF(OR(N51="",N51=0),"",N(O51)/N51)</f>
        <v>0</v>
      </c>
      <c r="AF51" s="29">
        <f>IF(B51="","",IF(N(O51)&gt;N(N51),"Over budget - pause or top up",IF(AND(AC51&lt;&gt;"",AC51&lt;1),"Action - losing money, change it",IF(AND(X51&lt;&gt;"",X51&lt;0.005),"Check - the creative is not landing",IF(AND(U51="Complete",T51=""),"Add - record the revenue","OK")))))</f>
        <v>0</v>
      </c>
    </row>
    <row r="52" spans="1:32">
      <c r="A52" s="41">
        <f>IF(B52="","","AD-"&amp;TEXT(ROW()-4,"000"))</f>
        <v>0</v>
      </c>
      <c r="U52" s="29">
        <f>IF(B52="","",IF(L52="","Planned",IF(AND(L52&lt;=TODAY(),OR(M52="",M52&gt;=TODAY())),"Running",IF(L52&gt;TODAY(),"Planned","Complete"))))</f>
        <v>0</v>
      </c>
      <c r="V52" s="23">
        <f>IF(L52="","",IF(M52="",TODAY()-L52+1,MIN(TODAY(),M52)-L52+1))</f>
        <v>0</v>
      </c>
      <c r="W52" s="25">
        <f>IF(OR(V52="",V52&lt;=0),"",N(O52)/V52)</f>
        <v>0</v>
      </c>
      <c r="X52" s="24">
        <f>IF(OR(P52="",P52=0),"",N(R52)/P52)</f>
        <v>0</v>
      </c>
      <c r="Y52" s="25">
        <f>IF(OR(R52="",R52=0),"",N(O52)/R52)</f>
        <v>0</v>
      </c>
      <c r="Z52" s="25">
        <f>IF(OR(P52="",P52=0),"",N(O52)/(P52/1000))</f>
        <v>0</v>
      </c>
      <c r="AA52" s="24">
        <f>IF(OR(R52="",R52=0),"",N(S52)/R52)</f>
        <v>0</v>
      </c>
      <c r="AB52" s="25">
        <f>IF(OR(S52="",S52=0),"",N(O52)/S52)</f>
        <v>0</v>
      </c>
      <c r="AC52" s="31">
        <f>IF(OR(O52="",O52=0),"",N(T52)/O52)</f>
        <v>0</v>
      </c>
      <c r="AD52" s="25">
        <f>IF(AND(T52="",O52=""),"",N(T52)-N(O52))</f>
        <v>0</v>
      </c>
      <c r="AE52" s="24">
        <f>IF(OR(N52="",N52=0),"",N(O52)/N52)</f>
        <v>0</v>
      </c>
      <c r="AF52" s="29">
        <f>IF(B52="","",IF(N(O52)&gt;N(N52),"Over budget - pause or top up",IF(AND(AC52&lt;&gt;"",AC52&lt;1),"Action - losing money, change it",IF(AND(X52&lt;&gt;"",X52&lt;0.005),"Check - the creative is not landing",IF(AND(U52="Complete",T52=""),"Add - record the revenue","OK")))))</f>
        <v>0</v>
      </c>
    </row>
    <row r="53" spans="1:32">
      <c r="A53" s="41">
        <f>IF(B53="","","AD-"&amp;TEXT(ROW()-4,"000"))</f>
        <v>0</v>
      </c>
      <c r="U53" s="29">
        <f>IF(B53="","",IF(L53="","Planned",IF(AND(L53&lt;=TODAY(),OR(M53="",M53&gt;=TODAY())),"Running",IF(L53&gt;TODAY(),"Planned","Complete"))))</f>
        <v>0</v>
      </c>
      <c r="V53" s="23">
        <f>IF(L53="","",IF(M53="",TODAY()-L53+1,MIN(TODAY(),M53)-L53+1))</f>
        <v>0</v>
      </c>
      <c r="W53" s="25">
        <f>IF(OR(V53="",V53&lt;=0),"",N(O53)/V53)</f>
        <v>0</v>
      </c>
      <c r="X53" s="24">
        <f>IF(OR(P53="",P53=0),"",N(R53)/P53)</f>
        <v>0</v>
      </c>
      <c r="Y53" s="25">
        <f>IF(OR(R53="",R53=0),"",N(O53)/R53)</f>
        <v>0</v>
      </c>
      <c r="Z53" s="25">
        <f>IF(OR(P53="",P53=0),"",N(O53)/(P53/1000))</f>
        <v>0</v>
      </c>
      <c r="AA53" s="24">
        <f>IF(OR(R53="",R53=0),"",N(S53)/R53)</f>
        <v>0</v>
      </c>
      <c r="AB53" s="25">
        <f>IF(OR(S53="",S53=0),"",N(O53)/S53)</f>
        <v>0</v>
      </c>
      <c r="AC53" s="31">
        <f>IF(OR(O53="",O53=0),"",N(T53)/O53)</f>
        <v>0</v>
      </c>
      <c r="AD53" s="25">
        <f>IF(AND(T53="",O53=""),"",N(T53)-N(O53))</f>
        <v>0</v>
      </c>
      <c r="AE53" s="24">
        <f>IF(OR(N53="",N53=0),"",N(O53)/N53)</f>
        <v>0</v>
      </c>
      <c r="AF53" s="29">
        <f>IF(B53="","",IF(N(O53)&gt;N(N53),"Over budget - pause or top up",IF(AND(AC53&lt;&gt;"",AC53&lt;1),"Action - losing money, change it",IF(AND(X53&lt;&gt;"",X53&lt;0.005),"Check - the creative is not landing",IF(AND(U53="Complete",T53=""),"Add - record the revenue","OK")))))</f>
        <v>0</v>
      </c>
    </row>
    <row r="54" spans="1:32">
      <c r="A54" s="41">
        <f>IF(B54="","","AD-"&amp;TEXT(ROW()-4,"000"))</f>
        <v>0</v>
      </c>
      <c r="U54" s="29">
        <f>IF(B54="","",IF(L54="","Planned",IF(AND(L54&lt;=TODAY(),OR(M54="",M54&gt;=TODAY())),"Running",IF(L54&gt;TODAY(),"Planned","Complete"))))</f>
        <v>0</v>
      </c>
      <c r="V54" s="23">
        <f>IF(L54="","",IF(M54="",TODAY()-L54+1,MIN(TODAY(),M54)-L54+1))</f>
        <v>0</v>
      </c>
      <c r="W54" s="25">
        <f>IF(OR(V54="",V54&lt;=0),"",N(O54)/V54)</f>
        <v>0</v>
      </c>
      <c r="X54" s="24">
        <f>IF(OR(P54="",P54=0),"",N(R54)/P54)</f>
        <v>0</v>
      </c>
      <c r="Y54" s="25">
        <f>IF(OR(R54="",R54=0),"",N(O54)/R54)</f>
        <v>0</v>
      </c>
      <c r="Z54" s="25">
        <f>IF(OR(P54="",P54=0),"",N(O54)/(P54/1000))</f>
        <v>0</v>
      </c>
      <c r="AA54" s="24">
        <f>IF(OR(R54="",R54=0),"",N(S54)/R54)</f>
        <v>0</v>
      </c>
      <c r="AB54" s="25">
        <f>IF(OR(S54="",S54=0),"",N(O54)/S54)</f>
        <v>0</v>
      </c>
      <c r="AC54" s="31">
        <f>IF(OR(O54="",O54=0),"",N(T54)/O54)</f>
        <v>0</v>
      </c>
      <c r="AD54" s="25">
        <f>IF(AND(T54="",O54=""),"",N(T54)-N(O54))</f>
        <v>0</v>
      </c>
      <c r="AE54" s="24">
        <f>IF(OR(N54="",N54=0),"",N(O54)/N54)</f>
        <v>0</v>
      </c>
      <c r="AF54" s="29">
        <f>IF(B54="","",IF(N(O54)&gt;N(N54),"Over budget - pause or top up",IF(AND(AC54&lt;&gt;"",AC54&lt;1),"Action - losing money, change it",IF(AND(X54&lt;&gt;"",X54&lt;0.005),"Check - the creative is not landing",IF(AND(U54="Complete",T54=""),"Add - record the revenue","OK")))))</f>
        <v>0</v>
      </c>
    </row>
    <row r="55" spans="1:32">
      <c r="A55" s="41">
        <f>IF(B55="","","AD-"&amp;TEXT(ROW()-4,"000"))</f>
        <v>0</v>
      </c>
      <c r="U55" s="29">
        <f>IF(B55="","",IF(L55="","Planned",IF(AND(L55&lt;=TODAY(),OR(M55="",M55&gt;=TODAY())),"Running",IF(L55&gt;TODAY(),"Planned","Complete"))))</f>
        <v>0</v>
      </c>
      <c r="V55" s="23">
        <f>IF(L55="","",IF(M55="",TODAY()-L55+1,MIN(TODAY(),M55)-L55+1))</f>
        <v>0</v>
      </c>
      <c r="W55" s="25">
        <f>IF(OR(V55="",V55&lt;=0),"",N(O55)/V55)</f>
        <v>0</v>
      </c>
      <c r="X55" s="24">
        <f>IF(OR(P55="",P55=0),"",N(R55)/P55)</f>
        <v>0</v>
      </c>
      <c r="Y55" s="25">
        <f>IF(OR(R55="",R55=0),"",N(O55)/R55)</f>
        <v>0</v>
      </c>
      <c r="Z55" s="25">
        <f>IF(OR(P55="",P55=0),"",N(O55)/(P55/1000))</f>
        <v>0</v>
      </c>
      <c r="AA55" s="24">
        <f>IF(OR(R55="",R55=0),"",N(S55)/R55)</f>
        <v>0</v>
      </c>
      <c r="AB55" s="25">
        <f>IF(OR(S55="",S55=0),"",N(O55)/S55)</f>
        <v>0</v>
      </c>
      <c r="AC55" s="31">
        <f>IF(OR(O55="",O55=0),"",N(T55)/O55)</f>
        <v>0</v>
      </c>
      <c r="AD55" s="25">
        <f>IF(AND(T55="",O55=""),"",N(T55)-N(O55))</f>
        <v>0</v>
      </c>
      <c r="AE55" s="24">
        <f>IF(OR(N55="",N55=0),"",N(O55)/N55)</f>
        <v>0</v>
      </c>
      <c r="AF55" s="29">
        <f>IF(B55="","",IF(N(O55)&gt;N(N55),"Over budget - pause or top up",IF(AND(AC55&lt;&gt;"",AC55&lt;1),"Action - losing money, change it",IF(AND(X55&lt;&gt;"",X55&lt;0.005),"Check - the creative is not landing",IF(AND(U55="Complete",T55=""),"Add - record the revenue","OK")))))</f>
        <v>0</v>
      </c>
    </row>
    <row r="56" spans="1:32">
      <c r="A56" s="41">
        <f>IF(B56="","","AD-"&amp;TEXT(ROW()-4,"000"))</f>
        <v>0</v>
      </c>
      <c r="U56" s="29">
        <f>IF(B56="","",IF(L56="","Planned",IF(AND(L56&lt;=TODAY(),OR(M56="",M56&gt;=TODAY())),"Running",IF(L56&gt;TODAY(),"Planned","Complete"))))</f>
        <v>0</v>
      </c>
      <c r="V56" s="23">
        <f>IF(L56="","",IF(M56="",TODAY()-L56+1,MIN(TODAY(),M56)-L56+1))</f>
        <v>0</v>
      </c>
      <c r="W56" s="25">
        <f>IF(OR(V56="",V56&lt;=0),"",N(O56)/V56)</f>
        <v>0</v>
      </c>
      <c r="X56" s="24">
        <f>IF(OR(P56="",P56=0),"",N(R56)/P56)</f>
        <v>0</v>
      </c>
      <c r="Y56" s="25">
        <f>IF(OR(R56="",R56=0),"",N(O56)/R56)</f>
        <v>0</v>
      </c>
      <c r="Z56" s="25">
        <f>IF(OR(P56="",P56=0),"",N(O56)/(P56/1000))</f>
        <v>0</v>
      </c>
      <c r="AA56" s="24">
        <f>IF(OR(R56="",R56=0),"",N(S56)/R56)</f>
        <v>0</v>
      </c>
      <c r="AB56" s="25">
        <f>IF(OR(S56="",S56=0),"",N(O56)/S56)</f>
        <v>0</v>
      </c>
      <c r="AC56" s="31">
        <f>IF(OR(O56="",O56=0),"",N(T56)/O56)</f>
        <v>0</v>
      </c>
      <c r="AD56" s="25">
        <f>IF(AND(T56="",O56=""),"",N(T56)-N(O56))</f>
        <v>0</v>
      </c>
      <c r="AE56" s="24">
        <f>IF(OR(N56="",N56=0),"",N(O56)/N56)</f>
        <v>0</v>
      </c>
      <c r="AF56" s="29">
        <f>IF(B56="","",IF(N(O56)&gt;N(N56),"Over budget - pause or top up",IF(AND(AC56&lt;&gt;"",AC56&lt;1),"Action - losing money, change it",IF(AND(X56&lt;&gt;"",X56&lt;0.005),"Check - the creative is not landing",IF(AND(U56="Complete",T56=""),"Add - record the revenue","OK")))))</f>
        <v>0</v>
      </c>
    </row>
    <row r="57" spans="1:32">
      <c r="A57" s="41">
        <f>IF(B57="","","AD-"&amp;TEXT(ROW()-4,"000"))</f>
        <v>0</v>
      </c>
      <c r="U57" s="29">
        <f>IF(B57="","",IF(L57="","Planned",IF(AND(L57&lt;=TODAY(),OR(M57="",M57&gt;=TODAY())),"Running",IF(L57&gt;TODAY(),"Planned","Complete"))))</f>
        <v>0</v>
      </c>
      <c r="V57" s="23">
        <f>IF(L57="","",IF(M57="",TODAY()-L57+1,MIN(TODAY(),M57)-L57+1))</f>
        <v>0</v>
      </c>
      <c r="W57" s="25">
        <f>IF(OR(V57="",V57&lt;=0),"",N(O57)/V57)</f>
        <v>0</v>
      </c>
      <c r="X57" s="24">
        <f>IF(OR(P57="",P57=0),"",N(R57)/P57)</f>
        <v>0</v>
      </c>
      <c r="Y57" s="25">
        <f>IF(OR(R57="",R57=0),"",N(O57)/R57)</f>
        <v>0</v>
      </c>
      <c r="Z57" s="25">
        <f>IF(OR(P57="",P57=0),"",N(O57)/(P57/1000))</f>
        <v>0</v>
      </c>
      <c r="AA57" s="24">
        <f>IF(OR(R57="",R57=0),"",N(S57)/R57)</f>
        <v>0</v>
      </c>
      <c r="AB57" s="25">
        <f>IF(OR(S57="",S57=0),"",N(O57)/S57)</f>
        <v>0</v>
      </c>
      <c r="AC57" s="31">
        <f>IF(OR(O57="",O57=0),"",N(T57)/O57)</f>
        <v>0</v>
      </c>
      <c r="AD57" s="25">
        <f>IF(AND(T57="",O57=""),"",N(T57)-N(O57))</f>
        <v>0</v>
      </c>
      <c r="AE57" s="24">
        <f>IF(OR(N57="",N57=0),"",N(O57)/N57)</f>
        <v>0</v>
      </c>
      <c r="AF57" s="29">
        <f>IF(B57="","",IF(N(O57)&gt;N(N57),"Over budget - pause or top up",IF(AND(AC57&lt;&gt;"",AC57&lt;1),"Action - losing money, change it",IF(AND(X57&lt;&gt;"",X57&lt;0.005),"Check - the creative is not landing",IF(AND(U57="Complete",T57=""),"Add - record the revenue","OK")))))</f>
        <v>0</v>
      </c>
    </row>
    <row r="58" spans="1:32">
      <c r="A58" s="41">
        <f>IF(B58="","","AD-"&amp;TEXT(ROW()-4,"000"))</f>
        <v>0</v>
      </c>
      <c r="U58" s="29">
        <f>IF(B58="","",IF(L58="","Planned",IF(AND(L58&lt;=TODAY(),OR(M58="",M58&gt;=TODAY())),"Running",IF(L58&gt;TODAY(),"Planned","Complete"))))</f>
        <v>0</v>
      </c>
      <c r="V58" s="23">
        <f>IF(L58="","",IF(M58="",TODAY()-L58+1,MIN(TODAY(),M58)-L58+1))</f>
        <v>0</v>
      </c>
      <c r="W58" s="25">
        <f>IF(OR(V58="",V58&lt;=0),"",N(O58)/V58)</f>
        <v>0</v>
      </c>
      <c r="X58" s="24">
        <f>IF(OR(P58="",P58=0),"",N(R58)/P58)</f>
        <v>0</v>
      </c>
      <c r="Y58" s="25">
        <f>IF(OR(R58="",R58=0),"",N(O58)/R58)</f>
        <v>0</v>
      </c>
      <c r="Z58" s="25">
        <f>IF(OR(P58="",P58=0),"",N(O58)/(P58/1000))</f>
        <v>0</v>
      </c>
      <c r="AA58" s="24">
        <f>IF(OR(R58="",R58=0),"",N(S58)/R58)</f>
        <v>0</v>
      </c>
      <c r="AB58" s="25">
        <f>IF(OR(S58="",S58=0),"",N(O58)/S58)</f>
        <v>0</v>
      </c>
      <c r="AC58" s="31">
        <f>IF(OR(O58="",O58=0),"",N(T58)/O58)</f>
        <v>0</v>
      </c>
      <c r="AD58" s="25">
        <f>IF(AND(T58="",O58=""),"",N(T58)-N(O58))</f>
        <v>0</v>
      </c>
      <c r="AE58" s="24">
        <f>IF(OR(N58="",N58=0),"",N(O58)/N58)</f>
        <v>0</v>
      </c>
      <c r="AF58" s="29">
        <f>IF(B58="","",IF(N(O58)&gt;N(N58),"Over budget - pause or top up",IF(AND(AC58&lt;&gt;"",AC58&lt;1),"Action - losing money, change it",IF(AND(X58&lt;&gt;"",X58&lt;0.005),"Check - the creative is not landing",IF(AND(U58="Complete",T58=""),"Add - record the revenue","OK")))))</f>
        <v>0</v>
      </c>
    </row>
    <row r="59" spans="1:32">
      <c r="A59" s="41">
        <f>IF(B59="","","AD-"&amp;TEXT(ROW()-4,"000"))</f>
        <v>0</v>
      </c>
      <c r="U59" s="29">
        <f>IF(B59="","",IF(L59="","Planned",IF(AND(L59&lt;=TODAY(),OR(M59="",M59&gt;=TODAY())),"Running",IF(L59&gt;TODAY(),"Planned","Complete"))))</f>
        <v>0</v>
      </c>
      <c r="V59" s="23">
        <f>IF(L59="","",IF(M59="",TODAY()-L59+1,MIN(TODAY(),M59)-L59+1))</f>
        <v>0</v>
      </c>
      <c r="W59" s="25">
        <f>IF(OR(V59="",V59&lt;=0),"",N(O59)/V59)</f>
        <v>0</v>
      </c>
      <c r="X59" s="24">
        <f>IF(OR(P59="",P59=0),"",N(R59)/P59)</f>
        <v>0</v>
      </c>
      <c r="Y59" s="25">
        <f>IF(OR(R59="",R59=0),"",N(O59)/R59)</f>
        <v>0</v>
      </c>
      <c r="Z59" s="25">
        <f>IF(OR(P59="",P59=0),"",N(O59)/(P59/1000))</f>
        <v>0</v>
      </c>
      <c r="AA59" s="24">
        <f>IF(OR(R59="",R59=0),"",N(S59)/R59)</f>
        <v>0</v>
      </c>
      <c r="AB59" s="25">
        <f>IF(OR(S59="",S59=0),"",N(O59)/S59)</f>
        <v>0</v>
      </c>
      <c r="AC59" s="31">
        <f>IF(OR(O59="",O59=0),"",N(T59)/O59)</f>
        <v>0</v>
      </c>
      <c r="AD59" s="25">
        <f>IF(AND(T59="",O59=""),"",N(T59)-N(O59))</f>
        <v>0</v>
      </c>
      <c r="AE59" s="24">
        <f>IF(OR(N59="",N59=0),"",N(O59)/N59)</f>
        <v>0</v>
      </c>
      <c r="AF59" s="29">
        <f>IF(B59="","",IF(N(O59)&gt;N(N59),"Over budget - pause or top up",IF(AND(AC59&lt;&gt;"",AC59&lt;1),"Action - losing money, change it",IF(AND(X59&lt;&gt;"",X59&lt;0.005),"Check - the creative is not landing",IF(AND(U59="Complete",T59=""),"Add - record the revenue","OK")))))</f>
        <v>0</v>
      </c>
    </row>
    <row r="60" spans="1:32">
      <c r="A60" s="41">
        <f>IF(B60="","","AD-"&amp;TEXT(ROW()-4,"000"))</f>
        <v>0</v>
      </c>
      <c r="U60" s="29">
        <f>IF(B60="","",IF(L60="","Planned",IF(AND(L60&lt;=TODAY(),OR(M60="",M60&gt;=TODAY())),"Running",IF(L60&gt;TODAY(),"Planned","Complete"))))</f>
        <v>0</v>
      </c>
      <c r="V60" s="23">
        <f>IF(L60="","",IF(M60="",TODAY()-L60+1,MIN(TODAY(),M60)-L60+1))</f>
        <v>0</v>
      </c>
      <c r="W60" s="25">
        <f>IF(OR(V60="",V60&lt;=0),"",N(O60)/V60)</f>
        <v>0</v>
      </c>
      <c r="X60" s="24">
        <f>IF(OR(P60="",P60=0),"",N(R60)/P60)</f>
        <v>0</v>
      </c>
      <c r="Y60" s="25">
        <f>IF(OR(R60="",R60=0),"",N(O60)/R60)</f>
        <v>0</v>
      </c>
      <c r="Z60" s="25">
        <f>IF(OR(P60="",P60=0),"",N(O60)/(P60/1000))</f>
        <v>0</v>
      </c>
      <c r="AA60" s="24">
        <f>IF(OR(R60="",R60=0),"",N(S60)/R60)</f>
        <v>0</v>
      </c>
      <c r="AB60" s="25">
        <f>IF(OR(S60="",S60=0),"",N(O60)/S60)</f>
        <v>0</v>
      </c>
      <c r="AC60" s="31">
        <f>IF(OR(O60="",O60=0),"",N(T60)/O60)</f>
        <v>0</v>
      </c>
      <c r="AD60" s="25">
        <f>IF(AND(T60="",O60=""),"",N(T60)-N(O60))</f>
        <v>0</v>
      </c>
      <c r="AE60" s="24">
        <f>IF(OR(N60="",N60=0),"",N(O60)/N60)</f>
        <v>0</v>
      </c>
      <c r="AF60" s="29">
        <f>IF(B60="","",IF(N(O60)&gt;N(N60),"Over budget - pause or top up",IF(AND(AC60&lt;&gt;"",AC60&lt;1),"Action - losing money, change it",IF(AND(X60&lt;&gt;"",X60&lt;0.005),"Check - the creative is not landing",IF(AND(U60="Complete",T60=""),"Add - record the revenue","OK")))))</f>
        <v>0</v>
      </c>
    </row>
    <row r="61" spans="1:32">
      <c r="A61" s="41">
        <f>IF(B61="","","AD-"&amp;TEXT(ROW()-4,"000"))</f>
        <v>0</v>
      </c>
      <c r="U61" s="29">
        <f>IF(B61="","",IF(L61="","Planned",IF(AND(L61&lt;=TODAY(),OR(M61="",M61&gt;=TODAY())),"Running",IF(L61&gt;TODAY(),"Planned","Complete"))))</f>
        <v>0</v>
      </c>
      <c r="V61" s="23">
        <f>IF(L61="","",IF(M61="",TODAY()-L61+1,MIN(TODAY(),M61)-L61+1))</f>
        <v>0</v>
      </c>
      <c r="W61" s="25">
        <f>IF(OR(V61="",V61&lt;=0),"",N(O61)/V61)</f>
        <v>0</v>
      </c>
      <c r="X61" s="24">
        <f>IF(OR(P61="",P61=0),"",N(R61)/P61)</f>
        <v>0</v>
      </c>
      <c r="Y61" s="25">
        <f>IF(OR(R61="",R61=0),"",N(O61)/R61)</f>
        <v>0</v>
      </c>
      <c r="Z61" s="25">
        <f>IF(OR(P61="",P61=0),"",N(O61)/(P61/1000))</f>
        <v>0</v>
      </c>
      <c r="AA61" s="24">
        <f>IF(OR(R61="",R61=0),"",N(S61)/R61)</f>
        <v>0</v>
      </c>
      <c r="AB61" s="25">
        <f>IF(OR(S61="",S61=0),"",N(O61)/S61)</f>
        <v>0</v>
      </c>
      <c r="AC61" s="31">
        <f>IF(OR(O61="",O61=0),"",N(T61)/O61)</f>
        <v>0</v>
      </c>
      <c r="AD61" s="25">
        <f>IF(AND(T61="",O61=""),"",N(T61)-N(O61))</f>
        <v>0</v>
      </c>
      <c r="AE61" s="24">
        <f>IF(OR(N61="",N61=0),"",N(O61)/N61)</f>
        <v>0</v>
      </c>
      <c r="AF61" s="29">
        <f>IF(B61="","",IF(N(O61)&gt;N(N61),"Over budget - pause or top up",IF(AND(AC61&lt;&gt;"",AC61&lt;1),"Action - losing money, change it",IF(AND(X61&lt;&gt;"",X61&lt;0.005),"Check - the creative is not landing",IF(AND(U61="Complete",T61=""),"Add - record the revenue","OK")))))</f>
        <v>0</v>
      </c>
    </row>
    <row r="62" spans="1:32">
      <c r="A62" s="41">
        <f>IF(B62="","","AD-"&amp;TEXT(ROW()-4,"000"))</f>
        <v>0</v>
      </c>
      <c r="U62" s="29">
        <f>IF(B62="","",IF(L62="","Planned",IF(AND(L62&lt;=TODAY(),OR(M62="",M62&gt;=TODAY())),"Running",IF(L62&gt;TODAY(),"Planned","Complete"))))</f>
        <v>0</v>
      </c>
      <c r="V62" s="23">
        <f>IF(L62="","",IF(M62="",TODAY()-L62+1,MIN(TODAY(),M62)-L62+1))</f>
        <v>0</v>
      </c>
      <c r="W62" s="25">
        <f>IF(OR(V62="",V62&lt;=0),"",N(O62)/V62)</f>
        <v>0</v>
      </c>
      <c r="X62" s="24">
        <f>IF(OR(P62="",P62=0),"",N(R62)/P62)</f>
        <v>0</v>
      </c>
      <c r="Y62" s="25">
        <f>IF(OR(R62="",R62=0),"",N(O62)/R62)</f>
        <v>0</v>
      </c>
      <c r="Z62" s="25">
        <f>IF(OR(P62="",P62=0),"",N(O62)/(P62/1000))</f>
        <v>0</v>
      </c>
      <c r="AA62" s="24">
        <f>IF(OR(R62="",R62=0),"",N(S62)/R62)</f>
        <v>0</v>
      </c>
      <c r="AB62" s="25">
        <f>IF(OR(S62="",S62=0),"",N(O62)/S62)</f>
        <v>0</v>
      </c>
      <c r="AC62" s="31">
        <f>IF(OR(O62="",O62=0),"",N(T62)/O62)</f>
        <v>0</v>
      </c>
      <c r="AD62" s="25">
        <f>IF(AND(T62="",O62=""),"",N(T62)-N(O62))</f>
        <v>0</v>
      </c>
      <c r="AE62" s="24">
        <f>IF(OR(N62="",N62=0),"",N(O62)/N62)</f>
        <v>0</v>
      </c>
      <c r="AF62" s="29">
        <f>IF(B62="","",IF(N(O62)&gt;N(N62),"Over budget - pause or top up",IF(AND(AC62&lt;&gt;"",AC62&lt;1),"Action - losing money, change it",IF(AND(X62&lt;&gt;"",X62&lt;0.005),"Check - the creative is not landing",IF(AND(U62="Complete",T62=""),"Add - record the revenue","OK")))))</f>
        <v>0</v>
      </c>
    </row>
    <row r="63" spans="1:32">
      <c r="A63" s="41">
        <f>IF(B63="","","AD-"&amp;TEXT(ROW()-4,"000"))</f>
        <v>0</v>
      </c>
      <c r="U63" s="29">
        <f>IF(B63="","",IF(L63="","Planned",IF(AND(L63&lt;=TODAY(),OR(M63="",M63&gt;=TODAY())),"Running",IF(L63&gt;TODAY(),"Planned","Complete"))))</f>
        <v>0</v>
      </c>
      <c r="V63" s="23">
        <f>IF(L63="","",IF(M63="",TODAY()-L63+1,MIN(TODAY(),M63)-L63+1))</f>
        <v>0</v>
      </c>
      <c r="W63" s="25">
        <f>IF(OR(V63="",V63&lt;=0),"",N(O63)/V63)</f>
        <v>0</v>
      </c>
      <c r="X63" s="24">
        <f>IF(OR(P63="",P63=0),"",N(R63)/P63)</f>
        <v>0</v>
      </c>
      <c r="Y63" s="25">
        <f>IF(OR(R63="",R63=0),"",N(O63)/R63)</f>
        <v>0</v>
      </c>
      <c r="Z63" s="25">
        <f>IF(OR(P63="",P63=0),"",N(O63)/(P63/1000))</f>
        <v>0</v>
      </c>
      <c r="AA63" s="24">
        <f>IF(OR(R63="",R63=0),"",N(S63)/R63)</f>
        <v>0</v>
      </c>
      <c r="AB63" s="25">
        <f>IF(OR(S63="",S63=0),"",N(O63)/S63)</f>
        <v>0</v>
      </c>
      <c r="AC63" s="31">
        <f>IF(OR(O63="",O63=0),"",N(T63)/O63)</f>
        <v>0</v>
      </c>
      <c r="AD63" s="25">
        <f>IF(AND(T63="",O63=""),"",N(T63)-N(O63))</f>
        <v>0</v>
      </c>
      <c r="AE63" s="24">
        <f>IF(OR(N63="",N63=0),"",N(O63)/N63)</f>
        <v>0</v>
      </c>
      <c r="AF63" s="29">
        <f>IF(B63="","",IF(N(O63)&gt;N(N63),"Over budget - pause or top up",IF(AND(AC63&lt;&gt;"",AC63&lt;1),"Action - losing money, change it",IF(AND(X63&lt;&gt;"",X63&lt;0.005),"Check - the creative is not landing",IF(AND(U63="Complete",T63=""),"Add - record the revenue","OK")))))</f>
        <v>0</v>
      </c>
    </row>
    <row r="64" spans="1:32">
      <c r="A64" s="41">
        <f>IF(B64="","","AD-"&amp;TEXT(ROW()-4,"000"))</f>
        <v>0</v>
      </c>
      <c r="U64" s="29">
        <f>IF(B64="","",IF(L64="","Planned",IF(AND(L64&lt;=TODAY(),OR(M64="",M64&gt;=TODAY())),"Running",IF(L64&gt;TODAY(),"Planned","Complete"))))</f>
        <v>0</v>
      </c>
      <c r="V64" s="23">
        <f>IF(L64="","",IF(M64="",TODAY()-L64+1,MIN(TODAY(),M64)-L64+1))</f>
        <v>0</v>
      </c>
      <c r="W64" s="25">
        <f>IF(OR(V64="",V64&lt;=0),"",N(O64)/V64)</f>
        <v>0</v>
      </c>
      <c r="X64" s="24">
        <f>IF(OR(P64="",P64=0),"",N(R64)/P64)</f>
        <v>0</v>
      </c>
      <c r="Y64" s="25">
        <f>IF(OR(R64="",R64=0),"",N(O64)/R64)</f>
        <v>0</v>
      </c>
      <c r="Z64" s="25">
        <f>IF(OR(P64="",P64=0),"",N(O64)/(P64/1000))</f>
        <v>0</v>
      </c>
      <c r="AA64" s="24">
        <f>IF(OR(R64="",R64=0),"",N(S64)/R64)</f>
        <v>0</v>
      </c>
      <c r="AB64" s="25">
        <f>IF(OR(S64="",S64=0),"",N(O64)/S64)</f>
        <v>0</v>
      </c>
      <c r="AC64" s="31">
        <f>IF(OR(O64="",O64=0),"",N(T64)/O64)</f>
        <v>0</v>
      </c>
      <c r="AD64" s="25">
        <f>IF(AND(T64="",O64=""),"",N(T64)-N(O64))</f>
        <v>0</v>
      </c>
      <c r="AE64" s="24">
        <f>IF(OR(N64="",N64=0),"",N(O64)/N64)</f>
        <v>0</v>
      </c>
      <c r="AF64" s="29">
        <f>IF(B64="","",IF(N(O64)&gt;N(N64),"Over budget - pause or top up",IF(AND(AC64&lt;&gt;"",AC64&lt;1),"Action - losing money, change it",IF(AND(X64&lt;&gt;"",X64&lt;0.005),"Check - the creative is not landing",IF(AND(U64="Complete",T64=""),"Add - record the revenue","OK")))))</f>
        <v>0</v>
      </c>
    </row>
    <row r="65" spans="1:32">
      <c r="A65" s="41">
        <f>IF(B65="","","AD-"&amp;TEXT(ROW()-4,"000"))</f>
        <v>0</v>
      </c>
      <c r="U65" s="29">
        <f>IF(B65="","",IF(L65="","Planned",IF(AND(L65&lt;=TODAY(),OR(M65="",M65&gt;=TODAY())),"Running",IF(L65&gt;TODAY(),"Planned","Complete"))))</f>
        <v>0</v>
      </c>
      <c r="V65" s="23">
        <f>IF(L65="","",IF(M65="",TODAY()-L65+1,MIN(TODAY(),M65)-L65+1))</f>
        <v>0</v>
      </c>
      <c r="W65" s="25">
        <f>IF(OR(V65="",V65&lt;=0),"",N(O65)/V65)</f>
        <v>0</v>
      </c>
      <c r="X65" s="24">
        <f>IF(OR(P65="",P65=0),"",N(R65)/P65)</f>
        <v>0</v>
      </c>
      <c r="Y65" s="25">
        <f>IF(OR(R65="",R65=0),"",N(O65)/R65)</f>
        <v>0</v>
      </c>
      <c r="Z65" s="25">
        <f>IF(OR(P65="",P65=0),"",N(O65)/(P65/1000))</f>
        <v>0</v>
      </c>
      <c r="AA65" s="24">
        <f>IF(OR(R65="",R65=0),"",N(S65)/R65)</f>
        <v>0</v>
      </c>
      <c r="AB65" s="25">
        <f>IF(OR(S65="",S65=0),"",N(O65)/S65)</f>
        <v>0</v>
      </c>
      <c r="AC65" s="31">
        <f>IF(OR(O65="",O65=0),"",N(T65)/O65)</f>
        <v>0</v>
      </c>
      <c r="AD65" s="25">
        <f>IF(AND(T65="",O65=""),"",N(T65)-N(O65))</f>
        <v>0</v>
      </c>
      <c r="AE65" s="24">
        <f>IF(OR(N65="",N65=0),"",N(O65)/N65)</f>
        <v>0</v>
      </c>
      <c r="AF65" s="29">
        <f>IF(B65="","",IF(N(O65)&gt;N(N65),"Over budget - pause or top up",IF(AND(AC65&lt;&gt;"",AC65&lt;1),"Action - losing money, change it",IF(AND(X65&lt;&gt;"",X65&lt;0.005),"Check - the creative is not landing",IF(AND(U65="Complete",T65=""),"Add - record the revenue","OK")))))</f>
        <v>0</v>
      </c>
    </row>
    <row r="66" spans="1:32">
      <c r="A66" s="41">
        <f>IF(B66="","","AD-"&amp;TEXT(ROW()-4,"000"))</f>
        <v>0</v>
      </c>
      <c r="U66" s="29">
        <f>IF(B66="","",IF(L66="","Planned",IF(AND(L66&lt;=TODAY(),OR(M66="",M66&gt;=TODAY())),"Running",IF(L66&gt;TODAY(),"Planned","Complete"))))</f>
        <v>0</v>
      </c>
      <c r="V66" s="23">
        <f>IF(L66="","",IF(M66="",TODAY()-L66+1,MIN(TODAY(),M66)-L66+1))</f>
        <v>0</v>
      </c>
      <c r="W66" s="25">
        <f>IF(OR(V66="",V66&lt;=0),"",N(O66)/V66)</f>
        <v>0</v>
      </c>
      <c r="X66" s="24">
        <f>IF(OR(P66="",P66=0),"",N(R66)/P66)</f>
        <v>0</v>
      </c>
      <c r="Y66" s="25">
        <f>IF(OR(R66="",R66=0),"",N(O66)/R66)</f>
        <v>0</v>
      </c>
      <c r="Z66" s="25">
        <f>IF(OR(P66="",P66=0),"",N(O66)/(P66/1000))</f>
        <v>0</v>
      </c>
      <c r="AA66" s="24">
        <f>IF(OR(R66="",R66=0),"",N(S66)/R66)</f>
        <v>0</v>
      </c>
      <c r="AB66" s="25">
        <f>IF(OR(S66="",S66=0),"",N(O66)/S66)</f>
        <v>0</v>
      </c>
      <c r="AC66" s="31">
        <f>IF(OR(O66="",O66=0),"",N(T66)/O66)</f>
        <v>0</v>
      </c>
      <c r="AD66" s="25">
        <f>IF(AND(T66="",O66=""),"",N(T66)-N(O66))</f>
        <v>0</v>
      </c>
      <c r="AE66" s="24">
        <f>IF(OR(N66="",N66=0),"",N(O66)/N66)</f>
        <v>0</v>
      </c>
      <c r="AF66" s="29">
        <f>IF(B66="","",IF(N(O66)&gt;N(N66),"Over budget - pause or top up",IF(AND(AC66&lt;&gt;"",AC66&lt;1),"Action - losing money, change it",IF(AND(X66&lt;&gt;"",X66&lt;0.005),"Check - the creative is not landing",IF(AND(U66="Complete",T66=""),"Add - record the revenue","OK")))))</f>
        <v>0</v>
      </c>
    </row>
    <row r="67" spans="1:32">
      <c r="A67" s="41">
        <f>IF(B67="","","AD-"&amp;TEXT(ROW()-4,"000"))</f>
        <v>0</v>
      </c>
      <c r="U67" s="29">
        <f>IF(B67="","",IF(L67="","Planned",IF(AND(L67&lt;=TODAY(),OR(M67="",M67&gt;=TODAY())),"Running",IF(L67&gt;TODAY(),"Planned","Complete"))))</f>
        <v>0</v>
      </c>
      <c r="V67" s="23">
        <f>IF(L67="","",IF(M67="",TODAY()-L67+1,MIN(TODAY(),M67)-L67+1))</f>
        <v>0</v>
      </c>
      <c r="W67" s="25">
        <f>IF(OR(V67="",V67&lt;=0),"",N(O67)/V67)</f>
        <v>0</v>
      </c>
      <c r="X67" s="24">
        <f>IF(OR(P67="",P67=0),"",N(R67)/P67)</f>
        <v>0</v>
      </c>
      <c r="Y67" s="25">
        <f>IF(OR(R67="",R67=0),"",N(O67)/R67)</f>
        <v>0</v>
      </c>
      <c r="Z67" s="25">
        <f>IF(OR(P67="",P67=0),"",N(O67)/(P67/1000))</f>
        <v>0</v>
      </c>
      <c r="AA67" s="24">
        <f>IF(OR(R67="",R67=0),"",N(S67)/R67)</f>
        <v>0</v>
      </c>
      <c r="AB67" s="25">
        <f>IF(OR(S67="",S67=0),"",N(O67)/S67)</f>
        <v>0</v>
      </c>
      <c r="AC67" s="31">
        <f>IF(OR(O67="",O67=0),"",N(T67)/O67)</f>
        <v>0</v>
      </c>
      <c r="AD67" s="25">
        <f>IF(AND(T67="",O67=""),"",N(T67)-N(O67))</f>
        <v>0</v>
      </c>
      <c r="AE67" s="24">
        <f>IF(OR(N67="",N67=0),"",N(O67)/N67)</f>
        <v>0</v>
      </c>
      <c r="AF67" s="29">
        <f>IF(B67="","",IF(N(O67)&gt;N(N67),"Over budget - pause or top up",IF(AND(AC67&lt;&gt;"",AC67&lt;1),"Action - losing money, change it",IF(AND(X67&lt;&gt;"",X67&lt;0.005),"Check - the creative is not landing",IF(AND(U67="Complete",T67=""),"Add - record the revenue","OK")))))</f>
        <v>0</v>
      </c>
    </row>
    <row r="68" spans="1:32">
      <c r="A68" s="41">
        <f>IF(B68="","","AD-"&amp;TEXT(ROW()-4,"000"))</f>
        <v>0</v>
      </c>
      <c r="U68" s="29">
        <f>IF(B68="","",IF(L68="","Planned",IF(AND(L68&lt;=TODAY(),OR(M68="",M68&gt;=TODAY())),"Running",IF(L68&gt;TODAY(),"Planned","Complete"))))</f>
        <v>0</v>
      </c>
      <c r="V68" s="23">
        <f>IF(L68="","",IF(M68="",TODAY()-L68+1,MIN(TODAY(),M68)-L68+1))</f>
        <v>0</v>
      </c>
      <c r="W68" s="25">
        <f>IF(OR(V68="",V68&lt;=0),"",N(O68)/V68)</f>
        <v>0</v>
      </c>
      <c r="X68" s="24">
        <f>IF(OR(P68="",P68=0),"",N(R68)/P68)</f>
        <v>0</v>
      </c>
      <c r="Y68" s="25">
        <f>IF(OR(R68="",R68=0),"",N(O68)/R68)</f>
        <v>0</v>
      </c>
      <c r="Z68" s="25">
        <f>IF(OR(P68="",P68=0),"",N(O68)/(P68/1000))</f>
        <v>0</v>
      </c>
      <c r="AA68" s="24">
        <f>IF(OR(R68="",R68=0),"",N(S68)/R68)</f>
        <v>0</v>
      </c>
      <c r="AB68" s="25">
        <f>IF(OR(S68="",S68=0),"",N(O68)/S68)</f>
        <v>0</v>
      </c>
      <c r="AC68" s="31">
        <f>IF(OR(O68="",O68=0),"",N(T68)/O68)</f>
        <v>0</v>
      </c>
      <c r="AD68" s="25">
        <f>IF(AND(T68="",O68=""),"",N(T68)-N(O68))</f>
        <v>0</v>
      </c>
      <c r="AE68" s="24">
        <f>IF(OR(N68="",N68=0),"",N(O68)/N68)</f>
        <v>0</v>
      </c>
      <c r="AF68" s="29">
        <f>IF(B68="","",IF(N(O68)&gt;N(N68),"Over budget - pause or top up",IF(AND(AC68&lt;&gt;"",AC68&lt;1),"Action - losing money, change it",IF(AND(X68&lt;&gt;"",X68&lt;0.005),"Check - the creative is not landing",IF(AND(U68="Complete",T68=""),"Add - record the revenue","OK")))))</f>
        <v>0</v>
      </c>
    </row>
    <row r="69" spans="1:32">
      <c r="A69" s="41">
        <f>IF(B69="","","AD-"&amp;TEXT(ROW()-4,"000"))</f>
        <v>0</v>
      </c>
      <c r="U69" s="29">
        <f>IF(B69="","",IF(L69="","Planned",IF(AND(L69&lt;=TODAY(),OR(M69="",M69&gt;=TODAY())),"Running",IF(L69&gt;TODAY(),"Planned","Complete"))))</f>
        <v>0</v>
      </c>
      <c r="V69" s="23">
        <f>IF(L69="","",IF(M69="",TODAY()-L69+1,MIN(TODAY(),M69)-L69+1))</f>
        <v>0</v>
      </c>
      <c r="W69" s="25">
        <f>IF(OR(V69="",V69&lt;=0),"",N(O69)/V69)</f>
        <v>0</v>
      </c>
      <c r="X69" s="24">
        <f>IF(OR(P69="",P69=0),"",N(R69)/P69)</f>
        <v>0</v>
      </c>
      <c r="Y69" s="25">
        <f>IF(OR(R69="",R69=0),"",N(O69)/R69)</f>
        <v>0</v>
      </c>
      <c r="Z69" s="25">
        <f>IF(OR(P69="",P69=0),"",N(O69)/(P69/1000))</f>
        <v>0</v>
      </c>
      <c r="AA69" s="24">
        <f>IF(OR(R69="",R69=0),"",N(S69)/R69)</f>
        <v>0</v>
      </c>
      <c r="AB69" s="25">
        <f>IF(OR(S69="",S69=0),"",N(O69)/S69)</f>
        <v>0</v>
      </c>
      <c r="AC69" s="31">
        <f>IF(OR(O69="",O69=0),"",N(T69)/O69)</f>
        <v>0</v>
      </c>
      <c r="AD69" s="25">
        <f>IF(AND(T69="",O69=""),"",N(T69)-N(O69))</f>
        <v>0</v>
      </c>
      <c r="AE69" s="24">
        <f>IF(OR(N69="",N69=0),"",N(O69)/N69)</f>
        <v>0</v>
      </c>
      <c r="AF69" s="29">
        <f>IF(B69="","",IF(N(O69)&gt;N(N69),"Over budget - pause or top up",IF(AND(AC69&lt;&gt;"",AC69&lt;1),"Action - losing money, change it",IF(AND(X69&lt;&gt;"",X69&lt;0.005),"Check - the creative is not landing",IF(AND(U69="Complete",T69=""),"Add - record the revenue","OK")))))</f>
        <v>0</v>
      </c>
    </row>
    <row r="70" spans="1:32">
      <c r="A70" s="41">
        <f>IF(B70="","","AD-"&amp;TEXT(ROW()-4,"000"))</f>
        <v>0</v>
      </c>
      <c r="U70" s="29">
        <f>IF(B70="","",IF(L70="","Planned",IF(AND(L70&lt;=TODAY(),OR(M70="",M70&gt;=TODAY())),"Running",IF(L70&gt;TODAY(),"Planned","Complete"))))</f>
        <v>0</v>
      </c>
      <c r="V70" s="23">
        <f>IF(L70="","",IF(M70="",TODAY()-L70+1,MIN(TODAY(),M70)-L70+1))</f>
        <v>0</v>
      </c>
      <c r="W70" s="25">
        <f>IF(OR(V70="",V70&lt;=0),"",N(O70)/V70)</f>
        <v>0</v>
      </c>
      <c r="X70" s="24">
        <f>IF(OR(P70="",P70=0),"",N(R70)/P70)</f>
        <v>0</v>
      </c>
      <c r="Y70" s="25">
        <f>IF(OR(R70="",R70=0),"",N(O70)/R70)</f>
        <v>0</v>
      </c>
      <c r="Z70" s="25">
        <f>IF(OR(P70="",P70=0),"",N(O70)/(P70/1000))</f>
        <v>0</v>
      </c>
      <c r="AA70" s="24">
        <f>IF(OR(R70="",R70=0),"",N(S70)/R70)</f>
        <v>0</v>
      </c>
      <c r="AB70" s="25">
        <f>IF(OR(S70="",S70=0),"",N(O70)/S70)</f>
        <v>0</v>
      </c>
      <c r="AC70" s="31">
        <f>IF(OR(O70="",O70=0),"",N(T70)/O70)</f>
        <v>0</v>
      </c>
      <c r="AD70" s="25">
        <f>IF(AND(T70="",O70=""),"",N(T70)-N(O70))</f>
        <v>0</v>
      </c>
      <c r="AE70" s="24">
        <f>IF(OR(N70="",N70=0),"",N(O70)/N70)</f>
        <v>0</v>
      </c>
      <c r="AF70" s="29">
        <f>IF(B70="","",IF(N(O70)&gt;N(N70),"Over budget - pause or top up",IF(AND(AC70&lt;&gt;"",AC70&lt;1),"Action - losing money, change it",IF(AND(X70&lt;&gt;"",X70&lt;0.005),"Check - the creative is not landing",IF(AND(U70="Complete",T70=""),"Add - record the revenue","OK")))))</f>
        <v>0</v>
      </c>
    </row>
    <row r="71" spans="1:32">
      <c r="A71" s="41">
        <f>IF(B71="","","AD-"&amp;TEXT(ROW()-4,"000"))</f>
        <v>0</v>
      </c>
      <c r="U71" s="29">
        <f>IF(B71="","",IF(L71="","Planned",IF(AND(L71&lt;=TODAY(),OR(M71="",M71&gt;=TODAY())),"Running",IF(L71&gt;TODAY(),"Planned","Complete"))))</f>
        <v>0</v>
      </c>
      <c r="V71" s="23">
        <f>IF(L71="","",IF(M71="",TODAY()-L71+1,MIN(TODAY(),M71)-L71+1))</f>
        <v>0</v>
      </c>
      <c r="W71" s="25">
        <f>IF(OR(V71="",V71&lt;=0),"",N(O71)/V71)</f>
        <v>0</v>
      </c>
      <c r="X71" s="24">
        <f>IF(OR(P71="",P71=0),"",N(R71)/P71)</f>
        <v>0</v>
      </c>
      <c r="Y71" s="25">
        <f>IF(OR(R71="",R71=0),"",N(O71)/R71)</f>
        <v>0</v>
      </c>
      <c r="Z71" s="25">
        <f>IF(OR(P71="",P71=0),"",N(O71)/(P71/1000))</f>
        <v>0</v>
      </c>
      <c r="AA71" s="24">
        <f>IF(OR(R71="",R71=0),"",N(S71)/R71)</f>
        <v>0</v>
      </c>
      <c r="AB71" s="25">
        <f>IF(OR(S71="",S71=0),"",N(O71)/S71)</f>
        <v>0</v>
      </c>
      <c r="AC71" s="31">
        <f>IF(OR(O71="",O71=0),"",N(T71)/O71)</f>
        <v>0</v>
      </c>
      <c r="AD71" s="25">
        <f>IF(AND(T71="",O71=""),"",N(T71)-N(O71))</f>
        <v>0</v>
      </c>
      <c r="AE71" s="24">
        <f>IF(OR(N71="",N71=0),"",N(O71)/N71)</f>
        <v>0</v>
      </c>
      <c r="AF71" s="29">
        <f>IF(B71="","",IF(N(O71)&gt;N(N71),"Over budget - pause or top up",IF(AND(AC71&lt;&gt;"",AC71&lt;1),"Action - losing money, change it",IF(AND(X71&lt;&gt;"",X71&lt;0.005),"Check - the creative is not landing",IF(AND(U71="Complete",T71=""),"Add - record the revenue","OK")))))</f>
        <v>0</v>
      </c>
    </row>
    <row r="72" spans="1:32">
      <c r="A72" s="41">
        <f>IF(B72="","","AD-"&amp;TEXT(ROW()-4,"000"))</f>
        <v>0</v>
      </c>
      <c r="U72" s="29">
        <f>IF(B72="","",IF(L72="","Planned",IF(AND(L72&lt;=TODAY(),OR(M72="",M72&gt;=TODAY())),"Running",IF(L72&gt;TODAY(),"Planned","Complete"))))</f>
        <v>0</v>
      </c>
      <c r="V72" s="23">
        <f>IF(L72="","",IF(M72="",TODAY()-L72+1,MIN(TODAY(),M72)-L72+1))</f>
        <v>0</v>
      </c>
      <c r="W72" s="25">
        <f>IF(OR(V72="",V72&lt;=0),"",N(O72)/V72)</f>
        <v>0</v>
      </c>
      <c r="X72" s="24">
        <f>IF(OR(P72="",P72=0),"",N(R72)/P72)</f>
        <v>0</v>
      </c>
      <c r="Y72" s="25">
        <f>IF(OR(R72="",R72=0),"",N(O72)/R72)</f>
        <v>0</v>
      </c>
      <c r="Z72" s="25">
        <f>IF(OR(P72="",P72=0),"",N(O72)/(P72/1000))</f>
        <v>0</v>
      </c>
      <c r="AA72" s="24">
        <f>IF(OR(R72="",R72=0),"",N(S72)/R72)</f>
        <v>0</v>
      </c>
      <c r="AB72" s="25">
        <f>IF(OR(S72="",S72=0),"",N(O72)/S72)</f>
        <v>0</v>
      </c>
      <c r="AC72" s="31">
        <f>IF(OR(O72="",O72=0),"",N(T72)/O72)</f>
        <v>0</v>
      </c>
      <c r="AD72" s="25">
        <f>IF(AND(T72="",O72=""),"",N(T72)-N(O72))</f>
        <v>0</v>
      </c>
      <c r="AE72" s="24">
        <f>IF(OR(N72="",N72=0),"",N(O72)/N72)</f>
        <v>0</v>
      </c>
      <c r="AF72" s="29">
        <f>IF(B72="","",IF(N(O72)&gt;N(N72),"Over budget - pause or top up",IF(AND(AC72&lt;&gt;"",AC72&lt;1),"Action - losing money, change it",IF(AND(X72&lt;&gt;"",X72&lt;0.005),"Check - the creative is not landing",IF(AND(U72="Complete",T72=""),"Add - record the revenue","OK")))))</f>
        <v>0</v>
      </c>
    </row>
    <row r="73" spans="1:32">
      <c r="A73" s="41">
        <f>IF(B73="","","AD-"&amp;TEXT(ROW()-4,"000"))</f>
        <v>0</v>
      </c>
      <c r="U73" s="29">
        <f>IF(B73="","",IF(L73="","Planned",IF(AND(L73&lt;=TODAY(),OR(M73="",M73&gt;=TODAY())),"Running",IF(L73&gt;TODAY(),"Planned","Complete"))))</f>
        <v>0</v>
      </c>
      <c r="V73" s="23">
        <f>IF(L73="","",IF(M73="",TODAY()-L73+1,MIN(TODAY(),M73)-L73+1))</f>
        <v>0</v>
      </c>
      <c r="W73" s="25">
        <f>IF(OR(V73="",V73&lt;=0),"",N(O73)/V73)</f>
        <v>0</v>
      </c>
      <c r="X73" s="24">
        <f>IF(OR(P73="",P73=0),"",N(R73)/P73)</f>
        <v>0</v>
      </c>
      <c r="Y73" s="25">
        <f>IF(OR(R73="",R73=0),"",N(O73)/R73)</f>
        <v>0</v>
      </c>
      <c r="Z73" s="25">
        <f>IF(OR(P73="",P73=0),"",N(O73)/(P73/1000))</f>
        <v>0</v>
      </c>
      <c r="AA73" s="24">
        <f>IF(OR(R73="",R73=0),"",N(S73)/R73)</f>
        <v>0</v>
      </c>
      <c r="AB73" s="25">
        <f>IF(OR(S73="",S73=0),"",N(O73)/S73)</f>
        <v>0</v>
      </c>
      <c r="AC73" s="31">
        <f>IF(OR(O73="",O73=0),"",N(T73)/O73)</f>
        <v>0</v>
      </c>
      <c r="AD73" s="25">
        <f>IF(AND(T73="",O73=""),"",N(T73)-N(O73))</f>
        <v>0</v>
      </c>
      <c r="AE73" s="24">
        <f>IF(OR(N73="",N73=0),"",N(O73)/N73)</f>
        <v>0</v>
      </c>
      <c r="AF73" s="29">
        <f>IF(B73="","",IF(N(O73)&gt;N(N73),"Over budget - pause or top up",IF(AND(AC73&lt;&gt;"",AC73&lt;1),"Action - losing money, change it",IF(AND(X73&lt;&gt;"",X73&lt;0.005),"Check - the creative is not landing",IF(AND(U73="Complete",T73=""),"Add - record the revenue","OK")))))</f>
        <v>0</v>
      </c>
    </row>
    <row r="74" spans="1:32">
      <c r="A74" s="41">
        <f>IF(B74="","","AD-"&amp;TEXT(ROW()-4,"000"))</f>
        <v>0</v>
      </c>
      <c r="U74" s="29">
        <f>IF(B74="","",IF(L74="","Planned",IF(AND(L74&lt;=TODAY(),OR(M74="",M74&gt;=TODAY())),"Running",IF(L74&gt;TODAY(),"Planned","Complete"))))</f>
        <v>0</v>
      </c>
      <c r="V74" s="23">
        <f>IF(L74="","",IF(M74="",TODAY()-L74+1,MIN(TODAY(),M74)-L74+1))</f>
        <v>0</v>
      </c>
      <c r="W74" s="25">
        <f>IF(OR(V74="",V74&lt;=0),"",N(O74)/V74)</f>
        <v>0</v>
      </c>
      <c r="X74" s="24">
        <f>IF(OR(P74="",P74=0),"",N(R74)/P74)</f>
        <v>0</v>
      </c>
      <c r="Y74" s="25">
        <f>IF(OR(R74="",R74=0),"",N(O74)/R74)</f>
        <v>0</v>
      </c>
      <c r="Z74" s="25">
        <f>IF(OR(P74="",P74=0),"",N(O74)/(P74/1000))</f>
        <v>0</v>
      </c>
      <c r="AA74" s="24">
        <f>IF(OR(R74="",R74=0),"",N(S74)/R74)</f>
        <v>0</v>
      </c>
      <c r="AB74" s="25">
        <f>IF(OR(S74="",S74=0),"",N(O74)/S74)</f>
        <v>0</v>
      </c>
      <c r="AC74" s="31">
        <f>IF(OR(O74="",O74=0),"",N(T74)/O74)</f>
        <v>0</v>
      </c>
      <c r="AD74" s="25">
        <f>IF(AND(T74="",O74=""),"",N(T74)-N(O74))</f>
        <v>0</v>
      </c>
      <c r="AE74" s="24">
        <f>IF(OR(N74="",N74=0),"",N(O74)/N74)</f>
        <v>0</v>
      </c>
      <c r="AF74" s="29">
        <f>IF(B74="","",IF(N(O74)&gt;N(N74),"Over budget - pause or top up",IF(AND(AC74&lt;&gt;"",AC74&lt;1),"Action - losing money, change it",IF(AND(X74&lt;&gt;"",X74&lt;0.005),"Check - the creative is not landing",IF(AND(U74="Complete",T74=""),"Add - record the revenue","OK")))))</f>
        <v>0</v>
      </c>
    </row>
    <row r="75" spans="1:32">
      <c r="A75" s="41">
        <f>IF(B75="","","AD-"&amp;TEXT(ROW()-4,"000"))</f>
        <v>0</v>
      </c>
      <c r="U75" s="29">
        <f>IF(B75="","",IF(L75="","Planned",IF(AND(L75&lt;=TODAY(),OR(M75="",M75&gt;=TODAY())),"Running",IF(L75&gt;TODAY(),"Planned","Complete"))))</f>
        <v>0</v>
      </c>
      <c r="V75" s="23">
        <f>IF(L75="","",IF(M75="",TODAY()-L75+1,MIN(TODAY(),M75)-L75+1))</f>
        <v>0</v>
      </c>
      <c r="W75" s="25">
        <f>IF(OR(V75="",V75&lt;=0),"",N(O75)/V75)</f>
        <v>0</v>
      </c>
      <c r="X75" s="24">
        <f>IF(OR(P75="",P75=0),"",N(R75)/P75)</f>
        <v>0</v>
      </c>
      <c r="Y75" s="25">
        <f>IF(OR(R75="",R75=0),"",N(O75)/R75)</f>
        <v>0</v>
      </c>
      <c r="Z75" s="25">
        <f>IF(OR(P75="",P75=0),"",N(O75)/(P75/1000))</f>
        <v>0</v>
      </c>
      <c r="AA75" s="24">
        <f>IF(OR(R75="",R75=0),"",N(S75)/R75)</f>
        <v>0</v>
      </c>
      <c r="AB75" s="25">
        <f>IF(OR(S75="",S75=0),"",N(O75)/S75)</f>
        <v>0</v>
      </c>
      <c r="AC75" s="31">
        <f>IF(OR(O75="",O75=0),"",N(T75)/O75)</f>
        <v>0</v>
      </c>
      <c r="AD75" s="25">
        <f>IF(AND(T75="",O75=""),"",N(T75)-N(O75))</f>
        <v>0</v>
      </c>
      <c r="AE75" s="24">
        <f>IF(OR(N75="",N75=0),"",N(O75)/N75)</f>
        <v>0</v>
      </c>
      <c r="AF75" s="29">
        <f>IF(B75="","",IF(N(O75)&gt;N(N75),"Over budget - pause or top up",IF(AND(AC75&lt;&gt;"",AC75&lt;1),"Action - losing money, change it",IF(AND(X75&lt;&gt;"",X75&lt;0.005),"Check - the creative is not landing",IF(AND(U75="Complete",T75=""),"Add - record the revenue","OK")))))</f>
        <v>0</v>
      </c>
    </row>
    <row r="76" spans="1:32">
      <c r="A76" s="41">
        <f>IF(B76="","","AD-"&amp;TEXT(ROW()-4,"000"))</f>
        <v>0</v>
      </c>
      <c r="U76" s="29">
        <f>IF(B76="","",IF(L76="","Planned",IF(AND(L76&lt;=TODAY(),OR(M76="",M76&gt;=TODAY())),"Running",IF(L76&gt;TODAY(),"Planned","Complete"))))</f>
        <v>0</v>
      </c>
      <c r="V76" s="23">
        <f>IF(L76="","",IF(M76="",TODAY()-L76+1,MIN(TODAY(),M76)-L76+1))</f>
        <v>0</v>
      </c>
      <c r="W76" s="25">
        <f>IF(OR(V76="",V76&lt;=0),"",N(O76)/V76)</f>
        <v>0</v>
      </c>
      <c r="X76" s="24">
        <f>IF(OR(P76="",P76=0),"",N(R76)/P76)</f>
        <v>0</v>
      </c>
      <c r="Y76" s="25">
        <f>IF(OR(R76="",R76=0),"",N(O76)/R76)</f>
        <v>0</v>
      </c>
      <c r="Z76" s="25">
        <f>IF(OR(P76="",P76=0),"",N(O76)/(P76/1000))</f>
        <v>0</v>
      </c>
      <c r="AA76" s="24">
        <f>IF(OR(R76="",R76=0),"",N(S76)/R76)</f>
        <v>0</v>
      </c>
      <c r="AB76" s="25">
        <f>IF(OR(S76="",S76=0),"",N(O76)/S76)</f>
        <v>0</v>
      </c>
      <c r="AC76" s="31">
        <f>IF(OR(O76="",O76=0),"",N(T76)/O76)</f>
        <v>0</v>
      </c>
      <c r="AD76" s="25">
        <f>IF(AND(T76="",O76=""),"",N(T76)-N(O76))</f>
        <v>0</v>
      </c>
      <c r="AE76" s="24">
        <f>IF(OR(N76="",N76=0),"",N(O76)/N76)</f>
        <v>0</v>
      </c>
      <c r="AF76" s="29">
        <f>IF(B76="","",IF(N(O76)&gt;N(N76),"Over budget - pause or top up",IF(AND(AC76&lt;&gt;"",AC76&lt;1),"Action - losing money, change it",IF(AND(X76&lt;&gt;"",X76&lt;0.005),"Check - the creative is not landing",IF(AND(U76="Complete",T76=""),"Add - record the revenue","OK")))))</f>
        <v>0</v>
      </c>
    </row>
    <row r="77" spans="1:32">
      <c r="A77" s="41">
        <f>IF(B77="","","AD-"&amp;TEXT(ROW()-4,"000"))</f>
        <v>0</v>
      </c>
      <c r="U77" s="29">
        <f>IF(B77="","",IF(L77="","Planned",IF(AND(L77&lt;=TODAY(),OR(M77="",M77&gt;=TODAY())),"Running",IF(L77&gt;TODAY(),"Planned","Complete"))))</f>
        <v>0</v>
      </c>
      <c r="V77" s="23">
        <f>IF(L77="","",IF(M77="",TODAY()-L77+1,MIN(TODAY(),M77)-L77+1))</f>
        <v>0</v>
      </c>
      <c r="W77" s="25">
        <f>IF(OR(V77="",V77&lt;=0),"",N(O77)/V77)</f>
        <v>0</v>
      </c>
      <c r="X77" s="24">
        <f>IF(OR(P77="",P77=0),"",N(R77)/P77)</f>
        <v>0</v>
      </c>
      <c r="Y77" s="25">
        <f>IF(OR(R77="",R77=0),"",N(O77)/R77)</f>
        <v>0</v>
      </c>
      <c r="Z77" s="25">
        <f>IF(OR(P77="",P77=0),"",N(O77)/(P77/1000))</f>
        <v>0</v>
      </c>
      <c r="AA77" s="24">
        <f>IF(OR(R77="",R77=0),"",N(S77)/R77)</f>
        <v>0</v>
      </c>
      <c r="AB77" s="25">
        <f>IF(OR(S77="",S77=0),"",N(O77)/S77)</f>
        <v>0</v>
      </c>
      <c r="AC77" s="31">
        <f>IF(OR(O77="",O77=0),"",N(T77)/O77)</f>
        <v>0</v>
      </c>
      <c r="AD77" s="25">
        <f>IF(AND(T77="",O77=""),"",N(T77)-N(O77))</f>
        <v>0</v>
      </c>
      <c r="AE77" s="24">
        <f>IF(OR(N77="",N77=0),"",N(O77)/N77)</f>
        <v>0</v>
      </c>
      <c r="AF77" s="29">
        <f>IF(B77="","",IF(N(O77)&gt;N(N77),"Over budget - pause or top up",IF(AND(AC77&lt;&gt;"",AC77&lt;1),"Action - losing money, change it",IF(AND(X77&lt;&gt;"",X77&lt;0.005),"Check - the creative is not landing",IF(AND(U77="Complete",T77=""),"Add - record the revenue","OK")))))</f>
        <v>0</v>
      </c>
    </row>
    <row r="78" spans="1:32">
      <c r="A78" s="41">
        <f>IF(B78="","","AD-"&amp;TEXT(ROW()-4,"000"))</f>
        <v>0</v>
      </c>
      <c r="U78" s="29">
        <f>IF(B78="","",IF(L78="","Planned",IF(AND(L78&lt;=TODAY(),OR(M78="",M78&gt;=TODAY())),"Running",IF(L78&gt;TODAY(),"Planned","Complete"))))</f>
        <v>0</v>
      </c>
      <c r="V78" s="23">
        <f>IF(L78="","",IF(M78="",TODAY()-L78+1,MIN(TODAY(),M78)-L78+1))</f>
        <v>0</v>
      </c>
      <c r="W78" s="25">
        <f>IF(OR(V78="",V78&lt;=0),"",N(O78)/V78)</f>
        <v>0</v>
      </c>
      <c r="X78" s="24">
        <f>IF(OR(P78="",P78=0),"",N(R78)/P78)</f>
        <v>0</v>
      </c>
      <c r="Y78" s="25">
        <f>IF(OR(R78="",R78=0),"",N(O78)/R78)</f>
        <v>0</v>
      </c>
      <c r="Z78" s="25">
        <f>IF(OR(P78="",P78=0),"",N(O78)/(P78/1000))</f>
        <v>0</v>
      </c>
      <c r="AA78" s="24">
        <f>IF(OR(R78="",R78=0),"",N(S78)/R78)</f>
        <v>0</v>
      </c>
      <c r="AB78" s="25">
        <f>IF(OR(S78="",S78=0),"",N(O78)/S78)</f>
        <v>0</v>
      </c>
      <c r="AC78" s="31">
        <f>IF(OR(O78="",O78=0),"",N(T78)/O78)</f>
        <v>0</v>
      </c>
      <c r="AD78" s="25">
        <f>IF(AND(T78="",O78=""),"",N(T78)-N(O78))</f>
        <v>0</v>
      </c>
      <c r="AE78" s="24">
        <f>IF(OR(N78="",N78=0),"",N(O78)/N78)</f>
        <v>0</v>
      </c>
      <c r="AF78" s="29">
        <f>IF(B78="","",IF(N(O78)&gt;N(N78),"Over budget - pause or top up",IF(AND(AC78&lt;&gt;"",AC78&lt;1),"Action - losing money, change it",IF(AND(X78&lt;&gt;"",X78&lt;0.005),"Check - the creative is not landing",IF(AND(U78="Complete",T78=""),"Add - record the revenue","OK")))))</f>
        <v>0</v>
      </c>
    </row>
    <row r="79" spans="1:32">
      <c r="A79" s="41">
        <f>IF(B79="","","AD-"&amp;TEXT(ROW()-4,"000"))</f>
        <v>0</v>
      </c>
      <c r="U79" s="29">
        <f>IF(B79="","",IF(L79="","Planned",IF(AND(L79&lt;=TODAY(),OR(M79="",M79&gt;=TODAY())),"Running",IF(L79&gt;TODAY(),"Planned","Complete"))))</f>
        <v>0</v>
      </c>
      <c r="V79" s="23">
        <f>IF(L79="","",IF(M79="",TODAY()-L79+1,MIN(TODAY(),M79)-L79+1))</f>
        <v>0</v>
      </c>
      <c r="W79" s="25">
        <f>IF(OR(V79="",V79&lt;=0),"",N(O79)/V79)</f>
        <v>0</v>
      </c>
      <c r="X79" s="24">
        <f>IF(OR(P79="",P79=0),"",N(R79)/P79)</f>
        <v>0</v>
      </c>
      <c r="Y79" s="25">
        <f>IF(OR(R79="",R79=0),"",N(O79)/R79)</f>
        <v>0</v>
      </c>
      <c r="Z79" s="25">
        <f>IF(OR(P79="",P79=0),"",N(O79)/(P79/1000))</f>
        <v>0</v>
      </c>
      <c r="AA79" s="24">
        <f>IF(OR(R79="",R79=0),"",N(S79)/R79)</f>
        <v>0</v>
      </c>
      <c r="AB79" s="25">
        <f>IF(OR(S79="",S79=0),"",N(O79)/S79)</f>
        <v>0</v>
      </c>
      <c r="AC79" s="31">
        <f>IF(OR(O79="",O79=0),"",N(T79)/O79)</f>
        <v>0</v>
      </c>
      <c r="AD79" s="25">
        <f>IF(AND(T79="",O79=""),"",N(T79)-N(O79))</f>
        <v>0</v>
      </c>
      <c r="AE79" s="24">
        <f>IF(OR(N79="",N79=0),"",N(O79)/N79)</f>
        <v>0</v>
      </c>
      <c r="AF79" s="29">
        <f>IF(B79="","",IF(N(O79)&gt;N(N79),"Over budget - pause or top up",IF(AND(AC79&lt;&gt;"",AC79&lt;1),"Action - losing money, change it",IF(AND(X79&lt;&gt;"",X79&lt;0.005),"Check - the creative is not landing",IF(AND(U79="Complete",T79=""),"Add - record the revenue","OK")))))</f>
        <v>0</v>
      </c>
    </row>
    <row r="80" spans="1:32">
      <c r="A80" s="41">
        <f>IF(B80="","","AD-"&amp;TEXT(ROW()-4,"000"))</f>
        <v>0</v>
      </c>
      <c r="U80" s="29">
        <f>IF(B80="","",IF(L80="","Planned",IF(AND(L80&lt;=TODAY(),OR(M80="",M80&gt;=TODAY())),"Running",IF(L80&gt;TODAY(),"Planned","Complete"))))</f>
        <v>0</v>
      </c>
      <c r="V80" s="23">
        <f>IF(L80="","",IF(M80="",TODAY()-L80+1,MIN(TODAY(),M80)-L80+1))</f>
        <v>0</v>
      </c>
      <c r="W80" s="25">
        <f>IF(OR(V80="",V80&lt;=0),"",N(O80)/V80)</f>
        <v>0</v>
      </c>
      <c r="X80" s="24">
        <f>IF(OR(P80="",P80=0),"",N(R80)/P80)</f>
        <v>0</v>
      </c>
      <c r="Y80" s="25">
        <f>IF(OR(R80="",R80=0),"",N(O80)/R80)</f>
        <v>0</v>
      </c>
      <c r="Z80" s="25">
        <f>IF(OR(P80="",P80=0),"",N(O80)/(P80/1000))</f>
        <v>0</v>
      </c>
      <c r="AA80" s="24">
        <f>IF(OR(R80="",R80=0),"",N(S80)/R80)</f>
        <v>0</v>
      </c>
      <c r="AB80" s="25">
        <f>IF(OR(S80="",S80=0),"",N(O80)/S80)</f>
        <v>0</v>
      </c>
      <c r="AC80" s="31">
        <f>IF(OR(O80="",O80=0),"",N(T80)/O80)</f>
        <v>0</v>
      </c>
      <c r="AD80" s="25">
        <f>IF(AND(T80="",O80=""),"",N(T80)-N(O80))</f>
        <v>0</v>
      </c>
      <c r="AE80" s="24">
        <f>IF(OR(N80="",N80=0),"",N(O80)/N80)</f>
        <v>0</v>
      </c>
      <c r="AF80" s="29">
        <f>IF(B80="","",IF(N(O80)&gt;N(N80),"Over budget - pause or top up",IF(AND(AC80&lt;&gt;"",AC80&lt;1),"Action - losing money, change it",IF(AND(X80&lt;&gt;"",X80&lt;0.005),"Check - the creative is not landing",IF(AND(U80="Complete",T80=""),"Add - record the revenue","OK")))))</f>
        <v>0</v>
      </c>
    </row>
    <row r="81" spans="1:32">
      <c r="A81" s="41">
        <f>IF(B81="","","AD-"&amp;TEXT(ROW()-4,"000"))</f>
        <v>0</v>
      </c>
      <c r="U81" s="29">
        <f>IF(B81="","",IF(L81="","Planned",IF(AND(L81&lt;=TODAY(),OR(M81="",M81&gt;=TODAY())),"Running",IF(L81&gt;TODAY(),"Planned","Complete"))))</f>
        <v>0</v>
      </c>
      <c r="V81" s="23">
        <f>IF(L81="","",IF(M81="",TODAY()-L81+1,MIN(TODAY(),M81)-L81+1))</f>
        <v>0</v>
      </c>
      <c r="W81" s="25">
        <f>IF(OR(V81="",V81&lt;=0),"",N(O81)/V81)</f>
        <v>0</v>
      </c>
      <c r="X81" s="24">
        <f>IF(OR(P81="",P81=0),"",N(R81)/P81)</f>
        <v>0</v>
      </c>
      <c r="Y81" s="25">
        <f>IF(OR(R81="",R81=0),"",N(O81)/R81)</f>
        <v>0</v>
      </c>
      <c r="Z81" s="25">
        <f>IF(OR(P81="",P81=0),"",N(O81)/(P81/1000))</f>
        <v>0</v>
      </c>
      <c r="AA81" s="24">
        <f>IF(OR(R81="",R81=0),"",N(S81)/R81)</f>
        <v>0</v>
      </c>
      <c r="AB81" s="25">
        <f>IF(OR(S81="",S81=0),"",N(O81)/S81)</f>
        <v>0</v>
      </c>
      <c r="AC81" s="31">
        <f>IF(OR(O81="",O81=0),"",N(T81)/O81)</f>
        <v>0</v>
      </c>
      <c r="AD81" s="25">
        <f>IF(AND(T81="",O81=""),"",N(T81)-N(O81))</f>
        <v>0</v>
      </c>
      <c r="AE81" s="24">
        <f>IF(OR(N81="",N81=0),"",N(O81)/N81)</f>
        <v>0</v>
      </c>
      <c r="AF81" s="29">
        <f>IF(B81="","",IF(N(O81)&gt;N(N81),"Over budget - pause or top up",IF(AND(AC81&lt;&gt;"",AC81&lt;1),"Action - losing money, change it",IF(AND(X81&lt;&gt;"",X81&lt;0.005),"Check - the creative is not landing",IF(AND(U81="Complete",T81=""),"Add - record the revenue","OK")))))</f>
        <v>0</v>
      </c>
    </row>
    <row r="82" spans="1:32">
      <c r="A82" s="41">
        <f>IF(B82="","","AD-"&amp;TEXT(ROW()-4,"000"))</f>
        <v>0</v>
      </c>
      <c r="U82" s="29">
        <f>IF(B82="","",IF(L82="","Planned",IF(AND(L82&lt;=TODAY(),OR(M82="",M82&gt;=TODAY())),"Running",IF(L82&gt;TODAY(),"Planned","Complete"))))</f>
        <v>0</v>
      </c>
      <c r="V82" s="23">
        <f>IF(L82="","",IF(M82="",TODAY()-L82+1,MIN(TODAY(),M82)-L82+1))</f>
        <v>0</v>
      </c>
      <c r="W82" s="25">
        <f>IF(OR(V82="",V82&lt;=0),"",N(O82)/V82)</f>
        <v>0</v>
      </c>
      <c r="X82" s="24">
        <f>IF(OR(P82="",P82=0),"",N(R82)/P82)</f>
        <v>0</v>
      </c>
      <c r="Y82" s="25">
        <f>IF(OR(R82="",R82=0),"",N(O82)/R82)</f>
        <v>0</v>
      </c>
      <c r="Z82" s="25">
        <f>IF(OR(P82="",P82=0),"",N(O82)/(P82/1000))</f>
        <v>0</v>
      </c>
      <c r="AA82" s="24">
        <f>IF(OR(R82="",R82=0),"",N(S82)/R82)</f>
        <v>0</v>
      </c>
      <c r="AB82" s="25">
        <f>IF(OR(S82="",S82=0),"",N(O82)/S82)</f>
        <v>0</v>
      </c>
      <c r="AC82" s="31">
        <f>IF(OR(O82="",O82=0),"",N(T82)/O82)</f>
        <v>0</v>
      </c>
      <c r="AD82" s="25">
        <f>IF(AND(T82="",O82=""),"",N(T82)-N(O82))</f>
        <v>0</v>
      </c>
      <c r="AE82" s="24">
        <f>IF(OR(N82="",N82=0),"",N(O82)/N82)</f>
        <v>0</v>
      </c>
      <c r="AF82" s="29">
        <f>IF(B82="","",IF(N(O82)&gt;N(N82),"Over budget - pause or top up",IF(AND(AC82&lt;&gt;"",AC82&lt;1),"Action - losing money, change it",IF(AND(X82&lt;&gt;"",X82&lt;0.005),"Check - the creative is not landing",IF(AND(U82="Complete",T82=""),"Add - record the revenue","OK")))))</f>
        <v>0</v>
      </c>
    </row>
    <row r="83" spans="1:32">
      <c r="A83" s="41">
        <f>IF(B83="","","AD-"&amp;TEXT(ROW()-4,"000"))</f>
        <v>0</v>
      </c>
      <c r="U83" s="29">
        <f>IF(B83="","",IF(L83="","Planned",IF(AND(L83&lt;=TODAY(),OR(M83="",M83&gt;=TODAY())),"Running",IF(L83&gt;TODAY(),"Planned","Complete"))))</f>
        <v>0</v>
      </c>
      <c r="V83" s="23">
        <f>IF(L83="","",IF(M83="",TODAY()-L83+1,MIN(TODAY(),M83)-L83+1))</f>
        <v>0</v>
      </c>
      <c r="W83" s="25">
        <f>IF(OR(V83="",V83&lt;=0),"",N(O83)/V83)</f>
        <v>0</v>
      </c>
      <c r="X83" s="24">
        <f>IF(OR(P83="",P83=0),"",N(R83)/P83)</f>
        <v>0</v>
      </c>
      <c r="Y83" s="25">
        <f>IF(OR(R83="",R83=0),"",N(O83)/R83)</f>
        <v>0</v>
      </c>
      <c r="Z83" s="25">
        <f>IF(OR(P83="",P83=0),"",N(O83)/(P83/1000))</f>
        <v>0</v>
      </c>
      <c r="AA83" s="24">
        <f>IF(OR(R83="",R83=0),"",N(S83)/R83)</f>
        <v>0</v>
      </c>
      <c r="AB83" s="25">
        <f>IF(OR(S83="",S83=0),"",N(O83)/S83)</f>
        <v>0</v>
      </c>
      <c r="AC83" s="31">
        <f>IF(OR(O83="",O83=0),"",N(T83)/O83)</f>
        <v>0</v>
      </c>
      <c r="AD83" s="25">
        <f>IF(AND(T83="",O83=""),"",N(T83)-N(O83))</f>
        <v>0</v>
      </c>
      <c r="AE83" s="24">
        <f>IF(OR(N83="",N83=0),"",N(O83)/N83)</f>
        <v>0</v>
      </c>
      <c r="AF83" s="29">
        <f>IF(B83="","",IF(N(O83)&gt;N(N83),"Over budget - pause or top up",IF(AND(AC83&lt;&gt;"",AC83&lt;1),"Action - losing money, change it",IF(AND(X83&lt;&gt;"",X83&lt;0.005),"Check - the creative is not landing",IF(AND(U83="Complete",T83=""),"Add - record the revenue","OK")))))</f>
        <v>0</v>
      </c>
    </row>
    <row r="84" spans="1:32">
      <c r="A84" s="41">
        <f>IF(B84="","","AD-"&amp;TEXT(ROW()-4,"000"))</f>
        <v>0</v>
      </c>
      <c r="U84" s="29">
        <f>IF(B84="","",IF(L84="","Planned",IF(AND(L84&lt;=TODAY(),OR(M84="",M84&gt;=TODAY())),"Running",IF(L84&gt;TODAY(),"Planned","Complete"))))</f>
        <v>0</v>
      </c>
      <c r="V84" s="23">
        <f>IF(L84="","",IF(M84="",TODAY()-L84+1,MIN(TODAY(),M84)-L84+1))</f>
        <v>0</v>
      </c>
      <c r="W84" s="25">
        <f>IF(OR(V84="",V84&lt;=0),"",N(O84)/V84)</f>
        <v>0</v>
      </c>
      <c r="X84" s="24">
        <f>IF(OR(P84="",P84=0),"",N(R84)/P84)</f>
        <v>0</v>
      </c>
      <c r="Y84" s="25">
        <f>IF(OR(R84="",R84=0),"",N(O84)/R84)</f>
        <v>0</v>
      </c>
      <c r="Z84" s="25">
        <f>IF(OR(P84="",P84=0),"",N(O84)/(P84/1000))</f>
        <v>0</v>
      </c>
      <c r="AA84" s="24">
        <f>IF(OR(R84="",R84=0),"",N(S84)/R84)</f>
        <v>0</v>
      </c>
      <c r="AB84" s="25">
        <f>IF(OR(S84="",S84=0),"",N(O84)/S84)</f>
        <v>0</v>
      </c>
      <c r="AC84" s="31">
        <f>IF(OR(O84="",O84=0),"",N(T84)/O84)</f>
        <v>0</v>
      </c>
      <c r="AD84" s="25">
        <f>IF(AND(T84="",O84=""),"",N(T84)-N(O84))</f>
        <v>0</v>
      </c>
      <c r="AE84" s="24">
        <f>IF(OR(N84="",N84=0),"",N(O84)/N84)</f>
        <v>0</v>
      </c>
      <c r="AF84" s="29">
        <f>IF(B84="","",IF(N(O84)&gt;N(N84),"Over budget - pause or top up",IF(AND(AC84&lt;&gt;"",AC84&lt;1),"Action - losing money, change it",IF(AND(X84&lt;&gt;"",X84&lt;0.005),"Check - the creative is not landing",IF(AND(U84="Complete",T84=""),"Add - record the revenue","OK")))))</f>
        <v>0</v>
      </c>
    </row>
    <row r="85" spans="1:32">
      <c r="A85" s="41">
        <f>IF(B85="","","AD-"&amp;TEXT(ROW()-4,"000"))</f>
        <v>0</v>
      </c>
      <c r="U85" s="29">
        <f>IF(B85="","",IF(L85="","Planned",IF(AND(L85&lt;=TODAY(),OR(M85="",M85&gt;=TODAY())),"Running",IF(L85&gt;TODAY(),"Planned","Complete"))))</f>
        <v>0</v>
      </c>
      <c r="V85" s="23">
        <f>IF(L85="","",IF(M85="",TODAY()-L85+1,MIN(TODAY(),M85)-L85+1))</f>
        <v>0</v>
      </c>
      <c r="W85" s="25">
        <f>IF(OR(V85="",V85&lt;=0),"",N(O85)/V85)</f>
        <v>0</v>
      </c>
      <c r="X85" s="24">
        <f>IF(OR(P85="",P85=0),"",N(R85)/P85)</f>
        <v>0</v>
      </c>
      <c r="Y85" s="25">
        <f>IF(OR(R85="",R85=0),"",N(O85)/R85)</f>
        <v>0</v>
      </c>
      <c r="Z85" s="25">
        <f>IF(OR(P85="",P85=0),"",N(O85)/(P85/1000))</f>
        <v>0</v>
      </c>
      <c r="AA85" s="24">
        <f>IF(OR(R85="",R85=0),"",N(S85)/R85)</f>
        <v>0</v>
      </c>
      <c r="AB85" s="25">
        <f>IF(OR(S85="",S85=0),"",N(O85)/S85)</f>
        <v>0</v>
      </c>
      <c r="AC85" s="31">
        <f>IF(OR(O85="",O85=0),"",N(T85)/O85)</f>
        <v>0</v>
      </c>
      <c r="AD85" s="25">
        <f>IF(AND(T85="",O85=""),"",N(T85)-N(O85))</f>
        <v>0</v>
      </c>
      <c r="AE85" s="24">
        <f>IF(OR(N85="",N85=0),"",N(O85)/N85)</f>
        <v>0</v>
      </c>
      <c r="AF85" s="29">
        <f>IF(B85="","",IF(N(O85)&gt;N(N85),"Over budget - pause or top up",IF(AND(AC85&lt;&gt;"",AC85&lt;1),"Action - losing money, change it",IF(AND(X85&lt;&gt;"",X85&lt;0.005),"Check - the creative is not landing",IF(AND(U85="Complete",T85=""),"Add - record the revenue","OK")))))</f>
        <v>0</v>
      </c>
    </row>
    <row r="86" spans="1:32">
      <c r="A86" s="41">
        <f>IF(B86="","","AD-"&amp;TEXT(ROW()-4,"000"))</f>
        <v>0</v>
      </c>
      <c r="U86" s="29">
        <f>IF(B86="","",IF(L86="","Planned",IF(AND(L86&lt;=TODAY(),OR(M86="",M86&gt;=TODAY())),"Running",IF(L86&gt;TODAY(),"Planned","Complete"))))</f>
        <v>0</v>
      </c>
      <c r="V86" s="23">
        <f>IF(L86="","",IF(M86="",TODAY()-L86+1,MIN(TODAY(),M86)-L86+1))</f>
        <v>0</v>
      </c>
      <c r="W86" s="25">
        <f>IF(OR(V86="",V86&lt;=0),"",N(O86)/V86)</f>
        <v>0</v>
      </c>
      <c r="X86" s="24">
        <f>IF(OR(P86="",P86=0),"",N(R86)/P86)</f>
        <v>0</v>
      </c>
      <c r="Y86" s="25">
        <f>IF(OR(R86="",R86=0),"",N(O86)/R86)</f>
        <v>0</v>
      </c>
      <c r="Z86" s="25">
        <f>IF(OR(P86="",P86=0),"",N(O86)/(P86/1000))</f>
        <v>0</v>
      </c>
      <c r="AA86" s="24">
        <f>IF(OR(R86="",R86=0),"",N(S86)/R86)</f>
        <v>0</v>
      </c>
      <c r="AB86" s="25">
        <f>IF(OR(S86="",S86=0),"",N(O86)/S86)</f>
        <v>0</v>
      </c>
      <c r="AC86" s="31">
        <f>IF(OR(O86="",O86=0),"",N(T86)/O86)</f>
        <v>0</v>
      </c>
      <c r="AD86" s="25">
        <f>IF(AND(T86="",O86=""),"",N(T86)-N(O86))</f>
        <v>0</v>
      </c>
      <c r="AE86" s="24">
        <f>IF(OR(N86="",N86=0),"",N(O86)/N86)</f>
        <v>0</v>
      </c>
      <c r="AF86" s="29">
        <f>IF(B86="","",IF(N(O86)&gt;N(N86),"Over budget - pause or top up",IF(AND(AC86&lt;&gt;"",AC86&lt;1),"Action - losing money, change it",IF(AND(X86&lt;&gt;"",X86&lt;0.005),"Check - the creative is not landing",IF(AND(U86="Complete",T86=""),"Add - record the revenue","OK")))))</f>
        <v>0</v>
      </c>
    </row>
    <row r="87" spans="1:32">
      <c r="A87" s="41">
        <f>IF(B87="","","AD-"&amp;TEXT(ROW()-4,"000"))</f>
        <v>0</v>
      </c>
      <c r="U87" s="29">
        <f>IF(B87="","",IF(L87="","Planned",IF(AND(L87&lt;=TODAY(),OR(M87="",M87&gt;=TODAY())),"Running",IF(L87&gt;TODAY(),"Planned","Complete"))))</f>
        <v>0</v>
      </c>
      <c r="V87" s="23">
        <f>IF(L87="","",IF(M87="",TODAY()-L87+1,MIN(TODAY(),M87)-L87+1))</f>
        <v>0</v>
      </c>
      <c r="W87" s="25">
        <f>IF(OR(V87="",V87&lt;=0),"",N(O87)/V87)</f>
        <v>0</v>
      </c>
      <c r="X87" s="24">
        <f>IF(OR(P87="",P87=0),"",N(R87)/P87)</f>
        <v>0</v>
      </c>
      <c r="Y87" s="25">
        <f>IF(OR(R87="",R87=0),"",N(O87)/R87)</f>
        <v>0</v>
      </c>
      <c r="Z87" s="25">
        <f>IF(OR(P87="",P87=0),"",N(O87)/(P87/1000))</f>
        <v>0</v>
      </c>
      <c r="AA87" s="24">
        <f>IF(OR(R87="",R87=0),"",N(S87)/R87)</f>
        <v>0</v>
      </c>
      <c r="AB87" s="25">
        <f>IF(OR(S87="",S87=0),"",N(O87)/S87)</f>
        <v>0</v>
      </c>
      <c r="AC87" s="31">
        <f>IF(OR(O87="",O87=0),"",N(T87)/O87)</f>
        <v>0</v>
      </c>
      <c r="AD87" s="25">
        <f>IF(AND(T87="",O87=""),"",N(T87)-N(O87))</f>
        <v>0</v>
      </c>
      <c r="AE87" s="24">
        <f>IF(OR(N87="",N87=0),"",N(O87)/N87)</f>
        <v>0</v>
      </c>
      <c r="AF87" s="29">
        <f>IF(B87="","",IF(N(O87)&gt;N(N87),"Over budget - pause or top up",IF(AND(AC87&lt;&gt;"",AC87&lt;1),"Action - losing money, change it",IF(AND(X87&lt;&gt;"",X87&lt;0.005),"Check - the creative is not landing",IF(AND(U87="Complete",T87=""),"Add - record the revenue","OK")))))</f>
        <v>0</v>
      </c>
    </row>
    <row r="88" spans="1:32">
      <c r="A88" s="41">
        <f>IF(B88="","","AD-"&amp;TEXT(ROW()-4,"000"))</f>
        <v>0</v>
      </c>
      <c r="U88" s="29">
        <f>IF(B88="","",IF(L88="","Planned",IF(AND(L88&lt;=TODAY(),OR(M88="",M88&gt;=TODAY())),"Running",IF(L88&gt;TODAY(),"Planned","Complete"))))</f>
        <v>0</v>
      </c>
      <c r="V88" s="23">
        <f>IF(L88="","",IF(M88="",TODAY()-L88+1,MIN(TODAY(),M88)-L88+1))</f>
        <v>0</v>
      </c>
      <c r="W88" s="25">
        <f>IF(OR(V88="",V88&lt;=0),"",N(O88)/V88)</f>
        <v>0</v>
      </c>
      <c r="X88" s="24">
        <f>IF(OR(P88="",P88=0),"",N(R88)/P88)</f>
        <v>0</v>
      </c>
      <c r="Y88" s="25">
        <f>IF(OR(R88="",R88=0),"",N(O88)/R88)</f>
        <v>0</v>
      </c>
      <c r="Z88" s="25">
        <f>IF(OR(P88="",P88=0),"",N(O88)/(P88/1000))</f>
        <v>0</v>
      </c>
      <c r="AA88" s="24">
        <f>IF(OR(R88="",R88=0),"",N(S88)/R88)</f>
        <v>0</v>
      </c>
      <c r="AB88" s="25">
        <f>IF(OR(S88="",S88=0),"",N(O88)/S88)</f>
        <v>0</v>
      </c>
      <c r="AC88" s="31">
        <f>IF(OR(O88="",O88=0),"",N(T88)/O88)</f>
        <v>0</v>
      </c>
      <c r="AD88" s="25">
        <f>IF(AND(T88="",O88=""),"",N(T88)-N(O88))</f>
        <v>0</v>
      </c>
      <c r="AE88" s="24">
        <f>IF(OR(N88="",N88=0),"",N(O88)/N88)</f>
        <v>0</v>
      </c>
      <c r="AF88" s="29">
        <f>IF(B88="","",IF(N(O88)&gt;N(N88),"Over budget - pause or top up",IF(AND(AC88&lt;&gt;"",AC88&lt;1),"Action - losing money, change it",IF(AND(X88&lt;&gt;"",X88&lt;0.005),"Check - the creative is not landing",IF(AND(U88="Complete",T88=""),"Add - record the revenue","OK")))))</f>
        <v>0</v>
      </c>
    </row>
    <row r="89" spans="1:32">
      <c r="A89" s="41">
        <f>IF(B89="","","AD-"&amp;TEXT(ROW()-4,"000"))</f>
        <v>0</v>
      </c>
      <c r="U89" s="29">
        <f>IF(B89="","",IF(L89="","Planned",IF(AND(L89&lt;=TODAY(),OR(M89="",M89&gt;=TODAY())),"Running",IF(L89&gt;TODAY(),"Planned","Complete"))))</f>
        <v>0</v>
      </c>
      <c r="V89" s="23">
        <f>IF(L89="","",IF(M89="",TODAY()-L89+1,MIN(TODAY(),M89)-L89+1))</f>
        <v>0</v>
      </c>
      <c r="W89" s="25">
        <f>IF(OR(V89="",V89&lt;=0),"",N(O89)/V89)</f>
        <v>0</v>
      </c>
      <c r="X89" s="24">
        <f>IF(OR(P89="",P89=0),"",N(R89)/P89)</f>
        <v>0</v>
      </c>
      <c r="Y89" s="25">
        <f>IF(OR(R89="",R89=0),"",N(O89)/R89)</f>
        <v>0</v>
      </c>
      <c r="Z89" s="25">
        <f>IF(OR(P89="",P89=0),"",N(O89)/(P89/1000))</f>
        <v>0</v>
      </c>
      <c r="AA89" s="24">
        <f>IF(OR(R89="",R89=0),"",N(S89)/R89)</f>
        <v>0</v>
      </c>
      <c r="AB89" s="25">
        <f>IF(OR(S89="",S89=0),"",N(O89)/S89)</f>
        <v>0</v>
      </c>
      <c r="AC89" s="31">
        <f>IF(OR(O89="",O89=0),"",N(T89)/O89)</f>
        <v>0</v>
      </c>
      <c r="AD89" s="25">
        <f>IF(AND(T89="",O89=""),"",N(T89)-N(O89))</f>
        <v>0</v>
      </c>
      <c r="AE89" s="24">
        <f>IF(OR(N89="",N89=0),"",N(O89)/N89)</f>
        <v>0</v>
      </c>
      <c r="AF89" s="29">
        <f>IF(B89="","",IF(N(O89)&gt;N(N89),"Over budget - pause or top up",IF(AND(AC89&lt;&gt;"",AC89&lt;1),"Action - losing money, change it",IF(AND(X89&lt;&gt;"",X89&lt;0.005),"Check - the creative is not landing",IF(AND(U89="Complete",T89=""),"Add - record the revenue","OK")))))</f>
        <v>0</v>
      </c>
    </row>
    <row r="90" spans="1:32">
      <c r="A90" s="41">
        <f>IF(B90="","","AD-"&amp;TEXT(ROW()-4,"000"))</f>
        <v>0</v>
      </c>
      <c r="U90" s="29">
        <f>IF(B90="","",IF(L90="","Planned",IF(AND(L90&lt;=TODAY(),OR(M90="",M90&gt;=TODAY())),"Running",IF(L90&gt;TODAY(),"Planned","Complete"))))</f>
        <v>0</v>
      </c>
      <c r="V90" s="23">
        <f>IF(L90="","",IF(M90="",TODAY()-L90+1,MIN(TODAY(),M90)-L90+1))</f>
        <v>0</v>
      </c>
      <c r="W90" s="25">
        <f>IF(OR(V90="",V90&lt;=0),"",N(O90)/V90)</f>
        <v>0</v>
      </c>
      <c r="X90" s="24">
        <f>IF(OR(P90="",P90=0),"",N(R90)/P90)</f>
        <v>0</v>
      </c>
      <c r="Y90" s="25">
        <f>IF(OR(R90="",R90=0),"",N(O90)/R90)</f>
        <v>0</v>
      </c>
      <c r="Z90" s="25">
        <f>IF(OR(P90="",P90=0),"",N(O90)/(P90/1000))</f>
        <v>0</v>
      </c>
      <c r="AA90" s="24">
        <f>IF(OR(R90="",R90=0),"",N(S90)/R90)</f>
        <v>0</v>
      </c>
      <c r="AB90" s="25">
        <f>IF(OR(S90="",S90=0),"",N(O90)/S90)</f>
        <v>0</v>
      </c>
      <c r="AC90" s="31">
        <f>IF(OR(O90="",O90=0),"",N(T90)/O90)</f>
        <v>0</v>
      </c>
      <c r="AD90" s="25">
        <f>IF(AND(T90="",O90=""),"",N(T90)-N(O90))</f>
        <v>0</v>
      </c>
      <c r="AE90" s="24">
        <f>IF(OR(N90="",N90=0),"",N(O90)/N90)</f>
        <v>0</v>
      </c>
      <c r="AF90" s="29">
        <f>IF(B90="","",IF(N(O90)&gt;N(N90),"Over budget - pause or top up",IF(AND(AC90&lt;&gt;"",AC90&lt;1),"Action - losing money, change it",IF(AND(X90&lt;&gt;"",X90&lt;0.005),"Check - the creative is not landing",IF(AND(U90="Complete",T90=""),"Add - record the revenue","OK")))))</f>
        <v>0</v>
      </c>
    </row>
    <row r="91" spans="1:32">
      <c r="A91" s="41">
        <f>IF(B91="","","AD-"&amp;TEXT(ROW()-4,"000"))</f>
        <v>0</v>
      </c>
      <c r="U91" s="29">
        <f>IF(B91="","",IF(L91="","Planned",IF(AND(L91&lt;=TODAY(),OR(M91="",M91&gt;=TODAY())),"Running",IF(L91&gt;TODAY(),"Planned","Complete"))))</f>
        <v>0</v>
      </c>
      <c r="V91" s="23">
        <f>IF(L91="","",IF(M91="",TODAY()-L91+1,MIN(TODAY(),M91)-L91+1))</f>
        <v>0</v>
      </c>
      <c r="W91" s="25">
        <f>IF(OR(V91="",V91&lt;=0),"",N(O91)/V91)</f>
        <v>0</v>
      </c>
      <c r="X91" s="24">
        <f>IF(OR(P91="",P91=0),"",N(R91)/P91)</f>
        <v>0</v>
      </c>
      <c r="Y91" s="25">
        <f>IF(OR(R91="",R91=0),"",N(O91)/R91)</f>
        <v>0</v>
      </c>
      <c r="Z91" s="25">
        <f>IF(OR(P91="",P91=0),"",N(O91)/(P91/1000))</f>
        <v>0</v>
      </c>
      <c r="AA91" s="24">
        <f>IF(OR(R91="",R91=0),"",N(S91)/R91)</f>
        <v>0</v>
      </c>
      <c r="AB91" s="25">
        <f>IF(OR(S91="",S91=0),"",N(O91)/S91)</f>
        <v>0</v>
      </c>
      <c r="AC91" s="31">
        <f>IF(OR(O91="",O91=0),"",N(T91)/O91)</f>
        <v>0</v>
      </c>
      <c r="AD91" s="25">
        <f>IF(AND(T91="",O91=""),"",N(T91)-N(O91))</f>
        <v>0</v>
      </c>
      <c r="AE91" s="24">
        <f>IF(OR(N91="",N91=0),"",N(O91)/N91)</f>
        <v>0</v>
      </c>
      <c r="AF91" s="29">
        <f>IF(B91="","",IF(N(O91)&gt;N(N91),"Over budget - pause or top up",IF(AND(AC91&lt;&gt;"",AC91&lt;1),"Action - losing money, change it",IF(AND(X91&lt;&gt;"",X91&lt;0.005),"Check - the creative is not landing",IF(AND(U91="Complete",T91=""),"Add - record the revenue","OK")))))</f>
        <v>0</v>
      </c>
    </row>
    <row r="92" spans="1:32">
      <c r="A92" s="41">
        <f>IF(B92="","","AD-"&amp;TEXT(ROW()-4,"000"))</f>
        <v>0</v>
      </c>
      <c r="U92" s="29">
        <f>IF(B92="","",IF(L92="","Planned",IF(AND(L92&lt;=TODAY(),OR(M92="",M92&gt;=TODAY())),"Running",IF(L92&gt;TODAY(),"Planned","Complete"))))</f>
        <v>0</v>
      </c>
      <c r="V92" s="23">
        <f>IF(L92="","",IF(M92="",TODAY()-L92+1,MIN(TODAY(),M92)-L92+1))</f>
        <v>0</v>
      </c>
      <c r="W92" s="25">
        <f>IF(OR(V92="",V92&lt;=0),"",N(O92)/V92)</f>
        <v>0</v>
      </c>
      <c r="X92" s="24">
        <f>IF(OR(P92="",P92=0),"",N(R92)/P92)</f>
        <v>0</v>
      </c>
      <c r="Y92" s="25">
        <f>IF(OR(R92="",R92=0),"",N(O92)/R92)</f>
        <v>0</v>
      </c>
      <c r="Z92" s="25">
        <f>IF(OR(P92="",P92=0),"",N(O92)/(P92/1000))</f>
        <v>0</v>
      </c>
      <c r="AA92" s="24">
        <f>IF(OR(R92="",R92=0),"",N(S92)/R92)</f>
        <v>0</v>
      </c>
      <c r="AB92" s="25">
        <f>IF(OR(S92="",S92=0),"",N(O92)/S92)</f>
        <v>0</v>
      </c>
      <c r="AC92" s="31">
        <f>IF(OR(O92="",O92=0),"",N(T92)/O92)</f>
        <v>0</v>
      </c>
      <c r="AD92" s="25">
        <f>IF(AND(T92="",O92=""),"",N(T92)-N(O92))</f>
        <v>0</v>
      </c>
      <c r="AE92" s="24">
        <f>IF(OR(N92="",N92=0),"",N(O92)/N92)</f>
        <v>0</v>
      </c>
      <c r="AF92" s="29">
        <f>IF(B92="","",IF(N(O92)&gt;N(N92),"Over budget - pause or top up",IF(AND(AC92&lt;&gt;"",AC92&lt;1),"Action - losing money, change it",IF(AND(X92&lt;&gt;"",X92&lt;0.005),"Check - the creative is not landing",IF(AND(U92="Complete",T92=""),"Add - record the revenue","OK")))))</f>
        <v>0</v>
      </c>
    </row>
    <row r="93" spans="1:32">
      <c r="A93" s="41">
        <f>IF(B93="","","AD-"&amp;TEXT(ROW()-4,"000"))</f>
        <v>0</v>
      </c>
      <c r="U93" s="29">
        <f>IF(B93="","",IF(L93="","Planned",IF(AND(L93&lt;=TODAY(),OR(M93="",M93&gt;=TODAY())),"Running",IF(L93&gt;TODAY(),"Planned","Complete"))))</f>
        <v>0</v>
      </c>
      <c r="V93" s="23">
        <f>IF(L93="","",IF(M93="",TODAY()-L93+1,MIN(TODAY(),M93)-L93+1))</f>
        <v>0</v>
      </c>
      <c r="W93" s="25">
        <f>IF(OR(V93="",V93&lt;=0),"",N(O93)/V93)</f>
        <v>0</v>
      </c>
      <c r="X93" s="24">
        <f>IF(OR(P93="",P93=0),"",N(R93)/P93)</f>
        <v>0</v>
      </c>
      <c r="Y93" s="25">
        <f>IF(OR(R93="",R93=0),"",N(O93)/R93)</f>
        <v>0</v>
      </c>
      <c r="Z93" s="25">
        <f>IF(OR(P93="",P93=0),"",N(O93)/(P93/1000))</f>
        <v>0</v>
      </c>
      <c r="AA93" s="24">
        <f>IF(OR(R93="",R93=0),"",N(S93)/R93)</f>
        <v>0</v>
      </c>
      <c r="AB93" s="25">
        <f>IF(OR(S93="",S93=0),"",N(O93)/S93)</f>
        <v>0</v>
      </c>
      <c r="AC93" s="31">
        <f>IF(OR(O93="",O93=0),"",N(T93)/O93)</f>
        <v>0</v>
      </c>
      <c r="AD93" s="25">
        <f>IF(AND(T93="",O93=""),"",N(T93)-N(O93))</f>
        <v>0</v>
      </c>
      <c r="AE93" s="24">
        <f>IF(OR(N93="",N93=0),"",N(O93)/N93)</f>
        <v>0</v>
      </c>
      <c r="AF93" s="29">
        <f>IF(B93="","",IF(N(O93)&gt;N(N93),"Over budget - pause or top up",IF(AND(AC93&lt;&gt;"",AC93&lt;1),"Action - losing money, change it",IF(AND(X93&lt;&gt;"",X93&lt;0.005),"Check - the creative is not landing",IF(AND(U93="Complete",T93=""),"Add - record the revenue","OK")))))</f>
        <v>0</v>
      </c>
    </row>
    <row r="94" spans="1:32">
      <c r="A94" s="41">
        <f>IF(B94="","","AD-"&amp;TEXT(ROW()-4,"000"))</f>
        <v>0</v>
      </c>
      <c r="U94" s="29">
        <f>IF(B94="","",IF(L94="","Planned",IF(AND(L94&lt;=TODAY(),OR(M94="",M94&gt;=TODAY())),"Running",IF(L94&gt;TODAY(),"Planned","Complete"))))</f>
        <v>0</v>
      </c>
      <c r="V94" s="23">
        <f>IF(L94="","",IF(M94="",TODAY()-L94+1,MIN(TODAY(),M94)-L94+1))</f>
        <v>0</v>
      </c>
      <c r="W94" s="25">
        <f>IF(OR(V94="",V94&lt;=0),"",N(O94)/V94)</f>
        <v>0</v>
      </c>
      <c r="X94" s="24">
        <f>IF(OR(P94="",P94=0),"",N(R94)/P94)</f>
        <v>0</v>
      </c>
      <c r="Y94" s="25">
        <f>IF(OR(R94="",R94=0),"",N(O94)/R94)</f>
        <v>0</v>
      </c>
      <c r="Z94" s="25">
        <f>IF(OR(P94="",P94=0),"",N(O94)/(P94/1000))</f>
        <v>0</v>
      </c>
      <c r="AA94" s="24">
        <f>IF(OR(R94="",R94=0),"",N(S94)/R94)</f>
        <v>0</v>
      </c>
      <c r="AB94" s="25">
        <f>IF(OR(S94="",S94=0),"",N(O94)/S94)</f>
        <v>0</v>
      </c>
      <c r="AC94" s="31">
        <f>IF(OR(O94="",O94=0),"",N(T94)/O94)</f>
        <v>0</v>
      </c>
      <c r="AD94" s="25">
        <f>IF(AND(T94="",O94=""),"",N(T94)-N(O94))</f>
        <v>0</v>
      </c>
      <c r="AE94" s="24">
        <f>IF(OR(N94="",N94=0),"",N(O94)/N94)</f>
        <v>0</v>
      </c>
      <c r="AF94" s="29">
        <f>IF(B94="","",IF(N(O94)&gt;N(N94),"Over budget - pause or top up",IF(AND(AC94&lt;&gt;"",AC94&lt;1),"Action - losing money, change it",IF(AND(X94&lt;&gt;"",X94&lt;0.005),"Check - the creative is not landing",IF(AND(U94="Complete",T94=""),"Add - record the revenue","OK")))))</f>
        <v>0</v>
      </c>
    </row>
    <row r="95" spans="1:32">
      <c r="A95" s="41">
        <f>IF(B95="","","AD-"&amp;TEXT(ROW()-4,"000"))</f>
        <v>0</v>
      </c>
      <c r="U95" s="29">
        <f>IF(B95="","",IF(L95="","Planned",IF(AND(L95&lt;=TODAY(),OR(M95="",M95&gt;=TODAY())),"Running",IF(L95&gt;TODAY(),"Planned","Complete"))))</f>
        <v>0</v>
      </c>
      <c r="V95" s="23">
        <f>IF(L95="","",IF(M95="",TODAY()-L95+1,MIN(TODAY(),M95)-L95+1))</f>
        <v>0</v>
      </c>
      <c r="W95" s="25">
        <f>IF(OR(V95="",V95&lt;=0),"",N(O95)/V95)</f>
        <v>0</v>
      </c>
      <c r="X95" s="24">
        <f>IF(OR(P95="",P95=0),"",N(R95)/P95)</f>
        <v>0</v>
      </c>
      <c r="Y95" s="25">
        <f>IF(OR(R95="",R95=0),"",N(O95)/R95)</f>
        <v>0</v>
      </c>
      <c r="Z95" s="25">
        <f>IF(OR(P95="",P95=0),"",N(O95)/(P95/1000))</f>
        <v>0</v>
      </c>
      <c r="AA95" s="24">
        <f>IF(OR(R95="",R95=0),"",N(S95)/R95)</f>
        <v>0</v>
      </c>
      <c r="AB95" s="25">
        <f>IF(OR(S95="",S95=0),"",N(O95)/S95)</f>
        <v>0</v>
      </c>
      <c r="AC95" s="31">
        <f>IF(OR(O95="",O95=0),"",N(T95)/O95)</f>
        <v>0</v>
      </c>
      <c r="AD95" s="25">
        <f>IF(AND(T95="",O95=""),"",N(T95)-N(O95))</f>
        <v>0</v>
      </c>
      <c r="AE95" s="24">
        <f>IF(OR(N95="",N95=0),"",N(O95)/N95)</f>
        <v>0</v>
      </c>
      <c r="AF95" s="29">
        <f>IF(B95="","",IF(N(O95)&gt;N(N95),"Over budget - pause or top up",IF(AND(AC95&lt;&gt;"",AC95&lt;1),"Action - losing money, change it",IF(AND(X95&lt;&gt;"",X95&lt;0.005),"Check - the creative is not landing",IF(AND(U95="Complete",T95=""),"Add - record the revenue","OK")))))</f>
        <v>0</v>
      </c>
    </row>
    <row r="96" spans="1:32">
      <c r="A96" s="41">
        <f>IF(B96="","","AD-"&amp;TEXT(ROW()-4,"000"))</f>
        <v>0</v>
      </c>
      <c r="U96" s="29">
        <f>IF(B96="","",IF(L96="","Planned",IF(AND(L96&lt;=TODAY(),OR(M96="",M96&gt;=TODAY())),"Running",IF(L96&gt;TODAY(),"Planned","Complete"))))</f>
        <v>0</v>
      </c>
      <c r="V96" s="23">
        <f>IF(L96="","",IF(M96="",TODAY()-L96+1,MIN(TODAY(),M96)-L96+1))</f>
        <v>0</v>
      </c>
      <c r="W96" s="25">
        <f>IF(OR(V96="",V96&lt;=0),"",N(O96)/V96)</f>
        <v>0</v>
      </c>
      <c r="X96" s="24">
        <f>IF(OR(P96="",P96=0),"",N(R96)/P96)</f>
        <v>0</v>
      </c>
      <c r="Y96" s="25">
        <f>IF(OR(R96="",R96=0),"",N(O96)/R96)</f>
        <v>0</v>
      </c>
      <c r="Z96" s="25">
        <f>IF(OR(P96="",P96=0),"",N(O96)/(P96/1000))</f>
        <v>0</v>
      </c>
      <c r="AA96" s="24">
        <f>IF(OR(R96="",R96=0),"",N(S96)/R96)</f>
        <v>0</v>
      </c>
      <c r="AB96" s="25">
        <f>IF(OR(S96="",S96=0),"",N(O96)/S96)</f>
        <v>0</v>
      </c>
      <c r="AC96" s="31">
        <f>IF(OR(O96="",O96=0),"",N(T96)/O96)</f>
        <v>0</v>
      </c>
      <c r="AD96" s="25">
        <f>IF(AND(T96="",O96=""),"",N(T96)-N(O96))</f>
        <v>0</v>
      </c>
      <c r="AE96" s="24">
        <f>IF(OR(N96="",N96=0),"",N(O96)/N96)</f>
        <v>0</v>
      </c>
      <c r="AF96" s="29">
        <f>IF(B96="","",IF(N(O96)&gt;N(N96),"Over budget - pause or top up",IF(AND(AC96&lt;&gt;"",AC96&lt;1),"Action - losing money, change it",IF(AND(X96&lt;&gt;"",X96&lt;0.005),"Check - the creative is not landing",IF(AND(U96="Complete",T96=""),"Add - record the revenue","OK")))))</f>
        <v>0</v>
      </c>
    </row>
    <row r="97" spans="1:32">
      <c r="A97" s="41">
        <f>IF(B97="","","AD-"&amp;TEXT(ROW()-4,"000"))</f>
        <v>0</v>
      </c>
      <c r="U97" s="29">
        <f>IF(B97="","",IF(L97="","Planned",IF(AND(L97&lt;=TODAY(),OR(M97="",M97&gt;=TODAY())),"Running",IF(L97&gt;TODAY(),"Planned","Complete"))))</f>
        <v>0</v>
      </c>
      <c r="V97" s="23">
        <f>IF(L97="","",IF(M97="",TODAY()-L97+1,MIN(TODAY(),M97)-L97+1))</f>
        <v>0</v>
      </c>
      <c r="W97" s="25">
        <f>IF(OR(V97="",V97&lt;=0),"",N(O97)/V97)</f>
        <v>0</v>
      </c>
      <c r="X97" s="24">
        <f>IF(OR(P97="",P97=0),"",N(R97)/P97)</f>
        <v>0</v>
      </c>
      <c r="Y97" s="25">
        <f>IF(OR(R97="",R97=0),"",N(O97)/R97)</f>
        <v>0</v>
      </c>
      <c r="Z97" s="25">
        <f>IF(OR(P97="",P97=0),"",N(O97)/(P97/1000))</f>
        <v>0</v>
      </c>
      <c r="AA97" s="24">
        <f>IF(OR(R97="",R97=0),"",N(S97)/R97)</f>
        <v>0</v>
      </c>
      <c r="AB97" s="25">
        <f>IF(OR(S97="",S97=0),"",N(O97)/S97)</f>
        <v>0</v>
      </c>
      <c r="AC97" s="31">
        <f>IF(OR(O97="",O97=0),"",N(T97)/O97)</f>
        <v>0</v>
      </c>
      <c r="AD97" s="25">
        <f>IF(AND(T97="",O97=""),"",N(T97)-N(O97))</f>
        <v>0</v>
      </c>
      <c r="AE97" s="24">
        <f>IF(OR(N97="",N97=0),"",N(O97)/N97)</f>
        <v>0</v>
      </c>
      <c r="AF97" s="29">
        <f>IF(B97="","",IF(N(O97)&gt;N(N97),"Over budget - pause or top up",IF(AND(AC97&lt;&gt;"",AC97&lt;1),"Action - losing money, change it",IF(AND(X97&lt;&gt;"",X97&lt;0.005),"Check - the creative is not landing",IF(AND(U97="Complete",T97=""),"Add - record the revenue","OK")))))</f>
        <v>0</v>
      </c>
    </row>
    <row r="98" spans="1:32">
      <c r="A98" s="41">
        <f>IF(B98="","","AD-"&amp;TEXT(ROW()-4,"000"))</f>
        <v>0</v>
      </c>
      <c r="U98" s="29">
        <f>IF(B98="","",IF(L98="","Planned",IF(AND(L98&lt;=TODAY(),OR(M98="",M98&gt;=TODAY())),"Running",IF(L98&gt;TODAY(),"Planned","Complete"))))</f>
        <v>0</v>
      </c>
      <c r="V98" s="23">
        <f>IF(L98="","",IF(M98="",TODAY()-L98+1,MIN(TODAY(),M98)-L98+1))</f>
        <v>0</v>
      </c>
      <c r="W98" s="25">
        <f>IF(OR(V98="",V98&lt;=0),"",N(O98)/V98)</f>
        <v>0</v>
      </c>
      <c r="X98" s="24">
        <f>IF(OR(P98="",P98=0),"",N(R98)/P98)</f>
        <v>0</v>
      </c>
      <c r="Y98" s="25">
        <f>IF(OR(R98="",R98=0),"",N(O98)/R98)</f>
        <v>0</v>
      </c>
      <c r="Z98" s="25">
        <f>IF(OR(P98="",P98=0),"",N(O98)/(P98/1000))</f>
        <v>0</v>
      </c>
      <c r="AA98" s="24">
        <f>IF(OR(R98="",R98=0),"",N(S98)/R98)</f>
        <v>0</v>
      </c>
      <c r="AB98" s="25">
        <f>IF(OR(S98="",S98=0),"",N(O98)/S98)</f>
        <v>0</v>
      </c>
      <c r="AC98" s="31">
        <f>IF(OR(O98="",O98=0),"",N(T98)/O98)</f>
        <v>0</v>
      </c>
      <c r="AD98" s="25">
        <f>IF(AND(T98="",O98=""),"",N(T98)-N(O98))</f>
        <v>0</v>
      </c>
      <c r="AE98" s="24">
        <f>IF(OR(N98="",N98=0),"",N(O98)/N98)</f>
        <v>0</v>
      </c>
      <c r="AF98" s="29">
        <f>IF(B98="","",IF(N(O98)&gt;N(N98),"Over budget - pause or top up",IF(AND(AC98&lt;&gt;"",AC98&lt;1),"Action - losing money, change it",IF(AND(X98&lt;&gt;"",X98&lt;0.005),"Check - the creative is not landing",IF(AND(U98="Complete",T98=""),"Add - record the revenue","OK")))))</f>
        <v>0</v>
      </c>
    </row>
    <row r="99" spans="1:32">
      <c r="A99" s="41">
        <f>IF(B99="","","AD-"&amp;TEXT(ROW()-4,"000"))</f>
        <v>0</v>
      </c>
      <c r="U99" s="29">
        <f>IF(B99="","",IF(L99="","Planned",IF(AND(L99&lt;=TODAY(),OR(M99="",M99&gt;=TODAY())),"Running",IF(L99&gt;TODAY(),"Planned","Complete"))))</f>
        <v>0</v>
      </c>
      <c r="V99" s="23">
        <f>IF(L99="","",IF(M99="",TODAY()-L99+1,MIN(TODAY(),M99)-L99+1))</f>
        <v>0</v>
      </c>
      <c r="W99" s="25">
        <f>IF(OR(V99="",V99&lt;=0),"",N(O99)/V99)</f>
        <v>0</v>
      </c>
      <c r="X99" s="24">
        <f>IF(OR(P99="",P99=0),"",N(R99)/P99)</f>
        <v>0</v>
      </c>
      <c r="Y99" s="25">
        <f>IF(OR(R99="",R99=0),"",N(O99)/R99)</f>
        <v>0</v>
      </c>
      <c r="Z99" s="25">
        <f>IF(OR(P99="",P99=0),"",N(O99)/(P99/1000))</f>
        <v>0</v>
      </c>
      <c r="AA99" s="24">
        <f>IF(OR(R99="",R99=0),"",N(S99)/R99)</f>
        <v>0</v>
      </c>
      <c r="AB99" s="25">
        <f>IF(OR(S99="",S99=0),"",N(O99)/S99)</f>
        <v>0</v>
      </c>
      <c r="AC99" s="31">
        <f>IF(OR(O99="",O99=0),"",N(T99)/O99)</f>
        <v>0</v>
      </c>
      <c r="AD99" s="25">
        <f>IF(AND(T99="",O99=""),"",N(T99)-N(O99))</f>
        <v>0</v>
      </c>
      <c r="AE99" s="24">
        <f>IF(OR(N99="",N99=0),"",N(O99)/N99)</f>
        <v>0</v>
      </c>
      <c r="AF99" s="29">
        <f>IF(B99="","",IF(N(O99)&gt;N(N99),"Over budget - pause or top up",IF(AND(AC99&lt;&gt;"",AC99&lt;1),"Action - losing money, change it",IF(AND(X99&lt;&gt;"",X99&lt;0.005),"Check - the creative is not landing",IF(AND(U99="Complete",T99=""),"Add - record the revenue","OK")))))</f>
        <v>0</v>
      </c>
    </row>
    <row r="100" spans="1:32">
      <c r="A100" s="41">
        <f>IF(B100="","","AD-"&amp;TEXT(ROW()-4,"000"))</f>
        <v>0</v>
      </c>
      <c r="U100" s="29">
        <f>IF(B100="","",IF(L100="","Planned",IF(AND(L100&lt;=TODAY(),OR(M100="",M100&gt;=TODAY())),"Running",IF(L100&gt;TODAY(),"Planned","Complete"))))</f>
        <v>0</v>
      </c>
      <c r="V100" s="23">
        <f>IF(L100="","",IF(M100="",TODAY()-L100+1,MIN(TODAY(),M100)-L100+1))</f>
        <v>0</v>
      </c>
      <c r="W100" s="25">
        <f>IF(OR(V100="",V100&lt;=0),"",N(O100)/V100)</f>
        <v>0</v>
      </c>
      <c r="X100" s="24">
        <f>IF(OR(P100="",P100=0),"",N(R100)/P100)</f>
        <v>0</v>
      </c>
      <c r="Y100" s="25">
        <f>IF(OR(R100="",R100=0),"",N(O100)/R100)</f>
        <v>0</v>
      </c>
      <c r="Z100" s="25">
        <f>IF(OR(P100="",P100=0),"",N(O100)/(P100/1000))</f>
        <v>0</v>
      </c>
      <c r="AA100" s="24">
        <f>IF(OR(R100="",R100=0),"",N(S100)/R100)</f>
        <v>0</v>
      </c>
      <c r="AB100" s="25">
        <f>IF(OR(S100="",S100=0),"",N(O100)/S100)</f>
        <v>0</v>
      </c>
      <c r="AC100" s="31">
        <f>IF(OR(O100="",O100=0),"",N(T100)/O100)</f>
        <v>0</v>
      </c>
      <c r="AD100" s="25">
        <f>IF(AND(T100="",O100=""),"",N(T100)-N(O100))</f>
        <v>0</v>
      </c>
      <c r="AE100" s="24">
        <f>IF(OR(N100="",N100=0),"",N(O100)/N100)</f>
        <v>0</v>
      </c>
      <c r="AF100" s="29">
        <f>IF(B100="","",IF(N(O100)&gt;N(N100),"Over budget - pause or top up",IF(AND(AC100&lt;&gt;"",AC100&lt;1),"Action - losing money, change it",IF(AND(X100&lt;&gt;"",X100&lt;0.005),"Check - the creative is not landing",IF(AND(U100="Complete",T100=""),"Add - record the revenue","OK")))))</f>
        <v>0</v>
      </c>
    </row>
    <row r="101" spans="1:32">
      <c r="A101" s="41">
        <f>IF(B101="","","AD-"&amp;TEXT(ROW()-4,"000"))</f>
        <v>0</v>
      </c>
      <c r="U101" s="29">
        <f>IF(B101="","",IF(L101="","Planned",IF(AND(L101&lt;=TODAY(),OR(M101="",M101&gt;=TODAY())),"Running",IF(L101&gt;TODAY(),"Planned","Complete"))))</f>
        <v>0</v>
      </c>
      <c r="V101" s="23">
        <f>IF(L101="","",IF(M101="",TODAY()-L101+1,MIN(TODAY(),M101)-L101+1))</f>
        <v>0</v>
      </c>
      <c r="W101" s="25">
        <f>IF(OR(V101="",V101&lt;=0),"",N(O101)/V101)</f>
        <v>0</v>
      </c>
      <c r="X101" s="24">
        <f>IF(OR(P101="",P101=0),"",N(R101)/P101)</f>
        <v>0</v>
      </c>
      <c r="Y101" s="25">
        <f>IF(OR(R101="",R101=0),"",N(O101)/R101)</f>
        <v>0</v>
      </c>
      <c r="Z101" s="25">
        <f>IF(OR(P101="",P101=0),"",N(O101)/(P101/1000))</f>
        <v>0</v>
      </c>
      <c r="AA101" s="24">
        <f>IF(OR(R101="",R101=0),"",N(S101)/R101)</f>
        <v>0</v>
      </c>
      <c r="AB101" s="25">
        <f>IF(OR(S101="",S101=0),"",N(O101)/S101)</f>
        <v>0</v>
      </c>
      <c r="AC101" s="31">
        <f>IF(OR(O101="",O101=0),"",N(T101)/O101)</f>
        <v>0</v>
      </c>
      <c r="AD101" s="25">
        <f>IF(AND(T101="",O101=""),"",N(T101)-N(O101))</f>
        <v>0</v>
      </c>
      <c r="AE101" s="24">
        <f>IF(OR(N101="",N101=0),"",N(O101)/N101)</f>
        <v>0</v>
      </c>
      <c r="AF101" s="29">
        <f>IF(B101="","",IF(N(O101)&gt;N(N101),"Over budget - pause or top up",IF(AND(AC101&lt;&gt;"",AC101&lt;1),"Action - losing money, change it",IF(AND(X101&lt;&gt;"",X101&lt;0.005),"Check - the creative is not landing",IF(AND(U101="Complete",T101=""),"Add - record the revenue","OK")))))</f>
        <v>0</v>
      </c>
    </row>
    <row r="102" spans="1:32">
      <c r="A102" s="41">
        <f>IF(B102="","","AD-"&amp;TEXT(ROW()-4,"000"))</f>
        <v>0</v>
      </c>
      <c r="U102" s="29">
        <f>IF(B102="","",IF(L102="","Planned",IF(AND(L102&lt;=TODAY(),OR(M102="",M102&gt;=TODAY())),"Running",IF(L102&gt;TODAY(),"Planned","Complete"))))</f>
        <v>0</v>
      </c>
      <c r="V102" s="23">
        <f>IF(L102="","",IF(M102="",TODAY()-L102+1,MIN(TODAY(),M102)-L102+1))</f>
        <v>0</v>
      </c>
      <c r="W102" s="25">
        <f>IF(OR(V102="",V102&lt;=0),"",N(O102)/V102)</f>
        <v>0</v>
      </c>
      <c r="X102" s="24">
        <f>IF(OR(P102="",P102=0),"",N(R102)/P102)</f>
        <v>0</v>
      </c>
      <c r="Y102" s="25">
        <f>IF(OR(R102="",R102=0),"",N(O102)/R102)</f>
        <v>0</v>
      </c>
      <c r="Z102" s="25">
        <f>IF(OR(P102="",P102=0),"",N(O102)/(P102/1000))</f>
        <v>0</v>
      </c>
      <c r="AA102" s="24">
        <f>IF(OR(R102="",R102=0),"",N(S102)/R102)</f>
        <v>0</v>
      </c>
      <c r="AB102" s="25">
        <f>IF(OR(S102="",S102=0),"",N(O102)/S102)</f>
        <v>0</v>
      </c>
      <c r="AC102" s="31">
        <f>IF(OR(O102="",O102=0),"",N(T102)/O102)</f>
        <v>0</v>
      </c>
      <c r="AD102" s="25">
        <f>IF(AND(T102="",O102=""),"",N(T102)-N(O102))</f>
        <v>0</v>
      </c>
      <c r="AE102" s="24">
        <f>IF(OR(N102="",N102=0),"",N(O102)/N102)</f>
        <v>0</v>
      </c>
      <c r="AF102" s="29">
        <f>IF(B102="","",IF(N(O102)&gt;N(N102),"Over budget - pause or top up",IF(AND(AC102&lt;&gt;"",AC102&lt;1),"Action - losing money, change it",IF(AND(X102&lt;&gt;"",X102&lt;0.005),"Check - the creative is not landing",IF(AND(U102="Complete",T102=""),"Add - record the revenue","OK")))))</f>
        <v>0</v>
      </c>
    </row>
    <row r="103" spans="1:32">
      <c r="A103" s="41">
        <f>IF(B103="","","AD-"&amp;TEXT(ROW()-4,"000"))</f>
        <v>0</v>
      </c>
      <c r="U103" s="29">
        <f>IF(B103="","",IF(L103="","Planned",IF(AND(L103&lt;=TODAY(),OR(M103="",M103&gt;=TODAY())),"Running",IF(L103&gt;TODAY(),"Planned","Complete"))))</f>
        <v>0</v>
      </c>
      <c r="V103" s="23">
        <f>IF(L103="","",IF(M103="",TODAY()-L103+1,MIN(TODAY(),M103)-L103+1))</f>
        <v>0</v>
      </c>
      <c r="W103" s="25">
        <f>IF(OR(V103="",V103&lt;=0),"",N(O103)/V103)</f>
        <v>0</v>
      </c>
      <c r="X103" s="24">
        <f>IF(OR(P103="",P103=0),"",N(R103)/P103)</f>
        <v>0</v>
      </c>
      <c r="Y103" s="25">
        <f>IF(OR(R103="",R103=0),"",N(O103)/R103)</f>
        <v>0</v>
      </c>
      <c r="Z103" s="25">
        <f>IF(OR(P103="",P103=0),"",N(O103)/(P103/1000))</f>
        <v>0</v>
      </c>
      <c r="AA103" s="24">
        <f>IF(OR(R103="",R103=0),"",N(S103)/R103)</f>
        <v>0</v>
      </c>
      <c r="AB103" s="25">
        <f>IF(OR(S103="",S103=0),"",N(O103)/S103)</f>
        <v>0</v>
      </c>
      <c r="AC103" s="31">
        <f>IF(OR(O103="",O103=0),"",N(T103)/O103)</f>
        <v>0</v>
      </c>
      <c r="AD103" s="25">
        <f>IF(AND(T103="",O103=""),"",N(T103)-N(O103))</f>
        <v>0</v>
      </c>
      <c r="AE103" s="24">
        <f>IF(OR(N103="",N103=0),"",N(O103)/N103)</f>
        <v>0</v>
      </c>
      <c r="AF103" s="29">
        <f>IF(B103="","",IF(N(O103)&gt;N(N103),"Over budget - pause or top up",IF(AND(AC103&lt;&gt;"",AC103&lt;1),"Action - losing money, change it",IF(AND(X103&lt;&gt;"",X103&lt;0.005),"Check - the creative is not landing",IF(AND(U103="Complete",T103=""),"Add - record the revenue","OK")))))</f>
        <v>0</v>
      </c>
    </row>
    <row r="104" spans="1:32">
      <c r="A104" s="41">
        <f>IF(B104="","","AD-"&amp;TEXT(ROW()-4,"000"))</f>
        <v>0</v>
      </c>
      <c r="U104" s="29">
        <f>IF(B104="","",IF(L104="","Planned",IF(AND(L104&lt;=TODAY(),OR(M104="",M104&gt;=TODAY())),"Running",IF(L104&gt;TODAY(),"Planned","Complete"))))</f>
        <v>0</v>
      </c>
      <c r="V104" s="23">
        <f>IF(L104="","",IF(M104="",TODAY()-L104+1,MIN(TODAY(),M104)-L104+1))</f>
        <v>0</v>
      </c>
      <c r="W104" s="25">
        <f>IF(OR(V104="",V104&lt;=0),"",N(O104)/V104)</f>
        <v>0</v>
      </c>
      <c r="X104" s="24">
        <f>IF(OR(P104="",P104=0),"",N(R104)/P104)</f>
        <v>0</v>
      </c>
      <c r="Y104" s="25">
        <f>IF(OR(R104="",R104=0),"",N(O104)/R104)</f>
        <v>0</v>
      </c>
      <c r="Z104" s="25">
        <f>IF(OR(P104="",P104=0),"",N(O104)/(P104/1000))</f>
        <v>0</v>
      </c>
      <c r="AA104" s="24">
        <f>IF(OR(R104="",R104=0),"",N(S104)/R104)</f>
        <v>0</v>
      </c>
      <c r="AB104" s="25">
        <f>IF(OR(S104="",S104=0),"",N(O104)/S104)</f>
        <v>0</v>
      </c>
      <c r="AC104" s="31">
        <f>IF(OR(O104="",O104=0),"",N(T104)/O104)</f>
        <v>0</v>
      </c>
      <c r="AD104" s="25">
        <f>IF(AND(T104="",O104=""),"",N(T104)-N(O104))</f>
        <v>0</v>
      </c>
      <c r="AE104" s="24">
        <f>IF(OR(N104="",N104=0),"",N(O104)/N104)</f>
        <v>0</v>
      </c>
      <c r="AF104" s="29">
        <f>IF(B104="","",IF(N(O104)&gt;N(N104),"Over budget - pause or top up",IF(AND(AC104&lt;&gt;"",AC104&lt;1),"Action - losing money, change it",IF(AND(X104&lt;&gt;"",X104&lt;0.005),"Check - the creative is not landing",IF(AND(U104="Complete",T104=""),"Add - record the revenue","OK")))))</f>
        <v>0</v>
      </c>
    </row>
  </sheetData>
  <sheetProtection password="EC7C" sheet="1" objects="1" scenarios="1" formatCells="0" formatColumns="0" formatRows="0" insertRows="0" insertHyperlinks="0" deleteRows="0" autoFilter="0"/>
  <autoFilter ref="A4:AG104"/>
  <mergeCells count="13">
    <mergeCell ref="A1:AD1"/>
    <mergeCell ref="AE1:AG1"/>
    <mergeCell ref="A2:AG2"/>
    <mergeCell ref="A3:B3"/>
    <mergeCell ref="C3:D3"/>
    <mergeCell ref="E3:F3"/>
    <mergeCell ref="G3:H3"/>
    <mergeCell ref="I3:J3"/>
    <mergeCell ref="K3:L3"/>
    <mergeCell ref="M3:N3"/>
    <mergeCell ref="O3:P3"/>
    <mergeCell ref="Q3:R3"/>
    <mergeCell ref="S3:AG3"/>
  </mergeCells>
  <conditionalFormatting sqref="AC5:AC104">
    <cfRule type="cellIs" dxfId="0" priority="32" operator="greaterThanOrEqual">
      <formula>RoasTarget</formula>
    </cfRule>
    <cfRule type="cellIs" dxfId="1" priority="33" operator="lessThan">
      <formula>1</formula>
    </cfRule>
  </conditionalFormatting>
  <conditionalFormatting sqref="AD5:AD104">
    <cfRule type="cellIs" dxfId="1" priority="34" operator="lessThan">
      <formula>0</formula>
    </cfRule>
  </conditionalFormatting>
  <conditionalFormatting sqref="AE5:AE104">
    <cfRule type="cellIs" dxfId="1" priority="35" operator="greaterThan">
      <formula>1</formula>
    </cfRule>
    <cfRule type="dataBar" priority="36">
      <dataBar>
        <cfvo type="min" val="0"/>
        <cfvo type="max" val="0"/>
        <color rgb="FFF2665E"/>
      </dataBar>
    </cfRule>
  </conditionalFormatting>
  <conditionalFormatting sqref="AF5:AF104">
    <cfRule type="beginsWith" dxfId="0" priority="37" operator="beginsWith" text="OK">
      <formula>LEFT(AF5,2)="OK"</formula>
    </cfRule>
    <cfRule type="containsText" dxfId="1" priority="38" operator="containsText" text="Overdue">
      <formula>NOT(ISERROR(SEARCH("Overdue",AF5)))</formula>
    </cfRule>
    <cfRule type="containsText" dxfId="1" priority="39" operator="containsText" text="Late">
      <formula>NOT(ISERROR(SEARCH("Late",AF5)))</formula>
    </cfRule>
    <cfRule type="containsText" dxfId="1" priority="40" operator="containsText" text="Missing">
      <formula>NOT(ISERROR(SEARCH("Missing",AF5)))</formula>
    </cfRule>
    <cfRule type="containsText" dxfId="1" priority="41" operator="containsText" text="Conflict">
      <formula>NOT(ISERROR(SEARCH("Conflict",AF5)))</formula>
    </cfRule>
    <cfRule type="containsText" dxfId="1" priority="42" operator="containsText" text="Expired">
      <formula>NOT(ISERROR(SEARCH("Expired",AF5)))</formula>
    </cfRule>
    <cfRule type="containsText" dxfId="1" priority="43" operator="containsText" text="Duplicate">
      <formula>NOT(ISERROR(SEARCH("Duplicate",AF5)))</formula>
    </cfRule>
    <cfRule type="containsText" dxfId="2" priority="44" operator="containsText" text="Action">
      <formula>NOT(ISERROR(SEARCH("Action",AF5)))</formula>
    </cfRule>
    <cfRule type="containsText" dxfId="2" priority="45" operator="containsText" text="Due">
      <formula>NOT(ISERROR(SEARCH("Due",AF5)))</formula>
    </cfRule>
    <cfRule type="containsText" dxfId="2" priority="46" operator="containsText" text="Check">
      <formula>NOT(ISERROR(SEARCH("Check",AF5)))</formula>
    </cfRule>
    <cfRule type="containsText" dxfId="2" priority="47" operator="containsText" text="Add">
      <formula>NOT(ISERROR(SEARCH("Add",AF5)))</formula>
    </cfRule>
    <cfRule type="containsText" dxfId="3" priority="48" operator="containsText" text="Today">
      <formula>NOT(ISERROR(SEARCH("Today",AF5)))</formula>
    </cfRule>
    <cfRule type="containsText" dxfId="3" priority="49" operator="containsText" text="Upcoming">
      <formula>NOT(ISERROR(SEARCH("Upcoming",AF5)))</formula>
    </cfRule>
  </conditionalFormatting>
  <conditionalFormatting sqref="N5:N104">
    <cfRule type="dataBar" priority="1">
      <dataBar>
        <cfvo type="min" val="0"/>
        <cfvo type="max" val="0"/>
        <color rgb="FF6350A8"/>
      </dataBar>
    </cfRule>
  </conditionalFormatting>
  <conditionalFormatting sqref="T5:T104">
    <cfRule type="cellIs" dxfId="5" priority="2" operator="greaterThan">
      <formula>0</formula>
    </cfRule>
  </conditionalFormatting>
  <conditionalFormatting sqref="U5:U104">
    <cfRule type="containsText" dxfId="0" priority="3" operator="containsText" text="Published">
      <formula>NOT(ISERROR(SEARCH("Published",U5)))</formula>
    </cfRule>
    <cfRule type="containsText" dxfId="0" priority="4" operator="containsText" text="Approved">
      <formula>NOT(ISERROR(SEARCH("Approved",U5)))</formula>
    </cfRule>
    <cfRule type="containsText" dxfId="0" priority="5" operator="containsText" text="Complete">
      <formula>NOT(ISERROR(SEARCH("Complete",U5)))</formula>
    </cfRule>
    <cfRule type="containsText" dxfId="0" priority="6" operator="containsText" text="Active">
      <formula>NOT(ISERROR(SEARCH("Active",U5)))</formula>
    </cfRule>
    <cfRule type="containsText" dxfId="0" priority="7" operator="containsText" text="Agreed">
      <formula>NOT(ISERROR(SEARCH("Agreed",U5)))</formula>
    </cfRule>
    <cfRule type="containsText" dxfId="0" priority="8" operator="containsText" text="Yes">
      <formula>NOT(ISERROR(SEARCH("Yes",U5)))</formula>
    </cfRule>
    <cfRule type="containsText" dxfId="0" priority="9" operator="containsText" text="Won">
      <formula>NOT(ISERROR(SEARCH("Won",U5)))</formula>
    </cfRule>
    <cfRule type="containsText" dxfId="3" priority="10" operator="containsText" text="Scheduled">
      <formula>NOT(ISERROR(SEARCH("Scheduled",U5)))</formula>
    </cfRule>
    <cfRule type="containsText" dxfId="3" priority="11" operator="containsText" text="In production">
      <formula>NOT(ISERROR(SEARCH("In production",U5)))</formula>
    </cfRule>
    <cfRule type="containsText" dxfId="3" priority="12" operator="containsText" text="Running">
      <formula>NOT(ISERROR(SEARCH("Running",U5)))</formula>
    </cfRule>
    <cfRule type="containsText" dxfId="3" priority="13" operator="containsText" text="Sent">
      <formula>NOT(ISERROR(SEARCH("Sent",U5)))</formula>
    </cfRule>
    <cfRule type="containsText" dxfId="3" priority="14" operator="containsText" text="Testing">
      <formula>NOT(ISERROR(SEARCH("Testing",U5)))</formula>
    </cfRule>
    <cfRule type="containsText" dxfId="2" priority="15" operator="containsText" text="Idea">
      <formula>NOT(ISERROR(SEARCH("Idea",U5)))</formula>
    </cfRule>
    <cfRule type="containsText" dxfId="2" priority="16" operator="containsText" text="Brief">
      <formula>NOT(ISERROR(SEARCH("Brief",U5)))</formula>
    </cfRule>
    <cfRule type="containsText" dxfId="2" priority="17" operator="containsText" text="Draft">
      <formula>NOT(ISERROR(SEARCH("Draft",U5)))</formula>
    </cfRule>
    <cfRule type="containsText" dxfId="2" priority="18" operator="containsText" text="Awaiting review">
      <formula>NOT(ISERROR(SEARCH("Awaiting review",U5)))</formula>
    </cfRule>
    <cfRule type="containsText" dxfId="2" priority="19" operator="containsText" text="Pending">
      <formula>NOT(ISERROR(SEARCH("Pending",U5)))</formula>
    </cfRule>
    <cfRule type="containsText" dxfId="2" priority="20" operator="containsText" text="On hold">
      <formula>NOT(ISERROR(SEARCH("On hold",U5)))</formula>
    </cfRule>
    <cfRule type="containsText" dxfId="1" priority="21" operator="containsText" text="Revision needed">
      <formula>NOT(ISERROR(SEARCH("Revision needed",U5)))</formula>
    </cfRule>
    <cfRule type="containsText" dxfId="1" priority="22" operator="containsText" text="Rejected">
      <formula>NOT(ISERROR(SEARCH("Rejected",U5)))</formula>
    </cfRule>
    <cfRule type="containsText" dxfId="1" priority="23" operator="containsText" text="Cancelled">
      <formula>NOT(ISERROR(SEARCH("Cancelled",U5)))</formula>
    </cfRule>
    <cfRule type="containsText" dxfId="1" priority="24" operator="containsText" text="Missed">
      <formula>NOT(ISERROR(SEARCH("Missed",U5)))</formula>
    </cfRule>
    <cfRule type="containsText" dxfId="1" priority="25" operator="containsText" text="Overdue">
      <formula>NOT(ISERROR(SEARCH("Overdue",U5)))</formula>
    </cfRule>
    <cfRule type="containsText" dxfId="1" priority="26" operator="containsText" text="Declined">
      <formula>NOT(ISERROR(SEARCH("Declined",U5)))</formula>
    </cfRule>
    <cfRule type="containsText" dxfId="4" priority="27" operator="containsText" text="Archived">
      <formula>NOT(ISERROR(SEARCH("Archived",U5)))</formula>
    </cfRule>
    <cfRule type="containsText" dxfId="4" priority="28" operator="containsText" text="Paused">
      <formula>NOT(ISERROR(SEARCH("Paused",U5)))</formula>
    </cfRule>
    <cfRule type="containsText" dxfId="4" priority="29" operator="containsText" text="Not started">
      <formula>NOT(ISERROR(SEARCH("Not started",U5)))</formula>
    </cfRule>
  </conditionalFormatting>
  <conditionalFormatting sqref="X5:X104">
    <cfRule type="cellIs" dxfId="0" priority="30" operator="greaterThanOrEqual">
      <formula>0.01</formula>
    </cfRule>
    <cfRule type="cellIs" dxfId="2" priority="31" operator="lessThan">
      <formula>0.005</formula>
    </cfRule>
  </conditionalFormatting>
  <dataValidations count="13">
    <dataValidation type="list" allowBlank="1" showInputMessage="1" showErrorMessage="1" sqref="C5:C104">
      <formula1>PlatformList</formula1>
    </dataValidation>
    <dataValidation type="list" allowBlank="1" showInputMessage="1" showErrorMessage="1" sqref="D5:D104">
      <formula1>AdObjectiveList</formula1>
    </dataValidation>
    <dataValidation type="list" allowBlank="1" showInputMessage="1" showErrorMessage="1" sqref="E5:E104">
      <formula1>CampaignNames</formula1>
    </dataValidation>
    <dataValidation type="list" allowBlank="1" showInputMessage="1" showErrorMessage="1" sqref="H5:H104">
      <formula1>AssetIDs</formula1>
    </dataValidation>
    <dataValidation type="date" allowBlank="1" showInputMessage="1" showErrorMessage="1" errorTitle="Check the date" error="Enter a real date between 2000 and 2100." sqref="L5:L104">
      <formula1>36526</formula1>
      <formula2>73415</formula2>
    </dataValidation>
    <dataValidation type="date" allowBlank="1" showInputMessage="1" showErrorMessage="1" errorTitle="Check the date" error="Enter a real date between 2000 and 2100." sqref="M5:M104">
      <formula1>36526</formula1>
      <formula2>73415</formula2>
    </dataValidation>
    <dataValidation type="decimal" allowBlank="1" showInputMessage="1" showErrorMessage="1" errorTitle="Check the value" error="Enter a number between 0 and 1000000000.0." sqref="N5:N104">
      <formula1>0</formula1>
      <formula2>1000000000.0</formula2>
    </dataValidation>
    <dataValidation type="decimal" allowBlank="1" showInputMessage="1" showErrorMessage="1" errorTitle="Check the value" error="Enter a number between 0 and 1000000000.0." sqref="O5:O104">
      <formula1>0</formula1>
      <formula2>1000000000.0</formula2>
    </dataValidation>
    <dataValidation type="whole" allowBlank="1" showInputMessage="1" showErrorMessage="1" errorTitle="Check the value" error="Enter a number between 0 and 10000000000.0." sqref="P5:P104">
      <formula1>0</formula1>
      <formula2>10000000000.0</formula2>
    </dataValidation>
    <dataValidation type="whole" allowBlank="1" showInputMessage="1" showErrorMessage="1" errorTitle="Check the value" error="Enter a number between 0 and 10000000000.0." sqref="Q5:Q104">
      <formula1>0</formula1>
      <formula2>10000000000.0</formula2>
    </dataValidation>
    <dataValidation type="whole" allowBlank="1" showInputMessage="1" showErrorMessage="1" errorTitle="Check the value" error="Enter a number between 0 and 1000000000.0." sqref="R5:R104">
      <formula1>0</formula1>
      <formula2>1000000000.0</formula2>
    </dataValidation>
    <dataValidation type="whole" allowBlank="1" showInputMessage="1" showErrorMessage="1" errorTitle="Check the value" error="Enter a number between 0 and 10000000.0." sqref="S5:S104">
      <formula1>0</formula1>
      <formula2>10000000.0</formula2>
    </dataValidation>
    <dataValidation type="decimal" allowBlank="1" showInputMessage="1" showErrorMessage="1" errorTitle="Check the value" error="Enter a number between 0 and 1000000000.0." sqref="T5:T104">
      <formula1>0</formula1>
      <formula2>1000000000.0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&amp;L&amp;"Calibri,Bold"&amp;12&amp;C&amp;"Calibri,Bold"&amp;11Ads&amp;R&amp;"Calibri,Italic"&amp;9Social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3.xml><?xml version="1.0" encoding="utf-8"?>
<worksheet xmlns="http://schemas.openxmlformats.org/spreadsheetml/2006/main" xmlns:r="http://schemas.openxmlformats.org/officeDocument/2006/relationships">
  <sheetPr>
    <tabColor rgb="FF6350A8"/>
    <pageSetUpPr fitToPage="1"/>
  </sheetPr>
  <dimension ref="A1:Y25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1" customWidth="1"/>
    <col min="2" max="2" width="26.7109375" style="15" customWidth="1"/>
    <col min="3" max="3" width="15.7109375" style="15" customWidth="1"/>
    <col min="4" max="4" width="30.7109375" style="42" customWidth="1"/>
    <col min="5" max="5" width="24.7109375" style="15" customWidth="1"/>
    <col min="6" max="6" width="24.7109375" style="42" customWidth="1"/>
    <col min="7" max="7" width="16.7109375" style="15" customWidth="1"/>
    <col min="8" max="8" width="12.7109375" style="43" customWidth="1"/>
    <col min="9" max="9" width="12.7109375" style="43" customWidth="1"/>
    <col min="10" max="10" width="13.7109375" style="15" customWidth="1"/>
    <col min="11" max="11" width="20.7109375" style="15" customWidth="1"/>
    <col min="12" max="12" width="20.7109375" style="15" customWidth="1"/>
    <col min="13" max="13" width="20.7109375" style="15" customWidth="1"/>
    <col min="14" max="14" width="15.7109375" style="48" customWidth="1"/>
    <col min="15" max="15" width="20.7109375" style="15" customWidth="1"/>
    <col min="16" max="16" width="12.7109375" style="43" customWidth="1"/>
    <col min="17" max="17" width="12.7109375" style="34" customWidth="1"/>
    <col min="18" max="18" width="11.7109375" style="23" customWidth="1"/>
    <col min="19" max="19" width="10.7109375" style="23" customWidth="1"/>
    <col min="20" max="20" width="12.7109375" style="16" customWidth="1"/>
    <col min="21" max="21" width="9.7109375" style="23" customWidth="1"/>
    <col min="22" max="22" width="12.7109375" style="23" customWidth="1"/>
    <col min="23" max="23" width="12.7109375" style="29" customWidth="1"/>
    <col min="24" max="24" width="28.7109375" style="29" customWidth="1"/>
    <col min="25" max="25" width="24.7109375" style="39" customWidth="1"/>
  </cols>
  <sheetData>
    <row r="1" spans="1:25" ht="34" customHeight="1">
      <c r="A1" s="2" t="s">
        <v>1984</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1985</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1986</v>
      </c>
      <c r="T3" s="38"/>
      <c r="U3" s="38"/>
      <c r="V3" s="38"/>
      <c r="W3" s="38"/>
      <c r="X3" s="38"/>
      <c r="Y3" s="38"/>
    </row>
    <row r="4" spans="1:25" ht="30" customHeight="1">
      <c r="A4" s="8" t="s">
        <v>766</v>
      </c>
      <c r="B4" s="8" t="s">
        <v>1987</v>
      </c>
      <c r="C4" s="9" t="s">
        <v>1336</v>
      </c>
      <c r="D4" s="9" t="s">
        <v>1988</v>
      </c>
      <c r="E4" s="9" t="s">
        <v>1989</v>
      </c>
      <c r="F4" s="9" t="s">
        <v>1990</v>
      </c>
      <c r="G4" s="9" t="s">
        <v>1991</v>
      </c>
      <c r="H4" s="9" t="s">
        <v>1992</v>
      </c>
      <c r="I4" s="9" t="s">
        <v>1993</v>
      </c>
      <c r="J4" s="9" t="s">
        <v>1994</v>
      </c>
      <c r="K4" s="9" t="s">
        <v>1995</v>
      </c>
      <c r="L4" s="9" t="s">
        <v>1717</v>
      </c>
      <c r="M4" s="9" t="s">
        <v>272</v>
      </c>
      <c r="N4" s="9" t="s">
        <v>1273</v>
      </c>
      <c r="O4" s="9" t="s">
        <v>532</v>
      </c>
      <c r="P4" s="9" t="s">
        <v>1722</v>
      </c>
      <c r="Q4" s="9" t="s">
        <v>1996</v>
      </c>
      <c r="R4" s="9" t="s">
        <v>1997</v>
      </c>
      <c r="S4" s="9" t="s">
        <v>1998</v>
      </c>
      <c r="T4" s="9" t="s">
        <v>1999</v>
      </c>
      <c r="U4" s="9" t="s">
        <v>1849</v>
      </c>
      <c r="V4" s="9" t="s">
        <v>1728</v>
      </c>
      <c r="W4" s="9" t="s">
        <v>922</v>
      </c>
      <c r="X4" s="9" t="s">
        <v>787</v>
      </c>
      <c r="Y4" s="9" t="s">
        <v>788</v>
      </c>
    </row>
    <row r="5" spans="1:25">
      <c r="A5" s="41">
        <f>IF(B5="","",AssetPrefix&amp;TEXT(ROW()-4,"0000"))</f>
        <v>0</v>
      </c>
      <c r="B5" s="15" t="s">
        <v>2000</v>
      </c>
      <c r="C5" s="15" t="s">
        <v>403</v>
      </c>
      <c r="D5" s="42" t="s">
        <v>2001</v>
      </c>
      <c r="E5" s="15" t="s">
        <v>2002</v>
      </c>
      <c r="F5" s="42" t="s">
        <v>205</v>
      </c>
      <c r="G5" s="15" t="s">
        <v>281</v>
      </c>
      <c r="H5" s="43">
        <v>46106</v>
      </c>
      <c r="I5" s="43">
        <v>46266</v>
      </c>
      <c r="J5" s="15" t="s">
        <v>2003</v>
      </c>
      <c r="K5" s="15" t="s">
        <v>1647</v>
      </c>
      <c r="L5" s="15" t="s">
        <v>1580</v>
      </c>
      <c r="M5" s="15" t="s">
        <v>925</v>
      </c>
      <c r="N5" s="48" t="s">
        <v>422</v>
      </c>
      <c r="O5" s="15" t="s">
        <v>533</v>
      </c>
      <c r="Q5" s="34">
        <v>2</v>
      </c>
      <c r="R5" s="23">
        <f>IF(A5="","",COUNTIF('Content Calendar'!$T$5:$T$604,A5))</f>
        <v>0</v>
      </c>
      <c r="S5" s="23">
        <f>IF(A5="","",COUNTIF(Ads!$H$5:$H$104,A5))</f>
        <v>0</v>
      </c>
      <c r="T5" s="16">
        <f>IF(R5=0,"",SUMPRODUCT(MAX(('Content Calendar'!$T$5:$T$604=A5)*'Content Calendar'!$B$5:$B$604)))</f>
        <v>0</v>
      </c>
      <c r="U5" s="23">
        <f>IF(H5="","",TODAY()-H5)</f>
        <v>0</v>
      </c>
      <c r="V5" s="23">
        <f>IF(P5="","",P5-TODAY())</f>
        <v>0</v>
      </c>
      <c r="W5" s="29">
        <f>IF(B5="","",IF(COUNTIF(Assets!$B$5:$B$254,B5)&gt;1,"Duplicate","OK"))</f>
        <v>0</v>
      </c>
      <c r="X5" s="29">
        <f>IF(B5="","",IF(AND(P5&lt;&gt;"",P5&lt;TODAY()),"Expired - stop using this file",IF(D5="","Add - no file link saved",IF(N5&lt;&gt;"Approved","Check - not approved for use",IF(R5=0,"Use - never used yet","OK")))))</f>
        <v>0</v>
      </c>
      <c r="Y5" s="39" t="s">
        <v>205</v>
      </c>
    </row>
    <row r="6" spans="1:25">
      <c r="A6" s="41">
        <f>IF(B6="","",AssetPrefix&amp;TEXT(ROW()-4,"0000"))</f>
        <v>0</v>
      </c>
      <c r="B6" s="15" t="s">
        <v>2004</v>
      </c>
      <c r="C6" s="15" t="s">
        <v>403</v>
      </c>
      <c r="D6" s="42" t="s">
        <v>2005</v>
      </c>
      <c r="E6" s="15" t="s">
        <v>2002</v>
      </c>
      <c r="F6" s="42" t="s">
        <v>205</v>
      </c>
      <c r="G6" s="15" t="s">
        <v>797</v>
      </c>
      <c r="H6" s="43">
        <v>46117</v>
      </c>
      <c r="I6" s="43">
        <v>46268</v>
      </c>
      <c r="J6" s="15" t="s">
        <v>2003</v>
      </c>
      <c r="K6" s="15" t="s">
        <v>1647</v>
      </c>
      <c r="L6" s="15" t="s">
        <v>1580</v>
      </c>
      <c r="M6" s="15" t="s">
        <v>925</v>
      </c>
      <c r="N6" s="48" t="s">
        <v>422</v>
      </c>
      <c r="O6" s="15" t="s">
        <v>533</v>
      </c>
      <c r="Q6" s="34">
        <v>4</v>
      </c>
      <c r="R6" s="23">
        <f>IF(A6="","",COUNTIF('Content Calendar'!$T$5:$T$604,A6))</f>
        <v>0</v>
      </c>
      <c r="S6" s="23">
        <f>IF(A6="","",COUNTIF(Ads!$H$5:$H$104,A6))</f>
        <v>0</v>
      </c>
      <c r="T6" s="16">
        <f>IF(R6=0,"",SUMPRODUCT(MAX(('Content Calendar'!$T$5:$T$604=A6)*'Content Calendar'!$B$5:$B$604)))</f>
        <v>0</v>
      </c>
      <c r="U6" s="23">
        <f>IF(H6="","",TODAY()-H6)</f>
        <v>0</v>
      </c>
      <c r="V6" s="23">
        <f>IF(P6="","",P6-TODAY())</f>
        <v>0</v>
      </c>
      <c r="W6" s="29">
        <f>IF(B6="","",IF(COUNTIF(Assets!$B$5:$B$254,B6)&gt;1,"Duplicate","OK"))</f>
        <v>0</v>
      </c>
      <c r="X6" s="29">
        <f>IF(B6="","",IF(AND(P6&lt;&gt;"",P6&lt;TODAY()),"Expired - stop using this file",IF(D6="","Add - no file link saved",IF(N6&lt;&gt;"Approved","Check - not approved for use",IF(R6=0,"Use - never used yet","OK")))))</f>
        <v>0</v>
      </c>
      <c r="Y6" s="39" t="s">
        <v>205</v>
      </c>
    </row>
    <row r="7" spans="1:25">
      <c r="A7" s="41">
        <f>IF(B7="","",AssetPrefix&amp;TEXT(ROW()-4,"0000"))</f>
        <v>0</v>
      </c>
      <c r="B7" s="15" t="s">
        <v>2006</v>
      </c>
      <c r="C7" s="15" t="s">
        <v>521</v>
      </c>
      <c r="D7" s="42" t="s">
        <v>2007</v>
      </c>
      <c r="E7" s="15" t="s">
        <v>2002</v>
      </c>
      <c r="F7" s="42" t="s">
        <v>205</v>
      </c>
      <c r="G7" s="15" t="s">
        <v>801</v>
      </c>
      <c r="H7" s="43">
        <v>46128</v>
      </c>
      <c r="I7" s="43">
        <v>46270</v>
      </c>
      <c r="J7" s="15" t="s">
        <v>2008</v>
      </c>
      <c r="K7" s="15" t="s">
        <v>2009</v>
      </c>
      <c r="L7" s="15" t="s">
        <v>1580</v>
      </c>
      <c r="M7" s="15" t="s">
        <v>925</v>
      </c>
      <c r="N7" s="48" t="s">
        <v>422</v>
      </c>
      <c r="O7" s="15" t="s">
        <v>533</v>
      </c>
      <c r="Q7" s="34">
        <v>4</v>
      </c>
      <c r="R7" s="23">
        <f>IF(A7="","",COUNTIF('Content Calendar'!$T$5:$T$604,A7))</f>
        <v>0</v>
      </c>
      <c r="S7" s="23">
        <f>IF(A7="","",COUNTIF(Ads!$H$5:$H$104,A7))</f>
        <v>0</v>
      </c>
      <c r="T7" s="16">
        <f>IF(R7=0,"",SUMPRODUCT(MAX(('Content Calendar'!$T$5:$T$604=A7)*'Content Calendar'!$B$5:$B$604)))</f>
        <v>0</v>
      </c>
      <c r="U7" s="23">
        <f>IF(H7="","",TODAY()-H7)</f>
        <v>0</v>
      </c>
      <c r="V7" s="23">
        <f>IF(P7="","",P7-TODAY())</f>
        <v>0</v>
      </c>
      <c r="W7" s="29">
        <f>IF(B7="","",IF(COUNTIF(Assets!$B$5:$B$254,B7)&gt;1,"Duplicate","OK"))</f>
        <v>0</v>
      </c>
      <c r="X7" s="29">
        <f>IF(B7="","",IF(AND(P7&lt;&gt;"",P7&lt;TODAY()),"Expired - stop using this file",IF(D7="","Add - no file link saved",IF(N7&lt;&gt;"Approved","Check - not approved for use",IF(R7=0,"Use - never used yet","OK")))))</f>
        <v>0</v>
      </c>
      <c r="Y7" s="39" t="s">
        <v>205</v>
      </c>
    </row>
    <row r="8" spans="1:25">
      <c r="A8" s="41">
        <f>IF(B8="","",AssetPrefix&amp;TEXT(ROW()-4,"0000"))</f>
        <v>0</v>
      </c>
      <c r="B8" s="15" t="s">
        <v>2010</v>
      </c>
      <c r="C8" s="15" t="s">
        <v>521</v>
      </c>
      <c r="D8" s="42" t="s">
        <v>2011</v>
      </c>
      <c r="E8" s="15" t="s">
        <v>2002</v>
      </c>
      <c r="F8" s="42" t="s">
        <v>205</v>
      </c>
      <c r="G8" s="15" t="s">
        <v>804</v>
      </c>
      <c r="H8" s="43">
        <v>46139</v>
      </c>
      <c r="I8" s="43">
        <v>46272</v>
      </c>
      <c r="J8" s="15" t="s">
        <v>2008</v>
      </c>
      <c r="K8" s="15" t="s">
        <v>2009</v>
      </c>
      <c r="L8" s="15" t="s">
        <v>1580</v>
      </c>
      <c r="M8" s="15" t="s">
        <v>925</v>
      </c>
      <c r="N8" s="48" t="s">
        <v>422</v>
      </c>
      <c r="O8" s="15" t="s">
        <v>533</v>
      </c>
      <c r="Q8" s="34">
        <v>2</v>
      </c>
      <c r="R8" s="23">
        <f>IF(A8="","",COUNTIF('Content Calendar'!$T$5:$T$604,A8))</f>
        <v>0</v>
      </c>
      <c r="S8" s="23">
        <f>IF(A8="","",COUNTIF(Ads!$H$5:$H$104,A8))</f>
        <v>0</v>
      </c>
      <c r="T8" s="16">
        <f>IF(R8=0,"",SUMPRODUCT(MAX(('Content Calendar'!$T$5:$T$604=A8)*'Content Calendar'!$B$5:$B$604)))</f>
        <v>0</v>
      </c>
      <c r="U8" s="23">
        <f>IF(H8="","",TODAY()-H8)</f>
        <v>0</v>
      </c>
      <c r="V8" s="23">
        <f>IF(P8="","",P8-TODAY())</f>
        <v>0</v>
      </c>
      <c r="W8" s="29">
        <f>IF(B8="","",IF(COUNTIF(Assets!$B$5:$B$254,B8)&gt;1,"Duplicate","OK"))</f>
        <v>0</v>
      </c>
      <c r="X8" s="29">
        <f>IF(B8="","",IF(AND(P8&lt;&gt;"",P8&lt;TODAY()),"Expired - stop using this file",IF(D8="","Add - no file link saved",IF(N8&lt;&gt;"Approved","Check - not approved for use",IF(R8=0,"Use - never used yet","OK")))))</f>
        <v>0</v>
      </c>
      <c r="Y8" s="39" t="s">
        <v>205</v>
      </c>
    </row>
    <row r="9" spans="1:25">
      <c r="A9" s="41">
        <f>IF(B9="","",AssetPrefix&amp;TEXT(ROW()-4,"0000"))</f>
        <v>0</v>
      </c>
      <c r="B9" s="15" t="s">
        <v>2012</v>
      </c>
      <c r="C9" s="15" t="s">
        <v>522</v>
      </c>
      <c r="D9" s="42" t="s">
        <v>2013</v>
      </c>
      <c r="E9" s="15" t="s">
        <v>2002</v>
      </c>
      <c r="F9" s="42" t="s">
        <v>722</v>
      </c>
      <c r="G9" s="15" t="s">
        <v>281</v>
      </c>
      <c r="H9" s="43">
        <v>46150</v>
      </c>
      <c r="I9" s="43">
        <v>46274</v>
      </c>
      <c r="J9" s="15" t="s">
        <v>2003</v>
      </c>
      <c r="K9" s="15" t="s">
        <v>1647</v>
      </c>
      <c r="L9" s="15" t="s">
        <v>1580</v>
      </c>
      <c r="M9" s="15" t="s">
        <v>925</v>
      </c>
      <c r="N9" s="48" t="s">
        <v>422</v>
      </c>
      <c r="O9" s="15" t="s">
        <v>533</v>
      </c>
      <c r="Q9" s="34">
        <v>6</v>
      </c>
      <c r="R9" s="23">
        <f>IF(A9="","",COUNTIF('Content Calendar'!$T$5:$T$604,A9))</f>
        <v>0</v>
      </c>
      <c r="S9" s="23">
        <f>IF(A9="","",COUNTIF(Ads!$H$5:$H$104,A9))</f>
        <v>0</v>
      </c>
      <c r="T9" s="16">
        <f>IF(R9=0,"",SUMPRODUCT(MAX(('Content Calendar'!$T$5:$T$604=A9)*'Content Calendar'!$B$5:$B$604)))</f>
        <v>0</v>
      </c>
      <c r="U9" s="23">
        <f>IF(H9="","",TODAY()-H9)</f>
        <v>0</v>
      </c>
      <c r="V9" s="23">
        <f>IF(P9="","",P9-TODAY())</f>
        <v>0</v>
      </c>
      <c r="W9" s="29">
        <f>IF(B9="","",IF(COUNTIF(Assets!$B$5:$B$254,B9)&gt;1,"Duplicate","OK"))</f>
        <v>0</v>
      </c>
      <c r="X9" s="29">
        <f>IF(B9="","",IF(AND(P9&lt;&gt;"",P9&lt;TODAY()),"Expired - stop using this file",IF(D9="","Add - no file link saved",IF(N9&lt;&gt;"Approved","Check - not approved for use",IF(R9=0,"Use - never used yet","OK")))))</f>
        <v>0</v>
      </c>
      <c r="Y9" s="39" t="s">
        <v>2014</v>
      </c>
    </row>
    <row r="10" spans="1:25">
      <c r="A10" s="41">
        <f>IF(B10="","",AssetPrefix&amp;TEXT(ROW()-4,"0000"))</f>
        <v>0</v>
      </c>
      <c r="B10" s="15" t="s">
        <v>2015</v>
      </c>
      <c r="C10" s="15" t="s">
        <v>522</v>
      </c>
      <c r="D10" s="42" t="s">
        <v>2016</v>
      </c>
      <c r="E10" s="15" t="s">
        <v>2002</v>
      </c>
      <c r="F10" s="42" t="s">
        <v>722</v>
      </c>
      <c r="G10" s="15" t="s">
        <v>797</v>
      </c>
      <c r="H10" s="43">
        <v>46161</v>
      </c>
      <c r="I10" s="43">
        <v>46276</v>
      </c>
      <c r="J10" s="15" t="s">
        <v>2003</v>
      </c>
      <c r="K10" s="15" t="s">
        <v>1647</v>
      </c>
      <c r="L10" s="15" t="s">
        <v>1591</v>
      </c>
      <c r="M10" s="15" t="s">
        <v>925</v>
      </c>
      <c r="N10" s="48" t="s">
        <v>422</v>
      </c>
      <c r="O10" s="15" t="s">
        <v>533</v>
      </c>
      <c r="Q10" s="34">
        <v>7</v>
      </c>
      <c r="R10" s="23">
        <f>IF(A10="","",COUNTIF('Content Calendar'!$T$5:$T$604,A10))</f>
        <v>0</v>
      </c>
      <c r="S10" s="23">
        <f>IF(A10="","",COUNTIF(Ads!$H$5:$H$104,A10))</f>
        <v>0</v>
      </c>
      <c r="T10" s="16">
        <f>IF(R10=0,"",SUMPRODUCT(MAX(('Content Calendar'!$T$5:$T$604=A10)*'Content Calendar'!$B$5:$B$604)))</f>
        <v>0</v>
      </c>
      <c r="U10" s="23">
        <f>IF(H10="","",TODAY()-H10)</f>
        <v>0</v>
      </c>
      <c r="V10" s="23">
        <f>IF(P10="","",P10-TODAY())</f>
        <v>0</v>
      </c>
      <c r="W10" s="29">
        <f>IF(B10="","",IF(COUNTIF(Assets!$B$5:$B$254,B10)&gt;1,"Duplicate","OK"))</f>
        <v>0</v>
      </c>
      <c r="X10" s="29">
        <f>IF(B10="","",IF(AND(P10&lt;&gt;"",P10&lt;TODAY()),"Expired - stop using this file",IF(D10="","Add - no file link saved",IF(N10&lt;&gt;"Approved","Check - not approved for use",IF(R10=0,"Use - never used yet","OK")))))</f>
        <v>0</v>
      </c>
      <c r="Y10" s="39" t="s">
        <v>205</v>
      </c>
    </row>
    <row r="11" spans="1:25">
      <c r="A11" s="41">
        <f>IF(B11="","",AssetPrefix&amp;TEXT(ROW()-4,"0000"))</f>
        <v>0</v>
      </c>
      <c r="B11" s="15" t="s">
        <v>2017</v>
      </c>
      <c r="C11" s="15" t="s">
        <v>523</v>
      </c>
      <c r="D11" s="42" t="s">
        <v>2018</v>
      </c>
      <c r="E11" s="15" t="s">
        <v>2002</v>
      </c>
      <c r="F11" s="42" t="s">
        <v>205</v>
      </c>
      <c r="G11" s="15" t="s">
        <v>801</v>
      </c>
      <c r="H11" s="43">
        <v>46172</v>
      </c>
      <c r="I11" s="43">
        <v>46278</v>
      </c>
      <c r="J11" s="15" t="s">
        <v>2008</v>
      </c>
      <c r="K11" s="15" t="s">
        <v>2009</v>
      </c>
      <c r="L11" s="15" t="s">
        <v>1591</v>
      </c>
      <c r="M11" s="15" t="s">
        <v>1049</v>
      </c>
      <c r="N11" s="48" t="s">
        <v>422</v>
      </c>
      <c r="O11" s="15" t="s">
        <v>533</v>
      </c>
      <c r="Q11" s="34">
        <v>6</v>
      </c>
      <c r="R11" s="23">
        <f>IF(A11="","",COUNTIF('Content Calendar'!$T$5:$T$604,A11))</f>
        <v>0</v>
      </c>
      <c r="S11" s="23">
        <f>IF(A11="","",COUNTIF(Ads!$H$5:$H$104,A11))</f>
        <v>0</v>
      </c>
      <c r="T11" s="16">
        <f>IF(R11=0,"",SUMPRODUCT(MAX(('Content Calendar'!$T$5:$T$604=A11)*'Content Calendar'!$B$5:$B$604)))</f>
        <v>0</v>
      </c>
      <c r="U11" s="23">
        <f>IF(H11="","",TODAY()-H11)</f>
        <v>0</v>
      </c>
      <c r="V11" s="23">
        <f>IF(P11="","",P11-TODAY())</f>
        <v>0</v>
      </c>
      <c r="W11" s="29">
        <f>IF(B11="","",IF(COUNTIF(Assets!$B$5:$B$254,B11)&gt;1,"Duplicate","OK"))</f>
        <v>0</v>
      </c>
      <c r="X11" s="29">
        <f>IF(B11="","",IF(AND(P11&lt;&gt;"",P11&lt;TODAY()),"Expired - stop using this file",IF(D11="","Add - no file link saved",IF(N11&lt;&gt;"Approved","Check - not approved for use",IF(R11=0,"Use - never used yet","OK")))))</f>
        <v>0</v>
      </c>
      <c r="Y11" s="39" t="s">
        <v>205</v>
      </c>
    </row>
    <row r="12" spans="1:25">
      <c r="A12" s="41">
        <f>IF(B12="","",AssetPrefix&amp;TEXT(ROW()-4,"0000"))</f>
        <v>0</v>
      </c>
      <c r="B12" s="15" t="s">
        <v>2019</v>
      </c>
      <c r="C12" s="15" t="s">
        <v>522</v>
      </c>
      <c r="D12" s="42" t="s">
        <v>2020</v>
      </c>
      <c r="E12" s="15" t="s">
        <v>2002</v>
      </c>
      <c r="F12" s="42" t="s">
        <v>722</v>
      </c>
      <c r="G12" s="15" t="s">
        <v>804</v>
      </c>
      <c r="H12" s="43">
        <v>46183</v>
      </c>
      <c r="I12" s="43">
        <v>46280</v>
      </c>
      <c r="J12" s="15" t="s">
        <v>1475</v>
      </c>
      <c r="K12" s="15" t="s">
        <v>2009</v>
      </c>
      <c r="L12" s="15" t="s">
        <v>1591</v>
      </c>
      <c r="M12" s="15" t="s">
        <v>1049</v>
      </c>
      <c r="N12" s="48" t="s">
        <v>422</v>
      </c>
      <c r="O12" s="15" t="s">
        <v>533</v>
      </c>
      <c r="Q12" s="34">
        <v>2</v>
      </c>
      <c r="R12" s="23">
        <f>IF(A12="","",COUNTIF('Content Calendar'!$T$5:$T$604,A12))</f>
        <v>0</v>
      </c>
      <c r="S12" s="23">
        <f>IF(A12="","",COUNTIF(Ads!$H$5:$H$104,A12))</f>
        <v>0</v>
      </c>
      <c r="T12" s="16">
        <f>IF(R12=0,"",SUMPRODUCT(MAX(('Content Calendar'!$T$5:$T$604=A12)*'Content Calendar'!$B$5:$B$604)))</f>
        <v>0</v>
      </c>
      <c r="U12" s="23">
        <f>IF(H12="","",TODAY()-H12)</f>
        <v>0</v>
      </c>
      <c r="V12" s="23">
        <f>IF(P12="","",P12-TODAY())</f>
        <v>0</v>
      </c>
      <c r="W12" s="29">
        <f>IF(B12="","",IF(COUNTIF(Assets!$B$5:$B$254,B12)&gt;1,"Duplicate","OK"))</f>
        <v>0</v>
      </c>
      <c r="X12" s="29">
        <f>IF(B12="","",IF(AND(P12&lt;&gt;"",P12&lt;TODAY()),"Expired - stop using this file",IF(D12="","Add - no file link saved",IF(N12&lt;&gt;"Approved","Check - not approved for use",IF(R12=0,"Use - never used yet","OK")))))</f>
        <v>0</v>
      </c>
      <c r="Y12" s="39" t="s">
        <v>205</v>
      </c>
    </row>
    <row r="13" spans="1:25">
      <c r="A13" s="41">
        <f>IF(B13="","",AssetPrefix&amp;TEXT(ROW()-4,"0000"))</f>
        <v>0</v>
      </c>
      <c r="B13" s="15" t="s">
        <v>2021</v>
      </c>
      <c r="C13" s="15" t="s">
        <v>524</v>
      </c>
      <c r="D13" s="42" t="s">
        <v>2022</v>
      </c>
      <c r="E13" s="15" t="s">
        <v>2002</v>
      </c>
      <c r="F13" s="42" t="s">
        <v>205</v>
      </c>
      <c r="G13" s="15" t="s">
        <v>281</v>
      </c>
      <c r="H13" s="43">
        <v>46194</v>
      </c>
      <c r="I13" s="43">
        <v>46282</v>
      </c>
      <c r="J13" s="15" t="s">
        <v>2023</v>
      </c>
      <c r="K13" s="15" t="s">
        <v>2009</v>
      </c>
      <c r="L13" s="15" t="s">
        <v>1591</v>
      </c>
      <c r="M13" s="15" t="s">
        <v>1049</v>
      </c>
      <c r="N13" s="48" t="s">
        <v>422</v>
      </c>
      <c r="O13" s="15" t="s">
        <v>533</v>
      </c>
      <c r="Q13" s="34">
        <v>6</v>
      </c>
      <c r="R13" s="23">
        <f>IF(A13="","",COUNTIF('Content Calendar'!$T$5:$T$604,A13))</f>
        <v>0</v>
      </c>
      <c r="S13" s="23">
        <f>IF(A13="","",COUNTIF(Ads!$H$5:$H$104,A13))</f>
        <v>0</v>
      </c>
      <c r="T13" s="16">
        <f>IF(R13=0,"",SUMPRODUCT(MAX(('Content Calendar'!$T$5:$T$604=A13)*'Content Calendar'!$B$5:$B$604)))</f>
        <v>0</v>
      </c>
      <c r="U13" s="23">
        <f>IF(H13="","",TODAY()-H13)</f>
        <v>0</v>
      </c>
      <c r="V13" s="23">
        <f>IF(P13="","",P13-TODAY())</f>
        <v>0</v>
      </c>
      <c r="W13" s="29">
        <f>IF(B13="","",IF(COUNTIF(Assets!$B$5:$B$254,B13)&gt;1,"Duplicate","OK"))</f>
        <v>0</v>
      </c>
      <c r="X13" s="29">
        <f>IF(B13="","",IF(AND(P13&lt;&gt;"",P13&lt;TODAY()),"Expired - stop using this file",IF(D13="","Add - no file link saved",IF(N13&lt;&gt;"Approved","Check - not approved for use",IF(R13=0,"Use - never used yet","OK")))))</f>
        <v>0</v>
      </c>
      <c r="Y13" s="39" t="s">
        <v>205</v>
      </c>
    </row>
    <row r="14" spans="1:25">
      <c r="A14" s="41">
        <f>IF(B14="","",AssetPrefix&amp;TEXT(ROW()-4,"0000"))</f>
        <v>0</v>
      </c>
      <c r="B14" s="15" t="s">
        <v>2024</v>
      </c>
      <c r="C14" s="15" t="s">
        <v>531</v>
      </c>
      <c r="D14" s="42" t="s">
        <v>2025</v>
      </c>
      <c r="E14" s="15" t="s">
        <v>2002</v>
      </c>
      <c r="F14" s="42" t="s">
        <v>205</v>
      </c>
      <c r="G14" s="15" t="s">
        <v>797</v>
      </c>
      <c r="H14" s="43">
        <v>46205</v>
      </c>
      <c r="I14" s="43">
        <v>46284</v>
      </c>
      <c r="J14" s="15" t="s">
        <v>2026</v>
      </c>
      <c r="K14" s="15" t="s">
        <v>2009</v>
      </c>
      <c r="L14" s="15" t="s">
        <v>1591</v>
      </c>
      <c r="M14" s="15" t="s">
        <v>1049</v>
      </c>
      <c r="N14" s="48" t="s">
        <v>422</v>
      </c>
      <c r="O14" s="15" t="s">
        <v>533</v>
      </c>
      <c r="Q14" s="34">
        <v>8</v>
      </c>
      <c r="R14" s="23">
        <f>IF(A14="","",COUNTIF('Content Calendar'!$T$5:$T$604,A14))</f>
        <v>0</v>
      </c>
      <c r="S14" s="23">
        <f>IF(A14="","",COUNTIF(Ads!$H$5:$H$104,A14))</f>
        <v>0</v>
      </c>
      <c r="T14" s="16">
        <f>IF(R14=0,"",SUMPRODUCT(MAX(('Content Calendar'!$T$5:$T$604=A14)*'Content Calendar'!$B$5:$B$604)))</f>
        <v>0</v>
      </c>
      <c r="U14" s="23">
        <f>IF(H14="","",TODAY()-H14)</f>
        <v>0</v>
      </c>
      <c r="V14" s="23">
        <f>IF(P14="","",P14-TODAY())</f>
        <v>0</v>
      </c>
      <c r="W14" s="29">
        <f>IF(B14="","",IF(COUNTIF(Assets!$B$5:$B$254,B14)&gt;1,"Duplicate","OK"))</f>
        <v>0</v>
      </c>
      <c r="X14" s="29">
        <f>IF(B14="","",IF(AND(P14&lt;&gt;"",P14&lt;TODAY()),"Expired - stop using this file",IF(D14="","Add - no file link saved",IF(N14&lt;&gt;"Approved","Check - not approved for use",IF(R14=0,"Use - never used yet","OK")))))</f>
        <v>0</v>
      </c>
      <c r="Y14" s="39" t="s">
        <v>205</v>
      </c>
    </row>
    <row r="15" spans="1:25">
      <c r="A15" s="41">
        <f>IF(B15="","",AssetPrefix&amp;TEXT(ROW()-4,"0000"))</f>
        <v>0</v>
      </c>
      <c r="B15" s="15" t="s">
        <v>2027</v>
      </c>
      <c r="C15" s="15" t="s">
        <v>531</v>
      </c>
      <c r="D15" s="42" t="s">
        <v>2028</v>
      </c>
      <c r="E15" s="15" t="s">
        <v>2002</v>
      </c>
      <c r="F15" s="42" t="s">
        <v>205</v>
      </c>
      <c r="G15" s="15" t="s">
        <v>801</v>
      </c>
      <c r="H15" s="43">
        <v>46216</v>
      </c>
      <c r="I15" s="43">
        <v>46286</v>
      </c>
      <c r="J15" s="15" t="s">
        <v>2026</v>
      </c>
      <c r="K15" s="15" t="s">
        <v>2009</v>
      </c>
      <c r="L15" s="15" t="s">
        <v>1591</v>
      </c>
      <c r="M15" s="15" t="s">
        <v>1049</v>
      </c>
      <c r="N15" s="48" t="s">
        <v>422</v>
      </c>
      <c r="O15" s="15" t="s">
        <v>533</v>
      </c>
      <c r="Q15" s="34">
        <v>2</v>
      </c>
      <c r="R15" s="23">
        <f>IF(A15="","",COUNTIF('Content Calendar'!$T$5:$T$604,A15))</f>
        <v>0</v>
      </c>
      <c r="S15" s="23">
        <f>IF(A15="","",COUNTIF(Ads!$H$5:$H$104,A15))</f>
        <v>0</v>
      </c>
      <c r="T15" s="16">
        <f>IF(R15=0,"",SUMPRODUCT(MAX(('Content Calendar'!$T$5:$T$604=A15)*'Content Calendar'!$B$5:$B$604)))</f>
        <v>0</v>
      </c>
      <c r="U15" s="23">
        <f>IF(H15="","",TODAY()-H15)</f>
        <v>0</v>
      </c>
      <c r="V15" s="23">
        <f>IF(P15="","",P15-TODAY())</f>
        <v>0</v>
      </c>
      <c r="W15" s="29">
        <f>IF(B15="","",IF(COUNTIF(Assets!$B$5:$B$254,B15)&gt;1,"Duplicate","OK"))</f>
        <v>0</v>
      </c>
      <c r="X15" s="29">
        <f>IF(B15="","",IF(AND(P15&lt;&gt;"",P15&lt;TODAY()),"Expired - stop using this file",IF(D15="","Add - no file link saved",IF(N15&lt;&gt;"Approved","Check - not approved for use",IF(R15=0,"Use - never used yet","OK")))))</f>
        <v>0</v>
      </c>
      <c r="Y15" s="39" t="s">
        <v>205</v>
      </c>
    </row>
    <row r="16" spans="1:25">
      <c r="A16" s="41">
        <f>IF(B16="","",AssetPrefix&amp;TEXT(ROW()-4,"0000"))</f>
        <v>0</v>
      </c>
      <c r="B16" s="15" t="s">
        <v>2029</v>
      </c>
      <c r="C16" s="15" t="s">
        <v>403</v>
      </c>
      <c r="D16" s="42" t="s">
        <v>2030</v>
      </c>
      <c r="E16" s="15" t="s">
        <v>2002</v>
      </c>
      <c r="F16" s="42" t="s">
        <v>205</v>
      </c>
      <c r="G16" s="15" t="s">
        <v>804</v>
      </c>
      <c r="H16" s="43">
        <v>46227</v>
      </c>
      <c r="I16" s="43">
        <v>46288</v>
      </c>
      <c r="J16" s="15" t="s">
        <v>2031</v>
      </c>
      <c r="K16" s="15" t="s">
        <v>2009</v>
      </c>
      <c r="L16" s="15" t="s">
        <v>1591</v>
      </c>
      <c r="M16" s="15" t="s">
        <v>1049</v>
      </c>
      <c r="N16" s="48" t="s">
        <v>422</v>
      </c>
      <c r="O16" s="15" t="s">
        <v>533</v>
      </c>
      <c r="Q16" s="34">
        <v>5</v>
      </c>
      <c r="R16" s="23">
        <f>IF(A16="","",COUNTIF('Content Calendar'!$T$5:$T$604,A16))</f>
        <v>0</v>
      </c>
      <c r="S16" s="23">
        <f>IF(A16="","",COUNTIF(Ads!$H$5:$H$104,A16))</f>
        <v>0</v>
      </c>
      <c r="T16" s="16">
        <f>IF(R16=0,"",SUMPRODUCT(MAX(('Content Calendar'!$T$5:$T$604=A16)*'Content Calendar'!$B$5:$B$604)))</f>
        <v>0</v>
      </c>
      <c r="U16" s="23">
        <f>IF(H16="","",TODAY()-H16)</f>
        <v>0</v>
      </c>
      <c r="V16" s="23">
        <f>IF(P16="","",P16-TODAY())</f>
        <v>0</v>
      </c>
      <c r="W16" s="29">
        <f>IF(B16="","",IF(COUNTIF(Assets!$B$5:$B$254,B16)&gt;1,"Duplicate","OK"))</f>
        <v>0</v>
      </c>
      <c r="X16" s="29">
        <f>IF(B16="","",IF(AND(P16&lt;&gt;"",P16&lt;TODAY()),"Expired - stop using this file",IF(D16="","Add - no file link saved",IF(N16&lt;&gt;"Approved","Check - not approved for use",IF(R16=0,"Use - never used yet","OK")))))</f>
        <v>0</v>
      </c>
      <c r="Y16" s="39" t="s">
        <v>205</v>
      </c>
    </row>
    <row r="17" spans="1:25">
      <c r="A17" s="41">
        <f>IF(B17="","",AssetPrefix&amp;TEXT(ROW()-4,"0000"))</f>
        <v>0</v>
      </c>
      <c r="B17" s="15" t="s">
        <v>2032</v>
      </c>
      <c r="C17" s="15" t="s">
        <v>530</v>
      </c>
      <c r="D17" s="42" t="s">
        <v>2033</v>
      </c>
      <c r="E17" s="15" t="s">
        <v>2002</v>
      </c>
      <c r="F17" s="42" t="s">
        <v>205</v>
      </c>
      <c r="G17" s="15" t="s">
        <v>281</v>
      </c>
      <c r="H17" s="43">
        <v>46238</v>
      </c>
      <c r="I17" s="43">
        <v>46290</v>
      </c>
      <c r="J17" s="15" t="s">
        <v>2008</v>
      </c>
      <c r="K17" s="15" t="s">
        <v>2009</v>
      </c>
      <c r="L17" s="15" t="s">
        <v>1591</v>
      </c>
      <c r="M17" s="15" t="s">
        <v>1049</v>
      </c>
      <c r="N17" s="48" t="s">
        <v>420</v>
      </c>
      <c r="O17" s="15" t="s">
        <v>536</v>
      </c>
      <c r="P17" s="43">
        <v>46606</v>
      </c>
      <c r="Q17" s="34">
        <v>1</v>
      </c>
      <c r="R17" s="23">
        <f>IF(A17="","",COUNTIF('Content Calendar'!$T$5:$T$604,A17))</f>
        <v>0</v>
      </c>
      <c r="S17" s="23">
        <f>IF(A17="","",COUNTIF(Ads!$H$5:$H$104,A17))</f>
        <v>0</v>
      </c>
      <c r="T17" s="16">
        <f>IF(R17=0,"",SUMPRODUCT(MAX(('Content Calendar'!$T$5:$T$604=A17)*'Content Calendar'!$B$5:$B$604)))</f>
        <v>0</v>
      </c>
      <c r="U17" s="23">
        <f>IF(H17="","",TODAY()-H17)</f>
        <v>0</v>
      </c>
      <c r="V17" s="23">
        <f>IF(P17="","",P17-TODAY())</f>
        <v>0</v>
      </c>
      <c r="W17" s="29">
        <f>IF(B17="","",IF(COUNTIF(Assets!$B$5:$B$254,B17)&gt;1,"Duplicate","OK"))</f>
        <v>0</v>
      </c>
      <c r="X17" s="29">
        <f>IF(B17="","",IF(AND(P17&lt;&gt;"",P17&lt;TODAY()),"Expired - stop using this file",IF(D17="","Add - no file link saved",IF(N17&lt;&gt;"Approved","Check - not approved for use",IF(R17=0,"Use - never used yet","OK")))))</f>
        <v>0</v>
      </c>
      <c r="Y17" s="39" t="s">
        <v>205</v>
      </c>
    </row>
    <row r="18" spans="1:25">
      <c r="A18" s="41">
        <f>IF(B18="","",AssetPrefix&amp;TEXT(ROW()-4,"0000"))</f>
        <v>0</v>
      </c>
      <c r="B18" s="15" t="s">
        <v>2034</v>
      </c>
      <c r="C18" s="15" t="s">
        <v>528</v>
      </c>
      <c r="D18" s="42" t="s">
        <v>2035</v>
      </c>
      <c r="E18" s="15" t="s">
        <v>2002</v>
      </c>
      <c r="F18" s="42" t="s">
        <v>205</v>
      </c>
      <c r="G18" s="15" t="s">
        <v>797</v>
      </c>
      <c r="H18" s="43">
        <v>46249</v>
      </c>
      <c r="I18" s="43">
        <v>46292</v>
      </c>
      <c r="J18" s="15" t="s">
        <v>2036</v>
      </c>
      <c r="K18" s="15" t="s">
        <v>2009</v>
      </c>
      <c r="L18" s="15" t="s">
        <v>1591</v>
      </c>
      <c r="M18" s="15" t="s">
        <v>1049</v>
      </c>
      <c r="N18" s="48" t="s">
        <v>420</v>
      </c>
      <c r="O18" s="15" t="s">
        <v>533</v>
      </c>
      <c r="Q18" s="34">
        <v>1</v>
      </c>
      <c r="R18" s="23">
        <f>IF(A18="","",COUNTIF('Content Calendar'!$T$5:$T$604,A18))</f>
        <v>0</v>
      </c>
      <c r="S18" s="23">
        <f>IF(A18="","",COUNTIF(Ads!$H$5:$H$104,A18))</f>
        <v>0</v>
      </c>
      <c r="T18" s="16">
        <f>IF(R18=0,"",SUMPRODUCT(MAX(('Content Calendar'!$T$5:$T$604=A18)*'Content Calendar'!$B$5:$B$604)))</f>
        <v>0</v>
      </c>
      <c r="U18" s="23">
        <f>IF(H18="","",TODAY()-H18)</f>
        <v>0</v>
      </c>
      <c r="V18" s="23">
        <f>IF(P18="","",P18-TODAY())</f>
        <v>0</v>
      </c>
      <c r="W18" s="29">
        <f>IF(B18="","",IF(COUNTIF(Assets!$B$5:$B$254,B18)&gt;1,"Duplicate","OK"))</f>
        <v>0</v>
      </c>
      <c r="X18" s="29">
        <f>IF(B18="","",IF(AND(P18&lt;&gt;"",P18&lt;TODAY()),"Expired - stop using this file",IF(D18="","Add - no file link saved",IF(N18&lt;&gt;"Approved","Check - not approved for use",IF(R18=0,"Use - never used yet","OK")))))</f>
        <v>0</v>
      </c>
      <c r="Y18" s="39" t="s">
        <v>205</v>
      </c>
    </row>
    <row r="19" spans="1:25">
      <c r="A19" s="41">
        <f>IF(B19="","",AssetPrefix&amp;TEXT(ROW()-4,"0000"))</f>
        <v>0</v>
      </c>
      <c r="R19" s="23">
        <f>IF(A19="","",COUNTIF('Content Calendar'!$T$5:$T$604,A19))</f>
        <v>0</v>
      </c>
      <c r="S19" s="23">
        <f>IF(A19="","",COUNTIF(Ads!$H$5:$H$104,A19))</f>
        <v>0</v>
      </c>
      <c r="T19" s="16">
        <f>IF(R19=0,"",SUMPRODUCT(MAX(('Content Calendar'!$T$5:$T$604=A19)*'Content Calendar'!$B$5:$B$604)))</f>
        <v>0</v>
      </c>
      <c r="U19" s="23">
        <f>IF(H19="","",TODAY()-H19)</f>
        <v>0</v>
      </c>
      <c r="V19" s="23">
        <f>IF(P19="","",P19-TODAY())</f>
        <v>0</v>
      </c>
      <c r="W19" s="29">
        <f>IF(B19="","",IF(COUNTIF(Assets!$B$5:$B$254,B19)&gt;1,"Duplicate","OK"))</f>
        <v>0</v>
      </c>
      <c r="X19" s="29">
        <f>IF(B19="","",IF(AND(P19&lt;&gt;"",P19&lt;TODAY()),"Expired - stop using this file",IF(D19="","Add - no file link saved",IF(N19&lt;&gt;"Approved","Check - not approved for use",IF(R19=0,"Use - never used yet","OK")))))</f>
        <v>0</v>
      </c>
    </row>
    <row r="20" spans="1:25">
      <c r="A20" s="41">
        <f>IF(B20="","",AssetPrefix&amp;TEXT(ROW()-4,"0000"))</f>
        <v>0</v>
      </c>
      <c r="R20" s="23">
        <f>IF(A20="","",COUNTIF('Content Calendar'!$T$5:$T$604,A20))</f>
        <v>0</v>
      </c>
      <c r="S20" s="23">
        <f>IF(A20="","",COUNTIF(Ads!$H$5:$H$104,A20))</f>
        <v>0</v>
      </c>
      <c r="T20" s="16">
        <f>IF(R20=0,"",SUMPRODUCT(MAX(('Content Calendar'!$T$5:$T$604=A20)*'Content Calendar'!$B$5:$B$604)))</f>
        <v>0</v>
      </c>
      <c r="U20" s="23">
        <f>IF(H20="","",TODAY()-H20)</f>
        <v>0</v>
      </c>
      <c r="V20" s="23">
        <f>IF(P20="","",P20-TODAY())</f>
        <v>0</v>
      </c>
      <c r="W20" s="29">
        <f>IF(B20="","",IF(COUNTIF(Assets!$B$5:$B$254,B20)&gt;1,"Duplicate","OK"))</f>
        <v>0</v>
      </c>
      <c r="X20" s="29">
        <f>IF(B20="","",IF(AND(P20&lt;&gt;"",P20&lt;TODAY()),"Expired - stop using this file",IF(D20="","Add - no file link saved",IF(N20&lt;&gt;"Approved","Check - not approved for use",IF(R20=0,"Use - never used yet","OK")))))</f>
        <v>0</v>
      </c>
    </row>
    <row r="21" spans="1:25">
      <c r="A21" s="41">
        <f>IF(B21="","",AssetPrefix&amp;TEXT(ROW()-4,"0000"))</f>
        <v>0</v>
      </c>
      <c r="R21" s="23">
        <f>IF(A21="","",COUNTIF('Content Calendar'!$T$5:$T$604,A21))</f>
        <v>0</v>
      </c>
      <c r="S21" s="23">
        <f>IF(A21="","",COUNTIF(Ads!$H$5:$H$104,A21))</f>
        <v>0</v>
      </c>
      <c r="T21" s="16">
        <f>IF(R21=0,"",SUMPRODUCT(MAX(('Content Calendar'!$T$5:$T$604=A21)*'Content Calendar'!$B$5:$B$604)))</f>
        <v>0</v>
      </c>
      <c r="U21" s="23">
        <f>IF(H21="","",TODAY()-H21)</f>
        <v>0</v>
      </c>
      <c r="V21" s="23">
        <f>IF(P21="","",P21-TODAY())</f>
        <v>0</v>
      </c>
      <c r="W21" s="29">
        <f>IF(B21="","",IF(COUNTIF(Assets!$B$5:$B$254,B21)&gt;1,"Duplicate","OK"))</f>
        <v>0</v>
      </c>
      <c r="X21" s="29">
        <f>IF(B21="","",IF(AND(P21&lt;&gt;"",P21&lt;TODAY()),"Expired - stop using this file",IF(D21="","Add - no file link saved",IF(N21&lt;&gt;"Approved","Check - not approved for use",IF(R21=0,"Use - never used yet","OK")))))</f>
        <v>0</v>
      </c>
    </row>
    <row r="22" spans="1:25">
      <c r="A22" s="41">
        <f>IF(B22="","",AssetPrefix&amp;TEXT(ROW()-4,"0000"))</f>
        <v>0</v>
      </c>
      <c r="R22" s="23">
        <f>IF(A22="","",COUNTIF('Content Calendar'!$T$5:$T$604,A22))</f>
        <v>0</v>
      </c>
      <c r="S22" s="23">
        <f>IF(A22="","",COUNTIF(Ads!$H$5:$H$104,A22))</f>
        <v>0</v>
      </c>
      <c r="T22" s="16">
        <f>IF(R22=0,"",SUMPRODUCT(MAX(('Content Calendar'!$T$5:$T$604=A22)*'Content Calendar'!$B$5:$B$604)))</f>
        <v>0</v>
      </c>
      <c r="U22" s="23">
        <f>IF(H22="","",TODAY()-H22)</f>
        <v>0</v>
      </c>
      <c r="V22" s="23">
        <f>IF(P22="","",P22-TODAY())</f>
        <v>0</v>
      </c>
      <c r="W22" s="29">
        <f>IF(B22="","",IF(COUNTIF(Assets!$B$5:$B$254,B22)&gt;1,"Duplicate","OK"))</f>
        <v>0</v>
      </c>
      <c r="X22" s="29">
        <f>IF(B22="","",IF(AND(P22&lt;&gt;"",P22&lt;TODAY()),"Expired - stop using this file",IF(D22="","Add - no file link saved",IF(N22&lt;&gt;"Approved","Check - not approved for use",IF(R22=0,"Use - never used yet","OK")))))</f>
        <v>0</v>
      </c>
    </row>
    <row r="23" spans="1:25">
      <c r="A23" s="41">
        <f>IF(B23="","",AssetPrefix&amp;TEXT(ROW()-4,"0000"))</f>
        <v>0</v>
      </c>
      <c r="R23" s="23">
        <f>IF(A23="","",COUNTIF('Content Calendar'!$T$5:$T$604,A23))</f>
        <v>0</v>
      </c>
      <c r="S23" s="23">
        <f>IF(A23="","",COUNTIF(Ads!$H$5:$H$104,A23))</f>
        <v>0</v>
      </c>
      <c r="T23" s="16">
        <f>IF(R23=0,"",SUMPRODUCT(MAX(('Content Calendar'!$T$5:$T$604=A23)*'Content Calendar'!$B$5:$B$604)))</f>
        <v>0</v>
      </c>
      <c r="U23" s="23">
        <f>IF(H23="","",TODAY()-H23)</f>
        <v>0</v>
      </c>
      <c r="V23" s="23">
        <f>IF(P23="","",P23-TODAY())</f>
        <v>0</v>
      </c>
      <c r="W23" s="29">
        <f>IF(B23="","",IF(COUNTIF(Assets!$B$5:$B$254,B23)&gt;1,"Duplicate","OK"))</f>
        <v>0</v>
      </c>
      <c r="X23" s="29">
        <f>IF(B23="","",IF(AND(P23&lt;&gt;"",P23&lt;TODAY()),"Expired - stop using this file",IF(D23="","Add - no file link saved",IF(N23&lt;&gt;"Approved","Check - not approved for use",IF(R23=0,"Use - never used yet","OK")))))</f>
        <v>0</v>
      </c>
    </row>
    <row r="24" spans="1:25">
      <c r="A24" s="41">
        <f>IF(B24="","",AssetPrefix&amp;TEXT(ROW()-4,"0000"))</f>
        <v>0</v>
      </c>
      <c r="R24" s="23">
        <f>IF(A24="","",COUNTIF('Content Calendar'!$T$5:$T$604,A24))</f>
        <v>0</v>
      </c>
      <c r="S24" s="23">
        <f>IF(A24="","",COUNTIF(Ads!$H$5:$H$104,A24))</f>
        <v>0</v>
      </c>
      <c r="T24" s="16">
        <f>IF(R24=0,"",SUMPRODUCT(MAX(('Content Calendar'!$T$5:$T$604=A24)*'Content Calendar'!$B$5:$B$604)))</f>
        <v>0</v>
      </c>
      <c r="U24" s="23">
        <f>IF(H24="","",TODAY()-H24)</f>
        <v>0</v>
      </c>
      <c r="V24" s="23">
        <f>IF(P24="","",P24-TODAY())</f>
        <v>0</v>
      </c>
      <c r="W24" s="29">
        <f>IF(B24="","",IF(COUNTIF(Assets!$B$5:$B$254,B24)&gt;1,"Duplicate","OK"))</f>
        <v>0</v>
      </c>
      <c r="X24" s="29">
        <f>IF(B24="","",IF(AND(P24&lt;&gt;"",P24&lt;TODAY()),"Expired - stop using this file",IF(D24="","Add - no file link saved",IF(N24&lt;&gt;"Approved","Check - not approved for use",IF(R24=0,"Use - never used yet","OK")))))</f>
        <v>0</v>
      </c>
    </row>
    <row r="25" spans="1:25">
      <c r="A25" s="41">
        <f>IF(B25="","",AssetPrefix&amp;TEXT(ROW()-4,"0000"))</f>
        <v>0</v>
      </c>
      <c r="R25" s="23">
        <f>IF(A25="","",COUNTIF('Content Calendar'!$T$5:$T$604,A25))</f>
        <v>0</v>
      </c>
      <c r="S25" s="23">
        <f>IF(A25="","",COUNTIF(Ads!$H$5:$H$104,A25))</f>
        <v>0</v>
      </c>
      <c r="T25" s="16">
        <f>IF(R25=0,"",SUMPRODUCT(MAX(('Content Calendar'!$T$5:$T$604=A25)*'Content Calendar'!$B$5:$B$604)))</f>
        <v>0</v>
      </c>
      <c r="U25" s="23">
        <f>IF(H25="","",TODAY()-H25)</f>
        <v>0</v>
      </c>
      <c r="V25" s="23">
        <f>IF(P25="","",P25-TODAY())</f>
        <v>0</v>
      </c>
      <c r="W25" s="29">
        <f>IF(B25="","",IF(COUNTIF(Assets!$B$5:$B$254,B25)&gt;1,"Duplicate","OK"))</f>
        <v>0</v>
      </c>
      <c r="X25" s="29">
        <f>IF(B25="","",IF(AND(P25&lt;&gt;"",P25&lt;TODAY()),"Expired - stop using this file",IF(D25="","Add - no file link saved",IF(N25&lt;&gt;"Approved","Check - not approved for use",IF(R25=0,"Use - never used yet","OK")))))</f>
        <v>0</v>
      </c>
    </row>
    <row r="26" spans="1:25">
      <c r="A26" s="41">
        <f>IF(B26="","",AssetPrefix&amp;TEXT(ROW()-4,"0000"))</f>
        <v>0</v>
      </c>
      <c r="R26" s="23">
        <f>IF(A26="","",COUNTIF('Content Calendar'!$T$5:$T$604,A26))</f>
        <v>0</v>
      </c>
      <c r="S26" s="23">
        <f>IF(A26="","",COUNTIF(Ads!$H$5:$H$104,A26))</f>
        <v>0</v>
      </c>
      <c r="T26" s="16">
        <f>IF(R26=0,"",SUMPRODUCT(MAX(('Content Calendar'!$T$5:$T$604=A26)*'Content Calendar'!$B$5:$B$604)))</f>
        <v>0</v>
      </c>
      <c r="U26" s="23">
        <f>IF(H26="","",TODAY()-H26)</f>
        <v>0</v>
      </c>
      <c r="V26" s="23">
        <f>IF(P26="","",P26-TODAY())</f>
        <v>0</v>
      </c>
      <c r="W26" s="29">
        <f>IF(B26="","",IF(COUNTIF(Assets!$B$5:$B$254,B26)&gt;1,"Duplicate","OK"))</f>
        <v>0</v>
      </c>
      <c r="X26" s="29">
        <f>IF(B26="","",IF(AND(P26&lt;&gt;"",P26&lt;TODAY()),"Expired - stop using this file",IF(D26="","Add - no file link saved",IF(N26&lt;&gt;"Approved","Check - not approved for use",IF(R26=0,"Use - never used yet","OK")))))</f>
        <v>0</v>
      </c>
    </row>
    <row r="27" spans="1:25">
      <c r="A27" s="41">
        <f>IF(B27="","",AssetPrefix&amp;TEXT(ROW()-4,"0000"))</f>
        <v>0</v>
      </c>
      <c r="R27" s="23">
        <f>IF(A27="","",COUNTIF('Content Calendar'!$T$5:$T$604,A27))</f>
        <v>0</v>
      </c>
      <c r="S27" s="23">
        <f>IF(A27="","",COUNTIF(Ads!$H$5:$H$104,A27))</f>
        <v>0</v>
      </c>
      <c r="T27" s="16">
        <f>IF(R27=0,"",SUMPRODUCT(MAX(('Content Calendar'!$T$5:$T$604=A27)*'Content Calendar'!$B$5:$B$604)))</f>
        <v>0</v>
      </c>
      <c r="U27" s="23">
        <f>IF(H27="","",TODAY()-H27)</f>
        <v>0</v>
      </c>
      <c r="V27" s="23">
        <f>IF(P27="","",P27-TODAY())</f>
        <v>0</v>
      </c>
      <c r="W27" s="29">
        <f>IF(B27="","",IF(COUNTIF(Assets!$B$5:$B$254,B27)&gt;1,"Duplicate","OK"))</f>
        <v>0</v>
      </c>
      <c r="X27" s="29">
        <f>IF(B27="","",IF(AND(P27&lt;&gt;"",P27&lt;TODAY()),"Expired - stop using this file",IF(D27="","Add - no file link saved",IF(N27&lt;&gt;"Approved","Check - not approved for use",IF(R27=0,"Use - never used yet","OK")))))</f>
        <v>0</v>
      </c>
    </row>
    <row r="28" spans="1:25">
      <c r="A28" s="41">
        <f>IF(B28="","",AssetPrefix&amp;TEXT(ROW()-4,"0000"))</f>
        <v>0</v>
      </c>
      <c r="R28" s="23">
        <f>IF(A28="","",COUNTIF('Content Calendar'!$T$5:$T$604,A28))</f>
        <v>0</v>
      </c>
      <c r="S28" s="23">
        <f>IF(A28="","",COUNTIF(Ads!$H$5:$H$104,A28))</f>
        <v>0</v>
      </c>
      <c r="T28" s="16">
        <f>IF(R28=0,"",SUMPRODUCT(MAX(('Content Calendar'!$T$5:$T$604=A28)*'Content Calendar'!$B$5:$B$604)))</f>
        <v>0</v>
      </c>
      <c r="U28" s="23">
        <f>IF(H28="","",TODAY()-H28)</f>
        <v>0</v>
      </c>
      <c r="V28" s="23">
        <f>IF(P28="","",P28-TODAY())</f>
        <v>0</v>
      </c>
      <c r="W28" s="29">
        <f>IF(B28="","",IF(COUNTIF(Assets!$B$5:$B$254,B28)&gt;1,"Duplicate","OK"))</f>
        <v>0</v>
      </c>
      <c r="X28" s="29">
        <f>IF(B28="","",IF(AND(P28&lt;&gt;"",P28&lt;TODAY()),"Expired - stop using this file",IF(D28="","Add - no file link saved",IF(N28&lt;&gt;"Approved","Check - not approved for use",IF(R28=0,"Use - never used yet","OK")))))</f>
        <v>0</v>
      </c>
    </row>
    <row r="29" spans="1:25">
      <c r="A29" s="41">
        <f>IF(B29="","",AssetPrefix&amp;TEXT(ROW()-4,"0000"))</f>
        <v>0</v>
      </c>
      <c r="R29" s="23">
        <f>IF(A29="","",COUNTIF('Content Calendar'!$T$5:$T$604,A29))</f>
        <v>0</v>
      </c>
      <c r="S29" s="23">
        <f>IF(A29="","",COUNTIF(Ads!$H$5:$H$104,A29))</f>
        <v>0</v>
      </c>
      <c r="T29" s="16">
        <f>IF(R29=0,"",SUMPRODUCT(MAX(('Content Calendar'!$T$5:$T$604=A29)*'Content Calendar'!$B$5:$B$604)))</f>
        <v>0</v>
      </c>
      <c r="U29" s="23">
        <f>IF(H29="","",TODAY()-H29)</f>
        <v>0</v>
      </c>
      <c r="V29" s="23">
        <f>IF(P29="","",P29-TODAY())</f>
        <v>0</v>
      </c>
      <c r="W29" s="29">
        <f>IF(B29="","",IF(COUNTIF(Assets!$B$5:$B$254,B29)&gt;1,"Duplicate","OK"))</f>
        <v>0</v>
      </c>
      <c r="X29" s="29">
        <f>IF(B29="","",IF(AND(P29&lt;&gt;"",P29&lt;TODAY()),"Expired - stop using this file",IF(D29="","Add - no file link saved",IF(N29&lt;&gt;"Approved","Check - not approved for use",IF(R29=0,"Use - never used yet","OK")))))</f>
        <v>0</v>
      </c>
    </row>
    <row r="30" spans="1:25">
      <c r="A30" s="41">
        <f>IF(B30="","",AssetPrefix&amp;TEXT(ROW()-4,"0000"))</f>
        <v>0</v>
      </c>
      <c r="R30" s="23">
        <f>IF(A30="","",COUNTIF('Content Calendar'!$T$5:$T$604,A30))</f>
        <v>0</v>
      </c>
      <c r="S30" s="23">
        <f>IF(A30="","",COUNTIF(Ads!$H$5:$H$104,A30))</f>
        <v>0</v>
      </c>
      <c r="T30" s="16">
        <f>IF(R30=0,"",SUMPRODUCT(MAX(('Content Calendar'!$T$5:$T$604=A30)*'Content Calendar'!$B$5:$B$604)))</f>
        <v>0</v>
      </c>
      <c r="U30" s="23">
        <f>IF(H30="","",TODAY()-H30)</f>
        <v>0</v>
      </c>
      <c r="V30" s="23">
        <f>IF(P30="","",P30-TODAY())</f>
        <v>0</v>
      </c>
      <c r="W30" s="29">
        <f>IF(B30="","",IF(COUNTIF(Assets!$B$5:$B$254,B30)&gt;1,"Duplicate","OK"))</f>
        <v>0</v>
      </c>
      <c r="X30" s="29">
        <f>IF(B30="","",IF(AND(P30&lt;&gt;"",P30&lt;TODAY()),"Expired - stop using this file",IF(D30="","Add - no file link saved",IF(N30&lt;&gt;"Approved","Check - not approved for use",IF(R30=0,"Use - never used yet","OK")))))</f>
        <v>0</v>
      </c>
    </row>
    <row r="31" spans="1:25">
      <c r="A31" s="41">
        <f>IF(B31="","",AssetPrefix&amp;TEXT(ROW()-4,"0000"))</f>
        <v>0</v>
      </c>
      <c r="R31" s="23">
        <f>IF(A31="","",COUNTIF('Content Calendar'!$T$5:$T$604,A31))</f>
        <v>0</v>
      </c>
      <c r="S31" s="23">
        <f>IF(A31="","",COUNTIF(Ads!$H$5:$H$104,A31))</f>
        <v>0</v>
      </c>
      <c r="T31" s="16">
        <f>IF(R31=0,"",SUMPRODUCT(MAX(('Content Calendar'!$T$5:$T$604=A31)*'Content Calendar'!$B$5:$B$604)))</f>
        <v>0</v>
      </c>
      <c r="U31" s="23">
        <f>IF(H31="","",TODAY()-H31)</f>
        <v>0</v>
      </c>
      <c r="V31" s="23">
        <f>IF(P31="","",P31-TODAY())</f>
        <v>0</v>
      </c>
      <c r="W31" s="29">
        <f>IF(B31="","",IF(COUNTIF(Assets!$B$5:$B$254,B31)&gt;1,"Duplicate","OK"))</f>
        <v>0</v>
      </c>
      <c r="X31" s="29">
        <f>IF(B31="","",IF(AND(P31&lt;&gt;"",P31&lt;TODAY()),"Expired - stop using this file",IF(D31="","Add - no file link saved",IF(N31&lt;&gt;"Approved","Check - not approved for use",IF(R31=0,"Use - never used yet","OK")))))</f>
        <v>0</v>
      </c>
    </row>
    <row r="32" spans="1:25">
      <c r="A32" s="41">
        <f>IF(B32="","",AssetPrefix&amp;TEXT(ROW()-4,"0000"))</f>
        <v>0</v>
      </c>
      <c r="R32" s="23">
        <f>IF(A32="","",COUNTIF('Content Calendar'!$T$5:$T$604,A32))</f>
        <v>0</v>
      </c>
      <c r="S32" s="23">
        <f>IF(A32="","",COUNTIF(Ads!$H$5:$H$104,A32))</f>
        <v>0</v>
      </c>
      <c r="T32" s="16">
        <f>IF(R32=0,"",SUMPRODUCT(MAX(('Content Calendar'!$T$5:$T$604=A32)*'Content Calendar'!$B$5:$B$604)))</f>
        <v>0</v>
      </c>
      <c r="U32" s="23">
        <f>IF(H32="","",TODAY()-H32)</f>
        <v>0</v>
      </c>
      <c r="V32" s="23">
        <f>IF(P32="","",P32-TODAY())</f>
        <v>0</v>
      </c>
      <c r="W32" s="29">
        <f>IF(B32="","",IF(COUNTIF(Assets!$B$5:$B$254,B32)&gt;1,"Duplicate","OK"))</f>
        <v>0</v>
      </c>
      <c r="X32" s="29">
        <f>IF(B32="","",IF(AND(P32&lt;&gt;"",P32&lt;TODAY()),"Expired - stop using this file",IF(D32="","Add - no file link saved",IF(N32&lt;&gt;"Approved","Check - not approved for use",IF(R32=0,"Use - never used yet","OK")))))</f>
        <v>0</v>
      </c>
    </row>
    <row r="33" spans="1:24">
      <c r="A33" s="41">
        <f>IF(B33="","",AssetPrefix&amp;TEXT(ROW()-4,"0000"))</f>
        <v>0</v>
      </c>
      <c r="R33" s="23">
        <f>IF(A33="","",COUNTIF('Content Calendar'!$T$5:$T$604,A33))</f>
        <v>0</v>
      </c>
      <c r="S33" s="23">
        <f>IF(A33="","",COUNTIF(Ads!$H$5:$H$104,A33))</f>
        <v>0</v>
      </c>
      <c r="T33" s="16">
        <f>IF(R33=0,"",SUMPRODUCT(MAX(('Content Calendar'!$T$5:$T$604=A33)*'Content Calendar'!$B$5:$B$604)))</f>
        <v>0</v>
      </c>
      <c r="U33" s="23">
        <f>IF(H33="","",TODAY()-H33)</f>
        <v>0</v>
      </c>
      <c r="V33" s="23">
        <f>IF(P33="","",P33-TODAY())</f>
        <v>0</v>
      </c>
      <c r="W33" s="29">
        <f>IF(B33="","",IF(COUNTIF(Assets!$B$5:$B$254,B33)&gt;1,"Duplicate","OK"))</f>
        <v>0</v>
      </c>
      <c r="X33" s="29">
        <f>IF(B33="","",IF(AND(P33&lt;&gt;"",P33&lt;TODAY()),"Expired - stop using this file",IF(D33="","Add - no file link saved",IF(N33&lt;&gt;"Approved","Check - not approved for use",IF(R33=0,"Use - never used yet","OK")))))</f>
        <v>0</v>
      </c>
    </row>
    <row r="34" spans="1:24">
      <c r="A34" s="41">
        <f>IF(B34="","",AssetPrefix&amp;TEXT(ROW()-4,"0000"))</f>
        <v>0</v>
      </c>
      <c r="R34" s="23">
        <f>IF(A34="","",COUNTIF('Content Calendar'!$T$5:$T$604,A34))</f>
        <v>0</v>
      </c>
      <c r="S34" s="23">
        <f>IF(A34="","",COUNTIF(Ads!$H$5:$H$104,A34))</f>
        <v>0</v>
      </c>
      <c r="T34" s="16">
        <f>IF(R34=0,"",SUMPRODUCT(MAX(('Content Calendar'!$T$5:$T$604=A34)*'Content Calendar'!$B$5:$B$604)))</f>
        <v>0</v>
      </c>
      <c r="U34" s="23">
        <f>IF(H34="","",TODAY()-H34)</f>
        <v>0</v>
      </c>
      <c r="V34" s="23">
        <f>IF(P34="","",P34-TODAY())</f>
        <v>0</v>
      </c>
      <c r="W34" s="29">
        <f>IF(B34="","",IF(COUNTIF(Assets!$B$5:$B$254,B34)&gt;1,"Duplicate","OK"))</f>
        <v>0</v>
      </c>
      <c r="X34" s="29">
        <f>IF(B34="","",IF(AND(P34&lt;&gt;"",P34&lt;TODAY()),"Expired - stop using this file",IF(D34="","Add - no file link saved",IF(N34&lt;&gt;"Approved","Check - not approved for use",IF(R34=0,"Use - never used yet","OK")))))</f>
        <v>0</v>
      </c>
    </row>
    <row r="35" spans="1:24">
      <c r="A35" s="41">
        <f>IF(B35="","",AssetPrefix&amp;TEXT(ROW()-4,"0000"))</f>
        <v>0</v>
      </c>
      <c r="R35" s="23">
        <f>IF(A35="","",COUNTIF('Content Calendar'!$T$5:$T$604,A35))</f>
        <v>0</v>
      </c>
      <c r="S35" s="23">
        <f>IF(A35="","",COUNTIF(Ads!$H$5:$H$104,A35))</f>
        <v>0</v>
      </c>
      <c r="T35" s="16">
        <f>IF(R35=0,"",SUMPRODUCT(MAX(('Content Calendar'!$T$5:$T$604=A35)*'Content Calendar'!$B$5:$B$604)))</f>
        <v>0</v>
      </c>
      <c r="U35" s="23">
        <f>IF(H35="","",TODAY()-H35)</f>
        <v>0</v>
      </c>
      <c r="V35" s="23">
        <f>IF(P35="","",P35-TODAY())</f>
        <v>0</v>
      </c>
      <c r="W35" s="29">
        <f>IF(B35="","",IF(COUNTIF(Assets!$B$5:$B$254,B35)&gt;1,"Duplicate","OK"))</f>
        <v>0</v>
      </c>
      <c r="X35" s="29">
        <f>IF(B35="","",IF(AND(P35&lt;&gt;"",P35&lt;TODAY()),"Expired - stop using this file",IF(D35="","Add - no file link saved",IF(N35&lt;&gt;"Approved","Check - not approved for use",IF(R35=0,"Use - never used yet","OK")))))</f>
        <v>0</v>
      </c>
    </row>
    <row r="36" spans="1:24">
      <c r="A36" s="41">
        <f>IF(B36="","",AssetPrefix&amp;TEXT(ROW()-4,"0000"))</f>
        <v>0</v>
      </c>
      <c r="R36" s="23">
        <f>IF(A36="","",COUNTIF('Content Calendar'!$T$5:$T$604,A36))</f>
        <v>0</v>
      </c>
      <c r="S36" s="23">
        <f>IF(A36="","",COUNTIF(Ads!$H$5:$H$104,A36))</f>
        <v>0</v>
      </c>
      <c r="T36" s="16">
        <f>IF(R36=0,"",SUMPRODUCT(MAX(('Content Calendar'!$T$5:$T$604=A36)*'Content Calendar'!$B$5:$B$604)))</f>
        <v>0</v>
      </c>
      <c r="U36" s="23">
        <f>IF(H36="","",TODAY()-H36)</f>
        <v>0</v>
      </c>
      <c r="V36" s="23">
        <f>IF(P36="","",P36-TODAY())</f>
        <v>0</v>
      </c>
      <c r="W36" s="29">
        <f>IF(B36="","",IF(COUNTIF(Assets!$B$5:$B$254,B36)&gt;1,"Duplicate","OK"))</f>
        <v>0</v>
      </c>
      <c r="X36" s="29">
        <f>IF(B36="","",IF(AND(P36&lt;&gt;"",P36&lt;TODAY()),"Expired - stop using this file",IF(D36="","Add - no file link saved",IF(N36&lt;&gt;"Approved","Check - not approved for use",IF(R36=0,"Use - never used yet","OK")))))</f>
        <v>0</v>
      </c>
    </row>
    <row r="37" spans="1:24">
      <c r="A37" s="41">
        <f>IF(B37="","",AssetPrefix&amp;TEXT(ROW()-4,"0000"))</f>
        <v>0</v>
      </c>
      <c r="R37" s="23">
        <f>IF(A37="","",COUNTIF('Content Calendar'!$T$5:$T$604,A37))</f>
        <v>0</v>
      </c>
      <c r="S37" s="23">
        <f>IF(A37="","",COUNTIF(Ads!$H$5:$H$104,A37))</f>
        <v>0</v>
      </c>
      <c r="T37" s="16">
        <f>IF(R37=0,"",SUMPRODUCT(MAX(('Content Calendar'!$T$5:$T$604=A37)*'Content Calendar'!$B$5:$B$604)))</f>
        <v>0</v>
      </c>
      <c r="U37" s="23">
        <f>IF(H37="","",TODAY()-H37)</f>
        <v>0</v>
      </c>
      <c r="V37" s="23">
        <f>IF(P37="","",P37-TODAY())</f>
        <v>0</v>
      </c>
      <c r="W37" s="29">
        <f>IF(B37="","",IF(COUNTIF(Assets!$B$5:$B$254,B37)&gt;1,"Duplicate","OK"))</f>
        <v>0</v>
      </c>
      <c r="X37" s="29">
        <f>IF(B37="","",IF(AND(P37&lt;&gt;"",P37&lt;TODAY()),"Expired - stop using this file",IF(D37="","Add - no file link saved",IF(N37&lt;&gt;"Approved","Check - not approved for use",IF(R37=0,"Use - never used yet","OK")))))</f>
        <v>0</v>
      </c>
    </row>
    <row r="38" spans="1:24">
      <c r="A38" s="41">
        <f>IF(B38="","",AssetPrefix&amp;TEXT(ROW()-4,"0000"))</f>
        <v>0</v>
      </c>
      <c r="R38" s="23">
        <f>IF(A38="","",COUNTIF('Content Calendar'!$T$5:$T$604,A38))</f>
        <v>0</v>
      </c>
      <c r="S38" s="23">
        <f>IF(A38="","",COUNTIF(Ads!$H$5:$H$104,A38))</f>
        <v>0</v>
      </c>
      <c r="T38" s="16">
        <f>IF(R38=0,"",SUMPRODUCT(MAX(('Content Calendar'!$T$5:$T$604=A38)*'Content Calendar'!$B$5:$B$604)))</f>
        <v>0</v>
      </c>
      <c r="U38" s="23">
        <f>IF(H38="","",TODAY()-H38)</f>
        <v>0</v>
      </c>
      <c r="V38" s="23">
        <f>IF(P38="","",P38-TODAY())</f>
        <v>0</v>
      </c>
      <c r="W38" s="29">
        <f>IF(B38="","",IF(COUNTIF(Assets!$B$5:$B$254,B38)&gt;1,"Duplicate","OK"))</f>
        <v>0</v>
      </c>
      <c r="X38" s="29">
        <f>IF(B38="","",IF(AND(P38&lt;&gt;"",P38&lt;TODAY()),"Expired - stop using this file",IF(D38="","Add - no file link saved",IF(N38&lt;&gt;"Approved","Check - not approved for use",IF(R38=0,"Use - never used yet","OK")))))</f>
        <v>0</v>
      </c>
    </row>
    <row r="39" spans="1:24">
      <c r="A39" s="41">
        <f>IF(B39="","",AssetPrefix&amp;TEXT(ROW()-4,"0000"))</f>
        <v>0</v>
      </c>
      <c r="R39" s="23">
        <f>IF(A39="","",COUNTIF('Content Calendar'!$T$5:$T$604,A39))</f>
        <v>0</v>
      </c>
      <c r="S39" s="23">
        <f>IF(A39="","",COUNTIF(Ads!$H$5:$H$104,A39))</f>
        <v>0</v>
      </c>
      <c r="T39" s="16">
        <f>IF(R39=0,"",SUMPRODUCT(MAX(('Content Calendar'!$T$5:$T$604=A39)*'Content Calendar'!$B$5:$B$604)))</f>
        <v>0</v>
      </c>
      <c r="U39" s="23">
        <f>IF(H39="","",TODAY()-H39)</f>
        <v>0</v>
      </c>
      <c r="V39" s="23">
        <f>IF(P39="","",P39-TODAY())</f>
        <v>0</v>
      </c>
      <c r="W39" s="29">
        <f>IF(B39="","",IF(COUNTIF(Assets!$B$5:$B$254,B39)&gt;1,"Duplicate","OK"))</f>
        <v>0</v>
      </c>
      <c r="X39" s="29">
        <f>IF(B39="","",IF(AND(P39&lt;&gt;"",P39&lt;TODAY()),"Expired - stop using this file",IF(D39="","Add - no file link saved",IF(N39&lt;&gt;"Approved","Check - not approved for use",IF(R39=0,"Use - never used yet","OK")))))</f>
        <v>0</v>
      </c>
    </row>
    <row r="40" spans="1:24">
      <c r="A40" s="41">
        <f>IF(B40="","",AssetPrefix&amp;TEXT(ROW()-4,"0000"))</f>
        <v>0</v>
      </c>
      <c r="R40" s="23">
        <f>IF(A40="","",COUNTIF('Content Calendar'!$T$5:$T$604,A40))</f>
        <v>0</v>
      </c>
      <c r="S40" s="23">
        <f>IF(A40="","",COUNTIF(Ads!$H$5:$H$104,A40))</f>
        <v>0</v>
      </c>
      <c r="T40" s="16">
        <f>IF(R40=0,"",SUMPRODUCT(MAX(('Content Calendar'!$T$5:$T$604=A40)*'Content Calendar'!$B$5:$B$604)))</f>
        <v>0</v>
      </c>
      <c r="U40" s="23">
        <f>IF(H40="","",TODAY()-H40)</f>
        <v>0</v>
      </c>
      <c r="V40" s="23">
        <f>IF(P40="","",P40-TODAY())</f>
        <v>0</v>
      </c>
      <c r="W40" s="29">
        <f>IF(B40="","",IF(COUNTIF(Assets!$B$5:$B$254,B40)&gt;1,"Duplicate","OK"))</f>
        <v>0</v>
      </c>
      <c r="X40" s="29">
        <f>IF(B40="","",IF(AND(P40&lt;&gt;"",P40&lt;TODAY()),"Expired - stop using this file",IF(D40="","Add - no file link saved",IF(N40&lt;&gt;"Approved","Check - not approved for use",IF(R40=0,"Use - never used yet","OK")))))</f>
        <v>0</v>
      </c>
    </row>
    <row r="41" spans="1:24">
      <c r="A41" s="41">
        <f>IF(B41="","",AssetPrefix&amp;TEXT(ROW()-4,"0000"))</f>
        <v>0</v>
      </c>
      <c r="R41" s="23">
        <f>IF(A41="","",COUNTIF('Content Calendar'!$T$5:$T$604,A41))</f>
        <v>0</v>
      </c>
      <c r="S41" s="23">
        <f>IF(A41="","",COUNTIF(Ads!$H$5:$H$104,A41))</f>
        <v>0</v>
      </c>
      <c r="T41" s="16">
        <f>IF(R41=0,"",SUMPRODUCT(MAX(('Content Calendar'!$T$5:$T$604=A41)*'Content Calendar'!$B$5:$B$604)))</f>
        <v>0</v>
      </c>
      <c r="U41" s="23">
        <f>IF(H41="","",TODAY()-H41)</f>
        <v>0</v>
      </c>
      <c r="V41" s="23">
        <f>IF(P41="","",P41-TODAY())</f>
        <v>0</v>
      </c>
      <c r="W41" s="29">
        <f>IF(B41="","",IF(COUNTIF(Assets!$B$5:$B$254,B41)&gt;1,"Duplicate","OK"))</f>
        <v>0</v>
      </c>
      <c r="X41" s="29">
        <f>IF(B41="","",IF(AND(P41&lt;&gt;"",P41&lt;TODAY()),"Expired - stop using this file",IF(D41="","Add - no file link saved",IF(N41&lt;&gt;"Approved","Check - not approved for use",IF(R41=0,"Use - never used yet","OK")))))</f>
        <v>0</v>
      </c>
    </row>
    <row r="42" spans="1:24">
      <c r="A42" s="41">
        <f>IF(B42="","",AssetPrefix&amp;TEXT(ROW()-4,"0000"))</f>
        <v>0</v>
      </c>
      <c r="R42" s="23">
        <f>IF(A42="","",COUNTIF('Content Calendar'!$T$5:$T$604,A42))</f>
        <v>0</v>
      </c>
      <c r="S42" s="23">
        <f>IF(A42="","",COUNTIF(Ads!$H$5:$H$104,A42))</f>
        <v>0</v>
      </c>
      <c r="T42" s="16">
        <f>IF(R42=0,"",SUMPRODUCT(MAX(('Content Calendar'!$T$5:$T$604=A42)*'Content Calendar'!$B$5:$B$604)))</f>
        <v>0</v>
      </c>
      <c r="U42" s="23">
        <f>IF(H42="","",TODAY()-H42)</f>
        <v>0</v>
      </c>
      <c r="V42" s="23">
        <f>IF(P42="","",P42-TODAY())</f>
        <v>0</v>
      </c>
      <c r="W42" s="29">
        <f>IF(B42="","",IF(COUNTIF(Assets!$B$5:$B$254,B42)&gt;1,"Duplicate","OK"))</f>
        <v>0</v>
      </c>
      <c r="X42" s="29">
        <f>IF(B42="","",IF(AND(P42&lt;&gt;"",P42&lt;TODAY()),"Expired - stop using this file",IF(D42="","Add - no file link saved",IF(N42&lt;&gt;"Approved","Check - not approved for use",IF(R42=0,"Use - never used yet","OK")))))</f>
        <v>0</v>
      </c>
    </row>
    <row r="43" spans="1:24">
      <c r="A43" s="41">
        <f>IF(B43="","",AssetPrefix&amp;TEXT(ROW()-4,"0000"))</f>
        <v>0</v>
      </c>
      <c r="R43" s="23">
        <f>IF(A43="","",COUNTIF('Content Calendar'!$T$5:$T$604,A43))</f>
        <v>0</v>
      </c>
      <c r="S43" s="23">
        <f>IF(A43="","",COUNTIF(Ads!$H$5:$H$104,A43))</f>
        <v>0</v>
      </c>
      <c r="T43" s="16">
        <f>IF(R43=0,"",SUMPRODUCT(MAX(('Content Calendar'!$T$5:$T$604=A43)*'Content Calendar'!$B$5:$B$604)))</f>
        <v>0</v>
      </c>
      <c r="U43" s="23">
        <f>IF(H43="","",TODAY()-H43)</f>
        <v>0</v>
      </c>
      <c r="V43" s="23">
        <f>IF(P43="","",P43-TODAY())</f>
        <v>0</v>
      </c>
      <c r="W43" s="29">
        <f>IF(B43="","",IF(COUNTIF(Assets!$B$5:$B$254,B43)&gt;1,"Duplicate","OK"))</f>
        <v>0</v>
      </c>
      <c r="X43" s="29">
        <f>IF(B43="","",IF(AND(P43&lt;&gt;"",P43&lt;TODAY()),"Expired - stop using this file",IF(D43="","Add - no file link saved",IF(N43&lt;&gt;"Approved","Check - not approved for use",IF(R43=0,"Use - never used yet","OK")))))</f>
        <v>0</v>
      </c>
    </row>
    <row r="44" spans="1:24">
      <c r="A44" s="41">
        <f>IF(B44="","",AssetPrefix&amp;TEXT(ROW()-4,"0000"))</f>
        <v>0</v>
      </c>
      <c r="R44" s="23">
        <f>IF(A44="","",COUNTIF('Content Calendar'!$T$5:$T$604,A44))</f>
        <v>0</v>
      </c>
      <c r="S44" s="23">
        <f>IF(A44="","",COUNTIF(Ads!$H$5:$H$104,A44))</f>
        <v>0</v>
      </c>
      <c r="T44" s="16">
        <f>IF(R44=0,"",SUMPRODUCT(MAX(('Content Calendar'!$T$5:$T$604=A44)*'Content Calendar'!$B$5:$B$604)))</f>
        <v>0</v>
      </c>
      <c r="U44" s="23">
        <f>IF(H44="","",TODAY()-H44)</f>
        <v>0</v>
      </c>
      <c r="V44" s="23">
        <f>IF(P44="","",P44-TODAY())</f>
        <v>0</v>
      </c>
      <c r="W44" s="29">
        <f>IF(B44="","",IF(COUNTIF(Assets!$B$5:$B$254,B44)&gt;1,"Duplicate","OK"))</f>
        <v>0</v>
      </c>
      <c r="X44" s="29">
        <f>IF(B44="","",IF(AND(P44&lt;&gt;"",P44&lt;TODAY()),"Expired - stop using this file",IF(D44="","Add - no file link saved",IF(N44&lt;&gt;"Approved","Check - not approved for use",IF(R44=0,"Use - never used yet","OK")))))</f>
        <v>0</v>
      </c>
    </row>
    <row r="45" spans="1:24">
      <c r="A45" s="41">
        <f>IF(B45="","",AssetPrefix&amp;TEXT(ROW()-4,"0000"))</f>
        <v>0</v>
      </c>
      <c r="R45" s="23">
        <f>IF(A45="","",COUNTIF('Content Calendar'!$T$5:$T$604,A45))</f>
        <v>0</v>
      </c>
      <c r="S45" s="23">
        <f>IF(A45="","",COUNTIF(Ads!$H$5:$H$104,A45))</f>
        <v>0</v>
      </c>
      <c r="T45" s="16">
        <f>IF(R45=0,"",SUMPRODUCT(MAX(('Content Calendar'!$T$5:$T$604=A45)*'Content Calendar'!$B$5:$B$604)))</f>
        <v>0</v>
      </c>
      <c r="U45" s="23">
        <f>IF(H45="","",TODAY()-H45)</f>
        <v>0</v>
      </c>
      <c r="V45" s="23">
        <f>IF(P45="","",P45-TODAY())</f>
        <v>0</v>
      </c>
      <c r="W45" s="29">
        <f>IF(B45="","",IF(COUNTIF(Assets!$B$5:$B$254,B45)&gt;1,"Duplicate","OK"))</f>
        <v>0</v>
      </c>
      <c r="X45" s="29">
        <f>IF(B45="","",IF(AND(P45&lt;&gt;"",P45&lt;TODAY()),"Expired - stop using this file",IF(D45="","Add - no file link saved",IF(N45&lt;&gt;"Approved","Check - not approved for use",IF(R45=0,"Use - never used yet","OK")))))</f>
        <v>0</v>
      </c>
    </row>
    <row r="46" spans="1:24">
      <c r="A46" s="41">
        <f>IF(B46="","",AssetPrefix&amp;TEXT(ROW()-4,"0000"))</f>
        <v>0</v>
      </c>
      <c r="R46" s="23">
        <f>IF(A46="","",COUNTIF('Content Calendar'!$T$5:$T$604,A46))</f>
        <v>0</v>
      </c>
      <c r="S46" s="23">
        <f>IF(A46="","",COUNTIF(Ads!$H$5:$H$104,A46))</f>
        <v>0</v>
      </c>
      <c r="T46" s="16">
        <f>IF(R46=0,"",SUMPRODUCT(MAX(('Content Calendar'!$T$5:$T$604=A46)*'Content Calendar'!$B$5:$B$604)))</f>
        <v>0</v>
      </c>
      <c r="U46" s="23">
        <f>IF(H46="","",TODAY()-H46)</f>
        <v>0</v>
      </c>
      <c r="V46" s="23">
        <f>IF(P46="","",P46-TODAY())</f>
        <v>0</v>
      </c>
      <c r="W46" s="29">
        <f>IF(B46="","",IF(COUNTIF(Assets!$B$5:$B$254,B46)&gt;1,"Duplicate","OK"))</f>
        <v>0</v>
      </c>
      <c r="X46" s="29">
        <f>IF(B46="","",IF(AND(P46&lt;&gt;"",P46&lt;TODAY()),"Expired - stop using this file",IF(D46="","Add - no file link saved",IF(N46&lt;&gt;"Approved","Check - not approved for use",IF(R46=0,"Use - never used yet","OK")))))</f>
        <v>0</v>
      </c>
    </row>
    <row r="47" spans="1:24">
      <c r="A47" s="41">
        <f>IF(B47="","",AssetPrefix&amp;TEXT(ROW()-4,"0000"))</f>
        <v>0</v>
      </c>
      <c r="R47" s="23">
        <f>IF(A47="","",COUNTIF('Content Calendar'!$T$5:$T$604,A47))</f>
        <v>0</v>
      </c>
      <c r="S47" s="23">
        <f>IF(A47="","",COUNTIF(Ads!$H$5:$H$104,A47))</f>
        <v>0</v>
      </c>
      <c r="T47" s="16">
        <f>IF(R47=0,"",SUMPRODUCT(MAX(('Content Calendar'!$T$5:$T$604=A47)*'Content Calendar'!$B$5:$B$604)))</f>
        <v>0</v>
      </c>
      <c r="U47" s="23">
        <f>IF(H47="","",TODAY()-H47)</f>
        <v>0</v>
      </c>
      <c r="V47" s="23">
        <f>IF(P47="","",P47-TODAY())</f>
        <v>0</v>
      </c>
      <c r="W47" s="29">
        <f>IF(B47="","",IF(COUNTIF(Assets!$B$5:$B$254,B47)&gt;1,"Duplicate","OK"))</f>
        <v>0</v>
      </c>
      <c r="X47" s="29">
        <f>IF(B47="","",IF(AND(P47&lt;&gt;"",P47&lt;TODAY()),"Expired - stop using this file",IF(D47="","Add - no file link saved",IF(N47&lt;&gt;"Approved","Check - not approved for use",IF(R47=0,"Use - never used yet","OK")))))</f>
        <v>0</v>
      </c>
    </row>
    <row r="48" spans="1:24">
      <c r="A48" s="41">
        <f>IF(B48="","",AssetPrefix&amp;TEXT(ROW()-4,"0000"))</f>
        <v>0</v>
      </c>
      <c r="R48" s="23">
        <f>IF(A48="","",COUNTIF('Content Calendar'!$T$5:$T$604,A48))</f>
        <v>0</v>
      </c>
      <c r="S48" s="23">
        <f>IF(A48="","",COUNTIF(Ads!$H$5:$H$104,A48))</f>
        <v>0</v>
      </c>
      <c r="T48" s="16">
        <f>IF(R48=0,"",SUMPRODUCT(MAX(('Content Calendar'!$T$5:$T$604=A48)*'Content Calendar'!$B$5:$B$604)))</f>
        <v>0</v>
      </c>
      <c r="U48" s="23">
        <f>IF(H48="","",TODAY()-H48)</f>
        <v>0</v>
      </c>
      <c r="V48" s="23">
        <f>IF(P48="","",P48-TODAY())</f>
        <v>0</v>
      </c>
      <c r="W48" s="29">
        <f>IF(B48="","",IF(COUNTIF(Assets!$B$5:$B$254,B48)&gt;1,"Duplicate","OK"))</f>
        <v>0</v>
      </c>
      <c r="X48" s="29">
        <f>IF(B48="","",IF(AND(P48&lt;&gt;"",P48&lt;TODAY()),"Expired - stop using this file",IF(D48="","Add - no file link saved",IF(N48&lt;&gt;"Approved","Check - not approved for use",IF(R48=0,"Use - never used yet","OK")))))</f>
        <v>0</v>
      </c>
    </row>
    <row r="49" spans="1:24">
      <c r="A49" s="41">
        <f>IF(B49="","",AssetPrefix&amp;TEXT(ROW()-4,"0000"))</f>
        <v>0</v>
      </c>
      <c r="R49" s="23">
        <f>IF(A49="","",COUNTIF('Content Calendar'!$T$5:$T$604,A49))</f>
        <v>0</v>
      </c>
      <c r="S49" s="23">
        <f>IF(A49="","",COUNTIF(Ads!$H$5:$H$104,A49))</f>
        <v>0</v>
      </c>
      <c r="T49" s="16">
        <f>IF(R49=0,"",SUMPRODUCT(MAX(('Content Calendar'!$T$5:$T$604=A49)*'Content Calendar'!$B$5:$B$604)))</f>
        <v>0</v>
      </c>
      <c r="U49" s="23">
        <f>IF(H49="","",TODAY()-H49)</f>
        <v>0</v>
      </c>
      <c r="V49" s="23">
        <f>IF(P49="","",P49-TODAY())</f>
        <v>0</v>
      </c>
      <c r="W49" s="29">
        <f>IF(B49="","",IF(COUNTIF(Assets!$B$5:$B$254,B49)&gt;1,"Duplicate","OK"))</f>
        <v>0</v>
      </c>
      <c r="X49" s="29">
        <f>IF(B49="","",IF(AND(P49&lt;&gt;"",P49&lt;TODAY()),"Expired - stop using this file",IF(D49="","Add - no file link saved",IF(N49&lt;&gt;"Approved","Check - not approved for use",IF(R49=0,"Use - never used yet","OK")))))</f>
        <v>0</v>
      </c>
    </row>
    <row r="50" spans="1:24">
      <c r="A50" s="41">
        <f>IF(B50="","",AssetPrefix&amp;TEXT(ROW()-4,"0000"))</f>
        <v>0</v>
      </c>
      <c r="R50" s="23">
        <f>IF(A50="","",COUNTIF('Content Calendar'!$T$5:$T$604,A50))</f>
        <v>0</v>
      </c>
      <c r="S50" s="23">
        <f>IF(A50="","",COUNTIF(Ads!$H$5:$H$104,A50))</f>
        <v>0</v>
      </c>
      <c r="T50" s="16">
        <f>IF(R50=0,"",SUMPRODUCT(MAX(('Content Calendar'!$T$5:$T$604=A50)*'Content Calendar'!$B$5:$B$604)))</f>
        <v>0</v>
      </c>
      <c r="U50" s="23">
        <f>IF(H50="","",TODAY()-H50)</f>
        <v>0</v>
      </c>
      <c r="V50" s="23">
        <f>IF(P50="","",P50-TODAY())</f>
        <v>0</v>
      </c>
      <c r="W50" s="29">
        <f>IF(B50="","",IF(COUNTIF(Assets!$B$5:$B$254,B50)&gt;1,"Duplicate","OK"))</f>
        <v>0</v>
      </c>
      <c r="X50" s="29">
        <f>IF(B50="","",IF(AND(P50&lt;&gt;"",P50&lt;TODAY()),"Expired - stop using this file",IF(D50="","Add - no file link saved",IF(N50&lt;&gt;"Approved","Check - not approved for use",IF(R50=0,"Use - never used yet","OK")))))</f>
        <v>0</v>
      </c>
    </row>
    <row r="51" spans="1:24">
      <c r="A51" s="41">
        <f>IF(B51="","",AssetPrefix&amp;TEXT(ROW()-4,"0000"))</f>
        <v>0</v>
      </c>
      <c r="R51" s="23">
        <f>IF(A51="","",COUNTIF('Content Calendar'!$T$5:$T$604,A51))</f>
        <v>0</v>
      </c>
      <c r="S51" s="23">
        <f>IF(A51="","",COUNTIF(Ads!$H$5:$H$104,A51))</f>
        <v>0</v>
      </c>
      <c r="T51" s="16">
        <f>IF(R51=0,"",SUMPRODUCT(MAX(('Content Calendar'!$T$5:$T$604=A51)*'Content Calendar'!$B$5:$B$604)))</f>
        <v>0</v>
      </c>
      <c r="U51" s="23">
        <f>IF(H51="","",TODAY()-H51)</f>
        <v>0</v>
      </c>
      <c r="V51" s="23">
        <f>IF(P51="","",P51-TODAY())</f>
        <v>0</v>
      </c>
      <c r="W51" s="29">
        <f>IF(B51="","",IF(COUNTIF(Assets!$B$5:$B$254,B51)&gt;1,"Duplicate","OK"))</f>
        <v>0</v>
      </c>
      <c r="X51" s="29">
        <f>IF(B51="","",IF(AND(P51&lt;&gt;"",P51&lt;TODAY()),"Expired - stop using this file",IF(D51="","Add - no file link saved",IF(N51&lt;&gt;"Approved","Check - not approved for use",IF(R51=0,"Use - never used yet","OK")))))</f>
        <v>0</v>
      </c>
    </row>
    <row r="52" spans="1:24">
      <c r="A52" s="41">
        <f>IF(B52="","",AssetPrefix&amp;TEXT(ROW()-4,"0000"))</f>
        <v>0</v>
      </c>
      <c r="R52" s="23">
        <f>IF(A52="","",COUNTIF('Content Calendar'!$T$5:$T$604,A52))</f>
        <v>0</v>
      </c>
      <c r="S52" s="23">
        <f>IF(A52="","",COUNTIF(Ads!$H$5:$H$104,A52))</f>
        <v>0</v>
      </c>
      <c r="T52" s="16">
        <f>IF(R52=0,"",SUMPRODUCT(MAX(('Content Calendar'!$T$5:$T$604=A52)*'Content Calendar'!$B$5:$B$604)))</f>
        <v>0</v>
      </c>
      <c r="U52" s="23">
        <f>IF(H52="","",TODAY()-H52)</f>
        <v>0</v>
      </c>
      <c r="V52" s="23">
        <f>IF(P52="","",P52-TODAY())</f>
        <v>0</v>
      </c>
      <c r="W52" s="29">
        <f>IF(B52="","",IF(COUNTIF(Assets!$B$5:$B$254,B52)&gt;1,"Duplicate","OK"))</f>
        <v>0</v>
      </c>
      <c r="X52" s="29">
        <f>IF(B52="","",IF(AND(P52&lt;&gt;"",P52&lt;TODAY()),"Expired - stop using this file",IF(D52="","Add - no file link saved",IF(N52&lt;&gt;"Approved","Check - not approved for use",IF(R52=0,"Use - never used yet","OK")))))</f>
        <v>0</v>
      </c>
    </row>
    <row r="53" spans="1:24">
      <c r="A53" s="41">
        <f>IF(B53="","",AssetPrefix&amp;TEXT(ROW()-4,"0000"))</f>
        <v>0</v>
      </c>
      <c r="R53" s="23">
        <f>IF(A53="","",COUNTIF('Content Calendar'!$T$5:$T$604,A53))</f>
        <v>0</v>
      </c>
      <c r="S53" s="23">
        <f>IF(A53="","",COUNTIF(Ads!$H$5:$H$104,A53))</f>
        <v>0</v>
      </c>
      <c r="T53" s="16">
        <f>IF(R53=0,"",SUMPRODUCT(MAX(('Content Calendar'!$T$5:$T$604=A53)*'Content Calendar'!$B$5:$B$604)))</f>
        <v>0</v>
      </c>
      <c r="U53" s="23">
        <f>IF(H53="","",TODAY()-H53)</f>
        <v>0</v>
      </c>
      <c r="V53" s="23">
        <f>IF(P53="","",P53-TODAY())</f>
        <v>0</v>
      </c>
      <c r="W53" s="29">
        <f>IF(B53="","",IF(COUNTIF(Assets!$B$5:$B$254,B53)&gt;1,"Duplicate","OK"))</f>
        <v>0</v>
      </c>
      <c r="X53" s="29">
        <f>IF(B53="","",IF(AND(P53&lt;&gt;"",P53&lt;TODAY()),"Expired - stop using this file",IF(D53="","Add - no file link saved",IF(N53&lt;&gt;"Approved","Check - not approved for use",IF(R53=0,"Use - never used yet","OK")))))</f>
        <v>0</v>
      </c>
    </row>
    <row r="54" spans="1:24">
      <c r="A54" s="41">
        <f>IF(B54="","",AssetPrefix&amp;TEXT(ROW()-4,"0000"))</f>
        <v>0</v>
      </c>
      <c r="R54" s="23">
        <f>IF(A54="","",COUNTIF('Content Calendar'!$T$5:$T$604,A54))</f>
        <v>0</v>
      </c>
      <c r="S54" s="23">
        <f>IF(A54="","",COUNTIF(Ads!$H$5:$H$104,A54))</f>
        <v>0</v>
      </c>
      <c r="T54" s="16">
        <f>IF(R54=0,"",SUMPRODUCT(MAX(('Content Calendar'!$T$5:$T$604=A54)*'Content Calendar'!$B$5:$B$604)))</f>
        <v>0</v>
      </c>
      <c r="U54" s="23">
        <f>IF(H54="","",TODAY()-H54)</f>
        <v>0</v>
      </c>
      <c r="V54" s="23">
        <f>IF(P54="","",P54-TODAY())</f>
        <v>0</v>
      </c>
      <c r="W54" s="29">
        <f>IF(B54="","",IF(COUNTIF(Assets!$B$5:$B$254,B54)&gt;1,"Duplicate","OK"))</f>
        <v>0</v>
      </c>
      <c r="X54" s="29">
        <f>IF(B54="","",IF(AND(P54&lt;&gt;"",P54&lt;TODAY()),"Expired - stop using this file",IF(D54="","Add - no file link saved",IF(N54&lt;&gt;"Approved","Check - not approved for use",IF(R54=0,"Use - never used yet","OK")))))</f>
        <v>0</v>
      </c>
    </row>
    <row r="55" spans="1:24">
      <c r="A55" s="41">
        <f>IF(B55="","",AssetPrefix&amp;TEXT(ROW()-4,"0000"))</f>
        <v>0</v>
      </c>
      <c r="R55" s="23">
        <f>IF(A55="","",COUNTIF('Content Calendar'!$T$5:$T$604,A55))</f>
        <v>0</v>
      </c>
      <c r="S55" s="23">
        <f>IF(A55="","",COUNTIF(Ads!$H$5:$H$104,A55))</f>
        <v>0</v>
      </c>
      <c r="T55" s="16">
        <f>IF(R55=0,"",SUMPRODUCT(MAX(('Content Calendar'!$T$5:$T$604=A55)*'Content Calendar'!$B$5:$B$604)))</f>
        <v>0</v>
      </c>
      <c r="U55" s="23">
        <f>IF(H55="","",TODAY()-H55)</f>
        <v>0</v>
      </c>
      <c r="V55" s="23">
        <f>IF(P55="","",P55-TODAY())</f>
        <v>0</v>
      </c>
      <c r="W55" s="29">
        <f>IF(B55="","",IF(COUNTIF(Assets!$B$5:$B$254,B55)&gt;1,"Duplicate","OK"))</f>
        <v>0</v>
      </c>
      <c r="X55" s="29">
        <f>IF(B55="","",IF(AND(P55&lt;&gt;"",P55&lt;TODAY()),"Expired - stop using this file",IF(D55="","Add - no file link saved",IF(N55&lt;&gt;"Approved","Check - not approved for use",IF(R55=0,"Use - never used yet","OK")))))</f>
        <v>0</v>
      </c>
    </row>
    <row r="56" spans="1:24">
      <c r="A56" s="41">
        <f>IF(B56="","",AssetPrefix&amp;TEXT(ROW()-4,"0000"))</f>
        <v>0</v>
      </c>
      <c r="R56" s="23">
        <f>IF(A56="","",COUNTIF('Content Calendar'!$T$5:$T$604,A56))</f>
        <v>0</v>
      </c>
      <c r="S56" s="23">
        <f>IF(A56="","",COUNTIF(Ads!$H$5:$H$104,A56))</f>
        <v>0</v>
      </c>
      <c r="T56" s="16">
        <f>IF(R56=0,"",SUMPRODUCT(MAX(('Content Calendar'!$T$5:$T$604=A56)*'Content Calendar'!$B$5:$B$604)))</f>
        <v>0</v>
      </c>
      <c r="U56" s="23">
        <f>IF(H56="","",TODAY()-H56)</f>
        <v>0</v>
      </c>
      <c r="V56" s="23">
        <f>IF(P56="","",P56-TODAY())</f>
        <v>0</v>
      </c>
      <c r="W56" s="29">
        <f>IF(B56="","",IF(COUNTIF(Assets!$B$5:$B$254,B56)&gt;1,"Duplicate","OK"))</f>
        <v>0</v>
      </c>
      <c r="X56" s="29">
        <f>IF(B56="","",IF(AND(P56&lt;&gt;"",P56&lt;TODAY()),"Expired - stop using this file",IF(D56="","Add - no file link saved",IF(N56&lt;&gt;"Approved","Check - not approved for use",IF(R56=0,"Use - never used yet","OK")))))</f>
        <v>0</v>
      </c>
    </row>
    <row r="57" spans="1:24">
      <c r="A57" s="41">
        <f>IF(B57="","",AssetPrefix&amp;TEXT(ROW()-4,"0000"))</f>
        <v>0</v>
      </c>
      <c r="R57" s="23">
        <f>IF(A57="","",COUNTIF('Content Calendar'!$T$5:$T$604,A57))</f>
        <v>0</v>
      </c>
      <c r="S57" s="23">
        <f>IF(A57="","",COUNTIF(Ads!$H$5:$H$104,A57))</f>
        <v>0</v>
      </c>
      <c r="T57" s="16">
        <f>IF(R57=0,"",SUMPRODUCT(MAX(('Content Calendar'!$T$5:$T$604=A57)*'Content Calendar'!$B$5:$B$604)))</f>
        <v>0</v>
      </c>
      <c r="U57" s="23">
        <f>IF(H57="","",TODAY()-H57)</f>
        <v>0</v>
      </c>
      <c r="V57" s="23">
        <f>IF(P57="","",P57-TODAY())</f>
        <v>0</v>
      </c>
      <c r="W57" s="29">
        <f>IF(B57="","",IF(COUNTIF(Assets!$B$5:$B$254,B57)&gt;1,"Duplicate","OK"))</f>
        <v>0</v>
      </c>
      <c r="X57" s="29">
        <f>IF(B57="","",IF(AND(P57&lt;&gt;"",P57&lt;TODAY()),"Expired - stop using this file",IF(D57="","Add - no file link saved",IF(N57&lt;&gt;"Approved","Check - not approved for use",IF(R57=0,"Use - never used yet","OK")))))</f>
        <v>0</v>
      </c>
    </row>
    <row r="58" spans="1:24">
      <c r="A58" s="41">
        <f>IF(B58="","",AssetPrefix&amp;TEXT(ROW()-4,"0000"))</f>
        <v>0</v>
      </c>
      <c r="R58" s="23">
        <f>IF(A58="","",COUNTIF('Content Calendar'!$T$5:$T$604,A58))</f>
        <v>0</v>
      </c>
      <c r="S58" s="23">
        <f>IF(A58="","",COUNTIF(Ads!$H$5:$H$104,A58))</f>
        <v>0</v>
      </c>
      <c r="T58" s="16">
        <f>IF(R58=0,"",SUMPRODUCT(MAX(('Content Calendar'!$T$5:$T$604=A58)*'Content Calendar'!$B$5:$B$604)))</f>
        <v>0</v>
      </c>
      <c r="U58" s="23">
        <f>IF(H58="","",TODAY()-H58)</f>
        <v>0</v>
      </c>
      <c r="V58" s="23">
        <f>IF(P58="","",P58-TODAY())</f>
        <v>0</v>
      </c>
      <c r="W58" s="29">
        <f>IF(B58="","",IF(COUNTIF(Assets!$B$5:$B$254,B58)&gt;1,"Duplicate","OK"))</f>
        <v>0</v>
      </c>
      <c r="X58" s="29">
        <f>IF(B58="","",IF(AND(P58&lt;&gt;"",P58&lt;TODAY()),"Expired - stop using this file",IF(D58="","Add - no file link saved",IF(N58&lt;&gt;"Approved","Check - not approved for use",IF(R58=0,"Use - never used yet","OK")))))</f>
        <v>0</v>
      </c>
    </row>
    <row r="59" spans="1:24">
      <c r="A59" s="41">
        <f>IF(B59="","",AssetPrefix&amp;TEXT(ROW()-4,"0000"))</f>
        <v>0</v>
      </c>
      <c r="R59" s="23">
        <f>IF(A59="","",COUNTIF('Content Calendar'!$T$5:$T$604,A59))</f>
        <v>0</v>
      </c>
      <c r="S59" s="23">
        <f>IF(A59="","",COUNTIF(Ads!$H$5:$H$104,A59))</f>
        <v>0</v>
      </c>
      <c r="T59" s="16">
        <f>IF(R59=0,"",SUMPRODUCT(MAX(('Content Calendar'!$T$5:$T$604=A59)*'Content Calendar'!$B$5:$B$604)))</f>
        <v>0</v>
      </c>
      <c r="U59" s="23">
        <f>IF(H59="","",TODAY()-H59)</f>
        <v>0</v>
      </c>
      <c r="V59" s="23">
        <f>IF(P59="","",P59-TODAY())</f>
        <v>0</v>
      </c>
      <c r="W59" s="29">
        <f>IF(B59="","",IF(COUNTIF(Assets!$B$5:$B$254,B59)&gt;1,"Duplicate","OK"))</f>
        <v>0</v>
      </c>
      <c r="X59" s="29">
        <f>IF(B59="","",IF(AND(P59&lt;&gt;"",P59&lt;TODAY()),"Expired - stop using this file",IF(D59="","Add - no file link saved",IF(N59&lt;&gt;"Approved","Check - not approved for use",IF(R59=0,"Use - never used yet","OK")))))</f>
        <v>0</v>
      </c>
    </row>
    <row r="60" spans="1:24">
      <c r="A60" s="41">
        <f>IF(B60="","",AssetPrefix&amp;TEXT(ROW()-4,"0000"))</f>
        <v>0</v>
      </c>
      <c r="R60" s="23">
        <f>IF(A60="","",COUNTIF('Content Calendar'!$T$5:$T$604,A60))</f>
        <v>0</v>
      </c>
      <c r="S60" s="23">
        <f>IF(A60="","",COUNTIF(Ads!$H$5:$H$104,A60))</f>
        <v>0</v>
      </c>
      <c r="T60" s="16">
        <f>IF(R60=0,"",SUMPRODUCT(MAX(('Content Calendar'!$T$5:$T$604=A60)*'Content Calendar'!$B$5:$B$604)))</f>
        <v>0</v>
      </c>
      <c r="U60" s="23">
        <f>IF(H60="","",TODAY()-H60)</f>
        <v>0</v>
      </c>
      <c r="V60" s="23">
        <f>IF(P60="","",P60-TODAY())</f>
        <v>0</v>
      </c>
      <c r="W60" s="29">
        <f>IF(B60="","",IF(COUNTIF(Assets!$B$5:$B$254,B60)&gt;1,"Duplicate","OK"))</f>
        <v>0</v>
      </c>
      <c r="X60" s="29">
        <f>IF(B60="","",IF(AND(P60&lt;&gt;"",P60&lt;TODAY()),"Expired - stop using this file",IF(D60="","Add - no file link saved",IF(N60&lt;&gt;"Approved","Check - not approved for use",IF(R60=0,"Use - never used yet","OK")))))</f>
        <v>0</v>
      </c>
    </row>
    <row r="61" spans="1:24">
      <c r="A61" s="41">
        <f>IF(B61="","",AssetPrefix&amp;TEXT(ROW()-4,"0000"))</f>
        <v>0</v>
      </c>
      <c r="R61" s="23">
        <f>IF(A61="","",COUNTIF('Content Calendar'!$T$5:$T$604,A61))</f>
        <v>0</v>
      </c>
      <c r="S61" s="23">
        <f>IF(A61="","",COUNTIF(Ads!$H$5:$H$104,A61))</f>
        <v>0</v>
      </c>
      <c r="T61" s="16">
        <f>IF(R61=0,"",SUMPRODUCT(MAX(('Content Calendar'!$T$5:$T$604=A61)*'Content Calendar'!$B$5:$B$604)))</f>
        <v>0</v>
      </c>
      <c r="U61" s="23">
        <f>IF(H61="","",TODAY()-H61)</f>
        <v>0</v>
      </c>
      <c r="V61" s="23">
        <f>IF(P61="","",P61-TODAY())</f>
        <v>0</v>
      </c>
      <c r="W61" s="29">
        <f>IF(B61="","",IF(COUNTIF(Assets!$B$5:$B$254,B61)&gt;1,"Duplicate","OK"))</f>
        <v>0</v>
      </c>
      <c r="X61" s="29">
        <f>IF(B61="","",IF(AND(P61&lt;&gt;"",P61&lt;TODAY()),"Expired - stop using this file",IF(D61="","Add - no file link saved",IF(N61&lt;&gt;"Approved","Check - not approved for use",IF(R61=0,"Use - never used yet","OK")))))</f>
        <v>0</v>
      </c>
    </row>
    <row r="62" spans="1:24">
      <c r="A62" s="41">
        <f>IF(B62="","",AssetPrefix&amp;TEXT(ROW()-4,"0000"))</f>
        <v>0</v>
      </c>
      <c r="R62" s="23">
        <f>IF(A62="","",COUNTIF('Content Calendar'!$T$5:$T$604,A62))</f>
        <v>0</v>
      </c>
      <c r="S62" s="23">
        <f>IF(A62="","",COUNTIF(Ads!$H$5:$H$104,A62))</f>
        <v>0</v>
      </c>
      <c r="T62" s="16">
        <f>IF(R62=0,"",SUMPRODUCT(MAX(('Content Calendar'!$T$5:$T$604=A62)*'Content Calendar'!$B$5:$B$604)))</f>
        <v>0</v>
      </c>
      <c r="U62" s="23">
        <f>IF(H62="","",TODAY()-H62)</f>
        <v>0</v>
      </c>
      <c r="V62" s="23">
        <f>IF(P62="","",P62-TODAY())</f>
        <v>0</v>
      </c>
      <c r="W62" s="29">
        <f>IF(B62="","",IF(COUNTIF(Assets!$B$5:$B$254,B62)&gt;1,"Duplicate","OK"))</f>
        <v>0</v>
      </c>
      <c r="X62" s="29">
        <f>IF(B62="","",IF(AND(P62&lt;&gt;"",P62&lt;TODAY()),"Expired - stop using this file",IF(D62="","Add - no file link saved",IF(N62&lt;&gt;"Approved","Check - not approved for use",IF(R62=0,"Use - never used yet","OK")))))</f>
        <v>0</v>
      </c>
    </row>
    <row r="63" spans="1:24">
      <c r="A63" s="41">
        <f>IF(B63="","",AssetPrefix&amp;TEXT(ROW()-4,"0000"))</f>
        <v>0</v>
      </c>
      <c r="R63" s="23">
        <f>IF(A63="","",COUNTIF('Content Calendar'!$T$5:$T$604,A63))</f>
        <v>0</v>
      </c>
      <c r="S63" s="23">
        <f>IF(A63="","",COUNTIF(Ads!$H$5:$H$104,A63))</f>
        <v>0</v>
      </c>
      <c r="T63" s="16">
        <f>IF(R63=0,"",SUMPRODUCT(MAX(('Content Calendar'!$T$5:$T$604=A63)*'Content Calendar'!$B$5:$B$604)))</f>
        <v>0</v>
      </c>
      <c r="U63" s="23">
        <f>IF(H63="","",TODAY()-H63)</f>
        <v>0</v>
      </c>
      <c r="V63" s="23">
        <f>IF(P63="","",P63-TODAY())</f>
        <v>0</v>
      </c>
      <c r="W63" s="29">
        <f>IF(B63="","",IF(COUNTIF(Assets!$B$5:$B$254,B63)&gt;1,"Duplicate","OK"))</f>
        <v>0</v>
      </c>
      <c r="X63" s="29">
        <f>IF(B63="","",IF(AND(P63&lt;&gt;"",P63&lt;TODAY()),"Expired - stop using this file",IF(D63="","Add - no file link saved",IF(N63&lt;&gt;"Approved","Check - not approved for use",IF(R63=0,"Use - never used yet","OK")))))</f>
        <v>0</v>
      </c>
    </row>
    <row r="64" spans="1:24">
      <c r="A64" s="41">
        <f>IF(B64="","",AssetPrefix&amp;TEXT(ROW()-4,"0000"))</f>
        <v>0</v>
      </c>
      <c r="R64" s="23">
        <f>IF(A64="","",COUNTIF('Content Calendar'!$T$5:$T$604,A64))</f>
        <v>0</v>
      </c>
      <c r="S64" s="23">
        <f>IF(A64="","",COUNTIF(Ads!$H$5:$H$104,A64))</f>
        <v>0</v>
      </c>
      <c r="T64" s="16">
        <f>IF(R64=0,"",SUMPRODUCT(MAX(('Content Calendar'!$T$5:$T$604=A64)*'Content Calendar'!$B$5:$B$604)))</f>
        <v>0</v>
      </c>
      <c r="U64" s="23">
        <f>IF(H64="","",TODAY()-H64)</f>
        <v>0</v>
      </c>
      <c r="V64" s="23">
        <f>IF(P64="","",P64-TODAY())</f>
        <v>0</v>
      </c>
      <c r="W64" s="29">
        <f>IF(B64="","",IF(COUNTIF(Assets!$B$5:$B$254,B64)&gt;1,"Duplicate","OK"))</f>
        <v>0</v>
      </c>
      <c r="X64" s="29">
        <f>IF(B64="","",IF(AND(P64&lt;&gt;"",P64&lt;TODAY()),"Expired - stop using this file",IF(D64="","Add - no file link saved",IF(N64&lt;&gt;"Approved","Check - not approved for use",IF(R64=0,"Use - never used yet","OK")))))</f>
        <v>0</v>
      </c>
    </row>
    <row r="65" spans="1:24">
      <c r="A65" s="41">
        <f>IF(B65="","",AssetPrefix&amp;TEXT(ROW()-4,"0000"))</f>
        <v>0</v>
      </c>
      <c r="R65" s="23">
        <f>IF(A65="","",COUNTIF('Content Calendar'!$T$5:$T$604,A65))</f>
        <v>0</v>
      </c>
      <c r="S65" s="23">
        <f>IF(A65="","",COUNTIF(Ads!$H$5:$H$104,A65))</f>
        <v>0</v>
      </c>
      <c r="T65" s="16">
        <f>IF(R65=0,"",SUMPRODUCT(MAX(('Content Calendar'!$T$5:$T$604=A65)*'Content Calendar'!$B$5:$B$604)))</f>
        <v>0</v>
      </c>
      <c r="U65" s="23">
        <f>IF(H65="","",TODAY()-H65)</f>
        <v>0</v>
      </c>
      <c r="V65" s="23">
        <f>IF(P65="","",P65-TODAY())</f>
        <v>0</v>
      </c>
      <c r="W65" s="29">
        <f>IF(B65="","",IF(COUNTIF(Assets!$B$5:$B$254,B65)&gt;1,"Duplicate","OK"))</f>
        <v>0</v>
      </c>
      <c r="X65" s="29">
        <f>IF(B65="","",IF(AND(P65&lt;&gt;"",P65&lt;TODAY()),"Expired - stop using this file",IF(D65="","Add - no file link saved",IF(N65&lt;&gt;"Approved","Check - not approved for use",IF(R65=0,"Use - never used yet","OK")))))</f>
        <v>0</v>
      </c>
    </row>
    <row r="66" spans="1:24">
      <c r="A66" s="41">
        <f>IF(B66="","",AssetPrefix&amp;TEXT(ROW()-4,"0000"))</f>
        <v>0</v>
      </c>
      <c r="R66" s="23">
        <f>IF(A66="","",COUNTIF('Content Calendar'!$T$5:$T$604,A66))</f>
        <v>0</v>
      </c>
      <c r="S66" s="23">
        <f>IF(A66="","",COUNTIF(Ads!$H$5:$H$104,A66))</f>
        <v>0</v>
      </c>
      <c r="T66" s="16">
        <f>IF(R66=0,"",SUMPRODUCT(MAX(('Content Calendar'!$T$5:$T$604=A66)*'Content Calendar'!$B$5:$B$604)))</f>
        <v>0</v>
      </c>
      <c r="U66" s="23">
        <f>IF(H66="","",TODAY()-H66)</f>
        <v>0</v>
      </c>
      <c r="V66" s="23">
        <f>IF(P66="","",P66-TODAY())</f>
        <v>0</v>
      </c>
      <c r="W66" s="29">
        <f>IF(B66="","",IF(COUNTIF(Assets!$B$5:$B$254,B66)&gt;1,"Duplicate","OK"))</f>
        <v>0</v>
      </c>
      <c r="X66" s="29">
        <f>IF(B66="","",IF(AND(P66&lt;&gt;"",P66&lt;TODAY()),"Expired - stop using this file",IF(D66="","Add - no file link saved",IF(N66&lt;&gt;"Approved","Check - not approved for use",IF(R66=0,"Use - never used yet","OK")))))</f>
        <v>0</v>
      </c>
    </row>
    <row r="67" spans="1:24">
      <c r="A67" s="41">
        <f>IF(B67="","",AssetPrefix&amp;TEXT(ROW()-4,"0000"))</f>
        <v>0</v>
      </c>
      <c r="R67" s="23">
        <f>IF(A67="","",COUNTIF('Content Calendar'!$T$5:$T$604,A67))</f>
        <v>0</v>
      </c>
      <c r="S67" s="23">
        <f>IF(A67="","",COUNTIF(Ads!$H$5:$H$104,A67))</f>
        <v>0</v>
      </c>
      <c r="T67" s="16">
        <f>IF(R67=0,"",SUMPRODUCT(MAX(('Content Calendar'!$T$5:$T$604=A67)*'Content Calendar'!$B$5:$B$604)))</f>
        <v>0</v>
      </c>
      <c r="U67" s="23">
        <f>IF(H67="","",TODAY()-H67)</f>
        <v>0</v>
      </c>
      <c r="V67" s="23">
        <f>IF(P67="","",P67-TODAY())</f>
        <v>0</v>
      </c>
      <c r="W67" s="29">
        <f>IF(B67="","",IF(COUNTIF(Assets!$B$5:$B$254,B67)&gt;1,"Duplicate","OK"))</f>
        <v>0</v>
      </c>
      <c r="X67" s="29">
        <f>IF(B67="","",IF(AND(P67&lt;&gt;"",P67&lt;TODAY()),"Expired - stop using this file",IF(D67="","Add - no file link saved",IF(N67&lt;&gt;"Approved","Check - not approved for use",IF(R67=0,"Use - never used yet","OK")))))</f>
        <v>0</v>
      </c>
    </row>
    <row r="68" spans="1:24">
      <c r="A68" s="41">
        <f>IF(B68="","",AssetPrefix&amp;TEXT(ROW()-4,"0000"))</f>
        <v>0</v>
      </c>
      <c r="R68" s="23">
        <f>IF(A68="","",COUNTIF('Content Calendar'!$T$5:$T$604,A68))</f>
        <v>0</v>
      </c>
      <c r="S68" s="23">
        <f>IF(A68="","",COUNTIF(Ads!$H$5:$H$104,A68))</f>
        <v>0</v>
      </c>
      <c r="T68" s="16">
        <f>IF(R68=0,"",SUMPRODUCT(MAX(('Content Calendar'!$T$5:$T$604=A68)*'Content Calendar'!$B$5:$B$604)))</f>
        <v>0</v>
      </c>
      <c r="U68" s="23">
        <f>IF(H68="","",TODAY()-H68)</f>
        <v>0</v>
      </c>
      <c r="V68" s="23">
        <f>IF(P68="","",P68-TODAY())</f>
        <v>0</v>
      </c>
      <c r="W68" s="29">
        <f>IF(B68="","",IF(COUNTIF(Assets!$B$5:$B$254,B68)&gt;1,"Duplicate","OK"))</f>
        <v>0</v>
      </c>
      <c r="X68" s="29">
        <f>IF(B68="","",IF(AND(P68&lt;&gt;"",P68&lt;TODAY()),"Expired - stop using this file",IF(D68="","Add - no file link saved",IF(N68&lt;&gt;"Approved","Check - not approved for use",IF(R68=0,"Use - never used yet","OK")))))</f>
        <v>0</v>
      </c>
    </row>
    <row r="69" spans="1:24">
      <c r="A69" s="41">
        <f>IF(B69="","",AssetPrefix&amp;TEXT(ROW()-4,"0000"))</f>
        <v>0</v>
      </c>
      <c r="R69" s="23">
        <f>IF(A69="","",COUNTIF('Content Calendar'!$T$5:$T$604,A69))</f>
        <v>0</v>
      </c>
      <c r="S69" s="23">
        <f>IF(A69="","",COUNTIF(Ads!$H$5:$H$104,A69))</f>
        <v>0</v>
      </c>
      <c r="T69" s="16">
        <f>IF(R69=0,"",SUMPRODUCT(MAX(('Content Calendar'!$T$5:$T$604=A69)*'Content Calendar'!$B$5:$B$604)))</f>
        <v>0</v>
      </c>
      <c r="U69" s="23">
        <f>IF(H69="","",TODAY()-H69)</f>
        <v>0</v>
      </c>
      <c r="V69" s="23">
        <f>IF(P69="","",P69-TODAY())</f>
        <v>0</v>
      </c>
      <c r="W69" s="29">
        <f>IF(B69="","",IF(COUNTIF(Assets!$B$5:$B$254,B69)&gt;1,"Duplicate","OK"))</f>
        <v>0</v>
      </c>
      <c r="X69" s="29">
        <f>IF(B69="","",IF(AND(P69&lt;&gt;"",P69&lt;TODAY()),"Expired - stop using this file",IF(D69="","Add - no file link saved",IF(N69&lt;&gt;"Approved","Check - not approved for use",IF(R69=0,"Use - never used yet","OK")))))</f>
        <v>0</v>
      </c>
    </row>
    <row r="70" spans="1:24">
      <c r="A70" s="41">
        <f>IF(B70="","",AssetPrefix&amp;TEXT(ROW()-4,"0000"))</f>
        <v>0</v>
      </c>
      <c r="R70" s="23">
        <f>IF(A70="","",COUNTIF('Content Calendar'!$T$5:$T$604,A70))</f>
        <v>0</v>
      </c>
      <c r="S70" s="23">
        <f>IF(A70="","",COUNTIF(Ads!$H$5:$H$104,A70))</f>
        <v>0</v>
      </c>
      <c r="T70" s="16">
        <f>IF(R70=0,"",SUMPRODUCT(MAX(('Content Calendar'!$T$5:$T$604=A70)*'Content Calendar'!$B$5:$B$604)))</f>
        <v>0</v>
      </c>
      <c r="U70" s="23">
        <f>IF(H70="","",TODAY()-H70)</f>
        <v>0</v>
      </c>
      <c r="V70" s="23">
        <f>IF(P70="","",P70-TODAY())</f>
        <v>0</v>
      </c>
      <c r="W70" s="29">
        <f>IF(B70="","",IF(COUNTIF(Assets!$B$5:$B$254,B70)&gt;1,"Duplicate","OK"))</f>
        <v>0</v>
      </c>
      <c r="X70" s="29">
        <f>IF(B70="","",IF(AND(P70&lt;&gt;"",P70&lt;TODAY()),"Expired - stop using this file",IF(D70="","Add - no file link saved",IF(N70&lt;&gt;"Approved","Check - not approved for use",IF(R70=0,"Use - never used yet","OK")))))</f>
        <v>0</v>
      </c>
    </row>
    <row r="71" spans="1:24">
      <c r="A71" s="41">
        <f>IF(B71="","",AssetPrefix&amp;TEXT(ROW()-4,"0000"))</f>
        <v>0</v>
      </c>
      <c r="R71" s="23">
        <f>IF(A71="","",COUNTIF('Content Calendar'!$T$5:$T$604,A71))</f>
        <v>0</v>
      </c>
      <c r="S71" s="23">
        <f>IF(A71="","",COUNTIF(Ads!$H$5:$H$104,A71))</f>
        <v>0</v>
      </c>
      <c r="T71" s="16">
        <f>IF(R71=0,"",SUMPRODUCT(MAX(('Content Calendar'!$T$5:$T$604=A71)*'Content Calendar'!$B$5:$B$604)))</f>
        <v>0</v>
      </c>
      <c r="U71" s="23">
        <f>IF(H71="","",TODAY()-H71)</f>
        <v>0</v>
      </c>
      <c r="V71" s="23">
        <f>IF(P71="","",P71-TODAY())</f>
        <v>0</v>
      </c>
      <c r="W71" s="29">
        <f>IF(B71="","",IF(COUNTIF(Assets!$B$5:$B$254,B71)&gt;1,"Duplicate","OK"))</f>
        <v>0</v>
      </c>
      <c r="X71" s="29">
        <f>IF(B71="","",IF(AND(P71&lt;&gt;"",P71&lt;TODAY()),"Expired - stop using this file",IF(D71="","Add - no file link saved",IF(N71&lt;&gt;"Approved","Check - not approved for use",IF(R71=0,"Use - never used yet","OK")))))</f>
        <v>0</v>
      </c>
    </row>
    <row r="72" spans="1:24">
      <c r="A72" s="41">
        <f>IF(B72="","",AssetPrefix&amp;TEXT(ROW()-4,"0000"))</f>
        <v>0</v>
      </c>
      <c r="R72" s="23">
        <f>IF(A72="","",COUNTIF('Content Calendar'!$T$5:$T$604,A72))</f>
        <v>0</v>
      </c>
      <c r="S72" s="23">
        <f>IF(A72="","",COUNTIF(Ads!$H$5:$H$104,A72))</f>
        <v>0</v>
      </c>
      <c r="T72" s="16">
        <f>IF(R72=0,"",SUMPRODUCT(MAX(('Content Calendar'!$T$5:$T$604=A72)*'Content Calendar'!$B$5:$B$604)))</f>
        <v>0</v>
      </c>
      <c r="U72" s="23">
        <f>IF(H72="","",TODAY()-H72)</f>
        <v>0</v>
      </c>
      <c r="V72" s="23">
        <f>IF(P72="","",P72-TODAY())</f>
        <v>0</v>
      </c>
      <c r="W72" s="29">
        <f>IF(B72="","",IF(COUNTIF(Assets!$B$5:$B$254,B72)&gt;1,"Duplicate","OK"))</f>
        <v>0</v>
      </c>
      <c r="X72" s="29">
        <f>IF(B72="","",IF(AND(P72&lt;&gt;"",P72&lt;TODAY()),"Expired - stop using this file",IF(D72="","Add - no file link saved",IF(N72&lt;&gt;"Approved","Check - not approved for use",IF(R72=0,"Use - never used yet","OK")))))</f>
        <v>0</v>
      </c>
    </row>
    <row r="73" spans="1:24">
      <c r="A73" s="41">
        <f>IF(B73="","",AssetPrefix&amp;TEXT(ROW()-4,"0000"))</f>
        <v>0</v>
      </c>
      <c r="R73" s="23">
        <f>IF(A73="","",COUNTIF('Content Calendar'!$T$5:$T$604,A73))</f>
        <v>0</v>
      </c>
      <c r="S73" s="23">
        <f>IF(A73="","",COUNTIF(Ads!$H$5:$H$104,A73))</f>
        <v>0</v>
      </c>
      <c r="T73" s="16">
        <f>IF(R73=0,"",SUMPRODUCT(MAX(('Content Calendar'!$T$5:$T$604=A73)*'Content Calendar'!$B$5:$B$604)))</f>
        <v>0</v>
      </c>
      <c r="U73" s="23">
        <f>IF(H73="","",TODAY()-H73)</f>
        <v>0</v>
      </c>
      <c r="V73" s="23">
        <f>IF(P73="","",P73-TODAY())</f>
        <v>0</v>
      </c>
      <c r="W73" s="29">
        <f>IF(B73="","",IF(COUNTIF(Assets!$B$5:$B$254,B73)&gt;1,"Duplicate","OK"))</f>
        <v>0</v>
      </c>
      <c r="X73" s="29">
        <f>IF(B73="","",IF(AND(P73&lt;&gt;"",P73&lt;TODAY()),"Expired - stop using this file",IF(D73="","Add - no file link saved",IF(N73&lt;&gt;"Approved","Check - not approved for use",IF(R73=0,"Use - never used yet","OK")))))</f>
        <v>0</v>
      </c>
    </row>
    <row r="74" spans="1:24">
      <c r="A74" s="41">
        <f>IF(B74="","",AssetPrefix&amp;TEXT(ROW()-4,"0000"))</f>
        <v>0</v>
      </c>
      <c r="R74" s="23">
        <f>IF(A74="","",COUNTIF('Content Calendar'!$T$5:$T$604,A74))</f>
        <v>0</v>
      </c>
      <c r="S74" s="23">
        <f>IF(A74="","",COUNTIF(Ads!$H$5:$H$104,A74))</f>
        <v>0</v>
      </c>
      <c r="T74" s="16">
        <f>IF(R74=0,"",SUMPRODUCT(MAX(('Content Calendar'!$T$5:$T$604=A74)*'Content Calendar'!$B$5:$B$604)))</f>
        <v>0</v>
      </c>
      <c r="U74" s="23">
        <f>IF(H74="","",TODAY()-H74)</f>
        <v>0</v>
      </c>
      <c r="V74" s="23">
        <f>IF(P74="","",P74-TODAY())</f>
        <v>0</v>
      </c>
      <c r="W74" s="29">
        <f>IF(B74="","",IF(COUNTIF(Assets!$B$5:$B$254,B74)&gt;1,"Duplicate","OK"))</f>
        <v>0</v>
      </c>
      <c r="X74" s="29">
        <f>IF(B74="","",IF(AND(P74&lt;&gt;"",P74&lt;TODAY()),"Expired - stop using this file",IF(D74="","Add - no file link saved",IF(N74&lt;&gt;"Approved","Check - not approved for use",IF(R74=0,"Use - never used yet","OK")))))</f>
        <v>0</v>
      </c>
    </row>
    <row r="75" spans="1:24">
      <c r="A75" s="41">
        <f>IF(B75="","",AssetPrefix&amp;TEXT(ROW()-4,"0000"))</f>
        <v>0</v>
      </c>
      <c r="R75" s="23">
        <f>IF(A75="","",COUNTIF('Content Calendar'!$T$5:$T$604,A75))</f>
        <v>0</v>
      </c>
      <c r="S75" s="23">
        <f>IF(A75="","",COUNTIF(Ads!$H$5:$H$104,A75))</f>
        <v>0</v>
      </c>
      <c r="T75" s="16">
        <f>IF(R75=0,"",SUMPRODUCT(MAX(('Content Calendar'!$T$5:$T$604=A75)*'Content Calendar'!$B$5:$B$604)))</f>
        <v>0</v>
      </c>
      <c r="U75" s="23">
        <f>IF(H75="","",TODAY()-H75)</f>
        <v>0</v>
      </c>
      <c r="V75" s="23">
        <f>IF(P75="","",P75-TODAY())</f>
        <v>0</v>
      </c>
      <c r="W75" s="29">
        <f>IF(B75="","",IF(COUNTIF(Assets!$B$5:$B$254,B75)&gt;1,"Duplicate","OK"))</f>
        <v>0</v>
      </c>
      <c r="X75" s="29">
        <f>IF(B75="","",IF(AND(P75&lt;&gt;"",P75&lt;TODAY()),"Expired - stop using this file",IF(D75="","Add - no file link saved",IF(N75&lt;&gt;"Approved","Check - not approved for use",IF(R75=0,"Use - never used yet","OK")))))</f>
        <v>0</v>
      </c>
    </row>
    <row r="76" spans="1:24">
      <c r="A76" s="41">
        <f>IF(B76="","",AssetPrefix&amp;TEXT(ROW()-4,"0000"))</f>
        <v>0</v>
      </c>
      <c r="R76" s="23">
        <f>IF(A76="","",COUNTIF('Content Calendar'!$T$5:$T$604,A76))</f>
        <v>0</v>
      </c>
      <c r="S76" s="23">
        <f>IF(A76="","",COUNTIF(Ads!$H$5:$H$104,A76))</f>
        <v>0</v>
      </c>
      <c r="T76" s="16">
        <f>IF(R76=0,"",SUMPRODUCT(MAX(('Content Calendar'!$T$5:$T$604=A76)*'Content Calendar'!$B$5:$B$604)))</f>
        <v>0</v>
      </c>
      <c r="U76" s="23">
        <f>IF(H76="","",TODAY()-H76)</f>
        <v>0</v>
      </c>
      <c r="V76" s="23">
        <f>IF(P76="","",P76-TODAY())</f>
        <v>0</v>
      </c>
      <c r="W76" s="29">
        <f>IF(B76="","",IF(COUNTIF(Assets!$B$5:$B$254,B76)&gt;1,"Duplicate","OK"))</f>
        <v>0</v>
      </c>
      <c r="X76" s="29">
        <f>IF(B76="","",IF(AND(P76&lt;&gt;"",P76&lt;TODAY()),"Expired - stop using this file",IF(D76="","Add - no file link saved",IF(N76&lt;&gt;"Approved","Check - not approved for use",IF(R76=0,"Use - never used yet","OK")))))</f>
        <v>0</v>
      </c>
    </row>
    <row r="77" spans="1:24">
      <c r="A77" s="41">
        <f>IF(B77="","",AssetPrefix&amp;TEXT(ROW()-4,"0000"))</f>
        <v>0</v>
      </c>
      <c r="R77" s="23">
        <f>IF(A77="","",COUNTIF('Content Calendar'!$T$5:$T$604,A77))</f>
        <v>0</v>
      </c>
      <c r="S77" s="23">
        <f>IF(A77="","",COUNTIF(Ads!$H$5:$H$104,A77))</f>
        <v>0</v>
      </c>
      <c r="T77" s="16">
        <f>IF(R77=0,"",SUMPRODUCT(MAX(('Content Calendar'!$T$5:$T$604=A77)*'Content Calendar'!$B$5:$B$604)))</f>
        <v>0</v>
      </c>
      <c r="U77" s="23">
        <f>IF(H77="","",TODAY()-H77)</f>
        <v>0</v>
      </c>
      <c r="V77" s="23">
        <f>IF(P77="","",P77-TODAY())</f>
        <v>0</v>
      </c>
      <c r="W77" s="29">
        <f>IF(B77="","",IF(COUNTIF(Assets!$B$5:$B$254,B77)&gt;1,"Duplicate","OK"))</f>
        <v>0</v>
      </c>
      <c r="X77" s="29">
        <f>IF(B77="","",IF(AND(P77&lt;&gt;"",P77&lt;TODAY()),"Expired - stop using this file",IF(D77="","Add - no file link saved",IF(N77&lt;&gt;"Approved","Check - not approved for use",IF(R77=0,"Use - never used yet","OK")))))</f>
        <v>0</v>
      </c>
    </row>
    <row r="78" spans="1:24">
      <c r="A78" s="41">
        <f>IF(B78="","",AssetPrefix&amp;TEXT(ROW()-4,"0000"))</f>
        <v>0</v>
      </c>
      <c r="R78" s="23">
        <f>IF(A78="","",COUNTIF('Content Calendar'!$T$5:$T$604,A78))</f>
        <v>0</v>
      </c>
      <c r="S78" s="23">
        <f>IF(A78="","",COUNTIF(Ads!$H$5:$H$104,A78))</f>
        <v>0</v>
      </c>
      <c r="T78" s="16">
        <f>IF(R78=0,"",SUMPRODUCT(MAX(('Content Calendar'!$T$5:$T$604=A78)*'Content Calendar'!$B$5:$B$604)))</f>
        <v>0</v>
      </c>
      <c r="U78" s="23">
        <f>IF(H78="","",TODAY()-H78)</f>
        <v>0</v>
      </c>
      <c r="V78" s="23">
        <f>IF(P78="","",P78-TODAY())</f>
        <v>0</v>
      </c>
      <c r="W78" s="29">
        <f>IF(B78="","",IF(COUNTIF(Assets!$B$5:$B$254,B78)&gt;1,"Duplicate","OK"))</f>
        <v>0</v>
      </c>
      <c r="X78" s="29">
        <f>IF(B78="","",IF(AND(P78&lt;&gt;"",P78&lt;TODAY()),"Expired - stop using this file",IF(D78="","Add - no file link saved",IF(N78&lt;&gt;"Approved","Check - not approved for use",IF(R78=0,"Use - never used yet","OK")))))</f>
        <v>0</v>
      </c>
    </row>
    <row r="79" spans="1:24">
      <c r="A79" s="41">
        <f>IF(B79="","",AssetPrefix&amp;TEXT(ROW()-4,"0000"))</f>
        <v>0</v>
      </c>
      <c r="R79" s="23">
        <f>IF(A79="","",COUNTIF('Content Calendar'!$T$5:$T$604,A79))</f>
        <v>0</v>
      </c>
      <c r="S79" s="23">
        <f>IF(A79="","",COUNTIF(Ads!$H$5:$H$104,A79))</f>
        <v>0</v>
      </c>
      <c r="T79" s="16">
        <f>IF(R79=0,"",SUMPRODUCT(MAX(('Content Calendar'!$T$5:$T$604=A79)*'Content Calendar'!$B$5:$B$604)))</f>
        <v>0</v>
      </c>
      <c r="U79" s="23">
        <f>IF(H79="","",TODAY()-H79)</f>
        <v>0</v>
      </c>
      <c r="V79" s="23">
        <f>IF(P79="","",P79-TODAY())</f>
        <v>0</v>
      </c>
      <c r="W79" s="29">
        <f>IF(B79="","",IF(COUNTIF(Assets!$B$5:$B$254,B79)&gt;1,"Duplicate","OK"))</f>
        <v>0</v>
      </c>
      <c r="X79" s="29">
        <f>IF(B79="","",IF(AND(P79&lt;&gt;"",P79&lt;TODAY()),"Expired - stop using this file",IF(D79="","Add - no file link saved",IF(N79&lt;&gt;"Approved","Check - not approved for use",IF(R79=0,"Use - never used yet","OK")))))</f>
        <v>0</v>
      </c>
    </row>
    <row r="80" spans="1:24">
      <c r="A80" s="41">
        <f>IF(B80="","",AssetPrefix&amp;TEXT(ROW()-4,"0000"))</f>
        <v>0</v>
      </c>
      <c r="R80" s="23">
        <f>IF(A80="","",COUNTIF('Content Calendar'!$T$5:$T$604,A80))</f>
        <v>0</v>
      </c>
      <c r="S80" s="23">
        <f>IF(A80="","",COUNTIF(Ads!$H$5:$H$104,A80))</f>
        <v>0</v>
      </c>
      <c r="T80" s="16">
        <f>IF(R80=0,"",SUMPRODUCT(MAX(('Content Calendar'!$T$5:$T$604=A80)*'Content Calendar'!$B$5:$B$604)))</f>
        <v>0</v>
      </c>
      <c r="U80" s="23">
        <f>IF(H80="","",TODAY()-H80)</f>
        <v>0</v>
      </c>
      <c r="V80" s="23">
        <f>IF(P80="","",P80-TODAY())</f>
        <v>0</v>
      </c>
      <c r="W80" s="29">
        <f>IF(B80="","",IF(COUNTIF(Assets!$B$5:$B$254,B80)&gt;1,"Duplicate","OK"))</f>
        <v>0</v>
      </c>
      <c r="X80" s="29">
        <f>IF(B80="","",IF(AND(P80&lt;&gt;"",P80&lt;TODAY()),"Expired - stop using this file",IF(D80="","Add - no file link saved",IF(N80&lt;&gt;"Approved","Check - not approved for use",IF(R80=0,"Use - never used yet","OK")))))</f>
        <v>0</v>
      </c>
    </row>
    <row r="81" spans="1:24">
      <c r="A81" s="41">
        <f>IF(B81="","",AssetPrefix&amp;TEXT(ROW()-4,"0000"))</f>
        <v>0</v>
      </c>
      <c r="R81" s="23">
        <f>IF(A81="","",COUNTIF('Content Calendar'!$T$5:$T$604,A81))</f>
        <v>0</v>
      </c>
      <c r="S81" s="23">
        <f>IF(A81="","",COUNTIF(Ads!$H$5:$H$104,A81))</f>
        <v>0</v>
      </c>
      <c r="T81" s="16">
        <f>IF(R81=0,"",SUMPRODUCT(MAX(('Content Calendar'!$T$5:$T$604=A81)*'Content Calendar'!$B$5:$B$604)))</f>
        <v>0</v>
      </c>
      <c r="U81" s="23">
        <f>IF(H81="","",TODAY()-H81)</f>
        <v>0</v>
      </c>
      <c r="V81" s="23">
        <f>IF(P81="","",P81-TODAY())</f>
        <v>0</v>
      </c>
      <c r="W81" s="29">
        <f>IF(B81="","",IF(COUNTIF(Assets!$B$5:$B$254,B81)&gt;1,"Duplicate","OK"))</f>
        <v>0</v>
      </c>
      <c r="X81" s="29">
        <f>IF(B81="","",IF(AND(P81&lt;&gt;"",P81&lt;TODAY()),"Expired - stop using this file",IF(D81="","Add - no file link saved",IF(N81&lt;&gt;"Approved","Check - not approved for use",IF(R81=0,"Use - never used yet","OK")))))</f>
        <v>0</v>
      </c>
    </row>
    <row r="82" spans="1:24">
      <c r="A82" s="41">
        <f>IF(B82="","",AssetPrefix&amp;TEXT(ROW()-4,"0000"))</f>
        <v>0</v>
      </c>
      <c r="R82" s="23">
        <f>IF(A82="","",COUNTIF('Content Calendar'!$T$5:$T$604,A82))</f>
        <v>0</v>
      </c>
      <c r="S82" s="23">
        <f>IF(A82="","",COUNTIF(Ads!$H$5:$H$104,A82))</f>
        <v>0</v>
      </c>
      <c r="T82" s="16">
        <f>IF(R82=0,"",SUMPRODUCT(MAX(('Content Calendar'!$T$5:$T$604=A82)*'Content Calendar'!$B$5:$B$604)))</f>
        <v>0</v>
      </c>
      <c r="U82" s="23">
        <f>IF(H82="","",TODAY()-H82)</f>
        <v>0</v>
      </c>
      <c r="V82" s="23">
        <f>IF(P82="","",P82-TODAY())</f>
        <v>0</v>
      </c>
      <c r="W82" s="29">
        <f>IF(B82="","",IF(COUNTIF(Assets!$B$5:$B$254,B82)&gt;1,"Duplicate","OK"))</f>
        <v>0</v>
      </c>
      <c r="X82" s="29">
        <f>IF(B82="","",IF(AND(P82&lt;&gt;"",P82&lt;TODAY()),"Expired - stop using this file",IF(D82="","Add - no file link saved",IF(N82&lt;&gt;"Approved","Check - not approved for use",IF(R82=0,"Use - never used yet","OK")))))</f>
        <v>0</v>
      </c>
    </row>
    <row r="83" spans="1:24">
      <c r="A83" s="41">
        <f>IF(B83="","",AssetPrefix&amp;TEXT(ROW()-4,"0000"))</f>
        <v>0</v>
      </c>
      <c r="R83" s="23">
        <f>IF(A83="","",COUNTIF('Content Calendar'!$T$5:$T$604,A83))</f>
        <v>0</v>
      </c>
      <c r="S83" s="23">
        <f>IF(A83="","",COUNTIF(Ads!$H$5:$H$104,A83))</f>
        <v>0</v>
      </c>
      <c r="T83" s="16">
        <f>IF(R83=0,"",SUMPRODUCT(MAX(('Content Calendar'!$T$5:$T$604=A83)*'Content Calendar'!$B$5:$B$604)))</f>
        <v>0</v>
      </c>
      <c r="U83" s="23">
        <f>IF(H83="","",TODAY()-H83)</f>
        <v>0</v>
      </c>
      <c r="V83" s="23">
        <f>IF(P83="","",P83-TODAY())</f>
        <v>0</v>
      </c>
      <c r="W83" s="29">
        <f>IF(B83="","",IF(COUNTIF(Assets!$B$5:$B$254,B83)&gt;1,"Duplicate","OK"))</f>
        <v>0</v>
      </c>
      <c r="X83" s="29">
        <f>IF(B83="","",IF(AND(P83&lt;&gt;"",P83&lt;TODAY()),"Expired - stop using this file",IF(D83="","Add - no file link saved",IF(N83&lt;&gt;"Approved","Check - not approved for use",IF(R83=0,"Use - never used yet","OK")))))</f>
        <v>0</v>
      </c>
    </row>
    <row r="84" spans="1:24">
      <c r="A84" s="41">
        <f>IF(B84="","",AssetPrefix&amp;TEXT(ROW()-4,"0000"))</f>
        <v>0</v>
      </c>
      <c r="R84" s="23">
        <f>IF(A84="","",COUNTIF('Content Calendar'!$T$5:$T$604,A84))</f>
        <v>0</v>
      </c>
      <c r="S84" s="23">
        <f>IF(A84="","",COUNTIF(Ads!$H$5:$H$104,A84))</f>
        <v>0</v>
      </c>
      <c r="T84" s="16">
        <f>IF(R84=0,"",SUMPRODUCT(MAX(('Content Calendar'!$T$5:$T$604=A84)*'Content Calendar'!$B$5:$B$604)))</f>
        <v>0</v>
      </c>
      <c r="U84" s="23">
        <f>IF(H84="","",TODAY()-H84)</f>
        <v>0</v>
      </c>
      <c r="V84" s="23">
        <f>IF(P84="","",P84-TODAY())</f>
        <v>0</v>
      </c>
      <c r="W84" s="29">
        <f>IF(B84="","",IF(COUNTIF(Assets!$B$5:$B$254,B84)&gt;1,"Duplicate","OK"))</f>
        <v>0</v>
      </c>
      <c r="X84" s="29">
        <f>IF(B84="","",IF(AND(P84&lt;&gt;"",P84&lt;TODAY()),"Expired - stop using this file",IF(D84="","Add - no file link saved",IF(N84&lt;&gt;"Approved","Check - not approved for use",IF(R84=0,"Use - never used yet","OK")))))</f>
        <v>0</v>
      </c>
    </row>
    <row r="85" spans="1:24">
      <c r="A85" s="41">
        <f>IF(B85="","",AssetPrefix&amp;TEXT(ROW()-4,"0000"))</f>
        <v>0</v>
      </c>
      <c r="R85" s="23">
        <f>IF(A85="","",COUNTIF('Content Calendar'!$T$5:$T$604,A85))</f>
        <v>0</v>
      </c>
      <c r="S85" s="23">
        <f>IF(A85="","",COUNTIF(Ads!$H$5:$H$104,A85))</f>
        <v>0</v>
      </c>
      <c r="T85" s="16">
        <f>IF(R85=0,"",SUMPRODUCT(MAX(('Content Calendar'!$T$5:$T$604=A85)*'Content Calendar'!$B$5:$B$604)))</f>
        <v>0</v>
      </c>
      <c r="U85" s="23">
        <f>IF(H85="","",TODAY()-H85)</f>
        <v>0</v>
      </c>
      <c r="V85" s="23">
        <f>IF(P85="","",P85-TODAY())</f>
        <v>0</v>
      </c>
      <c r="W85" s="29">
        <f>IF(B85="","",IF(COUNTIF(Assets!$B$5:$B$254,B85)&gt;1,"Duplicate","OK"))</f>
        <v>0</v>
      </c>
      <c r="X85" s="29">
        <f>IF(B85="","",IF(AND(P85&lt;&gt;"",P85&lt;TODAY()),"Expired - stop using this file",IF(D85="","Add - no file link saved",IF(N85&lt;&gt;"Approved","Check - not approved for use",IF(R85=0,"Use - never used yet","OK")))))</f>
        <v>0</v>
      </c>
    </row>
    <row r="86" spans="1:24">
      <c r="A86" s="41">
        <f>IF(B86="","",AssetPrefix&amp;TEXT(ROW()-4,"0000"))</f>
        <v>0</v>
      </c>
      <c r="R86" s="23">
        <f>IF(A86="","",COUNTIF('Content Calendar'!$T$5:$T$604,A86))</f>
        <v>0</v>
      </c>
      <c r="S86" s="23">
        <f>IF(A86="","",COUNTIF(Ads!$H$5:$H$104,A86))</f>
        <v>0</v>
      </c>
      <c r="T86" s="16">
        <f>IF(R86=0,"",SUMPRODUCT(MAX(('Content Calendar'!$T$5:$T$604=A86)*'Content Calendar'!$B$5:$B$604)))</f>
        <v>0</v>
      </c>
      <c r="U86" s="23">
        <f>IF(H86="","",TODAY()-H86)</f>
        <v>0</v>
      </c>
      <c r="V86" s="23">
        <f>IF(P86="","",P86-TODAY())</f>
        <v>0</v>
      </c>
      <c r="W86" s="29">
        <f>IF(B86="","",IF(COUNTIF(Assets!$B$5:$B$254,B86)&gt;1,"Duplicate","OK"))</f>
        <v>0</v>
      </c>
      <c r="X86" s="29">
        <f>IF(B86="","",IF(AND(P86&lt;&gt;"",P86&lt;TODAY()),"Expired - stop using this file",IF(D86="","Add - no file link saved",IF(N86&lt;&gt;"Approved","Check - not approved for use",IF(R86=0,"Use - never used yet","OK")))))</f>
        <v>0</v>
      </c>
    </row>
    <row r="87" spans="1:24">
      <c r="A87" s="41">
        <f>IF(B87="","",AssetPrefix&amp;TEXT(ROW()-4,"0000"))</f>
        <v>0</v>
      </c>
      <c r="R87" s="23">
        <f>IF(A87="","",COUNTIF('Content Calendar'!$T$5:$T$604,A87))</f>
        <v>0</v>
      </c>
      <c r="S87" s="23">
        <f>IF(A87="","",COUNTIF(Ads!$H$5:$H$104,A87))</f>
        <v>0</v>
      </c>
      <c r="T87" s="16">
        <f>IF(R87=0,"",SUMPRODUCT(MAX(('Content Calendar'!$T$5:$T$604=A87)*'Content Calendar'!$B$5:$B$604)))</f>
        <v>0</v>
      </c>
      <c r="U87" s="23">
        <f>IF(H87="","",TODAY()-H87)</f>
        <v>0</v>
      </c>
      <c r="V87" s="23">
        <f>IF(P87="","",P87-TODAY())</f>
        <v>0</v>
      </c>
      <c r="W87" s="29">
        <f>IF(B87="","",IF(COUNTIF(Assets!$B$5:$B$254,B87)&gt;1,"Duplicate","OK"))</f>
        <v>0</v>
      </c>
      <c r="X87" s="29">
        <f>IF(B87="","",IF(AND(P87&lt;&gt;"",P87&lt;TODAY()),"Expired - stop using this file",IF(D87="","Add - no file link saved",IF(N87&lt;&gt;"Approved","Check - not approved for use",IF(R87=0,"Use - never used yet","OK")))))</f>
        <v>0</v>
      </c>
    </row>
    <row r="88" spans="1:24">
      <c r="A88" s="41">
        <f>IF(B88="","",AssetPrefix&amp;TEXT(ROW()-4,"0000"))</f>
        <v>0</v>
      </c>
      <c r="R88" s="23">
        <f>IF(A88="","",COUNTIF('Content Calendar'!$T$5:$T$604,A88))</f>
        <v>0</v>
      </c>
      <c r="S88" s="23">
        <f>IF(A88="","",COUNTIF(Ads!$H$5:$H$104,A88))</f>
        <v>0</v>
      </c>
      <c r="T88" s="16">
        <f>IF(R88=0,"",SUMPRODUCT(MAX(('Content Calendar'!$T$5:$T$604=A88)*'Content Calendar'!$B$5:$B$604)))</f>
        <v>0</v>
      </c>
      <c r="U88" s="23">
        <f>IF(H88="","",TODAY()-H88)</f>
        <v>0</v>
      </c>
      <c r="V88" s="23">
        <f>IF(P88="","",P88-TODAY())</f>
        <v>0</v>
      </c>
      <c r="W88" s="29">
        <f>IF(B88="","",IF(COUNTIF(Assets!$B$5:$B$254,B88)&gt;1,"Duplicate","OK"))</f>
        <v>0</v>
      </c>
      <c r="X88" s="29">
        <f>IF(B88="","",IF(AND(P88&lt;&gt;"",P88&lt;TODAY()),"Expired - stop using this file",IF(D88="","Add - no file link saved",IF(N88&lt;&gt;"Approved","Check - not approved for use",IF(R88=0,"Use - never used yet","OK")))))</f>
        <v>0</v>
      </c>
    </row>
    <row r="89" spans="1:24">
      <c r="A89" s="41">
        <f>IF(B89="","",AssetPrefix&amp;TEXT(ROW()-4,"0000"))</f>
        <v>0</v>
      </c>
      <c r="R89" s="23">
        <f>IF(A89="","",COUNTIF('Content Calendar'!$T$5:$T$604,A89))</f>
        <v>0</v>
      </c>
      <c r="S89" s="23">
        <f>IF(A89="","",COUNTIF(Ads!$H$5:$H$104,A89))</f>
        <v>0</v>
      </c>
      <c r="T89" s="16">
        <f>IF(R89=0,"",SUMPRODUCT(MAX(('Content Calendar'!$T$5:$T$604=A89)*'Content Calendar'!$B$5:$B$604)))</f>
        <v>0</v>
      </c>
      <c r="U89" s="23">
        <f>IF(H89="","",TODAY()-H89)</f>
        <v>0</v>
      </c>
      <c r="V89" s="23">
        <f>IF(P89="","",P89-TODAY())</f>
        <v>0</v>
      </c>
      <c r="W89" s="29">
        <f>IF(B89="","",IF(COUNTIF(Assets!$B$5:$B$254,B89)&gt;1,"Duplicate","OK"))</f>
        <v>0</v>
      </c>
      <c r="X89" s="29">
        <f>IF(B89="","",IF(AND(P89&lt;&gt;"",P89&lt;TODAY()),"Expired - stop using this file",IF(D89="","Add - no file link saved",IF(N89&lt;&gt;"Approved","Check - not approved for use",IF(R89=0,"Use - never used yet","OK")))))</f>
        <v>0</v>
      </c>
    </row>
    <row r="90" spans="1:24">
      <c r="A90" s="41">
        <f>IF(B90="","",AssetPrefix&amp;TEXT(ROW()-4,"0000"))</f>
        <v>0</v>
      </c>
      <c r="R90" s="23">
        <f>IF(A90="","",COUNTIF('Content Calendar'!$T$5:$T$604,A90))</f>
        <v>0</v>
      </c>
      <c r="S90" s="23">
        <f>IF(A90="","",COUNTIF(Ads!$H$5:$H$104,A90))</f>
        <v>0</v>
      </c>
      <c r="T90" s="16">
        <f>IF(R90=0,"",SUMPRODUCT(MAX(('Content Calendar'!$T$5:$T$604=A90)*'Content Calendar'!$B$5:$B$604)))</f>
        <v>0</v>
      </c>
      <c r="U90" s="23">
        <f>IF(H90="","",TODAY()-H90)</f>
        <v>0</v>
      </c>
      <c r="V90" s="23">
        <f>IF(P90="","",P90-TODAY())</f>
        <v>0</v>
      </c>
      <c r="W90" s="29">
        <f>IF(B90="","",IF(COUNTIF(Assets!$B$5:$B$254,B90)&gt;1,"Duplicate","OK"))</f>
        <v>0</v>
      </c>
      <c r="X90" s="29">
        <f>IF(B90="","",IF(AND(P90&lt;&gt;"",P90&lt;TODAY()),"Expired - stop using this file",IF(D90="","Add - no file link saved",IF(N90&lt;&gt;"Approved","Check - not approved for use",IF(R90=0,"Use - never used yet","OK")))))</f>
        <v>0</v>
      </c>
    </row>
    <row r="91" spans="1:24">
      <c r="A91" s="41">
        <f>IF(B91="","",AssetPrefix&amp;TEXT(ROW()-4,"0000"))</f>
        <v>0</v>
      </c>
      <c r="R91" s="23">
        <f>IF(A91="","",COUNTIF('Content Calendar'!$T$5:$T$604,A91))</f>
        <v>0</v>
      </c>
      <c r="S91" s="23">
        <f>IF(A91="","",COUNTIF(Ads!$H$5:$H$104,A91))</f>
        <v>0</v>
      </c>
      <c r="T91" s="16">
        <f>IF(R91=0,"",SUMPRODUCT(MAX(('Content Calendar'!$T$5:$T$604=A91)*'Content Calendar'!$B$5:$B$604)))</f>
        <v>0</v>
      </c>
      <c r="U91" s="23">
        <f>IF(H91="","",TODAY()-H91)</f>
        <v>0</v>
      </c>
      <c r="V91" s="23">
        <f>IF(P91="","",P91-TODAY())</f>
        <v>0</v>
      </c>
      <c r="W91" s="29">
        <f>IF(B91="","",IF(COUNTIF(Assets!$B$5:$B$254,B91)&gt;1,"Duplicate","OK"))</f>
        <v>0</v>
      </c>
      <c r="X91" s="29">
        <f>IF(B91="","",IF(AND(P91&lt;&gt;"",P91&lt;TODAY()),"Expired - stop using this file",IF(D91="","Add - no file link saved",IF(N91&lt;&gt;"Approved","Check - not approved for use",IF(R91=0,"Use - never used yet","OK")))))</f>
        <v>0</v>
      </c>
    </row>
    <row r="92" spans="1:24">
      <c r="A92" s="41">
        <f>IF(B92="","",AssetPrefix&amp;TEXT(ROW()-4,"0000"))</f>
        <v>0</v>
      </c>
      <c r="R92" s="23">
        <f>IF(A92="","",COUNTIF('Content Calendar'!$T$5:$T$604,A92))</f>
        <v>0</v>
      </c>
      <c r="S92" s="23">
        <f>IF(A92="","",COUNTIF(Ads!$H$5:$H$104,A92))</f>
        <v>0</v>
      </c>
      <c r="T92" s="16">
        <f>IF(R92=0,"",SUMPRODUCT(MAX(('Content Calendar'!$T$5:$T$604=A92)*'Content Calendar'!$B$5:$B$604)))</f>
        <v>0</v>
      </c>
      <c r="U92" s="23">
        <f>IF(H92="","",TODAY()-H92)</f>
        <v>0</v>
      </c>
      <c r="V92" s="23">
        <f>IF(P92="","",P92-TODAY())</f>
        <v>0</v>
      </c>
      <c r="W92" s="29">
        <f>IF(B92="","",IF(COUNTIF(Assets!$B$5:$B$254,B92)&gt;1,"Duplicate","OK"))</f>
        <v>0</v>
      </c>
      <c r="X92" s="29">
        <f>IF(B92="","",IF(AND(P92&lt;&gt;"",P92&lt;TODAY()),"Expired - stop using this file",IF(D92="","Add - no file link saved",IF(N92&lt;&gt;"Approved","Check - not approved for use",IF(R92=0,"Use - never used yet","OK")))))</f>
        <v>0</v>
      </c>
    </row>
    <row r="93" spans="1:24">
      <c r="A93" s="41">
        <f>IF(B93="","",AssetPrefix&amp;TEXT(ROW()-4,"0000"))</f>
        <v>0</v>
      </c>
      <c r="R93" s="23">
        <f>IF(A93="","",COUNTIF('Content Calendar'!$T$5:$T$604,A93))</f>
        <v>0</v>
      </c>
      <c r="S93" s="23">
        <f>IF(A93="","",COUNTIF(Ads!$H$5:$H$104,A93))</f>
        <v>0</v>
      </c>
      <c r="T93" s="16">
        <f>IF(R93=0,"",SUMPRODUCT(MAX(('Content Calendar'!$T$5:$T$604=A93)*'Content Calendar'!$B$5:$B$604)))</f>
        <v>0</v>
      </c>
      <c r="U93" s="23">
        <f>IF(H93="","",TODAY()-H93)</f>
        <v>0</v>
      </c>
      <c r="V93" s="23">
        <f>IF(P93="","",P93-TODAY())</f>
        <v>0</v>
      </c>
      <c r="W93" s="29">
        <f>IF(B93="","",IF(COUNTIF(Assets!$B$5:$B$254,B93)&gt;1,"Duplicate","OK"))</f>
        <v>0</v>
      </c>
      <c r="X93" s="29">
        <f>IF(B93="","",IF(AND(P93&lt;&gt;"",P93&lt;TODAY()),"Expired - stop using this file",IF(D93="","Add - no file link saved",IF(N93&lt;&gt;"Approved","Check - not approved for use",IF(R93=0,"Use - never used yet","OK")))))</f>
        <v>0</v>
      </c>
    </row>
    <row r="94" spans="1:24">
      <c r="A94" s="41">
        <f>IF(B94="","",AssetPrefix&amp;TEXT(ROW()-4,"0000"))</f>
        <v>0</v>
      </c>
      <c r="R94" s="23">
        <f>IF(A94="","",COUNTIF('Content Calendar'!$T$5:$T$604,A94))</f>
        <v>0</v>
      </c>
      <c r="S94" s="23">
        <f>IF(A94="","",COUNTIF(Ads!$H$5:$H$104,A94))</f>
        <v>0</v>
      </c>
      <c r="T94" s="16">
        <f>IF(R94=0,"",SUMPRODUCT(MAX(('Content Calendar'!$T$5:$T$604=A94)*'Content Calendar'!$B$5:$B$604)))</f>
        <v>0</v>
      </c>
      <c r="U94" s="23">
        <f>IF(H94="","",TODAY()-H94)</f>
        <v>0</v>
      </c>
      <c r="V94" s="23">
        <f>IF(P94="","",P94-TODAY())</f>
        <v>0</v>
      </c>
      <c r="W94" s="29">
        <f>IF(B94="","",IF(COUNTIF(Assets!$B$5:$B$254,B94)&gt;1,"Duplicate","OK"))</f>
        <v>0</v>
      </c>
      <c r="X94" s="29">
        <f>IF(B94="","",IF(AND(P94&lt;&gt;"",P94&lt;TODAY()),"Expired - stop using this file",IF(D94="","Add - no file link saved",IF(N94&lt;&gt;"Approved","Check - not approved for use",IF(R94=0,"Use - never used yet","OK")))))</f>
        <v>0</v>
      </c>
    </row>
    <row r="95" spans="1:24">
      <c r="A95" s="41">
        <f>IF(B95="","",AssetPrefix&amp;TEXT(ROW()-4,"0000"))</f>
        <v>0</v>
      </c>
      <c r="R95" s="23">
        <f>IF(A95="","",COUNTIF('Content Calendar'!$T$5:$T$604,A95))</f>
        <v>0</v>
      </c>
      <c r="S95" s="23">
        <f>IF(A95="","",COUNTIF(Ads!$H$5:$H$104,A95))</f>
        <v>0</v>
      </c>
      <c r="T95" s="16">
        <f>IF(R95=0,"",SUMPRODUCT(MAX(('Content Calendar'!$T$5:$T$604=A95)*'Content Calendar'!$B$5:$B$604)))</f>
        <v>0</v>
      </c>
      <c r="U95" s="23">
        <f>IF(H95="","",TODAY()-H95)</f>
        <v>0</v>
      </c>
      <c r="V95" s="23">
        <f>IF(P95="","",P95-TODAY())</f>
        <v>0</v>
      </c>
      <c r="W95" s="29">
        <f>IF(B95="","",IF(COUNTIF(Assets!$B$5:$B$254,B95)&gt;1,"Duplicate","OK"))</f>
        <v>0</v>
      </c>
      <c r="X95" s="29">
        <f>IF(B95="","",IF(AND(P95&lt;&gt;"",P95&lt;TODAY()),"Expired - stop using this file",IF(D95="","Add - no file link saved",IF(N95&lt;&gt;"Approved","Check - not approved for use",IF(R95=0,"Use - never used yet","OK")))))</f>
        <v>0</v>
      </c>
    </row>
    <row r="96" spans="1:24">
      <c r="A96" s="41">
        <f>IF(B96="","",AssetPrefix&amp;TEXT(ROW()-4,"0000"))</f>
        <v>0</v>
      </c>
      <c r="R96" s="23">
        <f>IF(A96="","",COUNTIF('Content Calendar'!$T$5:$T$604,A96))</f>
        <v>0</v>
      </c>
      <c r="S96" s="23">
        <f>IF(A96="","",COUNTIF(Ads!$H$5:$H$104,A96))</f>
        <v>0</v>
      </c>
      <c r="T96" s="16">
        <f>IF(R96=0,"",SUMPRODUCT(MAX(('Content Calendar'!$T$5:$T$604=A96)*'Content Calendar'!$B$5:$B$604)))</f>
        <v>0</v>
      </c>
      <c r="U96" s="23">
        <f>IF(H96="","",TODAY()-H96)</f>
        <v>0</v>
      </c>
      <c r="V96" s="23">
        <f>IF(P96="","",P96-TODAY())</f>
        <v>0</v>
      </c>
      <c r="W96" s="29">
        <f>IF(B96="","",IF(COUNTIF(Assets!$B$5:$B$254,B96)&gt;1,"Duplicate","OK"))</f>
        <v>0</v>
      </c>
      <c r="X96" s="29">
        <f>IF(B96="","",IF(AND(P96&lt;&gt;"",P96&lt;TODAY()),"Expired - stop using this file",IF(D96="","Add - no file link saved",IF(N96&lt;&gt;"Approved","Check - not approved for use",IF(R96=0,"Use - never used yet","OK")))))</f>
        <v>0</v>
      </c>
    </row>
    <row r="97" spans="1:24">
      <c r="A97" s="41">
        <f>IF(B97="","",AssetPrefix&amp;TEXT(ROW()-4,"0000"))</f>
        <v>0</v>
      </c>
      <c r="R97" s="23">
        <f>IF(A97="","",COUNTIF('Content Calendar'!$T$5:$T$604,A97))</f>
        <v>0</v>
      </c>
      <c r="S97" s="23">
        <f>IF(A97="","",COUNTIF(Ads!$H$5:$H$104,A97))</f>
        <v>0</v>
      </c>
      <c r="T97" s="16">
        <f>IF(R97=0,"",SUMPRODUCT(MAX(('Content Calendar'!$T$5:$T$604=A97)*'Content Calendar'!$B$5:$B$604)))</f>
        <v>0</v>
      </c>
      <c r="U97" s="23">
        <f>IF(H97="","",TODAY()-H97)</f>
        <v>0</v>
      </c>
      <c r="V97" s="23">
        <f>IF(P97="","",P97-TODAY())</f>
        <v>0</v>
      </c>
      <c r="W97" s="29">
        <f>IF(B97="","",IF(COUNTIF(Assets!$B$5:$B$254,B97)&gt;1,"Duplicate","OK"))</f>
        <v>0</v>
      </c>
      <c r="X97" s="29">
        <f>IF(B97="","",IF(AND(P97&lt;&gt;"",P97&lt;TODAY()),"Expired - stop using this file",IF(D97="","Add - no file link saved",IF(N97&lt;&gt;"Approved","Check - not approved for use",IF(R97=0,"Use - never used yet","OK")))))</f>
        <v>0</v>
      </c>
    </row>
    <row r="98" spans="1:24">
      <c r="A98" s="41">
        <f>IF(B98="","",AssetPrefix&amp;TEXT(ROW()-4,"0000"))</f>
        <v>0</v>
      </c>
      <c r="R98" s="23">
        <f>IF(A98="","",COUNTIF('Content Calendar'!$T$5:$T$604,A98))</f>
        <v>0</v>
      </c>
      <c r="S98" s="23">
        <f>IF(A98="","",COUNTIF(Ads!$H$5:$H$104,A98))</f>
        <v>0</v>
      </c>
      <c r="T98" s="16">
        <f>IF(R98=0,"",SUMPRODUCT(MAX(('Content Calendar'!$T$5:$T$604=A98)*'Content Calendar'!$B$5:$B$604)))</f>
        <v>0</v>
      </c>
      <c r="U98" s="23">
        <f>IF(H98="","",TODAY()-H98)</f>
        <v>0</v>
      </c>
      <c r="V98" s="23">
        <f>IF(P98="","",P98-TODAY())</f>
        <v>0</v>
      </c>
      <c r="W98" s="29">
        <f>IF(B98="","",IF(COUNTIF(Assets!$B$5:$B$254,B98)&gt;1,"Duplicate","OK"))</f>
        <v>0</v>
      </c>
      <c r="X98" s="29">
        <f>IF(B98="","",IF(AND(P98&lt;&gt;"",P98&lt;TODAY()),"Expired - stop using this file",IF(D98="","Add - no file link saved",IF(N98&lt;&gt;"Approved","Check - not approved for use",IF(R98=0,"Use - never used yet","OK")))))</f>
        <v>0</v>
      </c>
    </row>
    <row r="99" spans="1:24">
      <c r="A99" s="41">
        <f>IF(B99="","",AssetPrefix&amp;TEXT(ROW()-4,"0000"))</f>
        <v>0</v>
      </c>
      <c r="R99" s="23">
        <f>IF(A99="","",COUNTIF('Content Calendar'!$T$5:$T$604,A99))</f>
        <v>0</v>
      </c>
      <c r="S99" s="23">
        <f>IF(A99="","",COUNTIF(Ads!$H$5:$H$104,A99))</f>
        <v>0</v>
      </c>
      <c r="T99" s="16">
        <f>IF(R99=0,"",SUMPRODUCT(MAX(('Content Calendar'!$T$5:$T$604=A99)*'Content Calendar'!$B$5:$B$604)))</f>
        <v>0</v>
      </c>
      <c r="U99" s="23">
        <f>IF(H99="","",TODAY()-H99)</f>
        <v>0</v>
      </c>
      <c r="V99" s="23">
        <f>IF(P99="","",P99-TODAY())</f>
        <v>0</v>
      </c>
      <c r="W99" s="29">
        <f>IF(B99="","",IF(COUNTIF(Assets!$B$5:$B$254,B99)&gt;1,"Duplicate","OK"))</f>
        <v>0</v>
      </c>
      <c r="X99" s="29">
        <f>IF(B99="","",IF(AND(P99&lt;&gt;"",P99&lt;TODAY()),"Expired - stop using this file",IF(D99="","Add - no file link saved",IF(N99&lt;&gt;"Approved","Check - not approved for use",IF(R99=0,"Use - never used yet","OK")))))</f>
        <v>0</v>
      </c>
    </row>
    <row r="100" spans="1:24">
      <c r="A100" s="41">
        <f>IF(B100="","",AssetPrefix&amp;TEXT(ROW()-4,"0000"))</f>
        <v>0</v>
      </c>
      <c r="R100" s="23">
        <f>IF(A100="","",COUNTIF('Content Calendar'!$T$5:$T$604,A100))</f>
        <v>0</v>
      </c>
      <c r="S100" s="23">
        <f>IF(A100="","",COUNTIF(Ads!$H$5:$H$104,A100))</f>
        <v>0</v>
      </c>
      <c r="T100" s="16">
        <f>IF(R100=0,"",SUMPRODUCT(MAX(('Content Calendar'!$T$5:$T$604=A100)*'Content Calendar'!$B$5:$B$604)))</f>
        <v>0</v>
      </c>
      <c r="U100" s="23">
        <f>IF(H100="","",TODAY()-H100)</f>
        <v>0</v>
      </c>
      <c r="V100" s="23">
        <f>IF(P100="","",P100-TODAY())</f>
        <v>0</v>
      </c>
      <c r="W100" s="29">
        <f>IF(B100="","",IF(COUNTIF(Assets!$B$5:$B$254,B100)&gt;1,"Duplicate","OK"))</f>
        <v>0</v>
      </c>
      <c r="X100" s="29">
        <f>IF(B100="","",IF(AND(P100&lt;&gt;"",P100&lt;TODAY()),"Expired - stop using this file",IF(D100="","Add - no file link saved",IF(N100&lt;&gt;"Approved","Check - not approved for use",IF(R100=0,"Use - never used yet","OK")))))</f>
        <v>0</v>
      </c>
    </row>
    <row r="101" spans="1:24">
      <c r="A101" s="41">
        <f>IF(B101="","",AssetPrefix&amp;TEXT(ROW()-4,"0000"))</f>
        <v>0</v>
      </c>
      <c r="R101" s="23">
        <f>IF(A101="","",COUNTIF('Content Calendar'!$T$5:$T$604,A101))</f>
        <v>0</v>
      </c>
      <c r="S101" s="23">
        <f>IF(A101="","",COUNTIF(Ads!$H$5:$H$104,A101))</f>
        <v>0</v>
      </c>
      <c r="T101" s="16">
        <f>IF(R101=0,"",SUMPRODUCT(MAX(('Content Calendar'!$T$5:$T$604=A101)*'Content Calendar'!$B$5:$B$604)))</f>
        <v>0</v>
      </c>
      <c r="U101" s="23">
        <f>IF(H101="","",TODAY()-H101)</f>
        <v>0</v>
      </c>
      <c r="V101" s="23">
        <f>IF(P101="","",P101-TODAY())</f>
        <v>0</v>
      </c>
      <c r="W101" s="29">
        <f>IF(B101="","",IF(COUNTIF(Assets!$B$5:$B$254,B101)&gt;1,"Duplicate","OK"))</f>
        <v>0</v>
      </c>
      <c r="X101" s="29">
        <f>IF(B101="","",IF(AND(P101&lt;&gt;"",P101&lt;TODAY()),"Expired - stop using this file",IF(D101="","Add - no file link saved",IF(N101&lt;&gt;"Approved","Check - not approved for use",IF(R101=0,"Use - never used yet","OK")))))</f>
        <v>0</v>
      </c>
    </row>
    <row r="102" spans="1:24">
      <c r="A102" s="41">
        <f>IF(B102="","",AssetPrefix&amp;TEXT(ROW()-4,"0000"))</f>
        <v>0</v>
      </c>
      <c r="R102" s="23">
        <f>IF(A102="","",COUNTIF('Content Calendar'!$T$5:$T$604,A102))</f>
        <v>0</v>
      </c>
      <c r="S102" s="23">
        <f>IF(A102="","",COUNTIF(Ads!$H$5:$H$104,A102))</f>
        <v>0</v>
      </c>
      <c r="T102" s="16">
        <f>IF(R102=0,"",SUMPRODUCT(MAX(('Content Calendar'!$T$5:$T$604=A102)*'Content Calendar'!$B$5:$B$604)))</f>
        <v>0</v>
      </c>
      <c r="U102" s="23">
        <f>IF(H102="","",TODAY()-H102)</f>
        <v>0</v>
      </c>
      <c r="V102" s="23">
        <f>IF(P102="","",P102-TODAY())</f>
        <v>0</v>
      </c>
      <c r="W102" s="29">
        <f>IF(B102="","",IF(COUNTIF(Assets!$B$5:$B$254,B102)&gt;1,"Duplicate","OK"))</f>
        <v>0</v>
      </c>
      <c r="X102" s="29">
        <f>IF(B102="","",IF(AND(P102&lt;&gt;"",P102&lt;TODAY()),"Expired - stop using this file",IF(D102="","Add - no file link saved",IF(N102&lt;&gt;"Approved","Check - not approved for use",IF(R102=0,"Use - never used yet","OK")))))</f>
        <v>0</v>
      </c>
    </row>
    <row r="103" spans="1:24">
      <c r="A103" s="41">
        <f>IF(B103="","",AssetPrefix&amp;TEXT(ROW()-4,"0000"))</f>
        <v>0</v>
      </c>
      <c r="R103" s="23">
        <f>IF(A103="","",COUNTIF('Content Calendar'!$T$5:$T$604,A103))</f>
        <v>0</v>
      </c>
      <c r="S103" s="23">
        <f>IF(A103="","",COUNTIF(Ads!$H$5:$H$104,A103))</f>
        <v>0</v>
      </c>
      <c r="T103" s="16">
        <f>IF(R103=0,"",SUMPRODUCT(MAX(('Content Calendar'!$T$5:$T$604=A103)*'Content Calendar'!$B$5:$B$604)))</f>
        <v>0</v>
      </c>
      <c r="U103" s="23">
        <f>IF(H103="","",TODAY()-H103)</f>
        <v>0</v>
      </c>
      <c r="V103" s="23">
        <f>IF(P103="","",P103-TODAY())</f>
        <v>0</v>
      </c>
      <c r="W103" s="29">
        <f>IF(B103="","",IF(COUNTIF(Assets!$B$5:$B$254,B103)&gt;1,"Duplicate","OK"))</f>
        <v>0</v>
      </c>
      <c r="X103" s="29">
        <f>IF(B103="","",IF(AND(P103&lt;&gt;"",P103&lt;TODAY()),"Expired - stop using this file",IF(D103="","Add - no file link saved",IF(N103&lt;&gt;"Approved","Check - not approved for use",IF(R103=0,"Use - never used yet","OK")))))</f>
        <v>0</v>
      </c>
    </row>
    <row r="104" spans="1:24">
      <c r="A104" s="41">
        <f>IF(B104="","",AssetPrefix&amp;TEXT(ROW()-4,"0000"))</f>
        <v>0</v>
      </c>
      <c r="R104" s="23">
        <f>IF(A104="","",COUNTIF('Content Calendar'!$T$5:$T$604,A104))</f>
        <v>0</v>
      </c>
      <c r="S104" s="23">
        <f>IF(A104="","",COUNTIF(Ads!$H$5:$H$104,A104))</f>
        <v>0</v>
      </c>
      <c r="T104" s="16">
        <f>IF(R104=0,"",SUMPRODUCT(MAX(('Content Calendar'!$T$5:$T$604=A104)*'Content Calendar'!$B$5:$B$604)))</f>
        <v>0</v>
      </c>
      <c r="U104" s="23">
        <f>IF(H104="","",TODAY()-H104)</f>
        <v>0</v>
      </c>
      <c r="V104" s="23">
        <f>IF(P104="","",P104-TODAY())</f>
        <v>0</v>
      </c>
      <c r="W104" s="29">
        <f>IF(B104="","",IF(COUNTIF(Assets!$B$5:$B$254,B104)&gt;1,"Duplicate","OK"))</f>
        <v>0</v>
      </c>
      <c r="X104" s="29">
        <f>IF(B104="","",IF(AND(P104&lt;&gt;"",P104&lt;TODAY()),"Expired - stop using this file",IF(D104="","Add - no file link saved",IF(N104&lt;&gt;"Approved","Check - not approved for use",IF(R104=0,"Use - never used yet","OK")))))</f>
        <v>0</v>
      </c>
    </row>
    <row r="105" spans="1:24">
      <c r="A105" s="41">
        <f>IF(B105="","",AssetPrefix&amp;TEXT(ROW()-4,"0000"))</f>
        <v>0</v>
      </c>
      <c r="R105" s="23">
        <f>IF(A105="","",COUNTIF('Content Calendar'!$T$5:$T$604,A105))</f>
        <v>0</v>
      </c>
      <c r="S105" s="23">
        <f>IF(A105="","",COUNTIF(Ads!$H$5:$H$104,A105))</f>
        <v>0</v>
      </c>
      <c r="T105" s="16">
        <f>IF(R105=0,"",SUMPRODUCT(MAX(('Content Calendar'!$T$5:$T$604=A105)*'Content Calendar'!$B$5:$B$604)))</f>
        <v>0</v>
      </c>
      <c r="U105" s="23">
        <f>IF(H105="","",TODAY()-H105)</f>
        <v>0</v>
      </c>
      <c r="V105" s="23">
        <f>IF(P105="","",P105-TODAY())</f>
        <v>0</v>
      </c>
      <c r="W105" s="29">
        <f>IF(B105="","",IF(COUNTIF(Assets!$B$5:$B$254,B105)&gt;1,"Duplicate","OK"))</f>
        <v>0</v>
      </c>
      <c r="X105" s="29">
        <f>IF(B105="","",IF(AND(P105&lt;&gt;"",P105&lt;TODAY()),"Expired - stop using this file",IF(D105="","Add - no file link saved",IF(N105&lt;&gt;"Approved","Check - not approved for use",IF(R105=0,"Use - never used yet","OK")))))</f>
        <v>0</v>
      </c>
    </row>
    <row r="106" spans="1:24">
      <c r="A106" s="41">
        <f>IF(B106="","",AssetPrefix&amp;TEXT(ROW()-4,"0000"))</f>
        <v>0</v>
      </c>
      <c r="R106" s="23">
        <f>IF(A106="","",COUNTIF('Content Calendar'!$T$5:$T$604,A106))</f>
        <v>0</v>
      </c>
      <c r="S106" s="23">
        <f>IF(A106="","",COUNTIF(Ads!$H$5:$H$104,A106))</f>
        <v>0</v>
      </c>
      <c r="T106" s="16">
        <f>IF(R106=0,"",SUMPRODUCT(MAX(('Content Calendar'!$T$5:$T$604=A106)*'Content Calendar'!$B$5:$B$604)))</f>
        <v>0</v>
      </c>
      <c r="U106" s="23">
        <f>IF(H106="","",TODAY()-H106)</f>
        <v>0</v>
      </c>
      <c r="V106" s="23">
        <f>IF(P106="","",P106-TODAY())</f>
        <v>0</v>
      </c>
      <c r="W106" s="29">
        <f>IF(B106="","",IF(COUNTIF(Assets!$B$5:$B$254,B106)&gt;1,"Duplicate","OK"))</f>
        <v>0</v>
      </c>
      <c r="X106" s="29">
        <f>IF(B106="","",IF(AND(P106&lt;&gt;"",P106&lt;TODAY()),"Expired - stop using this file",IF(D106="","Add - no file link saved",IF(N106&lt;&gt;"Approved","Check - not approved for use",IF(R106=0,"Use - never used yet","OK")))))</f>
        <v>0</v>
      </c>
    </row>
    <row r="107" spans="1:24">
      <c r="A107" s="41">
        <f>IF(B107="","",AssetPrefix&amp;TEXT(ROW()-4,"0000"))</f>
        <v>0</v>
      </c>
      <c r="R107" s="23">
        <f>IF(A107="","",COUNTIF('Content Calendar'!$T$5:$T$604,A107))</f>
        <v>0</v>
      </c>
      <c r="S107" s="23">
        <f>IF(A107="","",COUNTIF(Ads!$H$5:$H$104,A107))</f>
        <v>0</v>
      </c>
      <c r="T107" s="16">
        <f>IF(R107=0,"",SUMPRODUCT(MAX(('Content Calendar'!$T$5:$T$604=A107)*'Content Calendar'!$B$5:$B$604)))</f>
        <v>0</v>
      </c>
      <c r="U107" s="23">
        <f>IF(H107="","",TODAY()-H107)</f>
        <v>0</v>
      </c>
      <c r="V107" s="23">
        <f>IF(P107="","",P107-TODAY())</f>
        <v>0</v>
      </c>
      <c r="W107" s="29">
        <f>IF(B107="","",IF(COUNTIF(Assets!$B$5:$B$254,B107)&gt;1,"Duplicate","OK"))</f>
        <v>0</v>
      </c>
      <c r="X107" s="29">
        <f>IF(B107="","",IF(AND(P107&lt;&gt;"",P107&lt;TODAY()),"Expired - stop using this file",IF(D107="","Add - no file link saved",IF(N107&lt;&gt;"Approved","Check - not approved for use",IF(R107=0,"Use - never used yet","OK")))))</f>
        <v>0</v>
      </c>
    </row>
    <row r="108" spans="1:24">
      <c r="A108" s="41">
        <f>IF(B108="","",AssetPrefix&amp;TEXT(ROW()-4,"0000"))</f>
        <v>0</v>
      </c>
      <c r="R108" s="23">
        <f>IF(A108="","",COUNTIF('Content Calendar'!$T$5:$T$604,A108))</f>
        <v>0</v>
      </c>
      <c r="S108" s="23">
        <f>IF(A108="","",COUNTIF(Ads!$H$5:$H$104,A108))</f>
        <v>0</v>
      </c>
      <c r="T108" s="16">
        <f>IF(R108=0,"",SUMPRODUCT(MAX(('Content Calendar'!$T$5:$T$604=A108)*'Content Calendar'!$B$5:$B$604)))</f>
        <v>0</v>
      </c>
      <c r="U108" s="23">
        <f>IF(H108="","",TODAY()-H108)</f>
        <v>0</v>
      </c>
      <c r="V108" s="23">
        <f>IF(P108="","",P108-TODAY())</f>
        <v>0</v>
      </c>
      <c r="W108" s="29">
        <f>IF(B108="","",IF(COUNTIF(Assets!$B$5:$B$254,B108)&gt;1,"Duplicate","OK"))</f>
        <v>0</v>
      </c>
      <c r="X108" s="29">
        <f>IF(B108="","",IF(AND(P108&lt;&gt;"",P108&lt;TODAY()),"Expired - stop using this file",IF(D108="","Add - no file link saved",IF(N108&lt;&gt;"Approved","Check - not approved for use",IF(R108=0,"Use - never used yet","OK")))))</f>
        <v>0</v>
      </c>
    </row>
    <row r="109" spans="1:24">
      <c r="A109" s="41">
        <f>IF(B109="","",AssetPrefix&amp;TEXT(ROW()-4,"0000"))</f>
        <v>0</v>
      </c>
      <c r="R109" s="23">
        <f>IF(A109="","",COUNTIF('Content Calendar'!$T$5:$T$604,A109))</f>
        <v>0</v>
      </c>
      <c r="S109" s="23">
        <f>IF(A109="","",COUNTIF(Ads!$H$5:$H$104,A109))</f>
        <v>0</v>
      </c>
      <c r="T109" s="16">
        <f>IF(R109=0,"",SUMPRODUCT(MAX(('Content Calendar'!$T$5:$T$604=A109)*'Content Calendar'!$B$5:$B$604)))</f>
        <v>0</v>
      </c>
      <c r="U109" s="23">
        <f>IF(H109="","",TODAY()-H109)</f>
        <v>0</v>
      </c>
      <c r="V109" s="23">
        <f>IF(P109="","",P109-TODAY())</f>
        <v>0</v>
      </c>
      <c r="W109" s="29">
        <f>IF(B109="","",IF(COUNTIF(Assets!$B$5:$B$254,B109)&gt;1,"Duplicate","OK"))</f>
        <v>0</v>
      </c>
      <c r="X109" s="29">
        <f>IF(B109="","",IF(AND(P109&lt;&gt;"",P109&lt;TODAY()),"Expired - stop using this file",IF(D109="","Add - no file link saved",IF(N109&lt;&gt;"Approved","Check - not approved for use",IF(R109=0,"Use - never used yet","OK")))))</f>
        <v>0</v>
      </c>
    </row>
    <row r="110" spans="1:24">
      <c r="A110" s="41">
        <f>IF(B110="","",AssetPrefix&amp;TEXT(ROW()-4,"0000"))</f>
        <v>0</v>
      </c>
      <c r="R110" s="23">
        <f>IF(A110="","",COUNTIF('Content Calendar'!$T$5:$T$604,A110))</f>
        <v>0</v>
      </c>
      <c r="S110" s="23">
        <f>IF(A110="","",COUNTIF(Ads!$H$5:$H$104,A110))</f>
        <v>0</v>
      </c>
      <c r="T110" s="16">
        <f>IF(R110=0,"",SUMPRODUCT(MAX(('Content Calendar'!$T$5:$T$604=A110)*'Content Calendar'!$B$5:$B$604)))</f>
        <v>0</v>
      </c>
      <c r="U110" s="23">
        <f>IF(H110="","",TODAY()-H110)</f>
        <v>0</v>
      </c>
      <c r="V110" s="23">
        <f>IF(P110="","",P110-TODAY())</f>
        <v>0</v>
      </c>
      <c r="W110" s="29">
        <f>IF(B110="","",IF(COUNTIF(Assets!$B$5:$B$254,B110)&gt;1,"Duplicate","OK"))</f>
        <v>0</v>
      </c>
      <c r="X110" s="29">
        <f>IF(B110="","",IF(AND(P110&lt;&gt;"",P110&lt;TODAY()),"Expired - stop using this file",IF(D110="","Add - no file link saved",IF(N110&lt;&gt;"Approved","Check - not approved for use",IF(R110=0,"Use - never used yet","OK")))))</f>
        <v>0</v>
      </c>
    </row>
    <row r="111" spans="1:24">
      <c r="A111" s="41">
        <f>IF(B111="","",AssetPrefix&amp;TEXT(ROW()-4,"0000"))</f>
        <v>0</v>
      </c>
      <c r="R111" s="23">
        <f>IF(A111="","",COUNTIF('Content Calendar'!$T$5:$T$604,A111))</f>
        <v>0</v>
      </c>
      <c r="S111" s="23">
        <f>IF(A111="","",COUNTIF(Ads!$H$5:$H$104,A111))</f>
        <v>0</v>
      </c>
      <c r="T111" s="16">
        <f>IF(R111=0,"",SUMPRODUCT(MAX(('Content Calendar'!$T$5:$T$604=A111)*'Content Calendar'!$B$5:$B$604)))</f>
        <v>0</v>
      </c>
      <c r="U111" s="23">
        <f>IF(H111="","",TODAY()-H111)</f>
        <v>0</v>
      </c>
      <c r="V111" s="23">
        <f>IF(P111="","",P111-TODAY())</f>
        <v>0</v>
      </c>
      <c r="W111" s="29">
        <f>IF(B111="","",IF(COUNTIF(Assets!$B$5:$B$254,B111)&gt;1,"Duplicate","OK"))</f>
        <v>0</v>
      </c>
      <c r="X111" s="29">
        <f>IF(B111="","",IF(AND(P111&lt;&gt;"",P111&lt;TODAY()),"Expired - stop using this file",IF(D111="","Add - no file link saved",IF(N111&lt;&gt;"Approved","Check - not approved for use",IF(R111=0,"Use - never used yet","OK")))))</f>
        <v>0</v>
      </c>
    </row>
    <row r="112" spans="1:24">
      <c r="A112" s="41">
        <f>IF(B112="","",AssetPrefix&amp;TEXT(ROW()-4,"0000"))</f>
        <v>0</v>
      </c>
      <c r="R112" s="23">
        <f>IF(A112="","",COUNTIF('Content Calendar'!$T$5:$T$604,A112))</f>
        <v>0</v>
      </c>
      <c r="S112" s="23">
        <f>IF(A112="","",COUNTIF(Ads!$H$5:$H$104,A112))</f>
        <v>0</v>
      </c>
      <c r="T112" s="16">
        <f>IF(R112=0,"",SUMPRODUCT(MAX(('Content Calendar'!$T$5:$T$604=A112)*'Content Calendar'!$B$5:$B$604)))</f>
        <v>0</v>
      </c>
      <c r="U112" s="23">
        <f>IF(H112="","",TODAY()-H112)</f>
        <v>0</v>
      </c>
      <c r="V112" s="23">
        <f>IF(P112="","",P112-TODAY())</f>
        <v>0</v>
      </c>
      <c r="W112" s="29">
        <f>IF(B112="","",IF(COUNTIF(Assets!$B$5:$B$254,B112)&gt;1,"Duplicate","OK"))</f>
        <v>0</v>
      </c>
      <c r="X112" s="29">
        <f>IF(B112="","",IF(AND(P112&lt;&gt;"",P112&lt;TODAY()),"Expired - stop using this file",IF(D112="","Add - no file link saved",IF(N112&lt;&gt;"Approved","Check - not approved for use",IF(R112=0,"Use - never used yet","OK")))))</f>
        <v>0</v>
      </c>
    </row>
    <row r="113" spans="1:24">
      <c r="A113" s="41">
        <f>IF(B113="","",AssetPrefix&amp;TEXT(ROW()-4,"0000"))</f>
        <v>0</v>
      </c>
      <c r="R113" s="23">
        <f>IF(A113="","",COUNTIF('Content Calendar'!$T$5:$T$604,A113))</f>
        <v>0</v>
      </c>
      <c r="S113" s="23">
        <f>IF(A113="","",COUNTIF(Ads!$H$5:$H$104,A113))</f>
        <v>0</v>
      </c>
      <c r="T113" s="16">
        <f>IF(R113=0,"",SUMPRODUCT(MAX(('Content Calendar'!$T$5:$T$604=A113)*'Content Calendar'!$B$5:$B$604)))</f>
        <v>0</v>
      </c>
      <c r="U113" s="23">
        <f>IF(H113="","",TODAY()-H113)</f>
        <v>0</v>
      </c>
      <c r="V113" s="23">
        <f>IF(P113="","",P113-TODAY())</f>
        <v>0</v>
      </c>
      <c r="W113" s="29">
        <f>IF(B113="","",IF(COUNTIF(Assets!$B$5:$B$254,B113)&gt;1,"Duplicate","OK"))</f>
        <v>0</v>
      </c>
      <c r="X113" s="29">
        <f>IF(B113="","",IF(AND(P113&lt;&gt;"",P113&lt;TODAY()),"Expired - stop using this file",IF(D113="","Add - no file link saved",IF(N113&lt;&gt;"Approved","Check - not approved for use",IF(R113=0,"Use - never used yet","OK")))))</f>
        <v>0</v>
      </c>
    </row>
    <row r="114" spans="1:24">
      <c r="A114" s="41">
        <f>IF(B114="","",AssetPrefix&amp;TEXT(ROW()-4,"0000"))</f>
        <v>0</v>
      </c>
      <c r="R114" s="23">
        <f>IF(A114="","",COUNTIF('Content Calendar'!$T$5:$T$604,A114))</f>
        <v>0</v>
      </c>
      <c r="S114" s="23">
        <f>IF(A114="","",COUNTIF(Ads!$H$5:$H$104,A114))</f>
        <v>0</v>
      </c>
      <c r="T114" s="16">
        <f>IF(R114=0,"",SUMPRODUCT(MAX(('Content Calendar'!$T$5:$T$604=A114)*'Content Calendar'!$B$5:$B$604)))</f>
        <v>0</v>
      </c>
      <c r="U114" s="23">
        <f>IF(H114="","",TODAY()-H114)</f>
        <v>0</v>
      </c>
      <c r="V114" s="23">
        <f>IF(P114="","",P114-TODAY())</f>
        <v>0</v>
      </c>
      <c r="W114" s="29">
        <f>IF(B114="","",IF(COUNTIF(Assets!$B$5:$B$254,B114)&gt;1,"Duplicate","OK"))</f>
        <v>0</v>
      </c>
      <c r="X114" s="29">
        <f>IF(B114="","",IF(AND(P114&lt;&gt;"",P114&lt;TODAY()),"Expired - stop using this file",IF(D114="","Add - no file link saved",IF(N114&lt;&gt;"Approved","Check - not approved for use",IF(R114=0,"Use - never used yet","OK")))))</f>
        <v>0</v>
      </c>
    </row>
    <row r="115" spans="1:24">
      <c r="A115" s="41">
        <f>IF(B115="","",AssetPrefix&amp;TEXT(ROW()-4,"0000"))</f>
        <v>0</v>
      </c>
      <c r="R115" s="23">
        <f>IF(A115="","",COUNTIF('Content Calendar'!$T$5:$T$604,A115))</f>
        <v>0</v>
      </c>
      <c r="S115" s="23">
        <f>IF(A115="","",COUNTIF(Ads!$H$5:$H$104,A115))</f>
        <v>0</v>
      </c>
      <c r="T115" s="16">
        <f>IF(R115=0,"",SUMPRODUCT(MAX(('Content Calendar'!$T$5:$T$604=A115)*'Content Calendar'!$B$5:$B$604)))</f>
        <v>0</v>
      </c>
      <c r="U115" s="23">
        <f>IF(H115="","",TODAY()-H115)</f>
        <v>0</v>
      </c>
      <c r="V115" s="23">
        <f>IF(P115="","",P115-TODAY())</f>
        <v>0</v>
      </c>
      <c r="W115" s="29">
        <f>IF(B115="","",IF(COUNTIF(Assets!$B$5:$B$254,B115)&gt;1,"Duplicate","OK"))</f>
        <v>0</v>
      </c>
      <c r="X115" s="29">
        <f>IF(B115="","",IF(AND(P115&lt;&gt;"",P115&lt;TODAY()),"Expired - stop using this file",IF(D115="","Add - no file link saved",IF(N115&lt;&gt;"Approved","Check - not approved for use",IF(R115=0,"Use - never used yet","OK")))))</f>
        <v>0</v>
      </c>
    </row>
    <row r="116" spans="1:24">
      <c r="A116" s="41">
        <f>IF(B116="","",AssetPrefix&amp;TEXT(ROW()-4,"0000"))</f>
        <v>0</v>
      </c>
      <c r="R116" s="23">
        <f>IF(A116="","",COUNTIF('Content Calendar'!$T$5:$T$604,A116))</f>
        <v>0</v>
      </c>
      <c r="S116" s="23">
        <f>IF(A116="","",COUNTIF(Ads!$H$5:$H$104,A116))</f>
        <v>0</v>
      </c>
      <c r="T116" s="16">
        <f>IF(R116=0,"",SUMPRODUCT(MAX(('Content Calendar'!$T$5:$T$604=A116)*'Content Calendar'!$B$5:$B$604)))</f>
        <v>0</v>
      </c>
      <c r="U116" s="23">
        <f>IF(H116="","",TODAY()-H116)</f>
        <v>0</v>
      </c>
      <c r="V116" s="23">
        <f>IF(P116="","",P116-TODAY())</f>
        <v>0</v>
      </c>
      <c r="W116" s="29">
        <f>IF(B116="","",IF(COUNTIF(Assets!$B$5:$B$254,B116)&gt;1,"Duplicate","OK"))</f>
        <v>0</v>
      </c>
      <c r="X116" s="29">
        <f>IF(B116="","",IF(AND(P116&lt;&gt;"",P116&lt;TODAY()),"Expired - stop using this file",IF(D116="","Add - no file link saved",IF(N116&lt;&gt;"Approved","Check - not approved for use",IF(R116=0,"Use - never used yet","OK")))))</f>
        <v>0</v>
      </c>
    </row>
    <row r="117" spans="1:24">
      <c r="A117" s="41">
        <f>IF(B117="","",AssetPrefix&amp;TEXT(ROW()-4,"0000"))</f>
        <v>0</v>
      </c>
      <c r="R117" s="23">
        <f>IF(A117="","",COUNTIF('Content Calendar'!$T$5:$T$604,A117))</f>
        <v>0</v>
      </c>
      <c r="S117" s="23">
        <f>IF(A117="","",COUNTIF(Ads!$H$5:$H$104,A117))</f>
        <v>0</v>
      </c>
      <c r="T117" s="16">
        <f>IF(R117=0,"",SUMPRODUCT(MAX(('Content Calendar'!$T$5:$T$604=A117)*'Content Calendar'!$B$5:$B$604)))</f>
        <v>0</v>
      </c>
      <c r="U117" s="23">
        <f>IF(H117="","",TODAY()-H117)</f>
        <v>0</v>
      </c>
      <c r="V117" s="23">
        <f>IF(P117="","",P117-TODAY())</f>
        <v>0</v>
      </c>
      <c r="W117" s="29">
        <f>IF(B117="","",IF(COUNTIF(Assets!$B$5:$B$254,B117)&gt;1,"Duplicate","OK"))</f>
        <v>0</v>
      </c>
      <c r="X117" s="29">
        <f>IF(B117="","",IF(AND(P117&lt;&gt;"",P117&lt;TODAY()),"Expired - stop using this file",IF(D117="","Add - no file link saved",IF(N117&lt;&gt;"Approved","Check - not approved for use",IF(R117=0,"Use - never used yet","OK")))))</f>
        <v>0</v>
      </c>
    </row>
    <row r="118" spans="1:24">
      <c r="A118" s="41">
        <f>IF(B118="","",AssetPrefix&amp;TEXT(ROW()-4,"0000"))</f>
        <v>0</v>
      </c>
      <c r="R118" s="23">
        <f>IF(A118="","",COUNTIF('Content Calendar'!$T$5:$T$604,A118))</f>
        <v>0</v>
      </c>
      <c r="S118" s="23">
        <f>IF(A118="","",COUNTIF(Ads!$H$5:$H$104,A118))</f>
        <v>0</v>
      </c>
      <c r="T118" s="16">
        <f>IF(R118=0,"",SUMPRODUCT(MAX(('Content Calendar'!$T$5:$T$604=A118)*'Content Calendar'!$B$5:$B$604)))</f>
        <v>0</v>
      </c>
      <c r="U118" s="23">
        <f>IF(H118="","",TODAY()-H118)</f>
        <v>0</v>
      </c>
      <c r="V118" s="23">
        <f>IF(P118="","",P118-TODAY())</f>
        <v>0</v>
      </c>
      <c r="W118" s="29">
        <f>IF(B118="","",IF(COUNTIF(Assets!$B$5:$B$254,B118)&gt;1,"Duplicate","OK"))</f>
        <v>0</v>
      </c>
      <c r="X118" s="29">
        <f>IF(B118="","",IF(AND(P118&lt;&gt;"",P118&lt;TODAY()),"Expired - stop using this file",IF(D118="","Add - no file link saved",IF(N118&lt;&gt;"Approved","Check - not approved for use",IF(R118=0,"Use - never used yet","OK")))))</f>
        <v>0</v>
      </c>
    </row>
    <row r="119" spans="1:24">
      <c r="A119" s="41">
        <f>IF(B119="","",AssetPrefix&amp;TEXT(ROW()-4,"0000"))</f>
        <v>0</v>
      </c>
      <c r="R119" s="23">
        <f>IF(A119="","",COUNTIF('Content Calendar'!$T$5:$T$604,A119))</f>
        <v>0</v>
      </c>
      <c r="S119" s="23">
        <f>IF(A119="","",COUNTIF(Ads!$H$5:$H$104,A119))</f>
        <v>0</v>
      </c>
      <c r="T119" s="16">
        <f>IF(R119=0,"",SUMPRODUCT(MAX(('Content Calendar'!$T$5:$T$604=A119)*'Content Calendar'!$B$5:$B$604)))</f>
        <v>0</v>
      </c>
      <c r="U119" s="23">
        <f>IF(H119="","",TODAY()-H119)</f>
        <v>0</v>
      </c>
      <c r="V119" s="23">
        <f>IF(P119="","",P119-TODAY())</f>
        <v>0</v>
      </c>
      <c r="W119" s="29">
        <f>IF(B119="","",IF(COUNTIF(Assets!$B$5:$B$254,B119)&gt;1,"Duplicate","OK"))</f>
        <v>0</v>
      </c>
      <c r="X119" s="29">
        <f>IF(B119="","",IF(AND(P119&lt;&gt;"",P119&lt;TODAY()),"Expired - stop using this file",IF(D119="","Add - no file link saved",IF(N119&lt;&gt;"Approved","Check - not approved for use",IF(R119=0,"Use - never used yet","OK")))))</f>
        <v>0</v>
      </c>
    </row>
    <row r="120" spans="1:24">
      <c r="A120" s="41">
        <f>IF(B120="","",AssetPrefix&amp;TEXT(ROW()-4,"0000"))</f>
        <v>0</v>
      </c>
      <c r="R120" s="23">
        <f>IF(A120="","",COUNTIF('Content Calendar'!$T$5:$T$604,A120))</f>
        <v>0</v>
      </c>
      <c r="S120" s="23">
        <f>IF(A120="","",COUNTIF(Ads!$H$5:$H$104,A120))</f>
        <v>0</v>
      </c>
      <c r="T120" s="16">
        <f>IF(R120=0,"",SUMPRODUCT(MAX(('Content Calendar'!$T$5:$T$604=A120)*'Content Calendar'!$B$5:$B$604)))</f>
        <v>0</v>
      </c>
      <c r="U120" s="23">
        <f>IF(H120="","",TODAY()-H120)</f>
        <v>0</v>
      </c>
      <c r="V120" s="23">
        <f>IF(P120="","",P120-TODAY())</f>
        <v>0</v>
      </c>
      <c r="W120" s="29">
        <f>IF(B120="","",IF(COUNTIF(Assets!$B$5:$B$254,B120)&gt;1,"Duplicate","OK"))</f>
        <v>0</v>
      </c>
      <c r="X120" s="29">
        <f>IF(B120="","",IF(AND(P120&lt;&gt;"",P120&lt;TODAY()),"Expired - stop using this file",IF(D120="","Add - no file link saved",IF(N120&lt;&gt;"Approved","Check - not approved for use",IF(R120=0,"Use - never used yet","OK")))))</f>
        <v>0</v>
      </c>
    </row>
    <row r="121" spans="1:24">
      <c r="A121" s="41">
        <f>IF(B121="","",AssetPrefix&amp;TEXT(ROW()-4,"0000"))</f>
        <v>0</v>
      </c>
      <c r="R121" s="23">
        <f>IF(A121="","",COUNTIF('Content Calendar'!$T$5:$T$604,A121))</f>
        <v>0</v>
      </c>
      <c r="S121" s="23">
        <f>IF(A121="","",COUNTIF(Ads!$H$5:$H$104,A121))</f>
        <v>0</v>
      </c>
      <c r="T121" s="16">
        <f>IF(R121=0,"",SUMPRODUCT(MAX(('Content Calendar'!$T$5:$T$604=A121)*'Content Calendar'!$B$5:$B$604)))</f>
        <v>0</v>
      </c>
      <c r="U121" s="23">
        <f>IF(H121="","",TODAY()-H121)</f>
        <v>0</v>
      </c>
      <c r="V121" s="23">
        <f>IF(P121="","",P121-TODAY())</f>
        <v>0</v>
      </c>
      <c r="W121" s="29">
        <f>IF(B121="","",IF(COUNTIF(Assets!$B$5:$B$254,B121)&gt;1,"Duplicate","OK"))</f>
        <v>0</v>
      </c>
      <c r="X121" s="29">
        <f>IF(B121="","",IF(AND(P121&lt;&gt;"",P121&lt;TODAY()),"Expired - stop using this file",IF(D121="","Add - no file link saved",IF(N121&lt;&gt;"Approved","Check - not approved for use",IF(R121=0,"Use - never used yet","OK")))))</f>
        <v>0</v>
      </c>
    </row>
    <row r="122" spans="1:24">
      <c r="A122" s="41">
        <f>IF(B122="","",AssetPrefix&amp;TEXT(ROW()-4,"0000"))</f>
        <v>0</v>
      </c>
      <c r="R122" s="23">
        <f>IF(A122="","",COUNTIF('Content Calendar'!$T$5:$T$604,A122))</f>
        <v>0</v>
      </c>
      <c r="S122" s="23">
        <f>IF(A122="","",COUNTIF(Ads!$H$5:$H$104,A122))</f>
        <v>0</v>
      </c>
      <c r="T122" s="16">
        <f>IF(R122=0,"",SUMPRODUCT(MAX(('Content Calendar'!$T$5:$T$604=A122)*'Content Calendar'!$B$5:$B$604)))</f>
        <v>0</v>
      </c>
      <c r="U122" s="23">
        <f>IF(H122="","",TODAY()-H122)</f>
        <v>0</v>
      </c>
      <c r="V122" s="23">
        <f>IF(P122="","",P122-TODAY())</f>
        <v>0</v>
      </c>
      <c r="W122" s="29">
        <f>IF(B122="","",IF(COUNTIF(Assets!$B$5:$B$254,B122)&gt;1,"Duplicate","OK"))</f>
        <v>0</v>
      </c>
      <c r="X122" s="29">
        <f>IF(B122="","",IF(AND(P122&lt;&gt;"",P122&lt;TODAY()),"Expired - stop using this file",IF(D122="","Add - no file link saved",IF(N122&lt;&gt;"Approved","Check - not approved for use",IF(R122=0,"Use - never used yet","OK")))))</f>
        <v>0</v>
      </c>
    </row>
    <row r="123" spans="1:24">
      <c r="A123" s="41">
        <f>IF(B123="","",AssetPrefix&amp;TEXT(ROW()-4,"0000"))</f>
        <v>0</v>
      </c>
      <c r="R123" s="23">
        <f>IF(A123="","",COUNTIF('Content Calendar'!$T$5:$T$604,A123))</f>
        <v>0</v>
      </c>
      <c r="S123" s="23">
        <f>IF(A123="","",COUNTIF(Ads!$H$5:$H$104,A123))</f>
        <v>0</v>
      </c>
      <c r="T123" s="16">
        <f>IF(R123=0,"",SUMPRODUCT(MAX(('Content Calendar'!$T$5:$T$604=A123)*'Content Calendar'!$B$5:$B$604)))</f>
        <v>0</v>
      </c>
      <c r="U123" s="23">
        <f>IF(H123="","",TODAY()-H123)</f>
        <v>0</v>
      </c>
      <c r="V123" s="23">
        <f>IF(P123="","",P123-TODAY())</f>
        <v>0</v>
      </c>
      <c r="W123" s="29">
        <f>IF(B123="","",IF(COUNTIF(Assets!$B$5:$B$254,B123)&gt;1,"Duplicate","OK"))</f>
        <v>0</v>
      </c>
      <c r="X123" s="29">
        <f>IF(B123="","",IF(AND(P123&lt;&gt;"",P123&lt;TODAY()),"Expired - stop using this file",IF(D123="","Add - no file link saved",IF(N123&lt;&gt;"Approved","Check - not approved for use",IF(R123=0,"Use - never used yet","OK")))))</f>
        <v>0</v>
      </c>
    </row>
    <row r="124" spans="1:24">
      <c r="A124" s="41">
        <f>IF(B124="","",AssetPrefix&amp;TEXT(ROW()-4,"0000"))</f>
        <v>0</v>
      </c>
      <c r="R124" s="23">
        <f>IF(A124="","",COUNTIF('Content Calendar'!$T$5:$T$604,A124))</f>
        <v>0</v>
      </c>
      <c r="S124" s="23">
        <f>IF(A124="","",COUNTIF(Ads!$H$5:$H$104,A124))</f>
        <v>0</v>
      </c>
      <c r="T124" s="16">
        <f>IF(R124=0,"",SUMPRODUCT(MAX(('Content Calendar'!$T$5:$T$604=A124)*'Content Calendar'!$B$5:$B$604)))</f>
        <v>0</v>
      </c>
      <c r="U124" s="23">
        <f>IF(H124="","",TODAY()-H124)</f>
        <v>0</v>
      </c>
      <c r="V124" s="23">
        <f>IF(P124="","",P124-TODAY())</f>
        <v>0</v>
      </c>
      <c r="W124" s="29">
        <f>IF(B124="","",IF(COUNTIF(Assets!$B$5:$B$254,B124)&gt;1,"Duplicate","OK"))</f>
        <v>0</v>
      </c>
      <c r="X124" s="29">
        <f>IF(B124="","",IF(AND(P124&lt;&gt;"",P124&lt;TODAY()),"Expired - stop using this file",IF(D124="","Add - no file link saved",IF(N124&lt;&gt;"Approved","Check - not approved for use",IF(R124=0,"Use - never used yet","OK")))))</f>
        <v>0</v>
      </c>
    </row>
    <row r="125" spans="1:24">
      <c r="A125" s="41">
        <f>IF(B125="","",AssetPrefix&amp;TEXT(ROW()-4,"0000"))</f>
        <v>0</v>
      </c>
      <c r="R125" s="23">
        <f>IF(A125="","",COUNTIF('Content Calendar'!$T$5:$T$604,A125))</f>
        <v>0</v>
      </c>
      <c r="S125" s="23">
        <f>IF(A125="","",COUNTIF(Ads!$H$5:$H$104,A125))</f>
        <v>0</v>
      </c>
      <c r="T125" s="16">
        <f>IF(R125=0,"",SUMPRODUCT(MAX(('Content Calendar'!$T$5:$T$604=A125)*'Content Calendar'!$B$5:$B$604)))</f>
        <v>0</v>
      </c>
      <c r="U125" s="23">
        <f>IF(H125="","",TODAY()-H125)</f>
        <v>0</v>
      </c>
      <c r="V125" s="23">
        <f>IF(P125="","",P125-TODAY())</f>
        <v>0</v>
      </c>
      <c r="W125" s="29">
        <f>IF(B125="","",IF(COUNTIF(Assets!$B$5:$B$254,B125)&gt;1,"Duplicate","OK"))</f>
        <v>0</v>
      </c>
      <c r="X125" s="29">
        <f>IF(B125="","",IF(AND(P125&lt;&gt;"",P125&lt;TODAY()),"Expired - stop using this file",IF(D125="","Add - no file link saved",IF(N125&lt;&gt;"Approved","Check - not approved for use",IF(R125=0,"Use - never used yet","OK")))))</f>
        <v>0</v>
      </c>
    </row>
    <row r="126" spans="1:24">
      <c r="A126" s="41">
        <f>IF(B126="","",AssetPrefix&amp;TEXT(ROW()-4,"0000"))</f>
        <v>0</v>
      </c>
      <c r="R126" s="23">
        <f>IF(A126="","",COUNTIF('Content Calendar'!$T$5:$T$604,A126))</f>
        <v>0</v>
      </c>
      <c r="S126" s="23">
        <f>IF(A126="","",COUNTIF(Ads!$H$5:$H$104,A126))</f>
        <v>0</v>
      </c>
      <c r="T126" s="16">
        <f>IF(R126=0,"",SUMPRODUCT(MAX(('Content Calendar'!$T$5:$T$604=A126)*'Content Calendar'!$B$5:$B$604)))</f>
        <v>0</v>
      </c>
      <c r="U126" s="23">
        <f>IF(H126="","",TODAY()-H126)</f>
        <v>0</v>
      </c>
      <c r="V126" s="23">
        <f>IF(P126="","",P126-TODAY())</f>
        <v>0</v>
      </c>
      <c r="W126" s="29">
        <f>IF(B126="","",IF(COUNTIF(Assets!$B$5:$B$254,B126)&gt;1,"Duplicate","OK"))</f>
        <v>0</v>
      </c>
      <c r="X126" s="29">
        <f>IF(B126="","",IF(AND(P126&lt;&gt;"",P126&lt;TODAY()),"Expired - stop using this file",IF(D126="","Add - no file link saved",IF(N126&lt;&gt;"Approved","Check - not approved for use",IF(R126=0,"Use - never used yet","OK")))))</f>
        <v>0</v>
      </c>
    </row>
    <row r="127" spans="1:24">
      <c r="A127" s="41">
        <f>IF(B127="","",AssetPrefix&amp;TEXT(ROW()-4,"0000"))</f>
        <v>0</v>
      </c>
      <c r="R127" s="23">
        <f>IF(A127="","",COUNTIF('Content Calendar'!$T$5:$T$604,A127))</f>
        <v>0</v>
      </c>
      <c r="S127" s="23">
        <f>IF(A127="","",COUNTIF(Ads!$H$5:$H$104,A127))</f>
        <v>0</v>
      </c>
      <c r="T127" s="16">
        <f>IF(R127=0,"",SUMPRODUCT(MAX(('Content Calendar'!$T$5:$T$604=A127)*'Content Calendar'!$B$5:$B$604)))</f>
        <v>0</v>
      </c>
      <c r="U127" s="23">
        <f>IF(H127="","",TODAY()-H127)</f>
        <v>0</v>
      </c>
      <c r="V127" s="23">
        <f>IF(P127="","",P127-TODAY())</f>
        <v>0</v>
      </c>
      <c r="W127" s="29">
        <f>IF(B127="","",IF(COUNTIF(Assets!$B$5:$B$254,B127)&gt;1,"Duplicate","OK"))</f>
        <v>0</v>
      </c>
      <c r="X127" s="29">
        <f>IF(B127="","",IF(AND(P127&lt;&gt;"",P127&lt;TODAY()),"Expired - stop using this file",IF(D127="","Add - no file link saved",IF(N127&lt;&gt;"Approved","Check - not approved for use",IF(R127=0,"Use - never used yet","OK")))))</f>
        <v>0</v>
      </c>
    </row>
    <row r="128" spans="1:24">
      <c r="A128" s="41">
        <f>IF(B128="","",AssetPrefix&amp;TEXT(ROW()-4,"0000"))</f>
        <v>0</v>
      </c>
      <c r="R128" s="23">
        <f>IF(A128="","",COUNTIF('Content Calendar'!$T$5:$T$604,A128))</f>
        <v>0</v>
      </c>
      <c r="S128" s="23">
        <f>IF(A128="","",COUNTIF(Ads!$H$5:$H$104,A128))</f>
        <v>0</v>
      </c>
      <c r="T128" s="16">
        <f>IF(R128=0,"",SUMPRODUCT(MAX(('Content Calendar'!$T$5:$T$604=A128)*'Content Calendar'!$B$5:$B$604)))</f>
        <v>0</v>
      </c>
      <c r="U128" s="23">
        <f>IF(H128="","",TODAY()-H128)</f>
        <v>0</v>
      </c>
      <c r="V128" s="23">
        <f>IF(P128="","",P128-TODAY())</f>
        <v>0</v>
      </c>
      <c r="W128" s="29">
        <f>IF(B128="","",IF(COUNTIF(Assets!$B$5:$B$254,B128)&gt;1,"Duplicate","OK"))</f>
        <v>0</v>
      </c>
      <c r="X128" s="29">
        <f>IF(B128="","",IF(AND(P128&lt;&gt;"",P128&lt;TODAY()),"Expired - stop using this file",IF(D128="","Add - no file link saved",IF(N128&lt;&gt;"Approved","Check - not approved for use",IF(R128=0,"Use - never used yet","OK")))))</f>
        <v>0</v>
      </c>
    </row>
    <row r="129" spans="1:24">
      <c r="A129" s="41">
        <f>IF(B129="","",AssetPrefix&amp;TEXT(ROW()-4,"0000"))</f>
        <v>0</v>
      </c>
      <c r="R129" s="23">
        <f>IF(A129="","",COUNTIF('Content Calendar'!$T$5:$T$604,A129))</f>
        <v>0</v>
      </c>
      <c r="S129" s="23">
        <f>IF(A129="","",COUNTIF(Ads!$H$5:$H$104,A129))</f>
        <v>0</v>
      </c>
      <c r="T129" s="16">
        <f>IF(R129=0,"",SUMPRODUCT(MAX(('Content Calendar'!$T$5:$T$604=A129)*'Content Calendar'!$B$5:$B$604)))</f>
        <v>0</v>
      </c>
      <c r="U129" s="23">
        <f>IF(H129="","",TODAY()-H129)</f>
        <v>0</v>
      </c>
      <c r="V129" s="23">
        <f>IF(P129="","",P129-TODAY())</f>
        <v>0</v>
      </c>
      <c r="W129" s="29">
        <f>IF(B129="","",IF(COUNTIF(Assets!$B$5:$B$254,B129)&gt;1,"Duplicate","OK"))</f>
        <v>0</v>
      </c>
      <c r="X129" s="29">
        <f>IF(B129="","",IF(AND(P129&lt;&gt;"",P129&lt;TODAY()),"Expired - stop using this file",IF(D129="","Add - no file link saved",IF(N129&lt;&gt;"Approved","Check - not approved for use",IF(R129=0,"Use - never used yet","OK")))))</f>
        <v>0</v>
      </c>
    </row>
    <row r="130" spans="1:24">
      <c r="A130" s="41">
        <f>IF(B130="","",AssetPrefix&amp;TEXT(ROW()-4,"0000"))</f>
        <v>0</v>
      </c>
      <c r="R130" s="23">
        <f>IF(A130="","",COUNTIF('Content Calendar'!$T$5:$T$604,A130))</f>
        <v>0</v>
      </c>
      <c r="S130" s="23">
        <f>IF(A130="","",COUNTIF(Ads!$H$5:$H$104,A130))</f>
        <v>0</v>
      </c>
      <c r="T130" s="16">
        <f>IF(R130=0,"",SUMPRODUCT(MAX(('Content Calendar'!$T$5:$T$604=A130)*'Content Calendar'!$B$5:$B$604)))</f>
        <v>0</v>
      </c>
      <c r="U130" s="23">
        <f>IF(H130="","",TODAY()-H130)</f>
        <v>0</v>
      </c>
      <c r="V130" s="23">
        <f>IF(P130="","",P130-TODAY())</f>
        <v>0</v>
      </c>
      <c r="W130" s="29">
        <f>IF(B130="","",IF(COUNTIF(Assets!$B$5:$B$254,B130)&gt;1,"Duplicate","OK"))</f>
        <v>0</v>
      </c>
      <c r="X130" s="29">
        <f>IF(B130="","",IF(AND(P130&lt;&gt;"",P130&lt;TODAY()),"Expired - stop using this file",IF(D130="","Add - no file link saved",IF(N130&lt;&gt;"Approved","Check - not approved for use",IF(R130=0,"Use - never used yet","OK")))))</f>
        <v>0</v>
      </c>
    </row>
    <row r="131" spans="1:24">
      <c r="A131" s="41">
        <f>IF(B131="","",AssetPrefix&amp;TEXT(ROW()-4,"0000"))</f>
        <v>0</v>
      </c>
      <c r="R131" s="23">
        <f>IF(A131="","",COUNTIF('Content Calendar'!$T$5:$T$604,A131))</f>
        <v>0</v>
      </c>
      <c r="S131" s="23">
        <f>IF(A131="","",COUNTIF(Ads!$H$5:$H$104,A131))</f>
        <v>0</v>
      </c>
      <c r="T131" s="16">
        <f>IF(R131=0,"",SUMPRODUCT(MAX(('Content Calendar'!$T$5:$T$604=A131)*'Content Calendar'!$B$5:$B$604)))</f>
        <v>0</v>
      </c>
      <c r="U131" s="23">
        <f>IF(H131="","",TODAY()-H131)</f>
        <v>0</v>
      </c>
      <c r="V131" s="23">
        <f>IF(P131="","",P131-TODAY())</f>
        <v>0</v>
      </c>
      <c r="W131" s="29">
        <f>IF(B131="","",IF(COUNTIF(Assets!$B$5:$B$254,B131)&gt;1,"Duplicate","OK"))</f>
        <v>0</v>
      </c>
      <c r="X131" s="29">
        <f>IF(B131="","",IF(AND(P131&lt;&gt;"",P131&lt;TODAY()),"Expired - stop using this file",IF(D131="","Add - no file link saved",IF(N131&lt;&gt;"Approved","Check - not approved for use",IF(R131=0,"Use - never used yet","OK")))))</f>
        <v>0</v>
      </c>
    </row>
    <row r="132" spans="1:24">
      <c r="A132" s="41">
        <f>IF(B132="","",AssetPrefix&amp;TEXT(ROW()-4,"0000"))</f>
        <v>0</v>
      </c>
      <c r="R132" s="23">
        <f>IF(A132="","",COUNTIF('Content Calendar'!$T$5:$T$604,A132))</f>
        <v>0</v>
      </c>
      <c r="S132" s="23">
        <f>IF(A132="","",COUNTIF(Ads!$H$5:$H$104,A132))</f>
        <v>0</v>
      </c>
      <c r="T132" s="16">
        <f>IF(R132=0,"",SUMPRODUCT(MAX(('Content Calendar'!$T$5:$T$604=A132)*'Content Calendar'!$B$5:$B$604)))</f>
        <v>0</v>
      </c>
      <c r="U132" s="23">
        <f>IF(H132="","",TODAY()-H132)</f>
        <v>0</v>
      </c>
      <c r="V132" s="23">
        <f>IF(P132="","",P132-TODAY())</f>
        <v>0</v>
      </c>
      <c r="W132" s="29">
        <f>IF(B132="","",IF(COUNTIF(Assets!$B$5:$B$254,B132)&gt;1,"Duplicate","OK"))</f>
        <v>0</v>
      </c>
      <c r="X132" s="29">
        <f>IF(B132="","",IF(AND(P132&lt;&gt;"",P132&lt;TODAY()),"Expired - stop using this file",IF(D132="","Add - no file link saved",IF(N132&lt;&gt;"Approved","Check - not approved for use",IF(R132=0,"Use - never used yet","OK")))))</f>
        <v>0</v>
      </c>
    </row>
    <row r="133" spans="1:24">
      <c r="A133" s="41">
        <f>IF(B133="","",AssetPrefix&amp;TEXT(ROW()-4,"0000"))</f>
        <v>0</v>
      </c>
      <c r="R133" s="23">
        <f>IF(A133="","",COUNTIF('Content Calendar'!$T$5:$T$604,A133))</f>
        <v>0</v>
      </c>
      <c r="S133" s="23">
        <f>IF(A133="","",COUNTIF(Ads!$H$5:$H$104,A133))</f>
        <v>0</v>
      </c>
      <c r="T133" s="16">
        <f>IF(R133=0,"",SUMPRODUCT(MAX(('Content Calendar'!$T$5:$T$604=A133)*'Content Calendar'!$B$5:$B$604)))</f>
        <v>0</v>
      </c>
      <c r="U133" s="23">
        <f>IF(H133="","",TODAY()-H133)</f>
        <v>0</v>
      </c>
      <c r="V133" s="23">
        <f>IF(P133="","",P133-TODAY())</f>
        <v>0</v>
      </c>
      <c r="W133" s="29">
        <f>IF(B133="","",IF(COUNTIF(Assets!$B$5:$B$254,B133)&gt;1,"Duplicate","OK"))</f>
        <v>0</v>
      </c>
      <c r="X133" s="29">
        <f>IF(B133="","",IF(AND(P133&lt;&gt;"",P133&lt;TODAY()),"Expired - stop using this file",IF(D133="","Add - no file link saved",IF(N133&lt;&gt;"Approved","Check - not approved for use",IF(R133=0,"Use - never used yet","OK")))))</f>
        <v>0</v>
      </c>
    </row>
    <row r="134" spans="1:24">
      <c r="A134" s="41">
        <f>IF(B134="","",AssetPrefix&amp;TEXT(ROW()-4,"0000"))</f>
        <v>0</v>
      </c>
      <c r="R134" s="23">
        <f>IF(A134="","",COUNTIF('Content Calendar'!$T$5:$T$604,A134))</f>
        <v>0</v>
      </c>
      <c r="S134" s="23">
        <f>IF(A134="","",COUNTIF(Ads!$H$5:$H$104,A134))</f>
        <v>0</v>
      </c>
      <c r="T134" s="16">
        <f>IF(R134=0,"",SUMPRODUCT(MAX(('Content Calendar'!$T$5:$T$604=A134)*'Content Calendar'!$B$5:$B$604)))</f>
        <v>0</v>
      </c>
      <c r="U134" s="23">
        <f>IF(H134="","",TODAY()-H134)</f>
        <v>0</v>
      </c>
      <c r="V134" s="23">
        <f>IF(P134="","",P134-TODAY())</f>
        <v>0</v>
      </c>
      <c r="W134" s="29">
        <f>IF(B134="","",IF(COUNTIF(Assets!$B$5:$B$254,B134)&gt;1,"Duplicate","OK"))</f>
        <v>0</v>
      </c>
      <c r="X134" s="29">
        <f>IF(B134="","",IF(AND(P134&lt;&gt;"",P134&lt;TODAY()),"Expired - stop using this file",IF(D134="","Add - no file link saved",IF(N134&lt;&gt;"Approved","Check - not approved for use",IF(R134=0,"Use - never used yet","OK")))))</f>
        <v>0</v>
      </c>
    </row>
    <row r="135" spans="1:24">
      <c r="A135" s="41">
        <f>IF(B135="","",AssetPrefix&amp;TEXT(ROW()-4,"0000"))</f>
        <v>0</v>
      </c>
      <c r="R135" s="23">
        <f>IF(A135="","",COUNTIF('Content Calendar'!$T$5:$T$604,A135))</f>
        <v>0</v>
      </c>
      <c r="S135" s="23">
        <f>IF(A135="","",COUNTIF(Ads!$H$5:$H$104,A135))</f>
        <v>0</v>
      </c>
      <c r="T135" s="16">
        <f>IF(R135=0,"",SUMPRODUCT(MAX(('Content Calendar'!$T$5:$T$604=A135)*'Content Calendar'!$B$5:$B$604)))</f>
        <v>0</v>
      </c>
      <c r="U135" s="23">
        <f>IF(H135="","",TODAY()-H135)</f>
        <v>0</v>
      </c>
      <c r="V135" s="23">
        <f>IF(P135="","",P135-TODAY())</f>
        <v>0</v>
      </c>
      <c r="W135" s="29">
        <f>IF(B135="","",IF(COUNTIF(Assets!$B$5:$B$254,B135)&gt;1,"Duplicate","OK"))</f>
        <v>0</v>
      </c>
      <c r="X135" s="29">
        <f>IF(B135="","",IF(AND(P135&lt;&gt;"",P135&lt;TODAY()),"Expired - stop using this file",IF(D135="","Add - no file link saved",IF(N135&lt;&gt;"Approved","Check - not approved for use",IF(R135=0,"Use - never used yet","OK")))))</f>
        <v>0</v>
      </c>
    </row>
    <row r="136" spans="1:24">
      <c r="A136" s="41">
        <f>IF(B136="","",AssetPrefix&amp;TEXT(ROW()-4,"0000"))</f>
        <v>0</v>
      </c>
      <c r="R136" s="23">
        <f>IF(A136="","",COUNTIF('Content Calendar'!$T$5:$T$604,A136))</f>
        <v>0</v>
      </c>
      <c r="S136" s="23">
        <f>IF(A136="","",COUNTIF(Ads!$H$5:$H$104,A136))</f>
        <v>0</v>
      </c>
      <c r="T136" s="16">
        <f>IF(R136=0,"",SUMPRODUCT(MAX(('Content Calendar'!$T$5:$T$604=A136)*'Content Calendar'!$B$5:$B$604)))</f>
        <v>0</v>
      </c>
      <c r="U136" s="23">
        <f>IF(H136="","",TODAY()-H136)</f>
        <v>0</v>
      </c>
      <c r="V136" s="23">
        <f>IF(P136="","",P136-TODAY())</f>
        <v>0</v>
      </c>
      <c r="W136" s="29">
        <f>IF(B136="","",IF(COUNTIF(Assets!$B$5:$B$254,B136)&gt;1,"Duplicate","OK"))</f>
        <v>0</v>
      </c>
      <c r="X136" s="29">
        <f>IF(B136="","",IF(AND(P136&lt;&gt;"",P136&lt;TODAY()),"Expired - stop using this file",IF(D136="","Add - no file link saved",IF(N136&lt;&gt;"Approved","Check - not approved for use",IF(R136=0,"Use - never used yet","OK")))))</f>
        <v>0</v>
      </c>
    </row>
    <row r="137" spans="1:24">
      <c r="A137" s="41">
        <f>IF(B137="","",AssetPrefix&amp;TEXT(ROW()-4,"0000"))</f>
        <v>0</v>
      </c>
      <c r="R137" s="23">
        <f>IF(A137="","",COUNTIF('Content Calendar'!$T$5:$T$604,A137))</f>
        <v>0</v>
      </c>
      <c r="S137" s="23">
        <f>IF(A137="","",COUNTIF(Ads!$H$5:$H$104,A137))</f>
        <v>0</v>
      </c>
      <c r="T137" s="16">
        <f>IF(R137=0,"",SUMPRODUCT(MAX(('Content Calendar'!$T$5:$T$604=A137)*'Content Calendar'!$B$5:$B$604)))</f>
        <v>0</v>
      </c>
      <c r="U137" s="23">
        <f>IF(H137="","",TODAY()-H137)</f>
        <v>0</v>
      </c>
      <c r="V137" s="23">
        <f>IF(P137="","",P137-TODAY())</f>
        <v>0</v>
      </c>
      <c r="W137" s="29">
        <f>IF(B137="","",IF(COUNTIF(Assets!$B$5:$B$254,B137)&gt;1,"Duplicate","OK"))</f>
        <v>0</v>
      </c>
      <c r="X137" s="29">
        <f>IF(B137="","",IF(AND(P137&lt;&gt;"",P137&lt;TODAY()),"Expired - stop using this file",IF(D137="","Add - no file link saved",IF(N137&lt;&gt;"Approved","Check - not approved for use",IF(R137=0,"Use - never used yet","OK")))))</f>
        <v>0</v>
      </c>
    </row>
    <row r="138" spans="1:24">
      <c r="A138" s="41">
        <f>IF(B138="","",AssetPrefix&amp;TEXT(ROW()-4,"0000"))</f>
        <v>0</v>
      </c>
      <c r="R138" s="23">
        <f>IF(A138="","",COUNTIF('Content Calendar'!$T$5:$T$604,A138))</f>
        <v>0</v>
      </c>
      <c r="S138" s="23">
        <f>IF(A138="","",COUNTIF(Ads!$H$5:$H$104,A138))</f>
        <v>0</v>
      </c>
      <c r="T138" s="16">
        <f>IF(R138=0,"",SUMPRODUCT(MAX(('Content Calendar'!$T$5:$T$604=A138)*'Content Calendar'!$B$5:$B$604)))</f>
        <v>0</v>
      </c>
      <c r="U138" s="23">
        <f>IF(H138="","",TODAY()-H138)</f>
        <v>0</v>
      </c>
      <c r="V138" s="23">
        <f>IF(P138="","",P138-TODAY())</f>
        <v>0</v>
      </c>
      <c r="W138" s="29">
        <f>IF(B138="","",IF(COUNTIF(Assets!$B$5:$B$254,B138)&gt;1,"Duplicate","OK"))</f>
        <v>0</v>
      </c>
      <c r="X138" s="29">
        <f>IF(B138="","",IF(AND(P138&lt;&gt;"",P138&lt;TODAY()),"Expired - stop using this file",IF(D138="","Add - no file link saved",IF(N138&lt;&gt;"Approved","Check - not approved for use",IF(R138=0,"Use - never used yet","OK")))))</f>
        <v>0</v>
      </c>
    </row>
    <row r="139" spans="1:24">
      <c r="A139" s="41">
        <f>IF(B139="","",AssetPrefix&amp;TEXT(ROW()-4,"0000"))</f>
        <v>0</v>
      </c>
      <c r="R139" s="23">
        <f>IF(A139="","",COUNTIF('Content Calendar'!$T$5:$T$604,A139))</f>
        <v>0</v>
      </c>
      <c r="S139" s="23">
        <f>IF(A139="","",COUNTIF(Ads!$H$5:$H$104,A139))</f>
        <v>0</v>
      </c>
      <c r="T139" s="16">
        <f>IF(R139=0,"",SUMPRODUCT(MAX(('Content Calendar'!$T$5:$T$604=A139)*'Content Calendar'!$B$5:$B$604)))</f>
        <v>0</v>
      </c>
      <c r="U139" s="23">
        <f>IF(H139="","",TODAY()-H139)</f>
        <v>0</v>
      </c>
      <c r="V139" s="23">
        <f>IF(P139="","",P139-TODAY())</f>
        <v>0</v>
      </c>
      <c r="W139" s="29">
        <f>IF(B139="","",IF(COUNTIF(Assets!$B$5:$B$254,B139)&gt;1,"Duplicate","OK"))</f>
        <v>0</v>
      </c>
      <c r="X139" s="29">
        <f>IF(B139="","",IF(AND(P139&lt;&gt;"",P139&lt;TODAY()),"Expired - stop using this file",IF(D139="","Add - no file link saved",IF(N139&lt;&gt;"Approved","Check - not approved for use",IF(R139=0,"Use - never used yet","OK")))))</f>
        <v>0</v>
      </c>
    </row>
    <row r="140" spans="1:24">
      <c r="A140" s="41">
        <f>IF(B140="","",AssetPrefix&amp;TEXT(ROW()-4,"0000"))</f>
        <v>0</v>
      </c>
      <c r="R140" s="23">
        <f>IF(A140="","",COUNTIF('Content Calendar'!$T$5:$T$604,A140))</f>
        <v>0</v>
      </c>
      <c r="S140" s="23">
        <f>IF(A140="","",COUNTIF(Ads!$H$5:$H$104,A140))</f>
        <v>0</v>
      </c>
      <c r="T140" s="16">
        <f>IF(R140=0,"",SUMPRODUCT(MAX(('Content Calendar'!$T$5:$T$604=A140)*'Content Calendar'!$B$5:$B$604)))</f>
        <v>0</v>
      </c>
      <c r="U140" s="23">
        <f>IF(H140="","",TODAY()-H140)</f>
        <v>0</v>
      </c>
      <c r="V140" s="23">
        <f>IF(P140="","",P140-TODAY())</f>
        <v>0</v>
      </c>
      <c r="W140" s="29">
        <f>IF(B140="","",IF(COUNTIF(Assets!$B$5:$B$254,B140)&gt;1,"Duplicate","OK"))</f>
        <v>0</v>
      </c>
      <c r="X140" s="29">
        <f>IF(B140="","",IF(AND(P140&lt;&gt;"",P140&lt;TODAY()),"Expired - stop using this file",IF(D140="","Add - no file link saved",IF(N140&lt;&gt;"Approved","Check - not approved for use",IF(R140=0,"Use - never used yet","OK")))))</f>
        <v>0</v>
      </c>
    </row>
    <row r="141" spans="1:24">
      <c r="A141" s="41">
        <f>IF(B141="","",AssetPrefix&amp;TEXT(ROW()-4,"0000"))</f>
        <v>0</v>
      </c>
      <c r="R141" s="23">
        <f>IF(A141="","",COUNTIF('Content Calendar'!$T$5:$T$604,A141))</f>
        <v>0</v>
      </c>
      <c r="S141" s="23">
        <f>IF(A141="","",COUNTIF(Ads!$H$5:$H$104,A141))</f>
        <v>0</v>
      </c>
      <c r="T141" s="16">
        <f>IF(R141=0,"",SUMPRODUCT(MAX(('Content Calendar'!$T$5:$T$604=A141)*'Content Calendar'!$B$5:$B$604)))</f>
        <v>0</v>
      </c>
      <c r="U141" s="23">
        <f>IF(H141="","",TODAY()-H141)</f>
        <v>0</v>
      </c>
      <c r="V141" s="23">
        <f>IF(P141="","",P141-TODAY())</f>
        <v>0</v>
      </c>
      <c r="W141" s="29">
        <f>IF(B141="","",IF(COUNTIF(Assets!$B$5:$B$254,B141)&gt;1,"Duplicate","OK"))</f>
        <v>0</v>
      </c>
      <c r="X141" s="29">
        <f>IF(B141="","",IF(AND(P141&lt;&gt;"",P141&lt;TODAY()),"Expired - stop using this file",IF(D141="","Add - no file link saved",IF(N141&lt;&gt;"Approved","Check - not approved for use",IF(R141=0,"Use - never used yet","OK")))))</f>
        <v>0</v>
      </c>
    </row>
    <row r="142" spans="1:24">
      <c r="A142" s="41">
        <f>IF(B142="","",AssetPrefix&amp;TEXT(ROW()-4,"0000"))</f>
        <v>0</v>
      </c>
      <c r="R142" s="23">
        <f>IF(A142="","",COUNTIF('Content Calendar'!$T$5:$T$604,A142))</f>
        <v>0</v>
      </c>
      <c r="S142" s="23">
        <f>IF(A142="","",COUNTIF(Ads!$H$5:$H$104,A142))</f>
        <v>0</v>
      </c>
      <c r="T142" s="16">
        <f>IF(R142=0,"",SUMPRODUCT(MAX(('Content Calendar'!$T$5:$T$604=A142)*'Content Calendar'!$B$5:$B$604)))</f>
        <v>0</v>
      </c>
      <c r="U142" s="23">
        <f>IF(H142="","",TODAY()-H142)</f>
        <v>0</v>
      </c>
      <c r="V142" s="23">
        <f>IF(P142="","",P142-TODAY())</f>
        <v>0</v>
      </c>
      <c r="W142" s="29">
        <f>IF(B142="","",IF(COUNTIF(Assets!$B$5:$B$254,B142)&gt;1,"Duplicate","OK"))</f>
        <v>0</v>
      </c>
      <c r="X142" s="29">
        <f>IF(B142="","",IF(AND(P142&lt;&gt;"",P142&lt;TODAY()),"Expired - stop using this file",IF(D142="","Add - no file link saved",IF(N142&lt;&gt;"Approved","Check - not approved for use",IF(R142=0,"Use - never used yet","OK")))))</f>
        <v>0</v>
      </c>
    </row>
    <row r="143" spans="1:24">
      <c r="A143" s="41">
        <f>IF(B143="","",AssetPrefix&amp;TEXT(ROW()-4,"0000"))</f>
        <v>0</v>
      </c>
      <c r="R143" s="23">
        <f>IF(A143="","",COUNTIF('Content Calendar'!$T$5:$T$604,A143))</f>
        <v>0</v>
      </c>
      <c r="S143" s="23">
        <f>IF(A143="","",COUNTIF(Ads!$H$5:$H$104,A143))</f>
        <v>0</v>
      </c>
      <c r="T143" s="16">
        <f>IF(R143=0,"",SUMPRODUCT(MAX(('Content Calendar'!$T$5:$T$604=A143)*'Content Calendar'!$B$5:$B$604)))</f>
        <v>0</v>
      </c>
      <c r="U143" s="23">
        <f>IF(H143="","",TODAY()-H143)</f>
        <v>0</v>
      </c>
      <c r="V143" s="23">
        <f>IF(P143="","",P143-TODAY())</f>
        <v>0</v>
      </c>
      <c r="W143" s="29">
        <f>IF(B143="","",IF(COUNTIF(Assets!$B$5:$B$254,B143)&gt;1,"Duplicate","OK"))</f>
        <v>0</v>
      </c>
      <c r="X143" s="29">
        <f>IF(B143="","",IF(AND(P143&lt;&gt;"",P143&lt;TODAY()),"Expired - stop using this file",IF(D143="","Add - no file link saved",IF(N143&lt;&gt;"Approved","Check - not approved for use",IF(R143=0,"Use - never used yet","OK")))))</f>
        <v>0</v>
      </c>
    </row>
    <row r="144" spans="1:24">
      <c r="A144" s="41">
        <f>IF(B144="","",AssetPrefix&amp;TEXT(ROW()-4,"0000"))</f>
        <v>0</v>
      </c>
      <c r="R144" s="23">
        <f>IF(A144="","",COUNTIF('Content Calendar'!$T$5:$T$604,A144))</f>
        <v>0</v>
      </c>
      <c r="S144" s="23">
        <f>IF(A144="","",COUNTIF(Ads!$H$5:$H$104,A144))</f>
        <v>0</v>
      </c>
      <c r="T144" s="16">
        <f>IF(R144=0,"",SUMPRODUCT(MAX(('Content Calendar'!$T$5:$T$604=A144)*'Content Calendar'!$B$5:$B$604)))</f>
        <v>0</v>
      </c>
      <c r="U144" s="23">
        <f>IF(H144="","",TODAY()-H144)</f>
        <v>0</v>
      </c>
      <c r="V144" s="23">
        <f>IF(P144="","",P144-TODAY())</f>
        <v>0</v>
      </c>
      <c r="W144" s="29">
        <f>IF(B144="","",IF(COUNTIF(Assets!$B$5:$B$254,B144)&gt;1,"Duplicate","OK"))</f>
        <v>0</v>
      </c>
      <c r="X144" s="29">
        <f>IF(B144="","",IF(AND(P144&lt;&gt;"",P144&lt;TODAY()),"Expired - stop using this file",IF(D144="","Add - no file link saved",IF(N144&lt;&gt;"Approved","Check - not approved for use",IF(R144=0,"Use - never used yet","OK")))))</f>
        <v>0</v>
      </c>
    </row>
    <row r="145" spans="1:24">
      <c r="A145" s="41">
        <f>IF(B145="","",AssetPrefix&amp;TEXT(ROW()-4,"0000"))</f>
        <v>0</v>
      </c>
      <c r="R145" s="23">
        <f>IF(A145="","",COUNTIF('Content Calendar'!$T$5:$T$604,A145))</f>
        <v>0</v>
      </c>
      <c r="S145" s="23">
        <f>IF(A145="","",COUNTIF(Ads!$H$5:$H$104,A145))</f>
        <v>0</v>
      </c>
      <c r="T145" s="16">
        <f>IF(R145=0,"",SUMPRODUCT(MAX(('Content Calendar'!$T$5:$T$604=A145)*'Content Calendar'!$B$5:$B$604)))</f>
        <v>0</v>
      </c>
      <c r="U145" s="23">
        <f>IF(H145="","",TODAY()-H145)</f>
        <v>0</v>
      </c>
      <c r="V145" s="23">
        <f>IF(P145="","",P145-TODAY())</f>
        <v>0</v>
      </c>
      <c r="W145" s="29">
        <f>IF(B145="","",IF(COUNTIF(Assets!$B$5:$B$254,B145)&gt;1,"Duplicate","OK"))</f>
        <v>0</v>
      </c>
      <c r="X145" s="29">
        <f>IF(B145="","",IF(AND(P145&lt;&gt;"",P145&lt;TODAY()),"Expired - stop using this file",IF(D145="","Add - no file link saved",IF(N145&lt;&gt;"Approved","Check - not approved for use",IF(R145=0,"Use - never used yet","OK")))))</f>
        <v>0</v>
      </c>
    </row>
    <row r="146" spans="1:24">
      <c r="A146" s="41">
        <f>IF(B146="","",AssetPrefix&amp;TEXT(ROW()-4,"0000"))</f>
        <v>0</v>
      </c>
      <c r="R146" s="23">
        <f>IF(A146="","",COUNTIF('Content Calendar'!$T$5:$T$604,A146))</f>
        <v>0</v>
      </c>
      <c r="S146" s="23">
        <f>IF(A146="","",COUNTIF(Ads!$H$5:$H$104,A146))</f>
        <v>0</v>
      </c>
      <c r="T146" s="16">
        <f>IF(R146=0,"",SUMPRODUCT(MAX(('Content Calendar'!$T$5:$T$604=A146)*'Content Calendar'!$B$5:$B$604)))</f>
        <v>0</v>
      </c>
      <c r="U146" s="23">
        <f>IF(H146="","",TODAY()-H146)</f>
        <v>0</v>
      </c>
      <c r="V146" s="23">
        <f>IF(P146="","",P146-TODAY())</f>
        <v>0</v>
      </c>
      <c r="W146" s="29">
        <f>IF(B146="","",IF(COUNTIF(Assets!$B$5:$B$254,B146)&gt;1,"Duplicate","OK"))</f>
        <v>0</v>
      </c>
      <c r="X146" s="29">
        <f>IF(B146="","",IF(AND(P146&lt;&gt;"",P146&lt;TODAY()),"Expired - stop using this file",IF(D146="","Add - no file link saved",IF(N146&lt;&gt;"Approved","Check - not approved for use",IF(R146=0,"Use - never used yet","OK")))))</f>
        <v>0</v>
      </c>
    </row>
    <row r="147" spans="1:24">
      <c r="A147" s="41">
        <f>IF(B147="","",AssetPrefix&amp;TEXT(ROW()-4,"0000"))</f>
        <v>0</v>
      </c>
      <c r="R147" s="23">
        <f>IF(A147="","",COUNTIF('Content Calendar'!$T$5:$T$604,A147))</f>
        <v>0</v>
      </c>
      <c r="S147" s="23">
        <f>IF(A147="","",COUNTIF(Ads!$H$5:$H$104,A147))</f>
        <v>0</v>
      </c>
      <c r="T147" s="16">
        <f>IF(R147=0,"",SUMPRODUCT(MAX(('Content Calendar'!$T$5:$T$604=A147)*'Content Calendar'!$B$5:$B$604)))</f>
        <v>0</v>
      </c>
      <c r="U147" s="23">
        <f>IF(H147="","",TODAY()-H147)</f>
        <v>0</v>
      </c>
      <c r="V147" s="23">
        <f>IF(P147="","",P147-TODAY())</f>
        <v>0</v>
      </c>
      <c r="W147" s="29">
        <f>IF(B147="","",IF(COUNTIF(Assets!$B$5:$B$254,B147)&gt;1,"Duplicate","OK"))</f>
        <v>0</v>
      </c>
      <c r="X147" s="29">
        <f>IF(B147="","",IF(AND(P147&lt;&gt;"",P147&lt;TODAY()),"Expired - stop using this file",IF(D147="","Add - no file link saved",IF(N147&lt;&gt;"Approved","Check - not approved for use",IF(R147=0,"Use - never used yet","OK")))))</f>
        <v>0</v>
      </c>
    </row>
    <row r="148" spans="1:24">
      <c r="A148" s="41">
        <f>IF(B148="","",AssetPrefix&amp;TEXT(ROW()-4,"0000"))</f>
        <v>0</v>
      </c>
      <c r="R148" s="23">
        <f>IF(A148="","",COUNTIF('Content Calendar'!$T$5:$T$604,A148))</f>
        <v>0</v>
      </c>
      <c r="S148" s="23">
        <f>IF(A148="","",COUNTIF(Ads!$H$5:$H$104,A148))</f>
        <v>0</v>
      </c>
      <c r="T148" s="16">
        <f>IF(R148=0,"",SUMPRODUCT(MAX(('Content Calendar'!$T$5:$T$604=A148)*'Content Calendar'!$B$5:$B$604)))</f>
        <v>0</v>
      </c>
      <c r="U148" s="23">
        <f>IF(H148="","",TODAY()-H148)</f>
        <v>0</v>
      </c>
      <c r="V148" s="23">
        <f>IF(P148="","",P148-TODAY())</f>
        <v>0</v>
      </c>
      <c r="W148" s="29">
        <f>IF(B148="","",IF(COUNTIF(Assets!$B$5:$B$254,B148)&gt;1,"Duplicate","OK"))</f>
        <v>0</v>
      </c>
      <c r="X148" s="29">
        <f>IF(B148="","",IF(AND(P148&lt;&gt;"",P148&lt;TODAY()),"Expired - stop using this file",IF(D148="","Add - no file link saved",IF(N148&lt;&gt;"Approved","Check - not approved for use",IF(R148=0,"Use - never used yet","OK")))))</f>
        <v>0</v>
      </c>
    </row>
    <row r="149" spans="1:24">
      <c r="A149" s="41">
        <f>IF(B149="","",AssetPrefix&amp;TEXT(ROW()-4,"0000"))</f>
        <v>0</v>
      </c>
      <c r="R149" s="23">
        <f>IF(A149="","",COUNTIF('Content Calendar'!$T$5:$T$604,A149))</f>
        <v>0</v>
      </c>
      <c r="S149" s="23">
        <f>IF(A149="","",COUNTIF(Ads!$H$5:$H$104,A149))</f>
        <v>0</v>
      </c>
      <c r="T149" s="16">
        <f>IF(R149=0,"",SUMPRODUCT(MAX(('Content Calendar'!$T$5:$T$604=A149)*'Content Calendar'!$B$5:$B$604)))</f>
        <v>0</v>
      </c>
      <c r="U149" s="23">
        <f>IF(H149="","",TODAY()-H149)</f>
        <v>0</v>
      </c>
      <c r="V149" s="23">
        <f>IF(P149="","",P149-TODAY())</f>
        <v>0</v>
      </c>
      <c r="W149" s="29">
        <f>IF(B149="","",IF(COUNTIF(Assets!$B$5:$B$254,B149)&gt;1,"Duplicate","OK"))</f>
        <v>0</v>
      </c>
      <c r="X149" s="29">
        <f>IF(B149="","",IF(AND(P149&lt;&gt;"",P149&lt;TODAY()),"Expired - stop using this file",IF(D149="","Add - no file link saved",IF(N149&lt;&gt;"Approved","Check - not approved for use",IF(R149=0,"Use - never used yet","OK")))))</f>
        <v>0</v>
      </c>
    </row>
    <row r="150" spans="1:24">
      <c r="A150" s="41">
        <f>IF(B150="","",AssetPrefix&amp;TEXT(ROW()-4,"0000"))</f>
        <v>0</v>
      </c>
      <c r="R150" s="23">
        <f>IF(A150="","",COUNTIF('Content Calendar'!$T$5:$T$604,A150))</f>
        <v>0</v>
      </c>
      <c r="S150" s="23">
        <f>IF(A150="","",COUNTIF(Ads!$H$5:$H$104,A150))</f>
        <v>0</v>
      </c>
      <c r="T150" s="16">
        <f>IF(R150=0,"",SUMPRODUCT(MAX(('Content Calendar'!$T$5:$T$604=A150)*'Content Calendar'!$B$5:$B$604)))</f>
        <v>0</v>
      </c>
      <c r="U150" s="23">
        <f>IF(H150="","",TODAY()-H150)</f>
        <v>0</v>
      </c>
      <c r="V150" s="23">
        <f>IF(P150="","",P150-TODAY())</f>
        <v>0</v>
      </c>
      <c r="W150" s="29">
        <f>IF(B150="","",IF(COUNTIF(Assets!$B$5:$B$254,B150)&gt;1,"Duplicate","OK"))</f>
        <v>0</v>
      </c>
      <c r="X150" s="29">
        <f>IF(B150="","",IF(AND(P150&lt;&gt;"",P150&lt;TODAY()),"Expired - stop using this file",IF(D150="","Add - no file link saved",IF(N150&lt;&gt;"Approved","Check - not approved for use",IF(R150=0,"Use - never used yet","OK")))))</f>
        <v>0</v>
      </c>
    </row>
    <row r="151" spans="1:24">
      <c r="A151" s="41">
        <f>IF(B151="","",AssetPrefix&amp;TEXT(ROW()-4,"0000"))</f>
        <v>0</v>
      </c>
      <c r="R151" s="23">
        <f>IF(A151="","",COUNTIF('Content Calendar'!$T$5:$T$604,A151))</f>
        <v>0</v>
      </c>
      <c r="S151" s="23">
        <f>IF(A151="","",COUNTIF(Ads!$H$5:$H$104,A151))</f>
        <v>0</v>
      </c>
      <c r="T151" s="16">
        <f>IF(R151=0,"",SUMPRODUCT(MAX(('Content Calendar'!$T$5:$T$604=A151)*'Content Calendar'!$B$5:$B$604)))</f>
        <v>0</v>
      </c>
      <c r="U151" s="23">
        <f>IF(H151="","",TODAY()-H151)</f>
        <v>0</v>
      </c>
      <c r="V151" s="23">
        <f>IF(P151="","",P151-TODAY())</f>
        <v>0</v>
      </c>
      <c r="W151" s="29">
        <f>IF(B151="","",IF(COUNTIF(Assets!$B$5:$B$254,B151)&gt;1,"Duplicate","OK"))</f>
        <v>0</v>
      </c>
      <c r="X151" s="29">
        <f>IF(B151="","",IF(AND(P151&lt;&gt;"",P151&lt;TODAY()),"Expired - stop using this file",IF(D151="","Add - no file link saved",IF(N151&lt;&gt;"Approved","Check - not approved for use",IF(R151=0,"Use - never used yet","OK")))))</f>
        <v>0</v>
      </c>
    </row>
    <row r="152" spans="1:24">
      <c r="A152" s="41">
        <f>IF(B152="","",AssetPrefix&amp;TEXT(ROW()-4,"0000"))</f>
        <v>0</v>
      </c>
      <c r="R152" s="23">
        <f>IF(A152="","",COUNTIF('Content Calendar'!$T$5:$T$604,A152))</f>
        <v>0</v>
      </c>
      <c r="S152" s="23">
        <f>IF(A152="","",COUNTIF(Ads!$H$5:$H$104,A152))</f>
        <v>0</v>
      </c>
      <c r="T152" s="16">
        <f>IF(R152=0,"",SUMPRODUCT(MAX(('Content Calendar'!$T$5:$T$604=A152)*'Content Calendar'!$B$5:$B$604)))</f>
        <v>0</v>
      </c>
      <c r="U152" s="23">
        <f>IF(H152="","",TODAY()-H152)</f>
        <v>0</v>
      </c>
      <c r="V152" s="23">
        <f>IF(P152="","",P152-TODAY())</f>
        <v>0</v>
      </c>
      <c r="W152" s="29">
        <f>IF(B152="","",IF(COUNTIF(Assets!$B$5:$B$254,B152)&gt;1,"Duplicate","OK"))</f>
        <v>0</v>
      </c>
      <c r="X152" s="29">
        <f>IF(B152="","",IF(AND(P152&lt;&gt;"",P152&lt;TODAY()),"Expired - stop using this file",IF(D152="","Add - no file link saved",IF(N152&lt;&gt;"Approved","Check - not approved for use",IF(R152=0,"Use - never used yet","OK")))))</f>
        <v>0</v>
      </c>
    </row>
    <row r="153" spans="1:24">
      <c r="A153" s="41">
        <f>IF(B153="","",AssetPrefix&amp;TEXT(ROW()-4,"0000"))</f>
        <v>0</v>
      </c>
      <c r="R153" s="23">
        <f>IF(A153="","",COUNTIF('Content Calendar'!$T$5:$T$604,A153))</f>
        <v>0</v>
      </c>
      <c r="S153" s="23">
        <f>IF(A153="","",COUNTIF(Ads!$H$5:$H$104,A153))</f>
        <v>0</v>
      </c>
      <c r="T153" s="16">
        <f>IF(R153=0,"",SUMPRODUCT(MAX(('Content Calendar'!$T$5:$T$604=A153)*'Content Calendar'!$B$5:$B$604)))</f>
        <v>0</v>
      </c>
      <c r="U153" s="23">
        <f>IF(H153="","",TODAY()-H153)</f>
        <v>0</v>
      </c>
      <c r="V153" s="23">
        <f>IF(P153="","",P153-TODAY())</f>
        <v>0</v>
      </c>
      <c r="W153" s="29">
        <f>IF(B153="","",IF(COUNTIF(Assets!$B$5:$B$254,B153)&gt;1,"Duplicate","OK"))</f>
        <v>0</v>
      </c>
      <c r="X153" s="29">
        <f>IF(B153="","",IF(AND(P153&lt;&gt;"",P153&lt;TODAY()),"Expired - stop using this file",IF(D153="","Add - no file link saved",IF(N153&lt;&gt;"Approved","Check - not approved for use",IF(R153=0,"Use - never used yet","OK")))))</f>
        <v>0</v>
      </c>
    </row>
    <row r="154" spans="1:24">
      <c r="A154" s="41">
        <f>IF(B154="","",AssetPrefix&amp;TEXT(ROW()-4,"0000"))</f>
        <v>0</v>
      </c>
      <c r="R154" s="23">
        <f>IF(A154="","",COUNTIF('Content Calendar'!$T$5:$T$604,A154))</f>
        <v>0</v>
      </c>
      <c r="S154" s="23">
        <f>IF(A154="","",COUNTIF(Ads!$H$5:$H$104,A154))</f>
        <v>0</v>
      </c>
      <c r="T154" s="16">
        <f>IF(R154=0,"",SUMPRODUCT(MAX(('Content Calendar'!$T$5:$T$604=A154)*'Content Calendar'!$B$5:$B$604)))</f>
        <v>0</v>
      </c>
      <c r="U154" s="23">
        <f>IF(H154="","",TODAY()-H154)</f>
        <v>0</v>
      </c>
      <c r="V154" s="23">
        <f>IF(P154="","",P154-TODAY())</f>
        <v>0</v>
      </c>
      <c r="W154" s="29">
        <f>IF(B154="","",IF(COUNTIF(Assets!$B$5:$B$254,B154)&gt;1,"Duplicate","OK"))</f>
        <v>0</v>
      </c>
      <c r="X154" s="29">
        <f>IF(B154="","",IF(AND(P154&lt;&gt;"",P154&lt;TODAY()),"Expired - stop using this file",IF(D154="","Add - no file link saved",IF(N154&lt;&gt;"Approved","Check - not approved for use",IF(R154=0,"Use - never used yet","OK")))))</f>
        <v>0</v>
      </c>
    </row>
    <row r="155" spans="1:24">
      <c r="A155" s="41">
        <f>IF(B155="","",AssetPrefix&amp;TEXT(ROW()-4,"0000"))</f>
        <v>0</v>
      </c>
      <c r="R155" s="23">
        <f>IF(A155="","",COUNTIF('Content Calendar'!$T$5:$T$604,A155))</f>
        <v>0</v>
      </c>
      <c r="S155" s="23">
        <f>IF(A155="","",COUNTIF(Ads!$H$5:$H$104,A155))</f>
        <v>0</v>
      </c>
      <c r="T155" s="16">
        <f>IF(R155=0,"",SUMPRODUCT(MAX(('Content Calendar'!$T$5:$T$604=A155)*'Content Calendar'!$B$5:$B$604)))</f>
        <v>0</v>
      </c>
      <c r="U155" s="23">
        <f>IF(H155="","",TODAY()-H155)</f>
        <v>0</v>
      </c>
      <c r="V155" s="23">
        <f>IF(P155="","",P155-TODAY())</f>
        <v>0</v>
      </c>
      <c r="W155" s="29">
        <f>IF(B155="","",IF(COUNTIF(Assets!$B$5:$B$254,B155)&gt;1,"Duplicate","OK"))</f>
        <v>0</v>
      </c>
      <c r="X155" s="29">
        <f>IF(B155="","",IF(AND(P155&lt;&gt;"",P155&lt;TODAY()),"Expired - stop using this file",IF(D155="","Add - no file link saved",IF(N155&lt;&gt;"Approved","Check - not approved for use",IF(R155=0,"Use - never used yet","OK")))))</f>
        <v>0</v>
      </c>
    </row>
    <row r="156" spans="1:24">
      <c r="A156" s="41">
        <f>IF(B156="","",AssetPrefix&amp;TEXT(ROW()-4,"0000"))</f>
        <v>0</v>
      </c>
      <c r="R156" s="23">
        <f>IF(A156="","",COUNTIF('Content Calendar'!$T$5:$T$604,A156))</f>
        <v>0</v>
      </c>
      <c r="S156" s="23">
        <f>IF(A156="","",COUNTIF(Ads!$H$5:$H$104,A156))</f>
        <v>0</v>
      </c>
      <c r="T156" s="16">
        <f>IF(R156=0,"",SUMPRODUCT(MAX(('Content Calendar'!$T$5:$T$604=A156)*'Content Calendar'!$B$5:$B$604)))</f>
        <v>0</v>
      </c>
      <c r="U156" s="23">
        <f>IF(H156="","",TODAY()-H156)</f>
        <v>0</v>
      </c>
      <c r="V156" s="23">
        <f>IF(P156="","",P156-TODAY())</f>
        <v>0</v>
      </c>
      <c r="W156" s="29">
        <f>IF(B156="","",IF(COUNTIF(Assets!$B$5:$B$254,B156)&gt;1,"Duplicate","OK"))</f>
        <v>0</v>
      </c>
      <c r="X156" s="29">
        <f>IF(B156="","",IF(AND(P156&lt;&gt;"",P156&lt;TODAY()),"Expired - stop using this file",IF(D156="","Add - no file link saved",IF(N156&lt;&gt;"Approved","Check - not approved for use",IF(R156=0,"Use - never used yet","OK")))))</f>
        <v>0</v>
      </c>
    </row>
    <row r="157" spans="1:24">
      <c r="A157" s="41">
        <f>IF(B157="","",AssetPrefix&amp;TEXT(ROW()-4,"0000"))</f>
        <v>0</v>
      </c>
      <c r="R157" s="23">
        <f>IF(A157="","",COUNTIF('Content Calendar'!$T$5:$T$604,A157))</f>
        <v>0</v>
      </c>
      <c r="S157" s="23">
        <f>IF(A157="","",COUNTIF(Ads!$H$5:$H$104,A157))</f>
        <v>0</v>
      </c>
      <c r="T157" s="16">
        <f>IF(R157=0,"",SUMPRODUCT(MAX(('Content Calendar'!$T$5:$T$604=A157)*'Content Calendar'!$B$5:$B$604)))</f>
        <v>0</v>
      </c>
      <c r="U157" s="23">
        <f>IF(H157="","",TODAY()-H157)</f>
        <v>0</v>
      </c>
      <c r="V157" s="23">
        <f>IF(P157="","",P157-TODAY())</f>
        <v>0</v>
      </c>
      <c r="W157" s="29">
        <f>IF(B157="","",IF(COUNTIF(Assets!$B$5:$B$254,B157)&gt;1,"Duplicate","OK"))</f>
        <v>0</v>
      </c>
      <c r="X157" s="29">
        <f>IF(B157="","",IF(AND(P157&lt;&gt;"",P157&lt;TODAY()),"Expired - stop using this file",IF(D157="","Add - no file link saved",IF(N157&lt;&gt;"Approved","Check - not approved for use",IF(R157=0,"Use - never used yet","OK")))))</f>
        <v>0</v>
      </c>
    </row>
    <row r="158" spans="1:24">
      <c r="A158" s="41">
        <f>IF(B158="","",AssetPrefix&amp;TEXT(ROW()-4,"0000"))</f>
        <v>0</v>
      </c>
      <c r="R158" s="23">
        <f>IF(A158="","",COUNTIF('Content Calendar'!$T$5:$T$604,A158))</f>
        <v>0</v>
      </c>
      <c r="S158" s="23">
        <f>IF(A158="","",COUNTIF(Ads!$H$5:$H$104,A158))</f>
        <v>0</v>
      </c>
      <c r="T158" s="16">
        <f>IF(R158=0,"",SUMPRODUCT(MAX(('Content Calendar'!$T$5:$T$604=A158)*'Content Calendar'!$B$5:$B$604)))</f>
        <v>0</v>
      </c>
      <c r="U158" s="23">
        <f>IF(H158="","",TODAY()-H158)</f>
        <v>0</v>
      </c>
      <c r="V158" s="23">
        <f>IF(P158="","",P158-TODAY())</f>
        <v>0</v>
      </c>
      <c r="W158" s="29">
        <f>IF(B158="","",IF(COUNTIF(Assets!$B$5:$B$254,B158)&gt;1,"Duplicate","OK"))</f>
        <v>0</v>
      </c>
      <c r="X158" s="29">
        <f>IF(B158="","",IF(AND(P158&lt;&gt;"",P158&lt;TODAY()),"Expired - stop using this file",IF(D158="","Add - no file link saved",IF(N158&lt;&gt;"Approved","Check - not approved for use",IF(R158=0,"Use - never used yet","OK")))))</f>
        <v>0</v>
      </c>
    </row>
    <row r="159" spans="1:24">
      <c r="A159" s="41">
        <f>IF(B159="","",AssetPrefix&amp;TEXT(ROW()-4,"0000"))</f>
        <v>0</v>
      </c>
      <c r="R159" s="23">
        <f>IF(A159="","",COUNTIF('Content Calendar'!$T$5:$T$604,A159))</f>
        <v>0</v>
      </c>
      <c r="S159" s="23">
        <f>IF(A159="","",COUNTIF(Ads!$H$5:$H$104,A159))</f>
        <v>0</v>
      </c>
      <c r="T159" s="16">
        <f>IF(R159=0,"",SUMPRODUCT(MAX(('Content Calendar'!$T$5:$T$604=A159)*'Content Calendar'!$B$5:$B$604)))</f>
        <v>0</v>
      </c>
      <c r="U159" s="23">
        <f>IF(H159="","",TODAY()-H159)</f>
        <v>0</v>
      </c>
      <c r="V159" s="23">
        <f>IF(P159="","",P159-TODAY())</f>
        <v>0</v>
      </c>
      <c r="W159" s="29">
        <f>IF(B159="","",IF(COUNTIF(Assets!$B$5:$B$254,B159)&gt;1,"Duplicate","OK"))</f>
        <v>0</v>
      </c>
      <c r="X159" s="29">
        <f>IF(B159="","",IF(AND(P159&lt;&gt;"",P159&lt;TODAY()),"Expired - stop using this file",IF(D159="","Add - no file link saved",IF(N159&lt;&gt;"Approved","Check - not approved for use",IF(R159=0,"Use - never used yet","OK")))))</f>
        <v>0</v>
      </c>
    </row>
    <row r="160" spans="1:24">
      <c r="A160" s="41">
        <f>IF(B160="","",AssetPrefix&amp;TEXT(ROW()-4,"0000"))</f>
        <v>0</v>
      </c>
      <c r="R160" s="23">
        <f>IF(A160="","",COUNTIF('Content Calendar'!$T$5:$T$604,A160))</f>
        <v>0</v>
      </c>
      <c r="S160" s="23">
        <f>IF(A160="","",COUNTIF(Ads!$H$5:$H$104,A160))</f>
        <v>0</v>
      </c>
      <c r="T160" s="16">
        <f>IF(R160=0,"",SUMPRODUCT(MAX(('Content Calendar'!$T$5:$T$604=A160)*'Content Calendar'!$B$5:$B$604)))</f>
        <v>0</v>
      </c>
      <c r="U160" s="23">
        <f>IF(H160="","",TODAY()-H160)</f>
        <v>0</v>
      </c>
      <c r="V160" s="23">
        <f>IF(P160="","",P160-TODAY())</f>
        <v>0</v>
      </c>
      <c r="W160" s="29">
        <f>IF(B160="","",IF(COUNTIF(Assets!$B$5:$B$254,B160)&gt;1,"Duplicate","OK"))</f>
        <v>0</v>
      </c>
      <c r="X160" s="29">
        <f>IF(B160="","",IF(AND(P160&lt;&gt;"",P160&lt;TODAY()),"Expired - stop using this file",IF(D160="","Add - no file link saved",IF(N160&lt;&gt;"Approved","Check - not approved for use",IF(R160=0,"Use - never used yet","OK")))))</f>
        <v>0</v>
      </c>
    </row>
    <row r="161" spans="1:24">
      <c r="A161" s="41">
        <f>IF(B161="","",AssetPrefix&amp;TEXT(ROW()-4,"0000"))</f>
        <v>0</v>
      </c>
      <c r="R161" s="23">
        <f>IF(A161="","",COUNTIF('Content Calendar'!$T$5:$T$604,A161))</f>
        <v>0</v>
      </c>
      <c r="S161" s="23">
        <f>IF(A161="","",COUNTIF(Ads!$H$5:$H$104,A161))</f>
        <v>0</v>
      </c>
      <c r="T161" s="16">
        <f>IF(R161=0,"",SUMPRODUCT(MAX(('Content Calendar'!$T$5:$T$604=A161)*'Content Calendar'!$B$5:$B$604)))</f>
        <v>0</v>
      </c>
      <c r="U161" s="23">
        <f>IF(H161="","",TODAY()-H161)</f>
        <v>0</v>
      </c>
      <c r="V161" s="23">
        <f>IF(P161="","",P161-TODAY())</f>
        <v>0</v>
      </c>
      <c r="W161" s="29">
        <f>IF(B161="","",IF(COUNTIF(Assets!$B$5:$B$254,B161)&gt;1,"Duplicate","OK"))</f>
        <v>0</v>
      </c>
      <c r="X161" s="29">
        <f>IF(B161="","",IF(AND(P161&lt;&gt;"",P161&lt;TODAY()),"Expired - stop using this file",IF(D161="","Add - no file link saved",IF(N161&lt;&gt;"Approved","Check - not approved for use",IF(R161=0,"Use - never used yet","OK")))))</f>
        <v>0</v>
      </c>
    </row>
    <row r="162" spans="1:24">
      <c r="A162" s="41">
        <f>IF(B162="","",AssetPrefix&amp;TEXT(ROW()-4,"0000"))</f>
        <v>0</v>
      </c>
      <c r="R162" s="23">
        <f>IF(A162="","",COUNTIF('Content Calendar'!$T$5:$T$604,A162))</f>
        <v>0</v>
      </c>
      <c r="S162" s="23">
        <f>IF(A162="","",COUNTIF(Ads!$H$5:$H$104,A162))</f>
        <v>0</v>
      </c>
      <c r="T162" s="16">
        <f>IF(R162=0,"",SUMPRODUCT(MAX(('Content Calendar'!$T$5:$T$604=A162)*'Content Calendar'!$B$5:$B$604)))</f>
        <v>0</v>
      </c>
      <c r="U162" s="23">
        <f>IF(H162="","",TODAY()-H162)</f>
        <v>0</v>
      </c>
      <c r="V162" s="23">
        <f>IF(P162="","",P162-TODAY())</f>
        <v>0</v>
      </c>
      <c r="W162" s="29">
        <f>IF(B162="","",IF(COUNTIF(Assets!$B$5:$B$254,B162)&gt;1,"Duplicate","OK"))</f>
        <v>0</v>
      </c>
      <c r="X162" s="29">
        <f>IF(B162="","",IF(AND(P162&lt;&gt;"",P162&lt;TODAY()),"Expired - stop using this file",IF(D162="","Add - no file link saved",IF(N162&lt;&gt;"Approved","Check - not approved for use",IF(R162=0,"Use - never used yet","OK")))))</f>
        <v>0</v>
      </c>
    </row>
    <row r="163" spans="1:24">
      <c r="A163" s="41">
        <f>IF(B163="","",AssetPrefix&amp;TEXT(ROW()-4,"0000"))</f>
        <v>0</v>
      </c>
      <c r="R163" s="23">
        <f>IF(A163="","",COUNTIF('Content Calendar'!$T$5:$T$604,A163))</f>
        <v>0</v>
      </c>
      <c r="S163" s="23">
        <f>IF(A163="","",COUNTIF(Ads!$H$5:$H$104,A163))</f>
        <v>0</v>
      </c>
      <c r="T163" s="16">
        <f>IF(R163=0,"",SUMPRODUCT(MAX(('Content Calendar'!$T$5:$T$604=A163)*'Content Calendar'!$B$5:$B$604)))</f>
        <v>0</v>
      </c>
      <c r="U163" s="23">
        <f>IF(H163="","",TODAY()-H163)</f>
        <v>0</v>
      </c>
      <c r="V163" s="23">
        <f>IF(P163="","",P163-TODAY())</f>
        <v>0</v>
      </c>
      <c r="W163" s="29">
        <f>IF(B163="","",IF(COUNTIF(Assets!$B$5:$B$254,B163)&gt;1,"Duplicate","OK"))</f>
        <v>0</v>
      </c>
      <c r="X163" s="29">
        <f>IF(B163="","",IF(AND(P163&lt;&gt;"",P163&lt;TODAY()),"Expired - stop using this file",IF(D163="","Add - no file link saved",IF(N163&lt;&gt;"Approved","Check - not approved for use",IF(R163=0,"Use - never used yet","OK")))))</f>
        <v>0</v>
      </c>
    </row>
    <row r="164" spans="1:24">
      <c r="A164" s="41">
        <f>IF(B164="","",AssetPrefix&amp;TEXT(ROW()-4,"0000"))</f>
        <v>0</v>
      </c>
      <c r="R164" s="23">
        <f>IF(A164="","",COUNTIF('Content Calendar'!$T$5:$T$604,A164))</f>
        <v>0</v>
      </c>
      <c r="S164" s="23">
        <f>IF(A164="","",COUNTIF(Ads!$H$5:$H$104,A164))</f>
        <v>0</v>
      </c>
      <c r="T164" s="16">
        <f>IF(R164=0,"",SUMPRODUCT(MAX(('Content Calendar'!$T$5:$T$604=A164)*'Content Calendar'!$B$5:$B$604)))</f>
        <v>0</v>
      </c>
      <c r="U164" s="23">
        <f>IF(H164="","",TODAY()-H164)</f>
        <v>0</v>
      </c>
      <c r="V164" s="23">
        <f>IF(P164="","",P164-TODAY())</f>
        <v>0</v>
      </c>
      <c r="W164" s="29">
        <f>IF(B164="","",IF(COUNTIF(Assets!$B$5:$B$254,B164)&gt;1,"Duplicate","OK"))</f>
        <v>0</v>
      </c>
      <c r="X164" s="29">
        <f>IF(B164="","",IF(AND(P164&lt;&gt;"",P164&lt;TODAY()),"Expired - stop using this file",IF(D164="","Add - no file link saved",IF(N164&lt;&gt;"Approved","Check - not approved for use",IF(R164=0,"Use - never used yet","OK")))))</f>
        <v>0</v>
      </c>
    </row>
    <row r="165" spans="1:24">
      <c r="A165" s="41">
        <f>IF(B165="","",AssetPrefix&amp;TEXT(ROW()-4,"0000"))</f>
        <v>0</v>
      </c>
      <c r="R165" s="23">
        <f>IF(A165="","",COUNTIF('Content Calendar'!$T$5:$T$604,A165))</f>
        <v>0</v>
      </c>
      <c r="S165" s="23">
        <f>IF(A165="","",COUNTIF(Ads!$H$5:$H$104,A165))</f>
        <v>0</v>
      </c>
      <c r="T165" s="16">
        <f>IF(R165=0,"",SUMPRODUCT(MAX(('Content Calendar'!$T$5:$T$604=A165)*'Content Calendar'!$B$5:$B$604)))</f>
        <v>0</v>
      </c>
      <c r="U165" s="23">
        <f>IF(H165="","",TODAY()-H165)</f>
        <v>0</v>
      </c>
      <c r="V165" s="23">
        <f>IF(P165="","",P165-TODAY())</f>
        <v>0</v>
      </c>
      <c r="W165" s="29">
        <f>IF(B165="","",IF(COUNTIF(Assets!$B$5:$B$254,B165)&gt;1,"Duplicate","OK"))</f>
        <v>0</v>
      </c>
      <c r="X165" s="29">
        <f>IF(B165="","",IF(AND(P165&lt;&gt;"",P165&lt;TODAY()),"Expired - stop using this file",IF(D165="","Add - no file link saved",IF(N165&lt;&gt;"Approved","Check - not approved for use",IF(R165=0,"Use - never used yet","OK")))))</f>
        <v>0</v>
      </c>
    </row>
    <row r="166" spans="1:24">
      <c r="A166" s="41">
        <f>IF(B166="","",AssetPrefix&amp;TEXT(ROW()-4,"0000"))</f>
        <v>0</v>
      </c>
      <c r="R166" s="23">
        <f>IF(A166="","",COUNTIF('Content Calendar'!$T$5:$T$604,A166))</f>
        <v>0</v>
      </c>
      <c r="S166" s="23">
        <f>IF(A166="","",COUNTIF(Ads!$H$5:$H$104,A166))</f>
        <v>0</v>
      </c>
      <c r="T166" s="16">
        <f>IF(R166=0,"",SUMPRODUCT(MAX(('Content Calendar'!$T$5:$T$604=A166)*'Content Calendar'!$B$5:$B$604)))</f>
        <v>0</v>
      </c>
      <c r="U166" s="23">
        <f>IF(H166="","",TODAY()-H166)</f>
        <v>0</v>
      </c>
      <c r="V166" s="23">
        <f>IF(P166="","",P166-TODAY())</f>
        <v>0</v>
      </c>
      <c r="W166" s="29">
        <f>IF(B166="","",IF(COUNTIF(Assets!$B$5:$B$254,B166)&gt;1,"Duplicate","OK"))</f>
        <v>0</v>
      </c>
      <c r="X166" s="29">
        <f>IF(B166="","",IF(AND(P166&lt;&gt;"",P166&lt;TODAY()),"Expired - stop using this file",IF(D166="","Add - no file link saved",IF(N166&lt;&gt;"Approved","Check - not approved for use",IF(R166=0,"Use - never used yet","OK")))))</f>
        <v>0</v>
      </c>
    </row>
    <row r="167" spans="1:24">
      <c r="A167" s="41">
        <f>IF(B167="","",AssetPrefix&amp;TEXT(ROW()-4,"0000"))</f>
        <v>0</v>
      </c>
      <c r="R167" s="23">
        <f>IF(A167="","",COUNTIF('Content Calendar'!$T$5:$T$604,A167))</f>
        <v>0</v>
      </c>
      <c r="S167" s="23">
        <f>IF(A167="","",COUNTIF(Ads!$H$5:$H$104,A167))</f>
        <v>0</v>
      </c>
      <c r="T167" s="16">
        <f>IF(R167=0,"",SUMPRODUCT(MAX(('Content Calendar'!$T$5:$T$604=A167)*'Content Calendar'!$B$5:$B$604)))</f>
        <v>0</v>
      </c>
      <c r="U167" s="23">
        <f>IF(H167="","",TODAY()-H167)</f>
        <v>0</v>
      </c>
      <c r="V167" s="23">
        <f>IF(P167="","",P167-TODAY())</f>
        <v>0</v>
      </c>
      <c r="W167" s="29">
        <f>IF(B167="","",IF(COUNTIF(Assets!$B$5:$B$254,B167)&gt;1,"Duplicate","OK"))</f>
        <v>0</v>
      </c>
      <c r="X167" s="29">
        <f>IF(B167="","",IF(AND(P167&lt;&gt;"",P167&lt;TODAY()),"Expired - stop using this file",IF(D167="","Add - no file link saved",IF(N167&lt;&gt;"Approved","Check - not approved for use",IF(R167=0,"Use - never used yet","OK")))))</f>
        <v>0</v>
      </c>
    </row>
    <row r="168" spans="1:24">
      <c r="A168" s="41">
        <f>IF(B168="","",AssetPrefix&amp;TEXT(ROW()-4,"0000"))</f>
        <v>0</v>
      </c>
      <c r="R168" s="23">
        <f>IF(A168="","",COUNTIF('Content Calendar'!$T$5:$T$604,A168))</f>
        <v>0</v>
      </c>
      <c r="S168" s="23">
        <f>IF(A168="","",COUNTIF(Ads!$H$5:$H$104,A168))</f>
        <v>0</v>
      </c>
      <c r="T168" s="16">
        <f>IF(R168=0,"",SUMPRODUCT(MAX(('Content Calendar'!$T$5:$T$604=A168)*'Content Calendar'!$B$5:$B$604)))</f>
        <v>0</v>
      </c>
      <c r="U168" s="23">
        <f>IF(H168="","",TODAY()-H168)</f>
        <v>0</v>
      </c>
      <c r="V168" s="23">
        <f>IF(P168="","",P168-TODAY())</f>
        <v>0</v>
      </c>
      <c r="W168" s="29">
        <f>IF(B168="","",IF(COUNTIF(Assets!$B$5:$B$254,B168)&gt;1,"Duplicate","OK"))</f>
        <v>0</v>
      </c>
      <c r="X168" s="29">
        <f>IF(B168="","",IF(AND(P168&lt;&gt;"",P168&lt;TODAY()),"Expired - stop using this file",IF(D168="","Add - no file link saved",IF(N168&lt;&gt;"Approved","Check - not approved for use",IF(R168=0,"Use - never used yet","OK")))))</f>
        <v>0</v>
      </c>
    </row>
    <row r="169" spans="1:24">
      <c r="A169" s="41">
        <f>IF(B169="","",AssetPrefix&amp;TEXT(ROW()-4,"0000"))</f>
        <v>0</v>
      </c>
      <c r="R169" s="23">
        <f>IF(A169="","",COUNTIF('Content Calendar'!$T$5:$T$604,A169))</f>
        <v>0</v>
      </c>
      <c r="S169" s="23">
        <f>IF(A169="","",COUNTIF(Ads!$H$5:$H$104,A169))</f>
        <v>0</v>
      </c>
      <c r="T169" s="16">
        <f>IF(R169=0,"",SUMPRODUCT(MAX(('Content Calendar'!$T$5:$T$604=A169)*'Content Calendar'!$B$5:$B$604)))</f>
        <v>0</v>
      </c>
      <c r="U169" s="23">
        <f>IF(H169="","",TODAY()-H169)</f>
        <v>0</v>
      </c>
      <c r="V169" s="23">
        <f>IF(P169="","",P169-TODAY())</f>
        <v>0</v>
      </c>
      <c r="W169" s="29">
        <f>IF(B169="","",IF(COUNTIF(Assets!$B$5:$B$254,B169)&gt;1,"Duplicate","OK"))</f>
        <v>0</v>
      </c>
      <c r="X169" s="29">
        <f>IF(B169="","",IF(AND(P169&lt;&gt;"",P169&lt;TODAY()),"Expired - stop using this file",IF(D169="","Add - no file link saved",IF(N169&lt;&gt;"Approved","Check - not approved for use",IF(R169=0,"Use - never used yet","OK")))))</f>
        <v>0</v>
      </c>
    </row>
    <row r="170" spans="1:24">
      <c r="A170" s="41">
        <f>IF(B170="","",AssetPrefix&amp;TEXT(ROW()-4,"0000"))</f>
        <v>0</v>
      </c>
      <c r="R170" s="23">
        <f>IF(A170="","",COUNTIF('Content Calendar'!$T$5:$T$604,A170))</f>
        <v>0</v>
      </c>
      <c r="S170" s="23">
        <f>IF(A170="","",COUNTIF(Ads!$H$5:$H$104,A170))</f>
        <v>0</v>
      </c>
      <c r="T170" s="16">
        <f>IF(R170=0,"",SUMPRODUCT(MAX(('Content Calendar'!$T$5:$T$604=A170)*'Content Calendar'!$B$5:$B$604)))</f>
        <v>0</v>
      </c>
      <c r="U170" s="23">
        <f>IF(H170="","",TODAY()-H170)</f>
        <v>0</v>
      </c>
      <c r="V170" s="23">
        <f>IF(P170="","",P170-TODAY())</f>
        <v>0</v>
      </c>
      <c r="W170" s="29">
        <f>IF(B170="","",IF(COUNTIF(Assets!$B$5:$B$254,B170)&gt;1,"Duplicate","OK"))</f>
        <v>0</v>
      </c>
      <c r="X170" s="29">
        <f>IF(B170="","",IF(AND(P170&lt;&gt;"",P170&lt;TODAY()),"Expired - stop using this file",IF(D170="","Add - no file link saved",IF(N170&lt;&gt;"Approved","Check - not approved for use",IF(R170=0,"Use - never used yet","OK")))))</f>
        <v>0</v>
      </c>
    </row>
    <row r="171" spans="1:24">
      <c r="A171" s="41">
        <f>IF(B171="","",AssetPrefix&amp;TEXT(ROW()-4,"0000"))</f>
        <v>0</v>
      </c>
      <c r="R171" s="23">
        <f>IF(A171="","",COUNTIF('Content Calendar'!$T$5:$T$604,A171))</f>
        <v>0</v>
      </c>
      <c r="S171" s="23">
        <f>IF(A171="","",COUNTIF(Ads!$H$5:$H$104,A171))</f>
        <v>0</v>
      </c>
      <c r="T171" s="16">
        <f>IF(R171=0,"",SUMPRODUCT(MAX(('Content Calendar'!$T$5:$T$604=A171)*'Content Calendar'!$B$5:$B$604)))</f>
        <v>0</v>
      </c>
      <c r="U171" s="23">
        <f>IF(H171="","",TODAY()-H171)</f>
        <v>0</v>
      </c>
      <c r="V171" s="23">
        <f>IF(P171="","",P171-TODAY())</f>
        <v>0</v>
      </c>
      <c r="W171" s="29">
        <f>IF(B171="","",IF(COUNTIF(Assets!$B$5:$B$254,B171)&gt;1,"Duplicate","OK"))</f>
        <v>0</v>
      </c>
      <c r="X171" s="29">
        <f>IF(B171="","",IF(AND(P171&lt;&gt;"",P171&lt;TODAY()),"Expired - stop using this file",IF(D171="","Add - no file link saved",IF(N171&lt;&gt;"Approved","Check - not approved for use",IF(R171=0,"Use - never used yet","OK")))))</f>
        <v>0</v>
      </c>
    </row>
    <row r="172" spans="1:24">
      <c r="A172" s="41">
        <f>IF(B172="","",AssetPrefix&amp;TEXT(ROW()-4,"0000"))</f>
        <v>0</v>
      </c>
      <c r="R172" s="23">
        <f>IF(A172="","",COUNTIF('Content Calendar'!$T$5:$T$604,A172))</f>
        <v>0</v>
      </c>
      <c r="S172" s="23">
        <f>IF(A172="","",COUNTIF(Ads!$H$5:$H$104,A172))</f>
        <v>0</v>
      </c>
      <c r="T172" s="16">
        <f>IF(R172=0,"",SUMPRODUCT(MAX(('Content Calendar'!$T$5:$T$604=A172)*'Content Calendar'!$B$5:$B$604)))</f>
        <v>0</v>
      </c>
      <c r="U172" s="23">
        <f>IF(H172="","",TODAY()-H172)</f>
        <v>0</v>
      </c>
      <c r="V172" s="23">
        <f>IF(P172="","",P172-TODAY())</f>
        <v>0</v>
      </c>
      <c r="W172" s="29">
        <f>IF(B172="","",IF(COUNTIF(Assets!$B$5:$B$254,B172)&gt;1,"Duplicate","OK"))</f>
        <v>0</v>
      </c>
      <c r="X172" s="29">
        <f>IF(B172="","",IF(AND(P172&lt;&gt;"",P172&lt;TODAY()),"Expired - stop using this file",IF(D172="","Add - no file link saved",IF(N172&lt;&gt;"Approved","Check - not approved for use",IF(R172=0,"Use - never used yet","OK")))))</f>
        <v>0</v>
      </c>
    </row>
    <row r="173" spans="1:24">
      <c r="A173" s="41">
        <f>IF(B173="","",AssetPrefix&amp;TEXT(ROW()-4,"0000"))</f>
        <v>0</v>
      </c>
      <c r="R173" s="23">
        <f>IF(A173="","",COUNTIF('Content Calendar'!$T$5:$T$604,A173))</f>
        <v>0</v>
      </c>
      <c r="S173" s="23">
        <f>IF(A173="","",COUNTIF(Ads!$H$5:$H$104,A173))</f>
        <v>0</v>
      </c>
      <c r="T173" s="16">
        <f>IF(R173=0,"",SUMPRODUCT(MAX(('Content Calendar'!$T$5:$T$604=A173)*'Content Calendar'!$B$5:$B$604)))</f>
        <v>0</v>
      </c>
      <c r="U173" s="23">
        <f>IF(H173="","",TODAY()-H173)</f>
        <v>0</v>
      </c>
      <c r="V173" s="23">
        <f>IF(P173="","",P173-TODAY())</f>
        <v>0</v>
      </c>
      <c r="W173" s="29">
        <f>IF(B173="","",IF(COUNTIF(Assets!$B$5:$B$254,B173)&gt;1,"Duplicate","OK"))</f>
        <v>0</v>
      </c>
      <c r="X173" s="29">
        <f>IF(B173="","",IF(AND(P173&lt;&gt;"",P173&lt;TODAY()),"Expired - stop using this file",IF(D173="","Add - no file link saved",IF(N173&lt;&gt;"Approved","Check - not approved for use",IF(R173=0,"Use - never used yet","OK")))))</f>
        <v>0</v>
      </c>
    </row>
    <row r="174" spans="1:24">
      <c r="A174" s="41">
        <f>IF(B174="","",AssetPrefix&amp;TEXT(ROW()-4,"0000"))</f>
        <v>0</v>
      </c>
      <c r="R174" s="23">
        <f>IF(A174="","",COUNTIF('Content Calendar'!$T$5:$T$604,A174))</f>
        <v>0</v>
      </c>
      <c r="S174" s="23">
        <f>IF(A174="","",COUNTIF(Ads!$H$5:$H$104,A174))</f>
        <v>0</v>
      </c>
      <c r="T174" s="16">
        <f>IF(R174=0,"",SUMPRODUCT(MAX(('Content Calendar'!$T$5:$T$604=A174)*'Content Calendar'!$B$5:$B$604)))</f>
        <v>0</v>
      </c>
      <c r="U174" s="23">
        <f>IF(H174="","",TODAY()-H174)</f>
        <v>0</v>
      </c>
      <c r="V174" s="23">
        <f>IF(P174="","",P174-TODAY())</f>
        <v>0</v>
      </c>
      <c r="W174" s="29">
        <f>IF(B174="","",IF(COUNTIF(Assets!$B$5:$B$254,B174)&gt;1,"Duplicate","OK"))</f>
        <v>0</v>
      </c>
      <c r="X174" s="29">
        <f>IF(B174="","",IF(AND(P174&lt;&gt;"",P174&lt;TODAY()),"Expired - stop using this file",IF(D174="","Add - no file link saved",IF(N174&lt;&gt;"Approved","Check - not approved for use",IF(R174=0,"Use - never used yet","OK")))))</f>
        <v>0</v>
      </c>
    </row>
    <row r="175" spans="1:24">
      <c r="A175" s="41">
        <f>IF(B175="","",AssetPrefix&amp;TEXT(ROW()-4,"0000"))</f>
        <v>0</v>
      </c>
      <c r="R175" s="23">
        <f>IF(A175="","",COUNTIF('Content Calendar'!$T$5:$T$604,A175))</f>
        <v>0</v>
      </c>
      <c r="S175" s="23">
        <f>IF(A175="","",COUNTIF(Ads!$H$5:$H$104,A175))</f>
        <v>0</v>
      </c>
      <c r="T175" s="16">
        <f>IF(R175=0,"",SUMPRODUCT(MAX(('Content Calendar'!$T$5:$T$604=A175)*'Content Calendar'!$B$5:$B$604)))</f>
        <v>0</v>
      </c>
      <c r="U175" s="23">
        <f>IF(H175="","",TODAY()-H175)</f>
        <v>0</v>
      </c>
      <c r="V175" s="23">
        <f>IF(P175="","",P175-TODAY())</f>
        <v>0</v>
      </c>
      <c r="W175" s="29">
        <f>IF(B175="","",IF(COUNTIF(Assets!$B$5:$B$254,B175)&gt;1,"Duplicate","OK"))</f>
        <v>0</v>
      </c>
      <c r="X175" s="29">
        <f>IF(B175="","",IF(AND(P175&lt;&gt;"",P175&lt;TODAY()),"Expired - stop using this file",IF(D175="","Add - no file link saved",IF(N175&lt;&gt;"Approved","Check - not approved for use",IF(R175=0,"Use - never used yet","OK")))))</f>
        <v>0</v>
      </c>
    </row>
    <row r="176" spans="1:24">
      <c r="A176" s="41">
        <f>IF(B176="","",AssetPrefix&amp;TEXT(ROW()-4,"0000"))</f>
        <v>0</v>
      </c>
      <c r="R176" s="23">
        <f>IF(A176="","",COUNTIF('Content Calendar'!$T$5:$T$604,A176))</f>
        <v>0</v>
      </c>
      <c r="S176" s="23">
        <f>IF(A176="","",COUNTIF(Ads!$H$5:$H$104,A176))</f>
        <v>0</v>
      </c>
      <c r="T176" s="16">
        <f>IF(R176=0,"",SUMPRODUCT(MAX(('Content Calendar'!$T$5:$T$604=A176)*'Content Calendar'!$B$5:$B$604)))</f>
        <v>0</v>
      </c>
      <c r="U176" s="23">
        <f>IF(H176="","",TODAY()-H176)</f>
        <v>0</v>
      </c>
      <c r="V176" s="23">
        <f>IF(P176="","",P176-TODAY())</f>
        <v>0</v>
      </c>
      <c r="W176" s="29">
        <f>IF(B176="","",IF(COUNTIF(Assets!$B$5:$B$254,B176)&gt;1,"Duplicate","OK"))</f>
        <v>0</v>
      </c>
      <c r="X176" s="29">
        <f>IF(B176="","",IF(AND(P176&lt;&gt;"",P176&lt;TODAY()),"Expired - stop using this file",IF(D176="","Add - no file link saved",IF(N176&lt;&gt;"Approved","Check - not approved for use",IF(R176=0,"Use - never used yet","OK")))))</f>
        <v>0</v>
      </c>
    </row>
    <row r="177" spans="1:24">
      <c r="A177" s="41">
        <f>IF(B177="","",AssetPrefix&amp;TEXT(ROW()-4,"0000"))</f>
        <v>0</v>
      </c>
      <c r="R177" s="23">
        <f>IF(A177="","",COUNTIF('Content Calendar'!$T$5:$T$604,A177))</f>
        <v>0</v>
      </c>
      <c r="S177" s="23">
        <f>IF(A177="","",COUNTIF(Ads!$H$5:$H$104,A177))</f>
        <v>0</v>
      </c>
      <c r="T177" s="16">
        <f>IF(R177=0,"",SUMPRODUCT(MAX(('Content Calendar'!$T$5:$T$604=A177)*'Content Calendar'!$B$5:$B$604)))</f>
        <v>0</v>
      </c>
      <c r="U177" s="23">
        <f>IF(H177="","",TODAY()-H177)</f>
        <v>0</v>
      </c>
      <c r="V177" s="23">
        <f>IF(P177="","",P177-TODAY())</f>
        <v>0</v>
      </c>
      <c r="W177" s="29">
        <f>IF(B177="","",IF(COUNTIF(Assets!$B$5:$B$254,B177)&gt;1,"Duplicate","OK"))</f>
        <v>0</v>
      </c>
      <c r="X177" s="29">
        <f>IF(B177="","",IF(AND(P177&lt;&gt;"",P177&lt;TODAY()),"Expired - stop using this file",IF(D177="","Add - no file link saved",IF(N177&lt;&gt;"Approved","Check - not approved for use",IF(R177=0,"Use - never used yet","OK")))))</f>
        <v>0</v>
      </c>
    </row>
    <row r="178" spans="1:24">
      <c r="A178" s="41">
        <f>IF(B178="","",AssetPrefix&amp;TEXT(ROW()-4,"0000"))</f>
        <v>0</v>
      </c>
      <c r="R178" s="23">
        <f>IF(A178="","",COUNTIF('Content Calendar'!$T$5:$T$604,A178))</f>
        <v>0</v>
      </c>
      <c r="S178" s="23">
        <f>IF(A178="","",COUNTIF(Ads!$H$5:$H$104,A178))</f>
        <v>0</v>
      </c>
      <c r="T178" s="16">
        <f>IF(R178=0,"",SUMPRODUCT(MAX(('Content Calendar'!$T$5:$T$604=A178)*'Content Calendar'!$B$5:$B$604)))</f>
        <v>0</v>
      </c>
      <c r="U178" s="23">
        <f>IF(H178="","",TODAY()-H178)</f>
        <v>0</v>
      </c>
      <c r="V178" s="23">
        <f>IF(P178="","",P178-TODAY())</f>
        <v>0</v>
      </c>
      <c r="W178" s="29">
        <f>IF(B178="","",IF(COUNTIF(Assets!$B$5:$B$254,B178)&gt;1,"Duplicate","OK"))</f>
        <v>0</v>
      </c>
      <c r="X178" s="29">
        <f>IF(B178="","",IF(AND(P178&lt;&gt;"",P178&lt;TODAY()),"Expired - stop using this file",IF(D178="","Add - no file link saved",IF(N178&lt;&gt;"Approved","Check - not approved for use",IF(R178=0,"Use - never used yet","OK")))))</f>
        <v>0</v>
      </c>
    </row>
    <row r="179" spans="1:24">
      <c r="A179" s="41">
        <f>IF(B179="","",AssetPrefix&amp;TEXT(ROW()-4,"0000"))</f>
        <v>0</v>
      </c>
      <c r="R179" s="23">
        <f>IF(A179="","",COUNTIF('Content Calendar'!$T$5:$T$604,A179))</f>
        <v>0</v>
      </c>
      <c r="S179" s="23">
        <f>IF(A179="","",COUNTIF(Ads!$H$5:$H$104,A179))</f>
        <v>0</v>
      </c>
      <c r="T179" s="16">
        <f>IF(R179=0,"",SUMPRODUCT(MAX(('Content Calendar'!$T$5:$T$604=A179)*'Content Calendar'!$B$5:$B$604)))</f>
        <v>0</v>
      </c>
      <c r="U179" s="23">
        <f>IF(H179="","",TODAY()-H179)</f>
        <v>0</v>
      </c>
      <c r="V179" s="23">
        <f>IF(P179="","",P179-TODAY())</f>
        <v>0</v>
      </c>
      <c r="W179" s="29">
        <f>IF(B179="","",IF(COUNTIF(Assets!$B$5:$B$254,B179)&gt;1,"Duplicate","OK"))</f>
        <v>0</v>
      </c>
      <c r="X179" s="29">
        <f>IF(B179="","",IF(AND(P179&lt;&gt;"",P179&lt;TODAY()),"Expired - stop using this file",IF(D179="","Add - no file link saved",IF(N179&lt;&gt;"Approved","Check - not approved for use",IF(R179=0,"Use - never used yet","OK")))))</f>
        <v>0</v>
      </c>
    </row>
    <row r="180" spans="1:24">
      <c r="A180" s="41">
        <f>IF(B180="","",AssetPrefix&amp;TEXT(ROW()-4,"0000"))</f>
        <v>0</v>
      </c>
      <c r="R180" s="23">
        <f>IF(A180="","",COUNTIF('Content Calendar'!$T$5:$T$604,A180))</f>
        <v>0</v>
      </c>
      <c r="S180" s="23">
        <f>IF(A180="","",COUNTIF(Ads!$H$5:$H$104,A180))</f>
        <v>0</v>
      </c>
      <c r="T180" s="16">
        <f>IF(R180=0,"",SUMPRODUCT(MAX(('Content Calendar'!$T$5:$T$604=A180)*'Content Calendar'!$B$5:$B$604)))</f>
        <v>0</v>
      </c>
      <c r="U180" s="23">
        <f>IF(H180="","",TODAY()-H180)</f>
        <v>0</v>
      </c>
      <c r="V180" s="23">
        <f>IF(P180="","",P180-TODAY())</f>
        <v>0</v>
      </c>
      <c r="W180" s="29">
        <f>IF(B180="","",IF(COUNTIF(Assets!$B$5:$B$254,B180)&gt;1,"Duplicate","OK"))</f>
        <v>0</v>
      </c>
      <c r="X180" s="29">
        <f>IF(B180="","",IF(AND(P180&lt;&gt;"",P180&lt;TODAY()),"Expired - stop using this file",IF(D180="","Add - no file link saved",IF(N180&lt;&gt;"Approved","Check - not approved for use",IF(R180=0,"Use - never used yet","OK")))))</f>
        <v>0</v>
      </c>
    </row>
    <row r="181" spans="1:24">
      <c r="A181" s="41">
        <f>IF(B181="","",AssetPrefix&amp;TEXT(ROW()-4,"0000"))</f>
        <v>0</v>
      </c>
      <c r="R181" s="23">
        <f>IF(A181="","",COUNTIF('Content Calendar'!$T$5:$T$604,A181))</f>
        <v>0</v>
      </c>
      <c r="S181" s="23">
        <f>IF(A181="","",COUNTIF(Ads!$H$5:$H$104,A181))</f>
        <v>0</v>
      </c>
      <c r="T181" s="16">
        <f>IF(R181=0,"",SUMPRODUCT(MAX(('Content Calendar'!$T$5:$T$604=A181)*'Content Calendar'!$B$5:$B$604)))</f>
        <v>0</v>
      </c>
      <c r="U181" s="23">
        <f>IF(H181="","",TODAY()-H181)</f>
        <v>0</v>
      </c>
      <c r="V181" s="23">
        <f>IF(P181="","",P181-TODAY())</f>
        <v>0</v>
      </c>
      <c r="W181" s="29">
        <f>IF(B181="","",IF(COUNTIF(Assets!$B$5:$B$254,B181)&gt;1,"Duplicate","OK"))</f>
        <v>0</v>
      </c>
      <c r="X181" s="29">
        <f>IF(B181="","",IF(AND(P181&lt;&gt;"",P181&lt;TODAY()),"Expired - stop using this file",IF(D181="","Add - no file link saved",IF(N181&lt;&gt;"Approved","Check - not approved for use",IF(R181=0,"Use - never used yet","OK")))))</f>
        <v>0</v>
      </c>
    </row>
    <row r="182" spans="1:24">
      <c r="A182" s="41">
        <f>IF(B182="","",AssetPrefix&amp;TEXT(ROW()-4,"0000"))</f>
        <v>0</v>
      </c>
      <c r="R182" s="23">
        <f>IF(A182="","",COUNTIF('Content Calendar'!$T$5:$T$604,A182))</f>
        <v>0</v>
      </c>
      <c r="S182" s="23">
        <f>IF(A182="","",COUNTIF(Ads!$H$5:$H$104,A182))</f>
        <v>0</v>
      </c>
      <c r="T182" s="16">
        <f>IF(R182=0,"",SUMPRODUCT(MAX(('Content Calendar'!$T$5:$T$604=A182)*'Content Calendar'!$B$5:$B$604)))</f>
        <v>0</v>
      </c>
      <c r="U182" s="23">
        <f>IF(H182="","",TODAY()-H182)</f>
        <v>0</v>
      </c>
      <c r="V182" s="23">
        <f>IF(P182="","",P182-TODAY())</f>
        <v>0</v>
      </c>
      <c r="W182" s="29">
        <f>IF(B182="","",IF(COUNTIF(Assets!$B$5:$B$254,B182)&gt;1,"Duplicate","OK"))</f>
        <v>0</v>
      </c>
      <c r="X182" s="29">
        <f>IF(B182="","",IF(AND(P182&lt;&gt;"",P182&lt;TODAY()),"Expired - stop using this file",IF(D182="","Add - no file link saved",IF(N182&lt;&gt;"Approved","Check - not approved for use",IF(R182=0,"Use - never used yet","OK")))))</f>
        <v>0</v>
      </c>
    </row>
    <row r="183" spans="1:24">
      <c r="A183" s="41">
        <f>IF(B183="","",AssetPrefix&amp;TEXT(ROW()-4,"0000"))</f>
        <v>0</v>
      </c>
      <c r="R183" s="23">
        <f>IF(A183="","",COUNTIF('Content Calendar'!$T$5:$T$604,A183))</f>
        <v>0</v>
      </c>
      <c r="S183" s="23">
        <f>IF(A183="","",COUNTIF(Ads!$H$5:$H$104,A183))</f>
        <v>0</v>
      </c>
      <c r="T183" s="16">
        <f>IF(R183=0,"",SUMPRODUCT(MAX(('Content Calendar'!$T$5:$T$604=A183)*'Content Calendar'!$B$5:$B$604)))</f>
        <v>0</v>
      </c>
      <c r="U183" s="23">
        <f>IF(H183="","",TODAY()-H183)</f>
        <v>0</v>
      </c>
      <c r="V183" s="23">
        <f>IF(P183="","",P183-TODAY())</f>
        <v>0</v>
      </c>
      <c r="W183" s="29">
        <f>IF(B183="","",IF(COUNTIF(Assets!$B$5:$B$254,B183)&gt;1,"Duplicate","OK"))</f>
        <v>0</v>
      </c>
      <c r="X183" s="29">
        <f>IF(B183="","",IF(AND(P183&lt;&gt;"",P183&lt;TODAY()),"Expired - stop using this file",IF(D183="","Add - no file link saved",IF(N183&lt;&gt;"Approved","Check - not approved for use",IF(R183=0,"Use - never used yet","OK")))))</f>
        <v>0</v>
      </c>
    </row>
    <row r="184" spans="1:24">
      <c r="A184" s="41">
        <f>IF(B184="","",AssetPrefix&amp;TEXT(ROW()-4,"0000"))</f>
        <v>0</v>
      </c>
      <c r="R184" s="23">
        <f>IF(A184="","",COUNTIF('Content Calendar'!$T$5:$T$604,A184))</f>
        <v>0</v>
      </c>
      <c r="S184" s="23">
        <f>IF(A184="","",COUNTIF(Ads!$H$5:$H$104,A184))</f>
        <v>0</v>
      </c>
      <c r="T184" s="16">
        <f>IF(R184=0,"",SUMPRODUCT(MAX(('Content Calendar'!$T$5:$T$604=A184)*'Content Calendar'!$B$5:$B$604)))</f>
        <v>0</v>
      </c>
      <c r="U184" s="23">
        <f>IF(H184="","",TODAY()-H184)</f>
        <v>0</v>
      </c>
      <c r="V184" s="23">
        <f>IF(P184="","",P184-TODAY())</f>
        <v>0</v>
      </c>
      <c r="W184" s="29">
        <f>IF(B184="","",IF(COUNTIF(Assets!$B$5:$B$254,B184)&gt;1,"Duplicate","OK"))</f>
        <v>0</v>
      </c>
      <c r="X184" s="29">
        <f>IF(B184="","",IF(AND(P184&lt;&gt;"",P184&lt;TODAY()),"Expired - stop using this file",IF(D184="","Add - no file link saved",IF(N184&lt;&gt;"Approved","Check - not approved for use",IF(R184=0,"Use - never used yet","OK")))))</f>
        <v>0</v>
      </c>
    </row>
    <row r="185" spans="1:24">
      <c r="A185" s="41">
        <f>IF(B185="","",AssetPrefix&amp;TEXT(ROW()-4,"0000"))</f>
        <v>0</v>
      </c>
      <c r="R185" s="23">
        <f>IF(A185="","",COUNTIF('Content Calendar'!$T$5:$T$604,A185))</f>
        <v>0</v>
      </c>
      <c r="S185" s="23">
        <f>IF(A185="","",COUNTIF(Ads!$H$5:$H$104,A185))</f>
        <v>0</v>
      </c>
      <c r="T185" s="16">
        <f>IF(R185=0,"",SUMPRODUCT(MAX(('Content Calendar'!$T$5:$T$604=A185)*'Content Calendar'!$B$5:$B$604)))</f>
        <v>0</v>
      </c>
      <c r="U185" s="23">
        <f>IF(H185="","",TODAY()-H185)</f>
        <v>0</v>
      </c>
      <c r="V185" s="23">
        <f>IF(P185="","",P185-TODAY())</f>
        <v>0</v>
      </c>
      <c r="W185" s="29">
        <f>IF(B185="","",IF(COUNTIF(Assets!$B$5:$B$254,B185)&gt;1,"Duplicate","OK"))</f>
        <v>0</v>
      </c>
      <c r="X185" s="29">
        <f>IF(B185="","",IF(AND(P185&lt;&gt;"",P185&lt;TODAY()),"Expired - stop using this file",IF(D185="","Add - no file link saved",IF(N185&lt;&gt;"Approved","Check - not approved for use",IF(R185=0,"Use - never used yet","OK")))))</f>
        <v>0</v>
      </c>
    </row>
    <row r="186" spans="1:24">
      <c r="A186" s="41">
        <f>IF(B186="","",AssetPrefix&amp;TEXT(ROW()-4,"0000"))</f>
        <v>0</v>
      </c>
      <c r="R186" s="23">
        <f>IF(A186="","",COUNTIF('Content Calendar'!$T$5:$T$604,A186))</f>
        <v>0</v>
      </c>
      <c r="S186" s="23">
        <f>IF(A186="","",COUNTIF(Ads!$H$5:$H$104,A186))</f>
        <v>0</v>
      </c>
      <c r="T186" s="16">
        <f>IF(R186=0,"",SUMPRODUCT(MAX(('Content Calendar'!$T$5:$T$604=A186)*'Content Calendar'!$B$5:$B$604)))</f>
        <v>0</v>
      </c>
      <c r="U186" s="23">
        <f>IF(H186="","",TODAY()-H186)</f>
        <v>0</v>
      </c>
      <c r="V186" s="23">
        <f>IF(P186="","",P186-TODAY())</f>
        <v>0</v>
      </c>
      <c r="W186" s="29">
        <f>IF(B186="","",IF(COUNTIF(Assets!$B$5:$B$254,B186)&gt;1,"Duplicate","OK"))</f>
        <v>0</v>
      </c>
      <c r="X186" s="29">
        <f>IF(B186="","",IF(AND(P186&lt;&gt;"",P186&lt;TODAY()),"Expired - stop using this file",IF(D186="","Add - no file link saved",IF(N186&lt;&gt;"Approved","Check - not approved for use",IF(R186=0,"Use - never used yet","OK")))))</f>
        <v>0</v>
      </c>
    </row>
    <row r="187" spans="1:24">
      <c r="A187" s="41">
        <f>IF(B187="","",AssetPrefix&amp;TEXT(ROW()-4,"0000"))</f>
        <v>0</v>
      </c>
      <c r="R187" s="23">
        <f>IF(A187="","",COUNTIF('Content Calendar'!$T$5:$T$604,A187))</f>
        <v>0</v>
      </c>
      <c r="S187" s="23">
        <f>IF(A187="","",COUNTIF(Ads!$H$5:$H$104,A187))</f>
        <v>0</v>
      </c>
      <c r="T187" s="16">
        <f>IF(R187=0,"",SUMPRODUCT(MAX(('Content Calendar'!$T$5:$T$604=A187)*'Content Calendar'!$B$5:$B$604)))</f>
        <v>0</v>
      </c>
      <c r="U187" s="23">
        <f>IF(H187="","",TODAY()-H187)</f>
        <v>0</v>
      </c>
      <c r="V187" s="23">
        <f>IF(P187="","",P187-TODAY())</f>
        <v>0</v>
      </c>
      <c r="W187" s="29">
        <f>IF(B187="","",IF(COUNTIF(Assets!$B$5:$B$254,B187)&gt;1,"Duplicate","OK"))</f>
        <v>0</v>
      </c>
      <c r="X187" s="29">
        <f>IF(B187="","",IF(AND(P187&lt;&gt;"",P187&lt;TODAY()),"Expired - stop using this file",IF(D187="","Add - no file link saved",IF(N187&lt;&gt;"Approved","Check - not approved for use",IF(R187=0,"Use - never used yet","OK")))))</f>
        <v>0</v>
      </c>
    </row>
    <row r="188" spans="1:24">
      <c r="A188" s="41">
        <f>IF(B188="","",AssetPrefix&amp;TEXT(ROW()-4,"0000"))</f>
        <v>0</v>
      </c>
      <c r="R188" s="23">
        <f>IF(A188="","",COUNTIF('Content Calendar'!$T$5:$T$604,A188))</f>
        <v>0</v>
      </c>
      <c r="S188" s="23">
        <f>IF(A188="","",COUNTIF(Ads!$H$5:$H$104,A188))</f>
        <v>0</v>
      </c>
      <c r="T188" s="16">
        <f>IF(R188=0,"",SUMPRODUCT(MAX(('Content Calendar'!$T$5:$T$604=A188)*'Content Calendar'!$B$5:$B$604)))</f>
        <v>0</v>
      </c>
      <c r="U188" s="23">
        <f>IF(H188="","",TODAY()-H188)</f>
        <v>0</v>
      </c>
      <c r="V188" s="23">
        <f>IF(P188="","",P188-TODAY())</f>
        <v>0</v>
      </c>
      <c r="W188" s="29">
        <f>IF(B188="","",IF(COUNTIF(Assets!$B$5:$B$254,B188)&gt;1,"Duplicate","OK"))</f>
        <v>0</v>
      </c>
      <c r="X188" s="29">
        <f>IF(B188="","",IF(AND(P188&lt;&gt;"",P188&lt;TODAY()),"Expired - stop using this file",IF(D188="","Add - no file link saved",IF(N188&lt;&gt;"Approved","Check - not approved for use",IF(R188=0,"Use - never used yet","OK")))))</f>
        <v>0</v>
      </c>
    </row>
    <row r="189" spans="1:24">
      <c r="A189" s="41">
        <f>IF(B189="","",AssetPrefix&amp;TEXT(ROW()-4,"0000"))</f>
        <v>0</v>
      </c>
      <c r="R189" s="23">
        <f>IF(A189="","",COUNTIF('Content Calendar'!$T$5:$T$604,A189))</f>
        <v>0</v>
      </c>
      <c r="S189" s="23">
        <f>IF(A189="","",COUNTIF(Ads!$H$5:$H$104,A189))</f>
        <v>0</v>
      </c>
      <c r="T189" s="16">
        <f>IF(R189=0,"",SUMPRODUCT(MAX(('Content Calendar'!$T$5:$T$604=A189)*'Content Calendar'!$B$5:$B$604)))</f>
        <v>0</v>
      </c>
      <c r="U189" s="23">
        <f>IF(H189="","",TODAY()-H189)</f>
        <v>0</v>
      </c>
      <c r="V189" s="23">
        <f>IF(P189="","",P189-TODAY())</f>
        <v>0</v>
      </c>
      <c r="W189" s="29">
        <f>IF(B189="","",IF(COUNTIF(Assets!$B$5:$B$254,B189)&gt;1,"Duplicate","OK"))</f>
        <v>0</v>
      </c>
      <c r="X189" s="29">
        <f>IF(B189="","",IF(AND(P189&lt;&gt;"",P189&lt;TODAY()),"Expired - stop using this file",IF(D189="","Add - no file link saved",IF(N189&lt;&gt;"Approved","Check - not approved for use",IF(R189=0,"Use - never used yet","OK")))))</f>
        <v>0</v>
      </c>
    </row>
    <row r="190" spans="1:24">
      <c r="A190" s="41">
        <f>IF(B190="","",AssetPrefix&amp;TEXT(ROW()-4,"0000"))</f>
        <v>0</v>
      </c>
      <c r="R190" s="23">
        <f>IF(A190="","",COUNTIF('Content Calendar'!$T$5:$T$604,A190))</f>
        <v>0</v>
      </c>
      <c r="S190" s="23">
        <f>IF(A190="","",COUNTIF(Ads!$H$5:$H$104,A190))</f>
        <v>0</v>
      </c>
      <c r="T190" s="16">
        <f>IF(R190=0,"",SUMPRODUCT(MAX(('Content Calendar'!$T$5:$T$604=A190)*'Content Calendar'!$B$5:$B$604)))</f>
        <v>0</v>
      </c>
      <c r="U190" s="23">
        <f>IF(H190="","",TODAY()-H190)</f>
        <v>0</v>
      </c>
      <c r="V190" s="23">
        <f>IF(P190="","",P190-TODAY())</f>
        <v>0</v>
      </c>
      <c r="W190" s="29">
        <f>IF(B190="","",IF(COUNTIF(Assets!$B$5:$B$254,B190)&gt;1,"Duplicate","OK"))</f>
        <v>0</v>
      </c>
      <c r="X190" s="29">
        <f>IF(B190="","",IF(AND(P190&lt;&gt;"",P190&lt;TODAY()),"Expired - stop using this file",IF(D190="","Add - no file link saved",IF(N190&lt;&gt;"Approved","Check - not approved for use",IF(R190=0,"Use - never used yet","OK")))))</f>
        <v>0</v>
      </c>
    </row>
    <row r="191" spans="1:24">
      <c r="A191" s="41">
        <f>IF(B191="","",AssetPrefix&amp;TEXT(ROW()-4,"0000"))</f>
        <v>0</v>
      </c>
      <c r="R191" s="23">
        <f>IF(A191="","",COUNTIF('Content Calendar'!$T$5:$T$604,A191))</f>
        <v>0</v>
      </c>
      <c r="S191" s="23">
        <f>IF(A191="","",COUNTIF(Ads!$H$5:$H$104,A191))</f>
        <v>0</v>
      </c>
      <c r="T191" s="16">
        <f>IF(R191=0,"",SUMPRODUCT(MAX(('Content Calendar'!$T$5:$T$604=A191)*'Content Calendar'!$B$5:$B$604)))</f>
        <v>0</v>
      </c>
      <c r="U191" s="23">
        <f>IF(H191="","",TODAY()-H191)</f>
        <v>0</v>
      </c>
      <c r="V191" s="23">
        <f>IF(P191="","",P191-TODAY())</f>
        <v>0</v>
      </c>
      <c r="W191" s="29">
        <f>IF(B191="","",IF(COUNTIF(Assets!$B$5:$B$254,B191)&gt;1,"Duplicate","OK"))</f>
        <v>0</v>
      </c>
      <c r="X191" s="29">
        <f>IF(B191="","",IF(AND(P191&lt;&gt;"",P191&lt;TODAY()),"Expired - stop using this file",IF(D191="","Add - no file link saved",IF(N191&lt;&gt;"Approved","Check - not approved for use",IF(R191=0,"Use - never used yet","OK")))))</f>
        <v>0</v>
      </c>
    </row>
    <row r="192" spans="1:24">
      <c r="A192" s="41">
        <f>IF(B192="","",AssetPrefix&amp;TEXT(ROW()-4,"0000"))</f>
        <v>0</v>
      </c>
      <c r="R192" s="23">
        <f>IF(A192="","",COUNTIF('Content Calendar'!$T$5:$T$604,A192))</f>
        <v>0</v>
      </c>
      <c r="S192" s="23">
        <f>IF(A192="","",COUNTIF(Ads!$H$5:$H$104,A192))</f>
        <v>0</v>
      </c>
      <c r="T192" s="16">
        <f>IF(R192=0,"",SUMPRODUCT(MAX(('Content Calendar'!$T$5:$T$604=A192)*'Content Calendar'!$B$5:$B$604)))</f>
        <v>0</v>
      </c>
      <c r="U192" s="23">
        <f>IF(H192="","",TODAY()-H192)</f>
        <v>0</v>
      </c>
      <c r="V192" s="23">
        <f>IF(P192="","",P192-TODAY())</f>
        <v>0</v>
      </c>
      <c r="W192" s="29">
        <f>IF(B192="","",IF(COUNTIF(Assets!$B$5:$B$254,B192)&gt;1,"Duplicate","OK"))</f>
        <v>0</v>
      </c>
      <c r="X192" s="29">
        <f>IF(B192="","",IF(AND(P192&lt;&gt;"",P192&lt;TODAY()),"Expired - stop using this file",IF(D192="","Add - no file link saved",IF(N192&lt;&gt;"Approved","Check - not approved for use",IF(R192=0,"Use - never used yet","OK")))))</f>
        <v>0</v>
      </c>
    </row>
    <row r="193" spans="1:24">
      <c r="A193" s="41">
        <f>IF(B193="","",AssetPrefix&amp;TEXT(ROW()-4,"0000"))</f>
        <v>0</v>
      </c>
      <c r="R193" s="23">
        <f>IF(A193="","",COUNTIF('Content Calendar'!$T$5:$T$604,A193))</f>
        <v>0</v>
      </c>
      <c r="S193" s="23">
        <f>IF(A193="","",COUNTIF(Ads!$H$5:$H$104,A193))</f>
        <v>0</v>
      </c>
      <c r="T193" s="16">
        <f>IF(R193=0,"",SUMPRODUCT(MAX(('Content Calendar'!$T$5:$T$604=A193)*'Content Calendar'!$B$5:$B$604)))</f>
        <v>0</v>
      </c>
      <c r="U193" s="23">
        <f>IF(H193="","",TODAY()-H193)</f>
        <v>0</v>
      </c>
      <c r="V193" s="23">
        <f>IF(P193="","",P193-TODAY())</f>
        <v>0</v>
      </c>
      <c r="W193" s="29">
        <f>IF(B193="","",IF(COUNTIF(Assets!$B$5:$B$254,B193)&gt;1,"Duplicate","OK"))</f>
        <v>0</v>
      </c>
      <c r="X193" s="29">
        <f>IF(B193="","",IF(AND(P193&lt;&gt;"",P193&lt;TODAY()),"Expired - stop using this file",IF(D193="","Add - no file link saved",IF(N193&lt;&gt;"Approved","Check - not approved for use",IF(R193=0,"Use - never used yet","OK")))))</f>
        <v>0</v>
      </c>
    </row>
    <row r="194" spans="1:24">
      <c r="A194" s="41">
        <f>IF(B194="","",AssetPrefix&amp;TEXT(ROW()-4,"0000"))</f>
        <v>0</v>
      </c>
      <c r="R194" s="23">
        <f>IF(A194="","",COUNTIF('Content Calendar'!$T$5:$T$604,A194))</f>
        <v>0</v>
      </c>
      <c r="S194" s="23">
        <f>IF(A194="","",COUNTIF(Ads!$H$5:$H$104,A194))</f>
        <v>0</v>
      </c>
      <c r="T194" s="16">
        <f>IF(R194=0,"",SUMPRODUCT(MAX(('Content Calendar'!$T$5:$T$604=A194)*'Content Calendar'!$B$5:$B$604)))</f>
        <v>0</v>
      </c>
      <c r="U194" s="23">
        <f>IF(H194="","",TODAY()-H194)</f>
        <v>0</v>
      </c>
      <c r="V194" s="23">
        <f>IF(P194="","",P194-TODAY())</f>
        <v>0</v>
      </c>
      <c r="W194" s="29">
        <f>IF(B194="","",IF(COUNTIF(Assets!$B$5:$B$254,B194)&gt;1,"Duplicate","OK"))</f>
        <v>0</v>
      </c>
      <c r="X194" s="29">
        <f>IF(B194="","",IF(AND(P194&lt;&gt;"",P194&lt;TODAY()),"Expired - stop using this file",IF(D194="","Add - no file link saved",IF(N194&lt;&gt;"Approved","Check - not approved for use",IF(R194=0,"Use - never used yet","OK")))))</f>
        <v>0</v>
      </c>
    </row>
    <row r="195" spans="1:24">
      <c r="A195" s="41">
        <f>IF(B195="","",AssetPrefix&amp;TEXT(ROW()-4,"0000"))</f>
        <v>0</v>
      </c>
      <c r="R195" s="23">
        <f>IF(A195="","",COUNTIF('Content Calendar'!$T$5:$T$604,A195))</f>
        <v>0</v>
      </c>
      <c r="S195" s="23">
        <f>IF(A195="","",COUNTIF(Ads!$H$5:$H$104,A195))</f>
        <v>0</v>
      </c>
      <c r="T195" s="16">
        <f>IF(R195=0,"",SUMPRODUCT(MAX(('Content Calendar'!$T$5:$T$604=A195)*'Content Calendar'!$B$5:$B$604)))</f>
        <v>0</v>
      </c>
      <c r="U195" s="23">
        <f>IF(H195="","",TODAY()-H195)</f>
        <v>0</v>
      </c>
      <c r="V195" s="23">
        <f>IF(P195="","",P195-TODAY())</f>
        <v>0</v>
      </c>
      <c r="W195" s="29">
        <f>IF(B195="","",IF(COUNTIF(Assets!$B$5:$B$254,B195)&gt;1,"Duplicate","OK"))</f>
        <v>0</v>
      </c>
      <c r="X195" s="29">
        <f>IF(B195="","",IF(AND(P195&lt;&gt;"",P195&lt;TODAY()),"Expired - stop using this file",IF(D195="","Add - no file link saved",IF(N195&lt;&gt;"Approved","Check - not approved for use",IF(R195=0,"Use - never used yet","OK")))))</f>
        <v>0</v>
      </c>
    </row>
    <row r="196" spans="1:24">
      <c r="A196" s="41">
        <f>IF(B196="","",AssetPrefix&amp;TEXT(ROW()-4,"0000"))</f>
        <v>0</v>
      </c>
      <c r="R196" s="23">
        <f>IF(A196="","",COUNTIF('Content Calendar'!$T$5:$T$604,A196))</f>
        <v>0</v>
      </c>
      <c r="S196" s="23">
        <f>IF(A196="","",COUNTIF(Ads!$H$5:$H$104,A196))</f>
        <v>0</v>
      </c>
      <c r="T196" s="16">
        <f>IF(R196=0,"",SUMPRODUCT(MAX(('Content Calendar'!$T$5:$T$604=A196)*'Content Calendar'!$B$5:$B$604)))</f>
        <v>0</v>
      </c>
      <c r="U196" s="23">
        <f>IF(H196="","",TODAY()-H196)</f>
        <v>0</v>
      </c>
      <c r="V196" s="23">
        <f>IF(P196="","",P196-TODAY())</f>
        <v>0</v>
      </c>
      <c r="W196" s="29">
        <f>IF(B196="","",IF(COUNTIF(Assets!$B$5:$B$254,B196)&gt;1,"Duplicate","OK"))</f>
        <v>0</v>
      </c>
      <c r="X196" s="29">
        <f>IF(B196="","",IF(AND(P196&lt;&gt;"",P196&lt;TODAY()),"Expired - stop using this file",IF(D196="","Add - no file link saved",IF(N196&lt;&gt;"Approved","Check - not approved for use",IF(R196=0,"Use - never used yet","OK")))))</f>
        <v>0</v>
      </c>
    </row>
    <row r="197" spans="1:24">
      <c r="A197" s="41">
        <f>IF(B197="","",AssetPrefix&amp;TEXT(ROW()-4,"0000"))</f>
        <v>0</v>
      </c>
      <c r="R197" s="23">
        <f>IF(A197="","",COUNTIF('Content Calendar'!$T$5:$T$604,A197))</f>
        <v>0</v>
      </c>
      <c r="S197" s="23">
        <f>IF(A197="","",COUNTIF(Ads!$H$5:$H$104,A197))</f>
        <v>0</v>
      </c>
      <c r="T197" s="16">
        <f>IF(R197=0,"",SUMPRODUCT(MAX(('Content Calendar'!$T$5:$T$604=A197)*'Content Calendar'!$B$5:$B$604)))</f>
        <v>0</v>
      </c>
      <c r="U197" s="23">
        <f>IF(H197="","",TODAY()-H197)</f>
        <v>0</v>
      </c>
      <c r="V197" s="23">
        <f>IF(P197="","",P197-TODAY())</f>
        <v>0</v>
      </c>
      <c r="W197" s="29">
        <f>IF(B197="","",IF(COUNTIF(Assets!$B$5:$B$254,B197)&gt;1,"Duplicate","OK"))</f>
        <v>0</v>
      </c>
      <c r="X197" s="29">
        <f>IF(B197="","",IF(AND(P197&lt;&gt;"",P197&lt;TODAY()),"Expired - stop using this file",IF(D197="","Add - no file link saved",IF(N197&lt;&gt;"Approved","Check - not approved for use",IF(R197=0,"Use - never used yet","OK")))))</f>
        <v>0</v>
      </c>
    </row>
    <row r="198" spans="1:24">
      <c r="A198" s="41">
        <f>IF(B198="","",AssetPrefix&amp;TEXT(ROW()-4,"0000"))</f>
        <v>0</v>
      </c>
      <c r="R198" s="23">
        <f>IF(A198="","",COUNTIF('Content Calendar'!$T$5:$T$604,A198))</f>
        <v>0</v>
      </c>
      <c r="S198" s="23">
        <f>IF(A198="","",COUNTIF(Ads!$H$5:$H$104,A198))</f>
        <v>0</v>
      </c>
      <c r="T198" s="16">
        <f>IF(R198=0,"",SUMPRODUCT(MAX(('Content Calendar'!$T$5:$T$604=A198)*'Content Calendar'!$B$5:$B$604)))</f>
        <v>0</v>
      </c>
      <c r="U198" s="23">
        <f>IF(H198="","",TODAY()-H198)</f>
        <v>0</v>
      </c>
      <c r="V198" s="23">
        <f>IF(P198="","",P198-TODAY())</f>
        <v>0</v>
      </c>
      <c r="W198" s="29">
        <f>IF(B198="","",IF(COUNTIF(Assets!$B$5:$B$254,B198)&gt;1,"Duplicate","OK"))</f>
        <v>0</v>
      </c>
      <c r="X198" s="29">
        <f>IF(B198="","",IF(AND(P198&lt;&gt;"",P198&lt;TODAY()),"Expired - stop using this file",IF(D198="","Add - no file link saved",IF(N198&lt;&gt;"Approved","Check - not approved for use",IF(R198=0,"Use - never used yet","OK")))))</f>
        <v>0</v>
      </c>
    </row>
    <row r="199" spans="1:24">
      <c r="A199" s="41">
        <f>IF(B199="","",AssetPrefix&amp;TEXT(ROW()-4,"0000"))</f>
        <v>0</v>
      </c>
      <c r="R199" s="23">
        <f>IF(A199="","",COUNTIF('Content Calendar'!$T$5:$T$604,A199))</f>
        <v>0</v>
      </c>
      <c r="S199" s="23">
        <f>IF(A199="","",COUNTIF(Ads!$H$5:$H$104,A199))</f>
        <v>0</v>
      </c>
      <c r="T199" s="16">
        <f>IF(R199=0,"",SUMPRODUCT(MAX(('Content Calendar'!$T$5:$T$604=A199)*'Content Calendar'!$B$5:$B$604)))</f>
        <v>0</v>
      </c>
      <c r="U199" s="23">
        <f>IF(H199="","",TODAY()-H199)</f>
        <v>0</v>
      </c>
      <c r="V199" s="23">
        <f>IF(P199="","",P199-TODAY())</f>
        <v>0</v>
      </c>
      <c r="W199" s="29">
        <f>IF(B199="","",IF(COUNTIF(Assets!$B$5:$B$254,B199)&gt;1,"Duplicate","OK"))</f>
        <v>0</v>
      </c>
      <c r="X199" s="29">
        <f>IF(B199="","",IF(AND(P199&lt;&gt;"",P199&lt;TODAY()),"Expired - stop using this file",IF(D199="","Add - no file link saved",IF(N199&lt;&gt;"Approved","Check - not approved for use",IF(R199=0,"Use - never used yet","OK")))))</f>
        <v>0</v>
      </c>
    </row>
    <row r="200" spans="1:24">
      <c r="A200" s="41">
        <f>IF(B200="","",AssetPrefix&amp;TEXT(ROW()-4,"0000"))</f>
        <v>0</v>
      </c>
      <c r="R200" s="23">
        <f>IF(A200="","",COUNTIF('Content Calendar'!$T$5:$T$604,A200))</f>
        <v>0</v>
      </c>
      <c r="S200" s="23">
        <f>IF(A200="","",COUNTIF(Ads!$H$5:$H$104,A200))</f>
        <v>0</v>
      </c>
      <c r="T200" s="16">
        <f>IF(R200=0,"",SUMPRODUCT(MAX(('Content Calendar'!$T$5:$T$604=A200)*'Content Calendar'!$B$5:$B$604)))</f>
        <v>0</v>
      </c>
      <c r="U200" s="23">
        <f>IF(H200="","",TODAY()-H200)</f>
        <v>0</v>
      </c>
      <c r="V200" s="23">
        <f>IF(P200="","",P200-TODAY())</f>
        <v>0</v>
      </c>
      <c r="W200" s="29">
        <f>IF(B200="","",IF(COUNTIF(Assets!$B$5:$B$254,B200)&gt;1,"Duplicate","OK"))</f>
        <v>0</v>
      </c>
      <c r="X200" s="29">
        <f>IF(B200="","",IF(AND(P200&lt;&gt;"",P200&lt;TODAY()),"Expired - stop using this file",IF(D200="","Add - no file link saved",IF(N200&lt;&gt;"Approved","Check - not approved for use",IF(R200=0,"Use - never used yet","OK")))))</f>
        <v>0</v>
      </c>
    </row>
    <row r="201" spans="1:24">
      <c r="A201" s="41">
        <f>IF(B201="","",AssetPrefix&amp;TEXT(ROW()-4,"0000"))</f>
        <v>0</v>
      </c>
      <c r="R201" s="23">
        <f>IF(A201="","",COUNTIF('Content Calendar'!$T$5:$T$604,A201))</f>
        <v>0</v>
      </c>
      <c r="S201" s="23">
        <f>IF(A201="","",COUNTIF(Ads!$H$5:$H$104,A201))</f>
        <v>0</v>
      </c>
      <c r="T201" s="16">
        <f>IF(R201=0,"",SUMPRODUCT(MAX(('Content Calendar'!$T$5:$T$604=A201)*'Content Calendar'!$B$5:$B$604)))</f>
        <v>0</v>
      </c>
      <c r="U201" s="23">
        <f>IF(H201="","",TODAY()-H201)</f>
        <v>0</v>
      </c>
      <c r="V201" s="23">
        <f>IF(P201="","",P201-TODAY())</f>
        <v>0</v>
      </c>
      <c r="W201" s="29">
        <f>IF(B201="","",IF(COUNTIF(Assets!$B$5:$B$254,B201)&gt;1,"Duplicate","OK"))</f>
        <v>0</v>
      </c>
      <c r="X201" s="29">
        <f>IF(B201="","",IF(AND(P201&lt;&gt;"",P201&lt;TODAY()),"Expired - stop using this file",IF(D201="","Add - no file link saved",IF(N201&lt;&gt;"Approved","Check - not approved for use",IF(R201=0,"Use - never used yet","OK")))))</f>
        <v>0</v>
      </c>
    </row>
    <row r="202" spans="1:24">
      <c r="A202" s="41">
        <f>IF(B202="","",AssetPrefix&amp;TEXT(ROW()-4,"0000"))</f>
        <v>0</v>
      </c>
      <c r="R202" s="23">
        <f>IF(A202="","",COUNTIF('Content Calendar'!$T$5:$T$604,A202))</f>
        <v>0</v>
      </c>
      <c r="S202" s="23">
        <f>IF(A202="","",COUNTIF(Ads!$H$5:$H$104,A202))</f>
        <v>0</v>
      </c>
      <c r="T202" s="16">
        <f>IF(R202=0,"",SUMPRODUCT(MAX(('Content Calendar'!$T$5:$T$604=A202)*'Content Calendar'!$B$5:$B$604)))</f>
        <v>0</v>
      </c>
      <c r="U202" s="23">
        <f>IF(H202="","",TODAY()-H202)</f>
        <v>0</v>
      </c>
      <c r="V202" s="23">
        <f>IF(P202="","",P202-TODAY())</f>
        <v>0</v>
      </c>
      <c r="W202" s="29">
        <f>IF(B202="","",IF(COUNTIF(Assets!$B$5:$B$254,B202)&gt;1,"Duplicate","OK"))</f>
        <v>0</v>
      </c>
      <c r="X202" s="29">
        <f>IF(B202="","",IF(AND(P202&lt;&gt;"",P202&lt;TODAY()),"Expired - stop using this file",IF(D202="","Add - no file link saved",IF(N202&lt;&gt;"Approved","Check - not approved for use",IF(R202=0,"Use - never used yet","OK")))))</f>
        <v>0</v>
      </c>
    </row>
    <row r="203" spans="1:24">
      <c r="A203" s="41">
        <f>IF(B203="","",AssetPrefix&amp;TEXT(ROW()-4,"0000"))</f>
        <v>0</v>
      </c>
      <c r="R203" s="23">
        <f>IF(A203="","",COUNTIF('Content Calendar'!$T$5:$T$604,A203))</f>
        <v>0</v>
      </c>
      <c r="S203" s="23">
        <f>IF(A203="","",COUNTIF(Ads!$H$5:$H$104,A203))</f>
        <v>0</v>
      </c>
      <c r="T203" s="16">
        <f>IF(R203=0,"",SUMPRODUCT(MAX(('Content Calendar'!$T$5:$T$604=A203)*'Content Calendar'!$B$5:$B$604)))</f>
        <v>0</v>
      </c>
      <c r="U203" s="23">
        <f>IF(H203="","",TODAY()-H203)</f>
        <v>0</v>
      </c>
      <c r="V203" s="23">
        <f>IF(P203="","",P203-TODAY())</f>
        <v>0</v>
      </c>
      <c r="W203" s="29">
        <f>IF(B203="","",IF(COUNTIF(Assets!$B$5:$B$254,B203)&gt;1,"Duplicate","OK"))</f>
        <v>0</v>
      </c>
      <c r="X203" s="29">
        <f>IF(B203="","",IF(AND(P203&lt;&gt;"",P203&lt;TODAY()),"Expired - stop using this file",IF(D203="","Add - no file link saved",IF(N203&lt;&gt;"Approved","Check - not approved for use",IF(R203=0,"Use - never used yet","OK")))))</f>
        <v>0</v>
      </c>
    </row>
    <row r="204" spans="1:24">
      <c r="A204" s="41">
        <f>IF(B204="","",AssetPrefix&amp;TEXT(ROW()-4,"0000"))</f>
        <v>0</v>
      </c>
      <c r="R204" s="23">
        <f>IF(A204="","",COUNTIF('Content Calendar'!$T$5:$T$604,A204))</f>
        <v>0</v>
      </c>
      <c r="S204" s="23">
        <f>IF(A204="","",COUNTIF(Ads!$H$5:$H$104,A204))</f>
        <v>0</v>
      </c>
      <c r="T204" s="16">
        <f>IF(R204=0,"",SUMPRODUCT(MAX(('Content Calendar'!$T$5:$T$604=A204)*'Content Calendar'!$B$5:$B$604)))</f>
        <v>0</v>
      </c>
      <c r="U204" s="23">
        <f>IF(H204="","",TODAY()-H204)</f>
        <v>0</v>
      </c>
      <c r="V204" s="23">
        <f>IF(P204="","",P204-TODAY())</f>
        <v>0</v>
      </c>
      <c r="W204" s="29">
        <f>IF(B204="","",IF(COUNTIF(Assets!$B$5:$B$254,B204)&gt;1,"Duplicate","OK"))</f>
        <v>0</v>
      </c>
      <c r="X204" s="29">
        <f>IF(B204="","",IF(AND(P204&lt;&gt;"",P204&lt;TODAY()),"Expired - stop using this file",IF(D204="","Add - no file link saved",IF(N204&lt;&gt;"Approved","Check - not approved for use",IF(R204=0,"Use - never used yet","OK")))))</f>
        <v>0</v>
      </c>
    </row>
    <row r="205" spans="1:24">
      <c r="A205" s="41">
        <f>IF(B205="","",AssetPrefix&amp;TEXT(ROW()-4,"0000"))</f>
        <v>0</v>
      </c>
      <c r="R205" s="23">
        <f>IF(A205="","",COUNTIF('Content Calendar'!$T$5:$T$604,A205))</f>
        <v>0</v>
      </c>
      <c r="S205" s="23">
        <f>IF(A205="","",COUNTIF(Ads!$H$5:$H$104,A205))</f>
        <v>0</v>
      </c>
      <c r="T205" s="16">
        <f>IF(R205=0,"",SUMPRODUCT(MAX(('Content Calendar'!$T$5:$T$604=A205)*'Content Calendar'!$B$5:$B$604)))</f>
        <v>0</v>
      </c>
      <c r="U205" s="23">
        <f>IF(H205="","",TODAY()-H205)</f>
        <v>0</v>
      </c>
      <c r="V205" s="23">
        <f>IF(P205="","",P205-TODAY())</f>
        <v>0</v>
      </c>
      <c r="W205" s="29">
        <f>IF(B205="","",IF(COUNTIF(Assets!$B$5:$B$254,B205)&gt;1,"Duplicate","OK"))</f>
        <v>0</v>
      </c>
      <c r="X205" s="29">
        <f>IF(B205="","",IF(AND(P205&lt;&gt;"",P205&lt;TODAY()),"Expired - stop using this file",IF(D205="","Add - no file link saved",IF(N205&lt;&gt;"Approved","Check - not approved for use",IF(R205=0,"Use - never used yet","OK")))))</f>
        <v>0</v>
      </c>
    </row>
    <row r="206" spans="1:24">
      <c r="A206" s="41">
        <f>IF(B206="","",AssetPrefix&amp;TEXT(ROW()-4,"0000"))</f>
        <v>0</v>
      </c>
      <c r="R206" s="23">
        <f>IF(A206="","",COUNTIF('Content Calendar'!$T$5:$T$604,A206))</f>
        <v>0</v>
      </c>
      <c r="S206" s="23">
        <f>IF(A206="","",COUNTIF(Ads!$H$5:$H$104,A206))</f>
        <v>0</v>
      </c>
      <c r="T206" s="16">
        <f>IF(R206=0,"",SUMPRODUCT(MAX(('Content Calendar'!$T$5:$T$604=A206)*'Content Calendar'!$B$5:$B$604)))</f>
        <v>0</v>
      </c>
      <c r="U206" s="23">
        <f>IF(H206="","",TODAY()-H206)</f>
        <v>0</v>
      </c>
      <c r="V206" s="23">
        <f>IF(P206="","",P206-TODAY())</f>
        <v>0</v>
      </c>
      <c r="W206" s="29">
        <f>IF(B206="","",IF(COUNTIF(Assets!$B$5:$B$254,B206)&gt;1,"Duplicate","OK"))</f>
        <v>0</v>
      </c>
      <c r="X206" s="29">
        <f>IF(B206="","",IF(AND(P206&lt;&gt;"",P206&lt;TODAY()),"Expired - stop using this file",IF(D206="","Add - no file link saved",IF(N206&lt;&gt;"Approved","Check - not approved for use",IF(R206=0,"Use - never used yet","OK")))))</f>
        <v>0</v>
      </c>
    </row>
    <row r="207" spans="1:24">
      <c r="A207" s="41">
        <f>IF(B207="","",AssetPrefix&amp;TEXT(ROW()-4,"0000"))</f>
        <v>0</v>
      </c>
      <c r="R207" s="23">
        <f>IF(A207="","",COUNTIF('Content Calendar'!$T$5:$T$604,A207))</f>
        <v>0</v>
      </c>
      <c r="S207" s="23">
        <f>IF(A207="","",COUNTIF(Ads!$H$5:$H$104,A207))</f>
        <v>0</v>
      </c>
      <c r="T207" s="16">
        <f>IF(R207=0,"",SUMPRODUCT(MAX(('Content Calendar'!$T$5:$T$604=A207)*'Content Calendar'!$B$5:$B$604)))</f>
        <v>0</v>
      </c>
      <c r="U207" s="23">
        <f>IF(H207="","",TODAY()-H207)</f>
        <v>0</v>
      </c>
      <c r="V207" s="23">
        <f>IF(P207="","",P207-TODAY())</f>
        <v>0</v>
      </c>
      <c r="W207" s="29">
        <f>IF(B207="","",IF(COUNTIF(Assets!$B$5:$B$254,B207)&gt;1,"Duplicate","OK"))</f>
        <v>0</v>
      </c>
      <c r="X207" s="29">
        <f>IF(B207="","",IF(AND(P207&lt;&gt;"",P207&lt;TODAY()),"Expired - stop using this file",IF(D207="","Add - no file link saved",IF(N207&lt;&gt;"Approved","Check - not approved for use",IF(R207=0,"Use - never used yet","OK")))))</f>
        <v>0</v>
      </c>
    </row>
    <row r="208" spans="1:24">
      <c r="A208" s="41">
        <f>IF(B208="","",AssetPrefix&amp;TEXT(ROW()-4,"0000"))</f>
        <v>0</v>
      </c>
      <c r="R208" s="23">
        <f>IF(A208="","",COUNTIF('Content Calendar'!$T$5:$T$604,A208))</f>
        <v>0</v>
      </c>
      <c r="S208" s="23">
        <f>IF(A208="","",COUNTIF(Ads!$H$5:$H$104,A208))</f>
        <v>0</v>
      </c>
      <c r="T208" s="16">
        <f>IF(R208=0,"",SUMPRODUCT(MAX(('Content Calendar'!$T$5:$T$604=A208)*'Content Calendar'!$B$5:$B$604)))</f>
        <v>0</v>
      </c>
      <c r="U208" s="23">
        <f>IF(H208="","",TODAY()-H208)</f>
        <v>0</v>
      </c>
      <c r="V208" s="23">
        <f>IF(P208="","",P208-TODAY())</f>
        <v>0</v>
      </c>
      <c r="W208" s="29">
        <f>IF(B208="","",IF(COUNTIF(Assets!$B$5:$B$254,B208)&gt;1,"Duplicate","OK"))</f>
        <v>0</v>
      </c>
      <c r="X208" s="29">
        <f>IF(B208="","",IF(AND(P208&lt;&gt;"",P208&lt;TODAY()),"Expired - stop using this file",IF(D208="","Add - no file link saved",IF(N208&lt;&gt;"Approved","Check - not approved for use",IF(R208=0,"Use - never used yet","OK")))))</f>
        <v>0</v>
      </c>
    </row>
    <row r="209" spans="1:24">
      <c r="A209" s="41">
        <f>IF(B209="","",AssetPrefix&amp;TEXT(ROW()-4,"0000"))</f>
        <v>0</v>
      </c>
      <c r="R209" s="23">
        <f>IF(A209="","",COUNTIF('Content Calendar'!$T$5:$T$604,A209))</f>
        <v>0</v>
      </c>
      <c r="S209" s="23">
        <f>IF(A209="","",COUNTIF(Ads!$H$5:$H$104,A209))</f>
        <v>0</v>
      </c>
      <c r="T209" s="16">
        <f>IF(R209=0,"",SUMPRODUCT(MAX(('Content Calendar'!$T$5:$T$604=A209)*'Content Calendar'!$B$5:$B$604)))</f>
        <v>0</v>
      </c>
      <c r="U209" s="23">
        <f>IF(H209="","",TODAY()-H209)</f>
        <v>0</v>
      </c>
      <c r="V209" s="23">
        <f>IF(P209="","",P209-TODAY())</f>
        <v>0</v>
      </c>
      <c r="W209" s="29">
        <f>IF(B209="","",IF(COUNTIF(Assets!$B$5:$B$254,B209)&gt;1,"Duplicate","OK"))</f>
        <v>0</v>
      </c>
      <c r="X209" s="29">
        <f>IF(B209="","",IF(AND(P209&lt;&gt;"",P209&lt;TODAY()),"Expired - stop using this file",IF(D209="","Add - no file link saved",IF(N209&lt;&gt;"Approved","Check - not approved for use",IF(R209=0,"Use - never used yet","OK")))))</f>
        <v>0</v>
      </c>
    </row>
    <row r="210" spans="1:24">
      <c r="A210" s="41">
        <f>IF(B210="","",AssetPrefix&amp;TEXT(ROW()-4,"0000"))</f>
        <v>0</v>
      </c>
      <c r="R210" s="23">
        <f>IF(A210="","",COUNTIF('Content Calendar'!$T$5:$T$604,A210))</f>
        <v>0</v>
      </c>
      <c r="S210" s="23">
        <f>IF(A210="","",COUNTIF(Ads!$H$5:$H$104,A210))</f>
        <v>0</v>
      </c>
      <c r="T210" s="16">
        <f>IF(R210=0,"",SUMPRODUCT(MAX(('Content Calendar'!$T$5:$T$604=A210)*'Content Calendar'!$B$5:$B$604)))</f>
        <v>0</v>
      </c>
      <c r="U210" s="23">
        <f>IF(H210="","",TODAY()-H210)</f>
        <v>0</v>
      </c>
      <c r="V210" s="23">
        <f>IF(P210="","",P210-TODAY())</f>
        <v>0</v>
      </c>
      <c r="W210" s="29">
        <f>IF(B210="","",IF(COUNTIF(Assets!$B$5:$B$254,B210)&gt;1,"Duplicate","OK"))</f>
        <v>0</v>
      </c>
      <c r="X210" s="29">
        <f>IF(B210="","",IF(AND(P210&lt;&gt;"",P210&lt;TODAY()),"Expired - stop using this file",IF(D210="","Add - no file link saved",IF(N210&lt;&gt;"Approved","Check - not approved for use",IF(R210=0,"Use - never used yet","OK")))))</f>
        <v>0</v>
      </c>
    </row>
    <row r="211" spans="1:24">
      <c r="A211" s="41">
        <f>IF(B211="","",AssetPrefix&amp;TEXT(ROW()-4,"0000"))</f>
        <v>0</v>
      </c>
      <c r="R211" s="23">
        <f>IF(A211="","",COUNTIF('Content Calendar'!$T$5:$T$604,A211))</f>
        <v>0</v>
      </c>
      <c r="S211" s="23">
        <f>IF(A211="","",COUNTIF(Ads!$H$5:$H$104,A211))</f>
        <v>0</v>
      </c>
      <c r="T211" s="16">
        <f>IF(R211=0,"",SUMPRODUCT(MAX(('Content Calendar'!$T$5:$T$604=A211)*'Content Calendar'!$B$5:$B$604)))</f>
        <v>0</v>
      </c>
      <c r="U211" s="23">
        <f>IF(H211="","",TODAY()-H211)</f>
        <v>0</v>
      </c>
      <c r="V211" s="23">
        <f>IF(P211="","",P211-TODAY())</f>
        <v>0</v>
      </c>
      <c r="W211" s="29">
        <f>IF(B211="","",IF(COUNTIF(Assets!$B$5:$B$254,B211)&gt;1,"Duplicate","OK"))</f>
        <v>0</v>
      </c>
      <c r="X211" s="29">
        <f>IF(B211="","",IF(AND(P211&lt;&gt;"",P211&lt;TODAY()),"Expired - stop using this file",IF(D211="","Add - no file link saved",IF(N211&lt;&gt;"Approved","Check - not approved for use",IF(R211=0,"Use - never used yet","OK")))))</f>
        <v>0</v>
      </c>
    </row>
    <row r="212" spans="1:24">
      <c r="A212" s="41">
        <f>IF(B212="","",AssetPrefix&amp;TEXT(ROW()-4,"0000"))</f>
        <v>0</v>
      </c>
      <c r="R212" s="23">
        <f>IF(A212="","",COUNTIF('Content Calendar'!$T$5:$T$604,A212))</f>
        <v>0</v>
      </c>
      <c r="S212" s="23">
        <f>IF(A212="","",COUNTIF(Ads!$H$5:$H$104,A212))</f>
        <v>0</v>
      </c>
      <c r="T212" s="16">
        <f>IF(R212=0,"",SUMPRODUCT(MAX(('Content Calendar'!$T$5:$T$604=A212)*'Content Calendar'!$B$5:$B$604)))</f>
        <v>0</v>
      </c>
      <c r="U212" s="23">
        <f>IF(H212="","",TODAY()-H212)</f>
        <v>0</v>
      </c>
      <c r="V212" s="23">
        <f>IF(P212="","",P212-TODAY())</f>
        <v>0</v>
      </c>
      <c r="W212" s="29">
        <f>IF(B212="","",IF(COUNTIF(Assets!$B$5:$B$254,B212)&gt;1,"Duplicate","OK"))</f>
        <v>0</v>
      </c>
      <c r="X212" s="29">
        <f>IF(B212="","",IF(AND(P212&lt;&gt;"",P212&lt;TODAY()),"Expired - stop using this file",IF(D212="","Add - no file link saved",IF(N212&lt;&gt;"Approved","Check - not approved for use",IF(R212=0,"Use - never used yet","OK")))))</f>
        <v>0</v>
      </c>
    </row>
    <row r="213" spans="1:24">
      <c r="A213" s="41">
        <f>IF(B213="","",AssetPrefix&amp;TEXT(ROW()-4,"0000"))</f>
        <v>0</v>
      </c>
      <c r="R213" s="23">
        <f>IF(A213="","",COUNTIF('Content Calendar'!$T$5:$T$604,A213))</f>
        <v>0</v>
      </c>
      <c r="S213" s="23">
        <f>IF(A213="","",COUNTIF(Ads!$H$5:$H$104,A213))</f>
        <v>0</v>
      </c>
      <c r="T213" s="16">
        <f>IF(R213=0,"",SUMPRODUCT(MAX(('Content Calendar'!$T$5:$T$604=A213)*'Content Calendar'!$B$5:$B$604)))</f>
        <v>0</v>
      </c>
      <c r="U213" s="23">
        <f>IF(H213="","",TODAY()-H213)</f>
        <v>0</v>
      </c>
      <c r="V213" s="23">
        <f>IF(P213="","",P213-TODAY())</f>
        <v>0</v>
      </c>
      <c r="W213" s="29">
        <f>IF(B213="","",IF(COUNTIF(Assets!$B$5:$B$254,B213)&gt;1,"Duplicate","OK"))</f>
        <v>0</v>
      </c>
      <c r="X213" s="29">
        <f>IF(B213="","",IF(AND(P213&lt;&gt;"",P213&lt;TODAY()),"Expired - stop using this file",IF(D213="","Add - no file link saved",IF(N213&lt;&gt;"Approved","Check - not approved for use",IF(R213=0,"Use - never used yet","OK")))))</f>
        <v>0</v>
      </c>
    </row>
    <row r="214" spans="1:24">
      <c r="A214" s="41">
        <f>IF(B214="","",AssetPrefix&amp;TEXT(ROW()-4,"0000"))</f>
        <v>0</v>
      </c>
      <c r="R214" s="23">
        <f>IF(A214="","",COUNTIF('Content Calendar'!$T$5:$T$604,A214))</f>
        <v>0</v>
      </c>
      <c r="S214" s="23">
        <f>IF(A214="","",COUNTIF(Ads!$H$5:$H$104,A214))</f>
        <v>0</v>
      </c>
      <c r="T214" s="16">
        <f>IF(R214=0,"",SUMPRODUCT(MAX(('Content Calendar'!$T$5:$T$604=A214)*'Content Calendar'!$B$5:$B$604)))</f>
        <v>0</v>
      </c>
      <c r="U214" s="23">
        <f>IF(H214="","",TODAY()-H214)</f>
        <v>0</v>
      </c>
      <c r="V214" s="23">
        <f>IF(P214="","",P214-TODAY())</f>
        <v>0</v>
      </c>
      <c r="W214" s="29">
        <f>IF(B214="","",IF(COUNTIF(Assets!$B$5:$B$254,B214)&gt;1,"Duplicate","OK"))</f>
        <v>0</v>
      </c>
      <c r="X214" s="29">
        <f>IF(B214="","",IF(AND(P214&lt;&gt;"",P214&lt;TODAY()),"Expired - stop using this file",IF(D214="","Add - no file link saved",IF(N214&lt;&gt;"Approved","Check - not approved for use",IF(R214=0,"Use - never used yet","OK")))))</f>
        <v>0</v>
      </c>
    </row>
    <row r="215" spans="1:24">
      <c r="A215" s="41">
        <f>IF(B215="","",AssetPrefix&amp;TEXT(ROW()-4,"0000"))</f>
        <v>0</v>
      </c>
      <c r="R215" s="23">
        <f>IF(A215="","",COUNTIF('Content Calendar'!$T$5:$T$604,A215))</f>
        <v>0</v>
      </c>
      <c r="S215" s="23">
        <f>IF(A215="","",COUNTIF(Ads!$H$5:$H$104,A215))</f>
        <v>0</v>
      </c>
      <c r="T215" s="16">
        <f>IF(R215=0,"",SUMPRODUCT(MAX(('Content Calendar'!$T$5:$T$604=A215)*'Content Calendar'!$B$5:$B$604)))</f>
        <v>0</v>
      </c>
      <c r="U215" s="23">
        <f>IF(H215="","",TODAY()-H215)</f>
        <v>0</v>
      </c>
      <c r="V215" s="23">
        <f>IF(P215="","",P215-TODAY())</f>
        <v>0</v>
      </c>
      <c r="W215" s="29">
        <f>IF(B215="","",IF(COUNTIF(Assets!$B$5:$B$254,B215)&gt;1,"Duplicate","OK"))</f>
        <v>0</v>
      </c>
      <c r="X215" s="29">
        <f>IF(B215="","",IF(AND(P215&lt;&gt;"",P215&lt;TODAY()),"Expired - stop using this file",IF(D215="","Add - no file link saved",IF(N215&lt;&gt;"Approved","Check - not approved for use",IF(R215=0,"Use - never used yet","OK")))))</f>
        <v>0</v>
      </c>
    </row>
    <row r="216" spans="1:24">
      <c r="A216" s="41">
        <f>IF(B216="","",AssetPrefix&amp;TEXT(ROW()-4,"0000"))</f>
        <v>0</v>
      </c>
      <c r="R216" s="23">
        <f>IF(A216="","",COUNTIF('Content Calendar'!$T$5:$T$604,A216))</f>
        <v>0</v>
      </c>
      <c r="S216" s="23">
        <f>IF(A216="","",COUNTIF(Ads!$H$5:$H$104,A216))</f>
        <v>0</v>
      </c>
      <c r="T216" s="16">
        <f>IF(R216=0,"",SUMPRODUCT(MAX(('Content Calendar'!$T$5:$T$604=A216)*'Content Calendar'!$B$5:$B$604)))</f>
        <v>0</v>
      </c>
      <c r="U216" s="23">
        <f>IF(H216="","",TODAY()-H216)</f>
        <v>0</v>
      </c>
      <c r="V216" s="23">
        <f>IF(P216="","",P216-TODAY())</f>
        <v>0</v>
      </c>
      <c r="W216" s="29">
        <f>IF(B216="","",IF(COUNTIF(Assets!$B$5:$B$254,B216)&gt;1,"Duplicate","OK"))</f>
        <v>0</v>
      </c>
      <c r="X216" s="29">
        <f>IF(B216="","",IF(AND(P216&lt;&gt;"",P216&lt;TODAY()),"Expired - stop using this file",IF(D216="","Add - no file link saved",IF(N216&lt;&gt;"Approved","Check - not approved for use",IF(R216=0,"Use - never used yet","OK")))))</f>
        <v>0</v>
      </c>
    </row>
    <row r="217" spans="1:24">
      <c r="A217" s="41">
        <f>IF(B217="","",AssetPrefix&amp;TEXT(ROW()-4,"0000"))</f>
        <v>0</v>
      </c>
      <c r="R217" s="23">
        <f>IF(A217="","",COUNTIF('Content Calendar'!$T$5:$T$604,A217))</f>
        <v>0</v>
      </c>
      <c r="S217" s="23">
        <f>IF(A217="","",COUNTIF(Ads!$H$5:$H$104,A217))</f>
        <v>0</v>
      </c>
      <c r="T217" s="16">
        <f>IF(R217=0,"",SUMPRODUCT(MAX(('Content Calendar'!$T$5:$T$604=A217)*'Content Calendar'!$B$5:$B$604)))</f>
        <v>0</v>
      </c>
      <c r="U217" s="23">
        <f>IF(H217="","",TODAY()-H217)</f>
        <v>0</v>
      </c>
      <c r="V217" s="23">
        <f>IF(P217="","",P217-TODAY())</f>
        <v>0</v>
      </c>
      <c r="W217" s="29">
        <f>IF(B217="","",IF(COUNTIF(Assets!$B$5:$B$254,B217)&gt;1,"Duplicate","OK"))</f>
        <v>0</v>
      </c>
      <c r="X217" s="29">
        <f>IF(B217="","",IF(AND(P217&lt;&gt;"",P217&lt;TODAY()),"Expired - stop using this file",IF(D217="","Add - no file link saved",IF(N217&lt;&gt;"Approved","Check - not approved for use",IF(R217=0,"Use - never used yet","OK")))))</f>
        <v>0</v>
      </c>
    </row>
    <row r="218" spans="1:24">
      <c r="A218" s="41">
        <f>IF(B218="","",AssetPrefix&amp;TEXT(ROW()-4,"0000"))</f>
        <v>0</v>
      </c>
      <c r="R218" s="23">
        <f>IF(A218="","",COUNTIF('Content Calendar'!$T$5:$T$604,A218))</f>
        <v>0</v>
      </c>
      <c r="S218" s="23">
        <f>IF(A218="","",COUNTIF(Ads!$H$5:$H$104,A218))</f>
        <v>0</v>
      </c>
      <c r="T218" s="16">
        <f>IF(R218=0,"",SUMPRODUCT(MAX(('Content Calendar'!$T$5:$T$604=A218)*'Content Calendar'!$B$5:$B$604)))</f>
        <v>0</v>
      </c>
      <c r="U218" s="23">
        <f>IF(H218="","",TODAY()-H218)</f>
        <v>0</v>
      </c>
      <c r="V218" s="23">
        <f>IF(P218="","",P218-TODAY())</f>
        <v>0</v>
      </c>
      <c r="W218" s="29">
        <f>IF(B218="","",IF(COUNTIF(Assets!$B$5:$B$254,B218)&gt;1,"Duplicate","OK"))</f>
        <v>0</v>
      </c>
      <c r="X218" s="29">
        <f>IF(B218="","",IF(AND(P218&lt;&gt;"",P218&lt;TODAY()),"Expired - stop using this file",IF(D218="","Add - no file link saved",IF(N218&lt;&gt;"Approved","Check - not approved for use",IF(R218=0,"Use - never used yet","OK")))))</f>
        <v>0</v>
      </c>
    </row>
    <row r="219" spans="1:24">
      <c r="A219" s="41">
        <f>IF(B219="","",AssetPrefix&amp;TEXT(ROW()-4,"0000"))</f>
        <v>0</v>
      </c>
      <c r="R219" s="23">
        <f>IF(A219="","",COUNTIF('Content Calendar'!$T$5:$T$604,A219))</f>
        <v>0</v>
      </c>
      <c r="S219" s="23">
        <f>IF(A219="","",COUNTIF(Ads!$H$5:$H$104,A219))</f>
        <v>0</v>
      </c>
      <c r="T219" s="16">
        <f>IF(R219=0,"",SUMPRODUCT(MAX(('Content Calendar'!$T$5:$T$604=A219)*'Content Calendar'!$B$5:$B$604)))</f>
        <v>0</v>
      </c>
      <c r="U219" s="23">
        <f>IF(H219="","",TODAY()-H219)</f>
        <v>0</v>
      </c>
      <c r="V219" s="23">
        <f>IF(P219="","",P219-TODAY())</f>
        <v>0</v>
      </c>
      <c r="W219" s="29">
        <f>IF(B219="","",IF(COUNTIF(Assets!$B$5:$B$254,B219)&gt;1,"Duplicate","OK"))</f>
        <v>0</v>
      </c>
      <c r="X219" s="29">
        <f>IF(B219="","",IF(AND(P219&lt;&gt;"",P219&lt;TODAY()),"Expired - stop using this file",IF(D219="","Add - no file link saved",IF(N219&lt;&gt;"Approved","Check - not approved for use",IF(R219=0,"Use - never used yet","OK")))))</f>
        <v>0</v>
      </c>
    </row>
    <row r="220" spans="1:24">
      <c r="A220" s="41">
        <f>IF(B220="","",AssetPrefix&amp;TEXT(ROW()-4,"0000"))</f>
        <v>0</v>
      </c>
      <c r="R220" s="23">
        <f>IF(A220="","",COUNTIF('Content Calendar'!$T$5:$T$604,A220))</f>
        <v>0</v>
      </c>
      <c r="S220" s="23">
        <f>IF(A220="","",COUNTIF(Ads!$H$5:$H$104,A220))</f>
        <v>0</v>
      </c>
      <c r="T220" s="16">
        <f>IF(R220=0,"",SUMPRODUCT(MAX(('Content Calendar'!$T$5:$T$604=A220)*'Content Calendar'!$B$5:$B$604)))</f>
        <v>0</v>
      </c>
      <c r="U220" s="23">
        <f>IF(H220="","",TODAY()-H220)</f>
        <v>0</v>
      </c>
      <c r="V220" s="23">
        <f>IF(P220="","",P220-TODAY())</f>
        <v>0</v>
      </c>
      <c r="W220" s="29">
        <f>IF(B220="","",IF(COUNTIF(Assets!$B$5:$B$254,B220)&gt;1,"Duplicate","OK"))</f>
        <v>0</v>
      </c>
      <c r="X220" s="29">
        <f>IF(B220="","",IF(AND(P220&lt;&gt;"",P220&lt;TODAY()),"Expired - stop using this file",IF(D220="","Add - no file link saved",IF(N220&lt;&gt;"Approved","Check - not approved for use",IF(R220=0,"Use - never used yet","OK")))))</f>
        <v>0</v>
      </c>
    </row>
    <row r="221" spans="1:24">
      <c r="A221" s="41">
        <f>IF(B221="","",AssetPrefix&amp;TEXT(ROW()-4,"0000"))</f>
        <v>0</v>
      </c>
      <c r="R221" s="23">
        <f>IF(A221="","",COUNTIF('Content Calendar'!$T$5:$T$604,A221))</f>
        <v>0</v>
      </c>
      <c r="S221" s="23">
        <f>IF(A221="","",COUNTIF(Ads!$H$5:$H$104,A221))</f>
        <v>0</v>
      </c>
      <c r="T221" s="16">
        <f>IF(R221=0,"",SUMPRODUCT(MAX(('Content Calendar'!$T$5:$T$604=A221)*'Content Calendar'!$B$5:$B$604)))</f>
        <v>0</v>
      </c>
      <c r="U221" s="23">
        <f>IF(H221="","",TODAY()-H221)</f>
        <v>0</v>
      </c>
      <c r="V221" s="23">
        <f>IF(P221="","",P221-TODAY())</f>
        <v>0</v>
      </c>
      <c r="W221" s="29">
        <f>IF(B221="","",IF(COUNTIF(Assets!$B$5:$B$254,B221)&gt;1,"Duplicate","OK"))</f>
        <v>0</v>
      </c>
      <c r="X221" s="29">
        <f>IF(B221="","",IF(AND(P221&lt;&gt;"",P221&lt;TODAY()),"Expired - stop using this file",IF(D221="","Add - no file link saved",IF(N221&lt;&gt;"Approved","Check - not approved for use",IF(R221=0,"Use - never used yet","OK")))))</f>
        <v>0</v>
      </c>
    </row>
    <row r="222" spans="1:24">
      <c r="A222" s="41">
        <f>IF(B222="","",AssetPrefix&amp;TEXT(ROW()-4,"0000"))</f>
        <v>0</v>
      </c>
      <c r="R222" s="23">
        <f>IF(A222="","",COUNTIF('Content Calendar'!$T$5:$T$604,A222))</f>
        <v>0</v>
      </c>
      <c r="S222" s="23">
        <f>IF(A222="","",COUNTIF(Ads!$H$5:$H$104,A222))</f>
        <v>0</v>
      </c>
      <c r="T222" s="16">
        <f>IF(R222=0,"",SUMPRODUCT(MAX(('Content Calendar'!$T$5:$T$604=A222)*'Content Calendar'!$B$5:$B$604)))</f>
        <v>0</v>
      </c>
      <c r="U222" s="23">
        <f>IF(H222="","",TODAY()-H222)</f>
        <v>0</v>
      </c>
      <c r="V222" s="23">
        <f>IF(P222="","",P222-TODAY())</f>
        <v>0</v>
      </c>
      <c r="W222" s="29">
        <f>IF(B222="","",IF(COUNTIF(Assets!$B$5:$B$254,B222)&gt;1,"Duplicate","OK"))</f>
        <v>0</v>
      </c>
      <c r="X222" s="29">
        <f>IF(B222="","",IF(AND(P222&lt;&gt;"",P222&lt;TODAY()),"Expired - stop using this file",IF(D222="","Add - no file link saved",IF(N222&lt;&gt;"Approved","Check - not approved for use",IF(R222=0,"Use - never used yet","OK")))))</f>
        <v>0</v>
      </c>
    </row>
    <row r="223" spans="1:24">
      <c r="A223" s="41">
        <f>IF(B223="","",AssetPrefix&amp;TEXT(ROW()-4,"0000"))</f>
        <v>0</v>
      </c>
      <c r="R223" s="23">
        <f>IF(A223="","",COUNTIF('Content Calendar'!$T$5:$T$604,A223))</f>
        <v>0</v>
      </c>
      <c r="S223" s="23">
        <f>IF(A223="","",COUNTIF(Ads!$H$5:$H$104,A223))</f>
        <v>0</v>
      </c>
      <c r="T223" s="16">
        <f>IF(R223=0,"",SUMPRODUCT(MAX(('Content Calendar'!$T$5:$T$604=A223)*'Content Calendar'!$B$5:$B$604)))</f>
        <v>0</v>
      </c>
      <c r="U223" s="23">
        <f>IF(H223="","",TODAY()-H223)</f>
        <v>0</v>
      </c>
      <c r="V223" s="23">
        <f>IF(P223="","",P223-TODAY())</f>
        <v>0</v>
      </c>
      <c r="W223" s="29">
        <f>IF(B223="","",IF(COUNTIF(Assets!$B$5:$B$254,B223)&gt;1,"Duplicate","OK"))</f>
        <v>0</v>
      </c>
      <c r="X223" s="29">
        <f>IF(B223="","",IF(AND(P223&lt;&gt;"",P223&lt;TODAY()),"Expired - stop using this file",IF(D223="","Add - no file link saved",IF(N223&lt;&gt;"Approved","Check - not approved for use",IF(R223=0,"Use - never used yet","OK")))))</f>
        <v>0</v>
      </c>
    </row>
    <row r="224" spans="1:24">
      <c r="A224" s="41">
        <f>IF(B224="","",AssetPrefix&amp;TEXT(ROW()-4,"0000"))</f>
        <v>0</v>
      </c>
      <c r="R224" s="23">
        <f>IF(A224="","",COUNTIF('Content Calendar'!$T$5:$T$604,A224))</f>
        <v>0</v>
      </c>
      <c r="S224" s="23">
        <f>IF(A224="","",COUNTIF(Ads!$H$5:$H$104,A224))</f>
        <v>0</v>
      </c>
      <c r="T224" s="16">
        <f>IF(R224=0,"",SUMPRODUCT(MAX(('Content Calendar'!$T$5:$T$604=A224)*'Content Calendar'!$B$5:$B$604)))</f>
        <v>0</v>
      </c>
      <c r="U224" s="23">
        <f>IF(H224="","",TODAY()-H224)</f>
        <v>0</v>
      </c>
      <c r="V224" s="23">
        <f>IF(P224="","",P224-TODAY())</f>
        <v>0</v>
      </c>
      <c r="W224" s="29">
        <f>IF(B224="","",IF(COUNTIF(Assets!$B$5:$B$254,B224)&gt;1,"Duplicate","OK"))</f>
        <v>0</v>
      </c>
      <c r="X224" s="29">
        <f>IF(B224="","",IF(AND(P224&lt;&gt;"",P224&lt;TODAY()),"Expired - stop using this file",IF(D224="","Add - no file link saved",IF(N224&lt;&gt;"Approved","Check - not approved for use",IF(R224=0,"Use - never used yet","OK")))))</f>
        <v>0</v>
      </c>
    </row>
    <row r="225" spans="1:24">
      <c r="A225" s="41">
        <f>IF(B225="","",AssetPrefix&amp;TEXT(ROW()-4,"0000"))</f>
        <v>0</v>
      </c>
      <c r="R225" s="23">
        <f>IF(A225="","",COUNTIF('Content Calendar'!$T$5:$T$604,A225))</f>
        <v>0</v>
      </c>
      <c r="S225" s="23">
        <f>IF(A225="","",COUNTIF(Ads!$H$5:$H$104,A225))</f>
        <v>0</v>
      </c>
      <c r="T225" s="16">
        <f>IF(R225=0,"",SUMPRODUCT(MAX(('Content Calendar'!$T$5:$T$604=A225)*'Content Calendar'!$B$5:$B$604)))</f>
        <v>0</v>
      </c>
      <c r="U225" s="23">
        <f>IF(H225="","",TODAY()-H225)</f>
        <v>0</v>
      </c>
      <c r="V225" s="23">
        <f>IF(P225="","",P225-TODAY())</f>
        <v>0</v>
      </c>
      <c r="W225" s="29">
        <f>IF(B225="","",IF(COUNTIF(Assets!$B$5:$B$254,B225)&gt;1,"Duplicate","OK"))</f>
        <v>0</v>
      </c>
      <c r="X225" s="29">
        <f>IF(B225="","",IF(AND(P225&lt;&gt;"",P225&lt;TODAY()),"Expired - stop using this file",IF(D225="","Add - no file link saved",IF(N225&lt;&gt;"Approved","Check - not approved for use",IF(R225=0,"Use - never used yet","OK")))))</f>
        <v>0</v>
      </c>
    </row>
    <row r="226" spans="1:24">
      <c r="A226" s="41">
        <f>IF(B226="","",AssetPrefix&amp;TEXT(ROW()-4,"0000"))</f>
        <v>0</v>
      </c>
      <c r="R226" s="23">
        <f>IF(A226="","",COUNTIF('Content Calendar'!$T$5:$T$604,A226))</f>
        <v>0</v>
      </c>
      <c r="S226" s="23">
        <f>IF(A226="","",COUNTIF(Ads!$H$5:$H$104,A226))</f>
        <v>0</v>
      </c>
      <c r="T226" s="16">
        <f>IF(R226=0,"",SUMPRODUCT(MAX(('Content Calendar'!$T$5:$T$604=A226)*'Content Calendar'!$B$5:$B$604)))</f>
        <v>0</v>
      </c>
      <c r="U226" s="23">
        <f>IF(H226="","",TODAY()-H226)</f>
        <v>0</v>
      </c>
      <c r="V226" s="23">
        <f>IF(P226="","",P226-TODAY())</f>
        <v>0</v>
      </c>
      <c r="W226" s="29">
        <f>IF(B226="","",IF(COUNTIF(Assets!$B$5:$B$254,B226)&gt;1,"Duplicate","OK"))</f>
        <v>0</v>
      </c>
      <c r="X226" s="29">
        <f>IF(B226="","",IF(AND(P226&lt;&gt;"",P226&lt;TODAY()),"Expired - stop using this file",IF(D226="","Add - no file link saved",IF(N226&lt;&gt;"Approved","Check - not approved for use",IF(R226=0,"Use - never used yet","OK")))))</f>
        <v>0</v>
      </c>
    </row>
    <row r="227" spans="1:24">
      <c r="A227" s="41">
        <f>IF(B227="","",AssetPrefix&amp;TEXT(ROW()-4,"0000"))</f>
        <v>0</v>
      </c>
      <c r="R227" s="23">
        <f>IF(A227="","",COUNTIF('Content Calendar'!$T$5:$T$604,A227))</f>
        <v>0</v>
      </c>
      <c r="S227" s="23">
        <f>IF(A227="","",COUNTIF(Ads!$H$5:$H$104,A227))</f>
        <v>0</v>
      </c>
      <c r="T227" s="16">
        <f>IF(R227=0,"",SUMPRODUCT(MAX(('Content Calendar'!$T$5:$T$604=A227)*'Content Calendar'!$B$5:$B$604)))</f>
        <v>0</v>
      </c>
      <c r="U227" s="23">
        <f>IF(H227="","",TODAY()-H227)</f>
        <v>0</v>
      </c>
      <c r="V227" s="23">
        <f>IF(P227="","",P227-TODAY())</f>
        <v>0</v>
      </c>
      <c r="W227" s="29">
        <f>IF(B227="","",IF(COUNTIF(Assets!$B$5:$B$254,B227)&gt;1,"Duplicate","OK"))</f>
        <v>0</v>
      </c>
      <c r="X227" s="29">
        <f>IF(B227="","",IF(AND(P227&lt;&gt;"",P227&lt;TODAY()),"Expired - stop using this file",IF(D227="","Add - no file link saved",IF(N227&lt;&gt;"Approved","Check - not approved for use",IF(R227=0,"Use - never used yet","OK")))))</f>
        <v>0</v>
      </c>
    </row>
    <row r="228" spans="1:24">
      <c r="A228" s="41">
        <f>IF(B228="","",AssetPrefix&amp;TEXT(ROW()-4,"0000"))</f>
        <v>0</v>
      </c>
      <c r="R228" s="23">
        <f>IF(A228="","",COUNTIF('Content Calendar'!$T$5:$T$604,A228))</f>
        <v>0</v>
      </c>
      <c r="S228" s="23">
        <f>IF(A228="","",COUNTIF(Ads!$H$5:$H$104,A228))</f>
        <v>0</v>
      </c>
      <c r="T228" s="16">
        <f>IF(R228=0,"",SUMPRODUCT(MAX(('Content Calendar'!$T$5:$T$604=A228)*'Content Calendar'!$B$5:$B$604)))</f>
        <v>0</v>
      </c>
      <c r="U228" s="23">
        <f>IF(H228="","",TODAY()-H228)</f>
        <v>0</v>
      </c>
      <c r="V228" s="23">
        <f>IF(P228="","",P228-TODAY())</f>
        <v>0</v>
      </c>
      <c r="W228" s="29">
        <f>IF(B228="","",IF(COUNTIF(Assets!$B$5:$B$254,B228)&gt;1,"Duplicate","OK"))</f>
        <v>0</v>
      </c>
      <c r="X228" s="29">
        <f>IF(B228="","",IF(AND(P228&lt;&gt;"",P228&lt;TODAY()),"Expired - stop using this file",IF(D228="","Add - no file link saved",IF(N228&lt;&gt;"Approved","Check - not approved for use",IF(R228=0,"Use - never used yet","OK")))))</f>
        <v>0</v>
      </c>
    </row>
    <row r="229" spans="1:24">
      <c r="A229" s="41">
        <f>IF(B229="","",AssetPrefix&amp;TEXT(ROW()-4,"0000"))</f>
        <v>0</v>
      </c>
      <c r="R229" s="23">
        <f>IF(A229="","",COUNTIF('Content Calendar'!$T$5:$T$604,A229))</f>
        <v>0</v>
      </c>
      <c r="S229" s="23">
        <f>IF(A229="","",COUNTIF(Ads!$H$5:$H$104,A229))</f>
        <v>0</v>
      </c>
      <c r="T229" s="16">
        <f>IF(R229=0,"",SUMPRODUCT(MAX(('Content Calendar'!$T$5:$T$604=A229)*'Content Calendar'!$B$5:$B$604)))</f>
        <v>0</v>
      </c>
      <c r="U229" s="23">
        <f>IF(H229="","",TODAY()-H229)</f>
        <v>0</v>
      </c>
      <c r="V229" s="23">
        <f>IF(P229="","",P229-TODAY())</f>
        <v>0</v>
      </c>
      <c r="W229" s="29">
        <f>IF(B229="","",IF(COUNTIF(Assets!$B$5:$B$254,B229)&gt;1,"Duplicate","OK"))</f>
        <v>0</v>
      </c>
      <c r="X229" s="29">
        <f>IF(B229="","",IF(AND(P229&lt;&gt;"",P229&lt;TODAY()),"Expired - stop using this file",IF(D229="","Add - no file link saved",IF(N229&lt;&gt;"Approved","Check - not approved for use",IF(R229=0,"Use - never used yet","OK")))))</f>
        <v>0</v>
      </c>
    </row>
    <row r="230" spans="1:24">
      <c r="A230" s="41">
        <f>IF(B230="","",AssetPrefix&amp;TEXT(ROW()-4,"0000"))</f>
        <v>0</v>
      </c>
      <c r="R230" s="23">
        <f>IF(A230="","",COUNTIF('Content Calendar'!$T$5:$T$604,A230))</f>
        <v>0</v>
      </c>
      <c r="S230" s="23">
        <f>IF(A230="","",COUNTIF(Ads!$H$5:$H$104,A230))</f>
        <v>0</v>
      </c>
      <c r="T230" s="16">
        <f>IF(R230=0,"",SUMPRODUCT(MAX(('Content Calendar'!$T$5:$T$604=A230)*'Content Calendar'!$B$5:$B$604)))</f>
        <v>0</v>
      </c>
      <c r="U230" s="23">
        <f>IF(H230="","",TODAY()-H230)</f>
        <v>0</v>
      </c>
      <c r="V230" s="23">
        <f>IF(P230="","",P230-TODAY())</f>
        <v>0</v>
      </c>
      <c r="W230" s="29">
        <f>IF(B230="","",IF(COUNTIF(Assets!$B$5:$B$254,B230)&gt;1,"Duplicate","OK"))</f>
        <v>0</v>
      </c>
      <c r="X230" s="29">
        <f>IF(B230="","",IF(AND(P230&lt;&gt;"",P230&lt;TODAY()),"Expired - stop using this file",IF(D230="","Add - no file link saved",IF(N230&lt;&gt;"Approved","Check - not approved for use",IF(R230=0,"Use - never used yet","OK")))))</f>
        <v>0</v>
      </c>
    </row>
    <row r="231" spans="1:24">
      <c r="A231" s="41">
        <f>IF(B231="","",AssetPrefix&amp;TEXT(ROW()-4,"0000"))</f>
        <v>0</v>
      </c>
      <c r="R231" s="23">
        <f>IF(A231="","",COUNTIF('Content Calendar'!$T$5:$T$604,A231))</f>
        <v>0</v>
      </c>
      <c r="S231" s="23">
        <f>IF(A231="","",COUNTIF(Ads!$H$5:$H$104,A231))</f>
        <v>0</v>
      </c>
      <c r="T231" s="16">
        <f>IF(R231=0,"",SUMPRODUCT(MAX(('Content Calendar'!$T$5:$T$604=A231)*'Content Calendar'!$B$5:$B$604)))</f>
        <v>0</v>
      </c>
      <c r="U231" s="23">
        <f>IF(H231="","",TODAY()-H231)</f>
        <v>0</v>
      </c>
      <c r="V231" s="23">
        <f>IF(P231="","",P231-TODAY())</f>
        <v>0</v>
      </c>
      <c r="W231" s="29">
        <f>IF(B231="","",IF(COUNTIF(Assets!$B$5:$B$254,B231)&gt;1,"Duplicate","OK"))</f>
        <v>0</v>
      </c>
      <c r="X231" s="29">
        <f>IF(B231="","",IF(AND(P231&lt;&gt;"",P231&lt;TODAY()),"Expired - stop using this file",IF(D231="","Add - no file link saved",IF(N231&lt;&gt;"Approved","Check - not approved for use",IF(R231=0,"Use - never used yet","OK")))))</f>
        <v>0</v>
      </c>
    </row>
    <row r="232" spans="1:24">
      <c r="A232" s="41">
        <f>IF(B232="","",AssetPrefix&amp;TEXT(ROW()-4,"0000"))</f>
        <v>0</v>
      </c>
      <c r="R232" s="23">
        <f>IF(A232="","",COUNTIF('Content Calendar'!$T$5:$T$604,A232))</f>
        <v>0</v>
      </c>
      <c r="S232" s="23">
        <f>IF(A232="","",COUNTIF(Ads!$H$5:$H$104,A232))</f>
        <v>0</v>
      </c>
      <c r="T232" s="16">
        <f>IF(R232=0,"",SUMPRODUCT(MAX(('Content Calendar'!$T$5:$T$604=A232)*'Content Calendar'!$B$5:$B$604)))</f>
        <v>0</v>
      </c>
      <c r="U232" s="23">
        <f>IF(H232="","",TODAY()-H232)</f>
        <v>0</v>
      </c>
      <c r="V232" s="23">
        <f>IF(P232="","",P232-TODAY())</f>
        <v>0</v>
      </c>
      <c r="W232" s="29">
        <f>IF(B232="","",IF(COUNTIF(Assets!$B$5:$B$254,B232)&gt;1,"Duplicate","OK"))</f>
        <v>0</v>
      </c>
      <c r="X232" s="29">
        <f>IF(B232="","",IF(AND(P232&lt;&gt;"",P232&lt;TODAY()),"Expired - stop using this file",IF(D232="","Add - no file link saved",IF(N232&lt;&gt;"Approved","Check - not approved for use",IF(R232=0,"Use - never used yet","OK")))))</f>
        <v>0</v>
      </c>
    </row>
    <row r="233" spans="1:24">
      <c r="A233" s="41">
        <f>IF(B233="","",AssetPrefix&amp;TEXT(ROW()-4,"0000"))</f>
        <v>0</v>
      </c>
      <c r="R233" s="23">
        <f>IF(A233="","",COUNTIF('Content Calendar'!$T$5:$T$604,A233))</f>
        <v>0</v>
      </c>
      <c r="S233" s="23">
        <f>IF(A233="","",COUNTIF(Ads!$H$5:$H$104,A233))</f>
        <v>0</v>
      </c>
      <c r="T233" s="16">
        <f>IF(R233=0,"",SUMPRODUCT(MAX(('Content Calendar'!$T$5:$T$604=A233)*'Content Calendar'!$B$5:$B$604)))</f>
        <v>0</v>
      </c>
      <c r="U233" s="23">
        <f>IF(H233="","",TODAY()-H233)</f>
        <v>0</v>
      </c>
      <c r="V233" s="23">
        <f>IF(P233="","",P233-TODAY())</f>
        <v>0</v>
      </c>
      <c r="W233" s="29">
        <f>IF(B233="","",IF(COUNTIF(Assets!$B$5:$B$254,B233)&gt;1,"Duplicate","OK"))</f>
        <v>0</v>
      </c>
      <c r="X233" s="29">
        <f>IF(B233="","",IF(AND(P233&lt;&gt;"",P233&lt;TODAY()),"Expired - stop using this file",IF(D233="","Add - no file link saved",IF(N233&lt;&gt;"Approved","Check - not approved for use",IF(R233=0,"Use - never used yet","OK")))))</f>
        <v>0</v>
      </c>
    </row>
    <row r="234" spans="1:24">
      <c r="A234" s="41">
        <f>IF(B234="","",AssetPrefix&amp;TEXT(ROW()-4,"0000"))</f>
        <v>0</v>
      </c>
      <c r="R234" s="23">
        <f>IF(A234="","",COUNTIF('Content Calendar'!$T$5:$T$604,A234))</f>
        <v>0</v>
      </c>
      <c r="S234" s="23">
        <f>IF(A234="","",COUNTIF(Ads!$H$5:$H$104,A234))</f>
        <v>0</v>
      </c>
      <c r="T234" s="16">
        <f>IF(R234=0,"",SUMPRODUCT(MAX(('Content Calendar'!$T$5:$T$604=A234)*'Content Calendar'!$B$5:$B$604)))</f>
        <v>0</v>
      </c>
      <c r="U234" s="23">
        <f>IF(H234="","",TODAY()-H234)</f>
        <v>0</v>
      </c>
      <c r="V234" s="23">
        <f>IF(P234="","",P234-TODAY())</f>
        <v>0</v>
      </c>
      <c r="W234" s="29">
        <f>IF(B234="","",IF(COUNTIF(Assets!$B$5:$B$254,B234)&gt;1,"Duplicate","OK"))</f>
        <v>0</v>
      </c>
      <c r="X234" s="29">
        <f>IF(B234="","",IF(AND(P234&lt;&gt;"",P234&lt;TODAY()),"Expired - stop using this file",IF(D234="","Add - no file link saved",IF(N234&lt;&gt;"Approved","Check - not approved for use",IF(R234=0,"Use - never used yet","OK")))))</f>
        <v>0</v>
      </c>
    </row>
    <row r="235" spans="1:24">
      <c r="A235" s="41">
        <f>IF(B235="","",AssetPrefix&amp;TEXT(ROW()-4,"0000"))</f>
        <v>0</v>
      </c>
      <c r="R235" s="23">
        <f>IF(A235="","",COUNTIF('Content Calendar'!$T$5:$T$604,A235))</f>
        <v>0</v>
      </c>
      <c r="S235" s="23">
        <f>IF(A235="","",COUNTIF(Ads!$H$5:$H$104,A235))</f>
        <v>0</v>
      </c>
      <c r="T235" s="16">
        <f>IF(R235=0,"",SUMPRODUCT(MAX(('Content Calendar'!$T$5:$T$604=A235)*'Content Calendar'!$B$5:$B$604)))</f>
        <v>0</v>
      </c>
      <c r="U235" s="23">
        <f>IF(H235="","",TODAY()-H235)</f>
        <v>0</v>
      </c>
      <c r="V235" s="23">
        <f>IF(P235="","",P235-TODAY())</f>
        <v>0</v>
      </c>
      <c r="W235" s="29">
        <f>IF(B235="","",IF(COUNTIF(Assets!$B$5:$B$254,B235)&gt;1,"Duplicate","OK"))</f>
        <v>0</v>
      </c>
      <c r="X235" s="29">
        <f>IF(B235="","",IF(AND(P235&lt;&gt;"",P235&lt;TODAY()),"Expired - stop using this file",IF(D235="","Add - no file link saved",IF(N235&lt;&gt;"Approved","Check - not approved for use",IF(R235=0,"Use - never used yet","OK")))))</f>
        <v>0</v>
      </c>
    </row>
    <row r="236" spans="1:24">
      <c r="A236" s="41">
        <f>IF(B236="","",AssetPrefix&amp;TEXT(ROW()-4,"0000"))</f>
        <v>0</v>
      </c>
      <c r="R236" s="23">
        <f>IF(A236="","",COUNTIF('Content Calendar'!$T$5:$T$604,A236))</f>
        <v>0</v>
      </c>
      <c r="S236" s="23">
        <f>IF(A236="","",COUNTIF(Ads!$H$5:$H$104,A236))</f>
        <v>0</v>
      </c>
      <c r="T236" s="16">
        <f>IF(R236=0,"",SUMPRODUCT(MAX(('Content Calendar'!$T$5:$T$604=A236)*'Content Calendar'!$B$5:$B$604)))</f>
        <v>0</v>
      </c>
      <c r="U236" s="23">
        <f>IF(H236="","",TODAY()-H236)</f>
        <v>0</v>
      </c>
      <c r="V236" s="23">
        <f>IF(P236="","",P236-TODAY())</f>
        <v>0</v>
      </c>
      <c r="W236" s="29">
        <f>IF(B236="","",IF(COUNTIF(Assets!$B$5:$B$254,B236)&gt;1,"Duplicate","OK"))</f>
        <v>0</v>
      </c>
      <c r="X236" s="29">
        <f>IF(B236="","",IF(AND(P236&lt;&gt;"",P236&lt;TODAY()),"Expired - stop using this file",IF(D236="","Add - no file link saved",IF(N236&lt;&gt;"Approved","Check - not approved for use",IF(R236=0,"Use - never used yet","OK")))))</f>
        <v>0</v>
      </c>
    </row>
    <row r="237" spans="1:24">
      <c r="A237" s="41">
        <f>IF(B237="","",AssetPrefix&amp;TEXT(ROW()-4,"0000"))</f>
        <v>0</v>
      </c>
      <c r="R237" s="23">
        <f>IF(A237="","",COUNTIF('Content Calendar'!$T$5:$T$604,A237))</f>
        <v>0</v>
      </c>
      <c r="S237" s="23">
        <f>IF(A237="","",COUNTIF(Ads!$H$5:$H$104,A237))</f>
        <v>0</v>
      </c>
      <c r="T237" s="16">
        <f>IF(R237=0,"",SUMPRODUCT(MAX(('Content Calendar'!$T$5:$T$604=A237)*'Content Calendar'!$B$5:$B$604)))</f>
        <v>0</v>
      </c>
      <c r="U237" s="23">
        <f>IF(H237="","",TODAY()-H237)</f>
        <v>0</v>
      </c>
      <c r="V237" s="23">
        <f>IF(P237="","",P237-TODAY())</f>
        <v>0</v>
      </c>
      <c r="W237" s="29">
        <f>IF(B237="","",IF(COUNTIF(Assets!$B$5:$B$254,B237)&gt;1,"Duplicate","OK"))</f>
        <v>0</v>
      </c>
      <c r="X237" s="29">
        <f>IF(B237="","",IF(AND(P237&lt;&gt;"",P237&lt;TODAY()),"Expired - stop using this file",IF(D237="","Add - no file link saved",IF(N237&lt;&gt;"Approved","Check - not approved for use",IF(R237=0,"Use - never used yet","OK")))))</f>
        <v>0</v>
      </c>
    </row>
    <row r="238" spans="1:24">
      <c r="A238" s="41">
        <f>IF(B238="","",AssetPrefix&amp;TEXT(ROW()-4,"0000"))</f>
        <v>0</v>
      </c>
      <c r="R238" s="23">
        <f>IF(A238="","",COUNTIF('Content Calendar'!$T$5:$T$604,A238))</f>
        <v>0</v>
      </c>
      <c r="S238" s="23">
        <f>IF(A238="","",COUNTIF(Ads!$H$5:$H$104,A238))</f>
        <v>0</v>
      </c>
      <c r="T238" s="16">
        <f>IF(R238=0,"",SUMPRODUCT(MAX(('Content Calendar'!$T$5:$T$604=A238)*'Content Calendar'!$B$5:$B$604)))</f>
        <v>0</v>
      </c>
      <c r="U238" s="23">
        <f>IF(H238="","",TODAY()-H238)</f>
        <v>0</v>
      </c>
      <c r="V238" s="23">
        <f>IF(P238="","",P238-TODAY())</f>
        <v>0</v>
      </c>
      <c r="W238" s="29">
        <f>IF(B238="","",IF(COUNTIF(Assets!$B$5:$B$254,B238)&gt;1,"Duplicate","OK"))</f>
        <v>0</v>
      </c>
      <c r="X238" s="29">
        <f>IF(B238="","",IF(AND(P238&lt;&gt;"",P238&lt;TODAY()),"Expired - stop using this file",IF(D238="","Add - no file link saved",IF(N238&lt;&gt;"Approved","Check - not approved for use",IF(R238=0,"Use - never used yet","OK")))))</f>
        <v>0</v>
      </c>
    </row>
    <row r="239" spans="1:24">
      <c r="A239" s="41">
        <f>IF(B239="","",AssetPrefix&amp;TEXT(ROW()-4,"0000"))</f>
        <v>0</v>
      </c>
      <c r="R239" s="23">
        <f>IF(A239="","",COUNTIF('Content Calendar'!$T$5:$T$604,A239))</f>
        <v>0</v>
      </c>
      <c r="S239" s="23">
        <f>IF(A239="","",COUNTIF(Ads!$H$5:$H$104,A239))</f>
        <v>0</v>
      </c>
      <c r="T239" s="16">
        <f>IF(R239=0,"",SUMPRODUCT(MAX(('Content Calendar'!$T$5:$T$604=A239)*'Content Calendar'!$B$5:$B$604)))</f>
        <v>0</v>
      </c>
      <c r="U239" s="23">
        <f>IF(H239="","",TODAY()-H239)</f>
        <v>0</v>
      </c>
      <c r="V239" s="23">
        <f>IF(P239="","",P239-TODAY())</f>
        <v>0</v>
      </c>
      <c r="W239" s="29">
        <f>IF(B239="","",IF(COUNTIF(Assets!$B$5:$B$254,B239)&gt;1,"Duplicate","OK"))</f>
        <v>0</v>
      </c>
      <c r="X239" s="29">
        <f>IF(B239="","",IF(AND(P239&lt;&gt;"",P239&lt;TODAY()),"Expired - stop using this file",IF(D239="","Add - no file link saved",IF(N239&lt;&gt;"Approved","Check - not approved for use",IF(R239=0,"Use - never used yet","OK")))))</f>
        <v>0</v>
      </c>
    </row>
    <row r="240" spans="1:24">
      <c r="A240" s="41">
        <f>IF(B240="","",AssetPrefix&amp;TEXT(ROW()-4,"0000"))</f>
        <v>0</v>
      </c>
      <c r="R240" s="23">
        <f>IF(A240="","",COUNTIF('Content Calendar'!$T$5:$T$604,A240))</f>
        <v>0</v>
      </c>
      <c r="S240" s="23">
        <f>IF(A240="","",COUNTIF(Ads!$H$5:$H$104,A240))</f>
        <v>0</v>
      </c>
      <c r="T240" s="16">
        <f>IF(R240=0,"",SUMPRODUCT(MAX(('Content Calendar'!$T$5:$T$604=A240)*'Content Calendar'!$B$5:$B$604)))</f>
        <v>0</v>
      </c>
      <c r="U240" s="23">
        <f>IF(H240="","",TODAY()-H240)</f>
        <v>0</v>
      </c>
      <c r="V240" s="23">
        <f>IF(P240="","",P240-TODAY())</f>
        <v>0</v>
      </c>
      <c r="W240" s="29">
        <f>IF(B240="","",IF(COUNTIF(Assets!$B$5:$B$254,B240)&gt;1,"Duplicate","OK"))</f>
        <v>0</v>
      </c>
      <c r="X240" s="29">
        <f>IF(B240="","",IF(AND(P240&lt;&gt;"",P240&lt;TODAY()),"Expired - stop using this file",IF(D240="","Add - no file link saved",IF(N240&lt;&gt;"Approved","Check - not approved for use",IF(R240=0,"Use - never used yet","OK")))))</f>
        <v>0</v>
      </c>
    </row>
    <row r="241" spans="1:24">
      <c r="A241" s="41">
        <f>IF(B241="","",AssetPrefix&amp;TEXT(ROW()-4,"0000"))</f>
        <v>0</v>
      </c>
      <c r="R241" s="23">
        <f>IF(A241="","",COUNTIF('Content Calendar'!$T$5:$T$604,A241))</f>
        <v>0</v>
      </c>
      <c r="S241" s="23">
        <f>IF(A241="","",COUNTIF(Ads!$H$5:$H$104,A241))</f>
        <v>0</v>
      </c>
      <c r="T241" s="16">
        <f>IF(R241=0,"",SUMPRODUCT(MAX(('Content Calendar'!$T$5:$T$604=A241)*'Content Calendar'!$B$5:$B$604)))</f>
        <v>0</v>
      </c>
      <c r="U241" s="23">
        <f>IF(H241="","",TODAY()-H241)</f>
        <v>0</v>
      </c>
      <c r="V241" s="23">
        <f>IF(P241="","",P241-TODAY())</f>
        <v>0</v>
      </c>
      <c r="W241" s="29">
        <f>IF(B241="","",IF(COUNTIF(Assets!$B$5:$B$254,B241)&gt;1,"Duplicate","OK"))</f>
        <v>0</v>
      </c>
      <c r="X241" s="29">
        <f>IF(B241="","",IF(AND(P241&lt;&gt;"",P241&lt;TODAY()),"Expired - stop using this file",IF(D241="","Add - no file link saved",IF(N241&lt;&gt;"Approved","Check - not approved for use",IF(R241=0,"Use - never used yet","OK")))))</f>
        <v>0</v>
      </c>
    </row>
    <row r="242" spans="1:24">
      <c r="A242" s="41">
        <f>IF(B242="","",AssetPrefix&amp;TEXT(ROW()-4,"0000"))</f>
        <v>0</v>
      </c>
      <c r="R242" s="23">
        <f>IF(A242="","",COUNTIF('Content Calendar'!$T$5:$T$604,A242))</f>
        <v>0</v>
      </c>
      <c r="S242" s="23">
        <f>IF(A242="","",COUNTIF(Ads!$H$5:$H$104,A242))</f>
        <v>0</v>
      </c>
      <c r="T242" s="16">
        <f>IF(R242=0,"",SUMPRODUCT(MAX(('Content Calendar'!$T$5:$T$604=A242)*'Content Calendar'!$B$5:$B$604)))</f>
        <v>0</v>
      </c>
      <c r="U242" s="23">
        <f>IF(H242="","",TODAY()-H242)</f>
        <v>0</v>
      </c>
      <c r="V242" s="23">
        <f>IF(P242="","",P242-TODAY())</f>
        <v>0</v>
      </c>
      <c r="W242" s="29">
        <f>IF(B242="","",IF(COUNTIF(Assets!$B$5:$B$254,B242)&gt;1,"Duplicate","OK"))</f>
        <v>0</v>
      </c>
      <c r="X242" s="29">
        <f>IF(B242="","",IF(AND(P242&lt;&gt;"",P242&lt;TODAY()),"Expired - stop using this file",IF(D242="","Add - no file link saved",IF(N242&lt;&gt;"Approved","Check - not approved for use",IF(R242=0,"Use - never used yet","OK")))))</f>
        <v>0</v>
      </c>
    </row>
    <row r="243" spans="1:24">
      <c r="A243" s="41">
        <f>IF(B243="","",AssetPrefix&amp;TEXT(ROW()-4,"0000"))</f>
        <v>0</v>
      </c>
      <c r="R243" s="23">
        <f>IF(A243="","",COUNTIF('Content Calendar'!$T$5:$T$604,A243))</f>
        <v>0</v>
      </c>
      <c r="S243" s="23">
        <f>IF(A243="","",COUNTIF(Ads!$H$5:$H$104,A243))</f>
        <v>0</v>
      </c>
      <c r="T243" s="16">
        <f>IF(R243=0,"",SUMPRODUCT(MAX(('Content Calendar'!$T$5:$T$604=A243)*'Content Calendar'!$B$5:$B$604)))</f>
        <v>0</v>
      </c>
      <c r="U243" s="23">
        <f>IF(H243="","",TODAY()-H243)</f>
        <v>0</v>
      </c>
      <c r="V243" s="23">
        <f>IF(P243="","",P243-TODAY())</f>
        <v>0</v>
      </c>
      <c r="W243" s="29">
        <f>IF(B243="","",IF(COUNTIF(Assets!$B$5:$B$254,B243)&gt;1,"Duplicate","OK"))</f>
        <v>0</v>
      </c>
      <c r="X243" s="29">
        <f>IF(B243="","",IF(AND(P243&lt;&gt;"",P243&lt;TODAY()),"Expired - stop using this file",IF(D243="","Add - no file link saved",IF(N243&lt;&gt;"Approved","Check - not approved for use",IF(R243=0,"Use - never used yet","OK")))))</f>
        <v>0</v>
      </c>
    </row>
    <row r="244" spans="1:24">
      <c r="A244" s="41">
        <f>IF(B244="","",AssetPrefix&amp;TEXT(ROW()-4,"0000"))</f>
        <v>0</v>
      </c>
      <c r="R244" s="23">
        <f>IF(A244="","",COUNTIF('Content Calendar'!$T$5:$T$604,A244))</f>
        <v>0</v>
      </c>
      <c r="S244" s="23">
        <f>IF(A244="","",COUNTIF(Ads!$H$5:$H$104,A244))</f>
        <v>0</v>
      </c>
      <c r="T244" s="16">
        <f>IF(R244=0,"",SUMPRODUCT(MAX(('Content Calendar'!$T$5:$T$604=A244)*'Content Calendar'!$B$5:$B$604)))</f>
        <v>0</v>
      </c>
      <c r="U244" s="23">
        <f>IF(H244="","",TODAY()-H244)</f>
        <v>0</v>
      </c>
      <c r="V244" s="23">
        <f>IF(P244="","",P244-TODAY())</f>
        <v>0</v>
      </c>
      <c r="W244" s="29">
        <f>IF(B244="","",IF(COUNTIF(Assets!$B$5:$B$254,B244)&gt;1,"Duplicate","OK"))</f>
        <v>0</v>
      </c>
      <c r="X244" s="29">
        <f>IF(B244="","",IF(AND(P244&lt;&gt;"",P244&lt;TODAY()),"Expired - stop using this file",IF(D244="","Add - no file link saved",IF(N244&lt;&gt;"Approved","Check - not approved for use",IF(R244=0,"Use - never used yet","OK")))))</f>
        <v>0</v>
      </c>
    </row>
    <row r="245" spans="1:24">
      <c r="A245" s="41">
        <f>IF(B245="","",AssetPrefix&amp;TEXT(ROW()-4,"0000"))</f>
        <v>0</v>
      </c>
      <c r="R245" s="23">
        <f>IF(A245="","",COUNTIF('Content Calendar'!$T$5:$T$604,A245))</f>
        <v>0</v>
      </c>
      <c r="S245" s="23">
        <f>IF(A245="","",COUNTIF(Ads!$H$5:$H$104,A245))</f>
        <v>0</v>
      </c>
      <c r="T245" s="16">
        <f>IF(R245=0,"",SUMPRODUCT(MAX(('Content Calendar'!$T$5:$T$604=A245)*'Content Calendar'!$B$5:$B$604)))</f>
        <v>0</v>
      </c>
      <c r="U245" s="23">
        <f>IF(H245="","",TODAY()-H245)</f>
        <v>0</v>
      </c>
      <c r="V245" s="23">
        <f>IF(P245="","",P245-TODAY())</f>
        <v>0</v>
      </c>
      <c r="W245" s="29">
        <f>IF(B245="","",IF(COUNTIF(Assets!$B$5:$B$254,B245)&gt;1,"Duplicate","OK"))</f>
        <v>0</v>
      </c>
      <c r="X245" s="29">
        <f>IF(B245="","",IF(AND(P245&lt;&gt;"",P245&lt;TODAY()),"Expired - stop using this file",IF(D245="","Add - no file link saved",IF(N245&lt;&gt;"Approved","Check - not approved for use",IF(R245=0,"Use - never used yet","OK")))))</f>
        <v>0</v>
      </c>
    </row>
    <row r="246" spans="1:24">
      <c r="A246" s="41">
        <f>IF(B246="","",AssetPrefix&amp;TEXT(ROW()-4,"0000"))</f>
        <v>0</v>
      </c>
      <c r="R246" s="23">
        <f>IF(A246="","",COUNTIF('Content Calendar'!$T$5:$T$604,A246))</f>
        <v>0</v>
      </c>
      <c r="S246" s="23">
        <f>IF(A246="","",COUNTIF(Ads!$H$5:$H$104,A246))</f>
        <v>0</v>
      </c>
      <c r="T246" s="16">
        <f>IF(R246=0,"",SUMPRODUCT(MAX(('Content Calendar'!$T$5:$T$604=A246)*'Content Calendar'!$B$5:$B$604)))</f>
        <v>0</v>
      </c>
      <c r="U246" s="23">
        <f>IF(H246="","",TODAY()-H246)</f>
        <v>0</v>
      </c>
      <c r="V246" s="23">
        <f>IF(P246="","",P246-TODAY())</f>
        <v>0</v>
      </c>
      <c r="W246" s="29">
        <f>IF(B246="","",IF(COUNTIF(Assets!$B$5:$B$254,B246)&gt;1,"Duplicate","OK"))</f>
        <v>0</v>
      </c>
      <c r="X246" s="29">
        <f>IF(B246="","",IF(AND(P246&lt;&gt;"",P246&lt;TODAY()),"Expired - stop using this file",IF(D246="","Add - no file link saved",IF(N246&lt;&gt;"Approved","Check - not approved for use",IF(R246=0,"Use - never used yet","OK")))))</f>
        <v>0</v>
      </c>
    </row>
    <row r="247" spans="1:24">
      <c r="A247" s="41">
        <f>IF(B247="","",AssetPrefix&amp;TEXT(ROW()-4,"0000"))</f>
        <v>0</v>
      </c>
      <c r="R247" s="23">
        <f>IF(A247="","",COUNTIF('Content Calendar'!$T$5:$T$604,A247))</f>
        <v>0</v>
      </c>
      <c r="S247" s="23">
        <f>IF(A247="","",COUNTIF(Ads!$H$5:$H$104,A247))</f>
        <v>0</v>
      </c>
      <c r="T247" s="16">
        <f>IF(R247=0,"",SUMPRODUCT(MAX(('Content Calendar'!$T$5:$T$604=A247)*'Content Calendar'!$B$5:$B$604)))</f>
        <v>0</v>
      </c>
      <c r="U247" s="23">
        <f>IF(H247="","",TODAY()-H247)</f>
        <v>0</v>
      </c>
      <c r="V247" s="23">
        <f>IF(P247="","",P247-TODAY())</f>
        <v>0</v>
      </c>
      <c r="W247" s="29">
        <f>IF(B247="","",IF(COUNTIF(Assets!$B$5:$B$254,B247)&gt;1,"Duplicate","OK"))</f>
        <v>0</v>
      </c>
      <c r="X247" s="29">
        <f>IF(B247="","",IF(AND(P247&lt;&gt;"",P247&lt;TODAY()),"Expired - stop using this file",IF(D247="","Add - no file link saved",IF(N247&lt;&gt;"Approved","Check - not approved for use",IF(R247=0,"Use - never used yet","OK")))))</f>
        <v>0</v>
      </c>
    </row>
    <row r="248" spans="1:24">
      <c r="A248" s="41">
        <f>IF(B248="","",AssetPrefix&amp;TEXT(ROW()-4,"0000"))</f>
        <v>0</v>
      </c>
      <c r="R248" s="23">
        <f>IF(A248="","",COUNTIF('Content Calendar'!$T$5:$T$604,A248))</f>
        <v>0</v>
      </c>
      <c r="S248" s="23">
        <f>IF(A248="","",COUNTIF(Ads!$H$5:$H$104,A248))</f>
        <v>0</v>
      </c>
      <c r="T248" s="16">
        <f>IF(R248=0,"",SUMPRODUCT(MAX(('Content Calendar'!$T$5:$T$604=A248)*'Content Calendar'!$B$5:$B$604)))</f>
        <v>0</v>
      </c>
      <c r="U248" s="23">
        <f>IF(H248="","",TODAY()-H248)</f>
        <v>0</v>
      </c>
      <c r="V248" s="23">
        <f>IF(P248="","",P248-TODAY())</f>
        <v>0</v>
      </c>
      <c r="W248" s="29">
        <f>IF(B248="","",IF(COUNTIF(Assets!$B$5:$B$254,B248)&gt;1,"Duplicate","OK"))</f>
        <v>0</v>
      </c>
      <c r="X248" s="29">
        <f>IF(B248="","",IF(AND(P248&lt;&gt;"",P248&lt;TODAY()),"Expired - stop using this file",IF(D248="","Add - no file link saved",IF(N248&lt;&gt;"Approved","Check - not approved for use",IF(R248=0,"Use - never used yet","OK")))))</f>
        <v>0</v>
      </c>
    </row>
    <row r="249" spans="1:24">
      <c r="A249" s="41">
        <f>IF(B249="","",AssetPrefix&amp;TEXT(ROW()-4,"0000"))</f>
        <v>0</v>
      </c>
      <c r="R249" s="23">
        <f>IF(A249="","",COUNTIF('Content Calendar'!$T$5:$T$604,A249))</f>
        <v>0</v>
      </c>
      <c r="S249" s="23">
        <f>IF(A249="","",COUNTIF(Ads!$H$5:$H$104,A249))</f>
        <v>0</v>
      </c>
      <c r="T249" s="16">
        <f>IF(R249=0,"",SUMPRODUCT(MAX(('Content Calendar'!$T$5:$T$604=A249)*'Content Calendar'!$B$5:$B$604)))</f>
        <v>0</v>
      </c>
      <c r="U249" s="23">
        <f>IF(H249="","",TODAY()-H249)</f>
        <v>0</v>
      </c>
      <c r="V249" s="23">
        <f>IF(P249="","",P249-TODAY())</f>
        <v>0</v>
      </c>
      <c r="W249" s="29">
        <f>IF(B249="","",IF(COUNTIF(Assets!$B$5:$B$254,B249)&gt;1,"Duplicate","OK"))</f>
        <v>0</v>
      </c>
      <c r="X249" s="29">
        <f>IF(B249="","",IF(AND(P249&lt;&gt;"",P249&lt;TODAY()),"Expired - stop using this file",IF(D249="","Add - no file link saved",IF(N249&lt;&gt;"Approved","Check - not approved for use",IF(R249=0,"Use - never used yet","OK")))))</f>
        <v>0</v>
      </c>
    </row>
    <row r="250" spans="1:24">
      <c r="A250" s="41">
        <f>IF(B250="","",AssetPrefix&amp;TEXT(ROW()-4,"0000"))</f>
        <v>0</v>
      </c>
      <c r="R250" s="23">
        <f>IF(A250="","",COUNTIF('Content Calendar'!$T$5:$T$604,A250))</f>
        <v>0</v>
      </c>
      <c r="S250" s="23">
        <f>IF(A250="","",COUNTIF(Ads!$H$5:$H$104,A250))</f>
        <v>0</v>
      </c>
      <c r="T250" s="16">
        <f>IF(R250=0,"",SUMPRODUCT(MAX(('Content Calendar'!$T$5:$T$604=A250)*'Content Calendar'!$B$5:$B$604)))</f>
        <v>0</v>
      </c>
      <c r="U250" s="23">
        <f>IF(H250="","",TODAY()-H250)</f>
        <v>0</v>
      </c>
      <c r="V250" s="23">
        <f>IF(P250="","",P250-TODAY())</f>
        <v>0</v>
      </c>
      <c r="W250" s="29">
        <f>IF(B250="","",IF(COUNTIF(Assets!$B$5:$B$254,B250)&gt;1,"Duplicate","OK"))</f>
        <v>0</v>
      </c>
      <c r="X250" s="29">
        <f>IF(B250="","",IF(AND(P250&lt;&gt;"",P250&lt;TODAY()),"Expired - stop using this file",IF(D250="","Add - no file link saved",IF(N250&lt;&gt;"Approved","Check - not approved for use",IF(R250=0,"Use - never used yet","OK")))))</f>
        <v>0</v>
      </c>
    </row>
    <row r="251" spans="1:24">
      <c r="A251" s="41">
        <f>IF(B251="","",AssetPrefix&amp;TEXT(ROW()-4,"0000"))</f>
        <v>0</v>
      </c>
      <c r="R251" s="23">
        <f>IF(A251="","",COUNTIF('Content Calendar'!$T$5:$T$604,A251))</f>
        <v>0</v>
      </c>
      <c r="S251" s="23">
        <f>IF(A251="","",COUNTIF(Ads!$H$5:$H$104,A251))</f>
        <v>0</v>
      </c>
      <c r="T251" s="16">
        <f>IF(R251=0,"",SUMPRODUCT(MAX(('Content Calendar'!$T$5:$T$604=A251)*'Content Calendar'!$B$5:$B$604)))</f>
        <v>0</v>
      </c>
      <c r="U251" s="23">
        <f>IF(H251="","",TODAY()-H251)</f>
        <v>0</v>
      </c>
      <c r="V251" s="23">
        <f>IF(P251="","",P251-TODAY())</f>
        <v>0</v>
      </c>
      <c r="W251" s="29">
        <f>IF(B251="","",IF(COUNTIF(Assets!$B$5:$B$254,B251)&gt;1,"Duplicate","OK"))</f>
        <v>0</v>
      </c>
      <c r="X251" s="29">
        <f>IF(B251="","",IF(AND(P251&lt;&gt;"",P251&lt;TODAY()),"Expired - stop using this file",IF(D251="","Add - no file link saved",IF(N251&lt;&gt;"Approved","Check - not approved for use",IF(R251=0,"Use - never used yet","OK")))))</f>
        <v>0</v>
      </c>
    </row>
    <row r="252" spans="1:24">
      <c r="A252" s="41">
        <f>IF(B252="","",AssetPrefix&amp;TEXT(ROW()-4,"0000"))</f>
        <v>0</v>
      </c>
      <c r="R252" s="23">
        <f>IF(A252="","",COUNTIF('Content Calendar'!$T$5:$T$604,A252))</f>
        <v>0</v>
      </c>
      <c r="S252" s="23">
        <f>IF(A252="","",COUNTIF(Ads!$H$5:$H$104,A252))</f>
        <v>0</v>
      </c>
      <c r="T252" s="16">
        <f>IF(R252=0,"",SUMPRODUCT(MAX(('Content Calendar'!$T$5:$T$604=A252)*'Content Calendar'!$B$5:$B$604)))</f>
        <v>0</v>
      </c>
      <c r="U252" s="23">
        <f>IF(H252="","",TODAY()-H252)</f>
        <v>0</v>
      </c>
      <c r="V252" s="23">
        <f>IF(P252="","",P252-TODAY())</f>
        <v>0</v>
      </c>
      <c r="W252" s="29">
        <f>IF(B252="","",IF(COUNTIF(Assets!$B$5:$B$254,B252)&gt;1,"Duplicate","OK"))</f>
        <v>0</v>
      </c>
      <c r="X252" s="29">
        <f>IF(B252="","",IF(AND(P252&lt;&gt;"",P252&lt;TODAY()),"Expired - stop using this file",IF(D252="","Add - no file link saved",IF(N252&lt;&gt;"Approved","Check - not approved for use",IF(R252=0,"Use - never used yet","OK")))))</f>
        <v>0</v>
      </c>
    </row>
    <row r="253" spans="1:24">
      <c r="A253" s="41">
        <f>IF(B253="","",AssetPrefix&amp;TEXT(ROW()-4,"0000"))</f>
        <v>0</v>
      </c>
      <c r="R253" s="23">
        <f>IF(A253="","",COUNTIF('Content Calendar'!$T$5:$T$604,A253))</f>
        <v>0</v>
      </c>
      <c r="S253" s="23">
        <f>IF(A253="","",COUNTIF(Ads!$H$5:$H$104,A253))</f>
        <v>0</v>
      </c>
      <c r="T253" s="16">
        <f>IF(R253=0,"",SUMPRODUCT(MAX(('Content Calendar'!$T$5:$T$604=A253)*'Content Calendar'!$B$5:$B$604)))</f>
        <v>0</v>
      </c>
      <c r="U253" s="23">
        <f>IF(H253="","",TODAY()-H253)</f>
        <v>0</v>
      </c>
      <c r="V253" s="23">
        <f>IF(P253="","",P253-TODAY())</f>
        <v>0</v>
      </c>
      <c r="W253" s="29">
        <f>IF(B253="","",IF(COUNTIF(Assets!$B$5:$B$254,B253)&gt;1,"Duplicate","OK"))</f>
        <v>0</v>
      </c>
      <c r="X253" s="29">
        <f>IF(B253="","",IF(AND(P253&lt;&gt;"",P253&lt;TODAY()),"Expired - stop using this file",IF(D253="","Add - no file link saved",IF(N253&lt;&gt;"Approved","Check - not approved for use",IF(R253=0,"Use - never used yet","OK")))))</f>
        <v>0</v>
      </c>
    </row>
    <row r="254" spans="1:24">
      <c r="A254" s="41">
        <f>IF(B254="","",AssetPrefix&amp;TEXT(ROW()-4,"0000"))</f>
        <v>0</v>
      </c>
      <c r="R254" s="23">
        <f>IF(A254="","",COUNTIF('Content Calendar'!$T$5:$T$604,A254))</f>
        <v>0</v>
      </c>
      <c r="S254" s="23">
        <f>IF(A254="","",COUNTIF(Ads!$H$5:$H$104,A254))</f>
        <v>0</v>
      </c>
      <c r="T254" s="16">
        <f>IF(R254=0,"",SUMPRODUCT(MAX(('Content Calendar'!$T$5:$T$604=A254)*'Content Calendar'!$B$5:$B$604)))</f>
        <v>0</v>
      </c>
      <c r="U254" s="23">
        <f>IF(H254="","",TODAY()-H254)</f>
        <v>0</v>
      </c>
      <c r="V254" s="23">
        <f>IF(P254="","",P254-TODAY())</f>
        <v>0</v>
      </c>
      <c r="W254" s="29">
        <f>IF(B254="","",IF(COUNTIF(Assets!$B$5:$B$254,B254)&gt;1,"Duplicate","OK"))</f>
        <v>0</v>
      </c>
      <c r="X254" s="29">
        <f>IF(B254="","",IF(AND(P254&lt;&gt;"",P254&lt;TODAY()),"Expired - stop using this file",IF(D254="","Add - no file link saved",IF(N254&lt;&gt;"Approved","Check - not approved for use",IF(R254=0,"Use - never used yet","OK")))))</f>
        <v>0</v>
      </c>
    </row>
  </sheetData>
  <sheetProtection password="EC7C" sheet="1" objects="1" scenarios="1" formatCells="0" formatColumns="0" formatRows="0" insertRows="0" insertHyperlinks="0" deleteRows="0" autoFilter="0"/>
  <autoFilter ref="A4:Y254"/>
  <mergeCells count="13">
    <mergeCell ref="A1:V1"/>
    <mergeCell ref="W1:Y1"/>
    <mergeCell ref="A2:Y2"/>
    <mergeCell ref="A3:B3"/>
    <mergeCell ref="C3:D3"/>
    <mergeCell ref="E3:F3"/>
    <mergeCell ref="G3:H3"/>
    <mergeCell ref="I3:J3"/>
    <mergeCell ref="K3:L3"/>
    <mergeCell ref="M3:N3"/>
    <mergeCell ref="O3:P3"/>
    <mergeCell ref="Q3:R3"/>
    <mergeCell ref="S3:Y3"/>
  </mergeCells>
  <conditionalFormatting sqref="N5:N254">
    <cfRule type="containsText" dxfId="0" priority="1" operator="containsText" text="Published">
      <formula>NOT(ISERROR(SEARCH("Published",N5)))</formula>
    </cfRule>
    <cfRule type="containsText" dxfId="0" priority="2" operator="containsText" text="Approved">
      <formula>NOT(ISERROR(SEARCH("Approved",N5)))</formula>
    </cfRule>
    <cfRule type="containsText" dxfId="0" priority="3" operator="containsText" text="Complete">
      <formula>NOT(ISERROR(SEARCH("Complete",N5)))</formula>
    </cfRule>
    <cfRule type="containsText" dxfId="0" priority="4" operator="containsText" text="Active">
      <formula>NOT(ISERROR(SEARCH("Active",N5)))</formula>
    </cfRule>
    <cfRule type="containsText" dxfId="0" priority="5" operator="containsText" text="Agreed">
      <formula>NOT(ISERROR(SEARCH("Agreed",N5)))</formula>
    </cfRule>
    <cfRule type="containsText" dxfId="0" priority="6" operator="containsText" text="Yes">
      <formula>NOT(ISERROR(SEARCH("Yes",N5)))</formula>
    </cfRule>
    <cfRule type="containsText" dxfId="0" priority="7" operator="containsText" text="Won">
      <formula>NOT(ISERROR(SEARCH("Won",N5)))</formula>
    </cfRule>
    <cfRule type="containsText" dxfId="3" priority="8" operator="containsText" text="Scheduled">
      <formula>NOT(ISERROR(SEARCH("Scheduled",N5)))</formula>
    </cfRule>
    <cfRule type="containsText" dxfId="3" priority="9" operator="containsText" text="In production">
      <formula>NOT(ISERROR(SEARCH("In production",N5)))</formula>
    </cfRule>
    <cfRule type="containsText" dxfId="3" priority="10" operator="containsText" text="Running">
      <formula>NOT(ISERROR(SEARCH("Running",N5)))</formula>
    </cfRule>
    <cfRule type="containsText" dxfId="3" priority="11" operator="containsText" text="Sent">
      <formula>NOT(ISERROR(SEARCH("Sent",N5)))</formula>
    </cfRule>
    <cfRule type="containsText" dxfId="3" priority="12" operator="containsText" text="Testing">
      <formula>NOT(ISERROR(SEARCH("Testing",N5)))</formula>
    </cfRule>
    <cfRule type="containsText" dxfId="2" priority="13" operator="containsText" text="Idea">
      <formula>NOT(ISERROR(SEARCH("Idea",N5)))</formula>
    </cfRule>
    <cfRule type="containsText" dxfId="2" priority="14" operator="containsText" text="Brief">
      <formula>NOT(ISERROR(SEARCH("Brief",N5)))</formula>
    </cfRule>
    <cfRule type="containsText" dxfId="2" priority="15" operator="containsText" text="Draft">
      <formula>NOT(ISERROR(SEARCH("Draft",N5)))</formula>
    </cfRule>
    <cfRule type="containsText" dxfId="2" priority="16" operator="containsText" text="Awaiting review">
      <formula>NOT(ISERROR(SEARCH("Awaiting review",N5)))</formula>
    </cfRule>
    <cfRule type="containsText" dxfId="2" priority="17" operator="containsText" text="Pending">
      <formula>NOT(ISERROR(SEARCH("Pending",N5)))</formula>
    </cfRule>
    <cfRule type="containsText" dxfId="2" priority="18" operator="containsText" text="On hold">
      <formula>NOT(ISERROR(SEARCH("On hold",N5)))</formula>
    </cfRule>
    <cfRule type="containsText" dxfId="1" priority="19" operator="containsText" text="Revision needed">
      <formula>NOT(ISERROR(SEARCH("Revision needed",N5)))</formula>
    </cfRule>
    <cfRule type="containsText" dxfId="1" priority="20" operator="containsText" text="Rejected">
      <formula>NOT(ISERROR(SEARCH("Rejected",N5)))</formula>
    </cfRule>
    <cfRule type="containsText" dxfId="1" priority="21" operator="containsText" text="Cancelled">
      <formula>NOT(ISERROR(SEARCH("Cancelled",N5)))</formula>
    </cfRule>
    <cfRule type="containsText" dxfId="1" priority="22" operator="containsText" text="Missed">
      <formula>NOT(ISERROR(SEARCH("Missed",N5)))</formula>
    </cfRule>
    <cfRule type="containsText" dxfId="1" priority="23" operator="containsText" text="Overdue">
      <formula>NOT(ISERROR(SEARCH("Overdue",N5)))</formula>
    </cfRule>
    <cfRule type="containsText" dxfId="1" priority="24" operator="containsText" text="Declined">
      <formula>NOT(ISERROR(SEARCH("Declined",N5)))</formula>
    </cfRule>
    <cfRule type="containsText" dxfId="4" priority="25" operator="containsText" text="Archived">
      <formula>NOT(ISERROR(SEARCH("Archived",N5)))</formula>
    </cfRule>
    <cfRule type="containsText" dxfId="4" priority="26" operator="containsText" text="Paused">
      <formula>NOT(ISERROR(SEARCH("Paused",N5)))</formula>
    </cfRule>
    <cfRule type="containsText" dxfId="4" priority="27" operator="containsText" text="Not started">
      <formula>NOT(ISERROR(SEARCH("Not started",N5)))</formula>
    </cfRule>
  </conditionalFormatting>
  <conditionalFormatting sqref="R5:R254">
    <cfRule type="dataBar" priority="28">
      <dataBar>
        <cfvo type="min" val="0"/>
        <cfvo type="max" val="0"/>
        <color rgb="FF6350A8"/>
      </dataBar>
    </cfRule>
  </conditionalFormatting>
  <conditionalFormatting sqref="V5:V254">
    <cfRule type="cellIs" dxfId="2" priority="29" operator="lessThan">
      <formula>30</formula>
    </cfRule>
    <cfRule type="cellIs" dxfId="1" priority="30" operator="lessThan">
      <formula>0</formula>
    </cfRule>
  </conditionalFormatting>
  <conditionalFormatting sqref="W5:W254">
    <cfRule type="containsText" dxfId="1" priority="31" operator="containsText" text="Duplicate">
      <formula>NOT(ISERROR(SEARCH("Duplicate",W5)))</formula>
    </cfRule>
    <cfRule type="containsText" dxfId="0" priority="32" operator="containsText" text="OK">
      <formula>NOT(ISERROR(SEARCH("OK",W5)))</formula>
    </cfRule>
  </conditionalFormatting>
  <conditionalFormatting sqref="X5:X254">
    <cfRule type="beginsWith" dxfId="0" priority="33" operator="beginsWith" text="OK">
      <formula>LEFT(X5,2)="OK"</formula>
    </cfRule>
    <cfRule type="containsText" dxfId="1" priority="34" operator="containsText" text="Overdue">
      <formula>NOT(ISERROR(SEARCH("Overdue",X5)))</formula>
    </cfRule>
    <cfRule type="containsText" dxfId="1" priority="35" operator="containsText" text="Late">
      <formula>NOT(ISERROR(SEARCH("Late",X5)))</formula>
    </cfRule>
    <cfRule type="containsText" dxfId="1" priority="36" operator="containsText" text="Missing">
      <formula>NOT(ISERROR(SEARCH("Missing",X5)))</formula>
    </cfRule>
    <cfRule type="containsText" dxfId="1" priority="37" operator="containsText" text="Conflict">
      <formula>NOT(ISERROR(SEARCH("Conflict",X5)))</formula>
    </cfRule>
    <cfRule type="containsText" dxfId="1" priority="38" operator="containsText" text="Expired">
      <formula>NOT(ISERROR(SEARCH("Expired",X5)))</formula>
    </cfRule>
    <cfRule type="containsText" dxfId="1" priority="39" operator="containsText" text="Duplicate">
      <formula>NOT(ISERROR(SEARCH("Duplicate",X5)))</formula>
    </cfRule>
    <cfRule type="containsText" dxfId="2" priority="40" operator="containsText" text="Action">
      <formula>NOT(ISERROR(SEARCH("Action",X5)))</formula>
    </cfRule>
    <cfRule type="containsText" dxfId="2" priority="41" operator="containsText" text="Due">
      <formula>NOT(ISERROR(SEARCH("Due",X5)))</formula>
    </cfRule>
    <cfRule type="containsText" dxfId="2" priority="42" operator="containsText" text="Check">
      <formula>NOT(ISERROR(SEARCH("Check",X5)))</formula>
    </cfRule>
    <cfRule type="containsText" dxfId="2" priority="43" operator="containsText" text="Add">
      <formula>NOT(ISERROR(SEARCH("Add",X5)))</formula>
    </cfRule>
    <cfRule type="containsText" dxfId="3" priority="44" operator="containsText" text="Today">
      <formula>NOT(ISERROR(SEARCH("Today",X5)))</formula>
    </cfRule>
    <cfRule type="containsText" dxfId="3" priority="45" operator="containsText" text="Upcoming">
      <formula>NOT(ISERROR(SEARCH("Upcoming",X5)))</formula>
    </cfRule>
  </conditionalFormatting>
  <dataValidations count="9">
    <dataValidation type="list" allowBlank="1" showInputMessage="1" showErrorMessage="1" sqref="C5:C254">
      <formula1>AssetTypeList</formula1>
    </dataValidation>
    <dataValidation type="list" allowBlank="1" showInputMessage="1" showErrorMessage="1" sqref="G5:G254">
      <formula1>TeamNames</formula1>
    </dataValidation>
    <dataValidation type="date" allowBlank="1" showInputMessage="1" showErrorMessage="1" errorTitle="Check the date" error="Enter a real date between 2000 and 2100." sqref="H5:H254">
      <formula1>36526</formula1>
      <formula2>73415</formula2>
    </dataValidation>
    <dataValidation type="date" allowBlank="1" showInputMessage="1" showErrorMessage="1" errorTitle="Check the date" error="Enter a real date between 2000 and 2100." sqref="I5:I254">
      <formula1>36526</formula1>
      <formula2>73415</formula2>
    </dataValidation>
    <dataValidation type="list" allowBlank="1" showInputMessage="1" showErrorMessage="1" sqref="M5:M254">
      <formula1>CampaignNames</formula1>
    </dataValidation>
    <dataValidation type="list" allowBlank="1" showInputMessage="1" showErrorMessage="1" sqref="N5:N254">
      <formula1>ApprovalStatusList</formula1>
    </dataValidation>
    <dataValidation type="list" allowBlank="1" showInputMessage="1" showErrorMessage="1" sqref="O5:O254">
      <formula1>UsageRightsList</formula1>
    </dataValidation>
    <dataValidation type="date" allowBlank="1" showInputMessage="1" showErrorMessage="1" errorTitle="Check the date" error="Enter a real date between 2000 and 2100." sqref="P5:P254">
      <formula1>36526</formula1>
      <formula2>73415</formula2>
    </dataValidation>
    <dataValidation type="whole" allowBlank="1" showInputMessage="1" showErrorMessage="1" errorTitle="Check the value" error="Enter a number between 0 and 10000." sqref="Q5:Q254">
      <formula1>0</formula1>
      <formula2>10000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&amp;L&amp;"Calibri,Bold"&amp;12&amp;C&amp;"Calibri,Bold"&amp;11Assets&amp;R&amp;"Calibri,Italic"&amp;9Social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4.xml><?xml version="1.0" encoding="utf-8"?>
<worksheet xmlns="http://schemas.openxmlformats.org/spreadsheetml/2006/main" xmlns:r="http://schemas.openxmlformats.org/officeDocument/2006/relationships">
  <sheetPr>
    <tabColor rgb="FF3B2A6B"/>
    <pageSetUpPr fitToPage="1"/>
  </sheetPr>
  <dimension ref="A1:Y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1" customWidth="1"/>
    <col min="2" max="2" width="26.7109375" style="15" customWidth="1"/>
    <col min="3" max="3" width="16.7109375" style="15" customWidth="1"/>
    <col min="4" max="4" width="13.7109375" style="15" customWidth="1"/>
    <col min="5" max="5" width="34.7109375" style="39" customWidth="1"/>
    <col min="6" max="6" width="16.7109375" style="15" customWidth="1"/>
    <col min="7" max="7" width="18.7109375" style="15" customWidth="1"/>
    <col min="8" max="8" width="26.7109375" style="39" customWidth="1"/>
    <col min="9" max="9" width="12.7109375" style="52" customWidth="1"/>
    <col min="10" max="10" width="13.7109375" style="52" customWidth="1"/>
    <col min="11" max="11" width="12.7109375" style="52" customWidth="1"/>
    <col min="12" max="12" width="12.7109375" style="43" customWidth="1"/>
    <col min="13" max="13" width="12.7109375" style="52" customWidth="1"/>
    <col min="14" max="14" width="12.7109375" style="52" customWidth="1"/>
    <col min="15" max="15" width="12.7109375" style="36" customWidth="1"/>
    <col min="16" max="16" width="13.7109375" style="48" customWidth="1"/>
    <col min="17" max="17" width="12.7109375" style="32" customWidth="1"/>
    <col min="18" max="18" width="11.7109375" style="24" customWidth="1"/>
    <col min="19" max="19" width="10.7109375" style="23" customWidth="1"/>
    <col min="20" max="20" width="13.7109375" style="24" customWidth="1"/>
    <col min="21" max="21" width="10.7109375" style="16" hidden="1" customWidth="1"/>
    <col min="22" max="22" width="20.7109375" style="29" customWidth="1"/>
    <col min="23" max="23" width="13.7109375" style="31" customWidth="1"/>
    <col min="24" max="24" width="28.7109375" style="29" customWidth="1"/>
    <col min="25" max="25" width="26.7109375" style="39" customWidth="1"/>
  </cols>
  <sheetData>
    <row r="1" spans="1:25" ht="34" customHeight="1">
      <c r="A1" s="2" t="s">
        <v>2037</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2038</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2039</v>
      </c>
      <c r="T3" s="38"/>
      <c r="U3" s="38"/>
      <c r="V3" s="38"/>
      <c r="W3" s="38"/>
      <c r="X3" s="38"/>
      <c r="Y3" s="38"/>
    </row>
    <row r="4" spans="1:25" ht="30" customHeight="1">
      <c r="A4" s="8" t="s">
        <v>766</v>
      </c>
      <c r="B4" s="8" t="s">
        <v>258</v>
      </c>
      <c r="C4" s="9" t="s">
        <v>2040</v>
      </c>
      <c r="D4" s="9" t="s">
        <v>192</v>
      </c>
      <c r="E4" s="9" t="s">
        <v>2041</v>
      </c>
      <c r="F4" s="9" t="s">
        <v>222</v>
      </c>
      <c r="G4" s="9" t="s">
        <v>1604</v>
      </c>
      <c r="H4" s="9" t="s">
        <v>2042</v>
      </c>
      <c r="I4" s="9" t="s">
        <v>2043</v>
      </c>
      <c r="J4" s="9" t="s">
        <v>2044</v>
      </c>
      <c r="K4" s="9" t="s">
        <v>259</v>
      </c>
      <c r="L4" s="9" t="s">
        <v>263</v>
      </c>
      <c r="M4" s="9" t="s">
        <v>2045</v>
      </c>
      <c r="N4" s="9" t="s">
        <v>2046</v>
      </c>
      <c r="O4" s="9" t="s">
        <v>2047</v>
      </c>
      <c r="P4" s="9" t="s">
        <v>221</v>
      </c>
      <c r="Q4" s="9" t="s">
        <v>1112</v>
      </c>
      <c r="R4" s="9" t="s">
        <v>261</v>
      </c>
      <c r="S4" s="9" t="s">
        <v>1850</v>
      </c>
      <c r="T4" s="9" t="s">
        <v>2048</v>
      </c>
      <c r="U4" s="9" t="s">
        <v>2049</v>
      </c>
      <c r="V4" s="9" t="s">
        <v>262</v>
      </c>
      <c r="W4" s="9" t="s">
        <v>2050</v>
      </c>
      <c r="X4" s="9" t="s">
        <v>787</v>
      </c>
      <c r="Y4" s="9" t="s">
        <v>788</v>
      </c>
    </row>
    <row r="5" spans="1:25">
      <c r="A5" s="41">
        <f>IF(B5="","","GOAL-"&amp;TEXT(ROW()-4,"00"))</f>
        <v>0</v>
      </c>
      <c r="B5" s="15" t="s">
        <v>2051</v>
      </c>
      <c r="C5" s="15" t="s">
        <v>162</v>
      </c>
      <c r="D5" s="15" t="s">
        <v>376</v>
      </c>
      <c r="E5" s="39" t="s">
        <v>2052</v>
      </c>
      <c r="F5" s="15" t="s">
        <v>281</v>
      </c>
      <c r="G5" s="15" t="s">
        <v>205</v>
      </c>
      <c r="H5" s="39" t="s">
        <v>27</v>
      </c>
      <c r="I5" s="52">
        <v>7400</v>
      </c>
      <c r="J5" s="52">
        <v>8409.269</v>
      </c>
      <c r="K5" s="52">
        <v>9500</v>
      </c>
      <c r="L5" s="43">
        <v>46606</v>
      </c>
      <c r="M5" s="52">
        <v>7575</v>
      </c>
      <c r="N5" s="52">
        <v>7925</v>
      </c>
      <c r="O5" s="36">
        <v>190</v>
      </c>
      <c r="P5" s="48" t="s">
        <v>588</v>
      </c>
      <c r="Q5" s="32">
        <f>IF(OR(K5="",J5=""),"",K5-J5)</f>
        <v>0</v>
      </c>
      <c r="R5" s="24">
        <f>IF(OR(K5="",I5="",K5=I5),"",MAX(0,(J5-I5)/(K5-I5)))</f>
        <v>0</v>
      </c>
      <c r="S5" s="23">
        <f>IF(L5="","",L5-TODAY())</f>
        <v>0</v>
      </c>
      <c r="T5" s="24">
        <f>IF(OR(L5="",U5="",L5&lt;=U5),"",MIN(1,MAX(0,(TODAY()-U5)/(L5-U5))))</f>
        <v>0</v>
      </c>
      <c r="U5" s="16">
        <f>IF(B5="","",DATE(PlanYear,1,1))</f>
        <v>0</v>
      </c>
      <c r="V5" s="29">
        <f>IF(OR(R5="",T5=""),"",IF(R5&gt;=1,"Achieved",IF(R5&gt;=T5,"On track",IF(R5&gt;=T5*0.8,"Slightly behind","Behind - needs a push"))))</f>
        <v>0</v>
      </c>
      <c r="W5" s="31">
        <f>IF(OR(Q5="",S5="",S5&lt;=0),"",Q5/MAX(1,S5/30.4))</f>
        <v>0</v>
      </c>
      <c r="X5" s="29">
        <f>IF(B5="","",IF(AND(S5&lt;&gt;"",S5&lt;0,R5&lt;1),"Overdue - the date has passed",IF(V5="Behind - needs a push","Action - behind the pace you need",IF(J5="","Add - no current number yet","OK"))))</f>
        <v>0</v>
      </c>
      <c r="Y5" s="39" t="s">
        <v>205</v>
      </c>
    </row>
    <row r="6" spans="1:25">
      <c r="A6" s="41">
        <f>IF(B6="","","GOAL-"&amp;TEXT(ROW()-4,"00"))</f>
        <v>0</v>
      </c>
      <c r="B6" s="15" t="s">
        <v>2053</v>
      </c>
      <c r="C6" s="15" t="s">
        <v>162</v>
      </c>
      <c r="D6" s="15" t="s">
        <v>377</v>
      </c>
      <c r="E6" s="39" t="s">
        <v>2054</v>
      </c>
      <c r="F6" s="15" t="s">
        <v>797</v>
      </c>
      <c r="G6" s="15" t="s">
        <v>205</v>
      </c>
      <c r="H6" s="39" t="s">
        <v>27</v>
      </c>
      <c r="I6" s="52">
        <v>4300</v>
      </c>
      <c r="J6" s="52">
        <v>6023.522</v>
      </c>
      <c r="K6" s="52">
        <v>7000</v>
      </c>
      <c r="L6" s="43">
        <v>46606</v>
      </c>
      <c r="M6" s="52">
        <v>4525</v>
      </c>
      <c r="N6" s="52">
        <v>4975</v>
      </c>
      <c r="O6" s="36">
        <v>140</v>
      </c>
      <c r="P6" s="48" t="s">
        <v>587</v>
      </c>
      <c r="Q6" s="32">
        <f>IF(OR(K6="",J6=""),"",K6-J6)</f>
        <v>0</v>
      </c>
      <c r="R6" s="24">
        <f>IF(OR(K6="",I6="",K6=I6),"",MAX(0,(J6-I6)/(K6-I6)))</f>
        <v>0</v>
      </c>
      <c r="S6" s="23">
        <f>IF(L6="","",L6-TODAY())</f>
        <v>0</v>
      </c>
      <c r="T6" s="24">
        <f>IF(OR(L6="",U6="",L6&lt;=U6),"",MIN(1,MAX(0,(TODAY()-U6)/(L6-U6))))</f>
        <v>0</v>
      </c>
      <c r="U6" s="16">
        <f>IF(B6="","",DATE(PlanYear,1,1))</f>
        <v>0</v>
      </c>
      <c r="V6" s="29">
        <f>IF(OR(R6="",T6=""),"",IF(R6&gt;=1,"Achieved",IF(R6&gt;=T6,"On track",IF(R6&gt;=T6*0.8,"Slightly behind","Behind - needs a push"))))</f>
        <v>0</v>
      </c>
      <c r="W6" s="31">
        <f>IF(OR(Q6="",S6="",S6&lt;=0),"",Q6/MAX(1,S6/30.4))</f>
        <v>0</v>
      </c>
      <c r="X6" s="29">
        <f>IF(B6="","",IF(AND(S6&lt;&gt;"",S6&lt;0,R6&lt;1),"Overdue - the date has passed",IF(V6="Behind - needs a push","Action - behind the pace you need",IF(J6="","Add - no current number yet","OK"))))</f>
        <v>0</v>
      </c>
      <c r="Y6" s="39" t="s">
        <v>205</v>
      </c>
    </row>
    <row r="7" spans="1:25">
      <c r="A7" s="41">
        <f>IF(B7="","","GOAL-"&amp;TEXT(ROW()-4,"00"))</f>
        <v>0</v>
      </c>
      <c r="B7" s="15" t="s">
        <v>2055</v>
      </c>
      <c r="C7" s="15" t="s">
        <v>428</v>
      </c>
      <c r="D7" s="15" t="s">
        <v>2009</v>
      </c>
      <c r="E7" s="39" t="s">
        <v>2056</v>
      </c>
      <c r="F7" s="15" t="s">
        <v>801</v>
      </c>
      <c r="G7" s="15" t="s">
        <v>205</v>
      </c>
      <c r="H7" s="39" t="s">
        <v>27</v>
      </c>
      <c r="I7" s="52">
        <v>0.038</v>
      </c>
      <c r="J7" s="52">
        <v>0.043</v>
      </c>
      <c r="K7" s="52">
        <v>0.055</v>
      </c>
      <c r="L7" s="43">
        <v>46486</v>
      </c>
      <c r="M7" s="52">
        <v>0.04</v>
      </c>
      <c r="N7" s="52">
        <v>0.04</v>
      </c>
      <c r="O7" s="36">
        <v>0</v>
      </c>
      <c r="P7" s="48" t="s">
        <v>587</v>
      </c>
      <c r="Q7" s="32">
        <f>IF(OR(K7="",J7=""),"",K7-J7)</f>
        <v>0</v>
      </c>
      <c r="R7" s="24">
        <f>IF(OR(K7="",I7="",K7=I7),"",MAX(0,(J7-I7)/(K7-I7)))</f>
        <v>0</v>
      </c>
      <c r="S7" s="23">
        <f>IF(L7="","",L7-TODAY())</f>
        <v>0</v>
      </c>
      <c r="T7" s="24">
        <f>IF(OR(L7="",U7="",L7&lt;=U7),"",MIN(1,MAX(0,(TODAY()-U7)/(L7-U7))))</f>
        <v>0</v>
      </c>
      <c r="U7" s="16">
        <f>IF(B7="","",DATE(PlanYear,1,1))</f>
        <v>0</v>
      </c>
      <c r="V7" s="29">
        <f>IF(OR(R7="",T7=""),"",IF(R7&gt;=1,"Achieved",IF(R7&gt;=T7,"On track",IF(R7&gt;=T7*0.8,"Slightly behind","Behind - needs a push"))))</f>
        <v>0</v>
      </c>
      <c r="W7" s="31">
        <f>IF(OR(Q7="",S7="",S7&lt;=0),"",Q7/MAX(1,S7/30.4))</f>
        <v>0</v>
      </c>
      <c r="X7" s="29">
        <f>IF(B7="","",IF(AND(S7&lt;&gt;"",S7&lt;0,R7&lt;1),"Overdue - the date has passed",IF(V7="Behind - needs a push","Action - behind the pace you need",IF(J7="","Add - no current number yet","OK"))))</f>
        <v>0</v>
      </c>
      <c r="Y7" s="39" t="s">
        <v>205</v>
      </c>
    </row>
    <row r="8" spans="1:25">
      <c r="A8" s="41">
        <f>IF(B8="","","GOAL-"&amp;TEXT(ROW()-4,"00"))</f>
        <v>0</v>
      </c>
      <c r="B8" s="15" t="s">
        <v>2057</v>
      </c>
      <c r="C8" s="15" t="s">
        <v>583</v>
      </c>
      <c r="D8" s="15" t="s">
        <v>2009</v>
      </c>
      <c r="E8" s="39" t="s">
        <v>2058</v>
      </c>
      <c r="F8" s="15" t="s">
        <v>804</v>
      </c>
      <c r="G8" s="15" t="s">
        <v>205</v>
      </c>
      <c r="H8" s="39" t="s">
        <v>27</v>
      </c>
      <c r="I8" s="52">
        <v>900</v>
      </c>
      <c r="J8" s="52">
        <v>1163.943</v>
      </c>
      <c r="K8" s="52">
        <v>1800</v>
      </c>
      <c r="L8" s="43">
        <v>46426</v>
      </c>
      <c r="M8" s="52">
        <v>975</v>
      </c>
      <c r="N8" s="52">
        <v>1125</v>
      </c>
      <c r="O8" s="36">
        <v>36</v>
      </c>
      <c r="P8" s="48" t="s">
        <v>588</v>
      </c>
      <c r="Q8" s="32">
        <f>IF(OR(K8="",J8=""),"",K8-J8)</f>
        <v>0</v>
      </c>
      <c r="R8" s="24">
        <f>IF(OR(K8="",I8="",K8=I8),"",MAX(0,(J8-I8)/(K8-I8)))</f>
        <v>0</v>
      </c>
      <c r="S8" s="23">
        <f>IF(L8="","",L8-TODAY())</f>
        <v>0</v>
      </c>
      <c r="T8" s="24">
        <f>IF(OR(L8="",U8="",L8&lt;=U8),"",MIN(1,MAX(0,(TODAY()-U8)/(L8-U8))))</f>
        <v>0</v>
      </c>
      <c r="U8" s="16">
        <f>IF(B8="","",DATE(PlanYear,1,1))</f>
        <v>0</v>
      </c>
      <c r="V8" s="29">
        <f>IF(OR(R8="",T8=""),"",IF(R8&gt;=1,"Achieved",IF(R8&gt;=T8,"On track",IF(R8&gt;=T8*0.8,"Slightly behind","Behind - needs a push"))))</f>
        <v>0</v>
      </c>
      <c r="W8" s="31">
        <f>IF(OR(Q8="",S8="",S8&lt;=0),"",Q8/MAX(1,S8/30.4))</f>
        <v>0</v>
      </c>
      <c r="X8" s="29">
        <f>IF(B8="","",IF(AND(S8&lt;&gt;"",S8&lt;0,R8&lt;1),"Overdue - the date has passed",IF(V8="Behind - needs a push","Action - behind the pace you need",IF(J8="","Add - no current number yet","OK"))))</f>
        <v>0</v>
      </c>
      <c r="Y8" s="39" t="s">
        <v>205</v>
      </c>
    </row>
    <row r="9" spans="1:25">
      <c r="A9" s="41">
        <f>IF(B9="","","GOAL-"&amp;TEXT(ROW()-4,"00"))</f>
        <v>0</v>
      </c>
      <c r="B9" s="15" t="s">
        <v>2059</v>
      </c>
      <c r="C9" s="15" t="s">
        <v>585</v>
      </c>
      <c r="D9" s="15" t="s">
        <v>2009</v>
      </c>
      <c r="E9" s="39" t="s">
        <v>2060</v>
      </c>
      <c r="F9" s="15" t="s">
        <v>281</v>
      </c>
      <c r="G9" s="15" t="s">
        <v>205</v>
      </c>
      <c r="H9" s="39" t="s">
        <v>27</v>
      </c>
      <c r="I9" s="52">
        <v>210</v>
      </c>
      <c r="J9" s="52">
        <v>390.517</v>
      </c>
      <c r="K9" s="52">
        <v>600</v>
      </c>
      <c r="L9" s="43">
        <v>46546</v>
      </c>
      <c r="M9" s="52">
        <v>242.5</v>
      </c>
      <c r="N9" s="52">
        <v>307.5</v>
      </c>
      <c r="O9" s="36">
        <v>12</v>
      </c>
      <c r="P9" s="48" t="s">
        <v>587</v>
      </c>
      <c r="Q9" s="32">
        <f>IF(OR(K9="",J9=""),"",K9-J9)</f>
        <v>0</v>
      </c>
      <c r="R9" s="24">
        <f>IF(OR(K9="",I9="",K9=I9),"",MAX(0,(J9-I9)/(K9-I9)))</f>
        <v>0</v>
      </c>
      <c r="S9" s="23">
        <f>IF(L9="","",L9-TODAY())</f>
        <v>0</v>
      </c>
      <c r="T9" s="24">
        <f>IF(OR(L9="",U9="",L9&lt;=U9),"",MIN(1,MAX(0,(TODAY()-U9)/(L9-U9))))</f>
        <v>0</v>
      </c>
      <c r="U9" s="16">
        <f>IF(B9="","",DATE(PlanYear,1,1))</f>
        <v>0</v>
      </c>
      <c r="V9" s="29">
        <f>IF(OR(R9="",T9=""),"",IF(R9&gt;=1,"Achieved",IF(R9&gt;=T9,"On track",IF(R9&gt;=T9*0.8,"Slightly behind","Behind - needs a push"))))</f>
        <v>0</v>
      </c>
      <c r="W9" s="31">
        <f>IF(OR(Q9="",S9="",S9&lt;=0),"",Q9/MAX(1,S9/30.4))</f>
        <v>0</v>
      </c>
      <c r="X9" s="29">
        <f>IF(B9="","",IF(AND(S9&lt;&gt;"",S9&lt;0,R9&lt;1),"Overdue - the date has passed",IF(V9="Behind - needs a push","Action - behind the pace you need",IF(J9="","Add - no current number yet","OK"))))</f>
        <v>0</v>
      </c>
      <c r="Y9" s="39" t="s">
        <v>205</v>
      </c>
    </row>
    <row r="10" spans="1:25">
      <c r="A10" s="41">
        <f>IF(B10="","","GOAL-"&amp;TEXT(ROW()-4,"00"))</f>
        <v>0</v>
      </c>
      <c r="B10" s="15" t="s">
        <v>2061</v>
      </c>
      <c r="C10" s="15" t="s">
        <v>168</v>
      </c>
      <c r="D10" s="15" t="s">
        <v>2009</v>
      </c>
      <c r="E10" s="39" t="s">
        <v>2062</v>
      </c>
      <c r="F10" s="15" t="s">
        <v>797</v>
      </c>
      <c r="G10" s="15" t="s">
        <v>205</v>
      </c>
      <c r="H10" s="39" t="s">
        <v>27</v>
      </c>
      <c r="I10" s="52">
        <v>90</v>
      </c>
      <c r="J10" s="52">
        <v>180.353</v>
      </c>
      <c r="K10" s="52">
        <v>240</v>
      </c>
      <c r="L10" s="43">
        <v>46486</v>
      </c>
      <c r="M10" s="52">
        <v>102.5</v>
      </c>
      <c r="N10" s="52">
        <v>127.5</v>
      </c>
      <c r="O10" s="36">
        <v>4.8</v>
      </c>
      <c r="P10" s="48" t="s">
        <v>587</v>
      </c>
      <c r="Q10" s="32">
        <f>IF(OR(K10="",J10=""),"",K10-J10)</f>
        <v>0</v>
      </c>
      <c r="R10" s="24">
        <f>IF(OR(K10="",I10="",K10=I10),"",MAX(0,(J10-I10)/(K10-I10)))</f>
        <v>0</v>
      </c>
      <c r="S10" s="23">
        <f>IF(L10="","",L10-TODAY())</f>
        <v>0</v>
      </c>
      <c r="T10" s="24">
        <f>IF(OR(L10="",U10="",L10&lt;=U10),"",MIN(1,MAX(0,(TODAY()-U10)/(L10-U10))))</f>
        <v>0</v>
      </c>
      <c r="U10" s="16">
        <f>IF(B10="","",DATE(PlanYear,1,1))</f>
        <v>0</v>
      </c>
      <c r="V10" s="29">
        <f>IF(OR(R10="",T10=""),"",IF(R10&gt;=1,"Achieved",IF(R10&gt;=T10,"On track",IF(R10&gt;=T10*0.8,"Slightly behind","Behind - needs a push"))))</f>
        <v>0</v>
      </c>
      <c r="W10" s="31">
        <f>IF(OR(Q10="",S10="",S10&lt;=0),"",Q10/MAX(1,S10/30.4))</f>
        <v>0</v>
      </c>
      <c r="X10" s="29">
        <f>IF(B10="","",IF(AND(S10&lt;&gt;"",S10&lt;0,R10&lt;1),"Overdue - the date has passed",IF(V10="Behind - needs a push","Action - behind the pace you need",IF(J10="","Add - no current number yet","OK"))))</f>
        <v>0</v>
      </c>
      <c r="Y10" s="39" t="s">
        <v>205</v>
      </c>
    </row>
    <row r="11" spans="1:25">
      <c r="A11" s="41">
        <f>IF(B11="","","GOAL-"&amp;TEXT(ROW()-4,"00"))</f>
        <v>0</v>
      </c>
      <c r="B11" s="15" t="s">
        <v>2063</v>
      </c>
      <c r="C11" s="15" t="s">
        <v>584</v>
      </c>
      <c r="D11" s="15" t="s">
        <v>2009</v>
      </c>
      <c r="E11" s="39" t="s">
        <v>2064</v>
      </c>
      <c r="F11" s="15" t="s">
        <v>801</v>
      </c>
      <c r="G11" s="15" t="s">
        <v>205</v>
      </c>
      <c r="H11" s="39" t="s">
        <v>27</v>
      </c>
      <c r="I11" s="52">
        <v>34</v>
      </c>
      <c r="J11" s="52">
        <v>38.567</v>
      </c>
      <c r="K11" s="52">
        <v>52</v>
      </c>
      <c r="L11" s="43">
        <v>46396</v>
      </c>
      <c r="M11" s="52">
        <v>35.5</v>
      </c>
      <c r="N11" s="52">
        <v>38.5</v>
      </c>
      <c r="O11" s="36">
        <v>1.04</v>
      </c>
      <c r="P11" s="48" t="s">
        <v>588</v>
      </c>
      <c r="Q11" s="32">
        <f>IF(OR(K11="",J11=""),"",K11-J11)</f>
        <v>0</v>
      </c>
      <c r="R11" s="24">
        <f>IF(OR(K11="",I11="",K11=I11),"",MAX(0,(J11-I11)/(K11-I11)))</f>
        <v>0</v>
      </c>
      <c r="S11" s="23">
        <f>IF(L11="","",L11-TODAY())</f>
        <v>0</v>
      </c>
      <c r="T11" s="24">
        <f>IF(OR(L11="",U11="",L11&lt;=U11),"",MIN(1,MAX(0,(TODAY()-U11)/(L11-U11))))</f>
        <v>0</v>
      </c>
      <c r="U11" s="16">
        <f>IF(B11="","",DATE(PlanYear,1,1))</f>
        <v>0</v>
      </c>
      <c r="V11" s="29">
        <f>IF(OR(R11="",T11=""),"",IF(R11&gt;=1,"Achieved",IF(R11&gt;=T11,"On track",IF(R11&gt;=T11*0.8,"Slightly behind","Behind - needs a push"))))</f>
        <v>0</v>
      </c>
      <c r="W11" s="31">
        <f>IF(OR(Q11="",S11="",S11&lt;=0),"",Q11/MAX(1,S11/30.4))</f>
        <v>0</v>
      </c>
      <c r="X11" s="29">
        <f>IF(B11="","",IF(AND(S11&lt;&gt;"",S11&lt;0,R11&lt;1),"Overdue - the date has passed",IF(V11="Behind - needs a push","Action - behind the pace you need",IF(J11="","Add - no current number yet","OK"))))</f>
        <v>0</v>
      </c>
      <c r="Y11" s="39" t="s">
        <v>205</v>
      </c>
    </row>
    <row r="12" spans="1:25">
      <c r="A12" s="41">
        <f>IF(B12="","","GOAL-"&amp;TEXT(ROW()-4,"00"))</f>
        <v>0</v>
      </c>
      <c r="B12" s="15" t="s">
        <v>2065</v>
      </c>
      <c r="C12" s="15" t="s">
        <v>172</v>
      </c>
      <c r="D12" s="15" t="s">
        <v>2009</v>
      </c>
      <c r="E12" s="39" t="s">
        <v>2066</v>
      </c>
      <c r="F12" s="15" t="s">
        <v>804</v>
      </c>
      <c r="G12" s="15" t="s">
        <v>1049</v>
      </c>
      <c r="H12" s="39" t="s">
        <v>27</v>
      </c>
      <c r="I12" s="52">
        <v>9800</v>
      </c>
      <c r="J12" s="52">
        <v>24666.391</v>
      </c>
      <c r="K12" s="52">
        <v>36000</v>
      </c>
      <c r="L12" s="43">
        <v>46606</v>
      </c>
      <c r="M12" s="52">
        <v>11983.33</v>
      </c>
      <c r="N12" s="52">
        <v>16350</v>
      </c>
      <c r="O12" s="36">
        <v>720</v>
      </c>
      <c r="P12" s="48" t="s">
        <v>587</v>
      </c>
      <c r="Q12" s="32">
        <f>IF(OR(K12="",J12=""),"",K12-J12)</f>
        <v>0</v>
      </c>
      <c r="R12" s="24">
        <f>IF(OR(K12="",I12="",K12=I12),"",MAX(0,(J12-I12)/(K12-I12)))</f>
        <v>0</v>
      </c>
      <c r="S12" s="23">
        <f>IF(L12="","",L12-TODAY())</f>
        <v>0</v>
      </c>
      <c r="T12" s="24">
        <f>IF(OR(L12="",U12="",L12&lt;=U12),"",MIN(1,MAX(0,(TODAY()-U12)/(L12-U12))))</f>
        <v>0</v>
      </c>
      <c r="U12" s="16">
        <f>IF(B12="","",DATE(PlanYear,1,1))</f>
        <v>0</v>
      </c>
      <c r="V12" s="29">
        <f>IF(OR(R12="",T12=""),"",IF(R12&gt;=1,"Achieved",IF(R12&gt;=T12,"On track",IF(R12&gt;=T12*0.8,"Slightly behind","Behind - needs a push"))))</f>
        <v>0</v>
      </c>
      <c r="W12" s="31">
        <f>IF(OR(Q12="",S12="",S12&lt;=0),"",Q12/MAX(1,S12/30.4))</f>
        <v>0</v>
      </c>
      <c r="X12" s="29">
        <f>IF(B12="","",IF(AND(S12&lt;&gt;"",S12&lt;0,R12&lt;1),"Overdue - the date has passed",IF(V12="Behind - needs a push","Action - behind the pace you need",IF(J12="","Add - no current number yet","OK"))))</f>
        <v>0</v>
      </c>
      <c r="Y12" s="39" t="s">
        <v>205</v>
      </c>
    </row>
    <row r="13" spans="1:25">
      <c r="A13" s="41">
        <f>IF(B13="","","GOAL-"&amp;TEXT(ROW()-4,"00"))</f>
        <v>0</v>
      </c>
      <c r="Q13" s="32">
        <f>IF(OR(K13="",J13=""),"",K13-J13)</f>
        <v>0</v>
      </c>
      <c r="R13" s="24">
        <f>IF(OR(K13="",I13="",K13=I13),"",MAX(0,(J13-I13)/(K13-I13)))</f>
        <v>0</v>
      </c>
      <c r="S13" s="23">
        <f>IF(L13="","",L13-TODAY())</f>
        <v>0</v>
      </c>
      <c r="T13" s="24">
        <f>IF(OR(L13="",U13="",L13&lt;=U13),"",MIN(1,MAX(0,(TODAY()-U13)/(L13-U13))))</f>
        <v>0</v>
      </c>
      <c r="U13" s="16">
        <f>IF(B13="","",DATE(PlanYear,1,1))</f>
        <v>0</v>
      </c>
      <c r="V13" s="29">
        <f>IF(OR(R13="",T13=""),"",IF(R13&gt;=1,"Achieved",IF(R13&gt;=T13,"On track",IF(R13&gt;=T13*0.8,"Slightly behind","Behind - needs a push"))))</f>
        <v>0</v>
      </c>
      <c r="W13" s="31">
        <f>IF(OR(Q13="",S13="",S13&lt;=0),"",Q13/MAX(1,S13/30.4))</f>
        <v>0</v>
      </c>
      <c r="X13" s="29">
        <f>IF(B13="","",IF(AND(S13&lt;&gt;"",S13&lt;0,R13&lt;1),"Overdue - the date has passed",IF(V13="Behind - needs a push","Action - behind the pace you need",IF(J13="","Add - no current number yet","OK"))))</f>
        <v>0</v>
      </c>
    </row>
    <row r="14" spans="1:25">
      <c r="A14" s="41">
        <f>IF(B14="","","GOAL-"&amp;TEXT(ROW()-4,"00"))</f>
        <v>0</v>
      </c>
      <c r="Q14" s="32">
        <f>IF(OR(K14="",J14=""),"",K14-J14)</f>
        <v>0</v>
      </c>
      <c r="R14" s="24">
        <f>IF(OR(K14="",I14="",K14=I14),"",MAX(0,(J14-I14)/(K14-I14)))</f>
        <v>0</v>
      </c>
      <c r="S14" s="23">
        <f>IF(L14="","",L14-TODAY())</f>
        <v>0</v>
      </c>
      <c r="T14" s="24">
        <f>IF(OR(L14="",U14="",L14&lt;=U14),"",MIN(1,MAX(0,(TODAY()-U14)/(L14-U14))))</f>
        <v>0</v>
      </c>
      <c r="U14" s="16">
        <f>IF(B14="","",DATE(PlanYear,1,1))</f>
        <v>0</v>
      </c>
      <c r="V14" s="29">
        <f>IF(OR(R14="",T14=""),"",IF(R14&gt;=1,"Achieved",IF(R14&gt;=T14,"On track",IF(R14&gt;=T14*0.8,"Slightly behind","Behind - needs a push"))))</f>
        <v>0</v>
      </c>
      <c r="W14" s="31">
        <f>IF(OR(Q14="",S14="",S14&lt;=0),"",Q14/MAX(1,S14/30.4))</f>
        <v>0</v>
      </c>
      <c r="X14" s="29">
        <f>IF(B14="","",IF(AND(S14&lt;&gt;"",S14&lt;0,R14&lt;1),"Overdue - the date has passed",IF(V14="Behind - needs a push","Action - behind the pace you need",IF(J14="","Add - no current number yet","OK"))))</f>
        <v>0</v>
      </c>
    </row>
    <row r="15" spans="1:25">
      <c r="A15" s="41">
        <f>IF(B15="","","GOAL-"&amp;TEXT(ROW()-4,"00"))</f>
        <v>0</v>
      </c>
      <c r="Q15" s="32">
        <f>IF(OR(K15="",J15=""),"",K15-J15)</f>
        <v>0</v>
      </c>
      <c r="R15" s="24">
        <f>IF(OR(K15="",I15="",K15=I15),"",MAX(0,(J15-I15)/(K15-I15)))</f>
        <v>0</v>
      </c>
      <c r="S15" s="23">
        <f>IF(L15="","",L15-TODAY())</f>
        <v>0</v>
      </c>
      <c r="T15" s="24">
        <f>IF(OR(L15="",U15="",L15&lt;=U15),"",MIN(1,MAX(0,(TODAY()-U15)/(L15-U15))))</f>
        <v>0</v>
      </c>
      <c r="U15" s="16">
        <f>IF(B15="","",DATE(PlanYear,1,1))</f>
        <v>0</v>
      </c>
      <c r="V15" s="29">
        <f>IF(OR(R15="",T15=""),"",IF(R15&gt;=1,"Achieved",IF(R15&gt;=T15,"On track",IF(R15&gt;=T15*0.8,"Slightly behind","Behind - needs a push"))))</f>
        <v>0</v>
      </c>
      <c r="W15" s="31">
        <f>IF(OR(Q15="",S15="",S15&lt;=0),"",Q15/MAX(1,S15/30.4))</f>
        <v>0</v>
      </c>
      <c r="X15" s="29">
        <f>IF(B15="","",IF(AND(S15&lt;&gt;"",S15&lt;0,R15&lt;1),"Overdue - the date has passed",IF(V15="Behind - needs a push","Action - behind the pace you need",IF(J15="","Add - no current number yet","OK"))))</f>
        <v>0</v>
      </c>
    </row>
    <row r="16" spans="1:25">
      <c r="A16" s="41">
        <f>IF(B16="","","GOAL-"&amp;TEXT(ROW()-4,"00"))</f>
        <v>0</v>
      </c>
      <c r="Q16" s="32">
        <f>IF(OR(K16="",J16=""),"",K16-J16)</f>
        <v>0</v>
      </c>
      <c r="R16" s="24">
        <f>IF(OR(K16="",I16="",K16=I16),"",MAX(0,(J16-I16)/(K16-I16)))</f>
        <v>0</v>
      </c>
      <c r="S16" s="23">
        <f>IF(L16="","",L16-TODAY())</f>
        <v>0</v>
      </c>
      <c r="T16" s="24">
        <f>IF(OR(L16="",U16="",L16&lt;=U16),"",MIN(1,MAX(0,(TODAY()-U16)/(L16-U16))))</f>
        <v>0</v>
      </c>
      <c r="U16" s="16">
        <f>IF(B16="","",DATE(PlanYear,1,1))</f>
        <v>0</v>
      </c>
      <c r="V16" s="29">
        <f>IF(OR(R16="",T16=""),"",IF(R16&gt;=1,"Achieved",IF(R16&gt;=T16,"On track",IF(R16&gt;=T16*0.8,"Slightly behind","Behind - needs a push"))))</f>
        <v>0</v>
      </c>
      <c r="W16" s="31">
        <f>IF(OR(Q16="",S16="",S16&lt;=0),"",Q16/MAX(1,S16/30.4))</f>
        <v>0</v>
      </c>
      <c r="X16" s="29">
        <f>IF(B16="","",IF(AND(S16&lt;&gt;"",S16&lt;0,R16&lt;1),"Overdue - the date has passed",IF(V16="Behind - needs a push","Action - behind the pace you need",IF(J16="","Add - no current number yet","OK"))))</f>
        <v>0</v>
      </c>
    </row>
    <row r="17" spans="1:24">
      <c r="A17" s="41">
        <f>IF(B17="","","GOAL-"&amp;TEXT(ROW()-4,"00"))</f>
        <v>0</v>
      </c>
      <c r="Q17" s="32">
        <f>IF(OR(K17="",J17=""),"",K17-J17)</f>
        <v>0</v>
      </c>
      <c r="R17" s="24">
        <f>IF(OR(K17="",I17="",K17=I17),"",MAX(0,(J17-I17)/(K17-I17)))</f>
        <v>0</v>
      </c>
      <c r="S17" s="23">
        <f>IF(L17="","",L17-TODAY())</f>
        <v>0</v>
      </c>
      <c r="T17" s="24">
        <f>IF(OR(L17="",U17="",L17&lt;=U17),"",MIN(1,MAX(0,(TODAY()-U17)/(L17-U17))))</f>
        <v>0</v>
      </c>
      <c r="U17" s="16">
        <f>IF(B17="","",DATE(PlanYear,1,1))</f>
        <v>0</v>
      </c>
      <c r="V17" s="29">
        <f>IF(OR(R17="",T17=""),"",IF(R17&gt;=1,"Achieved",IF(R17&gt;=T17,"On track",IF(R17&gt;=T17*0.8,"Slightly behind","Behind - needs a push"))))</f>
        <v>0</v>
      </c>
      <c r="W17" s="31">
        <f>IF(OR(Q17="",S17="",S17&lt;=0),"",Q17/MAX(1,S17/30.4))</f>
        <v>0</v>
      </c>
      <c r="X17" s="29">
        <f>IF(B17="","",IF(AND(S17&lt;&gt;"",S17&lt;0,R17&lt;1),"Overdue - the date has passed",IF(V17="Behind - needs a push","Action - behind the pace you need",IF(J17="","Add - no current number yet","OK"))))</f>
        <v>0</v>
      </c>
    </row>
    <row r="18" spans="1:24">
      <c r="A18" s="41">
        <f>IF(B18="","","GOAL-"&amp;TEXT(ROW()-4,"00"))</f>
        <v>0</v>
      </c>
      <c r="Q18" s="32">
        <f>IF(OR(K18="",J18=""),"",K18-J18)</f>
        <v>0</v>
      </c>
      <c r="R18" s="24">
        <f>IF(OR(K18="",I18="",K18=I18),"",MAX(0,(J18-I18)/(K18-I18)))</f>
        <v>0</v>
      </c>
      <c r="S18" s="23">
        <f>IF(L18="","",L18-TODAY())</f>
        <v>0</v>
      </c>
      <c r="T18" s="24">
        <f>IF(OR(L18="",U18="",L18&lt;=U18),"",MIN(1,MAX(0,(TODAY()-U18)/(L18-U18))))</f>
        <v>0</v>
      </c>
      <c r="U18" s="16">
        <f>IF(B18="","",DATE(PlanYear,1,1))</f>
        <v>0</v>
      </c>
      <c r="V18" s="29">
        <f>IF(OR(R18="",T18=""),"",IF(R18&gt;=1,"Achieved",IF(R18&gt;=T18,"On track",IF(R18&gt;=T18*0.8,"Slightly behind","Behind - needs a push"))))</f>
        <v>0</v>
      </c>
      <c r="W18" s="31">
        <f>IF(OR(Q18="",S18="",S18&lt;=0),"",Q18/MAX(1,S18/30.4))</f>
        <v>0</v>
      </c>
      <c r="X18" s="29">
        <f>IF(B18="","",IF(AND(S18&lt;&gt;"",S18&lt;0,R18&lt;1),"Overdue - the date has passed",IF(V18="Behind - needs a push","Action - behind the pace you need",IF(J18="","Add - no current number yet","OK"))))</f>
        <v>0</v>
      </c>
    </row>
    <row r="19" spans="1:24">
      <c r="A19" s="41">
        <f>IF(B19="","","GOAL-"&amp;TEXT(ROW()-4,"00"))</f>
        <v>0</v>
      </c>
      <c r="Q19" s="32">
        <f>IF(OR(K19="",J19=""),"",K19-J19)</f>
        <v>0</v>
      </c>
      <c r="R19" s="24">
        <f>IF(OR(K19="",I19="",K19=I19),"",MAX(0,(J19-I19)/(K19-I19)))</f>
        <v>0</v>
      </c>
      <c r="S19" s="23">
        <f>IF(L19="","",L19-TODAY())</f>
        <v>0</v>
      </c>
      <c r="T19" s="24">
        <f>IF(OR(L19="",U19="",L19&lt;=U19),"",MIN(1,MAX(0,(TODAY()-U19)/(L19-U19))))</f>
        <v>0</v>
      </c>
      <c r="U19" s="16">
        <f>IF(B19="","",DATE(PlanYear,1,1))</f>
        <v>0</v>
      </c>
      <c r="V19" s="29">
        <f>IF(OR(R19="",T19=""),"",IF(R19&gt;=1,"Achieved",IF(R19&gt;=T19,"On track",IF(R19&gt;=T19*0.8,"Slightly behind","Behind - needs a push"))))</f>
        <v>0</v>
      </c>
      <c r="W19" s="31">
        <f>IF(OR(Q19="",S19="",S19&lt;=0),"",Q19/MAX(1,S19/30.4))</f>
        <v>0</v>
      </c>
      <c r="X19" s="29">
        <f>IF(B19="","",IF(AND(S19&lt;&gt;"",S19&lt;0,R19&lt;1),"Overdue - the date has passed",IF(V19="Behind - needs a push","Action - behind the pace you need",IF(J19="","Add - no current number yet","OK"))))</f>
        <v>0</v>
      </c>
    </row>
    <row r="20" spans="1:24">
      <c r="A20" s="41">
        <f>IF(B20="","","GOAL-"&amp;TEXT(ROW()-4,"00"))</f>
        <v>0</v>
      </c>
      <c r="Q20" s="32">
        <f>IF(OR(K20="",J20=""),"",K20-J20)</f>
        <v>0</v>
      </c>
      <c r="R20" s="24">
        <f>IF(OR(K20="",I20="",K20=I20),"",MAX(0,(J20-I20)/(K20-I20)))</f>
        <v>0</v>
      </c>
      <c r="S20" s="23">
        <f>IF(L20="","",L20-TODAY())</f>
        <v>0</v>
      </c>
      <c r="T20" s="24">
        <f>IF(OR(L20="",U20="",L20&lt;=U20),"",MIN(1,MAX(0,(TODAY()-U20)/(L20-U20))))</f>
        <v>0</v>
      </c>
      <c r="U20" s="16">
        <f>IF(B20="","",DATE(PlanYear,1,1))</f>
        <v>0</v>
      </c>
      <c r="V20" s="29">
        <f>IF(OR(R20="",T20=""),"",IF(R20&gt;=1,"Achieved",IF(R20&gt;=T20,"On track",IF(R20&gt;=T20*0.8,"Slightly behind","Behind - needs a push"))))</f>
        <v>0</v>
      </c>
      <c r="W20" s="31">
        <f>IF(OR(Q20="",S20="",S20&lt;=0),"",Q20/MAX(1,S20/30.4))</f>
        <v>0</v>
      </c>
      <c r="X20" s="29">
        <f>IF(B20="","",IF(AND(S20&lt;&gt;"",S20&lt;0,R20&lt;1),"Overdue - the date has passed",IF(V20="Behind - needs a push","Action - behind the pace you need",IF(J20="","Add - no current number yet","OK"))))</f>
        <v>0</v>
      </c>
    </row>
    <row r="21" spans="1:24">
      <c r="A21" s="41">
        <f>IF(B21="","","GOAL-"&amp;TEXT(ROW()-4,"00"))</f>
        <v>0</v>
      </c>
      <c r="Q21" s="32">
        <f>IF(OR(K21="",J21=""),"",K21-J21)</f>
        <v>0</v>
      </c>
      <c r="R21" s="24">
        <f>IF(OR(K21="",I21="",K21=I21),"",MAX(0,(J21-I21)/(K21-I21)))</f>
        <v>0</v>
      </c>
      <c r="S21" s="23">
        <f>IF(L21="","",L21-TODAY())</f>
        <v>0</v>
      </c>
      <c r="T21" s="24">
        <f>IF(OR(L21="",U21="",L21&lt;=U21),"",MIN(1,MAX(0,(TODAY()-U21)/(L21-U21))))</f>
        <v>0</v>
      </c>
      <c r="U21" s="16">
        <f>IF(B21="","",DATE(PlanYear,1,1))</f>
        <v>0</v>
      </c>
      <c r="V21" s="29">
        <f>IF(OR(R21="",T21=""),"",IF(R21&gt;=1,"Achieved",IF(R21&gt;=T21,"On track",IF(R21&gt;=T21*0.8,"Slightly behind","Behind - needs a push"))))</f>
        <v>0</v>
      </c>
      <c r="W21" s="31">
        <f>IF(OR(Q21="",S21="",S21&lt;=0),"",Q21/MAX(1,S21/30.4))</f>
        <v>0</v>
      </c>
      <c r="X21" s="29">
        <f>IF(B21="","",IF(AND(S21&lt;&gt;"",S21&lt;0,R21&lt;1),"Overdue - the date has passed",IF(V21="Behind - needs a push","Action - behind the pace you need",IF(J21="","Add - no current number yet","OK"))))</f>
        <v>0</v>
      </c>
    </row>
    <row r="22" spans="1:24">
      <c r="A22" s="41">
        <f>IF(B22="","","GOAL-"&amp;TEXT(ROW()-4,"00"))</f>
        <v>0</v>
      </c>
      <c r="Q22" s="32">
        <f>IF(OR(K22="",J22=""),"",K22-J22)</f>
        <v>0</v>
      </c>
      <c r="R22" s="24">
        <f>IF(OR(K22="",I22="",K22=I22),"",MAX(0,(J22-I22)/(K22-I22)))</f>
        <v>0</v>
      </c>
      <c r="S22" s="23">
        <f>IF(L22="","",L22-TODAY())</f>
        <v>0</v>
      </c>
      <c r="T22" s="24">
        <f>IF(OR(L22="",U22="",L22&lt;=U22),"",MIN(1,MAX(0,(TODAY()-U22)/(L22-U22))))</f>
        <v>0</v>
      </c>
      <c r="U22" s="16">
        <f>IF(B22="","",DATE(PlanYear,1,1))</f>
        <v>0</v>
      </c>
      <c r="V22" s="29">
        <f>IF(OR(R22="",T22=""),"",IF(R22&gt;=1,"Achieved",IF(R22&gt;=T22,"On track",IF(R22&gt;=T22*0.8,"Slightly behind","Behind - needs a push"))))</f>
        <v>0</v>
      </c>
      <c r="W22" s="31">
        <f>IF(OR(Q22="",S22="",S22&lt;=0),"",Q22/MAX(1,S22/30.4))</f>
        <v>0</v>
      </c>
      <c r="X22" s="29">
        <f>IF(B22="","",IF(AND(S22&lt;&gt;"",S22&lt;0,R22&lt;1),"Overdue - the date has passed",IF(V22="Behind - needs a push","Action - behind the pace you need",IF(J22="","Add - no current number yet","OK"))))</f>
        <v>0</v>
      </c>
    </row>
    <row r="23" spans="1:24">
      <c r="A23" s="41">
        <f>IF(B23="","","GOAL-"&amp;TEXT(ROW()-4,"00"))</f>
        <v>0</v>
      </c>
      <c r="Q23" s="32">
        <f>IF(OR(K23="",J23=""),"",K23-J23)</f>
        <v>0</v>
      </c>
      <c r="R23" s="24">
        <f>IF(OR(K23="",I23="",K23=I23),"",MAX(0,(J23-I23)/(K23-I23)))</f>
        <v>0</v>
      </c>
      <c r="S23" s="23">
        <f>IF(L23="","",L23-TODAY())</f>
        <v>0</v>
      </c>
      <c r="T23" s="24">
        <f>IF(OR(L23="",U23="",L23&lt;=U23),"",MIN(1,MAX(0,(TODAY()-U23)/(L23-U23))))</f>
        <v>0</v>
      </c>
      <c r="U23" s="16">
        <f>IF(B23="","",DATE(PlanYear,1,1))</f>
        <v>0</v>
      </c>
      <c r="V23" s="29">
        <f>IF(OR(R23="",T23=""),"",IF(R23&gt;=1,"Achieved",IF(R23&gt;=T23,"On track",IF(R23&gt;=T23*0.8,"Slightly behind","Behind - needs a push"))))</f>
        <v>0</v>
      </c>
      <c r="W23" s="31">
        <f>IF(OR(Q23="",S23="",S23&lt;=0),"",Q23/MAX(1,S23/30.4))</f>
        <v>0</v>
      </c>
      <c r="X23" s="29">
        <f>IF(B23="","",IF(AND(S23&lt;&gt;"",S23&lt;0,R23&lt;1),"Overdue - the date has passed",IF(V23="Behind - needs a push","Action - behind the pace you need",IF(J23="","Add - no current number yet","OK"))))</f>
        <v>0</v>
      </c>
    </row>
    <row r="24" spans="1:24">
      <c r="A24" s="41">
        <f>IF(B24="","","GOAL-"&amp;TEXT(ROW()-4,"00"))</f>
        <v>0</v>
      </c>
      <c r="Q24" s="32">
        <f>IF(OR(K24="",J24=""),"",K24-J24)</f>
        <v>0</v>
      </c>
      <c r="R24" s="24">
        <f>IF(OR(K24="",I24="",K24=I24),"",MAX(0,(J24-I24)/(K24-I24)))</f>
        <v>0</v>
      </c>
      <c r="S24" s="23">
        <f>IF(L24="","",L24-TODAY())</f>
        <v>0</v>
      </c>
      <c r="T24" s="24">
        <f>IF(OR(L24="",U24="",L24&lt;=U24),"",MIN(1,MAX(0,(TODAY()-U24)/(L24-U24))))</f>
        <v>0</v>
      </c>
      <c r="U24" s="16">
        <f>IF(B24="","",DATE(PlanYear,1,1))</f>
        <v>0</v>
      </c>
      <c r="V24" s="29">
        <f>IF(OR(R24="",T24=""),"",IF(R24&gt;=1,"Achieved",IF(R24&gt;=T24,"On track",IF(R24&gt;=T24*0.8,"Slightly behind","Behind - needs a push"))))</f>
        <v>0</v>
      </c>
      <c r="W24" s="31">
        <f>IF(OR(Q24="",S24="",S24&lt;=0),"",Q24/MAX(1,S24/30.4))</f>
        <v>0</v>
      </c>
      <c r="X24" s="29">
        <f>IF(B24="","",IF(AND(S24&lt;&gt;"",S24&lt;0,R24&lt;1),"Overdue - the date has passed",IF(V24="Behind - needs a push","Action - behind the pace you need",IF(J24="","Add - no current number yet","OK"))))</f>
        <v>0</v>
      </c>
    </row>
    <row r="25" spans="1:24">
      <c r="A25" s="41">
        <f>IF(B25="","","GOAL-"&amp;TEXT(ROW()-4,"00"))</f>
        <v>0</v>
      </c>
      <c r="Q25" s="32">
        <f>IF(OR(K25="",J25=""),"",K25-J25)</f>
        <v>0</v>
      </c>
      <c r="R25" s="24">
        <f>IF(OR(K25="",I25="",K25=I25),"",MAX(0,(J25-I25)/(K25-I25)))</f>
        <v>0</v>
      </c>
      <c r="S25" s="23">
        <f>IF(L25="","",L25-TODAY())</f>
        <v>0</v>
      </c>
      <c r="T25" s="24">
        <f>IF(OR(L25="",U25="",L25&lt;=U25),"",MIN(1,MAX(0,(TODAY()-U25)/(L25-U25))))</f>
        <v>0</v>
      </c>
      <c r="U25" s="16">
        <f>IF(B25="","",DATE(PlanYear,1,1))</f>
        <v>0</v>
      </c>
      <c r="V25" s="29">
        <f>IF(OR(R25="",T25=""),"",IF(R25&gt;=1,"Achieved",IF(R25&gt;=T25,"On track",IF(R25&gt;=T25*0.8,"Slightly behind","Behind - needs a push"))))</f>
        <v>0</v>
      </c>
      <c r="W25" s="31">
        <f>IF(OR(Q25="",S25="",S25&lt;=0),"",Q25/MAX(1,S25/30.4))</f>
        <v>0</v>
      </c>
      <c r="X25" s="29">
        <f>IF(B25="","",IF(AND(S25&lt;&gt;"",S25&lt;0,R25&lt;1),"Overdue - the date has passed",IF(V25="Behind - needs a push","Action - behind the pace you need",IF(J25="","Add - no current number yet","OK"))))</f>
        <v>0</v>
      </c>
    </row>
    <row r="26" spans="1:24">
      <c r="A26" s="41">
        <f>IF(B26="","","GOAL-"&amp;TEXT(ROW()-4,"00"))</f>
        <v>0</v>
      </c>
      <c r="Q26" s="32">
        <f>IF(OR(K26="",J26=""),"",K26-J26)</f>
        <v>0</v>
      </c>
      <c r="R26" s="24">
        <f>IF(OR(K26="",I26="",K26=I26),"",MAX(0,(J26-I26)/(K26-I26)))</f>
        <v>0</v>
      </c>
      <c r="S26" s="23">
        <f>IF(L26="","",L26-TODAY())</f>
        <v>0</v>
      </c>
      <c r="T26" s="24">
        <f>IF(OR(L26="",U26="",L26&lt;=U26),"",MIN(1,MAX(0,(TODAY()-U26)/(L26-U26))))</f>
        <v>0</v>
      </c>
      <c r="U26" s="16">
        <f>IF(B26="","",DATE(PlanYear,1,1))</f>
        <v>0</v>
      </c>
      <c r="V26" s="29">
        <f>IF(OR(R26="",T26=""),"",IF(R26&gt;=1,"Achieved",IF(R26&gt;=T26,"On track",IF(R26&gt;=T26*0.8,"Slightly behind","Behind - needs a push"))))</f>
        <v>0</v>
      </c>
      <c r="W26" s="31">
        <f>IF(OR(Q26="",S26="",S26&lt;=0),"",Q26/MAX(1,S26/30.4))</f>
        <v>0</v>
      </c>
      <c r="X26" s="29">
        <f>IF(B26="","",IF(AND(S26&lt;&gt;"",S26&lt;0,R26&lt;1),"Overdue - the date has passed",IF(V26="Behind - needs a push","Action - behind the pace you need",IF(J26="","Add - no current number yet","OK"))))</f>
        <v>0</v>
      </c>
    </row>
    <row r="27" spans="1:24">
      <c r="A27" s="41">
        <f>IF(B27="","","GOAL-"&amp;TEXT(ROW()-4,"00"))</f>
        <v>0</v>
      </c>
      <c r="Q27" s="32">
        <f>IF(OR(K27="",J27=""),"",K27-J27)</f>
        <v>0</v>
      </c>
      <c r="R27" s="24">
        <f>IF(OR(K27="",I27="",K27=I27),"",MAX(0,(J27-I27)/(K27-I27)))</f>
        <v>0</v>
      </c>
      <c r="S27" s="23">
        <f>IF(L27="","",L27-TODAY())</f>
        <v>0</v>
      </c>
      <c r="T27" s="24">
        <f>IF(OR(L27="",U27="",L27&lt;=U27),"",MIN(1,MAX(0,(TODAY()-U27)/(L27-U27))))</f>
        <v>0</v>
      </c>
      <c r="U27" s="16">
        <f>IF(B27="","",DATE(PlanYear,1,1))</f>
        <v>0</v>
      </c>
      <c r="V27" s="29">
        <f>IF(OR(R27="",T27=""),"",IF(R27&gt;=1,"Achieved",IF(R27&gt;=T27,"On track",IF(R27&gt;=T27*0.8,"Slightly behind","Behind - needs a push"))))</f>
        <v>0</v>
      </c>
      <c r="W27" s="31">
        <f>IF(OR(Q27="",S27="",S27&lt;=0),"",Q27/MAX(1,S27/30.4))</f>
        <v>0</v>
      </c>
      <c r="X27" s="29">
        <f>IF(B27="","",IF(AND(S27&lt;&gt;"",S27&lt;0,R27&lt;1),"Overdue - the date has passed",IF(V27="Behind - needs a push","Action - behind the pace you need",IF(J27="","Add - no current number yet","OK"))))</f>
        <v>0</v>
      </c>
    </row>
    <row r="28" spans="1:24">
      <c r="A28" s="41">
        <f>IF(B28="","","GOAL-"&amp;TEXT(ROW()-4,"00"))</f>
        <v>0</v>
      </c>
      <c r="Q28" s="32">
        <f>IF(OR(K28="",J28=""),"",K28-J28)</f>
        <v>0</v>
      </c>
      <c r="R28" s="24">
        <f>IF(OR(K28="",I28="",K28=I28),"",MAX(0,(J28-I28)/(K28-I28)))</f>
        <v>0</v>
      </c>
      <c r="S28" s="23">
        <f>IF(L28="","",L28-TODAY())</f>
        <v>0</v>
      </c>
      <c r="T28" s="24">
        <f>IF(OR(L28="",U28="",L28&lt;=U28),"",MIN(1,MAX(0,(TODAY()-U28)/(L28-U28))))</f>
        <v>0</v>
      </c>
      <c r="U28" s="16">
        <f>IF(B28="","",DATE(PlanYear,1,1))</f>
        <v>0</v>
      </c>
      <c r="V28" s="29">
        <f>IF(OR(R28="",T28=""),"",IF(R28&gt;=1,"Achieved",IF(R28&gt;=T28,"On track",IF(R28&gt;=T28*0.8,"Slightly behind","Behind - needs a push"))))</f>
        <v>0</v>
      </c>
      <c r="W28" s="31">
        <f>IF(OR(Q28="",S28="",S28&lt;=0),"",Q28/MAX(1,S28/30.4))</f>
        <v>0</v>
      </c>
      <c r="X28" s="29">
        <f>IF(B28="","",IF(AND(S28&lt;&gt;"",S28&lt;0,R28&lt;1),"Overdue - the date has passed",IF(V28="Behind - needs a push","Action - behind the pace you need",IF(J28="","Add - no current number yet","OK"))))</f>
        <v>0</v>
      </c>
    </row>
    <row r="29" spans="1:24">
      <c r="A29" s="41">
        <f>IF(B29="","","GOAL-"&amp;TEXT(ROW()-4,"00"))</f>
        <v>0</v>
      </c>
      <c r="Q29" s="32">
        <f>IF(OR(K29="",J29=""),"",K29-J29)</f>
        <v>0</v>
      </c>
      <c r="R29" s="24">
        <f>IF(OR(K29="",I29="",K29=I29),"",MAX(0,(J29-I29)/(K29-I29)))</f>
        <v>0</v>
      </c>
      <c r="S29" s="23">
        <f>IF(L29="","",L29-TODAY())</f>
        <v>0</v>
      </c>
      <c r="T29" s="24">
        <f>IF(OR(L29="",U29="",L29&lt;=U29),"",MIN(1,MAX(0,(TODAY()-U29)/(L29-U29))))</f>
        <v>0</v>
      </c>
      <c r="U29" s="16">
        <f>IF(B29="","",DATE(PlanYear,1,1))</f>
        <v>0</v>
      </c>
      <c r="V29" s="29">
        <f>IF(OR(R29="",T29=""),"",IF(R29&gt;=1,"Achieved",IF(R29&gt;=T29,"On track",IF(R29&gt;=T29*0.8,"Slightly behind","Behind - needs a push"))))</f>
        <v>0</v>
      </c>
      <c r="W29" s="31">
        <f>IF(OR(Q29="",S29="",S29&lt;=0),"",Q29/MAX(1,S29/30.4))</f>
        <v>0</v>
      </c>
      <c r="X29" s="29">
        <f>IF(B29="","",IF(AND(S29&lt;&gt;"",S29&lt;0,R29&lt;1),"Overdue - the date has passed",IF(V29="Behind - needs a push","Action - behind the pace you need",IF(J29="","Add - no current number yet","OK"))))</f>
        <v>0</v>
      </c>
    </row>
    <row r="30" spans="1:24">
      <c r="A30" s="41">
        <f>IF(B30="","","GOAL-"&amp;TEXT(ROW()-4,"00"))</f>
        <v>0</v>
      </c>
      <c r="Q30" s="32">
        <f>IF(OR(K30="",J30=""),"",K30-J30)</f>
        <v>0</v>
      </c>
      <c r="R30" s="24">
        <f>IF(OR(K30="",I30="",K30=I30),"",MAX(0,(J30-I30)/(K30-I30)))</f>
        <v>0</v>
      </c>
      <c r="S30" s="23">
        <f>IF(L30="","",L30-TODAY())</f>
        <v>0</v>
      </c>
      <c r="T30" s="24">
        <f>IF(OR(L30="",U30="",L30&lt;=U30),"",MIN(1,MAX(0,(TODAY()-U30)/(L30-U30))))</f>
        <v>0</v>
      </c>
      <c r="U30" s="16">
        <f>IF(B30="","",DATE(PlanYear,1,1))</f>
        <v>0</v>
      </c>
      <c r="V30" s="29">
        <f>IF(OR(R30="",T30=""),"",IF(R30&gt;=1,"Achieved",IF(R30&gt;=T30,"On track",IF(R30&gt;=T30*0.8,"Slightly behind","Behind - needs a push"))))</f>
        <v>0</v>
      </c>
      <c r="W30" s="31">
        <f>IF(OR(Q30="",S30="",S30&lt;=0),"",Q30/MAX(1,S30/30.4))</f>
        <v>0</v>
      </c>
      <c r="X30" s="29">
        <f>IF(B30="","",IF(AND(S30&lt;&gt;"",S30&lt;0,R30&lt;1),"Overdue - the date has passed",IF(V30="Behind - needs a push","Action - behind the pace you need",IF(J30="","Add - no current number yet","OK"))))</f>
        <v>0</v>
      </c>
    </row>
    <row r="31" spans="1:24">
      <c r="A31" s="41">
        <f>IF(B31="","","GOAL-"&amp;TEXT(ROW()-4,"00"))</f>
        <v>0</v>
      </c>
      <c r="Q31" s="32">
        <f>IF(OR(K31="",J31=""),"",K31-J31)</f>
        <v>0</v>
      </c>
      <c r="R31" s="24">
        <f>IF(OR(K31="",I31="",K31=I31),"",MAX(0,(J31-I31)/(K31-I31)))</f>
        <v>0</v>
      </c>
      <c r="S31" s="23">
        <f>IF(L31="","",L31-TODAY())</f>
        <v>0</v>
      </c>
      <c r="T31" s="24">
        <f>IF(OR(L31="",U31="",L31&lt;=U31),"",MIN(1,MAX(0,(TODAY()-U31)/(L31-U31))))</f>
        <v>0</v>
      </c>
      <c r="U31" s="16">
        <f>IF(B31="","",DATE(PlanYear,1,1))</f>
        <v>0</v>
      </c>
      <c r="V31" s="29">
        <f>IF(OR(R31="",T31=""),"",IF(R31&gt;=1,"Achieved",IF(R31&gt;=T31,"On track",IF(R31&gt;=T31*0.8,"Slightly behind","Behind - needs a push"))))</f>
        <v>0</v>
      </c>
      <c r="W31" s="31">
        <f>IF(OR(Q31="",S31="",S31&lt;=0),"",Q31/MAX(1,S31/30.4))</f>
        <v>0</v>
      </c>
      <c r="X31" s="29">
        <f>IF(B31="","",IF(AND(S31&lt;&gt;"",S31&lt;0,R31&lt;1),"Overdue - the date has passed",IF(V31="Behind - needs a push","Action - behind the pace you need",IF(J31="","Add - no current number yet","OK"))))</f>
        <v>0</v>
      </c>
    </row>
    <row r="32" spans="1:24">
      <c r="A32" s="41">
        <f>IF(B32="","","GOAL-"&amp;TEXT(ROW()-4,"00"))</f>
        <v>0</v>
      </c>
      <c r="Q32" s="32">
        <f>IF(OR(K32="",J32=""),"",K32-J32)</f>
        <v>0</v>
      </c>
      <c r="R32" s="24">
        <f>IF(OR(K32="",I32="",K32=I32),"",MAX(0,(J32-I32)/(K32-I32)))</f>
        <v>0</v>
      </c>
      <c r="S32" s="23">
        <f>IF(L32="","",L32-TODAY())</f>
        <v>0</v>
      </c>
      <c r="T32" s="24">
        <f>IF(OR(L32="",U32="",L32&lt;=U32),"",MIN(1,MAX(0,(TODAY()-U32)/(L32-U32))))</f>
        <v>0</v>
      </c>
      <c r="U32" s="16">
        <f>IF(B32="","",DATE(PlanYear,1,1))</f>
        <v>0</v>
      </c>
      <c r="V32" s="29">
        <f>IF(OR(R32="",T32=""),"",IF(R32&gt;=1,"Achieved",IF(R32&gt;=T32,"On track",IF(R32&gt;=T32*0.8,"Slightly behind","Behind - needs a push"))))</f>
        <v>0</v>
      </c>
      <c r="W32" s="31">
        <f>IF(OR(Q32="",S32="",S32&lt;=0),"",Q32/MAX(1,S32/30.4))</f>
        <v>0</v>
      </c>
      <c r="X32" s="29">
        <f>IF(B32="","",IF(AND(S32&lt;&gt;"",S32&lt;0,R32&lt;1),"Overdue - the date has passed",IF(V32="Behind - needs a push","Action - behind the pace you need",IF(J32="","Add - no current number yet","OK"))))</f>
        <v>0</v>
      </c>
    </row>
    <row r="33" spans="1:24">
      <c r="A33" s="41">
        <f>IF(B33="","","GOAL-"&amp;TEXT(ROW()-4,"00"))</f>
        <v>0</v>
      </c>
      <c r="Q33" s="32">
        <f>IF(OR(K33="",J33=""),"",K33-J33)</f>
        <v>0</v>
      </c>
      <c r="R33" s="24">
        <f>IF(OR(K33="",I33="",K33=I33),"",MAX(0,(J33-I33)/(K33-I33)))</f>
        <v>0</v>
      </c>
      <c r="S33" s="23">
        <f>IF(L33="","",L33-TODAY())</f>
        <v>0</v>
      </c>
      <c r="T33" s="24">
        <f>IF(OR(L33="",U33="",L33&lt;=U33),"",MIN(1,MAX(0,(TODAY()-U33)/(L33-U33))))</f>
        <v>0</v>
      </c>
      <c r="U33" s="16">
        <f>IF(B33="","",DATE(PlanYear,1,1))</f>
        <v>0</v>
      </c>
      <c r="V33" s="29">
        <f>IF(OR(R33="",T33=""),"",IF(R33&gt;=1,"Achieved",IF(R33&gt;=T33,"On track",IF(R33&gt;=T33*0.8,"Slightly behind","Behind - needs a push"))))</f>
        <v>0</v>
      </c>
      <c r="W33" s="31">
        <f>IF(OR(Q33="",S33="",S33&lt;=0),"",Q33/MAX(1,S33/30.4))</f>
        <v>0</v>
      </c>
      <c r="X33" s="29">
        <f>IF(B33="","",IF(AND(S33&lt;&gt;"",S33&lt;0,R33&lt;1),"Overdue - the date has passed",IF(V33="Behind - needs a push","Action - behind the pace you need",IF(J33="","Add - no current number yet","OK"))))</f>
        <v>0</v>
      </c>
    </row>
    <row r="34" spans="1:24">
      <c r="A34" s="41">
        <f>IF(B34="","","GOAL-"&amp;TEXT(ROW()-4,"00"))</f>
        <v>0</v>
      </c>
      <c r="Q34" s="32">
        <f>IF(OR(K34="",J34=""),"",K34-J34)</f>
        <v>0</v>
      </c>
      <c r="R34" s="24">
        <f>IF(OR(K34="",I34="",K34=I34),"",MAX(0,(J34-I34)/(K34-I34)))</f>
        <v>0</v>
      </c>
      <c r="S34" s="23">
        <f>IF(L34="","",L34-TODAY())</f>
        <v>0</v>
      </c>
      <c r="T34" s="24">
        <f>IF(OR(L34="",U34="",L34&lt;=U34),"",MIN(1,MAX(0,(TODAY()-U34)/(L34-U34))))</f>
        <v>0</v>
      </c>
      <c r="U34" s="16">
        <f>IF(B34="","",DATE(PlanYear,1,1))</f>
        <v>0</v>
      </c>
      <c r="V34" s="29">
        <f>IF(OR(R34="",T34=""),"",IF(R34&gt;=1,"Achieved",IF(R34&gt;=T34,"On track",IF(R34&gt;=T34*0.8,"Slightly behind","Behind - needs a push"))))</f>
        <v>0</v>
      </c>
      <c r="W34" s="31">
        <f>IF(OR(Q34="",S34="",S34&lt;=0),"",Q34/MAX(1,S34/30.4))</f>
        <v>0</v>
      </c>
      <c r="X34" s="29">
        <f>IF(B34="","",IF(AND(S34&lt;&gt;"",S34&lt;0,R34&lt;1),"Overdue - the date has passed",IF(V34="Behind - needs a push","Action - behind the pace you need",IF(J34="","Add - no current number yet","OK"))))</f>
        <v>0</v>
      </c>
    </row>
    <row r="35" spans="1:24">
      <c r="A35" s="41">
        <f>IF(B35="","","GOAL-"&amp;TEXT(ROW()-4,"00"))</f>
        <v>0</v>
      </c>
      <c r="Q35" s="32">
        <f>IF(OR(K35="",J35=""),"",K35-J35)</f>
        <v>0</v>
      </c>
      <c r="R35" s="24">
        <f>IF(OR(K35="",I35="",K35=I35),"",MAX(0,(J35-I35)/(K35-I35)))</f>
        <v>0</v>
      </c>
      <c r="S35" s="23">
        <f>IF(L35="","",L35-TODAY())</f>
        <v>0</v>
      </c>
      <c r="T35" s="24">
        <f>IF(OR(L35="",U35="",L35&lt;=U35),"",MIN(1,MAX(0,(TODAY()-U35)/(L35-U35))))</f>
        <v>0</v>
      </c>
      <c r="U35" s="16">
        <f>IF(B35="","",DATE(PlanYear,1,1))</f>
        <v>0</v>
      </c>
      <c r="V35" s="29">
        <f>IF(OR(R35="",T35=""),"",IF(R35&gt;=1,"Achieved",IF(R35&gt;=T35,"On track",IF(R35&gt;=T35*0.8,"Slightly behind","Behind - needs a push"))))</f>
        <v>0</v>
      </c>
      <c r="W35" s="31">
        <f>IF(OR(Q35="",S35="",S35&lt;=0),"",Q35/MAX(1,S35/30.4))</f>
        <v>0</v>
      </c>
      <c r="X35" s="29">
        <f>IF(B35="","",IF(AND(S35&lt;&gt;"",S35&lt;0,R35&lt;1),"Overdue - the date has passed",IF(V35="Behind - needs a push","Action - behind the pace you need",IF(J35="","Add - no current number yet","OK"))))</f>
        <v>0</v>
      </c>
    </row>
    <row r="36" spans="1:24">
      <c r="A36" s="41">
        <f>IF(B36="","","GOAL-"&amp;TEXT(ROW()-4,"00"))</f>
        <v>0</v>
      </c>
      <c r="Q36" s="32">
        <f>IF(OR(K36="",J36=""),"",K36-J36)</f>
        <v>0</v>
      </c>
      <c r="R36" s="24">
        <f>IF(OR(K36="",I36="",K36=I36),"",MAX(0,(J36-I36)/(K36-I36)))</f>
        <v>0</v>
      </c>
      <c r="S36" s="23">
        <f>IF(L36="","",L36-TODAY())</f>
        <v>0</v>
      </c>
      <c r="T36" s="24">
        <f>IF(OR(L36="",U36="",L36&lt;=U36),"",MIN(1,MAX(0,(TODAY()-U36)/(L36-U36))))</f>
        <v>0</v>
      </c>
      <c r="U36" s="16">
        <f>IF(B36="","",DATE(PlanYear,1,1))</f>
        <v>0</v>
      </c>
      <c r="V36" s="29">
        <f>IF(OR(R36="",T36=""),"",IF(R36&gt;=1,"Achieved",IF(R36&gt;=T36,"On track",IF(R36&gt;=T36*0.8,"Slightly behind","Behind - needs a push"))))</f>
        <v>0</v>
      </c>
      <c r="W36" s="31">
        <f>IF(OR(Q36="",S36="",S36&lt;=0),"",Q36/MAX(1,S36/30.4))</f>
        <v>0</v>
      </c>
      <c r="X36" s="29">
        <f>IF(B36="","",IF(AND(S36&lt;&gt;"",S36&lt;0,R36&lt;1),"Overdue - the date has passed",IF(V36="Behind - needs a push","Action - behind the pace you need",IF(J36="","Add - no current number yet","OK"))))</f>
        <v>0</v>
      </c>
    </row>
    <row r="37" spans="1:24">
      <c r="A37" s="41">
        <f>IF(B37="","","GOAL-"&amp;TEXT(ROW()-4,"00"))</f>
        <v>0</v>
      </c>
      <c r="Q37" s="32">
        <f>IF(OR(K37="",J37=""),"",K37-J37)</f>
        <v>0</v>
      </c>
      <c r="R37" s="24">
        <f>IF(OR(K37="",I37="",K37=I37),"",MAX(0,(J37-I37)/(K37-I37)))</f>
        <v>0</v>
      </c>
      <c r="S37" s="23">
        <f>IF(L37="","",L37-TODAY())</f>
        <v>0</v>
      </c>
      <c r="T37" s="24">
        <f>IF(OR(L37="",U37="",L37&lt;=U37),"",MIN(1,MAX(0,(TODAY()-U37)/(L37-U37))))</f>
        <v>0</v>
      </c>
      <c r="U37" s="16">
        <f>IF(B37="","",DATE(PlanYear,1,1))</f>
        <v>0</v>
      </c>
      <c r="V37" s="29">
        <f>IF(OR(R37="",T37=""),"",IF(R37&gt;=1,"Achieved",IF(R37&gt;=T37,"On track",IF(R37&gt;=T37*0.8,"Slightly behind","Behind - needs a push"))))</f>
        <v>0</v>
      </c>
      <c r="W37" s="31">
        <f>IF(OR(Q37="",S37="",S37&lt;=0),"",Q37/MAX(1,S37/30.4))</f>
        <v>0</v>
      </c>
      <c r="X37" s="29">
        <f>IF(B37="","",IF(AND(S37&lt;&gt;"",S37&lt;0,R37&lt;1),"Overdue - the date has passed",IF(V37="Behind - needs a push","Action - behind the pace you need",IF(J37="","Add - no current number yet","OK"))))</f>
        <v>0</v>
      </c>
    </row>
    <row r="38" spans="1:24">
      <c r="A38" s="41">
        <f>IF(B38="","","GOAL-"&amp;TEXT(ROW()-4,"00"))</f>
        <v>0</v>
      </c>
      <c r="Q38" s="32">
        <f>IF(OR(K38="",J38=""),"",K38-J38)</f>
        <v>0</v>
      </c>
      <c r="R38" s="24">
        <f>IF(OR(K38="",I38="",K38=I38),"",MAX(0,(J38-I38)/(K38-I38)))</f>
        <v>0</v>
      </c>
      <c r="S38" s="23">
        <f>IF(L38="","",L38-TODAY())</f>
        <v>0</v>
      </c>
      <c r="T38" s="24">
        <f>IF(OR(L38="",U38="",L38&lt;=U38),"",MIN(1,MAX(0,(TODAY()-U38)/(L38-U38))))</f>
        <v>0</v>
      </c>
      <c r="U38" s="16">
        <f>IF(B38="","",DATE(PlanYear,1,1))</f>
        <v>0</v>
      </c>
      <c r="V38" s="29">
        <f>IF(OR(R38="",T38=""),"",IF(R38&gt;=1,"Achieved",IF(R38&gt;=T38,"On track",IF(R38&gt;=T38*0.8,"Slightly behind","Behind - needs a push"))))</f>
        <v>0</v>
      </c>
      <c r="W38" s="31">
        <f>IF(OR(Q38="",S38="",S38&lt;=0),"",Q38/MAX(1,S38/30.4))</f>
        <v>0</v>
      </c>
      <c r="X38" s="29">
        <f>IF(B38="","",IF(AND(S38&lt;&gt;"",S38&lt;0,R38&lt;1),"Overdue - the date has passed",IF(V38="Behind - needs a push","Action - behind the pace you need",IF(J38="","Add - no current number yet","OK"))))</f>
        <v>0</v>
      </c>
    </row>
    <row r="39" spans="1:24">
      <c r="A39" s="41">
        <f>IF(B39="","","GOAL-"&amp;TEXT(ROW()-4,"00"))</f>
        <v>0</v>
      </c>
      <c r="Q39" s="32">
        <f>IF(OR(K39="",J39=""),"",K39-J39)</f>
        <v>0</v>
      </c>
      <c r="R39" s="24">
        <f>IF(OR(K39="",I39="",K39=I39),"",MAX(0,(J39-I39)/(K39-I39)))</f>
        <v>0</v>
      </c>
      <c r="S39" s="23">
        <f>IF(L39="","",L39-TODAY())</f>
        <v>0</v>
      </c>
      <c r="T39" s="24">
        <f>IF(OR(L39="",U39="",L39&lt;=U39),"",MIN(1,MAX(0,(TODAY()-U39)/(L39-U39))))</f>
        <v>0</v>
      </c>
      <c r="U39" s="16">
        <f>IF(B39="","",DATE(PlanYear,1,1))</f>
        <v>0</v>
      </c>
      <c r="V39" s="29">
        <f>IF(OR(R39="",T39=""),"",IF(R39&gt;=1,"Achieved",IF(R39&gt;=T39,"On track",IF(R39&gt;=T39*0.8,"Slightly behind","Behind - needs a push"))))</f>
        <v>0</v>
      </c>
      <c r="W39" s="31">
        <f>IF(OR(Q39="",S39="",S39&lt;=0),"",Q39/MAX(1,S39/30.4))</f>
        <v>0</v>
      </c>
      <c r="X39" s="29">
        <f>IF(B39="","",IF(AND(S39&lt;&gt;"",S39&lt;0,R39&lt;1),"Overdue - the date has passed",IF(V39="Behind - needs a push","Action - behind the pace you need",IF(J39="","Add - no current number yet","OK"))))</f>
        <v>0</v>
      </c>
    </row>
    <row r="40" spans="1:24">
      <c r="A40" s="41">
        <f>IF(B40="","","GOAL-"&amp;TEXT(ROW()-4,"00"))</f>
        <v>0</v>
      </c>
      <c r="Q40" s="32">
        <f>IF(OR(K40="",J40=""),"",K40-J40)</f>
        <v>0</v>
      </c>
      <c r="R40" s="24">
        <f>IF(OR(K40="",I40="",K40=I40),"",MAX(0,(J40-I40)/(K40-I40)))</f>
        <v>0</v>
      </c>
      <c r="S40" s="23">
        <f>IF(L40="","",L40-TODAY())</f>
        <v>0</v>
      </c>
      <c r="T40" s="24">
        <f>IF(OR(L40="",U40="",L40&lt;=U40),"",MIN(1,MAX(0,(TODAY()-U40)/(L40-U40))))</f>
        <v>0</v>
      </c>
      <c r="U40" s="16">
        <f>IF(B40="","",DATE(PlanYear,1,1))</f>
        <v>0</v>
      </c>
      <c r="V40" s="29">
        <f>IF(OR(R40="",T40=""),"",IF(R40&gt;=1,"Achieved",IF(R40&gt;=T40,"On track",IF(R40&gt;=T40*0.8,"Slightly behind","Behind - needs a push"))))</f>
        <v>0</v>
      </c>
      <c r="W40" s="31">
        <f>IF(OR(Q40="",S40="",S40&lt;=0),"",Q40/MAX(1,S40/30.4))</f>
        <v>0</v>
      </c>
      <c r="X40" s="29">
        <f>IF(B40="","",IF(AND(S40&lt;&gt;"",S40&lt;0,R40&lt;1),"Overdue - the date has passed",IF(V40="Behind - needs a push","Action - behind the pace you need",IF(J40="","Add - no current number yet","OK"))))</f>
        <v>0</v>
      </c>
    </row>
    <row r="41" spans="1:24">
      <c r="A41" s="41">
        <f>IF(B41="","","GOAL-"&amp;TEXT(ROW()-4,"00"))</f>
        <v>0</v>
      </c>
      <c r="Q41" s="32">
        <f>IF(OR(K41="",J41=""),"",K41-J41)</f>
        <v>0</v>
      </c>
      <c r="R41" s="24">
        <f>IF(OR(K41="",I41="",K41=I41),"",MAX(0,(J41-I41)/(K41-I41)))</f>
        <v>0</v>
      </c>
      <c r="S41" s="23">
        <f>IF(L41="","",L41-TODAY())</f>
        <v>0</v>
      </c>
      <c r="T41" s="24">
        <f>IF(OR(L41="",U41="",L41&lt;=U41),"",MIN(1,MAX(0,(TODAY()-U41)/(L41-U41))))</f>
        <v>0</v>
      </c>
      <c r="U41" s="16">
        <f>IF(B41="","",DATE(PlanYear,1,1))</f>
        <v>0</v>
      </c>
      <c r="V41" s="29">
        <f>IF(OR(R41="",T41=""),"",IF(R41&gt;=1,"Achieved",IF(R41&gt;=T41,"On track",IF(R41&gt;=T41*0.8,"Slightly behind","Behind - needs a push"))))</f>
        <v>0</v>
      </c>
      <c r="W41" s="31">
        <f>IF(OR(Q41="",S41="",S41&lt;=0),"",Q41/MAX(1,S41/30.4))</f>
        <v>0</v>
      </c>
      <c r="X41" s="29">
        <f>IF(B41="","",IF(AND(S41&lt;&gt;"",S41&lt;0,R41&lt;1),"Overdue - the date has passed",IF(V41="Behind - needs a push","Action - behind the pace you need",IF(J41="","Add - no current number yet","OK"))))</f>
        <v>0</v>
      </c>
    </row>
    <row r="42" spans="1:24">
      <c r="A42" s="41">
        <f>IF(B42="","","GOAL-"&amp;TEXT(ROW()-4,"00"))</f>
        <v>0</v>
      </c>
      <c r="Q42" s="32">
        <f>IF(OR(K42="",J42=""),"",K42-J42)</f>
        <v>0</v>
      </c>
      <c r="R42" s="24">
        <f>IF(OR(K42="",I42="",K42=I42),"",MAX(0,(J42-I42)/(K42-I42)))</f>
        <v>0</v>
      </c>
      <c r="S42" s="23">
        <f>IF(L42="","",L42-TODAY())</f>
        <v>0</v>
      </c>
      <c r="T42" s="24">
        <f>IF(OR(L42="",U42="",L42&lt;=U42),"",MIN(1,MAX(0,(TODAY()-U42)/(L42-U42))))</f>
        <v>0</v>
      </c>
      <c r="U42" s="16">
        <f>IF(B42="","",DATE(PlanYear,1,1))</f>
        <v>0</v>
      </c>
      <c r="V42" s="29">
        <f>IF(OR(R42="",T42=""),"",IF(R42&gt;=1,"Achieved",IF(R42&gt;=T42,"On track",IF(R42&gt;=T42*0.8,"Slightly behind","Behind - needs a push"))))</f>
        <v>0</v>
      </c>
      <c r="W42" s="31">
        <f>IF(OR(Q42="",S42="",S42&lt;=0),"",Q42/MAX(1,S42/30.4))</f>
        <v>0</v>
      </c>
      <c r="X42" s="29">
        <f>IF(B42="","",IF(AND(S42&lt;&gt;"",S42&lt;0,R42&lt;1),"Overdue - the date has passed",IF(V42="Behind - needs a push","Action - behind the pace you need",IF(J42="","Add - no current number yet","OK"))))</f>
        <v>0</v>
      </c>
    </row>
    <row r="43" spans="1:24">
      <c r="A43" s="41">
        <f>IF(B43="","","GOAL-"&amp;TEXT(ROW()-4,"00"))</f>
        <v>0</v>
      </c>
      <c r="Q43" s="32">
        <f>IF(OR(K43="",J43=""),"",K43-J43)</f>
        <v>0</v>
      </c>
      <c r="R43" s="24">
        <f>IF(OR(K43="",I43="",K43=I43),"",MAX(0,(J43-I43)/(K43-I43)))</f>
        <v>0</v>
      </c>
      <c r="S43" s="23">
        <f>IF(L43="","",L43-TODAY())</f>
        <v>0</v>
      </c>
      <c r="T43" s="24">
        <f>IF(OR(L43="",U43="",L43&lt;=U43),"",MIN(1,MAX(0,(TODAY()-U43)/(L43-U43))))</f>
        <v>0</v>
      </c>
      <c r="U43" s="16">
        <f>IF(B43="","",DATE(PlanYear,1,1))</f>
        <v>0</v>
      </c>
      <c r="V43" s="29">
        <f>IF(OR(R43="",T43=""),"",IF(R43&gt;=1,"Achieved",IF(R43&gt;=T43,"On track",IF(R43&gt;=T43*0.8,"Slightly behind","Behind - needs a push"))))</f>
        <v>0</v>
      </c>
      <c r="W43" s="31">
        <f>IF(OR(Q43="",S43="",S43&lt;=0),"",Q43/MAX(1,S43/30.4))</f>
        <v>0</v>
      </c>
      <c r="X43" s="29">
        <f>IF(B43="","",IF(AND(S43&lt;&gt;"",S43&lt;0,R43&lt;1),"Overdue - the date has passed",IF(V43="Behind - needs a push","Action - behind the pace you need",IF(J43="","Add - no current number yet","OK"))))</f>
        <v>0</v>
      </c>
    </row>
    <row r="44" spans="1:24">
      <c r="A44" s="41">
        <f>IF(B44="","","GOAL-"&amp;TEXT(ROW()-4,"00"))</f>
        <v>0</v>
      </c>
      <c r="Q44" s="32">
        <f>IF(OR(K44="",J44=""),"",K44-J44)</f>
        <v>0</v>
      </c>
      <c r="R44" s="24">
        <f>IF(OR(K44="",I44="",K44=I44),"",MAX(0,(J44-I44)/(K44-I44)))</f>
        <v>0</v>
      </c>
      <c r="S44" s="23">
        <f>IF(L44="","",L44-TODAY())</f>
        <v>0</v>
      </c>
      <c r="T44" s="24">
        <f>IF(OR(L44="",U44="",L44&lt;=U44),"",MIN(1,MAX(0,(TODAY()-U44)/(L44-U44))))</f>
        <v>0</v>
      </c>
      <c r="U44" s="16">
        <f>IF(B44="","",DATE(PlanYear,1,1))</f>
        <v>0</v>
      </c>
      <c r="V44" s="29">
        <f>IF(OR(R44="",T44=""),"",IF(R44&gt;=1,"Achieved",IF(R44&gt;=T44,"On track",IF(R44&gt;=T44*0.8,"Slightly behind","Behind - needs a push"))))</f>
        <v>0</v>
      </c>
      <c r="W44" s="31">
        <f>IF(OR(Q44="",S44="",S44&lt;=0),"",Q44/MAX(1,S44/30.4))</f>
        <v>0</v>
      </c>
      <c r="X44" s="29">
        <f>IF(B44="","",IF(AND(S44&lt;&gt;"",S44&lt;0,R44&lt;1),"Overdue - the date has passed",IF(V44="Behind - needs a push","Action - behind the pace you need",IF(J44="","Add - no current number yet","OK"))))</f>
        <v>0</v>
      </c>
    </row>
  </sheetData>
  <sheetProtection password="EC7C" sheet="1" objects="1" scenarios="1" formatCells="0" formatColumns="0" formatRows="0" insertRows="0" insertHyperlinks="0" deleteRows="0" autoFilter="0"/>
  <autoFilter ref="A4:Y44"/>
  <mergeCells count="13">
    <mergeCell ref="A1:V1"/>
    <mergeCell ref="W1:Y1"/>
    <mergeCell ref="A2:Y2"/>
    <mergeCell ref="A3:B3"/>
    <mergeCell ref="C3:D3"/>
    <mergeCell ref="E3:F3"/>
    <mergeCell ref="G3:H3"/>
    <mergeCell ref="I3:J3"/>
    <mergeCell ref="K3:L3"/>
    <mergeCell ref="M3:N3"/>
    <mergeCell ref="O3:P3"/>
    <mergeCell ref="Q3:R3"/>
    <mergeCell ref="S3:Y3"/>
  </mergeCells>
  <conditionalFormatting sqref="P5:P44">
    <cfRule type="containsText" dxfId="0" priority="1" operator="containsText" text="Published">
      <formula>NOT(ISERROR(SEARCH("Published",P5)))</formula>
    </cfRule>
    <cfRule type="containsText" dxfId="0" priority="2" operator="containsText" text="Approved">
      <formula>NOT(ISERROR(SEARCH("Approved",P5)))</formula>
    </cfRule>
    <cfRule type="containsText" dxfId="0" priority="3" operator="containsText" text="Complete">
      <formula>NOT(ISERROR(SEARCH("Complete",P5)))</formula>
    </cfRule>
    <cfRule type="containsText" dxfId="0" priority="4" operator="containsText" text="Active">
      <formula>NOT(ISERROR(SEARCH("Active",P5)))</formula>
    </cfRule>
    <cfRule type="containsText" dxfId="0" priority="5" operator="containsText" text="Agreed">
      <formula>NOT(ISERROR(SEARCH("Agreed",P5)))</formula>
    </cfRule>
    <cfRule type="containsText" dxfId="0" priority="6" operator="containsText" text="Yes">
      <formula>NOT(ISERROR(SEARCH("Yes",P5)))</formula>
    </cfRule>
    <cfRule type="containsText" dxfId="0" priority="7" operator="containsText" text="Won">
      <formula>NOT(ISERROR(SEARCH("Won",P5)))</formula>
    </cfRule>
    <cfRule type="containsText" dxfId="3" priority="8" operator="containsText" text="Scheduled">
      <formula>NOT(ISERROR(SEARCH("Scheduled",P5)))</formula>
    </cfRule>
    <cfRule type="containsText" dxfId="3" priority="9" operator="containsText" text="In production">
      <formula>NOT(ISERROR(SEARCH("In production",P5)))</formula>
    </cfRule>
    <cfRule type="containsText" dxfId="3" priority="10" operator="containsText" text="Running">
      <formula>NOT(ISERROR(SEARCH("Running",P5)))</formula>
    </cfRule>
    <cfRule type="containsText" dxfId="3" priority="11" operator="containsText" text="Sent">
      <formula>NOT(ISERROR(SEARCH("Sent",P5)))</formula>
    </cfRule>
    <cfRule type="containsText" dxfId="3" priority="12" operator="containsText" text="Testing">
      <formula>NOT(ISERROR(SEARCH("Testing",P5)))</formula>
    </cfRule>
    <cfRule type="containsText" dxfId="2" priority="13" operator="containsText" text="Idea">
      <formula>NOT(ISERROR(SEARCH("Idea",P5)))</formula>
    </cfRule>
    <cfRule type="containsText" dxfId="2" priority="14" operator="containsText" text="Brief">
      <formula>NOT(ISERROR(SEARCH("Brief",P5)))</formula>
    </cfRule>
    <cfRule type="containsText" dxfId="2" priority="15" operator="containsText" text="Draft">
      <formula>NOT(ISERROR(SEARCH("Draft",P5)))</formula>
    </cfRule>
    <cfRule type="containsText" dxfId="2" priority="16" operator="containsText" text="Awaiting review">
      <formula>NOT(ISERROR(SEARCH("Awaiting review",P5)))</formula>
    </cfRule>
    <cfRule type="containsText" dxfId="2" priority="17" operator="containsText" text="Pending">
      <formula>NOT(ISERROR(SEARCH("Pending",P5)))</formula>
    </cfRule>
    <cfRule type="containsText" dxfId="2" priority="18" operator="containsText" text="On hold">
      <formula>NOT(ISERROR(SEARCH("On hold",P5)))</formula>
    </cfRule>
    <cfRule type="containsText" dxfId="1" priority="19" operator="containsText" text="Revision needed">
      <formula>NOT(ISERROR(SEARCH("Revision needed",P5)))</formula>
    </cfRule>
    <cfRule type="containsText" dxfId="1" priority="20" operator="containsText" text="Rejected">
      <formula>NOT(ISERROR(SEARCH("Rejected",P5)))</formula>
    </cfRule>
    <cfRule type="containsText" dxfId="1" priority="21" operator="containsText" text="Cancelled">
      <formula>NOT(ISERROR(SEARCH("Cancelled",P5)))</formula>
    </cfRule>
    <cfRule type="containsText" dxfId="1" priority="22" operator="containsText" text="Missed">
      <formula>NOT(ISERROR(SEARCH("Missed",P5)))</formula>
    </cfRule>
    <cfRule type="containsText" dxfId="1" priority="23" operator="containsText" text="Overdue">
      <formula>NOT(ISERROR(SEARCH("Overdue",P5)))</formula>
    </cfRule>
    <cfRule type="containsText" dxfId="1" priority="24" operator="containsText" text="Declined">
      <formula>NOT(ISERROR(SEARCH("Declined",P5)))</formula>
    </cfRule>
    <cfRule type="containsText" dxfId="4" priority="25" operator="containsText" text="Archived">
      <formula>NOT(ISERROR(SEARCH("Archived",P5)))</formula>
    </cfRule>
    <cfRule type="containsText" dxfId="4" priority="26" operator="containsText" text="Paused">
      <formula>NOT(ISERROR(SEARCH("Paused",P5)))</formula>
    </cfRule>
    <cfRule type="containsText" dxfId="4" priority="27" operator="containsText" text="Not started">
      <formula>NOT(ISERROR(SEARCH("Not started",P5)))</formula>
    </cfRule>
  </conditionalFormatting>
  <conditionalFormatting sqref="R5:R44">
    <cfRule type="dataBar" priority="28">
      <dataBar>
        <cfvo type="min" val="0"/>
        <cfvo type="max" val="0"/>
        <color rgb="FF6350A8"/>
      </dataBar>
    </cfRule>
    <cfRule type="cellIs" dxfId="0" priority="29" operator="greaterThanOrEqual">
      <formula>1</formula>
    </cfRule>
  </conditionalFormatting>
  <conditionalFormatting sqref="S5:S44">
    <cfRule type="cellIs" dxfId="4" priority="30" operator="lessThan">
      <formula>0</formula>
    </cfRule>
    <cfRule type="cellIs" dxfId="2" priority="31" operator="between">
      <formula>0</formula>
      <formula>30</formula>
    </cfRule>
  </conditionalFormatting>
  <conditionalFormatting sqref="V5:V44">
    <cfRule type="containsText" dxfId="5" priority="32" operator="containsText" text="Achieved">
      <formula>NOT(ISERROR(SEARCH("Achieved",V5)))</formula>
    </cfRule>
    <cfRule type="containsText" dxfId="0" priority="33" operator="containsText" text="On track">
      <formula>NOT(ISERROR(SEARCH("On track",V5)))</formula>
    </cfRule>
    <cfRule type="containsText" dxfId="2" priority="34" operator="containsText" text="Slightly">
      <formula>NOT(ISERROR(SEARCH("Slightly",V5)))</formula>
    </cfRule>
    <cfRule type="containsText" dxfId="1" priority="35" operator="containsText" text="Behind">
      <formula>NOT(ISERROR(SEARCH("Behind",V5)))</formula>
    </cfRule>
  </conditionalFormatting>
  <conditionalFormatting sqref="X5:X44">
    <cfRule type="beginsWith" dxfId="0" priority="36" operator="beginsWith" text="OK">
      <formula>LEFT(X5,2)="OK"</formula>
    </cfRule>
    <cfRule type="containsText" dxfId="1" priority="37" operator="containsText" text="Overdue">
      <formula>NOT(ISERROR(SEARCH("Overdue",X5)))</formula>
    </cfRule>
    <cfRule type="containsText" dxfId="1" priority="38" operator="containsText" text="Late">
      <formula>NOT(ISERROR(SEARCH("Late",X5)))</formula>
    </cfRule>
    <cfRule type="containsText" dxfId="1" priority="39" operator="containsText" text="Missing">
      <formula>NOT(ISERROR(SEARCH("Missing",X5)))</formula>
    </cfRule>
    <cfRule type="containsText" dxfId="1" priority="40" operator="containsText" text="Conflict">
      <formula>NOT(ISERROR(SEARCH("Conflict",X5)))</formula>
    </cfRule>
    <cfRule type="containsText" dxfId="1" priority="41" operator="containsText" text="Expired">
      <formula>NOT(ISERROR(SEARCH("Expired",X5)))</formula>
    </cfRule>
    <cfRule type="containsText" dxfId="1" priority="42" operator="containsText" text="Duplicate">
      <formula>NOT(ISERROR(SEARCH("Duplicate",X5)))</formula>
    </cfRule>
    <cfRule type="containsText" dxfId="2" priority="43" operator="containsText" text="Action">
      <formula>NOT(ISERROR(SEARCH("Action",X5)))</formula>
    </cfRule>
    <cfRule type="containsText" dxfId="2" priority="44" operator="containsText" text="Due">
      <formula>NOT(ISERROR(SEARCH("Due",X5)))</formula>
    </cfRule>
    <cfRule type="containsText" dxfId="2" priority="45" operator="containsText" text="Check">
      <formula>NOT(ISERROR(SEARCH("Check",X5)))</formula>
    </cfRule>
    <cfRule type="containsText" dxfId="2" priority="46" operator="containsText" text="Add">
      <formula>NOT(ISERROR(SEARCH("Add",X5)))</formula>
    </cfRule>
    <cfRule type="containsText" dxfId="3" priority="47" operator="containsText" text="Today">
      <formula>NOT(ISERROR(SEARCH("Today",X5)))</formula>
    </cfRule>
    <cfRule type="containsText" dxfId="3" priority="48" operator="containsText" text="Upcoming">
      <formula>NOT(ISERROR(SEARCH("Upcoming",X5)))</formula>
    </cfRule>
  </conditionalFormatting>
  <dataValidations count="12">
    <dataValidation type="list" allowBlank="1" showInputMessage="1" showErrorMessage="1" sqref="C5:C44">
      <formula1>GoalCategoryList</formula1>
    </dataValidation>
    <dataValidation type="list" allowBlank="1" showInputMessage="1" showErrorMessage="1" sqref="D5:D44">
      <formula1>PlatformList</formula1>
    </dataValidation>
    <dataValidation type="list" allowBlank="1" showInputMessage="1" showErrorMessage="1" sqref="F5:F44">
      <formula1>TeamNames</formula1>
    </dataValidation>
    <dataValidation type="list" allowBlank="1" showInputMessage="1" showErrorMessage="1" sqref="G5:G44">
      <formula1>CampaignNames</formula1>
    </dataValidation>
    <dataValidation type="decimal" allowBlank="1" showInputMessage="1" showErrorMessage="1" errorTitle="Check the value" error="Enter a number between -1000000000000.0 and 1000000000000.0." sqref="I5:I44">
      <formula1>-1000000000000.0</formula1>
      <formula2>1000000000000.0</formula2>
    </dataValidation>
    <dataValidation type="decimal" allowBlank="1" showInputMessage="1" showErrorMessage="1" errorTitle="Check the value" error="Enter a number between -1000000000000.0 and 1000000000000.0." promptTitle="Where you are now" prompt="Update this once a month when you fill in the Analytics tab." sqref="J5:J44">
      <formula1>-1000000000000.0</formula1>
      <formula2>1000000000000.0</formula2>
    </dataValidation>
    <dataValidation type="decimal" allowBlank="1" showInputMessage="1" showErrorMessage="1" errorTitle="Check the value" error="Enter a number between -1000000000000.0 and 1000000000000.0." sqref="K5:K44">
      <formula1>-1000000000000.0</formula1>
      <formula2>1000000000000.0</formula2>
    </dataValidation>
    <dataValidation type="date" allowBlank="1" showInputMessage="1" showErrorMessage="1" errorTitle="Check the date" error="Enter a real date between 2000 and 2100." sqref="L5:L44">
      <formula1>36526</formula1>
      <formula2>73415</formula2>
    </dataValidation>
    <dataValidation type="decimal" allowBlank="1" showInputMessage="1" showErrorMessage="1" errorTitle="Check the value" error="Enter a number between -1000000000000.0 and 1000000000000.0." sqref="M5:M44">
      <formula1>-1000000000000.0</formula1>
      <formula2>1000000000000.0</formula2>
    </dataValidation>
    <dataValidation type="decimal" allowBlank="1" showInputMessage="1" showErrorMessage="1" errorTitle="Check the value" error="Enter a number between -1000000000000.0 and 1000000000000.0." sqref="N5:N44">
      <formula1>-1000000000000.0</formula1>
      <formula2>1000000000000.0</formula2>
    </dataValidation>
    <dataValidation type="decimal" allowBlank="1" showInputMessage="1" showErrorMessage="1" errorTitle="Check the value" error="Enter a number between 0 and 1000000000.0." sqref="O5:O44">
      <formula1>0</formula1>
      <formula2>1000000000.0</formula2>
    </dataValidation>
    <dataValidation type="list" allowBlank="1" showInputMessage="1" showErrorMessage="1" sqref="P5:P44">
      <formula1>GoalStatusList</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&amp;L&amp;"Calibri,Bold"&amp;12&amp;C&amp;"Calibri,Bold"&amp;11Goals&amp;R&amp;"Calibri,Italic"&amp;9Social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5.xml><?xml version="1.0" encoding="utf-8"?>
<worksheet xmlns="http://schemas.openxmlformats.org/spreadsheetml/2006/main" xmlns:r="http://schemas.openxmlformats.org/officeDocument/2006/relationships">
  <sheetPr>
    <tabColor rgb="FF3B2A6B"/>
    <pageSetUpPr fitToPage="1"/>
  </sheetPr>
  <dimension ref="A1:Q6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2.7109375" style="43" customWidth="1"/>
    <col min="3" max="3" width="10.7109375" style="17" customWidth="1"/>
    <col min="4" max="4" width="20.7109375" style="15" customWidth="1"/>
    <col min="5" max="5" width="15.7109375" style="15" customWidth="1"/>
    <col min="6" max="6" width="20.7109375" style="15" customWidth="1"/>
    <col min="7" max="7" width="12.7109375" style="36" customWidth="1"/>
    <col min="8" max="8" width="12.7109375" style="36" customWidth="1"/>
    <col min="9" max="9" width="12.7109375" style="25" customWidth="1"/>
    <col min="10" max="10" width="11.7109375" style="24" customWidth="1"/>
    <col min="11" max="11" width="12.7109375" style="24" customWidth="1"/>
    <col min="12" max="12" width="13.7109375" style="36" customWidth="1"/>
    <col min="13" max="13" width="11.7109375" style="31" customWidth="1"/>
    <col min="14" max="14" width="13.7109375" style="25" customWidth="1"/>
    <col min="15" max="15" width="13.7109375" style="24" customWidth="1"/>
    <col min="16" max="16" width="26.7109375" style="29" customWidth="1"/>
    <col min="17" max="17" width="28.7109375" style="39" customWidth="1"/>
  </cols>
  <sheetData>
    <row r="1" spans="1:17" ht="34" customHeight="1">
      <c r="A1" s="2" t="s">
        <v>2067</v>
      </c>
      <c r="B1" s="2"/>
      <c r="C1" s="2"/>
      <c r="D1" s="2"/>
      <c r="E1" s="2"/>
      <c r="F1" s="2"/>
      <c r="G1" s="2"/>
      <c r="H1" s="2"/>
      <c r="I1" s="2"/>
      <c r="J1" s="2"/>
      <c r="K1" s="2"/>
      <c r="L1" s="2"/>
      <c r="M1" s="2"/>
      <c r="N1" s="2"/>
      <c r="O1" s="3" t="s">
        <v>1</v>
      </c>
      <c r="P1" s="3"/>
      <c r="Q1" s="3"/>
    </row>
    <row r="2" spans="1:17" ht="18" customHeight="1">
      <c r="A2" s="4" t="s">
        <v>2068</v>
      </c>
      <c r="B2" s="4"/>
      <c r="C2" s="4"/>
      <c r="D2" s="4"/>
      <c r="E2" s="4"/>
      <c r="F2" s="4"/>
      <c r="G2" s="4"/>
      <c r="H2" s="4"/>
      <c r="I2" s="4"/>
      <c r="J2" s="4"/>
      <c r="K2" s="4"/>
      <c r="L2" s="4"/>
      <c r="M2" s="4"/>
      <c r="N2" s="4"/>
      <c r="O2" s="4"/>
      <c r="P2" s="4"/>
      <c r="Q2" s="4"/>
    </row>
    <row r="3" spans="1:17" ht="16" customHeight="1">
      <c r="A3" s="5" t="s">
        <v>3</v>
      </c>
      <c r="B3" s="5"/>
      <c r="C3" s="5" t="s">
        <v>4</v>
      </c>
      <c r="D3" s="5"/>
      <c r="E3" s="5" t="s">
        <v>5</v>
      </c>
      <c r="F3" s="5"/>
      <c r="G3" s="5" t="s">
        <v>6</v>
      </c>
      <c r="H3" s="5"/>
      <c r="I3" s="5" t="s">
        <v>7</v>
      </c>
      <c r="J3" s="5"/>
      <c r="K3" s="5" t="s">
        <v>8</v>
      </c>
      <c r="L3" s="5"/>
      <c r="M3" s="5" t="s">
        <v>125</v>
      </c>
      <c r="N3" s="5"/>
      <c r="O3" s="5" t="s">
        <v>126</v>
      </c>
      <c r="P3" s="5"/>
      <c r="Q3" s="33" t="s">
        <v>205</v>
      </c>
    </row>
    <row r="4" spans="1:17" ht="30" customHeight="1">
      <c r="A4" s="8" t="s">
        <v>766</v>
      </c>
      <c r="B4" s="8" t="s">
        <v>129</v>
      </c>
      <c r="C4" s="9" t="s">
        <v>133</v>
      </c>
      <c r="D4" s="9" t="s">
        <v>592</v>
      </c>
      <c r="E4" s="9" t="s">
        <v>192</v>
      </c>
      <c r="F4" s="9" t="s">
        <v>1604</v>
      </c>
      <c r="G4" s="9" t="s">
        <v>252</v>
      </c>
      <c r="H4" s="9" t="s">
        <v>2069</v>
      </c>
      <c r="I4" s="9" t="s">
        <v>1932</v>
      </c>
      <c r="J4" s="9" t="s">
        <v>2070</v>
      </c>
      <c r="K4" s="9" t="s">
        <v>2071</v>
      </c>
      <c r="L4" s="9" t="s">
        <v>2072</v>
      </c>
      <c r="M4" s="9" t="s">
        <v>254</v>
      </c>
      <c r="N4" s="9" t="s">
        <v>2073</v>
      </c>
      <c r="O4" s="9" t="s">
        <v>2074</v>
      </c>
      <c r="P4" s="9" t="s">
        <v>787</v>
      </c>
      <c r="Q4" s="9" t="s">
        <v>788</v>
      </c>
    </row>
    <row r="5" spans="1:17">
      <c r="A5" s="41">
        <f>IF(D5="","","BU-"&amp;TEXT(ROW()-4,"000"))</f>
        <v>0</v>
      </c>
      <c r="B5" s="43">
        <v>46296</v>
      </c>
      <c r="C5" s="17">
        <f>IF(B5="","",TEXT(B5,"yyyy-mm"))</f>
        <v>0</v>
      </c>
      <c r="D5" s="15" t="s">
        <v>593</v>
      </c>
      <c r="E5" s="15" t="s">
        <v>376</v>
      </c>
      <c r="F5" s="15" t="s">
        <v>1049</v>
      </c>
      <c r="G5" s="36">
        <v>350</v>
      </c>
      <c r="H5" s="36">
        <v>348.55</v>
      </c>
      <c r="I5" s="25">
        <f>IF(AND(G5="",H5=""),"",N(G5)-N(H5))</f>
        <v>0</v>
      </c>
      <c r="J5" s="24">
        <f>IF(OR(G5="",G5=0),"",I5/G5)</f>
        <v>0</v>
      </c>
      <c r="K5" s="24">
        <f>IF(OR(H5="",C5=""),"",IFERROR(H5/SUMIFS(Budget!$H$5:$H$64,Budget!$C$5:$C$64,C5),""))</f>
        <v>0</v>
      </c>
      <c r="M5" s="31">
        <f>IF(OR(H5="",H5=0,L5=""),"",L5/H5)</f>
        <v>0</v>
      </c>
      <c r="N5" s="25">
        <f>IF(C5="","",SUMIFS(Budget!$H$5:$H$64,Budget!$C$5:$C$64,C5))</f>
        <v>0</v>
      </c>
      <c r="O5" s="24">
        <f>IF(OR(N5="",MonthlyBudget=0),"",N5/MonthlyBudget)</f>
        <v>0</v>
      </c>
      <c r="P5" s="29">
        <f>IF(D5="","",IF(O5&gt;1,"Over budget this month",IF(AND(H5&lt;&gt;"",G5&lt;&gt;"",H5&gt;G5*1.2),"Check - 20% over plan",IF(AND(M5&lt;&gt;"",M5&lt;1),"Review - costs more than it returns","OK"))))</f>
        <v>0</v>
      </c>
      <c r="Q5" s="39" t="s">
        <v>2075</v>
      </c>
    </row>
    <row r="6" spans="1:17">
      <c r="A6" s="41">
        <f>IF(D6="","","BU-"&amp;TEXT(ROW()-4,"000"))</f>
        <v>0</v>
      </c>
      <c r="B6" s="43">
        <v>46296</v>
      </c>
      <c r="C6" s="17">
        <f>IF(B6="","",TEXT(B6,"yyyy-mm"))</f>
        <v>0</v>
      </c>
      <c r="D6" s="15" t="s">
        <v>594</v>
      </c>
      <c r="E6" s="15" t="s">
        <v>2009</v>
      </c>
      <c r="F6" s="15" t="s">
        <v>1049</v>
      </c>
      <c r="G6" s="36">
        <v>150</v>
      </c>
      <c r="H6" s="36">
        <v>450</v>
      </c>
      <c r="I6" s="25">
        <f>IF(AND(G6="",H6=""),"",N(G6)-N(H6))</f>
        <v>0</v>
      </c>
      <c r="J6" s="24">
        <f>IF(OR(G6="",G6=0),"",I6/G6)</f>
        <v>0</v>
      </c>
      <c r="K6" s="24">
        <f>IF(OR(H6="",C6=""),"",IFERROR(H6/SUMIFS(Budget!$H$5:$H$64,Budget!$C$5:$C$64,C6),""))</f>
        <v>0</v>
      </c>
      <c r="M6" s="31">
        <f>IF(OR(H6="",H6=0,L6=""),"",L6/H6)</f>
        <v>0</v>
      </c>
      <c r="N6" s="25">
        <f>IF(C6="","",SUMIFS(Budget!$H$5:$H$64,Budget!$C$5:$C$64,C6))</f>
        <v>0</v>
      </c>
      <c r="O6" s="24">
        <f>IF(OR(N6="",MonthlyBudget=0),"",N6/MonthlyBudget)</f>
        <v>0</v>
      </c>
      <c r="P6" s="29">
        <f>IF(D6="","",IF(O6&gt;1,"Over budget this month",IF(AND(H6&lt;&gt;"",G6&lt;&gt;"",H6&gt;G6*1.2),"Check - 20% over plan",IF(AND(M6&lt;&gt;"",M6&lt;1),"Review - costs more than it returns","OK"))))</f>
        <v>0</v>
      </c>
      <c r="Q6" s="39" t="s">
        <v>2076</v>
      </c>
    </row>
    <row r="7" spans="1:17">
      <c r="A7" s="41">
        <f>IF(D7="","","BU-"&amp;TEXT(ROW()-4,"000"))</f>
        <v>0</v>
      </c>
      <c r="B7" s="43">
        <v>46296</v>
      </c>
      <c r="C7" s="17">
        <f>IF(B7="","",TEXT(B7,"yyyy-mm"))</f>
        <v>0</v>
      </c>
      <c r="D7" s="15" t="s">
        <v>595</v>
      </c>
      <c r="E7" s="15" t="s">
        <v>2009</v>
      </c>
      <c r="F7" s="15" t="s">
        <v>205</v>
      </c>
      <c r="G7" s="36">
        <v>120</v>
      </c>
      <c r="H7" s="36">
        <v>96.4</v>
      </c>
      <c r="I7" s="25">
        <f>IF(AND(G7="",H7=""),"",N(G7)-N(H7))</f>
        <v>0</v>
      </c>
      <c r="J7" s="24">
        <f>IF(OR(G7="",G7=0),"",I7/G7)</f>
        <v>0</v>
      </c>
      <c r="K7" s="24">
        <f>IF(OR(H7="",C7=""),"",IFERROR(H7/SUMIFS(Budget!$H$5:$H$64,Budget!$C$5:$C$64,C7),""))</f>
        <v>0</v>
      </c>
      <c r="M7" s="31">
        <f>IF(OR(H7="",H7=0,L7=""),"",L7/H7)</f>
        <v>0</v>
      </c>
      <c r="N7" s="25">
        <f>IF(C7="","",SUMIFS(Budget!$H$5:$H$64,Budget!$C$5:$C$64,C7))</f>
        <v>0</v>
      </c>
      <c r="O7" s="24">
        <f>IF(OR(N7="",MonthlyBudget=0),"",N7/MonthlyBudget)</f>
        <v>0</v>
      </c>
      <c r="P7" s="29">
        <f>IF(D7="","",IF(O7&gt;1,"Over budget this month",IF(AND(H7&lt;&gt;"",G7&lt;&gt;"",H7&gt;G7*1.2),"Check - 20% over plan",IF(AND(M7&lt;&gt;"",M7&lt;1),"Review - costs more than it returns","OK"))))</f>
        <v>0</v>
      </c>
      <c r="Q7" s="39" t="s">
        <v>2077</v>
      </c>
    </row>
    <row r="8" spans="1:17">
      <c r="A8" s="41">
        <f>IF(D8="","","BU-"&amp;TEXT(ROW()-4,"000"))</f>
        <v>0</v>
      </c>
      <c r="B8" s="43">
        <v>46296</v>
      </c>
      <c r="C8" s="17">
        <f>IF(B8="","",TEXT(B8,"yyyy-mm"))</f>
        <v>0</v>
      </c>
      <c r="D8" s="15" t="s">
        <v>596</v>
      </c>
      <c r="E8" s="15" t="s">
        <v>2009</v>
      </c>
      <c r="F8" s="15" t="s">
        <v>205</v>
      </c>
      <c r="G8" s="36">
        <v>90</v>
      </c>
      <c r="H8" s="36">
        <v>88</v>
      </c>
      <c r="I8" s="25">
        <f>IF(AND(G8="",H8=""),"",N(G8)-N(H8))</f>
        <v>0</v>
      </c>
      <c r="J8" s="24">
        <f>IF(OR(G8="",G8=0),"",I8/G8)</f>
        <v>0</v>
      </c>
      <c r="K8" s="24">
        <f>IF(OR(H8="",C8=""),"",IFERROR(H8/SUMIFS(Budget!$H$5:$H$64,Budget!$C$5:$C$64,C8),""))</f>
        <v>0</v>
      </c>
      <c r="M8" s="31">
        <f>IF(OR(H8="",H8=0,L8=""),"",L8/H8)</f>
        <v>0</v>
      </c>
      <c r="N8" s="25">
        <f>IF(C8="","",SUMIFS(Budget!$H$5:$H$64,Budget!$C$5:$C$64,C8))</f>
        <v>0</v>
      </c>
      <c r="O8" s="24">
        <f>IF(OR(N8="",MonthlyBudget=0),"",N8/MonthlyBudget)</f>
        <v>0</v>
      </c>
      <c r="P8" s="29">
        <f>IF(D8="","",IF(O8&gt;1,"Over budget this month",IF(AND(H8&lt;&gt;"",G8&lt;&gt;"",H8&gt;G8*1.2),"Check - 20% over plan",IF(AND(M8&lt;&gt;"",M8&lt;1),"Review - costs more than it returns","OK"))))</f>
        <v>0</v>
      </c>
      <c r="Q8" s="39" t="s">
        <v>2078</v>
      </c>
    </row>
    <row r="9" spans="1:17">
      <c r="A9" s="41">
        <f>IF(D9="","","BU-"&amp;TEXT(ROW()-4,"000"))</f>
        <v>0</v>
      </c>
      <c r="B9" s="43">
        <v>46296</v>
      </c>
      <c r="C9" s="17">
        <f>IF(B9="","",TEXT(B9,"yyyy-mm"))</f>
        <v>0</v>
      </c>
      <c r="D9" s="15" t="s">
        <v>597</v>
      </c>
      <c r="E9" s="15" t="s">
        <v>2009</v>
      </c>
      <c r="F9" s="15" t="s">
        <v>205</v>
      </c>
      <c r="G9" s="36">
        <v>74</v>
      </c>
      <c r="H9" s="36">
        <v>74</v>
      </c>
      <c r="I9" s="25">
        <f>IF(AND(G9="",H9=""),"",N(G9)-N(H9))</f>
        <v>0</v>
      </c>
      <c r="J9" s="24">
        <f>IF(OR(G9="",G9=0),"",I9/G9)</f>
        <v>0</v>
      </c>
      <c r="K9" s="24">
        <f>IF(OR(H9="",C9=""),"",IFERROR(H9/SUMIFS(Budget!$H$5:$H$64,Budget!$C$5:$C$64,C9),""))</f>
        <v>0</v>
      </c>
      <c r="M9" s="31">
        <f>IF(OR(H9="",H9=0,L9=""),"",L9/H9)</f>
        <v>0</v>
      </c>
      <c r="N9" s="25">
        <f>IF(C9="","",SUMIFS(Budget!$H$5:$H$64,Budget!$C$5:$C$64,C9))</f>
        <v>0</v>
      </c>
      <c r="O9" s="24">
        <f>IF(OR(N9="",MonthlyBudget=0),"",N9/MonthlyBudget)</f>
        <v>0</v>
      </c>
      <c r="P9" s="29">
        <f>IF(D9="","",IF(O9&gt;1,"Over budget this month",IF(AND(H9&lt;&gt;"",G9&lt;&gt;"",H9&gt;G9*1.2),"Check - 20% over plan",IF(AND(M9&lt;&gt;"",M9&lt;1),"Review - costs more than it returns","OK"))))</f>
        <v>0</v>
      </c>
      <c r="Q9" s="39" t="s">
        <v>2079</v>
      </c>
    </row>
    <row r="10" spans="1:17">
      <c r="A10" s="41">
        <f>IF(D10="","","BU-"&amp;TEXT(ROW()-4,"000"))</f>
        <v>0</v>
      </c>
      <c r="B10" s="43">
        <v>46296</v>
      </c>
      <c r="C10" s="17">
        <f>IF(B10="","",TEXT(B10,"yyyy-mm"))</f>
        <v>0</v>
      </c>
      <c r="D10" s="15" t="s">
        <v>598</v>
      </c>
      <c r="E10" s="15" t="s">
        <v>2009</v>
      </c>
      <c r="F10" s="15" t="s">
        <v>205</v>
      </c>
      <c r="G10" s="36">
        <v>60</v>
      </c>
      <c r="H10" s="36">
        <v>0</v>
      </c>
      <c r="I10" s="25">
        <f>IF(AND(G10="",H10=""),"",N(G10)-N(H10))</f>
        <v>0</v>
      </c>
      <c r="J10" s="24">
        <f>IF(OR(G10="",G10=0),"",I10/G10)</f>
        <v>0</v>
      </c>
      <c r="K10" s="24">
        <f>IF(OR(H10="",C10=""),"",IFERROR(H10/SUMIFS(Budget!$H$5:$H$64,Budget!$C$5:$C$64,C10),""))</f>
        <v>0</v>
      </c>
      <c r="M10" s="31">
        <f>IF(OR(H10="",H10=0,L10=""),"",L10/H10)</f>
        <v>0</v>
      </c>
      <c r="N10" s="25">
        <f>IF(C10="","",SUMIFS(Budget!$H$5:$H$64,Budget!$C$5:$C$64,C10))</f>
        <v>0</v>
      </c>
      <c r="O10" s="24">
        <f>IF(OR(N10="",MonthlyBudget=0),"",N10/MonthlyBudget)</f>
        <v>0</v>
      </c>
      <c r="P10" s="29">
        <f>IF(D10="","",IF(O10&gt;1,"Over budget this month",IF(AND(H10&lt;&gt;"",G10&lt;&gt;"",H10&gt;G10*1.2),"Check - 20% over plan",IF(AND(M10&lt;&gt;"",M10&lt;1),"Review - costs more than it returns","OK"))))</f>
        <v>0</v>
      </c>
      <c r="Q10" s="39" t="s">
        <v>2080</v>
      </c>
    </row>
    <row r="11" spans="1:17">
      <c r="A11" s="41">
        <f>IF(D11="","","BU-"&amp;TEXT(ROW()-4,"000"))</f>
        <v>0</v>
      </c>
      <c r="B11" s="43">
        <v>46296</v>
      </c>
      <c r="C11" s="17">
        <f>IF(B11="","",TEXT(B11,"yyyy-mm"))</f>
        <v>0</v>
      </c>
      <c r="D11" s="15" t="s">
        <v>599</v>
      </c>
      <c r="E11" s="15" t="s">
        <v>2009</v>
      </c>
      <c r="F11" s="15" t="s">
        <v>205</v>
      </c>
      <c r="G11" s="36">
        <v>40</v>
      </c>
      <c r="H11" s="36">
        <v>61.2</v>
      </c>
      <c r="I11" s="25">
        <f>IF(AND(G11="",H11=""),"",N(G11)-N(H11))</f>
        <v>0</v>
      </c>
      <c r="J11" s="24">
        <f>IF(OR(G11="",G11=0),"",I11/G11)</f>
        <v>0</v>
      </c>
      <c r="K11" s="24">
        <f>IF(OR(H11="",C11=""),"",IFERROR(H11/SUMIFS(Budget!$H$5:$H$64,Budget!$C$5:$C$64,C11),""))</f>
        <v>0</v>
      </c>
      <c r="M11" s="31">
        <f>IF(OR(H11="",H11=0,L11=""),"",L11/H11)</f>
        <v>0</v>
      </c>
      <c r="N11" s="25">
        <f>IF(C11="","",SUMIFS(Budget!$H$5:$H$64,Budget!$C$5:$C$64,C11))</f>
        <v>0</v>
      </c>
      <c r="O11" s="24">
        <f>IF(OR(N11="",MonthlyBudget=0),"",N11/MonthlyBudget)</f>
        <v>0</v>
      </c>
      <c r="P11" s="29">
        <f>IF(D11="","",IF(O11&gt;1,"Over budget this month",IF(AND(H11&lt;&gt;"",G11&lt;&gt;"",H11&gt;G11*1.2),"Check - 20% over plan",IF(AND(M11&lt;&gt;"",M11&lt;1),"Review - costs more than it returns","OK"))))</f>
        <v>0</v>
      </c>
      <c r="Q11" s="39" t="s">
        <v>2081</v>
      </c>
    </row>
    <row r="12" spans="1:17">
      <c r="A12" s="41">
        <f>IF(D12="","","BU-"&amp;TEXT(ROW()-4,"000"))</f>
        <v>0</v>
      </c>
      <c r="B12" s="43">
        <v>46296</v>
      </c>
      <c r="C12" s="17">
        <f>IF(B12="","",TEXT(B12,"yyyy-mm"))</f>
        <v>0</v>
      </c>
      <c r="D12" s="15" t="s">
        <v>600</v>
      </c>
      <c r="E12" s="15" t="s">
        <v>2009</v>
      </c>
      <c r="F12" s="15" t="s">
        <v>205</v>
      </c>
      <c r="G12" s="36">
        <v>25</v>
      </c>
      <c r="H12" s="36">
        <v>0</v>
      </c>
      <c r="I12" s="25">
        <f>IF(AND(G12="",H12=""),"",N(G12)-N(H12))</f>
        <v>0</v>
      </c>
      <c r="J12" s="24">
        <f>IF(OR(G12="",G12=0),"",I12/G12)</f>
        <v>0</v>
      </c>
      <c r="K12" s="24">
        <f>IF(OR(H12="",C12=""),"",IFERROR(H12/SUMIFS(Budget!$H$5:$H$64,Budget!$C$5:$C$64,C12),""))</f>
        <v>0</v>
      </c>
      <c r="M12" s="31">
        <f>IF(OR(H12="",H12=0,L12=""),"",L12/H12)</f>
        <v>0</v>
      </c>
      <c r="N12" s="25">
        <f>IF(C12="","",SUMIFS(Budget!$H$5:$H$64,Budget!$C$5:$C$64,C12))</f>
        <v>0</v>
      </c>
      <c r="O12" s="24">
        <f>IF(OR(N12="",MonthlyBudget=0),"",N12/MonthlyBudget)</f>
        <v>0</v>
      </c>
      <c r="P12" s="29">
        <f>IF(D12="","",IF(O12&gt;1,"Over budget this month",IF(AND(H12&lt;&gt;"",G12&lt;&gt;"",H12&gt;G12*1.2),"Check - 20% over plan",IF(AND(M12&lt;&gt;"",M12&lt;1),"Review - costs more than it returns","OK"))))</f>
        <v>0</v>
      </c>
      <c r="Q12" s="39" t="s">
        <v>2082</v>
      </c>
    </row>
    <row r="13" spans="1:17">
      <c r="A13" s="41">
        <f>IF(D13="","","BU-"&amp;TEXT(ROW()-4,"000"))</f>
        <v>0</v>
      </c>
      <c r="B13" s="43">
        <v>46296</v>
      </c>
      <c r="C13" s="17">
        <f>IF(B13="","",TEXT(B13,"yyyy-mm"))</f>
        <v>0</v>
      </c>
      <c r="D13" s="15" t="s">
        <v>601</v>
      </c>
      <c r="E13" s="15" t="s">
        <v>2009</v>
      </c>
      <c r="F13" s="15" t="s">
        <v>205</v>
      </c>
      <c r="G13" s="36">
        <v>15</v>
      </c>
      <c r="H13" s="36">
        <v>12.99</v>
      </c>
      <c r="I13" s="25">
        <f>IF(AND(G13="",H13=""),"",N(G13)-N(H13))</f>
        <v>0</v>
      </c>
      <c r="J13" s="24">
        <f>IF(OR(G13="",G13=0),"",I13/G13)</f>
        <v>0</v>
      </c>
      <c r="K13" s="24">
        <f>IF(OR(H13="",C13=""),"",IFERROR(H13/SUMIFS(Budget!$H$5:$H$64,Budget!$C$5:$C$64,C13),""))</f>
        <v>0</v>
      </c>
      <c r="M13" s="31">
        <f>IF(OR(H13="",H13=0,L13=""),"",L13/H13)</f>
        <v>0</v>
      </c>
      <c r="N13" s="25">
        <f>IF(C13="","",SUMIFS(Budget!$H$5:$H$64,Budget!$C$5:$C$64,C13))</f>
        <v>0</v>
      </c>
      <c r="O13" s="24">
        <f>IF(OR(N13="",MonthlyBudget=0),"",N13/MonthlyBudget)</f>
        <v>0</v>
      </c>
      <c r="P13" s="29">
        <f>IF(D13="","",IF(O13&gt;1,"Over budget this month",IF(AND(H13&lt;&gt;"",G13&lt;&gt;"",H13&gt;G13*1.2),"Check - 20% over plan",IF(AND(M13&lt;&gt;"",M13&lt;1),"Review - costs more than it returns","OK"))))</f>
        <v>0</v>
      </c>
      <c r="Q13" s="39" t="s">
        <v>2083</v>
      </c>
    </row>
    <row r="14" spans="1:17">
      <c r="A14" s="41">
        <f>IF(D14="","","BU-"&amp;TEXT(ROW()-4,"000"))</f>
        <v>0</v>
      </c>
      <c r="B14" s="43">
        <v>46296</v>
      </c>
      <c r="C14" s="17">
        <f>IF(B14="","",TEXT(B14,"yyyy-mm"))</f>
        <v>0</v>
      </c>
      <c r="D14" s="15" t="s">
        <v>602</v>
      </c>
      <c r="E14" s="15" t="s">
        <v>2009</v>
      </c>
      <c r="F14" s="15" t="s">
        <v>205</v>
      </c>
      <c r="G14" s="36">
        <v>20</v>
      </c>
      <c r="H14" s="36">
        <v>18.4</v>
      </c>
      <c r="I14" s="25">
        <f>IF(AND(G14="",H14=""),"",N(G14)-N(H14))</f>
        <v>0</v>
      </c>
      <c r="J14" s="24">
        <f>IF(OR(G14="",G14=0),"",I14/G14)</f>
        <v>0</v>
      </c>
      <c r="K14" s="24">
        <f>IF(OR(H14="",C14=""),"",IFERROR(H14/SUMIFS(Budget!$H$5:$H$64,Budget!$C$5:$C$64,C14),""))</f>
        <v>0</v>
      </c>
      <c r="M14" s="31">
        <f>IF(OR(H14="",H14=0,L14=""),"",L14/H14)</f>
        <v>0</v>
      </c>
      <c r="N14" s="25">
        <f>IF(C14="","",SUMIFS(Budget!$H$5:$H$64,Budget!$C$5:$C$64,C14))</f>
        <v>0</v>
      </c>
      <c r="O14" s="24">
        <f>IF(OR(N14="",MonthlyBudget=0),"",N14/MonthlyBudget)</f>
        <v>0</v>
      </c>
      <c r="P14" s="29">
        <f>IF(D14="","",IF(O14&gt;1,"Over budget this month",IF(AND(H14&lt;&gt;"",G14&lt;&gt;"",H14&gt;G14*1.2),"Check - 20% over plan",IF(AND(M14&lt;&gt;"",M14&lt;1),"Review - costs more than it returns","OK"))))</f>
        <v>0</v>
      </c>
      <c r="Q14" s="39" t="s">
        <v>2084</v>
      </c>
    </row>
    <row r="15" spans="1:17">
      <c r="A15" s="41">
        <f>IF(D15="","","BU-"&amp;TEXT(ROW()-4,"000"))</f>
        <v>0</v>
      </c>
      <c r="C15" s="17">
        <f>IF(B15="","",TEXT(B15,"yyyy-mm"))</f>
        <v>0</v>
      </c>
      <c r="I15" s="25">
        <f>IF(AND(G15="",H15=""),"",N(G15)-N(H15))</f>
        <v>0</v>
      </c>
      <c r="J15" s="24">
        <f>IF(OR(G15="",G15=0),"",I15/G15)</f>
        <v>0</v>
      </c>
      <c r="K15" s="24">
        <f>IF(OR(H15="",C15=""),"",IFERROR(H15/SUMIFS(Budget!$H$5:$H$64,Budget!$C$5:$C$64,C15),""))</f>
        <v>0</v>
      </c>
      <c r="M15" s="31">
        <f>IF(OR(H15="",H15=0,L15=""),"",L15/H15)</f>
        <v>0</v>
      </c>
      <c r="N15" s="25">
        <f>IF(C15="","",SUMIFS(Budget!$H$5:$H$64,Budget!$C$5:$C$64,C15))</f>
        <v>0</v>
      </c>
      <c r="O15" s="24">
        <f>IF(OR(N15="",MonthlyBudget=0),"",N15/MonthlyBudget)</f>
        <v>0</v>
      </c>
      <c r="P15" s="29">
        <f>IF(D15="","",IF(O15&gt;1,"Over budget this month",IF(AND(H15&lt;&gt;"",G15&lt;&gt;"",H15&gt;G15*1.2),"Check - 20% over plan",IF(AND(M15&lt;&gt;"",M15&lt;1),"Review - costs more than it returns","OK"))))</f>
        <v>0</v>
      </c>
    </row>
    <row r="16" spans="1:17">
      <c r="A16" s="41">
        <f>IF(D16="","","BU-"&amp;TEXT(ROW()-4,"000"))</f>
        <v>0</v>
      </c>
      <c r="C16" s="17">
        <f>IF(B16="","",TEXT(B16,"yyyy-mm"))</f>
        <v>0</v>
      </c>
      <c r="I16" s="25">
        <f>IF(AND(G16="",H16=""),"",N(G16)-N(H16))</f>
        <v>0</v>
      </c>
      <c r="J16" s="24">
        <f>IF(OR(G16="",G16=0),"",I16/G16)</f>
        <v>0</v>
      </c>
      <c r="K16" s="24">
        <f>IF(OR(H16="",C16=""),"",IFERROR(H16/SUMIFS(Budget!$H$5:$H$64,Budget!$C$5:$C$64,C16),""))</f>
        <v>0</v>
      </c>
      <c r="M16" s="31">
        <f>IF(OR(H16="",H16=0,L16=""),"",L16/H16)</f>
        <v>0</v>
      </c>
      <c r="N16" s="25">
        <f>IF(C16="","",SUMIFS(Budget!$H$5:$H$64,Budget!$C$5:$C$64,C16))</f>
        <v>0</v>
      </c>
      <c r="O16" s="24">
        <f>IF(OR(N16="",MonthlyBudget=0),"",N16/MonthlyBudget)</f>
        <v>0</v>
      </c>
      <c r="P16" s="29">
        <f>IF(D16="","",IF(O16&gt;1,"Over budget this month",IF(AND(H16&lt;&gt;"",G16&lt;&gt;"",H16&gt;G16*1.2),"Check - 20% over plan",IF(AND(M16&lt;&gt;"",M16&lt;1),"Review - costs more than it returns","OK"))))</f>
        <v>0</v>
      </c>
    </row>
    <row r="17" spans="1:16">
      <c r="A17" s="41">
        <f>IF(D17="","","BU-"&amp;TEXT(ROW()-4,"000"))</f>
        <v>0</v>
      </c>
      <c r="C17" s="17">
        <f>IF(B17="","",TEXT(B17,"yyyy-mm"))</f>
        <v>0</v>
      </c>
      <c r="I17" s="25">
        <f>IF(AND(G17="",H17=""),"",N(G17)-N(H17))</f>
        <v>0</v>
      </c>
      <c r="J17" s="24">
        <f>IF(OR(G17="",G17=0),"",I17/G17)</f>
        <v>0</v>
      </c>
      <c r="K17" s="24">
        <f>IF(OR(H17="",C17=""),"",IFERROR(H17/SUMIFS(Budget!$H$5:$H$64,Budget!$C$5:$C$64,C17),""))</f>
        <v>0</v>
      </c>
      <c r="M17" s="31">
        <f>IF(OR(H17="",H17=0,L17=""),"",L17/H17)</f>
        <v>0</v>
      </c>
      <c r="N17" s="25">
        <f>IF(C17="","",SUMIFS(Budget!$H$5:$H$64,Budget!$C$5:$C$64,C17))</f>
        <v>0</v>
      </c>
      <c r="O17" s="24">
        <f>IF(OR(N17="",MonthlyBudget=0),"",N17/MonthlyBudget)</f>
        <v>0</v>
      </c>
      <c r="P17" s="29">
        <f>IF(D17="","",IF(O17&gt;1,"Over budget this month",IF(AND(H17&lt;&gt;"",G17&lt;&gt;"",H17&gt;G17*1.2),"Check - 20% over plan",IF(AND(M17&lt;&gt;"",M17&lt;1),"Review - costs more than it returns","OK"))))</f>
        <v>0</v>
      </c>
    </row>
    <row r="18" spans="1:16">
      <c r="A18" s="41">
        <f>IF(D18="","","BU-"&amp;TEXT(ROW()-4,"000"))</f>
        <v>0</v>
      </c>
      <c r="C18" s="17">
        <f>IF(B18="","",TEXT(B18,"yyyy-mm"))</f>
        <v>0</v>
      </c>
      <c r="I18" s="25">
        <f>IF(AND(G18="",H18=""),"",N(G18)-N(H18))</f>
        <v>0</v>
      </c>
      <c r="J18" s="24">
        <f>IF(OR(G18="",G18=0),"",I18/G18)</f>
        <v>0</v>
      </c>
      <c r="K18" s="24">
        <f>IF(OR(H18="",C18=""),"",IFERROR(H18/SUMIFS(Budget!$H$5:$H$64,Budget!$C$5:$C$64,C18),""))</f>
        <v>0</v>
      </c>
      <c r="M18" s="31">
        <f>IF(OR(H18="",H18=0,L18=""),"",L18/H18)</f>
        <v>0</v>
      </c>
      <c r="N18" s="25">
        <f>IF(C18="","",SUMIFS(Budget!$H$5:$H$64,Budget!$C$5:$C$64,C18))</f>
        <v>0</v>
      </c>
      <c r="O18" s="24">
        <f>IF(OR(N18="",MonthlyBudget=0),"",N18/MonthlyBudget)</f>
        <v>0</v>
      </c>
      <c r="P18" s="29">
        <f>IF(D18="","",IF(O18&gt;1,"Over budget this month",IF(AND(H18&lt;&gt;"",G18&lt;&gt;"",H18&gt;G18*1.2),"Check - 20% over plan",IF(AND(M18&lt;&gt;"",M18&lt;1),"Review - costs more than it returns","OK"))))</f>
        <v>0</v>
      </c>
    </row>
    <row r="19" spans="1:16">
      <c r="A19" s="41">
        <f>IF(D19="","","BU-"&amp;TEXT(ROW()-4,"000"))</f>
        <v>0</v>
      </c>
      <c r="C19" s="17">
        <f>IF(B19="","",TEXT(B19,"yyyy-mm"))</f>
        <v>0</v>
      </c>
      <c r="I19" s="25">
        <f>IF(AND(G19="",H19=""),"",N(G19)-N(H19))</f>
        <v>0</v>
      </c>
      <c r="J19" s="24">
        <f>IF(OR(G19="",G19=0),"",I19/G19)</f>
        <v>0</v>
      </c>
      <c r="K19" s="24">
        <f>IF(OR(H19="",C19=""),"",IFERROR(H19/SUMIFS(Budget!$H$5:$H$64,Budget!$C$5:$C$64,C19),""))</f>
        <v>0</v>
      </c>
      <c r="M19" s="31">
        <f>IF(OR(H19="",H19=0,L19=""),"",L19/H19)</f>
        <v>0</v>
      </c>
      <c r="N19" s="25">
        <f>IF(C19="","",SUMIFS(Budget!$H$5:$H$64,Budget!$C$5:$C$64,C19))</f>
        <v>0</v>
      </c>
      <c r="O19" s="24">
        <f>IF(OR(N19="",MonthlyBudget=0),"",N19/MonthlyBudget)</f>
        <v>0</v>
      </c>
      <c r="P19" s="29">
        <f>IF(D19="","",IF(O19&gt;1,"Over budget this month",IF(AND(H19&lt;&gt;"",G19&lt;&gt;"",H19&gt;G19*1.2),"Check - 20% over plan",IF(AND(M19&lt;&gt;"",M19&lt;1),"Review - costs more than it returns","OK"))))</f>
        <v>0</v>
      </c>
    </row>
    <row r="20" spans="1:16">
      <c r="A20" s="41">
        <f>IF(D20="","","BU-"&amp;TEXT(ROW()-4,"000"))</f>
        <v>0</v>
      </c>
      <c r="C20" s="17">
        <f>IF(B20="","",TEXT(B20,"yyyy-mm"))</f>
        <v>0</v>
      </c>
      <c r="I20" s="25">
        <f>IF(AND(G20="",H20=""),"",N(G20)-N(H20))</f>
        <v>0</v>
      </c>
      <c r="J20" s="24">
        <f>IF(OR(G20="",G20=0),"",I20/G20)</f>
        <v>0</v>
      </c>
      <c r="K20" s="24">
        <f>IF(OR(H20="",C20=""),"",IFERROR(H20/SUMIFS(Budget!$H$5:$H$64,Budget!$C$5:$C$64,C20),""))</f>
        <v>0</v>
      </c>
      <c r="M20" s="31">
        <f>IF(OR(H20="",H20=0,L20=""),"",L20/H20)</f>
        <v>0</v>
      </c>
      <c r="N20" s="25">
        <f>IF(C20="","",SUMIFS(Budget!$H$5:$H$64,Budget!$C$5:$C$64,C20))</f>
        <v>0</v>
      </c>
      <c r="O20" s="24">
        <f>IF(OR(N20="",MonthlyBudget=0),"",N20/MonthlyBudget)</f>
        <v>0</v>
      </c>
      <c r="P20" s="29">
        <f>IF(D20="","",IF(O20&gt;1,"Over budget this month",IF(AND(H20&lt;&gt;"",G20&lt;&gt;"",H20&gt;G20*1.2),"Check - 20% over plan",IF(AND(M20&lt;&gt;"",M20&lt;1),"Review - costs more than it returns","OK"))))</f>
        <v>0</v>
      </c>
    </row>
    <row r="21" spans="1:16">
      <c r="A21" s="41">
        <f>IF(D21="","","BU-"&amp;TEXT(ROW()-4,"000"))</f>
        <v>0</v>
      </c>
      <c r="C21" s="17">
        <f>IF(B21="","",TEXT(B21,"yyyy-mm"))</f>
        <v>0</v>
      </c>
      <c r="I21" s="25">
        <f>IF(AND(G21="",H21=""),"",N(G21)-N(H21))</f>
        <v>0</v>
      </c>
      <c r="J21" s="24">
        <f>IF(OR(G21="",G21=0),"",I21/G21)</f>
        <v>0</v>
      </c>
      <c r="K21" s="24">
        <f>IF(OR(H21="",C21=""),"",IFERROR(H21/SUMIFS(Budget!$H$5:$H$64,Budget!$C$5:$C$64,C21),""))</f>
        <v>0</v>
      </c>
      <c r="M21" s="31">
        <f>IF(OR(H21="",H21=0,L21=""),"",L21/H21)</f>
        <v>0</v>
      </c>
      <c r="N21" s="25">
        <f>IF(C21="","",SUMIFS(Budget!$H$5:$H$64,Budget!$C$5:$C$64,C21))</f>
        <v>0</v>
      </c>
      <c r="O21" s="24">
        <f>IF(OR(N21="",MonthlyBudget=0),"",N21/MonthlyBudget)</f>
        <v>0</v>
      </c>
      <c r="P21" s="29">
        <f>IF(D21="","",IF(O21&gt;1,"Over budget this month",IF(AND(H21&lt;&gt;"",G21&lt;&gt;"",H21&gt;G21*1.2),"Check - 20% over plan",IF(AND(M21&lt;&gt;"",M21&lt;1),"Review - costs more than it returns","OK"))))</f>
        <v>0</v>
      </c>
    </row>
    <row r="22" spans="1:16">
      <c r="A22" s="41">
        <f>IF(D22="","","BU-"&amp;TEXT(ROW()-4,"000"))</f>
        <v>0</v>
      </c>
      <c r="C22" s="17">
        <f>IF(B22="","",TEXT(B22,"yyyy-mm"))</f>
        <v>0</v>
      </c>
      <c r="I22" s="25">
        <f>IF(AND(G22="",H22=""),"",N(G22)-N(H22))</f>
        <v>0</v>
      </c>
      <c r="J22" s="24">
        <f>IF(OR(G22="",G22=0),"",I22/G22)</f>
        <v>0</v>
      </c>
      <c r="K22" s="24">
        <f>IF(OR(H22="",C22=""),"",IFERROR(H22/SUMIFS(Budget!$H$5:$H$64,Budget!$C$5:$C$64,C22),""))</f>
        <v>0</v>
      </c>
      <c r="M22" s="31">
        <f>IF(OR(H22="",H22=0,L22=""),"",L22/H22)</f>
        <v>0</v>
      </c>
      <c r="N22" s="25">
        <f>IF(C22="","",SUMIFS(Budget!$H$5:$H$64,Budget!$C$5:$C$64,C22))</f>
        <v>0</v>
      </c>
      <c r="O22" s="24">
        <f>IF(OR(N22="",MonthlyBudget=0),"",N22/MonthlyBudget)</f>
        <v>0</v>
      </c>
      <c r="P22" s="29">
        <f>IF(D22="","",IF(O22&gt;1,"Over budget this month",IF(AND(H22&lt;&gt;"",G22&lt;&gt;"",H22&gt;G22*1.2),"Check - 20% over plan",IF(AND(M22&lt;&gt;"",M22&lt;1),"Review - costs more than it returns","OK"))))</f>
        <v>0</v>
      </c>
    </row>
    <row r="23" spans="1:16">
      <c r="A23" s="41">
        <f>IF(D23="","","BU-"&amp;TEXT(ROW()-4,"000"))</f>
        <v>0</v>
      </c>
      <c r="C23" s="17">
        <f>IF(B23="","",TEXT(B23,"yyyy-mm"))</f>
        <v>0</v>
      </c>
      <c r="I23" s="25">
        <f>IF(AND(G23="",H23=""),"",N(G23)-N(H23))</f>
        <v>0</v>
      </c>
      <c r="J23" s="24">
        <f>IF(OR(G23="",G23=0),"",I23/G23)</f>
        <v>0</v>
      </c>
      <c r="K23" s="24">
        <f>IF(OR(H23="",C23=""),"",IFERROR(H23/SUMIFS(Budget!$H$5:$H$64,Budget!$C$5:$C$64,C23),""))</f>
        <v>0</v>
      </c>
      <c r="M23" s="31">
        <f>IF(OR(H23="",H23=0,L23=""),"",L23/H23)</f>
        <v>0</v>
      </c>
      <c r="N23" s="25">
        <f>IF(C23="","",SUMIFS(Budget!$H$5:$H$64,Budget!$C$5:$C$64,C23))</f>
        <v>0</v>
      </c>
      <c r="O23" s="24">
        <f>IF(OR(N23="",MonthlyBudget=0),"",N23/MonthlyBudget)</f>
        <v>0</v>
      </c>
      <c r="P23" s="29">
        <f>IF(D23="","",IF(O23&gt;1,"Over budget this month",IF(AND(H23&lt;&gt;"",G23&lt;&gt;"",H23&gt;G23*1.2),"Check - 20% over plan",IF(AND(M23&lt;&gt;"",M23&lt;1),"Review - costs more than it returns","OK"))))</f>
        <v>0</v>
      </c>
    </row>
    <row r="24" spans="1:16">
      <c r="A24" s="41">
        <f>IF(D24="","","BU-"&amp;TEXT(ROW()-4,"000"))</f>
        <v>0</v>
      </c>
      <c r="C24" s="17">
        <f>IF(B24="","",TEXT(B24,"yyyy-mm"))</f>
        <v>0</v>
      </c>
      <c r="I24" s="25">
        <f>IF(AND(G24="",H24=""),"",N(G24)-N(H24))</f>
        <v>0</v>
      </c>
      <c r="J24" s="24">
        <f>IF(OR(G24="",G24=0),"",I24/G24)</f>
        <v>0</v>
      </c>
      <c r="K24" s="24">
        <f>IF(OR(H24="",C24=""),"",IFERROR(H24/SUMIFS(Budget!$H$5:$H$64,Budget!$C$5:$C$64,C24),""))</f>
        <v>0</v>
      </c>
      <c r="M24" s="31">
        <f>IF(OR(H24="",H24=0,L24=""),"",L24/H24)</f>
        <v>0</v>
      </c>
      <c r="N24" s="25">
        <f>IF(C24="","",SUMIFS(Budget!$H$5:$H$64,Budget!$C$5:$C$64,C24))</f>
        <v>0</v>
      </c>
      <c r="O24" s="24">
        <f>IF(OR(N24="",MonthlyBudget=0),"",N24/MonthlyBudget)</f>
        <v>0</v>
      </c>
      <c r="P24" s="29">
        <f>IF(D24="","",IF(O24&gt;1,"Over budget this month",IF(AND(H24&lt;&gt;"",G24&lt;&gt;"",H24&gt;G24*1.2),"Check - 20% over plan",IF(AND(M24&lt;&gt;"",M24&lt;1),"Review - costs more than it returns","OK"))))</f>
        <v>0</v>
      </c>
    </row>
    <row r="25" spans="1:16">
      <c r="A25" s="41">
        <f>IF(D25="","","BU-"&amp;TEXT(ROW()-4,"000"))</f>
        <v>0</v>
      </c>
      <c r="C25" s="17">
        <f>IF(B25="","",TEXT(B25,"yyyy-mm"))</f>
        <v>0</v>
      </c>
      <c r="I25" s="25">
        <f>IF(AND(G25="",H25=""),"",N(G25)-N(H25))</f>
        <v>0</v>
      </c>
      <c r="J25" s="24">
        <f>IF(OR(G25="",G25=0),"",I25/G25)</f>
        <v>0</v>
      </c>
      <c r="K25" s="24">
        <f>IF(OR(H25="",C25=""),"",IFERROR(H25/SUMIFS(Budget!$H$5:$H$64,Budget!$C$5:$C$64,C25),""))</f>
        <v>0</v>
      </c>
      <c r="M25" s="31">
        <f>IF(OR(H25="",H25=0,L25=""),"",L25/H25)</f>
        <v>0</v>
      </c>
      <c r="N25" s="25">
        <f>IF(C25="","",SUMIFS(Budget!$H$5:$H$64,Budget!$C$5:$C$64,C25))</f>
        <v>0</v>
      </c>
      <c r="O25" s="24">
        <f>IF(OR(N25="",MonthlyBudget=0),"",N25/MonthlyBudget)</f>
        <v>0</v>
      </c>
      <c r="P25" s="29">
        <f>IF(D25="","",IF(O25&gt;1,"Over budget this month",IF(AND(H25&lt;&gt;"",G25&lt;&gt;"",H25&gt;G25*1.2),"Check - 20% over plan",IF(AND(M25&lt;&gt;"",M25&lt;1),"Review - costs more than it returns","OK"))))</f>
        <v>0</v>
      </c>
    </row>
    <row r="26" spans="1:16">
      <c r="A26" s="41">
        <f>IF(D26="","","BU-"&amp;TEXT(ROW()-4,"000"))</f>
        <v>0</v>
      </c>
      <c r="C26" s="17">
        <f>IF(B26="","",TEXT(B26,"yyyy-mm"))</f>
        <v>0</v>
      </c>
      <c r="I26" s="25">
        <f>IF(AND(G26="",H26=""),"",N(G26)-N(H26))</f>
        <v>0</v>
      </c>
      <c r="J26" s="24">
        <f>IF(OR(G26="",G26=0),"",I26/G26)</f>
        <v>0</v>
      </c>
      <c r="K26" s="24">
        <f>IF(OR(H26="",C26=""),"",IFERROR(H26/SUMIFS(Budget!$H$5:$H$64,Budget!$C$5:$C$64,C26),""))</f>
        <v>0</v>
      </c>
      <c r="M26" s="31">
        <f>IF(OR(H26="",H26=0,L26=""),"",L26/H26)</f>
        <v>0</v>
      </c>
      <c r="N26" s="25">
        <f>IF(C26="","",SUMIFS(Budget!$H$5:$H$64,Budget!$C$5:$C$64,C26))</f>
        <v>0</v>
      </c>
      <c r="O26" s="24">
        <f>IF(OR(N26="",MonthlyBudget=0),"",N26/MonthlyBudget)</f>
        <v>0</v>
      </c>
      <c r="P26" s="29">
        <f>IF(D26="","",IF(O26&gt;1,"Over budget this month",IF(AND(H26&lt;&gt;"",G26&lt;&gt;"",H26&gt;G26*1.2),"Check - 20% over plan",IF(AND(M26&lt;&gt;"",M26&lt;1),"Review - costs more than it returns","OK"))))</f>
        <v>0</v>
      </c>
    </row>
    <row r="27" spans="1:16">
      <c r="A27" s="41">
        <f>IF(D27="","","BU-"&amp;TEXT(ROW()-4,"000"))</f>
        <v>0</v>
      </c>
      <c r="C27" s="17">
        <f>IF(B27="","",TEXT(B27,"yyyy-mm"))</f>
        <v>0</v>
      </c>
      <c r="I27" s="25">
        <f>IF(AND(G27="",H27=""),"",N(G27)-N(H27))</f>
        <v>0</v>
      </c>
      <c r="J27" s="24">
        <f>IF(OR(G27="",G27=0),"",I27/G27)</f>
        <v>0</v>
      </c>
      <c r="K27" s="24">
        <f>IF(OR(H27="",C27=""),"",IFERROR(H27/SUMIFS(Budget!$H$5:$H$64,Budget!$C$5:$C$64,C27),""))</f>
        <v>0</v>
      </c>
      <c r="M27" s="31">
        <f>IF(OR(H27="",H27=0,L27=""),"",L27/H27)</f>
        <v>0</v>
      </c>
      <c r="N27" s="25">
        <f>IF(C27="","",SUMIFS(Budget!$H$5:$H$64,Budget!$C$5:$C$64,C27))</f>
        <v>0</v>
      </c>
      <c r="O27" s="24">
        <f>IF(OR(N27="",MonthlyBudget=0),"",N27/MonthlyBudget)</f>
        <v>0</v>
      </c>
      <c r="P27" s="29">
        <f>IF(D27="","",IF(O27&gt;1,"Over budget this month",IF(AND(H27&lt;&gt;"",G27&lt;&gt;"",H27&gt;G27*1.2),"Check - 20% over plan",IF(AND(M27&lt;&gt;"",M27&lt;1),"Review - costs more than it returns","OK"))))</f>
        <v>0</v>
      </c>
    </row>
    <row r="28" spans="1:16">
      <c r="A28" s="41">
        <f>IF(D28="","","BU-"&amp;TEXT(ROW()-4,"000"))</f>
        <v>0</v>
      </c>
      <c r="C28" s="17">
        <f>IF(B28="","",TEXT(B28,"yyyy-mm"))</f>
        <v>0</v>
      </c>
      <c r="I28" s="25">
        <f>IF(AND(G28="",H28=""),"",N(G28)-N(H28))</f>
        <v>0</v>
      </c>
      <c r="J28" s="24">
        <f>IF(OR(G28="",G28=0),"",I28/G28)</f>
        <v>0</v>
      </c>
      <c r="K28" s="24">
        <f>IF(OR(H28="",C28=""),"",IFERROR(H28/SUMIFS(Budget!$H$5:$H$64,Budget!$C$5:$C$64,C28),""))</f>
        <v>0</v>
      </c>
      <c r="M28" s="31">
        <f>IF(OR(H28="",H28=0,L28=""),"",L28/H28)</f>
        <v>0</v>
      </c>
      <c r="N28" s="25">
        <f>IF(C28="","",SUMIFS(Budget!$H$5:$H$64,Budget!$C$5:$C$64,C28))</f>
        <v>0</v>
      </c>
      <c r="O28" s="24">
        <f>IF(OR(N28="",MonthlyBudget=0),"",N28/MonthlyBudget)</f>
        <v>0</v>
      </c>
      <c r="P28" s="29">
        <f>IF(D28="","",IF(O28&gt;1,"Over budget this month",IF(AND(H28&lt;&gt;"",G28&lt;&gt;"",H28&gt;G28*1.2),"Check - 20% over plan",IF(AND(M28&lt;&gt;"",M28&lt;1),"Review - costs more than it returns","OK"))))</f>
        <v>0</v>
      </c>
    </row>
    <row r="29" spans="1:16">
      <c r="A29" s="41">
        <f>IF(D29="","","BU-"&amp;TEXT(ROW()-4,"000"))</f>
        <v>0</v>
      </c>
      <c r="C29" s="17">
        <f>IF(B29="","",TEXT(B29,"yyyy-mm"))</f>
        <v>0</v>
      </c>
      <c r="I29" s="25">
        <f>IF(AND(G29="",H29=""),"",N(G29)-N(H29))</f>
        <v>0</v>
      </c>
      <c r="J29" s="24">
        <f>IF(OR(G29="",G29=0),"",I29/G29)</f>
        <v>0</v>
      </c>
      <c r="K29" s="24">
        <f>IF(OR(H29="",C29=""),"",IFERROR(H29/SUMIFS(Budget!$H$5:$H$64,Budget!$C$5:$C$64,C29),""))</f>
        <v>0</v>
      </c>
      <c r="M29" s="31">
        <f>IF(OR(H29="",H29=0,L29=""),"",L29/H29)</f>
        <v>0</v>
      </c>
      <c r="N29" s="25">
        <f>IF(C29="","",SUMIFS(Budget!$H$5:$H$64,Budget!$C$5:$C$64,C29))</f>
        <v>0</v>
      </c>
      <c r="O29" s="24">
        <f>IF(OR(N29="",MonthlyBudget=0),"",N29/MonthlyBudget)</f>
        <v>0</v>
      </c>
      <c r="P29" s="29">
        <f>IF(D29="","",IF(O29&gt;1,"Over budget this month",IF(AND(H29&lt;&gt;"",G29&lt;&gt;"",H29&gt;G29*1.2),"Check - 20% over plan",IF(AND(M29&lt;&gt;"",M29&lt;1),"Review - costs more than it returns","OK"))))</f>
        <v>0</v>
      </c>
    </row>
    <row r="30" spans="1:16">
      <c r="A30" s="41">
        <f>IF(D30="","","BU-"&amp;TEXT(ROW()-4,"000"))</f>
        <v>0</v>
      </c>
      <c r="C30" s="17">
        <f>IF(B30="","",TEXT(B30,"yyyy-mm"))</f>
        <v>0</v>
      </c>
      <c r="I30" s="25">
        <f>IF(AND(G30="",H30=""),"",N(G30)-N(H30))</f>
        <v>0</v>
      </c>
      <c r="J30" s="24">
        <f>IF(OR(G30="",G30=0),"",I30/G30)</f>
        <v>0</v>
      </c>
      <c r="K30" s="24">
        <f>IF(OR(H30="",C30=""),"",IFERROR(H30/SUMIFS(Budget!$H$5:$H$64,Budget!$C$5:$C$64,C30),""))</f>
        <v>0</v>
      </c>
      <c r="M30" s="31">
        <f>IF(OR(H30="",H30=0,L30=""),"",L30/H30)</f>
        <v>0</v>
      </c>
      <c r="N30" s="25">
        <f>IF(C30="","",SUMIFS(Budget!$H$5:$H$64,Budget!$C$5:$C$64,C30))</f>
        <v>0</v>
      </c>
      <c r="O30" s="24">
        <f>IF(OR(N30="",MonthlyBudget=0),"",N30/MonthlyBudget)</f>
        <v>0</v>
      </c>
      <c r="P30" s="29">
        <f>IF(D30="","",IF(O30&gt;1,"Over budget this month",IF(AND(H30&lt;&gt;"",G30&lt;&gt;"",H30&gt;G30*1.2),"Check - 20% over plan",IF(AND(M30&lt;&gt;"",M30&lt;1),"Review - costs more than it returns","OK"))))</f>
        <v>0</v>
      </c>
    </row>
    <row r="31" spans="1:16">
      <c r="A31" s="41">
        <f>IF(D31="","","BU-"&amp;TEXT(ROW()-4,"000"))</f>
        <v>0</v>
      </c>
      <c r="C31" s="17">
        <f>IF(B31="","",TEXT(B31,"yyyy-mm"))</f>
        <v>0</v>
      </c>
      <c r="I31" s="25">
        <f>IF(AND(G31="",H31=""),"",N(G31)-N(H31))</f>
        <v>0</v>
      </c>
      <c r="J31" s="24">
        <f>IF(OR(G31="",G31=0),"",I31/G31)</f>
        <v>0</v>
      </c>
      <c r="K31" s="24">
        <f>IF(OR(H31="",C31=""),"",IFERROR(H31/SUMIFS(Budget!$H$5:$H$64,Budget!$C$5:$C$64,C31),""))</f>
        <v>0</v>
      </c>
      <c r="M31" s="31">
        <f>IF(OR(H31="",H31=0,L31=""),"",L31/H31)</f>
        <v>0</v>
      </c>
      <c r="N31" s="25">
        <f>IF(C31="","",SUMIFS(Budget!$H$5:$H$64,Budget!$C$5:$C$64,C31))</f>
        <v>0</v>
      </c>
      <c r="O31" s="24">
        <f>IF(OR(N31="",MonthlyBudget=0),"",N31/MonthlyBudget)</f>
        <v>0</v>
      </c>
      <c r="P31" s="29">
        <f>IF(D31="","",IF(O31&gt;1,"Over budget this month",IF(AND(H31&lt;&gt;"",G31&lt;&gt;"",H31&gt;G31*1.2),"Check - 20% over plan",IF(AND(M31&lt;&gt;"",M31&lt;1),"Review - costs more than it returns","OK"))))</f>
        <v>0</v>
      </c>
    </row>
    <row r="32" spans="1:16">
      <c r="A32" s="41">
        <f>IF(D32="","","BU-"&amp;TEXT(ROW()-4,"000"))</f>
        <v>0</v>
      </c>
      <c r="C32" s="17">
        <f>IF(B32="","",TEXT(B32,"yyyy-mm"))</f>
        <v>0</v>
      </c>
      <c r="I32" s="25">
        <f>IF(AND(G32="",H32=""),"",N(G32)-N(H32))</f>
        <v>0</v>
      </c>
      <c r="J32" s="24">
        <f>IF(OR(G32="",G32=0),"",I32/G32)</f>
        <v>0</v>
      </c>
      <c r="K32" s="24">
        <f>IF(OR(H32="",C32=""),"",IFERROR(H32/SUMIFS(Budget!$H$5:$H$64,Budget!$C$5:$C$64,C32),""))</f>
        <v>0</v>
      </c>
      <c r="M32" s="31">
        <f>IF(OR(H32="",H32=0,L32=""),"",L32/H32)</f>
        <v>0</v>
      </c>
      <c r="N32" s="25">
        <f>IF(C32="","",SUMIFS(Budget!$H$5:$H$64,Budget!$C$5:$C$64,C32))</f>
        <v>0</v>
      </c>
      <c r="O32" s="24">
        <f>IF(OR(N32="",MonthlyBudget=0),"",N32/MonthlyBudget)</f>
        <v>0</v>
      </c>
      <c r="P32" s="29">
        <f>IF(D32="","",IF(O32&gt;1,"Over budget this month",IF(AND(H32&lt;&gt;"",G32&lt;&gt;"",H32&gt;G32*1.2),"Check - 20% over plan",IF(AND(M32&lt;&gt;"",M32&lt;1),"Review - costs more than it returns","OK"))))</f>
        <v>0</v>
      </c>
    </row>
    <row r="33" spans="1:16">
      <c r="A33" s="41">
        <f>IF(D33="","","BU-"&amp;TEXT(ROW()-4,"000"))</f>
        <v>0</v>
      </c>
      <c r="C33" s="17">
        <f>IF(B33="","",TEXT(B33,"yyyy-mm"))</f>
        <v>0</v>
      </c>
      <c r="I33" s="25">
        <f>IF(AND(G33="",H33=""),"",N(G33)-N(H33))</f>
        <v>0</v>
      </c>
      <c r="J33" s="24">
        <f>IF(OR(G33="",G33=0),"",I33/G33)</f>
        <v>0</v>
      </c>
      <c r="K33" s="24">
        <f>IF(OR(H33="",C33=""),"",IFERROR(H33/SUMIFS(Budget!$H$5:$H$64,Budget!$C$5:$C$64,C33),""))</f>
        <v>0</v>
      </c>
      <c r="M33" s="31">
        <f>IF(OR(H33="",H33=0,L33=""),"",L33/H33)</f>
        <v>0</v>
      </c>
      <c r="N33" s="25">
        <f>IF(C33="","",SUMIFS(Budget!$H$5:$H$64,Budget!$C$5:$C$64,C33))</f>
        <v>0</v>
      </c>
      <c r="O33" s="24">
        <f>IF(OR(N33="",MonthlyBudget=0),"",N33/MonthlyBudget)</f>
        <v>0</v>
      </c>
      <c r="P33" s="29">
        <f>IF(D33="","",IF(O33&gt;1,"Over budget this month",IF(AND(H33&lt;&gt;"",G33&lt;&gt;"",H33&gt;G33*1.2),"Check - 20% over plan",IF(AND(M33&lt;&gt;"",M33&lt;1),"Review - costs more than it returns","OK"))))</f>
        <v>0</v>
      </c>
    </row>
    <row r="34" spans="1:16">
      <c r="A34" s="41">
        <f>IF(D34="","","BU-"&amp;TEXT(ROW()-4,"000"))</f>
        <v>0</v>
      </c>
      <c r="C34" s="17">
        <f>IF(B34="","",TEXT(B34,"yyyy-mm"))</f>
        <v>0</v>
      </c>
      <c r="I34" s="25">
        <f>IF(AND(G34="",H34=""),"",N(G34)-N(H34))</f>
        <v>0</v>
      </c>
      <c r="J34" s="24">
        <f>IF(OR(G34="",G34=0),"",I34/G34)</f>
        <v>0</v>
      </c>
      <c r="K34" s="24">
        <f>IF(OR(H34="",C34=""),"",IFERROR(H34/SUMIFS(Budget!$H$5:$H$64,Budget!$C$5:$C$64,C34),""))</f>
        <v>0</v>
      </c>
      <c r="M34" s="31">
        <f>IF(OR(H34="",H34=0,L34=""),"",L34/H34)</f>
        <v>0</v>
      </c>
      <c r="N34" s="25">
        <f>IF(C34="","",SUMIFS(Budget!$H$5:$H$64,Budget!$C$5:$C$64,C34))</f>
        <v>0</v>
      </c>
      <c r="O34" s="24">
        <f>IF(OR(N34="",MonthlyBudget=0),"",N34/MonthlyBudget)</f>
        <v>0</v>
      </c>
      <c r="P34" s="29">
        <f>IF(D34="","",IF(O34&gt;1,"Over budget this month",IF(AND(H34&lt;&gt;"",G34&lt;&gt;"",H34&gt;G34*1.2),"Check - 20% over plan",IF(AND(M34&lt;&gt;"",M34&lt;1),"Review - costs more than it returns","OK"))))</f>
        <v>0</v>
      </c>
    </row>
    <row r="35" spans="1:16">
      <c r="A35" s="41">
        <f>IF(D35="","","BU-"&amp;TEXT(ROW()-4,"000"))</f>
        <v>0</v>
      </c>
      <c r="C35" s="17">
        <f>IF(B35="","",TEXT(B35,"yyyy-mm"))</f>
        <v>0</v>
      </c>
      <c r="I35" s="25">
        <f>IF(AND(G35="",H35=""),"",N(G35)-N(H35))</f>
        <v>0</v>
      </c>
      <c r="J35" s="24">
        <f>IF(OR(G35="",G35=0),"",I35/G35)</f>
        <v>0</v>
      </c>
      <c r="K35" s="24">
        <f>IF(OR(H35="",C35=""),"",IFERROR(H35/SUMIFS(Budget!$H$5:$H$64,Budget!$C$5:$C$64,C35),""))</f>
        <v>0</v>
      </c>
      <c r="M35" s="31">
        <f>IF(OR(H35="",H35=0,L35=""),"",L35/H35)</f>
        <v>0</v>
      </c>
      <c r="N35" s="25">
        <f>IF(C35="","",SUMIFS(Budget!$H$5:$H$64,Budget!$C$5:$C$64,C35))</f>
        <v>0</v>
      </c>
      <c r="O35" s="24">
        <f>IF(OR(N35="",MonthlyBudget=0),"",N35/MonthlyBudget)</f>
        <v>0</v>
      </c>
      <c r="P35" s="29">
        <f>IF(D35="","",IF(O35&gt;1,"Over budget this month",IF(AND(H35&lt;&gt;"",G35&lt;&gt;"",H35&gt;G35*1.2),"Check - 20% over plan",IF(AND(M35&lt;&gt;"",M35&lt;1),"Review - costs more than it returns","OK"))))</f>
        <v>0</v>
      </c>
    </row>
    <row r="36" spans="1:16">
      <c r="A36" s="41">
        <f>IF(D36="","","BU-"&amp;TEXT(ROW()-4,"000"))</f>
        <v>0</v>
      </c>
      <c r="C36" s="17">
        <f>IF(B36="","",TEXT(B36,"yyyy-mm"))</f>
        <v>0</v>
      </c>
      <c r="I36" s="25">
        <f>IF(AND(G36="",H36=""),"",N(G36)-N(H36))</f>
        <v>0</v>
      </c>
      <c r="J36" s="24">
        <f>IF(OR(G36="",G36=0),"",I36/G36)</f>
        <v>0</v>
      </c>
      <c r="K36" s="24">
        <f>IF(OR(H36="",C36=""),"",IFERROR(H36/SUMIFS(Budget!$H$5:$H$64,Budget!$C$5:$C$64,C36),""))</f>
        <v>0</v>
      </c>
      <c r="M36" s="31">
        <f>IF(OR(H36="",H36=0,L36=""),"",L36/H36)</f>
        <v>0</v>
      </c>
      <c r="N36" s="25">
        <f>IF(C36="","",SUMIFS(Budget!$H$5:$H$64,Budget!$C$5:$C$64,C36))</f>
        <v>0</v>
      </c>
      <c r="O36" s="24">
        <f>IF(OR(N36="",MonthlyBudget=0),"",N36/MonthlyBudget)</f>
        <v>0</v>
      </c>
      <c r="P36" s="29">
        <f>IF(D36="","",IF(O36&gt;1,"Over budget this month",IF(AND(H36&lt;&gt;"",G36&lt;&gt;"",H36&gt;G36*1.2),"Check - 20% over plan",IF(AND(M36&lt;&gt;"",M36&lt;1),"Review - costs more than it returns","OK"))))</f>
        <v>0</v>
      </c>
    </row>
    <row r="37" spans="1:16">
      <c r="A37" s="41">
        <f>IF(D37="","","BU-"&amp;TEXT(ROW()-4,"000"))</f>
        <v>0</v>
      </c>
      <c r="C37" s="17">
        <f>IF(B37="","",TEXT(B37,"yyyy-mm"))</f>
        <v>0</v>
      </c>
      <c r="I37" s="25">
        <f>IF(AND(G37="",H37=""),"",N(G37)-N(H37))</f>
        <v>0</v>
      </c>
      <c r="J37" s="24">
        <f>IF(OR(G37="",G37=0),"",I37/G37)</f>
        <v>0</v>
      </c>
      <c r="K37" s="24">
        <f>IF(OR(H37="",C37=""),"",IFERROR(H37/SUMIFS(Budget!$H$5:$H$64,Budget!$C$5:$C$64,C37),""))</f>
        <v>0</v>
      </c>
      <c r="M37" s="31">
        <f>IF(OR(H37="",H37=0,L37=""),"",L37/H37)</f>
        <v>0</v>
      </c>
      <c r="N37" s="25">
        <f>IF(C37="","",SUMIFS(Budget!$H$5:$H$64,Budget!$C$5:$C$64,C37))</f>
        <v>0</v>
      </c>
      <c r="O37" s="24">
        <f>IF(OR(N37="",MonthlyBudget=0),"",N37/MonthlyBudget)</f>
        <v>0</v>
      </c>
      <c r="P37" s="29">
        <f>IF(D37="","",IF(O37&gt;1,"Over budget this month",IF(AND(H37&lt;&gt;"",G37&lt;&gt;"",H37&gt;G37*1.2),"Check - 20% over plan",IF(AND(M37&lt;&gt;"",M37&lt;1),"Review - costs more than it returns","OK"))))</f>
        <v>0</v>
      </c>
    </row>
    <row r="38" spans="1:16">
      <c r="A38" s="41">
        <f>IF(D38="","","BU-"&amp;TEXT(ROW()-4,"000"))</f>
        <v>0</v>
      </c>
      <c r="C38" s="17">
        <f>IF(B38="","",TEXT(B38,"yyyy-mm"))</f>
        <v>0</v>
      </c>
      <c r="I38" s="25">
        <f>IF(AND(G38="",H38=""),"",N(G38)-N(H38))</f>
        <v>0</v>
      </c>
      <c r="J38" s="24">
        <f>IF(OR(G38="",G38=0),"",I38/G38)</f>
        <v>0</v>
      </c>
      <c r="K38" s="24">
        <f>IF(OR(H38="",C38=""),"",IFERROR(H38/SUMIFS(Budget!$H$5:$H$64,Budget!$C$5:$C$64,C38),""))</f>
        <v>0</v>
      </c>
      <c r="M38" s="31">
        <f>IF(OR(H38="",H38=0,L38=""),"",L38/H38)</f>
        <v>0</v>
      </c>
      <c r="N38" s="25">
        <f>IF(C38="","",SUMIFS(Budget!$H$5:$H$64,Budget!$C$5:$C$64,C38))</f>
        <v>0</v>
      </c>
      <c r="O38" s="24">
        <f>IF(OR(N38="",MonthlyBudget=0),"",N38/MonthlyBudget)</f>
        <v>0</v>
      </c>
      <c r="P38" s="29">
        <f>IF(D38="","",IF(O38&gt;1,"Over budget this month",IF(AND(H38&lt;&gt;"",G38&lt;&gt;"",H38&gt;G38*1.2),"Check - 20% over plan",IF(AND(M38&lt;&gt;"",M38&lt;1),"Review - costs more than it returns","OK"))))</f>
        <v>0</v>
      </c>
    </row>
    <row r="39" spans="1:16">
      <c r="A39" s="41">
        <f>IF(D39="","","BU-"&amp;TEXT(ROW()-4,"000"))</f>
        <v>0</v>
      </c>
      <c r="C39" s="17">
        <f>IF(B39="","",TEXT(B39,"yyyy-mm"))</f>
        <v>0</v>
      </c>
      <c r="I39" s="25">
        <f>IF(AND(G39="",H39=""),"",N(G39)-N(H39))</f>
        <v>0</v>
      </c>
      <c r="J39" s="24">
        <f>IF(OR(G39="",G39=0),"",I39/G39)</f>
        <v>0</v>
      </c>
      <c r="K39" s="24">
        <f>IF(OR(H39="",C39=""),"",IFERROR(H39/SUMIFS(Budget!$H$5:$H$64,Budget!$C$5:$C$64,C39),""))</f>
        <v>0</v>
      </c>
      <c r="M39" s="31">
        <f>IF(OR(H39="",H39=0,L39=""),"",L39/H39)</f>
        <v>0</v>
      </c>
      <c r="N39" s="25">
        <f>IF(C39="","",SUMIFS(Budget!$H$5:$H$64,Budget!$C$5:$C$64,C39))</f>
        <v>0</v>
      </c>
      <c r="O39" s="24">
        <f>IF(OR(N39="",MonthlyBudget=0),"",N39/MonthlyBudget)</f>
        <v>0</v>
      </c>
      <c r="P39" s="29">
        <f>IF(D39="","",IF(O39&gt;1,"Over budget this month",IF(AND(H39&lt;&gt;"",G39&lt;&gt;"",H39&gt;G39*1.2),"Check - 20% over plan",IF(AND(M39&lt;&gt;"",M39&lt;1),"Review - costs more than it returns","OK"))))</f>
        <v>0</v>
      </c>
    </row>
    <row r="40" spans="1:16">
      <c r="A40" s="41">
        <f>IF(D40="","","BU-"&amp;TEXT(ROW()-4,"000"))</f>
        <v>0</v>
      </c>
      <c r="C40" s="17">
        <f>IF(B40="","",TEXT(B40,"yyyy-mm"))</f>
        <v>0</v>
      </c>
      <c r="I40" s="25">
        <f>IF(AND(G40="",H40=""),"",N(G40)-N(H40))</f>
        <v>0</v>
      </c>
      <c r="J40" s="24">
        <f>IF(OR(G40="",G40=0),"",I40/G40)</f>
        <v>0</v>
      </c>
      <c r="K40" s="24">
        <f>IF(OR(H40="",C40=""),"",IFERROR(H40/SUMIFS(Budget!$H$5:$H$64,Budget!$C$5:$C$64,C40),""))</f>
        <v>0</v>
      </c>
      <c r="M40" s="31">
        <f>IF(OR(H40="",H40=0,L40=""),"",L40/H40)</f>
        <v>0</v>
      </c>
      <c r="N40" s="25">
        <f>IF(C40="","",SUMIFS(Budget!$H$5:$H$64,Budget!$C$5:$C$64,C40))</f>
        <v>0</v>
      </c>
      <c r="O40" s="24">
        <f>IF(OR(N40="",MonthlyBudget=0),"",N40/MonthlyBudget)</f>
        <v>0</v>
      </c>
      <c r="P40" s="29">
        <f>IF(D40="","",IF(O40&gt;1,"Over budget this month",IF(AND(H40&lt;&gt;"",G40&lt;&gt;"",H40&gt;G40*1.2),"Check - 20% over plan",IF(AND(M40&lt;&gt;"",M40&lt;1),"Review - costs more than it returns","OK"))))</f>
        <v>0</v>
      </c>
    </row>
    <row r="41" spans="1:16">
      <c r="A41" s="41">
        <f>IF(D41="","","BU-"&amp;TEXT(ROW()-4,"000"))</f>
        <v>0</v>
      </c>
      <c r="C41" s="17">
        <f>IF(B41="","",TEXT(B41,"yyyy-mm"))</f>
        <v>0</v>
      </c>
      <c r="I41" s="25">
        <f>IF(AND(G41="",H41=""),"",N(G41)-N(H41))</f>
        <v>0</v>
      </c>
      <c r="J41" s="24">
        <f>IF(OR(G41="",G41=0),"",I41/G41)</f>
        <v>0</v>
      </c>
      <c r="K41" s="24">
        <f>IF(OR(H41="",C41=""),"",IFERROR(H41/SUMIFS(Budget!$H$5:$H$64,Budget!$C$5:$C$64,C41),""))</f>
        <v>0</v>
      </c>
      <c r="M41" s="31">
        <f>IF(OR(H41="",H41=0,L41=""),"",L41/H41)</f>
        <v>0</v>
      </c>
      <c r="N41" s="25">
        <f>IF(C41="","",SUMIFS(Budget!$H$5:$H$64,Budget!$C$5:$C$64,C41))</f>
        <v>0</v>
      </c>
      <c r="O41" s="24">
        <f>IF(OR(N41="",MonthlyBudget=0),"",N41/MonthlyBudget)</f>
        <v>0</v>
      </c>
      <c r="P41" s="29">
        <f>IF(D41="","",IF(O41&gt;1,"Over budget this month",IF(AND(H41&lt;&gt;"",G41&lt;&gt;"",H41&gt;G41*1.2),"Check - 20% over plan",IF(AND(M41&lt;&gt;"",M41&lt;1),"Review - costs more than it returns","OK"))))</f>
        <v>0</v>
      </c>
    </row>
    <row r="42" spans="1:16">
      <c r="A42" s="41">
        <f>IF(D42="","","BU-"&amp;TEXT(ROW()-4,"000"))</f>
        <v>0</v>
      </c>
      <c r="C42" s="17">
        <f>IF(B42="","",TEXT(B42,"yyyy-mm"))</f>
        <v>0</v>
      </c>
      <c r="I42" s="25">
        <f>IF(AND(G42="",H42=""),"",N(G42)-N(H42))</f>
        <v>0</v>
      </c>
      <c r="J42" s="24">
        <f>IF(OR(G42="",G42=0),"",I42/G42)</f>
        <v>0</v>
      </c>
      <c r="K42" s="24">
        <f>IF(OR(H42="",C42=""),"",IFERROR(H42/SUMIFS(Budget!$H$5:$H$64,Budget!$C$5:$C$64,C42),""))</f>
        <v>0</v>
      </c>
      <c r="M42" s="31">
        <f>IF(OR(H42="",H42=0,L42=""),"",L42/H42)</f>
        <v>0</v>
      </c>
      <c r="N42" s="25">
        <f>IF(C42="","",SUMIFS(Budget!$H$5:$H$64,Budget!$C$5:$C$64,C42))</f>
        <v>0</v>
      </c>
      <c r="O42" s="24">
        <f>IF(OR(N42="",MonthlyBudget=0),"",N42/MonthlyBudget)</f>
        <v>0</v>
      </c>
      <c r="P42" s="29">
        <f>IF(D42="","",IF(O42&gt;1,"Over budget this month",IF(AND(H42&lt;&gt;"",G42&lt;&gt;"",H42&gt;G42*1.2),"Check - 20% over plan",IF(AND(M42&lt;&gt;"",M42&lt;1),"Review - costs more than it returns","OK"))))</f>
        <v>0</v>
      </c>
    </row>
    <row r="43" spans="1:16">
      <c r="A43" s="41">
        <f>IF(D43="","","BU-"&amp;TEXT(ROW()-4,"000"))</f>
        <v>0</v>
      </c>
      <c r="C43" s="17">
        <f>IF(B43="","",TEXT(B43,"yyyy-mm"))</f>
        <v>0</v>
      </c>
      <c r="I43" s="25">
        <f>IF(AND(G43="",H43=""),"",N(G43)-N(H43))</f>
        <v>0</v>
      </c>
      <c r="J43" s="24">
        <f>IF(OR(G43="",G43=0),"",I43/G43)</f>
        <v>0</v>
      </c>
      <c r="K43" s="24">
        <f>IF(OR(H43="",C43=""),"",IFERROR(H43/SUMIFS(Budget!$H$5:$H$64,Budget!$C$5:$C$64,C43),""))</f>
        <v>0</v>
      </c>
      <c r="M43" s="31">
        <f>IF(OR(H43="",H43=0,L43=""),"",L43/H43)</f>
        <v>0</v>
      </c>
      <c r="N43" s="25">
        <f>IF(C43="","",SUMIFS(Budget!$H$5:$H$64,Budget!$C$5:$C$64,C43))</f>
        <v>0</v>
      </c>
      <c r="O43" s="24">
        <f>IF(OR(N43="",MonthlyBudget=0),"",N43/MonthlyBudget)</f>
        <v>0</v>
      </c>
      <c r="P43" s="29">
        <f>IF(D43="","",IF(O43&gt;1,"Over budget this month",IF(AND(H43&lt;&gt;"",G43&lt;&gt;"",H43&gt;G43*1.2),"Check - 20% over plan",IF(AND(M43&lt;&gt;"",M43&lt;1),"Review - costs more than it returns","OK"))))</f>
        <v>0</v>
      </c>
    </row>
    <row r="44" spans="1:16">
      <c r="A44" s="41">
        <f>IF(D44="","","BU-"&amp;TEXT(ROW()-4,"000"))</f>
        <v>0</v>
      </c>
      <c r="C44" s="17">
        <f>IF(B44="","",TEXT(B44,"yyyy-mm"))</f>
        <v>0</v>
      </c>
      <c r="I44" s="25">
        <f>IF(AND(G44="",H44=""),"",N(G44)-N(H44))</f>
        <v>0</v>
      </c>
      <c r="J44" s="24">
        <f>IF(OR(G44="",G44=0),"",I44/G44)</f>
        <v>0</v>
      </c>
      <c r="K44" s="24">
        <f>IF(OR(H44="",C44=""),"",IFERROR(H44/SUMIFS(Budget!$H$5:$H$64,Budget!$C$5:$C$64,C44),""))</f>
        <v>0</v>
      </c>
      <c r="M44" s="31">
        <f>IF(OR(H44="",H44=0,L44=""),"",L44/H44)</f>
        <v>0</v>
      </c>
      <c r="N44" s="25">
        <f>IF(C44="","",SUMIFS(Budget!$H$5:$H$64,Budget!$C$5:$C$64,C44))</f>
        <v>0</v>
      </c>
      <c r="O44" s="24">
        <f>IF(OR(N44="",MonthlyBudget=0),"",N44/MonthlyBudget)</f>
        <v>0</v>
      </c>
      <c r="P44" s="29">
        <f>IF(D44="","",IF(O44&gt;1,"Over budget this month",IF(AND(H44&lt;&gt;"",G44&lt;&gt;"",H44&gt;G44*1.2),"Check - 20% over plan",IF(AND(M44&lt;&gt;"",M44&lt;1),"Review - costs more than it returns","OK"))))</f>
        <v>0</v>
      </c>
    </row>
    <row r="45" spans="1:16">
      <c r="A45" s="41">
        <f>IF(D45="","","BU-"&amp;TEXT(ROW()-4,"000"))</f>
        <v>0</v>
      </c>
      <c r="C45" s="17">
        <f>IF(B45="","",TEXT(B45,"yyyy-mm"))</f>
        <v>0</v>
      </c>
      <c r="I45" s="25">
        <f>IF(AND(G45="",H45=""),"",N(G45)-N(H45))</f>
        <v>0</v>
      </c>
      <c r="J45" s="24">
        <f>IF(OR(G45="",G45=0),"",I45/G45)</f>
        <v>0</v>
      </c>
      <c r="K45" s="24">
        <f>IF(OR(H45="",C45=""),"",IFERROR(H45/SUMIFS(Budget!$H$5:$H$64,Budget!$C$5:$C$64,C45),""))</f>
        <v>0</v>
      </c>
      <c r="M45" s="31">
        <f>IF(OR(H45="",H45=0,L45=""),"",L45/H45)</f>
        <v>0</v>
      </c>
      <c r="N45" s="25">
        <f>IF(C45="","",SUMIFS(Budget!$H$5:$H$64,Budget!$C$5:$C$64,C45))</f>
        <v>0</v>
      </c>
      <c r="O45" s="24">
        <f>IF(OR(N45="",MonthlyBudget=0),"",N45/MonthlyBudget)</f>
        <v>0</v>
      </c>
      <c r="P45" s="29">
        <f>IF(D45="","",IF(O45&gt;1,"Over budget this month",IF(AND(H45&lt;&gt;"",G45&lt;&gt;"",H45&gt;G45*1.2),"Check - 20% over plan",IF(AND(M45&lt;&gt;"",M45&lt;1),"Review - costs more than it returns","OK"))))</f>
        <v>0</v>
      </c>
    </row>
    <row r="46" spans="1:16">
      <c r="A46" s="41">
        <f>IF(D46="","","BU-"&amp;TEXT(ROW()-4,"000"))</f>
        <v>0</v>
      </c>
      <c r="C46" s="17">
        <f>IF(B46="","",TEXT(B46,"yyyy-mm"))</f>
        <v>0</v>
      </c>
      <c r="I46" s="25">
        <f>IF(AND(G46="",H46=""),"",N(G46)-N(H46))</f>
        <v>0</v>
      </c>
      <c r="J46" s="24">
        <f>IF(OR(G46="",G46=0),"",I46/G46)</f>
        <v>0</v>
      </c>
      <c r="K46" s="24">
        <f>IF(OR(H46="",C46=""),"",IFERROR(H46/SUMIFS(Budget!$H$5:$H$64,Budget!$C$5:$C$64,C46),""))</f>
        <v>0</v>
      </c>
      <c r="M46" s="31">
        <f>IF(OR(H46="",H46=0,L46=""),"",L46/H46)</f>
        <v>0</v>
      </c>
      <c r="N46" s="25">
        <f>IF(C46="","",SUMIFS(Budget!$H$5:$H$64,Budget!$C$5:$C$64,C46))</f>
        <v>0</v>
      </c>
      <c r="O46" s="24">
        <f>IF(OR(N46="",MonthlyBudget=0),"",N46/MonthlyBudget)</f>
        <v>0</v>
      </c>
      <c r="P46" s="29">
        <f>IF(D46="","",IF(O46&gt;1,"Over budget this month",IF(AND(H46&lt;&gt;"",G46&lt;&gt;"",H46&gt;G46*1.2),"Check - 20% over plan",IF(AND(M46&lt;&gt;"",M46&lt;1),"Review - costs more than it returns","OK"))))</f>
        <v>0</v>
      </c>
    </row>
    <row r="47" spans="1:16">
      <c r="A47" s="41">
        <f>IF(D47="","","BU-"&amp;TEXT(ROW()-4,"000"))</f>
        <v>0</v>
      </c>
      <c r="C47" s="17">
        <f>IF(B47="","",TEXT(B47,"yyyy-mm"))</f>
        <v>0</v>
      </c>
      <c r="I47" s="25">
        <f>IF(AND(G47="",H47=""),"",N(G47)-N(H47))</f>
        <v>0</v>
      </c>
      <c r="J47" s="24">
        <f>IF(OR(G47="",G47=0),"",I47/G47)</f>
        <v>0</v>
      </c>
      <c r="K47" s="24">
        <f>IF(OR(H47="",C47=""),"",IFERROR(H47/SUMIFS(Budget!$H$5:$H$64,Budget!$C$5:$C$64,C47),""))</f>
        <v>0</v>
      </c>
      <c r="M47" s="31">
        <f>IF(OR(H47="",H47=0,L47=""),"",L47/H47)</f>
        <v>0</v>
      </c>
      <c r="N47" s="25">
        <f>IF(C47="","",SUMIFS(Budget!$H$5:$H$64,Budget!$C$5:$C$64,C47))</f>
        <v>0</v>
      </c>
      <c r="O47" s="24">
        <f>IF(OR(N47="",MonthlyBudget=0),"",N47/MonthlyBudget)</f>
        <v>0</v>
      </c>
      <c r="P47" s="29">
        <f>IF(D47="","",IF(O47&gt;1,"Over budget this month",IF(AND(H47&lt;&gt;"",G47&lt;&gt;"",H47&gt;G47*1.2),"Check - 20% over plan",IF(AND(M47&lt;&gt;"",M47&lt;1),"Review - costs more than it returns","OK"))))</f>
        <v>0</v>
      </c>
    </row>
    <row r="48" spans="1:16">
      <c r="A48" s="41">
        <f>IF(D48="","","BU-"&amp;TEXT(ROW()-4,"000"))</f>
        <v>0</v>
      </c>
      <c r="C48" s="17">
        <f>IF(B48="","",TEXT(B48,"yyyy-mm"))</f>
        <v>0</v>
      </c>
      <c r="I48" s="25">
        <f>IF(AND(G48="",H48=""),"",N(G48)-N(H48))</f>
        <v>0</v>
      </c>
      <c r="J48" s="24">
        <f>IF(OR(G48="",G48=0),"",I48/G48)</f>
        <v>0</v>
      </c>
      <c r="K48" s="24">
        <f>IF(OR(H48="",C48=""),"",IFERROR(H48/SUMIFS(Budget!$H$5:$H$64,Budget!$C$5:$C$64,C48),""))</f>
        <v>0</v>
      </c>
      <c r="M48" s="31">
        <f>IF(OR(H48="",H48=0,L48=""),"",L48/H48)</f>
        <v>0</v>
      </c>
      <c r="N48" s="25">
        <f>IF(C48="","",SUMIFS(Budget!$H$5:$H$64,Budget!$C$5:$C$64,C48))</f>
        <v>0</v>
      </c>
      <c r="O48" s="24">
        <f>IF(OR(N48="",MonthlyBudget=0),"",N48/MonthlyBudget)</f>
        <v>0</v>
      </c>
      <c r="P48" s="29">
        <f>IF(D48="","",IF(O48&gt;1,"Over budget this month",IF(AND(H48&lt;&gt;"",G48&lt;&gt;"",H48&gt;G48*1.2),"Check - 20% over plan",IF(AND(M48&lt;&gt;"",M48&lt;1),"Review - costs more than it returns","OK"))))</f>
        <v>0</v>
      </c>
    </row>
    <row r="49" spans="1:16">
      <c r="A49" s="41">
        <f>IF(D49="","","BU-"&amp;TEXT(ROW()-4,"000"))</f>
        <v>0</v>
      </c>
      <c r="C49" s="17">
        <f>IF(B49="","",TEXT(B49,"yyyy-mm"))</f>
        <v>0</v>
      </c>
      <c r="I49" s="25">
        <f>IF(AND(G49="",H49=""),"",N(G49)-N(H49))</f>
        <v>0</v>
      </c>
      <c r="J49" s="24">
        <f>IF(OR(G49="",G49=0),"",I49/G49)</f>
        <v>0</v>
      </c>
      <c r="K49" s="24">
        <f>IF(OR(H49="",C49=""),"",IFERROR(H49/SUMIFS(Budget!$H$5:$H$64,Budget!$C$5:$C$64,C49),""))</f>
        <v>0</v>
      </c>
      <c r="M49" s="31">
        <f>IF(OR(H49="",H49=0,L49=""),"",L49/H49)</f>
        <v>0</v>
      </c>
      <c r="N49" s="25">
        <f>IF(C49="","",SUMIFS(Budget!$H$5:$H$64,Budget!$C$5:$C$64,C49))</f>
        <v>0</v>
      </c>
      <c r="O49" s="24">
        <f>IF(OR(N49="",MonthlyBudget=0),"",N49/MonthlyBudget)</f>
        <v>0</v>
      </c>
      <c r="P49" s="29">
        <f>IF(D49="","",IF(O49&gt;1,"Over budget this month",IF(AND(H49&lt;&gt;"",G49&lt;&gt;"",H49&gt;G49*1.2),"Check - 20% over plan",IF(AND(M49&lt;&gt;"",M49&lt;1),"Review - costs more than it returns","OK"))))</f>
        <v>0</v>
      </c>
    </row>
    <row r="50" spans="1:16">
      <c r="A50" s="41">
        <f>IF(D50="","","BU-"&amp;TEXT(ROW()-4,"000"))</f>
        <v>0</v>
      </c>
      <c r="C50" s="17">
        <f>IF(B50="","",TEXT(B50,"yyyy-mm"))</f>
        <v>0</v>
      </c>
      <c r="I50" s="25">
        <f>IF(AND(G50="",H50=""),"",N(G50)-N(H50))</f>
        <v>0</v>
      </c>
      <c r="J50" s="24">
        <f>IF(OR(G50="",G50=0),"",I50/G50)</f>
        <v>0</v>
      </c>
      <c r="K50" s="24">
        <f>IF(OR(H50="",C50=""),"",IFERROR(H50/SUMIFS(Budget!$H$5:$H$64,Budget!$C$5:$C$64,C50),""))</f>
        <v>0</v>
      </c>
      <c r="M50" s="31">
        <f>IF(OR(H50="",H50=0,L50=""),"",L50/H50)</f>
        <v>0</v>
      </c>
      <c r="N50" s="25">
        <f>IF(C50="","",SUMIFS(Budget!$H$5:$H$64,Budget!$C$5:$C$64,C50))</f>
        <v>0</v>
      </c>
      <c r="O50" s="24">
        <f>IF(OR(N50="",MonthlyBudget=0),"",N50/MonthlyBudget)</f>
        <v>0</v>
      </c>
      <c r="P50" s="29">
        <f>IF(D50="","",IF(O50&gt;1,"Over budget this month",IF(AND(H50&lt;&gt;"",G50&lt;&gt;"",H50&gt;G50*1.2),"Check - 20% over plan",IF(AND(M50&lt;&gt;"",M50&lt;1),"Review - costs more than it returns","OK"))))</f>
        <v>0</v>
      </c>
    </row>
    <row r="51" spans="1:16">
      <c r="A51" s="41">
        <f>IF(D51="","","BU-"&amp;TEXT(ROW()-4,"000"))</f>
        <v>0</v>
      </c>
      <c r="C51" s="17">
        <f>IF(B51="","",TEXT(B51,"yyyy-mm"))</f>
        <v>0</v>
      </c>
      <c r="I51" s="25">
        <f>IF(AND(G51="",H51=""),"",N(G51)-N(H51))</f>
        <v>0</v>
      </c>
      <c r="J51" s="24">
        <f>IF(OR(G51="",G51=0),"",I51/G51)</f>
        <v>0</v>
      </c>
      <c r="K51" s="24">
        <f>IF(OR(H51="",C51=""),"",IFERROR(H51/SUMIFS(Budget!$H$5:$H$64,Budget!$C$5:$C$64,C51),""))</f>
        <v>0</v>
      </c>
      <c r="M51" s="31">
        <f>IF(OR(H51="",H51=0,L51=""),"",L51/H51)</f>
        <v>0</v>
      </c>
      <c r="N51" s="25">
        <f>IF(C51="","",SUMIFS(Budget!$H$5:$H$64,Budget!$C$5:$C$64,C51))</f>
        <v>0</v>
      </c>
      <c r="O51" s="24">
        <f>IF(OR(N51="",MonthlyBudget=0),"",N51/MonthlyBudget)</f>
        <v>0</v>
      </c>
      <c r="P51" s="29">
        <f>IF(D51="","",IF(O51&gt;1,"Over budget this month",IF(AND(H51&lt;&gt;"",G51&lt;&gt;"",H51&gt;G51*1.2),"Check - 20% over plan",IF(AND(M51&lt;&gt;"",M51&lt;1),"Review - costs more than it returns","OK"))))</f>
        <v>0</v>
      </c>
    </row>
    <row r="52" spans="1:16">
      <c r="A52" s="41">
        <f>IF(D52="","","BU-"&amp;TEXT(ROW()-4,"000"))</f>
        <v>0</v>
      </c>
      <c r="C52" s="17">
        <f>IF(B52="","",TEXT(B52,"yyyy-mm"))</f>
        <v>0</v>
      </c>
      <c r="I52" s="25">
        <f>IF(AND(G52="",H52=""),"",N(G52)-N(H52))</f>
        <v>0</v>
      </c>
      <c r="J52" s="24">
        <f>IF(OR(G52="",G52=0),"",I52/G52)</f>
        <v>0</v>
      </c>
      <c r="K52" s="24">
        <f>IF(OR(H52="",C52=""),"",IFERROR(H52/SUMIFS(Budget!$H$5:$H$64,Budget!$C$5:$C$64,C52),""))</f>
        <v>0</v>
      </c>
      <c r="M52" s="31">
        <f>IF(OR(H52="",H52=0,L52=""),"",L52/H52)</f>
        <v>0</v>
      </c>
      <c r="N52" s="25">
        <f>IF(C52="","",SUMIFS(Budget!$H$5:$H$64,Budget!$C$5:$C$64,C52))</f>
        <v>0</v>
      </c>
      <c r="O52" s="24">
        <f>IF(OR(N52="",MonthlyBudget=0),"",N52/MonthlyBudget)</f>
        <v>0</v>
      </c>
      <c r="P52" s="29">
        <f>IF(D52="","",IF(O52&gt;1,"Over budget this month",IF(AND(H52&lt;&gt;"",G52&lt;&gt;"",H52&gt;G52*1.2),"Check - 20% over plan",IF(AND(M52&lt;&gt;"",M52&lt;1),"Review - costs more than it returns","OK"))))</f>
        <v>0</v>
      </c>
    </row>
    <row r="53" spans="1:16">
      <c r="A53" s="41">
        <f>IF(D53="","","BU-"&amp;TEXT(ROW()-4,"000"))</f>
        <v>0</v>
      </c>
      <c r="C53" s="17">
        <f>IF(B53="","",TEXT(B53,"yyyy-mm"))</f>
        <v>0</v>
      </c>
      <c r="I53" s="25">
        <f>IF(AND(G53="",H53=""),"",N(G53)-N(H53))</f>
        <v>0</v>
      </c>
      <c r="J53" s="24">
        <f>IF(OR(G53="",G53=0),"",I53/G53)</f>
        <v>0</v>
      </c>
      <c r="K53" s="24">
        <f>IF(OR(H53="",C53=""),"",IFERROR(H53/SUMIFS(Budget!$H$5:$H$64,Budget!$C$5:$C$64,C53),""))</f>
        <v>0</v>
      </c>
      <c r="M53" s="31">
        <f>IF(OR(H53="",H53=0,L53=""),"",L53/H53)</f>
        <v>0</v>
      </c>
      <c r="N53" s="25">
        <f>IF(C53="","",SUMIFS(Budget!$H$5:$H$64,Budget!$C$5:$C$64,C53))</f>
        <v>0</v>
      </c>
      <c r="O53" s="24">
        <f>IF(OR(N53="",MonthlyBudget=0),"",N53/MonthlyBudget)</f>
        <v>0</v>
      </c>
      <c r="P53" s="29">
        <f>IF(D53="","",IF(O53&gt;1,"Over budget this month",IF(AND(H53&lt;&gt;"",G53&lt;&gt;"",H53&gt;G53*1.2),"Check - 20% over plan",IF(AND(M53&lt;&gt;"",M53&lt;1),"Review - costs more than it returns","OK"))))</f>
        <v>0</v>
      </c>
    </row>
    <row r="54" spans="1:16">
      <c r="A54" s="41">
        <f>IF(D54="","","BU-"&amp;TEXT(ROW()-4,"000"))</f>
        <v>0</v>
      </c>
      <c r="C54" s="17">
        <f>IF(B54="","",TEXT(B54,"yyyy-mm"))</f>
        <v>0</v>
      </c>
      <c r="I54" s="25">
        <f>IF(AND(G54="",H54=""),"",N(G54)-N(H54))</f>
        <v>0</v>
      </c>
      <c r="J54" s="24">
        <f>IF(OR(G54="",G54=0),"",I54/G54)</f>
        <v>0</v>
      </c>
      <c r="K54" s="24">
        <f>IF(OR(H54="",C54=""),"",IFERROR(H54/SUMIFS(Budget!$H$5:$H$64,Budget!$C$5:$C$64,C54),""))</f>
        <v>0</v>
      </c>
      <c r="M54" s="31">
        <f>IF(OR(H54="",H54=0,L54=""),"",L54/H54)</f>
        <v>0</v>
      </c>
      <c r="N54" s="25">
        <f>IF(C54="","",SUMIFS(Budget!$H$5:$H$64,Budget!$C$5:$C$64,C54))</f>
        <v>0</v>
      </c>
      <c r="O54" s="24">
        <f>IF(OR(N54="",MonthlyBudget=0),"",N54/MonthlyBudget)</f>
        <v>0</v>
      </c>
      <c r="P54" s="29">
        <f>IF(D54="","",IF(O54&gt;1,"Over budget this month",IF(AND(H54&lt;&gt;"",G54&lt;&gt;"",H54&gt;G54*1.2),"Check - 20% over plan",IF(AND(M54&lt;&gt;"",M54&lt;1),"Review - costs more than it returns","OK"))))</f>
        <v>0</v>
      </c>
    </row>
    <row r="55" spans="1:16">
      <c r="A55" s="41">
        <f>IF(D55="","","BU-"&amp;TEXT(ROW()-4,"000"))</f>
        <v>0</v>
      </c>
      <c r="C55" s="17">
        <f>IF(B55="","",TEXT(B55,"yyyy-mm"))</f>
        <v>0</v>
      </c>
      <c r="I55" s="25">
        <f>IF(AND(G55="",H55=""),"",N(G55)-N(H55))</f>
        <v>0</v>
      </c>
      <c r="J55" s="24">
        <f>IF(OR(G55="",G55=0),"",I55/G55)</f>
        <v>0</v>
      </c>
      <c r="K55" s="24">
        <f>IF(OR(H55="",C55=""),"",IFERROR(H55/SUMIFS(Budget!$H$5:$H$64,Budget!$C$5:$C$64,C55),""))</f>
        <v>0</v>
      </c>
      <c r="M55" s="31">
        <f>IF(OR(H55="",H55=0,L55=""),"",L55/H55)</f>
        <v>0</v>
      </c>
      <c r="N55" s="25">
        <f>IF(C55="","",SUMIFS(Budget!$H$5:$H$64,Budget!$C$5:$C$64,C55))</f>
        <v>0</v>
      </c>
      <c r="O55" s="24">
        <f>IF(OR(N55="",MonthlyBudget=0),"",N55/MonthlyBudget)</f>
        <v>0</v>
      </c>
      <c r="P55" s="29">
        <f>IF(D55="","",IF(O55&gt;1,"Over budget this month",IF(AND(H55&lt;&gt;"",G55&lt;&gt;"",H55&gt;G55*1.2),"Check - 20% over plan",IF(AND(M55&lt;&gt;"",M55&lt;1),"Review - costs more than it returns","OK"))))</f>
        <v>0</v>
      </c>
    </row>
    <row r="56" spans="1:16">
      <c r="A56" s="41">
        <f>IF(D56="","","BU-"&amp;TEXT(ROW()-4,"000"))</f>
        <v>0</v>
      </c>
      <c r="C56" s="17">
        <f>IF(B56="","",TEXT(B56,"yyyy-mm"))</f>
        <v>0</v>
      </c>
      <c r="I56" s="25">
        <f>IF(AND(G56="",H56=""),"",N(G56)-N(H56))</f>
        <v>0</v>
      </c>
      <c r="J56" s="24">
        <f>IF(OR(G56="",G56=0),"",I56/G56)</f>
        <v>0</v>
      </c>
      <c r="K56" s="24">
        <f>IF(OR(H56="",C56=""),"",IFERROR(H56/SUMIFS(Budget!$H$5:$H$64,Budget!$C$5:$C$64,C56),""))</f>
        <v>0</v>
      </c>
      <c r="M56" s="31">
        <f>IF(OR(H56="",H56=0,L56=""),"",L56/H56)</f>
        <v>0</v>
      </c>
      <c r="N56" s="25">
        <f>IF(C56="","",SUMIFS(Budget!$H$5:$H$64,Budget!$C$5:$C$64,C56))</f>
        <v>0</v>
      </c>
      <c r="O56" s="24">
        <f>IF(OR(N56="",MonthlyBudget=0),"",N56/MonthlyBudget)</f>
        <v>0</v>
      </c>
      <c r="P56" s="29">
        <f>IF(D56="","",IF(O56&gt;1,"Over budget this month",IF(AND(H56&lt;&gt;"",G56&lt;&gt;"",H56&gt;G56*1.2),"Check - 20% over plan",IF(AND(M56&lt;&gt;"",M56&lt;1),"Review - costs more than it returns","OK"))))</f>
        <v>0</v>
      </c>
    </row>
    <row r="57" spans="1:16">
      <c r="A57" s="41">
        <f>IF(D57="","","BU-"&amp;TEXT(ROW()-4,"000"))</f>
        <v>0</v>
      </c>
      <c r="C57" s="17">
        <f>IF(B57="","",TEXT(B57,"yyyy-mm"))</f>
        <v>0</v>
      </c>
      <c r="I57" s="25">
        <f>IF(AND(G57="",H57=""),"",N(G57)-N(H57))</f>
        <v>0</v>
      </c>
      <c r="J57" s="24">
        <f>IF(OR(G57="",G57=0),"",I57/G57)</f>
        <v>0</v>
      </c>
      <c r="K57" s="24">
        <f>IF(OR(H57="",C57=""),"",IFERROR(H57/SUMIFS(Budget!$H$5:$H$64,Budget!$C$5:$C$64,C57),""))</f>
        <v>0</v>
      </c>
      <c r="M57" s="31">
        <f>IF(OR(H57="",H57=0,L57=""),"",L57/H57)</f>
        <v>0</v>
      </c>
      <c r="N57" s="25">
        <f>IF(C57="","",SUMIFS(Budget!$H$5:$H$64,Budget!$C$5:$C$64,C57))</f>
        <v>0</v>
      </c>
      <c r="O57" s="24">
        <f>IF(OR(N57="",MonthlyBudget=0),"",N57/MonthlyBudget)</f>
        <v>0</v>
      </c>
      <c r="P57" s="29">
        <f>IF(D57="","",IF(O57&gt;1,"Over budget this month",IF(AND(H57&lt;&gt;"",G57&lt;&gt;"",H57&gt;G57*1.2),"Check - 20% over plan",IF(AND(M57&lt;&gt;"",M57&lt;1),"Review - costs more than it returns","OK"))))</f>
        <v>0</v>
      </c>
    </row>
    <row r="58" spans="1:16">
      <c r="A58" s="41">
        <f>IF(D58="","","BU-"&amp;TEXT(ROW()-4,"000"))</f>
        <v>0</v>
      </c>
      <c r="C58" s="17">
        <f>IF(B58="","",TEXT(B58,"yyyy-mm"))</f>
        <v>0</v>
      </c>
      <c r="I58" s="25">
        <f>IF(AND(G58="",H58=""),"",N(G58)-N(H58))</f>
        <v>0</v>
      </c>
      <c r="J58" s="24">
        <f>IF(OR(G58="",G58=0),"",I58/G58)</f>
        <v>0</v>
      </c>
      <c r="K58" s="24">
        <f>IF(OR(H58="",C58=""),"",IFERROR(H58/SUMIFS(Budget!$H$5:$H$64,Budget!$C$5:$C$64,C58),""))</f>
        <v>0</v>
      </c>
      <c r="M58" s="31">
        <f>IF(OR(H58="",H58=0,L58=""),"",L58/H58)</f>
        <v>0</v>
      </c>
      <c r="N58" s="25">
        <f>IF(C58="","",SUMIFS(Budget!$H$5:$H$64,Budget!$C$5:$C$64,C58))</f>
        <v>0</v>
      </c>
      <c r="O58" s="24">
        <f>IF(OR(N58="",MonthlyBudget=0),"",N58/MonthlyBudget)</f>
        <v>0</v>
      </c>
      <c r="P58" s="29">
        <f>IF(D58="","",IF(O58&gt;1,"Over budget this month",IF(AND(H58&lt;&gt;"",G58&lt;&gt;"",H58&gt;G58*1.2),"Check - 20% over plan",IF(AND(M58&lt;&gt;"",M58&lt;1),"Review - costs more than it returns","OK"))))</f>
        <v>0</v>
      </c>
    </row>
    <row r="59" spans="1:16">
      <c r="A59" s="41">
        <f>IF(D59="","","BU-"&amp;TEXT(ROW()-4,"000"))</f>
        <v>0</v>
      </c>
      <c r="C59" s="17">
        <f>IF(B59="","",TEXT(B59,"yyyy-mm"))</f>
        <v>0</v>
      </c>
      <c r="I59" s="25">
        <f>IF(AND(G59="",H59=""),"",N(G59)-N(H59))</f>
        <v>0</v>
      </c>
      <c r="J59" s="24">
        <f>IF(OR(G59="",G59=0),"",I59/G59)</f>
        <v>0</v>
      </c>
      <c r="K59" s="24">
        <f>IF(OR(H59="",C59=""),"",IFERROR(H59/SUMIFS(Budget!$H$5:$H$64,Budget!$C$5:$C$64,C59),""))</f>
        <v>0</v>
      </c>
      <c r="M59" s="31">
        <f>IF(OR(H59="",H59=0,L59=""),"",L59/H59)</f>
        <v>0</v>
      </c>
      <c r="N59" s="25">
        <f>IF(C59="","",SUMIFS(Budget!$H$5:$H$64,Budget!$C$5:$C$64,C59))</f>
        <v>0</v>
      </c>
      <c r="O59" s="24">
        <f>IF(OR(N59="",MonthlyBudget=0),"",N59/MonthlyBudget)</f>
        <v>0</v>
      </c>
      <c r="P59" s="29">
        <f>IF(D59="","",IF(O59&gt;1,"Over budget this month",IF(AND(H59&lt;&gt;"",G59&lt;&gt;"",H59&gt;G59*1.2),"Check - 20% over plan",IF(AND(M59&lt;&gt;"",M59&lt;1),"Review - costs more than it returns","OK"))))</f>
        <v>0</v>
      </c>
    </row>
    <row r="60" spans="1:16">
      <c r="A60" s="41">
        <f>IF(D60="","","BU-"&amp;TEXT(ROW()-4,"000"))</f>
        <v>0</v>
      </c>
      <c r="C60" s="17">
        <f>IF(B60="","",TEXT(B60,"yyyy-mm"))</f>
        <v>0</v>
      </c>
      <c r="I60" s="25">
        <f>IF(AND(G60="",H60=""),"",N(G60)-N(H60))</f>
        <v>0</v>
      </c>
      <c r="J60" s="24">
        <f>IF(OR(G60="",G60=0),"",I60/G60)</f>
        <v>0</v>
      </c>
      <c r="K60" s="24">
        <f>IF(OR(H60="",C60=""),"",IFERROR(H60/SUMIFS(Budget!$H$5:$H$64,Budget!$C$5:$C$64,C60),""))</f>
        <v>0</v>
      </c>
      <c r="M60" s="31">
        <f>IF(OR(H60="",H60=0,L60=""),"",L60/H60)</f>
        <v>0</v>
      </c>
      <c r="N60" s="25">
        <f>IF(C60="","",SUMIFS(Budget!$H$5:$H$64,Budget!$C$5:$C$64,C60))</f>
        <v>0</v>
      </c>
      <c r="O60" s="24">
        <f>IF(OR(N60="",MonthlyBudget=0),"",N60/MonthlyBudget)</f>
        <v>0</v>
      </c>
      <c r="P60" s="29">
        <f>IF(D60="","",IF(O60&gt;1,"Over budget this month",IF(AND(H60&lt;&gt;"",G60&lt;&gt;"",H60&gt;G60*1.2),"Check - 20% over plan",IF(AND(M60&lt;&gt;"",M60&lt;1),"Review - costs more than it returns","OK"))))</f>
        <v>0</v>
      </c>
    </row>
    <row r="61" spans="1:16">
      <c r="A61" s="41">
        <f>IF(D61="","","BU-"&amp;TEXT(ROW()-4,"000"))</f>
        <v>0</v>
      </c>
      <c r="C61" s="17">
        <f>IF(B61="","",TEXT(B61,"yyyy-mm"))</f>
        <v>0</v>
      </c>
      <c r="I61" s="25">
        <f>IF(AND(G61="",H61=""),"",N(G61)-N(H61))</f>
        <v>0</v>
      </c>
      <c r="J61" s="24">
        <f>IF(OR(G61="",G61=0),"",I61/G61)</f>
        <v>0</v>
      </c>
      <c r="K61" s="24">
        <f>IF(OR(H61="",C61=""),"",IFERROR(H61/SUMIFS(Budget!$H$5:$H$64,Budget!$C$5:$C$64,C61),""))</f>
        <v>0</v>
      </c>
      <c r="M61" s="31">
        <f>IF(OR(H61="",H61=0,L61=""),"",L61/H61)</f>
        <v>0</v>
      </c>
      <c r="N61" s="25">
        <f>IF(C61="","",SUMIFS(Budget!$H$5:$H$64,Budget!$C$5:$C$64,C61))</f>
        <v>0</v>
      </c>
      <c r="O61" s="24">
        <f>IF(OR(N61="",MonthlyBudget=0),"",N61/MonthlyBudget)</f>
        <v>0</v>
      </c>
      <c r="P61" s="29">
        <f>IF(D61="","",IF(O61&gt;1,"Over budget this month",IF(AND(H61&lt;&gt;"",G61&lt;&gt;"",H61&gt;G61*1.2),"Check - 20% over plan",IF(AND(M61&lt;&gt;"",M61&lt;1),"Review - costs more than it returns","OK"))))</f>
        <v>0</v>
      </c>
    </row>
    <row r="62" spans="1:16">
      <c r="A62" s="41">
        <f>IF(D62="","","BU-"&amp;TEXT(ROW()-4,"000"))</f>
        <v>0</v>
      </c>
      <c r="C62" s="17">
        <f>IF(B62="","",TEXT(B62,"yyyy-mm"))</f>
        <v>0</v>
      </c>
      <c r="I62" s="25">
        <f>IF(AND(G62="",H62=""),"",N(G62)-N(H62))</f>
        <v>0</v>
      </c>
      <c r="J62" s="24">
        <f>IF(OR(G62="",G62=0),"",I62/G62)</f>
        <v>0</v>
      </c>
      <c r="K62" s="24">
        <f>IF(OR(H62="",C62=""),"",IFERROR(H62/SUMIFS(Budget!$H$5:$H$64,Budget!$C$5:$C$64,C62),""))</f>
        <v>0</v>
      </c>
      <c r="M62" s="31">
        <f>IF(OR(H62="",H62=0,L62=""),"",L62/H62)</f>
        <v>0</v>
      </c>
      <c r="N62" s="25">
        <f>IF(C62="","",SUMIFS(Budget!$H$5:$H$64,Budget!$C$5:$C$64,C62))</f>
        <v>0</v>
      </c>
      <c r="O62" s="24">
        <f>IF(OR(N62="",MonthlyBudget=0),"",N62/MonthlyBudget)</f>
        <v>0</v>
      </c>
      <c r="P62" s="29">
        <f>IF(D62="","",IF(O62&gt;1,"Over budget this month",IF(AND(H62&lt;&gt;"",G62&lt;&gt;"",H62&gt;G62*1.2),"Check - 20% over plan",IF(AND(M62&lt;&gt;"",M62&lt;1),"Review - costs more than it returns","OK"))))</f>
        <v>0</v>
      </c>
    </row>
    <row r="63" spans="1:16">
      <c r="A63" s="41">
        <f>IF(D63="","","BU-"&amp;TEXT(ROW()-4,"000"))</f>
        <v>0</v>
      </c>
      <c r="C63" s="17">
        <f>IF(B63="","",TEXT(B63,"yyyy-mm"))</f>
        <v>0</v>
      </c>
      <c r="I63" s="25">
        <f>IF(AND(G63="",H63=""),"",N(G63)-N(H63))</f>
        <v>0</v>
      </c>
      <c r="J63" s="24">
        <f>IF(OR(G63="",G63=0),"",I63/G63)</f>
        <v>0</v>
      </c>
      <c r="K63" s="24">
        <f>IF(OR(H63="",C63=""),"",IFERROR(H63/SUMIFS(Budget!$H$5:$H$64,Budget!$C$5:$C$64,C63),""))</f>
        <v>0</v>
      </c>
      <c r="M63" s="31">
        <f>IF(OR(H63="",H63=0,L63=""),"",L63/H63)</f>
        <v>0</v>
      </c>
      <c r="N63" s="25">
        <f>IF(C63="","",SUMIFS(Budget!$H$5:$H$64,Budget!$C$5:$C$64,C63))</f>
        <v>0</v>
      </c>
      <c r="O63" s="24">
        <f>IF(OR(N63="",MonthlyBudget=0),"",N63/MonthlyBudget)</f>
        <v>0</v>
      </c>
      <c r="P63" s="29">
        <f>IF(D63="","",IF(O63&gt;1,"Over budget this month",IF(AND(H63&lt;&gt;"",G63&lt;&gt;"",H63&gt;G63*1.2),"Check - 20% over plan",IF(AND(M63&lt;&gt;"",M63&lt;1),"Review - costs more than it returns","OK"))))</f>
        <v>0</v>
      </c>
    </row>
    <row r="64" spans="1:16">
      <c r="A64" s="41">
        <f>IF(D64="","","BU-"&amp;TEXT(ROW()-4,"000"))</f>
        <v>0</v>
      </c>
      <c r="C64" s="17">
        <f>IF(B64="","",TEXT(B64,"yyyy-mm"))</f>
        <v>0</v>
      </c>
      <c r="I64" s="25">
        <f>IF(AND(G64="",H64=""),"",N(G64)-N(H64))</f>
        <v>0</v>
      </c>
      <c r="J64" s="24">
        <f>IF(OR(G64="",G64=0),"",I64/G64)</f>
        <v>0</v>
      </c>
      <c r="K64" s="24">
        <f>IF(OR(H64="",C64=""),"",IFERROR(H64/SUMIFS(Budget!$H$5:$H$64,Budget!$C$5:$C$64,C64),""))</f>
        <v>0</v>
      </c>
      <c r="M64" s="31">
        <f>IF(OR(H64="",H64=0,L64=""),"",L64/H64)</f>
        <v>0</v>
      </c>
      <c r="N64" s="25">
        <f>IF(C64="","",SUMIFS(Budget!$H$5:$H$64,Budget!$C$5:$C$64,C64))</f>
        <v>0</v>
      </c>
      <c r="O64" s="24">
        <f>IF(OR(N64="",MonthlyBudget=0),"",N64/MonthlyBudget)</f>
        <v>0</v>
      </c>
      <c r="P64" s="29">
        <f>IF(D64="","",IF(O64&gt;1,"Over budget this month",IF(AND(H64&lt;&gt;"",G64&lt;&gt;"",H64&gt;G64*1.2),"Check - 20% over plan",IF(AND(M64&lt;&gt;"",M64&lt;1),"Review - costs more than it returns","OK"))))</f>
        <v>0</v>
      </c>
    </row>
  </sheetData>
  <sheetProtection password="EC7C" sheet="1" objects="1" scenarios="1" formatCells="0" formatColumns="0" formatRows="0" insertRows="0" insertHyperlinks="0" deleteRows="0" autoFilter="0"/>
  <autoFilter ref="A4:Q64"/>
  <mergeCells count="11">
    <mergeCell ref="A1:N1"/>
    <mergeCell ref="O1:Q1"/>
    <mergeCell ref="A2:Q2"/>
    <mergeCell ref="A3:B3"/>
    <mergeCell ref="C3:D3"/>
    <mergeCell ref="E3:F3"/>
    <mergeCell ref="G3:H3"/>
    <mergeCell ref="I3:J3"/>
    <mergeCell ref="K3:L3"/>
    <mergeCell ref="M3:N3"/>
    <mergeCell ref="O3:P3"/>
  </mergeCells>
  <conditionalFormatting sqref="G5:G64">
    <cfRule type="dataBar" priority="1">
      <dataBar>
        <cfvo type="min" val="0"/>
        <cfvo type="max" val="0"/>
        <color rgb="FF6350A8"/>
      </dataBar>
    </cfRule>
  </conditionalFormatting>
  <conditionalFormatting sqref="I5:I64">
    <cfRule type="cellIs" dxfId="1" priority="2" operator="lessThan">
      <formula>0</formula>
    </cfRule>
    <cfRule type="cellIs" dxfId="0" priority="3" operator="greaterThanOrEqual">
      <formula>0</formula>
    </cfRule>
  </conditionalFormatting>
  <conditionalFormatting sqref="L5:L64">
    <cfRule type="cellIs" dxfId="5" priority="4" operator="greaterThan">
      <formula>0</formula>
    </cfRule>
  </conditionalFormatting>
  <conditionalFormatting sqref="M5:M64">
    <cfRule type="cellIs" dxfId="0" priority="5" operator="greaterThanOrEqual">
      <formula>RoasTarget</formula>
    </cfRule>
    <cfRule type="cellIs" dxfId="1" priority="6" operator="lessThan">
      <formula>1</formula>
    </cfRule>
  </conditionalFormatting>
  <conditionalFormatting sqref="O5:O64">
    <cfRule type="cellIs" dxfId="1" priority="7" operator="greaterThan">
      <formula>1</formula>
    </cfRule>
    <cfRule type="dataBar" priority="8">
      <dataBar>
        <cfvo type="min" val="0"/>
        <cfvo type="max" val="0"/>
        <color rgb="FFF2665E"/>
      </dataBar>
    </cfRule>
  </conditionalFormatting>
  <conditionalFormatting sqref="P5:P64">
    <cfRule type="beginsWith" dxfId="0" priority="9" operator="beginsWith" text="OK">
      <formula>LEFT(P5,2)="OK"</formula>
    </cfRule>
    <cfRule type="containsText" dxfId="1" priority="10" operator="containsText" text="Overdue">
      <formula>NOT(ISERROR(SEARCH("Overdue",P5)))</formula>
    </cfRule>
    <cfRule type="containsText" dxfId="1" priority="11" operator="containsText" text="Late">
      <formula>NOT(ISERROR(SEARCH("Late",P5)))</formula>
    </cfRule>
    <cfRule type="containsText" dxfId="1" priority="12" operator="containsText" text="Missing">
      <formula>NOT(ISERROR(SEARCH("Missing",P5)))</formula>
    </cfRule>
    <cfRule type="containsText" dxfId="1" priority="13" operator="containsText" text="Conflict">
      <formula>NOT(ISERROR(SEARCH("Conflict",P5)))</formula>
    </cfRule>
    <cfRule type="containsText" dxfId="1" priority="14" operator="containsText" text="Expired">
      <formula>NOT(ISERROR(SEARCH("Expired",P5)))</formula>
    </cfRule>
    <cfRule type="containsText" dxfId="1" priority="15" operator="containsText" text="Duplicate">
      <formula>NOT(ISERROR(SEARCH("Duplicate",P5)))</formula>
    </cfRule>
    <cfRule type="containsText" dxfId="2" priority="16" operator="containsText" text="Action">
      <formula>NOT(ISERROR(SEARCH("Action",P5)))</formula>
    </cfRule>
    <cfRule type="containsText" dxfId="2" priority="17" operator="containsText" text="Due">
      <formula>NOT(ISERROR(SEARCH("Due",P5)))</formula>
    </cfRule>
    <cfRule type="containsText" dxfId="2" priority="18" operator="containsText" text="Check">
      <formula>NOT(ISERROR(SEARCH("Check",P5)))</formula>
    </cfRule>
    <cfRule type="containsText" dxfId="2" priority="19" operator="containsText" text="Add">
      <formula>NOT(ISERROR(SEARCH("Add",P5)))</formula>
    </cfRule>
    <cfRule type="containsText" dxfId="3" priority="20" operator="containsText" text="Today">
      <formula>NOT(ISERROR(SEARCH("Today",P5)))</formula>
    </cfRule>
    <cfRule type="containsText" dxfId="3" priority="21" operator="containsText" text="Upcoming">
      <formula>NOT(ISERROR(SEARCH("Upcoming",P5)))</formula>
    </cfRule>
  </conditionalFormatting>
  <dataValidations count="6">
    <dataValidation type="date" allowBlank="1" showInputMessage="1" showErrorMessage="1" errorTitle="Check the date" error="Enter a real date between 2000 and 2100." promptTitle="Month" prompt="Use the 1st of the month." sqref="B5:B64">
      <formula1>36526</formula1>
      <formula2>73415</formula2>
    </dataValidation>
    <dataValidation type="list" allowBlank="1" showInputMessage="1" showErrorMessage="1" sqref="D5:D64">
      <formula1>CostCategoryList</formula1>
    </dataValidation>
    <dataValidation type="list" allowBlank="1" showInputMessage="1" showErrorMessage="1" sqref="F5:F64">
      <formula1>CampaignNames</formula1>
    </dataValidation>
    <dataValidation type="decimal" allowBlank="1" showInputMessage="1" showErrorMessage="1" errorTitle="Check the value" error="Enter a number between 0 and 1000000000.0." sqref="G5:G64">
      <formula1>0</formula1>
      <formula2>1000000000.0</formula2>
    </dataValidation>
    <dataValidation type="decimal" allowBlank="1" showInputMessage="1" showErrorMessage="1" errorTitle="Check the value" error="Enter a number between 0 and 1000000000.0." sqref="H5:H64">
      <formula1>0</formula1>
      <formula2>1000000000.0</formula2>
    </dataValidation>
    <dataValidation type="decimal" allowBlank="1" showInputMessage="1" showErrorMessage="1" errorTitle="Check the value" error="Enter a number between 0 and 1000000000.0." promptTitle="Revenue credited" prompt="Only if you can tie revenue to this line - leave it blank otherwise." sqref="L5:L64">
      <formula1>0</formula1>
      <formula2>1000000000.0</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s>
  <pageMargins left="0.4" right="0.4" top="0.6" bottom="0.5" header="0.3" footer="0.3"/>
  <pageSetup paperSize="9" fitToHeight="0" orientation="landscape"/>
  <headerFooter>
    <oddHeader>&amp;L&amp;"Calibri,Bold"&amp;12&amp;C&amp;"Calibri,Bold"&amp;11Budget&amp;R&amp;"Calibri,Italic"&amp;9Social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6.xml><?xml version="1.0" encoding="utf-8"?>
<worksheet xmlns="http://schemas.openxmlformats.org/spreadsheetml/2006/main" xmlns:r="http://schemas.openxmlformats.org/officeDocument/2006/relationships">
  <sheetPr>
    <tabColor rgb="FF6350A8"/>
    <pageSetUpPr fitToPage="1"/>
  </sheetPr>
  <dimension ref="A1:S3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41" customWidth="1"/>
    <col min="2" max="2" width="20.7109375" style="15" customWidth="1"/>
    <col min="3" max="3" width="20.7109375" style="15" customWidth="1"/>
    <col min="4" max="4" width="26.7109375" style="15" customWidth="1"/>
    <col min="5" max="5" width="20.7109375" style="15" customWidth="1"/>
    <col min="6" max="6" width="11.7109375" style="37" customWidth="1"/>
    <col min="7" max="7" width="12.7109375" style="36" customWidth="1"/>
    <col min="8" max="8" width="12.7109375" style="40" customWidth="1"/>
    <col min="9" max="9" width="12.7109375" style="40" customWidth="1"/>
    <col min="10" max="10" width="12.7109375" style="25" customWidth="1"/>
    <col min="11" max="11" width="12.7109375" style="25" customWidth="1"/>
    <col min="12" max="12" width="11.7109375" style="23" customWidth="1"/>
    <col min="13" max="13" width="10.7109375" style="23" customWidth="1"/>
    <col min="14" max="14" width="10.7109375" style="23" customWidth="1"/>
    <col min="15" max="15" width="10.7109375" style="23" customWidth="1"/>
    <col min="16" max="16" width="11.7109375" style="23" customWidth="1"/>
    <col min="17" max="17" width="11.7109375" style="24" customWidth="1"/>
    <col min="18" max="18" width="26.7109375" style="29" customWidth="1"/>
    <col min="19" max="19" width="26.7109375" style="39" customWidth="1"/>
  </cols>
  <sheetData>
    <row r="1" spans="1:19" ht="34" customHeight="1">
      <c r="A1" s="2" t="s">
        <v>2085</v>
      </c>
      <c r="B1" s="2"/>
      <c r="C1" s="2"/>
      <c r="D1" s="2"/>
      <c r="E1" s="2"/>
      <c r="F1" s="2"/>
      <c r="G1" s="2"/>
      <c r="H1" s="2"/>
      <c r="I1" s="2"/>
      <c r="J1" s="2"/>
      <c r="K1" s="2"/>
      <c r="L1" s="2"/>
      <c r="M1" s="2"/>
      <c r="N1" s="2"/>
      <c r="O1" s="2"/>
      <c r="P1" s="2"/>
      <c r="Q1" s="3" t="s">
        <v>1</v>
      </c>
      <c r="R1" s="3"/>
      <c r="S1" s="3"/>
    </row>
    <row r="2" spans="1:19" ht="18" customHeight="1">
      <c r="A2" s="4" t="s">
        <v>2086</v>
      </c>
      <c r="B2" s="4"/>
      <c r="C2" s="4"/>
      <c r="D2" s="4"/>
      <c r="E2" s="4"/>
      <c r="F2" s="4"/>
      <c r="G2" s="4"/>
      <c r="H2" s="4"/>
      <c r="I2" s="4"/>
      <c r="J2" s="4"/>
      <c r="K2" s="4"/>
      <c r="L2" s="4"/>
      <c r="M2" s="4"/>
      <c r="N2" s="4"/>
      <c r="O2" s="4"/>
      <c r="P2" s="4"/>
      <c r="Q2" s="4"/>
      <c r="R2" s="4"/>
      <c r="S2" s="4"/>
    </row>
    <row r="3" spans="1:19" ht="16" customHeight="1">
      <c r="A3" s="5" t="s">
        <v>3</v>
      </c>
      <c r="B3" s="5"/>
      <c r="C3" s="5" t="s">
        <v>4</v>
      </c>
      <c r="D3" s="5"/>
      <c r="E3" s="5" t="s">
        <v>5</v>
      </c>
      <c r="F3" s="5"/>
      <c r="G3" s="5" t="s">
        <v>6</v>
      </c>
      <c r="H3" s="5"/>
      <c r="I3" s="5" t="s">
        <v>7</v>
      </c>
      <c r="J3" s="5"/>
      <c r="K3" s="5" t="s">
        <v>8</v>
      </c>
      <c r="L3" s="5"/>
      <c r="M3" s="5" t="s">
        <v>125</v>
      </c>
      <c r="N3" s="5"/>
      <c r="O3" s="5" t="s">
        <v>126</v>
      </c>
      <c r="P3" s="5"/>
      <c r="Q3" s="5" t="s">
        <v>127</v>
      </c>
      <c r="R3" s="5"/>
      <c r="S3" s="33" t="s">
        <v>205</v>
      </c>
    </row>
    <row r="4" spans="1:19" ht="30" customHeight="1">
      <c r="A4" s="8" t="s">
        <v>766</v>
      </c>
      <c r="B4" s="8" t="s">
        <v>1672</v>
      </c>
      <c r="C4" s="9" t="s">
        <v>2087</v>
      </c>
      <c r="D4" s="9" t="s">
        <v>1675</v>
      </c>
      <c r="E4" s="9" t="s">
        <v>2088</v>
      </c>
      <c r="F4" s="9" t="s">
        <v>2089</v>
      </c>
      <c r="G4" s="9" t="s">
        <v>2090</v>
      </c>
      <c r="H4" s="9" t="s">
        <v>2091</v>
      </c>
      <c r="I4" s="9" t="s">
        <v>2092</v>
      </c>
      <c r="J4" s="9" t="s">
        <v>2093</v>
      </c>
      <c r="K4" s="9" t="s">
        <v>2094</v>
      </c>
      <c r="L4" s="9" t="s">
        <v>1163</v>
      </c>
      <c r="M4" s="9" t="s">
        <v>138</v>
      </c>
      <c r="N4" s="9" t="s">
        <v>1165</v>
      </c>
      <c r="O4" s="9" t="s">
        <v>1158</v>
      </c>
      <c r="P4" s="9" t="s">
        <v>213</v>
      </c>
      <c r="Q4" s="9" t="s">
        <v>1166</v>
      </c>
      <c r="R4" s="9" t="s">
        <v>787</v>
      </c>
      <c r="S4" s="9" t="s">
        <v>788</v>
      </c>
    </row>
    <row r="5" spans="1:19">
      <c r="A5" s="41">
        <f>IF(B5="","","TM-"&amp;TEXT(ROW()-4,"00"))</f>
        <v>0</v>
      </c>
      <c r="B5" s="15" t="s">
        <v>281</v>
      </c>
      <c r="C5" s="15" t="s">
        <v>222</v>
      </c>
      <c r="D5" s="15" t="s">
        <v>2095</v>
      </c>
      <c r="E5" s="15" t="s">
        <v>2009</v>
      </c>
      <c r="F5" s="37">
        <v>12</v>
      </c>
      <c r="G5" s="36">
        <v>0</v>
      </c>
      <c r="H5" s="40" t="s">
        <v>372</v>
      </c>
      <c r="I5" s="40" t="s">
        <v>372</v>
      </c>
      <c r="J5" s="25">
        <f>IF(OR(F5="",G5=""),"",F5*G5)</f>
        <v>0</v>
      </c>
      <c r="K5" s="25">
        <f>IF(J5="","",J5*52/12)</f>
        <v>0</v>
      </c>
      <c r="L5" s="23">
        <f>IF(B5="","",COUNTIF('Content Calendar'!$W$5:$W$604,B5))</f>
        <v>0</v>
      </c>
      <c r="M5" s="23">
        <f>IF(B5="","",COUNTIFS('Content Calendar'!$W$5:$W$604,B5,'Content Calendar'!$X$5:$X$604,"Published"))</f>
        <v>0</v>
      </c>
      <c r="N5" s="23">
        <f>IF(B5="","",COUNTIFS('Content Calendar'!$W$5:$W$604,B5,'Content Calendar'!$AM$5:$AM$604,"Overdue*"))</f>
        <v>0</v>
      </c>
      <c r="O5" s="23">
        <f>IF(B5="","",COUNTIFS(Tasks!$C$5:$C$64,B5,Tasks!$G$5:$G$64,"&lt;&gt;Complete"))</f>
        <v>0</v>
      </c>
      <c r="P5" s="23">
        <f>IF(B5="","",COUNTIFS(Tasks!$C$5:$C$64,B5,Tasks!$G$5:$G$64,"&lt;&gt;Complete",Tasks!$D$5:$D$64,"&lt;"&amp;TODAY()))</f>
        <v>0</v>
      </c>
      <c r="Q5" s="24">
        <f>IF(OR(L5="",L5=0),"",1-N5/L5)</f>
        <v>0</v>
      </c>
      <c r="R5" s="29">
        <f>IF(B5="","",IF(P5&gt;0,"Action - overdue tasks",IF(N5&gt;0,"Check - late content",IF(L5=0,"Add - nothing assigned","OK"))))</f>
        <v>0</v>
      </c>
      <c r="S5" s="39" t="s">
        <v>205</v>
      </c>
    </row>
    <row r="6" spans="1:19">
      <c r="A6" s="41">
        <f>IF(B6="","","TM-"&amp;TEXT(ROW()-4,"00"))</f>
        <v>0</v>
      </c>
      <c r="B6" s="15" t="s">
        <v>797</v>
      </c>
      <c r="C6" s="15" t="s">
        <v>570</v>
      </c>
      <c r="D6" s="15" t="s">
        <v>2096</v>
      </c>
      <c r="E6" s="15" t="s">
        <v>2009</v>
      </c>
      <c r="F6" s="37">
        <v>20</v>
      </c>
      <c r="G6" s="36">
        <v>48</v>
      </c>
      <c r="H6" s="40" t="s">
        <v>372</v>
      </c>
      <c r="I6" s="40" t="s">
        <v>373</v>
      </c>
      <c r="J6" s="25">
        <f>IF(OR(F6="",G6=""),"",F6*G6)</f>
        <v>0</v>
      </c>
      <c r="K6" s="25">
        <f>IF(J6="","",J6*52/12)</f>
        <v>0</v>
      </c>
      <c r="L6" s="23">
        <f>IF(B6="","",COUNTIF('Content Calendar'!$W$5:$W$604,B6))</f>
        <v>0</v>
      </c>
      <c r="M6" s="23">
        <f>IF(B6="","",COUNTIFS('Content Calendar'!$W$5:$W$604,B6,'Content Calendar'!$X$5:$X$604,"Published"))</f>
        <v>0</v>
      </c>
      <c r="N6" s="23">
        <f>IF(B6="","",COUNTIFS('Content Calendar'!$W$5:$W$604,B6,'Content Calendar'!$AM$5:$AM$604,"Overdue*"))</f>
        <v>0</v>
      </c>
      <c r="O6" s="23">
        <f>IF(B6="","",COUNTIFS(Tasks!$C$5:$C$64,B6,Tasks!$G$5:$G$64,"&lt;&gt;Complete"))</f>
        <v>0</v>
      </c>
      <c r="P6" s="23">
        <f>IF(B6="","",COUNTIFS(Tasks!$C$5:$C$64,B6,Tasks!$G$5:$G$64,"&lt;&gt;Complete",Tasks!$D$5:$D$64,"&lt;"&amp;TODAY()))</f>
        <v>0</v>
      </c>
      <c r="Q6" s="24">
        <f>IF(OR(L6="",L6=0),"",1-N6/L6)</f>
        <v>0</v>
      </c>
      <c r="R6" s="29">
        <f>IF(B6="","",IF(P6&gt;0,"Action - overdue tasks",IF(N6&gt;0,"Check - late content",IF(L6=0,"Add - nothing assigned","OK"))))</f>
        <v>0</v>
      </c>
      <c r="S6" s="39" t="s">
        <v>205</v>
      </c>
    </row>
    <row r="7" spans="1:19">
      <c r="A7" s="41">
        <f>IF(B7="","","TM-"&amp;TEXT(ROW()-4,"00"))</f>
        <v>0</v>
      </c>
      <c r="B7" s="15" t="s">
        <v>801</v>
      </c>
      <c r="C7" s="15" t="s">
        <v>574</v>
      </c>
      <c r="D7" s="15" t="s">
        <v>2097</v>
      </c>
      <c r="E7" s="15" t="s">
        <v>2009</v>
      </c>
      <c r="F7" s="37">
        <v>8</v>
      </c>
      <c r="G7" s="36">
        <v>36</v>
      </c>
      <c r="H7" s="40" t="s">
        <v>373</v>
      </c>
      <c r="I7" s="40" t="s">
        <v>373</v>
      </c>
      <c r="J7" s="25">
        <f>IF(OR(F7="",G7=""),"",F7*G7)</f>
        <v>0</v>
      </c>
      <c r="K7" s="25">
        <f>IF(J7="","",J7*52/12)</f>
        <v>0</v>
      </c>
      <c r="L7" s="23">
        <f>IF(B7="","",COUNTIF('Content Calendar'!$W$5:$W$604,B7))</f>
        <v>0</v>
      </c>
      <c r="M7" s="23">
        <f>IF(B7="","",COUNTIFS('Content Calendar'!$W$5:$W$604,B7,'Content Calendar'!$X$5:$X$604,"Published"))</f>
        <v>0</v>
      </c>
      <c r="N7" s="23">
        <f>IF(B7="","",COUNTIFS('Content Calendar'!$W$5:$W$604,B7,'Content Calendar'!$AM$5:$AM$604,"Overdue*"))</f>
        <v>0</v>
      </c>
      <c r="O7" s="23">
        <f>IF(B7="","",COUNTIFS(Tasks!$C$5:$C$64,B7,Tasks!$G$5:$G$64,"&lt;&gt;Complete"))</f>
        <v>0</v>
      </c>
      <c r="P7" s="23">
        <f>IF(B7="","",COUNTIFS(Tasks!$C$5:$C$64,B7,Tasks!$G$5:$G$64,"&lt;&gt;Complete",Tasks!$D$5:$D$64,"&lt;"&amp;TODAY()))</f>
        <v>0</v>
      </c>
      <c r="Q7" s="24">
        <f>IF(OR(L7="",L7=0),"",1-N7/L7)</f>
        <v>0</v>
      </c>
      <c r="R7" s="29">
        <f>IF(B7="","",IF(P7&gt;0,"Action - overdue tasks",IF(N7&gt;0,"Check - late content",IF(L7=0,"Add - nothing assigned","OK"))))</f>
        <v>0</v>
      </c>
      <c r="S7" s="39" t="s">
        <v>205</v>
      </c>
    </row>
    <row r="8" spans="1:19">
      <c r="A8" s="41">
        <f>IF(B8="","","TM-"&amp;TEXT(ROW()-4,"00"))</f>
        <v>0</v>
      </c>
      <c r="B8" s="15" t="s">
        <v>804</v>
      </c>
      <c r="C8" s="15" t="s">
        <v>572</v>
      </c>
      <c r="D8" s="15" t="s">
        <v>2098</v>
      </c>
      <c r="E8" s="15" t="s">
        <v>2009</v>
      </c>
      <c r="F8" s="37">
        <v>6</v>
      </c>
      <c r="G8" s="36">
        <v>34</v>
      </c>
      <c r="H8" s="40" t="s">
        <v>373</v>
      </c>
      <c r="I8" s="40" t="s">
        <v>373</v>
      </c>
      <c r="J8" s="25">
        <f>IF(OR(F8="",G8=""),"",F8*G8)</f>
        <v>0</v>
      </c>
      <c r="K8" s="25">
        <f>IF(J8="","",J8*52/12)</f>
        <v>0</v>
      </c>
      <c r="L8" s="23">
        <f>IF(B8="","",COUNTIF('Content Calendar'!$W$5:$W$604,B8))</f>
        <v>0</v>
      </c>
      <c r="M8" s="23">
        <f>IF(B8="","",COUNTIFS('Content Calendar'!$W$5:$W$604,B8,'Content Calendar'!$X$5:$X$604,"Published"))</f>
        <v>0</v>
      </c>
      <c r="N8" s="23">
        <f>IF(B8="","",COUNTIFS('Content Calendar'!$W$5:$W$604,B8,'Content Calendar'!$AM$5:$AM$604,"Overdue*"))</f>
        <v>0</v>
      </c>
      <c r="O8" s="23">
        <f>IF(B8="","",COUNTIFS(Tasks!$C$5:$C$64,B8,Tasks!$G$5:$G$64,"&lt;&gt;Complete"))</f>
        <v>0</v>
      </c>
      <c r="P8" s="23">
        <f>IF(B8="","",COUNTIFS(Tasks!$C$5:$C$64,B8,Tasks!$G$5:$G$64,"&lt;&gt;Complete",Tasks!$D$5:$D$64,"&lt;"&amp;TODAY()))</f>
        <v>0</v>
      </c>
      <c r="Q8" s="24">
        <f>IF(OR(L8="",L8=0),"",1-N8/L8)</f>
        <v>0</v>
      </c>
      <c r="R8" s="29">
        <f>IF(B8="","",IF(P8&gt;0,"Action - overdue tasks",IF(N8&gt;0,"Check - late content",IF(L8=0,"Add - nothing assigned","OK"))))</f>
        <v>0</v>
      </c>
      <c r="S8" s="39" t="s">
        <v>205</v>
      </c>
    </row>
    <row r="9" spans="1:19">
      <c r="A9" s="41">
        <f>IF(B9="","","TM-"&amp;TEXT(ROW()-4,"00"))</f>
        <v>0</v>
      </c>
      <c r="J9" s="25">
        <f>IF(OR(F9="",G9=""),"",F9*G9)</f>
        <v>0</v>
      </c>
      <c r="K9" s="25">
        <f>IF(J9="","",J9*52/12)</f>
        <v>0</v>
      </c>
      <c r="L9" s="23">
        <f>IF(B9="","",COUNTIF('Content Calendar'!$W$5:$W$604,B9))</f>
        <v>0</v>
      </c>
      <c r="M9" s="23">
        <f>IF(B9="","",COUNTIFS('Content Calendar'!$W$5:$W$604,B9,'Content Calendar'!$X$5:$X$604,"Published"))</f>
        <v>0</v>
      </c>
      <c r="N9" s="23">
        <f>IF(B9="","",COUNTIFS('Content Calendar'!$W$5:$W$604,B9,'Content Calendar'!$AM$5:$AM$604,"Overdue*"))</f>
        <v>0</v>
      </c>
      <c r="O9" s="23">
        <f>IF(B9="","",COUNTIFS(Tasks!$C$5:$C$64,B9,Tasks!$G$5:$G$64,"&lt;&gt;Complete"))</f>
        <v>0</v>
      </c>
      <c r="P9" s="23">
        <f>IF(B9="","",COUNTIFS(Tasks!$C$5:$C$64,B9,Tasks!$G$5:$G$64,"&lt;&gt;Complete",Tasks!$D$5:$D$64,"&lt;"&amp;TODAY()))</f>
        <v>0</v>
      </c>
      <c r="Q9" s="24">
        <f>IF(OR(L9="",L9=0),"",1-N9/L9)</f>
        <v>0</v>
      </c>
      <c r="R9" s="29">
        <f>IF(B9="","",IF(P9&gt;0,"Action - overdue tasks",IF(N9&gt;0,"Check - late content",IF(L9=0,"Add - nothing assigned","OK"))))</f>
        <v>0</v>
      </c>
    </row>
    <row r="10" spans="1:19">
      <c r="A10" s="41">
        <f>IF(B10="","","TM-"&amp;TEXT(ROW()-4,"00"))</f>
        <v>0</v>
      </c>
      <c r="J10" s="25">
        <f>IF(OR(F10="",G10=""),"",F10*G10)</f>
        <v>0</v>
      </c>
      <c r="K10" s="25">
        <f>IF(J10="","",J10*52/12)</f>
        <v>0</v>
      </c>
      <c r="L10" s="23">
        <f>IF(B10="","",COUNTIF('Content Calendar'!$W$5:$W$604,B10))</f>
        <v>0</v>
      </c>
      <c r="M10" s="23">
        <f>IF(B10="","",COUNTIFS('Content Calendar'!$W$5:$W$604,B10,'Content Calendar'!$X$5:$X$604,"Published"))</f>
        <v>0</v>
      </c>
      <c r="N10" s="23">
        <f>IF(B10="","",COUNTIFS('Content Calendar'!$W$5:$W$604,B10,'Content Calendar'!$AM$5:$AM$604,"Overdue*"))</f>
        <v>0</v>
      </c>
      <c r="O10" s="23">
        <f>IF(B10="","",COUNTIFS(Tasks!$C$5:$C$64,B10,Tasks!$G$5:$G$64,"&lt;&gt;Complete"))</f>
        <v>0</v>
      </c>
      <c r="P10" s="23">
        <f>IF(B10="","",COUNTIFS(Tasks!$C$5:$C$64,B10,Tasks!$G$5:$G$64,"&lt;&gt;Complete",Tasks!$D$5:$D$64,"&lt;"&amp;TODAY()))</f>
        <v>0</v>
      </c>
      <c r="Q10" s="24">
        <f>IF(OR(L10="",L10=0),"",1-N10/L10)</f>
        <v>0</v>
      </c>
      <c r="R10" s="29">
        <f>IF(B10="","",IF(P10&gt;0,"Action - overdue tasks",IF(N10&gt;0,"Check - late content",IF(L10=0,"Add - nothing assigned","OK"))))</f>
        <v>0</v>
      </c>
    </row>
    <row r="11" spans="1:19">
      <c r="A11" s="41">
        <f>IF(B11="","","TM-"&amp;TEXT(ROW()-4,"00"))</f>
        <v>0</v>
      </c>
      <c r="J11" s="25">
        <f>IF(OR(F11="",G11=""),"",F11*G11)</f>
        <v>0</v>
      </c>
      <c r="K11" s="25">
        <f>IF(J11="","",J11*52/12)</f>
        <v>0</v>
      </c>
      <c r="L11" s="23">
        <f>IF(B11="","",COUNTIF('Content Calendar'!$W$5:$W$604,B11))</f>
        <v>0</v>
      </c>
      <c r="M11" s="23">
        <f>IF(B11="","",COUNTIFS('Content Calendar'!$W$5:$W$604,B11,'Content Calendar'!$X$5:$X$604,"Published"))</f>
        <v>0</v>
      </c>
      <c r="N11" s="23">
        <f>IF(B11="","",COUNTIFS('Content Calendar'!$W$5:$W$604,B11,'Content Calendar'!$AM$5:$AM$604,"Overdue*"))</f>
        <v>0</v>
      </c>
      <c r="O11" s="23">
        <f>IF(B11="","",COUNTIFS(Tasks!$C$5:$C$64,B11,Tasks!$G$5:$G$64,"&lt;&gt;Complete"))</f>
        <v>0</v>
      </c>
      <c r="P11" s="23">
        <f>IF(B11="","",COUNTIFS(Tasks!$C$5:$C$64,B11,Tasks!$G$5:$G$64,"&lt;&gt;Complete",Tasks!$D$5:$D$64,"&lt;"&amp;TODAY()))</f>
        <v>0</v>
      </c>
      <c r="Q11" s="24">
        <f>IF(OR(L11="",L11=0),"",1-N11/L11)</f>
        <v>0</v>
      </c>
      <c r="R11" s="29">
        <f>IF(B11="","",IF(P11&gt;0,"Action - overdue tasks",IF(N11&gt;0,"Check - late content",IF(L11=0,"Add - nothing assigned","OK"))))</f>
        <v>0</v>
      </c>
    </row>
    <row r="12" spans="1:19">
      <c r="A12" s="41">
        <f>IF(B12="","","TM-"&amp;TEXT(ROW()-4,"00"))</f>
        <v>0</v>
      </c>
      <c r="J12" s="25">
        <f>IF(OR(F12="",G12=""),"",F12*G12)</f>
        <v>0</v>
      </c>
      <c r="K12" s="25">
        <f>IF(J12="","",J12*52/12)</f>
        <v>0</v>
      </c>
      <c r="L12" s="23">
        <f>IF(B12="","",COUNTIF('Content Calendar'!$W$5:$W$604,B12))</f>
        <v>0</v>
      </c>
      <c r="M12" s="23">
        <f>IF(B12="","",COUNTIFS('Content Calendar'!$W$5:$W$604,B12,'Content Calendar'!$X$5:$X$604,"Published"))</f>
        <v>0</v>
      </c>
      <c r="N12" s="23">
        <f>IF(B12="","",COUNTIFS('Content Calendar'!$W$5:$W$604,B12,'Content Calendar'!$AM$5:$AM$604,"Overdue*"))</f>
        <v>0</v>
      </c>
      <c r="O12" s="23">
        <f>IF(B12="","",COUNTIFS(Tasks!$C$5:$C$64,B12,Tasks!$G$5:$G$64,"&lt;&gt;Complete"))</f>
        <v>0</v>
      </c>
      <c r="P12" s="23">
        <f>IF(B12="","",COUNTIFS(Tasks!$C$5:$C$64,B12,Tasks!$G$5:$G$64,"&lt;&gt;Complete",Tasks!$D$5:$D$64,"&lt;"&amp;TODAY()))</f>
        <v>0</v>
      </c>
      <c r="Q12" s="24">
        <f>IF(OR(L12="",L12=0),"",1-N12/L12)</f>
        <v>0</v>
      </c>
      <c r="R12" s="29">
        <f>IF(B12="","",IF(P12&gt;0,"Action - overdue tasks",IF(N12&gt;0,"Check - late content",IF(L12=0,"Add - nothing assigned","OK"))))</f>
        <v>0</v>
      </c>
    </row>
    <row r="13" spans="1:19">
      <c r="A13" s="41">
        <f>IF(B13="","","TM-"&amp;TEXT(ROW()-4,"00"))</f>
        <v>0</v>
      </c>
      <c r="J13" s="25">
        <f>IF(OR(F13="",G13=""),"",F13*G13)</f>
        <v>0</v>
      </c>
      <c r="K13" s="25">
        <f>IF(J13="","",J13*52/12)</f>
        <v>0</v>
      </c>
      <c r="L13" s="23">
        <f>IF(B13="","",COUNTIF('Content Calendar'!$W$5:$W$604,B13))</f>
        <v>0</v>
      </c>
      <c r="M13" s="23">
        <f>IF(B13="","",COUNTIFS('Content Calendar'!$W$5:$W$604,B13,'Content Calendar'!$X$5:$X$604,"Published"))</f>
        <v>0</v>
      </c>
      <c r="N13" s="23">
        <f>IF(B13="","",COUNTIFS('Content Calendar'!$W$5:$W$604,B13,'Content Calendar'!$AM$5:$AM$604,"Overdue*"))</f>
        <v>0</v>
      </c>
      <c r="O13" s="23">
        <f>IF(B13="","",COUNTIFS(Tasks!$C$5:$C$64,B13,Tasks!$G$5:$G$64,"&lt;&gt;Complete"))</f>
        <v>0</v>
      </c>
      <c r="P13" s="23">
        <f>IF(B13="","",COUNTIFS(Tasks!$C$5:$C$64,B13,Tasks!$G$5:$G$64,"&lt;&gt;Complete",Tasks!$D$5:$D$64,"&lt;"&amp;TODAY()))</f>
        <v>0</v>
      </c>
      <c r="Q13" s="24">
        <f>IF(OR(L13="",L13=0),"",1-N13/L13)</f>
        <v>0</v>
      </c>
      <c r="R13" s="29">
        <f>IF(B13="","",IF(P13&gt;0,"Action - overdue tasks",IF(N13&gt;0,"Check - late content",IF(L13=0,"Add - nothing assigned","OK"))))</f>
        <v>0</v>
      </c>
    </row>
    <row r="14" spans="1:19">
      <c r="A14" s="41">
        <f>IF(B14="","","TM-"&amp;TEXT(ROW()-4,"00"))</f>
        <v>0</v>
      </c>
      <c r="J14" s="25">
        <f>IF(OR(F14="",G14=""),"",F14*G14)</f>
        <v>0</v>
      </c>
      <c r="K14" s="25">
        <f>IF(J14="","",J14*52/12)</f>
        <v>0</v>
      </c>
      <c r="L14" s="23">
        <f>IF(B14="","",COUNTIF('Content Calendar'!$W$5:$W$604,B14))</f>
        <v>0</v>
      </c>
      <c r="M14" s="23">
        <f>IF(B14="","",COUNTIFS('Content Calendar'!$W$5:$W$604,B14,'Content Calendar'!$X$5:$X$604,"Published"))</f>
        <v>0</v>
      </c>
      <c r="N14" s="23">
        <f>IF(B14="","",COUNTIFS('Content Calendar'!$W$5:$W$604,B14,'Content Calendar'!$AM$5:$AM$604,"Overdue*"))</f>
        <v>0</v>
      </c>
      <c r="O14" s="23">
        <f>IF(B14="","",COUNTIFS(Tasks!$C$5:$C$64,B14,Tasks!$G$5:$G$64,"&lt;&gt;Complete"))</f>
        <v>0</v>
      </c>
      <c r="P14" s="23">
        <f>IF(B14="","",COUNTIFS(Tasks!$C$5:$C$64,B14,Tasks!$G$5:$G$64,"&lt;&gt;Complete",Tasks!$D$5:$D$64,"&lt;"&amp;TODAY()))</f>
        <v>0</v>
      </c>
      <c r="Q14" s="24">
        <f>IF(OR(L14="",L14=0),"",1-N14/L14)</f>
        <v>0</v>
      </c>
      <c r="R14" s="29">
        <f>IF(B14="","",IF(P14&gt;0,"Action - overdue tasks",IF(N14&gt;0,"Check - late content",IF(L14=0,"Add - nothing assigned","OK"))))</f>
        <v>0</v>
      </c>
    </row>
    <row r="15" spans="1:19">
      <c r="A15" s="41">
        <f>IF(B15="","","TM-"&amp;TEXT(ROW()-4,"00"))</f>
        <v>0</v>
      </c>
      <c r="J15" s="25">
        <f>IF(OR(F15="",G15=""),"",F15*G15)</f>
        <v>0</v>
      </c>
      <c r="K15" s="25">
        <f>IF(J15="","",J15*52/12)</f>
        <v>0</v>
      </c>
      <c r="L15" s="23">
        <f>IF(B15="","",COUNTIF('Content Calendar'!$W$5:$W$604,B15))</f>
        <v>0</v>
      </c>
      <c r="M15" s="23">
        <f>IF(B15="","",COUNTIFS('Content Calendar'!$W$5:$W$604,B15,'Content Calendar'!$X$5:$X$604,"Published"))</f>
        <v>0</v>
      </c>
      <c r="N15" s="23">
        <f>IF(B15="","",COUNTIFS('Content Calendar'!$W$5:$W$604,B15,'Content Calendar'!$AM$5:$AM$604,"Overdue*"))</f>
        <v>0</v>
      </c>
      <c r="O15" s="23">
        <f>IF(B15="","",COUNTIFS(Tasks!$C$5:$C$64,B15,Tasks!$G$5:$G$64,"&lt;&gt;Complete"))</f>
        <v>0</v>
      </c>
      <c r="P15" s="23">
        <f>IF(B15="","",COUNTIFS(Tasks!$C$5:$C$64,B15,Tasks!$G$5:$G$64,"&lt;&gt;Complete",Tasks!$D$5:$D$64,"&lt;"&amp;TODAY()))</f>
        <v>0</v>
      </c>
      <c r="Q15" s="24">
        <f>IF(OR(L15="",L15=0),"",1-N15/L15)</f>
        <v>0</v>
      </c>
      <c r="R15" s="29">
        <f>IF(B15="","",IF(P15&gt;0,"Action - overdue tasks",IF(N15&gt;0,"Check - late content",IF(L15=0,"Add - nothing assigned","OK"))))</f>
        <v>0</v>
      </c>
    </row>
    <row r="16" spans="1:19">
      <c r="A16" s="41">
        <f>IF(B16="","","TM-"&amp;TEXT(ROW()-4,"00"))</f>
        <v>0</v>
      </c>
      <c r="J16" s="25">
        <f>IF(OR(F16="",G16=""),"",F16*G16)</f>
        <v>0</v>
      </c>
      <c r="K16" s="25">
        <f>IF(J16="","",J16*52/12)</f>
        <v>0</v>
      </c>
      <c r="L16" s="23">
        <f>IF(B16="","",COUNTIF('Content Calendar'!$W$5:$W$604,B16))</f>
        <v>0</v>
      </c>
      <c r="M16" s="23">
        <f>IF(B16="","",COUNTIFS('Content Calendar'!$W$5:$W$604,B16,'Content Calendar'!$X$5:$X$604,"Published"))</f>
        <v>0</v>
      </c>
      <c r="N16" s="23">
        <f>IF(B16="","",COUNTIFS('Content Calendar'!$W$5:$W$604,B16,'Content Calendar'!$AM$5:$AM$604,"Overdue*"))</f>
        <v>0</v>
      </c>
      <c r="O16" s="23">
        <f>IF(B16="","",COUNTIFS(Tasks!$C$5:$C$64,B16,Tasks!$G$5:$G$64,"&lt;&gt;Complete"))</f>
        <v>0</v>
      </c>
      <c r="P16" s="23">
        <f>IF(B16="","",COUNTIFS(Tasks!$C$5:$C$64,B16,Tasks!$G$5:$G$64,"&lt;&gt;Complete",Tasks!$D$5:$D$64,"&lt;"&amp;TODAY()))</f>
        <v>0</v>
      </c>
      <c r="Q16" s="24">
        <f>IF(OR(L16="",L16=0),"",1-N16/L16)</f>
        <v>0</v>
      </c>
      <c r="R16" s="29">
        <f>IF(B16="","",IF(P16&gt;0,"Action - overdue tasks",IF(N16&gt;0,"Check - late content",IF(L16=0,"Add - nothing assigned","OK"))))</f>
        <v>0</v>
      </c>
    </row>
    <row r="17" spans="1:18">
      <c r="A17" s="41">
        <f>IF(B17="","","TM-"&amp;TEXT(ROW()-4,"00"))</f>
        <v>0</v>
      </c>
      <c r="J17" s="25">
        <f>IF(OR(F17="",G17=""),"",F17*G17)</f>
        <v>0</v>
      </c>
      <c r="K17" s="25">
        <f>IF(J17="","",J17*52/12)</f>
        <v>0</v>
      </c>
      <c r="L17" s="23">
        <f>IF(B17="","",COUNTIF('Content Calendar'!$W$5:$W$604,B17))</f>
        <v>0</v>
      </c>
      <c r="M17" s="23">
        <f>IF(B17="","",COUNTIFS('Content Calendar'!$W$5:$W$604,B17,'Content Calendar'!$X$5:$X$604,"Published"))</f>
        <v>0</v>
      </c>
      <c r="N17" s="23">
        <f>IF(B17="","",COUNTIFS('Content Calendar'!$W$5:$W$604,B17,'Content Calendar'!$AM$5:$AM$604,"Overdue*"))</f>
        <v>0</v>
      </c>
      <c r="O17" s="23">
        <f>IF(B17="","",COUNTIFS(Tasks!$C$5:$C$64,B17,Tasks!$G$5:$G$64,"&lt;&gt;Complete"))</f>
        <v>0</v>
      </c>
      <c r="P17" s="23">
        <f>IF(B17="","",COUNTIFS(Tasks!$C$5:$C$64,B17,Tasks!$G$5:$G$64,"&lt;&gt;Complete",Tasks!$D$5:$D$64,"&lt;"&amp;TODAY()))</f>
        <v>0</v>
      </c>
      <c r="Q17" s="24">
        <f>IF(OR(L17="",L17=0),"",1-N17/L17)</f>
        <v>0</v>
      </c>
      <c r="R17" s="29">
        <f>IF(B17="","",IF(P17&gt;0,"Action - overdue tasks",IF(N17&gt;0,"Check - late content",IF(L17=0,"Add - nothing assigned","OK"))))</f>
        <v>0</v>
      </c>
    </row>
    <row r="18" spans="1:18">
      <c r="A18" s="41">
        <f>IF(B18="","","TM-"&amp;TEXT(ROW()-4,"00"))</f>
        <v>0</v>
      </c>
      <c r="J18" s="25">
        <f>IF(OR(F18="",G18=""),"",F18*G18)</f>
        <v>0</v>
      </c>
      <c r="K18" s="25">
        <f>IF(J18="","",J18*52/12)</f>
        <v>0</v>
      </c>
      <c r="L18" s="23">
        <f>IF(B18="","",COUNTIF('Content Calendar'!$W$5:$W$604,B18))</f>
        <v>0</v>
      </c>
      <c r="M18" s="23">
        <f>IF(B18="","",COUNTIFS('Content Calendar'!$W$5:$W$604,B18,'Content Calendar'!$X$5:$X$604,"Published"))</f>
        <v>0</v>
      </c>
      <c r="N18" s="23">
        <f>IF(B18="","",COUNTIFS('Content Calendar'!$W$5:$W$604,B18,'Content Calendar'!$AM$5:$AM$604,"Overdue*"))</f>
        <v>0</v>
      </c>
      <c r="O18" s="23">
        <f>IF(B18="","",COUNTIFS(Tasks!$C$5:$C$64,B18,Tasks!$G$5:$G$64,"&lt;&gt;Complete"))</f>
        <v>0</v>
      </c>
      <c r="P18" s="23">
        <f>IF(B18="","",COUNTIFS(Tasks!$C$5:$C$64,B18,Tasks!$G$5:$G$64,"&lt;&gt;Complete",Tasks!$D$5:$D$64,"&lt;"&amp;TODAY()))</f>
        <v>0</v>
      </c>
      <c r="Q18" s="24">
        <f>IF(OR(L18="",L18=0),"",1-N18/L18)</f>
        <v>0</v>
      </c>
      <c r="R18" s="29">
        <f>IF(B18="","",IF(P18&gt;0,"Action - overdue tasks",IF(N18&gt;0,"Check - late content",IF(L18=0,"Add - nothing assigned","OK"))))</f>
        <v>0</v>
      </c>
    </row>
    <row r="19" spans="1:18">
      <c r="A19" s="41">
        <f>IF(B19="","","TM-"&amp;TEXT(ROW()-4,"00"))</f>
        <v>0</v>
      </c>
      <c r="J19" s="25">
        <f>IF(OR(F19="",G19=""),"",F19*G19)</f>
        <v>0</v>
      </c>
      <c r="K19" s="25">
        <f>IF(J19="","",J19*52/12)</f>
        <v>0</v>
      </c>
      <c r="L19" s="23">
        <f>IF(B19="","",COUNTIF('Content Calendar'!$W$5:$W$604,B19))</f>
        <v>0</v>
      </c>
      <c r="M19" s="23">
        <f>IF(B19="","",COUNTIFS('Content Calendar'!$W$5:$W$604,B19,'Content Calendar'!$X$5:$X$604,"Published"))</f>
        <v>0</v>
      </c>
      <c r="N19" s="23">
        <f>IF(B19="","",COUNTIFS('Content Calendar'!$W$5:$W$604,B19,'Content Calendar'!$AM$5:$AM$604,"Overdue*"))</f>
        <v>0</v>
      </c>
      <c r="O19" s="23">
        <f>IF(B19="","",COUNTIFS(Tasks!$C$5:$C$64,B19,Tasks!$G$5:$G$64,"&lt;&gt;Complete"))</f>
        <v>0</v>
      </c>
      <c r="P19" s="23">
        <f>IF(B19="","",COUNTIFS(Tasks!$C$5:$C$64,B19,Tasks!$G$5:$G$64,"&lt;&gt;Complete",Tasks!$D$5:$D$64,"&lt;"&amp;TODAY()))</f>
        <v>0</v>
      </c>
      <c r="Q19" s="24">
        <f>IF(OR(L19="",L19=0),"",1-N19/L19)</f>
        <v>0</v>
      </c>
      <c r="R19" s="29">
        <f>IF(B19="","",IF(P19&gt;0,"Action - overdue tasks",IF(N19&gt;0,"Check - late content",IF(L19=0,"Add - nothing assigned","OK"))))</f>
        <v>0</v>
      </c>
    </row>
    <row r="20" spans="1:18">
      <c r="A20" s="41">
        <f>IF(B20="","","TM-"&amp;TEXT(ROW()-4,"00"))</f>
        <v>0</v>
      </c>
      <c r="J20" s="25">
        <f>IF(OR(F20="",G20=""),"",F20*G20)</f>
        <v>0</v>
      </c>
      <c r="K20" s="25">
        <f>IF(J20="","",J20*52/12)</f>
        <v>0</v>
      </c>
      <c r="L20" s="23">
        <f>IF(B20="","",COUNTIF('Content Calendar'!$W$5:$W$604,B20))</f>
        <v>0</v>
      </c>
      <c r="M20" s="23">
        <f>IF(B20="","",COUNTIFS('Content Calendar'!$W$5:$W$604,B20,'Content Calendar'!$X$5:$X$604,"Published"))</f>
        <v>0</v>
      </c>
      <c r="N20" s="23">
        <f>IF(B20="","",COUNTIFS('Content Calendar'!$W$5:$W$604,B20,'Content Calendar'!$AM$5:$AM$604,"Overdue*"))</f>
        <v>0</v>
      </c>
      <c r="O20" s="23">
        <f>IF(B20="","",COUNTIFS(Tasks!$C$5:$C$64,B20,Tasks!$G$5:$G$64,"&lt;&gt;Complete"))</f>
        <v>0</v>
      </c>
      <c r="P20" s="23">
        <f>IF(B20="","",COUNTIFS(Tasks!$C$5:$C$64,B20,Tasks!$G$5:$G$64,"&lt;&gt;Complete",Tasks!$D$5:$D$64,"&lt;"&amp;TODAY()))</f>
        <v>0</v>
      </c>
      <c r="Q20" s="24">
        <f>IF(OR(L20="",L20=0),"",1-N20/L20)</f>
        <v>0</v>
      </c>
      <c r="R20" s="29">
        <f>IF(B20="","",IF(P20&gt;0,"Action - overdue tasks",IF(N20&gt;0,"Check - late content",IF(L20=0,"Add - nothing assigned","OK"))))</f>
        <v>0</v>
      </c>
    </row>
    <row r="21" spans="1:18">
      <c r="A21" s="41">
        <f>IF(B21="","","TM-"&amp;TEXT(ROW()-4,"00"))</f>
        <v>0</v>
      </c>
      <c r="J21" s="25">
        <f>IF(OR(F21="",G21=""),"",F21*G21)</f>
        <v>0</v>
      </c>
      <c r="K21" s="25">
        <f>IF(J21="","",J21*52/12)</f>
        <v>0</v>
      </c>
      <c r="L21" s="23">
        <f>IF(B21="","",COUNTIF('Content Calendar'!$W$5:$W$604,B21))</f>
        <v>0</v>
      </c>
      <c r="M21" s="23">
        <f>IF(B21="","",COUNTIFS('Content Calendar'!$W$5:$W$604,B21,'Content Calendar'!$X$5:$X$604,"Published"))</f>
        <v>0</v>
      </c>
      <c r="N21" s="23">
        <f>IF(B21="","",COUNTIFS('Content Calendar'!$W$5:$W$604,B21,'Content Calendar'!$AM$5:$AM$604,"Overdue*"))</f>
        <v>0</v>
      </c>
      <c r="O21" s="23">
        <f>IF(B21="","",COUNTIFS(Tasks!$C$5:$C$64,B21,Tasks!$G$5:$G$64,"&lt;&gt;Complete"))</f>
        <v>0</v>
      </c>
      <c r="P21" s="23">
        <f>IF(B21="","",COUNTIFS(Tasks!$C$5:$C$64,B21,Tasks!$G$5:$G$64,"&lt;&gt;Complete",Tasks!$D$5:$D$64,"&lt;"&amp;TODAY()))</f>
        <v>0</v>
      </c>
      <c r="Q21" s="24">
        <f>IF(OR(L21="",L21=0),"",1-N21/L21)</f>
        <v>0</v>
      </c>
      <c r="R21" s="29">
        <f>IF(B21="","",IF(P21&gt;0,"Action - overdue tasks",IF(N21&gt;0,"Check - late content",IF(L21=0,"Add - nothing assigned","OK"))))</f>
        <v>0</v>
      </c>
    </row>
    <row r="22" spans="1:18">
      <c r="A22" s="41">
        <f>IF(B22="","","TM-"&amp;TEXT(ROW()-4,"00"))</f>
        <v>0</v>
      </c>
      <c r="J22" s="25">
        <f>IF(OR(F22="",G22=""),"",F22*G22)</f>
        <v>0</v>
      </c>
      <c r="K22" s="25">
        <f>IF(J22="","",J22*52/12)</f>
        <v>0</v>
      </c>
      <c r="L22" s="23">
        <f>IF(B22="","",COUNTIF('Content Calendar'!$W$5:$W$604,B22))</f>
        <v>0</v>
      </c>
      <c r="M22" s="23">
        <f>IF(B22="","",COUNTIFS('Content Calendar'!$W$5:$W$604,B22,'Content Calendar'!$X$5:$X$604,"Published"))</f>
        <v>0</v>
      </c>
      <c r="N22" s="23">
        <f>IF(B22="","",COUNTIFS('Content Calendar'!$W$5:$W$604,B22,'Content Calendar'!$AM$5:$AM$604,"Overdue*"))</f>
        <v>0</v>
      </c>
      <c r="O22" s="23">
        <f>IF(B22="","",COUNTIFS(Tasks!$C$5:$C$64,B22,Tasks!$G$5:$G$64,"&lt;&gt;Complete"))</f>
        <v>0</v>
      </c>
      <c r="P22" s="23">
        <f>IF(B22="","",COUNTIFS(Tasks!$C$5:$C$64,B22,Tasks!$G$5:$G$64,"&lt;&gt;Complete",Tasks!$D$5:$D$64,"&lt;"&amp;TODAY()))</f>
        <v>0</v>
      </c>
      <c r="Q22" s="24">
        <f>IF(OR(L22="",L22=0),"",1-N22/L22)</f>
        <v>0</v>
      </c>
      <c r="R22" s="29">
        <f>IF(B22="","",IF(P22&gt;0,"Action - overdue tasks",IF(N22&gt;0,"Check - late content",IF(L22=0,"Add - nothing assigned","OK"))))</f>
        <v>0</v>
      </c>
    </row>
    <row r="23" spans="1:18">
      <c r="A23" s="41">
        <f>IF(B23="","","TM-"&amp;TEXT(ROW()-4,"00"))</f>
        <v>0</v>
      </c>
      <c r="J23" s="25">
        <f>IF(OR(F23="",G23=""),"",F23*G23)</f>
        <v>0</v>
      </c>
      <c r="K23" s="25">
        <f>IF(J23="","",J23*52/12)</f>
        <v>0</v>
      </c>
      <c r="L23" s="23">
        <f>IF(B23="","",COUNTIF('Content Calendar'!$W$5:$W$604,B23))</f>
        <v>0</v>
      </c>
      <c r="M23" s="23">
        <f>IF(B23="","",COUNTIFS('Content Calendar'!$W$5:$W$604,B23,'Content Calendar'!$X$5:$X$604,"Published"))</f>
        <v>0</v>
      </c>
      <c r="N23" s="23">
        <f>IF(B23="","",COUNTIFS('Content Calendar'!$W$5:$W$604,B23,'Content Calendar'!$AM$5:$AM$604,"Overdue*"))</f>
        <v>0</v>
      </c>
      <c r="O23" s="23">
        <f>IF(B23="","",COUNTIFS(Tasks!$C$5:$C$64,B23,Tasks!$G$5:$G$64,"&lt;&gt;Complete"))</f>
        <v>0</v>
      </c>
      <c r="P23" s="23">
        <f>IF(B23="","",COUNTIFS(Tasks!$C$5:$C$64,B23,Tasks!$G$5:$G$64,"&lt;&gt;Complete",Tasks!$D$5:$D$64,"&lt;"&amp;TODAY()))</f>
        <v>0</v>
      </c>
      <c r="Q23" s="24">
        <f>IF(OR(L23="",L23=0),"",1-N23/L23)</f>
        <v>0</v>
      </c>
      <c r="R23" s="29">
        <f>IF(B23="","",IF(P23&gt;0,"Action - overdue tasks",IF(N23&gt;0,"Check - late content",IF(L23=0,"Add - nothing assigned","OK"))))</f>
        <v>0</v>
      </c>
    </row>
    <row r="24" spans="1:18">
      <c r="A24" s="41">
        <f>IF(B24="","","TM-"&amp;TEXT(ROW()-4,"00"))</f>
        <v>0</v>
      </c>
      <c r="J24" s="25">
        <f>IF(OR(F24="",G24=""),"",F24*G24)</f>
        <v>0</v>
      </c>
      <c r="K24" s="25">
        <f>IF(J24="","",J24*52/12)</f>
        <v>0</v>
      </c>
      <c r="L24" s="23">
        <f>IF(B24="","",COUNTIF('Content Calendar'!$W$5:$W$604,B24))</f>
        <v>0</v>
      </c>
      <c r="M24" s="23">
        <f>IF(B24="","",COUNTIFS('Content Calendar'!$W$5:$W$604,B24,'Content Calendar'!$X$5:$X$604,"Published"))</f>
        <v>0</v>
      </c>
      <c r="N24" s="23">
        <f>IF(B24="","",COUNTIFS('Content Calendar'!$W$5:$W$604,B24,'Content Calendar'!$AM$5:$AM$604,"Overdue*"))</f>
        <v>0</v>
      </c>
      <c r="O24" s="23">
        <f>IF(B24="","",COUNTIFS(Tasks!$C$5:$C$64,B24,Tasks!$G$5:$G$64,"&lt;&gt;Complete"))</f>
        <v>0</v>
      </c>
      <c r="P24" s="23">
        <f>IF(B24="","",COUNTIFS(Tasks!$C$5:$C$64,B24,Tasks!$G$5:$G$64,"&lt;&gt;Complete",Tasks!$D$5:$D$64,"&lt;"&amp;TODAY()))</f>
        <v>0</v>
      </c>
      <c r="Q24" s="24">
        <f>IF(OR(L24="",L24=0),"",1-N24/L24)</f>
        <v>0</v>
      </c>
      <c r="R24" s="29">
        <f>IF(B24="","",IF(P24&gt;0,"Action - overdue tasks",IF(N24&gt;0,"Check - late content",IF(L24=0,"Add - nothing assigned","OK"))))</f>
        <v>0</v>
      </c>
    </row>
    <row r="25" spans="1:18">
      <c r="A25" s="41">
        <f>IF(B25="","","TM-"&amp;TEXT(ROW()-4,"00"))</f>
        <v>0</v>
      </c>
      <c r="J25" s="25">
        <f>IF(OR(F25="",G25=""),"",F25*G25)</f>
        <v>0</v>
      </c>
      <c r="K25" s="25">
        <f>IF(J25="","",J25*52/12)</f>
        <v>0</v>
      </c>
      <c r="L25" s="23">
        <f>IF(B25="","",COUNTIF('Content Calendar'!$W$5:$W$604,B25))</f>
        <v>0</v>
      </c>
      <c r="M25" s="23">
        <f>IF(B25="","",COUNTIFS('Content Calendar'!$W$5:$W$604,B25,'Content Calendar'!$X$5:$X$604,"Published"))</f>
        <v>0</v>
      </c>
      <c r="N25" s="23">
        <f>IF(B25="","",COUNTIFS('Content Calendar'!$W$5:$W$604,B25,'Content Calendar'!$AM$5:$AM$604,"Overdue*"))</f>
        <v>0</v>
      </c>
      <c r="O25" s="23">
        <f>IF(B25="","",COUNTIFS(Tasks!$C$5:$C$64,B25,Tasks!$G$5:$G$64,"&lt;&gt;Complete"))</f>
        <v>0</v>
      </c>
      <c r="P25" s="23">
        <f>IF(B25="","",COUNTIFS(Tasks!$C$5:$C$64,B25,Tasks!$G$5:$G$64,"&lt;&gt;Complete",Tasks!$D$5:$D$64,"&lt;"&amp;TODAY()))</f>
        <v>0</v>
      </c>
      <c r="Q25" s="24">
        <f>IF(OR(L25="",L25=0),"",1-N25/L25)</f>
        <v>0</v>
      </c>
      <c r="R25" s="29">
        <f>IF(B25="","",IF(P25&gt;0,"Action - overdue tasks",IF(N25&gt;0,"Check - late content",IF(L25=0,"Add - nothing assigned","OK"))))</f>
        <v>0</v>
      </c>
    </row>
    <row r="26" spans="1:18">
      <c r="A26" s="41">
        <f>IF(B26="","","TM-"&amp;TEXT(ROW()-4,"00"))</f>
        <v>0</v>
      </c>
      <c r="J26" s="25">
        <f>IF(OR(F26="",G26=""),"",F26*G26)</f>
        <v>0</v>
      </c>
      <c r="K26" s="25">
        <f>IF(J26="","",J26*52/12)</f>
        <v>0</v>
      </c>
      <c r="L26" s="23">
        <f>IF(B26="","",COUNTIF('Content Calendar'!$W$5:$W$604,B26))</f>
        <v>0</v>
      </c>
      <c r="M26" s="23">
        <f>IF(B26="","",COUNTIFS('Content Calendar'!$W$5:$W$604,B26,'Content Calendar'!$X$5:$X$604,"Published"))</f>
        <v>0</v>
      </c>
      <c r="N26" s="23">
        <f>IF(B26="","",COUNTIFS('Content Calendar'!$W$5:$W$604,B26,'Content Calendar'!$AM$5:$AM$604,"Overdue*"))</f>
        <v>0</v>
      </c>
      <c r="O26" s="23">
        <f>IF(B26="","",COUNTIFS(Tasks!$C$5:$C$64,B26,Tasks!$G$5:$G$64,"&lt;&gt;Complete"))</f>
        <v>0</v>
      </c>
      <c r="P26" s="23">
        <f>IF(B26="","",COUNTIFS(Tasks!$C$5:$C$64,B26,Tasks!$G$5:$G$64,"&lt;&gt;Complete",Tasks!$D$5:$D$64,"&lt;"&amp;TODAY()))</f>
        <v>0</v>
      </c>
      <c r="Q26" s="24">
        <f>IF(OR(L26="",L26=0),"",1-N26/L26)</f>
        <v>0</v>
      </c>
      <c r="R26" s="29">
        <f>IF(B26="","",IF(P26&gt;0,"Action - overdue tasks",IF(N26&gt;0,"Check - late content",IF(L26=0,"Add - nothing assigned","OK"))))</f>
        <v>0</v>
      </c>
    </row>
    <row r="27" spans="1:18">
      <c r="A27" s="41">
        <f>IF(B27="","","TM-"&amp;TEXT(ROW()-4,"00"))</f>
        <v>0</v>
      </c>
      <c r="J27" s="25">
        <f>IF(OR(F27="",G27=""),"",F27*G27)</f>
        <v>0</v>
      </c>
      <c r="K27" s="25">
        <f>IF(J27="","",J27*52/12)</f>
        <v>0</v>
      </c>
      <c r="L27" s="23">
        <f>IF(B27="","",COUNTIF('Content Calendar'!$W$5:$W$604,B27))</f>
        <v>0</v>
      </c>
      <c r="M27" s="23">
        <f>IF(B27="","",COUNTIFS('Content Calendar'!$W$5:$W$604,B27,'Content Calendar'!$X$5:$X$604,"Published"))</f>
        <v>0</v>
      </c>
      <c r="N27" s="23">
        <f>IF(B27="","",COUNTIFS('Content Calendar'!$W$5:$W$604,B27,'Content Calendar'!$AM$5:$AM$604,"Overdue*"))</f>
        <v>0</v>
      </c>
      <c r="O27" s="23">
        <f>IF(B27="","",COUNTIFS(Tasks!$C$5:$C$64,B27,Tasks!$G$5:$G$64,"&lt;&gt;Complete"))</f>
        <v>0</v>
      </c>
      <c r="P27" s="23">
        <f>IF(B27="","",COUNTIFS(Tasks!$C$5:$C$64,B27,Tasks!$G$5:$G$64,"&lt;&gt;Complete",Tasks!$D$5:$D$64,"&lt;"&amp;TODAY()))</f>
        <v>0</v>
      </c>
      <c r="Q27" s="24">
        <f>IF(OR(L27="",L27=0),"",1-N27/L27)</f>
        <v>0</v>
      </c>
      <c r="R27" s="29">
        <f>IF(B27="","",IF(P27&gt;0,"Action - overdue tasks",IF(N27&gt;0,"Check - late content",IF(L27=0,"Add - nothing assigned","OK"))))</f>
        <v>0</v>
      </c>
    </row>
    <row r="28" spans="1:18">
      <c r="A28" s="41">
        <f>IF(B28="","","TM-"&amp;TEXT(ROW()-4,"00"))</f>
        <v>0</v>
      </c>
      <c r="J28" s="25">
        <f>IF(OR(F28="",G28=""),"",F28*G28)</f>
        <v>0</v>
      </c>
      <c r="K28" s="25">
        <f>IF(J28="","",J28*52/12)</f>
        <v>0</v>
      </c>
      <c r="L28" s="23">
        <f>IF(B28="","",COUNTIF('Content Calendar'!$W$5:$W$604,B28))</f>
        <v>0</v>
      </c>
      <c r="M28" s="23">
        <f>IF(B28="","",COUNTIFS('Content Calendar'!$W$5:$W$604,B28,'Content Calendar'!$X$5:$X$604,"Published"))</f>
        <v>0</v>
      </c>
      <c r="N28" s="23">
        <f>IF(B28="","",COUNTIFS('Content Calendar'!$W$5:$W$604,B28,'Content Calendar'!$AM$5:$AM$604,"Overdue*"))</f>
        <v>0</v>
      </c>
      <c r="O28" s="23">
        <f>IF(B28="","",COUNTIFS(Tasks!$C$5:$C$64,B28,Tasks!$G$5:$G$64,"&lt;&gt;Complete"))</f>
        <v>0</v>
      </c>
      <c r="P28" s="23">
        <f>IF(B28="","",COUNTIFS(Tasks!$C$5:$C$64,B28,Tasks!$G$5:$G$64,"&lt;&gt;Complete",Tasks!$D$5:$D$64,"&lt;"&amp;TODAY()))</f>
        <v>0</v>
      </c>
      <c r="Q28" s="24">
        <f>IF(OR(L28="",L28=0),"",1-N28/L28)</f>
        <v>0</v>
      </c>
      <c r="R28" s="29">
        <f>IF(B28="","",IF(P28&gt;0,"Action - overdue tasks",IF(N28&gt;0,"Check - late content",IF(L28=0,"Add - nothing assigned","OK"))))</f>
        <v>0</v>
      </c>
    </row>
    <row r="29" spans="1:18">
      <c r="A29" s="41">
        <f>IF(B29="","","TM-"&amp;TEXT(ROW()-4,"00"))</f>
        <v>0</v>
      </c>
      <c r="J29" s="25">
        <f>IF(OR(F29="",G29=""),"",F29*G29)</f>
        <v>0</v>
      </c>
      <c r="K29" s="25">
        <f>IF(J29="","",J29*52/12)</f>
        <v>0</v>
      </c>
      <c r="L29" s="23">
        <f>IF(B29="","",COUNTIF('Content Calendar'!$W$5:$W$604,B29))</f>
        <v>0</v>
      </c>
      <c r="M29" s="23">
        <f>IF(B29="","",COUNTIFS('Content Calendar'!$W$5:$W$604,B29,'Content Calendar'!$X$5:$X$604,"Published"))</f>
        <v>0</v>
      </c>
      <c r="N29" s="23">
        <f>IF(B29="","",COUNTIFS('Content Calendar'!$W$5:$W$604,B29,'Content Calendar'!$AM$5:$AM$604,"Overdue*"))</f>
        <v>0</v>
      </c>
      <c r="O29" s="23">
        <f>IF(B29="","",COUNTIFS(Tasks!$C$5:$C$64,B29,Tasks!$G$5:$G$64,"&lt;&gt;Complete"))</f>
        <v>0</v>
      </c>
      <c r="P29" s="23">
        <f>IF(B29="","",COUNTIFS(Tasks!$C$5:$C$64,B29,Tasks!$G$5:$G$64,"&lt;&gt;Complete",Tasks!$D$5:$D$64,"&lt;"&amp;TODAY()))</f>
        <v>0</v>
      </c>
      <c r="Q29" s="24">
        <f>IF(OR(L29="",L29=0),"",1-N29/L29)</f>
        <v>0</v>
      </c>
      <c r="R29" s="29">
        <f>IF(B29="","",IF(P29&gt;0,"Action - overdue tasks",IF(N29&gt;0,"Check - late content",IF(L29=0,"Add - nothing assigned","OK"))))</f>
        <v>0</v>
      </c>
    </row>
    <row r="30" spans="1:18">
      <c r="A30" s="41">
        <f>IF(B30="","","TM-"&amp;TEXT(ROW()-4,"00"))</f>
        <v>0</v>
      </c>
      <c r="J30" s="25">
        <f>IF(OR(F30="",G30=""),"",F30*G30)</f>
        <v>0</v>
      </c>
      <c r="K30" s="25">
        <f>IF(J30="","",J30*52/12)</f>
        <v>0</v>
      </c>
      <c r="L30" s="23">
        <f>IF(B30="","",COUNTIF('Content Calendar'!$W$5:$W$604,B30))</f>
        <v>0</v>
      </c>
      <c r="M30" s="23">
        <f>IF(B30="","",COUNTIFS('Content Calendar'!$W$5:$W$604,B30,'Content Calendar'!$X$5:$X$604,"Published"))</f>
        <v>0</v>
      </c>
      <c r="N30" s="23">
        <f>IF(B30="","",COUNTIFS('Content Calendar'!$W$5:$W$604,B30,'Content Calendar'!$AM$5:$AM$604,"Overdue*"))</f>
        <v>0</v>
      </c>
      <c r="O30" s="23">
        <f>IF(B30="","",COUNTIFS(Tasks!$C$5:$C$64,B30,Tasks!$G$5:$G$64,"&lt;&gt;Complete"))</f>
        <v>0</v>
      </c>
      <c r="P30" s="23">
        <f>IF(B30="","",COUNTIFS(Tasks!$C$5:$C$64,B30,Tasks!$G$5:$G$64,"&lt;&gt;Complete",Tasks!$D$5:$D$64,"&lt;"&amp;TODAY()))</f>
        <v>0</v>
      </c>
      <c r="Q30" s="24">
        <f>IF(OR(L30="",L30=0),"",1-N30/L30)</f>
        <v>0</v>
      </c>
      <c r="R30" s="29">
        <f>IF(B30="","",IF(P30&gt;0,"Action - overdue tasks",IF(N30&gt;0,"Check - late content",IF(L30=0,"Add - nothing assigned","OK"))))</f>
        <v>0</v>
      </c>
    </row>
    <row r="31" spans="1:18">
      <c r="A31" s="41">
        <f>IF(B31="","","TM-"&amp;TEXT(ROW()-4,"00"))</f>
        <v>0</v>
      </c>
      <c r="J31" s="25">
        <f>IF(OR(F31="",G31=""),"",F31*G31)</f>
        <v>0</v>
      </c>
      <c r="K31" s="25">
        <f>IF(J31="","",J31*52/12)</f>
        <v>0</v>
      </c>
      <c r="L31" s="23">
        <f>IF(B31="","",COUNTIF('Content Calendar'!$W$5:$W$604,B31))</f>
        <v>0</v>
      </c>
      <c r="M31" s="23">
        <f>IF(B31="","",COUNTIFS('Content Calendar'!$W$5:$W$604,B31,'Content Calendar'!$X$5:$X$604,"Published"))</f>
        <v>0</v>
      </c>
      <c r="N31" s="23">
        <f>IF(B31="","",COUNTIFS('Content Calendar'!$W$5:$W$604,B31,'Content Calendar'!$AM$5:$AM$604,"Overdue*"))</f>
        <v>0</v>
      </c>
      <c r="O31" s="23">
        <f>IF(B31="","",COUNTIFS(Tasks!$C$5:$C$64,B31,Tasks!$G$5:$G$64,"&lt;&gt;Complete"))</f>
        <v>0</v>
      </c>
      <c r="P31" s="23">
        <f>IF(B31="","",COUNTIFS(Tasks!$C$5:$C$64,B31,Tasks!$G$5:$G$64,"&lt;&gt;Complete",Tasks!$D$5:$D$64,"&lt;"&amp;TODAY()))</f>
        <v>0</v>
      </c>
      <c r="Q31" s="24">
        <f>IF(OR(L31="",L31=0),"",1-N31/L31)</f>
        <v>0</v>
      </c>
      <c r="R31" s="29">
        <f>IF(B31="","",IF(P31&gt;0,"Action - overdue tasks",IF(N31&gt;0,"Check - late content",IF(L31=0,"Add - nothing assigned","OK"))))</f>
        <v>0</v>
      </c>
    </row>
    <row r="32" spans="1:18">
      <c r="A32" s="41">
        <f>IF(B32="","","TM-"&amp;TEXT(ROW()-4,"00"))</f>
        <v>0</v>
      </c>
      <c r="J32" s="25">
        <f>IF(OR(F32="",G32=""),"",F32*G32)</f>
        <v>0</v>
      </c>
      <c r="K32" s="25">
        <f>IF(J32="","",J32*52/12)</f>
        <v>0</v>
      </c>
      <c r="L32" s="23">
        <f>IF(B32="","",COUNTIF('Content Calendar'!$W$5:$W$604,B32))</f>
        <v>0</v>
      </c>
      <c r="M32" s="23">
        <f>IF(B32="","",COUNTIFS('Content Calendar'!$W$5:$W$604,B32,'Content Calendar'!$X$5:$X$604,"Published"))</f>
        <v>0</v>
      </c>
      <c r="N32" s="23">
        <f>IF(B32="","",COUNTIFS('Content Calendar'!$W$5:$W$604,B32,'Content Calendar'!$AM$5:$AM$604,"Overdue*"))</f>
        <v>0</v>
      </c>
      <c r="O32" s="23">
        <f>IF(B32="","",COUNTIFS(Tasks!$C$5:$C$64,B32,Tasks!$G$5:$G$64,"&lt;&gt;Complete"))</f>
        <v>0</v>
      </c>
      <c r="P32" s="23">
        <f>IF(B32="","",COUNTIFS(Tasks!$C$5:$C$64,B32,Tasks!$G$5:$G$64,"&lt;&gt;Complete",Tasks!$D$5:$D$64,"&lt;"&amp;TODAY()))</f>
        <v>0</v>
      </c>
      <c r="Q32" s="24">
        <f>IF(OR(L32="",L32=0),"",1-N32/L32)</f>
        <v>0</v>
      </c>
      <c r="R32" s="29">
        <f>IF(B32="","",IF(P32&gt;0,"Action - overdue tasks",IF(N32&gt;0,"Check - late content",IF(L32=0,"Add - nothing assigned","OK"))))</f>
        <v>0</v>
      </c>
    </row>
    <row r="33" spans="1:18">
      <c r="A33" s="41">
        <f>IF(B33="","","TM-"&amp;TEXT(ROW()-4,"00"))</f>
        <v>0</v>
      </c>
      <c r="J33" s="25">
        <f>IF(OR(F33="",G33=""),"",F33*G33)</f>
        <v>0</v>
      </c>
      <c r="K33" s="25">
        <f>IF(J33="","",J33*52/12)</f>
        <v>0</v>
      </c>
      <c r="L33" s="23">
        <f>IF(B33="","",COUNTIF('Content Calendar'!$W$5:$W$604,B33))</f>
        <v>0</v>
      </c>
      <c r="M33" s="23">
        <f>IF(B33="","",COUNTIFS('Content Calendar'!$W$5:$W$604,B33,'Content Calendar'!$X$5:$X$604,"Published"))</f>
        <v>0</v>
      </c>
      <c r="N33" s="23">
        <f>IF(B33="","",COUNTIFS('Content Calendar'!$W$5:$W$604,B33,'Content Calendar'!$AM$5:$AM$604,"Overdue*"))</f>
        <v>0</v>
      </c>
      <c r="O33" s="23">
        <f>IF(B33="","",COUNTIFS(Tasks!$C$5:$C$64,B33,Tasks!$G$5:$G$64,"&lt;&gt;Complete"))</f>
        <v>0</v>
      </c>
      <c r="P33" s="23">
        <f>IF(B33="","",COUNTIFS(Tasks!$C$5:$C$64,B33,Tasks!$G$5:$G$64,"&lt;&gt;Complete",Tasks!$D$5:$D$64,"&lt;"&amp;TODAY()))</f>
        <v>0</v>
      </c>
      <c r="Q33" s="24">
        <f>IF(OR(L33="",L33=0),"",1-N33/L33)</f>
        <v>0</v>
      </c>
      <c r="R33" s="29">
        <f>IF(B33="","",IF(P33&gt;0,"Action - overdue tasks",IF(N33&gt;0,"Check - late content",IF(L33=0,"Add - nothing assigned","OK"))))</f>
        <v>0</v>
      </c>
    </row>
    <row r="34" spans="1:18">
      <c r="A34" s="41">
        <f>IF(B34="","","TM-"&amp;TEXT(ROW()-4,"00"))</f>
        <v>0</v>
      </c>
      <c r="J34" s="25">
        <f>IF(OR(F34="",G34=""),"",F34*G34)</f>
        <v>0</v>
      </c>
      <c r="K34" s="25">
        <f>IF(J34="","",J34*52/12)</f>
        <v>0</v>
      </c>
      <c r="L34" s="23">
        <f>IF(B34="","",COUNTIF('Content Calendar'!$W$5:$W$604,B34))</f>
        <v>0</v>
      </c>
      <c r="M34" s="23">
        <f>IF(B34="","",COUNTIFS('Content Calendar'!$W$5:$W$604,B34,'Content Calendar'!$X$5:$X$604,"Published"))</f>
        <v>0</v>
      </c>
      <c r="N34" s="23">
        <f>IF(B34="","",COUNTIFS('Content Calendar'!$W$5:$W$604,B34,'Content Calendar'!$AM$5:$AM$604,"Overdue*"))</f>
        <v>0</v>
      </c>
      <c r="O34" s="23">
        <f>IF(B34="","",COUNTIFS(Tasks!$C$5:$C$64,B34,Tasks!$G$5:$G$64,"&lt;&gt;Complete"))</f>
        <v>0</v>
      </c>
      <c r="P34" s="23">
        <f>IF(B34="","",COUNTIFS(Tasks!$C$5:$C$64,B34,Tasks!$G$5:$G$64,"&lt;&gt;Complete",Tasks!$D$5:$D$64,"&lt;"&amp;TODAY()))</f>
        <v>0</v>
      </c>
      <c r="Q34" s="24">
        <f>IF(OR(L34="",L34=0),"",1-N34/L34)</f>
        <v>0</v>
      </c>
      <c r="R34" s="29">
        <f>IF(B34="","",IF(P34&gt;0,"Action - overdue tasks",IF(N34&gt;0,"Check - late content",IF(L34=0,"Add - nothing assigned","OK"))))</f>
        <v>0</v>
      </c>
    </row>
  </sheetData>
  <sheetProtection password="EC7C" sheet="1" objects="1" scenarios="1" formatCells="0" formatColumns="0" formatRows="0" insertRows="0" insertHyperlinks="0" deleteRows="0" autoFilter="0"/>
  <autoFilter ref="A4:S34"/>
  <mergeCells count="12">
    <mergeCell ref="A1:P1"/>
    <mergeCell ref="Q1:S1"/>
    <mergeCell ref="A2:S2"/>
    <mergeCell ref="A3:B3"/>
    <mergeCell ref="C3:D3"/>
    <mergeCell ref="E3:F3"/>
    <mergeCell ref="G3:H3"/>
    <mergeCell ref="I3:J3"/>
    <mergeCell ref="K3:L3"/>
    <mergeCell ref="M3:N3"/>
    <mergeCell ref="O3:P3"/>
    <mergeCell ref="Q3:R3"/>
  </mergeCells>
  <conditionalFormatting sqref="F5:F34">
    <cfRule type="dataBar" priority="1">
      <dataBar>
        <cfvo type="min" val="0"/>
        <cfvo type="max" val="0"/>
        <color rgb="FF6350A8"/>
      </dataBar>
    </cfRule>
  </conditionalFormatting>
  <conditionalFormatting sqref="H5:H34">
    <cfRule type="containsText" dxfId="2" priority="2" operator="containsText" text="No">
      <formula>NOT(ISERROR(SEARCH("No",H5)))</formula>
    </cfRule>
    <cfRule type="containsText" dxfId="0" priority="3" operator="containsText" text="Yes">
      <formula>NOT(ISERROR(SEARCH("Yes",H5)))</formula>
    </cfRule>
  </conditionalFormatting>
  <conditionalFormatting sqref="I5:I34">
    <cfRule type="containsText" dxfId="2" priority="4" operator="containsText" text="No">
      <formula>NOT(ISERROR(SEARCH("No",I5)))</formula>
    </cfRule>
    <cfRule type="containsText" dxfId="0" priority="5" operator="containsText" text="Yes">
      <formula>NOT(ISERROR(SEARCH("Yes",I5)))</formula>
    </cfRule>
  </conditionalFormatting>
  <conditionalFormatting sqref="L5:L34">
    <cfRule type="dataBar" priority="6">
      <dataBar>
        <cfvo type="min" val="0"/>
        <cfvo type="max" val="0"/>
        <color rgb="FF6350A8"/>
      </dataBar>
    </cfRule>
  </conditionalFormatting>
  <conditionalFormatting sqref="N5:N34">
    <cfRule type="cellIs" dxfId="1" priority="7" operator="greaterThan">
      <formula>0</formula>
    </cfRule>
  </conditionalFormatting>
  <conditionalFormatting sqref="P5:P34">
    <cfRule type="cellIs" dxfId="2" priority="8" operator="greaterThan">
      <formula>0</formula>
    </cfRule>
  </conditionalFormatting>
  <conditionalFormatting sqref="Q5:Q34">
    <cfRule type="cellIs" dxfId="0" priority="9" operator="greaterThanOrEqual">
      <formula>0.9</formula>
    </cfRule>
    <cfRule type="cellIs" dxfId="2" priority="10" operator="lessThan">
      <formula>0.75</formula>
    </cfRule>
  </conditionalFormatting>
  <conditionalFormatting sqref="R5:R34">
    <cfRule type="beginsWith" dxfId="0" priority="11" operator="beginsWith" text="OK">
      <formula>LEFT(R5,2)="OK"</formula>
    </cfRule>
    <cfRule type="containsText" dxfId="1" priority="12" operator="containsText" text="Overdue">
      <formula>NOT(ISERROR(SEARCH("Overdue",R5)))</formula>
    </cfRule>
    <cfRule type="containsText" dxfId="1" priority="13" operator="containsText" text="Late">
      <formula>NOT(ISERROR(SEARCH("Late",R5)))</formula>
    </cfRule>
    <cfRule type="containsText" dxfId="1" priority="14" operator="containsText" text="Missing">
      <formula>NOT(ISERROR(SEARCH("Missing",R5)))</formula>
    </cfRule>
    <cfRule type="containsText" dxfId="1" priority="15" operator="containsText" text="Conflict">
      <formula>NOT(ISERROR(SEARCH("Conflict",R5)))</formula>
    </cfRule>
    <cfRule type="containsText" dxfId="1" priority="16" operator="containsText" text="Expired">
      <formula>NOT(ISERROR(SEARCH("Expired",R5)))</formula>
    </cfRule>
    <cfRule type="containsText" dxfId="1" priority="17" operator="containsText" text="Duplicate">
      <formula>NOT(ISERROR(SEARCH("Duplicate",R5)))</formula>
    </cfRule>
    <cfRule type="containsText" dxfId="2" priority="18" operator="containsText" text="Action">
      <formula>NOT(ISERROR(SEARCH("Action",R5)))</formula>
    </cfRule>
    <cfRule type="containsText" dxfId="2" priority="19" operator="containsText" text="Due">
      <formula>NOT(ISERROR(SEARCH("Due",R5)))</formula>
    </cfRule>
    <cfRule type="containsText" dxfId="2" priority="20" operator="containsText" text="Check">
      <formula>NOT(ISERROR(SEARCH("Check",R5)))</formula>
    </cfRule>
    <cfRule type="containsText" dxfId="2" priority="21" operator="containsText" text="Add">
      <formula>NOT(ISERROR(SEARCH("Add",R5)))</formula>
    </cfRule>
    <cfRule type="containsText" dxfId="3" priority="22" operator="containsText" text="Today">
      <formula>NOT(ISERROR(SEARCH("Today",R5)))</formula>
    </cfRule>
    <cfRule type="containsText" dxfId="3" priority="23" operator="containsText" text="Upcoming">
      <formula>NOT(ISERROR(SEARCH("Upcoming",R5)))</formula>
    </cfRule>
  </conditionalFormatting>
  <dataValidations count="5">
    <dataValidation type="list" allowBlank="1" showInputMessage="1" showErrorMessage="1" sqref="C5:C34">
      <formula1>RoleList</formula1>
    </dataValidation>
    <dataValidation type="decimal" allowBlank="1" showInputMessage="1" showErrorMessage="1" errorTitle="Check the value" error="Enter a number between 0 and 168." sqref="F5:F34">
      <formula1>0</formula1>
      <formula2>168</formula2>
    </dataValidation>
    <dataValidation type="decimal" allowBlank="1" showInputMessage="1" showErrorMessage="1" errorTitle="Check the value" error="Enter a number between 0 and 1000000.0." sqref="G5:G34">
      <formula1>0</formula1>
      <formula2>1000000.0</formula2>
    </dataValidation>
    <dataValidation type="list" allowBlank="1" showInputMessage="1" showErrorMessage="1" sqref="H5:H34">
      <formula1>"Yes,No"</formula1>
    </dataValidation>
    <dataValidation type="list" allowBlank="1" showInputMessage="1" showErrorMessage="1" sqref="I5:I34">
      <formula1>"Yes,No"</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&amp;L&amp;"Calibri,Bold"&amp;12&amp;C&amp;"Calibri,Bold"&amp;11Team&amp;R&amp;"Calibri,Italic"&amp;9Social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7.xml><?xml version="1.0" encoding="utf-8"?>
<worksheet xmlns="http://schemas.openxmlformats.org/spreadsheetml/2006/main" xmlns:r="http://schemas.openxmlformats.org/officeDocument/2006/relationships">
  <sheetPr>
    <tabColor rgb="FF6350A8"/>
    <pageSetUpPr fitToPage="1"/>
  </sheetPr>
  <dimension ref="A1:M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1" customWidth="1"/>
    <col min="2" max="2" width="34.7109375" style="15" customWidth="1"/>
    <col min="3" max="3" width="16.7109375" style="15" customWidth="1"/>
    <col min="4" max="4" width="12.7109375" style="43" customWidth="1"/>
    <col min="5" max="5" width="7.7109375" style="23" customWidth="1"/>
    <col min="6" max="6" width="11.7109375" style="15" customWidth="1"/>
    <col min="7" max="7" width="14.7109375" style="48" customWidth="1"/>
    <col min="8" max="8" width="20.7109375" style="15" customWidth="1"/>
    <col min="9" max="9" width="13.7109375" style="15" customWidth="1"/>
    <col min="10" max="10" width="28.7109375" style="17" customWidth="1"/>
    <col min="11" max="11" width="10.7109375" style="23" customWidth="1"/>
    <col min="12" max="12" width="26.7109375" style="29" customWidth="1"/>
    <col min="13" max="13" width="28.7109375" style="39" customWidth="1"/>
  </cols>
  <sheetData>
    <row r="1" spans="1:13" ht="34" customHeight="1">
      <c r="A1" s="2" t="s">
        <v>2099</v>
      </c>
      <c r="B1" s="2"/>
      <c r="C1" s="2"/>
      <c r="D1" s="2"/>
      <c r="E1" s="2"/>
      <c r="F1" s="2"/>
      <c r="G1" s="2"/>
      <c r="H1" s="2"/>
      <c r="I1" s="2"/>
      <c r="J1" s="2"/>
      <c r="K1" s="3" t="s">
        <v>1</v>
      </c>
      <c r="L1" s="3"/>
      <c r="M1" s="3"/>
    </row>
    <row r="2" spans="1:13" ht="18" customHeight="1">
      <c r="A2" s="4" t="s">
        <v>2100</v>
      </c>
      <c r="B2" s="4"/>
      <c r="C2" s="4"/>
      <c r="D2" s="4"/>
      <c r="E2" s="4"/>
      <c r="F2" s="4"/>
      <c r="G2" s="4"/>
      <c r="H2" s="4"/>
      <c r="I2" s="4"/>
      <c r="J2" s="4"/>
      <c r="K2" s="4"/>
      <c r="L2" s="4"/>
      <c r="M2" s="4"/>
    </row>
    <row r="3" spans="1:13" ht="16" customHeight="1">
      <c r="A3" s="5" t="s">
        <v>3</v>
      </c>
      <c r="B3" s="5"/>
      <c r="C3" s="5" t="s">
        <v>4</v>
      </c>
      <c r="D3" s="5"/>
      <c r="E3" s="5" t="s">
        <v>5</v>
      </c>
      <c r="F3" s="5"/>
      <c r="G3" s="5" t="s">
        <v>6</v>
      </c>
      <c r="H3" s="5"/>
      <c r="I3" s="5" t="s">
        <v>7</v>
      </c>
      <c r="J3" s="5"/>
      <c r="K3" s="5" t="s">
        <v>8</v>
      </c>
      <c r="L3" s="5"/>
      <c r="M3" s="33" t="s">
        <v>205</v>
      </c>
    </row>
    <row r="4" spans="1:13" ht="30" customHeight="1">
      <c r="A4" s="8" t="s">
        <v>766</v>
      </c>
      <c r="B4" s="8" t="s">
        <v>2101</v>
      </c>
      <c r="C4" s="9" t="s">
        <v>222</v>
      </c>
      <c r="D4" s="9" t="s">
        <v>1682</v>
      </c>
      <c r="E4" s="9" t="s">
        <v>903</v>
      </c>
      <c r="F4" s="9" t="s">
        <v>474</v>
      </c>
      <c r="G4" s="9" t="s">
        <v>221</v>
      </c>
      <c r="H4" s="9" t="s">
        <v>1604</v>
      </c>
      <c r="I4" s="9" t="s">
        <v>2102</v>
      </c>
      <c r="J4" s="9" t="s">
        <v>2103</v>
      </c>
      <c r="K4" s="9" t="s">
        <v>916</v>
      </c>
      <c r="L4" s="9" t="s">
        <v>787</v>
      </c>
      <c r="M4" s="9" t="s">
        <v>788</v>
      </c>
    </row>
    <row r="5" spans="1:13">
      <c r="A5" s="41">
        <f>IF(B5="","","TSK-"&amp;TEXT(ROW()-4,"000"))</f>
        <v>0</v>
      </c>
      <c r="B5" s="15" t="s">
        <v>2104</v>
      </c>
      <c r="C5" s="15" t="s">
        <v>804</v>
      </c>
      <c r="D5" s="43">
        <v>46304</v>
      </c>
      <c r="E5" s="23">
        <f>IF(D5="","",WEEKNUM(D5,IF(WeekStart="Sunday",1,2)))</f>
        <v>0</v>
      </c>
      <c r="F5" s="15" t="s">
        <v>475</v>
      </c>
      <c r="G5" s="48" t="s">
        <v>580</v>
      </c>
      <c r="H5" s="15" t="s">
        <v>205</v>
      </c>
      <c r="I5" s="15" t="s">
        <v>205</v>
      </c>
      <c r="J5" s="17">
        <f>IF(I5="","",IFERROR(INDEX('Content Calendar'!$H$5:$H$604,MATCH(I5,'Content Calendar'!$A$5:$A$604,0)),"Not found"))</f>
        <v>0</v>
      </c>
      <c r="K5" s="23">
        <f>IF(OR(D5="",G5="Complete"),"",D5-TODAY())</f>
        <v>0</v>
      </c>
      <c r="L5" s="29">
        <f>IF(B5="","",IF(G5="Complete","OK",IF(AND(D5&lt;&gt;"",D5&lt;TODAY()),"Overdue",IF(D5=TODAY(),"Today - due now",IF(G5="Blocked","Action - unblock this",IF(AND(K5&lt;&gt;"",K5&lt;=2),"Due - this week","OK"))))))</f>
        <v>0</v>
      </c>
      <c r="M5" s="39" t="s">
        <v>205</v>
      </c>
    </row>
    <row r="6" spans="1:13">
      <c r="A6" s="41">
        <f>IF(B6="","","TSK-"&amp;TEXT(ROW()-4,"000"))</f>
        <v>0</v>
      </c>
      <c r="B6" s="15" t="s">
        <v>2105</v>
      </c>
      <c r="C6" s="15" t="s">
        <v>801</v>
      </c>
      <c r="D6" s="43">
        <v>46307</v>
      </c>
      <c r="E6" s="23">
        <f>IF(D6="","",WEEKNUM(D6,IF(WeekStart="Sunday",1,2)))</f>
        <v>0</v>
      </c>
      <c r="F6" s="15" t="s">
        <v>475</v>
      </c>
      <c r="G6" s="48" t="s">
        <v>541</v>
      </c>
      <c r="H6" s="15" t="s">
        <v>1049</v>
      </c>
      <c r="I6" s="15" t="s">
        <v>205</v>
      </c>
      <c r="J6" s="17">
        <f>IF(I6="","",IFERROR(INDEX('Content Calendar'!$H$5:$H$604,MATCH(I6,'Content Calendar'!$A$5:$A$604,0)),"Not found"))</f>
        <v>0</v>
      </c>
      <c r="K6" s="23">
        <f>IF(OR(D6="",G6="Complete"),"",D6-TODAY())</f>
        <v>0</v>
      </c>
      <c r="L6" s="29">
        <f>IF(B6="","",IF(G6="Complete","OK",IF(AND(D6&lt;&gt;"",D6&lt;TODAY()),"Overdue",IF(D6=TODAY(),"Today - due now",IF(G6="Blocked","Action - unblock this",IF(AND(K6&lt;&gt;"",K6&lt;=2),"Due - this week","OK"))))))</f>
        <v>0</v>
      </c>
      <c r="M6" s="39" t="s">
        <v>205</v>
      </c>
    </row>
    <row r="7" spans="1:13">
      <c r="A7" s="41">
        <f>IF(B7="","","TSK-"&amp;TEXT(ROW()-4,"000"))</f>
        <v>0</v>
      </c>
      <c r="B7" s="15" t="s">
        <v>2106</v>
      </c>
      <c r="C7" s="15" t="s">
        <v>281</v>
      </c>
      <c r="D7" s="43">
        <v>46308</v>
      </c>
      <c r="E7" s="23">
        <f>IF(D7="","",WEEKNUM(D7,IF(WeekStart="Sunday",1,2)))</f>
        <v>0</v>
      </c>
      <c r="F7" s="15" t="s">
        <v>476</v>
      </c>
      <c r="G7" s="48" t="s">
        <v>541</v>
      </c>
      <c r="H7" s="15" t="s">
        <v>1049</v>
      </c>
      <c r="I7" s="15" t="s">
        <v>205</v>
      </c>
      <c r="J7" s="17">
        <f>IF(I7="","",IFERROR(INDEX('Content Calendar'!$H$5:$H$604,MATCH(I7,'Content Calendar'!$A$5:$A$604,0)),"Not found"))</f>
        <v>0</v>
      </c>
      <c r="K7" s="23">
        <f>IF(OR(D7="",G7="Complete"),"",D7-TODAY())</f>
        <v>0</v>
      </c>
      <c r="L7" s="29">
        <f>IF(B7="","",IF(G7="Complete","OK",IF(AND(D7&lt;&gt;"",D7&lt;TODAY()),"Overdue",IF(D7=TODAY(),"Today - due now",IF(G7="Blocked","Action - unblock this",IF(AND(K7&lt;&gt;"",K7&lt;=2),"Due - this week","OK"))))))</f>
        <v>0</v>
      </c>
      <c r="M7" s="39" t="s">
        <v>205</v>
      </c>
    </row>
    <row r="8" spans="1:13">
      <c r="A8" s="41">
        <f>IF(B8="","","TSK-"&amp;TEXT(ROW()-4,"000"))</f>
        <v>0</v>
      </c>
      <c r="B8" s="15" t="s">
        <v>2107</v>
      </c>
      <c r="C8" s="15" t="s">
        <v>797</v>
      </c>
      <c r="D8" s="43">
        <v>46309</v>
      </c>
      <c r="E8" s="23">
        <f>IF(D8="","",WEEKNUM(D8,IF(WeekStart="Sunday",1,2)))</f>
        <v>0</v>
      </c>
      <c r="F8" s="15" t="s">
        <v>475</v>
      </c>
      <c r="G8" s="48" t="s">
        <v>541</v>
      </c>
      <c r="H8" s="15" t="s">
        <v>1049</v>
      </c>
      <c r="I8" s="15" t="s">
        <v>205</v>
      </c>
      <c r="J8" s="17">
        <f>IF(I8="","",IFERROR(INDEX('Content Calendar'!$H$5:$H$604,MATCH(I8,'Content Calendar'!$A$5:$A$604,0)),"Not found"))</f>
        <v>0</v>
      </c>
      <c r="K8" s="23">
        <f>IF(OR(D8="",G8="Complete"),"",D8-TODAY())</f>
        <v>0</v>
      </c>
      <c r="L8" s="29">
        <f>IF(B8="","",IF(G8="Complete","OK",IF(AND(D8&lt;&gt;"",D8&lt;TODAY()),"Overdue",IF(D8=TODAY(),"Today - due now",IF(G8="Blocked","Action - unblock this",IF(AND(K8&lt;&gt;"",K8&lt;=2),"Due - this week","OK"))))))</f>
        <v>0</v>
      </c>
      <c r="M8" s="39" t="s">
        <v>205</v>
      </c>
    </row>
    <row r="9" spans="1:13">
      <c r="A9" s="41">
        <f>IF(B9="","","TSK-"&amp;TEXT(ROW()-4,"000"))</f>
        <v>0</v>
      </c>
      <c r="B9" s="15" t="s">
        <v>2108</v>
      </c>
      <c r="C9" s="15" t="s">
        <v>797</v>
      </c>
      <c r="D9" s="43">
        <v>46312</v>
      </c>
      <c r="E9" s="23">
        <f>IF(D9="","",WEEKNUM(D9,IF(WeekStart="Sunday",1,2)))</f>
        <v>0</v>
      </c>
      <c r="F9" s="15" t="s">
        <v>476</v>
      </c>
      <c r="G9" s="48" t="s">
        <v>541</v>
      </c>
      <c r="H9" s="15" t="s">
        <v>1049</v>
      </c>
      <c r="I9" s="15" t="s">
        <v>205</v>
      </c>
      <c r="J9" s="17">
        <f>IF(I9="","",IFERROR(INDEX('Content Calendar'!$H$5:$H$604,MATCH(I9,'Content Calendar'!$A$5:$A$604,0)),"Not found"))</f>
        <v>0</v>
      </c>
      <c r="K9" s="23">
        <f>IF(OR(D9="",G9="Complete"),"",D9-TODAY())</f>
        <v>0</v>
      </c>
      <c r="L9" s="29">
        <f>IF(B9="","",IF(G9="Complete","OK",IF(AND(D9&lt;&gt;"",D9&lt;TODAY()),"Overdue",IF(D9=TODAY(),"Today - due now",IF(G9="Blocked","Action - unblock this",IF(AND(K9&lt;&gt;"",K9&lt;=2),"Due - this week","OK"))))))</f>
        <v>0</v>
      </c>
      <c r="M9" s="39" t="s">
        <v>205</v>
      </c>
    </row>
    <row r="10" spans="1:13">
      <c r="A10" s="41">
        <f>IF(B10="","","TSK-"&amp;TEXT(ROW()-4,"000"))</f>
        <v>0</v>
      </c>
      <c r="B10" s="15" t="s">
        <v>2109</v>
      </c>
      <c r="C10" s="15" t="s">
        <v>797</v>
      </c>
      <c r="D10" s="43">
        <v>46305</v>
      </c>
      <c r="E10" s="23">
        <f>IF(D10="","",WEEKNUM(D10,IF(WeekStart="Sunday",1,2)))</f>
        <v>0</v>
      </c>
      <c r="F10" s="15" t="s">
        <v>475</v>
      </c>
      <c r="G10" s="48" t="s">
        <v>580</v>
      </c>
      <c r="H10" s="15" t="s">
        <v>205</v>
      </c>
      <c r="I10" s="15" t="s">
        <v>205</v>
      </c>
      <c r="J10" s="17">
        <f>IF(I10="","",IFERROR(INDEX('Content Calendar'!$H$5:$H$604,MATCH(I10,'Content Calendar'!$A$5:$A$604,0)),"Not found"))</f>
        <v>0</v>
      </c>
      <c r="K10" s="23">
        <f>IF(OR(D10="",G10="Complete"),"",D10-TODAY())</f>
        <v>0</v>
      </c>
      <c r="L10" s="29">
        <f>IF(B10="","",IF(G10="Complete","OK",IF(AND(D10&lt;&gt;"",D10&lt;TODAY()),"Overdue",IF(D10=TODAY(),"Today - due now",IF(G10="Blocked","Action - unblock this",IF(AND(K10&lt;&gt;"",K10&lt;=2),"Due - this week","OK"))))))</f>
        <v>0</v>
      </c>
      <c r="M10" s="39" t="s">
        <v>205</v>
      </c>
    </row>
    <row r="11" spans="1:13">
      <c r="A11" s="41">
        <f>IF(B11="","","TSK-"&amp;TEXT(ROW()-4,"000"))</f>
        <v>0</v>
      </c>
      <c r="B11" s="15" t="s">
        <v>2110</v>
      </c>
      <c r="C11" s="15" t="s">
        <v>281</v>
      </c>
      <c r="D11" s="43">
        <v>46311</v>
      </c>
      <c r="E11" s="23">
        <f>IF(D11="","",WEEKNUM(D11,IF(WeekStart="Sunday",1,2)))</f>
        <v>0</v>
      </c>
      <c r="F11" s="15" t="s">
        <v>476</v>
      </c>
      <c r="G11" s="48" t="s">
        <v>541</v>
      </c>
      <c r="H11" s="15" t="s">
        <v>1049</v>
      </c>
      <c r="I11" s="15" t="s">
        <v>205</v>
      </c>
      <c r="J11" s="17">
        <f>IF(I11="","",IFERROR(INDEX('Content Calendar'!$H$5:$H$604,MATCH(I11,'Content Calendar'!$A$5:$A$604,0)),"Not found"))</f>
        <v>0</v>
      </c>
      <c r="K11" s="23">
        <f>IF(OR(D11="",G11="Complete"),"",D11-TODAY())</f>
        <v>0</v>
      </c>
      <c r="L11" s="29">
        <f>IF(B11="","",IF(G11="Complete","OK",IF(AND(D11&lt;&gt;"",D11&lt;TODAY()),"Overdue",IF(D11=TODAY(),"Today - due now",IF(G11="Blocked","Action - unblock this",IF(AND(K11&lt;&gt;"",K11&lt;=2),"Due - this week","OK"))))))</f>
        <v>0</v>
      </c>
      <c r="M11" s="39" t="s">
        <v>205</v>
      </c>
    </row>
    <row r="12" spans="1:13">
      <c r="A12" s="41">
        <f>IF(B12="","","TSK-"&amp;TEXT(ROW()-4,"000"))</f>
        <v>0</v>
      </c>
      <c r="B12" s="15" t="s">
        <v>2111</v>
      </c>
      <c r="C12" s="15" t="s">
        <v>797</v>
      </c>
      <c r="D12" s="43">
        <v>46315</v>
      </c>
      <c r="E12" s="23">
        <f>IF(D12="","",WEEKNUM(D12,IF(WeekStart="Sunday",1,2)))</f>
        <v>0</v>
      </c>
      <c r="F12" s="15" t="s">
        <v>477</v>
      </c>
      <c r="G12" s="48" t="s">
        <v>541</v>
      </c>
      <c r="H12" s="15" t="s">
        <v>1049</v>
      </c>
      <c r="I12" s="15" t="s">
        <v>205</v>
      </c>
      <c r="J12" s="17">
        <f>IF(I12="","",IFERROR(INDEX('Content Calendar'!$H$5:$H$604,MATCH(I12,'Content Calendar'!$A$5:$A$604,0)),"Not found"))</f>
        <v>0</v>
      </c>
      <c r="K12" s="23">
        <f>IF(OR(D12="",G12="Complete"),"",D12-TODAY())</f>
        <v>0</v>
      </c>
      <c r="L12" s="29">
        <f>IF(B12="","",IF(G12="Complete","OK",IF(AND(D12&lt;&gt;"",D12&lt;TODAY()),"Overdue",IF(D12=TODAY(),"Today - due now",IF(G12="Blocked","Action - unblock this",IF(AND(K12&lt;&gt;"",K12&lt;=2),"Due - this week","OK"))))))</f>
        <v>0</v>
      </c>
      <c r="M12" s="39" t="s">
        <v>205</v>
      </c>
    </row>
    <row r="13" spans="1:13">
      <c r="A13" s="41">
        <f>IF(B13="","","TSK-"&amp;TEXT(ROW()-4,"000"))</f>
        <v>0</v>
      </c>
      <c r="B13" s="15" t="s">
        <v>2112</v>
      </c>
      <c r="C13" s="15" t="s">
        <v>797</v>
      </c>
      <c r="D13" s="43">
        <v>46318</v>
      </c>
      <c r="E13" s="23">
        <f>IF(D13="","",WEEKNUM(D13,IF(WeekStart="Sunday",1,2)))</f>
        <v>0</v>
      </c>
      <c r="F13" s="15" t="s">
        <v>475</v>
      </c>
      <c r="G13" s="48" t="s">
        <v>541</v>
      </c>
      <c r="H13" s="15" t="s">
        <v>1049</v>
      </c>
      <c r="I13" s="15" t="s">
        <v>205</v>
      </c>
      <c r="J13" s="17">
        <f>IF(I13="","",IFERROR(INDEX('Content Calendar'!$H$5:$H$604,MATCH(I13,'Content Calendar'!$A$5:$A$604,0)),"Not found"))</f>
        <v>0</v>
      </c>
      <c r="K13" s="23">
        <f>IF(OR(D13="",G13="Complete"),"",D13-TODAY())</f>
        <v>0</v>
      </c>
      <c r="L13" s="29">
        <f>IF(B13="","",IF(G13="Complete","OK",IF(AND(D13&lt;&gt;"",D13&lt;TODAY()),"Overdue",IF(D13=TODAY(),"Today - due now",IF(G13="Blocked","Action - unblock this",IF(AND(K13&lt;&gt;"",K13&lt;=2),"Due - this week","OK"))))))</f>
        <v>0</v>
      </c>
      <c r="M13" s="39" t="s">
        <v>205</v>
      </c>
    </row>
    <row r="14" spans="1:13">
      <c r="A14" s="41">
        <f>IF(B14="","","TSK-"&amp;TEXT(ROW()-4,"000"))</f>
        <v>0</v>
      </c>
      <c r="B14" s="15" t="s">
        <v>2113</v>
      </c>
      <c r="C14" s="15" t="s">
        <v>281</v>
      </c>
      <c r="D14" s="43">
        <v>46322</v>
      </c>
      <c r="E14" s="23">
        <f>IF(D14="","",WEEKNUM(D14,IF(WeekStart="Sunday",1,2)))</f>
        <v>0</v>
      </c>
      <c r="F14" s="15" t="s">
        <v>477</v>
      </c>
      <c r="G14" s="48" t="s">
        <v>541</v>
      </c>
      <c r="H14" s="15" t="s">
        <v>1049</v>
      </c>
      <c r="I14" s="15" t="s">
        <v>205</v>
      </c>
      <c r="J14" s="17">
        <f>IF(I14="","",IFERROR(INDEX('Content Calendar'!$H$5:$H$604,MATCH(I14,'Content Calendar'!$A$5:$A$604,0)),"Not found"))</f>
        <v>0</v>
      </c>
      <c r="K14" s="23">
        <f>IF(OR(D14="",G14="Complete"),"",D14-TODAY())</f>
        <v>0</v>
      </c>
      <c r="L14" s="29">
        <f>IF(B14="","",IF(G14="Complete","OK",IF(AND(D14&lt;&gt;"",D14&lt;TODAY()),"Overdue",IF(D14=TODAY(),"Today - due now",IF(G14="Blocked","Action - unblock this",IF(AND(K14&lt;&gt;"",K14&lt;=2),"Due - this week","OK"))))))</f>
        <v>0</v>
      </c>
      <c r="M14" s="39" t="s">
        <v>205</v>
      </c>
    </row>
    <row r="15" spans="1:13">
      <c r="A15" s="41">
        <f>IF(B15="","","TSK-"&amp;TEXT(ROW()-4,"000"))</f>
        <v>0</v>
      </c>
      <c r="E15" s="23">
        <f>IF(D15="","",WEEKNUM(D15,IF(WeekStart="Sunday",1,2)))</f>
        <v>0</v>
      </c>
      <c r="J15" s="17">
        <f>IF(I15="","",IFERROR(INDEX('Content Calendar'!$H$5:$H$604,MATCH(I15,'Content Calendar'!$A$5:$A$604,0)),"Not found"))</f>
        <v>0</v>
      </c>
      <c r="K15" s="23">
        <f>IF(OR(D15="",G15="Complete"),"",D15-TODAY())</f>
        <v>0</v>
      </c>
      <c r="L15" s="29">
        <f>IF(B15="","",IF(G15="Complete","OK",IF(AND(D15&lt;&gt;"",D15&lt;TODAY()),"Overdue",IF(D15=TODAY(),"Today - due now",IF(G15="Blocked","Action - unblock this",IF(AND(K15&lt;&gt;"",K15&lt;=2),"Due - this week","OK"))))))</f>
        <v>0</v>
      </c>
    </row>
    <row r="16" spans="1:13">
      <c r="A16" s="41">
        <f>IF(B16="","","TSK-"&amp;TEXT(ROW()-4,"000"))</f>
        <v>0</v>
      </c>
      <c r="E16" s="23">
        <f>IF(D16="","",WEEKNUM(D16,IF(WeekStart="Sunday",1,2)))</f>
        <v>0</v>
      </c>
      <c r="J16" s="17">
        <f>IF(I16="","",IFERROR(INDEX('Content Calendar'!$H$5:$H$604,MATCH(I16,'Content Calendar'!$A$5:$A$604,0)),"Not found"))</f>
        <v>0</v>
      </c>
      <c r="K16" s="23">
        <f>IF(OR(D16="",G16="Complete"),"",D16-TODAY())</f>
        <v>0</v>
      </c>
      <c r="L16" s="29">
        <f>IF(B16="","",IF(G16="Complete","OK",IF(AND(D16&lt;&gt;"",D16&lt;TODAY()),"Overdue",IF(D16=TODAY(),"Today - due now",IF(G16="Blocked","Action - unblock this",IF(AND(K16&lt;&gt;"",K16&lt;=2),"Due - this week","OK"))))))</f>
        <v>0</v>
      </c>
    </row>
    <row r="17" spans="1:12">
      <c r="A17" s="41">
        <f>IF(B17="","","TSK-"&amp;TEXT(ROW()-4,"000"))</f>
        <v>0</v>
      </c>
      <c r="E17" s="23">
        <f>IF(D17="","",WEEKNUM(D17,IF(WeekStart="Sunday",1,2)))</f>
        <v>0</v>
      </c>
      <c r="J17" s="17">
        <f>IF(I17="","",IFERROR(INDEX('Content Calendar'!$H$5:$H$604,MATCH(I17,'Content Calendar'!$A$5:$A$604,0)),"Not found"))</f>
        <v>0</v>
      </c>
      <c r="K17" s="23">
        <f>IF(OR(D17="",G17="Complete"),"",D17-TODAY())</f>
        <v>0</v>
      </c>
      <c r="L17" s="29">
        <f>IF(B17="","",IF(G17="Complete","OK",IF(AND(D17&lt;&gt;"",D17&lt;TODAY()),"Overdue",IF(D17=TODAY(),"Today - due now",IF(G17="Blocked","Action - unblock this",IF(AND(K17&lt;&gt;"",K17&lt;=2),"Due - this week","OK"))))))</f>
        <v>0</v>
      </c>
    </row>
    <row r="18" spans="1:12">
      <c r="A18" s="41">
        <f>IF(B18="","","TSK-"&amp;TEXT(ROW()-4,"000"))</f>
        <v>0</v>
      </c>
      <c r="E18" s="23">
        <f>IF(D18="","",WEEKNUM(D18,IF(WeekStart="Sunday",1,2)))</f>
        <v>0</v>
      </c>
      <c r="J18" s="17">
        <f>IF(I18="","",IFERROR(INDEX('Content Calendar'!$H$5:$H$604,MATCH(I18,'Content Calendar'!$A$5:$A$604,0)),"Not found"))</f>
        <v>0</v>
      </c>
      <c r="K18" s="23">
        <f>IF(OR(D18="",G18="Complete"),"",D18-TODAY())</f>
        <v>0</v>
      </c>
      <c r="L18" s="29">
        <f>IF(B18="","",IF(G18="Complete","OK",IF(AND(D18&lt;&gt;"",D18&lt;TODAY()),"Overdue",IF(D18=TODAY(),"Today - due now",IF(G18="Blocked","Action - unblock this",IF(AND(K18&lt;&gt;"",K18&lt;=2),"Due - this week","OK"))))))</f>
        <v>0</v>
      </c>
    </row>
    <row r="19" spans="1:12">
      <c r="A19" s="41">
        <f>IF(B19="","","TSK-"&amp;TEXT(ROW()-4,"000"))</f>
        <v>0</v>
      </c>
      <c r="E19" s="23">
        <f>IF(D19="","",WEEKNUM(D19,IF(WeekStart="Sunday",1,2)))</f>
        <v>0</v>
      </c>
      <c r="J19" s="17">
        <f>IF(I19="","",IFERROR(INDEX('Content Calendar'!$H$5:$H$604,MATCH(I19,'Content Calendar'!$A$5:$A$604,0)),"Not found"))</f>
        <v>0</v>
      </c>
      <c r="K19" s="23">
        <f>IF(OR(D19="",G19="Complete"),"",D19-TODAY())</f>
        <v>0</v>
      </c>
      <c r="L19" s="29">
        <f>IF(B19="","",IF(G19="Complete","OK",IF(AND(D19&lt;&gt;"",D19&lt;TODAY()),"Overdue",IF(D19=TODAY(),"Today - due now",IF(G19="Blocked","Action - unblock this",IF(AND(K19&lt;&gt;"",K19&lt;=2),"Due - this week","OK"))))))</f>
        <v>0</v>
      </c>
    </row>
    <row r="20" spans="1:12">
      <c r="A20" s="41">
        <f>IF(B20="","","TSK-"&amp;TEXT(ROW()-4,"000"))</f>
        <v>0</v>
      </c>
      <c r="E20" s="23">
        <f>IF(D20="","",WEEKNUM(D20,IF(WeekStart="Sunday",1,2)))</f>
        <v>0</v>
      </c>
      <c r="J20" s="17">
        <f>IF(I20="","",IFERROR(INDEX('Content Calendar'!$H$5:$H$604,MATCH(I20,'Content Calendar'!$A$5:$A$604,0)),"Not found"))</f>
        <v>0</v>
      </c>
      <c r="K20" s="23">
        <f>IF(OR(D20="",G20="Complete"),"",D20-TODAY())</f>
        <v>0</v>
      </c>
      <c r="L20" s="29">
        <f>IF(B20="","",IF(G20="Complete","OK",IF(AND(D20&lt;&gt;"",D20&lt;TODAY()),"Overdue",IF(D20=TODAY(),"Today - due now",IF(G20="Blocked","Action - unblock this",IF(AND(K20&lt;&gt;"",K20&lt;=2),"Due - this week","OK"))))))</f>
        <v>0</v>
      </c>
    </row>
    <row r="21" spans="1:12">
      <c r="A21" s="41">
        <f>IF(B21="","","TSK-"&amp;TEXT(ROW()-4,"000"))</f>
        <v>0</v>
      </c>
      <c r="E21" s="23">
        <f>IF(D21="","",WEEKNUM(D21,IF(WeekStart="Sunday",1,2)))</f>
        <v>0</v>
      </c>
      <c r="J21" s="17">
        <f>IF(I21="","",IFERROR(INDEX('Content Calendar'!$H$5:$H$604,MATCH(I21,'Content Calendar'!$A$5:$A$604,0)),"Not found"))</f>
        <v>0</v>
      </c>
      <c r="K21" s="23">
        <f>IF(OR(D21="",G21="Complete"),"",D21-TODAY())</f>
        <v>0</v>
      </c>
      <c r="L21" s="29">
        <f>IF(B21="","",IF(G21="Complete","OK",IF(AND(D21&lt;&gt;"",D21&lt;TODAY()),"Overdue",IF(D21=TODAY(),"Today - due now",IF(G21="Blocked","Action - unblock this",IF(AND(K21&lt;&gt;"",K21&lt;=2),"Due - this week","OK"))))))</f>
        <v>0</v>
      </c>
    </row>
    <row r="22" spans="1:12">
      <c r="A22" s="41">
        <f>IF(B22="","","TSK-"&amp;TEXT(ROW()-4,"000"))</f>
        <v>0</v>
      </c>
      <c r="E22" s="23">
        <f>IF(D22="","",WEEKNUM(D22,IF(WeekStart="Sunday",1,2)))</f>
        <v>0</v>
      </c>
      <c r="J22" s="17">
        <f>IF(I22="","",IFERROR(INDEX('Content Calendar'!$H$5:$H$604,MATCH(I22,'Content Calendar'!$A$5:$A$604,0)),"Not found"))</f>
        <v>0</v>
      </c>
      <c r="K22" s="23">
        <f>IF(OR(D22="",G22="Complete"),"",D22-TODAY())</f>
        <v>0</v>
      </c>
      <c r="L22" s="29">
        <f>IF(B22="","",IF(G22="Complete","OK",IF(AND(D22&lt;&gt;"",D22&lt;TODAY()),"Overdue",IF(D22=TODAY(),"Today - due now",IF(G22="Blocked","Action - unblock this",IF(AND(K22&lt;&gt;"",K22&lt;=2),"Due - this week","OK"))))))</f>
        <v>0</v>
      </c>
    </row>
    <row r="23" spans="1:12">
      <c r="A23" s="41">
        <f>IF(B23="","","TSK-"&amp;TEXT(ROW()-4,"000"))</f>
        <v>0</v>
      </c>
      <c r="E23" s="23">
        <f>IF(D23="","",WEEKNUM(D23,IF(WeekStart="Sunday",1,2)))</f>
        <v>0</v>
      </c>
      <c r="J23" s="17">
        <f>IF(I23="","",IFERROR(INDEX('Content Calendar'!$H$5:$H$604,MATCH(I23,'Content Calendar'!$A$5:$A$604,0)),"Not found"))</f>
        <v>0</v>
      </c>
      <c r="K23" s="23">
        <f>IF(OR(D23="",G23="Complete"),"",D23-TODAY())</f>
        <v>0</v>
      </c>
      <c r="L23" s="29">
        <f>IF(B23="","",IF(G23="Complete","OK",IF(AND(D23&lt;&gt;"",D23&lt;TODAY()),"Overdue",IF(D23=TODAY(),"Today - due now",IF(G23="Blocked","Action - unblock this",IF(AND(K23&lt;&gt;"",K23&lt;=2),"Due - this week","OK"))))))</f>
        <v>0</v>
      </c>
    </row>
    <row r="24" spans="1:12">
      <c r="A24" s="41">
        <f>IF(B24="","","TSK-"&amp;TEXT(ROW()-4,"000"))</f>
        <v>0</v>
      </c>
      <c r="E24" s="23">
        <f>IF(D24="","",WEEKNUM(D24,IF(WeekStart="Sunday",1,2)))</f>
        <v>0</v>
      </c>
      <c r="J24" s="17">
        <f>IF(I24="","",IFERROR(INDEX('Content Calendar'!$H$5:$H$604,MATCH(I24,'Content Calendar'!$A$5:$A$604,0)),"Not found"))</f>
        <v>0</v>
      </c>
      <c r="K24" s="23">
        <f>IF(OR(D24="",G24="Complete"),"",D24-TODAY())</f>
        <v>0</v>
      </c>
      <c r="L24" s="29">
        <f>IF(B24="","",IF(G24="Complete","OK",IF(AND(D24&lt;&gt;"",D24&lt;TODAY()),"Overdue",IF(D24=TODAY(),"Today - due now",IF(G24="Blocked","Action - unblock this",IF(AND(K24&lt;&gt;"",K24&lt;=2),"Due - this week","OK"))))))</f>
        <v>0</v>
      </c>
    </row>
    <row r="25" spans="1:12">
      <c r="A25" s="41">
        <f>IF(B25="","","TSK-"&amp;TEXT(ROW()-4,"000"))</f>
        <v>0</v>
      </c>
      <c r="E25" s="23">
        <f>IF(D25="","",WEEKNUM(D25,IF(WeekStart="Sunday",1,2)))</f>
        <v>0</v>
      </c>
      <c r="J25" s="17">
        <f>IF(I25="","",IFERROR(INDEX('Content Calendar'!$H$5:$H$604,MATCH(I25,'Content Calendar'!$A$5:$A$604,0)),"Not found"))</f>
        <v>0</v>
      </c>
      <c r="K25" s="23">
        <f>IF(OR(D25="",G25="Complete"),"",D25-TODAY())</f>
        <v>0</v>
      </c>
      <c r="L25" s="29">
        <f>IF(B25="","",IF(G25="Complete","OK",IF(AND(D25&lt;&gt;"",D25&lt;TODAY()),"Overdue",IF(D25=TODAY(),"Today - due now",IF(G25="Blocked","Action - unblock this",IF(AND(K25&lt;&gt;"",K25&lt;=2),"Due - this week","OK"))))))</f>
        <v>0</v>
      </c>
    </row>
    <row r="26" spans="1:12">
      <c r="A26" s="41">
        <f>IF(B26="","","TSK-"&amp;TEXT(ROW()-4,"000"))</f>
        <v>0</v>
      </c>
      <c r="E26" s="23">
        <f>IF(D26="","",WEEKNUM(D26,IF(WeekStart="Sunday",1,2)))</f>
        <v>0</v>
      </c>
      <c r="J26" s="17">
        <f>IF(I26="","",IFERROR(INDEX('Content Calendar'!$H$5:$H$604,MATCH(I26,'Content Calendar'!$A$5:$A$604,0)),"Not found"))</f>
        <v>0</v>
      </c>
      <c r="K26" s="23">
        <f>IF(OR(D26="",G26="Complete"),"",D26-TODAY())</f>
        <v>0</v>
      </c>
      <c r="L26" s="29">
        <f>IF(B26="","",IF(G26="Complete","OK",IF(AND(D26&lt;&gt;"",D26&lt;TODAY()),"Overdue",IF(D26=TODAY(),"Today - due now",IF(G26="Blocked","Action - unblock this",IF(AND(K26&lt;&gt;"",K26&lt;=2),"Due - this week","OK"))))))</f>
        <v>0</v>
      </c>
    </row>
    <row r="27" spans="1:12">
      <c r="A27" s="41">
        <f>IF(B27="","","TSK-"&amp;TEXT(ROW()-4,"000"))</f>
        <v>0</v>
      </c>
      <c r="E27" s="23">
        <f>IF(D27="","",WEEKNUM(D27,IF(WeekStart="Sunday",1,2)))</f>
        <v>0</v>
      </c>
      <c r="J27" s="17">
        <f>IF(I27="","",IFERROR(INDEX('Content Calendar'!$H$5:$H$604,MATCH(I27,'Content Calendar'!$A$5:$A$604,0)),"Not found"))</f>
        <v>0</v>
      </c>
      <c r="K27" s="23">
        <f>IF(OR(D27="",G27="Complete"),"",D27-TODAY())</f>
        <v>0</v>
      </c>
      <c r="L27" s="29">
        <f>IF(B27="","",IF(G27="Complete","OK",IF(AND(D27&lt;&gt;"",D27&lt;TODAY()),"Overdue",IF(D27=TODAY(),"Today - due now",IF(G27="Blocked","Action - unblock this",IF(AND(K27&lt;&gt;"",K27&lt;=2),"Due - this week","OK"))))))</f>
        <v>0</v>
      </c>
    </row>
    <row r="28" spans="1:12">
      <c r="A28" s="41">
        <f>IF(B28="","","TSK-"&amp;TEXT(ROW()-4,"000"))</f>
        <v>0</v>
      </c>
      <c r="E28" s="23">
        <f>IF(D28="","",WEEKNUM(D28,IF(WeekStart="Sunday",1,2)))</f>
        <v>0</v>
      </c>
      <c r="J28" s="17">
        <f>IF(I28="","",IFERROR(INDEX('Content Calendar'!$H$5:$H$604,MATCH(I28,'Content Calendar'!$A$5:$A$604,0)),"Not found"))</f>
        <v>0</v>
      </c>
      <c r="K28" s="23">
        <f>IF(OR(D28="",G28="Complete"),"",D28-TODAY())</f>
        <v>0</v>
      </c>
      <c r="L28" s="29">
        <f>IF(B28="","",IF(G28="Complete","OK",IF(AND(D28&lt;&gt;"",D28&lt;TODAY()),"Overdue",IF(D28=TODAY(),"Today - due now",IF(G28="Blocked","Action - unblock this",IF(AND(K28&lt;&gt;"",K28&lt;=2),"Due - this week","OK"))))))</f>
        <v>0</v>
      </c>
    </row>
    <row r="29" spans="1:12">
      <c r="A29" s="41">
        <f>IF(B29="","","TSK-"&amp;TEXT(ROW()-4,"000"))</f>
        <v>0</v>
      </c>
      <c r="E29" s="23">
        <f>IF(D29="","",WEEKNUM(D29,IF(WeekStart="Sunday",1,2)))</f>
        <v>0</v>
      </c>
      <c r="J29" s="17">
        <f>IF(I29="","",IFERROR(INDEX('Content Calendar'!$H$5:$H$604,MATCH(I29,'Content Calendar'!$A$5:$A$604,0)),"Not found"))</f>
        <v>0</v>
      </c>
      <c r="K29" s="23">
        <f>IF(OR(D29="",G29="Complete"),"",D29-TODAY())</f>
        <v>0</v>
      </c>
      <c r="L29" s="29">
        <f>IF(B29="","",IF(G29="Complete","OK",IF(AND(D29&lt;&gt;"",D29&lt;TODAY()),"Overdue",IF(D29=TODAY(),"Today - due now",IF(G29="Blocked","Action - unblock this",IF(AND(K29&lt;&gt;"",K29&lt;=2),"Due - this week","OK"))))))</f>
        <v>0</v>
      </c>
    </row>
    <row r="30" spans="1:12">
      <c r="A30" s="41">
        <f>IF(B30="","","TSK-"&amp;TEXT(ROW()-4,"000"))</f>
        <v>0</v>
      </c>
      <c r="E30" s="23">
        <f>IF(D30="","",WEEKNUM(D30,IF(WeekStart="Sunday",1,2)))</f>
        <v>0</v>
      </c>
      <c r="J30" s="17">
        <f>IF(I30="","",IFERROR(INDEX('Content Calendar'!$H$5:$H$604,MATCH(I30,'Content Calendar'!$A$5:$A$604,0)),"Not found"))</f>
        <v>0</v>
      </c>
      <c r="K30" s="23">
        <f>IF(OR(D30="",G30="Complete"),"",D30-TODAY())</f>
        <v>0</v>
      </c>
      <c r="L30" s="29">
        <f>IF(B30="","",IF(G30="Complete","OK",IF(AND(D30&lt;&gt;"",D30&lt;TODAY()),"Overdue",IF(D30=TODAY(),"Today - due now",IF(G30="Blocked","Action - unblock this",IF(AND(K30&lt;&gt;"",K30&lt;=2),"Due - this week","OK"))))))</f>
        <v>0</v>
      </c>
    </row>
    <row r="31" spans="1:12">
      <c r="A31" s="41">
        <f>IF(B31="","","TSK-"&amp;TEXT(ROW()-4,"000"))</f>
        <v>0</v>
      </c>
      <c r="E31" s="23">
        <f>IF(D31="","",WEEKNUM(D31,IF(WeekStart="Sunday",1,2)))</f>
        <v>0</v>
      </c>
      <c r="J31" s="17">
        <f>IF(I31="","",IFERROR(INDEX('Content Calendar'!$H$5:$H$604,MATCH(I31,'Content Calendar'!$A$5:$A$604,0)),"Not found"))</f>
        <v>0</v>
      </c>
      <c r="K31" s="23">
        <f>IF(OR(D31="",G31="Complete"),"",D31-TODAY())</f>
        <v>0</v>
      </c>
      <c r="L31" s="29">
        <f>IF(B31="","",IF(G31="Complete","OK",IF(AND(D31&lt;&gt;"",D31&lt;TODAY()),"Overdue",IF(D31=TODAY(),"Today - due now",IF(G31="Blocked","Action - unblock this",IF(AND(K31&lt;&gt;"",K31&lt;=2),"Due - this week","OK"))))))</f>
        <v>0</v>
      </c>
    </row>
    <row r="32" spans="1:12">
      <c r="A32" s="41">
        <f>IF(B32="","","TSK-"&amp;TEXT(ROW()-4,"000"))</f>
        <v>0</v>
      </c>
      <c r="E32" s="23">
        <f>IF(D32="","",WEEKNUM(D32,IF(WeekStart="Sunday",1,2)))</f>
        <v>0</v>
      </c>
      <c r="J32" s="17">
        <f>IF(I32="","",IFERROR(INDEX('Content Calendar'!$H$5:$H$604,MATCH(I32,'Content Calendar'!$A$5:$A$604,0)),"Not found"))</f>
        <v>0</v>
      </c>
      <c r="K32" s="23">
        <f>IF(OR(D32="",G32="Complete"),"",D32-TODAY())</f>
        <v>0</v>
      </c>
      <c r="L32" s="29">
        <f>IF(B32="","",IF(G32="Complete","OK",IF(AND(D32&lt;&gt;"",D32&lt;TODAY()),"Overdue",IF(D32=TODAY(),"Today - due now",IF(G32="Blocked","Action - unblock this",IF(AND(K32&lt;&gt;"",K32&lt;=2),"Due - this week","OK"))))))</f>
        <v>0</v>
      </c>
    </row>
    <row r="33" spans="1:12">
      <c r="A33" s="41">
        <f>IF(B33="","","TSK-"&amp;TEXT(ROW()-4,"000"))</f>
        <v>0</v>
      </c>
      <c r="E33" s="23">
        <f>IF(D33="","",WEEKNUM(D33,IF(WeekStart="Sunday",1,2)))</f>
        <v>0</v>
      </c>
      <c r="J33" s="17">
        <f>IF(I33="","",IFERROR(INDEX('Content Calendar'!$H$5:$H$604,MATCH(I33,'Content Calendar'!$A$5:$A$604,0)),"Not found"))</f>
        <v>0</v>
      </c>
      <c r="K33" s="23">
        <f>IF(OR(D33="",G33="Complete"),"",D33-TODAY())</f>
        <v>0</v>
      </c>
      <c r="L33" s="29">
        <f>IF(B33="","",IF(G33="Complete","OK",IF(AND(D33&lt;&gt;"",D33&lt;TODAY()),"Overdue",IF(D33=TODAY(),"Today - due now",IF(G33="Blocked","Action - unblock this",IF(AND(K33&lt;&gt;"",K33&lt;=2),"Due - this week","OK"))))))</f>
        <v>0</v>
      </c>
    </row>
    <row r="34" spans="1:12">
      <c r="A34" s="41">
        <f>IF(B34="","","TSK-"&amp;TEXT(ROW()-4,"000"))</f>
        <v>0</v>
      </c>
      <c r="E34" s="23">
        <f>IF(D34="","",WEEKNUM(D34,IF(WeekStart="Sunday",1,2)))</f>
        <v>0</v>
      </c>
      <c r="J34" s="17">
        <f>IF(I34="","",IFERROR(INDEX('Content Calendar'!$H$5:$H$604,MATCH(I34,'Content Calendar'!$A$5:$A$604,0)),"Not found"))</f>
        <v>0</v>
      </c>
      <c r="K34" s="23">
        <f>IF(OR(D34="",G34="Complete"),"",D34-TODAY())</f>
        <v>0</v>
      </c>
      <c r="L34" s="29">
        <f>IF(B34="","",IF(G34="Complete","OK",IF(AND(D34&lt;&gt;"",D34&lt;TODAY()),"Overdue",IF(D34=TODAY(),"Today - due now",IF(G34="Blocked","Action - unblock this",IF(AND(K34&lt;&gt;"",K34&lt;=2),"Due - this week","OK"))))))</f>
        <v>0</v>
      </c>
    </row>
    <row r="35" spans="1:12">
      <c r="A35" s="41">
        <f>IF(B35="","","TSK-"&amp;TEXT(ROW()-4,"000"))</f>
        <v>0</v>
      </c>
      <c r="E35" s="23">
        <f>IF(D35="","",WEEKNUM(D35,IF(WeekStart="Sunday",1,2)))</f>
        <v>0</v>
      </c>
      <c r="J35" s="17">
        <f>IF(I35="","",IFERROR(INDEX('Content Calendar'!$H$5:$H$604,MATCH(I35,'Content Calendar'!$A$5:$A$604,0)),"Not found"))</f>
        <v>0</v>
      </c>
      <c r="K35" s="23">
        <f>IF(OR(D35="",G35="Complete"),"",D35-TODAY())</f>
        <v>0</v>
      </c>
      <c r="L35" s="29">
        <f>IF(B35="","",IF(G35="Complete","OK",IF(AND(D35&lt;&gt;"",D35&lt;TODAY()),"Overdue",IF(D35=TODAY(),"Today - due now",IF(G35="Blocked","Action - unblock this",IF(AND(K35&lt;&gt;"",K35&lt;=2),"Due - this week","OK"))))))</f>
        <v>0</v>
      </c>
    </row>
    <row r="36" spans="1:12">
      <c r="A36" s="41">
        <f>IF(B36="","","TSK-"&amp;TEXT(ROW()-4,"000"))</f>
        <v>0</v>
      </c>
      <c r="E36" s="23">
        <f>IF(D36="","",WEEKNUM(D36,IF(WeekStart="Sunday",1,2)))</f>
        <v>0</v>
      </c>
      <c r="J36" s="17">
        <f>IF(I36="","",IFERROR(INDEX('Content Calendar'!$H$5:$H$604,MATCH(I36,'Content Calendar'!$A$5:$A$604,0)),"Not found"))</f>
        <v>0</v>
      </c>
      <c r="K36" s="23">
        <f>IF(OR(D36="",G36="Complete"),"",D36-TODAY())</f>
        <v>0</v>
      </c>
      <c r="L36" s="29">
        <f>IF(B36="","",IF(G36="Complete","OK",IF(AND(D36&lt;&gt;"",D36&lt;TODAY()),"Overdue",IF(D36=TODAY(),"Today - due now",IF(G36="Blocked","Action - unblock this",IF(AND(K36&lt;&gt;"",K36&lt;=2),"Due - this week","OK"))))))</f>
        <v>0</v>
      </c>
    </row>
    <row r="37" spans="1:12">
      <c r="A37" s="41">
        <f>IF(B37="","","TSK-"&amp;TEXT(ROW()-4,"000"))</f>
        <v>0</v>
      </c>
      <c r="E37" s="23">
        <f>IF(D37="","",WEEKNUM(D37,IF(WeekStart="Sunday",1,2)))</f>
        <v>0</v>
      </c>
      <c r="J37" s="17">
        <f>IF(I37="","",IFERROR(INDEX('Content Calendar'!$H$5:$H$604,MATCH(I37,'Content Calendar'!$A$5:$A$604,0)),"Not found"))</f>
        <v>0</v>
      </c>
      <c r="K37" s="23">
        <f>IF(OR(D37="",G37="Complete"),"",D37-TODAY())</f>
        <v>0</v>
      </c>
      <c r="L37" s="29">
        <f>IF(B37="","",IF(G37="Complete","OK",IF(AND(D37&lt;&gt;"",D37&lt;TODAY()),"Overdue",IF(D37=TODAY(),"Today - due now",IF(G37="Blocked","Action - unblock this",IF(AND(K37&lt;&gt;"",K37&lt;=2),"Due - this week","OK"))))))</f>
        <v>0</v>
      </c>
    </row>
    <row r="38" spans="1:12">
      <c r="A38" s="41">
        <f>IF(B38="","","TSK-"&amp;TEXT(ROW()-4,"000"))</f>
        <v>0</v>
      </c>
      <c r="E38" s="23">
        <f>IF(D38="","",WEEKNUM(D38,IF(WeekStart="Sunday",1,2)))</f>
        <v>0</v>
      </c>
      <c r="J38" s="17">
        <f>IF(I38="","",IFERROR(INDEX('Content Calendar'!$H$5:$H$604,MATCH(I38,'Content Calendar'!$A$5:$A$604,0)),"Not found"))</f>
        <v>0</v>
      </c>
      <c r="K38" s="23">
        <f>IF(OR(D38="",G38="Complete"),"",D38-TODAY())</f>
        <v>0</v>
      </c>
      <c r="L38" s="29">
        <f>IF(B38="","",IF(G38="Complete","OK",IF(AND(D38&lt;&gt;"",D38&lt;TODAY()),"Overdue",IF(D38=TODAY(),"Today - due now",IF(G38="Blocked","Action - unblock this",IF(AND(K38&lt;&gt;"",K38&lt;=2),"Due - this week","OK"))))))</f>
        <v>0</v>
      </c>
    </row>
    <row r="39" spans="1:12">
      <c r="A39" s="41">
        <f>IF(B39="","","TSK-"&amp;TEXT(ROW()-4,"000"))</f>
        <v>0</v>
      </c>
      <c r="E39" s="23">
        <f>IF(D39="","",WEEKNUM(D39,IF(WeekStart="Sunday",1,2)))</f>
        <v>0</v>
      </c>
      <c r="J39" s="17">
        <f>IF(I39="","",IFERROR(INDEX('Content Calendar'!$H$5:$H$604,MATCH(I39,'Content Calendar'!$A$5:$A$604,0)),"Not found"))</f>
        <v>0</v>
      </c>
      <c r="K39" s="23">
        <f>IF(OR(D39="",G39="Complete"),"",D39-TODAY())</f>
        <v>0</v>
      </c>
      <c r="L39" s="29">
        <f>IF(B39="","",IF(G39="Complete","OK",IF(AND(D39&lt;&gt;"",D39&lt;TODAY()),"Overdue",IF(D39=TODAY(),"Today - due now",IF(G39="Blocked","Action - unblock this",IF(AND(K39&lt;&gt;"",K39&lt;=2),"Due - this week","OK"))))))</f>
        <v>0</v>
      </c>
    </row>
    <row r="40" spans="1:12">
      <c r="A40" s="41">
        <f>IF(B40="","","TSK-"&amp;TEXT(ROW()-4,"000"))</f>
        <v>0</v>
      </c>
      <c r="E40" s="23">
        <f>IF(D40="","",WEEKNUM(D40,IF(WeekStart="Sunday",1,2)))</f>
        <v>0</v>
      </c>
      <c r="J40" s="17">
        <f>IF(I40="","",IFERROR(INDEX('Content Calendar'!$H$5:$H$604,MATCH(I40,'Content Calendar'!$A$5:$A$604,0)),"Not found"))</f>
        <v>0</v>
      </c>
      <c r="K40" s="23">
        <f>IF(OR(D40="",G40="Complete"),"",D40-TODAY())</f>
        <v>0</v>
      </c>
      <c r="L40" s="29">
        <f>IF(B40="","",IF(G40="Complete","OK",IF(AND(D40&lt;&gt;"",D40&lt;TODAY()),"Overdue",IF(D40=TODAY(),"Today - due now",IF(G40="Blocked","Action - unblock this",IF(AND(K40&lt;&gt;"",K40&lt;=2),"Due - this week","OK"))))))</f>
        <v>0</v>
      </c>
    </row>
    <row r="41" spans="1:12">
      <c r="A41" s="41">
        <f>IF(B41="","","TSK-"&amp;TEXT(ROW()-4,"000"))</f>
        <v>0</v>
      </c>
      <c r="E41" s="23">
        <f>IF(D41="","",WEEKNUM(D41,IF(WeekStart="Sunday",1,2)))</f>
        <v>0</v>
      </c>
      <c r="J41" s="17">
        <f>IF(I41="","",IFERROR(INDEX('Content Calendar'!$H$5:$H$604,MATCH(I41,'Content Calendar'!$A$5:$A$604,0)),"Not found"))</f>
        <v>0</v>
      </c>
      <c r="K41" s="23">
        <f>IF(OR(D41="",G41="Complete"),"",D41-TODAY())</f>
        <v>0</v>
      </c>
      <c r="L41" s="29">
        <f>IF(B41="","",IF(G41="Complete","OK",IF(AND(D41&lt;&gt;"",D41&lt;TODAY()),"Overdue",IF(D41=TODAY(),"Today - due now",IF(G41="Blocked","Action - unblock this",IF(AND(K41&lt;&gt;"",K41&lt;=2),"Due - this week","OK"))))))</f>
        <v>0</v>
      </c>
    </row>
    <row r="42" spans="1:12">
      <c r="A42" s="41">
        <f>IF(B42="","","TSK-"&amp;TEXT(ROW()-4,"000"))</f>
        <v>0</v>
      </c>
      <c r="E42" s="23">
        <f>IF(D42="","",WEEKNUM(D42,IF(WeekStart="Sunday",1,2)))</f>
        <v>0</v>
      </c>
      <c r="J42" s="17">
        <f>IF(I42="","",IFERROR(INDEX('Content Calendar'!$H$5:$H$604,MATCH(I42,'Content Calendar'!$A$5:$A$604,0)),"Not found"))</f>
        <v>0</v>
      </c>
      <c r="K42" s="23">
        <f>IF(OR(D42="",G42="Complete"),"",D42-TODAY())</f>
        <v>0</v>
      </c>
      <c r="L42" s="29">
        <f>IF(B42="","",IF(G42="Complete","OK",IF(AND(D42&lt;&gt;"",D42&lt;TODAY()),"Overdue",IF(D42=TODAY(),"Today - due now",IF(G42="Blocked","Action - unblock this",IF(AND(K42&lt;&gt;"",K42&lt;=2),"Due - this week","OK"))))))</f>
        <v>0</v>
      </c>
    </row>
    <row r="43" spans="1:12">
      <c r="A43" s="41">
        <f>IF(B43="","","TSK-"&amp;TEXT(ROW()-4,"000"))</f>
        <v>0</v>
      </c>
      <c r="E43" s="23">
        <f>IF(D43="","",WEEKNUM(D43,IF(WeekStart="Sunday",1,2)))</f>
        <v>0</v>
      </c>
      <c r="J43" s="17">
        <f>IF(I43="","",IFERROR(INDEX('Content Calendar'!$H$5:$H$604,MATCH(I43,'Content Calendar'!$A$5:$A$604,0)),"Not found"))</f>
        <v>0</v>
      </c>
      <c r="K43" s="23">
        <f>IF(OR(D43="",G43="Complete"),"",D43-TODAY())</f>
        <v>0</v>
      </c>
      <c r="L43" s="29">
        <f>IF(B43="","",IF(G43="Complete","OK",IF(AND(D43&lt;&gt;"",D43&lt;TODAY()),"Overdue",IF(D43=TODAY(),"Today - due now",IF(G43="Blocked","Action - unblock this",IF(AND(K43&lt;&gt;"",K43&lt;=2),"Due - this week","OK"))))))</f>
        <v>0</v>
      </c>
    </row>
    <row r="44" spans="1:12">
      <c r="A44" s="41">
        <f>IF(B44="","","TSK-"&amp;TEXT(ROW()-4,"000"))</f>
        <v>0</v>
      </c>
      <c r="E44" s="23">
        <f>IF(D44="","",WEEKNUM(D44,IF(WeekStart="Sunday",1,2)))</f>
        <v>0</v>
      </c>
      <c r="J44" s="17">
        <f>IF(I44="","",IFERROR(INDEX('Content Calendar'!$H$5:$H$604,MATCH(I44,'Content Calendar'!$A$5:$A$604,0)),"Not found"))</f>
        <v>0</v>
      </c>
      <c r="K44" s="23">
        <f>IF(OR(D44="",G44="Complete"),"",D44-TODAY())</f>
        <v>0</v>
      </c>
      <c r="L44" s="29">
        <f>IF(B44="","",IF(G44="Complete","OK",IF(AND(D44&lt;&gt;"",D44&lt;TODAY()),"Overdue",IF(D44=TODAY(),"Today - due now",IF(G44="Blocked","Action - unblock this",IF(AND(K44&lt;&gt;"",K44&lt;=2),"Due - this week","OK"))))))</f>
        <v>0</v>
      </c>
    </row>
    <row r="45" spans="1:12">
      <c r="A45" s="41">
        <f>IF(B45="","","TSK-"&amp;TEXT(ROW()-4,"000"))</f>
        <v>0</v>
      </c>
      <c r="E45" s="23">
        <f>IF(D45="","",WEEKNUM(D45,IF(WeekStart="Sunday",1,2)))</f>
        <v>0</v>
      </c>
      <c r="J45" s="17">
        <f>IF(I45="","",IFERROR(INDEX('Content Calendar'!$H$5:$H$604,MATCH(I45,'Content Calendar'!$A$5:$A$604,0)),"Not found"))</f>
        <v>0</v>
      </c>
      <c r="K45" s="23">
        <f>IF(OR(D45="",G45="Complete"),"",D45-TODAY())</f>
        <v>0</v>
      </c>
      <c r="L45" s="29">
        <f>IF(B45="","",IF(G45="Complete","OK",IF(AND(D45&lt;&gt;"",D45&lt;TODAY()),"Overdue",IF(D45=TODAY(),"Today - due now",IF(G45="Blocked","Action - unblock this",IF(AND(K45&lt;&gt;"",K45&lt;=2),"Due - this week","OK"))))))</f>
        <v>0</v>
      </c>
    </row>
    <row r="46" spans="1:12">
      <c r="A46" s="41">
        <f>IF(B46="","","TSK-"&amp;TEXT(ROW()-4,"000"))</f>
        <v>0</v>
      </c>
      <c r="E46" s="23">
        <f>IF(D46="","",WEEKNUM(D46,IF(WeekStart="Sunday",1,2)))</f>
        <v>0</v>
      </c>
      <c r="J46" s="17">
        <f>IF(I46="","",IFERROR(INDEX('Content Calendar'!$H$5:$H$604,MATCH(I46,'Content Calendar'!$A$5:$A$604,0)),"Not found"))</f>
        <v>0</v>
      </c>
      <c r="K46" s="23">
        <f>IF(OR(D46="",G46="Complete"),"",D46-TODAY())</f>
        <v>0</v>
      </c>
      <c r="L46" s="29">
        <f>IF(B46="","",IF(G46="Complete","OK",IF(AND(D46&lt;&gt;"",D46&lt;TODAY()),"Overdue",IF(D46=TODAY(),"Today - due now",IF(G46="Blocked","Action - unblock this",IF(AND(K46&lt;&gt;"",K46&lt;=2),"Due - this week","OK"))))))</f>
        <v>0</v>
      </c>
    </row>
    <row r="47" spans="1:12">
      <c r="A47" s="41">
        <f>IF(B47="","","TSK-"&amp;TEXT(ROW()-4,"000"))</f>
        <v>0</v>
      </c>
      <c r="E47" s="23">
        <f>IF(D47="","",WEEKNUM(D47,IF(WeekStart="Sunday",1,2)))</f>
        <v>0</v>
      </c>
      <c r="J47" s="17">
        <f>IF(I47="","",IFERROR(INDEX('Content Calendar'!$H$5:$H$604,MATCH(I47,'Content Calendar'!$A$5:$A$604,0)),"Not found"))</f>
        <v>0</v>
      </c>
      <c r="K47" s="23">
        <f>IF(OR(D47="",G47="Complete"),"",D47-TODAY())</f>
        <v>0</v>
      </c>
      <c r="L47" s="29">
        <f>IF(B47="","",IF(G47="Complete","OK",IF(AND(D47&lt;&gt;"",D47&lt;TODAY()),"Overdue",IF(D47=TODAY(),"Today - due now",IF(G47="Blocked","Action - unblock this",IF(AND(K47&lt;&gt;"",K47&lt;=2),"Due - this week","OK"))))))</f>
        <v>0</v>
      </c>
    </row>
    <row r="48" spans="1:12">
      <c r="A48" s="41">
        <f>IF(B48="","","TSK-"&amp;TEXT(ROW()-4,"000"))</f>
        <v>0</v>
      </c>
      <c r="E48" s="23">
        <f>IF(D48="","",WEEKNUM(D48,IF(WeekStart="Sunday",1,2)))</f>
        <v>0</v>
      </c>
      <c r="J48" s="17">
        <f>IF(I48="","",IFERROR(INDEX('Content Calendar'!$H$5:$H$604,MATCH(I48,'Content Calendar'!$A$5:$A$604,0)),"Not found"))</f>
        <v>0</v>
      </c>
      <c r="K48" s="23">
        <f>IF(OR(D48="",G48="Complete"),"",D48-TODAY())</f>
        <v>0</v>
      </c>
      <c r="L48" s="29">
        <f>IF(B48="","",IF(G48="Complete","OK",IF(AND(D48&lt;&gt;"",D48&lt;TODAY()),"Overdue",IF(D48=TODAY(),"Today - due now",IF(G48="Blocked","Action - unblock this",IF(AND(K48&lt;&gt;"",K48&lt;=2),"Due - this week","OK"))))))</f>
        <v>0</v>
      </c>
    </row>
    <row r="49" spans="1:12">
      <c r="A49" s="41">
        <f>IF(B49="","","TSK-"&amp;TEXT(ROW()-4,"000"))</f>
        <v>0</v>
      </c>
      <c r="E49" s="23">
        <f>IF(D49="","",WEEKNUM(D49,IF(WeekStart="Sunday",1,2)))</f>
        <v>0</v>
      </c>
      <c r="J49" s="17">
        <f>IF(I49="","",IFERROR(INDEX('Content Calendar'!$H$5:$H$604,MATCH(I49,'Content Calendar'!$A$5:$A$604,0)),"Not found"))</f>
        <v>0</v>
      </c>
      <c r="K49" s="23">
        <f>IF(OR(D49="",G49="Complete"),"",D49-TODAY())</f>
        <v>0</v>
      </c>
      <c r="L49" s="29">
        <f>IF(B49="","",IF(G49="Complete","OK",IF(AND(D49&lt;&gt;"",D49&lt;TODAY()),"Overdue",IF(D49=TODAY(),"Today - due now",IF(G49="Blocked","Action - unblock this",IF(AND(K49&lt;&gt;"",K49&lt;=2),"Due - this week","OK"))))))</f>
        <v>0</v>
      </c>
    </row>
    <row r="50" spans="1:12">
      <c r="A50" s="41">
        <f>IF(B50="","","TSK-"&amp;TEXT(ROW()-4,"000"))</f>
        <v>0</v>
      </c>
      <c r="E50" s="23">
        <f>IF(D50="","",WEEKNUM(D50,IF(WeekStart="Sunday",1,2)))</f>
        <v>0</v>
      </c>
      <c r="J50" s="17">
        <f>IF(I50="","",IFERROR(INDEX('Content Calendar'!$H$5:$H$604,MATCH(I50,'Content Calendar'!$A$5:$A$604,0)),"Not found"))</f>
        <v>0</v>
      </c>
      <c r="K50" s="23">
        <f>IF(OR(D50="",G50="Complete"),"",D50-TODAY())</f>
        <v>0</v>
      </c>
      <c r="L50" s="29">
        <f>IF(B50="","",IF(G50="Complete","OK",IF(AND(D50&lt;&gt;"",D50&lt;TODAY()),"Overdue",IF(D50=TODAY(),"Today - due now",IF(G50="Blocked","Action - unblock this",IF(AND(K50&lt;&gt;"",K50&lt;=2),"Due - this week","OK"))))))</f>
        <v>0</v>
      </c>
    </row>
    <row r="51" spans="1:12">
      <c r="A51" s="41">
        <f>IF(B51="","","TSK-"&amp;TEXT(ROW()-4,"000"))</f>
        <v>0</v>
      </c>
      <c r="E51" s="23">
        <f>IF(D51="","",WEEKNUM(D51,IF(WeekStart="Sunday",1,2)))</f>
        <v>0</v>
      </c>
      <c r="J51" s="17">
        <f>IF(I51="","",IFERROR(INDEX('Content Calendar'!$H$5:$H$604,MATCH(I51,'Content Calendar'!$A$5:$A$604,0)),"Not found"))</f>
        <v>0</v>
      </c>
      <c r="K51" s="23">
        <f>IF(OR(D51="",G51="Complete"),"",D51-TODAY())</f>
        <v>0</v>
      </c>
      <c r="L51" s="29">
        <f>IF(B51="","",IF(G51="Complete","OK",IF(AND(D51&lt;&gt;"",D51&lt;TODAY()),"Overdue",IF(D51=TODAY(),"Today - due now",IF(G51="Blocked","Action - unblock this",IF(AND(K51&lt;&gt;"",K51&lt;=2),"Due - this week","OK"))))))</f>
        <v>0</v>
      </c>
    </row>
    <row r="52" spans="1:12">
      <c r="A52" s="41">
        <f>IF(B52="","","TSK-"&amp;TEXT(ROW()-4,"000"))</f>
        <v>0</v>
      </c>
      <c r="E52" s="23">
        <f>IF(D52="","",WEEKNUM(D52,IF(WeekStart="Sunday",1,2)))</f>
        <v>0</v>
      </c>
      <c r="J52" s="17">
        <f>IF(I52="","",IFERROR(INDEX('Content Calendar'!$H$5:$H$604,MATCH(I52,'Content Calendar'!$A$5:$A$604,0)),"Not found"))</f>
        <v>0</v>
      </c>
      <c r="K52" s="23">
        <f>IF(OR(D52="",G52="Complete"),"",D52-TODAY())</f>
        <v>0</v>
      </c>
      <c r="L52" s="29">
        <f>IF(B52="","",IF(G52="Complete","OK",IF(AND(D52&lt;&gt;"",D52&lt;TODAY()),"Overdue",IF(D52=TODAY(),"Today - due now",IF(G52="Blocked","Action - unblock this",IF(AND(K52&lt;&gt;"",K52&lt;=2),"Due - this week","OK"))))))</f>
        <v>0</v>
      </c>
    </row>
    <row r="53" spans="1:12">
      <c r="A53" s="41">
        <f>IF(B53="","","TSK-"&amp;TEXT(ROW()-4,"000"))</f>
        <v>0</v>
      </c>
      <c r="E53" s="23">
        <f>IF(D53="","",WEEKNUM(D53,IF(WeekStart="Sunday",1,2)))</f>
        <v>0</v>
      </c>
      <c r="J53" s="17">
        <f>IF(I53="","",IFERROR(INDEX('Content Calendar'!$H$5:$H$604,MATCH(I53,'Content Calendar'!$A$5:$A$604,0)),"Not found"))</f>
        <v>0</v>
      </c>
      <c r="K53" s="23">
        <f>IF(OR(D53="",G53="Complete"),"",D53-TODAY())</f>
        <v>0</v>
      </c>
      <c r="L53" s="29">
        <f>IF(B53="","",IF(G53="Complete","OK",IF(AND(D53&lt;&gt;"",D53&lt;TODAY()),"Overdue",IF(D53=TODAY(),"Today - due now",IF(G53="Blocked","Action - unblock this",IF(AND(K53&lt;&gt;"",K53&lt;=2),"Due - this week","OK"))))))</f>
        <v>0</v>
      </c>
    </row>
    <row r="54" spans="1:12">
      <c r="A54" s="41">
        <f>IF(B54="","","TSK-"&amp;TEXT(ROW()-4,"000"))</f>
        <v>0</v>
      </c>
      <c r="E54" s="23">
        <f>IF(D54="","",WEEKNUM(D54,IF(WeekStart="Sunday",1,2)))</f>
        <v>0</v>
      </c>
      <c r="J54" s="17">
        <f>IF(I54="","",IFERROR(INDEX('Content Calendar'!$H$5:$H$604,MATCH(I54,'Content Calendar'!$A$5:$A$604,0)),"Not found"))</f>
        <v>0</v>
      </c>
      <c r="K54" s="23">
        <f>IF(OR(D54="",G54="Complete"),"",D54-TODAY())</f>
        <v>0</v>
      </c>
      <c r="L54" s="29">
        <f>IF(B54="","",IF(G54="Complete","OK",IF(AND(D54&lt;&gt;"",D54&lt;TODAY()),"Overdue",IF(D54=TODAY(),"Today - due now",IF(G54="Blocked","Action - unblock this",IF(AND(K54&lt;&gt;"",K54&lt;=2),"Due - this week","OK"))))))</f>
        <v>0</v>
      </c>
    </row>
    <row r="55" spans="1:12">
      <c r="A55" s="41">
        <f>IF(B55="","","TSK-"&amp;TEXT(ROW()-4,"000"))</f>
        <v>0</v>
      </c>
      <c r="E55" s="23">
        <f>IF(D55="","",WEEKNUM(D55,IF(WeekStart="Sunday",1,2)))</f>
        <v>0</v>
      </c>
      <c r="J55" s="17">
        <f>IF(I55="","",IFERROR(INDEX('Content Calendar'!$H$5:$H$604,MATCH(I55,'Content Calendar'!$A$5:$A$604,0)),"Not found"))</f>
        <v>0</v>
      </c>
      <c r="K55" s="23">
        <f>IF(OR(D55="",G55="Complete"),"",D55-TODAY())</f>
        <v>0</v>
      </c>
      <c r="L55" s="29">
        <f>IF(B55="","",IF(G55="Complete","OK",IF(AND(D55&lt;&gt;"",D55&lt;TODAY()),"Overdue",IF(D55=TODAY(),"Today - due now",IF(G55="Blocked","Action - unblock this",IF(AND(K55&lt;&gt;"",K55&lt;=2),"Due - this week","OK"))))))</f>
        <v>0</v>
      </c>
    </row>
    <row r="56" spans="1:12">
      <c r="A56" s="41">
        <f>IF(B56="","","TSK-"&amp;TEXT(ROW()-4,"000"))</f>
        <v>0</v>
      </c>
      <c r="E56" s="23">
        <f>IF(D56="","",WEEKNUM(D56,IF(WeekStart="Sunday",1,2)))</f>
        <v>0</v>
      </c>
      <c r="J56" s="17">
        <f>IF(I56="","",IFERROR(INDEX('Content Calendar'!$H$5:$H$604,MATCH(I56,'Content Calendar'!$A$5:$A$604,0)),"Not found"))</f>
        <v>0</v>
      </c>
      <c r="K56" s="23">
        <f>IF(OR(D56="",G56="Complete"),"",D56-TODAY())</f>
        <v>0</v>
      </c>
      <c r="L56" s="29">
        <f>IF(B56="","",IF(G56="Complete","OK",IF(AND(D56&lt;&gt;"",D56&lt;TODAY()),"Overdue",IF(D56=TODAY(),"Today - due now",IF(G56="Blocked","Action - unblock this",IF(AND(K56&lt;&gt;"",K56&lt;=2),"Due - this week","OK"))))))</f>
        <v>0</v>
      </c>
    </row>
    <row r="57" spans="1:12">
      <c r="A57" s="41">
        <f>IF(B57="","","TSK-"&amp;TEXT(ROW()-4,"000"))</f>
        <v>0</v>
      </c>
      <c r="E57" s="23">
        <f>IF(D57="","",WEEKNUM(D57,IF(WeekStart="Sunday",1,2)))</f>
        <v>0</v>
      </c>
      <c r="J57" s="17">
        <f>IF(I57="","",IFERROR(INDEX('Content Calendar'!$H$5:$H$604,MATCH(I57,'Content Calendar'!$A$5:$A$604,0)),"Not found"))</f>
        <v>0</v>
      </c>
      <c r="K57" s="23">
        <f>IF(OR(D57="",G57="Complete"),"",D57-TODAY())</f>
        <v>0</v>
      </c>
      <c r="L57" s="29">
        <f>IF(B57="","",IF(G57="Complete","OK",IF(AND(D57&lt;&gt;"",D57&lt;TODAY()),"Overdue",IF(D57=TODAY(),"Today - due now",IF(G57="Blocked","Action - unblock this",IF(AND(K57&lt;&gt;"",K57&lt;=2),"Due - this week","OK"))))))</f>
        <v>0</v>
      </c>
    </row>
    <row r="58" spans="1:12">
      <c r="A58" s="41">
        <f>IF(B58="","","TSK-"&amp;TEXT(ROW()-4,"000"))</f>
        <v>0</v>
      </c>
      <c r="E58" s="23">
        <f>IF(D58="","",WEEKNUM(D58,IF(WeekStart="Sunday",1,2)))</f>
        <v>0</v>
      </c>
      <c r="J58" s="17">
        <f>IF(I58="","",IFERROR(INDEX('Content Calendar'!$H$5:$H$604,MATCH(I58,'Content Calendar'!$A$5:$A$604,0)),"Not found"))</f>
        <v>0</v>
      </c>
      <c r="K58" s="23">
        <f>IF(OR(D58="",G58="Complete"),"",D58-TODAY())</f>
        <v>0</v>
      </c>
      <c r="L58" s="29">
        <f>IF(B58="","",IF(G58="Complete","OK",IF(AND(D58&lt;&gt;"",D58&lt;TODAY()),"Overdue",IF(D58=TODAY(),"Today - due now",IF(G58="Blocked","Action - unblock this",IF(AND(K58&lt;&gt;"",K58&lt;=2),"Due - this week","OK"))))))</f>
        <v>0</v>
      </c>
    </row>
    <row r="59" spans="1:12">
      <c r="A59" s="41">
        <f>IF(B59="","","TSK-"&amp;TEXT(ROW()-4,"000"))</f>
        <v>0</v>
      </c>
      <c r="E59" s="23">
        <f>IF(D59="","",WEEKNUM(D59,IF(WeekStart="Sunday",1,2)))</f>
        <v>0</v>
      </c>
      <c r="J59" s="17">
        <f>IF(I59="","",IFERROR(INDEX('Content Calendar'!$H$5:$H$604,MATCH(I59,'Content Calendar'!$A$5:$A$604,0)),"Not found"))</f>
        <v>0</v>
      </c>
      <c r="K59" s="23">
        <f>IF(OR(D59="",G59="Complete"),"",D59-TODAY())</f>
        <v>0</v>
      </c>
      <c r="L59" s="29">
        <f>IF(B59="","",IF(G59="Complete","OK",IF(AND(D59&lt;&gt;"",D59&lt;TODAY()),"Overdue",IF(D59=TODAY(),"Today - due now",IF(G59="Blocked","Action - unblock this",IF(AND(K59&lt;&gt;"",K59&lt;=2),"Due - this week","OK"))))))</f>
        <v>0</v>
      </c>
    </row>
    <row r="60" spans="1:12">
      <c r="A60" s="41">
        <f>IF(B60="","","TSK-"&amp;TEXT(ROW()-4,"000"))</f>
        <v>0</v>
      </c>
      <c r="E60" s="23">
        <f>IF(D60="","",WEEKNUM(D60,IF(WeekStart="Sunday",1,2)))</f>
        <v>0</v>
      </c>
      <c r="J60" s="17">
        <f>IF(I60="","",IFERROR(INDEX('Content Calendar'!$H$5:$H$604,MATCH(I60,'Content Calendar'!$A$5:$A$604,0)),"Not found"))</f>
        <v>0</v>
      </c>
      <c r="K60" s="23">
        <f>IF(OR(D60="",G60="Complete"),"",D60-TODAY())</f>
        <v>0</v>
      </c>
      <c r="L60" s="29">
        <f>IF(B60="","",IF(G60="Complete","OK",IF(AND(D60&lt;&gt;"",D60&lt;TODAY()),"Overdue",IF(D60=TODAY(),"Today - due now",IF(G60="Blocked","Action - unblock this",IF(AND(K60&lt;&gt;"",K60&lt;=2),"Due - this week","OK"))))))</f>
        <v>0</v>
      </c>
    </row>
    <row r="61" spans="1:12">
      <c r="A61" s="41">
        <f>IF(B61="","","TSK-"&amp;TEXT(ROW()-4,"000"))</f>
        <v>0</v>
      </c>
      <c r="E61" s="23">
        <f>IF(D61="","",WEEKNUM(D61,IF(WeekStart="Sunday",1,2)))</f>
        <v>0</v>
      </c>
      <c r="J61" s="17">
        <f>IF(I61="","",IFERROR(INDEX('Content Calendar'!$H$5:$H$604,MATCH(I61,'Content Calendar'!$A$5:$A$604,0)),"Not found"))</f>
        <v>0</v>
      </c>
      <c r="K61" s="23">
        <f>IF(OR(D61="",G61="Complete"),"",D61-TODAY())</f>
        <v>0</v>
      </c>
      <c r="L61" s="29">
        <f>IF(B61="","",IF(G61="Complete","OK",IF(AND(D61&lt;&gt;"",D61&lt;TODAY()),"Overdue",IF(D61=TODAY(),"Today - due now",IF(G61="Blocked","Action - unblock this",IF(AND(K61&lt;&gt;"",K61&lt;=2),"Due - this week","OK"))))))</f>
        <v>0</v>
      </c>
    </row>
    <row r="62" spans="1:12">
      <c r="A62" s="41">
        <f>IF(B62="","","TSK-"&amp;TEXT(ROW()-4,"000"))</f>
        <v>0</v>
      </c>
      <c r="E62" s="23">
        <f>IF(D62="","",WEEKNUM(D62,IF(WeekStart="Sunday",1,2)))</f>
        <v>0</v>
      </c>
      <c r="J62" s="17">
        <f>IF(I62="","",IFERROR(INDEX('Content Calendar'!$H$5:$H$604,MATCH(I62,'Content Calendar'!$A$5:$A$604,0)),"Not found"))</f>
        <v>0</v>
      </c>
      <c r="K62" s="23">
        <f>IF(OR(D62="",G62="Complete"),"",D62-TODAY())</f>
        <v>0</v>
      </c>
      <c r="L62" s="29">
        <f>IF(B62="","",IF(G62="Complete","OK",IF(AND(D62&lt;&gt;"",D62&lt;TODAY()),"Overdue",IF(D62=TODAY(),"Today - due now",IF(G62="Blocked","Action - unblock this",IF(AND(K62&lt;&gt;"",K62&lt;=2),"Due - this week","OK"))))))</f>
        <v>0</v>
      </c>
    </row>
    <row r="63" spans="1:12">
      <c r="A63" s="41">
        <f>IF(B63="","","TSK-"&amp;TEXT(ROW()-4,"000"))</f>
        <v>0</v>
      </c>
      <c r="E63" s="23">
        <f>IF(D63="","",WEEKNUM(D63,IF(WeekStart="Sunday",1,2)))</f>
        <v>0</v>
      </c>
      <c r="J63" s="17">
        <f>IF(I63="","",IFERROR(INDEX('Content Calendar'!$H$5:$H$604,MATCH(I63,'Content Calendar'!$A$5:$A$604,0)),"Not found"))</f>
        <v>0</v>
      </c>
      <c r="K63" s="23">
        <f>IF(OR(D63="",G63="Complete"),"",D63-TODAY())</f>
        <v>0</v>
      </c>
      <c r="L63" s="29">
        <f>IF(B63="","",IF(G63="Complete","OK",IF(AND(D63&lt;&gt;"",D63&lt;TODAY()),"Overdue",IF(D63=TODAY(),"Today - due now",IF(G63="Blocked","Action - unblock this",IF(AND(K63&lt;&gt;"",K63&lt;=2),"Due - this week","OK"))))))</f>
        <v>0</v>
      </c>
    </row>
    <row r="64" spans="1:12">
      <c r="A64" s="41">
        <f>IF(B64="","","TSK-"&amp;TEXT(ROW()-4,"000"))</f>
        <v>0</v>
      </c>
      <c r="E64" s="23">
        <f>IF(D64="","",WEEKNUM(D64,IF(WeekStart="Sunday",1,2)))</f>
        <v>0</v>
      </c>
      <c r="J64" s="17">
        <f>IF(I64="","",IFERROR(INDEX('Content Calendar'!$H$5:$H$604,MATCH(I64,'Content Calendar'!$A$5:$A$604,0)),"Not found"))</f>
        <v>0</v>
      </c>
      <c r="K64" s="23">
        <f>IF(OR(D64="",G64="Complete"),"",D64-TODAY())</f>
        <v>0</v>
      </c>
      <c r="L64" s="29">
        <f>IF(B64="","",IF(G64="Complete","OK",IF(AND(D64&lt;&gt;"",D64&lt;TODAY()),"Overdue",IF(D64=TODAY(),"Today - due now",IF(G64="Blocked","Action - unblock this",IF(AND(K64&lt;&gt;"",K64&lt;=2),"Due - this week","OK"))))))</f>
        <v>0</v>
      </c>
    </row>
  </sheetData>
  <sheetProtection password="EC7C" sheet="1" objects="1" scenarios="1" formatCells="0" formatColumns="0" formatRows="0" insertRows="0" insertHyperlinks="0" deleteRows="0" autoFilter="0"/>
  <autoFilter ref="A4:M64"/>
  <mergeCells count="9">
    <mergeCell ref="A1:J1"/>
    <mergeCell ref="K1:M1"/>
    <mergeCell ref="A2:M2"/>
    <mergeCell ref="A3:B3"/>
    <mergeCell ref="C3:D3"/>
    <mergeCell ref="E3:F3"/>
    <mergeCell ref="G3:H3"/>
    <mergeCell ref="I3:J3"/>
    <mergeCell ref="K3:L3"/>
  </mergeCells>
  <conditionalFormatting sqref="F5:F64">
    <cfRule type="containsText" dxfId="1" priority="1" operator="containsText" text="High">
      <formula>NOT(ISERROR(SEARCH("High",F5)))</formula>
    </cfRule>
    <cfRule type="containsText" dxfId="2" priority="2" operator="containsText" text="Medium">
      <formula>NOT(ISERROR(SEARCH("Medium",F5)))</formula>
    </cfRule>
    <cfRule type="containsText" dxfId="4" priority="3" operator="containsText" text="Low">
      <formula>NOT(ISERROR(SEARCH("Low",F5)))</formula>
    </cfRule>
  </conditionalFormatting>
  <conditionalFormatting sqref="G5:G64">
    <cfRule type="containsText" dxfId="0" priority="4" operator="containsText" text="Published">
      <formula>NOT(ISERROR(SEARCH("Published",G5)))</formula>
    </cfRule>
    <cfRule type="containsText" dxfId="0" priority="5" operator="containsText" text="Approved">
      <formula>NOT(ISERROR(SEARCH("Approved",G5)))</formula>
    </cfRule>
    <cfRule type="containsText" dxfId="0" priority="6" operator="containsText" text="Complete">
      <formula>NOT(ISERROR(SEARCH("Complete",G5)))</formula>
    </cfRule>
    <cfRule type="containsText" dxfId="0" priority="7" operator="containsText" text="Active">
      <formula>NOT(ISERROR(SEARCH("Active",G5)))</formula>
    </cfRule>
    <cfRule type="containsText" dxfId="0" priority="8" operator="containsText" text="Agreed">
      <formula>NOT(ISERROR(SEARCH("Agreed",G5)))</formula>
    </cfRule>
    <cfRule type="containsText" dxfId="0" priority="9" operator="containsText" text="Yes">
      <formula>NOT(ISERROR(SEARCH("Yes",G5)))</formula>
    </cfRule>
    <cfRule type="containsText" dxfId="0" priority="10" operator="containsText" text="Won">
      <formula>NOT(ISERROR(SEARCH("Won",G5)))</formula>
    </cfRule>
    <cfRule type="containsText" dxfId="3" priority="11" operator="containsText" text="Scheduled">
      <formula>NOT(ISERROR(SEARCH("Scheduled",G5)))</formula>
    </cfRule>
    <cfRule type="containsText" dxfId="3" priority="12" operator="containsText" text="In production">
      <formula>NOT(ISERROR(SEARCH("In production",G5)))</formula>
    </cfRule>
    <cfRule type="containsText" dxfId="3" priority="13" operator="containsText" text="Running">
      <formula>NOT(ISERROR(SEARCH("Running",G5)))</formula>
    </cfRule>
    <cfRule type="containsText" dxfId="3" priority="14" operator="containsText" text="Sent">
      <formula>NOT(ISERROR(SEARCH("Sent",G5)))</formula>
    </cfRule>
    <cfRule type="containsText" dxfId="3" priority="15" operator="containsText" text="Testing">
      <formula>NOT(ISERROR(SEARCH("Testing",G5)))</formula>
    </cfRule>
    <cfRule type="containsText" dxfId="2" priority="16" operator="containsText" text="Idea">
      <formula>NOT(ISERROR(SEARCH("Idea",G5)))</formula>
    </cfRule>
    <cfRule type="containsText" dxfId="2" priority="17" operator="containsText" text="Brief">
      <formula>NOT(ISERROR(SEARCH("Brief",G5)))</formula>
    </cfRule>
    <cfRule type="containsText" dxfId="2" priority="18" operator="containsText" text="Draft">
      <formula>NOT(ISERROR(SEARCH("Draft",G5)))</formula>
    </cfRule>
    <cfRule type="containsText" dxfId="2" priority="19" operator="containsText" text="Awaiting review">
      <formula>NOT(ISERROR(SEARCH("Awaiting review",G5)))</formula>
    </cfRule>
    <cfRule type="containsText" dxfId="2" priority="20" operator="containsText" text="Pending">
      <formula>NOT(ISERROR(SEARCH("Pending",G5)))</formula>
    </cfRule>
    <cfRule type="containsText" dxfId="2" priority="21" operator="containsText" text="On hold">
      <formula>NOT(ISERROR(SEARCH("On hold",G5)))</formula>
    </cfRule>
    <cfRule type="containsText" dxfId="1" priority="22" operator="containsText" text="Revision needed">
      <formula>NOT(ISERROR(SEARCH("Revision needed",G5)))</formula>
    </cfRule>
    <cfRule type="containsText" dxfId="1" priority="23" operator="containsText" text="Rejected">
      <formula>NOT(ISERROR(SEARCH("Rejected",G5)))</formula>
    </cfRule>
    <cfRule type="containsText" dxfId="1" priority="24" operator="containsText" text="Cancelled">
      <formula>NOT(ISERROR(SEARCH("Cancelled",G5)))</formula>
    </cfRule>
    <cfRule type="containsText" dxfId="1" priority="25" operator="containsText" text="Missed">
      <formula>NOT(ISERROR(SEARCH("Missed",G5)))</formula>
    </cfRule>
    <cfRule type="containsText" dxfId="1" priority="26" operator="containsText" text="Overdue">
      <formula>NOT(ISERROR(SEARCH("Overdue",G5)))</formula>
    </cfRule>
    <cfRule type="containsText" dxfId="1" priority="27" operator="containsText" text="Declined">
      <formula>NOT(ISERROR(SEARCH("Declined",G5)))</formula>
    </cfRule>
    <cfRule type="containsText" dxfId="4" priority="28" operator="containsText" text="Archived">
      <formula>NOT(ISERROR(SEARCH("Archived",G5)))</formula>
    </cfRule>
    <cfRule type="containsText" dxfId="4" priority="29" operator="containsText" text="Paused">
      <formula>NOT(ISERROR(SEARCH("Paused",G5)))</formula>
    </cfRule>
    <cfRule type="containsText" dxfId="4" priority="30" operator="containsText" text="Not started">
      <formula>NOT(ISERROR(SEARCH("Not started",G5)))</formula>
    </cfRule>
  </conditionalFormatting>
  <conditionalFormatting sqref="K5:K64">
    <cfRule type="cellIs" dxfId="1" priority="31" operator="lessThan">
      <formula>0</formula>
    </cfRule>
    <cfRule type="cellIs" dxfId="2" priority="32" operator="between">
      <formula>0</formula>
      <formula>2</formula>
    </cfRule>
  </conditionalFormatting>
  <conditionalFormatting sqref="L5:L64">
    <cfRule type="beginsWith" dxfId="0" priority="33" operator="beginsWith" text="OK">
      <formula>LEFT(L5,2)="OK"</formula>
    </cfRule>
    <cfRule type="containsText" dxfId="1" priority="34" operator="containsText" text="Overdue">
      <formula>NOT(ISERROR(SEARCH("Overdue",L5)))</formula>
    </cfRule>
    <cfRule type="containsText" dxfId="1" priority="35" operator="containsText" text="Late">
      <formula>NOT(ISERROR(SEARCH("Late",L5)))</formula>
    </cfRule>
    <cfRule type="containsText" dxfId="1" priority="36" operator="containsText" text="Missing">
      <formula>NOT(ISERROR(SEARCH("Missing",L5)))</formula>
    </cfRule>
    <cfRule type="containsText" dxfId="1" priority="37" operator="containsText" text="Conflict">
      <formula>NOT(ISERROR(SEARCH("Conflict",L5)))</formula>
    </cfRule>
    <cfRule type="containsText" dxfId="1" priority="38" operator="containsText" text="Expired">
      <formula>NOT(ISERROR(SEARCH("Expired",L5)))</formula>
    </cfRule>
    <cfRule type="containsText" dxfId="1" priority="39" operator="containsText" text="Duplicate">
      <formula>NOT(ISERROR(SEARCH("Duplicate",L5)))</formula>
    </cfRule>
    <cfRule type="containsText" dxfId="2" priority="40" operator="containsText" text="Action">
      <formula>NOT(ISERROR(SEARCH("Action",L5)))</formula>
    </cfRule>
    <cfRule type="containsText" dxfId="2" priority="41" operator="containsText" text="Due">
      <formula>NOT(ISERROR(SEARCH("Due",L5)))</formula>
    </cfRule>
    <cfRule type="containsText" dxfId="2" priority="42" operator="containsText" text="Check">
      <formula>NOT(ISERROR(SEARCH("Check",L5)))</formula>
    </cfRule>
    <cfRule type="containsText" dxfId="2" priority="43" operator="containsText" text="Add">
      <formula>NOT(ISERROR(SEARCH("Add",L5)))</formula>
    </cfRule>
    <cfRule type="containsText" dxfId="3" priority="44" operator="containsText" text="Today">
      <formula>NOT(ISERROR(SEARCH("Today",L5)))</formula>
    </cfRule>
    <cfRule type="containsText" dxfId="3" priority="45" operator="containsText" text="Upcoming">
      <formula>NOT(ISERROR(SEARCH("Upcoming",L5)))</formula>
    </cfRule>
  </conditionalFormatting>
  <dataValidations count="6">
    <dataValidation type="list" allowBlank="1" showInputMessage="1" showErrorMessage="1" sqref="C5:C64">
      <formula1>TeamNames</formula1>
    </dataValidation>
    <dataValidation type="date" allowBlank="1" showInputMessage="1" showErrorMessage="1" errorTitle="Check the date" error="Enter a real date between 2000 and 2100." sqref="D5:D64">
      <formula1>36526</formula1>
      <formula2>73415</formula2>
    </dataValidation>
    <dataValidation type="list" allowBlank="1" showInputMessage="1" showErrorMessage="1" sqref="F5:F64">
      <formula1>PriorityList</formula1>
    </dataValidation>
    <dataValidation type="list" allowBlank="1" showInputMessage="1" showErrorMessage="1" sqref="G5:G64">
      <formula1>TaskStatusList</formula1>
    </dataValidation>
    <dataValidation type="list" allowBlank="1" showInputMessage="1" showErrorMessage="1" sqref="H5:H64">
      <formula1>CampaignNames</formula1>
    </dataValidation>
    <dataValidation type="list" allowBlank="1" showInputMessage="1" showErrorMessage="1" sqref="I5:I64">
      <formula1>ContentIDs</formula1>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s>
  <pageMargins left="0.4" right="0.4" top="0.6" bottom="0.5" header="0.3" footer="0.3"/>
  <pageSetup paperSize="9" fitToHeight="0" orientation="landscape"/>
  <headerFooter>
    <oddHeader>&amp;L&amp;"Calibri,Bold"&amp;12&amp;C&amp;"Calibri,Bold"&amp;11Tasks&amp;R&amp;"Calibri,Italic"&amp;9Social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8.xml><?xml version="1.0" encoding="utf-8"?>
<worksheet xmlns="http://schemas.openxmlformats.org/spreadsheetml/2006/main" xmlns:r="http://schemas.openxmlformats.org/officeDocument/2006/relationships">
  <sheetPr>
    <tabColor rgb="FF5F5A70"/>
    <pageSetUpPr fitToPage="1"/>
  </sheetPr>
  <dimension ref="A1:M1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style="41" customWidth="1"/>
    <col min="2" max="2" width="16.7109375" style="15" customWidth="1"/>
    <col min="3" max="3" width="40.7109375" style="39" customWidth="1"/>
    <col min="4" max="4" width="42.7109375" style="39" customWidth="1"/>
    <col min="5" max="5" width="14.7109375" style="15" customWidth="1"/>
    <col min="6" max="6" width="16.7109375" style="15" customWidth="1"/>
    <col min="7" max="7" width="15.7109375" style="48" customWidth="1"/>
    <col min="8" max="8" width="12.7109375" style="43" customWidth="1"/>
    <col min="9" max="9" width="26.7109375" style="42" customWidth="1"/>
    <col min="10" max="10" width="30.7109375" style="39" customWidth="1"/>
    <col min="11" max="11" width="10.7109375" style="23" customWidth="1"/>
    <col min="12" max="12" width="26.7109375" style="29" customWidth="1"/>
    <col min="13" max="13" width="26.7109375" style="39" customWidth="1"/>
  </cols>
  <sheetData>
    <row r="1" spans="1:13" ht="34" customHeight="1">
      <c r="A1" s="2" t="s">
        <v>2114</v>
      </c>
      <c r="B1" s="2"/>
      <c r="C1" s="2"/>
      <c r="D1" s="2"/>
      <c r="E1" s="2"/>
      <c r="F1" s="2"/>
      <c r="G1" s="2"/>
      <c r="H1" s="2"/>
      <c r="I1" s="2"/>
      <c r="J1" s="2"/>
      <c r="K1" s="3" t="s">
        <v>1</v>
      </c>
      <c r="L1" s="3"/>
      <c r="M1" s="3"/>
    </row>
    <row r="2" spans="1:13" ht="18" customHeight="1">
      <c r="A2" s="4" t="s">
        <v>2115</v>
      </c>
      <c r="B2" s="4"/>
      <c r="C2" s="4"/>
      <c r="D2" s="4"/>
      <c r="E2" s="4"/>
      <c r="F2" s="4"/>
      <c r="G2" s="4"/>
      <c r="H2" s="4"/>
      <c r="I2" s="4"/>
      <c r="J2" s="4"/>
      <c r="K2" s="4"/>
      <c r="L2" s="4"/>
      <c r="M2" s="4"/>
    </row>
    <row r="3" spans="1:13" ht="16" customHeight="1">
      <c r="A3" s="5" t="s">
        <v>3</v>
      </c>
      <c r="B3" s="5"/>
      <c r="C3" s="5" t="s">
        <v>4</v>
      </c>
      <c r="D3" s="5"/>
      <c r="E3" s="5" t="s">
        <v>5</v>
      </c>
      <c r="F3" s="5"/>
      <c r="G3" s="5" t="s">
        <v>6</v>
      </c>
      <c r="H3" s="5"/>
      <c r="I3" s="5" t="s">
        <v>7</v>
      </c>
      <c r="J3" s="5"/>
      <c r="K3" s="5" t="s">
        <v>8</v>
      </c>
      <c r="L3" s="5"/>
      <c r="M3" s="33" t="s">
        <v>205</v>
      </c>
    </row>
    <row r="4" spans="1:13" ht="30" customHeight="1">
      <c r="A4" s="8" t="s">
        <v>766</v>
      </c>
      <c r="B4" s="8" t="s">
        <v>2116</v>
      </c>
      <c r="C4" s="9" t="s">
        <v>754</v>
      </c>
      <c r="D4" s="9" t="s">
        <v>2117</v>
      </c>
      <c r="E4" s="9" t="s">
        <v>2118</v>
      </c>
      <c r="F4" s="9" t="s">
        <v>2119</v>
      </c>
      <c r="G4" s="9" t="s">
        <v>221</v>
      </c>
      <c r="H4" s="9" t="s">
        <v>2120</v>
      </c>
      <c r="I4" s="9" t="s">
        <v>2121</v>
      </c>
      <c r="J4" s="9" t="s">
        <v>2122</v>
      </c>
      <c r="K4" s="9" t="s">
        <v>786</v>
      </c>
      <c r="L4" s="9" t="s">
        <v>787</v>
      </c>
      <c r="M4" s="9" t="s">
        <v>788</v>
      </c>
    </row>
    <row r="5" spans="1:13">
      <c r="A5" s="41">
        <f>IF(C5="","","CHK-"&amp;TEXT(ROW()-4,"000"))</f>
        <v>0</v>
      </c>
      <c r="B5" s="15" t="s">
        <v>2123</v>
      </c>
      <c r="C5" s="39" t="s">
        <v>2124</v>
      </c>
      <c r="D5" s="39" t="s">
        <v>2125</v>
      </c>
      <c r="E5" s="15" t="s">
        <v>2126</v>
      </c>
      <c r="K5" s="23">
        <f>IF(H5="","",TODAY()-H5)</f>
        <v>0</v>
      </c>
      <c r="L5" s="29">
        <f>IF(C5="","",IF(G5="Issue found","Action - fix this now",IF(G5="Not required","OK",IF(OR(H5="",G5="Not checked"),"Check - never checked",IF(AND(E5="Monthly",K5&gt;31),"Due - monthly check",IF(AND(E5="Weekly",K5&gt;7),"Due - weekly check",IF(AND(E5="Quarterly",K5&gt;92),"Due - quarterly check","OK")))))))</f>
        <v>0</v>
      </c>
    </row>
    <row r="6" spans="1:13">
      <c r="A6" s="41">
        <f>IF(C6="","","CHK-"&amp;TEXT(ROW()-4,"000"))</f>
        <v>0</v>
      </c>
      <c r="B6" s="15" t="s">
        <v>2123</v>
      </c>
      <c r="C6" s="39" t="s">
        <v>2127</v>
      </c>
      <c r="D6" s="39" t="s">
        <v>2128</v>
      </c>
      <c r="E6" s="15" t="s">
        <v>2126</v>
      </c>
      <c r="K6" s="23">
        <f>IF(H6="","",TODAY()-H6)</f>
        <v>0</v>
      </c>
      <c r="L6" s="29">
        <f>IF(C6="","",IF(G6="Issue found","Action - fix this now",IF(G6="Not required","OK",IF(OR(H6="",G6="Not checked"),"Check - never checked",IF(AND(E6="Monthly",K6&gt;31),"Due - monthly check",IF(AND(E6="Weekly",K6&gt;7),"Due - weekly check",IF(AND(E6="Quarterly",K6&gt;92),"Due - quarterly check","OK")))))))</f>
        <v>0</v>
      </c>
    </row>
    <row r="7" spans="1:13">
      <c r="A7" s="41">
        <f>IF(C7="","","CHK-"&amp;TEXT(ROW()-4,"000"))</f>
        <v>0</v>
      </c>
      <c r="B7" s="15" t="s">
        <v>2123</v>
      </c>
      <c r="C7" s="39" t="s">
        <v>2129</v>
      </c>
      <c r="D7" s="39" t="s">
        <v>2130</v>
      </c>
      <c r="E7" s="15" t="s">
        <v>2126</v>
      </c>
      <c r="K7" s="23">
        <f>IF(H7="","",TODAY()-H7)</f>
        <v>0</v>
      </c>
      <c r="L7" s="29">
        <f>IF(C7="","",IF(G7="Issue found","Action - fix this now",IF(G7="Not required","OK",IF(OR(H7="",G7="Not checked"),"Check - never checked",IF(AND(E7="Monthly",K7&gt;31),"Due - monthly check",IF(AND(E7="Weekly",K7&gt;7),"Due - weekly check",IF(AND(E7="Quarterly",K7&gt;92),"Due - quarterly check","OK")))))))</f>
        <v>0</v>
      </c>
    </row>
    <row r="8" spans="1:13">
      <c r="A8" s="41">
        <f>IF(C8="","","CHK-"&amp;TEXT(ROW()-4,"000"))</f>
        <v>0</v>
      </c>
      <c r="B8" s="15" t="s">
        <v>2123</v>
      </c>
      <c r="C8" s="39" t="s">
        <v>2131</v>
      </c>
      <c r="D8" s="39" t="s">
        <v>2132</v>
      </c>
      <c r="E8" s="15" t="s">
        <v>2126</v>
      </c>
      <c r="K8" s="23">
        <f>IF(H8="","",TODAY()-H8)</f>
        <v>0</v>
      </c>
      <c r="L8" s="29">
        <f>IF(C8="","",IF(G8="Issue found","Action - fix this now",IF(G8="Not required","OK",IF(OR(H8="",G8="Not checked"),"Check - never checked",IF(AND(E8="Monthly",K8&gt;31),"Due - monthly check",IF(AND(E8="Weekly",K8&gt;7),"Due - weekly check",IF(AND(E8="Quarterly",K8&gt;92),"Due - quarterly check","OK")))))))</f>
        <v>0</v>
      </c>
    </row>
    <row r="9" spans="1:13">
      <c r="A9" s="41">
        <f>IF(C9="","","CHK-"&amp;TEXT(ROW()-4,"000"))</f>
        <v>0</v>
      </c>
      <c r="B9" s="15" t="s">
        <v>2133</v>
      </c>
      <c r="C9" s="39" t="s">
        <v>2134</v>
      </c>
      <c r="D9" s="39" t="s">
        <v>2135</v>
      </c>
      <c r="E9" s="15" t="s">
        <v>2126</v>
      </c>
      <c r="K9" s="23">
        <f>IF(H9="","",TODAY()-H9)</f>
        <v>0</v>
      </c>
      <c r="L9" s="29">
        <f>IF(C9="","",IF(G9="Issue found","Action - fix this now",IF(G9="Not required","OK",IF(OR(H9="",G9="Not checked"),"Check - never checked",IF(AND(E9="Monthly",K9&gt;31),"Due - monthly check",IF(AND(E9="Weekly",K9&gt;7),"Due - weekly check",IF(AND(E9="Quarterly",K9&gt;92),"Due - quarterly check","OK")))))))</f>
        <v>0</v>
      </c>
    </row>
    <row r="10" spans="1:13">
      <c r="A10" s="41">
        <f>IF(C10="","","CHK-"&amp;TEXT(ROW()-4,"000"))</f>
        <v>0</v>
      </c>
      <c r="B10" s="15" t="s">
        <v>2133</v>
      </c>
      <c r="C10" s="39" t="s">
        <v>2136</v>
      </c>
      <c r="D10" s="39" t="s">
        <v>2137</v>
      </c>
      <c r="E10" s="15" t="s">
        <v>2126</v>
      </c>
      <c r="K10" s="23">
        <f>IF(H10="","",TODAY()-H10)</f>
        <v>0</v>
      </c>
      <c r="L10" s="29">
        <f>IF(C10="","",IF(G10="Issue found","Action - fix this now",IF(G10="Not required","OK",IF(OR(H10="",G10="Not checked"),"Check - never checked",IF(AND(E10="Monthly",K10&gt;31),"Due - monthly check",IF(AND(E10="Weekly",K10&gt;7),"Due - weekly check",IF(AND(E10="Quarterly",K10&gt;92),"Due - quarterly check","OK")))))))</f>
        <v>0</v>
      </c>
    </row>
    <row r="11" spans="1:13">
      <c r="A11" s="41">
        <f>IF(C11="","","CHK-"&amp;TEXT(ROW()-4,"000"))</f>
        <v>0</v>
      </c>
      <c r="B11" s="15" t="s">
        <v>2133</v>
      </c>
      <c r="C11" s="39" t="s">
        <v>2138</v>
      </c>
      <c r="D11" s="39" t="s">
        <v>2139</v>
      </c>
      <c r="E11" s="15" t="s">
        <v>628</v>
      </c>
      <c r="K11" s="23">
        <f>IF(H11="","",TODAY()-H11)</f>
        <v>0</v>
      </c>
      <c r="L11" s="29">
        <f>IF(C11="","",IF(G11="Issue found","Action - fix this now",IF(G11="Not required","OK",IF(OR(H11="",G11="Not checked"),"Check - never checked",IF(AND(E11="Monthly",K11&gt;31),"Due - monthly check",IF(AND(E11="Weekly",K11&gt;7),"Due - weekly check",IF(AND(E11="Quarterly",K11&gt;92),"Due - quarterly check","OK")))))))</f>
        <v>0</v>
      </c>
    </row>
    <row r="12" spans="1:13">
      <c r="A12" s="41">
        <f>IF(C12="","","CHK-"&amp;TEXT(ROW()-4,"000"))</f>
        <v>0</v>
      </c>
      <c r="B12" s="15" t="s">
        <v>2140</v>
      </c>
      <c r="C12" s="39" t="s">
        <v>2141</v>
      </c>
      <c r="D12" s="39" t="s">
        <v>2142</v>
      </c>
      <c r="E12" s="15" t="s">
        <v>2126</v>
      </c>
      <c r="K12" s="23">
        <f>IF(H12="","",TODAY()-H12)</f>
        <v>0</v>
      </c>
      <c r="L12" s="29">
        <f>IF(C12="","",IF(G12="Issue found","Action - fix this now",IF(G12="Not required","OK",IF(OR(H12="",G12="Not checked"),"Check - never checked",IF(AND(E12="Monthly",K12&gt;31),"Due - monthly check",IF(AND(E12="Weekly",K12&gt;7),"Due - weekly check",IF(AND(E12="Quarterly",K12&gt;92),"Due - quarterly check","OK")))))))</f>
        <v>0</v>
      </c>
    </row>
    <row r="13" spans="1:13">
      <c r="A13" s="41">
        <f>IF(C13="","","CHK-"&amp;TEXT(ROW()-4,"000"))</f>
        <v>0</v>
      </c>
      <c r="B13" s="15" t="s">
        <v>2140</v>
      </c>
      <c r="C13" s="39" t="s">
        <v>2143</v>
      </c>
      <c r="D13" s="39" t="s">
        <v>2144</v>
      </c>
      <c r="E13" s="15" t="s">
        <v>2126</v>
      </c>
      <c r="K13" s="23">
        <f>IF(H13="","",TODAY()-H13)</f>
        <v>0</v>
      </c>
      <c r="L13" s="29">
        <f>IF(C13="","",IF(G13="Issue found","Action - fix this now",IF(G13="Not required","OK",IF(OR(H13="",G13="Not checked"),"Check - never checked",IF(AND(E13="Monthly",K13&gt;31),"Due - monthly check",IF(AND(E13="Weekly",K13&gt;7),"Due - weekly check",IF(AND(E13="Quarterly",K13&gt;92),"Due - quarterly check","OK")))))))</f>
        <v>0</v>
      </c>
    </row>
    <row r="14" spans="1:13">
      <c r="A14" s="41">
        <f>IF(C14="","","CHK-"&amp;TEXT(ROW()-4,"000"))</f>
        <v>0</v>
      </c>
      <c r="B14" s="15" t="s">
        <v>2140</v>
      </c>
      <c r="C14" s="39" t="s">
        <v>2145</v>
      </c>
      <c r="D14" s="39" t="s">
        <v>2146</v>
      </c>
      <c r="E14" s="15" t="s">
        <v>2147</v>
      </c>
      <c r="K14" s="23">
        <f>IF(H14="","",TODAY()-H14)</f>
        <v>0</v>
      </c>
      <c r="L14" s="29">
        <f>IF(C14="","",IF(G14="Issue found","Action - fix this now",IF(G14="Not required","OK",IF(OR(H14="",G14="Not checked"),"Check - never checked",IF(AND(E14="Monthly",K14&gt;31),"Due - monthly check",IF(AND(E14="Weekly",K14&gt;7),"Due - weekly check",IF(AND(E14="Quarterly",K14&gt;92),"Due - quarterly check","OK")))))))</f>
        <v>0</v>
      </c>
    </row>
    <row r="15" spans="1:13">
      <c r="A15" s="41">
        <f>IF(C15="","","CHK-"&amp;TEXT(ROW()-4,"000"))</f>
        <v>0</v>
      </c>
      <c r="B15" s="15" t="s">
        <v>2140</v>
      </c>
      <c r="C15" s="39" t="s">
        <v>2148</v>
      </c>
      <c r="D15" s="39" t="s">
        <v>2149</v>
      </c>
      <c r="E15" s="15" t="s">
        <v>2126</v>
      </c>
      <c r="K15" s="23">
        <f>IF(H15="","",TODAY()-H15)</f>
        <v>0</v>
      </c>
      <c r="L15" s="29">
        <f>IF(C15="","",IF(G15="Issue found","Action - fix this now",IF(G15="Not required","OK",IF(OR(H15="",G15="Not checked"),"Check - never checked",IF(AND(E15="Monthly",K15&gt;31),"Due - monthly check",IF(AND(E15="Weekly",K15&gt;7),"Due - weekly check",IF(AND(E15="Quarterly",K15&gt;92),"Due - quarterly check","OK")))))))</f>
        <v>0</v>
      </c>
    </row>
    <row r="16" spans="1:13">
      <c r="A16" s="41">
        <f>IF(C16="","","CHK-"&amp;TEXT(ROW()-4,"000"))</f>
        <v>0</v>
      </c>
      <c r="B16" s="15" t="s">
        <v>2140</v>
      </c>
      <c r="C16" s="39" t="s">
        <v>2150</v>
      </c>
      <c r="D16" s="39" t="s">
        <v>2151</v>
      </c>
      <c r="E16" s="15" t="s">
        <v>630</v>
      </c>
      <c r="K16" s="23">
        <f>IF(H16="","",TODAY()-H16)</f>
        <v>0</v>
      </c>
      <c r="L16" s="29">
        <f>IF(C16="","",IF(G16="Issue found","Action - fix this now",IF(G16="Not required","OK",IF(OR(H16="",G16="Not checked"),"Check - never checked",IF(AND(E16="Monthly",K16&gt;31),"Due - monthly check",IF(AND(E16="Weekly",K16&gt;7),"Due - weekly check",IF(AND(E16="Quarterly",K16&gt;92),"Due - quarterly check","OK")))))))</f>
        <v>0</v>
      </c>
    </row>
    <row r="17" spans="1:12">
      <c r="A17" s="41">
        <f>IF(C17="","","CHK-"&amp;TEXT(ROW()-4,"000"))</f>
        <v>0</v>
      </c>
      <c r="B17" s="15" t="s">
        <v>2152</v>
      </c>
      <c r="C17" s="39" t="s">
        <v>2153</v>
      </c>
      <c r="D17" s="39" t="s">
        <v>2154</v>
      </c>
      <c r="E17" s="15" t="s">
        <v>2126</v>
      </c>
      <c r="K17" s="23">
        <f>IF(H17="","",TODAY()-H17)</f>
        <v>0</v>
      </c>
      <c r="L17" s="29">
        <f>IF(C17="","",IF(G17="Issue found","Action - fix this now",IF(G17="Not required","OK",IF(OR(H17="",G17="Not checked"),"Check - never checked",IF(AND(E17="Monthly",K17&gt;31),"Due - monthly check",IF(AND(E17="Weekly",K17&gt;7),"Due - weekly check",IF(AND(E17="Quarterly",K17&gt;92),"Due - quarterly check","OK")))))))</f>
        <v>0</v>
      </c>
    </row>
    <row r="18" spans="1:12">
      <c r="A18" s="41">
        <f>IF(C18="","","CHK-"&amp;TEXT(ROW()-4,"000"))</f>
        <v>0</v>
      </c>
      <c r="B18" s="15" t="s">
        <v>2152</v>
      </c>
      <c r="C18" s="39" t="s">
        <v>2155</v>
      </c>
      <c r="D18" s="39" t="s">
        <v>2156</v>
      </c>
      <c r="E18" s="15" t="s">
        <v>2126</v>
      </c>
      <c r="K18" s="23">
        <f>IF(H18="","",TODAY()-H18)</f>
        <v>0</v>
      </c>
      <c r="L18" s="29">
        <f>IF(C18="","",IF(G18="Issue found","Action - fix this now",IF(G18="Not required","OK",IF(OR(H18="",G18="Not checked"),"Check - never checked",IF(AND(E18="Monthly",K18&gt;31),"Due - monthly check",IF(AND(E18="Weekly",K18&gt;7),"Due - weekly check",IF(AND(E18="Quarterly",K18&gt;92),"Due - quarterly check","OK")))))))</f>
        <v>0</v>
      </c>
    </row>
    <row r="19" spans="1:12">
      <c r="A19" s="41">
        <f>IF(C19="","","CHK-"&amp;TEXT(ROW()-4,"000"))</f>
        <v>0</v>
      </c>
      <c r="B19" s="15" t="s">
        <v>2152</v>
      </c>
      <c r="C19" s="39" t="s">
        <v>2157</v>
      </c>
      <c r="D19" s="39" t="s">
        <v>2158</v>
      </c>
      <c r="E19" s="15" t="s">
        <v>2126</v>
      </c>
      <c r="K19" s="23">
        <f>IF(H19="","",TODAY()-H19)</f>
        <v>0</v>
      </c>
      <c r="L19" s="29">
        <f>IF(C19="","",IF(G19="Issue found","Action - fix this now",IF(G19="Not required","OK",IF(OR(H19="",G19="Not checked"),"Check - never checked",IF(AND(E19="Monthly",K19&gt;31),"Due - monthly check",IF(AND(E19="Weekly",K19&gt;7),"Due - weekly check",IF(AND(E19="Quarterly",K19&gt;92),"Due - quarterly check","OK")))))))</f>
        <v>0</v>
      </c>
    </row>
    <row r="20" spans="1:12">
      <c r="A20" s="41">
        <f>IF(C20="","","CHK-"&amp;TEXT(ROW()-4,"000"))</f>
        <v>0</v>
      </c>
      <c r="B20" s="15" t="s">
        <v>2152</v>
      </c>
      <c r="C20" s="39" t="s">
        <v>2159</v>
      </c>
      <c r="D20" s="39" t="s">
        <v>2160</v>
      </c>
      <c r="E20" s="15" t="s">
        <v>630</v>
      </c>
      <c r="K20" s="23">
        <f>IF(H20="","",TODAY()-H20)</f>
        <v>0</v>
      </c>
      <c r="L20" s="29">
        <f>IF(C20="","",IF(G20="Issue found","Action - fix this now",IF(G20="Not required","OK",IF(OR(H20="",G20="Not checked"),"Check - never checked",IF(AND(E20="Monthly",K20&gt;31),"Due - monthly check",IF(AND(E20="Weekly",K20&gt;7),"Due - weekly check",IF(AND(E20="Quarterly",K20&gt;92),"Due - quarterly check","OK")))))))</f>
        <v>0</v>
      </c>
    </row>
    <row r="21" spans="1:12">
      <c r="A21" s="41">
        <f>IF(C21="","","CHK-"&amp;TEXT(ROW()-4,"000"))</f>
        <v>0</v>
      </c>
      <c r="B21" s="15" t="s">
        <v>2161</v>
      </c>
      <c r="C21" s="39" t="s">
        <v>2162</v>
      </c>
      <c r="D21" s="39" t="s">
        <v>2163</v>
      </c>
      <c r="E21" s="15" t="s">
        <v>2164</v>
      </c>
      <c r="K21" s="23">
        <f>IF(H21="","",TODAY()-H21)</f>
        <v>0</v>
      </c>
      <c r="L21" s="29">
        <f>IF(C21="","",IF(G21="Issue found","Action - fix this now",IF(G21="Not required","OK",IF(OR(H21="",G21="Not checked"),"Check - never checked",IF(AND(E21="Monthly",K21&gt;31),"Due - monthly check",IF(AND(E21="Weekly",K21&gt;7),"Due - weekly check",IF(AND(E21="Quarterly",K21&gt;92),"Due - quarterly check","OK")))))))</f>
        <v>0</v>
      </c>
    </row>
    <row r="22" spans="1:12">
      <c r="A22" s="41">
        <f>IF(C22="","","CHK-"&amp;TEXT(ROW()-4,"000"))</f>
        <v>0</v>
      </c>
      <c r="B22" s="15" t="s">
        <v>2161</v>
      </c>
      <c r="C22" s="39" t="s">
        <v>2165</v>
      </c>
      <c r="D22" s="39" t="s">
        <v>2166</v>
      </c>
      <c r="E22" s="15" t="s">
        <v>2164</v>
      </c>
      <c r="K22" s="23">
        <f>IF(H22="","",TODAY()-H22)</f>
        <v>0</v>
      </c>
      <c r="L22" s="29">
        <f>IF(C22="","",IF(G22="Issue found","Action - fix this now",IF(G22="Not required","OK",IF(OR(H22="",G22="Not checked"),"Check - never checked",IF(AND(E22="Monthly",K22&gt;31),"Due - monthly check",IF(AND(E22="Weekly",K22&gt;7),"Due - weekly check",IF(AND(E22="Quarterly",K22&gt;92),"Due - quarterly check","OK")))))))</f>
        <v>0</v>
      </c>
    </row>
    <row r="23" spans="1:12">
      <c r="A23" s="41">
        <f>IF(C23="","","CHK-"&amp;TEXT(ROW()-4,"000"))</f>
        <v>0</v>
      </c>
      <c r="B23" s="15" t="s">
        <v>2167</v>
      </c>
      <c r="C23" s="39" t="s">
        <v>2168</v>
      </c>
      <c r="D23" s="39" t="s">
        <v>2169</v>
      </c>
      <c r="E23" s="15" t="s">
        <v>2126</v>
      </c>
      <c r="K23" s="23">
        <f>IF(H23="","",TODAY()-H23)</f>
        <v>0</v>
      </c>
      <c r="L23" s="29">
        <f>IF(C23="","",IF(G23="Issue found","Action - fix this now",IF(G23="Not required","OK",IF(OR(H23="",G23="Not checked"),"Check - never checked",IF(AND(E23="Monthly",K23&gt;31),"Due - monthly check",IF(AND(E23="Weekly",K23&gt;7),"Due - weekly check",IF(AND(E23="Quarterly",K23&gt;92),"Due - quarterly check","OK")))))))</f>
        <v>0</v>
      </c>
    </row>
    <row r="24" spans="1:12">
      <c r="A24" s="41">
        <f>IF(C24="","","CHK-"&amp;TEXT(ROW()-4,"000"))</f>
        <v>0</v>
      </c>
      <c r="B24" s="15" t="s">
        <v>2167</v>
      </c>
      <c r="C24" s="39" t="s">
        <v>2170</v>
      </c>
      <c r="D24" s="39" t="s">
        <v>2171</v>
      </c>
      <c r="E24" s="15" t="s">
        <v>2126</v>
      </c>
      <c r="K24" s="23">
        <f>IF(H24="","",TODAY()-H24)</f>
        <v>0</v>
      </c>
      <c r="L24" s="29">
        <f>IF(C24="","",IF(G24="Issue found","Action - fix this now",IF(G24="Not required","OK",IF(OR(H24="",G24="Not checked"),"Check - never checked",IF(AND(E24="Monthly",K24&gt;31),"Due - monthly check",IF(AND(E24="Weekly",K24&gt;7),"Due - weekly check",IF(AND(E24="Quarterly",K24&gt;92),"Due - quarterly check","OK")))))))</f>
        <v>0</v>
      </c>
    </row>
    <row r="25" spans="1:12">
      <c r="A25" s="41">
        <f>IF(C25="","","CHK-"&amp;TEXT(ROW()-4,"000"))</f>
        <v>0</v>
      </c>
      <c r="B25" s="15" t="s">
        <v>2167</v>
      </c>
      <c r="C25" s="39" t="s">
        <v>2172</v>
      </c>
      <c r="D25" s="39" t="s">
        <v>2173</v>
      </c>
      <c r="E25" s="15" t="s">
        <v>2126</v>
      </c>
      <c r="K25" s="23">
        <f>IF(H25="","",TODAY()-H25)</f>
        <v>0</v>
      </c>
      <c r="L25" s="29">
        <f>IF(C25="","",IF(G25="Issue found","Action - fix this now",IF(G25="Not required","OK",IF(OR(H25="",G25="Not checked"),"Check - never checked",IF(AND(E25="Monthly",K25&gt;31),"Due - monthly check",IF(AND(E25="Weekly",K25&gt;7),"Due - weekly check",IF(AND(E25="Quarterly",K25&gt;92),"Due - quarterly check","OK")))))))</f>
        <v>0</v>
      </c>
    </row>
    <row r="26" spans="1:12">
      <c r="A26" s="41">
        <f>IF(C26="","","CHK-"&amp;TEXT(ROW()-4,"000"))</f>
        <v>0</v>
      </c>
      <c r="B26" s="15" t="s">
        <v>2174</v>
      </c>
      <c r="C26" s="39" t="s">
        <v>2175</v>
      </c>
      <c r="D26" s="39" t="s">
        <v>2176</v>
      </c>
      <c r="E26" s="15" t="s">
        <v>2126</v>
      </c>
      <c r="K26" s="23">
        <f>IF(H26="","",TODAY()-H26)</f>
        <v>0</v>
      </c>
      <c r="L26" s="29">
        <f>IF(C26="","",IF(G26="Issue found","Action - fix this now",IF(G26="Not required","OK",IF(OR(H26="",G26="Not checked"),"Check - never checked",IF(AND(E26="Monthly",K26&gt;31),"Due - monthly check",IF(AND(E26="Weekly",K26&gt;7),"Due - weekly check",IF(AND(E26="Quarterly",K26&gt;92),"Due - quarterly check","OK")))))))</f>
        <v>0</v>
      </c>
    </row>
    <row r="27" spans="1:12">
      <c r="A27" s="41">
        <f>IF(C27="","","CHK-"&amp;TEXT(ROW()-4,"000"))</f>
        <v>0</v>
      </c>
      <c r="B27" s="15" t="s">
        <v>2174</v>
      </c>
      <c r="C27" s="39" t="s">
        <v>2177</v>
      </c>
      <c r="D27" s="39" t="s">
        <v>2178</v>
      </c>
      <c r="E27" s="15" t="s">
        <v>628</v>
      </c>
      <c r="K27" s="23">
        <f>IF(H27="","",TODAY()-H27)</f>
        <v>0</v>
      </c>
      <c r="L27" s="29">
        <f>IF(C27="","",IF(G27="Issue found","Action - fix this now",IF(G27="Not required","OK",IF(OR(H27="",G27="Not checked"),"Check - never checked",IF(AND(E27="Monthly",K27&gt;31),"Due - monthly check",IF(AND(E27="Weekly",K27&gt;7),"Due - weekly check",IF(AND(E27="Quarterly",K27&gt;92),"Due - quarterly check","OK")))))))</f>
        <v>0</v>
      </c>
    </row>
    <row r="28" spans="1:12">
      <c r="A28" s="41">
        <f>IF(C28="","","CHK-"&amp;TEXT(ROW()-4,"000"))</f>
        <v>0</v>
      </c>
      <c r="B28" s="15" t="s">
        <v>2174</v>
      </c>
      <c r="C28" s="39" t="s">
        <v>2179</v>
      </c>
      <c r="D28" s="39" t="s">
        <v>2180</v>
      </c>
      <c r="E28" s="15" t="s">
        <v>628</v>
      </c>
      <c r="K28" s="23">
        <f>IF(H28="","",TODAY()-H28)</f>
        <v>0</v>
      </c>
      <c r="L28" s="29">
        <f>IF(C28="","",IF(G28="Issue found","Action - fix this now",IF(G28="Not required","OK",IF(OR(H28="",G28="Not checked"),"Check - never checked",IF(AND(E28="Monthly",K28&gt;31),"Due - monthly check",IF(AND(E28="Weekly",K28&gt;7),"Due - weekly check",IF(AND(E28="Quarterly",K28&gt;92),"Due - quarterly check","OK")))))))</f>
        <v>0</v>
      </c>
    </row>
    <row r="29" spans="1:12">
      <c r="A29" s="41">
        <f>IF(C29="","","CHK-"&amp;TEXT(ROW()-4,"000"))</f>
        <v>0</v>
      </c>
      <c r="B29" s="15" t="s">
        <v>2174</v>
      </c>
      <c r="C29" s="39" t="s">
        <v>2181</v>
      </c>
      <c r="D29" s="39" t="s">
        <v>2182</v>
      </c>
      <c r="E29" s="15" t="s">
        <v>626</v>
      </c>
      <c r="K29" s="23">
        <f>IF(H29="","",TODAY()-H29)</f>
        <v>0</v>
      </c>
      <c r="L29" s="29">
        <f>IF(C29="","",IF(G29="Issue found","Action - fix this now",IF(G29="Not required","OK",IF(OR(H29="",G29="Not checked"),"Check - never checked",IF(AND(E29="Monthly",K29&gt;31),"Due - monthly check",IF(AND(E29="Weekly",K29&gt;7),"Due - weekly check",IF(AND(E29="Quarterly",K29&gt;92),"Due - quarterly check","OK")))))))</f>
        <v>0</v>
      </c>
    </row>
    <row r="30" spans="1:12">
      <c r="A30" s="41">
        <f>IF(C30="","","CHK-"&amp;TEXT(ROW()-4,"000"))</f>
        <v>0</v>
      </c>
      <c r="B30" s="15" t="s">
        <v>2183</v>
      </c>
      <c r="C30" s="39" t="s">
        <v>2184</v>
      </c>
      <c r="D30" s="39" t="s">
        <v>2185</v>
      </c>
      <c r="E30" s="15" t="s">
        <v>2126</v>
      </c>
      <c r="K30" s="23">
        <f>IF(H30="","",TODAY()-H30)</f>
        <v>0</v>
      </c>
      <c r="L30" s="29">
        <f>IF(C30="","",IF(G30="Issue found","Action - fix this now",IF(G30="Not required","OK",IF(OR(H30="",G30="Not checked"),"Check - never checked",IF(AND(E30="Monthly",K30&gt;31),"Due - monthly check",IF(AND(E30="Weekly",K30&gt;7),"Due - weekly check",IF(AND(E30="Quarterly",K30&gt;92),"Due - quarterly check","OK")))))))</f>
        <v>0</v>
      </c>
    </row>
    <row r="31" spans="1:12">
      <c r="A31" s="41">
        <f>IF(C31="","","CHK-"&amp;TEXT(ROW()-4,"000"))</f>
        <v>0</v>
      </c>
      <c r="B31" s="15" t="s">
        <v>2183</v>
      </c>
      <c r="C31" s="39" t="s">
        <v>2186</v>
      </c>
      <c r="D31" s="39" t="s">
        <v>2187</v>
      </c>
      <c r="E31" s="15" t="s">
        <v>2126</v>
      </c>
      <c r="K31" s="23">
        <f>IF(H31="","",TODAY()-H31)</f>
        <v>0</v>
      </c>
      <c r="L31" s="29">
        <f>IF(C31="","",IF(G31="Issue found","Action - fix this now",IF(G31="Not required","OK",IF(OR(H31="",G31="Not checked"),"Check - never checked",IF(AND(E31="Monthly",K31&gt;31),"Due - monthly check",IF(AND(E31="Weekly",K31&gt;7),"Due - weekly check",IF(AND(E31="Quarterly",K31&gt;92),"Due - quarterly check","OK")))))))</f>
        <v>0</v>
      </c>
    </row>
    <row r="32" spans="1:12">
      <c r="A32" s="41">
        <f>IF(C32="","","CHK-"&amp;TEXT(ROW()-4,"000"))</f>
        <v>0</v>
      </c>
      <c r="B32" s="15" t="s">
        <v>2183</v>
      </c>
      <c r="C32" s="39" t="s">
        <v>2188</v>
      </c>
      <c r="D32" s="39" t="s">
        <v>2189</v>
      </c>
      <c r="E32" s="15" t="s">
        <v>630</v>
      </c>
      <c r="K32" s="23">
        <f>IF(H32="","",TODAY()-H32)</f>
        <v>0</v>
      </c>
      <c r="L32" s="29">
        <f>IF(C32="","",IF(G32="Issue found","Action - fix this now",IF(G32="Not required","OK",IF(OR(H32="",G32="Not checked"),"Check - never checked",IF(AND(E32="Monthly",K32&gt;31),"Due - monthly check",IF(AND(E32="Weekly",K32&gt;7),"Due - weekly check",IF(AND(E32="Quarterly",K32&gt;92),"Due - quarterly check","OK")))))))</f>
        <v>0</v>
      </c>
    </row>
    <row r="33" spans="1:12">
      <c r="A33" s="41">
        <f>IF(C33="","","CHK-"&amp;TEXT(ROW()-4,"000"))</f>
        <v>0</v>
      </c>
      <c r="B33" s="15" t="s">
        <v>2190</v>
      </c>
      <c r="C33" s="39" t="s">
        <v>2191</v>
      </c>
      <c r="D33" s="39" t="s">
        <v>2192</v>
      </c>
      <c r="E33" s="15" t="s">
        <v>631</v>
      </c>
      <c r="K33" s="23">
        <f>IF(H33="","",TODAY()-H33)</f>
        <v>0</v>
      </c>
      <c r="L33" s="29">
        <f>IF(C33="","",IF(G33="Issue found","Action - fix this now",IF(G33="Not required","OK",IF(OR(H33="",G33="Not checked"),"Check - never checked",IF(AND(E33="Monthly",K33&gt;31),"Due - monthly check",IF(AND(E33="Weekly",K33&gt;7),"Due - weekly check",IF(AND(E33="Quarterly",K33&gt;92),"Due - quarterly check","OK")))))))</f>
        <v>0</v>
      </c>
    </row>
    <row r="34" spans="1:12">
      <c r="A34" s="41">
        <f>IF(C34="","","CHK-"&amp;TEXT(ROW()-4,"000"))</f>
        <v>0</v>
      </c>
      <c r="B34" s="15" t="s">
        <v>2190</v>
      </c>
      <c r="C34" s="39" t="s">
        <v>2193</v>
      </c>
      <c r="D34" s="39" t="s">
        <v>2194</v>
      </c>
      <c r="E34" s="15" t="s">
        <v>631</v>
      </c>
      <c r="K34" s="23">
        <f>IF(H34="","",TODAY()-H34)</f>
        <v>0</v>
      </c>
      <c r="L34" s="29">
        <f>IF(C34="","",IF(G34="Issue found","Action - fix this now",IF(G34="Not required","OK",IF(OR(H34="",G34="Not checked"),"Check - never checked",IF(AND(E34="Monthly",K34&gt;31),"Due - monthly check",IF(AND(E34="Weekly",K34&gt;7),"Due - weekly check",IF(AND(E34="Quarterly",K34&gt;92),"Due - quarterly check","OK")))))))</f>
        <v>0</v>
      </c>
    </row>
    <row r="35" spans="1:12">
      <c r="A35" s="41">
        <f>IF(C35="","","CHK-"&amp;TEXT(ROW()-4,"000"))</f>
        <v>0</v>
      </c>
      <c r="K35" s="23">
        <f>IF(H35="","",TODAY()-H35)</f>
        <v>0</v>
      </c>
      <c r="L35" s="29">
        <f>IF(C35="","",IF(G35="Issue found","Action - fix this now",IF(G35="Not required","OK",IF(OR(H35="",G35="Not checked"),"Check - never checked",IF(AND(E35="Monthly",K35&gt;31),"Due - monthly check",IF(AND(E35="Weekly",K35&gt;7),"Due - weekly check",IF(AND(E35="Quarterly",K35&gt;92),"Due - quarterly check","OK")))))))</f>
        <v>0</v>
      </c>
    </row>
    <row r="36" spans="1:12">
      <c r="A36" s="41">
        <f>IF(C36="","","CHK-"&amp;TEXT(ROW()-4,"000"))</f>
        <v>0</v>
      </c>
      <c r="K36" s="23">
        <f>IF(H36="","",TODAY()-H36)</f>
        <v>0</v>
      </c>
      <c r="L36" s="29">
        <f>IF(C36="","",IF(G36="Issue found","Action - fix this now",IF(G36="Not required","OK",IF(OR(H36="",G36="Not checked"),"Check - never checked",IF(AND(E36="Monthly",K36&gt;31),"Due - monthly check",IF(AND(E36="Weekly",K36&gt;7),"Due - weekly check",IF(AND(E36="Quarterly",K36&gt;92),"Due - quarterly check","OK")))))))</f>
        <v>0</v>
      </c>
    </row>
    <row r="37" spans="1:12">
      <c r="A37" s="41">
        <f>IF(C37="","","CHK-"&amp;TEXT(ROW()-4,"000"))</f>
        <v>0</v>
      </c>
      <c r="K37" s="23">
        <f>IF(H37="","",TODAY()-H37)</f>
        <v>0</v>
      </c>
      <c r="L37" s="29">
        <f>IF(C37="","",IF(G37="Issue found","Action - fix this now",IF(G37="Not required","OK",IF(OR(H37="",G37="Not checked"),"Check - never checked",IF(AND(E37="Monthly",K37&gt;31),"Due - monthly check",IF(AND(E37="Weekly",K37&gt;7),"Due - weekly check",IF(AND(E37="Quarterly",K37&gt;92),"Due - quarterly check","OK")))))))</f>
        <v>0</v>
      </c>
    </row>
    <row r="38" spans="1:12">
      <c r="A38" s="41">
        <f>IF(C38="","","CHK-"&amp;TEXT(ROW()-4,"000"))</f>
        <v>0</v>
      </c>
      <c r="K38" s="23">
        <f>IF(H38="","",TODAY()-H38)</f>
        <v>0</v>
      </c>
      <c r="L38" s="29">
        <f>IF(C38="","",IF(G38="Issue found","Action - fix this now",IF(G38="Not required","OK",IF(OR(H38="",G38="Not checked"),"Check - never checked",IF(AND(E38="Monthly",K38&gt;31),"Due - monthly check",IF(AND(E38="Weekly",K38&gt;7),"Due - weekly check",IF(AND(E38="Quarterly",K38&gt;92),"Due - quarterly check","OK")))))))</f>
        <v>0</v>
      </c>
    </row>
    <row r="39" spans="1:12">
      <c r="A39" s="41">
        <f>IF(C39="","","CHK-"&amp;TEXT(ROW()-4,"000"))</f>
        <v>0</v>
      </c>
      <c r="K39" s="23">
        <f>IF(H39="","",TODAY()-H39)</f>
        <v>0</v>
      </c>
      <c r="L39" s="29">
        <f>IF(C39="","",IF(G39="Issue found","Action - fix this now",IF(G39="Not required","OK",IF(OR(H39="",G39="Not checked"),"Check - never checked",IF(AND(E39="Monthly",K39&gt;31),"Due - monthly check",IF(AND(E39="Weekly",K39&gt;7),"Due - weekly check",IF(AND(E39="Quarterly",K39&gt;92),"Due - quarterly check","OK")))))))</f>
        <v>0</v>
      </c>
    </row>
    <row r="40" spans="1:12">
      <c r="A40" s="41">
        <f>IF(C40="","","CHK-"&amp;TEXT(ROW()-4,"000"))</f>
        <v>0</v>
      </c>
      <c r="K40" s="23">
        <f>IF(H40="","",TODAY()-H40)</f>
        <v>0</v>
      </c>
      <c r="L40" s="29">
        <f>IF(C40="","",IF(G40="Issue found","Action - fix this now",IF(G40="Not required","OK",IF(OR(H40="",G40="Not checked"),"Check - never checked",IF(AND(E40="Monthly",K40&gt;31),"Due - monthly check",IF(AND(E40="Weekly",K40&gt;7),"Due - weekly check",IF(AND(E40="Quarterly",K40&gt;92),"Due - quarterly check","OK")))))))</f>
        <v>0</v>
      </c>
    </row>
    <row r="41" spans="1:12">
      <c r="A41" s="41">
        <f>IF(C41="","","CHK-"&amp;TEXT(ROW()-4,"000"))</f>
        <v>0</v>
      </c>
      <c r="K41" s="23">
        <f>IF(H41="","",TODAY()-H41)</f>
        <v>0</v>
      </c>
      <c r="L41" s="29">
        <f>IF(C41="","",IF(G41="Issue found","Action - fix this now",IF(G41="Not required","OK",IF(OR(H41="",G41="Not checked"),"Check - never checked",IF(AND(E41="Monthly",K41&gt;31),"Due - monthly check",IF(AND(E41="Weekly",K41&gt;7),"Due - weekly check",IF(AND(E41="Quarterly",K41&gt;92),"Due - quarterly check","OK")))))))</f>
        <v>0</v>
      </c>
    </row>
    <row r="42" spans="1:12">
      <c r="A42" s="41">
        <f>IF(C42="","","CHK-"&amp;TEXT(ROW()-4,"000"))</f>
        <v>0</v>
      </c>
      <c r="K42" s="23">
        <f>IF(H42="","",TODAY()-H42)</f>
        <v>0</v>
      </c>
      <c r="L42" s="29">
        <f>IF(C42="","",IF(G42="Issue found","Action - fix this now",IF(G42="Not required","OK",IF(OR(H42="",G42="Not checked"),"Check - never checked",IF(AND(E42="Monthly",K42&gt;31),"Due - monthly check",IF(AND(E42="Weekly",K42&gt;7),"Due - weekly check",IF(AND(E42="Quarterly",K42&gt;92),"Due - quarterly check","OK")))))))</f>
        <v>0</v>
      </c>
    </row>
    <row r="43" spans="1:12">
      <c r="A43" s="41">
        <f>IF(C43="","","CHK-"&amp;TEXT(ROW()-4,"000"))</f>
        <v>0</v>
      </c>
      <c r="K43" s="23">
        <f>IF(H43="","",TODAY()-H43)</f>
        <v>0</v>
      </c>
      <c r="L43" s="29">
        <f>IF(C43="","",IF(G43="Issue found","Action - fix this now",IF(G43="Not required","OK",IF(OR(H43="",G43="Not checked"),"Check - never checked",IF(AND(E43="Monthly",K43&gt;31),"Due - monthly check",IF(AND(E43="Weekly",K43&gt;7),"Due - weekly check",IF(AND(E43="Quarterly",K43&gt;92),"Due - quarterly check","OK")))))))</f>
        <v>0</v>
      </c>
    </row>
    <row r="44" spans="1:12">
      <c r="A44" s="41">
        <f>IF(C44="","","CHK-"&amp;TEXT(ROW()-4,"000"))</f>
        <v>0</v>
      </c>
      <c r="K44" s="23">
        <f>IF(H44="","",TODAY()-H44)</f>
        <v>0</v>
      </c>
      <c r="L44" s="29">
        <f>IF(C44="","",IF(G44="Issue found","Action - fix this now",IF(G44="Not required","OK",IF(OR(H44="",G44="Not checked"),"Check - never checked",IF(AND(E44="Monthly",K44&gt;31),"Due - monthly check",IF(AND(E44="Weekly",K44&gt;7),"Due - weekly check",IF(AND(E44="Quarterly",K44&gt;92),"Due - quarterly check","OK")))))))</f>
        <v>0</v>
      </c>
    </row>
    <row r="45" spans="1:12">
      <c r="A45" s="41">
        <f>IF(C45="","","CHK-"&amp;TEXT(ROW()-4,"000"))</f>
        <v>0</v>
      </c>
      <c r="K45" s="23">
        <f>IF(H45="","",TODAY()-H45)</f>
        <v>0</v>
      </c>
      <c r="L45" s="29">
        <f>IF(C45="","",IF(G45="Issue found","Action - fix this now",IF(G45="Not required","OK",IF(OR(H45="",G45="Not checked"),"Check - never checked",IF(AND(E45="Monthly",K45&gt;31),"Due - monthly check",IF(AND(E45="Weekly",K45&gt;7),"Due - weekly check",IF(AND(E45="Quarterly",K45&gt;92),"Due - quarterly check","OK")))))))</f>
        <v>0</v>
      </c>
    </row>
    <row r="46" spans="1:12">
      <c r="A46" s="41">
        <f>IF(C46="","","CHK-"&amp;TEXT(ROW()-4,"000"))</f>
        <v>0</v>
      </c>
      <c r="K46" s="23">
        <f>IF(H46="","",TODAY()-H46)</f>
        <v>0</v>
      </c>
      <c r="L46" s="29">
        <f>IF(C46="","",IF(G46="Issue found","Action - fix this now",IF(G46="Not required","OK",IF(OR(H46="",G46="Not checked"),"Check - never checked",IF(AND(E46="Monthly",K46&gt;31),"Due - monthly check",IF(AND(E46="Weekly",K46&gt;7),"Due - weekly check",IF(AND(E46="Quarterly",K46&gt;92),"Due - quarterly check","OK")))))))</f>
        <v>0</v>
      </c>
    </row>
    <row r="47" spans="1:12">
      <c r="A47" s="41">
        <f>IF(C47="","","CHK-"&amp;TEXT(ROW()-4,"000"))</f>
        <v>0</v>
      </c>
      <c r="K47" s="23">
        <f>IF(H47="","",TODAY()-H47)</f>
        <v>0</v>
      </c>
      <c r="L47" s="29">
        <f>IF(C47="","",IF(G47="Issue found","Action - fix this now",IF(G47="Not required","OK",IF(OR(H47="",G47="Not checked"),"Check - never checked",IF(AND(E47="Monthly",K47&gt;31),"Due - monthly check",IF(AND(E47="Weekly",K47&gt;7),"Due - weekly check",IF(AND(E47="Quarterly",K47&gt;92),"Due - quarterly check","OK")))))))</f>
        <v>0</v>
      </c>
    </row>
    <row r="48" spans="1:12">
      <c r="A48" s="41">
        <f>IF(C48="","","CHK-"&amp;TEXT(ROW()-4,"000"))</f>
        <v>0</v>
      </c>
      <c r="K48" s="23">
        <f>IF(H48="","",TODAY()-H48)</f>
        <v>0</v>
      </c>
      <c r="L48" s="29">
        <f>IF(C48="","",IF(G48="Issue found","Action - fix this now",IF(G48="Not required","OK",IF(OR(H48="",G48="Not checked"),"Check - never checked",IF(AND(E48="Monthly",K48&gt;31),"Due - monthly check",IF(AND(E48="Weekly",K48&gt;7),"Due - weekly check",IF(AND(E48="Quarterly",K48&gt;92),"Due - quarterly check","OK")))))))</f>
        <v>0</v>
      </c>
    </row>
    <row r="49" spans="1:12">
      <c r="A49" s="41">
        <f>IF(C49="","","CHK-"&amp;TEXT(ROW()-4,"000"))</f>
        <v>0</v>
      </c>
      <c r="K49" s="23">
        <f>IF(H49="","",TODAY()-H49)</f>
        <v>0</v>
      </c>
      <c r="L49" s="29">
        <f>IF(C49="","",IF(G49="Issue found","Action - fix this now",IF(G49="Not required","OK",IF(OR(H49="",G49="Not checked"),"Check - never checked",IF(AND(E49="Monthly",K49&gt;31),"Due - monthly check",IF(AND(E49="Weekly",K49&gt;7),"Due - weekly check",IF(AND(E49="Quarterly",K49&gt;92),"Due - quarterly check","OK")))))))</f>
        <v>0</v>
      </c>
    </row>
    <row r="50" spans="1:12">
      <c r="A50" s="41">
        <f>IF(C50="","","CHK-"&amp;TEXT(ROW()-4,"000"))</f>
        <v>0</v>
      </c>
      <c r="K50" s="23">
        <f>IF(H50="","",TODAY()-H50)</f>
        <v>0</v>
      </c>
      <c r="L50" s="29">
        <f>IF(C50="","",IF(G50="Issue found","Action - fix this now",IF(G50="Not required","OK",IF(OR(H50="",G50="Not checked"),"Check - never checked",IF(AND(E50="Monthly",K50&gt;31),"Due - monthly check",IF(AND(E50="Weekly",K50&gt;7),"Due - weekly check",IF(AND(E50="Quarterly",K50&gt;92),"Due - quarterly check","OK")))))))</f>
        <v>0</v>
      </c>
    </row>
    <row r="51" spans="1:12">
      <c r="A51" s="41">
        <f>IF(C51="","","CHK-"&amp;TEXT(ROW()-4,"000"))</f>
        <v>0</v>
      </c>
      <c r="K51" s="23">
        <f>IF(H51="","",TODAY()-H51)</f>
        <v>0</v>
      </c>
      <c r="L51" s="29">
        <f>IF(C51="","",IF(G51="Issue found","Action - fix this now",IF(G51="Not required","OK",IF(OR(H51="",G51="Not checked"),"Check - never checked",IF(AND(E51="Monthly",K51&gt;31),"Due - monthly check",IF(AND(E51="Weekly",K51&gt;7),"Due - weekly check",IF(AND(E51="Quarterly",K51&gt;92),"Due - quarterly check","OK")))))))</f>
        <v>0</v>
      </c>
    </row>
    <row r="52" spans="1:12">
      <c r="A52" s="41">
        <f>IF(C52="","","CHK-"&amp;TEXT(ROW()-4,"000"))</f>
        <v>0</v>
      </c>
      <c r="K52" s="23">
        <f>IF(H52="","",TODAY()-H52)</f>
        <v>0</v>
      </c>
      <c r="L52" s="29">
        <f>IF(C52="","",IF(G52="Issue found","Action - fix this now",IF(G52="Not required","OK",IF(OR(H52="",G52="Not checked"),"Check - never checked",IF(AND(E52="Monthly",K52&gt;31),"Due - monthly check",IF(AND(E52="Weekly",K52&gt;7),"Due - weekly check",IF(AND(E52="Quarterly",K52&gt;92),"Due - quarterly check","OK")))))))</f>
        <v>0</v>
      </c>
    </row>
    <row r="53" spans="1:12">
      <c r="A53" s="41">
        <f>IF(C53="","","CHK-"&amp;TEXT(ROW()-4,"000"))</f>
        <v>0</v>
      </c>
      <c r="K53" s="23">
        <f>IF(H53="","",TODAY()-H53)</f>
        <v>0</v>
      </c>
      <c r="L53" s="29">
        <f>IF(C53="","",IF(G53="Issue found","Action - fix this now",IF(G53="Not required","OK",IF(OR(H53="",G53="Not checked"),"Check - never checked",IF(AND(E53="Monthly",K53&gt;31),"Due - monthly check",IF(AND(E53="Weekly",K53&gt;7),"Due - weekly check",IF(AND(E53="Quarterly",K53&gt;92),"Due - quarterly check","OK")))))))</f>
        <v>0</v>
      </c>
    </row>
    <row r="54" spans="1:12">
      <c r="A54" s="41">
        <f>IF(C54="","","CHK-"&amp;TEXT(ROW()-4,"000"))</f>
        <v>0</v>
      </c>
      <c r="K54" s="23">
        <f>IF(H54="","",TODAY()-H54)</f>
        <v>0</v>
      </c>
      <c r="L54" s="29">
        <f>IF(C54="","",IF(G54="Issue found","Action - fix this now",IF(G54="Not required","OK",IF(OR(H54="",G54="Not checked"),"Check - never checked",IF(AND(E54="Monthly",K54&gt;31),"Due - monthly check",IF(AND(E54="Weekly",K54&gt;7),"Due - weekly check",IF(AND(E54="Quarterly",K54&gt;92),"Due - quarterly check","OK")))))))</f>
        <v>0</v>
      </c>
    </row>
    <row r="55" spans="1:12">
      <c r="A55" s="41">
        <f>IF(C55="","","CHK-"&amp;TEXT(ROW()-4,"000"))</f>
        <v>0</v>
      </c>
      <c r="K55" s="23">
        <f>IF(H55="","",TODAY()-H55)</f>
        <v>0</v>
      </c>
      <c r="L55" s="29">
        <f>IF(C55="","",IF(G55="Issue found","Action - fix this now",IF(G55="Not required","OK",IF(OR(H55="",G55="Not checked"),"Check - never checked",IF(AND(E55="Monthly",K55&gt;31),"Due - monthly check",IF(AND(E55="Weekly",K55&gt;7),"Due - weekly check",IF(AND(E55="Quarterly",K55&gt;92),"Due - quarterly check","OK")))))))</f>
        <v>0</v>
      </c>
    </row>
    <row r="56" spans="1:12">
      <c r="A56" s="41">
        <f>IF(C56="","","CHK-"&amp;TEXT(ROW()-4,"000"))</f>
        <v>0</v>
      </c>
      <c r="K56" s="23">
        <f>IF(H56="","",TODAY()-H56)</f>
        <v>0</v>
      </c>
      <c r="L56" s="29">
        <f>IF(C56="","",IF(G56="Issue found","Action - fix this now",IF(G56="Not required","OK",IF(OR(H56="",G56="Not checked"),"Check - never checked",IF(AND(E56="Monthly",K56&gt;31),"Due - monthly check",IF(AND(E56="Weekly",K56&gt;7),"Due - weekly check",IF(AND(E56="Quarterly",K56&gt;92),"Due - quarterly check","OK")))))))</f>
        <v>0</v>
      </c>
    </row>
    <row r="57" spans="1:12">
      <c r="A57" s="41">
        <f>IF(C57="","","CHK-"&amp;TEXT(ROW()-4,"000"))</f>
        <v>0</v>
      </c>
      <c r="K57" s="23">
        <f>IF(H57="","",TODAY()-H57)</f>
        <v>0</v>
      </c>
      <c r="L57" s="29">
        <f>IF(C57="","",IF(G57="Issue found","Action - fix this now",IF(G57="Not required","OK",IF(OR(H57="",G57="Not checked"),"Check - never checked",IF(AND(E57="Monthly",K57&gt;31),"Due - monthly check",IF(AND(E57="Weekly",K57&gt;7),"Due - weekly check",IF(AND(E57="Quarterly",K57&gt;92),"Due - quarterly check","OK")))))))</f>
        <v>0</v>
      </c>
    </row>
    <row r="58" spans="1:12">
      <c r="A58" s="41">
        <f>IF(C58="","","CHK-"&amp;TEXT(ROW()-4,"000"))</f>
        <v>0</v>
      </c>
      <c r="K58" s="23">
        <f>IF(H58="","",TODAY()-H58)</f>
        <v>0</v>
      </c>
      <c r="L58" s="29">
        <f>IF(C58="","",IF(G58="Issue found","Action - fix this now",IF(G58="Not required","OK",IF(OR(H58="",G58="Not checked"),"Check - never checked",IF(AND(E58="Monthly",K58&gt;31),"Due - monthly check",IF(AND(E58="Weekly",K58&gt;7),"Due - weekly check",IF(AND(E58="Quarterly",K58&gt;92),"Due - quarterly check","OK")))))))</f>
        <v>0</v>
      </c>
    </row>
    <row r="59" spans="1:12">
      <c r="A59" s="41">
        <f>IF(C59="","","CHK-"&amp;TEXT(ROW()-4,"000"))</f>
        <v>0</v>
      </c>
      <c r="K59" s="23">
        <f>IF(H59="","",TODAY()-H59)</f>
        <v>0</v>
      </c>
      <c r="L59" s="29">
        <f>IF(C59="","",IF(G59="Issue found","Action - fix this now",IF(G59="Not required","OK",IF(OR(H59="",G59="Not checked"),"Check - never checked",IF(AND(E59="Monthly",K59&gt;31),"Due - monthly check",IF(AND(E59="Weekly",K59&gt;7),"Due - weekly check",IF(AND(E59="Quarterly",K59&gt;92),"Due - quarterly check","OK")))))))</f>
        <v>0</v>
      </c>
    </row>
    <row r="60" spans="1:12">
      <c r="A60" s="41">
        <f>IF(C60="","","CHK-"&amp;TEXT(ROW()-4,"000"))</f>
        <v>0</v>
      </c>
      <c r="K60" s="23">
        <f>IF(H60="","",TODAY()-H60)</f>
        <v>0</v>
      </c>
      <c r="L60" s="29">
        <f>IF(C60="","",IF(G60="Issue found","Action - fix this now",IF(G60="Not required","OK",IF(OR(H60="",G60="Not checked"),"Check - never checked",IF(AND(E60="Monthly",K60&gt;31),"Due - monthly check",IF(AND(E60="Weekly",K60&gt;7),"Due - weekly check",IF(AND(E60="Quarterly",K60&gt;92),"Due - quarterly check","OK")))))))</f>
        <v>0</v>
      </c>
    </row>
    <row r="61" spans="1:12">
      <c r="A61" s="41">
        <f>IF(C61="","","CHK-"&amp;TEXT(ROW()-4,"000"))</f>
        <v>0</v>
      </c>
      <c r="K61" s="23">
        <f>IF(H61="","",TODAY()-H61)</f>
        <v>0</v>
      </c>
      <c r="L61" s="29">
        <f>IF(C61="","",IF(G61="Issue found","Action - fix this now",IF(G61="Not required","OK",IF(OR(H61="",G61="Not checked"),"Check - never checked",IF(AND(E61="Monthly",K61&gt;31),"Due - monthly check",IF(AND(E61="Weekly",K61&gt;7),"Due - weekly check",IF(AND(E61="Quarterly",K61&gt;92),"Due - quarterly check","OK")))))))</f>
        <v>0</v>
      </c>
    </row>
    <row r="62" spans="1:12">
      <c r="A62" s="41">
        <f>IF(C62="","","CHK-"&amp;TEXT(ROW()-4,"000"))</f>
        <v>0</v>
      </c>
      <c r="K62" s="23">
        <f>IF(H62="","",TODAY()-H62)</f>
        <v>0</v>
      </c>
      <c r="L62" s="29">
        <f>IF(C62="","",IF(G62="Issue found","Action - fix this now",IF(G62="Not required","OK",IF(OR(H62="",G62="Not checked"),"Check - never checked",IF(AND(E62="Monthly",K62&gt;31),"Due - monthly check",IF(AND(E62="Weekly",K62&gt;7),"Due - weekly check",IF(AND(E62="Quarterly",K62&gt;92),"Due - quarterly check","OK")))))))</f>
        <v>0</v>
      </c>
    </row>
    <row r="63" spans="1:12">
      <c r="A63" s="41">
        <f>IF(C63="","","CHK-"&amp;TEXT(ROW()-4,"000"))</f>
        <v>0</v>
      </c>
      <c r="K63" s="23">
        <f>IF(H63="","",TODAY()-H63)</f>
        <v>0</v>
      </c>
      <c r="L63" s="29">
        <f>IF(C63="","",IF(G63="Issue found","Action - fix this now",IF(G63="Not required","OK",IF(OR(H63="",G63="Not checked"),"Check - never checked",IF(AND(E63="Monthly",K63&gt;31),"Due - monthly check",IF(AND(E63="Weekly",K63&gt;7),"Due - weekly check",IF(AND(E63="Quarterly",K63&gt;92),"Due - quarterly check","OK")))))))</f>
        <v>0</v>
      </c>
    </row>
    <row r="64" spans="1:12">
      <c r="A64" s="41">
        <f>IF(C64="","","CHK-"&amp;TEXT(ROW()-4,"000"))</f>
        <v>0</v>
      </c>
      <c r="K64" s="23">
        <f>IF(H64="","",TODAY()-H64)</f>
        <v>0</v>
      </c>
      <c r="L64" s="29">
        <f>IF(C64="","",IF(G64="Issue found","Action - fix this now",IF(G64="Not required","OK",IF(OR(H64="",G64="Not checked"),"Check - never checked",IF(AND(E64="Monthly",K64&gt;31),"Due - monthly check",IF(AND(E64="Weekly",K64&gt;7),"Due - weekly check",IF(AND(E64="Quarterly",K64&gt;92),"Due - quarterly check","OK")))))))</f>
        <v>0</v>
      </c>
    </row>
    <row r="65" spans="1:12">
      <c r="A65" s="41">
        <f>IF(C65="","","CHK-"&amp;TEXT(ROW()-4,"000"))</f>
        <v>0</v>
      </c>
      <c r="K65" s="23">
        <f>IF(H65="","",TODAY()-H65)</f>
        <v>0</v>
      </c>
      <c r="L65" s="29">
        <f>IF(C65="","",IF(G65="Issue found","Action - fix this now",IF(G65="Not required","OK",IF(OR(H65="",G65="Not checked"),"Check - never checked",IF(AND(E65="Monthly",K65&gt;31),"Due - monthly check",IF(AND(E65="Weekly",K65&gt;7),"Due - weekly check",IF(AND(E65="Quarterly",K65&gt;92),"Due - quarterly check","OK")))))))</f>
        <v>0</v>
      </c>
    </row>
    <row r="66" spans="1:12">
      <c r="A66" s="41">
        <f>IF(C66="","","CHK-"&amp;TEXT(ROW()-4,"000"))</f>
        <v>0</v>
      </c>
      <c r="K66" s="23">
        <f>IF(H66="","",TODAY()-H66)</f>
        <v>0</v>
      </c>
      <c r="L66" s="29">
        <f>IF(C66="","",IF(G66="Issue found","Action - fix this now",IF(G66="Not required","OK",IF(OR(H66="",G66="Not checked"),"Check - never checked",IF(AND(E66="Monthly",K66&gt;31),"Due - monthly check",IF(AND(E66="Weekly",K66&gt;7),"Due - weekly check",IF(AND(E66="Quarterly",K66&gt;92),"Due - quarterly check","OK")))))))</f>
        <v>0</v>
      </c>
    </row>
    <row r="67" spans="1:12">
      <c r="A67" s="41">
        <f>IF(C67="","","CHK-"&amp;TEXT(ROW()-4,"000"))</f>
        <v>0</v>
      </c>
      <c r="K67" s="23">
        <f>IF(H67="","",TODAY()-H67)</f>
        <v>0</v>
      </c>
      <c r="L67" s="29">
        <f>IF(C67="","",IF(G67="Issue found","Action - fix this now",IF(G67="Not required","OK",IF(OR(H67="",G67="Not checked"),"Check - never checked",IF(AND(E67="Monthly",K67&gt;31),"Due - monthly check",IF(AND(E67="Weekly",K67&gt;7),"Due - weekly check",IF(AND(E67="Quarterly",K67&gt;92),"Due - quarterly check","OK")))))))</f>
        <v>0</v>
      </c>
    </row>
    <row r="68" spans="1:12">
      <c r="A68" s="41">
        <f>IF(C68="","","CHK-"&amp;TEXT(ROW()-4,"000"))</f>
        <v>0</v>
      </c>
      <c r="K68" s="23">
        <f>IF(H68="","",TODAY()-H68)</f>
        <v>0</v>
      </c>
      <c r="L68" s="29">
        <f>IF(C68="","",IF(G68="Issue found","Action - fix this now",IF(G68="Not required","OK",IF(OR(H68="",G68="Not checked"),"Check - never checked",IF(AND(E68="Monthly",K68&gt;31),"Due - monthly check",IF(AND(E68="Weekly",K68&gt;7),"Due - weekly check",IF(AND(E68="Quarterly",K68&gt;92),"Due - quarterly check","OK")))))))</f>
        <v>0</v>
      </c>
    </row>
    <row r="69" spans="1:12">
      <c r="A69" s="41">
        <f>IF(C69="","","CHK-"&amp;TEXT(ROW()-4,"000"))</f>
        <v>0</v>
      </c>
      <c r="K69" s="23">
        <f>IF(H69="","",TODAY()-H69)</f>
        <v>0</v>
      </c>
      <c r="L69" s="29">
        <f>IF(C69="","",IF(G69="Issue found","Action - fix this now",IF(G69="Not required","OK",IF(OR(H69="",G69="Not checked"),"Check - never checked",IF(AND(E69="Monthly",K69&gt;31),"Due - monthly check",IF(AND(E69="Weekly",K69&gt;7),"Due - weekly check",IF(AND(E69="Quarterly",K69&gt;92),"Due - quarterly check","OK")))))))</f>
        <v>0</v>
      </c>
    </row>
    <row r="70" spans="1:12">
      <c r="A70" s="41">
        <f>IF(C70="","","CHK-"&amp;TEXT(ROW()-4,"000"))</f>
        <v>0</v>
      </c>
      <c r="K70" s="23">
        <f>IF(H70="","",TODAY()-H70)</f>
        <v>0</v>
      </c>
      <c r="L70" s="29">
        <f>IF(C70="","",IF(G70="Issue found","Action - fix this now",IF(G70="Not required","OK",IF(OR(H70="",G70="Not checked"),"Check - never checked",IF(AND(E70="Monthly",K70&gt;31),"Due - monthly check",IF(AND(E70="Weekly",K70&gt;7),"Due - weekly check",IF(AND(E70="Quarterly",K70&gt;92),"Due - quarterly check","OK")))))))</f>
        <v>0</v>
      </c>
    </row>
    <row r="71" spans="1:12">
      <c r="A71" s="41">
        <f>IF(C71="","","CHK-"&amp;TEXT(ROW()-4,"000"))</f>
        <v>0</v>
      </c>
      <c r="K71" s="23">
        <f>IF(H71="","",TODAY()-H71)</f>
        <v>0</v>
      </c>
      <c r="L71" s="29">
        <f>IF(C71="","",IF(G71="Issue found","Action - fix this now",IF(G71="Not required","OK",IF(OR(H71="",G71="Not checked"),"Check - never checked",IF(AND(E71="Monthly",K71&gt;31),"Due - monthly check",IF(AND(E71="Weekly",K71&gt;7),"Due - weekly check",IF(AND(E71="Quarterly",K71&gt;92),"Due - quarterly check","OK")))))))</f>
        <v>0</v>
      </c>
    </row>
    <row r="72" spans="1:12">
      <c r="A72" s="41">
        <f>IF(C72="","","CHK-"&amp;TEXT(ROW()-4,"000"))</f>
        <v>0</v>
      </c>
      <c r="K72" s="23">
        <f>IF(H72="","",TODAY()-H72)</f>
        <v>0</v>
      </c>
      <c r="L72" s="29">
        <f>IF(C72="","",IF(G72="Issue found","Action - fix this now",IF(G72="Not required","OK",IF(OR(H72="",G72="Not checked"),"Check - never checked",IF(AND(E72="Monthly",K72&gt;31),"Due - monthly check",IF(AND(E72="Weekly",K72&gt;7),"Due - weekly check",IF(AND(E72="Quarterly",K72&gt;92),"Due - quarterly check","OK")))))))</f>
        <v>0</v>
      </c>
    </row>
    <row r="73" spans="1:12">
      <c r="A73" s="41">
        <f>IF(C73="","","CHK-"&amp;TEXT(ROW()-4,"000"))</f>
        <v>0</v>
      </c>
      <c r="K73" s="23">
        <f>IF(H73="","",TODAY()-H73)</f>
        <v>0</v>
      </c>
      <c r="L73" s="29">
        <f>IF(C73="","",IF(G73="Issue found","Action - fix this now",IF(G73="Not required","OK",IF(OR(H73="",G73="Not checked"),"Check - never checked",IF(AND(E73="Monthly",K73&gt;31),"Due - monthly check",IF(AND(E73="Weekly",K73&gt;7),"Due - weekly check",IF(AND(E73="Quarterly",K73&gt;92),"Due - quarterly check","OK")))))))</f>
        <v>0</v>
      </c>
    </row>
    <row r="74" spans="1:12">
      <c r="A74" s="41">
        <f>IF(C74="","","CHK-"&amp;TEXT(ROW()-4,"000"))</f>
        <v>0</v>
      </c>
      <c r="K74" s="23">
        <f>IF(H74="","",TODAY()-H74)</f>
        <v>0</v>
      </c>
      <c r="L74" s="29">
        <f>IF(C74="","",IF(G74="Issue found","Action - fix this now",IF(G74="Not required","OK",IF(OR(H74="",G74="Not checked"),"Check - never checked",IF(AND(E74="Monthly",K74&gt;31),"Due - monthly check",IF(AND(E74="Weekly",K74&gt;7),"Due - weekly check",IF(AND(E74="Quarterly",K74&gt;92),"Due - quarterly check","OK")))))))</f>
        <v>0</v>
      </c>
    </row>
    <row r="75" spans="1:12">
      <c r="A75" s="41">
        <f>IF(C75="","","CHK-"&amp;TEXT(ROW()-4,"000"))</f>
        <v>0</v>
      </c>
      <c r="K75" s="23">
        <f>IF(H75="","",TODAY()-H75)</f>
        <v>0</v>
      </c>
      <c r="L75" s="29">
        <f>IF(C75="","",IF(G75="Issue found","Action - fix this now",IF(G75="Not required","OK",IF(OR(H75="",G75="Not checked"),"Check - never checked",IF(AND(E75="Monthly",K75&gt;31),"Due - monthly check",IF(AND(E75="Weekly",K75&gt;7),"Due - weekly check",IF(AND(E75="Quarterly",K75&gt;92),"Due - quarterly check","OK")))))))</f>
        <v>0</v>
      </c>
    </row>
    <row r="76" spans="1:12">
      <c r="A76" s="41">
        <f>IF(C76="","","CHK-"&amp;TEXT(ROW()-4,"000"))</f>
        <v>0</v>
      </c>
      <c r="K76" s="23">
        <f>IF(H76="","",TODAY()-H76)</f>
        <v>0</v>
      </c>
      <c r="L76" s="29">
        <f>IF(C76="","",IF(G76="Issue found","Action - fix this now",IF(G76="Not required","OK",IF(OR(H76="",G76="Not checked"),"Check - never checked",IF(AND(E76="Monthly",K76&gt;31),"Due - monthly check",IF(AND(E76="Weekly",K76&gt;7),"Due - weekly check",IF(AND(E76="Quarterly",K76&gt;92),"Due - quarterly check","OK")))))))</f>
        <v>0</v>
      </c>
    </row>
    <row r="77" spans="1:12">
      <c r="A77" s="41">
        <f>IF(C77="","","CHK-"&amp;TEXT(ROW()-4,"000"))</f>
        <v>0</v>
      </c>
      <c r="K77" s="23">
        <f>IF(H77="","",TODAY()-H77)</f>
        <v>0</v>
      </c>
      <c r="L77" s="29">
        <f>IF(C77="","",IF(G77="Issue found","Action - fix this now",IF(G77="Not required","OK",IF(OR(H77="",G77="Not checked"),"Check - never checked",IF(AND(E77="Monthly",K77&gt;31),"Due - monthly check",IF(AND(E77="Weekly",K77&gt;7),"Due - weekly check",IF(AND(E77="Quarterly",K77&gt;92),"Due - quarterly check","OK")))))))</f>
        <v>0</v>
      </c>
    </row>
    <row r="78" spans="1:12">
      <c r="A78" s="41">
        <f>IF(C78="","","CHK-"&amp;TEXT(ROW()-4,"000"))</f>
        <v>0</v>
      </c>
      <c r="K78" s="23">
        <f>IF(H78="","",TODAY()-H78)</f>
        <v>0</v>
      </c>
      <c r="L78" s="29">
        <f>IF(C78="","",IF(G78="Issue found","Action - fix this now",IF(G78="Not required","OK",IF(OR(H78="",G78="Not checked"),"Check - never checked",IF(AND(E78="Monthly",K78&gt;31),"Due - monthly check",IF(AND(E78="Weekly",K78&gt;7),"Due - weekly check",IF(AND(E78="Quarterly",K78&gt;92),"Due - quarterly check","OK")))))))</f>
        <v>0</v>
      </c>
    </row>
    <row r="79" spans="1:12">
      <c r="A79" s="41">
        <f>IF(C79="","","CHK-"&amp;TEXT(ROW()-4,"000"))</f>
        <v>0</v>
      </c>
      <c r="K79" s="23">
        <f>IF(H79="","",TODAY()-H79)</f>
        <v>0</v>
      </c>
      <c r="L79" s="29">
        <f>IF(C79="","",IF(G79="Issue found","Action - fix this now",IF(G79="Not required","OK",IF(OR(H79="",G79="Not checked"),"Check - never checked",IF(AND(E79="Monthly",K79&gt;31),"Due - monthly check",IF(AND(E79="Weekly",K79&gt;7),"Due - weekly check",IF(AND(E79="Quarterly",K79&gt;92),"Due - quarterly check","OK")))))))</f>
        <v>0</v>
      </c>
    </row>
    <row r="80" spans="1:12">
      <c r="A80" s="41">
        <f>IF(C80="","","CHK-"&amp;TEXT(ROW()-4,"000"))</f>
        <v>0</v>
      </c>
      <c r="K80" s="23">
        <f>IF(H80="","",TODAY()-H80)</f>
        <v>0</v>
      </c>
      <c r="L80" s="29">
        <f>IF(C80="","",IF(G80="Issue found","Action - fix this now",IF(G80="Not required","OK",IF(OR(H80="",G80="Not checked"),"Check - never checked",IF(AND(E80="Monthly",K80&gt;31),"Due - monthly check",IF(AND(E80="Weekly",K80&gt;7),"Due - weekly check",IF(AND(E80="Quarterly",K80&gt;92),"Due - quarterly check","OK")))))))</f>
        <v>0</v>
      </c>
    </row>
    <row r="81" spans="1:12">
      <c r="A81" s="41">
        <f>IF(C81="","","CHK-"&amp;TEXT(ROW()-4,"000"))</f>
        <v>0</v>
      </c>
      <c r="K81" s="23">
        <f>IF(H81="","",TODAY()-H81)</f>
        <v>0</v>
      </c>
      <c r="L81" s="29">
        <f>IF(C81="","",IF(G81="Issue found","Action - fix this now",IF(G81="Not required","OK",IF(OR(H81="",G81="Not checked"),"Check - never checked",IF(AND(E81="Monthly",K81&gt;31),"Due - monthly check",IF(AND(E81="Weekly",K81&gt;7),"Due - weekly check",IF(AND(E81="Quarterly",K81&gt;92),"Due - quarterly check","OK")))))))</f>
        <v>0</v>
      </c>
    </row>
    <row r="82" spans="1:12">
      <c r="A82" s="41">
        <f>IF(C82="","","CHK-"&amp;TEXT(ROW()-4,"000"))</f>
        <v>0</v>
      </c>
      <c r="K82" s="23">
        <f>IF(H82="","",TODAY()-H82)</f>
        <v>0</v>
      </c>
      <c r="L82" s="29">
        <f>IF(C82="","",IF(G82="Issue found","Action - fix this now",IF(G82="Not required","OK",IF(OR(H82="",G82="Not checked"),"Check - never checked",IF(AND(E82="Monthly",K82&gt;31),"Due - monthly check",IF(AND(E82="Weekly",K82&gt;7),"Due - weekly check",IF(AND(E82="Quarterly",K82&gt;92),"Due - quarterly check","OK")))))))</f>
        <v>0</v>
      </c>
    </row>
    <row r="83" spans="1:12">
      <c r="A83" s="41">
        <f>IF(C83="","","CHK-"&amp;TEXT(ROW()-4,"000"))</f>
        <v>0</v>
      </c>
      <c r="K83" s="23">
        <f>IF(H83="","",TODAY()-H83)</f>
        <v>0</v>
      </c>
      <c r="L83" s="29">
        <f>IF(C83="","",IF(G83="Issue found","Action - fix this now",IF(G83="Not required","OK",IF(OR(H83="",G83="Not checked"),"Check - never checked",IF(AND(E83="Monthly",K83&gt;31),"Due - monthly check",IF(AND(E83="Weekly",K83&gt;7),"Due - weekly check",IF(AND(E83="Quarterly",K83&gt;92),"Due - quarterly check","OK")))))))</f>
        <v>0</v>
      </c>
    </row>
    <row r="84" spans="1:12">
      <c r="A84" s="41">
        <f>IF(C84="","","CHK-"&amp;TEXT(ROW()-4,"000"))</f>
        <v>0</v>
      </c>
      <c r="K84" s="23">
        <f>IF(H84="","",TODAY()-H84)</f>
        <v>0</v>
      </c>
      <c r="L84" s="29">
        <f>IF(C84="","",IF(G84="Issue found","Action - fix this now",IF(G84="Not required","OK",IF(OR(H84="",G84="Not checked"),"Check - never checked",IF(AND(E84="Monthly",K84&gt;31),"Due - monthly check",IF(AND(E84="Weekly",K84&gt;7),"Due - weekly check",IF(AND(E84="Quarterly",K84&gt;92),"Due - quarterly check","OK")))))))</f>
        <v>0</v>
      </c>
    </row>
    <row r="85" spans="1:12">
      <c r="A85" s="41">
        <f>IF(C85="","","CHK-"&amp;TEXT(ROW()-4,"000"))</f>
        <v>0</v>
      </c>
      <c r="K85" s="23">
        <f>IF(H85="","",TODAY()-H85)</f>
        <v>0</v>
      </c>
      <c r="L85" s="29">
        <f>IF(C85="","",IF(G85="Issue found","Action - fix this now",IF(G85="Not required","OK",IF(OR(H85="",G85="Not checked"),"Check - never checked",IF(AND(E85="Monthly",K85&gt;31),"Due - monthly check",IF(AND(E85="Weekly",K85&gt;7),"Due - weekly check",IF(AND(E85="Quarterly",K85&gt;92),"Due - quarterly check","OK")))))))</f>
        <v>0</v>
      </c>
    </row>
    <row r="86" spans="1:12">
      <c r="A86" s="41">
        <f>IF(C86="","","CHK-"&amp;TEXT(ROW()-4,"000"))</f>
        <v>0</v>
      </c>
      <c r="K86" s="23">
        <f>IF(H86="","",TODAY()-H86)</f>
        <v>0</v>
      </c>
      <c r="L86" s="29">
        <f>IF(C86="","",IF(G86="Issue found","Action - fix this now",IF(G86="Not required","OK",IF(OR(H86="",G86="Not checked"),"Check - never checked",IF(AND(E86="Monthly",K86&gt;31),"Due - monthly check",IF(AND(E86="Weekly",K86&gt;7),"Due - weekly check",IF(AND(E86="Quarterly",K86&gt;92),"Due - quarterly check","OK")))))))</f>
        <v>0</v>
      </c>
    </row>
    <row r="87" spans="1:12">
      <c r="A87" s="41">
        <f>IF(C87="","","CHK-"&amp;TEXT(ROW()-4,"000"))</f>
        <v>0</v>
      </c>
      <c r="K87" s="23">
        <f>IF(H87="","",TODAY()-H87)</f>
        <v>0</v>
      </c>
      <c r="L87" s="29">
        <f>IF(C87="","",IF(G87="Issue found","Action - fix this now",IF(G87="Not required","OK",IF(OR(H87="",G87="Not checked"),"Check - never checked",IF(AND(E87="Monthly",K87&gt;31),"Due - monthly check",IF(AND(E87="Weekly",K87&gt;7),"Due - weekly check",IF(AND(E87="Quarterly",K87&gt;92),"Due - quarterly check","OK")))))))</f>
        <v>0</v>
      </c>
    </row>
    <row r="88" spans="1:12">
      <c r="A88" s="41">
        <f>IF(C88="","","CHK-"&amp;TEXT(ROW()-4,"000"))</f>
        <v>0</v>
      </c>
      <c r="K88" s="23">
        <f>IF(H88="","",TODAY()-H88)</f>
        <v>0</v>
      </c>
      <c r="L88" s="29">
        <f>IF(C88="","",IF(G88="Issue found","Action - fix this now",IF(G88="Not required","OK",IF(OR(H88="",G88="Not checked"),"Check - never checked",IF(AND(E88="Monthly",K88&gt;31),"Due - monthly check",IF(AND(E88="Weekly",K88&gt;7),"Due - weekly check",IF(AND(E88="Quarterly",K88&gt;92),"Due - quarterly check","OK")))))))</f>
        <v>0</v>
      </c>
    </row>
    <row r="89" spans="1:12">
      <c r="A89" s="41">
        <f>IF(C89="","","CHK-"&amp;TEXT(ROW()-4,"000"))</f>
        <v>0</v>
      </c>
      <c r="K89" s="23">
        <f>IF(H89="","",TODAY()-H89)</f>
        <v>0</v>
      </c>
      <c r="L89" s="29">
        <f>IF(C89="","",IF(G89="Issue found","Action - fix this now",IF(G89="Not required","OK",IF(OR(H89="",G89="Not checked"),"Check - never checked",IF(AND(E89="Monthly",K89&gt;31),"Due - monthly check",IF(AND(E89="Weekly",K89&gt;7),"Due - weekly check",IF(AND(E89="Quarterly",K89&gt;92),"Due - quarterly check","OK")))))))</f>
        <v>0</v>
      </c>
    </row>
    <row r="90" spans="1:12">
      <c r="A90" s="41">
        <f>IF(C90="","","CHK-"&amp;TEXT(ROW()-4,"000"))</f>
        <v>0</v>
      </c>
      <c r="K90" s="23">
        <f>IF(H90="","",TODAY()-H90)</f>
        <v>0</v>
      </c>
      <c r="L90" s="29">
        <f>IF(C90="","",IF(G90="Issue found","Action - fix this now",IF(G90="Not required","OK",IF(OR(H90="",G90="Not checked"),"Check - never checked",IF(AND(E90="Monthly",K90&gt;31),"Due - monthly check",IF(AND(E90="Weekly",K90&gt;7),"Due - weekly check",IF(AND(E90="Quarterly",K90&gt;92),"Due - quarterly check","OK")))))))</f>
        <v>0</v>
      </c>
    </row>
    <row r="91" spans="1:12">
      <c r="A91" s="41">
        <f>IF(C91="","","CHK-"&amp;TEXT(ROW()-4,"000"))</f>
        <v>0</v>
      </c>
      <c r="K91" s="23">
        <f>IF(H91="","",TODAY()-H91)</f>
        <v>0</v>
      </c>
      <c r="L91" s="29">
        <f>IF(C91="","",IF(G91="Issue found","Action - fix this now",IF(G91="Not required","OK",IF(OR(H91="",G91="Not checked"),"Check - never checked",IF(AND(E91="Monthly",K91&gt;31),"Due - monthly check",IF(AND(E91="Weekly",K91&gt;7),"Due - weekly check",IF(AND(E91="Quarterly",K91&gt;92),"Due - quarterly check","OK")))))))</f>
        <v>0</v>
      </c>
    </row>
    <row r="92" spans="1:12">
      <c r="A92" s="41">
        <f>IF(C92="","","CHK-"&amp;TEXT(ROW()-4,"000"))</f>
        <v>0</v>
      </c>
      <c r="K92" s="23">
        <f>IF(H92="","",TODAY()-H92)</f>
        <v>0</v>
      </c>
      <c r="L92" s="29">
        <f>IF(C92="","",IF(G92="Issue found","Action - fix this now",IF(G92="Not required","OK",IF(OR(H92="",G92="Not checked"),"Check - never checked",IF(AND(E92="Monthly",K92&gt;31),"Due - monthly check",IF(AND(E92="Weekly",K92&gt;7),"Due - weekly check",IF(AND(E92="Quarterly",K92&gt;92),"Due - quarterly check","OK")))))))</f>
        <v>0</v>
      </c>
    </row>
    <row r="93" spans="1:12">
      <c r="A93" s="41">
        <f>IF(C93="","","CHK-"&amp;TEXT(ROW()-4,"000"))</f>
        <v>0</v>
      </c>
      <c r="K93" s="23">
        <f>IF(H93="","",TODAY()-H93)</f>
        <v>0</v>
      </c>
      <c r="L93" s="29">
        <f>IF(C93="","",IF(G93="Issue found","Action - fix this now",IF(G93="Not required","OK",IF(OR(H93="",G93="Not checked"),"Check - never checked",IF(AND(E93="Monthly",K93&gt;31),"Due - monthly check",IF(AND(E93="Weekly",K93&gt;7),"Due - weekly check",IF(AND(E93="Quarterly",K93&gt;92),"Due - quarterly check","OK")))))))</f>
        <v>0</v>
      </c>
    </row>
    <row r="94" spans="1:12">
      <c r="A94" s="41">
        <f>IF(C94="","","CHK-"&amp;TEXT(ROW()-4,"000"))</f>
        <v>0</v>
      </c>
      <c r="K94" s="23">
        <f>IF(H94="","",TODAY()-H94)</f>
        <v>0</v>
      </c>
      <c r="L94" s="29">
        <f>IF(C94="","",IF(G94="Issue found","Action - fix this now",IF(G94="Not required","OK",IF(OR(H94="",G94="Not checked"),"Check - never checked",IF(AND(E94="Monthly",K94&gt;31),"Due - monthly check",IF(AND(E94="Weekly",K94&gt;7),"Due - weekly check",IF(AND(E94="Quarterly",K94&gt;92),"Due - quarterly check","OK")))))))</f>
        <v>0</v>
      </c>
    </row>
    <row r="95" spans="1:12">
      <c r="A95" s="41">
        <f>IF(C95="","","CHK-"&amp;TEXT(ROW()-4,"000"))</f>
        <v>0</v>
      </c>
      <c r="K95" s="23">
        <f>IF(H95="","",TODAY()-H95)</f>
        <v>0</v>
      </c>
      <c r="L95" s="29">
        <f>IF(C95="","",IF(G95="Issue found","Action - fix this now",IF(G95="Not required","OK",IF(OR(H95="",G95="Not checked"),"Check - never checked",IF(AND(E95="Monthly",K95&gt;31),"Due - monthly check",IF(AND(E95="Weekly",K95&gt;7),"Due - weekly check",IF(AND(E95="Quarterly",K95&gt;92),"Due - quarterly check","OK")))))))</f>
        <v>0</v>
      </c>
    </row>
    <row r="96" spans="1:12">
      <c r="A96" s="41">
        <f>IF(C96="","","CHK-"&amp;TEXT(ROW()-4,"000"))</f>
        <v>0</v>
      </c>
      <c r="K96" s="23">
        <f>IF(H96="","",TODAY()-H96)</f>
        <v>0</v>
      </c>
      <c r="L96" s="29">
        <f>IF(C96="","",IF(G96="Issue found","Action - fix this now",IF(G96="Not required","OK",IF(OR(H96="",G96="Not checked"),"Check - never checked",IF(AND(E96="Monthly",K96&gt;31),"Due - monthly check",IF(AND(E96="Weekly",K96&gt;7),"Due - weekly check",IF(AND(E96="Quarterly",K96&gt;92),"Due - quarterly check","OK")))))))</f>
        <v>0</v>
      </c>
    </row>
    <row r="97" spans="1:12">
      <c r="A97" s="41">
        <f>IF(C97="","","CHK-"&amp;TEXT(ROW()-4,"000"))</f>
        <v>0</v>
      </c>
      <c r="K97" s="23">
        <f>IF(H97="","",TODAY()-H97)</f>
        <v>0</v>
      </c>
      <c r="L97" s="29">
        <f>IF(C97="","",IF(G97="Issue found","Action - fix this now",IF(G97="Not required","OK",IF(OR(H97="",G97="Not checked"),"Check - never checked",IF(AND(E97="Monthly",K97&gt;31),"Due - monthly check",IF(AND(E97="Weekly",K97&gt;7),"Due - weekly check",IF(AND(E97="Quarterly",K97&gt;92),"Due - quarterly check","OK")))))))</f>
        <v>0</v>
      </c>
    </row>
    <row r="98" spans="1:12">
      <c r="A98" s="41">
        <f>IF(C98="","","CHK-"&amp;TEXT(ROW()-4,"000"))</f>
        <v>0</v>
      </c>
      <c r="K98" s="23">
        <f>IF(H98="","",TODAY()-H98)</f>
        <v>0</v>
      </c>
      <c r="L98" s="29">
        <f>IF(C98="","",IF(G98="Issue found","Action - fix this now",IF(G98="Not required","OK",IF(OR(H98="",G98="Not checked"),"Check - never checked",IF(AND(E98="Monthly",K98&gt;31),"Due - monthly check",IF(AND(E98="Weekly",K98&gt;7),"Due - weekly check",IF(AND(E98="Quarterly",K98&gt;92),"Due - quarterly check","OK")))))))</f>
        <v>0</v>
      </c>
    </row>
    <row r="99" spans="1:12">
      <c r="A99" s="41">
        <f>IF(C99="","","CHK-"&amp;TEXT(ROW()-4,"000"))</f>
        <v>0</v>
      </c>
      <c r="K99" s="23">
        <f>IF(H99="","",TODAY()-H99)</f>
        <v>0</v>
      </c>
      <c r="L99" s="29">
        <f>IF(C99="","",IF(G99="Issue found","Action - fix this now",IF(G99="Not required","OK",IF(OR(H99="",G99="Not checked"),"Check - never checked",IF(AND(E99="Monthly",K99&gt;31),"Due - monthly check",IF(AND(E99="Weekly",K99&gt;7),"Due - weekly check",IF(AND(E99="Quarterly",K99&gt;92),"Due - quarterly check","OK")))))))</f>
        <v>0</v>
      </c>
    </row>
    <row r="100" spans="1:12">
      <c r="A100" s="41">
        <f>IF(C100="","","CHK-"&amp;TEXT(ROW()-4,"000"))</f>
        <v>0</v>
      </c>
      <c r="K100" s="23">
        <f>IF(H100="","",TODAY()-H100)</f>
        <v>0</v>
      </c>
      <c r="L100" s="29">
        <f>IF(C100="","",IF(G100="Issue found","Action - fix this now",IF(G100="Not required","OK",IF(OR(H100="",G100="Not checked"),"Check - never checked",IF(AND(E100="Monthly",K100&gt;31),"Due - monthly check",IF(AND(E100="Weekly",K100&gt;7),"Due - weekly check",IF(AND(E100="Quarterly",K100&gt;92),"Due - quarterly check","OK")))))))</f>
        <v>0</v>
      </c>
    </row>
    <row r="101" spans="1:12">
      <c r="A101" s="41">
        <f>IF(C101="","","CHK-"&amp;TEXT(ROW()-4,"000"))</f>
        <v>0</v>
      </c>
      <c r="K101" s="23">
        <f>IF(H101="","",TODAY()-H101)</f>
        <v>0</v>
      </c>
      <c r="L101" s="29">
        <f>IF(C101="","",IF(G101="Issue found","Action - fix this now",IF(G101="Not required","OK",IF(OR(H101="",G101="Not checked"),"Check - never checked",IF(AND(E101="Monthly",K101&gt;31),"Due - monthly check",IF(AND(E101="Weekly",K101&gt;7),"Due - weekly check",IF(AND(E101="Quarterly",K101&gt;92),"Due - quarterly check","OK")))))))</f>
        <v>0</v>
      </c>
    </row>
    <row r="102" spans="1:12">
      <c r="A102" s="41">
        <f>IF(C102="","","CHK-"&amp;TEXT(ROW()-4,"000"))</f>
        <v>0</v>
      </c>
      <c r="K102" s="23">
        <f>IF(H102="","",TODAY()-H102)</f>
        <v>0</v>
      </c>
      <c r="L102" s="29">
        <f>IF(C102="","",IF(G102="Issue found","Action - fix this now",IF(G102="Not required","OK",IF(OR(H102="",G102="Not checked"),"Check - never checked",IF(AND(E102="Monthly",K102&gt;31),"Due - monthly check",IF(AND(E102="Weekly",K102&gt;7),"Due - weekly check",IF(AND(E102="Quarterly",K102&gt;92),"Due - quarterly check","OK")))))))</f>
        <v>0</v>
      </c>
    </row>
    <row r="103" spans="1:12">
      <c r="A103" s="41">
        <f>IF(C103="","","CHK-"&amp;TEXT(ROW()-4,"000"))</f>
        <v>0</v>
      </c>
      <c r="K103" s="23">
        <f>IF(H103="","",TODAY()-H103)</f>
        <v>0</v>
      </c>
      <c r="L103" s="29">
        <f>IF(C103="","",IF(G103="Issue found","Action - fix this now",IF(G103="Not required","OK",IF(OR(H103="",G103="Not checked"),"Check - never checked",IF(AND(E103="Monthly",K103&gt;31),"Due - monthly check",IF(AND(E103="Weekly",K103&gt;7),"Due - weekly check",IF(AND(E103="Quarterly",K103&gt;92),"Due - quarterly check","OK")))))))</f>
        <v>0</v>
      </c>
    </row>
    <row r="104" spans="1:12">
      <c r="A104" s="41">
        <f>IF(C104="","","CHK-"&amp;TEXT(ROW()-4,"000"))</f>
        <v>0</v>
      </c>
      <c r="K104" s="23">
        <f>IF(H104="","",TODAY()-H104)</f>
        <v>0</v>
      </c>
      <c r="L104" s="29">
        <f>IF(C104="","",IF(G104="Issue found","Action - fix this now",IF(G104="Not required","OK",IF(OR(H104="",G104="Not checked"),"Check - never checked",IF(AND(E104="Monthly",K104&gt;31),"Due - monthly check",IF(AND(E104="Weekly",K104&gt;7),"Due - weekly check",IF(AND(E104="Quarterly",K104&gt;92),"Due - quarterly check","OK")))))))</f>
        <v>0</v>
      </c>
    </row>
  </sheetData>
  <sheetProtection password="EC7C" sheet="1" objects="1" scenarios="1" formatCells="0" formatColumns="0" formatRows="0" insertRows="0" insertHyperlinks="0" deleteRows="0" autoFilter="0"/>
  <autoFilter ref="A4:M104"/>
  <mergeCells count="9">
    <mergeCell ref="A1:J1"/>
    <mergeCell ref="K1:M1"/>
    <mergeCell ref="A2:M2"/>
    <mergeCell ref="A3:B3"/>
    <mergeCell ref="C3:D3"/>
    <mergeCell ref="E3:F3"/>
    <mergeCell ref="G3:H3"/>
    <mergeCell ref="I3:J3"/>
    <mergeCell ref="K3:L3"/>
  </mergeCells>
  <conditionalFormatting sqref="G5:G104">
    <cfRule type="containsText" dxfId="0" priority="1" operator="containsText" text="Published">
      <formula>NOT(ISERROR(SEARCH("Published",G5)))</formula>
    </cfRule>
    <cfRule type="containsText" dxfId="0" priority="2" operator="containsText" text="Approved">
      <formula>NOT(ISERROR(SEARCH("Approved",G5)))</formula>
    </cfRule>
    <cfRule type="containsText" dxfId="0" priority="3" operator="containsText" text="Complete">
      <formula>NOT(ISERROR(SEARCH("Complete",G5)))</formula>
    </cfRule>
    <cfRule type="containsText" dxfId="0" priority="4" operator="containsText" text="Active">
      <formula>NOT(ISERROR(SEARCH("Active",G5)))</formula>
    </cfRule>
    <cfRule type="containsText" dxfId="0" priority="5" operator="containsText" text="Agreed">
      <formula>NOT(ISERROR(SEARCH("Agreed",G5)))</formula>
    </cfRule>
    <cfRule type="containsText" dxfId="0" priority="6" operator="containsText" text="Yes">
      <formula>NOT(ISERROR(SEARCH("Yes",G5)))</formula>
    </cfRule>
    <cfRule type="containsText" dxfId="0" priority="7" operator="containsText" text="Won">
      <formula>NOT(ISERROR(SEARCH("Won",G5)))</formula>
    </cfRule>
    <cfRule type="containsText" dxfId="3" priority="8" operator="containsText" text="Scheduled">
      <formula>NOT(ISERROR(SEARCH("Scheduled",G5)))</formula>
    </cfRule>
    <cfRule type="containsText" dxfId="3" priority="9" operator="containsText" text="In production">
      <formula>NOT(ISERROR(SEARCH("In production",G5)))</formula>
    </cfRule>
    <cfRule type="containsText" dxfId="3" priority="10" operator="containsText" text="Running">
      <formula>NOT(ISERROR(SEARCH("Running",G5)))</formula>
    </cfRule>
    <cfRule type="containsText" dxfId="3" priority="11" operator="containsText" text="Sent">
      <formula>NOT(ISERROR(SEARCH("Sent",G5)))</formula>
    </cfRule>
    <cfRule type="containsText" dxfId="3" priority="12" operator="containsText" text="Testing">
      <formula>NOT(ISERROR(SEARCH("Testing",G5)))</formula>
    </cfRule>
    <cfRule type="containsText" dxfId="2" priority="13" operator="containsText" text="Idea">
      <formula>NOT(ISERROR(SEARCH("Idea",G5)))</formula>
    </cfRule>
    <cfRule type="containsText" dxfId="2" priority="14" operator="containsText" text="Brief">
      <formula>NOT(ISERROR(SEARCH("Brief",G5)))</formula>
    </cfRule>
    <cfRule type="containsText" dxfId="2" priority="15" operator="containsText" text="Draft">
      <formula>NOT(ISERROR(SEARCH("Draft",G5)))</formula>
    </cfRule>
    <cfRule type="containsText" dxfId="2" priority="16" operator="containsText" text="Awaiting review">
      <formula>NOT(ISERROR(SEARCH("Awaiting review",G5)))</formula>
    </cfRule>
    <cfRule type="containsText" dxfId="2" priority="17" operator="containsText" text="Pending">
      <formula>NOT(ISERROR(SEARCH("Pending",G5)))</formula>
    </cfRule>
    <cfRule type="containsText" dxfId="2" priority="18" operator="containsText" text="On hold">
      <formula>NOT(ISERROR(SEARCH("On hold",G5)))</formula>
    </cfRule>
    <cfRule type="containsText" dxfId="1" priority="19" operator="containsText" text="Revision needed">
      <formula>NOT(ISERROR(SEARCH("Revision needed",G5)))</formula>
    </cfRule>
    <cfRule type="containsText" dxfId="1" priority="20" operator="containsText" text="Rejected">
      <formula>NOT(ISERROR(SEARCH("Rejected",G5)))</formula>
    </cfRule>
    <cfRule type="containsText" dxfId="1" priority="21" operator="containsText" text="Cancelled">
      <formula>NOT(ISERROR(SEARCH("Cancelled",G5)))</formula>
    </cfRule>
    <cfRule type="containsText" dxfId="1" priority="22" operator="containsText" text="Missed">
      <formula>NOT(ISERROR(SEARCH("Missed",G5)))</formula>
    </cfRule>
    <cfRule type="containsText" dxfId="1" priority="23" operator="containsText" text="Overdue">
      <formula>NOT(ISERROR(SEARCH("Overdue",G5)))</formula>
    </cfRule>
    <cfRule type="containsText" dxfId="1" priority="24" operator="containsText" text="Declined">
      <formula>NOT(ISERROR(SEARCH("Declined",G5)))</formula>
    </cfRule>
    <cfRule type="containsText" dxfId="4" priority="25" operator="containsText" text="Archived">
      <formula>NOT(ISERROR(SEARCH("Archived",G5)))</formula>
    </cfRule>
    <cfRule type="containsText" dxfId="4" priority="26" operator="containsText" text="Paused">
      <formula>NOT(ISERROR(SEARCH("Paused",G5)))</formula>
    </cfRule>
    <cfRule type="containsText" dxfId="4" priority="27" operator="containsText" text="Not started">
      <formula>NOT(ISERROR(SEARCH("Not started",G5)))</formula>
    </cfRule>
  </conditionalFormatting>
  <conditionalFormatting sqref="L5:L104">
    <cfRule type="beginsWith" dxfId="0" priority="28" operator="beginsWith" text="OK">
      <formula>LEFT(L5,2)="OK"</formula>
    </cfRule>
    <cfRule type="containsText" dxfId="1" priority="29" operator="containsText" text="Overdue">
      <formula>NOT(ISERROR(SEARCH("Overdue",L5)))</formula>
    </cfRule>
    <cfRule type="containsText" dxfId="1" priority="30" operator="containsText" text="Late">
      <formula>NOT(ISERROR(SEARCH("Late",L5)))</formula>
    </cfRule>
    <cfRule type="containsText" dxfId="1" priority="31" operator="containsText" text="Missing">
      <formula>NOT(ISERROR(SEARCH("Missing",L5)))</formula>
    </cfRule>
    <cfRule type="containsText" dxfId="1" priority="32" operator="containsText" text="Conflict">
      <formula>NOT(ISERROR(SEARCH("Conflict",L5)))</formula>
    </cfRule>
    <cfRule type="containsText" dxfId="1" priority="33" operator="containsText" text="Expired">
      <formula>NOT(ISERROR(SEARCH("Expired",L5)))</formula>
    </cfRule>
    <cfRule type="containsText" dxfId="1" priority="34" operator="containsText" text="Duplicate">
      <formula>NOT(ISERROR(SEARCH("Duplicate",L5)))</formula>
    </cfRule>
    <cfRule type="containsText" dxfId="2" priority="35" operator="containsText" text="Action">
      <formula>NOT(ISERROR(SEARCH("Action",L5)))</formula>
    </cfRule>
    <cfRule type="containsText" dxfId="2" priority="36" operator="containsText" text="Due">
      <formula>NOT(ISERROR(SEARCH("Due",L5)))</formula>
    </cfRule>
    <cfRule type="containsText" dxfId="2" priority="37" operator="containsText" text="Check">
      <formula>NOT(ISERROR(SEARCH("Check",L5)))</formula>
    </cfRule>
    <cfRule type="containsText" dxfId="2" priority="38" operator="containsText" text="Add">
      <formula>NOT(ISERROR(SEARCH("Add",L5)))</formula>
    </cfRule>
    <cfRule type="containsText" dxfId="3" priority="39" operator="containsText" text="Today">
      <formula>NOT(ISERROR(SEARCH("Today",L5)))</formula>
    </cfRule>
    <cfRule type="containsText" dxfId="3" priority="40" operator="containsText" text="Upcoming">
      <formula>NOT(ISERROR(SEARCH("Upcoming",L5)))</formula>
    </cfRule>
  </conditionalFormatting>
  <dataValidations count="4">
    <dataValidation type="list" allowBlank="1" showInputMessage="1" showErrorMessage="1" sqref="E5:E104">
      <formula1>FrequencyList</formula1>
    </dataValidation>
    <dataValidation type="list" allowBlank="1" showInputMessage="1" showErrorMessage="1" sqref="F5:F104">
      <formula1>TeamNames</formula1>
    </dataValidation>
    <dataValidation type="list" allowBlank="1" showInputMessage="1" showErrorMessage="1" sqref="G5:G104">
      <formula1>ComplianceStatusList</formula1>
    </dataValidation>
    <dataValidation type="date" allowBlank="1" showInputMessage="1" showErrorMessage="1" errorTitle="Check the date" error="Enter a real date between 2000 and 2100." sqref="H5:H104">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s>
  <pageMargins left="0.4" right="0.4" top="0.6" bottom="0.5" header="0.3" footer="0.3"/>
  <pageSetup paperSize="9" fitToHeight="0" orientation="landscape"/>
  <headerFooter>
    <oddHeader>&amp;L&amp;"Calibri,Bold"&amp;12&amp;C&amp;"Calibri,Bold"&amp;11Compliance&amp;R&amp;"Calibri,Italic"&amp;9Social Media Content Calendar &amp; Analytics Planner</oddHeader>
    <oddFooter>&amp;L&amp;"Calibri,Italic"&amp;8Novality Store - v1.0.0&amp;C&amp;"Calibri,Italic"&amp;8Page &amp;P of &amp;N&amp;R&amp;"Calibri,Italic"&amp;8&amp;D</oddFooter>
  </headerFooter>
  <legacyDrawing r:id="rId1"/>
</worksheet>
</file>

<file path=xl/worksheets/sheet39.xml><?xml version="1.0" encoding="utf-8"?>
<worksheet xmlns="http://schemas.openxmlformats.org/spreadsheetml/2006/main" xmlns:r="http://schemas.openxmlformats.org/officeDocument/2006/relationships">
  <sheetPr>
    <tabColor rgb="FF3B2A6B"/>
    <pageSetUpPr fitToPage="1"/>
  </sheetPr>
  <dimension ref="A1:N76"/>
  <sheetViews>
    <sheetView showGridLines="0" workbookViewId="0">
      <pane ySplit="4" topLeftCell="A5" activePane="bottomLeft" state="frozen"/>
      <selection pane="bottomLeft"/>
    </sheetView>
  </sheetViews>
  <sheetFormatPr defaultRowHeight="15"/>
  <cols>
    <col min="1" max="1" width="26.7109375" customWidth="1"/>
    <col min="2" max="2" width="14.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1" max="11" width="14.7109375" customWidth="1"/>
    <col min="12" max="12" width="14.7109375" customWidth="1"/>
    <col min="13" max="13" width="14.7109375" customWidth="1"/>
    <col min="14" max="14" width="14.7109375" customWidth="1"/>
  </cols>
  <sheetData>
    <row r="1" spans="1:14" ht="34" customHeight="1">
      <c r="A1" s="2" t="s">
        <v>2195</v>
      </c>
      <c r="B1" s="2"/>
      <c r="C1" s="2"/>
      <c r="D1" s="2"/>
      <c r="E1" s="2"/>
      <c r="F1" s="2"/>
      <c r="G1" s="2"/>
      <c r="H1" s="2"/>
      <c r="I1" s="2"/>
      <c r="J1" s="2"/>
      <c r="K1" s="2"/>
      <c r="L1" s="3" t="s">
        <v>1</v>
      </c>
      <c r="M1" s="3"/>
      <c r="N1" s="3"/>
    </row>
    <row r="2" spans="1:14" ht="18" customHeight="1">
      <c r="A2" s="4" t="s">
        <v>2196</v>
      </c>
      <c r="B2" s="4"/>
      <c r="C2" s="4"/>
      <c r="D2" s="4"/>
      <c r="E2" s="4"/>
      <c r="F2" s="4"/>
      <c r="G2" s="4"/>
      <c r="H2" s="4"/>
      <c r="I2" s="4"/>
      <c r="J2" s="4"/>
      <c r="K2" s="4"/>
      <c r="L2" s="4"/>
      <c r="M2" s="4"/>
      <c r="N2" s="4"/>
    </row>
    <row r="3" spans="1:14" ht="16" customHeight="1">
      <c r="A3" s="5" t="s">
        <v>3</v>
      </c>
      <c r="B3" s="5"/>
      <c r="C3" s="5" t="s">
        <v>4</v>
      </c>
      <c r="D3" s="5"/>
      <c r="E3" s="5" t="s">
        <v>5</v>
      </c>
      <c r="F3" s="5"/>
      <c r="G3" s="5" t="s">
        <v>6</v>
      </c>
      <c r="H3" s="5"/>
      <c r="I3" s="5" t="s">
        <v>7</v>
      </c>
      <c r="J3" s="5"/>
      <c r="K3" s="5" t="s">
        <v>8</v>
      </c>
      <c r="L3" s="5"/>
      <c r="M3" s="5" t="s">
        <v>125</v>
      </c>
      <c r="N3" s="5"/>
    </row>
    <row r="5" spans="1:14" ht="20" customHeight="1">
      <c r="A5" s="7" t="s">
        <v>2197</v>
      </c>
      <c r="B5" s="7"/>
      <c r="C5" s="7"/>
      <c r="D5" s="7"/>
      <c r="E5" s="7"/>
      <c r="F5" s="7"/>
      <c r="G5" s="7"/>
      <c r="H5" s="7"/>
      <c r="I5" s="7"/>
      <c r="J5" s="7"/>
      <c r="K5" s="7"/>
      <c r="L5" s="7"/>
      <c r="M5" s="7"/>
      <c r="N5" s="7"/>
    </row>
    <row r="6" spans="1:14">
      <c r="A6" s="11" t="s">
        <v>2198</v>
      </c>
      <c r="B6" s="43">
        <v>46296</v>
      </c>
      <c r="C6" s="11" t="s">
        <v>2199</v>
      </c>
      <c r="D6" s="43">
        <v>46306</v>
      </c>
      <c r="E6" s="11" t="s">
        <v>2200</v>
      </c>
      <c r="F6" s="11"/>
      <c r="G6" s="23">
        <f>RepTo-RepFrom+1</f>
        <v>0</v>
      </c>
      <c r="H6" s="11" t="s">
        <v>2201</v>
      </c>
      <c r="I6" s="11"/>
      <c r="J6" s="16">
        <f>TODAY()</f>
        <v>0</v>
      </c>
      <c r="K6" s="17">
        <f>BrandName</f>
        <v>0</v>
      </c>
      <c r="L6" s="17"/>
      <c r="M6" s="17"/>
      <c r="N6" s="17"/>
    </row>
    <row r="8" spans="1:14" ht="20" customHeight="1">
      <c r="A8" s="7" t="s">
        <v>2202</v>
      </c>
      <c r="B8" s="7"/>
      <c r="C8" s="7"/>
      <c r="D8" s="7"/>
      <c r="E8" s="7"/>
      <c r="F8" s="7"/>
      <c r="G8" s="7"/>
      <c r="H8" s="7"/>
      <c r="I8" s="7"/>
      <c r="J8" s="7"/>
      <c r="K8" s="7"/>
      <c r="L8" s="7"/>
      <c r="M8" s="7"/>
      <c r="N8" s="7"/>
    </row>
    <row r="9" spans="1:14">
      <c r="A9" s="11" t="s">
        <v>1874</v>
      </c>
      <c r="B9" s="11"/>
      <c r="C9" s="11"/>
      <c r="D9" s="23">
        <f>COUNTIFS('Content Calendar'!$B$5:$B$604,"&gt;="&amp;RepFrom,'Content Calendar'!$B$5:$B$604,"&lt;="&amp;RepTo,'Content Calendar'!$X$5:$X$604,"Published")</f>
        <v>0</v>
      </c>
      <c r="E9" s="23"/>
      <c r="F9" s="11" t="s">
        <v>2203</v>
      </c>
      <c r="G9" s="11"/>
      <c r="H9" s="11"/>
      <c r="I9" s="23">
        <f>SUMIFS(Analytics!$X$5:$X$154,Analytics!$B$5:$B$154,"&gt;="&amp;RepFrom,Analytics!$B$5:$B$154,"&lt;="&amp;RepTo)</f>
        <v>0</v>
      </c>
      <c r="J9" s="23"/>
    </row>
    <row r="10" spans="1:14">
      <c r="A10" s="11" t="s">
        <v>136</v>
      </c>
      <c r="B10" s="11"/>
      <c r="C10" s="11"/>
      <c r="D10" s="23">
        <f>COUNTIFS('Content Calendar'!$B$5:$B$604,"&gt;="&amp;RepFrom,'Content Calendar'!$B$5:$B$604,"&lt;="&amp;RepTo)</f>
        <v>0</v>
      </c>
      <c r="E10" s="23"/>
      <c r="F10" s="11" t="s">
        <v>166</v>
      </c>
      <c r="G10" s="11"/>
      <c r="H10" s="11"/>
      <c r="I10" s="23">
        <f>SUMIFS(Analytics!$R$5:$R$154,Analytics!$B$5:$B$154,"&gt;="&amp;RepFrom,Analytics!$B$5:$B$154,"&lt;="&amp;RepTo)</f>
        <v>0</v>
      </c>
      <c r="J10" s="23"/>
    </row>
    <row r="11" spans="1:14">
      <c r="A11" s="11" t="s">
        <v>149</v>
      </c>
      <c r="B11" s="11"/>
      <c r="C11" s="11"/>
      <c r="D11" s="23">
        <f>SUMIFS(Analytics!$J$5:$J$154,Analytics!$B$5:$B$154,"&gt;="&amp;RepFrom,Analytics!$B$5:$B$154,"&lt;="&amp;RepTo)</f>
        <v>0</v>
      </c>
      <c r="E11" s="23"/>
      <c r="F11" s="11" t="s">
        <v>168</v>
      </c>
      <c r="G11" s="11"/>
      <c r="H11" s="11"/>
      <c r="I11" s="23">
        <f>SUMIFS(Analytics!$S$5:$S$154,Analytics!$B$5:$B$154,"&gt;="&amp;RepFrom,Analytics!$B$5:$B$154,"&lt;="&amp;RepTo)</f>
        <v>0</v>
      </c>
      <c r="J11" s="23"/>
    </row>
    <row r="12" spans="1:14">
      <c r="A12" s="11" t="s">
        <v>151</v>
      </c>
      <c r="B12" s="11"/>
      <c r="C12" s="11"/>
      <c r="D12" s="23">
        <f>SUMIFS(Analytics!$K$5:$K$154,Analytics!$B$5:$B$154,"&gt;="&amp;RepFrom,Analytics!$B$5:$B$154,"&lt;="&amp;RepTo)</f>
        <v>0</v>
      </c>
      <c r="E12" s="23"/>
      <c r="F12" s="11" t="s">
        <v>170</v>
      </c>
      <c r="G12" s="11"/>
      <c r="H12" s="11"/>
      <c r="I12" s="23">
        <f>SUMIFS(Analytics!$T$5:$T$154,Analytics!$B$5:$B$154,"&gt;="&amp;RepFrom,Analytics!$B$5:$B$154,"&lt;="&amp;RepTo)</f>
        <v>0</v>
      </c>
      <c r="J12" s="23"/>
    </row>
    <row r="13" spans="1:14">
      <c r="A13" s="11" t="s">
        <v>153</v>
      </c>
      <c r="B13" s="11"/>
      <c r="C13" s="11"/>
      <c r="D13" s="23">
        <f>SUMIFS(Analytics!$L$5:$L$154,Analytics!$B$5:$B$154,"&gt;="&amp;RepFrom,Analytics!$B$5:$B$154,"&lt;="&amp;RepTo)</f>
        <v>0</v>
      </c>
      <c r="E13" s="23"/>
      <c r="F13" s="11" t="s">
        <v>172</v>
      </c>
      <c r="G13" s="11"/>
      <c r="H13" s="11"/>
      <c r="I13" s="25">
        <f>SUMIFS(Analytics!$U$5:$U$154,Analytics!$B$5:$B$154,"&gt;="&amp;RepFrom,Analytics!$B$5:$B$154,"&lt;="&amp;RepTo)</f>
        <v>0</v>
      </c>
      <c r="J13" s="25"/>
    </row>
    <row r="14" spans="1:14">
      <c r="A14" s="11" t="s">
        <v>155</v>
      </c>
      <c r="B14" s="11"/>
      <c r="C14" s="11"/>
      <c r="D14" s="24">
        <f>IFERROR(SUMIFS(Analytics!$L$5:$L$154,Analytics!$B$5:$B$154,"&gt;="&amp;RepFrom,Analytics!$B$5:$B$154,"&lt;="&amp;RepTo)/SUMIFS(Analytics!$J$5:$J$154,Analytics!$B$5:$B$154,"&gt;="&amp;RepFrom,Analytics!$B$5:$B$154,"&lt;="&amp;RepTo),0)</f>
        <v>0</v>
      </c>
      <c r="E14" s="24"/>
      <c r="F14" s="11" t="s">
        <v>175</v>
      </c>
      <c r="G14" s="11"/>
      <c r="H14" s="11"/>
      <c r="I14" s="25">
        <f>SUMIFS(Budget!$H$5:$H$64,Budget!$B$5:$B$64,"&gt;="&amp;RepFrom,Budget!$B$5:$B$64,"&lt;="&amp;RepTo)</f>
        <v>0</v>
      </c>
      <c r="J14" s="25"/>
    </row>
    <row r="15" spans="1:14">
      <c r="A15" s="11" t="s">
        <v>246</v>
      </c>
      <c r="B15" s="11"/>
      <c r="C15" s="11"/>
      <c r="D15" s="23">
        <f>SUMIFS(Analytics!$W$5:$W$154,Analytics!$B$5:$B$154,"&gt;="&amp;RepFrom,Analytics!$B$5:$B$154,"&lt;="&amp;RepTo)</f>
        <v>0</v>
      </c>
      <c r="E15" s="23"/>
      <c r="F15" s="11" t="s">
        <v>179</v>
      </c>
      <c r="G15" s="11"/>
      <c r="H15" s="11"/>
      <c r="I15" s="31">
        <f>IFERROR(SUMIFS(Analytics!$U$5:$U$154,Analytics!$B$5:$B$154,"&gt;="&amp;RepFrom,Analytics!$B$5:$B$154,"&lt;="&amp;RepTo)/SUMIFS(Budget!$H$5:$H$64,Budget!$B$5:$B$64,"&gt;="&amp;RepFrom,Budget!$B$5:$B$64,"&lt;="&amp;RepTo),0)</f>
        <v>0</v>
      </c>
      <c r="J15" s="31"/>
    </row>
    <row r="16" spans="1:14">
      <c r="A16" s="11" t="s">
        <v>1873</v>
      </c>
      <c r="B16" s="11"/>
      <c r="C16" s="11"/>
      <c r="D16" s="23">
        <f>SUMIFS(Analytics!$H$5:$H$154,Analytics!$B$5:$B$154,"&gt;="&amp;RepFrom,Analytics!$B$5:$B$154,"&lt;="&amp;RepTo)</f>
        <v>0</v>
      </c>
      <c r="E16" s="23"/>
      <c r="F16" s="11" t="s">
        <v>181</v>
      </c>
      <c r="G16" s="11"/>
      <c r="H16" s="11"/>
      <c r="I16" s="25">
        <f>IFERROR(SUMIFS(Budget!$H$5:$H$64,Budget!$B$5:$B$64,"&gt;="&amp;RepFrom,Budget!$B$5:$B$64,"&lt;="&amp;RepTo)/SUMIFS(Analytics!$S$5:$S$154,Analytics!$B$5:$B$154,"&gt;="&amp;RepFrom,Analytics!$B$5:$B$154,"&lt;="&amp;RepTo),0)</f>
        <v>0</v>
      </c>
      <c r="J16" s="25"/>
    </row>
    <row r="18" spans="1:14" ht="20" customHeight="1">
      <c r="A18" s="7" t="s">
        <v>2204</v>
      </c>
      <c r="B18" s="7"/>
      <c r="C18" s="7"/>
      <c r="D18" s="7"/>
      <c r="E18" s="7"/>
      <c r="F18" s="7"/>
      <c r="G18" s="7"/>
      <c r="H18" s="7"/>
      <c r="I18" s="7"/>
      <c r="J18" s="7"/>
      <c r="K18" s="7"/>
      <c r="L18" s="7"/>
      <c r="M18" s="7"/>
      <c r="N18" s="7"/>
    </row>
    <row r="19" spans="1:14" ht="26" customHeight="1">
      <c r="A19" s="8" t="s">
        <v>192</v>
      </c>
      <c r="B19" s="9" t="s">
        <v>193</v>
      </c>
      <c r="C19" s="9" t="s">
        <v>149</v>
      </c>
      <c r="D19" s="9" t="s">
        <v>151</v>
      </c>
      <c r="E19" s="9" t="s">
        <v>153</v>
      </c>
      <c r="F19" s="9" t="s">
        <v>186</v>
      </c>
      <c r="G19" s="9" t="s">
        <v>188</v>
      </c>
      <c r="H19" s="9" t="s">
        <v>168</v>
      </c>
      <c r="I19" s="9" t="s">
        <v>170</v>
      </c>
      <c r="J19" s="9" t="s">
        <v>172</v>
      </c>
      <c r="K19" s="9" t="s">
        <v>246</v>
      </c>
    </row>
    <row r="20" spans="1:14">
      <c r="A20" s="17">
        <f>IF(Calc!$T$5="","",Calc!$T$5)</f>
        <v>0</v>
      </c>
      <c r="B20" s="23">
        <f>IF(Calc!$T$5="","",COUNTIFS('Content Calendar'!$G$5:$G$604,Calc!$T$5,'Content Calendar'!$B$5:$B$604,"&gt;="&amp;RepFrom,'Content Calendar'!$B$5:$B$604,"&lt;="&amp;RepTo,'Content Calendar'!$X$5:$X$604,"Published"))</f>
        <v>0</v>
      </c>
      <c r="C20" s="23">
        <f>IF(Calc!$T$5="","",SUMIFS(Analytics!$J$5:$J$154,Analytics!$D$5:$D$154,Calc!$T$5,Analytics!$B$5:$B$154,"&gt;="&amp;RepFrom,Analytics!$B$5:$B$154,"&lt;="&amp;RepTo))</f>
        <v>0</v>
      </c>
      <c r="D20" s="23">
        <f>IF(Calc!$T$5="","",SUMIFS(Analytics!$K$5:$K$154,Analytics!$D$5:$D$154,Calc!$T$5,Analytics!$B$5:$B$154,"&gt;="&amp;RepFrom,Analytics!$B$5:$B$154,"&lt;="&amp;RepTo))</f>
        <v>0</v>
      </c>
      <c r="E20" s="23">
        <f>IF(Calc!$T$5="","",SUMIFS(Analytics!$L$5:$L$154,Analytics!$D$5:$D$154,Calc!$T$5,Analytics!$B$5:$B$154,"&gt;="&amp;RepFrom,Analytics!$B$5:$B$154,"&lt;="&amp;RepTo))</f>
        <v>0</v>
      </c>
      <c r="F20" s="24">
        <f>IF(Calc!$T$5="","",IFERROR(SUMIFS(Analytics!$L$5:$L$154,Analytics!$D$5:$D$154,Calc!$T$5,Analytics!$B$5:$B$154,"&gt;="&amp;RepFrom,Analytics!$B$5:$B$154,"&lt;="&amp;RepTo)/SUMIFS(Analytics!$J$5:$J$154,Analytics!$D$5:$D$154,Calc!$T$5,Analytics!$B$5:$B$154,"&gt;="&amp;RepFrom,Analytics!$B$5:$B$154,"&lt;="&amp;RepTo),""))</f>
        <v>0</v>
      </c>
      <c r="G20" s="23">
        <f>IF(Calc!$T$5="","",SUMIFS(Analytics!$R$5:$R$154,Analytics!$D$5:$D$154,Calc!$T$5,Analytics!$B$5:$B$154,"&gt;="&amp;RepFrom,Analytics!$B$5:$B$154,"&lt;="&amp;RepTo))</f>
        <v>0</v>
      </c>
      <c r="H20" s="23">
        <f>IF(Calc!$T$5="","",SUMIFS(Analytics!$S$5:$S$154,Analytics!$D$5:$D$154,Calc!$T$5,Analytics!$B$5:$B$154,"&gt;="&amp;RepFrom,Analytics!$B$5:$B$154,"&lt;="&amp;RepTo))</f>
        <v>0</v>
      </c>
      <c r="I20" s="23">
        <f>IF(Calc!$T$5="","",SUMIFS(Analytics!$T$5:$T$154,Analytics!$D$5:$D$154,Calc!$T$5,Analytics!$B$5:$B$154,"&gt;="&amp;RepFrom,Analytics!$B$5:$B$154,"&lt;="&amp;RepTo))</f>
        <v>0</v>
      </c>
      <c r="J20" s="25">
        <f>IF(Calc!$T$5="","",SUMIFS(Analytics!$U$5:$U$154,Analytics!$D$5:$D$154,Calc!$T$5,Analytics!$B$5:$B$154,"&gt;="&amp;RepFrom,Analytics!$B$5:$B$154,"&lt;="&amp;RepTo))</f>
        <v>0</v>
      </c>
      <c r="K20" s="23">
        <f>IF(Calc!$T$5="","",SUMIFS(Analytics!$X$5:$X$154,Analytics!$D$5:$D$154,Calc!$T$5,Analytics!$B$5:$B$154,"&gt;="&amp;RepFrom,Analytics!$B$5:$B$154,"&lt;="&amp;RepTo))</f>
        <v>0</v>
      </c>
    </row>
    <row r="21" spans="1:14">
      <c r="A21" s="17">
        <f>IF(Calc!$T$6="","",Calc!$T$6)</f>
        <v>0</v>
      </c>
      <c r="B21" s="23">
        <f>IF(Calc!$T$6="","",COUNTIFS('Content Calendar'!$G$5:$G$604,Calc!$T$6,'Content Calendar'!$B$5:$B$604,"&gt;="&amp;RepFrom,'Content Calendar'!$B$5:$B$604,"&lt;="&amp;RepTo,'Content Calendar'!$X$5:$X$604,"Published"))</f>
        <v>0</v>
      </c>
      <c r="C21" s="23">
        <f>IF(Calc!$T$6="","",SUMIFS(Analytics!$J$5:$J$154,Analytics!$D$5:$D$154,Calc!$T$6,Analytics!$B$5:$B$154,"&gt;="&amp;RepFrom,Analytics!$B$5:$B$154,"&lt;="&amp;RepTo))</f>
        <v>0</v>
      </c>
      <c r="D21" s="23">
        <f>IF(Calc!$T$6="","",SUMIFS(Analytics!$K$5:$K$154,Analytics!$D$5:$D$154,Calc!$T$6,Analytics!$B$5:$B$154,"&gt;="&amp;RepFrom,Analytics!$B$5:$B$154,"&lt;="&amp;RepTo))</f>
        <v>0</v>
      </c>
      <c r="E21" s="23">
        <f>IF(Calc!$T$6="","",SUMIFS(Analytics!$L$5:$L$154,Analytics!$D$5:$D$154,Calc!$T$6,Analytics!$B$5:$B$154,"&gt;="&amp;RepFrom,Analytics!$B$5:$B$154,"&lt;="&amp;RepTo))</f>
        <v>0</v>
      </c>
      <c r="F21" s="24">
        <f>IF(Calc!$T$6="","",IFERROR(SUMIFS(Analytics!$L$5:$L$154,Analytics!$D$5:$D$154,Calc!$T$6,Analytics!$B$5:$B$154,"&gt;="&amp;RepFrom,Analytics!$B$5:$B$154,"&lt;="&amp;RepTo)/SUMIFS(Analytics!$J$5:$J$154,Analytics!$D$5:$D$154,Calc!$T$6,Analytics!$B$5:$B$154,"&gt;="&amp;RepFrom,Analytics!$B$5:$B$154,"&lt;="&amp;RepTo),""))</f>
        <v>0</v>
      </c>
      <c r="G21" s="23">
        <f>IF(Calc!$T$6="","",SUMIFS(Analytics!$R$5:$R$154,Analytics!$D$5:$D$154,Calc!$T$6,Analytics!$B$5:$B$154,"&gt;="&amp;RepFrom,Analytics!$B$5:$B$154,"&lt;="&amp;RepTo))</f>
        <v>0</v>
      </c>
      <c r="H21" s="23">
        <f>IF(Calc!$T$6="","",SUMIFS(Analytics!$S$5:$S$154,Analytics!$D$5:$D$154,Calc!$T$6,Analytics!$B$5:$B$154,"&gt;="&amp;RepFrom,Analytics!$B$5:$B$154,"&lt;="&amp;RepTo))</f>
        <v>0</v>
      </c>
      <c r="I21" s="23">
        <f>IF(Calc!$T$6="","",SUMIFS(Analytics!$T$5:$T$154,Analytics!$D$5:$D$154,Calc!$T$6,Analytics!$B$5:$B$154,"&gt;="&amp;RepFrom,Analytics!$B$5:$B$154,"&lt;="&amp;RepTo))</f>
        <v>0</v>
      </c>
      <c r="J21" s="25">
        <f>IF(Calc!$T$6="","",SUMIFS(Analytics!$U$5:$U$154,Analytics!$D$5:$D$154,Calc!$T$6,Analytics!$B$5:$B$154,"&gt;="&amp;RepFrom,Analytics!$B$5:$B$154,"&lt;="&amp;RepTo))</f>
        <v>0</v>
      </c>
      <c r="K21" s="23">
        <f>IF(Calc!$T$6="","",SUMIFS(Analytics!$X$5:$X$154,Analytics!$D$5:$D$154,Calc!$T$6,Analytics!$B$5:$B$154,"&gt;="&amp;RepFrom,Analytics!$B$5:$B$154,"&lt;="&amp;RepTo))</f>
        <v>0</v>
      </c>
    </row>
    <row r="22" spans="1:14">
      <c r="A22" s="17">
        <f>IF(Calc!$T$7="","",Calc!$T$7)</f>
        <v>0</v>
      </c>
      <c r="B22" s="23">
        <f>IF(Calc!$T$7="","",COUNTIFS('Content Calendar'!$G$5:$G$604,Calc!$T$7,'Content Calendar'!$B$5:$B$604,"&gt;="&amp;RepFrom,'Content Calendar'!$B$5:$B$604,"&lt;="&amp;RepTo,'Content Calendar'!$X$5:$X$604,"Published"))</f>
        <v>0</v>
      </c>
      <c r="C22" s="23">
        <f>IF(Calc!$T$7="","",SUMIFS(Analytics!$J$5:$J$154,Analytics!$D$5:$D$154,Calc!$T$7,Analytics!$B$5:$B$154,"&gt;="&amp;RepFrom,Analytics!$B$5:$B$154,"&lt;="&amp;RepTo))</f>
        <v>0</v>
      </c>
      <c r="D22" s="23">
        <f>IF(Calc!$T$7="","",SUMIFS(Analytics!$K$5:$K$154,Analytics!$D$5:$D$154,Calc!$T$7,Analytics!$B$5:$B$154,"&gt;="&amp;RepFrom,Analytics!$B$5:$B$154,"&lt;="&amp;RepTo))</f>
        <v>0</v>
      </c>
      <c r="E22" s="23">
        <f>IF(Calc!$T$7="","",SUMIFS(Analytics!$L$5:$L$154,Analytics!$D$5:$D$154,Calc!$T$7,Analytics!$B$5:$B$154,"&gt;="&amp;RepFrom,Analytics!$B$5:$B$154,"&lt;="&amp;RepTo))</f>
        <v>0</v>
      </c>
      <c r="F22" s="24">
        <f>IF(Calc!$T$7="","",IFERROR(SUMIFS(Analytics!$L$5:$L$154,Analytics!$D$5:$D$154,Calc!$T$7,Analytics!$B$5:$B$154,"&gt;="&amp;RepFrom,Analytics!$B$5:$B$154,"&lt;="&amp;RepTo)/SUMIFS(Analytics!$J$5:$J$154,Analytics!$D$5:$D$154,Calc!$T$7,Analytics!$B$5:$B$154,"&gt;="&amp;RepFrom,Analytics!$B$5:$B$154,"&lt;="&amp;RepTo),""))</f>
        <v>0</v>
      </c>
      <c r="G22" s="23">
        <f>IF(Calc!$T$7="","",SUMIFS(Analytics!$R$5:$R$154,Analytics!$D$5:$D$154,Calc!$T$7,Analytics!$B$5:$B$154,"&gt;="&amp;RepFrom,Analytics!$B$5:$B$154,"&lt;="&amp;RepTo))</f>
        <v>0</v>
      </c>
      <c r="H22" s="23">
        <f>IF(Calc!$T$7="","",SUMIFS(Analytics!$S$5:$S$154,Analytics!$D$5:$D$154,Calc!$T$7,Analytics!$B$5:$B$154,"&gt;="&amp;RepFrom,Analytics!$B$5:$B$154,"&lt;="&amp;RepTo))</f>
        <v>0</v>
      </c>
      <c r="I22" s="23">
        <f>IF(Calc!$T$7="","",SUMIFS(Analytics!$T$5:$T$154,Analytics!$D$5:$D$154,Calc!$T$7,Analytics!$B$5:$B$154,"&gt;="&amp;RepFrom,Analytics!$B$5:$B$154,"&lt;="&amp;RepTo))</f>
        <v>0</v>
      </c>
      <c r="J22" s="25">
        <f>IF(Calc!$T$7="","",SUMIFS(Analytics!$U$5:$U$154,Analytics!$D$5:$D$154,Calc!$T$7,Analytics!$B$5:$B$154,"&gt;="&amp;RepFrom,Analytics!$B$5:$B$154,"&lt;="&amp;RepTo))</f>
        <v>0</v>
      </c>
      <c r="K22" s="23">
        <f>IF(Calc!$T$7="","",SUMIFS(Analytics!$X$5:$X$154,Analytics!$D$5:$D$154,Calc!$T$7,Analytics!$B$5:$B$154,"&gt;="&amp;RepFrom,Analytics!$B$5:$B$154,"&lt;="&amp;RepTo))</f>
        <v>0</v>
      </c>
    </row>
    <row r="23" spans="1:14">
      <c r="A23" s="17">
        <f>IF(Calc!$T$8="","",Calc!$T$8)</f>
        <v>0</v>
      </c>
      <c r="B23" s="23">
        <f>IF(Calc!$T$8="","",COUNTIFS('Content Calendar'!$G$5:$G$604,Calc!$T$8,'Content Calendar'!$B$5:$B$604,"&gt;="&amp;RepFrom,'Content Calendar'!$B$5:$B$604,"&lt;="&amp;RepTo,'Content Calendar'!$X$5:$X$604,"Published"))</f>
        <v>0</v>
      </c>
      <c r="C23" s="23">
        <f>IF(Calc!$T$8="","",SUMIFS(Analytics!$J$5:$J$154,Analytics!$D$5:$D$154,Calc!$T$8,Analytics!$B$5:$B$154,"&gt;="&amp;RepFrom,Analytics!$B$5:$B$154,"&lt;="&amp;RepTo))</f>
        <v>0</v>
      </c>
      <c r="D23" s="23">
        <f>IF(Calc!$T$8="","",SUMIFS(Analytics!$K$5:$K$154,Analytics!$D$5:$D$154,Calc!$T$8,Analytics!$B$5:$B$154,"&gt;="&amp;RepFrom,Analytics!$B$5:$B$154,"&lt;="&amp;RepTo))</f>
        <v>0</v>
      </c>
      <c r="E23" s="23">
        <f>IF(Calc!$T$8="","",SUMIFS(Analytics!$L$5:$L$154,Analytics!$D$5:$D$154,Calc!$T$8,Analytics!$B$5:$B$154,"&gt;="&amp;RepFrom,Analytics!$B$5:$B$154,"&lt;="&amp;RepTo))</f>
        <v>0</v>
      </c>
      <c r="F23" s="24">
        <f>IF(Calc!$T$8="","",IFERROR(SUMIFS(Analytics!$L$5:$L$154,Analytics!$D$5:$D$154,Calc!$T$8,Analytics!$B$5:$B$154,"&gt;="&amp;RepFrom,Analytics!$B$5:$B$154,"&lt;="&amp;RepTo)/SUMIFS(Analytics!$J$5:$J$154,Analytics!$D$5:$D$154,Calc!$T$8,Analytics!$B$5:$B$154,"&gt;="&amp;RepFrom,Analytics!$B$5:$B$154,"&lt;="&amp;RepTo),""))</f>
        <v>0</v>
      </c>
      <c r="G23" s="23">
        <f>IF(Calc!$T$8="","",SUMIFS(Analytics!$R$5:$R$154,Analytics!$D$5:$D$154,Calc!$T$8,Analytics!$B$5:$B$154,"&gt;="&amp;RepFrom,Analytics!$B$5:$B$154,"&lt;="&amp;RepTo))</f>
        <v>0</v>
      </c>
      <c r="H23" s="23">
        <f>IF(Calc!$T$8="","",SUMIFS(Analytics!$S$5:$S$154,Analytics!$D$5:$D$154,Calc!$T$8,Analytics!$B$5:$B$154,"&gt;="&amp;RepFrom,Analytics!$B$5:$B$154,"&lt;="&amp;RepTo))</f>
        <v>0</v>
      </c>
      <c r="I23" s="23">
        <f>IF(Calc!$T$8="","",SUMIFS(Analytics!$T$5:$T$154,Analytics!$D$5:$D$154,Calc!$T$8,Analytics!$B$5:$B$154,"&gt;="&amp;RepFrom,Analytics!$B$5:$B$154,"&lt;="&amp;RepTo))</f>
        <v>0</v>
      </c>
      <c r="J23" s="25">
        <f>IF(Calc!$T$8="","",SUMIFS(Analytics!$U$5:$U$154,Analytics!$D$5:$D$154,Calc!$T$8,Analytics!$B$5:$B$154,"&gt;="&amp;RepFrom,Analytics!$B$5:$B$154,"&lt;="&amp;RepTo))</f>
        <v>0</v>
      </c>
      <c r="K23" s="23">
        <f>IF(Calc!$T$8="","",SUMIFS(Analytics!$X$5:$X$154,Analytics!$D$5:$D$154,Calc!$T$8,Analytics!$B$5:$B$154,"&gt;="&amp;RepFrom,Analytics!$B$5:$B$154,"&lt;="&amp;RepTo))</f>
        <v>0</v>
      </c>
    </row>
    <row r="24" spans="1:14">
      <c r="A24" s="17">
        <f>IF(Calc!$T$9="","",Calc!$T$9)</f>
        <v>0</v>
      </c>
      <c r="B24" s="23">
        <f>IF(Calc!$T$9="","",COUNTIFS('Content Calendar'!$G$5:$G$604,Calc!$T$9,'Content Calendar'!$B$5:$B$604,"&gt;="&amp;RepFrom,'Content Calendar'!$B$5:$B$604,"&lt;="&amp;RepTo,'Content Calendar'!$X$5:$X$604,"Published"))</f>
        <v>0</v>
      </c>
      <c r="C24" s="23">
        <f>IF(Calc!$T$9="","",SUMIFS(Analytics!$J$5:$J$154,Analytics!$D$5:$D$154,Calc!$T$9,Analytics!$B$5:$B$154,"&gt;="&amp;RepFrom,Analytics!$B$5:$B$154,"&lt;="&amp;RepTo))</f>
        <v>0</v>
      </c>
      <c r="D24" s="23">
        <f>IF(Calc!$T$9="","",SUMIFS(Analytics!$K$5:$K$154,Analytics!$D$5:$D$154,Calc!$T$9,Analytics!$B$5:$B$154,"&gt;="&amp;RepFrom,Analytics!$B$5:$B$154,"&lt;="&amp;RepTo))</f>
        <v>0</v>
      </c>
      <c r="E24" s="23">
        <f>IF(Calc!$T$9="","",SUMIFS(Analytics!$L$5:$L$154,Analytics!$D$5:$D$154,Calc!$T$9,Analytics!$B$5:$B$154,"&gt;="&amp;RepFrom,Analytics!$B$5:$B$154,"&lt;="&amp;RepTo))</f>
        <v>0</v>
      </c>
      <c r="F24" s="24">
        <f>IF(Calc!$T$9="","",IFERROR(SUMIFS(Analytics!$L$5:$L$154,Analytics!$D$5:$D$154,Calc!$T$9,Analytics!$B$5:$B$154,"&gt;="&amp;RepFrom,Analytics!$B$5:$B$154,"&lt;="&amp;RepTo)/SUMIFS(Analytics!$J$5:$J$154,Analytics!$D$5:$D$154,Calc!$T$9,Analytics!$B$5:$B$154,"&gt;="&amp;RepFrom,Analytics!$B$5:$B$154,"&lt;="&amp;RepTo),""))</f>
        <v>0</v>
      </c>
      <c r="G24" s="23">
        <f>IF(Calc!$T$9="","",SUMIFS(Analytics!$R$5:$R$154,Analytics!$D$5:$D$154,Calc!$T$9,Analytics!$B$5:$B$154,"&gt;="&amp;RepFrom,Analytics!$B$5:$B$154,"&lt;="&amp;RepTo))</f>
        <v>0</v>
      </c>
      <c r="H24" s="23">
        <f>IF(Calc!$T$9="","",SUMIFS(Analytics!$S$5:$S$154,Analytics!$D$5:$D$154,Calc!$T$9,Analytics!$B$5:$B$154,"&gt;="&amp;RepFrom,Analytics!$B$5:$B$154,"&lt;="&amp;RepTo))</f>
        <v>0</v>
      </c>
      <c r="I24" s="23">
        <f>IF(Calc!$T$9="","",SUMIFS(Analytics!$T$5:$T$154,Analytics!$D$5:$D$154,Calc!$T$9,Analytics!$B$5:$B$154,"&gt;="&amp;RepFrom,Analytics!$B$5:$B$154,"&lt;="&amp;RepTo))</f>
        <v>0</v>
      </c>
      <c r="J24" s="25">
        <f>IF(Calc!$T$9="","",SUMIFS(Analytics!$U$5:$U$154,Analytics!$D$5:$D$154,Calc!$T$9,Analytics!$B$5:$B$154,"&gt;="&amp;RepFrom,Analytics!$B$5:$B$154,"&lt;="&amp;RepTo))</f>
        <v>0</v>
      </c>
      <c r="K24" s="23">
        <f>IF(Calc!$T$9="","",SUMIFS(Analytics!$X$5:$X$154,Analytics!$D$5:$D$154,Calc!$T$9,Analytics!$B$5:$B$154,"&gt;="&amp;RepFrom,Analytics!$B$5:$B$154,"&lt;="&amp;RepTo))</f>
        <v>0</v>
      </c>
    </row>
    <row r="25" spans="1:14">
      <c r="A25" s="17">
        <f>IF(Calc!$T$10="","",Calc!$T$10)</f>
        <v>0</v>
      </c>
      <c r="B25" s="23">
        <f>IF(Calc!$T$10="","",COUNTIFS('Content Calendar'!$G$5:$G$604,Calc!$T$10,'Content Calendar'!$B$5:$B$604,"&gt;="&amp;RepFrom,'Content Calendar'!$B$5:$B$604,"&lt;="&amp;RepTo,'Content Calendar'!$X$5:$X$604,"Published"))</f>
        <v>0</v>
      </c>
      <c r="C25" s="23">
        <f>IF(Calc!$T$10="","",SUMIFS(Analytics!$J$5:$J$154,Analytics!$D$5:$D$154,Calc!$T$10,Analytics!$B$5:$B$154,"&gt;="&amp;RepFrom,Analytics!$B$5:$B$154,"&lt;="&amp;RepTo))</f>
        <v>0</v>
      </c>
      <c r="D25" s="23">
        <f>IF(Calc!$T$10="","",SUMIFS(Analytics!$K$5:$K$154,Analytics!$D$5:$D$154,Calc!$T$10,Analytics!$B$5:$B$154,"&gt;="&amp;RepFrom,Analytics!$B$5:$B$154,"&lt;="&amp;RepTo))</f>
        <v>0</v>
      </c>
      <c r="E25" s="23">
        <f>IF(Calc!$T$10="","",SUMIFS(Analytics!$L$5:$L$154,Analytics!$D$5:$D$154,Calc!$T$10,Analytics!$B$5:$B$154,"&gt;="&amp;RepFrom,Analytics!$B$5:$B$154,"&lt;="&amp;RepTo))</f>
        <v>0</v>
      </c>
      <c r="F25" s="24">
        <f>IF(Calc!$T$10="","",IFERROR(SUMIFS(Analytics!$L$5:$L$154,Analytics!$D$5:$D$154,Calc!$T$10,Analytics!$B$5:$B$154,"&gt;="&amp;RepFrom,Analytics!$B$5:$B$154,"&lt;="&amp;RepTo)/SUMIFS(Analytics!$J$5:$J$154,Analytics!$D$5:$D$154,Calc!$T$10,Analytics!$B$5:$B$154,"&gt;="&amp;RepFrom,Analytics!$B$5:$B$154,"&lt;="&amp;RepTo),""))</f>
        <v>0</v>
      </c>
      <c r="G25" s="23">
        <f>IF(Calc!$T$10="","",SUMIFS(Analytics!$R$5:$R$154,Analytics!$D$5:$D$154,Calc!$T$10,Analytics!$B$5:$B$154,"&gt;="&amp;RepFrom,Analytics!$B$5:$B$154,"&lt;="&amp;RepTo))</f>
        <v>0</v>
      </c>
      <c r="H25" s="23">
        <f>IF(Calc!$T$10="","",SUMIFS(Analytics!$S$5:$S$154,Analytics!$D$5:$D$154,Calc!$T$10,Analytics!$B$5:$B$154,"&gt;="&amp;RepFrom,Analytics!$B$5:$B$154,"&lt;="&amp;RepTo))</f>
        <v>0</v>
      </c>
      <c r="I25" s="23">
        <f>IF(Calc!$T$10="","",SUMIFS(Analytics!$T$5:$T$154,Analytics!$D$5:$D$154,Calc!$T$10,Analytics!$B$5:$B$154,"&gt;="&amp;RepFrom,Analytics!$B$5:$B$154,"&lt;="&amp;RepTo))</f>
        <v>0</v>
      </c>
      <c r="J25" s="25">
        <f>IF(Calc!$T$10="","",SUMIFS(Analytics!$U$5:$U$154,Analytics!$D$5:$D$154,Calc!$T$10,Analytics!$B$5:$B$154,"&gt;="&amp;RepFrom,Analytics!$B$5:$B$154,"&lt;="&amp;RepTo))</f>
        <v>0</v>
      </c>
      <c r="K25" s="23">
        <f>IF(Calc!$T$10="","",SUMIFS(Analytics!$X$5:$X$154,Analytics!$D$5:$D$154,Calc!$T$10,Analytics!$B$5:$B$154,"&gt;="&amp;RepFrom,Analytics!$B$5:$B$154,"&lt;="&amp;RepTo))</f>
        <v>0</v>
      </c>
    </row>
    <row r="26" spans="1:14">
      <c r="A26" s="17">
        <f>IF(Calc!$T$11="","",Calc!$T$11)</f>
        <v>0</v>
      </c>
      <c r="B26" s="23">
        <f>IF(Calc!$T$11="","",COUNTIFS('Content Calendar'!$G$5:$G$604,Calc!$T$11,'Content Calendar'!$B$5:$B$604,"&gt;="&amp;RepFrom,'Content Calendar'!$B$5:$B$604,"&lt;="&amp;RepTo,'Content Calendar'!$X$5:$X$604,"Published"))</f>
        <v>0</v>
      </c>
      <c r="C26" s="23">
        <f>IF(Calc!$T$11="","",SUMIFS(Analytics!$J$5:$J$154,Analytics!$D$5:$D$154,Calc!$T$11,Analytics!$B$5:$B$154,"&gt;="&amp;RepFrom,Analytics!$B$5:$B$154,"&lt;="&amp;RepTo))</f>
        <v>0</v>
      </c>
      <c r="D26" s="23">
        <f>IF(Calc!$T$11="","",SUMIFS(Analytics!$K$5:$K$154,Analytics!$D$5:$D$154,Calc!$T$11,Analytics!$B$5:$B$154,"&gt;="&amp;RepFrom,Analytics!$B$5:$B$154,"&lt;="&amp;RepTo))</f>
        <v>0</v>
      </c>
      <c r="E26" s="23">
        <f>IF(Calc!$T$11="","",SUMIFS(Analytics!$L$5:$L$154,Analytics!$D$5:$D$154,Calc!$T$11,Analytics!$B$5:$B$154,"&gt;="&amp;RepFrom,Analytics!$B$5:$B$154,"&lt;="&amp;RepTo))</f>
        <v>0</v>
      </c>
      <c r="F26" s="24">
        <f>IF(Calc!$T$11="","",IFERROR(SUMIFS(Analytics!$L$5:$L$154,Analytics!$D$5:$D$154,Calc!$T$11,Analytics!$B$5:$B$154,"&gt;="&amp;RepFrom,Analytics!$B$5:$B$154,"&lt;="&amp;RepTo)/SUMIFS(Analytics!$J$5:$J$154,Analytics!$D$5:$D$154,Calc!$T$11,Analytics!$B$5:$B$154,"&gt;="&amp;RepFrom,Analytics!$B$5:$B$154,"&lt;="&amp;RepTo),""))</f>
        <v>0</v>
      </c>
      <c r="G26" s="23">
        <f>IF(Calc!$T$11="","",SUMIFS(Analytics!$R$5:$R$154,Analytics!$D$5:$D$154,Calc!$T$11,Analytics!$B$5:$B$154,"&gt;="&amp;RepFrom,Analytics!$B$5:$B$154,"&lt;="&amp;RepTo))</f>
        <v>0</v>
      </c>
      <c r="H26" s="23">
        <f>IF(Calc!$T$11="","",SUMIFS(Analytics!$S$5:$S$154,Analytics!$D$5:$D$154,Calc!$T$11,Analytics!$B$5:$B$154,"&gt;="&amp;RepFrom,Analytics!$B$5:$B$154,"&lt;="&amp;RepTo))</f>
        <v>0</v>
      </c>
      <c r="I26" s="23">
        <f>IF(Calc!$T$11="","",SUMIFS(Analytics!$T$5:$T$154,Analytics!$D$5:$D$154,Calc!$T$11,Analytics!$B$5:$B$154,"&gt;="&amp;RepFrom,Analytics!$B$5:$B$154,"&lt;="&amp;RepTo))</f>
        <v>0</v>
      </c>
      <c r="J26" s="25">
        <f>IF(Calc!$T$11="","",SUMIFS(Analytics!$U$5:$U$154,Analytics!$D$5:$D$154,Calc!$T$11,Analytics!$B$5:$B$154,"&gt;="&amp;RepFrom,Analytics!$B$5:$B$154,"&lt;="&amp;RepTo))</f>
        <v>0</v>
      </c>
      <c r="K26" s="23">
        <f>IF(Calc!$T$11="","",SUMIFS(Analytics!$X$5:$X$154,Analytics!$D$5:$D$154,Calc!$T$11,Analytics!$B$5:$B$154,"&gt;="&amp;RepFrom,Analytics!$B$5:$B$154,"&lt;="&amp;RepTo))</f>
        <v>0</v>
      </c>
    </row>
    <row r="27" spans="1:14">
      <c r="A27" s="17">
        <f>IF(Calc!$T$12="","",Calc!$T$12)</f>
        <v>0</v>
      </c>
      <c r="B27" s="23">
        <f>IF(Calc!$T$12="","",COUNTIFS('Content Calendar'!$G$5:$G$604,Calc!$T$12,'Content Calendar'!$B$5:$B$604,"&gt;="&amp;RepFrom,'Content Calendar'!$B$5:$B$604,"&lt;="&amp;RepTo,'Content Calendar'!$X$5:$X$604,"Published"))</f>
        <v>0</v>
      </c>
      <c r="C27" s="23">
        <f>IF(Calc!$T$12="","",SUMIFS(Analytics!$J$5:$J$154,Analytics!$D$5:$D$154,Calc!$T$12,Analytics!$B$5:$B$154,"&gt;="&amp;RepFrom,Analytics!$B$5:$B$154,"&lt;="&amp;RepTo))</f>
        <v>0</v>
      </c>
      <c r="D27" s="23">
        <f>IF(Calc!$T$12="","",SUMIFS(Analytics!$K$5:$K$154,Analytics!$D$5:$D$154,Calc!$T$12,Analytics!$B$5:$B$154,"&gt;="&amp;RepFrom,Analytics!$B$5:$B$154,"&lt;="&amp;RepTo))</f>
        <v>0</v>
      </c>
      <c r="E27" s="23">
        <f>IF(Calc!$T$12="","",SUMIFS(Analytics!$L$5:$L$154,Analytics!$D$5:$D$154,Calc!$T$12,Analytics!$B$5:$B$154,"&gt;="&amp;RepFrom,Analytics!$B$5:$B$154,"&lt;="&amp;RepTo))</f>
        <v>0</v>
      </c>
      <c r="F27" s="24">
        <f>IF(Calc!$T$12="","",IFERROR(SUMIFS(Analytics!$L$5:$L$154,Analytics!$D$5:$D$154,Calc!$T$12,Analytics!$B$5:$B$154,"&gt;="&amp;RepFrom,Analytics!$B$5:$B$154,"&lt;="&amp;RepTo)/SUMIFS(Analytics!$J$5:$J$154,Analytics!$D$5:$D$154,Calc!$T$12,Analytics!$B$5:$B$154,"&gt;="&amp;RepFrom,Analytics!$B$5:$B$154,"&lt;="&amp;RepTo),""))</f>
        <v>0</v>
      </c>
      <c r="G27" s="23">
        <f>IF(Calc!$T$12="","",SUMIFS(Analytics!$R$5:$R$154,Analytics!$D$5:$D$154,Calc!$T$12,Analytics!$B$5:$B$154,"&gt;="&amp;RepFrom,Analytics!$B$5:$B$154,"&lt;="&amp;RepTo))</f>
        <v>0</v>
      </c>
      <c r="H27" s="23">
        <f>IF(Calc!$T$12="","",SUMIFS(Analytics!$S$5:$S$154,Analytics!$D$5:$D$154,Calc!$T$12,Analytics!$B$5:$B$154,"&gt;="&amp;RepFrom,Analytics!$B$5:$B$154,"&lt;="&amp;RepTo))</f>
        <v>0</v>
      </c>
      <c r="I27" s="23">
        <f>IF(Calc!$T$12="","",SUMIFS(Analytics!$T$5:$T$154,Analytics!$D$5:$D$154,Calc!$T$12,Analytics!$B$5:$B$154,"&gt;="&amp;RepFrom,Analytics!$B$5:$B$154,"&lt;="&amp;RepTo))</f>
        <v>0</v>
      </c>
      <c r="J27" s="25">
        <f>IF(Calc!$T$12="","",SUMIFS(Analytics!$U$5:$U$154,Analytics!$D$5:$D$154,Calc!$T$12,Analytics!$B$5:$B$154,"&gt;="&amp;RepFrom,Analytics!$B$5:$B$154,"&lt;="&amp;RepTo))</f>
        <v>0</v>
      </c>
      <c r="K27" s="23">
        <f>IF(Calc!$T$12="","",SUMIFS(Analytics!$X$5:$X$154,Analytics!$D$5:$D$154,Calc!$T$12,Analytics!$B$5:$B$154,"&gt;="&amp;RepFrom,Analytics!$B$5:$B$154,"&lt;="&amp;RepTo))</f>
        <v>0</v>
      </c>
    </row>
    <row r="29" spans="1:14" ht="20" customHeight="1">
      <c r="A29" s="7" t="s">
        <v>2205</v>
      </c>
      <c r="B29" s="7"/>
      <c r="C29" s="7"/>
      <c r="D29" s="7"/>
      <c r="E29" s="7"/>
      <c r="F29" s="7"/>
      <c r="G29" s="7"/>
      <c r="H29" s="7"/>
      <c r="I29" s="7"/>
      <c r="J29" s="7"/>
      <c r="K29" s="7"/>
      <c r="L29" s="7"/>
      <c r="M29" s="7"/>
      <c r="N29" s="7"/>
    </row>
    <row r="30" spans="1:14" ht="26" customHeight="1">
      <c r="A30" s="8" t="s">
        <v>195</v>
      </c>
      <c r="B30" s="9" t="s">
        <v>1874</v>
      </c>
      <c r="C30" s="9" t="s">
        <v>149</v>
      </c>
      <c r="D30" s="9" t="s">
        <v>153</v>
      </c>
      <c r="E30" s="9" t="s">
        <v>186</v>
      </c>
      <c r="F30" s="9" t="s">
        <v>188</v>
      </c>
      <c r="G30" s="9" t="s">
        <v>170</v>
      </c>
      <c r="H30" s="9" t="s">
        <v>172</v>
      </c>
    </row>
    <row r="31" spans="1:14">
      <c r="A31" s="17">
        <f>IF(Calc!$AJ$5="","",Calc!$AJ$5)</f>
        <v>0</v>
      </c>
      <c r="B31" s="23">
        <f>IF(Calc!$AJ$5="","",COUNTIFS('Content Calendar'!$J$5:$J$604,Calc!$AJ$5,'Content Calendar'!$B$5:$B$604,"&gt;="&amp;RepFrom,'Content Calendar'!$B$5:$B$604,"&lt;="&amp;RepTo,'Content Calendar'!$X$5:$X$604,"Published"))</f>
        <v>0</v>
      </c>
      <c r="C31" s="23">
        <f>IF(Calc!$AJ$5="","",SUMIFS(Performance!$O$5:$O$404,Performance!$H$5:$H$404,Calc!$AJ$5,Performance!$D$5:$D$404,"&gt;="&amp;RepFrom,Performance!$D$5:$D$404,"&lt;="&amp;RepTo))</f>
        <v>0</v>
      </c>
      <c r="D31" s="23">
        <f>IF(Calc!$AJ$5="","",SUMIFS(Performance!$Z$5:$Z$404,Performance!$H$5:$H$404,Calc!$AJ$5,Performance!$D$5:$D$404,"&gt;="&amp;RepFrom,Performance!$D$5:$D$404,"&lt;="&amp;RepTo))</f>
        <v>0</v>
      </c>
      <c r="E31" s="24">
        <f>IF(Calc!$AJ$5="","",IFERROR(SUMIFS(Performance!$Z$5:$Z$404,Performance!$H$5:$H$404,Calc!$AJ$5,Performance!$D$5:$D$404,"&gt;="&amp;RepFrom,Performance!$D$5:$D$404,"&lt;="&amp;RepTo)/SUMIFS(Performance!$O$5:$O$404,Performance!$H$5:$H$404,Calc!$AJ$5,Performance!$D$5:$D$404,"&gt;="&amp;RepFrom,Performance!$D$5:$D$404,"&lt;="&amp;RepTo),""))</f>
        <v>0</v>
      </c>
      <c r="F31" s="23">
        <f>IF(Calc!$AJ$5="","",SUMIFS(Performance!$U$5:$U$404,Performance!$H$5:$H$404,Calc!$AJ$5,Performance!$D$5:$D$404,"&gt;="&amp;RepFrom,Performance!$D$5:$D$404,"&lt;="&amp;RepTo))</f>
        <v>0</v>
      </c>
      <c r="G31" s="23">
        <f>IF(Calc!$AJ$5="","",SUMIFS(Performance!$W$5:$W$404,Performance!$H$5:$H$404,Calc!$AJ$5,Performance!$D$5:$D$404,"&gt;="&amp;RepFrom,Performance!$D$5:$D$404,"&lt;="&amp;RepTo))</f>
        <v>0</v>
      </c>
      <c r="H31" s="25">
        <f>IF(Calc!$AJ$5="","",SUMIFS(Performance!$X$5:$X$404,Performance!$H$5:$H$404,Calc!$AJ$5,Performance!$D$5:$D$404,"&gt;="&amp;RepFrom,Performance!$D$5:$D$404,"&lt;="&amp;RepTo))</f>
        <v>0</v>
      </c>
    </row>
    <row r="32" spans="1:14">
      <c r="A32" s="17">
        <f>IF(Calc!$AJ$6="","",Calc!$AJ$6)</f>
        <v>0</v>
      </c>
      <c r="B32" s="23">
        <f>IF(Calc!$AJ$6="","",COUNTIFS('Content Calendar'!$J$5:$J$604,Calc!$AJ$6,'Content Calendar'!$B$5:$B$604,"&gt;="&amp;RepFrom,'Content Calendar'!$B$5:$B$604,"&lt;="&amp;RepTo,'Content Calendar'!$X$5:$X$604,"Published"))</f>
        <v>0</v>
      </c>
      <c r="C32" s="23">
        <f>IF(Calc!$AJ$6="","",SUMIFS(Performance!$O$5:$O$404,Performance!$H$5:$H$404,Calc!$AJ$6,Performance!$D$5:$D$404,"&gt;="&amp;RepFrom,Performance!$D$5:$D$404,"&lt;="&amp;RepTo))</f>
        <v>0</v>
      </c>
      <c r="D32" s="23">
        <f>IF(Calc!$AJ$6="","",SUMIFS(Performance!$Z$5:$Z$404,Performance!$H$5:$H$404,Calc!$AJ$6,Performance!$D$5:$D$404,"&gt;="&amp;RepFrom,Performance!$D$5:$D$404,"&lt;="&amp;RepTo))</f>
        <v>0</v>
      </c>
      <c r="E32" s="24">
        <f>IF(Calc!$AJ$6="","",IFERROR(SUMIFS(Performance!$Z$5:$Z$404,Performance!$H$5:$H$404,Calc!$AJ$6,Performance!$D$5:$D$404,"&gt;="&amp;RepFrom,Performance!$D$5:$D$404,"&lt;="&amp;RepTo)/SUMIFS(Performance!$O$5:$O$404,Performance!$H$5:$H$404,Calc!$AJ$6,Performance!$D$5:$D$404,"&gt;="&amp;RepFrom,Performance!$D$5:$D$404,"&lt;="&amp;RepTo),""))</f>
        <v>0</v>
      </c>
      <c r="F32" s="23">
        <f>IF(Calc!$AJ$6="","",SUMIFS(Performance!$U$5:$U$404,Performance!$H$5:$H$404,Calc!$AJ$6,Performance!$D$5:$D$404,"&gt;="&amp;RepFrom,Performance!$D$5:$D$404,"&lt;="&amp;RepTo))</f>
        <v>0</v>
      </c>
      <c r="G32" s="23">
        <f>IF(Calc!$AJ$6="","",SUMIFS(Performance!$W$5:$W$404,Performance!$H$5:$H$404,Calc!$AJ$6,Performance!$D$5:$D$404,"&gt;="&amp;RepFrom,Performance!$D$5:$D$404,"&lt;="&amp;RepTo))</f>
        <v>0</v>
      </c>
      <c r="H32" s="25">
        <f>IF(Calc!$AJ$6="","",SUMIFS(Performance!$X$5:$X$404,Performance!$H$5:$H$404,Calc!$AJ$6,Performance!$D$5:$D$404,"&gt;="&amp;RepFrom,Performance!$D$5:$D$404,"&lt;="&amp;RepTo))</f>
        <v>0</v>
      </c>
    </row>
    <row r="33" spans="1:14">
      <c r="A33" s="17">
        <f>IF(Calc!$AJ$7="","",Calc!$AJ$7)</f>
        <v>0</v>
      </c>
      <c r="B33" s="23">
        <f>IF(Calc!$AJ$7="","",COUNTIFS('Content Calendar'!$J$5:$J$604,Calc!$AJ$7,'Content Calendar'!$B$5:$B$604,"&gt;="&amp;RepFrom,'Content Calendar'!$B$5:$B$604,"&lt;="&amp;RepTo,'Content Calendar'!$X$5:$X$604,"Published"))</f>
        <v>0</v>
      </c>
      <c r="C33" s="23">
        <f>IF(Calc!$AJ$7="","",SUMIFS(Performance!$O$5:$O$404,Performance!$H$5:$H$404,Calc!$AJ$7,Performance!$D$5:$D$404,"&gt;="&amp;RepFrom,Performance!$D$5:$D$404,"&lt;="&amp;RepTo))</f>
        <v>0</v>
      </c>
      <c r="D33" s="23">
        <f>IF(Calc!$AJ$7="","",SUMIFS(Performance!$Z$5:$Z$404,Performance!$H$5:$H$404,Calc!$AJ$7,Performance!$D$5:$D$404,"&gt;="&amp;RepFrom,Performance!$D$5:$D$404,"&lt;="&amp;RepTo))</f>
        <v>0</v>
      </c>
      <c r="E33" s="24">
        <f>IF(Calc!$AJ$7="","",IFERROR(SUMIFS(Performance!$Z$5:$Z$404,Performance!$H$5:$H$404,Calc!$AJ$7,Performance!$D$5:$D$404,"&gt;="&amp;RepFrom,Performance!$D$5:$D$404,"&lt;="&amp;RepTo)/SUMIFS(Performance!$O$5:$O$404,Performance!$H$5:$H$404,Calc!$AJ$7,Performance!$D$5:$D$404,"&gt;="&amp;RepFrom,Performance!$D$5:$D$404,"&lt;="&amp;RepTo),""))</f>
        <v>0</v>
      </c>
      <c r="F33" s="23">
        <f>IF(Calc!$AJ$7="","",SUMIFS(Performance!$U$5:$U$404,Performance!$H$5:$H$404,Calc!$AJ$7,Performance!$D$5:$D$404,"&gt;="&amp;RepFrom,Performance!$D$5:$D$404,"&lt;="&amp;RepTo))</f>
        <v>0</v>
      </c>
      <c r="G33" s="23">
        <f>IF(Calc!$AJ$7="","",SUMIFS(Performance!$W$5:$W$404,Performance!$H$5:$H$404,Calc!$AJ$7,Performance!$D$5:$D$404,"&gt;="&amp;RepFrom,Performance!$D$5:$D$404,"&lt;="&amp;RepTo))</f>
        <v>0</v>
      </c>
      <c r="H33" s="25">
        <f>IF(Calc!$AJ$7="","",SUMIFS(Performance!$X$5:$X$404,Performance!$H$5:$H$404,Calc!$AJ$7,Performance!$D$5:$D$404,"&gt;="&amp;RepFrom,Performance!$D$5:$D$404,"&lt;="&amp;RepTo))</f>
        <v>0</v>
      </c>
    </row>
    <row r="34" spans="1:14">
      <c r="A34" s="17">
        <f>IF(Calc!$AJ$8="","",Calc!$AJ$8)</f>
        <v>0</v>
      </c>
      <c r="B34" s="23">
        <f>IF(Calc!$AJ$8="","",COUNTIFS('Content Calendar'!$J$5:$J$604,Calc!$AJ$8,'Content Calendar'!$B$5:$B$604,"&gt;="&amp;RepFrom,'Content Calendar'!$B$5:$B$604,"&lt;="&amp;RepTo,'Content Calendar'!$X$5:$X$604,"Published"))</f>
        <v>0</v>
      </c>
      <c r="C34" s="23">
        <f>IF(Calc!$AJ$8="","",SUMIFS(Performance!$O$5:$O$404,Performance!$H$5:$H$404,Calc!$AJ$8,Performance!$D$5:$D$404,"&gt;="&amp;RepFrom,Performance!$D$5:$D$404,"&lt;="&amp;RepTo))</f>
        <v>0</v>
      </c>
      <c r="D34" s="23">
        <f>IF(Calc!$AJ$8="","",SUMIFS(Performance!$Z$5:$Z$404,Performance!$H$5:$H$404,Calc!$AJ$8,Performance!$D$5:$D$404,"&gt;="&amp;RepFrom,Performance!$D$5:$D$404,"&lt;="&amp;RepTo))</f>
        <v>0</v>
      </c>
      <c r="E34" s="24">
        <f>IF(Calc!$AJ$8="","",IFERROR(SUMIFS(Performance!$Z$5:$Z$404,Performance!$H$5:$H$404,Calc!$AJ$8,Performance!$D$5:$D$404,"&gt;="&amp;RepFrom,Performance!$D$5:$D$404,"&lt;="&amp;RepTo)/SUMIFS(Performance!$O$5:$O$404,Performance!$H$5:$H$404,Calc!$AJ$8,Performance!$D$5:$D$404,"&gt;="&amp;RepFrom,Performance!$D$5:$D$404,"&lt;="&amp;RepTo),""))</f>
        <v>0</v>
      </c>
      <c r="F34" s="23">
        <f>IF(Calc!$AJ$8="","",SUMIFS(Performance!$U$5:$U$404,Performance!$H$5:$H$404,Calc!$AJ$8,Performance!$D$5:$D$404,"&gt;="&amp;RepFrom,Performance!$D$5:$D$404,"&lt;="&amp;RepTo))</f>
        <v>0</v>
      </c>
      <c r="G34" s="23">
        <f>IF(Calc!$AJ$8="","",SUMIFS(Performance!$W$5:$W$404,Performance!$H$5:$H$404,Calc!$AJ$8,Performance!$D$5:$D$404,"&gt;="&amp;RepFrom,Performance!$D$5:$D$404,"&lt;="&amp;RepTo))</f>
        <v>0</v>
      </c>
      <c r="H34" s="25">
        <f>IF(Calc!$AJ$8="","",SUMIFS(Performance!$X$5:$X$404,Performance!$H$5:$H$404,Calc!$AJ$8,Performance!$D$5:$D$404,"&gt;="&amp;RepFrom,Performance!$D$5:$D$404,"&lt;="&amp;RepTo))</f>
        <v>0</v>
      </c>
    </row>
    <row r="35" spans="1:14">
      <c r="A35" s="17">
        <f>IF(Calc!$AJ$9="","",Calc!$AJ$9)</f>
        <v>0</v>
      </c>
      <c r="B35" s="23">
        <f>IF(Calc!$AJ$9="","",COUNTIFS('Content Calendar'!$J$5:$J$604,Calc!$AJ$9,'Content Calendar'!$B$5:$B$604,"&gt;="&amp;RepFrom,'Content Calendar'!$B$5:$B$604,"&lt;="&amp;RepTo,'Content Calendar'!$X$5:$X$604,"Published"))</f>
        <v>0</v>
      </c>
      <c r="C35" s="23">
        <f>IF(Calc!$AJ$9="","",SUMIFS(Performance!$O$5:$O$404,Performance!$H$5:$H$404,Calc!$AJ$9,Performance!$D$5:$D$404,"&gt;="&amp;RepFrom,Performance!$D$5:$D$404,"&lt;="&amp;RepTo))</f>
        <v>0</v>
      </c>
      <c r="D35" s="23">
        <f>IF(Calc!$AJ$9="","",SUMIFS(Performance!$Z$5:$Z$404,Performance!$H$5:$H$404,Calc!$AJ$9,Performance!$D$5:$D$404,"&gt;="&amp;RepFrom,Performance!$D$5:$D$404,"&lt;="&amp;RepTo))</f>
        <v>0</v>
      </c>
      <c r="E35" s="24">
        <f>IF(Calc!$AJ$9="","",IFERROR(SUMIFS(Performance!$Z$5:$Z$404,Performance!$H$5:$H$404,Calc!$AJ$9,Performance!$D$5:$D$404,"&gt;="&amp;RepFrom,Performance!$D$5:$D$404,"&lt;="&amp;RepTo)/SUMIFS(Performance!$O$5:$O$404,Performance!$H$5:$H$404,Calc!$AJ$9,Performance!$D$5:$D$404,"&gt;="&amp;RepFrom,Performance!$D$5:$D$404,"&lt;="&amp;RepTo),""))</f>
        <v>0</v>
      </c>
      <c r="F35" s="23">
        <f>IF(Calc!$AJ$9="","",SUMIFS(Performance!$U$5:$U$404,Performance!$H$5:$H$404,Calc!$AJ$9,Performance!$D$5:$D$404,"&gt;="&amp;RepFrom,Performance!$D$5:$D$404,"&lt;="&amp;RepTo))</f>
        <v>0</v>
      </c>
      <c r="G35" s="23">
        <f>IF(Calc!$AJ$9="","",SUMIFS(Performance!$W$5:$W$404,Performance!$H$5:$H$404,Calc!$AJ$9,Performance!$D$5:$D$404,"&gt;="&amp;RepFrom,Performance!$D$5:$D$404,"&lt;="&amp;RepTo))</f>
        <v>0</v>
      </c>
      <c r="H35" s="25">
        <f>IF(Calc!$AJ$9="","",SUMIFS(Performance!$X$5:$X$404,Performance!$H$5:$H$404,Calc!$AJ$9,Performance!$D$5:$D$404,"&gt;="&amp;RepFrom,Performance!$D$5:$D$404,"&lt;="&amp;RepTo))</f>
        <v>0</v>
      </c>
    </row>
    <row r="36" spans="1:14">
      <c r="A36" s="17">
        <f>IF(Calc!$AJ$10="","",Calc!$AJ$10)</f>
        <v>0</v>
      </c>
      <c r="B36" s="23">
        <f>IF(Calc!$AJ$10="","",COUNTIFS('Content Calendar'!$J$5:$J$604,Calc!$AJ$10,'Content Calendar'!$B$5:$B$604,"&gt;="&amp;RepFrom,'Content Calendar'!$B$5:$B$604,"&lt;="&amp;RepTo,'Content Calendar'!$X$5:$X$604,"Published"))</f>
        <v>0</v>
      </c>
      <c r="C36" s="23">
        <f>IF(Calc!$AJ$10="","",SUMIFS(Performance!$O$5:$O$404,Performance!$H$5:$H$404,Calc!$AJ$10,Performance!$D$5:$D$404,"&gt;="&amp;RepFrom,Performance!$D$5:$D$404,"&lt;="&amp;RepTo))</f>
        <v>0</v>
      </c>
      <c r="D36" s="23">
        <f>IF(Calc!$AJ$10="","",SUMIFS(Performance!$Z$5:$Z$404,Performance!$H$5:$H$404,Calc!$AJ$10,Performance!$D$5:$D$404,"&gt;="&amp;RepFrom,Performance!$D$5:$D$404,"&lt;="&amp;RepTo))</f>
        <v>0</v>
      </c>
      <c r="E36" s="24">
        <f>IF(Calc!$AJ$10="","",IFERROR(SUMIFS(Performance!$Z$5:$Z$404,Performance!$H$5:$H$404,Calc!$AJ$10,Performance!$D$5:$D$404,"&gt;="&amp;RepFrom,Performance!$D$5:$D$404,"&lt;="&amp;RepTo)/SUMIFS(Performance!$O$5:$O$404,Performance!$H$5:$H$404,Calc!$AJ$10,Performance!$D$5:$D$404,"&gt;="&amp;RepFrom,Performance!$D$5:$D$404,"&lt;="&amp;RepTo),""))</f>
        <v>0</v>
      </c>
      <c r="F36" s="23">
        <f>IF(Calc!$AJ$10="","",SUMIFS(Performance!$U$5:$U$404,Performance!$H$5:$H$404,Calc!$AJ$10,Performance!$D$5:$D$404,"&gt;="&amp;RepFrom,Performance!$D$5:$D$404,"&lt;="&amp;RepTo))</f>
        <v>0</v>
      </c>
      <c r="G36" s="23">
        <f>IF(Calc!$AJ$10="","",SUMIFS(Performance!$W$5:$W$404,Performance!$H$5:$H$404,Calc!$AJ$10,Performance!$D$5:$D$404,"&gt;="&amp;RepFrom,Performance!$D$5:$D$404,"&lt;="&amp;RepTo))</f>
        <v>0</v>
      </c>
      <c r="H36" s="25">
        <f>IF(Calc!$AJ$10="","",SUMIFS(Performance!$X$5:$X$404,Performance!$H$5:$H$404,Calc!$AJ$10,Performance!$D$5:$D$404,"&gt;="&amp;RepFrom,Performance!$D$5:$D$404,"&lt;="&amp;RepTo))</f>
        <v>0</v>
      </c>
    </row>
    <row r="37" spans="1:14">
      <c r="A37" s="17">
        <f>IF(Calc!$AJ$11="","",Calc!$AJ$11)</f>
        <v>0</v>
      </c>
      <c r="B37" s="23">
        <f>IF(Calc!$AJ$11="","",COUNTIFS('Content Calendar'!$J$5:$J$604,Calc!$AJ$11,'Content Calendar'!$B$5:$B$604,"&gt;="&amp;RepFrom,'Content Calendar'!$B$5:$B$604,"&lt;="&amp;RepTo,'Content Calendar'!$X$5:$X$604,"Published"))</f>
        <v>0</v>
      </c>
      <c r="C37" s="23">
        <f>IF(Calc!$AJ$11="","",SUMIFS(Performance!$O$5:$O$404,Performance!$H$5:$H$404,Calc!$AJ$11,Performance!$D$5:$D$404,"&gt;="&amp;RepFrom,Performance!$D$5:$D$404,"&lt;="&amp;RepTo))</f>
        <v>0</v>
      </c>
      <c r="D37" s="23">
        <f>IF(Calc!$AJ$11="","",SUMIFS(Performance!$Z$5:$Z$404,Performance!$H$5:$H$404,Calc!$AJ$11,Performance!$D$5:$D$404,"&gt;="&amp;RepFrom,Performance!$D$5:$D$404,"&lt;="&amp;RepTo))</f>
        <v>0</v>
      </c>
      <c r="E37" s="24">
        <f>IF(Calc!$AJ$11="","",IFERROR(SUMIFS(Performance!$Z$5:$Z$404,Performance!$H$5:$H$404,Calc!$AJ$11,Performance!$D$5:$D$404,"&gt;="&amp;RepFrom,Performance!$D$5:$D$404,"&lt;="&amp;RepTo)/SUMIFS(Performance!$O$5:$O$404,Performance!$H$5:$H$404,Calc!$AJ$11,Performance!$D$5:$D$404,"&gt;="&amp;RepFrom,Performance!$D$5:$D$404,"&lt;="&amp;RepTo),""))</f>
        <v>0</v>
      </c>
      <c r="F37" s="23">
        <f>IF(Calc!$AJ$11="","",SUMIFS(Performance!$U$5:$U$404,Performance!$H$5:$H$404,Calc!$AJ$11,Performance!$D$5:$D$404,"&gt;="&amp;RepFrom,Performance!$D$5:$D$404,"&lt;="&amp;RepTo))</f>
        <v>0</v>
      </c>
      <c r="G37" s="23">
        <f>IF(Calc!$AJ$11="","",SUMIFS(Performance!$W$5:$W$404,Performance!$H$5:$H$404,Calc!$AJ$11,Performance!$D$5:$D$404,"&gt;="&amp;RepFrom,Performance!$D$5:$D$404,"&lt;="&amp;RepTo))</f>
        <v>0</v>
      </c>
      <c r="H37" s="25">
        <f>IF(Calc!$AJ$11="","",SUMIFS(Performance!$X$5:$X$404,Performance!$H$5:$H$404,Calc!$AJ$11,Performance!$D$5:$D$404,"&gt;="&amp;RepFrom,Performance!$D$5:$D$404,"&lt;="&amp;RepTo))</f>
        <v>0</v>
      </c>
    </row>
    <row r="38" spans="1:14">
      <c r="A38" s="17">
        <f>IF(Calc!$AJ$12="","",Calc!$AJ$12)</f>
        <v>0</v>
      </c>
      <c r="B38" s="23">
        <f>IF(Calc!$AJ$12="","",COUNTIFS('Content Calendar'!$J$5:$J$604,Calc!$AJ$12,'Content Calendar'!$B$5:$B$604,"&gt;="&amp;RepFrom,'Content Calendar'!$B$5:$B$604,"&lt;="&amp;RepTo,'Content Calendar'!$X$5:$X$604,"Published"))</f>
        <v>0</v>
      </c>
      <c r="C38" s="23">
        <f>IF(Calc!$AJ$12="","",SUMIFS(Performance!$O$5:$O$404,Performance!$H$5:$H$404,Calc!$AJ$12,Performance!$D$5:$D$404,"&gt;="&amp;RepFrom,Performance!$D$5:$D$404,"&lt;="&amp;RepTo))</f>
        <v>0</v>
      </c>
      <c r="D38" s="23">
        <f>IF(Calc!$AJ$12="","",SUMIFS(Performance!$Z$5:$Z$404,Performance!$H$5:$H$404,Calc!$AJ$12,Performance!$D$5:$D$404,"&gt;="&amp;RepFrom,Performance!$D$5:$D$404,"&lt;="&amp;RepTo))</f>
        <v>0</v>
      </c>
      <c r="E38" s="24">
        <f>IF(Calc!$AJ$12="","",IFERROR(SUMIFS(Performance!$Z$5:$Z$404,Performance!$H$5:$H$404,Calc!$AJ$12,Performance!$D$5:$D$404,"&gt;="&amp;RepFrom,Performance!$D$5:$D$404,"&lt;="&amp;RepTo)/SUMIFS(Performance!$O$5:$O$404,Performance!$H$5:$H$404,Calc!$AJ$12,Performance!$D$5:$D$404,"&gt;="&amp;RepFrom,Performance!$D$5:$D$404,"&lt;="&amp;RepTo),""))</f>
        <v>0</v>
      </c>
      <c r="F38" s="23">
        <f>IF(Calc!$AJ$12="","",SUMIFS(Performance!$U$5:$U$404,Performance!$H$5:$H$404,Calc!$AJ$12,Performance!$D$5:$D$404,"&gt;="&amp;RepFrom,Performance!$D$5:$D$404,"&lt;="&amp;RepTo))</f>
        <v>0</v>
      </c>
      <c r="G38" s="23">
        <f>IF(Calc!$AJ$12="","",SUMIFS(Performance!$W$5:$W$404,Performance!$H$5:$H$404,Calc!$AJ$12,Performance!$D$5:$D$404,"&gt;="&amp;RepFrom,Performance!$D$5:$D$404,"&lt;="&amp;RepTo))</f>
        <v>0</v>
      </c>
      <c r="H38" s="25">
        <f>IF(Calc!$AJ$12="","",SUMIFS(Performance!$X$5:$X$404,Performance!$H$5:$H$404,Calc!$AJ$12,Performance!$D$5:$D$404,"&gt;="&amp;RepFrom,Performance!$D$5:$D$404,"&lt;="&amp;RepTo))</f>
        <v>0</v>
      </c>
    </row>
    <row r="39" spans="1:14">
      <c r="A39" s="17">
        <f>IF(Calc!$AJ$13="","",Calc!$AJ$13)</f>
        <v>0</v>
      </c>
      <c r="B39" s="23">
        <f>IF(Calc!$AJ$13="","",COUNTIFS('Content Calendar'!$J$5:$J$604,Calc!$AJ$13,'Content Calendar'!$B$5:$B$604,"&gt;="&amp;RepFrom,'Content Calendar'!$B$5:$B$604,"&lt;="&amp;RepTo,'Content Calendar'!$X$5:$X$604,"Published"))</f>
        <v>0</v>
      </c>
      <c r="C39" s="23">
        <f>IF(Calc!$AJ$13="","",SUMIFS(Performance!$O$5:$O$404,Performance!$H$5:$H$404,Calc!$AJ$13,Performance!$D$5:$D$404,"&gt;="&amp;RepFrom,Performance!$D$5:$D$404,"&lt;="&amp;RepTo))</f>
        <v>0</v>
      </c>
      <c r="D39" s="23">
        <f>IF(Calc!$AJ$13="","",SUMIFS(Performance!$Z$5:$Z$404,Performance!$H$5:$H$404,Calc!$AJ$13,Performance!$D$5:$D$404,"&gt;="&amp;RepFrom,Performance!$D$5:$D$404,"&lt;="&amp;RepTo))</f>
        <v>0</v>
      </c>
      <c r="E39" s="24">
        <f>IF(Calc!$AJ$13="","",IFERROR(SUMIFS(Performance!$Z$5:$Z$404,Performance!$H$5:$H$404,Calc!$AJ$13,Performance!$D$5:$D$404,"&gt;="&amp;RepFrom,Performance!$D$5:$D$404,"&lt;="&amp;RepTo)/SUMIFS(Performance!$O$5:$O$404,Performance!$H$5:$H$404,Calc!$AJ$13,Performance!$D$5:$D$404,"&gt;="&amp;RepFrom,Performance!$D$5:$D$404,"&lt;="&amp;RepTo),""))</f>
        <v>0</v>
      </c>
      <c r="F39" s="23">
        <f>IF(Calc!$AJ$13="","",SUMIFS(Performance!$U$5:$U$404,Performance!$H$5:$H$404,Calc!$AJ$13,Performance!$D$5:$D$404,"&gt;="&amp;RepFrom,Performance!$D$5:$D$404,"&lt;="&amp;RepTo))</f>
        <v>0</v>
      </c>
      <c r="G39" s="23">
        <f>IF(Calc!$AJ$13="","",SUMIFS(Performance!$W$5:$W$404,Performance!$H$5:$H$404,Calc!$AJ$13,Performance!$D$5:$D$404,"&gt;="&amp;RepFrom,Performance!$D$5:$D$404,"&lt;="&amp;RepTo))</f>
        <v>0</v>
      </c>
      <c r="H39" s="25">
        <f>IF(Calc!$AJ$13="","",SUMIFS(Performance!$X$5:$X$404,Performance!$H$5:$H$404,Calc!$AJ$13,Performance!$D$5:$D$404,"&gt;="&amp;RepFrom,Performance!$D$5:$D$404,"&lt;="&amp;RepTo))</f>
        <v>0</v>
      </c>
    </row>
    <row r="40" spans="1:14">
      <c r="A40" s="17">
        <f>IF(Calc!$AJ$14="","",Calc!$AJ$14)</f>
        <v>0</v>
      </c>
      <c r="B40" s="23">
        <f>IF(Calc!$AJ$14="","",COUNTIFS('Content Calendar'!$J$5:$J$604,Calc!$AJ$14,'Content Calendar'!$B$5:$B$604,"&gt;="&amp;RepFrom,'Content Calendar'!$B$5:$B$604,"&lt;="&amp;RepTo,'Content Calendar'!$X$5:$X$604,"Published"))</f>
        <v>0</v>
      </c>
      <c r="C40" s="23">
        <f>IF(Calc!$AJ$14="","",SUMIFS(Performance!$O$5:$O$404,Performance!$H$5:$H$404,Calc!$AJ$14,Performance!$D$5:$D$404,"&gt;="&amp;RepFrom,Performance!$D$5:$D$404,"&lt;="&amp;RepTo))</f>
        <v>0</v>
      </c>
      <c r="D40" s="23">
        <f>IF(Calc!$AJ$14="","",SUMIFS(Performance!$Z$5:$Z$404,Performance!$H$5:$H$404,Calc!$AJ$14,Performance!$D$5:$D$404,"&gt;="&amp;RepFrom,Performance!$D$5:$D$404,"&lt;="&amp;RepTo))</f>
        <v>0</v>
      </c>
      <c r="E40" s="24">
        <f>IF(Calc!$AJ$14="","",IFERROR(SUMIFS(Performance!$Z$5:$Z$404,Performance!$H$5:$H$404,Calc!$AJ$14,Performance!$D$5:$D$404,"&gt;="&amp;RepFrom,Performance!$D$5:$D$404,"&lt;="&amp;RepTo)/SUMIFS(Performance!$O$5:$O$404,Performance!$H$5:$H$404,Calc!$AJ$14,Performance!$D$5:$D$404,"&gt;="&amp;RepFrom,Performance!$D$5:$D$404,"&lt;="&amp;RepTo),""))</f>
        <v>0</v>
      </c>
      <c r="F40" s="23">
        <f>IF(Calc!$AJ$14="","",SUMIFS(Performance!$U$5:$U$404,Performance!$H$5:$H$404,Calc!$AJ$14,Performance!$D$5:$D$404,"&gt;="&amp;RepFrom,Performance!$D$5:$D$404,"&lt;="&amp;RepTo))</f>
        <v>0</v>
      </c>
      <c r="G40" s="23">
        <f>IF(Calc!$AJ$14="","",SUMIFS(Performance!$W$5:$W$404,Performance!$H$5:$H$404,Calc!$AJ$14,Performance!$D$5:$D$404,"&gt;="&amp;RepFrom,Performance!$D$5:$D$404,"&lt;="&amp;RepTo))</f>
        <v>0</v>
      </c>
      <c r="H40" s="25">
        <f>IF(Calc!$AJ$14="","",SUMIFS(Performance!$X$5:$X$404,Performance!$H$5:$H$404,Calc!$AJ$14,Performance!$D$5:$D$404,"&gt;="&amp;RepFrom,Performance!$D$5:$D$404,"&lt;="&amp;RepTo))</f>
        <v>0</v>
      </c>
    </row>
    <row r="42" spans="1:14" ht="20" customHeight="1">
      <c r="A42" s="7" t="s">
        <v>2206</v>
      </c>
      <c r="B42" s="7"/>
      <c r="C42" s="7"/>
      <c r="D42" s="7"/>
      <c r="E42" s="7"/>
      <c r="F42" s="7"/>
      <c r="G42" s="7"/>
      <c r="H42" s="7"/>
      <c r="I42" s="7"/>
      <c r="J42" s="7"/>
      <c r="K42" s="7"/>
      <c r="L42" s="7"/>
      <c r="M42" s="7"/>
      <c r="N42" s="7"/>
    </row>
    <row r="43" spans="1:14" ht="26" customHeight="1">
      <c r="A43" s="8" t="s">
        <v>200</v>
      </c>
      <c r="B43" s="9" t="s">
        <v>201</v>
      </c>
      <c r="C43" s="9" t="s">
        <v>192</v>
      </c>
      <c r="D43" s="9" t="s">
        <v>195</v>
      </c>
      <c r="E43" s="9" t="s">
        <v>202</v>
      </c>
      <c r="F43" s="9" t="s">
        <v>149</v>
      </c>
      <c r="G43" s="9" t="s">
        <v>153</v>
      </c>
      <c r="H43" s="9" t="s">
        <v>186</v>
      </c>
      <c r="I43" s="9" t="s">
        <v>188</v>
      </c>
      <c r="J43" s="9" t="s">
        <v>170</v>
      </c>
      <c r="K43" s="9" t="s">
        <v>172</v>
      </c>
    </row>
    <row r="44" spans="1:14">
      <c r="A44" s="23">
        <v>1</v>
      </c>
      <c r="B44" s="17">
        <f>IFERROR(INDEX(Calc!$BH$5:$BH$604,MATCH(LARGE(Calc!$BR$5:$BR$604,1),Calc!$BR$5:$BR$604,0)),"")</f>
        <v>0</v>
      </c>
      <c r="C44" s="17">
        <f>IFERROR(INDEX(Calc!$BI$5:$BI$604,MATCH(LARGE(Calc!$BR$5:$BR$604,1),Calc!$BR$5:$BR$604,0)),"")</f>
        <v>0</v>
      </c>
      <c r="D44" s="17">
        <f>IFERROR(INDEX(Calc!$BJ$5:$BJ$604,MATCH(LARGE(Calc!$BR$5:$BR$604,1),Calc!$BR$5:$BR$604,0)),"")</f>
        <v>0</v>
      </c>
      <c r="E44" s="16">
        <f>IFERROR(INDEX(Calc!$BK$5:$BK$604,MATCH(LARGE(Calc!$BR$5:$BR$604,1),Calc!$BR$5:$BR$604,0)),"")</f>
        <v>0</v>
      </c>
      <c r="F44" s="23">
        <f>IFERROR(INDEX(Calc!$BM$5:$BM$604,MATCH(LARGE(Calc!$BR$5:$BR$604,1),Calc!$BR$5:$BR$604,0)),"")</f>
        <v>0</v>
      </c>
      <c r="G44" s="23">
        <f>IFERROR(INDEX(Performance!$Z$5:$Z$404,MATCH(LARGE(Calc!$BR$5:$BR$604,1),Calc!$BR$5:$BR$604,0)),"")</f>
        <v>0</v>
      </c>
      <c r="H44" s="24">
        <f>IFERROR(INDEX(Calc!$BN$5:$BN$604,MATCH(LARGE(Calc!$BR$5:$BR$604,1),Calc!$BR$5:$BR$604,0)),"")</f>
        <v>0</v>
      </c>
      <c r="I44" s="23">
        <f>IFERROR(INDEX(Performance!$U$5:$U$404,MATCH(LARGE(Calc!$BR$5:$BR$604,1),Calc!$BR$5:$BR$604,0)),"")</f>
        <v>0</v>
      </c>
      <c r="J44" s="23">
        <f>IFERROR(INDEX(Performance!$W$5:$W$404,MATCH(LARGE(Calc!$BR$5:$BR$604,1),Calc!$BR$5:$BR$604,0)),"")</f>
        <v>0</v>
      </c>
      <c r="K44" s="25">
        <f>IFERROR(INDEX(Performance!$X$5:$X$404,MATCH(LARGE(Calc!$BR$5:$BR$604,1),Calc!$BR$5:$BR$604,0)),"")</f>
        <v>0</v>
      </c>
    </row>
    <row r="45" spans="1:14">
      <c r="A45" s="23">
        <v>2</v>
      </c>
      <c r="B45" s="17">
        <f>IFERROR(INDEX(Calc!$BH$5:$BH$604,MATCH(LARGE(Calc!$BR$5:$BR$604,2),Calc!$BR$5:$BR$604,0)),"")</f>
        <v>0</v>
      </c>
      <c r="C45" s="17">
        <f>IFERROR(INDEX(Calc!$BI$5:$BI$604,MATCH(LARGE(Calc!$BR$5:$BR$604,2),Calc!$BR$5:$BR$604,0)),"")</f>
        <v>0</v>
      </c>
      <c r="D45" s="17">
        <f>IFERROR(INDEX(Calc!$BJ$5:$BJ$604,MATCH(LARGE(Calc!$BR$5:$BR$604,2),Calc!$BR$5:$BR$604,0)),"")</f>
        <v>0</v>
      </c>
      <c r="E45" s="16">
        <f>IFERROR(INDEX(Calc!$BK$5:$BK$604,MATCH(LARGE(Calc!$BR$5:$BR$604,2),Calc!$BR$5:$BR$604,0)),"")</f>
        <v>0</v>
      </c>
      <c r="F45" s="23">
        <f>IFERROR(INDEX(Calc!$BM$5:$BM$604,MATCH(LARGE(Calc!$BR$5:$BR$604,2),Calc!$BR$5:$BR$604,0)),"")</f>
        <v>0</v>
      </c>
      <c r="G45" s="23">
        <f>IFERROR(INDEX(Performance!$Z$5:$Z$404,MATCH(LARGE(Calc!$BR$5:$BR$604,2),Calc!$BR$5:$BR$604,0)),"")</f>
        <v>0</v>
      </c>
      <c r="H45" s="24">
        <f>IFERROR(INDEX(Calc!$BN$5:$BN$604,MATCH(LARGE(Calc!$BR$5:$BR$604,2),Calc!$BR$5:$BR$604,0)),"")</f>
        <v>0</v>
      </c>
      <c r="I45" s="23">
        <f>IFERROR(INDEX(Performance!$U$5:$U$404,MATCH(LARGE(Calc!$BR$5:$BR$604,2),Calc!$BR$5:$BR$604,0)),"")</f>
        <v>0</v>
      </c>
      <c r="J45" s="23">
        <f>IFERROR(INDEX(Performance!$W$5:$W$404,MATCH(LARGE(Calc!$BR$5:$BR$604,2),Calc!$BR$5:$BR$604,0)),"")</f>
        <v>0</v>
      </c>
      <c r="K45" s="25">
        <f>IFERROR(INDEX(Performance!$X$5:$X$404,MATCH(LARGE(Calc!$BR$5:$BR$604,2),Calc!$BR$5:$BR$604,0)),"")</f>
        <v>0</v>
      </c>
    </row>
    <row r="46" spans="1:14">
      <c r="A46" s="23">
        <v>3</v>
      </c>
      <c r="B46" s="17">
        <f>IFERROR(INDEX(Calc!$BH$5:$BH$604,MATCH(LARGE(Calc!$BR$5:$BR$604,3),Calc!$BR$5:$BR$604,0)),"")</f>
        <v>0</v>
      </c>
      <c r="C46" s="17">
        <f>IFERROR(INDEX(Calc!$BI$5:$BI$604,MATCH(LARGE(Calc!$BR$5:$BR$604,3),Calc!$BR$5:$BR$604,0)),"")</f>
        <v>0</v>
      </c>
      <c r="D46" s="17">
        <f>IFERROR(INDEX(Calc!$BJ$5:$BJ$604,MATCH(LARGE(Calc!$BR$5:$BR$604,3),Calc!$BR$5:$BR$604,0)),"")</f>
        <v>0</v>
      </c>
      <c r="E46" s="16">
        <f>IFERROR(INDEX(Calc!$BK$5:$BK$604,MATCH(LARGE(Calc!$BR$5:$BR$604,3),Calc!$BR$5:$BR$604,0)),"")</f>
        <v>0</v>
      </c>
      <c r="F46" s="23">
        <f>IFERROR(INDEX(Calc!$BM$5:$BM$604,MATCH(LARGE(Calc!$BR$5:$BR$604,3),Calc!$BR$5:$BR$604,0)),"")</f>
        <v>0</v>
      </c>
      <c r="G46" s="23">
        <f>IFERROR(INDEX(Performance!$Z$5:$Z$404,MATCH(LARGE(Calc!$BR$5:$BR$604,3),Calc!$BR$5:$BR$604,0)),"")</f>
        <v>0</v>
      </c>
      <c r="H46" s="24">
        <f>IFERROR(INDEX(Calc!$BN$5:$BN$604,MATCH(LARGE(Calc!$BR$5:$BR$604,3),Calc!$BR$5:$BR$604,0)),"")</f>
        <v>0</v>
      </c>
      <c r="I46" s="23">
        <f>IFERROR(INDEX(Performance!$U$5:$U$404,MATCH(LARGE(Calc!$BR$5:$BR$604,3),Calc!$BR$5:$BR$604,0)),"")</f>
        <v>0</v>
      </c>
      <c r="J46" s="23">
        <f>IFERROR(INDEX(Performance!$W$5:$W$404,MATCH(LARGE(Calc!$BR$5:$BR$604,3),Calc!$BR$5:$BR$604,0)),"")</f>
        <v>0</v>
      </c>
      <c r="K46" s="25">
        <f>IFERROR(INDEX(Performance!$X$5:$X$404,MATCH(LARGE(Calc!$BR$5:$BR$604,3),Calc!$BR$5:$BR$604,0)),"")</f>
        <v>0</v>
      </c>
    </row>
    <row r="47" spans="1:14">
      <c r="A47" s="23">
        <v>4</v>
      </c>
      <c r="B47" s="17">
        <f>IFERROR(INDEX(Calc!$BH$5:$BH$604,MATCH(LARGE(Calc!$BR$5:$BR$604,4),Calc!$BR$5:$BR$604,0)),"")</f>
        <v>0</v>
      </c>
      <c r="C47" s="17">
        <f>IFERROR(INDEX(Calc!$BI$5:$BI$604,MATCH(LARGE(Calc!$BR$5:$BR$604,4),Calc!$BR$5:$BR$604,0)),"")</f>
        <v>0</v>
      </c>
      <c r="D47" s="17">
        <f>IFERROR(INDEX(Calc!$BJ$5:$BJ$604,MATCH(LARGE(Calc!$BR$5:$BR$604,4),Calc!$BR$5:$BR$604,0)),"")</f>
        <v>0</v>
      </c>
      <c r="E47" s="16">
        <f>IFERROR(INDEX(Calc!$BK$5:$BK$604,MATCH(LARGE(Calc!$BR$5:$BR$604,4),Calc!$BR$5:$BR$604,0)),"")</f>
        <v>0</v>
      </c>
      <c r="F47" s="23">
        <f>IFERROR(INDEX(Calc!$BM$5:$BM$604,MATCH(LARGE(Calc!$BR$5:$BR$604,4),Calc!$BR$5:$BR$604,0)),"")</f>
        <v>0</v>
      </c>
      <c r="G47" s="23">
        <f>IFERROR(INDEX(Performance!$Z$5:$Z$404,MATCH(LARGE(Calc!$BR$5:$BR$604,4),Calc!$BR$5:$BR$604,0)),"")</f>
        <v>0</v>
      </c>
      <c r="H47" s="24">
        <f>IFERROR(INDEX(Calc!$BN$5:$BN$604,MATCH(LARGE(Calc!$BR$5:$BR$604,4),Calc!$BR$5:$BR$604,0)),"")</f>
        <v>0</v>
      </c>
      <c r="I47" s="23">
        <f>IFERROR(INDEX(Performance!$U$5:$U$404,MATCH(LARGE(Calc!$BR$5:$BR$604,4),Calc!$BR$5:$BR$604,0)),"")</f>
        <v>0</v>
      </c>
      <c r="J47" s="23">
        <f>IFERROR(INDEX(Performance!$W$5:$W$404,MATCH(LARGE(Calc!$BR$5:$BR$604,4),Calc!$BR$5:$BR$604,0)),"")</f>
        <v>0</v>
      </c>
      <c r="K47" s="25">
        <f>IFERROR(INDEX(Performance!$X$5:$X$404,MATCH(LARGE(Calc!$BR$5:$BR$604,4),Calc!$BR$5:$BR$604,0)),"")</f>
        <v>0</v>
      </c>
    </row>
    <row r="48" spans="1:14">
      <c r="A48" s="23">
        <v>5</v>
      </c>
      <c r="B48" s="17">
        <f>IFERROR(INDEX(Calc!$BH$5:$BH$604,MATCH(LARGE(Calc!$BR$5:$BR$604,5),Calc!$BR$5:$BR$604,0)),"")</f>
        <v>0</v>
      </c>
      <c r="C48" s="17">
        <f>IFERROR(INDEX(Calc!$BI$5:$BI$604,MATCH(LARGE(Calc!$BR$5:$BR$604,5),Calc!$BR$5:$BR$604,0)),"")</f>
        <v>0</v>
      </c>
      <c r="D48" s="17">
        <f>IFERROR(INDEX(Calc!$BJ$5:$BJ$604,MATCH(LARGE(Calc!$BR$5:$BR$604,5),Calc!$BR$5:$BR$604,0)),"")</f>
        <v>0</v>
      </c>
      <c r="E48" s="16">
        <f>IFERROR(INDEX(Calc!$BK$5:$BK$604,MATCH(LARGE(Calc!$BR$5:$BR$604,5),Calc!$BR$5:$BR$604,0)),"")</f>
        <v>0</v>
      </c>
      <c r="F48" s="23">
        <f>IFERROR(INDEX(Calc!$BM$5:$BM$604,MATCH(LARGE(Calc!$BR$5:$BR$604,5),Calc!$BR$5:$BR$604,0)),"")</f>
        <v>0</v>
      </c>
      <c r="G48" s="23">
        <f>IFERROR(INDEX(Performance!$Z$5:$Z$404,MATCH(LARGE(Calc!$BR$5:$BR$604,5),Calc!$BR$5:$BR$604,0)),"")</f>
        <v>0</v>
      </c>
      <c r="H48" s="24">
        <f>IFERROR(INDEX(Calc!$BN$5:$BN$604,MATCH(LARGE(Calc!$BR$5:$BR$604,5),Calc!$BR$5:$BR$604,0)),"")</f>
        <v>0</v>
      </c>
      <c r="I48" s="23">
        <f>IFERROR(INDEX(Performance!$U$5:$U$404,MATCH(LARGE(Calc!$BR$5:$BR$604,5),Calc!$BR$5:$BR$604,0)),"")</f>
        <v>0</v>
      </c>
      <c r="J48" s="23">
        <f>IFERROR(INDEX(Performance!$W$5:$W$404,MATCH(LARGE(Calc!$BR$5:$BR$604,5),Calc!$BR$5:$BR$604,0)),"")</f>
        <v>0</v>
      </c>
      <c r="K48" s="25">
        <f>IFERROR(INDEX(Performance!$X$5:$X$404,MATCH(LARGE(Calc!$BR$5:$BR$604,5),Calc!$BR$5:$BR$604,0)),"")</f>
        <v>0</v>
      </c>
    </row>
    <row r="49" spans="1:14">
      <c r="A49" s="23">
        <v>6</v>
      </c>
      <c r="B49" s="17">
        <f>IFERROR(INDEX(Calc!$BH$5:$BH$604,MATCH(LARGE(Calc!$BR$5:$BR$604,6),Calc!$BR$5:$BR$604,0)),"")</f>
        <v>0</v>
      </c>
      <c r="C49" s="17">
        <f>IFERROR(INDEX(Calc!$BI$5:$BI$604,MATCH(LARGE(Calc!$BR$5:$BR$604,6),Calc!$BR$5:$BR$604,0)),"")</f>
        <v>0</v>
      </c>
      <c r="D49" s="17">
        <f>IFERROR(INDEX(Calc!$BJ$5:$BJ$604,MATCH(LARGE(Calc!$BR$5:$BR$604,6),Calc!$BR$5:$BR$604,0)),"")</f>
        <v>0</v>
      </c>
      <c r="E49" s="16">
        <f>IFERROR(INDEX(Calc!$BK$5:$BK$604,MATCH(LARGE(Calc!$BR$5:$BR$604,6),Calc!$BR$5:$BR$604,0)),"")</f>
        <v>0</v>
      </c>
      <c r="F49" s="23">
        <f>IFERROR(INDEX(Calc!$BM$5:$BM$604,MATCH(LARGE(Calc!$BR$5:$BR$604,6),Calc!$BR$5:$BR$604,0)),"")</f>
        <v>0</v>
      </c>
      <c r="G49" s="23">
        <f>IFERROR(INDEX(Performance!$Z$5:$Z$404,MATCH(LARGE(Calc!$BR$5:$BR$604,6),Calc!$BR$5:$BR$604,0)),"")</f>
        <v>0</v>
      </c>
      <c r="H49" s="24">
        <f>IFERROR(INDEX(Calc!$BN$5:$BN$604,MATCH(LARGE(Calc!$BR$5:$BR$604,6),Calc!$BR$5:$BR$604,0)),"")</f>
        <v>0</v>
      </c>
      <c r="I49" s="23">
        <f>IFERROR(INDEX(Performance!$U$5:$U$404,MATCH(LARGE(Calc!$BR$5:$BR$604,6),Calc!$BR$5:$BR$604,0)),"")</f>
        <v>0</v>
      </c>
      <c r="J49" s="23">
        <f>IFERROR(INDEX(Performance!$W$5:$W$404,MATCH(LARGE(Calc!$BR$5:$BR$604,6),Calc!$BR$5:$BR$604,0)),"")</f>
        <v>0</v>
      </c>
      <c r="K49" s="25">
        <f>IFERROR(INDEX(Performance!$X$5:$X$404,MATCH(LARGE(Calc!$BR$5:$BR$604,6),Calc!$BR$5:$BR$604,0)),"")</f>
        <v>0</v>
      </c>
    </row>
    <row r="50" spans="1:14">
      <c r="A50" s="23">
        <v>7</v>
      </c>
      <c r="B50" s="17">
        <f>IFERROR(INDEX(Calc!$BH$5:$BH$604,MATCH(LARGE(Calc!$BR$5:$BR$604,7),Calc!$BR$5:$BR$604,0)),"")</f>
        <v>0</v>
      </c>
      <c r="C50" s="17">
        <f>IFERROR(INDEX(Calc!$BI$5:$BI$604,MATCH(LARGE(Calc!$BR$5:$BR$604,7),Calc!$BR$5:$BR$604,0)),"")</f>
        <v>0</v>
      </c>
      <c r="D50" s="17">
        <f>IFERROR(INDEX(Calc!$BJ$5:$BJ$604,MATCH(LARGE(Calc!$BR$5:$BR$604,7),Calc!$BR$5:$BR$604,0)),"")</f>
        <v>0</v>
      </c>
      <c r="E50" s="16">
        <f>IFERROR(INDEX(Calc!$BK$5:$BK$604,MATCH(LARGE(Calc!$BR$5:$BR$604,7),Calc!$BR$5:$BR$604,0)),"")</f>
        <v>0</v>
      </c>
      <c r="F50" s="23">
        <f>IFERROR(INDEX(Calc!$BM$5:$BM$604,MATCH(LARGE(Calc!$BR$5:$BR$604,7),Calc!$BR$5:$BR$604,0)),"")</f>
        <v>0</v>
      </c>
      <c r="G50" s="23">
        <f>IFERROR(INDEX(Performance!$Z$5:$Z$404,MATCH(LARGE(Calc!$BR$5:$BR$604,7),Calc!$BR$5:$BR$604,0)),"")</f>
        <v>0</v>
      </c>
      <c r="H50" s="24">
        <f>IFERROR(INDEX(Calc!$BN$5:$BN$604,MATCH(LARGE(Calc!$BR$5:$BR$604,7),Calc!$BR$5:$BR$604,0)),"")</f>
        <v>0</v>
      </c>
      <c r="I50" s="23">
        <f>IFERROR(INDEX(Performance!$U$5:$U$404,MATCH(LARGE(Calc!$BR$5:$BR$604,7),Calc!$BR$5:$BR$604,0)),"")</f>
        <v>0</v>
      </c>
      <c r="J50" s="23">
        <f>IFERROR(INDEX(Performance!$W$5:$W$404,MATCH(LARGE(Calc!$BR$5:$BR$604,7),Calc!$BR$5:$BR$604,0)),"")</f>
        <v>0</v>
      </c>
      <c r="K50" s="25">
        <f>IFERROR(INDEX(Performance!$X$5:$X$404,MATCH(LARGE(Calc!$BR$5:$BR$604,7),Calc!$BR$5:$BR$604,0)),"")</f>
        <v>0</v>
      </c>
    </row>
    <row r="51" spans="1:14">
      <c r="A51" s="23">
        <v>8</v>
      </c>
      <c r="B51" s="17">
        <f>IFERROR(INDEX(Calc!$BH$5:$BH$604,MATCH(LARGE(Calc!$BR$5:$BR$604,8),Calc!$BR$5:$BR$604,0)),"")</f>
        <v>0</v>
      </c>
      <c r="C51" s="17">
        <f>IFERROR(INDEX(Calc!$BI$5:$BI$604,MATCH(LARGE(Calc!$BR$5:$BR$604,8),Calc!$BR$5:$BR$604,0)),"")</f>
        <v>0</v>
      </c>
      <c r="D51" s="17">
        <f>IFERROR(INDEX(Calc!$BJ$5:$BJ$604,MATCH(LARGE(Calc!$BR$5:$BR$604,8),Calc!$BR$5:$BR$604,0)),"")</f>
        <v>0</v>
      </c>
      <c r="E51" s="16">
        <f>IFERROR(INDEX(Calc!$BK$5:$BK$604,MATCH(LARGE(Calc!$BR$5:$BR$604,8),Calc!$BR$5:$BR$604,0)),"")</f>
        <v>0</v>
      </c>
      <c r="F51" s="23">
        <f>IFERROR(INDEX(Calc!$BM$5:$BM$604,MATCH(LARGE(Calc!$BR$5:$BR$604,8),Calc!$BR$5:$BR$604,0)),"")</f>
        <v>0</v>
      </c>
      <c r="G51" s="23">
        <f>IFERROR(INDEX(Performance!$Z$5:$Z$404,MATCH(LARGE(Calc!$BR$5:$BR$604,8),Calc!$BR$5:$BR$604,0)),"")</f>
        <v>0</v>
      </c>
      <c r="H51" s="24">
        <f>IFERROR(INDEX(Calc!$BN$5:$BN$604,MATCH(LARGE(Calc!$BR$5:$BR$604,8),Calc!$BR$5:$BR$604,0)),"")</f>
        <v>0</v>
      </c>
      <c r="I51" s="23">
        <f>IFERROR(INDEX(Performance!$U$5:$U$404,MATCH(LARGE(Calc!$BR$5:$BR$604,8),Calc!$BR$5:$BR$604,0)),"")</f>
        <v>0</v>
      </c>
      <c r="J51" s="23">
        <f>IFERROR(INDEX(Performance!$W$5:$W$404,MATCH(LARGE(Calc!$BR$5:$BR$604,8),Calc!$BR$5:$BR$604,0)),"")</f>
        <v>0</v>
      </c>
      <c r="K51" s="25">
        <f>IFERROR(INDEX(Performance!$X$5:$X$404,MATCH(LARGE(Calc!$BR$5:$BR$604,8),Calc!$BR$5:$BR$604,0)),"")</f>
        <v>0</v>
      </c>
    </row>
    <row r="52" spans="1:14">
      <c r="A52" s="23">
        <v>9</v>
      </c>
      <c r="B52" s="17">
        <f>IFERROR(INDEX(Calc!$BH$5:$BH$604,MATCH(LARGE(Calc!$BR$5:$BR$604,9),Calc!$BR$5:$BR$604,0)),"")</f>
        <v>0</v>
      </c>
      <c r="C52" s="17">
        <f>IFERROR(INDEX(Calc!$BI$5:$BI$604,MATCH(LARGE(Calc!$BR$5:$BR$604,9),Calc!$BR$5:$BR$604,0)),"")</f>
        <v>0</v>
      </c>
      <c r="D52" s="17">
        <f>IFERROR(INDEX(Calc!$BJ$5:$BJ$604,MATCH(LARGE(Calc!$BR$5:$BR$604,9),Calc!$BR$5:$BR$604,0)),"")</f>
        <v>0</v>
      </c>
      <c r="E52" s="16">
        <f>IFERROR(INDEX(Calc!$BK$5:$BK$604,MATCH(LARGE(Calc!$BR$5:$BR$604,9),Calc!$BR$5:$BR$604,0)),"")</f>
        <v>0</v>
      </c>
      <c r="F52" s="23">
        <f>IFERROR(INDEX(Calc!$BM$5:$BM$604,MATCH(LARGE(Calc!$BR$5:$BR$604,9),Calc!$BR$5:$BR$604,0)),"")</f>
        <v>0</v>
      </c>
      <c r="G52" s="23">
        <f>IFERROR(INDEX(Performance!$Z$5:$Z$404,MATCH(LARGE(Calc!$BR$5:$BR$604,9),Calc!$BR$5:$BR$604,0)),"")</f>
        <v>0</v>
      </c>
      <c r="H52" s="24">
        <f>IFERROR(INDEX(Calc!$BN$5:$BN$604,MATCH(LARGE(Calc!$BR$5:$BR$604,9),Calc!$BR$5:$BR$604,0)),"")</f>
        <v>0</v>
      </c>
      <c r="I52" s="23">
        <f>IFERROR(INDEX(Performance!$U$5:$U$404,MATCH(LARGE(Calc!$BR$5:$BR$604,9),Calc!$BR$5:$BR$604,0)),"")</f>
        <v>0</v>
      </c>
      <c r="J52" s="23">
        <f>IFERROR(INDEX(Performance!$W$5:$W$404,MATCH(LARGE(Calc!$BR$5:$BR$604,9),Calc!$BR$5:$BR$604,0)),"")</f>
        <v>0</v>
      </c>
      <c r="K52" s="25">
        <f>IFERROR(INDEX(Performance!$X$5:$X$404,MATCH(LARGE(Calc!$BR$5:$BR$604,9),Calc!$BR$5:$BR$604,0)),"")</f>
        <v>0</v>
      </c>
    </row>
    <row r="53" spans="1:14">
      <c r="A53" s="23">
        <v>10</v>
      </c>
      <c r="B53" s="17">
        <f>IFERROR(INDEX(Calc!$BH$5:$BH$604,MATCH(LARGE(Calc!$BR$5:$BR$604,10),Calc!$BR$5:$BR$604,0)),"")</f>
        <v>0</v>
      </c>
      <c r="C53" s="17">
        <f>IFERROR(INDEX(Calc!$BI$5:$BI$604,MATCH(LARGE(Calc!$BR$5:$BR$604,10),Calc!$BR$5:$BR$604,0)),"")</f>
        <v>0</v>
      </c>
      <c r="D53" s="17">
        <f>IFERROR(INDEX(Calc!$BJ$5:$BJ$604,MATCH(LARGE(Calc!$BR$5:$BR$604,10),Calc!$BR$5:$BR$604,0)),"")</f>
        <v>0</v>
      </c>
      <c r="E53" s="16">
        <f>IFERROR(INDEX(Calc!$BK$5:$BK$604,MATCH(LARGE(Calc!$BR$5:$BR$604,10),Calc!$BR$5:$BR$604,0)),"")</f>
        <v>0</v>
      </c>
      <c r="F53" s="23">
        <f>IFERROR(INDEX(Calc!$BM$5:$BM$604,MATCH(LARGE(Calc!$BR$5:$BR$604,10),Calc!$BR$5:$BR$604,0)),"")</f>
        <v>0</v>
      </c>
      <c r="G53" s="23">
        <f>IFERROR(INDEX(Performance!$Z$5:$Z$404,MATCH(LARGE(Calc!$BR$5:$BR$604,10),Calc!$BR$5:$BR$604,0)),"")</f>
        <v>0</v>
      </c>
      <c r="H53" s="24">
        <f>IFERROR(INDEX(Calc!$BN$5:$BN$604,MATCH(LARGE(Calc!$BR$5:$BR$604,10),Calc!$BR$5:$BR$604,0)),"")</f>
        <v>0</v>
      </c>
      <c r="I53" s="23">
        <f>IFERROR(INDEX(Performance!$U$5:$U$404,MATCH(LARGE(Calc!$BR$5:$BR$604,10),Calc!$BR$5:$BR$604,0)),"")</f>
        <v>0</v>
      </c>
      <c r="J53" s="23">
        <f>IFERROR(INDEX(Performance!$W$5:$W$404,MATCH(LARGE(Calc!$BR$5:$BR$604,10),Calc!$BR$5:$BR$604,0)),"")</f>
        <v>0</v>
      </c>
      <c r="K53" s="25">
        <f>IFERROR(INDEX(Performance!$X$5:$X$404,MATCH(LARGE(Calc!$BR$5:$BR$604,10),Calc!$BR$5:$BR$604,0)),"")</f>
        <v>0</v>
      </c>
    </row>
    <row r="55" spans="1:14" ht="20" customHeight="1">
      <c r="A55" s="7" t="s">
        <v>2207</v>
      </c>
      <c r="B55" s="7"/>
      <c r="C55" s="7"/>
      <c r="D55" s="7"/>
      <c r="E55" s="7"/>
      <c r="F55" s="7"/>
      <c r="G55" s="7"/>
      <c r="H55" s="7"/>
      <c r="I55" s="7"/>
      <c r="J55" s="7"/>
      <c r="K55" s="7"/>
      <c r="L55" s="7"/>
      <c r="M55" s="7"/>
      <c r="N55" s="7"/>
    </row>
    <row r="56" spans="1:14" ht="26" customHeight="1">
      <c r="A56" s="8" t="s">
        <v>272</v>
      </c>
      <c r="B56" s="9" t="s">
        <v>1967</v>
      </c>
      <c r="C56" s="9" t="s">
        <v>1968</v>
      </c>
      <c r="D56" s="9" t="s">
        <v>193</v>
      </c>
      <c r="E56" s="9" t="s">
        <v>149</v>
      </c>
      <c r="F56" s="9" t="s">
        <v>153</v>
      </c>
      <c r="G56" s="9" t="s">
        <v>188</v>
      </c>
      <c r="H56" s="9" t="s">
        <v>168</v>
      </c>
      <c r="I56" s="9" t="s">
        <v>170</v>
      </c>
      <c r="J56" s="9" t="s">
        <v>175</v>
      </c>
      <c r="K56" s="9" t="s">
        <v>172</v>
      </c>
      <c r="L56" s="9" t="s">
        <v>254</v>
      </c>
    </row>
    <row r="57" spans="1:14">
      <c r="A57" s="17">
        <f>IF(Campaigns!$B$5="","",Campaigns!$B$5)</f>
        <v>0</v>
      </c>
      <c r="B57" s="16">
        <f>IF(Campaigns!$B$5="","",Campaigns!$I$5)</f>
        <v>0</v>
      </c>
      <c r="C57" s="16">
        <f>IF(Campaigns!$B$5="","",Campaigns!$J$5)</f>
        <v>0</v>
      </c>
      <c r="D57" s="23">
        <f>IF(Campaigns!$B$5="","",Campaigns!$W$5)</f>
        <v>0</v>
      </c>
      <c r="E57" s="23">
        <f>IF(Campaigns!$B$5="","",Campaigns!$Y$5)</f>
        <v>0</v>
      </c>
      <c r="F57" s="23">
        <f>IF(Campaigns!$B$5="","",Campaigns!$Z$5)</f>
        <v>0</v>
      </c>
      <c r="G57" s="23">
        <f>IF(Campaigns!$B$5="","",Campaigns!$AB$5)</f>
        <v>0</v>
      </c>
      <c r="H57" s="23">
        <f>IF(Campaigns!$B$5="","",Campaigns!$R$5)</f>
        <v>0</v>
      </c>
      <c r="I57" s="23">
        <f>IF(Campaigns!$B$5="","",Campaigns!$S$5)</f>
        <v>0</v>
      </c>
      <c r="J57" s="25">
        <f>IF(Campaigns!$B$5="","",Campaigns!$Q$5)</f>
        <v>0</v>
      </c>
      <c r="K57" s="25">
        <f>IF(Campaigns!$B$5="","",Campaigns!$T$5)</f>
        <v>0</v>
      </c>
      <c r="L57" s="31">
        <f>IF(Campaigns!$B$5="","",Campaigns!$AH$5)</f>
        <v>0</v>
      </c>
    </row>
    <row r="58" spans="1:14">
      <c r="A58" s="17">
        <f>IF(Campaigns!$B$6="","",Campaigns!$B$6)</f>
        <v>0</v>
      </c>
      <c r="B58" s="16">
        <f>IF(Campaigns!$B$6="","",Campaigns!$I$6)</f>
        <v>0</v>
      </c>
      <c r="C58" s="16">
        <f>IF(Campaigns!$B$6="","",Campaigns!$J$6)</f>
        <v>0</v>
      </c>
      <c r="D58" s="23">
        <f>IF(Campaigns!$B$6="","",Campaigns!$W$6)</f>
        <v>0</v>
      </c>
      <c r="E58" s="23">
        <f>IF(Campaigns!$B$6="","",Campaigns!$Y$6)</f>
        <v>0</v>
      </c>
      <c r="F58" s="23">
        <f>IF(Campaigns!$B$6="","",Campaigns!$Z$6)</f>
        <v>0</v>
      </c>
      <c r="G58" s="23">
        <f>IF(Campaigns!$B$6="","",Campaigns!$AB$6)</f>
        <v>0</v>
      </c>
      <c r="H58" s="23">
        <f>IF(Campaigns!$B$6="","",Campaigns!$R$6)</f>
        <v>0</v>
      </c>
      <c r="I58" s="23">
        <f>IF(Campaigns!$B$6="","",Campaigns!$S$6)</f>
        <v>0</v>
      </c>
      <c r="J58" s="25">
        <f>IF(Campaigns!$B$6="","",Campaigns!$Q$6)</f>
        <v>0</v>
      </c>
      <c r="K58" s="25">
        <f>IF(Campaigns!$B$6="","",Campaigns!$T$6)</f>
        <v>0</v>
      </c>
      <c r="L58" s="31">
        <f>IF(Campaigns!$B$6="","",Campaigns!$AH$6)</f>
        <v>0</v>
      </c>
    </row>
    <row r="59" spans="1:14">
      <c r="A59" s="17">
        <f>IF(Campaigns!$B$7="","",Campaigns!$B$7)</f>
        <v>0</v>
      </c>
      <c r="B59" s="16">
        <f>IF(Campaigns!$B$7="","",Campaigns!$I$7)</f>
        <v>0</v>
      </c>
      <c r="C59" s="16">
        <f>IF(Campaigns!$B$7="","",Campaigns!$J$7)</f>
        <v>0</v>
      </c>
      <c r="D59" s="23">
        <f>IF(Campaigns!$B$7="","",Campaigns!$W$7)</f>
        <v>0</v>
      </c>
      <c r="E59" s="23">
        <f>IF(Campaigns!$B$7="","",Campaigns!$Y$7)</f>
        <v>0</v>
      </c>
      <c r="F59" s="23">
        <f>IF(Campaigns!$B$7="","",Campaigns!$Z$7)</f>
        <v>0</v>
      </c>
      <c r="G59" s="23">
        <f>IF(Campaigns!$B$7="","",Campaigns!$AB$7)</f>
        <v>0</v>
      </c>
      <c r="H59" s="23">
        <f>IF(Campaigns!$B$7="","",Campaigns!$R$7)</f>
        <v>0</v>
      </c>
      <c r="I59" s="23">
        <f>IF(Campaigns!$B$7="","",Campaigns!$S$7)</f>
        <v>0</v>
      </c>
      <c r="J59" s="25">
        <f>IF(Campaigns!$B$7="","",Campaigns!$Q$7)</f>
        <v>0</v>
      </c>
      <c r="K59" s="25">
        <f>IF(Campaigns!$B$7="","",Campaigns!$T$7)</f>
        <v>0</v>
      </c>
      <c r="L59" s="31">
        <f>IF(Campaigns!$B$7="","",Campaigns!$AH$7)</f>
        <v>0</v>
      </c>
    </row>
    <row r="60" spans="1:14">
      <c r="A60" s="17">
        <f>IF(Campaigns!$B$8="","",Campaigns!$B$8)</f>
        <v>0</v>
      </c>
      <c r="B60" s="16">
        <f>IF(Campaigns!$B$8="","",Campaigns!$I$8)</f>
        <v>0</v>
      </c>
      <c r="C60" s="16">
        <f>IF(Campaigns!$B$8="","",Campaigns!$J$8)</f>
        <v>0</v>
      </c>
      <c r="D60" s="23">
        <f>IF(Campaigns!$B$8="","",Campaigns!$W$8)</f>
        <v>0</v>
      </c>
      <c r="E60" s="23">
        <f>IF(Campaigns!$B$8="","",Campaigns!$Y$8)</f>
        <v>0</v>
      </c>
      <c r="F60" s="23">
        <f>IF(Campaigns!$B$8="","",Campaigns!$Z$8)</f>
        <v>0</v>
      </c>
      <c r="G60" s="23">
        <f>IF(Campaigns!$B$8="","",Campaigns!$AB$8)</f>
        <v>0</v>
      </c>
      <c r="H60" s="23">
        <f>IF(Campaigns!$B$8="","",Campaigns!$R$8)</f>
        <v>0</v>
      </c>
      <c r="I60" s="23">
        <f>IF(Campaigns!$B$8="","",Campaigns!$S$8)</f>
        <v>0</v>
      </c>
      <c r="J60" s="25">
        <f>IF(Campaigns!$B$8="","",Campaigns!$Q$8)</f>
        <v>0</v>
      </c>
      <c r="K60" s="25">
        <f>IF(Campaigns!$B$8="","",Campaigns!$T$8)</f>
        <v>0</v>
      </c>
      <c r="L60" s="31">
        <f>IF(Campaigns!$B$8="","",Campaigns!$AH$8)</f>
        <v>0</v>
      </c>
    </row>
    <row r="61" spans="1:14">
      <c r="A61" s="17">
        <f>IF(Campaigns!$B$9="","",Campaigns!$B$9)</f>
        <v>0</v>
      </c>
      <c r="B61" s="16">
        <f>IF(Campaigns!$B$9="","",Campaigns!$I$9)</f>
        <v>0</v>
      </c>
      <c r="C61" s="16">
        <f>IF(Campaigns!$B$9="","",Campaigns!$J$9)</f>
        <v>0</v>
      </c>
      <c r="D61" s="23">
        <f>IF(Campaigns!$B$9="","",Campaigns!$W$9)</f>
        <v>0</v>
      </c>
      <c r="E61" s="23">
        <f>IF(Campaigns!$B$9="","",Campaigns!$Y$9)</f>
        <v>0</v>
      </c>
      <c r="F61" s="23">
        <f>IF(Campaigns!$B$9="","",Campaigns!$Z$9)</f>
        <v>0</v>
      </c>
      <c r="G61" s="23">
        <f>IF(Campaigns!$B$9="","",Campaigns!$AB$9)</f>
        <v>0</v>
      </c>
      <c r="H61" s="23">
        <f>IF(Campaigns!$B$9="","",Campaigns!$R$9)</f>
        <v>0</v>
      </c>
      <c r="I61" s="23">
        <f>IF(Campaigns!$B$9="","",Campaigns!$S$9)</f>
        <v>0</v>
      </c>
      <c r="J61" s="25">
        <f>IF(Campaigns!$B$9="","",Campaigns!$Q$9)</f>
        <v>0</v>
      </c>
      <c r="K61" s="25">
        <f>IF(Campaigns!$B$9="","",Campaigns!$T$9)</f>
        <v>0</v>
      </c>
      <c r="L61" s="31">
        <f>IF(Campaigns!$B$9="","",Campaigns!$AH$9)</f>
        <v>0</v>
      </c>
    </row>
    <row r="62" spans="1:14">
      <c r="A62" s="17">
        <f>IF(Campaigns!$B$10="","",Campaigns!$B$10)</f>
        <v>0</v>
      </c>
      <c r="B62" s="16">
        <f>IF(Campaigns!$B$10="","",Campaigns!$I$10)</f>
        <v>0</v>
      </c>
      <c r="C62" s="16">
        <f>IF(Campaigns!$B$10="","",Campaigns!$J$10)</f>
        <v>0</v>
      </c>
      <c r="D62" s="23">
        <f>IF(Campaigns!$B$10="","",Campaigns!$W$10)</f>
        <v>0</v>
      </c>
      <c r="E62" s="23">
        <f>IF(Campaigns!$B$10="","",Campaigns!$Y$10)</f>
        <v>0</v>
      </c>
      <c r="F62" s="23">
        <f>IF(Campaigns!$B$10="","",Campaigns!$Z$10)</f>
        <v>0</v>
      </c>
      <c r="G62" s="23">
        <f>IF(Campaigns!$B$10="","",Campaigns!$AB$10)</f>
        <v>0</v>
      </c>
      <c r="H62" s="23">
        <f>IF(Campaigns!$B$10="","",Campaigns!$R$10)</f>
        <v>0</v>
      </c>
      <c r="I62" s="23">
        <f>IF(Campaigns!$B$10="","",Campaigns!$S$10)</f>
        <v>0</v>
      </c>
      <c r="J62" s="25">
        <f>IF(Campaigns!$B$10="","",Campaigns!$Q$10)</f>
        <v>0</v>
      </c>
      <c r="K62" s="25">
        <f>IF(Campaigns!$B$10="","",Campaigns!$T$10)</f>
        <v>0</v>
      </c>
      <c r="L62" s="31">
        <f>IF(Campaigns!$B$10="","",Campaigns!$AH$10)</f>
        <v>0</v>
      </c>
    </row>
    <row r="63" spans="1:14">
      <c r="A63" s="17">
        <f>IF(Campaigns!$B$11="","",Campaigns!$B$11)</f>
        <v>0</v>
      </c>
      <c r="B63" s="16">
        <f>IF(Campaigns!$B$11="","",Campaigns!$I$11)</f>
        <v>0</v>
      </c>
      <c r="C63" s="16">
        <f>IF(Campaigns!$B$11="","",Campaigns!$J$11)</f>
        <v>0</v>
      </c>
      <c r="D63" s="23">
        <f>IF(Campaigns!$B$11="","",Campaigns!$W$11)</f>
        <v>0</v>
      </c>
      <c r="E63" s="23">
        <f>IF(Campaigns!$B$11="","",Campaigns!$Y$11)</f>
        <v>0</v>
      </c>
      <c r="F63" s="23">
        <f>IF(Campaigns!$B$11="","",Campaigns!$Z$11)</f>
        <v>0</v>
      </c>
      <c r="G63" s="23">
        <f>IF(Campaigns!$B$11="","",Campaigns!$AB$11)</f>
        <v>0</v>
      </c>
      <c r="H63" s="23">
        <f>IF(Campaigns!$B$11="","",Campaigns!$R$11)</f>
        <v>0</v>
      </c>
      <c r="I63" s="23">
        <f>IF(Campaigns!$B$11="","",Campaigns!$S$11)</f>
        <v>0</v>
      </c>
      <c r="J63" s="25">
        <f>IF(Campaigns!$B$11="","",Campaigns!$Q$11)</f>
        <v>0</v>
      </c>
      <c r="K63" s="25">
        <f>IF(Campaigns!$B$11="","",Campaigns!$T$11)</f>
        <v>0</v>
      </c>
      <c r="L63" s="31">
        <f>IF(Campaigns!$B$11="","",Campaigns!$AH$11)</f>
        <v>0</v>
      </c>
    </row>
    <row r="64" spans="1:14">
      <c r="A64" s="17">
        <f>IF(Campaigns!$B$12="","",Campaigns!$B$12)</f>
        <v>0</v>
      </c>
      <c r="B64" s="16">
        <f>IF(Campaigns!$B$12="","",Campaigns!$I$12)</f>
        <v>0</v>
      </c>
      <c r="C64" s="16">
        <f>IF(Campaigns!$B$12="","",Campaigns!$J$12)</f>
        <v>0</v>
      </c>
      <c r="D64" s="23">
        <f>IF(Campaigns!$B$12="","",Campaigns!$W$12)</f>
        <v>0</v>
      </c>
      <c r="E64" s="23">
        <f>IF(Campaigns!$B$12="","",Campaigns!$Y$12)</f>
        <v>0</v>
      </c>
      <c r="F64" s="23">
        <f>IF(Campaigns!$B$12="","",Campaigns!$Z$12)</f>
        <v>0</v>
      </c>
      <c r="G64" s="23">
        <f>IF(Campaigns!$B$12="","",Campaigns!$AB$12)</f>
        <v>0</v>
      </c>
      <c r="H64" s="23">
        <f>IF(Campaigns!$B$12="","",Campaigns!$R$12)</f>
        <v>0</v>
      </c>
      <c r="I64" s="23">
        <f>IF(Campaigns!$B$12="","",Campaigns!$S$12)</f>
        <v>0</v>
      </c>
      <c r="J64" s="25">
        <f>IF(Campaigns!$B$12="","",Campaigns!$Q$12)</f>
        <v>0</v>
      </c>
      <c r="K64" s="25">
        <f>IF(Campaigns!$B$12="","",Campaigns!$T$12)</f>
        <v>0</v>
      </c>
      <c r="L64" s="31">
        <f>IF(Campaigns!$B$12="","",Campaigns!$AH$12)</f>
        <v>0</v>
      </c>
    </row>
    <row r="65" spans="1:14">
      <c r="A65" s="17">
        <f>IF(Campaigns!$B$13="","",Campaigns!$B$13)</f>
        <v>0</v>
      </c>
      <c r="B65" s="16">
        <f>IF(Campaigns!$B$13="","",Campaigns!$I$13)</f>
        <v>0</v>
      </c>
      <c r="C65" s="16">
        <f>IF(Campaigns!$B$13="","",Campaigns!$J$13)</f>
        <v>0</v>
      </c>
      <c r="D65" s="23">
        <f>IF(Campaigns!$B$13="","",Campaigns!$W$13)</f>
        <v>0</v>
      </c>
      <c r="E65" s="23">
        <f>IF(Campaigns!$B$13="","",Campaigns!$Y$13)</f>
        <v>0</v>
      </c>
      <c r="F65" s="23">
        <f>IF(Campaigns!$B$13="","",Campaigns!$Z$13)</f>
        <v>0</v>
      </c>
      <c r="G65" s="23">
        <f>IF(Campaigns!$B$13="","",Campaigns!$AB$13)</f>
        <v>0</v>
      </c>
      <c r="H65" s="23">
        <f>IF(Campaigns!$B$13="","",Campaigns!$R$13)</f>
        <v>0</v>
      </c>
      <c r="I65" s="23">
        <f>IF(Campaigns!$B$13="","",Campaigns!$S$13)</f>
        <v>0</v>
      </c>
      <c r="J65" s="25">
        <f>IF(Campaigns!$B$13="","",Campaigns!$Q$13)</f>
        <v>0</v>
      </c>
      <c r="K65" s="25">
        <f>IF(Campaigns!$B$13="","",Campaigns!$T$13)</f>
        <v>0</v>
      </c>
      <c r="L65" s="31">
        <f>IF(Campaigns!$B$13="","",Campaigns!$AH$13)</f>
        <v>0</v>
      </c>
    </row>
    <row r="66" spans="1:14">
      <c r="A66" s="17">
        <f>IF(Campaigns!$B$14="","",Campaigns!$B$14)</f>
        <v>0</v>
      </c>
      <c r="B66" s="16">
        <f>IF(Campaigns!$B$14="","",Campaigns!$I$14)</f>
        <v>0</v>
      </c>
      <c r="C66" s="16">
        <f>IF(Campaigns!$B$14="","",Campaigns!$J$14)</f>
        <v>0</v>
      </c>
      <c r="D66" s="23">
        <f>IF(Campaigns!$B$14="","",Campaigns!$W$14)</f>
        <v>0</v>
      </c>
      <c r="E66" s="23">
        <f>IF(Campaigns!$B$14="","",Campaigns!$Y$14)</f>
        <v>0</v>
      </c>
      <c r="F66" s="23">
        <f>IF(Campaigns!$B$14="","",Campaigns!$Z$14)</f>
        <v>0</v>
      </c>
      <c r="G66" s="23">
        <f>IF(Campaigns!$B$14="","",Campaigns!$AB$14)</f>
        <v>0</v>
      </c>
      <c r="H66" s="23">
        <f>IF(Campaigns!$B$14="","",Campaigns!$R$14)</f>
        <v>0</v>
      </c>
      <c r="I66" s="23">
        <f>IF(Campaigns!$B$14="","",Campaigns!$S$14)</f>
        <v>0</v>
      </c>
      <c r="J66" s="25">
        <f>IF(Campaigns!$B$14="","",Campaigns!$Q$14)</f>
        <v>0</v>
      </c>
      <c r="K66" s="25">
        <f>IF(Campaigns!$B$14="","",Campaigns!$T$14)</f>
        <v>0</v>
      </c>
      <c r="L66" s="31">
        <f>IF(Campaigns!$B$14="","",Campaigns!$AH$14)</f>
        <v>0</v>
      </c>
    </row>
    <row r="68" spans="1:14" ht="20" customHeight="1">
      <c r="A68" s="7" t="s">
        <v>2208</v>
      </c>
      <c r="B68" s="7"/>
      <c r="C68" s="7"/>
      <c r="D68" s="7"/>
      <c r="E68" s="7"/>
      <c r="F68" s="7"/>
      <c r="G68" s="7"/>
      <c r="H68" s="7"/>
      <c r="I68" s="7"/>
      <c r="J68" s="7"/>
      <c r="K68" s="7"/>
      <c r="L68" s="7"/>
      <c r="M68" s="7"/>
      <c r="N68" s="7"/>
    </row>
    <row r="69" spans="1:14" ht="32" customHeight="1">
      <c r="A69" s="51">
        <f>IF(SUMIFS(Analytics!$J$5:$J$154,Analytics!$B$5:$B$154,"&gt;="&amp;RepFrom,Analytics!$B$5:$B$154,"&lt;="&amp;RepTo)=0,"Fill in the Analytics tab to see a summary here.","In this period you published "&amp;TEXT(COUNTIFS('Content Calendar'!$B$5:$B$604,"&gt;="&amp;RepFrom,'Content Calendar'!$B$5:$B$604,"&lt;="&amp;RepTo,'Content Calendar'!$X$5:$X$604,"Published"),"#,##0")&amp;" posts, reached "&amp;TEXT(SUMIFS(Analytics!$J$5:$J$154,Analytics!$B$5:$B$154,"&gt;="&amp;RepFrom,Analytics!$B$5:$B$154,"&lt;="&amp;RepTo),"#,##0")&amp;" people, earned "&amp;TEXT(SUMIFS(Analytics!$L$5:$L$154,Analytics!$B$5:$B$154,"&gt;="&amp;RepFrom,Analytics!$B$5:$B$154,"&lt;="&amp;RepTo),"#,##0")&amp;" engagements ("&amp;TEXT(IFERROR(SUMIFS(Analytics!$L$5:$L$154,Analytics!$B$5:$B$154,"&gt;="&amp;RepFrom,Analytics!$B$5:$B$154,"&lt;="&amp;RepTo)/SUMIFS(Analytics!$J$5:$J$154,Analytics!$B$5:$B$154,"&gt;="&amp;RepFrom,Analytics!$B$5:$B$154,"&lt;="&amp;RepTo),0),"0.0%")&amp;") and gained "&amp;TEXT(SUMIFS(Analytics!$X$5:$X$154,Analytics!$B$5:$B$154,"&gt;="&amp;RepFrom,Analytics!$B$5:$B$154,"&lt;="&amp;RepTo),"#,##0")&amp;" followers.")</f>
        <v>0</v>
      </c>
      <c r="B69" s="51"/>
      <c r="C69" s="51"/>
      <c r="D69" s="51"/>
      <c r="E69" s="51"/>
      <c r="F69" s="51"/>
      <c r="G69" s="51"/>
      <c r="H69" s="51"/>
      <c r="I69" s="51"/>
      <c r="J69" s="51"/>
      <c r="K69" s="51"/>
      <c r="L69" s="51"/>
      <c r="M69" s="51"/>
      <c r="N69" s="51"/>
    </row>
    <row r="71" spans="1:14" ht="20" customHeight="1">
      <c r="A71" s="7" t="s">
        <v>2209</v>
      </c>
      <c r="B71" s="7"/>
      <c r="C71" s="7"/>
      <c r="D71" s="7"/>
      <c r="E71" s="7"/>
      <c r="F71" s="7"/>
      <c r="G71" s="7"/>
      <c r="H71" s="7"/>
      <c r="I71" s="7"/>
      <c r="J71" s="7"/>
      <c r="K71" s="7"/>
      <c r="L71" s="7"/>
      <c r="M71" s="7"/>
      <c r="N71" s="7"/>
    </row>
    <row r="72" spans="1:14">
      <c r="A72" s="13" t="s">
        <v>2210</v>
      </c>
      <c r="B72" s="13"/>
      <c r="C72" s="13"/>
      <c r="D72" s="13"/>
      <c r="E72" s="13"/>
      <c r="F72" s="13"/>
      <c r="G72" s="13"/>
      <c r="H72" s="13"/>
      <c r="I72" s="13"/>
      <c r="J72" s="13"/>
      <c r="K72" s="13"/>
      <c r="L72" s="13"/>
      <c r="M72" s="13"/>
      <c r="N72" s="13"/>
    </row>
    <row r="73" spans="1:14">
      <c r="A73" s="13" t="s">
        <v>2211</v>
      </c>
      <c r="B73" s="13"/>
      <c r="C73" s="13"/>
      <c r="D73" s="13"/>
      <c r="E73" s="13"/>
      <c r="F73" s="13"/>
      <c r="G73" s="13"/>
      <c r="H73" s="13"/>
      <c r="I73" s="13"/>
      <c r="J73" s="13"/>
      <c r="K73" s="13"/>
      <c r="L73" s="13"/>
      <c r="M73" s="13"/>
      <c r="N73" s="13"/>
    </row>
    <row r="74" spans="1:14">
      <c r="A74" s="13" t="s">
        <v>2212</v>
      </c>
      <c r="B74" s="13"/>
      <c r="C74" s="13"/>
      <c r="D74" s="13"/>
      <c r="E74" s="13"/>
      <c r="F74" s="13"/>
      <c r="G74" s="13"/>
      <c r="H74" s="13"/>
      <c r="I74" s="13"/>
      <c r="J74" s="13"/>
      <c r="K74" s="13"/>
      <c r="L74" s="13"/>
      <c r="M74" s="13"/>
      <c r="N74" s="13"/>
    </row>
    <row r="75" spans="1:14">
      <c r="A75" s="13" t="s">
        <v>2213</v>
      </c>
      <c r="B75" s="13"/>
      <c r="C75" s="13"/>
      <c r="D75" s="13"/>
      <c r="E75" s="13"/>
      <c r="F75" s="13"/>
      <c r="G75" s="13"/>
      <c r="H75" s="13"/>
      <c r="I75" s="13"/>
      <c r="J75" s="13"/>
      <c r="K75" s="13"/>
      <c r="L75" s="13"/>
      <c r="M75" s="13"/>
      <c r="N75" s="13"/>
    </row>
    <row r="76" spans="1:14">
      <c r="A76" s="13" t="s">
        <v>2214</v>
      </c>
      <c r="B76" s="13"/>
      <c r="C76" s="13"/>
      <c r="D76" s="13"/>
      <c r="E76" s="13"/>
      <c r="F76" s="13"/>
      <c r="G76" s="13"/>
      <c r="H76" s="13"/>
      <c r="I76" s="13"/>
      <c r="J76" s="13"/>
      <c r="K76" s="13"/>
      <c r="L76" s="13"/>
      <c r="M76" s="13"/>
      <c r="N76" s="13"/>
    </row>
  </sheetData>
  <sheetProtection password="EC7C" sheet="1" objects="1" scenarios="1" formatCells="0" formatColumns="0" formatRows="0" insertRows="0" insertHyperlinks="0" deleteRows="0" autoFilter="0"/>
  <mergeCells count="59">
    <mergeCell ref="A1:K1"/>
    <mergeCell ref="L1:N1"/>
    <mergeCell ref="A2:N2"/>
    <mergeCell ref="A3:B3"/>
    <mergeCell ref="C3:D3"/>
    <mergeCell ref="E3:F3"/>
    <mergeCell ref="G3:H3"/>
    <mergeCell ref="I3:J3"/>
    <mergeCell ref="K3:L3"/>
    <mergeCell ref="M3:N3"/>
    <mergeCell ref="A5:N5"/>
    <mergeCell ref="E6:F6"/>
    <mergeCell ref="H6:I6"/>
    <mergeCell ref="K6:N6"/>
    <mergeCell ref="A8:N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F9:H9"/>
    <mergeCell ref="I9:J9"/>
    <mergeCell ref="F10:H10"/>
    <mergeCell ref="I10:J10"/>
    <mergeCell ref="F11:H11"/>
    <mergeCell ref="I11:J11"/>
    <mergeCell ref="F12:H12"/>
    <mergeCell ref="I12:J12"/>
    <mergeCell ref="F13:H13"/>
    <mergeCell ref="I13:J13"/>
    <mergeCell ref="F14:H14"/>
    <mergeCell ref="I14:J14"/>
    <mergeCell ref="F15:H15"/>
    <mergeCell ref="I15:J15"/>
    <mergeCell ref="F16:H16"/>
    <mergeCell ref="I16:J16"/>
    <mergeCell ref="A18:N18"/>
    <mergeCell ref="A29:N29"/>
    <mergeCell ref="A42:N42"/>
    <mergeCell ref="A55:N55"/>
    <mergeCell ref="A68:N68"/>
    <mergeCell ref="A69:N69"/>
    <mergeCell ref="A71:N71"/>
    <mergeCell ref="A72:N72"/>
    <mergeCell ref="A73:N73"/>
    <mergeCell ref="A74:N74"/>
    <mergeCell ref="A75:N75"/>
    <mergeCell ref="A76:N76"/>
  </mergeCells>
  <conditionalFormatting sqref="C20:C27">
    <cfRule type="dataBar" priority="1">
      <dataBar>
        <cfvo type="min" val="0"/>
        <cfvo type="max" val="0"/>
        <color rgb="FF6350A8"/>
      </dataBar>
    </cfRule>
  </conditionalFormatting>
  <conditionalFormatting sqref="E31:E40">
    <cfRule type="colorScale" priority="2">
      <colorScale>
        <cfvo type="min" val="0"/>
        <cfvo type="percentile" val="50"/>
        <cfvo type="max" val="0"/>
        <color rgb="FFFBD9DD"/>
        <color rgb="FFFFF1CF"/>
        <color rgb="FFD9F2E4"/>
      </colorScale>
    </cfRule>
  </conditionalFormatting>
  <dataValidations count="2">
    <dataValidation type="date" allowBlank="1" showInputMessage="1" showErrorMessage="1" errorTitle="Check the date" error="Enter a real date between 2000 and 2100." sqref="B6">
      <formula1>36526</formula1>
      <formula2>73415</formula2>
    </dataValidation>
    <dataValidation type="date" allowBlank="1" showInputMessage="1" showErrorMessage="1" errorTitle="Check the date" error="Enter a real date between 2000 and 2100." sqref="D6">
      <formula1>36526</formula1>
      <formula2>73415</formula2>
    </dataValidation>
  </dataValidation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s>
  <pageMargins left="0.4" right="0.4" top="0.6" bottom="0.5" header="0.3" footer="0.3"/>
  <pageSetup paperSize="9" fitToHeight="0" orientation="landscape"/>
  <headerFooter>
    <oddHeader>&amp;L&amp;"Calibri,Bold"&amp;12&amp;C&amp;"Calibri,Bold"&amp;11Reports&amp;R&amp;"Calibri,Italic"&amp;9Social Media Content Calendar &amp; Analytics Planner</oddHeader>
    <oddFooter>&amp;L&amp;"Calibri,Italic"&amp;8Novality Store - v1.0.0&amp;C&amp;"Calibri,Italic"&amp;8Page &amp;P of &amp;N&amp;R&amp;"Calibri,Italic"&amp;8&amp;D</oddFooter>
  </headerFooter>
</worksheet>
</file>

<file path=xl/worksheets/sheet40.xml><?xml version="1.0" encoding="utf-8"?>
<worksheet xmlns="http://schemas.openxmlformats.org/spreadsheetml/2006/main" xmlns:r="http://schemas.openxmlformats.org/officeDocument/2006/relationships">
  <sheetPr>
    <tabColor rgb="FFF2665E"/>
    <pageSetUpPr fitToPage="1"/>
  </sheetPr>
  <dimension ref="A1:H58"/>
  <sheetViews>
    <sheetView showGridLines="0" workbookViewId="0"/>
  </sheetViews>
  <sheetFormatPr defaultRowHeight="15"/>
  <cols>
    <col min="1" max="1" width="18.7109375" customWidth="1"/>
    <col min="2" max="2" width="16.7109375" customWidth="1"/>
    <col min="3" max="3" width="13.7109375" customWidth="1"/>
    <col min="4" max="4" width="13.7109375" customWidth="1"/>
    <col min="5" max="5" width="13.7109375" customWidth="1"/>
    <col min="6" max="6" width="13.7109375" customWidth="1"/>
    <col min="7" max="7" width="13.7109375" customWidth="1"/>
    <col min="8" max="8" width="13.7109375" customWidth="1"/>
  </cols>
  <sheetData>
    <row r="1" spans="1:8" ht="22" customHeight="1">
      <c r="A1" s="11" t="s">
        <v>1391</v>
      </c>
      <c r="B1" s="11"/>
      <c r="C1" s="53" t="s">
        <v>1204</v>
      </c>
      <c r="D1" s="53"/>
      <c r="E1" s="12" t="s">
        <v>2215</v>
      </c>
      <c r="F1" s="12"/>
      <c r="G1" s="12"/>
      <c r="H1" s="12"/>
    </row>
    <row r="3" spans="1:8" ht="26" customHeight="1">
      <c r="A3" s="54" t="s">
        <v>2216</v>
      </c>
      <c r="B3" s="54"/>
      <c r="C3" s="54"/>
      <c r="D3" s="54"/>
      <c r="E3" s="54"/>
      <c r="F3" s="54"/>
      <c r="G3" s="54"/>
      <c r="H3" s="54"/>
    </row>
    <row r="4" spans="1:8">
      <c r="A4" s="14">
        <f>BrandName&amp;"  |  "&amp;TEXT(TODAY(),"d mmmm yyyy")</f>
        <v>0</v>
      </c>
      <c r="B4" s="14"/>
      <c r="C4" s="14"/>
      <c r="D4" s="14"/>
      <c r="E4" s="14"/>
      <c r="F4" s="14"/>
      <c r="G4" s="14"/>
      <c r="H4" s="14"/>
    </row>
    <row r="6" spans="1:8" ht="20" customHeight="1">
      <c r="A6" s="7" t="s">
        <v>2217</v>
      </c>
      <c r="B6" s="7"/>
      <c r="C6" s="7"/>
      <c r="D6" s="7"/>
      <c r="E6" s="7"/>
      <c r="F6" s="7"/>
      <c r="G6" s="7"/>
      <c r="H6" s="7"/>
    </row>
    <row r="7" spans="1:8">
      <c r="A7" s="11" t="s">
        <v>1391</v>
      </c>
      <c r="B7" s="11"/>
      <c r="C7" s="17">
        <f>IF(BriefID="","",BriefID)</f>
        <v>0</v>
      </c>
      <c r="D7" s="17"/>
      <c r="E7" s="17"/>
      <c r="F7" s="17"/>
      <c r="G7" s="17"/>
      <c r="H7" s="17"/>
    </row>
    <row r="8" spans="1:8">
      <c r="A8" s="11" t="s">
        <v>2218</v>
      </c>
      <c r="B8" s="11"/>
      <c r="C8" s="17">
        <f>IF(BriefID="","",IFERROR(INDEX('Content Calendar'!$H$5:$H$604,MATCH(BriefID,'Content Calendar'!$A$5:$A$604,0)),"Not found"))</f>
        <v>0</v>
      </c>
      <c r="D8" s="17"/>
      <c r="E8" s="17"/>
      <c r="F8" s="17"/>
      <c r="G8" s="17"/>
      <c r="H8" s="17"/>
    </row>
    <row r="9" spans="1:8">
      <c r="A9" s="11" t="s">
        <v>902</v>
      </c>
      <c r="B9" s="11"/>
      <c r="C9" s="16">
        <f>IF(BriefID="","",IFERROR(INDEX('Content Calendar'!$B$5:$B$604,MATCH(BriefID,'Content Calendar'!$A$5:$A$604,0)),"Not found"))</f>
        <v>0</v>
      </c>
      <c r="D9" s="16"/>
      <c r="E9" s="16"/>
      <c r="F9" s="16"/>
      <c r="G9" s="16"/>
      <c r="H9" s="16"/>
    </row>
    <row r="10" spans="1:8">
      <c r="A10" s="11" t="s">
        <v>270</v>
      </c>
      <c r="B10" s="11"/>
      <c r="C10" s="17">
        <f>IF(BriefID="","",IFERROR(INDEX('Content Calendar'!$C$5:$C$604,MATCH(BriefID,'Content Calendar'!$A$5:$A$604,0)),"Not found"))</f>
        <v>0</v>
      </c>
      <c r="D10" s="17"/>
      <c r="E10" s="17"/>
      <c r="F10" s="17"/>
      <c r="G10" s="17"/>
      <c r="H10" s="17"/>
    </row>
    <row r="11" spans="1:8">
      <c r="A11" s="11" t="s">
        <v>192</v>
      </c>
      <c r="B11" s="11"/>
      <c r="C11" s="17">
        <f>IF(BriefID="","",IFERROR(INDEX('Content Calendar'!$G$5:$G$604,MATCH(BriefID,'Content Calendar'!$A$5:$A$604,0)),"Not found"))</f>
        <v>0</v>
      </c>
      <c r="D11" s="17"/>
      <c r="E11" s="17"/>
      <c r="F11" s="17"/>
      <c r="G11" s="17"/>
      <c r="H11" s="17"/>
    </row>
    <row r="12" spans="1:8">
      <c r="A12" s="11" t="s">
        <v>267</v>
      </c>
      <c r="B12" s="11"/>
      <c r="C12" s="17">
        <f>IF(BriefID="","",IFERROR(INDEX('Content Calendar'!$K$5:$K$604,MATCH(BriefID,'Content Calendar'!$A$5:$A$604,0)),"Not found"))</f>
        <v>0</v>
      </c>
      <c r="D12" s="17"/>
      <c r="E12" s="17"/>
      <c r="F12" s="17"/>
      <c r="G12" s="17"/>
      <c r="H12" s="17"/>
    </row>
    <row r="13" spans="1:8">
      <c r="A13" s="11" t="s">
        <v>222</v>
      </c>
      <c r="B13" s="11"/>
      <c r="C13" s="17">
        <f>IF(BriefID="","",IFERROR(INDEX('Content Calendar'!$W$5:$W$604,MATCH(BriefID,'Content Calendar'!$A$5:$A$604,0)),"Not found"))</f>
        <v>0</v>
      </c>
      <c r="D13" s="17"/>
      <c r="E13" s="17"/>
      <c r="F13" s="17"/>
      <c r="G13" s="17"/>
      <c r="H13" s="17"/>
    </row>
    <row r="14" spans="1:8">
      <c r="A14" s="11" t="s">
        <v>221</v>
      </c>
      <c r="B14" s="11"/>
      <c r="C14" s="29">
        <f>IF(BriefID="","",IFERROR(INDEX('Content Calendar'!$X$5:$X$604,MATCH(BriefID,'Content Calendar'!$A$5:$A$604,0)),"Not found"))</f>
        <v>0</v>
      </c>
      <c r="D14" s="29"/>
      <c r="E14" s="29"/>
      <c r="F14" s="29"/>
      <c r="G14" s="29"/>
      <c r="H14" s="29"/>
    </row>
    <row r="16" spans="1:8" ht="20" customHeight="1">
      <c r="A16" s="7" t="s">
        <v>2219</v>
      </c>
      <c r="B16" s="7"/>
      <c r="C16" s="7"/>
      <c r="D16" s="7"/>
      <c r="E16" s="7"/>
      <c r="F16" s="7"/>
      <c r="G16" s="7"/>
      <c r="H16" s="7"/>
    </row>
    <row r="17" spans="1:8">
      <c r="A17" s="11" t="s">
        <v>906</v>
      </c>
      <c r="B17" s="11"/>
      <c r="C17" s="17">
        <f>IF(BriefID="","",IFERROR(INDEX('Content Calendar'!$J$5:$J$604,MATCH(BriefID,'Content Calendar'!$A$5:$A$604,0)),"Not found"))</f>
        <v>0</v>
      </c>
      <c r="D17" s="17"/>
      <c r="E17" s="17"/>
      <c r="F17" s="17"/>
      <c r="G17" s="17"/>
      <c r="H17" s="17"/>
    </row>
    <row r="18" spans="1:8">
      <c r="A18" s="11" t="s">
        <v>426</v>
      </c>
      <c r="B18" s="11"/>
      <c r="C18" s="17">
        <f>IF(BriefID="","",IFERROR(INDEX('Content Calendar'!$M$5:$M$604,MATCH(BriefID,'Content Calendar'!$A$5:$A$604,0)),"Not found"))</f>
        <v>0</v>
      </c>
      <c r="D18" s="17"/>
      <c r="E18" s="17"/>
      <c r="F18" s="17"/>
      <c r="G18" s="17"/>
      <c r="H18" s="17"/>
    </row>
    <row r="19" spans="1:8">
      <c r="A19" s="11" t="s">
        <v>434</v>
      </c>
      <c r="B19" s="11"/>
      <c r="C19" s="17">
        <f>IF(BriefID="","",IFERROR(INDEX('Content Calendar'!$N$5:$N$604,MATCH(BriefID,'Content Calendar'!$A$5:$A$604,0)),"Not found"))</f>
        <v>0</v>
      </c>
      <c r="D19" s="17"/>
      <c r="E19" s="17"/>
      <c r="F19" s="17"/>
      <c r="G19" s="17"/>
      <c r="H19" s="17"/>
    </row>
    <row r="20" spans="1:8">
      <c r="A20" s="11" t="s">
        <v>907</v>
      </c>
      <c r="B20" s="11"/>
      <c r="C20" s="17">
        <f>IF(BriefID="","",IFERROR(INDEX('Content Calendar'!$O$5:$O$604,MATCH(BriefID,'Content Calendar'!$A$5:$A$604,0)),"Not found"))</f>
        <v>0</v>
      </c>
      <c r="D20" s="17"/>
      <c r="E20" s="17"/>
      <c r="F20" s="17"/>
      <c r="G20" s="17"/>
      <c r="H20" s="17"/>
    </row>
    <row r="21" spans="1:8">
      <c r="A21" s="11" t="s">
        <v>272</v>
      </c>
      <c r="B21" s="11"/>
      <c r="C21" s="17">
        <f>IF(BriefID="","",IFERROR(INDEX('Content Calendar'!$L$5:$L$604,MATCH(BriefID,'Content Calendar'!$A$5:$A$604,0)),"Not found"))</f>
        <v>0</v>
      </c>
      <c r="D21" s="17"/>
      <c r="E21" s="17"/>
      <c r="F21" s="17"/>
      <c r="G21" s="17"/>
      <c r="H21" s="17"/>
    </row>
    <row r="22" spans="1:8" ht="34" customHeight="1">
      <c r="A22" s="11" t="s">
        <v>905</v>
      </c>
      <c r="B22" s="11"/>
      <c r="C22" s="51">
        <f>IF(BriefID="","",IFERROR(INDEX('Content Calendar'!$I$5:$I$604,MATCH(BriefID,'Content Calendar'!$A$5:$A$604,0)),"Not found"))</f>
        <v>0</v>
      </c>
      <c r="D22" s="51"/>
      <c r="E22" s="51"/>
      <c r="F22" s="51"/>
      <c r="G22" s="51"/>
      <c r="H22" s="51"/>
    </row>
    <row r="24" spans="1:8" ht="20" customHeight="1">
      <c r="A24" s="7" t="s">
        <v>2220</v>
      </c>
      <c r="B24" s="7"/>
      <c r="C24" s="7"/>
      <c r="D24" s="7"/>
      <c r="E24" s="7"/>
      <c r="F24" s="7"/>
      <c r="G24" s="7"/>
      <c r="H24" s="7"/>
    </row>
    <row r="25" spans="1:8">
      <c r="A25" s="11" t="s">
        <v>1262</v>
      </c>
      <c r="B25" s="11"/>
      <c r="C25" s="17">
        <f>IF(BriefID="","",IFERROR(INDEX('Content Calendar'!$P$5:$P$604,MATCH(BriefID,'Content Calendar'!$A$5:$A$604,0)),"Not found"))</f>
        <v>0</v>
      </c>
      <c r="D25" s="17"/>
      <c r="E25" s="17"/>
      <c r="F25" s="17"/>
      <c r="G25" s="17"/>
      <c r="H25" s="17"/>
    </row>
    <row r="26" spans="1:8" ht="30" customHeight="1">
      <c r="A26" s="11" t="s">
        <v>609</v>
      </c>
      <c r="B26" s="11"/>
      <c r="C26" s="51">
        <f>IF(BriefID="","",IFERROR(INDEX('Caption Bank'!$G$5:$G$204,MATCH(INDEX('Content Calendar'!$P$5:$P$604,MATCH(BriefID,'Content Calendar'!$A$5:$A$604,0)),'Caption Bank'!$B$5:$B$204,0)),"- add a caption on the Caption Bank tab -"))</f>
        <v>0</v>
      </c>
      <c r="D26" s="51"/>
      <c r="E26" s="51"/>
      <c r="F26" s="51"/>
      <c r="G26" s="51"/>
      <c r="H26" s="51"/>
    </row>
    <row r="27" spans="1:8" ht="70" customHeight="1">
      <c r="A27" s="11" t="s">
        <v>2221</v>
      </c>
      <c r="B27" s="11"/>
      <c r="C27" s="51">
        <f>IF(BriefID="","",IFERROR(INDEX('Caption Bank'!$J$5:$J$204,MATCH(INDEX('Content Calendar'!$P$5:$P$604,MATCH(BriefID,'Content Calendar'!$A$5:$A$604,0)),'Caption Bank'!$B$5:$B$204,0)),"- add a caption on the Caption Bank tab -"))</f>
        <v>0</v>
      </c>
      <c r="D27" s="51"/>
      <c r="E27" s="51"/>
      <c r="F27" s="51"/>
      <c r="G27" s="51"/>
      <c r="H27" s="51"/>
    </row>
    <row r="28" spans="1:8">
      <c r="A28" s="11" t="s">
        <v>437</v>
      </c>
      <c r="B28" s="11"/>
      <c r="C28" s="17">
        <f>IF(BriefID="","",IFERROR(INDEX('Content Calendar'!$V$5:$V$604,MATCH(BriefID,'Content Calendar'!$A$5:$A$604,0)),"Not found"))</f>
        <v>0</v>
      </c>
      <c r="D28" s="17"/>
      <c r="E28" s="17"/>
      <c r="F28" s="17"/>
      <c r="G28" s="17"/>
      <c r="H28" s="17"/>
    </row>
    <row r="29" spans="1:8">
      <c r="A29" s="11" t="s">
        <v>910</v>
      </c>
      <c r="B29" s="11"/>
      <c r="C29" s="17">
        <f>IF(BriefID="","",IFERROR(INDEX('Content Calendar'!$R$5:$R$604,MATCH(BriefID,'Content Calendar'!$A$5:$A$604,0)),"Not found"))</f>
        <v>0</v>
      </c>
      <c r="D29" s="17"/>
      <c r="E29" s="17"/>
      <c r="F29" s="17"/>
      <c r="G29" s="17"/>
      <c r="H29" s="17"/>
    </row>
    <row r="30" spans="1:8">
      <c r="A30" s="11" t="s">
        <v>2222</v>
      </c>
      <c r="B30" s="11"/>
      <c r="C30" s="23">
        <f>IF(BriefID="","",IFERROR(INDEX('Content Calendar'!$S$5:$S$604,MATCH(BriefID,'Content Calendar'!$A$5:$A$604,0)),"Not found"))</f>
        <v>0</v>
      </c>
      <c r="D30" s="23"/>
      <c r="E30" s="23"/>
      <c r="F30" s="23"/>
      <c r="G30" s="23"/>
      <c r="H30" s="23"/>
    </row>
    <row r="32" spans="1:8" ht="20" customHeight="1">
      <c r="A32" s="7" t="s">
        <v>2223</v>
      </c>
      <c r="B32" s="7"/>
      <c r="C32" s="7"/>
      <c r="D32" s="7"/>
      <c r="E32" s="7"/>
      <c r="F32" s="7"/>
      <c r="G32" s="7"/>
      <c r="H32" s="7"/>
    </row>
    <row r="33" spans="1:8">
      <c r="A33" s="11" t="s">
        <v>2224</v>
      </c>
      <c r="B33" s="11"/>
      <c r="C33" s="17">
        <f>IF(BriefID="","",IFERROR(INDEX('Content Calendar'!$T$5:$T$604,MATCH(BriefID,'Content Calendar'!$A$5:$A$604,0)),"Not found"))</f>
        <v>0</v>
      </c>
      <c r="D33" s="17"/>
      <c r="E33" s="17"/>
      <c r="F33" s="17"/>
      <c r="G33" s="17"/>
      <c r="H33" s="17"/>
    </row>
    <row r="34" spans="1:8">
      <c r="A34" s="11" t="s">
        <v>1987</v>
      </c>
      <c r="B34" s="11"/>
      <c r="C34" s="17">
        <f>IF(BriefID="","",IFERROR(INDEX(Assets!$B$5:$B$254,MATCH(INDEX('Content Calendar'!$T$5:$T$604,MATCH(BriefID,'Content Calendar'!$A$5:$A$604,0)),Assets!$A$5:$A$254,0)),"- no asset linked -"))</f>
        <v>0</v>
      </c>
      <c r="D34" s="17"/>
      <c r="E34" s="17"/>
      <c r="F34" s="17"/>
      <c r="G34" s="17"/>
      <c r="H34" s="17"/>
    </row>
    <row r="35" spans="1:8">
      <c r="A35" s="11" t="s">
        <v>1988</v>
      </c>
      <c r="B35" s="11"/>
      <c r="C35" s="51">
        <f>IF(BriefID="","",IFERROR(INDEX(Assets!$D$5:$D$254,MATCH(INDEX('Content Calendar'!$T$5:$T$604,MATCH(BriefID,'Content Calendar'!$A$5:$A$604,0)),Assets!$A$5:$A$254,0)),"- no asset linked -"))</f>
        <v>0</v>
      </c>
      <c r="D35" s="51"/>
      <c r="E35" s="51"/>
      <c r="F35" s="51"/>
      <c r="G35" s="51"/>
      <c r="H35" s="51"/>
    </row>
    <row r="36" spans="1:8">
      <c r="A36" s="11" t="s">
        <v>1994</v>
      </c>
      <c r="B36" s="11"/>
      <c r="C36" s="17">
        <f>IF(BriefID="","",IFERROR(INDEX(Assets!$J$5:$J$254,MATCH(INDEX('Content Calendar'!$T$5:$T$604,MATCH(BriefID,'Content Calendar'!$A$5:$A$604,0)),Assets!$A$5:$A$254,0)),"- no asset linked -"))</f>
        <v>0</v>
      </c>
      <c r="D36" s="17"/>
      <c r="E36" s="17"/>
      <c r="F36" s="17"/>
      <c r="G36" s="17"/>
      <c r="H36" s="17"/>
    </row>
    <row r="37" spans="1:8">
      <c r="A37" s="11" t="s">
        <v>914</v>
      </c>
      <c r="B37" s="11"/>
      <c r="C37" s="16">
        <f>IF(BriefID="","",IFERROR(INDEX('Content Calendar'!$Y$5:$Y$604,MATCH(BriefID,'Content Calendar'!$A$5:$A$604,0)),"Not found"))</f>
        <v>0</v>
      </c>
      <c r="D37" s="16"/>
      <c r="E37" s="16"/>
      <c r="F37" s="16"/>
      <c r="G37" s="16"/>
      <c r="H37" s="16"/>
    </row>
    <row r="38" spans="1:8">
      <c r="A38" s="11" t="s">
        <v>915</v>
      </c>
      <c r="B38" s="11"/>
      <c r="C38" s="16">
        <f>IF(BriefID="","",IFERROR(INDEX('Content Calendar'!$Z$5:$Z$604,MATCH(BriefID,'Content Calendar'!$A$5:$A$604,0)),"Not found"))</f>
        <v>0</v>
      </c>
      <c r="D38" s="16"/>
      <c r="E38" s="16"/>
      <c r="F38" s="16"/>
      <c r="G38" s="16"/>
      <c r="H38" s="16"/>
    </row>
    <row r="40" spans="1:8" ht="20" customHeight="1">
      <c r="A40" s="7" t="s">
        <v>2225</v>
      </c>
      <c r="B40" s="7"/>
      <c r="C40" s="7"/>
      <c r="D40" s="7"/>
      <c r="E40" s="7"/>
      <c r="F40" s="7"/>
      <c r="G40" s="7"/>
      <c r="H40" s="7"/>
    </row>
    <row r="41" spans="1:8" ht="30" customHeight="1">
      <c r="A41" s="11" t="s">
        <v>2226</v>
      </c>
      <c r="B41" s="11"/>
      <c r="C41" s="51">
        <f>IF(BriefID="","",IFERROR(INDEX('Content Calendar'!$AN$5:$AN$604,MATCH(BriefID,'Content Calendar'!$A$5:$A$604,0)),"Not found"))</f>
        <v>0</v>
      </c>
      <c r="D41" s="51"/>
      <c r="E41" s="51"/>
      <c r="F41" s="51"/>
      <c r="G41" s="51"/>
      <c r="H41" s="51"/>
    </row>
    <row r="42" spans="1:8" ht="16" customHeight="1">
      <c r="A42" s="11" t="s">
        <v>1428</v>
      </c>
      <c r="B42" s="11"/>
      <c r="C42" s="55"/>
      <c r="D42" s="55"/>
      <c r="E42" s="55"/>
      <c r="F42" s="55"/>
      <c r="G42" s="55"/>
      <c r="H42" s="55"/>
    </row>
    <row r="43" spans="1:8" ht="16" customHeight="1">
      <c r="C43" s="55"/>
      <c r="D43" s="55"/>
      <c r="E43" s="55"/>
      <c r="F43" s="55"/>
      <c r="G43" s="55"/>
      <c r="H43" s="55"/>
    </row>
    <row r="44" spans="1:8" ht="16" customHeight="1">
      <c r="C44" s="55"/>
      <c r="D44" s="55"/>
      <c r="E44" s="55"/>
      <c r="F44" s="55"/>
      <c r="G44" s="55"/>
      <c r="H44" s="55"/>
    </row>
    <row r="45" spans="1:8" ht="16" customHeight="1">
      <c r="C45" s="55"/>
      <c r="D45" s="55"/>
      <c r="E45" s="55"/>
      <c r="F45" s="55"/>
      <c r="G45" s="55"/>
      <c r="H45" s="55"/>
    </row>
    <row r="46" spans="1:8" ht="16" customHeight="1">
      <c r="A46" s="11" t="s">
        <v>2227</v>
      </c>
      <c r="B46" s="11"/>
      <c r="C46" s="55"/>
      <c r="D46" s="55"/>
      <c r="E46" s="55"/>
      <c r="F46" s="55"/>
      <c r="G46" s="55"/>
      <c r="H46" s="55"/>
    </row>
    <row r="47" spans="1:8" ht="16" customHeight="1">
      <c r="C47" s="55"/>
      <c r="D47" s="55"/>
      <c r="E47" s="55"/>
      <c r="F47" s="55"/>
      <c r="G47" s="55"/>
      <c r="H47" s="55"/>
    </row>
    <row r="48" spans="1:8" ht="16" customHeight="1">
      <c r="C48" s="55"/>
      <c r="D48" s="55"/>
      <c r="E48" s="55"/>
      <c r="F48" s="55"/>
      <c r="G48" s="55"/>
      <c r="H48" s="55"/>
    </row>
    <row r="49" spans="1:8" ht="16" customHeight="1">
      <c r="A49" s="11" t="s">
        <v>2228</v>
      </c>
      <c r="B49" s="11"/>
      <c r="C49" s="55"/>
      <c r="D49" s="55"/>
      <c r="E49" s="55"/>
      <c r="F49" s="55"/>
      <c r="G49" s="55"/>
      <c r="H49" s="55"/>
    </row>
    <row r="50" spans="1:8" ht="16" customHeight="1">
      <c r="C50" s="55"/>
      <c r="D50" s="55"/>
      <c r="E50" s="55"/>
      <c r="F50" s="55"/>
      <c r="G50" s="55"/>
      <c r="H50" s="55"/>
    </row>
    <row r="52" spans="1:8" ht="20" customHeight="1">
      <c r="A52" s="7" t="s">
        <v>2229</v>
      </c>
      <c r="B52" s="7"/>
      <c r="C52" s="7"/>
      <c r="D52" s="7"/>
      <c r="E52" s="7"/>
      <c r="F52" s="7"/>
      <c r="G52" s="7"/>
      <c r="H52" s="7"/>
    </row>
    <row r="53" spans="1:8">
      <c r="A53" s="11" t="s">
        <v>917</v>
      </c>
      <c r="B53" s="11"/>
      <c r="C53" s="51">
        <f>IF(BriefID="","",IFERROR(INDEX('Content Calendar'!$AB$5:$AB$604,MATCH(BriefID,'Content Calendar'!$A$5:$A$604,0)),"Not found"))</f>
        <v>0</v>
      </c>
      <c r="D53" s="51"/>
      <c r="E53" s="51"/>
      <c r="F53" s="51"/>
      <c r="G53" s="51"/>
      <c r="H53" s="51"/>
    </row>
    <row r="54" spans="1:8">
      <c r="A54" s="11" t="s">
        <v>149</v>
      </c>
      <c r="B54" s="11"/>
      <c r="C54" s="23">
        <f>IF(BriefID="","",IFERROR(INDEX('Content Calendar'!$AD$5:$AD$604,MATCH(BriefID,'Content Calendar'!$A$5:$A$604,0)),"Not found"))</f>
        <v>0</v>
      </c>
      <c r="D54" s="23"/>
      <c r="E54" s="23"/>
      <c r="F54" s="23"/>
      <c r="G54" s="23"/>
      <c r="H54" s="23"/>
    </row>
    <row r="55" spans="1:8">
      <c r="A55" s="11" t="s">
        <v>153</v>
      </c>
      <c r="B55" s="11"/>
      <c r="C55" s="23">
        <f>IF(BriefID="","",IFERROR(INDEX('Content Calendar'!$AE$5:$AE$604,MATCH(BriefID,'Content Calendar'!$A$5:$A$604,0)),"Not found"))</f>
        <v>0</v>
      </c>
      <c r="D55" s="23"/>
      <c r="E55" s="23"/>
      <c r="F55" s="23"/>
      <c r="G55" s="23"/>
      <c r="H55" s="23"/>
    </row>
    <row r="56" spans="1:8">
      <c r="A56" s="11" t="s">
        <v>155</v>
      </c>
      <c r="B56" s="11"/>
      <c r="C56" s="24">
        <f>IF(BriefID="","",IFERROR(INDEX('Content Calendar'!$AF$5:$AF$604,MATCH(BriefID,'Content Calendar'!$A$5:$A$604,0)),"Not found"))</f>
        <v>0</v>
      </c>
      <c r="D56" s="24"/>
      <c r="E56" s="24"/>
      <c r="F56" s="24"/>
      <c r="G56" s="24"/>
      <c r="H56" s="24"/>
    </row>
    <row r="58" spans="1:8" ht="26" customHeight="1">
      <c r="A58" s="6" t="s">
        <v>2230</v>
      </c>
      <c r="B58" s="6"/>
      <c r="C58" s="6"/>
      <c r="D58" s="6"/>
      <c r="E58" s="6"/>
      <c r="F58" s="6"/>
      <c r="G58" s="6"/>
      <c r="H58" s="6"/>
    </row>
  </sheetData>
  <sheetProtection password="EC7C" sheet="1" objects="1" scenarios="1" formatCells="0" formatColumns="0" formatRows="0" insertRows="0" insertHyperlinks="0" deleteRows="0" autoFilter="0"/>
  <mergeCells count="80">
    <mergeCell ref="A1:B1"/>
    <mergeCell ref="C1:D1"/>
    <mergeCell ref="E1:H1"/>
    <mergeCell ref="A3:H3"/>
    <mergeCell ref="A4:H4"/>
    <mergeCell ref="A6:H6"/>
    <mergeCell ref="A7:B7"/>
    <mergeCell ref="C7:H7"/>
    <mergeCell ref="A8:B8"/>
    <mergeCell ref="C8:H8"/>
    <mergeCell ref="A9:B9"/>
    <mergeCell ref="C9:H9"/>
    <mergeCell ref="A10:B10"/>
    <mergeCell ref="C10:H10"/>
    <mergeCell ref="A11:B11"/>
    <mergeCell ref="C11:H11"/>
    <mergeCell ref="A12:B12"/>
    <mergeCell ref="C12:H12"/>
    <mergeCell ref="A13:B13"/>
    <mergeCell ref="C13:H13"/>
    <mergeCell ref="A14:B14"/>
    <mergeCell ref="C14:H14"/>
    <mergeCell ref="A16:H16"/>
    <mergeCell ref="A17:B17"/>
    <mergeCell ref="C17:H17"/>
    <mergeCell ref="A18:B18"/>
    <mergeCell ref="C18:H18"/>
    <mergeCell ref="A19:B19"/>
    <mergeCell ref="C19:H19"/>
    <mergeCell ref="A20:B20"/>
    <mergeCell ref="C20:H20"/>
    <mergeCell ref="A21:B21"/>
    <mergeCell ref="C21:H21"/>
    <mergeCell ref="A22:B22"/>
    <mergeCell ref="C22:H22"/>
    <mergeCell ref="A24:H24"/>
    <mergeCell ref="A25:B25"/>
    <mergeCell ref="C25:H25"/>
    <mergeCell ref="A26:B26"/>
    <mergeCell ref="C26:H26"/>
    <mergeCell ref="A27:B27"/>
    <mergeCell ref="C27:H27"/>
    <mergeCell ref="A28:B28"/>
    <mergeCell ref="C28:H28"/>
    <mergeCell ref="A29:B29"/>
    <mergeCell ref="C29:H29"/>
    <mergeCell ref="A30:B30"/>
    <mergeCell ref="C30:H30"/>
    <mergeCell ref="A32:H32"/>
    <mergeCell ref="A33:B33"/>
    <mergeCell ref="C33:H33"/>
    <mergeCell ref="A34:B34"/>
    <mergeCell ref="C34:H34"/>
    <mergeCell ref="A35:B35"/>
    <mergeCell ref="C35:H35"/>
    <mergeCell ref="A36:B36"/>
    <mergeCell ref="C36:H36"/>
    <mergeCell ref="A37:B37"/>
    <mergeCell ref="C37:H37"/>
    <mergeCell ref="A38:B38"/>
    <mergeCell ref="C38:H38"/>
    <mergeCell ref="A40:H40"/>
    <mergeCell ref="A41:B41"/>
    <mergeCell ref="C41:H41"/>
    <mergeCell ref="A42:B42"/>
    <mergeCell ref="C42:H45"/>
    <mergeCell ref="A46:B46"/>
    <mergeCell ref="C46:H48"/>
    <mergeCell ref="A49:B49"/>
    <mergeCell ref="C49:H50"/>
    <mergeCell ref="A52:H52"/>
    <mergeCell ref="A53:B53"/>
    <mergeCell ref="C53:H53"/>
    <mergeCell ref="A54:B54"/>
    <mergeCell ref="C54:H54"/>
    <mergeCell ref="A55:B55"/>
    <mergeCell ref="C55:H55"/>
    <mergeCell ref="A56:B56"/>
    <mergeCell ref="C56:H56"/>
    <mergeCell ref="A58:H58"/>
  </mergeCells>
  <dataValidations count="1">
    <dataValidation type="list" allowBlank="1" showInputMessage="1" showErrorMessage="1" promptTitle="Choose a record" prompt="Pick a post from the Content Calendar - the whole brief fills itself in. This row does not print." sqref="C1:D1">
      <formula1>ContentIDs</formula1>
    </dataValidation>
  </dataValidations>
  <printOptions horizontalCentered="1"/>
  <pageMargins left="0.4" right="0.4" top="0.6" bottom="0.5" header="0.3" footer="0.3"/>
  <pageSetup paperSize="9" fitToHeight="0" orientation="portrait"/>
  <headerFooter>
    <oddHeader>&amp;L&amp;"Calibri,Bold"&amp;12&amp;C&amp;"Calibri,Bold"&amp;11Print Brief&amp;R&amp;"Calibri,Italic"&amp;9Social Media Content Calendar &amp; Analytics Planner</oddHeader>
    <oddFooter>&amp;L&amp;"Calibri,Italic"&amp;8Novality Store - v1.0.0&amp;C&amp;"Calibri,Italic"&amp;8Page &amp;P of &amp;N&amp;R&amp;"Calibri,Italic"&amp;8&amp;D</oddFooter>
  </headerFooter>
</worksheet>
</file>

<file path=xl/worksheets/sheet41.xml><?xml version="1.0" encoding="utf-8"?>
<worksheet xmlns="http://schemas.openxmlformats.org/spreadsheetml/2006/main" xmlns:r="http://schemas.openxmlformats.org/officeDocument/2006/relationships">
  <sheetPr>
    <tabColor rgb="FFF2665E"/>
    <pageSetUpPr fitToPage="1"/>
  </sheetPr>
  <dimension ref="A1:H53"/>
  <sheetViews>
    <sheetView showGridLines="0" workbookViewId="0"/>
  </sheetViews>
  <sheetFormatPr defaultRowHeight="15"/>
  <cols>
    <col min="1" max="1" width="13.7109375" customWidth="1"/>
    <col min="2" max="2" width="13.7109375" customWidth="1"/>
    <col min="3" max="3" width="34.7109375" customWidth="1"/>
    <col min="4" max="4" width="16.7109375" customWidth="1"/>
    <col min="5" max="5" width="18.7109375" customWidth="1"/>
    <col min="6" max="6" width="16.7109375" customWidth="1"/>
    <col min="7" max="7" width="14.7109375" customWidth="1"/>
    <col min="8" max="8" width="14.7109375" customWidth="1"/>
  </cols>
  <sheetData>
    <row r="1" spans="1:8" ht="22" customHeight="1">
      <c r="A1" s="11" t="s">
        <v>2231</v>
      </c>
      <c r="B1" s="11"/>
      <c r="C1" s="56">
        <v>46306</v>
      </c>
      <c r="D1" s="12" t="s">
        <v>2232</v>
      </c>
      <c r="E1" s="12"/>
      <c r="F1" s="12"/>
      <c r="G1" s="12"/>
      <c r="H1" s="12"/>
    </row>
    <row r="3" spans="1:8" ht="26" customHeight="1">
      <c r="A3" s="54" t="s">
        <v>2233</v>
      </c>
      <c r="B3" s="54"/>
      <c r="C3" s="54"/>
      <c r="D3" s="54"/>
      <c r="E3" s="54"/>
      <c r="F3" s="54"/>
      <c r="G3" s="54"/>
      <c r="H3" s="54"/>
    </row>
    <row r="4" spans="1:8">
      <c r="A4" s="14">
        <f>BrandName&amp;"  |  "&amp;TEXT(WeekStartDate,"d mmm")&amp;" to "&amp;TEXT(WeekStartDate+6,"d mmm yyyy")</f>
        <v>0</v>
      </c>
      <c r="B4" s="14"/>
      <c r="C4" s="14"/>
      <c r="D4" s="14"/>
      <c r="E4" s="14"/>
      <c r="F4" s="14"/>
      <c r="G4" s="14"/>
      <c r="H4" s="14"/>
    </row>
    <row r="6" spans="1:8" ht="20" customHeight="1">
      <c r="A6" s="7">
        <f>TEXT(WeekStartDate+0,"dddd d mmmm")</f>
        <v>0</v>
      </c>
      <c r="B6" s="7"/>
      <c r="C6" s="7"/>
      <c r="D6" s="7"/>
      <c r="E6" s="7"/>
      <c r="F6" s="7"/>
      <c r="G6" s="7"/>
      <c r="H6" s="7"/>
    </row>
    <row r="7" spans="1:8" ht="26" customHeight="1">
      <c r="A7" s="8" t="s">
        <v>2234</v>
      </c>
      <c r="B7" s="9" t="s">
        <v>192</v>
      </c>
      <c r="C7" s="9" t="s">
        <v>201</v>
      </c>
      <c r="D7" s="9" t="s">
        <v>267</v>
      </c>
      <c r="E7" s="9" t="s">
        <v>195</v>
      </c>
      <c r="F7" s="9" t="s">
        <v>222</v>
      </c>
      <c r="G7" s="9" t="s">
        <v>221</v>
      </c>
      <c r="H7" s="9" t="s">
        <v>2235</v>
      </c>
    </row>
    <row r="8" spans="1:8">
      <c r="A8" s="17">
        <f>IFERROR(IF(SMALL('Content Calendar'!$AI$5:$AI$604,COUNTIF('Content Calendar'!$AI$5:$AI$604,"&lt;"&amp;WeekStartDate+0)+1)&gt;=WeekStartDate+0+1,"",INDEX('Content Calendar'!$C$5:$C$604,MATCH(SMALL('Content Calendar'!$AI$5:$AI$604,COUNTIF('Content Calendar'!$AI$5:$AI$604,"&lt;"&amp;WeekStartDate+0)+1),'Content Calendar'!$AI$5:$AI$604,0))),"")</f>
        <v>0</v>
      </c>
      <c r="B8" s="17">
        <f>IFERROR(IF(SMALL('Content Calendar'!$AI$5:$AI$604,COUNTIF('Content Calendar'!$AI$5:$AI$604,"&lt;"&amp;WeekStartDate+0)+1)&gt;=WeekStartDate+0+1,"",INDEX('Content Calendar'!$G$5:$G$604,MATCH(SMALL('Content Calendar'!$AI$5:$AI$604,COUNTIF('Content Calendar'!$AI$5:$AI$604,"&lt;"&amp;WeekStartDate+0)+1),'Content Calendar'!$AI$5:$AI$604,0))),"")</f>
        <v>0</v>
      </c>
      <c r="C8" s="17">
        <f>IFERROR(IF(SMALL('Content Calendar'!$AI$5:$AI$604,COUNTIF('Content Calendar'!$AI$5:$AI$604,"&lt;"&amp;WeekStartDate+0)+1)&gt;=WeekStartDate+0+1,"",INDEX('Content Calendar'!$H$5:$H$604,MATCH(SMALL('Content Calendar'!$AI$5:$AI$604,COUNTIF('Content Calendar'!$AI$5:$AI$604,"&lt;"&amp;WeekStartDate+0)+1),'Content Calendar'!$AI$5:$AI$604,0))),"")</f>
        <v>0</v>
      </c>
      <c r="D8" s="17">
        <f>IFERROR(IF(SMALL('Content Calendar'!$AI$5:$AI$604,COUNTIF('Content Calendar'!$AI$5:$AI$604,"&lt;"&amp;WeekStartDate+0)+1)&gt;=WeekStartDate+0+1,"",INDEX('Content Calendar'!$K$5:$K$604,MATCH(SMALL('Content Calendar'!$AI$5:$AI$604,COUNTIF('Content Calendar'!$AI$5:$AI$604,"&lt;"&amp;WeekStartDate+0)+1),'Content Calendar'!$AI$5:$AI$604,0))),"")</f>
        <v>0</v>
      </c>
      <c r="E8" s="17">
        <f>IFERROR(IF(SMALL('Content Calendar'!$AI$5:$AI$604,COUNTIF('Content Calendar'!$AI$5:$AI$604,"&lt;"&amp;WeekStartDate+0)+1)&gt;=WeekStartDate+0+1,"",INDEX('Content Calendar'!$J$5:$J$604,MATCH(SMALL('Content Calendar'!$AI$5:$AI$604,COUNTIF('Content Calendar'!$AI$5:$AI$604,"&lt;"&amp;WeekStartDate+0)+1),'Content Calendar'!$AI$5:$AI$604,0))),"")</f>
        <v>0</v>
      </c>
      <c r="F8" s="17">
        <f>IFERROR(IF(SMALL('Content Calendar'!$AI$5:$AI$604,COUNTIF('Content Calendar'!$AI$5:$AI$604,"&lt;"&amp;WeekStartDate+0)+1)&gt;=WeekStartDate+0+1,"",INDEX('Content Calendar'!$W$5:$W$604,MATCH(SMALL('Content Calendar'!$AI$5:$AI$604,COUNTIF('Content Calendar'!$AI$5:$AI$604,"&lt;"&amp;WeekStartDate+0)+1),'Content Calendar'!$AI$5:$AI$604,0))),"")</f>
        <v>0</v>
      </c>
      <c r="G8" s="29">
        <f>IFERROR(IF(SMALL('Content Calendar'!$AI$5:$AI$604,COUNTIF('Content Calendar'!$AI$5:$AI$604,"&lt;"&amp;WeekStartDate+0)+1)&gt;=WeekStartDate+0+1,"",INDEX('Content Calendar'!$X$5:$X$604,MATCH(SMALL('Content Calendar'!$AI$5:$AI$604,COUNTIF('Content Calendar'!$AI$5:$AI$604,"&lt;"&amp;WeekStartDate+0)+1),'Content Calendar'!$AI$5:$AI$604,0))),"")</f>
        <v>0</v>
      </c>
      <c r="H8" s="57"/>
    </row>
    <row r="9" spans="1:8">
      <c r="A9" s="17">
        <f>IFERROR(IF(SMALL('Content Calendar'!$AI$5:$AI$604,COUNTIF('Content Calendar'!$AI$5:$AI$604,"&lt;"&amp;WeekStartDate+0)+2)&gt;=WeekStartDate+0+1,"",INDEX('Content Calendar'!$C$5:$C$604,MATCH(SMALL('Content Calendar'!$AI$5:$AI$604,COUNTIF('Content Calendar'!$AI$5:$AI$604,"&lt;"&amp;WeekStartDate+0)+2),'Content Calendar'!$AI$5:$AI$604,0))),"")</f>
        <v>0</v>
      </c>
      <c r="B9" s="17">
        <f>IFERROR(IF(SMALL('Content Calendar'!$AI$5:$AI$604,COUNTIF('Content Calendar'!$AI$5:$AI$604,"&lt;"&amp;WeekStartDate+0)+2)&gt;=WeekStartDate+0+1,"",INDEX('Content Calendar'!$G$5:$G$604,MATCH(SMALL('Content Calendar'!$AI$5:$AI$604,COUNTIF('Content Calendar'!$AI$5:$AI$604,"&lt;"&amp;WeekStartDate+0)+2),'Content Calendar'!$AI$5:$AI$604,0))),"")</f>
        <v>0</v>
      </c>
      <c r="C9" s="17">
        <f>IFERROR(IF(SMALL('Content Calendar'!$AI$5:$AI$604,COUNTIF('Content Calendar'!$AI$5:$AI$604,"&lt;"&amp;WeekStartDate+0)+2)&gt;=WeekStartDate+0+1,"",INDEX('Content Calendar'!$H$5:$H$604,MATCH(SMALL('Content Calendar'!$AI$5:$AI$604,COUNTIF('Content Calendar'!$AI$5:$AI$604,"&lt;"&amp;WeekStartDate+0)+2),'Content Calendar'!$AI$5:$AI$604,0))),"")</f>
        <v>0</v>
      </c>
      <c r="D9" s="17">
        <f>IFERROR(IF(SMALL('Content Calendar'!$AI$5:$AI$604,COUNTIF('Content Calendar'!$AI$5:$AI$604,"&lt;"&amp;WeekStartDate+0)+2)&gt;=WeekStartDate+0+1,"",INDEX('Content Calendar'!$K$5:$K$604,MATCH(SMALL('Content Calendar'!$AI$5:$AI$604,COUNTIF('Content Calendar'!$AI$5:$AI$604,"&lt;"&amp;WeekStartDate+0)+2),'Content Calendar'!$AI$5:$AI$604,0))),"")</f>
        <v>0</v>
      </c>
      <c r="E9" s="17">
        <f>IFERROR(IF(SMALL('Content Calendar'!$AI$5:$AI$604,COUNTIF('Content Calendar'!$AI$5:$AI$604,"&lt;"&amp;WeekStartDate+0)+2)&gt;=WeekStartDate+0+1,"",INDEX('Content Calendar'!$J$5:$J$604,MATCH(SMALL('Content Calendar'!$AI$5:$AI$604,COUNTIF('Content Calendar'!$AI$5:$AI$604,"&lt;"&amp;WeekStartDate+0)+2),'Content Calendar'!$AI$5:$AI$604,0))),"")</f>
        <v>0</v>
      </c>
      <c r="F9" s="17">
        <f>IFERROR(IF(SMALL('Content Calendar'!$AI$5:$AI$604,COUNTIF('Content Calendar'!$AI$5:$AI$604,"&lt;"&amp;WeekStartDate+0)+2)&gt;=WeekStartDate+0+1,"",INDEX('Content Calendar'!$W$5:$W$604,MATCH(SMALL('Content Calendar'!$AI$5:$AI$604,COUNTIF('Content Calendar'!$AI$5:$AI$604,"&lt;"&amp;WeekStartDate+0)+2),'Content Calendar'!$AI$5:$AI$604,0))),"")</f>
        <v>0</v>
      </c>
      <c r="G9" s="29">
        <f>IFERROR(IF(SMALL('Content Calendar'!$AI$5:$AI$604,COUNTIF('Content Calendar'!$AI$5:$AI$604,"&lt;"&amp;WeekStartDate+0)+2)&gt;=WeekStartDate+0+1,"",INDEX('Content Calendar'!$X$5:$X$604,MATCH(SMALL('Content Calendar'!$AI$5:$AI$604,COUNTIF('Content Calendar'!$AI$5:$AI$604,"&lt;"&amp;WeekStartDate+0)+2),'Content Calendar'!$AI$5:$AI$604,0))),"")</f>
        <v>0</v>
      </c>
      <c r="H9" s="57"/>
    </row>
    <row r="10" spans="1:8">
      <c r="A10" s="17">
        <f>IFERROR(IF(SMALL('Content Calendar'!$AI$5:$AI$604,COUNTIF('Content Calendar'!$AI$5:$AI$604,"&lt;"&amp;WeekStartDate+0)+3)&gt;=WeekStartDate+0+1,"",INDEX('Content Calendar'!$C$5:$C$604,MATCH(SMALL('Content Calendar'!$AI$5:$AI$604,COUNTIF('Content Calendar'!$AI$5:$AI$604,"&lt;"&amp;WeekStartDate+0)+3),'Content Calendar'!$AI$5:$AI$604,0))),"")</f>
        <v>0</v>
      </c>
      <c r="B10" s="17">
        <f>IFERROR(IF(SMALL('Content Calendar'!$AI$5:$AI$604,COUNTIF('Content Calendar'!$AI$5:$AI$604,"&lt;"&amp;WeekStartDate+0)+3)&gt;=WeekStartDate+0+1,"",INDEX('Content Calendar'!$G$5:$G$604,MATCH(SMALL('Content Calendar'!$AI$5:$AI$604,COUNTIF('Content Calendar'!$AI$5:$AI$604,"&lt;"&amp;WeekStartDate+0)+3),'Content Calendar'!$AI$5:$AI$604,0))),"")</f>
        <v>0</v>
      </c>
      <c r="C10" s="17">
        <f>IFERROR(IF(SMALL('Content Calendar'!$AI$5:$AI$604,COUNTIF('Content Calendar'!$AI$5:$AI$604,"&lt;"&amp;WeekStartDate+0)+3)&gt;=WeekStartDate+0+1,"",INDEX('Content Calendar'!$H$5:$H$604,MATCH(SMALL('Content Calendar'!$AI$5:$AI$604,COUNTIF('Content Calendar'!$AI$5:$AI$604,"&lt;"&amp;WeekStartDate+0)+3),'Content Calendar'!$AI$5:$AI$604,0))),"")</f>
        <v>0</v>
      </c>
      <c r="D10" s="17">
        <f>IFERROR(IF(SMALL('Content Calendar'!$AI$5:$AI$604,COUNTIF('Content Calendar'!$AI$5:$AI$604,"&lt;"&amp;WeekStartDate+0)+3)&gt;=WeekStartDate+0+1,"",INDEX('Content Calendar'!$K$5:$K$604,MATCH(SMALL('Content Calendar'!$AI$5:$AI$604,COUNTIF('Content Calendar'!$AI$5:$AI$604,"&lt;"&amp;WeekStartDate+0)+3),'Content Calendar'!$AI$5:$AI$604,0))),"")</f>
        <v>0</v>
      </c>
      <c r="E10" s="17">
        <f>IFERROR(IF(SMALL('Content Calendar'!$AI$5:$AI$604,COUNTIF('Content Calendar'!$AI$5:$AI$604,"&lt;"&amp;WeekStartDate+0)+3)&gt;=WeekStartDate+0+1,"",INDEX('Content Calendar'!$J$5:$J$604,MATCH(SMALL('Content Calendar'!$AI$5:$AI$604,COUNTIF('Content Calendar'!$AI$5:$AI$604,"&lt;"&amp;WeekStartDate+0)+3),'Content Calendar'!$AI$5:$AI$604,0))),"")</f>
        <v>0</v>
      </c>
      <c r="F10" s="17">
        <f>IFERROR(IF(SMALL('Content Calendar'!$AI$5:$AI$604,COUNTIF('Content Calendar'!$AI$5:$AI$604,"&lt;"&amp;WeekStartDate+0)+3)&gt;=WeekStartDate+0+1,"",INDEX('Content Calendar'!$W$5:$W$604,MATCH(SMALL('Content Calendar'!$AI$5:$AI$604,COUNTIF('Content Calendar'!$AI$5:$AI$604,"&lt;"&amp;WeekStartDate+0)+3),'Content Calendar'!$AI$5:$AI$604,0))),"")</f>
        <v>0</v>
      </c>
      <c r="G10" s="29">
        <f>IFERROR(IF(SMALL('Content Calendar'!$AI$5:$AI$604,COUNTIF('Content Calendar'!$AI$5:$AI$604,"&lt;"&amp;WeekStartDate+0)+3)&gt;=WeekStartDate+0+1,"",INDEX('Content Calendar'!$X$5:$X$604,MATCH(SMALL('Content Calendar'!$AI$5:$AI$604,COUNTIF('Content Calendar'!$AI$5:$AI$604,"&lt;"&amp;WeekStartDate+0)+3),'Content Calendar'!$AI$5:$AI$604,0))),"")</f>
        <v>0</v>
      </c>
      <c r="H10" s="57"/>
    </row>
    <row r="11" spans="1:8">
      <c r="A11" s="17">
        <f>IFERROR(IF(SMALL('Content Calendar'!$AI$5:$AI$604,COUNTIF('Content Calendar'!$AI$5:$AI$604,"&lt;"&amp;WeekStartDate+0)+4)&gt;=WeekStartDate+0+1,"",INDEX('Content Calendar'!$C$5:$C$604,MATCH(SMALL('Content Calendar'!$AI$5:$AI$604,COUNTIF('Content Calendar'!$AI$5:$AI$604,"&lt;"&amp;WeekStartDate+0)+4),'Content Calendar'!$AI$5:$AI$604,0))),"")</f>
        <v>0</v>
      </c>
      <c r="B11" s="17">
        <f>IFERROR(IF(SMALL('Content Calendar'!$AI$5:$AI$604,COUNTIF('Content Calendar'!$AI$5:$AI$604,"&lt;"&amp;WeekStartDate+0)+4)&gt;=WeekStartDate+0+1,"",INDEX('Content Calendar'!$G$5:$G$604,MATCH(SMALL('Content Calendar'!$AI$5:$AI$604,COUNTIF('Content Calendar'!$AI$5:$AI$604,"&lt;"&amp;WeekStartDate+0)+4),'Content Calendar'!$AI$5:$AI$604,0))),"")</f>
        <v>0</v>
      </c>
      <c r="C11" s="17">
        <f>IFERROR(IF(SMALL('Content Calendar'!$AI$5:$AI$604,COUNTIF('Content Calendar'!$AI$5:$AI$604,"&lt;"&amp;WeekStartDate+0)+4)&gt;=WeekStartDate+0+1,"",INDEX('Content Calendar'!$H$5:$H$604,MATCH(SMALL('Content Calendar'!$AI$5:$AI$604,COUNTIF('Content Calendar'!$AI$5:$AI$604,"&lt;"&amp;WeekStartDate+0)+4),'Content Calendar'!$AI$5:$AI$604,0))),"")</f>
        <v>0</v>
      </c>
      <c r="D11" s="17">
        <f>IFERROR(IF(SMALL('Content Calendar'!$AI$5:$AI$604,COUNTIF('Content Calendar'!$AI$5:$AI$604,"&lt;"&amp;WeekStartDate+0)+4)&gt;=WeekStartDate+0+1,"",INDEX('Content Calendar'!$K$5:$K$604,MATCH(SMALL('Content Calendar'!$AI$5:$AI$604,COUNTIF('Content Calendar'!$AI$5:$AI$604,"&lt;"&amp;WeekStartDate+0)+4),'Content Calendar'!$AI$5:$AI$604,0))),"")</f>
        <v>0</v>
      </c>
      <c r="E11" s="17">
        <f>IFERROR(IF(SMALL('Content Calendar'!$AI$5:$AI$604,COUNTIF('Content Calendar'!$AI$5:$AI$604,"&lt;"&amp;WeekStartDate+0)+4)&gt;=WeekStartDate+0+1,"",INDEX('Content Calendar'!$J$5:$J$604,MATCH(SMALL('Content Calendar'!$AI$5:$AI$604,COUNTIF('Content Calendar'!$AI$5:$AI$604,"&lt;"&amp;WeekStartDate+0)+4),'Content Calendar'!$AI$5:$AI$604,0))),"")</f>
        <v>0</v>
      </c>
      <c r="F11" s="17">
        <f>IFERROR(IF(SMALL('Content Calendar'!$AI$5:$AI$604,COUNTIF('Content Calendar'!$AI$5:$AI$604,"&lt;"&amp;WeekStartDate+0)+4)&gt;=WeekStartDate+0+1,"",INDEX('Content Calendar'!$W$5:$W$604,MATCH(SMALL('Content Calendar'!$AI$5:$AI$604,COUNTIF('Content Calendar'!$AI$5:$AI$604,"&lt;"&amp;WeekStartDate+0)+4),'Content Calendar'!$AI$5:$AI$604,0))),"")</f>
        <v>0</v>
      </c>
      <c r="G11" s="29">
        <f>IFERROR(IF(SMALL('Content Calendar'!$AI$5:$AI$604,COUNTIF('Content Calendar'!$AI$5:$AI$604,"&lt;"&amp;WeekStartDate+0)+4)&gt;=WeekStartDate+0+1,"",INDEX('Content Calendar'!$X$5:$X$604,MATCH(SMALL('Content Calendar'!$AI$5:$AI$604,COUNTIF('Content Calendar'!$AI$5:$AI$604,"&lt;"&amp;WeekStartDate+0)+4),'Content Calendar'!$AI$5:$AI$604,0))),"")</f>
        <v>0</v>
      </c>
      <c r="H11" s="57"/>
    </row>
    <row r="12" spans="1:8" ht="20" customHeight="1">
      <c r="A12" s="7">
        <f>TEXT(WeekStartDate+1,"dddd d mmmm")</f>
        <v>0</v>
      </c>
      <c r="B12" s="7"/>
      <c r="C12" s="7"/>
      <c r="D12" s="7"/>
      <c r="E12" s="7"/>
      <c r="F12" s="7"/>
      <c r="G12" s="7"/>
      <c r="H12" s="7"/>
    </row>
    <row r="13" spans="1:8" ht="26" customHeight="1">
      <c r="A13" s="8" t="s">
        <v>2234</v>
      </c>
      <c r="B13" s="9" t="s">
        <v>192</v>
      </c>
      <c r="C13" s="9" t="s">
        <v>201</v>
      </c>
      <c r="D13" s="9" t="s">
        <v>267</v>
      </c>
      <c r="E13" s="9" t="s">
        <v>195</v>
      </c>
      <c r="F13" s="9" t="s">
        <v>222</v>
      </c>
      <c r="G13" s="9" t="s">
        <v>221</v>
      </c>
      <c r="H13" s="9" t="s">
        <v>2235</v>
      </c>
    </row>
    <row r="14" spans="1:8">
      <c r="A14" s="17">
        <f>IFERROR(IF(SMALL('Content Calendar'!$AI$5:$AI$604,COUNTIF('Content Calendar'!$AI$5:$AI$604,"&lt;"&amp;WeekStartDate+1)+1)&gt;=WeekStartDate+1+1,"",INDEX('Content Calendar'!$C$5:$C$604,MATCH(SMALL('Content Calendar'!$AI$5:$AI$604,COUNTIF('Content Calendar'!$AI$5:$AI$604,"&lt;"&amp;WeekStartDate+1)+1),'Content Calendar'!$AI$5:$AI$604,0))),"")</f>
        <v>0</v>
      </c>
      <c r="B14" s="17">
        <f>IFERROR(IF(SMALL('Content Calendar'!$AI$5:$AI$604,COUNTIF('Content Calendar'!$AI$5:$AI$604,"&lt;"&amp;WeekStartDate+1)+1)&gt;=WeekStartDate+1+1,"",INDEX('Content Calendar'!$G$5:$G$604,MATCH(SMALL('Content Calendar'!$AI$5:$AI$604,COUNTIF('Content Calendar'!$AI$5:$AI$604,"&lt;"&amp;WeekStartDate+1)+1),'Content Calendar'!$AI$5:$AI$604,0))),"")</f>
        <v>0</v>
      </c>
      <c r="C14" s="17">
        <f>IFERROR(IF(SMALL('Content Calendar'!$AI$5:$AI$604,COUNTIF('Content Calendar'!$AI$5:$AI$604,"&lt;"&amp;WeekStartDate+1)+1)&gt;=WeekStartDate+1+1,"",INDEX('Content Calendar'!$H$5:$H$604,MATCH(SMALL('Content Calendar'!$AI$5:$AI$604,COUNTIF('Content Calendar'!$AI$5:$AI$604,"&lt;"&amp;WeekStartDate+1)+1),'Content Calendar'!$AI$5:$AI$604,0))),"")</f>
        <v>0</v>
      </c>
      <c r="D14" s="17">
        <f>IFERROR(IF(SMALL('Content Calendar'!$AI$5:$AI$604,COUNTIF('Content Calendar'!$AI$5:$AI$604,"&lt;"&amp;WeekStartDate+1)+1)&gt;=WeekStartDate+1+1,"",INDEX('Content Calendar'!$K$5:$K$604,MATCH(SMALL('Content Calendar'!$AI$5:$AI$604,COUNTIF('Content Calendar'!$AI$5:$AI$604,"&lt;"&amp;WeekStartDate+1)+1),'Content Calendar'!$AI$5:$AI$604,0))),"")</f>
        <v>0</v>
      </c>
      <c r="E14" s="17">
        <f>IFERROR(IF(SMALL('Content Calendar'!$AI$5:$AI$604,COUNTIF('Content Calendar'!$AI$5:$AI$604,"&lt;"&amp;WeekStartDate+1)+1)&gt;=WeekStartDate+1+1,"",INDEX('Content Calendar'!$J$5:$J$604,MATCH(SMALL('Content Calendar'!$AI$5:$AI$604,COUNTIF('Content Calendar'!$AI$5:$AI$604,"&lt;"&amp;WeekStartDate+1)+1),'Content Calendar'!$AI$5:$AI$604,0))),"")</f>
        <v>0</v>
      </c>
      <c r="F14" s="17">
        <f>IFERROR(IF(SMALL('Content Calendar'!$AI$5:$AI$604,COUNTIF('Content Calendar'!$AI$5:$AI$604,"&lt;"&amp;WeekStartDate+1)+1)&gt;=WeekStartDate+1+1,"",INDEX('Content Calendar'!$W$5:$W$604,MATCH(SMALL('Content Calendar'!$AI$5:$AI$604,COUNTIF('Content Calendar'!$AI$5:$AI$604,"&lt;"&amp;WeekStartDate+1)+1),'Content Calendar'!$AI$5:$AI$604,0))),"")</f>
        <v>0</v>
      </c>
      <c r="G14" s="29">
        <f>IFERROR(IF(SMALL('Content Calendar'!$AI$5:$AI$604,COUNTIF('Content Calendar'!$AI$5:$AI$604,"&lt;"&amp;WeekStartDate+1)+1)&gt;=WeekStartDate+1+1,"",INDEX('Content Calendar'!$X$5:$X$604,MATCH(SMALL('Content Calendar'!$AI$5:$AI$604,COUNTIF('Content Calendar'!$AI$5:$AI$604,"&lt;"&amp;WeekStartDate+1)+1),'Content Calendar'!$AI$5:$AI$604,0))),"")</f>
        <v>0</v>
      </c>
      <c r="H14" s="57"/>
    </row>
    <row r="15" spans="1:8">
      <c r="A15" s="17">
        <f>IFERROR(IF(SMALL('Content Calendar'!$AI$5:$AI$604,COUNTIF('Content Calendar'!$AI$5:$AI$604,"&lt;"&amp;WeekStartDate+1)+2)&gt;=WeekStartDate+1+1,"",INDEX('Content Calendar'!$C$5:$C$604,MATCH(SMALL('Content Calendar'!$AI$5:$AI$604,COUNTIF('Content Calendar'!$AI$5:$AI$604,"&lt;"&amp;WeekStartDate+1)+2),'Content Calendar'!$AI$5:$AI$604,0))),"")</f>
        <v>0</v>
      </c>
      <c r="B15" s="17">
        <f>IFERROR(IF(SMALL('Content Calendar'!$AI$5:$AI$604,COUNTIF('Content Calendar'!$AI$5:$AI$604,"&lt;"&amp;WeekStartDate+1)+2)&gt;=WeekStartDate+1+1,"",INDEX('Content Calendar'!$G$5:$G$604,MATCH(SMALL('Content Calendar'!$AI$5:$AI$604,COUNTIF('Content Calendar'!$AI$5:$AI$604,"&lt;"&amp;WeekStartDate+1)+2),'Content Calendar'!$AI$5:$AI$604,0))),"")</f>
        <v>0</v>
      </c>
      <c r="C15" s="17">
        <f>IFERROR(IF(SMALL('Content Calendar'!$AI$5:$AI$604,COUNTIF('Content Calendar'!$AI$5:$AI$604,"&lt;"&amp;WeekStartDate+1)+2)&gt;=WeekStartDate+1+1,"",INDEX('Content Calendar'!$H$5:$H$604,MATCH(SMALL('Content Calendar'!$AI$5:$AI$604,COUNTIF('Content Calendar'!$AI$5:$AI$604,"&lt;"&amp;WeekStartDate+1)+2),'Content Calendar'!$AI$5:$AI$604,0))),"")</f>
        <v>0</v>
      </c>
      <c r="D15" s="17">
        <f>IFERROR(IF(SMALL('Content Calendar'!$AI$5:$AI$604,COUNTIF('Content Calendar'!$AI$5:$AI$604,"&lt;"&amp;WeekStartDate+1)+2)&gt;=WeekStartDate+1+1,"",INDEX('Content Calendar'!$K$5:$K$604,MATCH(SMALL('Content Calendar'!$AI$5:$AI$604,COUNTIF('Content Calendar'!$AI$5:$AI$604,"&lt;"&amp;WeekStartDate+1)+2),'Content Calendar'!$AI$5:$AI$604,0))),"")</f>
        <v>0</v>
      </c>
      <c r="E15" s="17">
        <f>IFERROR(IF(SMALL('Content Calendar'!$AI$5:$AI$604,COUNTIF('Content Calendar'!$AI$5:$AI$604,"&lt;"&amp;WeekStartDate+1)+2)&gt;=WeekStartDate+1+1,"",INDEX('Content Calendar'!$J$5:$J$604,MATCH(SMALL('Content Calendar'!$AI$5:$AI$604,COUNTIF('Content Calendar'!$AI$5:$AI$604,"&lt;"&amp;WeekStartDate+1)+2),'Content Calendar'!$AI$5:$AI$604,0))),"")</f>
        <v>0</v>
      </c>
      <c r="F15" s="17">
        <f>IFERROR(IF(SMALL('Content Calendar'!$AI$5:$AI$604,COUNTIF('Content Calendar'!$AI$5:$AI$604,"&lt;"&amp;WeekStartDate+1)+2)&gt;=WeekStartDate+1+1,"",INDEX('Content Calendar'!$W$5:$W$604,MATCH(SMALL('Content Calendar'!$AI$5:$AI$604,COUNTIF('Content Calendar'!$AI$5:$AI$604,"&lt;"&amp;WeekStartDate+1)+2),'Content Calendar'!$AI$5:$AI$604,0))),"")</f>
        <v>0</v>
      </c>
      <c r="G15" s="29">
        <f>IFERROR(IF(SMALL('Content Calendar'!$AI$5:$AI$604,COUNTIF('Content Calendar'!$AI$5:$AI$604,"&lt;"&amp;WeekStartDate+1)+2)&gt;=WeekStartDate+1+1,"",INDEX('Content Calendar'!$X$5:$X$604,MATCH(SMALL('Content Calendar'!$AI$5:$AI$604,COUNTIF('Content Calendar'!$AI$5:$AI$604,"&lt;"&amp;WeekStartDate+1)+2),'Content Calendar'!$AI$5:$AI$604,0))),"")</f>
        <v>0</v>
      </c>
      <c r="H15" s="57"/>
    </row>
    <row r="16" spans="1:8">
      <c r="A16" s="17">
        <f>IFERROR(IF(SMALL('Content Calendar'!$AI$5:$AI$604,COUNTIF('Content Calendar'!$AI$5:$AI$604,"&lt;"&amp;WeekStartDate+1)+3)&gt;=WeekStartDate+1+1,"",INDEX('Content Calendar'!$C$5:$C$604,MATCH(SMALL('Content Calendar'!$AI$5:$AI$604,COUNTIF('Content Calendar'!$AI$5:$AI$604,"&lt;"&amp;WeekStartDate+1)+3),'Content Calendar'!$AI$5:$AI$604,0))),"")</f>
        <v>0</v>
      </c>
      <c r="B16" s="17">
        <f>IFERROR(IF(SMALL('Content Calendar'!$AI$5:$AI$604,COUNTIF('Content Calendar'!$AI$5:$AI$604,"&lt;"&amp;WeekStartDate+1)+3)&gt;=WeekStartDate+1+1,"",INDEX('Content Calendar'!$G$5:$G$604,MATCH(SMALL('Content Calendar'!$AI$5:$AI$604,COUNTIF('Content Calendar'!$AI$5:$AI$604,"&lt;"&amp;WeekStartDate+1)+3),'Content Calendar'!$AI$5:$AI$604,0))),"")</f>
        <v>0</v>
      </c>
      <c r="C16" s="17">
        <f>IFERROR(IF(SMALL('Content Calendar'!$AI$5:$AI$604,COUNTIF('Content Calendar'!$AI$5:$AI$604,"&lt;"&amp;WeekStartDate+1)+3)&gt;=WeekStartDate+1+1,"",INDEX('Content Calendar'!$H$5:$H$604,MATCH(SMALL('Content Calendar'!$AI$5:$AI$604,COUNTIF('Content Calendar'!$AI$5:$AI$604,"&lt;"&amp;WeekStartDate+1)+3),'Content Calendar'!$AI$5:$AI$604,0))),"")</f>
        <v>0</v>
      </c>
      <c r="D16" s="17">
        <f>IFERROR(IF(SMALL('Content Calendar'!$AI$5:$AI$604,COUNTIF('Content Calendar'!$AI$5:$AI$604,"&lt;"&amp;WeekStartDate+1)+3)&gt;=WeekStartDate+1+1,"",INDEX('Content Calendar'!$K$5:$K$604,MATCH(SMALL('Content Calendar'!$AI$5:$AI$604,COUNTIF('Content Calendar'!$AI$5:$AI$604,"&lt;"&amp;WeekStartDate+1)+3),'Content Calendar'!$AI$5:$AI$604,0))),"")</f>
        <v>0</v>
      </c>
      <c r="E16" s="17">
        <f>IFERROR(IF(SMALL('Content Calendar'!$AI$5:$AI$604,COUNTIF('Content Calendar'!$AI$5:$AI$604,"&lt;"&amp;WeekStartDate+1)+3)&gt;=WeekStartDate+1+1,"",INDEX('Content Calendar'!$J$5:$J$604,MATCH(SMALL('Content Calendar'!$AI$5:$AI$604,COUNTIF('Content Calendar'!$AI$5:$AI$604,"&lt;"&amp;WeekStartDate+1)+3),'Content Calendar'!$AI$5:$AI$604,0))),"")</f>
        <v>0</v>
      </c>
      <c r="F16" s="17">
        <f>IFERROR(IF(SMALL('Content Calendar'!$AI$5:$AI$604,COUNTIF('Content Calendar'!$AI$5:$AI$604,"&lt;"&amp;WeekStartDate+1)+3)&gt;=WeekStartDate+1+1,"",INDEX('Content Calendar'!$W$5:$W$604,MATCH(SMALL('Content Calendar'!$AI$5:$AI$604,COUNTIF('Content Calendar'!$AI$5:$AI$604,"&lt;"&amp;WeekStartDate+1)+3),'Content Calendar'!$AI$5:$AI$604,0))),"")</f>
        <v>0</v>
      </c>
      <c r="G16" s="29">
        <f>IFERROR(IF(SMALL('Content Calendar'!$AI$5:$AI$604,COUNTIF('Content Calendar'!$AI$5:$AI$604,"&lt;"&amp;WeekStartDate+1)+3)&gt;=WeekStartDate+1+1,"",INDEX('Content Calendar'!$X$5:$X$604,MATCH(SMALL('Content Calendar'!$AI$5:$AI$604,COUNTIF('Content Calendar'!$AI$5:$AI$604,"&lt;"&amp;WeekStartDate+1)+3),'Content Calendar'!$AI$5:$AI$604,0))),"")</f>
        <v>0</v>
      </c>
      <c r="H16" s="57"/>
    </row>
    <row r="17" spans="1:8">
      <c r="A17" s="17">
        <f>IFERROR(IF(SMALL('Content Calendar'!$AI$5:$AI$604,COUNTIF('Content Calendar'!$AI$5:$AI$604,"&lt;"&amp;WeekStartDate+1)+4)&gt;=WeekStartDate+1+1,"",INDEX('Content Calendar'!$C$5:$C$604,MATCH(SMALL('Content Calendar'!$AI$5:$AI$604,COUNTIF('Content Calendar'!$AI$5:$AI$604,"&lt;"&amp;WeekStartDate+1)+4),'Content Calendar'!$AI$5:$AI$604,0))),"")</f>
        <v>0</v>
      </c>
      <c r="B17" s="17">
        <f>IFERROR(IF(SMALL('Content Calendar'!$AI$5:$AI$604,COUNTIF('Content Calendar'!$AI$5:$AI$604,"&lt;"&amp;WeekStartDate+1)+4)&gt;=WeekStartDate+1+1,"",INDEX('Content Calendar'!$G$5:$G$604,MATCH(SMALL('Content Calendar'!$AI$5:$AI$604,COUNTIF('Content Calendar'!$AI$5:$AI$604,"&lt;"&amp;WeekStartDate+1)+4),'Content Calendar'!$AI$5:$AI$604,0))),"")</f>
        <v>0</v>
      </c>
      <c r="C17" s="17">
        <f>IFERROR(IF(SMALL('Content Calendar'!$AI$5:$AI$604,COUNTIF('Content Calendar'!$AI$5:$AI$604,"&lt;"&amp;WeekStartDate+1)+4)&gt;=WeekStartDate+1+1,"",INDEX('Content Calendar'!$H$5:$H$604,MATCH(SMALL('Content Calendar'!$AI$5:$AI$604,COUNTIF('Content Calendar'!$AI$5:$AI$604,"&lt;"&amp;WeekStartDate+1)+4),'Content Calendar'!$AI$5:$AI$604,0))),"")</f>
        <v>0</v>
      </c>
      <c r="D17" s="17">
        <f>IFERROR(IF(SMALL('Content Calendar'!$AI$5:$AI$604,COUNTIF('Content Calendar'!$AI$5:$AI$604,"&lt;"&amp;WeekStartDate+1)+4)&gt;=WeekStartDate+1+1,"",INDEX('Content Calendar'!$K$5:$K$604,MATCH(SMALL('Content Calendar'!$AI$5:$AI$604,COUNTIF('Content Calendar'!$AI$5:$AI$604,"&lt;"&amp;WeekStartDate+1)+4),'Content Calendar'!$AI$5:$AI$604,0))),"")</f>
        <v>0</v>
      </c>
      <c r="E17" s="17">
        <f>IFERROR(IF(SMALL('Content Calendar'!$AI$5:$AI$604,COUNTIF('Content Calendar'!$AI$5:$AI$604,"&lt;"&amp;WeekStartDate+1)+4)&gt;=WeekStartDate+1+1,"",INDEX('Content Calendar'!$J$5:$J$604,MATCH(SMALL('Content Calendar'!$AI$5:$AI$604,COUNTIF('Content Calendar'!$AI$5:$AI$604,"&lt;"&amp;WeekStartDate+1)+4),'Content Calendar'!$AI$5:$AI$604,0))),"")</f>
        <v>0</v>
      </c>
      <c r="F17" s="17">
        <f>IFERROR(IF(SMALL('Content Calendar'!$AI$5:$AI$604,COUNTIF('Content Calendar'!$AI$5:$AI$604,"&lt;"&amp;WeekStartDate+1)+4)&gt;=WeekStartDate+1+1,"",INDEX('Content Calendar'!$W$5:$W$604,MATCH(SMALL('Content Calendar'!$AI$5:$AI$604,COUNTIF('Content Calendar'!$AI$5:$AI$604,"&lt;"&amp;WeekStartDate+1)+4),'Content Calendar'!$AI$5:$AI$604,0))),"")</f>
        <v>0</v>
      </c>
      <c r="G17" s="29">
        <f>IFERROR(IF(SMALL('Content Calendar'!$AI$5:$AI$604,COUNTIF('Content Calendar'!$AI$5:$AI$604,"&lt;"&amp;WeekStartDate+1)+4)&gt;=WeekStartDate+1+1,"",INDEX('Content Calendar'!$X$5:$X$604,MATCH(SMALL('Content Calendar'!$AI$5:$AI$604,COUNTIF('Content Calendar'!$AI$5:$AI$604,"&lt;"&amp;WeekStartDate+1)+4),'Content Calendar'!$AI$5:$AI$604,0))),"")</f>
        <v>0</v>
      </c>
      <c r="H17" s="57"/>
    </row>
    <row r="18" spans="1:8" ht="20" customHeight="1">
      <c r="A18" s="7">
        <f>TEXT(WeekStartDate+2,"dddd d mmmm")</f>
        <v>0</v>
      </c>
      <c r="B18" s="7"/>
      <c r="C18" s="7"/>
      <c r="D18" s="7"/>
      <c r="E18" s="7"/>
      <c r="F18" s="7"/>
      <c r="G18" s="7"/>
      <c r="H18" s="7"/>
    </row>
    <row r="19" spans="1:8" ht="26" customHeight="1">
      <c r="A19" s="8" t="s">
        <v>2234</v>
      </c>
      <c r="B19" s="9" t="s">
        <v>192</v>
      </c>
      <c r="C19" s="9" t="s">
        <v>201</v>
      </c>
      <c r="D19" s="9" t="s">
        <v>267</v>
      </c>
      <c r="E19" s="9" t="s">
        <v>195</v>
      </c>
      <c r="F19" s="9" t="s">
        <v>222</v>
      </c>
      <c r="G19" s="9" t="s">
        <v>221</v>
      </c>
      <c r="H19" s="9" t="s">
        <v>2235</v>
      </c>
    </row>
    <row r="20" spans="1:8">
      <c r="A20" s="17">
        <f>IFERROR(IF(SMALL('Content Calendar'!$AI$5:$AI$604,COUNTIF('Content Calendar'!$AI$5:$AI$604,"&lt;"&amp;WeekStartDate+2)+1)&gt;=WeekStartDate+2+1,"",INDEX('Content Calendar'!$C$5:$C$604,MATCH(SMALL('Content Calendar'!$AI$5:$AI$604,COUNTIF('Content Calendar'!$AI$5:$AI$604,"&lt;"&amp;WeekStartDate+2)+1),'Content Calendar'!$AI$5:$AI$604,0))),"")</f>
        <v>0</v>
      </c>
      <c r="B20" s="17">
        <f>IFERROR(IF(SMALL('Content Calendar'!$AI$5:$AI$604,COUNTIF('Content Calendar'!$AI$5:$AI$604,"&lt;"&amp;WeekStartDate+2)+1)&gt;=WeekStartDate+2+1,"",INDEX('Content Calendar'!$G$5:$G$604,MATCH(SMALL('Content Calendar'!$AI$5:$AI$604,COUNTIF('Content Calendar'!$AI$5:$AI$604,"&lt;"&amp;WeekStartDate+2)+1),'Content Calendar'!$AI$5:$AI$604,0))),"")</f>
        <v>0</v>
      </c>
      <c r="C20" s="17">
        <f>IFERROR(IF(SMALL('Content Calendar'!$AI$5:$AI$604,COUNTIF('Content Calendar'!$AI$5:$AI$604,"&lt;"&amp;WeekStartDate+2)+1)&gt;=WeekStartDate+2+1,"",INDEX('Content Calendar'!$H$5:$H$604,MATCH(SMALL('Content Calendar'!$AI$5:$AI$604,COUNTIF('Content Calendar'!$AI$5:$AI$604,"&lt;"&amp;WeekStartDate+2)+1),'Content Calendar'!$AI$5:$AI$604,0))),"")</f>
        <v>0</v>
      </c>
      <c r="D20" s="17">
        <f>IFERROR(IF(SMALL('Content Calendar'!$AI$5:$AI$604,COUNTIF('Content Calendar'!$AI$5:$AI$604,"&lt;"&amp;WeekStartDate+2)+1)&gt;=WeekStartDate+2+1,"",INDEX('Content Calendar'!$K$5:$K$604,MATCH(SMALL('Content Calendar'!$AI$5:$AI$604,COUNTIF('Content Calendar'!$AI$5:$AI$604,"&lt;"&amp;WeekStartDate+2)+1),'Content Calendar'!$AI$5:$AI$604,0))),"")</f>
        <v>0</v>
      </c>
      <c r="E20" s="17">
        <f>IFERROR(IF(SMALL('Content Calendar'!$AI$5:$AI$604,COUNTIF('Content Calendar'!$AI$5:$AI$604,"&lt;"&amp;WeekStartDate+2)+1)&gt;=WeekStartDate+2+1,"",INDEX('Content Calendar'!$J$5:$J$604,MATCH(SMALL('Content Calendar'!$AI$5:$AI$604,COUNTIF('Content Calendar'!$AI$5:$AI$604,"&lt;"&amp;WeekStartDate+2)+1),'Content Calendar'!$AI$5:$AI$604,0))),"")</f>
        <v>0</v>
      </c>
      <c r="F20" s="17">
        <f>IFERROR(IF(SMALL('Content Calendar'!$AI$5:$AI$604,COUNTIF('Content Calendar'!$AI$5:$AI$604,"&lt;"&amp;WeekStartDate+2)+1)&gt;=WeekStartDate+2+1,"",INDEX('Content Calendar'!$W$5:$W$604,MATCH(SMALL('Content Calendar'!$AI$5:$AI$604,COUNTIF('Content Calendar'!$AI$5:$AI$604,"&lt;"&amp;WeekStartDate+2)+1),'Content Calendar'!$AI$5:$AI$604,0))),"")</f>
        <v>0</v>
      </c>
      <c r="G20" s="29">
        <f>IFERROR(IF(SMALL('Content Calendar'!$AI$5:$AI$604,COUNTIF('Content Calendar'!$AI$5:$AI$604,"&lt;"&amp;WeekStartDate+2)+1)&gt;=WeekStartDate+2+1,"",INDEX('Content Calendar'!$X$5:$X$604,MATCH(SMALL('Content Calendar'!$AI$5:$AI$604,COUNTIF('Content Calendar'!$AI$5:$AI$604,"&lt;"&amp;WeekStartDate+2)+1),'Content Calendar'!$AI$5:$AI$604,0))),"")</f>
        <v>0</v>
      </c>
      <c r="H20" s="57"/>
    </row>
    <row r="21" spans="1:8">
      <c r="A21" s="17">
        <f>IFERROR(IF(SMALL('Content Calendar'!$AI$5:$AI$604,COUNTIF('Content Calendar'!$AI$5:$AI$604,"&lt;"&amp;WeekStartDate+2)+2)&gt;=WeekStartDate+2+1,"",INDEX('Content Calendar'!$C$5:$C$604,MATCH(SMALL('Content Calendar'!$AI$5:$AI$604,COUNTIF('Content Calendar'!$AI$5:$AI$604,"&lt;"&amp;WeekStartDate+2)+2),'Content Calendar'!$AI$5:$AI$604,0))),"")</f>
        <v>0</v>
      </c>
      <c r="B21" s="17">
        <f>IFERROR(IF(SMALL('Content Calendar'!$AI$5:$AI$604,COUNTIF('Content Calendar'!$AI$5:$AI$604,"&lt;"&amp;WeekStartDate+2)+2)&gt;=WeekStartDate+2+1,"",INDEX('Content Calendar'!$G$5:$G$604,MATCH(SMALL('Content Calendar'!$AI$5:$AI$604,COUNTIF('Content Calendar'!$AI$5:$AI$604,"&lt;"&amp;WeekStartDate+2)+2),'Content Calendar'!$AI$5:$AI$604,0))),"")</f>
        <v>0</v>
      </c>
      <c r="C21" s="17">
        <f>IFERROR(IF(SMALL('Content Calendar'!$AI$5:$AI$604,COUNTIF('Content Calendar'!$AI$5:$AI$604,"&lt;"&amp;WeekStartDate+2)+2)&gt;=WeekStartDate+2+1,"",INDEX('Content Calendar'!$H$5:$H$604,MATCH(SMALL('Content Calendar'!$AI$5:$AI$604,COUNTIF('Content Calendar'!$AI$5:$AI$604,"&lt;"&amp;WeekStartDate+2)+2),'Content Calendar'!$AI$5:$AI$604,0))),"")</f>
        <v>0</v>
      </c>
      <c r="D21" s="17">
        <f>IFERROR(IF(SMALL('Content Calendar'!$AI$5:$AI$604,COUNTIF('Content Calendar'!$AI$5:$AI$604,"&lt;"&amp;WeekStartDate+2)+2)&gt;=WeekStartDate+2+1,"",INDEX('Content Calendar'!$K$5:$K$604,MATCH(SMALL('Content Calendar'!$AI$5:$AI$604,COUNTIF('Content Calendar'!$AI$5:$AI$604,"&lt;"&amp;WeekStartDate+2)+2),'Content Calendar'!$AI$5:$AI$604,0))),"")</f>
        <v>0</v>
      </c>
      <c r="E21" s="17">
        <f>IFERROR(IF(SMALL('Content Calendar'!$AI$5:$AI$604,COUNTIF('Content Calendar'!$AI$5:$AI$604,"&lt;"&amp;WeekStartDate+2)+2)&gt;=WeekStartDate+2+1,"",INDEX('Content Calendar'!$J$5:$J$604,MATCH(SMALL('Content Calendar'!$AI$5:$AI$604,COUNTIF('Content Calendar'!$AI$5:$AI$604,"&lt;"&amp;WeekStartDate+2)+2),'Content Calendar'!$AI$5:$AI$604,0))),"")</f>
        <v>0</v>
      </c>
      <c r="F21" s="17">
        <f>IFERROR(IF(SMALL('Content Calendar'!$AI$5:$AI$604,COUNTIF('Content Calendar'!$AI$5:$AI$604,"&lt;"&amp;WeekStartDate+2)+2)&gt;=WeekStartDate+2+1,"",INDEX('Content Calendar'!$W$5:$W$604,MATCH(SMALL('Content Calendar'!$AI$5:$AI$604,COUNTIF('Content Calendar'!$AI$5:$AI$604,"&lt;"&amp;WeekStartDate+2)+2),'Content Calendar'!$AI$5:$AI$604,0))),"")</f>
        <v>0</v>
      </c>
      <c r="G21" s="29">
        <f>IFERROR(IF(SMALL('Content Calendar'!$AI$5:$AI$604,COUNTIF('Content Calendar'!$AI$5:$AI$604,"&lt;"&amp;WeekStartDate+2)+2)&gt;=WeekStartDate+2+1,"",INDEX('Content Calendar'!$X$5:$X$604,MATCH(SMALL('Content Calendar'!$AI$5:$AI$604,COUNTIF('Content Calendar'!$AI$5:$AI$604,"&lt;"&amp;WeekStartDate+2)+2),'Content Calendar'!$AI$5:$AI$604,0))),"")</f>
        <v>0</v>
      </c>
      <c r="H21" s="57"/>
    </row>
    <row r="22" spans="1:8">
      <c r="A22" s="17">
        <f>IFERROR(IF(SMALL('Content Calendar'!$AI$5:$AI$604,COUNTIF('Content Calendar'!$AI$5:$AI$604,"&lt;"&amp;WeekStartDate+2)+3)&gt;=WeekStartDate+2+1,"",INDEX('Content Calendar'!$C$5:$C$604,MATCH(SMALL('Content Calendar'!$AI$5:$AI$604,COUNTIF('Content Calendar'!$AI$5:$AI$604,"&lt;"&amp;WeekStartDate+2)+3),'Content Calendar'!$AI$5:$AI$604,0))),"")</f>
        <v>0</v>
      </c>
      <c r="B22" s="17">
        <f>IFERROR(IF(SMALL('Content Calendar'!$AI$5:$AI$604,COUNTIF('Content Calendar'!$AI$5:$AI$604,"&lt;"&amp;WeekStartDate+2)+3)&gt;=WeekStartDate+2+1,"",INDEX('Content Calendar'!$G$5:$G$604,MATCH(SMALL('Content Calendar'!$AI$5:$AI$604,COUNTIF('Content Calendar'!$AI$5:$AI$604,"&lt;"&amp;WeekStartDate+2)+3),'Content Calendar'!$AI$5:$AI$604,0))),"")</f>
        <v>0</v>
      </c>
      <c r="C22" s="17">
        <f>IFERROR(IF(SMALL('Content Calendar'!$AI$5:$AI$604,COUNTIF('Content Calendar'!$AI$5:$AI$604,"&lt;"&amp;WeekStartDate+2)+3)&gt;=WeekStartDate+2+1,"",INDEX('Content Calendar'!$H$5:$H$604,MATCH(SMALL('Content Calendar'!$AI$5:$AI$604,COUNTIF('Content Calendar'!$AI$5:$AI$604,"&lt;"&amp;WeekStartDate+2)+3),'Content Calendar'!$AI$5:$AI$604,0))),"")</f>
        <v>0</v>
      </c>
      <c r="D22" s="17">
        <f>IFERROR(IF(SMALL('Content Calendar'!$AI$5:$AI$604,COUNTIF('Content Calendar'!$AI$5:$AI$604,"&lt;"&amp;WeekStartDate+2)+3)&gt;=WeekStartDate+2+1,"",INDEX('Content Calendar'!$K$5:$K$604,MATCH(SMALL('Content Calendar'!$AI$5:$AI$604,COUNTIF('Content Calendar'!$AI$5:$AI$604,"&lt;"&amp;WeekStartDate+2)+3),'Content Calendar'!$AI$5:$AI$604,0))),"")</f>
        <v>0</v>
      </c>
      <c r="E22" s="17">
        <f>IFERROR(IF(SMALL('Content Calendar'!$AI$5:$AI$604,COUNTIF('Content Calendar'!$AI$5:$AI$604,"&lt;"&amp;WeekStartDate+2)+3)&gt;=WeekStartDate+2+1,"",INDEX('Content Calendar'!$J$5:$J$604,MATCH(SMALL('Content Calendar'!$AI$5:$AI$604,COUNTIF('Content Calendar'!$AI$5:$AI$604,"&lt;"&amp;WeekStartDate+2)+3),'Content Calendar'!$AI$5:$AI$604,0))),"")</f>
        <v>0</v>
      </c>
      <c r="F22" s="17">
        <f>IFERROR(IF(SMALL('Content Calendar'!$AI$5:$AI$604,COUNTIF('Content Calendar'!$AI$5:$AI$604,"&lt;"&amp;WeekStartDate+2)+3)&gt;=WeekStartDate+2+1,"",INDEX('Content Calendar'!$W$5:$W$604,MATCH(SMALL('Content Calendar'!$AI$5:$AI$604,COUNTIF('Content Calendar'!$AI$5:$AI$604,"&lt;"&amp;WeekStartDate+2)+3),'Content Calendar'!$AI$5:$AI$604,0))),"")</f>
        <v>0</v>
      </c>
      <c r="G22" s="29">
        <f>IFERROR(IF(SMALL('Content Calendar'!$AI$5:$AI$604,COUNTIF('Content Calendar'!$AI$5:$AI$604,"&lt;"&amp;WeekStartDate+2)+3)&gt;=WeekStartDate+2+1,"",INDEX('Content Calendar'!$X$5:$X$604,MATCH(SMALL('Content Calendar'!$AI$5:$AI$604,COUNTIF('Content Calendar'!$AI$5:$AI$604,"&lt;"&amp;WeekStartDate+2)+3),'Content Calendar'!$AI$5:$AI$604,0))),"")</f>
        <v>0</v>
      </c>
      <c r="H22" s="57"/>
    </row>
    <row r="23" spans="1:8">
      <c r="A23" s="17">
        <f>IFERROR(IF(SMALL('Content Calendar'!$AI$5:$AI$604,COUNTIF('Content Calendar'!$AI$5:$AI$604,"&lt;"&amp;WeekStartDate+2)+4)&gt;=WeekStartDate+2+1,"",INDEX('Content Calendar'!$C$5:$C$604,MATCH(SMALL('Content Calendar'!$AI$5:$AI$604,COUNTIF('Content Calendar'!$AI$5:$AI$604,"&lt;"&amp;WeekStartDate+2)+4),'Content Calendar'!$AI$5:$AI$604,0))),"")</f>
        <v>0</v>
      </c>
      <c r="B23" s="17">
        <f>IFERROR(IF(SMALL('Content Calendar'!$AI$5:$AI$604,COUNTIF('Content Calendar'!$AI$5:$AI$604,"&lt;"&amp;WeekStartDate+2)+4)&gt;=WeekStartDate+2+1,"",INDEX('Content Calendar'!$G$5:$G$604,MATCH(SMALL('Content Calendar'!$AI$5:$AI$604,COUNTIF('Content Calendar'!$AI$5:$AI$604,"&lt;"&amp;WeekStartDate+2)+4),'Content Calendar'!$AI$5:$AI$604,0))),"")</f>
        <v>0</v>
      </c>
      <c r="C23" s="17">
        <f>IFERROR(IF(SMALL('Content Calendar'!$AI$5:$AI$604,COUNTIF('Content Calendar'!$AI$5:$AI$604,"&lt;"&amp;WeekStartDate+2)+4)&gt;=WeekStartDate+2+1,"",INDEX('Content Calendar'!$H$5:$H$604,MATCH(SMALL('Content Calendar'!$AI$5:$AI$604,COUNTIF('Content Calendar'!$AI$5:$AI$604,"&lt;"&amp;WeekStartDate+2)+4),'Content Calendar'!$AI$5:$AI$604,0))),"")</f>
        <v>0</v>
      </c>
      <c r="D23" s="17">
        <f>IFERROR(IF(SMALL('Content Calendar'!$AI$5:$AI$604,COUNTIF('Content Calendar'!$AI$5:$AI$604,"&lt;"&amp;WeekStartDate+2)+4)&gt;=WeekStartDate+2+1,"",INDEX('Content Calendar'!$K$5:$K$604,MATCH(SMALL('Content Calendar'!$AI$5:$AI$604,COUNTIF('Content Calendar'!$AI$5:$AI$604,"&lt;"&amp;WeekStartDate+2)+4),'Content Calendar'!$AI$5:$AI$604,0))),"")</f>
        <v>0</v>
      </c>
      <c r="E23" s="17">
        <f>IFERROR(IF(SMALL('Content Calendar'!$AI$5:$AI$604,COUNTIF('Content Calendar'!$AI$5:$AI$604,"&lt;"&amp;WeekStartDate+2)+4)&gt;=WeekStartDate+2+1,"",INDEX('Content Calendar'!$J$5:$J$604,MATCH(SMALL('Content Calendar'!$AI$5:$AI$604,COUNTIF('Content Calendar'!$AI$5:$AI$604,"&lt;"&amp;WeekStartDate+2)+4),'Content Calendar'!$AI$5:$AI$604,0))),"")</f>
        <v>0</v>
      </c>
      <c r="F23" s="17">
        <f>IFERROR(IF(SMALL('Content Calendar'!$AI$5:$AI$604,COUNTIF('Content Calendar'!$AI$5:$AI$604,"&lt;"&amp;WeekStartDate+2)+4)&gt;=WeekStartDate+2+1,"",INDEX('Content Calendar'!$W$5:$W$604,MATCH(SMALL('Content Calendar'!$AI$5:$AI$604,COUNTIF('Content Calendar'!$AI$5:$AI$604,"&lt;"&amp;WeekStartDate+2)+4),'Content Calendar'!$AI$5:$AI$604,0))),"")</f>
        <v>0</v>
      </c>
      <c r="G23" s="29">
        <f>IFERROR(IF(SMALL('Content Calendar'!$AI$5:$AI$604,COUNTIF('Content Calendar'!$AI$5:$AI$604,"&lt;"&amp;WeekStartDate+2)+4)&gt;=WeekStartDate+2+1,"",INDEX('Content Calendar'!$X$5:$X$604,MATCH(SMALL('Content Calendar'!$AI$5:$AI$604,COUNTIF('Content Calendar'!$AI$5:$AI$604,"&lt;"&amp;WeekStartDate+2)+4),'Content Calendar'!$AI$5:$AI$604,0))),"")</f>
        <v>0</v>
      </c>
      <c r="H23" s="57"/>
    </row>
    <row r="24" spans="1:8" ht="20" customHeight="1">
      <c r="A24" s="7">
        <f>TEXT(WeekStartDate+3,"dddd d mmmm")</f>
        <v>0</v>
      </c>
      <c r="B24" s="7"/>
      <c r="C24" s="7"/>
      <c r="D24" s="7"/>
      <c r="E24" s="7"/>
      <c r="F24" s="7"/>
      <c r="G24" s="7"/>
      <c r="H24" s="7"/>
    </row>
    <row r="25" spans="1:8" ht="26" customHeight="1">
      <c r="A25" s="8" t="s">
        <v>2234</v>
      </c>
      <c r="B25" s="9" t="s">
        <v>192</v>
      </c>
      <c r="C25" s="9" t="s">
        <v>201</v>
      </c>
      <c r="D25" s="9" t="s">
        <v>267</v>
      </c>
      <c r="E25" s="9" t="s">
        <v>195</v>
      </c>
      <c r="F25" s="9" t="s">
        <v>222</v>
      </c>
      <c r="G25" s="9" t="s">
        <v>221</v>
      </c>
      <c r="H25" s="9" t="s">
        <v>2235</v>
      </c>
    </row>
    <row r="26" spans="1:8">
      <c r="A26" s="17">
        <f>IFERROR(IF(SMALL('Content Calendar'!$AI$5:$AI$604,COUNTIF('Content Calendar'!$AI$5:$AI$604,"&lt;"&amp;WeekStartDate+3)+1)&gt;=WeekStartDate+3+1,"",INDEX('Content Calendar'!$C$5:$C$604,MATCH(SMALL('Content Calendar'!$AI$5:$AI$604,COUNTIF('Content Calendar'!$AI$5:$AI$604,"&lt;"&amp;WeekStartDate+3)+1),'Content Calendar'!$AI$5:$AI$604,0))),"")</f>
        <v>0</v>
      </c>
      <c r="B26" s="17">
        <f>IFERROR(IF(SMALL('Content Calendar'!$AI$5:$AI$604,COUNTIF('Content Calendar'!$AI$5:$AI$604,"&lt;"&amp;WeekStartDate+3)+1)&gt;=WeekStartDate+3+1,"",INDEX('Content Calendar'!$G$5:$G$604,MATCH(SMALL('Content Calendar'!$AI$5:$AI$604,COUNTIF('Content Calendar'!$AI$5:$AI$604,"&lt;"&amp;WeekStartDate+3)+1),'Content Calendar'!$AI$5:$AI$604,0))),"")</f>
        <v>0</v>
      </c>
      <c r="C26" s="17">
        <f>IFERROR(IF(SMALL('Content Calendar'!$AI$5:$AI$604,COUNTIF('Content Calendar'!$AI$5:$AI$604,"&lt;"&amp;WeekStartDate+3)+1)&gt;=WeekStartDate+3+1,"",INDEX('Content Calendar'!$H$5:$H$604,MATCH(SMALL('Content Calendar'!$AI$5:$AI$604,COUNTIF('Content Calendar'!$AI$5:$AI$604,"&lt;"&amp;WeekStartDate+3)+1),'Content Calendar'!$AI$5:$AI$604,0))),"")</f>
        <v>0</v>
      </c>
      <c r="D26" s="17">
        <f>IFERROR(IF(SMALL('Content Calendar'!$AI$5:$AI$604,COUNTIF('Content Calendar'!$AI$5:$AI$604,"&lt;"&amp;WeekStartDate+3)+1)&gt;=WeekStartDate+3+1,"",INDEX('Content Calendar'!$K$5:$K$604,MATCH(SMALL('Content Calendar'!$AI$5:$AI$604,COUNTIF('Content Calendar'!$AI$5:$AI$604,"&lt;"&amp;WeekStartDate+3)+1),'Content Calendar'!$AI$5:$AI$604,0))),"")</f>
        <v>0</v>
      </c>
      <c r="E26" s="17">
        <f>IFERROR(IF(SMALL('Content Calendar'!$AI$5:$AI$604,COUNTIF('Content Calendar'!$AI$5:$AI$604,"&lt;"&amp;WeekStartDate+3)+1)&gt;=WeekStartDate+3+1,"",INDEX('Content Calendar'!$J$5:$J$604,MATCH(SMALL('Content Calendar'!$AI$5:$AI$604,COUNTIF('Content Calendar'!$AI$5:$AI$604,"&lt;"&amp;WeekStartDate+3)+1),'Content Calendar'!$AI$5:$AI$604,0))),"")</f>
        <v>0</v>
      </c>
      <c r="F26" s="17">
        <f>IFERROR(IF(SMALL('Content Calendar'!$AI$5:$AI$604,COUNTIF('Content Calendar'!$AI$5:$AI$604,"&lt;"&amp;WeekStartDate+3)+1)&gt;=WeekStartDate+3+1,"",INDEX('Content Calendar'!$W$5:$W$604,MATCH(SMALL('Content Calendar'!$AI$5:$AI$604,COUNTIF('Content Calendar'!$AI$5:$AI$604,"&lt;"&amp;WeekStartDate+3)+1),'Content Calendar'!$AI$5:$AI$604,0))),"")</f>
        <v>0</v>
      </c>
      <c r="G26" s="29">
        <f>IFERROR(IF(SMALL('Content Calendar'!$AI$5:$AI$604,COUNTIF('Content Calendar'!$AI$5:$AI$604,"&lt;"&amp;WeekStartDate+3)+1)&gt;=WeekStartDate+3+1,"",INDEX('Content Calendar'!$X$5:$X$604,MATCH(SMALL('Content Calendar'!$AI$5:$AI$604,COUNTIF('Content Calendar'!$AI$5:$AI$604,"&lt;"&amp;WeekStartDate+3)+1),'Content Calendar'!$AI$5:$AI$604,0))),"")</f>
        <v>0</v>
      </c>
      <c r="H26" s="57"/>
    </row>
    <row r="27" spans="1:8">
      <c r="A27" s="17">
        <f>IFERROR(IF(SMALL('Content Calendar'!$AI$5:$AI$604,COUNTIF('Content Calendar'!$AI$5:$AI$604,"&lt;"&amp;WeekStartDate+3)+2)&gt;=WeekStartDate+3+1,"",INDEX('Content Calendar'!$C$5:$C$604,MATCH(SMALL('Content Calendar'!$AI$5:$AI$604,COUNTIF('Content Calendar'!$AI$5:$AI$604,"&lt;"&amp;WeekStartDate+3)+2),'Content Calendar'!$AI$5:$AI$604,0))),"")</f>
        <v>0</v>
      </c>
      <c r="B27" s="17">
        <f>IFERROR(IF(SMALL('Content Calendar'!$AI$5:$AI$604,COUNTIF('Content Calendar'!$AI$5:$AI$604,"&lt;"&amp;WeekStartDate+3)+2)&gt;=WeekStartDate+3+1,"",INDEX('Content Calendar'!$G$5:$G$604,MATCH(SMALL('Content Calendar'!$AI$5:$AI$604,COUNTIF('Content Calendar'!$AI$5:$AI$604,"&lt;"&amp;WeekStartDate+3)+2),'Content Calendar'!$AI$5:$AI$604,0))),"")</f>
        <v>0</v>
      </c>
      <c r="C27" s="17">
        <f>IFERROR(IF(SMALL('Content Calendar'!$AI$5:$AI$604,COUNTIF('Content Calendar'!$AI$5:$AI$604,"&lt;"&amp;WeekStartDate+3)+2)&gt;=WeekStartDate+3+1,"",INDEX('Content Calendar'!$H$5:$H$604,MATCH(SMALL('Content Calendar'!$AI$5:$AI$604,COUNTIF('Content Calendar'!$AI$5:$AI$604,"&lt;"&amp;WeekStartDate+3)+2),'Content Calendar'!$AI$5:$AI$604,0))),"")</f>
        <v>0</v>
      </c>
      <c r="D27" s="17">
        <f>IFERROR(IF(SMALL('Content Calendar'!$AI$5:$AI$604,COUNTIF('Content Calendar'!$AI$5:$AI$604,"&lt;"&amp;WeekStartDate+3)+2)&gt;=WeekStartDate+3+1,"",INDEX('Content Calendar'!$K$5:$K$604,MATCH(SMALL('Content Calendar'!$AI$5:$AI$604,COUNTIF('Content Calendar'!$AI$5:$AI$604,"&lt;"&amp;WeekStartDate+3)+2),'Content Calendar'!$AI$5:$AI$604,0))),"")</f>
        <v>0</v>
      </c>
      <c r="E27" s="17">
        <f>IFERROR(IF(SMALL('Content Calendar'!$AI$5:$AI$604,COUNTIF('Content Calendar'!$AI$5:$AI$604,"&lt;"&amp;WeekStartDate+3)+2)&gt;=WeekStartDate+3+1,"",INDEX('Content Calendar'!$J$5:$J$604,MATCH(SMALL('Content Calendar'!$AI$5:$AI$604,COUNTIF('Content Calendar'!$AI$5:$AI$604,"&lt;"&amp;WeekStartDate+3)+2),'Content Calendar'!$AI$5:$AI$604,0))),"")</f>
        <v>0</v>
      </c>
      <c r="F27" s="17">
        <f>IFERROR(IF(SMALL('Content Calendar'!$AI$5:$AI$604,COUNTIF('Content Calendar'!$AI$5:$AI$604,"&lt;"&amp;WeekStartDate+3)+2)&gt;=WeekStartDate+3+1,"",INDEX('Content Calendar'!$W$5:$W$604,MATCH(SMALL('Content Calendar'!$AI$5:$AI$604,COUNTIF('Content Calendar'!$AI$5:$AI$604,"&lt;"&amp;WeekStartDate+3)+2),'Content Calendar'!$AI$5:$AI$604,0))),"")</f>
        <v>0</v>
      </c>
      <c r="G27" s="29">
        <f>IFERROR(IF(SMALL('Content Calendar'!$AI$5:$AI$604,COUNTIF('Content Calendar'!$AI$5:$AI$604,"&lt;"&amp;WeekStartDate+3)+2)&gt;=WeekStartDate+3+1,"",INDEX('Content Calendar'!$X$5:$X$604,MATCH(SMALL('Content Calendar'!$AI$5:$AI$604,COUNTIF('Content Calendar'!$AI$5:$AI$604,"&lt;"&amp;WeekStartDate+3)+2),'Content Calendar'!$AI$5:$AI$604,0))),"")</f>
        <v>0</v>
      </c>
      <c r="H27" s="57"/>
    </row>
    <row r="28" spans="1:8">
      <c r="A28" s="17">
        <f>IFERROR(IF(SMALL('Content Calendar'!$AI$5:$AI$604,COUNTIF('Content Calendar'!$AI$5:$AI$604,"&lt;"&amp;WeekStartDate+3)+3)&gt;=WeekStartDate+3+1,"",INDEX('Content Calendar'!$C$5:$C$604,MATCH(SMALL('Content Calendar'!$AI$5:$AI$604,COUNTIF('Content Calendar'!$AI$5:$AI$604,"&lt;"&amp;WeekStartDate+3)+3),'Content Calendar'!$AI$5:$AI$604,0))),"")</f>
        <v>0</v>
      </c>
      <c r="B28" s="17">
        <f>IFERROR(IF(SMALL('Content Calendar'!$AI$5:$AI$604,COUNTIF('Content Calendar'!$AI$5:$AI$604,"&lt;"&amp;WeekStartDate+3)+3)&gt;=WeekStartDate+3+1,"",INDEX('Content Calendar'!$G$5:$G$604,MATCH(SMALL('Content Calendar'!$AI$5:$AI$604,COUNTIF('Content Calendar'!$AI$5:$AI$604,"&lt;"&amp;WeekStartDate+3)+3),'Content Calendar'!$AI$5:$AI$604,0))),"")</f>
        <v>0</v>
      </c>
      <c r="C28" s="17">
        <f>IFERROR(IF(SMALL('Content Calendar'!$AI$5:$AI$604,COUNTIF('Content Calendar'!$AI$5:$AI$604,"&lt;"&amp;WeekStartDate+3)+3)&gt;=WeekStartDate+3+1,"",INDEX('Content Calendar'!$H$5:$H$604,MATCH(SMALL('Content Calendar'!$AI$5:$AI$604,COUNTIF('Content Calendar'!$AI$5:$AI$604,"&lt;"&amp;WeekStartDate+3)+3),'Content Calendar'!$AI$5:$AI$604,0))),"")</f>
        <v>0</v>
      </c>
      <c r="D28" s="17">
        <f>IFERROR(IF(SMALL('Content Calendar'!$AI$5:$AI$604,COUNTIF('Content Calendar'!$AI$5:$AI$604,"&lt;"&amp;WeekStartDate+3)+3)&gt;=WeekStartDate+3+1,"",INDEX('Content Calendar'!$K$5:$K$604,MATCH(SMALL('Content Calendar'!$AI$5:$AI$604,COUNTIF('Content Calendar'!$AI$5:$AI$604,"&lt;"&amp;WeekStartDate+3)+3),'Content Calendar'!$AI$5:$AI$604,0))),"")</f>
        <v>0</v>
      </c>
      <c r="E28" s="17">
        <f>IFERROR(IF(SMALL('Content Calendar'!$AI$5:$AI$604,COUNTIF('Content Calendar'!$AI$5:$AI$604,"&lt;"&amp;WeekStartDate+3)+3)&gt;=WeekStartDate+3+1,"",INDEX('Content Calendar'!$J$5:$J$604,MATCH(SMALL('Content Calendar'!$AI$5:$AI$604,COUNTIF('Content Calendar'!$AI$5:$AI$604,"&lt;"&amp;WeekStartDate+3)+3),'Content Calendar'!$AI$5:$AI$604,0))),"")</f>
        <v>0</v>
      </c>
      <c r="F28" s="17">
        <f>IFERROR(IF(SMALL('Content Calendar'!$AI$5:$AI$604,COUNTIF('Content Calendar'!$AI$5:$AI$604,"&lt;"&amp;WeekStartDate+3)+3)&gt;=WeekStartDate+3+1,"",INDEX('Content Calendar'!$W$5:$W$604,MATCH(SMALL('Content Calendar'!$AI$5:$AI$604,COUNTIF('Content Calendar'!$AI$5:$AI$604,"&lt;"&amp;WeekStartDate+3)+3),'Content Calendar'!$AI$5:$AI$604,0))),"")</f>
        <v>0</v>
      </c>
      <c r="G28" s="29">
        <f>IFERROR(IF(SMALL('Content Calendar'!$AI$5:$AI$604,COUNTIF('Content Calendar'!$AI$5:$AI$604,"&lt;"&amp;WeekStartDate+3)+3)&gt;=WeekStartDate+3+1,"",INDEX('Content Calendar'!$X$5:$X$604,MATCH(SMALL('Content Calendar'!$AI$5:$AI$604,COUNTIF('Content Calendar'!$AI$5:$AI$604,"&lt;"&amp;WeekStartDate+3)+3),'Content Calendar'!$AI$5:$AI$604,0))),"")</f>
        <v>0</v>
      </c>
      <c r="H28" s="57"/>
    </row>
    <row r="29" spans="1:8">
      <c r="A29" s="17">
        <f>IFERROR(IF(SMALL('Content Calendar'!$AI$5:$AI$604,COUNTIF('Content Calendar'!$AI$5:$AI$604,"&lt;"&amp;WeekStartDate+3)+4)&gt;=WeekStartDate+3+1,"",INDEX('Content Calendar'!$C$5:$C$604,MATCH(SMALL('Content Calendar'!$AI$5:$AI$604,COUNTIF('Content Calendar'!$AI$5:$AI$604,"&lt;"&amp;WeekStartDate+3)+4),'Content Calendar'!$AI$5:$AI$604,0))),"")</f>
        <v>0</v>
      </c>
      <c r="B29" s="17">
        <f>IFERROR(IF(SMALL('Content Calendar'!$AI$5:$AI$604,COUNTIF('Content Calendar'!$AI$5:$AI$604,"&lt;"&amp;WeekStartDate+3)+4)&gt;=WeekStartDate+3+1,"",INDEX('Content Calendar'!$G$5:$G$604,MATCH(SMALL('Content Calendar'!$AI$5:$AI$604,COUNTIF('Content Calendar'!$AI$5:$AI$604,"&lt;"&amp;WeekStartDate+3)+4),'Content Calendar'!$AI$5:$AI$604,0))),"")</f>
        <v>0</v>
      </c>
      <c r="C29" s="17">
        <f>IFERROR(IF(SMALL('Content Calendar'!$AI$5:$AI$604,COUNTIF('Content Calendar'!$AI$5:$AI$604,"&lt;"&amp;WeekStartDate+3)+4)&gt;=WeekStartDate+3+1,"",INDEX('Content Calendar'!$H$5:$H$604,MATCH(SMALL('Content Calendar'!$AI$5:$AI$604,COUNTIF('Content Calendar'!$AI$5:$AI$604,"&lt;"&amp;WeekStartDate+3)+4),'Content Calendar'!$AI$5:$AI$604,0))),"")</f>
        <v>0</v>
      </c>
      <c r="D29" s="17">
        <f>IFERROR(IF(SMALL('Content Calendar'!$AI$5:$AI$604,COUNTIF('Content Calendar'!$AI$5:$AI$604,"&lt;"&amp;WeekStartDate+3)+4)&gt;=WeekStartDate+3+1,"",INDEX('Content Calendar'!$K$5:$K$604,MATCH(SMALL('Content Calendar'!$AI$5:$AI$604,COUNTIF('Content Calendar'!$AI$5:$AI$604,"&lt;"&amp;WeekStartDate+3)+4),'Content Calendar'!$AI$5:$AI$604,0))),"")</f>
        <v>0</v>
      </c>
      <c r="E29" s="17">
        <f>IFERROR(IF(SMALL('Content Calendar'!$AI$5:$AI$604,COUNTIF('Content Calendar'!$AI$5:$AI$604,"&lt;"&amp;WeekStartDate+3)+4)&gt;=WeekStartDate+3+1,"",INDEX('Content Calendar'!$J$5:$J$604,MATCH(SMALL('Content Calendar'!$AI$5:$AI$604,COUNTIF('Content Calendar'!$AI$5:$AI$604,"&lt;"&amp;WeekStartDate+3)+4),'Content Calendar'!$AI$5:$AI$604,0))),"")</f>
        <v>0</v>
      </c>
      <c r="F29" s="17">
        <f>IFERROR(IF(SMALL('Content Calendar'!$AI$5:$AI$604,COUNTIF('Content Calendar'!$AI$5:$AI$604,"&lt;"&amp;WeekStartDate+3)+4)&gt;=WeekStartDate+3+1,"",INDEX('Content Calendar'!$W$5:$W$604,MATCH(SMALL('Content Calendar'!$AI$5:$AI$604,COUNTIF('Content Calendar'!$AI$5:$AI$604,"&lt;"&amp;WeekStartDate+3)+4),'Content Calendar'!$AI$5:$AI$604,0))),"")</f>
        <v>0</v>
      </c>
      <c r="G29" s="29">
        <f>IFERROR(IF(SMALL('Content Calendar'!$AI$5:$AI$604,COUNTIF('Content Calendar'!$AI$5:$AI$604,"&lt;"&amp;WeekStartDate+3)+4)&gt;=WeekStartDate+3+1,"",INDEX('Content Calendar'!$X$5:$X$604,MATCH(SMALL('Content Calendar'!$AI$5:$AI$604,COUNTIF('Content Calendar'!$AI$5:$AI$604,"&lt;"&amp;WeekStartDate+3)+4),'Content Calendar'!$AI$5:$AI$604,0))),"")</f>
        <v>0</v>
      </c>
      <c r="H29" s="57"/>
    </row>
    <row r="30" spans="1:8" ht="20" customHeight="1">
      <c r="A30" s="7">
        <f>TEXT(WeekStartDate+4,"dddd d mmmm")</f>
        <v>0</v>
      </c>
      <c r="B30" s="7"/>
      <c r="C30" s="7"/>
      <c r="D30" s="7"/>
      <c r="E30" s="7"/>
      <c r="F30" s="7"/>
      <c r="G30" s="7"/>
      <c r="H30" s="7"/>
    </row>
    <row r="31" spans="1:8" ht="26" customHeight="1">
      <c r="A31" s="8" t="s">
        <v>2234</v>
      </c>
      <c r="B31" s="9" t="s">
        <v>192</v>
      </c>
      <c r="C31" s="9" t="s">
        <v>201</v>
      </c>
      <c r="D31" s="9" t="s">
        <v>267</v>
      </c>
      <c r="E31" s="9" t="s">
        <v>195</v>
      </c>
      <c r="F31" s="9" t="s">
        <v>222</v>
      </c>
      <c r="G31" s="9" t="s">
        <v>221</v>
      </c>
      <c r="H31" s="9" t="s">
        <v>2235</v>
      </c>
    </row>
    <row r="32" spans="1:8">
      <c r="A32" s="17">
        <f>IFERROR(IF(SMALL('Content Calendar'!$AI$5:$AI$604,COUNTIF('Content Calendar'!$AI$5:$AI$604,"&lt;"&amp;WeekStartDate+4)+1)&gt;=WeekStartDate+4+1,"",INDEX('Content Calendar'!$C$5:$C$604,MATCH(SMALL('Content Calendar'!$AI$5:$AI$604,COUNTIF('Content Calendar'!$AI$5:$AI$604,"&lt;"&amp;WeekStartDate+4)+1),'Content Calendar'!$AI$5:$AI$604,0))),"")</f>
        <v>0</v>
      </c>
      <c r="B32" s="17">
        <f>IFERROR(IF(SMALL('Content Calendar'!$AI$5:$AI$604,COUNTIF('Content Calendar'!$AI$5:$AI$604,"&lt;"&amp;WeekStartDate+4)+1)&gt;=WeekStartDate+4+1,"",INDEX('Content Calendar'!$G$5:$G$604,MATCH(SMALL('Content Calendar'!$AI$5:$AI$604,COUNTIF('Content Calendar'!$AI$5:$AI$604,"&lt;"&amp;WeekStartDate+4)+1),'Content Calendar'!$AI$5:$AI$604,0))),"")</f>
        <v>0</v>
      </c>
      <c r="C32" s="17">
        <f>IFERROR(IF(SMALL('Content Calendar'!$AI$5:$AI$604,COUNTIF('Content Calendar'!$AI$5:$AI$604,"&lt;"&amp;WeekStartDate+4)+1)&gt;=WeekStartDate+4+1,"",INDEX('Content Calendar'!$H$5:$H$604,MATCH(SMALL('Content Calendar'!$AI$5:$AI$604,COUNTIF('Content Calendar'!$AI$5:$AI$604,"&lt;"&amp;WeekStartDate+4)+1),'Content Calendar'!$AI$5:$AI$604,0))),"")</f>
        <v>0</v>
      </c>
      <c r="D32" s="17">
        <f>IFERROR(IF(SMALL('Content Calendar'!$AI$5:$AI$604,COUNTIF('Content Calendar'!$AI$5:$AI$604,"&lt;"&amp;WeekStartDate+4)+1)&gt;=WeekStartDate+4+1,"",INDEX('Content Calendar'!$K$5:$K$604,MATCH(SMALL('Content Calendar'!$AI$5:$AI$604,COUNTIF('Content Calendar'!$AI$5:$AI$604,"&lt;"&amp;WeekStartDate+4)+1),'Content Calendar'!$AI$5:$AI$604,0))),"")</f>
        <v>0</v>
      </c>
      <c r="E32" s="17">
        <f>IFERROR(IF(SMALL('Content Calendar'!$AI$5:$AI$604,COUNTIF('Content Calendar'!$AI$5:$AI$604,"&lt;"&amp;WeekStartDate+4)+1)&gt;=WeekStartDate+4+1,"",INDEX('Content Calendar'!$J$5:$J$604,MATCH(SMALL('Content Calendar'!$AI$5:$AI$604,COUNTIF('Content Calendar'!$AI$5:$AI$604,"&lt;"&amp;WeekStartDate+4)+1),'Content Calendar'!$AI$5:$AI$604,0))),"")</f>
        <v>0</v>
      </c>
      <c r="F32" s="17">
        <f>IFERROR(IF(SMALL('Content Calendar'!$AI$5:$AI$604,COUNTIF('Content Calendar'!$AI$5:$AI$604,"&lt;"&amp;WeekStartDate+4)+1)&gt;=WeekStartDate+4+1,"",INDEX('Content Calendar'!$W$5:$W$604,MATCH(SMALL('Content Calendar'!$AI$5:$AI$604,COUNTIF('Content Calendar'!$AI$5:$AI$604,"&lt;"&amp;WeekStartDate+4)+1),'Content Calendar'!$AI$5:$AI$604,0))),"")</f>
        <v>0</v>
      </c>
      <c r="G32" s="29">
        <f>IFERROR(IF(SMALL('Content Calendar'!$AI$5:$AI$604,COUNTIF('Content Calendar'!$AI$5:$AI$604,"&lt;"&amp;WeekStartDate+4)+1)&gt;=WeekStartDate+4+1,"",INDEX('Content Calendar'!$X$5:$X$604,MATCH(SMALL('Content Calendar'!$AI$5:$AI$604,COUNTIF('Content Calendar'!$AI$5:$AI$604,"&lt;"&amp;WeekStartDate+4)+1),'Content Calendar'!$AI$5:$AI$604,0))),"")</f>
        <v>0</v>
      </c>
      <c r="H32" s="57"/>
    </row>
    <row r="33" spans="1:8">
      <c r="A33" s="17">
        <f>IFERROR(IF(SMALL('Content Calendar'!$AI$5:$AI$604,COUNTIF('Content Calendar'!$AI$5:$AI$604,"&lt;"&amp;WeekStartDate+4)+2)&gt;=WeekStartDate+4+1,"",INDEX('Content Calendar'!$C$5:$C$604,MATCH(SMALL('Content Calendar'!$AI$5:$AI$604,COUNTIF('Content Calendar'!$AI$5:$AI$604,"&lt;"&amp;WeekStartDate+4)+2),'Content Calendar'!$AI$5:$AI$604,0))),"")</f>
        <v>0</v>
      </c>
      <c r="B33" s="17">
        <f>IFERROR(IF(SMALL('Content Calendar'!$AI$5:$AI$604,COUNTIF('Content Calendar'!$AI$5:$AI$604,"&lt;"&amp;WeekStartDate+4)+2)&gt;=WeekStartDate+4+1,"",INDEX('Content Calendar'!$G$5:$G$604,MATCH(SMALL('Content Calendar'!$AI$5:$AI$604,COUNTIF('Content Calendar'!$AI$5:$AI$604,"&lt;"&amp;WeekStartDate+4)+2),'Content Calendar'!$AI$5:$AI$604,0))),"")</f>
        <v>0</v>
      </c>
      <c r="C33" s="17">
        <f>IFERROR(IF(SMALL('Content Calendar'!$AI$5:$AI$604,COUNTIF('Content Calendar'!$AI$5:$AI$604,"&lt;"&amp;WeekStartDate+4)+2)&gt;=WeekStartDate+4+1,"",INDEX('Content Calendar'!$H$5:$H$604,MATCH(SMALL('Content Calendar'!$AI$5:$AI$604,COUNTIF('Content Calendar'!$AI$5:$AI$604,"&lt;"&amp;WeekStartDate+4)+2),'Content Calendar'!$AI$5:$AI$604,0))),"")</f>
        <v>0</v>
      </c>
      <c r="D33" s="17">
        <f>IFERROR(IF(SMALL('Content Calendar'!$AI$5:$AI$604,COUNTIF('Content Calendar'!$AI$5:$AI$604,"&lt;"&amp;WeekStartDate+4)+2)&gt;=WeekStartDate+4+1,"",INDEX('Content Calendar'!$K$5:$K$604,MATCH(SMALL('Content Calendar'!$AI$5:$AI$604,COUNTIF('Content Calendar'!$AI$5:$AI$604,"&lt;"&amp;WeekStartDate+4)+2),'Content Calendar'!$AI$5:$AI$604,0))),"")</f>
        <v>0</v>
      </c>
      <c r="E33" s="17">
        <f>IFERROR(IF(SMALL('Content Calendar'!$AI$5:$AI$604,COUNTIF('Content Calendar'!$AI$5:$AI$604,"&lt;"&amp;WeekStartDate+4)+2)&gt;=WeekStartDate+4+1,"",INDEX('Content Calendar'!$J$5:$J$604,MATCH(SMALL('Content Calendar'!$AI$5:$AI$604,COUNTIF('Content Calendar'!$AI$5:$AI$604,"&lt;"&amp;WeekStartDate+4)+2),'Content Calendar'!$AI$5:$AI$604,0))),"")</f>
        <v>0</v>
      </c>
      <c r="F33" s="17">
        <f>IFERROR(IF(SMALL('Content Calendar'!$AI$5:$AI$604,COUNTIF('Content Calendar'!$AI$5:$AI$604,"&lt;"&amp;WeekStartDate+4)+2)&gt;=WeekStartDate+4+1,"",INDEX('Content Calendar'!$W$5:$W$604,MATCH(SMALL('Content Calendar'!$AI$5:$AI$604,COUNTIF('Content Calendar'!$AI$5:$AI$604,"&lt;"&amp;WeekStartDate+4)+2),'Content Calendar'!$AI$5:$AI$604,0))),"")</f>
        <v>0</v>
      </c>
      <c r="G33" s="29">
        <f>IFERROR(IF(SMALL('Content Calendar'!$AI$5:$AI$604,COUNTIF('Content Calendar'!$AI$5:$AI$604,"&lt;"&amp;WeekStartDate+4)+2)&gt;=WeekStartDate+4+1,"",INDEX('Content Calendar'!$X$5:$X$604,MATCH(SMALL('Content Calendar'!$AI$5:$AI$604,COUNTIF('Content Calendar'!$AI$5:$AI$604,"&lt;"&amp;WeekStartDate+4)+2),'Content Calendar'!$AI$5:$AI$604,0))),"")</f>
        <v>0</v>
      </c>
      <c r="H33" s="57"/>
    </row>
    <row r="34" spans="1:8">
      <c r="A34" s="17">
        <f>IFERROR(IF(SMALL('Content Calendar'!$AI$5:$AI$604,COUNTIF('Content Calendar'!$AI$5:$AI$604,"&lt;"&amp;WeekStartDate+4)+3)&gt;=WeekStartDate+4+1,"",INDEX('Content Calendar'!$C$5:$C$604,MATCH(SMALL('Content Calendar'!$AI$5:$AI$604,COUNTIF('Content Calendar'!$AI$5:$AI$604,"&lt;"&amp;WeekStartDate+4)+3),'Content Calendar'!$AI$5:$AI$604,0))),"")</f>
        <v>0</v>
      </c>
      <c r="B34" s="17">
        <f>IFERROR(IF(SMALL('Content Calendar'!$AI$5:$AI$604,COUNTIF('Content Calendar'!$AI$5:$AI$604,"&lt;"&amp;WeekStartDate+4)+3)&gt;=WeekStartDate+4+1,"",INDEX('Content Calendar'!$G$5:$G$604,MATCH(SMALL('Content Calendar'!$AI$5:$AI$604,COUNTIF('Content Calendar'!$AI$5:$AI$604,"&lt;"&amp;WeekStartDate+4)+3),'Content Calendar'!$AI$5:$AI$604,0))),"")</f>
        <v>0</v>
      </c>
      <c r="C34" s="17">
        <f>IFERROR(IF(SMALL('Content Calendar'!$AI$5:$AI$604,COUNTIF('Content Calendar'!$AI$5:$AI$604,"&lt;"&amp;WeekStartDate+4)+3)&gt;=WeekStartDate+4+1,"",INDEX('Content Calendar'!$H$5:$H$604,MATCH(SMALL('Content Calendar'!$AI$5:$AI$604,COUNTIF('Content Calendar'!$AI$5:$AI$604,"&lt;"&amp;WeekStartDate+4)+3),'Content Calendar'!$AI$5:$AI$604,0))),"")</f>
        <v>0</v>
      </c>
      <c r="D34" s="17">
        <f>IFERROR(IF(SMALL('Content Calendar'!$AI$5:$AI$604,COUNTIF('Content Calendar'!$AI$5:$AI$604,"&lt;"&amp;WeekStartDate+4)+3)&gt;=WeekStartDate+4+1,"",INDEX('Content Calendar'!$K$5:$K$604,MATCH(SMALL('Content Calendar'!$AI$5:$AI$604,COUNTIF('Content Calendar'!$AI$5:$AI$604,"&lt;"&amp;WeekStartDate+4)+3),'Content Calendar'!$AI$5:$AI$604,0))),"")</f>
        <v>0</v>
      </c>
      <c r="E34" s="17">
        <f>IFERROR(IF(SMALL('Content Calendar'!$AI$5:$AI$604,COUNTIF('Content Calendar'!$AI$5:$AI$604,"&lt;"&amp;WeekStartDate+4)+3)&gt;=WeekStartDate+4+1,"",INDEX('Content Calendar'!$J$5:$J$604,MATCH(SMALL('Content Calendar'!$AI$5:$AI$604,COUNTIF('Content Calendar'!$AI$5:$AI$604,"&lt;"&amp;WeekStartDate+4)+3),'Content Calendar'!$AI$5:$AI$604,0))),"")</f>
        <v>0</v>
      </c>
      <c r="F34" s="17">
        <f>IFERROR(IF(SMALL('Content Calendar'!$AI$5:$AI$604,COUNTIF('Content Calendar'!$AI$5:$AI$604,"&lt;"&amp;WeekStartDate+4)+3)&gt;=WeekStartDate+4+1,"",INDEX('Content Calendar'!$W$5:$W$604,MATCH(SMALL('Content Calendar'!$AI$5:$AI$604,COUNTIF('Content Calendar'!$AI$5:$AI$604,"&lt;"&amp;WeekStartDate+4)+3),'Content Calendar'!$AI$5:$AI$604,0))),"")</f>
        <v>0</v>
      </c>
      <c r="G34" s="29">
        <f>IFERROR(IF(SMALL('Content Calendar'!$AI$5:$AI$604,COUNTIF('Content Calendar'!$AI$5:$AI$604,"&lt;"&amp;WeekStartDate+4)+3)&gt;=WeekStartDate+4+1,"",INDEX('Content Calendar'!$X$5:$X$604,MATCH(SMALL('Content Calendar'!$AI$5:$AI$604,COUNTIF('Content Calendar'!$AI$5:$AI$604,"&lt;"&amp;WeekStartDate+4)+3),'Content Calendar'!$AI$5:$AI$604,0))),"")</f>
        <v>0</v>
      </c>
      <c r="H34" s="57"/>
    </row>
    <row r="35" spans="1:8">
      <c r="A35" s="17">
        <f>IFERROR(IF(SMALL('Content Calendar'!$AI$5:$AI$604,COUNTIF('Content Calendar'!$AI$5:$AI$604,"&lt;"&amp;WeekStartDate+4)+4)&gt;=WeekStartDate+4+1,"",INDEX('Content Calendar'!$C$5:$C$604,MATCH(SMALL('Content Calendar'!$AI$5:$AI$604,COUNTIF('Content Calendar'!$AI$5:$AI$604,"&lt;"&amp;WeekStartDate+4)+4),'Content Calendar'!$AI$5:$AI$604,0))),"")</f>
        <v>0</v>
      </c>
      <c r="B35" s="17">
        <f>IFERROR(IF(SMALL('Content Calendar'!$AI$5:$AI$604,COUNTIF('Content Calendar'!$AI$5:$AI$604,"&lt;"&amp;WeekStartDate+4)+4)&gt;=WeekStartDate+4+1,"",INDEX('Content Calendar'!$G$5:$G$604,MATCH(SMALL('Content Calendar'!$AI$5:$AI$604,COUNTIF('Content Calendar'!$AI$5:$AI$604,"&lt;"&amp;WeekStartDate+4)+4),'Content Calendar'!$AI$5:$AI$604,0))),"")</f>
        <v>0</v>
      </c>
      <c r="C35" s="17">
        <f>IFERROR(IF(SMALL('Content Calendar'!$AI$5:$AI$604,COUNTIF('Content Calendar'!$AI$5:$AI$604,"&lt;"&amp;WeekStartDate+4)+4)&gt;=WeekStartDate+4+1,"",INDEX('Content Calendar'!$H$5:$H$604,MATCH(SMALL('Content Calendar'!$AI$5:$AI$604,COUNTIF('Content Calendar'!$AI$5:$AI$604,"&lt;"&amp;WeekStartDate+4)+4),'Content Calendar'!$AI$5:$AI$604,0))),"")</f>
        <v>0</v>
      </c>
      <c r="D35" s="17">
        <f>IFERROR(IF(SMALL('Content Calendar'!$AI$5:$AI$604,COUNTIF('Content Calendar'!$AI$5:$AI$604,"&lt;"&amp;WeekStartDate+4)+4)&gt;=WeekStartDate+4+1,"",INDEX('Content Calendar'!$K$5:$K$604,MATCH(SMALL('Content Calendar'!$AI$5:$AI$604,COUNTIF('Content Calendar'!$AI$5:$AI$604,"&lt;"&amp;WeekStartDate+4)+4),'Content Calendar'!$AI$5:$AI$604,0))),"")</f>
        <v>0</v>
      </c>
      <c r="E35" s="17">
        <f>IFERROR(IF(SMALL('Content Calendar'!$AI$5:$AI$604,COUNTIF('Content Calendar'!$AI$5:$AI$604,"&lt;"&amp;WeekStartDate+4)+4)&gt;=WeekStartDate+4+1,"",INDEX('Content Calendar'!$J$5:$J$604,MATCH(SMALL('Content Calendar'!$AI$5:$AI$604,COUNTIF('Content Calendar'!$AI$5:$AI$604,"&lt;"&amp;WeekStartDate+4)+4),'Content Calendar'!$AI$5:$AI$604,0))),"")</f>
        <v>0</v>
      </c>
      <c r="F35" s="17">
        <f>IFERROR(IF(SMALL('Content Calendar'!$AI$5:$AI$604,COUNTIF('Content Calendar'!$AI$5:$AI$604,"&lt;"&amp;WeekStartDate+4)+4)&gt;=WeekStartDate+4+1,"",INDEX('Content Calendar'!$W$5:$W$604,MATCH(SMALL('Content Calendar'!$AI$5:$AI$604,COUNTIF('Content Calendar'!$AI$5:$AI$604,"&lt;"&amp;WeekStartDate+4)+4),'Content Calendar'!$AI$5:$AI$604,0))),"")</f>
        <v>0</v>
      </c>
      <c r="G35" s="29">
        <f>IFERROR(IF(SMALL('Content Calendar'!$AI$5:$AI$604,COUNTIF('Content Calendar'!$AI$5:$AI$604,"&lt;"&amp;WeekStartDate+4)+4)&gt;=WeekStartDate+4+1,"",INDEX('Content Calendar'!$X$5:$X$604,MATCH(SMALL('Content Calendar'!$AI$5:$AI$604,COUNTIF('Content Calendar'!$AI$5:$AI$604,"&lt;"&amp;WeekStartDate+4)+4),'Content Calendar'!$AI$5:$AI$604,0))),"")</f>
        <v>0</v>
      </c>
      <c r="H35" s="57"/>
    </row>
    <row r="36" spans="1:8" ht="20" customHeight="1">
      <c r="A36" s="7">
        <f>TEXT(WeekStartDate+5,"dddd d mmmm")</f>
        <v>0</v>
      </c>
      <c r="B36" s="7"/>
      <c r="C36" s="7"/>
      <c r="D36" s="7"/>
      <c r="E36" s="7"/>
      <c r="F36" s="7"/>
      <c r="G36" s="7"/>
      <c r="H36" s="7"/>
    </row>
    <row r="37" spans="1:8" ht="26" customHeight="1">
      <c r="A37" s="8" t="s">
        <v>2234</v>
      </c>
      <c r="B37" s="9" t="s">
        <v>192</v>
      </c>
      <c r="C37" s="9" t="s">
        <v>201</v>
      </c>
      <c r="D37" s="9" t="s">
        <v>267</v>
      </c>
      <c r="E37" s="9" t="s">
        <v>195</v>
      </c>
      <c r="F37" s="9" t="s">
        <v>222</v>
      </c>
      <c r="G37" s="9" t="s">
        <v>221</v>
      </c>
      <c r="H37" s="9" t="s">
        <v>2235</v>
      </c>
    </row>
    <row r="38" spans="1:8">
      <c r="A38" s="17">
        <f>IFERROR(IF(SMALL('Content Calendar'!$AI$5:$AI$604,COUNTIF('Content Calendar'!$AI$5:$AI$604,"&lt;"&amp;WeekStartDate+5)+1)&gt;=WeekStartDate+5+1,"",INDEX('Content Calendar'!$C$5:$C$604,MATCH(SMALL('Content Calendar'!$AI$5:$AI$604,COUNTIF('Content Calendar'!$AI$5:$AI$604,"&lt;"&amp;WeekStartDate+5)+1),'Content Calendar'!$AI$5:$AI$604,0))),"")</f>
        <v>0</v>
      </c>
      <c r="B38" s="17">
        <f>IFERROR(IF(SMALL('Content Calendar'!$AI$5:$AI$604,COUNTIF('Content Calendar'!$AI$5:$AI$604,"&lt;"&amp;WeekStartDate+5)+1)&gt;=WeekStartDate+5+1,"",INDEX('Content Calendar'!$G$5:$G$604,MATCH(SMALL('Content Calendar'!$AI$5:$AI$604,COUNTIF('Content Calendar'!$AI$5:$AI$604,"&lt;"&amp;WeekStartDate+5)+1),'Content Calendar'!$AI$5:$AI$604,0))),"")</f>
        <v>0</v>
      </c>
      <c r="C38" s="17">
        <f>IFERROR(IF(SMALL('Content Calendar'!$AI$5:$AI$604,COUNTIF('Content Calendar'!$AI$5:$AI$604,"&lt;"&amp;WeekStartDate+5)+1)&gt;=WeekStartDate+5+1,"",INDEX('Content Calendar'!$H$5:$H$604,MATCH(SMALL('Content Calendar'!$AI$5:$AI$604,COUNTIF('Content Calendar'!$AI$5:$AI$604,"&lt;"&amp;WeekStartDate+5)+1),'Content Calendar'!$AI$5:$AI$604,0))),"")</f>
        <v>0</v>
      </c>
      <c r="D38" s="17">
        <f>IFERROR(IF(SMALL('Content Calendar'!$AI$5:$AI$604,COUNTIF('Content Calendar'!$AI$5:$AI$604,"&lt;"&amp;WeekStartDate+5)+1)&gt;=WeekStartDate+5+1,"",INDEX('Content Calendar'!$K$5:$K$604,MATCH(SMALL('Content Calendar'!$AI$5:$AI$604,COUNTIF('Content Calendar'!$AI$5:$AI$604,"&lt;"&amp;WeekStartDate+5)+1),'Content Calendar'!$AI$5:$AI$604,0))),"")</f>
        <v>0</v>
      </c>
      <c r="E38" s="17">
        <f>IFERROR(IF(SMALL('Content Calendar'!$AI$5:$AI$604,COUNTIF('Content Calendar'!$AI$5:$AI$604,"&lt;"&amp;WeekStartDate+5)+1)&gt;=WeekStartDate+5+1,"",INDEX('Content Calendar'!$J$5:$J$604,MATCH(SMALL('Content Calendar'!$AI$5:$AI$604,COUNTIF('Content Calendar'!$AI$5:$AI$604,"&lt;"&amp;WeekStartDate+5)+1),'Content Calendar'!$AI$5:$AI$604,0))),"")</f>
        <v>0</v>
      </c>
      <c r="F38" s="17">
        <f>IFERROR(IF(SMALL('Content Calendar'!$AI$5:$AI$604,COUNTIF('Content Calendar'!$AI$5:$AI$604,"&lt;"&amp;WeekStartDate+5)+1)&gt;=WeekStartDate+5+1,"",INDEX('Content Calendar'!$W$5:$W$604,MATCH(SMALL('Content Calendar'!$AI$5:$AI$604,COUNTIF('Content Calendar'!$AI$5:$AI$604,"&lt;"&amp;WeekStartDate+5)+1),'Content Calendar'!$AI$5:$AI$604,0))),"")</f>
        <v>0</v>
      </c>
      <c r="G38" s="29">
        <f>IFERROR(IF(SMALL('Content Calendar'!$AI$5:$AI$604,COUNTIF('Content Calendar'!$AI$5:$AI$604,"&lt;"&amp;WeekStartDate+5)+1)&gt;=WeekStartDate+5+1,"",INDEX('Content Calendar'!$X$5:$X$604,MATCH(SMALL('Content Calendar'!$AI$5:$AI$604,COUNTIF('Content Calendar'!$AI$5:$AI$604,"&lt;"&amp;WeekStartDate+5)+1),'Content Calendar'!$AI$5:$AI$604,0))),"")</f>
        <v>0</v>
      </c>
      <c r="H38" s="57"/>
    </row>
    <row r="39" spans="1:8">
      <c r="A39" s="17">
        <f>IFERROR(IF(SMALL('Content Calendar'!$AI$5:$AI$604,COUNTIF('Content Calendar'!$AI$5:$AI$604,"&lt;"&amp;WeekStartDate+5)+2)&gt;=WeekStartDate+5+1,"",INDEX('Content Calendar'!$C$5:$C$604,MATCH(SMALL('Content Calendar'!$AI$5:$AI$604,COUNTIF('Content Calendar'!$AI$5:$AI$604,"&lt;"&amp;WeekStartDate+5)+2),'Content Calendar'!$AI$5:$AI$604,0))),"")</f>
        <v>0</v>
      </c>
      <c r="B39" s="17">
        <f>IFERROR(IF(SMALL('Content Calendar'!$AI$5:$AI$604,COUNTIF('Content Calendar'!$AI$5:$AI$604,"&lt;"&amp;WeekStartDate+5)+2)&gt;=WeekStartDate+5+1,"",INDEX('Content Calendar'!$G$5:$G$604,MATCH(SMALL('Content Calendar'!$AI$5:$AI$604,COUNTIF('Content Calendar'!$AI$5:$AI$604,"&lt;"&amp;WeekStartDate+5)+2),'Content Calendar'!$AI$5:$AI$604,0))),"")</f>
        <v>0</v>
      </c>
      <c r="C39" s="17">
        <f>IFERROR(IF(SMALL('Content Calendar'!$AI$5:$AI$604,COUNTIF('Content Calendar'!$AI$5:$AI$604,"&lt;"&amp;WeekStartDate+5)+2)&gt;=WeekStartDate+5+1,"",INDEX('Content Calendar'!$H$5:$H$604,MATCH(SMALL('Content Calendar'!$AI$5:$AI$604,COUNTIF('Content Calendar'!$AI$5:$AI$604,"&lt;"&amp;WeekStartDate+5)+2),'Content Calendar'!$AI$5:$AI$604,0))),"")</f>
        <v>0</v>
      </c>
      <c r="D39" s="17">
        <f>IFERROR(IF(SMALL('Content Calendar'!$AI$5:$AI$604,COUNTIF('Content Calendar'!$AI$5:$AI$604,"&lt;"&amp;WeekStartDate+5)+2)&gt;=WeekStartDate+5+1,"",INDEX('Content Calendar'!$K$5:$K$604,MATCH(SMALL('Content Calendar'!$AI$5:$AI$604,COUNTIF('Content Calendar'!$AI$5:$AI$604,"&lt;"&amp;WeekStartDate+5)+2),'Content Calendar'!$AI$5:$AI$604,0))),"")</f>
        <v>0</v>
      </c>
      <c r="E39" s="17">
        <f>IFERROR(IF(SMALL('Content Calendar'!$AI$5:$AI$604,COUNTIF('Content Calendar'!$AI$5:$AI$604,"&lt;"&amp;WeekStartDate+5)+2)&gt;=WeekStartDate+5+1,"",INDEX('Content Calendar'!$J$5:$J$604,MATCH(SMALL('Content Calendar'!$AI$5:$AI$604,COUNTIF('Content Calendar'!$AI$5:$AI$604,"&lt;"&amp;WeekStartDate+5)+2),'Content Calendar'!$AI$5:$AI$604,0))),"")</f>
        <v>0</v>
      </c>
      <c r="F39" s="17">
        <f>IFERROR(IF(SMALL('Content Calendar'!$AI$5:$AI$604,COUNTIF('Content Calendar'!$AI$5:$AI$604,"&lt;"&amp;WeekStartDate+5)+2)&gt;=WeekStartDate+5+1,"",INDEX('Content Calendar'!$W$5:$W$604,MATCH(SMALL('Content Calendar'!$AI$5:$AI$604,COUNTIF('Content Calendar'!$AI$5:$AI$604,"&lt;"&amp;WeekStartDate+5)+2),'Content Calendar'!$AI$5:$AI$604,0))),"")</f>
        <v>0</v>
      </c>
      <c r="G39" s="29">
        <f>IFERROR(IF(SMALL('Content Calendar'!$AI$5:$AI$604,COUNTIF('Content Calendar'!$AI$5:$AI$604,"&lt;"&amp;WeekStartDate+5)+2)&gt;=WeekStartDate+5+1,"",INDEX('Content Calendar'!$X$5:$X$604,MATCH(SMALL('Content Calendar'!$AI$5:$AI$604,COUNTIF('Content Calendar'!$AI$5:$AI$604,"&lt;"&amp;WeekStartDate+5)+2),'Content Calendar'!$AI$5:$AI$604,0))),"")</f>
        <v>0</v>
      </c>
      <c r="H39" s="57"/>
    </row>
    <row r="40" spans="1:8">
      <c r="A40" s="17">
        <f>IFERROR(IF(SMALL('Content Calendar'!$AI$5:$AI$604,COUNTIF('Content Calendar'!$AI$5:$AI$604,"&lt;"&amp;WeekStartDate+5)+3)&gt;=WeekStartDate+5+1,"",INDEX('Content Calendar'!$C$5:$C$604,MATCH(SMALL('Content Calendar'!$AI$5:$AI$604,COUNTIF('Content Calendar'!$AI$5:$AI$604,"&lt;"&amp;WeekStartDate+5)+3),'Content Calendar'!$AI$5:$AI$604,0))),"")</f>
        <v>0</v>
      </c>
      <c r="B40" s="17">
        <f>IFERROR(IF(SMALL('Content Calendar'!$AI$5:$AI$604,COUNTIF('Content Calendar'!$AI$5:$AI$604,"&lt;"&amp;WeekStartDate+5)+3)&gt;=WeekStartDate+5+1,"",INDEX('Content Calendar'!$G$5:$G$604,MATCH(SMALL('Content Calendar'!$AI$5:$AI$604,COUNTIF('Content Calendar'!$AI$5:$AI$604,"&lt;"&amp;WeekStartDate+5)+3),'Content Calendar'!$AI$5:$AI$604,0))),"")</f>
        <v>0</v>
      </c>
      <c r="C40" s="17">
        <f>IFERROR(IF(SMALL('Content Calendar'!$AI$5:$AI$604,COUNTIF('Content Calendar'!$AI$5:$AI$604,"&lt;"&amp;WeekStartDate+5)+3)&gt;=WeekStartDate+5+1,"",INDEX('Content Calendar'!$H$5:$H$604,MATCH(SMALL('Content Calendar'!$AI$5:$AI$604,COUNTIF('Content Calendar'!$AI$5:$AI$604,"&lt;"&amp;WeekStartDate+5)+3),'Content Calendar'!$AI$5:$AI$604,0))),"")</f>
        <v>0</v>
      </c>
      <c r="D40" s="17">
        <f>IFERROR(IF(SMALL('Content Calendar'!$AI$5:$AI$604,COUNTIF('Content Calendar'!$AI$5:$AI$604,"&lt;"&amp;WeekStartDate+5)+3)&gt;=WeekStartDate+5+1,"",INDEX('Content Calendar'!$K$5:$K$604,MATCH(SMALL('Content Calendar'!$AI$5:$AI$604,COUNTIF('Content Calendar'!$AI$5:$AI$604,"&lt;"&amp;WeekStartDate+5)+3),'Content Calendar'!$AI$5:$AI$604,0))),"")</f>
        <v>0</v>
      </c>
      <c r="E40" s="17">
        <f>IFERROR(IF(SMALL('Content Calendar'!$AI$5:$AI$604,COUNTIF('Content Calendar'!$AI$5:$AI$604,"&lt;"&amp;WeekStartDate+5)+3)&gt;=WeekStartDate+5+1,"",INDEX('Content Calendar'!$J$5:$J$604,MATCH(SMALL('Content Calendar'!$AI$5:$AI$604,COUNTIF('Content Calendar'!$AI$5:$AI$604,"&lt;"&amp;WeekStartDate+5)+3),'Content Calendar'!$AI$5:$AI$604,0))),"")</f>
        <v>0</v>
      </c>
      <c r="F40" s="17">
        <f>IFERROR(IF(SMALL('Content Calendar'!$AI$5:$AI$604,COUNTIF('Content Calendar'!$AI$5:$AI$604,"&lt;"&amp;WeekStartDate+5)+3)&gt;=WeekStartDate+5+1,"",INDEX('Content Calendar'!$W$5:$W$604,MATCH(SMALL('Content Calendar'!$AI$5:$AI$604,COUNTIF('Content Calendar'!$AI$5:$AI$604,"&lt;"&amp;WeekStartDate+5)+3),'Content Calendar'!$AI$5:$AI$604,0))),"")</f>
        <v>0</v>
      </c>
      <c r="G40" s="29">
        <f>IFERROR(IF(SMALL('Content Calendar'!$AI$5:$AI$604,COUNTIF('Content Calendar'!$AI$5:$AI$604,"&lt;"&amp;WeekStartDate+5)+3)&gt;=WeekStartDate+5+1,"",INDEX('Content Calendar'!$X$5:$X$604,MATCH(SMALL('Content Calendar'!$AI$5:$AI$604,COUNTIF('Content Calendar'!$AI$5:$AI$604,"&lt;"&amp;WeekStartDate+5)+3),'Content Calendar'!$AI$5:$AI$604,0))),"")</f>
        <v>0</v>
      </c>
      <c r="H40" s="57"/>
    </row>
    <row r="41" spans="1:8">
      <c r="A41" s="17">
        <f>IFERROR(IF(SMALL('Content Calendar'!$AI$5:$AI$604,COUNTIF('Content Calendar'!$AI$5:$AI$604,"&lt;"&amp;WeekStartDate+5)+4)&gt;=WeekStartDate+5+1,"",INDEX('Content Calendar'!$C$5:$C$604,MATCH(SMALL('Content Calendar'!$AI$5:$AI$604,COUNTIF('Content Calendar'!$AI$5:$AI$604,"&lt;"&amp;WeekStartDate+5)+4),'Content Calendar'!$AI$5:$AI$604,0))),"")</f>
        <v>0</v>
      </c>
      <c r="B41" s="17">
        <f>IFERROR(IF(SMALL('Content Calendar'!$AI$5:$AI$604,COUNTIF('Content Calendar'!$AI$5:$AI$604,"&lt;"&amp;WeekStartDate+5)+4)&gt;=WeekStartDate+5+1,"",INDEX('Content Calendar'!$G$5:$G$604,MATCH(SMALL('Content Calendar'!$AI$5:$AI$604,COUNTIF('Content Calendar'!$AI$5:$AI$604,"&lt;"&amp;WeekStartDate+5)+4),'Content Calendar'!$AI$5:$AI$604,0))),"")</f>
        <v>0</v>
      </c>
      <c r="C41" s="17">
        <f>IFERROR(IF(SMALL('Content Calendar'!$AI$5:$AI$604,COUNTIF('Content Calendar'!$AI$5:$AI$604,"&lt;"&amp;WeekStartDate+5)+4)&gt;=WeekStartDate+5+1,"",INDEX('Content Calendar'!$H$5:$H$604,MATCH(SMALL('Content Calendar'!$AI$5:$AI$604,COUNTIF('Content Calendar'!$AI$5:$AI$604,"&lt;"&amp;WeekStartDate+5)+4),'Content Calendar'!$AI$5:$AI$604,0))),"")</f>
        <v>0</v>
      </c>
      <c r="D41" s="17">
        <f>IFERROR(IF(SMALL('Content Calendar'!$AI$5:$AI$604,COUNTIF('Content Calendar'!$AI$5:$AI$604,"&lt;"&amp;WeekStartDate+5)+4)&gt;=WeekStartDate+5+1,"",INDEX('Content Calendar'!$K$5:$K$604,MATCH(SMALL('Content Calendar'!$AI$5:$AI$604,COUNTIF('Content Calendar'!$AI$5:$AI$604,"&lt;"&amp;WeekStartDate+5)+4),'Content Calendar'!$AI$5:$AI$604,0))),"")</f>
        <v>0</v>
      </c>
      <c r="E41" s="17">
        <f>IFERROR(IF(SMALL('Content Calendar'!$AI$5:$AI$604,COUNTIF('Content Calendar'!$AI$5:$AI$604,"&lt;"&amp;WeekStartDate+5)+4)&gt;=WeekStartDate+5+1,"",INDEX('Content Calendar'!$J$5:$J$604,MATCH(SMALL('Content Calendar'!$AI$5:$AI$604,COUNTIF('Content Calendar'!$AI$5:$AI$604,"&lt;"&amp;WeekStartDate+5)+4),'Content Calendar'!$AI$5:$AI$604,0))),"")</f>
        <v>0</v>
      </c>
      <c r="F41" s="17">
        <f>IFERROR(IF(SMALL('Content Calendar'!$AI$5:$AI$604,COUNTIF('Content Calendar'!$AI$5:$AI$604,"&lt;"&amp;WeekStartDate+5)+4)&gt;=WeekStartDate+5+1,"",INDEX('Content Calendar'!$W$5:$W$604,MATCH(SMALL('Content Calendar'!$AI$5:$AI$604,COUNTIF('Content Calendar'!$AI$5:$AI$604,"&lt;"&amp;WeekStartDate+5)+4),'Content Calendar'!$AI$5:$AI$604,0))),"")</f>
        <v>0</v>
      </c>
      <c r="G41" s="29">
        <f>IFERROR(IF(SMALL('Content Calendar'!$AI$5:$AI$604,COUNTIF('Content Calendar'!$AI$5:$AI$604,"&lt;"&amp;WeekStartDate+5)+4)&gt;=WeekStartDate+5+1,"",INDEX('Content Calendar'!$X$5:$X$604,MATCH(SMALL('Content Calendar'!$AI$5:$AI$604,COUNTIF('Content Calendar'!$AI$5:$AI$604,"&lt;"&amp;WeekStartDate+5)+4),'Content Calendar'!$AI$5:$AI$604,0))),"")</f>
        <v>0</v>
      </c>
      <c r="H41" s="57"/>
    </row>
    <row r="42" spans="1:8" ht="20" customHeight="1">
      <c r="A42" s="7">
        <f>TEXT(WeekStartDate+6,"dddd d mmmm")</f>
        <v>0</v>
      </c>
      <c r="B42" s="7"/>
      <c r="C42" s="7"/>
      <c r="D42" s="7"/>
      <c r="E42" s="7"/>
      <c r="F42" s="7"/>
      <c r="G42" s="7"/>
      <c r="H42" s="7"/>
    </row>
    <row r="43" spans="1:8" ht="26" customHeight="1">
      <c r="A43" s="8" t="s">
        <v>2234</v>
      </c>
      <c r="B43" s="9" t="s">
        <v>192</v>
      </c>
      <c r="C43" s="9" t="s">
        <v>201</v>
      </c>
      <c r="D43" s="9" t="s">
        <v>267</v>
      </c>
      <c r="E43" s="9" t="s">
        <v>195</v>
      </c>
      <c r="F43" s="9" t="s">
        <v>222</v>
      </c>
      <c r="G43" s="9" t="s">
        <v>221</v>
      </c>
      <c r="H43" s="9" t="s">
        <v>2235</v>
      </c>
    </row>
    <row r="44" spans="1:8">
      <c r="A44" s="17">
        <f>IFERROR(IF(SMALL('Content Calendar'!$AI$5:$AI$604,COUNTIF('Content Calendar'!$AI$5:$AI$604,"&lt;"&amp;WeekStartDate+6)+1)&gt;=WeekStartDate+6+1,"",INDEX('Content Calendar'!$C$5:$C$604,MATCH(SMALL('Content Calendar'!$AI$5:$AI$604,COUNTIF('Content Calendar'!$AI$5:$AI$604,"&lt;"&amp;WeekStartDate+6)+1),'Content Calendar'!$AI$5:$AI$604,0))),"")</f>
        <v>0</v>
      </c>
      <c r="B44" s="17">
        <f>IFERROR(IF(SMALL('Content Calendar'!$AI$5:$AI$604,COUNTIF('Content Calendar'!$AI$5:$AI$604,"&lt;"&amp;WeekStartDate+6)+1)&gt;=WeekStartDate+6+1,"",INDEX('Content Calendar'!$G$5:$G$604,MATCH(SMALL('Content Calendar'!$AI$5:$AI$604,COUNTIF('Content Calendar'!$AI$5:$AI$604,"&lt;"&amp;WeekStartDate+6)+1),'Content Calendar'!$AI$5:$AI$604,0))),"")</f>
        <v>0</v>
      </c>
      <c r="C44" s="17">
        <f>IFERROR(IF(SMALL('Content Calendar'!$AI$5:$AI$604,COUNTIF('Content Calendar'!$AI$5:$AI$604,"&lt;"&amp;WeekStartDate+6)+1)&gt;=WeekStartDate+6+1,"",INDEX('Content Calendar'!$H$5:$H$604,MATCH(SMALL('Content Calendar'!$AI$5:$AI$604,COUNTIF('Content Calendar'!$AI$5:$AI$604,"&lt;"&amp;WeekStartDate+6)+1),'Content Calendar'!$AI$5:$AI$604,0))),"")</f>
        <v>0</v>
      </c>
      <c r="D44" s="17">
        <f>IFERROR(IF(SMALL('Content Calendar'!$AI$5:$AI$604,COUNTIF('Content Calendar'!$AI$5:$AI$604,"&lt;"&amp;WeekStartDate+6)+1)&gt;=WeekStartDate+6+1,"",INDEX('Content Calendar'!$K$5:$K$604,MATCH(SMALL('Content Calendar'!$AI$5:$AI$604,COUNTIF('Content Calendar'!$AI$5:$AI$604,"&lt;"&amp;WeekStartDate+6)+1),'Content Calendar'!$AI$5:$AI$604,0))),"")</f>
        <v>0</v>
      </c>
      <c r="E44" s="17">
        <f>IFERROR(IF(SMALL('Content Calendar'!$AI$5:$AI$604,COUNTIF('Content Calendar'!$AI$5:$AI$604,"&lt;"&amp;WeekStartDate+6)+1)&gt;=WeekStartDate+6+1,"",INDEX('Content Calendar'!$J$5:$J$604,MATCH(SMALL('Content Calendar'!$AI$5:$AI$604,COUNTIF('Content Calendar'!$AI$5:$AI$604,"&lt;"&amp;WeekStartDate+6)+1),'Content Calendar'!$AI$5:$AI$604,0))),"")</f>
        <v>0</v>
      </c>
      <c r="F44" s="17">
        <f>IFERROR(IF(SMALL('Content Calendar'!$AI$5:$AI$604,COUNTIF('Content Calendar'!$AI$5:$AI$604,"&lt;"&amp;WeekStartDate+6)+1)&gt;=WeekStartDate+6+1,"",INDEX('Content Calendar'!$W$5:$W$604,MATCH(SMALL('Content Calendar'!$AI$5:$AI$604,COUNTIF('Content Calendar'!$AI$5:$AI$604,"&lt;"&amp;WeekStartDate+6)+1),'Content Calendar'!$AI$5:$AI$604,0))),"")</f>
        <v>0</v>
      </c>
      <c r="G44" s="29">
        <f>IFERROR(IF(SMALL('Content Calendar'!$AI$5:$AI$604,COUNTIF('Content Calendar'!$AI$5:$AI$604,"&lt;"&amp;WeekStartDate+6)+1)&gt;=WeekStartDate+6+1,"",INDEX('Content Calendar'!$X$5:$X$604,MATCH(SMALL('Content Calendar'!$AI$5:$AI$604,COUNTIF('Content Calendar'!$AI$5:$AI$604,"&lt;"&amp;WeekStartDate+6)+1),'Content Calendar'!$AI$5:$AI$604,0))),"")</f>
        <v>0</v>
      </c>
      <c r="H44" s="57"/>
    </row>
    <row r="45" spans="1:8">
      <c r="A45" s="17">
        <f>IFERROR(IF(SMALL('Content Calendar'!$AI$5:$AI$604,COUNTIF('Content Calendar'!$AI$5:$AI$604,"&lt;"&amp;WeekStartDate+6)+2)&gt;=WeekStartDate+6+1,"",INDEX('Content Calendar'!$C$5:$C$604,MATCH(SMALL('Content Calendar'!$AI$5:$AI$604,COUNTIF('Content Calendar'!$AI$5:$AI$604,"&lt;"&amp;WeekStartDate+6)+2),'Content Calendar'!$AI$5:$AI$604,0))),"")</f>
        <v>0</v>
      </c>
      <c r="B45" s="17">
        <f>IFERROR(IF(SMALL('Content Calendar'!$AI$5:$AI$604,COUNTIF('Content Calendar'!$AI$5:$AI$604,"&lt;"&amp;WeekStartDate+6)+2)&gt;=WeekStartDate+6+1,"",INDEX('Content Calendar'!$G$5:$G$604,MATCH(SMALL('Content Calendar'!$AI$5:$AI$604,COUNTIF('Content Calendar'!$AI$5:$AI$604,"&lt;"&amp;WeekStartDate+6)+2),'Content Calendar'!$AI$5:$AI$604,0))),"")</f>
        <v>0</v>
      </c>
      <c r="C45" s="17">
        <f>IFERROR(IF(SMALL('Content Calendar'!$AI$5:$AI$604,COUNTIF('Content Calendar'!$AI$5:$AI$604,"&lt;"&amp;WeekStartDate+6)+2)&gt;=WeekStartDate+6+1,"",INDEX('Content Calendar'!$H$5:$H$604,MATCH(SMALL('Content Calendar'!$AI$5:$AI$604,COUNTIF('Content Calendar'!$AI$5:$AI$604,"&lt;"&amp;WeekStartDate+6)+2),'Content Calendar'!$AI$5:$AI$604,0))),"")</f>
        <v>0</v>
      </c>
      <c r="D45" s="17">
        <f>IFERROR(IF(SMALL('Content Calendar'!$AI$5:$AI$604,COUNTIF('Content Calendar'!$AI$5:$AI$604,"&lt;"&amp;WeekStartDate+6)+2)&gt;=WeekStartDate+6+1,"",INDEX('Content Calendar'!$K$5:$K$604,MATCH(SMALL('Content Calendar'!$AI$5:$AI$604,COUNTIF('Content Calendar'!$AI$5:$AI$604,"&lt;"&amp;WeekStartDate+6)+2),'Content Calendar'!$AI$5:$AI$604,0))),"")</f>
        <v>0</v>
      </c>
      <c r="E45" s="17">
        <f>IFERROR(IF(SMALL('Content Calendar'!$AI$5:$AI$604,COUNTIF('Content Calendar'!$AI$5:$AI$604,"&lt;"&amp;WeekStartDate+6)+2)&gt;=WeekStartDate+6+1,"",INDEX('Content Calendar'!$J$5:$J$604,MATCH(SMALL('Content Calendar'!$AI$5:$AI$604,COUNTIF('Content Calendar'!$AI$5:$AI$604,"&lt;"&amp;WeekStartDate+6)+2),'Content Calendar'!$AI$5:$AI$604,0))),"")</f>
        <v>0</v>
      </c>
      <c r="F45" s="17">
        <f>IFERROR(IF(SMALL('Content Calendar'!$AI$5:$AI$604,COUNTIF('Content Calendar'!$AI$5:$AI$604,"&lt;"&amp;WeekStartDate+6)+2)&gt;=WeekStartDate+6+1,"",INDEX('Content Calendar'!$W$5:$W$604,MATCH(SMALL('Content Calendar'!$AI$5:$AI$604,COUNTIF('Content Calendar'!$AI$5:$AI$604,"&lt;"&amp;WeekStartDate+6)+2),'Content Calendar'!$AI$5:$AI$604,0))),"")</f>
        <v>0</v>
      </c>
      <c r="G45" s="29">
        <f>IFERROR(IF(SMALL('Content Calendar'!$AI$5:$AI$604,COUNTIF('Content Calendar'!$AI$5:$AI$604,"&lt;"&amp;WeekStartDate+6)+2)&gt;=WeekStartDate+6+1,"",INDEX('Content Calendar'!$X$5:$X$604,MATCH(SMALL('Content Calendar'!$AI$5:$AI$604,COUNTIF('Content Calendar'!$AI$5:$AI$604,"&lt;"&amp;WeekStartDate+6)+2),'Content Calendar'!$AI$5:$AI$604,0))),"")</f>
        <v>0</v>
      </c>
      <c r="H45" s="57"/>
    </row>
    <row r="46" spans="1:8">
      <c r="A46" s="17">
        <f>IFERROR(IF(SMALL('Content Calendar'!$AI$5:$AI$604,COUNTIF('Content Calendar'!$AI$5:$AI$604,"&lt;"&amp;WeekStartDate+6)+3)&gt;=WeekStartDate+6+1,"",INDEX('Content Calendar'!$C$5:$C$604,MATCH(SMALL('Content Calendar'!$AI$5:$AI$604,COUNTIF('Content Calendar'!$AI$5:$AI$604,"&lt;"&amp;WeekStartDate+6)+3),'Content Calendar'!$AI$5:$AI$604,0))),"")</f>
        <v>0</v>
      </c>
      <c r="B46" s="17">
        <f>IFERROR(IF(SMALL('Content Calendar'!$AI$5:$AI$604,COUNTIF('Content Calendar'!$AI$5:$AI$604,"&lt;"&amp;WeekStartDate+6)+3)&gt;=WeekStartDate+6+1,"",INDEX('Content Calendar'!$G$5:$G$604,MATCH(SMALL('Content Calendar'!$AI$5:$AI$604,COUNTIF('Content Calendar'!$AI$5:$AI$604,"&lt;"&amp;WeekStartDate+6)+3),'Content Calendar'!$AI$5:$AI$604,0))),"")</f>
        <v>0</v>
      </c>
      <c r="C46" s="17">
        <f>IFERROR(IF(SMALL('Content Calendar'!$AI$5:$AI$604,COUNTIF('Content Calendar'!$AI$5:$AI$604,"&lt;"&amp;WeekStartDate+6)+3)&gt;=WeekStartDate+6+1,"",INDEX('Content Calendar'!$H$5:$H$604,MATCH(SMALL('Content Calendar'!$AI$5:$AI$604,COUNTIF('Content Calendar'!$AI$5:$AI$604,"&lt;"&amp;WeekStartDate+6)+3),'Content Calendar'!$AI$5:$AI$604,0))),"")</f>
        <v>0</v>
      </c>
      <c r="D46" s="17">
        <f>IFERROR(IF(SMALL('Content Calendar'!$AI$5:$AI$604,COUNTIF('Content Calendar'!$AI$5:$AI$604,"&lt;"&amp;WeekStartDate+6)+3)&gt;=WeekStartDate+6+1,"",INDEX('Content Calendar'!$K$5:$K$604,MATCH(SMALL('Content Calendar'!$AI$5:$AI$604,COUNTIF('Content Calendar'!$AI$5:$AI$604,"&lt;"&amp;WeekStartDate+6)+3),'Content Calendar'!$AI$5:$AI$604,0))),"")</f>
        <v>0</v>
      </c>
      <c r="E46" s="17">
        <f>IFERROR(IF(SMALL('Content Calendar'!$AI$5:$AI$604,COUNTIF('Content Calendar'!$AI$5:$AI$604,"&lt;"&amp;WeekStartDate+6)+3)&gt;=WeekStartDate+6+1,"",INDEX('Content Calendar'!$J$5:$J$604,MATCH(SMALL('Content Calendar'!$AI$5:$AI$604,COUNTIF('Content Calendar'!$AI$5:$AI$604,"&lt;"&amp;WeekStartDate+6)+3),'Content Calendar'!$AI$5:$AI$604,0))),"")</f>
        <v>0</v>
      </c>
      <c r="F46" s="17">
        <f>IFERROR(IF(SMALL('Content Calendar'!$AI$5:$AI$604,COUNTIF('Content Calendar'!$AI$5:$AI$604,"&lt;"&amp;WeekStartDate+6)+3)&gt;=WeekStartDate+6+1,"",INDEX('Content Calendar'!$W$5:$W$604,MATCH(SMALL('Content Calendar'!$AI$5:$AI$604,COUNTIF('Content Calendar'!$AI$5:$AI$604,"&lt;"&amp;WeekStartDate+6)+3),'Content Calendar'!$AI$5:$AI$604,0))),"")</f>
        <v>0</v>
      </c>
      <c r="G46" s="29">
        <f>IFERROR(IF(SMALL('Content Calendar'!$AI$5:$AI$604,COUNTIF('Content Calendar'!$AI$5:$AI$604,"&lt;"&amp;WeekStartDate+6)+3)&gt;=WeekStartDate+6+1,"",INDEX('Content Calendar'!$X$5:$X$604,MATCH(SMALL('Content Calendar'!$AI$5:$AI$604,COUNTIF('Content Calendar'!$AI$5:$AI$604,"&lt;"&amp;WeekStartDate+6)+3),'Content Calendar'!$AI$5:$AI$604,0))),"")</f>
        <v>0</v>
      </c>
      <c r="H46" s="57"/>
    </row>
    <row r="47" spans="1:8">
      <c r="A47" s="17">
        <f>IFERROR(IF(SMALL('Content Calendar'!$AI$5:$AI$604,COUNTIF('Content Calendar'!$AI$5:$AI$604,"&lt;"&amp;WeekStartDate+6)+4)&gt;=WeekStartDate+6+1,"",INDEX('Content Calendar'!$C$5:$C$604,MATCH(SMALL('Content Calendar'!$AI$5:$AI$604,COUNTIF('Content Calendar'!$AI$5:$AI$604,"&lt;"&amp;WeekStartDate+6)+4),'Content Calendar'!$AI$5:$AI$604,0))),"")</f>
        <v>0</v>
      </c>
      <c r="B47" s="17">
        <f>IFERROR(IF(SMALL('Content Calendar'!$AI$5:$AI$604,COUNTIF('Content Calendar'!$AI$5:$AI$604,"&lt;"&amp;WeekStartDate+6)+4)&gt;=WeekStartDate+6+1,"",INDEX('Content Calendar'!$G$5:$G$604,MATCH(SMALL('Content Calendar'!$AI$5:$AI$604,COUNTIF('Content Calendar'!$AI$5:$AI$604,"&lt;"&amp;WeekStartDate+6)+4),'Content Calendar'!$AI$5:$AI$604,0))),"")</f>
        <v>0</v>
      </c>
      <c r="C47" s="17">
        <f>IFERROR(IF(SMALL('Content Calendar'!$AI$5:$AI$604,COUNTIF('Content Calendar'!$AI$5:$AI$604,"&lt;"&amp;WeekStartDate+6)+4)&gt;=WeekStartDate+6+1,"",INDEX('Content Calendar'!$H$5:$H$604,MATCH(SMALL('Content Calendar'!$AI$5:$AI$604,COUNTIF('Content Calendar'!$AI$5:$AI$604,"&lt;"&amp;WeekStartDate+6)+4),'Content Calendar'!$AI$5:$AI$604,0))),"")</f>
        <v>0</v>
      </c>
      <c r="D47" s="17">
        <f>IFERROR(IF(SMALL('Content Calendar'!$AI$5:$AI$604,COUNTIF('Content Calendar'!$AI$5:$AI$604,"&lt;"&amp;WeekStartDate+6)+4)&gt;=WeekStartDate+6+1,"",INDEX('Content Calendar'!$K$5:$K$604,MATCH(SMALL('Content Calendar'!$AI$5:$AI$604,COUNTIF('Content Calendar'!$AI$5:$AI$604,"&lt;"&amp;WeekStartDate+6)+4),'Content Calendar'!$AI$5:$AI$604,0))),"")</f>
        <v>0</v>
      </c>
      <c r="E47" s="17">
        <f>IFERROR(IF(SMALL('Content Calendar'!$AI$5:$AI$604,COUNTIF('Content Calendar'!$AI$5:$AI$604,"&lt;"&amp;WeekStartDate+6)+4)&gt;=WeekStartDate+6+1,"",INDEX('Content Calendar'!$J$5:$J$604,MATCH(SMALL('Content Calendar'!$AI$5:$AI$604,COUNTIF('Content Calendar'!$AI$5:$AI$604,"&lt;"&amp;WeekStartDate+6)+4),'Content Calendar'!$AI$5:$AI$604,0))),"")</f>
        <v>0</v>
      </c>
      <c r="F47" s="17">
        <f>IFERROR(IF(SMALL('Content Calendar'!$AI$5:$AI$604,COUNTIF('Content Calendar'!$AI$5:$AI$604,"&lt;"&amp;WeekStartDate+6)+4)&gt;=WeekStartDate+6+1,"",INDEX('Content Calendar'!$W$5:$W$604,MATCH(SMALL('Content Calendar'!$AI$5:$AI$604,COUNTIF('Content Calendar'!$AI$5:$AI$604,"&lt;"&amp;WeekStartDate+6)+4),'Content Calendar'!$AI$5:$AI$604,0))),"")</f>
        <v>0</v>
      </c>
      <c r="G47" s="29">
        <f>IFERROR(IF(SMALL('Content Calendar'!$AI$5:$AI$604,COUNTIF('Content Calendar'!$AI$5:$AI$604,"&lt;"&amp;WeekStartDate+6)+4)&gt;=WeekStartDate+6+1,"",INDEX('Content Calendar'!$X$5:$X$604,MATCH(SMALL('Content Calendar'!$AI$5:$AI$604,COUNTIF('Content Calendar'!$AI$5:$AI$604,"&lt;"&amp;WeekStartDate+6)+4),'Content Calendar'!$AI$5:$AI$604,0))),"")</f>
        <v>0</v>
      </c>
      <c r="H47" s="57"/>
    </row>
    <row r="49" spans="1:8" ht="20" customHeight="1">
      <c r="A49" s="7" t="s">
        <v>2236</v>
      </c>
      <c r="B49" s="7"/>
      <c r="C49" s="7"/>
      <c r="D49" s="7"/>
      <c r="E49" s="7"/>
      <c r="F49" s="7"/>
      <c r="G49" s="7"/>
      <c r="H49" s="7"/>
    </row>
    <row r="50" spans="1:8" ht="26" customHeight="1">
      <c r="A50" s="8" t="s">
        <v>193</v>
      </c>
      <c r="B50" s="9" t="s">
        <v>138</v>
      </c>
      <c r="C50" s="9" t="s">
        <v>2237</v>
      </c>
      <c r="D50" s="9" t="s">
        <v>2238</v>
      </c>
      <c r="E50" s="9" t="s">
        <v>144</v>
      </c>
      <c r="F50" s="9" t="s">
        <v>1565</v>
      </c>
      <c r="G50" s="9" t="s">
        <v>1152</v>
      </c>
      <c r="H50" s="9" t="s">
        <v>1154</v>
      </c>
    </row>
    <row r="51" spans="1:8">
      <c r="A51" s="23">
        <f>COUNTIFS('Content Calendar'!$B$5:$B$604,"&gt;="&amp;WeekStartDate,'Content Calendar'!$B$5:$B$604,"&lt;="&amp;WeekStartDate+6)</f>
        <v>0</v>
      </c>
      <c r="B51" s="23">
        <f>COUNTIFS('Content Calendar'!$B$5:$B$604,"&gt;="&amp;WeekStartDate,'Content Calendar'!$B$5:$B$604,"&lt;="&amp;WeekStartDate+6,'Content Calendar'!$X$5:$X$604,"Published")</f>
        <v>0</v>
      </c>
      <c r="C51" s="23">
        <f>COUNTIFS('Content Calendar'!$B$5:$B$604,"&gt;="&amp;WeekStartDate,'Content Calendar'!$B$5:$B$604,"&lt;="&amp;WeekStartDate+6)-COUNTIFS('Content Calendar'!$B$5:$B$604,"&gt;="&amp;WeekStartDate,'Content Calendar'!$B$5:$B$604,"&lt;="&amp;WeekStartDate+6,'Content Calendar'!$X$5:$X$604,"Published")</f>
        <v>0</v>
      </c>
      <c r="D51" s="23">
        <f>PostsPerWeek</f>
        <v>0</v>
      </c>
      <c r="E51" s="24">
        <f>IFERROR(COUNTIFS('Content Calendar'!$B$5:$B$604,"&gt;="&amp;WeekStartDate,'Content Calendar'!$B$5:$B$604,"&lt;="&amp;WeekStartDate+6)/PostsPerWeek,"")</f>
        <v>0</v>
      </c>
      <c r="F51" s="23">
        <f>SUMPRODUCT((COUNTIFS('Content Calendar'!$G$5:$G$604,Calc!$T$5:$T$604,'Content Calendar'!$B$5:$B$604,"&gt;="&amp;WeekStartDate,'Content Calendar'!$B$5:$B$604,"&lt;="&amp;WeekStartDate+6)&gt;0)*1)</f>
        <v>0</v>
      </c>
      <c r="G51" s="23">
        <f>COUNTIFS('Content Calendar'!$B$5:$B$604,"&gt;="&amp;WeekStartDate,'Content Calendar'!$B$5:$B$604,"&lt;="&amp;WeekStartDate+6,'Content Calendar'!$P$5:$P$604,"")</f>
        <v>0</v>
      </c>
      <c r="H51" s="23">
        <f>COUNTIFS('Content Calendar'!$B$5:$B$604,"&gt;="&amp;WeekStartDate,'Content Calendar'!$B$5:$B$604,"&lt;="&amp;WeekStartDate+6,'Content Calendar'!$T$5:$T$604,"")</f>
        <v>0</v>
      </c>
    </row>
    <row r="53" spans="1:8" ht="24" customHeight="1">
      <c r="A53" s="6" t="s">
        <v>2239</v>
      </c>
      <c r="B53" s="6"/>
      <c r="C53" s="6"/>
      <c r="D53" s="6"/>
      <c r="E53" s="6"/>
      <c r="F53" s="6"/>
      <c r="G53" s="6"/>
      <c r="H53" s="6"/>
    </row>
  </sheetData>
  <sheetProtection password="EC7C" sheet="1" objects="1" scenarios="1" formatCells="0" formatColumns="0" formatRows="0" insertRows="0" insertHyperlinks="0" deleteRows="0" autoFilter="0"/>
  <mergeCells count="13">
    <mergeCell ref="A1:B1"/>
    <mergeCell ref="D1:H1"/>
    <mergeCell ref="A3:H3"/>
    <mergeCell ref="A4:H4"/>
    <mergeCell ref="A6:H6"/>
    <mergeCell ref="A12:H12"/>
    <mergeCell ref="A18:H18"/>
    <mergeCell ref="A24:H24"/>
    <mergeCell ref="A30:H30"/>
    <mergeCell ref="A36:H36"/>
    <mergeCell ref="A42:H42"/>
    <mergeCell ref="A49:H49"/>
    <mergeCell ref="A53:H53"/>
  </mergeCells>
  <dataValidations count="1">
    <dataValidation type="date" allowBlank="1" showInputMessage="1" showErrorMessage="1" errorTitle="Check the date" error="Enter a real date between 2000 and 2100." sqref="C1">
      <formula1>36526</formula1>
      <formula2>73415</formula2>
    </dataValidation>
  </dataValidations>
  <printOptions horizontalCentered="1"/>
  <pageMargins left="0.4" right="0.4" top="0.6" bottom="0.5" header="0.3" footer="0.3"/>
  <pageSetup paperSize="9" fitToHeight="0" orientation="landscape"/>
  <headerFooter>
    <oddHeader>&amp;L&amp;"Calibri,Bold"&amp;12&amp;C&amp;"Calibri,Bold"&amp;11Print Week&amp;R&amp;"Calibri,Italic"&amp;9Social Media Content Calendar &amp; Analytics Planner</oddHeader>
    <oddFooter>&amp;L&amp;"Calibri,Italic"&amp;8Novality Store - v1.0.0&amp;C&amp;"Calibri,Italic"&amp;8Page &amp;P of &amp;N&amp;R&amp;"Calibri,Italic"&amp;8&amp;D</oddFooter>
  </headerFooter>
</worksheet>
</file>

<file path=xl/worksheets/sheet42.xml><?xml version="1.0" encoding="utf-8"?>
<worksheet xmlns="http://schemas.openxmlformats.org/spreadsheetml/2006/main" xmlns:r="http://schemas.openxmlformats.org/officeDocument/2006/relationships">
  <sheetPr>
    <tabColor rgb="FF5F5A70"/>
    <pageSetUpPr fitToPage="1"/>
  </sheetPr>
  <dimension ref="A1:L75"/>
  <sheetViews>
    <sheetView showGridLines="0" workbookViewId="0">
      <pane ySplit="4" topLeftCell="A5" activePane="bottomLeft" state="frozen"/>
      <selection pane="bottomLeft"/>
    </sheetView>
  </sheetViews>
  <sheetFormatPr defaultRowHeight="15"/>
  <cols>
    <col min="1" max="1" width="4.7109375" customWidth="1"/>
    <col min="2" max="2" width="30.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2" max="2" width="30.7109375" customWidth="1"/>
    <col min="3" max="3" width="76.7109375" customWidth="1"/>
    <col min="2" max="2" width="30.7109375" customWidth="1"/>
    <col min="3" max="3" width="76.7109375" customWidth="1"/>
    <col min="2" max="2" width="30.7109375" customWidth="1"/>
    <col min="3" max="3" width="76.7109375" customWidth="1"/>
    <col min="2" max="2" width="30.7109375" customWidth="1"/>
    <col min="3" max="3" width="76.7109375" customWidth="1"/>
  </cols>
  <sheetData>
    <row r="1" spans="1:12" ht="34" customHeight="1">
      <c r="A1" s="2" t="s">
        <v>2240</v>
      </c>
      <c r="B1" s="2"/>
      <c r="C1" s="2"/>
      <c r="D1" s="2"/>
      <c r="E1" s="2"/>
      <c r="F1" s="2"/>
      <c r="G1" s="2"/>
      <c r="H1" s="2"/>
      <c r="I1" s="2"/>
      <c r="J1" s="3" t="s">
        <v>1</v>
      </c>
      <c r="K1" s="3"/>
      <c r="L1" s="3"/>
    </row>
    <row r="2" spans="1:12" ht="18" customHeight="1">
      <c r="A2" s="4" t="s">
        <v>2241</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8</v>
      </c>
      <c r="L3" s="5"/>
    </row>
    <row r="5" spans="1:12" ht="20" customHeight="1">
      <c r="A5" s="7" t="s">
        <v>2242</v>
      </c>
      <c r="B5" s="7"/>
      <c r="C5" s="7"/>
      <c r="D5" s="7"/>
      <c r="E5" s="7"/>
      <c r="F5" s="7"/>
      <c r="G5" s="7"/>
      <c r="H5" s="7"/>
      <c r="I5" s="7"/>
      <c r="J5" s="7"/>
      <c r="K5" s="7"/>
      <c r="L5" s="7"/>
    </row>
    <row r="6" spans="1:12" ht="26" customHeight="1">
      <c r="B6" s="8" t="s">
        <v>39</v>
      </c>
      <c r="C6" s="9" t="s">
        <v>2243</v>
      </c>
    </row>
    <row r="7" spans="1:12" ht="34" customHeight="1">
      <c r="B7" s="11" t="s">
        <v>27</v>
      </c>
      <c r="C7" s="12" t="s">
        <v>2244</v>
      </c>
      <c r="D7" s="12"/>
      <c r="E7" s="12"/>
      <c r="F7" s="12"/>
      <c r="G7" s="12"/>
      <c r="H7" s="12"/>
      <c r="I7" s="12"/>
      <c r="J7" s="12"/>
      <c r="K7" s="12"/>
      <c r="L7" s="12"/>
    </row>
    <row r="8" spans="1:12" ht="34" customHeight="1">
      <c r="B8" s="11" t="s">
        <v>87</v>
      </c>
      <c r="C8" s="12" t="s">
        <v>2245</v>
      </c>
      <c r="D8" s="12"/>
      <c r="E8" s="12"/>
      <c r="F8" s="12"/>
      <c r="G8" s="12"/>
      <c r="H8" s="12"/>
      <c r="I8" s="12"/>
      <c r="J8" s="12"/>
      <c r="K8" s="12"/>
      <c r="L8" s="12"/>
    </row>
    <row r="9" spans="1:12" ht="34" customHeight="1">
      <c r="B9" s="11" t="s">
        <v>85</v>
      </c>
      <c r="C9" s="12" t="s">
        <v>2246</v>
      </c>
      <c r="D9" s="12"/>
      <c r="E9" s="12"/>
      <c r="F9" s="12"/>
      <c r="G9" s="12"/>
      <c r="H9" s="12"/>
      <c r="I9" s="12"/>
      <c r="J9" s="12"/>
      <c r="K9" s="12"/>
      <c r="L9" s="12"/>
    </row>
    <row r="10" spans="1:12" ht="34" customHeight="1">
      <c r="B10" s="11" t="s">
        <v>2247</v>
      </c>
      <c r="C10" s="12" t="s">
        <v>2248</v>
      </c>
      <c r="D10" s="12"/>
      <c r="E10" s="12"/>
      <c r="F10" s="12"/>
      <c r="G10" s="12"/>
      <c r="H10" s="12"/>
      <c r="I10" s="12"/>
      <c r="J10" s="12"/>
      <c r="K10" s="12"/>
      <c r="L10" s="12"/>
    </row>
    <row r="11" spans="1:12" ht="34" customHeight="1">
      <c r="B11" s="6" t="s">
        <v>2249</v>
      </c>
      <c r="C11" s="6"/>
      <c r="D11" s="6"/>
      <c r="E11" s="6"/>
      <c r="F11" s="6"/>
      <c r="G11" s="6"/>
      <c r="H11" s="6"/>
      <c r="I11" s="6"/>
      <c r="J11" s="6"/>
      <c r="K11" s="6"/>
      <c r="L11" s="6"/>
    </row>
    <row r="13" spans="1:12" ht="20" customHeight="1">
      <c r="A13" s="7" t="s">
        <v>2250</v>
      </c>
      <c r="B13" s="7"/>
      <c r="C13" s="7"/>
      <c r="D13" s="7"/>
      <c r="E13" s="7"/>
      <c r="F13" s="7"/>
      <c r="G13" s="7"/>
      <c r="H13" s="7"/>
      <c r="I13" s="7"/>
      <c r="J13" s="7"/>
      <c r="K13" s="7"/>
      <c r="L13" s="7"/>
    </row>
    <row r="14" spans="1:12" ht="26" customHeight="1">
      <c r="B14" s="8" t="s">
        <v>452</v>
      </c>
      <c r="C14" s="9" t="s">
        <v>2251</v>
      </c>
    </row>
    <row r="15" spans="1:12" ht="30" customHeight="1">
      <c r="B15" s="11" t="s">
        <v>2252</v>
      </c>
      <c r="C15" s="12" t="s">
        <v>2253</v>
      </c>
      <c r="D15" s="12"/>
      <c r="E15" s="12"/>
      <c r="F15" s="12"/>
      <c r="G15" s="12"/>
      <c r="H15" s="12"/>
      <c r="I15" s="12"/>
      <c r="J15" s="12"/>
      <c r="K15" s="12"/>
      <c r="L15" s="12"/>
    </row>
    <row r="16" spans="1:12" ht="30" customHeight="1">
      <c r="B16" s="11" t="s">
        <v>2254</v>
      </c>
      <c r="C16" s="12" t="s">
        <v>2255</v>
      </c>
      <c r="D16" s="12"/>
      <c r="E16" s="12"/>
      <c r="F16" s="12"/>
      <c r="G16" s="12"/>
      <c r="H16" s="12"/>
      <c r="I16" s="12"/>
      <c r="J16" s="12"/>
      <c r="K16" s="12"/>
      <c r="L16" s="12"/>
    </row>
    <row r="17" spans="1:12" ht="30" customHeight="1">
      <c r="B17" s="11" t="s">
        <v>2256</v>
      </c>
      <c r="C17" s="12" t="s">
        <v>2257</v>
      </c>
      <c r="D17" s="12"/>
      <c r="E17" s="12"/>
      <c r="F17" s="12"/>
      <c r="G17" s="12"/>
      <c r="H17" s="12"/>
      <c r="I17" s="12"/>
      <c r="J17" s="12"/>
      <c r="K17" s="12"/>
      <c r="L17" s="12"/>
    </row>
    <row r="18" spans="1:12" ht="30" customHeight="1">
      <c r="B18" s="11" t="s">
        <v>2258</v>
      </c>
      <c r="C18" s="12" t="s">
        <v>2259</v>
      </c>
      <c r="D18" s="12"/>
      <c r="E18" s="12"/>
      <c r="F18" s="12"/>
      <c r="G18" s="12"/>
      <c r="H18" s="12"/>
      <c r="I18" s="12"/>
      <c r="J18" s="12"/>
      <c r="K18" s="12"/>
      <c r="L18" s="12"/>
    </row>
    <row r="19" spans="1:12" ht="30" customHeight="1">
      <c r="B19" s="11" t="s">
        <v>2260</v>
      </c>
      <c r="C19" s="12" t="s">
        <v>2261</v>
      </c>
      <c r="D19" s="12"/>
      <c r="E19" s="12"/>
      <c r="F19" s="12"/>
      <c r="G19" s="12"/>
      <c r="H19" s="12"/>
      <c r="I19" s="12"/>
      <c r="J19" s="12"/>
      <c r="K19" s="12"/>
      <c r="L19" s="12"/>
    </row>
    <row r="20" spans="1:12" ht="30" customHeight="1">
      <c r="B20" s="11" t="s">
        <v>2262</v>
      </c>
      <c r="C20" s="12" t="s">
        <v>2263</v>
      </c>
      <c r="D20" s="12"/>
      <c r="E20" s="12"/>
      <c r="F20" s="12"/>
      <c r="G20" s="12"/>
      <c r="H20" s="12"/>
      <c r="I20" s="12"/>
      <c r="J20" s="12"/>
      <c r="K20" s="12"/>
      <c r="L20" s="12"/>
    </row>
    <row r="21" spans="1:12" ht="30" customHeight="1">
      <c r="B21" s="11" t="s">
        <v>2264</v>
      </c>
      <c r="C21" s="12" t="s">
        <v>2265</v>
      </c>
      <c r="D21" s="12"/>
      <c r="E21" s="12"/>
      <c r="F21" s="12"/>
      <c r="G21" s="12"/>
      <c r="H21" s="12"/>
      <c r="I21" s="12"/>
      <c r="J21" s="12"/>
      <c r="K21" s="12"/>
      <c r="L21" s="12"/>
    </row>
    <row r="22" spans="1:12" ht="30" customHeight="1">
      <c r="B22" s="11" t="s">
        <v>2266</v>
      </c>
      <c r="C22" s="12" t="s">
        <v>2267</v>
      </c>
      <c r="D22" s="12"/>
      <c r="E22" s="12"/>
      <c r="F22" s="12"/>
      <c r="G22" s="12"/>
      <c r="H22" s="12"/>
      <c r="I22" s="12"/>
      <c r="J22" s="12"/>
      <c r="K22" s="12"/>
      <c r="L22" s="12"/>
    </row>
    <row r="23" spans="1:12" ht="30" customHeight="1">
      <c r="B23" s="11" t="s">
        <v>2268</v>
      </c>
      <c r="C23" s="12" t="s">
        <v>2269</v>
      </c>
      <c r="D23" s="12"/>
      <c r="E23" s="12"/>
      <c r="F23" s="12"/>
      <c r="G23" s="12"/>
      <c r="H23" s="12"/>
      <c r="I23" s="12"/>
      <c r="J23" s="12"/>
      <c r="K23" s="12"/>
      <c r="L23" s="12"/>
    </row>
    <row r="24" spans="1:12" ht="30" customHeight="1">
      <c r="B24" s="11" t="s">
        <v>2270</v>
      </c>
      <c r="C24" s="12" t="s">
        <v>2271</v>
      </c>
      <c r="D24" s="12"/>
      <c r="E24" s="12"/>
      <c r="F24" s="12"/>
      <c r="G24" s="12"/>
      <c r="H24" s="12"/>
      <c r="I24" s="12"/>
      <c r="J24" s="12"/>
      <c r="K24" s="12"/>
      <c r="L24" s="12"/>
    </row>
    <row r="25" spans="1:12" ht="30" customHeight="1">
      <c r="B25" s="11" t="s">
        <v>2272</v>
      </c>
      <c r="C25" s="12" t="s">
        <v>2273</v>
      </c>
      <c r="D25" s="12"/>
      <c r="E25" s="12"/>
      <c r="F25" s="12"/>
      <c r="G25" s="12"/>
      <c r="H25" s="12"/>
      <c r="I25" s="12"/>
      <c r="J25" s="12"/>
      <c r="K25" s="12"/>
      <c r="L25" s="12"/>
    </row>
    <row r="26" spans="1:12" ht="30" customHeight="1">
      <c r="B26" s="11" t="s">
        <v>2274</v>
      </c>
      <c r="C26" s="12" t="s">
        <v>2275</v>
      </c>
      <c r="D26" s="12"/>
      <c r="E26" s="12"/>
      <c r="F26" s="12"/>
      <c r="G26" s="12"/>
      <c r="H26" s="12"/>
      <c r="I26" s="12"/>
      <c r="J26" s="12"/>
      <c r="K26" s="12"/>
      <c r="L26" s="12"/>
    </row>
    <row r="27" spans="1:12" ht="30" customHeight="1">
      <c r="B27" s="11" t="s">
        <v>2276</v>
      </c>
      <c r="C27" s="12" t="s">
        <v>2277</v>
      </c>
      <c r="D27" s="12"/>
      <c r="E27" s="12"/>
      <c r="F27" s="12"/>
      <c r="G27" s="12"/>
      <c r="H27" s="12"/>
      <c r="I27" s="12"/>
      <c r="J27" s="12"/>
      <c r="K27" s="12"/>
      <c r="L27" s="12"/>
    </row>
    <row r="28" spans="1:12" ht="30" customHeight="1">
      <c r="B28" s="11" t="s">
        <v>2278</v>
      </c>
      <c r="C28" s="12" t="s">
        <v>2279</v>
      </c>
      <c r="D28" s="12"/>
      <c r="E28" s="12"/>
      <c r="F28" s="12"/>
      <c r="G28" s="12"/>
      <c r="H28" s="12"/>
      <c r="I28" s="12"/>
      <c r="J28" s="12"/>
      <c r="K28" s="12"/>
      <c r="L28" s="12"/>
    </row>
    <row r="29" spans="1:12" ht="30" customHeight="1">
      <c r="B29" s="11" t="s">
        <v>2280</v>
      </c>
      <c r="C29" s="12" t="s">
        <v>2281</v>
      </c>
      <c r="D29" s="12"/>
      <c r="E29" s="12"/>
      <c r="F29" s="12"/>
      <c r="G29" s="12"/>
      <c r="H29" s="12"/>
      <c r="I29" s="12"/>
      <c r="J29" s="12"/>
      <c r="K29" s="12"/>
      <c r="L29" s="12"/>
    </row>
    <row r="31" spans="1:12" ht="20" customHeight="1">
      <c r="A31" s="7" t="s">
        <v>2282</v>
      </c>
      <c r="B31" s="7"/>
      <c r="C31" s="7"/>
      <c r="D31" s="7"/>
      <c r="E31" s="7"/>
      <c r="F31" s="7"/>
      <c r="G31" s="7"/>
      <c r="H31" s="7"/>
      <c r="I31" s="7"/>
      <c r="J31" s="7"/>
      <c r="K31" s="7"/>
      <c r="L31" s="7"/>
    </row>
    <row r="32" spans="1:12" ht="26" customHeight="1">
      <c r="B32" s="8" t="s">
        <v>2283</v>
      </c>
      <c r="C32" s="9" t="s">
        <v>2284</v>
      </c>
    </row>
    <row r="33" spans="1:12" ht="24" customHeight="1">
      <c r="B33" s="11" t="s">
        <v>149</v>
      </c>
      <c r="C33" s="12" t="s">
        <v>2285</v>
      </c>
      <c r="D33" s="12"/>
      <c r="E33" s="12"/>
      <c r="F33" s="12"/>
      <c r="G33" s="12"/>
      <c r="H33" s="12"/>
      <c r="I33" s="12"/>
      <c r="J33" s="12"/>
      <c r="K33" s="12"/>
      <c r="L33" s="12"/>
    </row>
    <row r="34" spans="1:12" ht="24" customHeight="1">
      <c r="B34" s="11" t="s">
        <v>151</v>
      </c>
      <c r="C34" s="12" t="s">
        <v>2286</v>
      </c>
      <c r="D34" s="12"/>
      <c r="E34" s="12"/>
      <c r="F34" s="12"/>
      <c r="G34" s="12"/>
      <c r="H34" s="12"/>
      <c r="I34" s="12"/>
      <c r="J34" s="12"/>
      <c r="K34" s="12"/>
      <c r="L34" s="12"/>
    </row>
    <row r="35" spans="1:12" ht="24" customHeight="1">
      <c r="B35" s="11" t="s">
        <v>153</v>
      </c>
      <c r="C35" s="12" t="s">
        <v>2287</v>
      </c>
      <c r="D35" s="12"/>
      <c r="E35" s="12"/>
      <c r="F35" s="12"/>
      <c r="G35" s="12"/>
      <c r="H35" s="12"/>
      <c r="I35" s="12"/>
      <c r="J35" s="12"/>
      <c r="K35" s="12"/>
      <c r="L35" s="12"/>
    </row>
    <row r="36" spans="1:12" ht="24" customHeight="1">
      <c r="B36" s="11" t="s">
        <v>155</v>
      </c>
      <c r="C36" s="12" t="s">
        <v>2288</v>
      </c>
      <c r="D36" s="12"/>
      <c r="E36" s="12"/>
      <c r="F36" s="12"/>
      <c r="G36" s="12"/>
      <c r="H36" s="12"/>
      <c r="I36" s="12"/>
      <c r="J36" s="12"/>
      <c r="K36" s="12"/>
      <c r="L36" s="12"/>
    </row>
    <row r="37" spans="1:12" ht="24" customHeight="1">
      <c r="B37" s="11" t="s">
        <v>1893</v>
      </c>
      <c r="C37" s="12" t="s">
        <v>2289</v>
      </c>
      <c r="D37" s="12"/>
      <c r="E37" s="12"/>
      <c r="F37" s="12"/>
      <c r="G37" s="12"/>
      <c r="H37" s="12"/>
      <c r="I37" s="12"/>
      <c r="J37" s="12"/>
      <c r="K37" s="12"/>
      <c r="L37" s="12"/>
    </row>
    <row r="38" spans="1:12" ht="24" customHeight="1">
      <c r="B38" s="11" t="s">
        <v>1894</v>
      </c>
      <c r="C38" s="12" t="s">
        <v>2290</v>
      </c>
      <c r="D38" s="12"/>
      <c r="E38" s="12"/>
      <c r="F38" s="12"/>
      <c r="G38" s="12"/>
      <c r="H38" s="12"/>
      <c r="I38" s="12"/>
      <c r="J38" s="12"/>
      <c r="K38" s="12"/>
      <c r="L38" s="12"/>
    </row>
    <row r="39" spans="1:12" ht="24" customHeight="1">
      <c r="B39" s="11" t="s">
        <v>1883</v>
      </c>
      <c r="C39" s="12" t="s">
        <v>2291</v>
      </c>
      <c r="D39" s="12"/>
      <c r="E39" s="12"/>
      <c r="F39" s="12"/>
      <c r="G39" s="12"/>
      <c r="H39" s="12"/>
      <c r="I39" s="12"/>
      <c r="J39" s="12"/>
      <c r="K39" s="12"/>
      <c r="L39" s="12"/>
    </row>
    <row r="40" spans="1:12" ht="24" customHeight="1">
      <c r="B40" s="11" t="s">
        <v>164</v>
      </c>
      <c r="C40" s="12" t="s">
        <v>2292</v>
      </c>
      <c r="D40" s="12"/>
      <c r="E40" s="12"/>
      <c r="F40" s="12"/>
      <c r="G40" s="12"/>
      <c r="H40" s="12"/>
      <c r="I40" s="12"/>
      <c r="J40" s="12"/>
      <c r="K40" s="12"/>
      <c r="L40" s="12"/>
    </row>
    <row r="41" spans="1:12" ht="24" customHeight="1">
      <c r="B41" s="11" t="s">
        <v>1882</v>
      </c>
      <c r="C41" s="12" t="s">
        <v>2293</v>
      </c>
      <c r="D41" s="12"/>
      <c r="E41" s="12"/>
      <c r="F41" s="12"/>
      <c r="G41" s="12"/>
      <c r="H41" s="12"/>
      <c r="I41" s="12"/>
      <c r="J41" s="12"/>
      <c r="K41" s="12"/>
      <c r="L41" s="12"/>
    </row>
    <row r="42" spans="1:12" ht="24" customHeight="1">
      <c r="B42" s="11" t="s">
        <v>1434</v>
      </c>
      <c r="C42" s="12" t="s">
        <v>2294</v>
      </c>
      <c r="D42" s="12"/>
      <c r="E42" s="12"/>
      <c r="F42" s="12"/>
      <c r="G42" s="12"/>
      <c r="H42" s="12"/>
      <c r="I42" s="12"/>
      <c r="J42" s="12"/>
      <c r="K42" s="12"/>
      <c r="L42" s="12"/>
    </row>
    <row r="43" spans="1:12" ht="24" customHeight="1">
      <c r="B43" s="11" t="s">
        <v>1513</v>
      </c>
      <c r="C43" s="12" t="s">
        <v>2295</v>
      </c>
      <c r="D43" s="12"/>
      <c r="E43" s="12"/>
      <c r="F43" s="12"/>
      <c r="G43" s="12"/>
      <c r="H43" s="12"/>
      <c r="I43" s="12"/>
      <c r="J43" s="12"/>
      <c r="K43" s="12"/>
      <c r="L43" s="12"/>
    </row>
    <row r="44" spans="1:12" ht="24" customHeight="1">
      <c r="B44" s="11" t="s">
        <v>181</v>
      </c>
      <c r="C44" s="12" t="s">
        <v>2296</v>
      </c>
      <c r="D44" s="12"/>
      <c r="E44" s="12"/>
      <c r="F44" s="12"/>
      <c r="G44" s="12"/>
      <c r="H44" s="12"/>
      <c r="I44" s="12"/>
      <c r="J44" s="12"/>
      <c r="K44" s="12"/>
      <c r="L44" s="12"/>
    </row>
    <row r="45" spans="1:12" ht="24" customHeight="1">
      <c r="B45" s="11" t="s">
        <v>2297</v>
      </c>
      <c r="C45" s="12" t="s">
        <v>2298</v>
      </c>
      <c r="D45" s="12"/>
      <c r="E45" s="12"/>
      <c r="F45" s="12"/>
      <c r="G45" s="12"/>
      <c r="H45" s="12"/>
      <c r="I45" s="12"/>
      <c r="J45" s="12"/>
      <c r="K45" s="12"/>
      <c r="L45" s="12"/>
    </row>
    <row r="46" spans="1:12" ht="24" customHeight="1">
      <c r="B46" s="11" t="s">
        <v>2299</v>
      </c>
      <c r="C46" s="12" t="s">
        <v>2300</v>
      </c>
      <c r="D46" s="12"/>
      <c r="E46" s="12"/>
      <c r="F46" s="12"/>
      <c r="G46" s="12"/>
      <c r="H46" s="12"/>
      <c r="I46" s="12"/>
      <c r="J46" s="12"/>
      <c r="K46" s="12"/>
      <c r="L46" s="12"/>
    </row>
    <row r="48" spans="1:12" ht="20" customHeight="1">
      <c r="A48" s="7" t="s">
        <v>2301</v>
      </c>
      <c r="B48" s="7"/>
      <c r="C48" s="7"/>
      <c r="D48" s="7"/>
      <c r="E48" s="7"/>
      <c r="F48" s="7"/>
      <c r="G48" s="7"/>
      <c r="H48" s="7"/>
      <c r="I48" s="7"/>
      <c r="J48" s="7"/>
      <c r="K48" s="7"/>
      <c r="L48" s="7"/>
    </row>
    <row r="49" spans="1:12" ht="26" customHeight="1">
      <c r="B49" s="8" t="s">
        <v>2302</v>
      </c>
      <c r="C49" s="9" t="s">
        <v>13</v>
      </c>
    </row>
    <row r="50" spans="1:12" ht="26" customHeight="1">
      <c r="B50" s="11" t="s">
        <v>2303</v>
      </c>
      <c r="C50" s="12" t="s">
        <v>2304</v>
      </c>
      <c r="D50" s="12"/>
      <c r="E50" s="12"/>
      <c r="F50" s="12"/>
      <c r="G50" s="12"/>
      <c r="H50" s="12"/>
      <c r="I50" s="12"/>
      <c r="J50" s="12"/>
      <c r="K50" s="12"/>
      <c r="L50" s="12"/>
    </row>
    <row r="51" spans="1:12" ht="26" customHeight="1">
      <c r="B51" s="11" t="s">
        <v>2305</v>
      </c>
      <c r="C51" s="12" t="s">
        <v>2306</v>
      </c>
      <c r="D51" s="12"/>
      <c r="E51" s="12"/>
      <c r="F51" s="12"/>
      <c r="G51" s="12"/>
      <c r="H51" s="12"/>
      <c r="I51" s="12"/>
      <c r="J51" s="12"/>
      <c r="K51" s="12"/>
      <c r="L51" s="12"/>
    </row>
    <row r="52" spans="1:12" ht="26" customHeight="1">
      <c r="B52" s="11" t="s">
        <v>2307</v>
      </c>
      <c r="C52" s="12" t="s">
        <v>2308</v>
      </c>
      <c r="D52" s="12"/>
      <c r="E52" s="12"/>
      <c r="F52" s="12"/>
      <c r="G52" s="12"/>
      <c r="H52" s="12"/>
      <c r="I52" s="12"/>
      <c r="J52" s="12"/>
      <c r="K52" s="12"/>
      <c r="L52" s="12"/>
    </row>
    <row r="53" spans="1:12" ht="26" customHeight="1">
      <c r="B53" s="11" t="s">
        <v>2309</v>
      </c>
      <c r="C53" s="12" t="s">
        <v>2310</v>
      </c>
      <c r="D53" s="12"/>
      <c r="E53" s="12"/>
      <c r="F53" s="12"/>
      <c r="G53" s="12"/>
      <c r="H53" s="12"/>
      <c r="I53" s="12"/>
      <c r="J53" s="12"/>
      <c r="K53" s="12"/>
      <c r="L53" s="12"/>
    </row>
    <row r="54" spans="1:12" ht="26" customHeight="1">
      <c r="B54" s="11" t="s">
        <v>2311</v>
      </c>
      <c r="C54" s="12" t="s">
        <v>2312</v>
      </c>
      <c r="D54" s="12"/>
      <c r="E54" s="12"/>
      <c r="F54" s="12"/>
      <c r="G54" s="12"/>
      <c r="H54" s="12"/>
      <c r="I54" s="12"/>
      <c r="J54" s="12"/>
      <c r="K54" s="12"/>
      <c r="L54" s="12"/>
    </row>
    <row r="55" spans="1:12" ht="26" customHeight="1">
      <c r="B55" s="11" t="s">
        <v>2313</v>
      </c>
      <c r="C55" s="12" t="s">
        <v>2314</v>
      </c>
      <c r="D55" s="12"/>
      <c r="E55" s="12"/>
      <c r="F55" s="12"/>
      <c r="G55" s="12"/>
      <c r="H55" s="12"/>
      <c r="I55" s="12"/>
      <c r="J55" s="12"/>
      <c r="K55" s="12"/>
      <c r="L55" s="12"/>
    </row>
    <row r="56" spans="1:12" ht="26" customHeight="1">
      <c r="B56" s="11" t="s">
        <v>2315</v>
      </c>
      <c r="C56" s="12" t="s">
        <v>2316</v>
      </c>
      <c r="D56" s="12"/>
      <c r="E56" s="12"/>
      <c r="F56" s="12"/>
      <c r="G56" s="12"/>
      <c r="H56" s="12"/>
      <c r="I56" s="12"/>
      <c r="J56" s="12"/>
      <c r="K56" s="12"/>
      <c r="L56" s="12"/>
    </row>
    <row r="57" spans="1:12" ht="26" customHeight="1">
      <c r="B57" s="11" t="s">
        <v>2317</v>
      </c>
      <c r="C57" s="12" t="s">
        <v>2318</v>
      </c>
      <c r="D57" s="12"/>
      <c r="E57" s="12"/>
      <c r="F57" s="12"/>
      <c r="G57" s="12"/>
      <c r="H57" s="12"/>
      <c r="I57" s="12"/>
      <c r="J57" s="12"/>
      <c r="K57" s="12"/>
      <c r="L57" s="12"/>
    </row>
    <row r="59" spans="1:12" ht="20" customHeight="1">
      <c r="A59" s="7" t="s">
        <v>2319</v>
      </c>
      <c r="B59" s="7"/>
      <c r="C59" s="7"/>
      <c r="D59" s="7"/>
      <c r="E59" s="7"/>
      <c r="F59" s="7"/>
      <c r="G59" s="7"/>
      <c r="H59" s="7"/>
      <c r="I59" s="7"/>
      <c r="J59" s="7"/>
      <c r="K59" s="7"/>
      <c r="L59" s="7"/>
    </row>
    <row r="60" spans="1:12" ht="28" customHeight="1">
      <c r="B60" s="6" t="s">
        <v>2320</v>
      </c>
      <c r="C60" s="6"/>
      <c r="D60" s="6"/>
      <c r="E60" s="6"/>
      <c r="F60" s="6"/>
      <c r="G60" s="6"/>
      <c r="H60" s="6"/>
      <c r="I60" s="6"/>
      <c r="J60" s="6"/>
      <c r="K60" s="6"/>
      <c r="L60" s="6"/>
    </row>
    <row r="61" spans="1:12" ht="28" customHeight="1">
      <c r="B61" s="6" t="s">
        <v>2321</v>
      </c>
      <c r="C61" s="6"/>
      <c r="D61" s="6"/>
      <c r="E61" s="6"/>
      <c r="F61" s="6"/>
      <c r="G61" s="6"/>
      <c r="H61" s="6"/>
      <c r="I61" s="6"/>
      <c r="J61" s="6"/>
      <c r="K61" s="6"/>
      <c r="L61" s="6"/>
    </row>
    <row r="62" spans="1:12" ht="28" customHeight="1">
      <c r="B62" s="6" t="s">
        <v>2322</v>
      </c>
      <c r="C62" s="6"/>
      <c r="D62" s="6"/>
      <c r="E62" s="6"/>
      <c r="F62" s="6"/>
      <c r="G62" s="6"/>
      <c r="H62" s="6"/>
      <c r="I62" s="6"/>
      <c r="J62" s="6"/>
      <c r="K62" s="6"/>
      <c r="L62" s="6"/>
    </row>
    <row r="63" spans="1:12" ht="28" customHeight="1">
      <c r="B63" s="6" t="s">
        <v>2323</v>
      </c>
      <c r="C63" s="6"/>
      <c r="D63" s="6"/>
      <c r="E63" s="6"/>
      <c r="F63" s="6"/>
      <c r="G63" s="6"/>
      <c r="H63" s="6"/>
      <c r="I63" s="6"/>
      <c r="J63" s="6"/>
      <c r="K63" s="6"/>
      <c r="L63" s="6"/>
    </row>
    <row r="64" spans="1:12" ht="28" customHeight="1">
      <c r="B64" s="6" t="s">
        <v>2324</v>
      </c>
      <c r="C64" s="6"/>
      <c r="D64" s="6"/>
      <c r="E64" s="6"/>
      <c r="F64" s="6"/>
      <c r="G64" s="6"/>
      <c r="H64" s="6"/>
      <c r="I64" s="6"/>
      <c r="J64" s="6"/>
      <c r="K64" s="6"/>
      <c r="L64" s="6"/>
    </row>
    <row r="65" spans="1:12" ht="28" customHeight="1">
      <c r="B65" s="6" t="s">
        <v>2325</v>
      </c>
      <c r="C65" s="6"/>
      <c r="D65" s="6"/>
      <c r="E65" s="6"/>
      <c r="F65" s="6"/>
      <c r="G65" s="6"/>
      <c r="H65" s="6"/>
      <c r="I65" s="6"/>
      <c r="J65" s="6"/>
      <c r="K65" s="6"/>
      <c r="L65" s="6"/>
    </row>
    <row r="67" spans="1:12" ht="20" customHeight="1">
      <c r="A67" s="7" t="s">
        <v>2326</v>
      </c>
      <c r="B67" s="7"/>
      <c r="C67" s="7"/>
      <c r="D67" s="7"/>
      <c r="E67" s="7"/>
      <c r="F67" s="7"/>
      <c r="G67" s="7"/>
      <c r="H67" s="7"/>
      <c r="I67" s="7"/>
      <c r="J67" s="7"/>
      <c r="K67" s="7"/>
      <c r="L67" s="7"/>
    </row>
    <row r="68" spans="1:12">
      <c r="B68" s="58" t="s">
        <v>2327</v>
      </c>
      <c r="C68" s="13" t="s">
        <v>2328</v>
      </c>
      <c r="D68" s="13"/>
      <c r="E68" s="13"/>
      <c r="F68" s="13"/>
      <c r="G68" s="13"/>
      <c r="H68" s="13"/>
      <c r="I68" s="13"/>
      <c r="J68" s="13"/>
      <c r="K68" s="13"/>
      <c r="L68" s="13"/>
    </row>
    <row r="69" spans="1:12">
      <c r="B69" s="27" t="s">
        <v>2329</v>
      </c>
      <c r="C69" s="13" t="s">
        <v>2330</v>
      </c>
      <c r="D69" s="13"/>
      <c r="E69" s="13"/>
      <c r="F69" s="13"/>
      <c r="G69" s="13"/>
      <c r="H69" s="13"/>
      <c r="I69" s="13"/>
      <c r="J69" s="13"/>
      <c r="K69" s="13"/>
      <c r="L69" s="13"/>
    </row>
    <row r="70" spans="1:12">
      <c r="B70" s="59" t="s">
        <v>2331</v>
      </c>
      <c r="C70" s="13" t="s">
        <v>2332</v>
      </c>
      <c r="D70" s="13"/>
      <c r="E70" s="13"/>
      <c r="F70" s="13"/>
      <c r="G70" s="13"/>
      <c r="H70" s="13"/>
      <c r="I70" s="13"/>
      <c r="J70" s="13"/>
      <c r="K70" s="13"/>
      <c r="L70" s="13"/>
    </row>
    <row r="71" spans="1:12">
      <c r="B71" s="60" t="s">
        <v>2333</v>
      </c>
      <c r="C71" s="13" t="s">
        <v>2334</v>
      </c>
      <c r="D71" s="13"/>
      <c r="E71" s="13"/>
      <c r="F71" s="13"/>
      <c r="G71" s="13"/>
      <c r="H71" s="13"/>
      <c r="I71" s="13"/>
      <c r="J71" s="13"/>
      <c r="K71" s="13"/>
      <c r="L71" s="13"/>
    </row>
    <row r="72" spans="1:12">
      <c r="B72" s="61" t="s">
        <v>2335</v>
      </c>
      <c r="C72" s="13" t="s">
        <v>2336</v>
      </c>
      <c r="D72" s="13"/>
      <c r="E72" s="13"/>
      <c r="F72" s="13"/>
      <c r="G72" s="13"/>
      <c r="H72" s="13"/>
      <c r="I72" s="13"/>
      <c r="J72" s="13"/>
      <c r="K72" s="13"/>
      <c r="L72" s="13"/>
    </row>
    <row r="73" spans="1:12">
      <c r="B73" s="62" t="s">
        <v>2337</v>
      </c>
      <c r="C73" s="13" t="s">
        <v>2338</v>
      </c>
      <c r="D73" s="13"/>
      <c r="E73" s="13"/>
      <c r="F73" s="13"/>
      <c r="G73" s="13"/>
      <c r="H73" s="13"/>
      <c r="I73" s="13"/>
      <c r="J73" s="13"/>
      <c r="K73" s="13"/>
      <c r="L73" s="13"/>
    </row>
    <row r="75" spans="1:12" ht="30" customHeight="1">
      <c r="B75" s="6" t="s">
        <v>2339</v>
      </c>
      <c r="C75" s="6"/>
      <c r="D75" s="6"/>
      <c r="E75" s="6"/>
      <c r="F75" s="6"/>
      <c r="G75" s="6"/>
      <c r="H75" s="6"/>
      <c r="I75" s="6"/>
      <c r="J75" s="6"/>
      <c r="K75" s="6"/>
      <c r="L75" s="6"/>
    </row>
  </sheetData>
  <sheetProtection password="EC7C" sheet="1" objects="1" scenarios="1" formatCells="0" formatColumns="0" formatRows="0" insertRows="0" insertHyperlinks="0" deleteRows="0" autoFilter="0"/>
  <mergeCells count="70">
    <mergeCell ref="A1:I1"/>
    <mergeCell ref="J1:L1"/>
    <mergeCell ref="A2:L2"/>
    <mergeCell ref="A3:B3"/>
    <mergeCell ref="C3:D3"/>
    <mergeCell ref="E3:F3"/>
    <mergeCell ref="G3:H3"/>
    <mergeCell ref="I3:J3"/>
    <mergeCell ref="K3:L3"/>
    <mergeCell ref="A5:L5"/>
    <mergeCell ref="C7:L7"/>
    <mergeCell ref="C8:L8"/>
    <mergeCell ref="C9:L9"/>
    <mergeCell ref="C10:L10"/>
    <mergeCell ref="B11:L11"/>
    <mergeCell ref="A13:L13"/>
    <mergeCell ref="C15:L15"/>
    <mergeCell ref="C16:L16"/>
    <mergeCell ref="C17:L17"/>
    <mergeCell ref="C18:L18"/>
    <mergeCell ref="C19:L19"/>
    <mergeCell ref="C20:L20"/>
    <mergeCell ref="C21:L21"/>
    <mergeCell ref="C22:L22"/>
    <mergeCell ref="C23:L23"/>
    <mergeCell ref="C24:L24"/>
    <mergeCell ref="C25:L25"/>
    <mergeCell ref="C26:L26"/>
    <mergeCell ref="C27:L27"/>
    <mergeCell ref="C28:L28"/>
    <mergeCell ref="C29:L29"/>
    <mergeCell ref="A31:L31"/>
    <mergeCell ref="C33:L33"/>
    <mergeCell ref="C34:L34"/>
    <mergeCell ref="C35:L35"/>
    <mergeCell ref="C36:L36"/>
    <mergeCell ref="C37:L37"/>
    <mergeCell ref="C38:L38"/>
    <mergeCell ref="C39:L39"/>
    <mergeCell ref="C40:L40"/>
    <mergeCell ref="C41:L41"/>
    <mergeCell ref="C42:L42"/>
    <mergeCell ref="C43:L43"/>
    <mergeCell ref="C44:L44"/>
    <mergeCell ref="C45:L45"/>
    <mergeCell ref="C46:L46"/>
    <mergeCell ref="A48:L48"/>
    <mergeCell ref="C50:L50"/>
    <mergeCell ref="C51:L51"/>
    <mergeCell ref="C52:L52"/>
    <mergeCell ref="C53:L53"/>
    <mergeCell ref="C54:L54"/>
    <mergeCell ref="C55:L55"/>
    <mergeCell ref="C56:L56"/>
    <mergeCell ref="C57:L57"/>
    <mergeCell ref="A59:L59"/>
    <mergeCell ref="B60:L60"/>
    <mergeCell ref="B61:L61"/>
    <mergeCell ref="B62:L62"/>
    <mergeCell ref="B63:L63"/>
    <mergeCell ref="B64:L64"/>
    <mergeCell ref="B65:L65"/>
    <mergeCell ref="A67:L67"/>
    <mergeCell ref="C68:L68"/>
    <mergeCell ref="C69:L69"/>
    <mergeCell ref="C70:L70"/>
    <mergeCell ref="C71:L71"/>
    <mergeCell ref="C72:L72"/>
    <mergeCell ref="C73:L73"/>
    <mergeCell ref="B75:L75"/>
  </mergeCell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s>
  <pageMargins left="0.4" right="0.4" top="0.6" bottom="0.5" header="0.3" footer="0.3"/>
  <pageSetup paperSize="9" fitToHeight="0" orientation="landscape"/>
  <headerFooter>
    <oddHeader>&amp;L&amp;"Calibri,Bold"&amp;12&amp;C&amp;"Calibri,Bold"&amp;11Help&amp;R&amp;"Calibri,Italic"&amp;9Social Media Content Calendar &amp; Analytics Planner</oddHeader>
    <oddFooter>&amp;L&amp;"Calibri,Italic"&amp;8Novality Store - v1.0.0&amp;C&amp;"Calibri,Italic"&amp;8Page &amp;P of &amp;N&amp;R&amp;"Calibri,Italic"&amp;8&amp;D</oddFooter>
  </headerFooter>
</worksheet>
</file>

<file path=xl/worksheets/sheet43.xml><?xml version="1.0" encoding="utf-8"?>
<worksheet xmlns="http://schemas.openxmlformats.org/spreadsheetml/2006/main" xmlns:r="http://schemas.openxmlformats.org/officeDocument/2006/relationships">
  <sheetPr>
    <tabColor rgb="FF9AA7AD"/>
    <pageSetUpPr fitToPage="1"/>
  </sheetPr>
  <dimension ref="A1:CJ604"/>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2.7109375" style="16" customWidth="1"/>
    <col min="2" max="2" width="12.7109375" style="16" customWidth="1"/>
    <col min="3" max="3" width="10.7109375" style="17" customWidth="1"/>
    <col min="4" max="4" width="9.7109375" style="17" customWidth="1"/>
    <col min="5" max="5" width="11.7109375" style="23" customWidth="1"/>
    <col min="6" max="6" width="10.7109375" style="23" customWidth="1"/>
    <col min="7" max="7" width="12.7109375" style="23" customWidth="1"/>
    <col min="8" max="8" width="12.7109375" style="23" customWidth="1"/>
    <col min="9" max="9" width="12.7109375" style="23" customWidth="1"/>
    <col min="10" max="10" width="12.7109375" style="24" customWidth="1"/>
    <col min="11" max="11" width="11.7109375" style="23" customWidth="1"/>
    <col min="12" max="12" width="11.7109375" style="23" customWidth="1"/>
    <col min="13" max="13" width="10.7109375" style="23" customWidth="1"/>
    <col min="14" max="14" width="10.7109375" style="23" customWidth="1"/>
    <col min="15" max="15" width="10.7109375" style="23" customWidth="1"/>
    <col min="16" max="16" width="13.7109375" style="25" customWidth="1"/>
    <col min="17" max="17" width="12.7109375" style="25" customWidth="1"/>
    <col min="18" max="18" width="13.7109375" style="25" customWidth="1"/>
    <col min="19" max="19" width="10.7109375" style="23" customWidth="1"/>
    <col min="20" max="20" width="14.7109375" style="17" customWidth="1"/>
    <col min="21" max="21" width="11.7109375" style="23" customWidth="1"/>
    <col min="22" max="22" width="11.7109375" style="23" customWidth="1"/>
    <col min="23" max="23" width="12.7109375" style="23" customWidth="1"/>
    <col min="24" max="24" width="12.7109375" style="23" customWidth="1"/>
    <col min="25" max="25" width="12.7109375" style="24" customWidth="1"/>
    <col min="26" max="26" width="11.7109375" style="23" customWidth="1"/>
    <col min="27" max="27" width="11.7109375" style="23" customWidth="1"/>
    <col min="28" max="28" width="10.7109375" style="23" customWidth="1"/>
    <col min="29" max="29" width="13.7109375" style="25" customWidth="1"/>
    <col min="30" max="30" width="11.7109375" style="23" customWidth="1"/>
    <col min="31" max="31" width="12.7109375" style="23" customWidth="1"/>
    <col min="32" max="32" width="12.7109375" style="23" customWidth="1"/>
    <col min="33" max="33" width="12.7109375" style="24" customWidth="1"/>
    <col min="34" max="34" width="11.7109375" style="23" customWidth="1"/>
    <col min="35" max="35" width="12.7109375" style="32" customWidth="1"/>
    <col min="36" max="36" width="16.7109375" style="17" customWidth="1"/>
    <col min="37" max="37" width="11.7109375" style="23" customWidth="1"/>
    <col min="38" max="38" width="12.7109375" style="23" customWidth="1"/>
    <col min="39" max="39" width="12.7109375" style="23" customWidth="1"/>
    <col min="40" max="40" width="12.7109375" style="24" customWidth="1"/>
    <col min="41" max="41" width="12.7109375" style="32" customWidth="1"/>
    <col min="42" max="42" width="14.7109375" style="17" customWidth="1"/>
    <col min="43" max="43" width="11.7109375" style="23" customWidth="1"/>
    <col min="44" max="44" width="12.7109375" style="23" customWidth="1"/>
    <col min="45" max="45" width="12.7109375" style="23" customWidth="1"/>
    <col min="46" max="46" width="12.7109375" style="24" customWidth="1"/>
    <col min="47" max="47" width="12.7109375" style="32" customWidth="1"/>
    <col min="48" max="48" width="9.7109375" style="17" customWidth="1"/>
    <col min="49" max="49" width="11.7109375" style="23" customWidth="1"/>
    <col min="50" max="50" width="12.7109375" style="23" customWidth="1"/>
    <col min="51" max="51" width="12.7109375" style="23" customWidth="1"/>
    <col min="52" max="52" width="12.7109375" style="24" customWidth="1"/>
    <col min="53" max="53" width="12.7109375" style="32" customWidth="1"/>
    <col min="54" max="54" width="13.7109375" style="17" customWidth="1"/>
    <col min="55" max="55" width="11.7109375" style="23" customWidth="1"/>
    <col min="56" max="56" width="12.7109375" style="23" customWidth="1"/>
    <col min="57" max="57" width="12.7109375" style="23" customWidth="1"/>
    <col min="58" max="58" width="12.7109375" style="24" customWidth="1"/>
    <col min="59" max="59" width="12.7109375" style="32" customWidth="1"/>
    <col min="60" max="60" width="28.7109375" style="17" customWidth="1"/>
    <col min="61" max="61" width="13.7109375" style="17" customWidth="1"/>
    <col min="62" max="62" width="14.7109375" style="17" customWidth="1"/>
    <col min="63" max="63" width="12.7109375" style="16" customWidth="1"/>
    <col min="64" max="64" width="10.7109375" style="17" customWidth="1"/>
    <col min="65" max="65" width="11.7109375" style="23" customWidth="1"/>
    <col min="66" max="66" width="12.7109375" style="24" customWidth="1"/>
    <col min="67" max="67" width="13.7109375" style="32" customWidth="1"/>
    <col min="68" max="68" width="13.7109375" style="32" customWidth="1"/>
    <col min="69" max="69" width="13.7109375" style="32" customWidth="1"/>
    <col min="70" max="70" width="13.7109375" style="32" customWidth="1"/>
    <col min="71" max="71" width="13.7109375" style="32" customWidth="1"/>
    <col min="72" max="72" width="15.7109375" style="17" customWidth="1"/>
    <col min="73" max="73" width="11.7109375" style="23" customWidth="1"/>
    <col min="74" max="74" width="11.7109375" style="23" customWidth="1"/>
    <col min="75" max="75" width="16.7109375" style="17" customWidth="1"/>
    <col min="76" max="76" width="11.7109375" style="23" customWidth="1"/>
    <col min="77" max="77" width="11.7109375" style="23" customWidth="1"/>
    <col min="78" max="78" width="11.7109375" style="23" customWidth="1"/>
    <col min="79" max="79" width="20.7109375" style="17" customWidth="1"/>
    <col min="80" max="80" width="13.7109375" style="25" customWidth="1"/>
    <col min="81" max="81" width="12.7109375" style="25" customWidth="1"/>
    <col min="82" max="82" width="12.7109375" style="23" customWidth="1"/>
    <col min="83" max="83" width="12.7109375" style="32" customWidth="1"/>
    <col min="84" max="84" width="20.7109375" style="17" customWidth="1"/>
    <col min="85" max="85" width="13.7109375" style="17" customWidth="1"/>
    <col min="86" max="86" width="12.7109375" style="23" customWidth="1"/>
    <col min="87" max="87" width="12.7109375" style="23" customWidth="1"/>
    <col min="88" max="88" width="12.7109375" style="32" customWidth="1"/>
  </cols>
  <sheetData>
    <row r="1" spans="1:88" ht="34" customHeight="1">
      <c r="A1" s="2" t="s">
        <v>2340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3" t="s">
        <v>1</v>
      </c>
      <c r="CI1" s="3"/>
      <c r="CJ1" s="3"/>
    </row>
    <row r="2" spans="1:88" ht="18" customHeight="1">
      <c r="A2" s="4" t="s">
        <v>2341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row>
    <row r="3" spans="1:88" ht="16" customHeight="1">
      <c r="A3" s="5" t="s">
        <v>3</v>
      </c>
      <c r="B3" s="5"/>
      <c r="C3" s="5" t="s">
        <v>4</v>
      </c>
      <c r="D3" s="5"/>
      <c r="E3" s="5" t="s">
        <v>5</v>
      </c>
      <c r="F3" s="5"/>
      <c r="G3" s="5" t="s">
        <v>6</v>
      </c>
      <c r="H3" s="5"/>
      <c r="I3" s="5" t="s">
        <v>7</v>
      </c>
      <c r="J3" s="5"/>
      <c r="K3" s="5" t="s">
        <v>8</v>
      </c>
      <c r="L3" s="5"/>
      <c r="M3" s="5" t="s">
        <v>125</v>
      </c>
      <c r="N3" s="5"/>
      <c r="O3" s="5" t="s">
        <v>126</v>
      </c>
      <c r="P3" s="5"/>
      <c r="Q3" s="5" t="s">
        <v>127</v>
      </c>
      <c r="R3" s="5"/>
      <c r="S3" s="38" t="s">
        <v>2342</v>
      </c>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row>
    <row r="4" spans="1:88" ht="30" customHeight="1">
      <c r="A4" s="8" t="s">
        <v>2343</v>
      </c>
      <c r="B4" s="8" t="s">
        <v>2344</v>
      </c>
      <c r="C4" s="9" t="s">
        <v>133</v>
      </c>
      <c r="D4" s="9" t="s">
        <v>129</v>
      </c>
      <c r="E4" s="9" t="s">
        <v>136</v>
      </c>
      <c r="F4" s="9" t="s">
        <v>138</v>
      </c>
      <c r="G4" s="9" t="s">
        <v>149</v>
      </c>
      <c r="H4" s="9" t="s">
        <v>151</v>
      </c>
      <c r="I4" s="9" t="s">
        <v>153</v>
      </c>
      <c r="J4" s="9" t="s">
        <v>155</v>
      </c>
      <c r="K4" s="9" t="s">
        <v>162</v>
      </c>
      <c r="L4" s="9" t="s">
        <v>164</v>
      </c>
      <c r="M4" s="9" t="s">
        <v>188</v>
      </c>
      <c r="N4" s="9" t="s">
        <v>168</v>
      </c>
      <c r="O4" s="9" t="s">
        <v>170</v>
      </c>
      <c r="P4" s="9" t="s">
        <v>172</v>
      </c>
      <c r="Q4" s="9" t="s">
        <v>175</v>
      </c>
      <c r="R4" s="9" t="s">
        <v>1578</v>
      </c>
      <c r="S4" s="9" t="s">
        <v>2345</v>
      </c>
      <c r="T4" s="9" t="s">
        <v>192</v>
      </c>
      <c r="U4" s="9" t="s">
        <v>2346</v>
      </c>
      <c r="V4" s="9" t="s">
        <v>2347</v>
      </c>
      <c r="W4" s="9" t="s">
        <v>2348</v>
      </c>
      <c r="X4" s="9" t="s">
        <v>2349</v>
      </c>
      <c r="Y4" s="9" t="s">
        <v>2350</v>
      </c>
      <c r="Z4" s="9" t="s">
        <v>2351</v>
      </c>
      <c r="AA4" s="9" t="s">
        <v>2352</v>
      </c>
      <c r="AB4" s="9" t="s">
        <v>2353</v>
      </c>
      <c r="AC4" s="9" t="s">
        <v>2354</v>
      </c>
      <c r="AD4" s="9" t="s">
        <v>2355</v>
      </c>
      <c r="AE4" s="9" t="s">
        <v>2356</v>
      </c>
      <c r="AF4" s="9" t="s">
        <v>2357</v>
      </c>
      <c r="AG4" s="9" t="s">
        <v>2358</v>
      </c>
      <c r="AH4" s="9" t="s">
        <v>2359</v>
      </c>
      <c r="AI4" s="9" t="s">
        <v>2360</v>
      </c>
      <c r="AJ4" s="9" t="s">
        <v>195</v>
      </c>
      <c r="AK4" s="9" t="s">
        <v>2361</v>
      </c>
      <c r="AL4" s="9" t="s">
        <v>2362</v>
      </c>
      <c r="AM4" s="9" t="s">
        <v>2363</v>
      </c>
      <c r="AN4" s="9" t="s">
        <v>2364</v>
      </c>
      <c r="AO4" s="9" t="s">
        <v>2365</v>
      </c>
      <c r="AP4" s="9" t="s">
        <v>267</v>
      </c>
      <c r="AQ4" s="9" t="s">
        <v>2366</v>
      </c>
      <c r="AR4" s="9" t="s">
        <v>2367</v>
      </c>
      <c r="AS4" s="9" t="s">
        <v>2368</v>
      </c>
      <c r="AT4" s="9" t="s">
        <v>2369</v>
      </c>
      <c r="AU4" s="9" t="s">
        <v>2370</v>
      </c>
      <c r="AV4" s="9" t="s">
        <v>2371</v>
      </c>
      <c r="AW4" s="9" t="s">
        <v>2372</v>
      </c>
      <c r="AX4" s="9" t="s">
        <v>2373</v>
      </c>
      <c r="AY4" s="9" t="s">
        <v>2374</v>
      </c>
      <c r="AZ4" s="9" t="s">
        <v>2375</v>
      </c>
      <c r="BA4" s="9" t="s">
        <v>2376</v>
      </c>
      <c r="BB4" s="9" t="s">
        <v>270</v>
      </c>
      <c r="BC4" s="9" t="s">
        <v>2377</v>
      </c>
      <c r="BD4" s="9" t="s">
        <v>2378</v>
      </c>
      <c r="BE4" s="9" t="s">
        <v>2379</v>
      </c>
      <c r="BF4" s="9" t="s">
        <v>2380</v>
      </c>
      <c r="BG4" s="9" t="s">
        <v>2381</v>
      </c>
      <c r="BH4" s="9" t="s">
        <v>201</v>
      </c>
      <c r="BI4" s="9" t="s">
        <v>2382</v>
      </c>
      <c r="BJ4" s="9" t="s">
        <v>2383</v>
      </c>
      <c r="BK4" s="9" t="s">
        <v>2384</v>
      </c>
      <c r="BL4" s="9" t="s">
        <v>2385</v>
      </c>
      <c r="BM4" s="9" t="s">
        <v>2386</v>
      </c>
      <c r="BN4" s="9" t="s">
        <v>2387</v>
      </c>
      <c r="BO4" s="9" t="s">
        <v>2388</v>
      </c>
      <c r="BP4" s="9" t="s">
        <v>2389</v>
      </c>
      <c r="BQ4" s="9" t="s">
        <v>2390</v>
      </c>
      <c r="BR4" s="9" t="s">
        <v>2391</v>
      </c>
      <c r="BS4" s="9" t="s">
        <v>2392</v>
      </c>
      <c r="BT4" s="9" t="s">
        <v>2393</v>
      </c>
      <c r="BU4" s="9" t="s">
        <v>2394</v>
      </c>
      <c r="BV4" s="9" t="s">
        <v>2395</v>
      </c>
      <c r="BW4" s="9" t="s">
        <v>222</v>
      </c>
      <c r="BX4" s="9" t="s">
        <v>2396</v>
      </c>
      <c r="BY4" s="9" t="s">
        <v>2397</v>
      </c>
      <c r="BZ4" s="9" t="s">
        <v>2398</v>
      </c>
      <c r="CA4" s="9" t="s">
        <v>272</v>
      </c>
      <c r="CB4" s="9" t="s">
        <v>2399</v>
      </c>
      <c r="CC4" s="9" t="s">
        <v>2400</v>
      </c>
      <c r="CD4" s="9" t="s">
        <v>2401</v>
      </c>
      <c r="CE4" s="9" t="s">
        <v>2402</v>
      </c>
      <c r="CF4" s="9" t="s">
        <v>1870</v>
      </c>
      <c r="CG4" s="9" t="s">
        <v>2403</v>
      </c>
      <c r="CH4" s="9" t="s">
        <v>2404</v>
      </c>
      <c r="CI4" s="9" t="s">
        <v>2405</v>
      </c>
      <c r="CJ4" s="9" t="s">
        <v>2406</v>
      </c>
    </row>
    <row r="5" spans="1:88">
      <c r="A5" s="16">
        <f>IF(ROW()-4&gt;12,"",DATE(PlanYear,ROW()-4,1))</f>
        <v>0</v>
      </c>
      <c r="B5" s="16">
        <f>IF(A5="","",EOMONTH(A5,0))</f>
        <v>0</v>
      </c>
      <c r="C5" s="17">
        <f>IF(A5="","",TEXT(A5,"yyyy-mm"))</f>
        <v>0</v>
      </c>
      <c r="D5" s="17">
        <f>IF(A5="","",TEXT(A5,"mmm"))</f>
        <v>0</v>
      </c>
      <c r="E5" s="23">
        <f>IF(C5="","",COUNTIFS('Content Calendar'!$D$5:$D$604,C5))</f>
        <v>0</v>
      </c>
      <c r="F5" s="23">
        <f>IF(C5="","",COUNTIFS('Content Calendar'!$D$5:$D$604,C5,'Content Calendar'!$X$5:$X$604,"Published"))</f>
        <v>0</v>
      </c>
      <c r="G5" s="23">
        <f>IF(C5="","",SUMIFS(Analytics!$J$5:$J$154,Analytics!$C$5:$C$154,C5))</f>
        <v>0</v>
      </c>
      <c r="H5" s="23">
        <f>IF(C5="","",SUMIFS(Analytics!$K$5:$K$154,Analytics!$C$5:$C$154,C5))</f>
        <v>0</v>
      </c>
      <c r="I5" s="23">
        <f>IF(C5="","",SUMIFS(Analytics!$L$5:$L$154,Analytics!$C$5:$C$154,C5))</f>
        <v>0</v>
      </c>
      <c r="J5" s="24">
        <f>IF(OR(G5="",G5=0),"",I5/G5)</f>
        <v>0</v>
      </c>
      <c r="K5" s="23">
        <f>IF(C5="","",SUMIFS(Analytics!$G$5:$G$154,Analytics!$C$5:$C$154,C5))</f>
        <v>0</v>
      </c>
      <c r="L5" s="23">
        <f>IF(C5="","",SUMIFS(Analytics!$X$5:$X$154,Analytics!$C$5:$C$154,C5))</f>
        <v>0</v>
      </c>
      <c r="M5" s="23">
        <f>IF(C5="","",SUMIFS(Analytics!$R$5:$R$154,Analytics!$C$5:$C$154,C5))</f>
        <v>0</v>
      </c>
      <c r="N5" s="23">
        <f>IF(C5="","",SUMIFS(Analytics!$S$5:$S$154,Analytics!$C$5:$C$154,C5))</f>
        <v>0</v>
      </c>
      <c r="O5" s="23">
        <f>IF(C5="","",SUMIFS(Analytics!$T$5:$T$154,Analytics!$C$5:$C$154,C5))</f>
        <v>0</v>
      </c>
      <c r="P5" s="25">
        <f>IF(C5="","",SUMIFS(Analytics!$U$5:$U$154,Analytics!$C$5:$C$154,C5))</f>
        <v>0</v>
      </c>
      <c r="Q5" s="25">
        <f>IF(C5="","",SUMIFS(Budget!$H$5:$H$64,Budget!$C$5:$C$64,C5))</f>
        <v>0</v>
      </c>
      <c r="R5" s="25">
        <f>IF(C5="","",P5-Q5)</f>
        <v>0</v>
      </c>
      <c r="S5" s="23">
        <f>IF(C5="","",MonthlyPostTarget)</f>
        <v>0</v>
      </c>
      <c r="T5" s="17">
        <f>IF(Lists!$C5="","",Lists!$C5)</f>
        <v>0</v>
      </c>
      <c r="U5" s="23">
        <f>IF(T5="","",COUNTIFS('Content Calendar'!$G$5:$G$604,T5,'Content Calendar'!$B$5:$B$604,"&gt;="&amp;DashStart,'Content Calendar'!$B$5:$B$604,"&lt;="&amp;DashEnd))</f>
        <v>0</v>
      </c>
      <c r="V5" s="23">
        <f>IF(T5="","",COUNTIFS('Content Calendar'!$G$5:$G$604,T5,'Content Calendar'!$X$5:$X$604,"Published",'Content Calendar'!$B$5:$B$604,"&gt;="&amp;DashStart,'Content Calendar'!$B$5:$B$604,"&lt;="&amp;DashEnd))</f>
        <v>0</v>
      </c>
      <c r="W5" s="23">
        <f>IF(T5="","",SUMIFS(Analytics!$J$5:$J$154,Analytics!$D$5:$D$154,T5,Analytics!$B$5:$B$154,"&gt;="&amp;DashStart,Analytics!$B$5:$B$154,"&lt;="&amp;DashEnd))</f>
        <v>0</v>
      </c>
      <c r="X5" s="23">
        <f>IF(T5="","",SUMIFS(Analytics!$L$5:$L$154,Analytics!$D$5:$D$154,T5,Analytics!$B$5:$B$154,"&gt;="&amp;DashStart,Analytics!$B$5:$B$154,"&lt;="&amp;DashEnd))</f>
        <v>0</v>
      </c>
      <c r="Y5" s="24">
        <f>IF(OR(W5="",W5=0),"",X5/W5)</f>
        <v>0</v>
      </c>
      <c r="Z5" s="23">
        <f>IF(T5="","",SUMIFS(Analytics!$G$5:$G$154,Analytics!$D$5:$D$154,T5,Analytics!$B$5:$B$154,"&gt;="&amp;DashStart,Analytics!$B$5:$B$154,"&lt;="&amp;DashEnd))</f>
        <v>0</v>
      </c>
      <c r="AA5" s="23">
        <f>IF(T5="","",SUMIFS(Analytics!$X$5:$X$154,Analytics!$D$5:$D$154,T5,Analytics!$B$5:$B$154,"&gt;="&amp;DashStart,Analytics!$B$5:$B$154,"&lt;="&amp;DashEnd))</f>
        <v>0</v>
      </c>
      <c r="AB5" s="23">
        <f>IF(T5="","",SUMIFS(Analytics!$R$5:$R$154,Analytics!$D$5:$D$154,T5,Analytics!$B$5:$B$154,"&gt;="&amp;DashStart,Analytics!$B$5:$B$154,"&lt;="&amp;DashEnd))</f>
        <v>0</v>
      </c>
      <c r="AC5" s="25">
        <f>IF(T5="","",SUMIFS(Analytics!$U$5:$U$154,Analytics!$D$5:$D$154,T5,Analytics!$B$5:$B$154,"&gt;="&amp;DashStart,Analytics!$B$5:$B$154,"&lt;="&amp;DashEnd))</f>
        <v>0</v>
      </c>
      <c r="AD5" s="23">
        <f>IF(T5="","",COUNTIFS('Content Calendar'!$G$5:$G$604,T5,'Content Calendar'!$B$5:$B$604,"&gt;="&amp;DATE(PlanYear,1,1),'Content Calendar'!$B$5:$B$604,"&lt;="&amp;DATE(PlanYear,12,31)))</f>
        <v>0</v>
      </c>
      <c r="AE5" s="23">
        <f>IF(T5="","",SUMIFS(Analytics!$J$5:$J$154,Analytics!$D$5:$D$154,T5))</f>
        <v>0</v>
      </c>
      <c r="AF5" s="23">
        <f>IF(T5="","",SUMIFS(Analytics!$L$5:$L$154,Analytics!$D$5:$D$154,T5))</f>
        <v>0</v>
      </c>
      <c r="AG5" s="24">
        <f>IF(OR(AE5="",AE5=0),"",AF5/AE5)</f>
        <v>0</v>
      </c>
      <c r="AH5" s="23">
        <f>IF(T5="","",SUMIFS(Analytics!$X$5:$X$154,Analytics!$D$5:$D$154,T5))</f>
        <v>0</v>
      </c>
      <c r="AI5" s="32">
        <f>IF(T5="","",IF(AE5=0,"",AE5+ROW()/1000000))</f>
        <v>0</v>
      </c>
      <c r="AJ5" s="17">
        <f>IF('Content Pillars'!$B$5="","",'Content Pillars'!$B$5)</f>
        <v>0</v>
      </c>
      <c r="AK5" s="23">
        <f>IF(AJ5="","",COUNTIFS('Content Calendar'!$J$5:$J$604,AJ5,'Content Calendar'!$B$5:$B$604,"&gt;="&amp;DATE(PlanYear,1,1),'Content Calendar'!$B$5:$B$604,"&lt;="&amp;DATE(PlanYear,12,31)))</f>
        <v>0</v>
      </c>
      <c r="AL5" s="23">
        <f>IF(AJ5="","",SUMIFS(Performance!$O$5:$O$404,Performance!$H$5:$H$404,AJ5))</f>
        <v>0</v>
      </c>
      <c r="AM5" s="23">
        <f>IF(AJ5="","",SUMIFS(Performance!$Z$5:$Z$404,Performance!$H$5:$H$404,AJ5))</f>
        <v>0</v>
      </c>
      <c r="AN5" s="24">
        <f>IF(OR(AL5="",AL5=0),"",AM5/AL5)</f>
        <v>0</v>
      </c>
      <c r="AO5" s="32">
        <f>IF(AN5="","",AN5+ROW()/1000000)</f>
        <v>0</v>
      </c>
      <c r="AP5" s="17">
        <f>IF(Lists!$E5="","",Lists!$E5)</f>
        <v>0</v>
      </c>
      <c r="AQ5" s="23">
        <f>IF(AP5="","",COUNTIF(Performance!$G$5:$G$404,AP5))</f>
        <v>0</v>
      </c>
      <c r="AR5" s="23">
        <f>IF(AP5="","",SUMIFS(Performance!$O$5:$O$404,Performance!$G$5:$G$404,AP5))</f>
        <v>0</v>
      </c>
      <c r="AS5" s="23">
        <f>IF(AP5="","",SUMIFS(Performance!$Z$5:$Z$404,Performance!$G$5:$G$404,AP5))</f>
        <v>0</v>
      </c>
      <c r="AT5" s="24">
        <f>IF(OR(AR5="",AR5=0),"",AS5/AR5)</f>
        <v>0</v>
      </c>
      <c r="AU5" s="32">
        <f>IF(AQ5=0,"",IF(AT5="","",AT5+ROW()/1000000))</f>
        <v>0</v>
      </c>
      <c r="AV5" s="17">
        <f>IF(ROW()-4&gt;7,"",TEXT(DATE(2024,1,ROW()-4),"ddd"))</f>
        <v>0</v>
      </c>
      <c r="AW5" s="23">
        <f>IF(AV5="","",COUNTIF(Performance!$N$5:$N$404,AV5))</f>
        <v>0</v>
      </c>
      <c r="AX5" s="23">
        <f>IF(AV5="","",SUMIFS(Performance!$O$5:$O$404,Performance!$N$5:$N$404,AV5))</f>
        <v>0</v>
      </c>
      <c r="AY5" s="23">
        <f>IF(AV5="","",SUMIFS(Performance!$Z$5:$Z$404,Performance!$N$5:$N$404,AV5))</f>
        <v>0</v>
      </c>
      <c r="AZ5" s="24">
        <f>IF(OR(AX5="",AX5=0),"",AY5/AX5)</f>
        <v>0</v>
      </c>
      <c r="BA5" s="32">
        <f>IF(AW5=0,"",IF(AZ5="","",AZ5+ROW()/1000000))</f>
        <v>0</v>
      </c>
      <c r="BB5" s="17">
        <f>IF(Lists!$AL5="","",Lists!$AL5)</f>
        <v>0</v>
      </c>
      <c r="BC5" s="23">
        <f>IF(BB5="","",COUNTIF(Performance!$M$5:$M$404,BB5))</f>
        <v>0</v>
      </c>
      <c r="BD5" s="23">
        <f>IF(BB5="","",SUMIFS(Performance!$O$5:$O$404,Performance!$M$5:$M$404,BB5))</f>
        <v>0</v>
      </c>
      <c r="BE5" s="23">
        <f>IF(BB5="","",SUMIFS(Performance!$Z$5:$Z$404,Performance!$M$5:$M$404,BB5))</f>
        <v>0</v>
      </c>
      <c r="BF5" s="24">
        <f>IF(OR(BD5="",BD5=0),"",BE5/BD5)</f>
        <v>0</v>
      </c>
      <c r="BG5" s="32">
        <f>IF(BC5=0,"",IF(BF5="","",BF5+ROW()/1000000))</f>
        <v>0</v>
      </c>
      <c r="BH5" s="17">
        <f>IF(Performance!$C$5="","",Performance!$C$5)</f>
        <v>0</v>
      </c>
      <c r="BI5" s="17">
        <f>IF(Performance!$F$5="","",Performance!$F$5)</f>
        <v>0</v>
      </c>
      <c r="BJ5" s="17">
        <f>IF(Performance!$H$5="","",Performance!$H$5)</f>
        <v>0</v>
      </c>
      <c r="BK5" s="16">
        <f>IF(Performance!$D$5="","",Performance!$D$5)</f>
        <v>0</v>
      </c>
      <c r="BL5" s="17">
        <f>IF(Performance!$E$5="","",Performance!$E$5)</f>
        <v>0</v>
      </c>
      <c r="BM5" s="23">
        <f>IF(Performance!$O$5="","",Performance!$O$5)</f>
        <v>0</v>
      </c>
      <c r="BN5" s="24">
        <f>IF(Performance!$AA$5="","",Performance!$AA$5)</f>
        <v>0</v>
      </c>
      <c r="BO5" s="32">
        <f>IF(BH5="","",IF(BK5="","",IF(OR(BK5&lt;DashStart,BK5&gt;DashEnd),"",IF(BN5="","",BN5+ROW()/1000000))))</f>
        <v>0</v>
      </c>
      <c r="BP5" s="32">
        <f>IF(BM5="","",IF(BK5="","",IF(OR(BK5&lt;DashStart,BK5&gt;DashEnd),"",BM5+ROW()/1000000)))</f>
        <v>0</v>
      </c>
      <c r="BQ5" s="32">
        <f>IF(BH5="","",IF(BK5="","",IF(YEAR(BK5)&lt;&gt;PlanYear,"",IF(BN5="","",BN5+ROW()/1000000))))</f>
        <v>0</v>
      </c>
      <c r="BR5" s="32">
        <f>IF(BH5="","",IF(BK5="","",IF(OR(BK5&lt;RepFrom,BK5&gt;RepTo),"",IF(BN5="","",BN5+ROW()/1000000))))</f>
        <v>0</v>
      </c>
      <c r="BS5" s="32">
        <f>IF(BM5="","",IF(BK5="","",IF(YEAR(BK5)&lt;&gt;PlanYear,"",BM5+ROW()/1000000)))</f>
        <v>0</v>
      </c>
      <c r="BT5" s="17">
        <f>IF(Lists!$F5="","",Lists!$F5)</f>
        <v>0</v>
      </c>
      <c r="BU5" s="23">
        <f>IF(BT5="","",COUNTIF('Content Calendar'!$X$5:$X$604,BT5))</f>
        <v>0</v>
      </c>
      <c r="BV5" s="23">
        <f>IF(BT5="","",COUNTIFS('Content Calendar'!$X$5:$X$604,BT5,'Content Calendar'!$B$5:$B$604,"&gt;="&amp;DashStart,'Content Calendar'!$B$5:$B$604,"&lt;="&amp;DashEnd))</f>
        <v>0</v>
      </c>
      <c r="BW5" s="17">
        <f>IF(Team!$B$5="","",Team!$B$5)</f>
        <v>0</v>
      </c>
      <c r="BX5" s="23">
        <f>IF(BW5="","",COUNTIF('Content Calendar'!$W$5:$W$604,BW5))</f>
        <v>0</v>
      </c>
      <c r="BY5" s="23">
        <f>IF(BW5="","",COUNTIFS('Content Calendar'!$W$5:$W$604,BW5,'Content Calendar'!$X$5:$X$604,"&lt;&gt;Published"))</f>
        <v>0</v>
      </c>
      <c r="BZ5" s="23">
        <f>IF(BW5="","",COUNTIFS(Tasks!$C$5:$C$64,BW5,Tasks!$G$5:$G$64,"&lt;&gt;Complete"))</f>
        <v>0</v>
      </c>
      <c r="CA5" s="17">
        <f>IF(Campaigns!$B$5="","",Campaigns!$B$5)</f>
        <v>0</v>
      </c>
      <c r="CB5" s="25">
        <f>IF(Campaigns!$T$5="","",Campaigns!$T$5)</f>
        <v>0</v>
      </c>
      <c r="CC5" s="25">
        <f>IF(Campaigns!$Q$5="","",Campaigns!$Q$5)</f>
        <v>0</v>
      </c>
      <c r="CD5" s="23">
        <f>IF(Campaigns!$Y$5="","",Campaigns!$Y$5)</f>
        <v>0</v>
      </c>
      <c r="CE5" s="32">
        <f>IF(CA5="","",IF(N(CB5)&lt;=0,"",N(CB5)+ROW()/1000000))</f>
        <v>0</v>
      </c>
      <c r="CF5" s="17">
        <f>IF(Accounts!$C$5="","",Accounts!$C$5)</f>
        <v>0</v>
      </c>
      <c r="CG5" s="17">
        <f>IF(Accounts!$B$5="","",Accounts!$B$5)</f>
        <v>0</v>
      </c>
      <c r="CH5" s="23">
        <f>IF(Accounts!$J$5="","",Accounts!$J$5)</f>
        <v>0</v>
      </c>
      <c r="CI5" s="23">
        <f>IF(CF5="","",SUMIFS(Analytics!$X$5:$X$154,Analytics!$E$5:$E$154,CF5,Analytics!$B$5:$B$154,"&gt;="&amp;DashStart,Analytics!$B$5:$B$154,"&lt;="&amp;DashEnd))</f>
        <v>0</v>
      </c>
      <c r="CJ5" s="32">
        <f>IF(CH5="","",IF(CH5=0,"",CH5+ROW()/1000000))</f>
        <v>0</v>
      </c>
    </row>
    <row r="6" spans="1:88">
      <c r="A6" s="16">
        <f>IF(ROW()-4&gt;12,"",DATE(PlanYear,ROW()-4,1))</f>
        <v>0</v>
      </c>
      <c r="B6" s="16">
        <f>IF(A6="","",EOMONTH(A6,0))</f>
        <v>0</v>
      </c>
      <c r="C6" s="17">
        <f>IF(A6="","",TEXT(A6,"yyyy-mm"))</f>
        <v>0</v>
      </c>
      <c r="D6" s="17">
        <f>IF(A6="","",TEXT(A6,"mmm"))</f>
        <v>0</v>
      </c>
      <c r="E6" s="23">
        <f>IF(C6="","",COUNTIFS('Content Calendar'!$D$5:$D$604,C6))</f>
        <v>0</v>
      </c>
      <c r="F6" s="23">
        <f>IF(C6="","",COUNTIFS('Content Calendar'!$D$5:$D$604,C6,'Content Calendar'!$X$5:$X$604,"Published"))</f>
        <v>0</v>
      </c>
      <c r="G6" s="23">
        <f>IF(C6="","",SUMIFS(Analytics!$J$5:$J$154,Analytics!$C$5:$C$154,C6))</f>
        <v>0</v>
      </c>
      <c r="H6" s="23">
        <f>IF(C6="","",SUMIFS(Analytics!$K$5:$K$154,Analytics!$C$5:$C$154,C6))</f>
        <v>0</v>
      </c>
      <c r="I6" s="23">
        <f>IF(C6="","",SUMIFS(Analytics!$L$5:$L$154,Analytics!$C$5:$C$154,C6))</f>
        <v>0</v>
      </c>
      <c r="J6" s="24">
        <f>IF(OR(G6="",G6=0),"",I6/G6)</f>
        <v>0</v>
      </c>
      <c r="K6" s="23">
        <f>IF(C6="","",SUMIFS(Analytics!$G$5:$G$154,Analytics!$C$5:$C$154,C6))</f>
        <v>0</v>
      </c>
      <c r="L6" s="23">
        <f>IF(C6="","",SUMIFS(Analytics!$X$5:$X$154,Analytics!$C$5:$C$154,C6))</f>
        <v>0</v>
      </c>
      <c r="M6" s="23">
        <f>IF(C6="","",SUMIFS(Analytics!$R$5:$R$154,Analytics!$C$5:$C$154,C6))</f>
        <v>0</v>
      </c>
      <c r="N6" s="23">
        <f>IF(C6="","",SUMIFS(Analytics!$S$5:$S$154,Analytics!$C$5:$C$154,C6))</f>
        <v>0</v>
      </c>
      <c r="O6" s="23">
        <f>IF(C6="","",SUMIFS(Analytics!$T$5:$T$154,Analytics!$C$5:$C$154,C6))</f>
        <v>0</v>
      </c>
      <c r="P6" s="25">
        <f>IF(C6="","",SUMIFS(Analytics!$U$5:$U$154,Analytics!$C$5:$C$154,C6))</f>
        <v>0</v>
      </c>
      <c r="Q6" s="25">
        <f>IF(C6="","",SUMIFS(Budget!$H$5:$H$64,Budget!$C$5:$C$64,C6))</f>
        <v>0</v>
      </c>
      <c r="R6" s="25">
        <f>IF(C6="","",P6-Q6)</f>
        <v>0</v>
      </c>
      <c r="S6" s="23">
        <f>IF(C6="","",MonthlyPostTarget)</f>
        <v>0</v>
      </c>
      <c r="T6" s="17">
        <f>IF(Lists!$C6="","",Lists!$C6)</f>
        <v>0</v>
      </c>
      <c r="U6" s="23">
        <f>IF(T6="","",COUNTIFS('Content Calendar'!$G$5:$G$604,T6,'Content Calendar'!$B$5:$B$604,"&gt;="&amp;DashStart,'Content Calendar'!$B$5:$B$604,"&lt;="&amp;DashEnd))</f>
        <v>0</v>
      </c>
      <c r="V6" s="23">
        <f>IF(T6="","",COUNTIFS('Content Calendar'!$G$5:$G$604,T6,'Content Calendar'!$X$5:$X$604,"Published",'Content Calendar'!$B$5:$B$604,"&gt;="&amp;DashStart,'Content Calendar'!$B$5:$B$604,"&lt;="&amp;DashEnd))</f>
        <v>0</v>
      </c>
      <c r="W6" s="23">
        <f>IF(T6="","",SUMIFS(Analytics!$J$5:$J$154,Analytics!$D$5:$D$154,T6,Analytics!$B$5:$B$154,"&gt;="&amp;DashStart,Analytics!$B$5:$B$154,"&lt;="&amp;DashEnd))</f>
        <v>0</v>
      </c>
      <c r="X6" s="23">
        <f>IF(T6="","",SUMIFS(Analytics!$L$5:$L$154,Analytics!$D$5:$D$154,T6,Analytics!$B$5:$B$154,"&gt;="&amp;DashStart,Analytics!$B$5:$B$154,"&lt;="&amp;DashEnd))</f>
        <v>0</v>
      </c>
      <c r="Y6" s="24">
        <f>IF(OR(W6="",W6=0),"",X6/W6)</f>
        <v>0</v>
      </c>
      <c r="Z6" s="23">
        <f>IF(T6="","",SUMIFS(Analytics!$G$5:$G$154,Analytics!$D$5:$D$154,T6,Analytics!$B$5:$B$154,"&gt;="&amp;DashStart,Analytics!$B$5:$B$154,"&lt;="&amp;DashEnd))</f>
        <v>0</v>
      </c>
      <c r="AA6" s="23">
        <f>IF(T6="","",SUMIFS(Analytics!$X$5:$X$154,Analytics!$D$5:$D$154,T6,Analytics!$B$5:$B$154,"&gt;="&amp;DashStart,Analytics!$B$5:$B$154,"&lt;="&amp;DashEnd))</f>
        <v>0</v>
      </c>
      <c r="AB6" s="23">
        <f>IF(T6="","",SUMIFS(Analytics!$R$5:$R$154,Analytics!$D$5:$D$154,T6,Analytics!$B$5:$B$154,"&gt;="&amp;DashStart,Analytics!$B$5:$B$154,"&lt;="&amp;DashEnd))</f>
        <v>0</v>
      </c>
      <c r="AC6" s="25">
        <f>IF(T6="","",SUMIFS(Analytics!$U$5:$U$154,Analytics!$D$5:$D$154,T6,Analytics!$B$5:$B$154,"&gt;="&amp;DashStart,Analytics!$B$5:$B$154,"&lt;="&amp;DashEnd))</f>
        <v>0</v>
      </c>
      <c r="AD6" s="23">
        <f>IF(T6="","",COUNTIFS('Content Calendar'!$G$5:$G$604,T6,'Content Calendar'!$B$5:$B$604,"&gt;="&amp;DATE(PlanYear,1,1),'Content Calendar'!$B$5:$B$604,"&lt;="&amp;DATE(PlanYear,12,31)))</f>
        <v>0</v>
      </c>
      <c r="AE6" s="23">
        <f>IF(T6="","",SUMIFS(Analytics!$J$5:$J$154,Analytics!$D$5:$D$154,T6))</f>
        <v>0</v>
      </c>
      <c r="AF6" s="23">
        <f>IF(T6="","",SUMIFS(Analytics!$L$5:$L$154,Analytics!$D$5:$D$154,T6))</f>
        <v>0</v>
      </c>
      <c r="AG6" s="24">
        <f>IF(OR(AE6="",AE6=0),"",AF6/AE6)</f>
        <v>0</v>
      </c>
      <c r="AH6" s="23">
        <f>IF(T6="","",SUMIFS(Analytics!$X$5:$X$154,Analytics!$D$5:$D$154,T6))</f>
        <v>0</v>
      </c>
      <c r="AI6" s="32">
        <f>IF(T6="","",IF(AE6=0,"",AE6+ROW()/1000000))</f>
        <v>0</v>
      </c>
      <c r="AJ6" s="17">
        <f>IF('Content Pillars'!$B$6="","",'Content Pillars'!$B$6)</f>
        <v>0</v>
      </c>
      <c r="AK6" s="23">
        <f>IF(AJ6="","",COUNTIFS('Content Calendar'!$J$5:$J$604,AJ6,'Content Calendar'!$B$5:$B$604,"&gt;="&amp;DATE(PlanYear,1,1),'Content Calendar'!$B$5:$B$604,"&lt;="&amp;DATE(PlanYear,12,31)))</f>
        <v>0</v>
      </c>
      <c r="AL6" s="23">
        <f>IF(AJ6="","",SUMIFS(Performance!$O$5:$O$404,Performance!$H$5:$H$404,AJ6))</f>
        <v>0</v>
      </c>
      <c r="AM6" s="23">
        <f>IF(AJ6="","",SUMIFS(Performance!$Z$5:$Z$404,Performance!$H$5:$H$404,AJ6))</f>
        <v>0</v>
      </c>
      <c r="AN6" s="24">
        <f>IF(OR(AL6="",AL6=0),"",AM6/AL6)</f>
        <v>0</v>
      </c>
      <c r="AO6" s="32">
        <f>IF(AN6="","",AN6+ROW()/1000000)</f>
        <v>0</v>
      </c>
      <c r="AP6" s="17">
        <f>IF(Lists!$E6="","",Lists!$E6)</f>
        <v>0</v>
      </c>
      <c r="AQ6" s="23">
        <f>IF(AP6="","",COUNTIF(Performance!$G$5:$G$404,AP6))</f>
        <v>0</v>
      </c>
      <c r="AR6" s="23">
        <f>IF(AP6="","",SUMIFS(Performance!$O$5:$O$404,Performance!$G$5:$G$404,AP6))</f>
        <v>0</v>
      </c>
      <c r="AS6" s="23">
        <f>IF(AP6="","",SUMIFS(Performance!$Z$5:$Z$404,Performance!$G$5:$G$404,AP6))</f>
        <v>0</v>
      </c>
      <c r="AT6" s="24">
        <f>IF(OR(AR6="",AR6=0),"",AS6/AR6)</f>
        <v>0</v>
      </c>
      <c r="AU6" s="32">
        <f>IF(AQ6=0,"",IF(AT6="","",AT6+ROW()/1000000))</f>
        <v>0</v>
      </c>
      <c r="AV6" s="17">
        <f>IF(ROW()-4&gt;7,"",TEXT(DATE(2024,1,ROW()-4),"ddd"))</f>
        <v>0</v>
      </c>
      <c r="AW6" s="23">
        <f>IF(AV6="","",COUNTIF(Performance!$N$5:$N$404,AV6))</f>
        <v>0</v>
      </c>
      <c r="AX6" s="23">
        <f>IF(AV6="","",SUMIFS(Performance!$O$5:$O$404,Performance!$N$5:$N$404,AV6))</f>
        <v>0</v>
      </c>
      <c r="AY6" s="23">
        <f>IF(AV6="","",SUMIFS(Performance!$Z$5:$Z$404,Performance!$N$5:$N$404,AV6))</f>
        <v>0</v>
      </c>
      <c r="AZ6" s="24">
        <f>IF(OR(AX6="",AX6=0),"",AY6/AX6)</f>
        <v>0</v>
      </c>
      <c r="BA6" s="32">
        <f>IF(AW6=0,"",IF(AZ6="","",AZ6+ROW()/1000000))</f>
        <v>0</v>
      </c>
      <c r="BB6" s="17">
        <f>IF(Lists!$AL6="","",Lists!$AL6)</f>
        <v>0</v>
      </c>
      <c r="BC6" s="23">
        <f>IF(BB6="","",COUNTIF(Performance!$M$5:$M$404,BB6))</f>
        <v>0</v>
      </c>
      <c r="BD6" s="23">
        <f>IF(BB6="","",SUMIFS(Performance!$O$5:$O$404,Performance!$M$5:$M$404,BB6))</f>
        <v>0</v>
      </c>
      <c r="BE6" s="23">
        <f>IF(BB6="","",SUMIFS(Performance!$Z$5:$Z$404,Performance!$M$5:$M$404,BB6))</f>
        <v>0</v>
      </c>
      <c r="BF6" s="24">
        <f>IF(OR(BD6="",BD6=0),"",BE6/BD6)</f>
        <v>0</v>
      </c>
      <c r="BG6" s="32">
        <f>IF(BC6=0,"",IF(BF6="","",BF6+ROW()/1000000))</f>
        <v>0</v>
      </c>
      <c r="BH6" s="17">
        <f>IF(Performance!$C$6="","",Performance!$C$6)</f>
        <v>0</v>
      </c>
      <c r="BI6" s="17">
        <f>IF(Performance!$F$6="","",Performance!$F$6)</f>
        <v>0</v>
      </c>
      <c r="BJ6" s="17">
        <f>IF(Performance!$H$6="","",Performance!$H$6)</f>
        <v>0</v>
      </c>
      <c r="BK6" s="16">
        <f>IF(Performance!$D$6="","",Performance!$D$6)</f>
        <v>0</v>
      </c>
      <c r="BL6" s="17">
        <f>IF(Performance!$E$6="","",Performance!$E$6)</f>
        <v>0</v>
      </c>
      <c r="BM6" s="23">
        <f>IF(Performance!$O$6="","",Performance!$O$6)</f>
        <v>0</v>
      </c>
      <c r="BN6" s="24">
        <f>IF(Performance!$AA$6="","",Performance!$AA$6)</f>
        <v>0</v>
      </c>
      <c r="BO6" s="32">
        <f>IF(BH6="","",IF(BK6="","",IF(OR(BK6&lt;DashStart,BK6&gt;DashEnd),"",IF(BN6="","",BN6+ROW()/1000000))))</f>
        <v>0</v>
      </c>
      <c r="BP6" s="32">
        <f>IF(BM6="","",IF(BK6="","",IF(OR(BK6&lt;DashStart,BK6&gt;DashEnd),"",BM6+ROW()/1000000)))</f>
        <v>0</v>
      </c>
      <c r="BQ6" s="32">
        <f>IF(BH6="","",IF(BK6="","",IF(YEAR(BK6)&lt;&gt;PlanYear,"",IF(BN6="","",BN6+ROW()/1000000))))</f>
        <v>0</v>
      </c>
      <c r="BR6" s="32">
        <f>IF(BH6="","",IF(BK6="","",IF(OR(BK6&lt;RepFrom,BK6&gt;RepTo),"",IF(BN6="","",BN6+ROW()/1000000))))</f>
        <v>0</v>
      </c>
      <c r="BS6" s="32">
        <f>IF(BM6="","",IF(BK6="","",IF(YEAR(BK6)&lt;&gt;PlanYear,"",BM6+ROW()/1000000)))</f>
        <v>0</v>
      </c>
      <c r="BT6" s="17">
        <f>IF(Lists!$F6="","",Lists!$F6)</f>
        <v>0</v>
      </c>
      <c r="BU6" s="23">
        <f>IF(BT6="","",COUNTIF('Content Calendar'!$X$5:$X$604,BT6))</f>
        <v>0</v>
      </c>
      <c r="BV6" s="23">
        <f>IF(BT6="","",COUNTIFS('Content Calendar'!$X$5:$X$604,BT6,'Content Calendar'!$B$5:$B$604,"&gt;="&amp;DashStart,'Content Calendar'!$B$5:$B$604,"&lt;="&amp;DashEnd))</f>
        <v>0</v>
      </c>
      <c r="BW6" s="17">
        <f>IF(Team!$B$6="","",Team!$B$6)</f>
        <v>0</v>
      </c>
      <c r="BX6" s="23">
        <f>IF(BW6="","",COUNTIF('Content Calendar'!$W$5:$W$604,BW6))</f>
        <v>0</v>
      </c>
      <c r="BY6" s="23">
        <f>IF(BW6="","",COUNTIFS('Content Calendar'!$W$5:$W$604,BW6,'Content Calendar'!$X$5:$X$604,"&lt;&gt;Published"))</f>
        <v>0</v>
      </c>
      <c r="BZ6" s="23">
        <f>IF(BW6="","",COUNTIFS(Tasks!$C$5:$C$64,BW6,Tasks!$G$5:$G$64,"&lt;&gt;Complete"))</f>
        <v>0</v>
      </c>
      <c r="CA6" s="17">
        <f>IF(Campaigns!$B$6="","",Campaigns!$B$6)</f>
        <v>0</v>
      </c>
      <c r="CB6" s="25">
        <f>IF(Campaigns!$T$6="","",Campaigns!$T$6)</f>
        <v>0</v>
      </c>
      <c r="CC6" s="25">
        <f>IF(Campaigns!$Q$6="","",Campaigns!$Q$6)</f>
        <v>0</v>
      </c>
      <c r="CD6" s="23">
        <f>IF(Campaigns!$Y$6="","",Campaigns!$Y$6)</f>
        <v>0</v>
      </c>
      <c r="CE6" s="32">
        <f>IF(CA6="","",IF(N(CB6)&lt;=0,"",N(CB6)+ROW()/1000000))</f>
        <v>0</v>
      </c>
      <c r="CF6" s="17">
        <f>IF(Accounts!$C$6="","",Accounts!$C$6)</f>
        <v>0</v>
      </c>
      <c r="CG6" s="17">
        <f>IF(Accounts!$B$6="","",Accounts!$B$6)</f>
        <v>0</v>
      </c>
      <c r="CH6" s="23">
        <f>IF(Accounts!$J$6="","",Accounts!$J$6)</f>
        <v>0</v>
      </c>
      <c r="CI6" s="23">
        <f>IF(CF6="","",SUMIFS(Analytics!$X$5:$X$154,Analytics!$E$5:$E$154,CF6,Analytics!$B$5:$B$154,"&gt;="&amp;DashStart,Analytics!$B$5:$B$154,"&lt;="&amp;DashEnd))</f>
        <v>0</v>
      </c>
      <c r="CJ6" s="32">
        <f>IF(CH6="","",IF(CH6=0,"",CH6+ROW()/1000000))</f>
        <v>0</v>
      </c>
    </row>
    <row r="7" spans="1:88">
      <c r="A7" s="16">
        <f>IF(ROW()-4&gt;12,"",DATE(PlanYear,ROW()-4,1))</f>
        <v>0</v>
      </c>
      <c r="B7" s="16">
        <f>IF(A7="","",EOMONTH(A7,0))</f>
        <v>0</v>
      </c>
      <c r="C7" s="17">
        <f>IF(A7="","",TEXT(A7,"yyyy-mm"))</f>
        <v>0</v>
      </c>
      <c r="D7" s="17">
        <f>IF(A7="","",TEXT(A7,"mmm"))</f>
        <v>0</v>
      </c>
      <c r="E7" s="23">
        <f>IF(C7="","",COUNTIFS('Content Calendar'!$D$5:$D$604,C7))</f>
        <v>0</v>
      </c>
      <c r="F7" s="23">
        <f>IF(C7="","",COUNTIFS('Content Calendar'!$D$5:$D$604,C7,'Content Calendar'!$X$5:$X$604,"Published"))</f>
        <v>0</v>
      </c>
      <c r="G7" s="23">
        <f>IF(C7="","",SUMIFS(Analytics!$J$5:$J$154,Analytics!$C$5:$C$154,C7))</f>
        <v>0</v>
      </c>
      <c r="H7" s="23">
        <f>IF(C7="","",SUMIFS(Analytics!$K$5:$K$154,Analytics!$C$5:$C$154,C7))</f>
        <v>0</v>
      </c>
      <c r="I7" s="23">
        <f>IF(C7="","",SUMIFS(Analytics!$L$5:$L$154,Analytics!$C$5:$C$154,C7))</f>
        <v>0</v>
      </c>
      <c r="J7" s="24">
        <f>IF(OR(G7="",G7=0),"",I7/G7)</f>
        <v>0</v>
      </c>
      <c r="K7" s="23">
        <f>IF(C7="","",SUMIFS(Analytics!$G$5:$G$154,Analytics!$C$5:$C$154,C7))</f>
        <v>0</v>
      </c>
      <c r="L7" s="23">
        <f>IF(C7="","",SUMIFS(Analytics!$X$5:$X$154,Analytics!$C$5:$C$154,C7))</f>
        <v>0</v>
      </c>
      <c r="M7" s="23">
        <f>IF(C7="","",SUMIFS(Analytics!$R$5:$R$154,Analytics!$C$5:$C$154,C7))</f>
        <v>0</v>
      </c>
      <c r="N7" s="23">
        <f>IF(C7="","",SUMIFS(Analytics!$S$5:$S$154,Analytics!$C$5:$C$154,C7))</f>
        <v>0</v>
      </c>
      <c r="O7" s="23">
        <f>IF(C7="","",SUMIFS(Analytics!$T$5:$T$154,Analytics!$C$5:$C$154,C7))</f>
        <v>0</v>
      </c>
      <c r="P7" s="25">
        <f>IF(C7="","",SUMIFS(Analytics!$U$5:$U$154,Analytics!$C$5:$C$154,C7))</f>
        <v>0</v>
      </c>
      <c r="Q7" s="25">
        <f>IF(C7="","",SUMIFS(Budget!$H$5:$H$64,Budget!$C$5:$C$64,C7))</f>
        <v>0</v>
      </c>
      <c r="R7" s="25">
        <f>IF(C7="","",P7-Q7)</f>
        <v>0</v>
      </c>
      <c r="S7" s="23">
        <f>IF(C7="","",MonthlyPostTarget)</f>
        <v>0</v>
      </c>
      <c r="T7" s="17">
        <f>IF(Lists!$C7="","",Lists!$C7)</f>
        <v>0</v>
      </c>
      <c r="U7" s="23">
        <f>IF(T7="","",COUNTIFS('Content Calendar'!$G$5:$G$604,T7,'Content Calendar'!$B$5:$B$604,"&gt;="&amp;DashStart,'Content Calendar'!$B$5:$B$604,"&lt;="&amp;DashEnd))</f>
        <v>0</v>
      </c>
      <c r="V7" s="23">
        <f>IF(T7="","",COUNTIFS('Content Calendar'!$G$5:$G$604,T7,'Content Calendar'!$X$5:$X$604,"Published",'Content Calendar'!$B$5:$B$604,"&gt;="&amp;DashStart,'Content Calendar'!$B$5:$B$604,"&lt;="&amp;DashEnd))</f>
        <v>0</v>
      </c>
      <c r="W7" s="23">
        <f>IF(T7="","",SUMIFS(Analytics!$J$5:$J$154,Analytics!$D$5:$D$154,T7,Analytics!$B$5:$B$154,"&gt;="&amp;DashStart,Analytics!$B$5:$B$154,"&lt;="&amp;DashEnd))</f>
        <v>0</v>
      </c>
      <c r="X7" s="23">
        <f>IF(T7="","",SUMIFS(Analytics!$L$5:$L$154,Analytics!$D$5:$D$154,T7,Analytics!$B$5:$B$154,"&gt;="&amp;DashStart,Analytics!$B$5:$B$154,"&lt;="&amp;DashEnd))</f>
        <v>0</v>
      </c>
      <c r="Y7" s="24">
        <f>IF(OR(W7="",W7=0),"",X7/W7)</f>
        <v>0</v>
      </c>
      <c r="Z7" s="23">
        <f>IF(T7="","",SUMIFS(Analytics!$G$5:$G$154,Analytics!$D$5:$D$154,T7,Analytics!$B$5:$B$154,"&gt;="&amp;DashStart,Analytics!$B$5:$B$154,"&lt;="&amp;DashEnd))</f>
        <v>0</v>
      </c>
      <c r="AA7" s="23">
        <f>IF(T7="","",SUMIFS(Analytics!$X$5:$X$154,Analytics!$D$5:$D$154,T7,Analytics!$B$5:$B$154,"&gt;="&amp;DashStart,Analytics!$B$5:$B$154,"&lt;="&amp;DashEnd))</f>
        <v>0</v>
      </c>
      <c r="AB7" s="23">
        <f>IF(T7="","",SUMIFS(Analytics!$R$5:$R$154,Analytics!$D$5:$D$154,T7,Analytics!$B$5:$B$154,"&gt;="&amp;DashStart,Analytics!$B$5:$B$154,"&lt;="&amp;DashEnd))</f>
        <v>0</v>
      </c>
      <c r="AC7" s="25">
        <f>IF(T7="","",SUMIFS(Analytics!$U$5:$U$154,Analytics!$D$5:$D$154,T7,Analytics!$B$5:$B$154,"&gt;="&amp;DashStart,Analytics!$B$5:$B$154,"&lt;="&amp;DashEnd))</f>
        <v>0</v>
      </c>
      <c r="AD7" s="23">
        <f>IF(T7="","",COUNTIFS('Content Calendar'!$G$5:$G$604,T7,'Content Calendar'!$B$5:$B$604,"&gt;="&amp;DATE(PlanYear,1,1),'Content Calendar'!$B$5:$B$604,"&lt;="&amp;DATE(PlanYear,12,31)))</f>
        <v>0</v>
      </c>
      <c r="AE7" s="23">
        <f>IF(T7="","",SUMIFS(Analytics!$J$5:$J$154,Analytics!$D$5:$D$154,T7))</f>
        <v>0</v>
      </c>
      <c r="AF7" s="23">
        <f>IF(T7="","",SUMIFS(Analytics!$L$5:$L$154,Analytics!$D$5:$D$154,T7))</f>
        <v>0</v>
      </c>
      <c r="AG7" s="24">
        <f>IF(OR(AE7="",AE7=0),"",AF7/AE7)</f>
        <v>0</v>
      </c>
      <c r="AH7" s="23">
        <f>IF(T7="","",SUMIFS(Analytics!$X$5:$X$154,Analytics!$D$5:$D$154,T7))</f>
        <v>0</v>
      </c>
      <c r="AI7" s="32">
        <f>IF(T7="","",IF(AE7=0,"",AE7+ROW()/1000000))</f>
        <v>0</v>
      </c>
      <c r="AJ7" s="17">
        <f>IF('Content Pillars'!$B$7="","",'Content Pillars'!$B$7)</f>
        <v>0</v>
      </c>
      <c r="AK7" s="23">
        <f>IF(AJ7="","",COUNTIFS('Content Calendar'!$J$5:$J$604,AJ7,'Content Calendar'!$B$5:$B$604,"&gt;="&amp;DATE(PlanYear,1,1),'Content Calendar'!$B$5:$B$604,"&lt;="&amp;DATE(PlanYear,12,31)))</f>
        <v>0</v>
      </c>
      <c r="AL7" s="23">
        <f>IF(AJ7="","",SUMIFS(Performance!$O$5:$O$404,Performance!$H$5:$H$404,AJ7))</f>
        <v>0</v>
      </c>
      <c r="AM7" s="23">
        <f>IF(AJ7="","",SUMIFS(Performance!$Z$5:$Z$404,Performance!$H$5:$H$404,AJ7))</f>
        <v>0</v>
      </c>
      <c r="AN7" s="24">
        <f>IF(OR(AL7="",AL7=0),"",AM7/AL7)</f>
        <v>0</v>
      </c>
      <c r="AO7" s="32">
        <f>IF(AN7="","",AN7+ROW()/1000000)</f>
        <v>0</v>
      </c>
      <c r="AP7" s="17">
        <f>IF(Lists!$E7="","",Lists!$E7)</f>
        <v>0</v>
      </c>
      <c r="AQ7" s="23">
        <f>IF(AP7="","",COUNTIF(Performance!$G$5:$G$404,AP7))</f>
        <v>0</v>
      </c>
      <c r="AR7" s="23">
        <f>IF(AP7="","",SUMIFS(Performance!$O$5:$O$404,Performance!$G$5:$G$404,AP7))</f>
        <v>0</v>
      </c>
      <c r="AS7" s="23">
        <f>IF(AP7="","",SUMIFS(Performance!$Z$5:$Z$404,Performance!$G$5:$G$404,AP7))</f>
        <v>0</v>
      </c>
      <c r="AT7" s="24">
        <f>IF(OR(AR7="",AR7=0),"",AS7/AR7)</f>
        <v>0</v>
      </c>
      <c r="AU7" s="32">
        <f>IF(AQ7=0,"",IF(AT7="","",AT7+ROW()/1000000))</f>
        <v>0</v>
      </c>
      <c r="AV7" s="17">
        <f>IF(ROW()-4&gt;7,"",TEXT(DATE(2024,1,ROW()-4),"ddd"))</f>
        <v>0</v>
      </c>
      <c r="AW7" s="23">
        <f>IF(AV7="","",COUNTIF(Performance!$N$5:$N$404,AV7))</f>
        <v>0</v>
      </c>
      <c r="AX7" s="23">
        <f>IF(AV7="","",SUMIFS(Performance!$O$5:$O$404,Performance!$N$5:$N$404,AV7))</f>
        <v>0</v>
      </c>
      <c r="AY7" s="23">
        <f>IF(AV7="","",SUMIFS(Performance!$Z$5:$Z$404,Performance!$N$5:$N$404,AV7))</f>
        <v>0</v>
      </c>
      <c r="AZ7" s="24">
        <f>IF(OR(AX7="",AX7=0),"",AY7/AX7)</f>
        <v>0</v>
      </c>
      <c r="BA7" s="32">
        <f>IF(AW7=0,"",IF(AZ7="","",AZ7+ROW()/1000000))</f>
        <v>0</v>
      </c>
      <c r="BB7" s="17">
        <f>IF(Lists!$AL7="","",Lists!$AL7)</f>
        <v>0</v>
      </c>
      <c r="BC7" s="23">
        <f>IF(BB7="","",COUNTIF(Performance!$M$5:$M$404,BB7))</f>
        <v>0</v>
      </c>
      <c r="BD7" s="23">
        <f>IF(BB7="","",SUMIFS(Performance!$O$5:$O$404,Performance!$M$5:$M$404,BB7))</f>
        <v>0</v>
      </c>
      <c r="BE7" s="23">
        <f>IF(BB7="","",SUMIFS(Performance!$Z$5:$Z$404,Performance!$M$5:$M$404,BB7))</f>
        <v>0</v>
      </c>
      <c r="BF7" s="24">
        <f>IF(OR(BD7="",BD7=0),"",BE7/BD7)</f>
        <v>0</v>
      </c>
      <c r="BG7" s="32">
        <f>IF(BC7=0,"",IF(BF7="","",BF7+ROW()/1000000))</f>
        <v>0</v>
      </c>
      <c r="BH7" s="17">
        <f>IF(Performance!$C$7="","",Performance!$C$7)</f>
        <v>0</v>
      </c>
      <c r="BI7" s="17">
        <f>IF(Performance!$F$7="","",Performance!$F$7)</f>
        <v>0</v>
      </c>
      <c r="BJ7" s="17">
        <f>IF(Performance!$H$7="","",Performance!$H$7)</f>
        <v>0</v>
      </c>
      <c r="BK7" s="16">
        <f>IF(Performance!$D$7="","",Performance!$D$7)</f>
        <v>0</v>
      </c>
      <c r="BL7" s="17">
        <f>IF(Performance!$E$7="","",Performance!$E$7)</f>
        <v>0</v>
      </c>
      <c r="BM7" s="23">
        <f>IF(Performance!$O$7="","",Performance!$O$7)</f>
        <v>0</v>
      </c>
      <c r="BN7" s="24">
        <f>IF(Performance!$AA$7="","",Performance!$AA$7)</f>
        <v>0</v>
      </c>
      <c r="BO7" s="32">
        <f>IF(BH7="","",IF(BK7="","",IF(OR(BK7&lt;DashStart,BK7&gt;DashEnd),"",IF(BN7="","",BN7+ROW()/1000000))))</f>
        <v>0</v>
      </c>
      <c r="BP7" s="32">
        <f>IF(BM7="","",IF(BK7="","",IF(OR(BK7&lt;DashStart,BK7&gt;DashEnd),"",BM7+ROW()/1000000)))</f>
        <v>0</v>
      </c>
      <c r="BQ7" s="32">
        <f>IF(BH7="","",IF(BK7="","",IF(YEAR(BK7)&lt;&gt;PlanYear,"",IF(BN7="","",BN7+ROW()/1000000))))</f>
        <v>0</v>
      </c>
      <c r="BR7" s="32">
        <f>IF(BH7="","",IF(BK7="","",IF(OR(BK7&lt;RepFrom,BK7&gt;RepTo),"",IF(BN7="","",BN7+ROW()/1000000))))</f>
        <v>0</v>
      </c>
      <c r="BS7" s="32">
        <f>IF(BM7="","",IF(BK7="","",IF(YEAR(BK7)&lt;&gt;PlanYear,"",BM7+ROW()/1000000)))</f>
        <v>0</v>
      </c>
      <c r="BT7" s="17">
        <f>IF(Lists!$F7="","",Lists!$F7)</f>
        <v>0</v>
      </c>
      <c r="BU7" s="23">
        <f>IF(BT7="","",COUNTIF('Content Calendar'!$X$5:$X$604,BT7))</f>
        <v>0</v>
      </c>
      <c r="BV7" s="23">
        <f>IF(BT7="","",COUNTIFS('Content Calendar'!$X$5:$X$604,BT7,'Content Calendar'!$B$5:$B$604,"&gt;="&amp;DashStart,'Content Calendar'!$B$5:$B$604,"&lt;="&amp;DashEnd))</f>
        <v>0</v>
      </c>
      <c r="BW7" s="17">
        <f>IF(Team!$B$7="","",Team!$B$7)</f>
        <v>0</v>
      </c>
      <c r="BX7" s="23">
        <f>IF(BW7="","",COUNTIF('Content Calendar'!$W$5:$W$604,BW7))</f>
        <v>0</v>
      </c>
      <c r="BY7" s="23">
        <f>IF(BW7="","",COUNTIFS('Content Calendar'!$W$5:$W$604,BW7,'Content Calendar'!$X$5:$X$604,"&lt;&gt;Published"))</f>
        <v>0</v>
      </c>
      <c r="BZ7" s="23">
        <f>IF(BW7="","",COUNTIFS(Tasks!$C$5:$C$64,BW7,Tasks!$G$5:$G$64,"&lt;&gt;Complete"))</f>
        <v>0</v>
      </c>
      <c r="CA7" s="17">
        <f>IF(Campaigns!$B$7="","",Campaigns!$B$7)</f>
        <v>0</v>
      </c>
      <c r="CB7" s="25">
        <f>IF(Campaigns!$T$7="","",Campaigns!$T$7)</f>
        <v>0</v>
      </c>
      <c r="CC7" s="25">
        <f>IF(Campaigns!$Q$7="","",Campaigns!$Q$7)</f>
        <v>0</v>
      </c>
      <c r="CD7" s="23">
        <f>IF(Campaigns!$Y$7="","",Campaigns!$Y$7)</f>
        <v>0</v>
      </c>
      <c r="CE7" s="32">
        <f>IF(CA7="","",IF(N(CB7)&lt;=0,"",N(CB7)+ROW()/1000000))</f>
        <v>0</v>
      </c>
      <c r="CF7" s="17">
        <f>IF(Accounts!$C$7="","",Accounts!$C$7)</f>
        <v>0</v>
      </c>
      <c r="CG7" s="17">
        <f>IF(Accounts!$B$7="","",Accounts!$B$7)</f>
        <v>0</v>
      </c>
      <c r="CH7" s="23">
        <f>IF(Accounts!$J$7="","",Accounts!$J$7)</f>
        <v>0</v>
      </c>
      <c r="CI7" s="23">
        <f>IF(CF7="","",SUMIFS(Analytics!$X$5:$X$154,Analytics!$E$5:$E$154,CF7,Analytics!$B$5:$B$154,"&gt;="&amp;DashStart,Analytics!$B$5:$B$154,"&lt;="&amp;DashEnd))</f>
        <v>0</v>
      </c>
      <c r="CJ7" s="32">
        <f>IF(CH7="","",IF(CH7=0,"",CH7+ROW()/1000000))</f>
        <v>0</v>
      </c>
    </row>
    <row r="8" spans="1:88">
      <c r="A8" s="16">
        <f>IF(ROW()-4&gt;12,"",DATE(PlanYear,ROW()-4,1))</f>
        <v>0</v>
      </c>
      <c r="B8" s="16">
        <f>IF(A8="","",EOMONTH(A8,0))</f>
        <v>0</v>
      </c>
      <c r="C8" s="17">
        <f>IF(A8="","",TEXT(A8,"yyyy-mm"))</f>
        <v>0</v>
      </c>
      <c r="D8" s="17">
        <f>IF(A8="","",TEXT(A8,"mmm"))</f>
        <v>0</v>
      </c>
      <c r="E8" s="23">
        <f>IF(C8="","",COUNTIFS('Content Calendar'!$D$5:$D$604,C8))</f>
        <v>0</v>
      </c>
      <c r="F8" s="23">
        <f>IF(C8="","",COUNTIFS('Content Calendar'!$D$5:$D$604,C8,'Content Calendar'!$X$5:$X$604,"Published"))</f>
        <v>0</v>
      </c>
      <c r="G8" s="23">
        <f>IF(C8="","",SUMIFS(Analytics!$J$5:$J$154,Analytics!$C$5:$C$154,C8))</f>
        <v>0</v>
      </c>
      <c r="H8" s="23">
        <f>IF(C8="","",SUMIFS(Analytics!$K$5:$K$154,Analytics!$C$5:$C$154,C8))</f>
        <v>0</v>
      </c>
      <c r="I8" s="23">
        <f>IF(C8="","",SUMIFS(Analytics!$L$5:$L$154,Analytics!$C$5:$C$154,C8))</f>
        <v>0</v>
      </c>
      <c r="J8" s="24">
        <f>IF(OR(G8="",G8=0),"",I8/G8)</f>
        <v>0</v>
      </c>
      <c r="K8" s="23">
        <f>IF(C8="","",SUMIFS(Analytics!$G$5:$G$154,Analytics!$C$5:$C$154,C8))</f>
        <v>0</v>
      </c>
      <c r="L8" s="23">
        <f>IF(C8="","",SUMIFS(Analytics!$X$5:$X$154,Analytics!$C$5:$C$154,C8))</f>
        <v>0</v>
      </c>
      <c r="M8" s="23">
        <f>IF(C8="","",SUMIFS(Analytics!$R$5:$R$154,Analytics!$C$5:$C$154,C8))</f>
        <v>0</v>
      </c>
      <c r="N8" s="23">
        <f>IF(C8="","",SUMIFS(Analytics!$S$5:$S$154,Analytics!$C$5:$C$154,C8))</f>
        <v>0</v>
      </c>
      <c r="O8" s="23">
        <f>IF(C8="","",SUMIFS(Analytics!$T$5:$T$154,Analytics!$C$5:$C$154,C8))</f>
        <v>0</v>
      </c>
      <c r="P8" s="25">
        <f>IF(C8="","",SUMIFS(Analytics!$U$5:$U$154,Analytics!$C$5:$C$154,C8))</f>
        <v>0</v>
      </c>
      <c r="Q8" s="25">
        <f>IF(C8="","",SUMIFS(Budget!$H$5:$H$64,Budget!$C$5:$C$64,C8))</f>
        <v>0</v>
      </c>
      <c r="R8" s="25">
        <f>IF(C8="","",P8-Q8)</f>
        <v>0</v>
      </c>
      <c r="S8" s="23">
        <f>IF(C8="","",MonthlyPostTarget)</f>
        <v>0</v>
      </c>
      <c r="T8" s="17">
        <f>IF(Lists!$C8="","",Lists!$C8)</f>
        <v>0</v>
      </c>
      <c r="U8" s="23">
        <f>IF(T8="","",COUNTIFS('Content Calendar'!$G$5:$G$604,T8,'Content Calendar'!$B$5:$B$604,"&gt;="&amp;DashStart,'Content Calendar'!$B$5:$B$604,"&lt;="&amp;DashEnd))</f>
        <v>0</v>
      </c>
      <c r="V8" s="23">
        <f>IF(T8="","",COUNTIFS('Content Calendar'!$G$5:$G$604,T8,'Content Calendar'!$X$5:$X$604,"Published",'Content Calendar'!$B$5:$B$604,"&gt;="&amp;DashStart,'Content Calendar'!$B$5:$B$604,"&lt;="&amp;DashEnd))</f>
        <v>0</v>
      </c>
      <c r="W8" s="23">
        <f>IF(T8="","",SUMIFS(Analytics!$J$5:$J$154,Analytics!$D$5:$D$154,T8,Analytics!$B$5:$B$154,"&gt;="&amp;DashStart,Analytics!$B$5:$B$154,"&lt;="&amp;DashEnd))</f>
        <v>0</v>
      </c>
      <c r="X8" s="23">
        <f>IF(T8="","",SUMIFS(Analytics!$L$5:$L$154,Analytics!$D$5:$D$154,T8,Analytics!$B$5:$B$154,"&gt;="&amp;DashStart,Analytics!$B$5:$B$154,"&lt;="&amp;DashEnd))</f>
        <v>0</v>
      </c>
      <c r="Y8" s="24">
        <f>IF(OR(W8="",W8=0),"",X8/W8)</f>
        <v>0</v>
      </c>
      <c r="Z8" s="23">
        <f>IF(T8="","",SUMIFS(Analytics!$G$5:$G$154,Analytics!$D$5:$D$154,T8,Analytics!$B$5:$B$154,"&gt;="&amp;DashStart,Analytics!$B$5:$B$154,"&lt;="&amp;DashEnd))</f>
        <v>0</v>
      </c>
      <c r="AA8" s="23">
        <f>IF(T8="","",SUMIFS(Analytics!$X$5:$X$154,Analytics!$D$5:$D$154,T8,Analytics!$B$5:$B$154,"&gt;="&amp;DashStart,Analytics!$B$5:$B$154,"&lt;="&amp;DashEnd))</f>
        <v>0</v>
      </c>
      <c r="AB8" s="23">
        <f>IF(T8="","",SUMIFS(Analytics!$R$5:$R$154,Analytics!$D$5:$D$154,T8,Analytics!$B$5:$B$154,"&gt;="&amp;DashStart,Analytics!$B$5:$B$154,"&lt;="&amp;DashEnd))</f>
        <v>0</v>
      </c>
      <c r="AC8" s="25">
        <f>IF(T8="","",SUMIFS(Analytics!$U$5:$U$154,Analytics!$D$5:$D$154,T8,Analytics!$B$5:$B$154,"&gt;="&amp;DashStart,Analytics!$B$5:$B$154,"&lt;="&amp;DashEnd))</f>
        <v>0</v>
      </c>
      <c r="AD8" s="23">
        <f>IF(T8="","",COUNTIFS('Content Calendar'!$G$5:$G$604,T8,'Content Calendar'!$B$5:$B$604,"&gt;="&amp;DATE(PlanYear,1,1),'Content Calendar'!$B$5:$B$604,"&lt;="&amp;DATE(PlanYear,12,31)))</f>
        <v>0</v>
      </c>
      <c r="AE8" s="23">
        <f>IF(T8="","",SUMIFS(Analytics!$J$5:$J$154,Analytics!$D$5:$D$154,T8))</f>
        <v>0</v>
      </c>
      <c r="AF8" s="23">
        <f>IF(T8="","",SUMIFS(Analytics!$L$5:$L$154,Analytics!$D$5:$D$154,T8))</f>
        <v>0</v>
      </c>
      <c r="AG8" s="24">
        <f>IF(OR(AE8="",AE8=0),"",AF8/AE8)</f>
        <v>0</v>
      </c>
      <c r="AH8" s="23">
        <f>IF(T8="","",SUMIFS(Analytics!$X$5:$X$154,Analytics!$D$5:$D$154,T8))</f>
        <v>0</v>
      </c>
      <c r="AI8" s="32">
        <f>IF(T8="","",IF(AE8=0,"",AE8+ROW()/1000000))</f>
        <v>0</v>
      </c>
      <c r="AJ8" s="17">
        <f>IF('Content Pillars'!$B$8="","",'Content Pillars'!$B$8)</f>
        <v>0</v>
      </c>
      <c r="AK8" s="23">
        <f>IF(AJ8="","",COUNTIFS('Content Calendar'!$J$5:$J$604,AJ8,'Content Calendar'!$B$5:$B$604,"&gt;="&amp;DATE(PlanYear,1,1),'Content Calendar'!$B$5:$B$604,"&lt;="&amp;DATE(PlanYear,12,31)))</f>
        <v>0</v>
      </c>
      <c r="AL8" s="23">
        <f>IF(AJ8="","",SUMIFS(Performance!$O$5:$O$404,Performance!$H$5:$H$404,AJ8))</f>
        <v>0</v>
      </c>
      <c r="AM8" s="23">
        <f>IF(AJ8="","",SUMIFS(Performance!$Z$5:$Z$404,Performance!$H$5:$H$404,AJ8))</f>
        <v>0</v>
      </c>
      <c r="AN8" s="24">
        <f>IF(OR(AL8="",AL8=0),"",AM8/AL8)</f>
        <v>0</v>
      </c>
      <c r="AO8" s="32">
        <f>IF(AN8="","",AN8+ROW()/1000000)</f>
        <v>0</v>
      </c>
      <c r="AP8" s="17">
        <f>IF(Lists!$E8="","",Lists!$E8)</f>
        <v>0</v>
      </c>
      <c r="AQ8" s="23">
        <f>IF(AP8="","",COUNTIF(Performance!$G$5:$G$404,AP8))</f>
        <v>0</v>
      </c>
      <c r="AR8" s="23">
        <f>IF(AP8="","",SUMIFS(Performance!$O$5:$O$404,Performance!$G$5:$G$404,AP8))</f>
        <v>0</v>
      </c>
      <c r="AS8" s="23">
        <f>IF(AP8="","",SUMIFS(Performance!$Z$5:$Z$404,Performance!$G$5:$G$404,AP8))</f>
        <v>0</v>
      </c>
      <c r="AT8" s="24">
        <f>IF(OR(AR8="",AR8=0),"",AS8/AR8)</f>
        <v>0</v>
      </c>
      <c r="AU8" s="32">
        <f>IF(AQ8=0,"",IF(AT8="","",AT8+ROW()/1000000))</f>
        <v>0</v>
      </c>
      <c r="AV8" s="17">
        <f>IF(ROW()-4&gt;7,"",TEXT(DATE(2024,1,ROW()-4),"ddd"))</f>
        <v>0</v>
      </c>
      <c r="AW8" s="23">
        <f>IF(AV8="","",COUNTIF(Performance!$N$5:$N$404,AV8))</f>
        <v>0</v>
      </c>
      <c r="AX8" s="23">
        <f>IF(AV8="","",SUMIFS(Performance!$O$5:$O$404,Performance!$N$5:$N$404,AV8))</f>
        <v>0</v>
      </c>
      <c r="AY8" s="23">
        <f>IF(AV8="","",SUMIFS(Performance!$Z$5:$Z$404,Performance!$N$5:$N$404,AV8))</f>
        <v>0</v>
      </c>
      <c r="AZ8" s="24">
        <f>IF(OR(AX8="",AX8=0),"",AY8/AX8)</f>
        <v>0</v>
      </c>
      <c r="BA8" s="32">
        <f>IF(AW8=0,"",IF(AZ8="","",AZ8+ROW()/1000000))</f>
        <v>0</v>
      </c>
      <c r="BB8" s="17">
        <f>IF(Lists!$AL8="","",Lists!$AL8)</f>
        <v>0</v>
      </c>
      <c r="BC8" s="23">
        <f>IF(BB8="","",COUNTIF(Performance!$M$5:$M$404,BB8))</f>
        <v>0</v>
      </c>
      <c r="BD8" s="23">
        <f>IF(BB8="","",SUMIFS(Performance!$O$5:$O$404,Performance!$M$5:$M$404,BB8))</f>
        <v>0</v>
      </c>
      <c r="BE8" s="23">
        <f>IF(BB8="","",SUMIFS(Performance!$Z$5:$Z$404,Performance!$M$5:$M$404,BB8))</f>
        <v>0</v>
      </c>
      <c r="BF8" s="24">
        <f>IF(OR(BD8="",BD8=0),"",BE8/BD8)</f>
        <v>0</v>
      </c>
      <c r="BG8" s="32">
        <f>IF(BC8=0,"",IF(BF8="","",BF8+ROW()/1000000))</f>
        <v>0</v>
      </c>
      <c r="BH8" s="17">
        <f>IF(Performance!$C$8="","",Performance!$C$8)</f>
        <v>0</v>
      </c>
      <c r="BI8" s="17">
        <f>IF(Performance!$F$8="","",Performance!$F$8)</f>
        <v>0</v>
      </c>
      <c r="BJ8" s="17">
        <f>IF(Performance!$H$8="","",Performance!$H$8)</f>
        <v>0</v>
      </c>
      <c r="BK8" s="16">
        <f>IF(Performance!$D$8="","",Performance!$D$8)</f>
        <v>0</v>
      </c>
      <c r="BL8" s="17">
        <f>IF(Performance!$E$8="","",Performance!$E$8)</f>
        <v>0</v>
      </c>
      <c r="BM8" s="23">
        <f>IF(Performance!$O$8="","",Performance!$O$8)</f>
        <v>0</v>
      </c>
      <c r="BN8" s="24">
        <f>IF(Performance!$AA$8="","",Performance!$AA$8)</f>
        <v>0</v>
      </c>
      <c r="BO8" s="32">
        <f>IF(BH8="","",IF(BK8="","",IF(OR(BK8&lt;DashStart,BK8&gt;DashEnd),"",IF(BN8="","",BN8+ROW()/1000000))))</f>
        <v>0</v>
      </c>
      <c r="BP8" s="32">
        <f>IF(BM8="","",IF(BK8="","",IF(OR(BK8&lt;DashStart,BK8&gt;DashEnd),"",BM8+ROW()/1000000)))</f>
        <v>0</v>
      </c>
      <c r="BQ8" s="32">
        <f>IF(BH8="","",IF(BK8="","",IF(YEAR(BK8)&lt;&gt;PlanYear,"",IF(BN8="","",BN8+ROW()/1000000))))</f>
        <v>0</v>
      </c>
      <c r="BR8" s="32">
        <f>IF(BH8="","",IF(BK8="","",IF(OR(BK8&lt;RepFrom,BK8&gt;RepTo),"",IF(BN8="","",BN8+ROW()/1000000))))</f>
        <v>0</v>
      </c>
      <c r="BS8" s="32">
        <f>IF(BM8="","",IF(BK8="","",IF(YEAR(BK8)&lt;&gt;PlanYear,"",BM8+ROW()/1000000)))</f>
        <v>0</v>
      </c>
      <c r="BT8" s="17">
        <f>IF(Lists!$F8="","",Lists!$F8)</f>
        <v>0</v>
      </c>
      <c r="BU8" s="23">
        <f>IF(BT8="","",COUNTIF('Content Calendar'!$X$5:$X$604,BT8))</f>
        <v>0</v>
      </c>
      <c r="BV8" s="23">
        <f>IF(BT8="","",COUNTIFS('Content Calendar'!$X$5:$X$604,BT8,'Content Calendar'!$B$5:$B$604,"&gt;="&amp;DashStart,'Content Calendar'!$B$5:$B$604,"&lt;="&amp;DashEnd))</f>
        <v>0</v>
      </c>
      <c r="BW8" s="17">
        <f>IF(Team!$B$8="","",Team!$B$8)</f>
        <v>0</v>
      </c>
      <c r="BX8" s="23">
        <f>IF(BW8="","",COUNTIF('Content Calendar'!$W$5:$W$604,BW8))</f>
        <v>0</v>
      </c>
      <c r="BY8" s="23">
        <f>IF(BW8="","",COUNTIFS('Content Calendar'!$W$5:$W$604,BW8,'Content Calendar'!$X$5:$X$604,"&lt;&gt;Published"))</f>
        <v>0</v>
      </c>
      <c r="BZ8" s="23">
        <f>IF(BW8="","",COUNTIFS(Tasks!$C$5:$C$64,BW8,Tasks!$G$5:$G$64,"&lt;&gt;Complete"))</f>
        <v>0</v>
      </c>
      <c r="CA8" s="17">
        <f>IF(Campaigns!$B$8="","",Campaigns!$B$8)</f>
        <v>0</v>
      </c>
      <c r="CB8" s="25">
        <f>IF(Campaigns!$T$8="","",Campaigns!$T$8)</f>
        <v>0</v>
      </c>
      <c r="CC8" s="25">
        <f>IF(Campaigns!$Q$8="","",Campaigns!$Q$8)</f>
        <v>0</v>
      </c>
      <c r="CD8" s="23">
        <f>IF(Campaigns!$Y$8="","",Campaigns!$Y$8)</f>
        <v>0</v>
      </c>
      <c r="CE8" s="32">
        <f>IF(CA8="","",IF(N(CB8)&lt;=0,"",N(CB8)+ROW()/1000000))</f>
        <v>0</v>
      </c>
      <c r="CF8" s="17">
        <f>IF(Accounts!$C$8="","",Accounts!$C$8)</f>
        <v>0</v>
      </c>
      <c r="CG8" s="17">
        <f>IF(Accounts!$B$8="","",Accounts!$B$8)</f>
        <v>0</v>
      </c>
      <c r="CH8" s="23">
        <f>IF(Accounts!$J$8="","",Accounts!$J$8)</f>
        <v>0</v>
      </c>
      <c r="CI8" s="23">
        <f>IF(CF8="","",SUMIFS(Analytics!$X$5:$X$154,Analytics!$E$5:$E$154,CF8,Analytics!$B$5:$B$154,"&gt;="&amp;DashStart,Analytics!$B$5:$B$154,"&lt;="&amp;DashEnd))</f>
        <v>0</v>
      </c>
      <c r="CJ8" s="32">
        <f>IF(CH8="","",IF(CH8=0,"",CH8+ROW()/1000000))</f>
        <v>0</v>
      </c>
    </row>
    <row r="9" spans="1:88">
      <c r="A9" s="16">
        <f>IF(ROW()-4&gt;12,"",DATE(PlanYear,ROW()-4,1))</f>
        <v>0</v>
      </c>
      <c r="B9" s="16">
        <f>IF(A9="","",EOMONTH(A9,0))</f>
        <v>0</v>
      </c>
      <c r="C9" s="17">
        <f>IF(A9="","",TEXT(A9,"yyyy-mm"))</f>
        <v>0</v>
      </c>
      <c r="D9" s="17">
        <f>IF(A9="","",TEXT(A9,"mmm"))</f>
        <v>0</v>
      </c>
      <c r="E9" s="23">
        <f>IF(C9="","",COUNTIFS('Content Calendar'!$D$5:$D$604,C9))</f>
        <v>0</v>
      </c>
      <c r="F9" s="23">
        <f>IF(C9="","",COUNTIFS('Content Calendar'!$D$5:$D$604,C9,'Content Calendar'!$X$5:$X$604,"Published"))</f>
        <v>0</v>
      </c>
      <c r="G9" s="23">
        <f>IF(C9="","",SUMIFS(Analytics!$J$5:$J$154,Analytics!$C$5:$C$154,C9))</f>
        <v>0</v>
      </c>
      <c r="H9" s="23">
        <f>IF(C9="","",SUMIFS(Analytics!$K$5:$K$154,Analytics!$C$5:$C$154,C9))</f>
        <v>0</v>
      </c>
      <c r="I9" s="23">
        <f>IF(C9="","",SUMIFS(Analytics!$L$5:$L$154,Analytics!$C$5:$C$154,C9))</f>
        <v>0</v>
      </c>
      <c r="J9" s="24">
        <f>IF(OR(G9="",G9=0),"",I9/G9)</f>
        <v>0</v>
      </c>
      <c r="K9" s="23">
        <f>IF(C9="","",SUMIFS(Analytics!$G$5:$G$154,Analytics!$C$5:$C$154,C9))</f>
        <v>0</v>
      </c>
      <c r="L9" s="23">
        <f>IF(C9="","",SUMIFS(Analytics!$X$5:$X$154,Analytics!$C$5:$C$154,C9))</f>
        <v>0</v>
      </c>
      <c r="M9" s="23">
        <f>IF(C9="","",SUMIFS(Analytics!$R$5:$R$154,Analytics!$C$5:$C$154,C9))</f>
        <v>0</v>
      </c>
      <c r="N9" s="23">
        <f>IF(C9="","",SUMIFS(Analytics!$S$5:$S$154,Analytics!$C$5:$C$154,C9))</f>
        <v>0</v>
      </c>
      <c r="O9" s="23">
        <f>IF(C9="","",SUMIFS(Analytics!$T$5:$T$154,Analytics!$C$5:$C$154,C9))</f>
        <v>0</v>
      </c>
      <c r="P9" s="25">
        <f>IF(C9="","",SUMIFS(Analytics!$U$5:$U$154,Analytics!$C$5:$C$154,C9))</f>
        <v>0</v>
      </c>
      <c r="Q9" s="25">
        <f>IF(C9="","",SUMIFS(Budget!$H$5:$H$64,Budget!$C$5:$C$64,C9))</f>
        <v>0</v>
      </c>
      <c r="R9" s="25">
        <f>IF(C9="","",P9-Q9)</f>
        <v>0</v>
      </c>
      <c r="S9" s="23">
        <f>IF(C9="","",MonthlyPostTarget)</f>
        <v>0</v>
      </c>
      <c r="T9" s="17">
        <f>IF(Lists!$C9="","",Lists!$C9)</f>
        <v>0</v>
      </c>
      <c r="U9" s="23">
        <f>IF(T9="","",COUNTIFS('Content Calendar'!$G$5:$G$604,T9,'Content Calendar'!$B$5:$B$604,"&gt;="&amp;DashStart,'Content Calendar'!$B$5:$B$604,"&lt;="&amp;DashEnd))</f>
        <v>0</v>
      </c>
      <c r="V9" s="23">
        <f>IF(T9="","",COUNTIFS('Content Calendar'!$G$5:$G$604,T9,'Content Calendar'!$X$5:$X$604,"Published",'Content Calendar'!$B$5:$B$604,"&gt;="&amp;DashStart,'Content Calendar'!$B$5:$B$604,"&lt;="&amp;DashEnd))</f>
        <v>0</v>
      </c>
      <c r="W9" s="23">
        <f>IF(T9="","",SUMIFS(Analytics!$J$5:$J$154,Analytics!$D$5:$D$154,T9,Analytics!$B$5:$B$154,"&gt;="&amp;DashStart,Analytics!$B$5:$B$154,"&lt;="&amp;DashEnd))</f>
        <v>0</v>
      </c>
      <c r="X9" s="23">
        <f>IF(T9="","",SUMIFS(Analytics!$L$5:$L$154,Analytics!$D$5:$D$154,T9,Analytics!$B$5:$B$154,"&gt;="&amp;DashStart,Analytics!$B$5:$B$154,"&lt;="&amp;DashEnd))</f>
        <v>0</v>
      </c>
      <c r="Y9" s="24">
        <f>IF(OR(W9="",W9=0),"",X9/W9)</f>
        <v>0</v>
      </c>
      <c r="Z9" s="23">
        <f>IF(T9="","",SUMIFS(Analytics!$G$5:$G$154,Analytics!$D$5:$D$154,T9,Analytics!$B$5:$B$154,"&gt;="&amp;DashStart,Analytics!$B$5:$B$154,"&lt;="&amp;DashEnd))</f>
        <v>0</v>
      </c>
      <c r="AA9" s="23">
        <f>IF(T9="","",SUMIFS(Analytics!$X$5:$X$154,Analytics!$D$5:$D$154,T9,Analytics!$B$5:$B$154,"&gt;="&amp;DashStart,Analytics!$B$5:$B$154,"&lt;="&amp;DashEnd))</f>
        <v>0</v>
      </c>
      <c r="AB9" s="23">
        <f>IF(T9="","",SUMIFS(Analytics!$R$5:$R$154,Analytics!$D$5:$D$154,T9,Analytics!$B$5:$B$154,"&gt;="&amp;DashStart,Analytics!$B$5:$B$154,"&lt;="&amp;DashEnd))</f>
        <v>0</v>
      </c>
      <c r="AC9" s="25">
        <f>IF(T9="","",SUMIFS(Analytics!$U$5:$U$154,Analytics!$D$5:$D$154,T9,Analytics!$B$5:$B$154,"&gt;="&amp;DashStart,Analytics!$B$5:$B$154,"&lt;="&amp;DashEnd))</f>
        <v>0</v>
      </c>
      <c r="AD9" s="23">
        <f>IF(T9="","",COUNTIFS('Content Calendar'!$G$5:$G$604,T9,'Content Calendar'!$B$5:$B$604,"&gt;="&amp;DATE(PlanYear,1,1),'Content Calendar'!$B$5:$B$604,"&lt;="&amp;DATE(PlanYear,12,31)))</f>
        <v>0</v>
      </c>
      <c r="AE9" s="23">
        <f>IF(T9="","",SUMIFS(Analytics!$J$5:$J$154,Analytics!$D$5:$D$154,T9))</f>
        <v>0</v>
      </c>
      <c r="AF9" s="23">
        <f>IF(T9="","",SUMIFS(Analytics!$L$5:$L$154,Analytics!$D$5:$D$154,T9))</f>
        <v>0</v>
      </c>
      <c r="AG9" s="24">
        <f>IF(OR(AE9="",AE9=0),"",AF9/AE9)</f>
        <v>0</v>
      </c>
      <c r="AH9" s="23">
        <f>IF(T9="","",SUMIFS(Analytics!$X$5:$X$154,Analytics!$D$5:$D$154,T9))</f>
        <v>0</v>
      </c>
      <c r="AI9" s="32">
        <f>IF(T9="","",IF(AE9=0,"",AE9+ROW()/1000000))</f>
        <v>0</v>
      </c>
      <c r="AJ9" s="17">
        <f>IF('Content Pillars'!$B$9="","",'Content Pillars'!$B$9)</f>
        <v>0</v>
      </c>
      <c r="AK9" s="23">
        <f>IF(AJ9="","",COUNTIFS('Content Calendar'!$J$5:$J$604,AJ9,'Content Calendar'!$B$5:$B$604,"&gt;="&amp;DATE(PlanYear,1,1),'Content Calendar'!$B$5:$B$604,"&lt;="&amp;DATE(PlanYear,12,31)))</f>
        <v>0</v>
      </c>
      <c r="AL9" s="23">
        <f>IF(AJ9="","",SUMIFS(Performance!$O$5:$O$404,Performance!$H$5:$H$404,AJ9))</f>
        <v>0</v>
      </c>
      <c r="AM9" s="23">
        <f>IF(AJ9="","",SUMIFS(Performance!$Z$5:$Z$404,Performance!$H$5:$H$404,AJ9))</f>
        <v>0</v>
      </c>
      <c r="AN9" s="24">
        <f>IF(OR(AL9="",AL9=0),"",AM9/AL9)</f>
        <v>0</v>
      </c>
      <c r="AO9" s="32">
        <f>IF(AN9="","",AN9+ROW()/1000000)</f>
        <v>0</v>
      </c>
      <c r="AP9" s="17">
        <f>IF(Lists!$E9="","",Lists!$E9)</f>
        <v>0</v>
      </c>
      <c r="AQ9" s="23">
        <f>IF(AP9="","",COUNTIF(Performance!$G$5:$G$404,AP9))</f>
        <v>0</v>
      </c>
      <c r="AR9" s="23">
        <f>IF(AP9="","",SUMIFS(Performance!$O$5:$O$404,Performance!$G$5:$G$404,AP9))</f>
        <v>0</v>
      </c>
      <c r="AS9" s="23">
        <f>IF(AP9="","",SUMIFS(Performance!$Z$5:$Z$404,Performance!$G$5:$G$404,AP9))</f>
        <v>0</v>
      </c>
      <c r="AT9" s="24">
        <f>IF(OR(AR9="",AR9=0),"",AS9/AR9)</f>
        <v>0</v>
      </c>
      <c r="AU9" s="32">
        <f>IF(AQ9=0,"",IF(AT9="","",AT9+ROW()/1000000))</f>
        <v>0</v>
      </c>
      <c r="AV9" s="17">
        <f>IF(ROW()-4&gt;7,"",TEXT(DATE(2024,1,ROW()-4),"ddd"))</f>
        <v>0</v>
      </c>
      <c r="AW9" s="23">
        <f>IF(AV9="","",COUNTIF(Performance!$N$5:$N$404,AV9))</f>
        <v>0</v>
      </c>
      <c r="AX9" s="23">
        <f>IF(AV9="","",SUMIFS(Performance!$O$5:$O$404,Performance!$N$5:$N$404,AV9))</f>
        <v>0</v>
      </c>
      <c r="AY9" s="23">
        <f>IF(AV9="","",SUMIFS(Performance!$Z$5:$Z$404,Performance!$N$5:$N$404,AV9))</f>
        <v>0</v>
      </c>
      <c r="AZ9" s="24">
        <f>IF(OR(AX9="",AX9=0),"",AY9/AX9)</f>
        <v>0</v>
      </c>
      <c r="BA9" s="32">
        <f>IF(AW9=0,"",IF(AZ9="","",AZ9+ROW()/1000000))</f>
        <v>0</v>
      </c>
      <c r="BB9" s="17">
        <f>IF(Lists!$AL9="","",Lists!$AL9)</f>
        <v>0</v>
      </c>
      <c r="BC9" s="23">
        <f>IF(BB9="","",COUNTIF(Performance!$M$5:$M$404,BB9))</f>
        <v>0</v>
      </c>
      <c r="BD9" s="23">
        <f>IF(BB9="","",SUMIFS(Performance!$O$5:$O$404,Performance!$M$5:$M$404,BB9))</f>
        <v>0</v>
      </c>
      <c r="BE9" s="23">
        <f>IF(BB9="","",SUMIFS(Performance!$Z$5:$Z$404,Performance!$M$5:$M$404,BB9))</f>
        <v>0</v>
      </c>
      <c r="BF9" s="24">
        <f>IF(OR(BD9="",BD9=0),"",BE9/BD9)</f>
        <v>0</v>
      </c>
      <c r="BG9" s="32">
        <f>IF(BC9=0,"",IF(BF9="","",BF9+ROW()/1000000))</f>
        <v>0</v>
      </c>
      <c r="BH9" s="17">
        <f>IF(Performance!$C$9="","",Performance!$C$9)</f>
        <v>0</v>
      </c>
      <c r="BI9" s="17">
        <f>IF(Performance!$F$9="","",Performance!$F$9)</f>
        <v>0</v>
      </c>
      <c r="BJ9" s="17">
        <f>IF(Performance!$H$9="","",Performance!$H$9)</f>
        <v>0</v>
      </c>
      <c r="BK9" s="16">
        <f>IF(Performance!$D$9="","",Performance!$D$9)</f>
        <v>0</v>
      </c>
      <c r="BL9" s="17">
        <f>IF(Performance!$E$9="","",Performance!$E$9)</f>
        <v>0</v>
      </c>
      <c r="BM9" s="23">
        <f>IF(Performance!$O$9="","",Performance!$O$9)</f>
        <v>0</v>
      </c>
      <c r="BN9" s="24">
        <f>IF(Performance!$AA$9="","",Performance!$AA$9)</f>
        <v>0</v>
      </c>
      <c r="BO9" s="32">
        <f>IF(BH9="","",IF(BK9="","",IF(OR(BK9&lt;DashStart,BK9&gt;DashEnd),"",IF(BN9="","",BN9+ROW()/1000000))))</f>
        <v>0</v>
      </c>
      <c r="BP9" s="32">
        <f>IF(BM9="","",IF(BK9="","",IF(OR(BK9&lt;DashStart,BK9&gt;DashEnd),"",BM9+ROW()/1000000)))</f>
        <v>0</v>
      </c>
      <c r="BQ9" s="32">
        <f>IF(BH9="","",IF(BK9="","",IF(YEAR(BK9)&lt;&gt;PlanYear,"",IF(BN9="","",BN9+ROW()/1000000))))</f>
        <v>0</v>
      </c>
      <c r="BR9" s="32">
        <f>IF(BH9="","",IF(BK9="","",IF(OR(BK9&lt;RepFrom,BK9&gt;RepTo),"",IF(BN9="","",BN9+ROW()/1000000))))</f>
        <v>0</v>
      </c>
      <c r="BS9" s="32">
        <f>IF(BM9="","",IF(BK9="","",IF(YEAR(BK9)&lt;&gt;PlanYear,"",BM9+ROW()/1000000)))</f>
        <v>0</v>
      </c>
      <c r="BT9" s="17">
        <f>IF(Lists!$F9="","",Lists!$F9)</f>
        <v>0</v>
      </c>
      <c r="BU9" s="23">
        <f>IF(BT9="","",COUNTIF('Content Calendar'!$X$5:$X$604,BT9))</f>
        <v>0</v>
      </c>
      <c r="BV9" s="23">
        <f>IF(BT9="","",COUNTIFS('Content Calendar'!$X$5:$X$604,BT9,'Content Calendar'!$B$5:$B$604,"&gt;="&amp;DashStart,'Content Calendar'!$B$5:$B$604,"&lt;="&amp;DashEnd))</f>
        <v>0</v>
      </c>
      <c r="BW9" s="17">
        <f>IF(Team!$B$9="","",Team!$B$9)</f>
        <v>0</v>
      </c>
      <c r="BX9" s="23">
        <f>IF(BW9="","",COUNTIF('Content Calendar'!$W$5:$W$604,BW9))</f>
        <v>0</v>
      </c>
      <c r="BY9" s="23">
        <f>IF(BW9="","",COUNTIFS('Content Calendar'!$W$5:$W$604,BW9,'Content Calendar'!$X$5:$X$604,"&lt;&gt;Published"))</f>
        <v>0</v>
      </c>
      <c r="BZ9" s="23">
        <f>IF(BW9="","",COUNTIFS(Tasks!$C$5:$C$64,BW9,Tasks!$G$5:$G$64,"&lt;&gt;Complete"))</f>
        <v>0</v>
      </c>
      <c r="CA9" s="17">
        <f>IF(Campaigns!$B$9="","",Campaigns!$B$9)</f>
        <v>0</v>
      </c>
      <c r="CB9" s="25">
        <f>IF(Campaigns!$T$9="","",Campaigns!$T$9)</f>
        <v>0</v>
      </c>
      <c r="CC9" s="25">
        <f>IF(Campaigns!$Q$9="","",Campaigns!$Q$9)</f>
        <v>0</v>
      </c>
      <c r="CD9" s="23">
        <f>IF(Campaigns!$Y$9="","",Campaigns!$Y$9)</f>
        <v>0</v>
      </c>
      <c r="CE9" s="32">
        <f>IF(CA9="","",IF(N(CB9)&lt;=0,"",N(CB9)+ROW()/1000000))</f>
        <v>0</v>
      </c>
      <c r="CF9" s="17">
        <f>IF(Accounts!$C$9="","",Accounts!$C$9)</f>
        <v>0</v>
      </c>
      <c r="CG9" s="17">
        <f>IF(Accounts!$B$9="","",Accounts!$B$9)</f>
        <v>0</v>
      </c>
      <c r="CH9" s="23">
        <f>IF(Accounts!$J$9="","",Accounts!$J$9)</f>
        <v>0</v>
      </c>
      <c r="CI9" s="23">
        <f>IF(CF9="","",SUMIFS(Analytics!$X$5:$X$154,Analytics!$E$5:$E$154,CF9,Analytics!$B$5:$B$154,"&gt;="&amp;DashStart,Analytics!$B$5:$B$154,"&lt;="&amp;DashEnd))</f>
        <v>0</v>
      </c>
      <c r="CJ9" s="32">
        <f>IF(CH9="","",IF(CH9=0,"",CH9+ROW()/1000000))</f>
        <v>0</v>
      </c>
    </row>
    <row r="10" spans="1:88">
      <c r="A10" s="16">
        <f>IF(ROW()-4&gt;12,"",DATE(PlanYear,ROW()-4,1))</f>
        <v>0</v>
      </c>
      <c r="B10" s="16">
        <f>IF(A10="","",EOMONTH(A10,0))</f>
        <v>0</v>
      </c>
      <c r="C10" s="17">
        <f>IF(A10="","",TEXT(A10,"yyyy-mm"))</f>
        <v>0</v>
      </c>
      <c r="D10" s="17">
        <f>IF(A10="","",TEXT(A10,"mmm"))</f>
        <v>0</v>
      </c>
      <c r="E10" s="23">
        <f>IF(C10="","",COUNTIFS('Content Calendar'!$D$5:$D$604,C10))</f>
        <v>0</v>
      </c>
      <c r="F10" s="23">
        <f>IF(C10="","",COUNTIFS('Content Calendar'!$D$5:$D$604,C10,'Content Calendar'!$X$5:$X$604,"Published"))</f>
        <v>0</v>
      </c>
      <c r="G10" s="23">
        <f>IF(C10="","",SUMIFS(Analytics!$J$5:$J$154,Analytics!$C$5:$C$154,C10))</f>
        <v>0</v>
      </c>
      <c r="H10" s="23">
        <f>IF(C10="","",SUMIFS(Analytics!$K$5:$K$154,Analytics!$C$5:$C$154,C10))</f>
        <v>0</v>
      </c>
      <c r="I10" s="23">
        <f>IF(C10="","",SUMIFS(Analytics!$L$5:$L$154,Analytics!$C$5:$C$154,C10))</f>
        <v>0</v>
      </c>
      <c r="J10" s="24">
        <f>IF(OR(G10="",G10=0),"",I10/G10)</f>
        <v>0</v>
      </c>
      <c r="K10" s="23">
        <f>IF(C10="","",SUMIFS(Analytics!$G$5:$G$154,Analytics!$C$5:$C$154,C10))</f>
        <v>0</v>
      </c>
      <c r="L10" s="23">
        <f>IF(C10="","",SUMIFS(Analytics!$X$5:$X$154,Analytics!$C$5:$C$154,C10))</f>
        <v>0</v>
      </c>
      <c r="M10" s="23">
        <f>IF(C10="","",SUMIFS(Analytics!$R$5:$R$154,Analytics!$C$5:$C$154,C10))</f>
        <v>0</v>
      </c>
      <c r="N10" s="23">
        <f>IF(C10="","",SUMIFS(Analytics!$S$5:$S$154,Analytics!$C$5:$C$154,C10))</f>
        <v>0</v>
      </c>
      <c r="O10" s="23">
        <f>IF(C10="","",SUMIFS(Analytics!$T$5:$T$154,Analytics!$C$5:$C$154,C10))</f>
        <v>0</v>
      </c>
      <c r="P10" s="25">
        <f>IF(C10="","",SUMIFS(Analytics!$U$5:$U$154,Analytics!$C$5:$C$154,C10))</f>
        <v>0</v>
      </c>
      <c r="Q10" s="25">
        <f>IF(C10="","",SUMIFS(Budget!$H$5:$H$64,Budget!$C$5:$C$64,C10))</f>
        <v>0</v>
      </c>
      <c r="R10" s="25">
        <f>IF(C10="","",P10-Q10)</f>
        <v>0</v>
      </c>
      <c r="S10" s="23">
        <f>IF(C10="","",MonthlyPostTarget)</f>
        <v>0</v>
      </c>
      <c r="T10" s="17">
        <f>IF(Lists!$C10="","",Lists!$C10)</f>
        <v>0</v>
      </c>
      <c r="U10" s="23">
        <f>IF(T10="","",COUNTIFS('Content Calendar'!$G$5:$G$604,T10,'Content Calendar'!$B$5:$B$604,"&gt;="&amp;DashStart,'Content Calendar'!$B$5:$B$604,"&lt;="&amp;DashEnd))</f>
        <v>0</v>
      </c>
      <c r="V10" s="23">
        <f>IF(T10="","",COUNTIFS('Content Calendar'!$G$5:$G$604,T10,'Content Calendar'!$X$5:$X$604,"Published",'Content Calendar'!$B$5:$B$604,"&gt;="&amp;DashStart,'Content Calendar'!$B$5:$B$604,"&lt;="&amp;DashEnd))</f>
        <v>0</v>
      </c>
      <c r="W10" s="23">
        <f>IF(T10="","",SUMIFS(Analytics!$J$5:$J$154,Analytics!$D$5:$D$154,T10,Analytics!$B$5:$B$154,"&gt;="&amp;DashStart,Analytics!$B$5:$B$154,"&lt;="&amp;DashEnd))</f>
        <v>0</v>
      </c>
      <c r="X10" s="23">
        <f>IF(T10="","",SUMIFS(Analytics!$L$5:$L$154,Analytics!$D$5:$D$154,T10,Analytics!$B$5:$B$154,"&gt;="&amp;DashStart,Analytics!$B$5:$B$154,"&lt;="&amp;DashEnd))</f>
        <v>0</v>
      </c>
      <c r="Y10" s="24">
        <f>IF(OR(W10="",W10=0),"",X10/W10)</f>
        <v>0</v>
      </c>
      <c r="Z10" s="23">
        <f>IF(T10="","",SUMIFS(Analytics!$G$5:$G$154,Analytics!$D$5:$D$154,T10,Analytics!$B$5:$B$154,"&gt;="&amp;DashStart,Analytics!$B$5:$B$154,"&lt;="&amp;DashEnd))</f>
        <v>0</v>
      </c>
      <c r="AA10" s="23">
        <f>IF(T10="","",SUMIFS(Analytics!$X$5:$X$154,Analytics!$D$5:$D$154,T10,Analytics!$B$5:$B$154,"&gt;="&amp;DashStart,Analytics!$B$5:$B$154,"&lt;="&amp;DashEnd))</f>
        <v>0</v>
      </c>
      <c r="AB10" s="23">
        <f>IF(T10="","",SUMIFS(Analytics!$R$5:$R$154,Analytics!$D$5:$D$154,T10,Analytics!$B$5:$B$154,"&gt;="&amp;DashStart,Analytics!$B$5:$B$154,"&lt;="&amp;DashEnd))</f>
        <v>0</v>
      </c>
      <c r="AC10" s="25">
        <f>IF(T10="","",SUMIFS(Analytics!$U$5:$U$154,Analytics!$D$5:$D$154,T10,Analytics!$B$5:$B$154,"&gt;="&amp;DashStart,Analytics!$B$5:$B$154,"&lt;="&amp;DashEnd))</f>
        <v>0</v>
      </c>
      <c r="AD10" s="23">
        <f>IF(T10="","",COUNTIFS('Content Calendar'!$G$5:$G$604,T10,'Content Calendar'!$B$5:$B$604,"&gt;="&amp;DATE(PlanYear,1,1),'Content Calendar'!$B$5:$B$604,"&lt;="&amp;DATE(PlanYear,12,31)))</f>
        <v>0</v>
      </c>
      <c r="AE10" s="23">
        <f>IF(T10="","",SUMIFS(Analytics!$J$5:$J$154,Analytics!$D$5:$D$154,T10))</f>
        <v>0</v>
      </c>
      <c r="AF10" s="23">
        <f>IF(T10="","",SUMIFS(Analytics!$L$5:$L$154,Analytics!$D$5:$D$154,T10))</f>
        <v>0</v>
      </c>
      <c r="AG10" s="24">
        <f>IF(OR(AE10="",AE10=0),"",AF10/AE10)</f>
        <v>0</v>
      </c>
      <c r="AH10" s="23">
        <f>IF(T10="","",SUMIFS(Analytics!$X$5:$X$154,Analytics!$D$5:$D$154,T10))</f>
        <v>0</v>
      </c>
      <c r="AI10" s="32">
        <f>IF(T10="","",IF(AE10=0,"",AE10+ROW()/1000000))</f>
        <v>0</v>
      </c>
      <c r="AJ10" s="17">
        <f>IF('Content Pillars'!$B$10="","",'Content Pillars'!$B$10)</f>
        <v>0</v>
      </c>
      <c r="AK10" s="23">
        <f>IF(AJ10="","",COUNTIFS('Content Calendar'!$J$5:$J$604,AJ10,'Content Calendar'!$B$5:$B$604,"&gt;="&amp;DATE(PlanYear,1,1),'Content Calendar'!$B$5:$B$604,"&lt;="&amp;DATE(PlanYear,12,31)))</f>
        <v>0</v>
      </c>
      <c r="AL10" s="23">
        <f>IF(AJ10="","",SUMIFS(Performance!$O$5:$O$404,Performance!$H$5:$H$404,AJ10))</f>
        <v>0</v>
      </c>
      <c r="AM10" s="23">
        <f>IF(AJ10="","",SUMIFS(Performance!$Z$5:$Z$404,Performance!$H$5:$H$404,AJ10))</f>
        <v>0</v>
      </c>
      <c r="AN10" s="24">
        <f>IF(OR(AL10="",AL10=0),"",AM10/AL10)</f>
        <v>0</v>
      </c>
      <c r="AO10" s="32">
        <f>IF(AN10="","",AN10+ROW()/1000000)</f>
        <v>0</v>
      </c>
      <c r="AP10" s="17">
        <f>IF(Lists!$E10="","",Lists!$E10)</f>
        <v>0</v>
      </c>
      <c r="AQ10" s="23">
        <f>IF(AP10="","",COUNTIF(Performance!$G$5:$G$404,AP10))</f>
        <v>0</v>
      </c>
      <c r="AR10" s="23">
        <f>IF(AP10="","",SUMIFS(Performance!$O$5:$O$404,Performance!$G$5:$G$404,AP10))</f>
        <v>0</v>
      </c>
      <c r="AS10" s="23">
        <f>IF(AP10="","",SUMIFS(Performance!$Z$5:$Z$404,Performance!$G$5:$G$404,AP10))</f>
        <v>0</v>
      </c>
      <c r="AT10" s="24">
        <f>IF(OR(AR10="",AR10=0),"",AS10/AR10)</f>
        <v>0</v>
      </c>
      <c r="AU10" s="32">
        <f>IF(AQ10=0,"",IF(AT10="","",AT10+ROW()/1000000))</f>
        <v>0</v>
      </c>
      <c r="AV10" s="17">
        <f>IF(ROW()-4&gt;7,"",TEXT(DATE(2024,1,ROW()-4),"ddd"))</f>
        <v>0</v>
      </c>
      <c r="AW10" s="23">
        <f>IF(AV10="","",COUNTIF(Performance!$N$5:$N$404,AV10))</f>
        <v>0</v>
      </c>
      <c r="AX10" s="23">
        <f>IF(AV10="","",SUMIFS(Performance!$O$5:$O$404,Performance!$N$5:$N$404,AV10))</f>
        <v>0</v>
      </c>
      <c r="AY10" s="23">
        <f>IF(AV10="","",SUMIFS(Performance!$Z$5:$Z$404,Performance!$N$5:$N$404,AV10))</f>
        <v>0</v>
      </c>
      <c r="AZ10" s="24">
        <f>IF(OR(AX10="",AX10=0),"",AY10/AX10)</f>
        <v>0</v>
      </c>
      <c r="BA10" s="32">
        <f>IF(AW10=0,"",IF(AZ10="","",AZ10+ROW()/1000000))</f>
        <v>0</v>
      </c>
      <c r="BB10" s="17">
        <f>IF(Lists!$AL10="","",Lists!$AL10)</f>
        <v>0</v>
      </c>
      <c r="BC10" s="23">
        <f>IF(BB10="","",COUNTIF(Performance!$M$5:$M$404,BB10))</f>
        <v>0</v>
      </c>
      <c r="BD10" s="23">
        <f>IF(BB10="","",SUMIFS(Performance!$O$5:$O$404,Performance!$M$5:$M$404,BB10))</f>
        <v>0</v>
      </c>
      <c r="BE10" s="23">
        <f>IF(BB10="","",SUMIFS(Performance!$Z$5:$Z$404,Performance!$M$5:$M$404,BB10))</f>
        <v>0</v>
      </c>
      <c r="BF10" s="24">
        <f>IF(OR(BD10="",BD10=0),"",BE10/BD10)</f>
        <v>0</v>
      </c>
      <c r="BG10" s="32">
        <f>IF(BC10=0,"",IF(BF10="","",BF10+ROW()/1000000))</f>
        <v>0</v>
      </c>
      <c r="BH10" s="17">
        <f>IF(Performance!$C$10="","",Performance!$C$10)</f>
        <v>0</v>
      </c>
      <c r="BI10" s="17">
        <f>IF(Performance!$F$10="","",Performance!$F$10)</f>
        <v>0</v>
      </c>
      <c r="BJ10" s="17">
        <f>IF(Performance!$H$10="","",Performance!$H$10)</f>
        <v>0</v>
      </c>
      <c r="BK10" s="16">
        <f>IF(Performance!$D$10="","",Performance!$D$10)</f>
        <v>0</v>
      </c>
      <c r="BL10" s="17">
        <f>IF(Performance!$E$10="","",Performance!$E$10)</f>
        <v>0</v>
      </c>
      <c r="BM10" s="23">
        <f>IF(Performance!$O$10="","",Performance!$O$10)</f>
        <v>0</v>
      </c>
      <c r="BN10" s="24">
        <f>IF(Performance!$AA$10="","",Performance!$AA$10)</f>
        <v>0</v>
      </c>
      <c r="BO10" s="32">
        <f>IF(BH10="","",IF(BK10="","",IF(OR(BK10&lt;DashStart,BK10&gt;DashEnd),"",IF(BN10="","",BN10+ROW()/1000000))))</f>
        <v>0</v>
      </c>
      <c r="BP10" s="32">
        <f>IF(BM10="","",IF(BK10="","",IF(OR(BK10&lt;DashStart,BK10&gt;DashEnd),"",BM10+ROW()/1000000)))</f>
        <v>0</v>
      </c>
      <c r="BQ10" s="32">
        <f>IF(BH10="","",IF(BK10="","",IF(YEAR(BK10)&lt;&gt;PlanYear,"",IF(BN10="","",BN10+ROW()/1000000))))</f>
        <v>0</v>
      </c>
      <c r="BR10" s="32">
        <f>IF(BH10="","",IF(BK10="","",IF(OR(BK10&lt;RepFrom,BK10&gt;RepTo),"",IF(BN10="","",BN10+ROW()/1000000))))</f>
        <v>0</v>
      </c>
      <c r="BS10" s="32">
        <f>IF(BM10="","",IF(BK10="","",IF(YEAR(BK10)&lt;&gt;PlanYear,"",BM10+ROW()/1000000)))</f>
        <v>0</v>
      </c>
      <c r="BT10" s="17">
        <f>IF(Lists!$F10="","",Lists!$F10)</f>
        <v>0</v>
      </c>
      <c r="BU10" s="23">
        <f>IF(BT10="","",COUNTIF('Content Calendar'!$X$5:$X$604,BT10))</f>
        <v>0</v>
      </c>
      <c r="BV10" s="23">
        <f>IF(BT10="","",COUNTIFS('Content Calendar'!$X$5:$X$604,BT10,'Content Calendar'!$B$5:$B$604,"&gt;="&amp;DashStart,'Content Calendar'!$B$5:$B$604,"&lt;="&amp;DashEnd))</f>
        <v>0</v>
      </c>
      <c r="BW10" s="17">
        <f>IF(Team!$B$10="","",Team!$B$10)</f>
        <v>0</v>
      </c>
      <c r="BX10" s="23">
        <f>IF(BW10="","",COUNTIF('Content Calendar'!$W$5:$W$604,BW10))</f>
        <v>0</v>
      </c>
      <c r="BY10" s="23">
        <f>IF(BW10="","",COUNTIFS('Content Calendar'!$W$5:$W$604,BW10,'Content Calendar'!$X$5:$X$604,"&lt;&gt;Published"))</f>
        <v>0</v>
      </c>
      <c r="BZ10" s="23">
        <f>IF(BW10="","",COUNTIFS(Tasks!$C$5:$C$64,BW10,Tasks!$G$5:$G$64,"&lt;&gt;Complete"))</f>
        <v>0</v>
      </c>
      <c r="CA10" s="17">
        <f>IF(Campaigns!$B$10="","",Campaigns!$B$10)</f>
        <v>0</v>
      </c>
      <c r="CB10" s="25">
        <f>IF(Campaigns!$T$10="","",Campaigns!$T$10)</f>
        <v>0</v>
      </c>
      <c r="CC10" s="25">
        <f>IF(Campaigns!$Q$10="","",Campaigns!$Q$10)</f>
        <v>0</v>
      </c>
      <c r="CD10" s="23">
        <f>IF(Campaigns!$Y$10="","",Campaigns!$Y$10)</f>
        <v>0</v>
      </c>
      <c r="CE10" s="32">
        <f>IF(CA10="","",IF(N(CB10)&lt;=0,"",N(CB10)+ROW()/1000000))</f>
        <v>0</v>
      </c>
      <c r="CF10" s="17">
        <f>IF(Accounts!$C$10="","",Accounts!$C$10)</f>
        <v>0</v>
      </c>
      <c r="CG10" s="17">
        <f>IF(Accounts!$B$10="","",Accounts!$B$10)</f>
        <v>0</v>
      </c>
      <c r="CH10" s="23">
        <f>IF(Accounts!$J$10="","",Accounts!$J$10)</f>
        <v>0</v>
      </c>
      <c r="CI10" s="23">
        <f>IF(CF10="","",SUMIFS(Analytics!$X$5:$X$154,Analytics!$E$5:$E$154,CF10,Analytics!$B$5:$B$154,"&gt;="&amp;DashStart,Analytics!$B$5:$B$154,"&lt;="&amp;DashEnd))</f>
        <v>0</v>
      </c>
      <c r="CJ10" s="32">
        <f>IF(CH10="","",IF(CH10=0,"",CH10+ROW()/1000000))</f>
        <v>0</v>
      </c>
    </row>
    <row r="11" spans="1:88">
      <c r="A11" s="16">
        <f>IF(ROW()-4&gt;12,"",DATE(PlanYear,ROW()-4,1))</f>
        <v>0</v>
      </c>
      <c r="B11" s="16">
        <f>IF(A11="","",EOMONTH(A11,0))</f>
        <v>0</v>
      </c>
      <c r="C11" s="17">
        <f>IF(A11="","",TEXT(A11,"yyyy-mm"))</f>
        <v>0</v>
      </c>
      <c r="D11" s="17">
        <f>IF(A11="","",TEXT(A11,"mmm"))</f>
        <v>0</v>
      </c>
      <c r="E11" s="23">
        <f>IF(C11="","",COUNTIFS('Content Calendar'!$D$5:$D$604,C11))</f>
        <v>0</v>
      </c>
      <c r="F11" s="23">
        <f>IF(C11="","",COUNTIFS('Content Calendar'!$D$5:$D$604,C11,'Content Calendar'!$X$5:$X$604,"Published"))</f>
        <v>0</v>
      </c>
      <c r="G11" s="23">
        <f>IF(C11="","",SUMIFS(Analytics!$J$5:$J$154,Analytics!$C$5:$C$154,C11))</f>
        <v>0</v>
      </c>
      <c r="H11" s="23">
        <f>IF(C11="","",SUMIFS(Analytics!$K$5:$K$154,Analytics!$C$5:$C$154,C11))</f>
        <v>0</v>
      </c>
      <c r="I11" s="23">
        <f>IF(C11="","",SUMIFS(Analytics!$L$5:$L$154,Analytics!$C$5:$C$154,C11))</f>
        <v>0</v>
      </c>
      <c r="J11" s="24">
        <f>IF(OR(G11="",G11=0),"",I11/G11)</f>
        <v>0</v>
      </c>
      <c r="K11" s="23">
        <f>IF(C11="","",SUMIFS(Analytics!$G$5:$G$154,Analytics!$C$5:$C$154,C11))</f>
        <v>0</v>
      </c>
      <c r="L11" s="23">
        <f>IF(C11="","",SUMIFS(Analytics!$X$5:$X$154,Analytics!$C$5:$C$154,C11))</f>
        <v>0</v>
      </c>
      <c r="M11" s="23">
        <f>IF(C11="","",SUMIFS(Analytics!$R$5:$R$154,Analytics!$C$5:$C$154,C11))</f>
        <v>0</v>
      </c>
      <c r="N11" s="23">
        <f>IF(C11="","",SUMIFS(Analytics!$S$5:$S$154,Analytics!$C$5:$C$154,C11))</f>
        <v>0</v>
      </c>
      <c r="O11" s="23">
        <f>IF(C11="","",SUMIFS(Analytics!$T$5:$T$154,Analytics!$C$5:$C$154,C11))</f>
        <v>0</v>
      </c>
      <c r="P11" s="25">
        <f>IF(C11="","",SUMIFS(Analytics!$U$5:$U$154,Analytics!$C$5:$C$154,C11))</f>
        <v>0</v>
      </c>
      <c r="Q11" s="25">
        <f>IF(C11="","",SUMIFS(Budget!$H$5:$H$64,Budget!$C$5:$C$64,C11))</f>
        <v>0</v>
      </c>
      <c r="R11" s="25">
        <f>IF(C11="","",P11-Q11)</f>
        <v>0</v>
      </c>
      <c r="S11" s="23">
        <f>IF(C11="","",MonthlyPostTarget)</f>
        <v>0</v>
      </c>
      <c r="T11" s="17">
        <f>IF(Lists!$C11="","",Lists!$C11)</f>
        <v>0</v>
      </c>
      <c r="U11" s="23">
        <f>IF(T11="","",COUNTIFS('Content Calendar'!$G$5:$G$604,T11,'Content Calendar'!$B$5:$B$604,"&gt;="&amp;DashStart,'Content Calendar'!$B$5:$B$604,"&lt;="&amp;DashEnd))</f>
        <v>0</v>
      </c>
      <c r="V11" s="23">
        <f>IF(T11="","",COUNTIFS('Content Calendar'!$G$5:$G$604,T11,'Content Calendar'!$X$5:$X$604,"Published",'Content Calendar'!$B$5:$B$604,"&gt;="&amp;DashStart,'Content Calendar'!$B$5:$B$604,"&lt;="&amp;DashEnd))</f>
        <v>0</v>
      </c>
      <c r="W11" s="23">
        <f>IF(T11="","",SUMIFS(Analytics!$J$5:$J$154,Analytics!$D$5:$D$154,T11,Analytics!$B$5:$B$154,"&gt;="&amp;DashStart,Analytics!$B$5:$B$154,"&lt;="&amp;DashEnd))</f>
        <v>0</v>
      </c>
      <c r="X11" s="23">
        <f>IF(T11="","",SUMIFS(Analytics!$L$5:$L$154,Analytics!$D$5:$D$154,T11,Analytics!$B$5:$B$154,"&gt;="&amp;DashStart,Analytics!$B$5:$B$154,"&lt;="&amp;DashEnd))</f>
        <v>0</v>
      </c>
      <c r="Y11" s="24">
        <f>IF(OR(W11="",W11=0),"",X11/W11)</f>
        <v>0</v>
      </c>
      <c r="Z11" s="23">
        <f>IF(T11="","",SUMIFS(Analytics!$G$5:$G$154,Analytics!$D$5:$D$154,T11,Analytics!$B$5:$B$154,"&gt;="&amp;DashStart,Analytics!$B$5:$B$154,"&lt;="&amp;DashEnd))</f>
        <v>0</v>
      </c>
      <c r="AA11" s="23">
        <f>IF(T11="","",SUMIFS(Analytics!$X$5:$X$154,Analytics!$D$5:$D$154,T11,Analytics!$B$5:$B$154,"&gt;="&amp;DashStart,Analytics!$B$5:$B$154,"&lt;="&amp;DashEnd))</f>
        <v>0</v>
      </c>
      <c r="AB11" s="23">
        <f>IF(T11="","",SUMIFS(Analytics!$R$5:$R$154,Analytics!$D$5:$D$154,T11,Analytics!$B$5:$B$154,"&gt;="&amp;DashStart,Analytics!$B$5:$B$154,"&lt;="&amp;DashEnd))</f>
        <v>0</v>
      </c>
      <c r="AC11" s="25">
        <f>IF(T11="","",SUMIFS(Analytics!$U$5:$U$154,Analytics!$D$5:$D$154,T11,Analytics!$B$5:$B$154,"&gt;="&amp;DashStart,Analytics!$B$5:$B$154,"&lt;="&amp;DashEnd))</f>
        <v>0</v>
      </c>
      <c r="AD11" s="23">
        <f>IF(T11="","",COUNTIFS('Content Calendar'!$G$5:$G$604,T11,'Content Calendar'!$B$5:$B$604,"&gt;="&amp;DATE(PlanYear,1,1),'Content Calendar'!$B$5:$B$604,"&lt;="&amp;DATE(PlanYear,12,31)))</f>
        <v>0</v>
      </c>
      <c r="AE11" s="23">
        <f>IF(T11="","",SUMIFS(Analytics!$J$5:$J$154,Analytics!$D$5:$D$154,T11))</f>
        <v>0</v>
      </c>
      <c r="AF11" s="23">
        <f>IF(T11="","",SUMIFS(Analytics!$L$5:$L$154,Analytics!$D$5:$D$154,T11))</f>
        <v>0</v>
      </c>
      <c r="AG11" s="24">
        <f>IF(OR(AE11="",AE11=0),"",AF11/AE11)</f>
        <v>0</v>
      </c>
      <c r="AH11" s="23">
        <f>IF(T11="","",SUMIFS(Analytics!$X$5:$X$154,Analytics!$D$5:$D$154,T11))</f>
        <v>0</v>
      </c>
      <c r="AI11" s="32">
        <f>IF(T11="","",IF(AE11=0,"",AE11+ROW()/1000000))</f>
        <v>0</v>
      </c>
      <c r="AJ11" s="17">
        <f>IF('Content Pillars'!$B$11="","",'Content Pillars'!$B$11)</f>
        <v>0</v>
      </c>
      <c r="AK11" s="23">
        <f>IF(AJ11="","",COUNTIFS('Content Calendar'!$J$5:$J$604,AJ11,'Content Calendar'!$B$5:$B$604,"&gt;="&amp;DATE(PlanYear,1,1),'Content Calendar'!$B$5:$B$604,"&lt;="&amp;DATE(PlanYear,12,31)))</f>
        <v>0</v>
      </c>
      <c r="AL11" s="23">
        <f>IF(AJ11="","",SUMIFS(Performance!$O$5:$O$404,Performance!$H$5:$H$404,AJ11))</f>
        <v>0</v>
      </c>
      <c r="AM11" s="23">
        <f>IF(AJ11="","",SUMIFS(Performance!$Z$5:$Z$404,Performance!$H$5:$H$404,AJ11))</f>
        <v>0</v>
      </c>
      <c r="AN11" s="24">
        <f>IF(OR(AL11="",AL11=0),"",AM11/AL11)</f>
        <v>0</v>
      </c>
      <c r="AO11" s="32">
        <f>IF(AN11="","",AN11+ROW()/1000000)</f>
        <v>0</v>
      </c>
      <c r="AP11" s="17">
        <f>IF(Lists!$E11="","",Lists!$E11)</f>
        <v>0</v>
      </c>
      <c r="AQ11" s="23">
        <f>IF(AP11="","",COUNTIF(Performance!$G$5:$G$404,AP11))</f>
        <v>0</v>
      </c>
      <c r="AR11" s="23">
        <f>IF(AP11="","",SUMIFS(Performance!$O$5:$O$404,Performance!$G$5:$G$404,AP11))</f>
        <v>0</v>
      </c>
      <c r="AS11" s="23">
        <f>IF(AP11="","",SUMIFS(Performance!$Z$5:$Z$404,Performance!$G$5:$G$404,AP11))</f>
        <v>0</v>
      </c>
      <c r="AT11" s="24">
        <f>IF(OR(AR11="",AR11=0),"",AS11/AR11)</f>
        <v>0</v>
      </c>
      <c r="AU11" s="32">
        <f>IF(AQ11=0,"",IF(AT11="","",AT11+ROW()/1000000))</f>
        <v>0</v>
      </c>
      <c r="AV11" s="17">
        <f>IF(ROW()-4&gt;7,"",TEXT(DATE(2024,1,ROW()-4),"ddd"))</f>
        <v>0</v>
      </c>
      <c r="AW11" s="23">
        <f>IF(AV11="","",COUNTIF(Performance!$N$5:$N$404,AV11))</f>
        <v>0</v>
      </c>
      <c r="AX11" s="23">
        <f>IF(AV11="","",SUMIFS(Performance!$O$5:$O$404,Performance!$N$5:$N$404,AV11))</f>
        <v>0</v>
      </c>
      <c r="AY11" s="23">
        <f>IF(AV11="","",SUMIFS(Performance!$Z$5:$Z$404,Performance!$N$5:$N$404,AV11))</f>
        <v>0</v>
      </c>
      <c r="AZ11" s="24">
        <f>IF(OR(AX11="",AX11=0),"",AY11/AX11)</f>
        <v>0</v>
      </c>
      <c r="BA11" s="32">
        <f>IF(AW11=0,"",IF(AZ11="","",AZ11+ROW()/1000000))</f>
        <v>0</v>
      </c>
      <c r="BB11" s="17">
        <f>IF(Lists!$AL11="","",Lists!$AL11)</f>
        <v>0</v>
      </c>
      <c r="BC11" s="23">
        <f>IF(BB11="","",COUNTIF(Performance!$M$5:$M$404,BB11))</f>
        <v>0</v>
      </c>
      <c r="BD11" s="23">
        <f>IF(BB11="","",SUMIFS(Performance!$O$5:$O$404,Performance!$M$5:$M$404,BB11))</f>
        <v>0</v>
      </c>
      <c r="BE11" s="23">
        <f>IF(BB11="","",SUMIFS(Performance!$Z$5:$Z$404,Performance!$M$5:$M$404,BB11))</f>
        <v>0</v>
      </c>
      <c r="BF11" s="24">
        <f>IF(OR(BD11="",BD11=0),"",BE11/BD11)</f>
        <v>0</v>
      </c>
      <c r="BG11" s="32">
        <f>IF(BC11=0,"",IF(BF11="","",BF11+ROW()/1000000))</f>
        <v>0</v>
      </c>
      <c r="BH11" s="17">
        <f>IF(Performance!$C$11="","",Performance!$C$11)</f>
        <v>0</v>
      </c>
      <c r="BI11" s="17">
        <f>IF(Performance!$F$11="","",Performance!$F$11)</f>
        <v>0</v>
      </c>
      <c r="BJ11" s="17">
        <f>IF(Performance!$H$11="","",Performance!$H$11)</f>
        <v>0</v>
      </c>
      <c r="BK11" s="16">
        <f>IF(Performance!$D$11="","",Performance!$D$11)</f>
        <v>0</v>
      </c>
      <c r="BL11" s="17">
        <f>IF(Performance!$E$11="","",Performance!$E$11)</f>
        <v>0</v>
      </c>
      <c r="BM11" s="23">
        <f>IF(Performance!$O$11="","",Performance!$O$11)</f>
        <v>0</v>
      </c>
      <c r="BN11" s="24">
        <f>IF(Performance!$AA$11="","",Performance!$AA$11)</f>
        <v>0</v>
      </c>
      <c r="BO11" s="32">
        <f>IF(BH11="","",IF(BK11="","",IF(OR(BK11&lt;DashStart,BK11&gt;DashEnd),"",IF(BN11="","",BN11+ROW()/1000000))))</f>
        <v>0</v>
      </c>
      <c r="BP11" s="32">
        <f>IF(BM11="","",IF(BK11="","",IF(OR(BK11&lt;DashStart,BK11&gt;DashEnd),"",BM11+ROW()/1000000)))</f>
        <v>0</v>
      </c>
      <c r="BQ11" s="32">
        <f>IF(BH11="","",IF(BK11="","",IF(YEAR(BK11)&lt;&gt;PlanYear,"",IF(BN11="","",BN11+ROW()/1000000))))</f>
        <v>0</v>
      </c>
      <c r="BR11" s="32">
        <f>IF(BH11="","",IF(BK11="","",IF(OR(BK11&lt;RepFrom,BK11&gt;RepTo),"",IF(BN11="","",BN11+ROW()/1000000))))</f>
        <v>0</v>
      </c>
      <c r="BS11" s="32">
        <f>IF(BM11="","",IF(BK11="","",IF(YEAR(BK11)&lt;&gt;PlanYear,"",BM11+ROW()/1000000)))</f>
        <v>0</v>
      </c>
      <c r="BT11" s="17">
        <f>IF(Lists!$F11="","",Lists!$F11)</f>
        <v>0</v>
      </c>
      <c r="BU11" s="23">
        <f>IF(BT11="","",COUNTIF('Content Calendar'!$X$5:$X$604,BT11))</f>
        <v>0</v>
      </c>
      <c r="BV11" s="23">
        <f>IF(BT11="","",COUNTIFS('Content Calendar'!$X$5:$X$604,BT11,'Content Calendar'!$B$5:$B$604,"&gt;="&amp;DashStart,'Content Calendar'!$B$5:$B$604,"&lt;="&amp;DashEnd))</f>
        <v>0</v>
      </c>
      <c r="BW11" s="17">
        <f>IF(Team!$B$11="","",Team!$B$11)</f>
        <v>0</v>
      </c>
      <c r="BX11" s="23">
        <f>IF(BW11="","",COUNTIF('Content Calendar'!$W$5:$W$604,BW11))</f>
        <v>0</v>
      </c>
      <c r="BY11" s="23">
        <f>IF(BW11="","",COUNTIFS('Content Calendar'!$W$5:$W$604,BW11,'Content Calendar'!$X$5:$X$604,"&lt;&gt;Published"))</f>
        <v>0</v>
      </c>
      <c r="BZ11" s="23">
        <f>IF(BW11="","",COUNTIFS(Tasks!$C$5:$C$64,BW11,Tasks!$G$5:$G$64,"&lt;&gt;Complete"))</f>
        <v>0</v>
      </c>
      <c r="CA11" s="17">
        <f>IF(Campaigns!$B$11="","",Campaigns!$B$11)</f>
        <v>0</v>
      </c>
      <c r="CB11" s="25">
        <f>IF(Campaigns!$T$11="","",Campaigns!$T$11)</f>
        <v>0</v>
      </c>
      <c r="CC11" s="25">
        <f>IF(Campaigns!$Q$11="","",Campaigns!$Q$11)</f>
        <v>0</v>
      </c>
      <c r="CD11" s="23">
        <f>IF(Campaigns!$Y$11="","",Campaigns!$Y$11)</f>
        <v>0</v>
      </c>
      <c r="CE11" s="32">
        <f>IF(CA11="","",IF(N(CB11)&lt;=0,"",N(CB11)+ROW()/1000000))</f>
        <v>0</v>
      </c>
      <c r="CF11" s="17">
        <f>IF(Accounts!$C$11="","",Accounts!$C$11)</f>
        <v>0</v>
      </c>
      <c r="CG11" s="17">
        <f>IF(Accounts!$B$11="","",Accounts!$B$11)</f>
        <v>0</v>
      </c>
      <c r="CH11" s="23">
        <f>IF(Accounts!$J$11="","",Accounts!$J$11)</f>
        <v>0</v>
      </c>
      <c r="CI11" s="23">
        <f>IF(CF11="","",SUMIFS(Analytics!$X$5:$X$154,Analytics!$E$5:$E$154,CF11,Analytics!$B$5:$B$154,"&gt;="&amp;DashStart,Analytics!$B$5:$B$154,"&lt;="&amp;DashEnd))</f>
        <v>0</v>
      </c>
      <c r="CJ11" s="32">
        <f>IF(CH11="","",IF(CH11=0,"",CH11+ROW()/1000000))</f>
        <v>0</v>
      </c>
    </row>
    <row r="12" spans="1:88">
      <c r="A12" s="16">
        <f>IF(ROW()-4&gt;12,"",DATE(PlanYear,ROW()-4,1))</f>
        <v>0</v>
      </c>
      <c r="B12" s="16">
        <f>IF(A12="","",EOMONTH(A12,0))</f>
        <v>0</v>
      </c>
      <c r="C12" s="17">
        <f>IF(A12="","",TEXT(A12,"yyyy-mm"))</f>
        <v>0</v>
      </c>
      <c r="D12" s="17">
        <f>IF(A12="","",TEXT(A12,"mmm"))</f>
        <v>0</v>
      </c>
      <c r="E12" s="23">
        <f>IF(C12="","",COUNTIFS('Content Calendar'!$D$5:$D$604,C12))</f>
        <v>0</v>
      </c>
      <c r="F12" s="23">
        <f>IF(C12="","",COUNTIFS('Content Calendar'!$D$5:$D$604,C12,'Content Calendar'!$X$5:$X$604,"Published"))</f>
        <v>0</v>
      </c>
      <c r="G12" s="23">
        <f>IF(C12="","",SUMIFS(Analytics!$J$5:$J$154,Analytics!$C$5:$C$154,C12))</f>
        <v>0</v>
      </c>
      <c r="H12" s="23">
        <f>IF(C12="","",SUMIFS(Analytics!$K$5:$K$154,Analytics!$C$5:$C$154,C12))</f>
        <v>0</v>
      </c>
      <c r="I12" s="23">
        <f>IF(C12="","",SUMIFS(Analytics!$L$5:$L$154,Analytics!$C$5:$C$154,C12))</f>
        <v>0</v>
      </c>
      <c r="J12" s="24">
        <f>IF(OR(G12="",G12=0),"",I12/G12)</f>
        <v>0</v>
      </c>
      <c r="K12" s="23">
        <f>IF(C12="","",SUMIFS(Analytics!$G$5:$G$154,Analytics!$C$5:$C$154,C12))</f>
        <v>0</v>
      </c>
      <c r="L12" s="23">
        <f>IF(C12="","",SUMIFS(Analytics!$X$5:$X$154,Analytics!$C$5:$C$154,C12))</f>
        <v>0</v>
      </c>
      <c r="M12" s="23">
        <f>IF(C12="","",SUMIFS(Analytics!$R$5:$R$154,Analytics!$C$5:$C$154,C12))</f>
        <v>0</v>
      </c>
      <c r="N12" s="23">
        <f>IF(C12="","",SUMIFS(Analytics!$S$5:$S$154,Analytics!$C$5:$C$154,C12))</f>
        <v>0</v>
      </c>
      <c r="O12" s="23">
        <f>IF(C12="","",SUMIFS(Analytics!$T$5:$T$154,Analytics!$C$5:$C$154,C12))</f>
        <v>0</v>
      </c>
      <c r="P12" s="25">
        <f>IF(C12="","",SUMIFS(Analytics!$U$5:$U$154,Analytics!$C$5:$C$154,C12))</f>
        <v>0</v>
      </c>
      <c r="Q12" s="25">
        <f>IF(C12="","",SUMIFS(Budget!$H$5:$H$64,Budget!$C$5:$C$64,C12))</f>
        <v>0</v>
      </c>
      <c r="R12" s="25">
        <f>IF(C12="","",P12-Q12)</f>
        <v>0</v>
      </c>
      <c r="S12" s="23">
        <f>IF(C12="","",MonthlyPostTarget)</f>
        <v>0</v>
      </c>
      <c r="T12" s="17">
        <f>IF(Lists!$C12="","",Lists!$C12)</f>
        <v>0</v>
      </c>
      <c r="U12" s="23">
        <f>IF(T12="","",COUNTIFS('Content Calendar'!$G$5:$G$604,T12,'Content Calendar'!$B$5:$B$604,"&gt;="&amp;DashStart,'Content Calendar'!$B$5:$B$604,"&lt;="&amp;DashEnd))</f>
        <v>0</v>
      </c>
      <c r="V12" s="23">
        <f>IF(T12="","",COUNTIFS('Content Calendar'!$G$5:$G$604,T12,'Content Calendar'!$X$5:$X$604,"Published",'Content Calendar'!$B$5:$B$604,"&gt;="&amp;DashStart,'Content Calendar'!$B$5:$B$604,"&lt;="&amp;DashEnd))</f>
        <v>0</v>
      </c>
      <c r="W12" s="23">
        <f>IF(T12="","",SUMIFS(Analytics!$J$5:$J$154,Analytics!$D$5:$D$154,T12,Analytics!$B$5:$B$154,"&gt;="&amp;DashStart,Analytics!$B$5:$B$154,"&lt;="&amp;DashEnd))</f>
        <v>0</v>
      </c>
      <c r="X12" s="23">
        <f>IF(T12="","",SUMIFS(Analytics!$L$5:$L$154,Analytics!$D$5:$D$154,T12,Analytics!$B$5:$B$154,"&gt;="&amp;DashStart,Analytics!$B$5:$B$154,"&lt;="&amp;DashEnd))</f>
        <v>0</v>
      </c>
      <c r="Y12" s="24">
        <f>IF(OR(W12="",W12=0),"",X12/W12)</f>
        <v>0</v>
      </c>
      <c r="Z12" s="23">
        <f>IF(T12="","",SUMIFS(Analytics!$G$5:$G$154,Analytics!$D$5:$D$154,T12,Analytics!$B$5:$B$154,"&gt;="&amp;DashStart,Analytics!$B$5:$B$154,"&lt;="&amp;DashEnd))</f>
        <v>0</v>
      </c>
      <c r="AA12" s="23">
        <f>IF(T12="","",SUMIFS(Analytics!$X$5:$X$154,Analytics!$D$5:$D$154,T12,Analytics!$B$5:$B$154,"&gt;="&amp;DashStart,Analytics!$B$5:$B$154,"&lt;="&amp;DashEnd))</f>
        <v>0</v>
      </c>
      <c r="AB12" s="23">
        <f>IF(T12="","",SUMIFS(Analytics!$R$5:$R$154,Analytics!$D$5:$D$154,T12,Analytics!$B$5:$B$154,"&gt;="&amp;DashStart,Analytics!$B$5:$B$154,"&lt;="&amp;DashEnd))</f>
        <v>0</v>
      </c>
      <c r="AC12" s="25">
        <f>IF(T12="","",SUMIFS(Analytics!$U$5:$U$154,Analytics!$D$5:$D$154,T12,Analytics!$B$5:$B$154,"&gt;="&amp;DashStart,Analytics!$B$5:$B$154,"&lt;="&amp;DashEnd))</f>
        <v>0</v>
      </c>
      <c r="AD12" s="23">
        <f>IF(T12="","",COUNTIFS('Content Calendar'!$G$5:$G$604,T12,'Content Calendar'!$B$5:$B$604,"&gt;="&amp;DATE(PlanYear,1,1),'Content Calendar'!$B$5:$B$604,"&lt;="&amp;DATE(PlanYear,12,31)))</f>
        <v>0</v>
      </c>
      <c r="AE12" s="23">
        <f>IF(T12="","",SUMIFS(Analytics!$J$5:$J$154,Analytics!$D$5:$D$154,T12))</f>
        <v>0</v>
      </c>
      <c r="AF12" s="23">
        <f>IF(T12="","",SUMIFS(Analytics!$L$5:$L$154,Analytics!$D$5:$D$154,T12))</f>
        <v>0</v>
      </c>
      <c r="AG12" s="24">
        <f>IF(OR(AE12="",AE12=0),"",AF12/AE12)</f>
        <v>0</v>
      </c>
      <c r="AH12" s="23">
        <f>IF(T12="","",SUMIFS(Analytics!$X$5:$X$154,Analytics!$D$5:$D$154,T12))</f>
        <v>0</v>
      </c>
      <c r="AI12" s="32">
        <f>IF(T12="","",IF(AE12=0,"",AE12+ROW()/1000000))</f>
        <v>0</v>
      </c>
      <c r="AJ12" s="17">
        <f>IF('Content Pillars'!$B$12="","",'Content Pillars'!$B$12)</f>
        <v>0</v>
      </c>
      <c r="AK12" s="23">
        <f>IF(AJ12="","",COUNTIFS('Content Calendar'!$J$5:$J$604,AJ12,'Content Calendar'!$B$5:$B$604,"&gt;="&amp;DATE(PlanYear,1,1),'Content Calendar'!$B$5:$B$604,"&lt;="&amp;DATE(PlanYear,12,31)))</f>
        <v>0</v>
      </c>
      <c r="AL12" s="23">
        <f>IF(AJ12="","",SUMIFS(Performance!$O$5:$O$404,Performance!$H$5:$H$404,AJ12))</f>
        <v>0</v>
      </c>
      <c r="AM12" s="23">
        <f>IF(AJ12="","",SUMIFS(Performance!$Z$5:$Z$404,Performance!$H$5:$H$404,AJ12))</f>
        <v>0</v>
      </c>
      <c r="AN12" s="24">
        <f>IF(OR(AL12="",AL12=0),"",AM12/AL12)</f>
        <v>0</v>
      </c>
      <c r="AO12" s="32">
        <f>IF(AN12="","",AN12+ROW()/1000000)</f>
        <v>0</v>
      </c>
      <c r="AP12" s="17">
        <f>IF(Lists!$E12="","",Lists!$E12)</f>
        <v>0</v>
      </c>
      <c r="AQ12" s="23">
        <f>IF(AP12="","",COUNTIF(Performance!$G$5:$G$404,AP12))</f>
        <v>0</v>
      </c>
      <c r="AR12" s="23">
        <f>IF(AP12="","",SUMIFS(Performance!$O$5:$O$404,Performance!$G$5:$G$404,AP12))</f>
        <v>0</v>
      </c>
      <c r="AS12" s="23">
        <f>IF(AP12="","",SUMIFS(Performance!$Z$5:$Z$404,Performance!$G$5:$G$404,AP12))</f>
        <v>0</v>
      </c>
      <c r="AT12" s="24">
        <f>IF(OR(AR12="",AR12=0),"",AS12/AR12)</f>
        <v>0</v>
      </c>
      <c r="AU12" s="32">
        <f>IF(AQ12=0,"",IF(AT12="","",AT12+ROW()/1000000))</f>
        <v>0</v>
      </c>
      <c r="AV12" s="17">
        <f>IF(ROW()-4&gt;7,"",TEXT(DATE(2024,1,ROW()-4),"ddd"))</f>
        <v>0</v>
      </c>
      <c r="AW12" s="23">
        <f>IF(AV12="","",COUNTIF(Performance!$N$5:$N$404,AV12))</f>
        <v>0</v>
      </c>
      <c r="AX12" s="23">
        <f>IF(AV12="","",SUMIFS(Performance!$O$5:$O$404,Performance!$N$5:$N$404,AV12))</f>
        <v>0</v>
      </c>
      <c r="AY12" s="23">
        <f>IF(AV12="","",SUMIFS(Performance!$Z$5:$Z$404,Performance!$N$5:$N$404,AV12))</f>
        <v>0</v>
      </c>
      <c r="AZ12" s="24">
        <f>IF(OR(AX12="",AX12=0),"",AY12/AX12)</f>
        <v>0</v>
      </c>
      <c r="BA12" s="32">
        <f>IF(AW12=0,"",IF(AZ12="","",AZ12+ROW()/1000000))</f>
        <v>0</v>
      </c>
      <c r="BB12" s="17">
        <f>IF(Lists!$AL12="","",Lists!$AL12)</f>
        <v>0</v>
      </c>
      <c r="BC12" s="23">
        <f>IF(BB12="","",COUNTIF(Performance!$M$5:$M$404,BB12))</f>
        <v>0</v>
      </c>
      <c r="BD12" s="23">
        <f>IF(BB12="","",SUMIFS(Performance!$O$5:$O$404,Performance!$M$5:$M$404,BB12))</f>
        <v>0</v>
      </c>
      <c r="BE12" s="23">
        <f>IF(BB12="","",SUMIFS(Performance!$Z$5:$Z$404,Performance!$M$5:$M$404,BB12))</f>
        <v>0</v>
      </c>
      <c r="BF12" s="24">
        <f>IF(OR(BD12="",BD12=0),"",BE12/BD12)</f>
        <v>0</v>
      </c>
      <c r="BG12" s="32">
        <f>IF(BC12=0,"",IF(BF12="","",BF12+ROW()/1000000))</f>
        <v>0</v>
      </c>
      <c r="BH12" s="17">
        <f>IF(Performance!$C$12="","",Performance!$C$12)</f>
        <v>0</v>
      </c>
      <c r="BI12" s="17">
        <f>IF(Performance!$F$12="","",Performance!$F$12)</f>
        <v>0</v>
      </c>
      <c r="BJ12" s="17">
        <f>IF(Performance!$H$12="","",Performance!$H$12)</f>
        <v>0</v>
      </c>
      <c r="BK12" s="16">
        <f>IF(Performance!$D$12="","",Performance!$D$12)</f>
        <v>0</v>
      </c>
      <c r="BL12" s="17">
        <f>IF(Performance!$E$12="","",Performance!$E$12)</f>
        <v>0</v>
      </c>
      <c r="BM12" s="23">
        <f>IF(Performance!$O$12="","",Performance!$O$12)</f>
        <v>0</v>
      </c>
      <c r="BN12" s="24">
        <f>IF(Performance!$AA$12="","",Performance!$AA$12)</f>
        <v>0</v>
      </c>
      <c r="BO12" s="32">
        <f>IF(BH12="","",IF(BK12="","",IF(OR(BK12&lt;DashStart,BK12&gt;DashEnd),"",IF(BN12="","",BN12+ROW()/1000000))))</f>
        <v>0</v>
      </c>
      <c r="BP12" s="32">
        <f>IF(BM12="","",IF(BK12="","",IF(OR(BK12&lt;DashStart,BK12&gt;DashEnd),"",BM12+ROW()/1000000)))</f>
        <v>0</v>
      </c>
      <c r="BQ12" s="32">
        <f>IF(BH12="","",IF(BK12="","",IF(YEAR(BK12)&lt;&gt;PlanYear,"",IF(BN12="","",BN12+ROW()/1000000))))</f>
        <v>0</v>
      </c>
      <c r="BR12" s="32">
        <f>IF(BH12="","",IF(BK12="","",IF(OR(BK12&lt;RepFrom,BK12&gt;RepTo),"",IF(BN12="","",BN12+ROW()/1000000))))</f>
        <v>0</v>
      </c>
      <c r="BS12" s="32">
        <f>IF(BM12="","",IF(BK12="","",IF(YEAR(BK12)&lt;&gt;PlanYear,"",BM12+ROW()/1000000)))</f>
        <v>0</v>
      </c>
      <c r="BT12" s="17">
        <f>IF(Lists!$F12="","",Lists!$F12)</f>
        <v>0</v>
      </c>
      <c r="BU12" s="23">
        <f>IF(BT12="","",COUNTIF('Content Calendar'!$X$5:$X$604,BT12))</f>
        <v>0</v>
      </c>
      <c r="BV12" s="23">
        <f>IF(BT12="","",COUNTIFS('Content Calendar'!$X$5:$X$604,BT12,'Content Calendar'!$B$5:$B$604,"&gt;="&amp;DashStart,'Content Calendar'!$B$5:$B$604,"&lt;="&amp;DashEnd))</f>
        <v>0</v>
      </c>
      <c r="BW12" s="17">
        <f>IF(Team!$B$12="","",Team!$B$12)</f>
        <v>0</v>
      </c>
      <c r="BX12" s="23">
        <f>IF(BW12="","",COUNTIF('Content Calendar'!$W$5:$W$604,BW12))</f>
        <v>0</v>
      </c>
      <c r="BY12" s="23">
        <f>IF(BW12="","",COUNTIFS('Content Calendar'!$W$5:$W$604,BW12,'Content Calendar'!$X$5:$X$604,"&lt;&gt;Published"))</f>
        <v>0</v>
      </c>
      <c r="BZ12" s="23">
        <f>IF(BW12="","",COUNTIFS(Tasks!$C$5:$C$64,BW12,Tasks!$G$5:$G$64,"&lt;&gt;Complete"))</f>
        <v>0</v>
      </c>
      <c r="CA12" s="17">
        <f>IF(Campaigns!$B$12="","",Campaigns!$B$12)</f>
        <v>0</v>
      </c>
      <c r="CB12" s="25">
        <f>IF(Campaigns!$T$12="","",Campaigns!$T$12)</f>
        <v>0</v>
      </c>
      <c r="CC12" s="25">
        <f>IF(Campaigns!$Q$12="","",Campaigns!$Q$12)</f>
        <v>0</v>
      </c>
      <c r="CD12" s="23">
        <f>IF(Campaigns!$Y$12="","",Campaigns!$Y$12)</f>
        <v>0</v>
      </c>
      <c r="CE12" s="32">
        <f>IF(CA12="","",IF(N(CB12)&lt;=0,"",N(CB12)+ROW()/1000000))</f>
        <v>0</v>
      </c>
      <c r="CF12" s="17">
        <f>IF(Accounts!$C$12="","",Accounts!$C$12)</f>
        <v>0</v>
      </c>
      <c r="CG12" s="17">
        <f>IF(Accounts!$B$12="","",Accounts!$B$12)</f>
        <v>0</v>
      </c>
      <c r="CH12" s="23">
        <f>IF(Accounts!$J$12="","",Accounts!$J$12)</f>
        <v>0</v>
      </c>
      <c r="CI12" s="23">
        <f>IF(CF12="","",SUMIFS(Analytics!$X$5:$X$154,Analytics!$E$5:$E$154,CF12,Analytics!$B$5:$B$154,"&gt;="&amp;DashStart,Analytics!$B$5:$B$154,"&lt;="&amp;DashEnd))</f>
        <v>0</v>
      </c>
      <c r="CJ12" s="32">
        <f>IF(CH12="","",IF(CH12=0,"",CH12+ROW()/1000000))</f>
        <v>0</v>
      </c>
    </row>
    <row r="13" spans="1:88">
      <c r="A13" s="16">
        <f>IF(ROW()-4&gt;12,"",DATE(PlanYear,ROW()-4,1))</f>
        <v>0</v>
      </c>
      <c r="B13" s="16">
        <f>IF(A13="","",EOMONTH(A13,0))</f>
        <v>0</v>
      </c>
      <c r="C13" s="17">
        <f>IF(A13="","",TEXT(A13,"yyyy-mm"))</f>
        <v>0</v>
      </c>
      <c r="D13" s="17">
        <f>IF(A13="","",TEXT(A13,"mmm"))</f>
        <v>0</v>
      </c>
      <c r="E13" s="23">
        <f>IF(C13="","",COUNTIFS('Content Calendar'!$D$5:$D$604,C13))</f>
        <v>0</v>
      </c>
      <c r="F13" s="23">
        <f>IF(C13="","",COUNTIFS('Content Calendar'!$D$5:$D$604,C13,'Content Calendar'!$X$5:$X$604,"Published"))</f>
        <v>0</v>
      </c>
      <c r="G13" s="23">
        <f>IF(C13="","",SUMIFS(Analytics!$J$5:$J$154,Analytics!$C$5:$C$154,C13))</f>
        <v>0</v>
      </c>
      <c r="H13" s="23">
        <f>IF(C13="","",SUMIFS(Analytics!$K$5:$K$154,Analytics!$C$5:$C$154,C13))</f>
        <v>0</v>
      </c>
      <c r="I13" s="23">
        <f>IF(C13="","",SUMIFS(Analytics!$L$5:$L$154,Analytics!$C$5:$C$154,C13))</f>
        <v>0</v>
      </c>
      <c r="J13" s="24">
        <f>IF(OR(G13="",G13=0),"",I13/G13)</f>
        <v>0</v>
      </c>
      <c r="K13" s="23">
        <f>IF(C13="","",SUMIFS(Analytics!$G$5:$G$154,Analytics!$C$5:$C$154,C13))</f>
        <v>0</v>
      </c>
      <c r="L13" s="23">
        <f>IF(C13="","",SUMIFS(Analytics!$X$5:$X$154,Analytics!$C$5:$C$154,C13))</f>
        <v>0</v>
      </c>
      <c r="M13" s="23">
        <f>IF(C13="","",SUMIFS(Analytics!$R$5:$R$154,Analytics!$C$5:$C$154,C13))</f>
        <v>0</v>
      </c>
      <c r="N13" s="23">
        <f>IF(C13="","",SUMIFS(Analytics!$S$5:$S$154,Analytics!$C$5:$C$154,C13))</f>
        <v>0</v>
      </c>
      <c r="O13" s="23">
        <f>IF(C13="","",SUMIFS(Analytics!$T$5:$T$154,Analytics!$C$5:$C$154,C13))</f>
        <v>0</v>
      </c>
      <c r="P13" s="25">
        <f>IF(C13="","",SUMIFS(Analytics!$U$5:$U$154,Analytics!$C$5:$C$154,C13))</f>
        <v>0</v>
      </c>
      <c r="Q13" s="25">
        <f>IF(C13="","",SUMIFS(Budget!$H$5:$H$64,Budget!$C$5:$C$64,C13))</f>
        <v>0</v>
      </c>
      <c r="R13" s="25">
        <f>IF(C13="","",P13-Q13)</f>
        <v>0</v>
      </c>
      <c r="S13" s="23">
        <f>IF(C13="","",MonthlyPostTarget)</f>
        <v>0</v>
      </c>
      <c r="T13" s="17">
        <f>IF(Lists!$C13="","",Lists!$C13)</f>
        <v>0</v>
      </c>
      <c r="U13" s="23">
        <f>IF(T13="","",COUNTIFS('Content Calendar'!$G$5:$G$604,T13,'Content Calendar'!$B$5:$B$604,"&gt;="&amp;DashStart,'Content Calendar'!$B$5:$B$604,"&lt;="&amp;DashEnd))</f>
        <v>0</v>
      </c>
      <c r="V13" s="23">
        <f>IF(T13="","",COUNTIFS('Content Calendar'!$G$5:$G$604,T13,'Content Calendar'!$X$5:$X$604,"Published",'Content Calendar'!$B$5:$B$604,"&gt;="&amp;DashStart,'Content Calendar'!$B$5:$B$604,"&lt;="&amp;DashEnd))</f>
        <v>0</v>
      </c>
      <c r="W13" s="23">
        <f>IF(T13="","",SUMIFS(Analytics!$J$5:$J$154,Analytics!$D$5:$D$154,T13,Analytics!$B$5:$B$154,"&gt;="&amp;DashStart,Analytics!$B$5:$B$154,"&lt;="&amp;DashEnd))</f>
        <v>0</v>
      </c>
      <c r="X13" s="23">
        <f>IF(T13="","",SUMIFS(Analytics!$L$5:$L$154,Analytics!$D$5:$D$154,T13,Analytics!$B$5:$B$154,"&gt;="&amp;DashStart,Analytics!$B$5:$B$154,"&lt;="&amp;DashEnd))</f>
        <v>0</v>
      </c>
      <c r="Y13" s="24">
        <f>IF(OR(W13="",W13=0),"",X13/W13)</f>
        <v>0</v>
      </c>
      <c r="Z13" s="23">
        <f>IF(T13="","",SUMIFS(Analytics!$G$5:$G$154,Analytics!$D$5:$D$154,T13,Analytics!$B$5:$B$154,"&gt;="&amp;DashStart,Analytics!$B$5:$B$154,"&lt;="&amp;DashEnd))</f>
        <v>0</v>
      </c>
      <c r="AA13" s="23">
        <f>IF(T13="","",SUMIFS(Analytics!$X$5:$X$154,Analytics!$D$5:$D$154,T13,Analytics!$B$5:$B$154,"&gt;="&amp;DashStart,Analytics!$B$5:$B$154,"&lt;="&amp;DashEnd))</f>
        <v>0</v>
      </c>
      <c r="AB13" s="23">
        <f>IF(T13="","",SUMIFS(Analytics!$R$5:$R$154,Analytics!$D$5:$D$154,T13,Analytics!$B$5:$B$154,"&gt;="&amp;DashStart,Analytics!$B$5:$B$154,"&lt;="&amp;DashEnd))</f>
        <v>0</v>
      </c>
      <c r="AC13" s="25">
        <f>IF(T13="","",SUMIFS(Analytics!$U$5:$U$154,Analytics!$D$5:$D$154,T13,Analytics!$B$5:$B$154,"&gt;="&amp;DashStart,Analytics!$B$5:$B$154,"&lt;="&amp;DashEnd))</f>
        <v>0</v>
      </c>
      <c r="AD13" s="23">
        <f>IF(T13="","",COUNTIFS('Content Calendar'!$G$5:$G$604,T13,'Content Calendar'!$B$5:$B$604,"&gt;="&amp;DATE(PlanYear,1,1),'Content Calendar'!$B$5:$B$604,"&lt;="&amp;DATE(PlanYear,12,31)))</f>
        <v>0</v>
      </c>
      <c r="AE13" s="23">
        <f>IF(T13="","",SUMIFS(Analytics!$J$5:$J$154,Analytics!$D$5:$D$154,T13))</f>
        <v>0</v>
      </c>
      <c r="AF13" s="23">
        <f>IF(T13="","",SUMIFS(Analytics!$L$5:$L$154,Analytics!$D$5:$D$154,T13))</f>
        <v>0</v>
      </c>
      <c r="AG13" s="24">
        <f>IF(OR(AE13="",AE13=0),"",AF13/AE13)</f>
        <v>0</v>
      </c>
      <c r="AH13" s="23">
        <f>IF(T13="","",SUMIFS(Analytics!$X$5:$X$154,Analytics!$D$5:$D$154,T13))</f>
        <v>0</v>
      </c>
      <c r="AI13" s="32">
        <f>IF(T13="","",IF(AE13=0,"",AE13+ROW()/1000000))</f>
        <v>0</v>
      </c>
      <c r="AJ13" s="17">
        <f>IF('Content Pillars'!$B$13="","",'Content Pillars'!$B$13)</f>
        <v>0</v>
      </c>
      <c r="AK13" s="23">
        <f>IF(AJ13="","",COUNTIFS('Content Calendar'!$J$5:$J$604,AJ13,'Content Calendar'!$B$5:$B$604,"&gt;="&amp;DATE(PlanYear,1,1),'Content Calendar'!$B$5:$B$604,"&lt;="&amp;DATE(PlanYear,12,31)))</f>
        <v>0</v>
      </c>
      <c r="AL13" s="23">
        <f>IF(AJ13="","",SUMIFS(Performance!$O$5:$O$404,Performance!$H$5:$H$404,AJ13))</f>
        <v>0</v>
      </c>
      <c r="AM13" s="23">
        <f>IF(AJ13="","",SUMIFS(Performance!$Z$5:$Z$404,Performance!$H$5:$H$404,AJ13))</f>
        <v>0</v>
      </c>
      <c r="AN13" s="24">
        <f>IF(OR(AL13="",AL13=0),"",AM13/AL13)</f>
        <v>0</v>
      </c>
      <c r="AO13" s="32">
        <f>IF(AN13="","",AN13+ROW()/1000000)</f>
        <v>0</v>
      </c>
      <c r="AP13" s="17">
        <f>IF(Lists!$E13="","",Lists!$E13)</f>
        <v>0</v>
      </c>
      <c r="AQ13" s="23">
        <f>IF(AP13="","",COUNTIF(Performance!$G$5:$G$404,AP13))</f>
        <v>0</v>
      </c>
      <c r="AR13" s="23">
        <f>IF(AP13="","",SUMIFS(Performance!$O$5:$O$404,Performance!$G$5:$G$404,AP13))</f>
        <v>0</v>
      </c>
      <c r="AS13" s="23">
        <f>IF(AP13="","",SUMIFS(Performance!$Z$5:$Z$404,Performance!$G$5:$G$404,AP13))</f>
        <v>0</v>
      </c>
      <c r="AT13" s="24">
        <f>IF(OR(AR13="",AR13=0),"",AS13/AR13)</f>
        <v>0</v>
      </c>
      <c r="AU13" s="32">
        <f>IF(AQ13=0,"",IF(AT13="","",AT13+ROW()/1000000))</f>
        <v>0</v>
      </c>
      <c r="AV13" s="17">
        <f>IF(ROW()-4&gt;7,"",TEXT(DATE(2024,1,ROW()-4),"ddd"))</f>
        <v>0</v>
      </c>
      <c r="AW13" s="23">
        <f>IF(AV13="","",COUNTIF(Performance!$N$5:$N$404,AV13))</f>
        <v>0</v>
      </c>
      <c r="AX13" s="23">
        <f>IF(AV13="","",SUMIFS(Performance!$O$5:$O$404,Performance!$N$5:$N$404,AV13))</f>
        <v>0</v>
      </c>
      <c r="AY13" s="23">
        <f>IF(AV13="","",SUMIFS(Performance!$Z$5:$Z$404,Performance!$N$5:$N$404,AV13))</f>
        <v>0</v>
      </c>
      <c r="AZ13" s="24">
        <f>IF(OR(AX13="",AX13=0),"",AY13/AX13)</f>
        <v>0</v>
      </c>
      <c r="BA13" s="32">
        <f>IF(AW13=0,"",IF(AZ13="","",AZ13+ROW()/1000000))</f>
        <v>0</v>
      </c>
      <c r="BB13" s="17">
        <f>IF(Lists!$AL13="","",Lists!$AL13)</f>
        <v>0</v>
      </c>
      <c r="BC13" s="23">
        <f>IF(BB13="","",COUNTIF(Performance!$M$5:$M$404,BB13))</f>
        <v>0</v>
      </c>
      <c r="BD13" s="23">
        <f>IF(BB13="","",SUMIFS(Performance!$O$5:$O$404,Performance!$M$5:$M$404,BB13))</f>
        <v>0</v>
      </c>
      <c r="BE13" s="23">
        <f>IF(BB13="","",SUMIFS(Performance!$Z$5:$Z$404,Performance!$M$5:$M$404,BB13))</f>
        <v>0</v>
      </c>
      <c r="BF13" s="24">
        <f>IF(OR(BD13="",BD13=0),"",BE13/BD13)</f>
        <v>0</v>
      </c>
      <c r="BG13" s="32">
        <f>IF(BC13=0,"",IF(BF13="","",BF13+ROW()/1000000))</f>
        <v>0</v>
      </c>
      <c r="BH13" s="17">
        <f>IF(Performance!$C$13="","",Performance!$C$13)</f>
        <v>0</v>
      </c>
      <c r="BI13" s="17">
        <f>IF(Performance!$F$13="","",Performance!$F$13)</f>
        <v>0</v>
      </c>
      <c r="BJ13" s="17">
        <f>IF(Performance!$H$13="","",Performance!$H$13)</f>
        <v>0</v>
      </c>
      <c r="BK13" s="16">
        <f>IF(Performance!$D$13="","",Performance!$D$13)</f>
        <v>0</v>
      </c>
      <c r="BL13" s="17">
        <f>IF(Performance!$E$13="","",Performance!$E$13)</f>
        <v>0</v>
      </c>
      <c r="BM13" s="23">
        <f>IF(Performance!$O$13="","",Performance!$O$13)</f>
        <v>0</v>
      </c>
      <c r="BN13" s="24">
        <f>IF(Performance!$AA$13="","",Performance!$AA$13)</f>
        <v>0</v>
      </c>
      <c r="BO13" s="32">
        <f>IF(BH13="","",IF(BK13="","",IF(OR(BK13&lt;DashStart,BK13&gt;DashEnd),"",IF(BN13="","",BN13+ROW()/1000000))))</f>
        <v>0</v>
      </c>
      <c r="BP13" s="32">
        <f>IF(BM13="","",IF(BK13="","",IF(OR(BK13&lt;DashStart,BK13&gt;DashEnd),"",BM13+ROW()/1000000)))</f>
        <v>0</v>
      </c>
      <c r="BQ13" s="32">
        <f>IF(BH13="","",IF(BK13="","",IF(YEAR(BK13)&lt;&gt;PlanYear,"",IF(BN13="","",BN13+ROW()/1000000))))</f>
        <v>0</v>
      </c>
      <c r="BR13" s="32">
        <f>IF(BH13="","",IF(BK13="","",IF(OR(BK13&lt;RepFrom,BK13&gt;RepTo),"",IF(BN13="","",BN13+ROW()/1000000))))</f>
        <v>0</v>
      </c>
      <c r="BS13" s="32">
        <f>IF(BM13="","",IF(BK13="","",IF(YEAR(BK13)&lt;&gt;PlanYear,"",BM13+ROW()/1000000)))</f>
        <v>0</v>
      </c>
      <c r="BT13" s="17">
        <f>IF(Lists!$F13="","",Lists!$F13)</f>
        <v>0</v>
      </c>
      <c r="BU13" s="23">
        <f>IF(BT13="","",COUNTIF('Content Calendar'!$X$5:$X$604,BT13))</f>
        <v>0</v>
      </c>
      <c r="BV13" s="23">
        <f>IF(BT13="","",COUNTIFS('Content Calendar'!$X$5:$X$604,BT13,'Content Calendar'!$B$5:$B$604,"&gt;="&amp;DashStart,'Content Calendar'!$B$5:$B$604,"&lt;="&amp;DashEnd))</f>
        <v>0</v>
      </c>
      <c r="BW13" s="17">
        <f>IF(Team!$B$13="","",Team!$B$13)</f>
        <v>0</v>
      </c>
      <c r="BX13" s="23">
        <f>IF(BW13="","",COUNTIF('Content Calendar'!$W$5:$W$604,BW13))</f>
        <v>0</v>
      </c>
      <c r="BY13" s="23">
        <f>IF(BW13="","",COUNTIFS('Content Calendar'!$W$5:$W$604,BW13,'Content Calendar'!$X$5:$X$604,"&lt;&gt;Published"))</f>
        <v>0</v>
      </c>
      <c r="BZ13" s="23">
        <f>IF(BW13="","",COUNTIFS(Tasks!$C$5:$C$64,BW13,Tasks!$G$5:$G$64,"&lt;&gt;Complete"))</f>
        <v>0</v>
      </c>
      <c r="CA13" s="17">
        <f>IF(Campaigns!$B$13="","",Campaigns!$B$13)</f>
        <v>0</v>
      </c>
      <c r="CB13" s="25">
        <f>IF(Campaigns!$T$13="","",Campaigns!$T$13)</f>
        <v>0</v>
      </c>
      <c r="CC13" s="25">
        <f>IF(Campaigns!$Q$13="","",Campaigns!$Q$13)</f>
        <v>0</v>
      </c>
      <c r="CD13" s="23">
        <f>IF(Campaigns!$Y$13="","",Campaigns!$Y$13)</f>
        <v>0</v>
      </c>
      <c r="CE13" s="32">
        <f>IF(CA13="","",IF(N(CB13)&lt;=0,"",N(CB13)+ROW()/1000000))</f>
        <v>0</v>
      </c>
      <c r="CF13" s="17">
        <f>IF(Accounts!$C$13="","",Accounts!$C$13)</f>
        <v>0</v>
      </c>
      <c r="CG13" s="17">
        <f>IF(Accounts!$B$13="","",Accounts!$B$13)</f>
        <v>0</v>
      </c>
      <c r="CH13" s="23">
        <f>IF(Accounts!$J$13="","",Accounts!$J$13)</f>
        <v>0</v>
      </c>
      <c r="CI13" s="23">
        <f>IF(CF13="","",SUMIFS(Analytics!$X$5:$X$154,Analytics!$E$5:$E$154,CF13,Analytics!$B$5:$B$154,"&gt;="&amp;DashStart,Analytics!$B$5:$B$154,"&lt;="&amp;DashEnd))</f>
        <v>0</v>
      </c>
      <c r="CJ13" s="32">
        <f>IF(CH13="","",IF(CH13=0,"",CH13+ROW()/1000000))</f>
        <v>0</v>
      </c>
    </row>
    <row r="14" spans="1:88">
      <c r="A14" s="16">
        <f>IF(ROW()-4&gt;12,"",DATE(PlanYear,ROW()-4,1))</f>
        <v>0</v>
      </c>
      <c r="B14" s="16">
        <f>IF(A14="","",EOMONTH(A14,0))</f>
        <v>0</v>
      </c>
      <c r="C14" s="17">
        <f>IF(A14="","",TEXT(A14,"yyyy-mm"))</f>
        <v>0</v>
      </c>
      <c r="D14" s="17">
        <f>IF(A14="","",TEXT(A14,"mmm"))</f>
        <v>0</v>
      </c>
      <c r="E14" s="23">
        <f>IF(C14="","",COUNTIFS('Content Calendar'!$D$5:$D$604,C14))</f>
        <v>0</v>
      </c>
      <c r="F14" s="23">
        <f>IF(C14="","",COUNTIFS('Content Calendar'!$D$5:$D$604,C14,'Content Calendar'!$X$5:$X$604,"Published"))</f>
        <v>0</v>
      </c>
      <c r="G14" s="23">
        <f>IF(C14="","",SUMIFS(Analytics!$J$5:$J$154,Analytics!$C$5:$C$154,C14))</f>
        <v>0</v>
      </c>
      <c r="H14" s="23">
        <f>IF(C14="","",SUMIFS(Analytics!$K$5:$K$154,Analytics!$C$5:$C$154,C14))</f>
        <v>0</v>
      </c>
      <c r="I14" s="23">
        <f>IF(C14="","",SUMIFS(Analytics!$L$5:$L$154,Analytics!$C$5:$C$154,C14))</f>
        <v>0</v>
      </c>
      <c r="J14" s="24">
        <f>IF(OR(G14="",G14=0),"",I14/G14)</f>
        <v>0</v>
      </c>
      <c r="K14" s="23">
        <f>IF(C14="","",SUMIFS(Analytics!$G$5:$G$154,Analytics!$C$5:$C$154,C14))</f>
        <v>0</v>
      </c>
      <c r="L14" s="23">
        <f>IF(C14="","",SUMIFS(Analytics!$X$5:$X$154,Analytics!$C$5:$C$154,C14))</f>
        <v>0</v>
      </c>
      <c r="M14" s="23">
        <f>IF(C14="","",SUMIFS(Analytics!$R$5:$R$154,Analytics!$C$5:$C$154,C14))</f>
        <v>0</v>
      </c>
      <c r="N14" s="23">
        <f>IF(C14="","",SUMIFS(Analytics!$S$5:$S$154,Analytics!$C$5:$C$154,C14))</f>
        <v>0</v>
      </c>
      <c r="O14" s="23">
        <f>IF(C14="","",SUMIFS(Analytics!$T$5:$T$154,Analytics!$C$5:$C$154,C14))</f>
        <v>0</v>
      </c>
      <c r="P14" s="25">
        <f>IF(C14="","",SUMIFS(Analytics!$U$5:$U$154,Analytics!$C$5:$C$154,C14))</f>
        <v>0</v>
      </c>
      <c r="Q14" s="25">
        <f>IF(C14="","",SUMIFS(Budget!$H$5:$H$64,Budget!$C$5:$C$64,C14))</f>
        <v>0</v>
      </c>
      <c r="R14" s="25">
        <f>IF(C14="","",P14-Q14)</f>
        <v>0</v>
      </c>
      <c r="S14" s="23">
        <f>IF(C14="","",MonthlyPostTarget)</f>
        <v>0</v>
      </c>
      <c r="T14" s="17">
        <f>IF(Lists!$C14="","",Lists!$C14)</f>
        <v>0</v>
      </c>
      <c r="U14" s="23">
        <f>IF(T14="","",COUNTIFS('Content Calendar'!$G$5:$G$604,T14,'Content Calendar'!$B$5:$B$604,"&gt;="&amp;DashStart,'Content Calendar'!$B$5:$B$604,"&lt;="&amp;DashEnd))</f>
        <v>0</v>
      </c>
      <c r="V14" s="23">
        <f>IF(T14="","",COUNTIFS('Content Calendar'!$G$5:$G$604,T14,'Content Calendar'!$X$5:$X$604,"Published",'Content Calendar'!$B$5:$B$604,"&gt;="&amp;DashStart,'Content Calendar'!$B$5:$B$604,"&lt;="&amp;DashEnd))</f>
        <v>0</v>
      </c>
      <c r="W14" s="23">
        <f>IF(T14="","",SUMIFS(Analytics!$J$5:$J$154,Analytics!$D$5:$D$154,T14,Analytics!$B$5:$B$154,"&gt;="&amp;DashStart,Analytics!$B$5:$B$154,"&lt;="&amp;DashEnd))</f>
        <v>0</v>
      </c>
      <c r="X14" s="23">
        <f>IF(T14="","",SUMIFS(Analytics!$L$5:$L$154,Analytics!$D$5:$D$154,T14,Analytics!$B$5:$B$154,"&gt;="&amp;DashStart,Analytics!$B$5:$B$154,"&lt;="&amp;DashEnd))</f>
        <v>0</v>
      </c>
      <c r="Y14" s="24">
        <f>IF(OR(W14="",W14=0),"",X14/W14)</f>
        <v>0</v>
      </c>
      <c r="Z14" s="23">
        <f>IF(T14="","",SUMIFS(Analytics!$G$5:$G$154,Analytics!$D$5:$D$154,T14,Analytics!$B$5:$B$154,"&gt;="&amp;DashStart,Analytics!$B$5:$B$154,"&lt;="&amp;DashEnd))</f>
        <v>0</v>
      </c>
      <c r="AA14" s="23">
        <f>IF(T14="","",SUMIFS(Analytics!$X$5:$X$154,Analytics!$D$5:$D$154,T14,Analytics!$B$5:$B$154,"&gt;="&amp;DashStart,Analytics!$B$5:$B$154,"&lt;="&amp;DashEnd))</f>
        <v>0</v>
      </c>
      <c r="AB14" s="23">
        <f>IF(T14="","",SUMIFS(Analytics!$R$5:$R$154,Analytics!$D$5:$D$154,T14,Analytics!$B$5:$B$154,"&gt;="&amp;DashStart,Analytics!$B$5:$B$154,"&lt;="&amp;DashEnd))</f>
        <v>0</v>
      </c>
      <c r="AC14" s="25">
        <f>IF(T14="","",SUMIFS(Analytics!$U$5:$U$154,Analytics!$D$5:$D$154,T14,Analytics!$B$5:$B$154,"&gt;="&amp;DashStart,Analytics!$B$5:$B$154,"&lt;="&amp;DashEnd))</f>
        <v>0</v>
      </c>
      <c r="AD14" s="23">
        <f>IF(T14="","",COUNTIFS('Content Calendar'!$G$5:$G$604,T14,'Content Calendar'!$B$5:$B$604,"&gt;="&amp;DATE(PlanYear,1,1),'Content Calendar'!$B$5:$B$604,"&lt;="&amp;DATE(PlanYear,12,31)))</f>
        <v>0</v>
      </c>
      <c r="AE14" s="23">
        <f>IF(T14="","",SUMIFS(Analytics!$J$5:$J$154,Analytics!$D$5:$D$154,T14))</f>
        <v>0</v>
      </c>
      <c r="AF14" s="23">
        <f>IF(T14="","",SUMIFS(Analytics!$L$5:$L$154,Analytics!$D$5:$D$154,T14))</f>
        <v>0</v>
      </c>
      <c r="AG14" s="24">
        <f>IF(OR(AE14="",AE14=0),"",AF14/AE14)</f>
        <v>0</v>
      </c>
      <c r="AH14" s="23">
        <f>IF(T14="","",SUMIFS(Analytics!$X$5:$X$154,Analytics!$D$5:$D$154,T14))</f>
        <v>0</v>
      </c>
      <c r="AI14" s="32">
        <f>IF(T14="","",IF(AE14=0,"",AE14+ROW()/1000000))</f>
        <v>0</v>
      </c>
      <c r="AJ14" s="17">
        <f>IF('Content Pillars'!$B$14="","",'Content Pillars'!$B$14)</f>
        <v>0</v>
      </c>
      <c r="AK14" s="23">
        <f>IF(AJ14="","",COUNTIFS('Content Calendar'!$J$5:$J$604,AJ14,'Content Calendar'!$B$5:$B$604,"&gt;="&amp;DATE(PlanYear,1,1),'Content Calendar'!$B$5:$B$604,"&lt;="&amp;DATE(PlanYear,12,31)))</f>
        <v>0</v>
      </c>
      <c r="AL14" s="23">
        <f>IF(AJ14="","",SUMIFS(Performance!$O$5:$O$404,Performance!$H$5:$H$404,AJ14))</f>
        <v>0</v>
      </c>
      <c r="AM14" s="23">
        <f>IF(AJ14="","",SUMIFS(Performance!$Z$5:$Z$404,Performance!$H$5:$H$404,AJ14))</f>
        <v>0</v>
      </c>
      <c r="AN14" s="24">
        <f>IF(OR(AL14="",AL14=0),"",AM14/AL14)</f>
        <v>0</v>
      </c>
      <c r="AO14" s="32">
        <f>IF(AN14="","",AN14+ROW()/1000000)</f>
        <v>0</v>
      </c>
      <c r="AP14" s="17">
        <f>IF(Lists!$E14="","",Lists!$E14)</f>
        <v>0</v>
      </c>
      <c r="AQ14" s="23">
        <f>IF(AP14="","",COUNTIF(Performance!$G$5:$G$404,AP14))</f>
        <v>0</v>
      </c>
      <c r="AR14" s="23">
        <f>IF(AP14="","",SUMIFS(Performance!$O$5:$O$404,Performance!$G$5:$G$404,AP14))</f>
        <v>0</v>
      </c>
      <c r="AS14" s="23">
        <f>IF(AP14="","",SUMIFS(Performance!$Z$5:$Z$404,Performance!$G$5:$G$404,AP14))</f>
        <v>0</v>
      </c>
      <c r="AT14" s="24">
        <f>IF(OR(AR14="",AR14=0),"",AS14/AR14)</f>
        <v>0</v>
      </c>
      <c r="AU14" s="32">
        <f>IF(AQ14=0,"",IF(AT14="","",AT14+ROW()/1000000))</f>
        <v>0</v>
      </c>
      <c r="AV14" s="17">
        <f>IF(ROW()-4&gt;7,"",TEXT(DATE(2024,1,ROW()-4),"ddd"))</f>
        <v>0</v>
      </c>
      <c r="AW14" s="23">
        <f>IF(AV14="","",COUNTIF(Performance!$N$5:$N$404,AV14))</f>
        <v>0</v>
      </c>
      <c r="AX14" s="23">
        <f>IF(AV14="","",SUMIFS(Performance!$O$5:$O$404,Performance!$N$5:$N$404,AV14))</f>
        <v>0</v>
      </c>
      <c r="AY14" s="23">
        <f>IF(AV14="","",SUMIFS(Performance!$Z$5:$Z$404,Performance!$N$5:$N$404,AV14))</f>
        <v>0</v>
      </c>
      <c r="AZ14" s="24">
        <f>IF(OR(AX14="",AX14=0),"",AY14/AX14)</f>
        <v>0</v>
      </c>
      <c r="BA14" s="32">
        <f>IF(AW14=0,"",IF(AZ14="","",AZ14+ROW()/1000000))</f>
        <v>0</v>
      </c>
      <c r="BB14" s="17">
        <f>IF(Lists!$AL14="","",Lists!$AL14)</f>
        <v>0</v>
      </c>
      <c r="BC14" s="23">
        <f>IF(BB14="","",COUNTIF(Performance!$M$5:$M$404,BB14))</f>
        <v>0</v>
      </c>
      <c r="BD14" s="23">
        <f>IF(BB14="","",SUMIFS(Performance!$O$5:$O$404,Performance!$M$5:$M$404,BB14))</f>
        <v>0</v>
      </c>
      <c r="BE14" s="23">
        <f>IF(BB14="","",SUMIFS(Performance!$Z$5:$Z$404,Performance!$M$5:$M$404,BB14))</f>
        <v>0</v>
      </c>
      <c r="BF14" s="24">
        <f>IF(OR(BD14="",BD14=0),"",BE14/BD14)</f>
        <v>0</v>
      </c>
      <c r="BG14" s="32">
        <f>IF(BC14=0,"",IF(BF14="","",BF14+ROW()/1000000))</f>
        <v>0</v>
      </c>
      <c r="BH14" s="17">
        <f>IF(Performance!$C$14="","",Performance!$C$14)</f>
        <v>0</v>
      </c>
      <c r="BI14" s="17">
        <f>IF(Performance!$F$14="","",Performance!$F$14)</f>
        <v>0</v>
      </c>
      <c r="BJ14" s="17">
        <f>IF(Performance!$H$14="","",Performance!$H$14)</f>
        <v>0</v>
      </c>
      <c r="BK14" s="16">
        <f>IF(Performance!$D$14="","",Performance!$D$14)</f>
        <v>0</v>
      </c>
      <c r="BL14" s="17">
        <f>IF(Performance!$E$14="","",Performance!$E$14)</f>
        <v>0</v>
      </c>
      <c r="BM14" s="23">
        <f>IF(Performance!$O$14="","",Performance!$O$14)</f>
        <v>0</v>
      </c>
      <c r="BN14" s="24">
        <f>IF(Performance!$AA$14="","",Performance!$AA$14)</f>
        <v>0</v>
      </c>
      <c r="BO14" s="32">
        <f>IF(BH14="","",IF(BK14="","",IF(OR(BK14&lt;DashStart,BK14&gt;DashEnd),"",IF(BN14="","",BN14+ROW()/1000000))))</f>
        <v>0</v>
      </c>
      <c r="BP14" s="32">
        <f>IF(BM14="","",IF(BK14="","",IF(OR(BK14&lt;DashStart,BK14&gt;DashEnd),"",BM14+ROW()/1000000)))</f>
        <v>0</v>
      </c>
      <c r="BQ14" s="32">
        <f>IF(BH14="","",IF(BK14="","",IF(YEAR(BK14)&lt;&gt;PlanYear,"",IF(BN14="","",BN14+ROW()/1000000))))</f>
        <v>0</v>
      </c>
      <c r="BR14" s="32">
        <f>IF(BH14="","",IF(BK14="","",IF(OR(BK14&lt;RepFrom,BK14&gt;RepTo),"",IF(BN14="","",BN14+ROW()/1000000))))</f>
        <v>0</v>
      </c>
      <c r="BS14" s="32">
        <f>IF(BM14="","",IF(BK14="","",IF(YEAR(BK14)&lt;&gt;PlanYear,"",BM14+ROW()/1000000)))</f>
        <v>0</v>
      </c>
      <c r="BT14" s="17">
        <f>IF(Lists!$F14="","",Lists!$F14)</f>
        <v>0</v>
      </c>
      <c r="BU14" s="23">
        <f>IF(BT14="","",COUNTIF('Content Calendar'!$X$5:$X$604,BT14))</f>
        <v>0</v>
      </c>
      <c r="BV14" s="23">
        <f>IF(BT14="","",COUNTIFS('Content Calendar'!$X$5:$X$604,BT14,'Content Calendar'!$B$5:$B$604,"&gt;="&amp;DashStart,'Content Calendar'!$B$5:$B$604,"&lt;="&amp;DashEnd))</f>
        <v>0</v>
      </c>
      <c r="BW14" s="17">
        <f>IF(Team!$B$14="","",Team!$B$14)</f>
        <v>0</v>
      </c>
      <c r="BX14" s="23">
        <f>IF(BW14="","",COUNTIF('Content Calendar'!$W$5:$W$604,BW14))</f>
        <v>0</v>
      </c>
      <c r="BY14" s="23">
        <f>IF(BW14="","",COUNTIFS('Content Calendar'!$W$5:$W$604,BW14,'Content Calendar'!$X$5:$X$604,"&lt;&gt;Published"))</f>
        <v>0</v>
      </c>
      <c r="BZ14" s="23">
        <f>IF(BW14="","",COUNTIFS(Tasks!$C$5:$C$64,BW14,Tasks!$G$5:$G$64,"&lt;&gt;Complete"))</f>
        <v>0</v>
      </c>
      <c r="CA14" s="17">
        <f>IF(Campaigns!$B$14="","",Campaigns!$B$14)</f>
        <v>0</v>
      </c>
      <c r="CB14" s="25">
        <f>IF(Campaigns!$T$14="","",Campaigns!$T$14)</f>
        <v>0</v>
      </c>
      <c r="CC14" s="25">
        <f>IF(Campaigns!$Q$14="","",Campaigns!$Q$14)</f>
        <v>0</v>
      </c>
      <c r="CD14" s="23">
        <f>IF(Campaigns!$Y$14="","",Campaigns!$Y$14)</f>
        <v>0</v>
      </c>
      <c r="CE14" s="32">
        <f>IF(CA14="","",IF(N(CB14)&lt;=0,"",N(CB14)+ROW()/1000000))</f>
        <v>0</v>
      </c>
      <c r="CF14" s="17">
        <f>IF(Accounts!$C$14="","",Accounts!$C$14)</f>
        <v>0</v>
      </c>
      <c r="CG14" s="17">
        <f>IF(Accounts!$B$14="","",Accounts!$B$14)</f>
        <v>0</v>
      </c>
      <c r="CH14" s="23">
        <f>IF(Accounts!$J$14="","",Accounts!$J$14)</f>
        <v>0</v>
      </c>
      <c r="CI14" s="23">
        <f>IF(CF14="","",SUMIFS(Analytics!$X$5:$X$154,Analytics!$E$5:$E$154,CF14,Analytics!$B$5:$B$154,"&gt;="&amp;DashStart,Analytics!$B$5:$B$154,"&lt;="&amp;DashEnd))</f>
        <v>0</v>
      </c>
      <c r="CJ14" s="32">
        <f>IF(CH14="","",IF(CH14=0,"",CH14+ROW()/1000000))</f>
        <v>0</v>
      </c>
    </row>
    <row r="15" spans="1:88">
      <c r="A15" s="16">
        <f>IF(ROW()-4&gt;12,"",DATE(PlanYear,ROW()-4,1))</f>
        <v>0</v>
      </c>
      <c r="B15" s="16">
        <f>IF(A15="","",EOMONTH(A15,0))</f>
        <v>0</v>
      </c>
      <c r="C15" s="17">
        <f>IF(A15="","",TEXT(A15,"yyyy-mm"))</f>
        <v>0</v>
      </c>
      <c r="D15" s="17">
        <f>IF(A15="","",TEXT(A15,"mmm"))</f>
        <v>0</v>
      </c>
      <c r="E15" s="23">
        <f>IF(C15="","",COUNTIFS('Content Calendar'!$D$5:$D$604,C15))</f>
        <v>0</v>
      </c>
      <c r="F15" s="23">
        <f>IF(C15="","",COUNTIFS('Content Calendar'!$D$5:$D$604,C15,'Content Calendar'!$X$5:$X$604,"Published"))</f>
        <v>0</v>
      </c>
      <c r="G15" s="23">
        <f>IF(C15="","",SUMIFS(Analytics!$J$5:$J$154,Analytics!$C$5:$C$154,C15))</f>
        <v>0</v>
      </c>
      <c r="H15" s="23">
        <f>IF(C15="","",SUMIFS(Analytics!$K$5:$K$154,Analytics!$C$5:$C$154,C15))</f>
        <v>0</v>
      </c>
      <c r="I15" s="23">
        <f>IF(C15="","",SUMIFS(Analytics!$L$5:$L$154,Analytics!$C$5:$C$154,C15))</f>
        <v>0</v>
      </c>
      <c r="J15" s="24">
        <f>IF(OR(G15="",G15=0),"",I15/G15)</f>
        <v>0</v>
      </c>
      <c r="K15" s="23">
        <f>IF(C15="","",SUMIFS(Analytics!$G$5:$G$154,Analytics!$C$5:$C$154,C15))</f>
        <v>0</v>
      </c>
      <c r="L15" s="23">
        <f>IF(C15="","",SUMIFS(Analytics!$X$5:$X$154,Analytics!$C$5:$C$154,C15))</f>
        <v>0</v>
      </c>
      <c r="M15" s="23">
        <f>IF(C15="","",SUMIFS(Analytics!$R$5:$R$154,Analytics!$C$5:$C$154,C15))</f>
        <v>0</v>
      </c>
      <c r="N15" s="23">
        <f>IF(C15="","",SUMIFS(Analytics!$S$5:$S$154,Analytics!$C$5:$C$154,C15))</f>
        <v>0</v>
      </c>
      <c r="O15" s="23">
        <f>IF(C15="","",SUMIFS(Analytics!$T$5:$T$154,Analytics!$C$5:$C$154,C15))</f>
        <v>0</v>
      </c>
      <c r="P15" s="25">
        <f>IF(C15="","",SUMIFS(Analytics!$U$5:$U$154,Analytics!$C$5:$C$154,C15))</f>
        <v>0</v>
      </c>
      <c r="Q15" s="25">
        <f>IF(C15="","",SUMIFS(Budget!$H$5:$H$64,Budget!$C$5:$C$64,C15))</f>
        <v>0</v>
      </c>
      <c r="R15" s="25">
        <f>IF(C15="","",P15-Q15)</f>
        <v>0</v>
      </c>
      <c r="S15" s="23">
        <f>IF(C15="","",MonthlyPostTarget)</f>
        <v>0</v>
      </c>
      <c r="T15" s="17">
        <f>IF(Lists!$C15="","",Lists!$C15)</f>
        <v>0</v>
      </c>
      <c r="U15" s="23">
        <f>IF(T15="","",COUNTIFS('Content Calendar'!$G$5:$G$604,T15,'Content Calendar'!$B$5:$B$604,"&gt;="&amp;DashStart,'Content Calendar'!$B$5:$B$604,"&lt;="&amp;DashEnd))</f>
        <v>0</v>
      </c>
      <c r="V15" s="23">
        <f>IF(T15="","",COUNTIFS('Content Calendar'!$G$5:$G$604,T15,'Content Calendar'!$X$5:$X$604,"Published",'Content Calendar'!$B$5:$B$604,"&gt;="&amp;DashStart,'Content Calendar'!$B$5:$B$604,"&lt;="&amp;DashEnd))</f>
        <v>0</v>
      </c>
      <c r="W15" s="23">
        <f>IF(T15="","",SUMIFS(Analytics!$J$5:$J$154,Analytics!$D$5:$D$154,T15,Analytics!$B$5:$B$154,"&gt;="&amp;DashStart,Analytics!$B$5:$B$154,"&lt;="&amp;DashEnd))</f>
        <v>0</v>
      </c>
      <c r="X15" s="23">
        <f>IF(T15="","",SUMIFS(Analytics!$L$5:$L$154,Analytics!$D$5:$D$154,T15,Analytics!$B$5:$B$154,"&gt;="&amp;DashStart,Analytics!$B$5:$B$154,"&lt;="&amp;DashEnd))</f>
        <v>0</v>
      </c>
      <c r="Y15" s="24">
        <f>IF(OR(W15="",W15=0),"",X15/W15)</f>
        <v>0</v>
      </c>
      <c r="Z15" s="23">
        <f>IF(T15="","",SUMIFS(Analytics!$G$5:$G$154,Analytics!$D$5:$D$154,T15,Analytics!$B$5:$B$154,"&gt;="&amp;DashStart,Analytics!$B$5:$B$154,"&lt;="&amp;DashEnd))</f>
        <v>0</v>
      </c>
      <c r="AA15" s="23">
        <f>IF(T15="","",SUMIFS(Analytics!$X$5:$X$154,Analytics!$D$5:$D$154,T15,Analytics!$B$5:$B$154,"&gt;="&amp;DashStart,Analytics!$B$5:$B$154,"&lt;="&amp;DashEnd))</f>
        <v>0</v>
      </c>
      <c r="AB15" s="23">
        <f>IF(T15="","",SUMIFS(Analytics!$R$5:$R$154,Analytics!$D$5:$D$154,T15,Analytics!$B$5:$B$154,"&gt;="&amp;DashStart,Analytics!$B$5:$B$154,"&lt;="&amp;DashEnd))</f>
        <v>0</v>
      </c>
      <c r="AC15" s="25">
        <f>IF(T15="","",SUMIFS(Analytics!$U$5:$U$154,Analytics!$D$5:$D$154,T15,Analytics!$B$5:$B$154,"&gt;="&amp;DashStart,Analytics!$B$5:$B$154,"&lt;="&amp;DashEnd))</f>
        <v>0</v>
      </c>
      <c r="AD15" s="23">
        <f>IF(T15="","",COUNTIFS('Content Calendar'!$G$5:$G$604,T15,'Content Calendar'!$B$5:$B$604,"&gt;="&amp;DATE(PlanYear,1,1),'Content Calendar'!$B$5:$B$604,"&lt;="&amp;DATE(PlanYear,12,31)))</f>
        <v>0</v>
      </c>
      <c r="AE15" s="23">
        <f>IF(T15="","",SUMIFS(Analytics!$J$5:$J$154,Analytics!$D$5:$D$154,T15))</f>
        <v>0</v>
      </c>
      <c r="AF15" s="23">
        <f>IF(T15="","",SUMIFS(Analytics!$L$5:$L$154,Analytics!$D$5:$D$154,T15))</f>
        <v>0</v>
      </c>
      <c r="AG15" s="24">
        <f>IF(OR(AE15="",AE15=0),"",AF15/AE15)</f>
        <v>0</v>
      </c>
      <c r="AH15" s="23">
        <f>IF(T15="","",SUMIFS(Analytics!$X$5:$X$154,Analytics!$D$5:$D$154,T15))</f>
        <v>0</v>
      </c>
      <c r="AI15" s="32">
        <f>IF(T15="","",IF(AE15=0,"",AE15+ROW()/1000000))</f>
        <v>0</v>
      </c>
      <c r="AJ15" s="17">
        <f>IF('Content Pillars'!$B$15="","",'Content Pillars'!$B$15)</f>
        <v>0</v>
      </c>
      <c r="AK15" s="23">
        <f>IF(AJ15="","",COUNTIFS('Content Calendar'!$J$5:$J$604,AJ15,'Content Calendar'!$B$5:$B$604,"&gt;="&amp;DATE(PlanYear,1,1),'Content Calendar'!$B$5:$B$604,"&lt;="&amp;DATE(PlanYear,12,31)))</f>
        <v>0</v>
      </c>
      <c r="AL15" s="23">
        <f>IF(AJ15="","",SUMIFS(Performance!$O$5:$O$404,Performance!$H$5:$H$404,AJ15))</f>
        <v>0</v>
      </c>
      <c r="AM15" s="23">
        <f>IF(AJ15="","",SUMIFS(Performance!$Z$5:$Z$404,Performance!$H$5:$H$404,AJ15))</f>
        <v>0</v>
      </c>
      <c r="AN15" s="24">
        <f>IF(OR(AL15="",AL15=0),"",AM15/AL15)</f>
        <v>0</v>
      </c>
      <c r="AO15" s="32">
        <f>IF(AN15="","",AN15+ROW()/1000000)</f>
        <v>0</v>
      </c>
      <c r="AP15" s="17">
        <f>IF(Lists!$E15="","",Lists!$E15)</f>
        <v>0</v>
      </c>
      <c r="AQ15" s="23">
        <f>IF(AP15="","",COUNTIF(Performance!$G$5:$G$404,AP15))</f>
        <v>0</v>
      </c>
      <c r="AR15" s="23">
        <f>IF(AP15="","",SUMIFS(Performance!$O$5:$O$404,Performance!$G$5:$G$404,AP15))</f>
        <v>0</v>
      </c>
      <c r="AS15" s="23">
        <f>IF(AP15="","",SUMIFS(Performance!$Z$5:$Z$404,Performance!$G$5:$G$404,AP15))</f>
        <v>0</v>
      </c>
      <c r="AT15" s="24">
        <f>IF(OR(AR15="",AR15=0),"",AS15/AR15)</f>
        <v>0</v>
      </c>
      <c r="AU15" s="32">
        <f>IF(AQ15=0,"",IF(AT15="","",AT15+ROW()/1000000))</f>
        <v>0</v>
      </c>
      <c r="AV15" s="17">
        <f>IF(ROW()-4&gt;7,"",TEXT(DATE(2024,1,ROW()-4),"ddd"))</f>
        <v>0</v>
      </c>
      <c r="AW15" s="23">
        <f>IF(AV15="","",COUNTIF(Performance!$N$5:$N$404,AV15))</f>
        <v>0</v>
      </c>
      <c r="AX15" s="23">
        <f>IF(AV15="","",SUMIFS(Performance!$O$5:$O$404,Performance!$N$5:$N$404,AV15))</f>
        <v>0</v>
      </c>
      <c r="AY15" s="23">
        <f>IF(AV15="","",SUMIFS(Performance!$Z$5:$Z$404,Performance!$N$5:$N$404,AV15))</f>
        <v>0</v>
      </c>
      <c r="AZ15" s="24">
        <f>IF(OR(AX15="",AX15=0),"",AY15/AX15)</f>
        <v>0</v>
      </c>
      <c r="BA15" s="32">
        <f>IF(AW15=0,"",IF(AZ15="","",AZ15+ROW()/1000000))</f>
        <v>0</v>
      </c>
      <c r="BB15" s="17">
        <f>IF(Lists!$AL15="","",Lists!$AL15)</f>
        <v>0</v>
      </c>
      <c r="BC15" s="23">
        <f>IF(BB15="","",COUNTIF(Performance!$M$5:$M$404,BB15))</f>
        <v>0</v>
      </c>
      <c r="BD15" s="23">
        <f>IF(BB15="","",SUMIFS(Performance!$O$5:$O$404,Performance!$M$5:$M$404,BB15))</f>
        <v>0</v>
      </c>
      <c r="BE15" s="23">
        <f>IF(BB15="","",SUMIFS(Performance!$Z$5:$Z$404,Performance!$M$5:$M$404,BB15))</f>
        <v>0</v>
      </c>
      <c r="BF15" s="24">
        <f>IF(OR(BD15="",BD15=0),"",BE15/BD15)</f>
        <v>0</v>
      </c>
      <c r="BG15" s="32">
        <f>IF(BC15=0,"",IF(BF15="","",BF15+ROW()/1000000))</f>
        <v>0</v>
      </c>
      <c r="BH15" s="17">
        <f>IF(Performance!$C$15="","",Performance!$C$15)</f>
        <v>0</v>
      </c>
      <c r="BI15" s="17">
        <f>IF(Performance!$F$15="","",Performance!$F$15)</f>
        <v>0</v>
      </c>
      <c r="BJ15" s="17">
        <f>IF(Performance!$H$15="","",Performance!$H$15)</f>
        <v>0</v>
      </c>
      <c r="BK15" s="16">
        <f>IF(Performance!$D$15="","",Performance!$D$15)</f>
        <v>0</v>
      </c>
      <c r="BL15" s="17">
        <f>IF(Performance!$E$15="","",Performance!$E$15)</f>
        <v>0</v>
      </c>
      <c r="BM15" s="23">
        <f>IF(Performance!$O$15="","",Performance!$O$15)</f>
        <v>0</v>
      </c>
      <c r="BN15" s="24">
        <f>IF(Performance!$AA$15="","",Performance!$AA$15)</f>
        <v>0</v>
      </c>
      <c r="BO15" s="32">
        <f>IF(BH15="","",IF(BK15="","",IF(OR(BK15&lt;DashStart,BK15&gt;DashEnd),"",IF(BN15="","",BN15+ROW()/1000000))))</f>
        <v>0</v>
      </c>
      <c r="BP15" s="32">
        <f>IF(BM15="","",IF(BK15="","",IF(OR(BK15&lt;DashStart,BK15&gt;DashEnd),"",BM15+ROW()/1000000)))</f>
        <v>0</v>
      </c>
      <c r="BQ15" s="32">
        <f>IF(BH15="","",IF(BK15="","",IF(YEAR(BK15)&lt;&gt;PlanYear,"",IF(BN15="","",BN15+ROW()/1000000))))</f>
        <v>0</v>
      </c>
      <c r="BR15" s="32">
        <f>IF(BH15="","",IF(BK15="","",IF(OR(BK15&lt;RepFrom,BK15&gt;RepTo),"",IF(BN15="","",BN15+ROW()/1000000))))</f>
        <v>0</v>
      </c>
      <c r="BS15" s="32">
        <f>IF(BM15="","",IF(BK15="","",IF(YEAR(BK15)&lt;&gt;PlanYear,"",BM15+ROW()/1000000)))</f>
        <v>0</v>
      </c>
      <c r="BT15" s="17">
        <f>IF(Lists!$F15="","",Lists!$F15)</f>
        <v>0</v>
      </c>
      <c r="BU15" s="23">
        <f>IF(BT15="","",COUNTIF('Content Calendar'!$X$5:$X$604,BT15))</f>
        <v>0</v>
      </c>
      <c r="BV15" s="23">
        <f>IF(BT15="","",COUNTIFS('Content Calendar'!$X$5:$X$604,BT15,'Content Calendar'!$B$5:$B$604,"&gt;="&amp;DashStart,'Content Calendar'!$B$5:$B$604,"&lt;="&amp;DashEnd))</f>
        <v>0</v>
      </c>
      <c r="BW15" s="17">
        <f>IF(Team!$B$15="","",Team!$B$15)</f>
        <v>0</v>
      </c>
      <c r="BX15" s="23">
        <f>IF(BW15="","",COUNTIF('Content Calendar'!$W$5:$W$604,BW15))</f>
        <v>0</v>
      </c>
      <c r="BY15" s="23">
        <f>IF(BW15="","",COUNTIFS('Content Calendar'!$W$5:$W$604,BW15,'Content Calendar'!$X$5:$X$604,"&lt;&gt;Published"))</f>
        <v>0</v>
      </c>
      <c r="BZ15" s="23">
        <f>IF(BW15="","",COUNTIFS(Tasks!$C$5:$C$64,BW15,Tasks!$G$5:$G$64,"&lt;&gt;Complete"))</f>
        <v>0</v>
      </c>
      <c r="CA15" s="17">
        <f>IF(Campaigns!$B$15="","",Campaigns!$B$15)</f>
        <v>0</v>
      </c>
      <c r="CB15" s="25">
        <f>IF(Campaigns!$T$15="","",Campaigns!$T$15)</f>
        <v>0</v>
      </c>
      <c r="CC15" s="25">
        <f>IF(Campaigns!$Q$15="","",Campaigns!$Q$15)</f>
        <v>0</v>
      </c>
      <c r="CD15" s="23">
        <f>IF(Campaigns!$Y$15="","",Campaigns!$Y$15)</f>
        <v>0</v>
      </c>
      <c r="CE15" s="32">
        <f>IF(CA15="","",IF(N(CB15)&lt;=0,"",N(CB15)+ROW()/1000000))</f>
        <v>0</v>
      </c>
      <c r="CF15" s="17">
        <f>IF(Accounts!$C$15="","",Accounts!$C$15)</f>
        <v>0</v>
      </c>
      <c r="CG15" s="17">
        <f>IF(Accounts!$B$15="","",Accounts!$B$15)</f>
        <v>0</v>
      </c>
      <c r="CH15" s="23">
        <f>IF(Accounts!$J$15="","",Accounts!$J$15)</f>
        <v>0</v>
      </c>
      <c r="CI15" s="23">
        <f>IF(CF15="","",SUMIFS(Analytics!$X$5:$X$154,Analytics!$E$5:$E$154,CF15,Analytics!$B$5:$B$154,"&gt;="&amp;DashStart,Analytics!$B$5:$B$154,"&lt;="&amp;DashEnd))</f>
        <v>0</v>
      </c>
      <c r="CJ15" s="32">
        <f>IF(CH15="","",IF(CH15=0,"",CH15+ROW()/1000000))</f>
        <v>0</v>
      </c>
    </row>
    <row r="16" spans="1:88">
      <c r="A16" s="16">
        <f>IF(ROW()-4&gt;12,"",DATE(PlanYear,ROW()-4,1))</f>
        <v>0</v>
      </c>
      <c r="B16" s="16">
        <f>IF(A16="","",EOMONTH(A16,0))</f>
        <v>0</v>
      </c>
      <c r="C16" s="17">
        <f>IF(A16="","",TEXT(A16,"yyyy-mm"))</f>
        <v>0</v>
      </c>
      <c r="D16" s="17">
        <f>IF(A16="","",TEXT(A16,"mmm"))</f>
        <v>0</v>
      </c>
      <c r="E16" s="23">
        <f>IF(C16="","",COUNTIFS('Content Calendar'!$D$5:$D$604,C16))</f>
        <v>0</v>
      </c>
      <c r="F16" s="23">
        <f>IF(C16="","",COUNTIFS('Content Calendar'!$D$5:$D$604,C16,'Content Calendar'!$X$5:$X$604,"Published"))</f>
        <v>0</v>
      </c>
      <c r="G16" s="23">
        <f>IF(C16="","",SUMIFS(Analytics!$J$5:$J$154,Analytics!$C$5:$C$154,C16))</f>
        <v>0</v>
      </c>
      <c r="H16" s="23">
        <f>IF(C16="","",SUMIFS(Analytics!$K$5:$K$154,Analytics!$C$5:$C$154,C16))</f>
        <v>0</v>
      </c>
      <c r="I16" s="23">
        <f>IF(C16="","",SUMIFS(Analytics!$L$5:$L$154,Analytics!$C$5:$C$154,C16))</f>
        <v>0</v>
      </c>
      <c r="J16" s="24">
        <f>IF(OR(G16="",G16=0),"",I16/G16)</f>
        <v>0</v>
      </c>
      <c r="K16" s="23">
        <f>IF(C16="","",SUMIFS(Analytics!$G$5:$G$154,Analytics!$C$5:$C$154,C16))</f>
        <v>0</v>
      </c>
      <c r="L16" s="23">
        <f>IF(C16="","",SUMIFS(Analytics!$X$5:$X$154,Analytics!$C$5:$C$154,C16))</f>
        <v>0</v>
      </c>
      <c r="M16" s="23">
        <f>IF(C16="","",SUMIFS(Analytics!$R$5:$R$154,Analytics!$C$5:$C$154,C16))</f>
        <v>0</v>
      </c>
      <c r="N16" s="23">
        <f>IF(C16="","",SUMIFS(Analytics!$S$5:$S$154,Analytics!$C$5:$C$154,C16))</f>
        <v>0</v>
      </c>
      <c r="O16" s="23">
        <f>IF(C16="","",SUMIFS(Analytics!$T$5:$T$154,Analytics!$C$5:$C$154,C16))</f>
        <v>0</v>
      </c>
      <c r="P16" s="25">
        <f>IF(C16="","",SUMIFS(Analytics!$U$5:$U$154,Analytics!$C$5:$C$154,C16))</f>
        <v>0</v>
      </c>
      <c r="Q16" s="25">
        <f>IF(C16="","",SUMIFS(Budget!$H$5:$H$64,Budget!$C$5:$C$64,C16))</f>
        <v>0</v>
      </c>
      <c r="R16" s="25">
        <f>IF(C16="","",P16-Q16)</f>
        <v>0</v>
      </c>
      <c r="S16" s="23">
        <f>IF(C16="","",MonthlyPostTarget)</f>
        <v>0</v>
      </c>
      <c r="T16" s="17">
        <f>IF(Lists!$C16="","",Lists!$C16)</f>
        <v>0</v>
      </c>
      <c r="U16" s="23">
        <f>IF(T16="","",COUNTIFS('Content Calendar'!$G$5:$G$604,T16,'Content Calendar'!$B$5:$B$604,"&gt;="&amp;DashStart,'Content Calendar'!$B$5:$B$604,"&lt;="&amp;DashEnd))</f>
        <v>0</v>
      </c>
      <c r="V16" s="23">
        <f>IF(T16="","",COUNTIFS('Content Calendar'!$G$5:$G$604,T16,'Content Calendar'!$X$5:$X$604,"Published",'Content Calendar'!$B$5:$B$604,"&gt;="&amp;DashStart,'Content Calendar'!$B$5:$B$604,"&lt;="&amp;DashEnd))</f>
        <v>0</v>
      </c>
      <c r="W16" s="23">
        <f>IF(T16="","",SUMIFS(Analytics!$J$5:$J$154,Analytics!$D$5:$D$154,T16,Analytics!$B$5:$B$154,"&gt;="&amp;DashStart,Analytics!$B$5:$B$154,"&lt;="&amp;DashEnd))</f>
        <v>0</v>
      </c>
      <c r="X16" s="23">
        <f>IF(T16="","",SUMIFS(Analytics!$L$5:$L$154,Analytics!$D$5:$D$154,T16,Analytics!$B$5:$B$154,"&gt;="&amp;DashStart,Analytics!$B$5:$B$154,"&lt;="&amp;DashEnd))</f>
        <v>0</v>
      </c>
      <c r="Y16" s="24">
        <f>IF(OR(W16="",W16=0),"",X16/W16)</f>
        <v>0</v>
      </c>
      <c r="Z16" s="23">
        <f>IF(T16="","",SUMIFS(Analytics!$G$5:$G$154,Analytics!$D$5:$D$154,T16,Analytics!$B$5:$B$154,"&gt;="&amp;DashStart,Analytics!$B$5:$B$154,"&lt;="&amp;DashEnd))</f>
        <v>0</v>
      </c>
      <c r="AA16" s="23">
        <f>IF(T16="","",SUMIFS(Analytics!$X$5:$X$154,Analytics!$D$5:$D$154,T16,Analytics!$B$5:$B$154,"&gt;="&amp;DashStart,Analytics!$B$5:$B$154,"&lt;="&amp;DashEnd))</f>
        <v>0</v>
      </c>
      <c r="AB16" s="23">
        <f>IF(T16="","",SUMIFS(Analytics!$R$5:$R$154,Analytics!$D$5:$D$154,T16,Analytics!$B$5:$B$154,"&gt;="&amp;DashStart,Analytics!$B$5:$B$154,"&lt;="&amp;DashEnd))</f>
        <v>0</v>
      </c>
      <c r="AC16" s="25">
        <f>IF(T16="","",SUMIFS(Analytics!$U$5:$U$154,Analytics!$D$5:$D$154,T16,Analytics!$B$5:$B$154,"&gt;="&amp;DashStart,Analytics!$B$5:$B$154,"&lt;="&amp;DashEnd))</f>
        <v>0</v>
      </c>
      <c r="AD16" s="23">
        <f>IF(T16="","",COUNTIFS('Content Calendar'!$G$5:$G$604,T16,'Content Calendar'!$B$5:$B$604,"&gt;="&amp;DATE(PlanYear,1,1),'Content Calendar'!$B$5:$B$604,"&lt;="&amp;DATE(PlanYear,12,31)))</f>
        <v>0</v>
      </c>
      <c r="AE16" s="23">
        <f>IF(T16="","",SUMIFS(Analytics!$J$5:$J$154,Analytics!$D$5:$D$154,T16))</f>
        <v>0</v>
      </c>
      <c r="AF16" s="23">
        <f>IF(T16="","",SUMIFS(Analytics!$L$5:$L$154,Analytics!$D$5:$D$154,T16))</f>
        <v>0</v>
      </c>
      <c r="AG16" s="24">
        <f>IF(OR(AE16="",AE16=0),"",AF16/AE16)</f>
        <v>0</v>
      </c>
      <c r="AH16" s="23">
        <f>IF(T16="","",SUMIFS(Analytics!$X$5:$X$154,Analytics!$D$5:$D$154,T16))</f>
        <v>0</v>
      </c>
      <c r="AI16" s="32">
        <f>IF(T16="","",IF(AE16=0,"",AE16+ROW()/1000000))</f>
        <v>0</v>
      </c>
      <c r="AJ16" s="17">
        <f>IF('Content Pillars'!$B$16="","",'Content Pillars'!$B$16)</f>
        <v>0</v>
      </c>
      <c r="AK16" s="23">
        <f>IF(AJ16="","",COUNTIFS('Content Calendar'!$J$5:$J$604,AJ16,'Content Calendar'!$B$5:$B$604,"&gt;="&amp;DATE(PlanYear,1,1),'Content Calendar'!$B$5:$B$604,"&lt;="&amp;DATE(PlanYear,12,31)))</f>
        <v>0</v>
      </c>
      <c r="AL16" s="23">
        <f>IF(AJ16="","",SUMIFS(Performance!$O$5:$O$404,Performance!$H$5:$H$404,AJ16))</f>
        <v>0</v>
      </c>
      <c r="AM16" s="23">
        <f>IF(AJ16="","",SUMIFS(Performance!$Z$5:$Z$404,Performance!$H$5:$H$404,AJ16))</f>
        <v>0</v>
      </c>
      <c r="AN16" s="24">
        <f>IF(OR(AL16="",AL16=0),"",AM16/AL16)</f>
        <v>0</v>
      </c>
      <c r="AO16" s="32">
        <f>IF(AN16="","",AN16+ROW()/1000000)</f>
        <v>0</v>
      </c>
      <c r="AP16" s="17">
        <f>IF(Lists!$E16="","",Lists!$E16)</f>
        <v>0</v>
      </c>
      <c r="AQ16" s="23">
        <f>IF(AP16="","",COUNTIF(Performance!$G$5:$G$404,AP16))</f>
        <v>0</v>
      </c>
      <c r="AR16" s="23">
        <f>IF(AP16="","",SUMIFS(Performance!$O$5:$O$404,Performance!$G$5:$G$404,AP16))</f>
        <v>0</v>
      </c>
      <c r="AS16" s="23">
        <f>IF(AP16="","",SUMIFS(Performance!$Z$5:$Z$404,Performance!$G$5:$G$404,AP16))</f>
        <v>0</v>
      </c>
      <c r="AT16" s="24">
        <f>IF(OR(AR16="",AR16=0),"",AS16/AR16)</f>
        <v>0</v>
      </c>
      <c r="AU16" s="32">
        <f>IF(AQ16=0,"",IF(AT16="","",AT16+ROW()/1000000))</f>
        <v>0</v>
      </c>
      <c r="AV16" s="17">
        <f>IF(ROW()-4&gt;7,"",TEXT(DATE(2024,1,ROW()-4),"ddd"))</f>
        <v>0</v>
      </c>
      <c r="AW16" s="23">
        <f>IF(AV16="","",COUNTIF(Performance!$N$5:$N$404,AV16))</f>
        <v>0</v>
      </c>
      <c r="AX16" s="23">
        <f>IF(AV16="","",SUMIFS(Performance!$O$5:$O$404,Performance!$N$5:$N$404,AV16))</f>
        <v>0</v>
      </c>
      <c r="AY16" s="23">
        <f>IF(AV16="","",SUMIFS(Performance!$Z$5:$Z$404,Performance!$N$5:$N$404,AV16))</f>
        <v>0</v>
      </c>
      <c r="AZ16" s="24">
        <f>IF(OR(AX16="",AX16=0),"",AY16/AX16)</f>
        <v>0</v>
      </c>
      <c r="BA16" s="32">
        <f>IF(AW16=0,"",IF(AZ16="","",AZ16+ROW()/1000000))</f>
        <v>0</v>
      </c>
      <c r="BB16" s="17">
        <f>IF(Lists!$AL16="","",Lists!$AL16)</f>
        <v>0</v>
      </c>
      <c r="BC16" s="23">
        <f>IF(BB16="","",COUNTIF(Performance!$M$5:$M$404,BB16))</f>
        <v>0</v>
      </c>
      <c r="BD16" s="23">
        <f>IF(BB16="","",SUMIFS(Performance!$O$5:$O$404,Performance!$M$5:$M$404,BB16))</f>
        <v>0</v>
      </c>
      <c r="BE16" s="23">
        <f>IF(BB16="","",SUMIFS(Performance!$Z$5:$Z$404,Performance!$M$5:$M$404,BB16))</f>
        <v>0</v>
      </c>
      <c r="BF16" s="24">
        <f>IF(OR(BD16="",BD16=0),"",BE16/BD16)</f>
        <v>0</v>
      </c>
      <c r="BG16" s="32">
        <f>IF(BC16=0,"",IF(BF16="","",BF16+ROW()/1000000))</f>
        <v>0</v>
      </c>
      <c r="BH16" s="17">
        <f>IF(Performance!$C$16="","",Performance!$C$16)</f>
        <v>0</v>
      </c>
      <c r="BI16" s="17">
        <f>IF(Performance!$F$16="","",Performance!$F$16)</f>
        <v>0</v>
      </c>
      <c r="BJ16" s="17">
        <f>IF(Performance!$H$16="","",Performance!$H$16)</f>
        <v>0</v>
      </c>
      <c r="BK16" s="16">
        <f>IF(Performance!$D$16="","",Performance!$D$16)</f>
        <v>0</v>
      </c>
      <c r="BL16" s="17">
        <f>IF(Performance!$E$16="","",Performance!$E$16)</f>
        <v>0</v>
      </c>
      <c r="BM16" s="23">
        <f>IF(Performance!$O$16="","",Performance!$O$16)</f>
        <v>0</v>
      </c>
      <c r="BN16" s="24">
        <f>IF(Performance!$AA$16="","",Performance!$AA$16)</f>
        <v>0</v>
      </c>
      <c r="BO16" s="32">
        <f>IF(BH16="","",IF(BK16="","",IF(OR(BK16&lt;DashStart,BK16&gt;DashEnd),"",IF(BN16="","",BN16+ROW()/1000000))))</f>
        <v>0</v>
      </c>
      <c r="BP16" s="32">
        <f>IF(BM16="","",IF(BK16="","",IF(OR(BK16&lt;DashStart,BK16&gt;DashEnd),"",BM16+ROW()/1000000)))</f>
        <v>0</v>
      </c>
      <c r="BQ16" s="32">
        <f>IF(BH16="","",IF(BK16="","",IF(YEAR(BK16)&lt;&gt;PlanYear,"",IF(BN16="","",BN16+ROW()/1000000))))</f>
        <v>0</v>
      </c>
      <c r="BR16" s="32">
        <f>IF(BH16="","",IF(BK16="","",IF(OR(BK16&lt;RepFrom,BK16&gt;RepTo),"",IF(BN16="","",BN16+ROW()/1000000))))</f>
        <v>0</v>
      </c>
      <c r="BS16" s="32">
        <f>IF(BM16="","",IF(BK16="","",IF(YEAR(BK16)&lt;&gt;PlanYear,"",BM16+ROW()/1000000)))</f>
        <v>0</v>
      </c>
      <c r="BT16" s="17">
        <f>IF(Lists!$F16="","",Lists!$F16)</f>
        <v>0</v>
      </c>
      <c r="BU16" s="23">
        <f>IF(BT16="","",COUNTIF('Content Calendar'!$X$5:$X$604,BT16))</f>
        <v>0</v>
      </c>
      <c r="BV16" s="23">
        <f>IF(BT16="","",COUNTIFS('Content Calendar'!$X$5:$X$604,BT16,'Content Calendar'!$B$5:$B$604,"&gt;="&amp;DashStart,'Content Calendar'!$B$5:$B$604,"&lt;="&amp;DashEnd))</f>
        <v>0</v>
      </c>
      <c r="BW16" s="17">
        <f>IF(Team!$B$16="","",Team!$B$16)</f>
        <v>0</v>
      </c>
      <c r="BX16" s="23">
        <f>IF(BW16="","",COUNTIF('Content Calendar'!$W$5:$W$604,BW16))</f>
        <v>0</v>
      </c>
      <c r="BY16" s="23">
        <f>IF(BW16="","",COUNTIFS('Content Calendar'!$W$5:$W$604,BW16,'Content Calendar'!$X$5:$X$604,"&lt;&gt;Published"))</f>
        <v>0</v>
      </c>
      <c r="BZ16" s="23">
        <f>IF(BW16="","",COUNTIFS(Tasks!$C$5:$C$64,BW16,Tasks!$G$5:$G$64,"&lt;&gt;Complete"))</f>
        <v>0</v>
      </c>
      <c r="CA16" s="17">
        <f>IF(Campaigns!$B$16="","",Campaigns!$B$16)</f>
        <v>0</v>
      </c>
      <c r="CB16" s="25">
        <f>IF(Campaigns!$T$16="","",Campaigns!$T$16)</f>
        <v>0</v>
      </c>
      <c r="CC16" s="25">
        <f>IF(Campaigns!$Q$16="","",Campaigns!$Q$16)</f>
        <v>0</v>
      </c>
      <c r="CD16" s="23">
        <f>IF(Campaigns!$Y$16="","",Campaigns!$Y$16)</f>
        <v>0</v>
      </c>
      <c r="CE16" s="32">
        <f>IF(CA16="","",IF(N(CB16)&lt;=0,"",N(CB16)+ROW()/1000000))</f>
        <v>0</v>
      </c>
      <c r="CF16" s="17">
        <f>IF(Accounts!$C$16="","",Accounts!$C$16)</f>
        <v>0</v>
      </c>
      <c r="CG16" s="17">
        <f>IF(Accounts!$B$16="","",Accounts!$B$16)</f>
        <v>0</v>
      </c>
      <c r="CH16" s="23">
        <f>IF(Accounts!$J$16="","",Accounts!$J$16)</f>
        <v>0</v>
      </c>
      <c r="CI16" s="23">
        <f>IF(CF16="","",SUMIFS(Analytics!$X$5:$X$154,Analytics!$E$5:$E$154,CF16,Analytics!$B$5:$B$154,"&gt;="&amp;DashStart,Analytics!$B$5:$B$154,"&lt;="&amp;DashEnd))</f>
        <v>0</v>
      </c>
      <c r="CJ16" s="32">
        <f>IF(CH16="","",IF(CH16=0,"",CH16+ROW()/1000000))</f>
        <v>0</v>
      </c>
    </row>
    <row r="17" spans="1:88">
      <c r="A17" s="16">
        <f>IF(ROW()-4&gt;12,"",DATE(PlanYear,ROW()-4,1))</f>
        <v>0</v>
      </c>
      <c r="B17" s="16">
        <f>IF(A17="","",EOMONTH(A17,0))</f>
        <v>0</v>
      </c>
      <c r="C17" s="17">
        <f>IF(A17="","",TEXT(A17,"yyyy-mm"))</f>
        <v>0</v>
      </c>
      <c r="D17" s="17">
        <f>IF(A17="","",TEXT(A17,"mmm"))</f>
        <v>0</v>
      </c>
      <c r="E17" s="23">
        <f>IF(C17="","",COUNTIFS('Content Calendar'!$D$5:$D$604,C17))</f>
        <v>0</v>
      </c>
      <c r="F17" s="23">
        <f>IF(C17="","",COUNTIFS('Content Calendar'!$D$5:$D$604,C17,'Content Calendar'!$X$5:$X$604,"Published"))</f>
        <v>0</v>
      </c>
      <c r="G17" s="23">
        <f>IF(C17="","",SUMIFS(Analytics!$J$5:$J$154,Analytics!$C$5:$C$154,C17))</f>
        <v>0</v>
      </c>
      <c r="H17" s="23">
        <f>IF(C17="","",SUMIFS(Analytics!$K$5:$K$154,Analytics!$C$5:$C$154,C17))</f>
        <v>0</v>
      </c>
      <c r="I17" s="23">
        <f>IF(C17="","",SUMIFS(Analytics!$L$5:$L$154,Analytics!$C$5:$C$154,C17))</f>
        <v>0</v>
      </c>
      <c r="J17" s="24">
        <f>IF(OR(G17="",G17=0),"",I17/G17)</f>
        <v>0</v>
      </c>
      <c r="K17" s="23">
        <f>IF(C17="","",SUMIFS(Analytics!$G$5:$G$154,Analytics!$C$5:$C$154,C17))</f>
        <v>0</v>
      </c>
      <c r="L17" s="23">
        <f>IF(C17="","",SUMIFS(Analytics!$X$5:$X$154,Analytics!$C$5:$C$154,C17))</f>
        <v>0</v>
      </c>
      <c r="M17" s="23">
        <f>IF(C17="","",SUMIFS(Analytics!$R$5:$R$154,Analytics!$C$5:$C$154,C17))</f>
        <v>0</v>
      </c>
      <c r="N17" s="23">
        <f>IF(C17="","",SUMIFS(Analytics!$S$5:$S$154,Analytics!$C$5:$C$154,C17))</f>
        <v>0</v>
      </c>
      <c r="O17" s="23">
        <f>IF(C17="","",SUMIFS(Analytics!$T$5:$T$154,Analytics!$C$5:$C$154,C17))</f>
        <v>0</v>
      </c>
      <c r="P17" s="25">
        <f>IF(C17="","",SUMIFS(Analytics!$U$5:$U$154,Analytics!$C$5:$C$154,C17))</f>
        <v>0</v>
      </c>
      <c r="Q17" s="25">
        <f>IF(C17="","",SUMIFS(Budget!$H$5:$H$64,Budget!$C$5:$C$64,C17))</f>
        <v>0</v>
      </c>
      <c r="R17" s="25">
        <f>IF(C17="","",P17-Q17)</f>
        <v>0</v>
      </c>
      <c r="S17" s="23">
        <f>IF(C17="","",MonthlyPostTarget)</f>
        <v>0</v>
      </c>
      <c r="T17" s="17">
        <f>IF(Lists!$C17="","",Lists!$C17)</f>
        <v>0</v>
      </c>
      <c r="U17" s="23">
        <f>IF(T17="","",COUNTIFS('Content Calendar'!$G$5:$G$604,T17,'Content Calendar'!$B$5:$B$604,"&gt;="&amp;DashStart,'Content Calendar'!$B$5:$B$604,"&lt;="&amp;DashEnd))</f>
        <v>0</v>
      </c>
      <c r="V17" s="23">
        <f>IF(T17="","",COUNTIFS('Content Calendar'!$G$5:$G$604,T17,'Content Calendar'!$X$5:$X$604,"Published",'Content Calendar'!$B$5:$B$604,"&gt;="&amp;DashStart,'Content Calendar'!$B$5:$B$604,"&lt;="&amp;DashEnd))</f>
        <v>0</v>
      </c>
      <c r="W17" s="23">
        <f>IF(T17="","",SUMIFS(Analytics!$J$5:$J$154,Analytics!$D$5:$D$154,T17,Analytics!$B$5:$B$154,"&gt;="&amp;DashStart,Analytics!$B$5:$B$154,"&lt;="&amp;DashEnd))</f>
        <v>0</v>
      </c>
      <c r="X17" s="23">
        <f>IF(T17="","",SUMIFS(Analytics!$L$5:$L$154,Analytics!$D$5:$D$154,T17,Analytics!$B$5:$B$154,"&gt;="&amp;DashStart,Analytics!$B$5:$B$154,"&lt;="&amp;DashEnd))</f>
        <v>0</v>
      </c>
      <c r="Y17" s="24">
        <f>IF(OR(W17="",W17=0),"",X17/W17)</f>
        <v>0</v>
      </c>
      <c r="Z17" s="23">
        <f>IF(T17="","",SUMIFS(Analytics!$G$5:$G$154,Analytics!$D$5:$D$154,T17,Analytics!$B$5:$B$154,"&gt;="&amp;DashStart,Analytics!$B$5:$B$154,"&lt;="&amp;DashEnd))</f>
        <v>0</v>
      </c>
      <c r="AA17" s="23">
        <f>IF(T17="","",SUMIFS(Analytics!$X$5:$X$154,Analytics!$D$5:$D$154,T17,Analytics!$B$5:$B$154,"&gt;="&amp;DashStart,Analytics!$B$5:$B$154,"&lt;="&amp;DashEnd))</f>
        <v>0</v>
      </c>
      <c r="AB17" s="23">
        <f>IF(T17="","",SUMIFS(Analytics!$R$5:$R$154,Analytics!$D$5:$D$154,T17,Analytics!$B$5:$B$154,"&gt;="&amp;DashStart,Analytics!$B$5:$B$154,"&lt;="&amp;DashEnd))</f>
        <v>0</v>
      </c>
      <c r="AC17" s="25">
        <f>IF(T17="","",SUMIFS(Analytics!$U$5:$U$154,Analytics!$D$5:$D$154,T17,Analytics!$B$5:$B$154,"&gt;="&amp;DashStart,Analytics!$B$5:$B$154,"&lt;="&amp;DashEnd))</f>
        <v>0</v>
      </c>
      <c r="AD17" s="23">
        <f>IF(T17="","",COUNTIFS('Content Calendar'!$G$5:$G$604,T17,'Content Calendar'!$B$5:$B$604,"&gt;="&amp;DATE(PlanYear,1,1),'Content Calendar'!$B$5:$B$604,"&lt;="&amp;DATE(PlanYear,12,31)))</f>
        <v>0</v>
      </c>
      <c r="AE17" s="23">
        <f>IF(T17="","",SUMIFS(Analytics!$J$5:$J$154,Analytics!$D$5:$D$154,T17))</f>
        <v>0</v>
      </c>
      <c r="AF17" s="23">
        <f>IF(T17="","",SUMIFS(Analytics!$L$5:$L$154,Analytics!$D$5:$D$154,T17))</f>
        <v>0</v>
      </c>
      <c r="AG17" s="24">
        <f>IF(OR(AE17="",AE17=0),"",AF17/AE17)</f>
        <v>0</v>
      </c>
      <c r="AH17" s="23">
        <f>IF(T17="","",SUMIFS(Analytics!$X$5:$X$154,Analytics!$D$5:$D$154,T17))</f>
        <v>0</v>
      </c>
      <c r="AI17" s="32">
        <f>IF(T17="","",IF(AE17=0,"",AE17+ROW()/1000000))</f>
        <v>0</v>
      </c>
      <c r="AJ17" s="17">
        <f>IF('Content Pillars'!$B$17="","",'Content Pillars'!$B$17)</f>
        <v>0</v>
      </c>
      <c r="AK17" s="23">
        <f>IF(AJ17="","",COUNTIFS('Content Calendar'!$J$5:$J$604,AJ17,'Content Calendar'!$B$5:$B$604,"&gt;="&amp;DATE(PlanYear,1,1),'Content Calendar'!$B$5:$B$604,"&lt;="&amp;DATE(PlanYear,12,31)))</f>
        <v>0</v>
      </c>
      <c r="AL17" s="23">
        <f>IF(AJ17="","",SUMIFS(Performance!$O$5:$O$404,Performance!$H$5:$H$404,AJ17))</f>
        <v>0</v>
      </c>
      <c r="AM17" s="23">
        <f>IF(AJ17="","",SUMIFS(Performance!$Z$5:$Z$404,Performance!$H$5:$H$404,AJ17))</f>
        <v>0</v>
      </c>
      <c r="AN17" s="24">
        <f>IF(OR(AL17="",AL17=0),"",AM17/AL17)</f>
        <v>0</v>
      </c>
      <c r="AO17" s="32">
        <f>IF(AN17="","",AN17+ROW()/1000000)</f>
        <v>0</v>
      </c>
      <c r="AP17" s="17">
        <f>IF(Lists!$E17="","",Lists!$E17)</f>
        <v>0</v>
      </c>
      <c r="AQ17" s="23">
        <f>IF(AP17="","",COUNTIF(Performance!$G$5:$G$404,AP17))</f>
        <v>0</v>
      </c>
      <c r="AR17" s="23">
        <f>IF(AP17="","",SUMIFS(Performance!$O$5:$O$404,Performance!$G$5:$G$404,AP17))</f>
        <v>0</v>
      </c>
      <c r="AS17" s="23">
        <f>IF(AP17="","",SUMIFS(Performance!$Z$5:$Z$404,Performance!$G$5:$G$404,AP17))</f>
        <v>0</v>
      </c>
      <c r="AT17" s="24">
        <f>IF(OR(AR17="",AR17=0),"",AS17/AR17)</f>
        <v>0</v>
      </c>
      <c r="AU17" s="32">
        <f>IF(AQ17=0,"",IF(AT17="","",AT17+ROW()/1000000))</f>
        <v>0</v>
      </c>
      <c r="AV17" s="17">
        <f>IF(ROW()-4&gt;7,"",TEXT(DATE(2024,1,ROW()-4),"ddd"))</f>
        <v>0</v>
      </c>
      <c r="AW17" s="23">
        <f>IF(AV17="","",COUNTIF(Performance!$N$5:$N$404,AV17))</f>
        <v>0</v>
      </c>
      <c r="AX17" s="23">
        <f>IF(AV17="","",SUMIFS(Performance!$O$5:$O$404,Performance!$N$5:$N$404,AV17))</f>
        <v>0</v>
      </c>
      <c r="AY17" s="23">
        <f>IF(AV17="","",SUMIFS(Performance!$Z$5:$Z$404,Performance!$N$5:$N$404,AV17))</f>
        <v>0</v>
      </c>
      <c r="AZ17" s="24">
        <f>IF(OR(AX17="",AX17=0),"",AY17/AX17)</f>
        <v>0</v>
      </c>
      <c r="BA17" s="32">
        <f>IF(AW17=0,"",IF(AZ17="","",AZ17+ROW()/1000000))</f>
        <v>0</v>
      </c>
      <c r="BB17" s="17">
        <f>IF(Lists!$AL17="","",Lists!$AL17)</f>
        <v>0</v>
      </c>
      <c r="BC17" s="23">
        <f>IF(BB17="","",COUNTIF(Performance!$M$5:$M$404,BB17))</f>
        <v>0</v>
      </c>
      <c r="BD17" s="23">
        <f>IF(BB17="","",SUMIFS(Performance!$O$5:$O$404,Performance!$M$5:$M$404,BB17))</f>
        <v>0</v>
      </c>
      <c r="BE17" s="23">
        <f>IF(BB17="","",SUMIFS(Performance!$Z$5:$Z$404,Performance!$M$5:$M$404,BB17))</f>
        <v>0</v>
      </c>
      <c r="BF17" s="24">
        <f>IF(OR(BD17="",BD17=0),"",BE17/BD17)</f>
        <v>0</v>
      </c>
      <c r="BG17" s="32">
        <f>IF(BC17=0,"",IF(BF17="","",BF17+ROW()/1000000))</f>
        <v>0</v>
      </c>
      <c r="BH17" s="17">
        <f>IF(Performance!$C$17="","",Performance!$C$17)</f>
        <v>0</v>
      </c>
      <c r="BI17" s="17">
        <f>IF(Performance!$F$17="","",Performance!$F$17)</f>
        <v>0</v>
      </c>
      <c r="BJ17" s="17">
        <f>IF(Performance!$H$17="","",Performance!$H$17)</f>
        <v>0</v>
      </c>
      <c r="BK17" s="16">
        <f>IF(Performance!$D$17="","",Performance!$D$17)</f>
        <v>0</v>
      </c>
      <c r="BL17" s="17">
        <f>IF(Performance!$E$17="","",Performance!$E$17)</f>
        <v>0</v>
      </c>
      <c r="BM17" s="23">
        <f>IF(Performance!$O$17="","",Performance!$O$17)</f>
        <v>0</v>
      </c>
      <c r="BN17" s="24">
        <f>IF(Performance!$AA$17="","",Performance!$AA$17)</f>
        <v>0</v>
      </c>
      <c r="BO17" s="32">
        <f>IF(BH17="","",IF(BK17="","",IF(OR(BK17&lt;DashStart,BK17&gt;DashEnd),"",IF(BN17="","",BN17+ROW()/1000000))))</f>
        <v>0</v>
      </c>
      <c r="BP17" s="32">
        <f>IF(BM17="","",IF(BK17="","",IF(OR(BK17&lt;DashStart,BK17&gt;DashEnd),"",BM17+ROW()/1000000)))</f>
        <v>0</v>
      </c>
      <c r="BQ17" s="32">
        <f>IF(BH17="","",IF(BK17="","",IF(YEAR(BK17)&lt;&gt;PlanYear,"",IF(BN17="","",BN17+ROW()/1000000))))</f>
        <v>0</v>
      </c>
      <c r="BR17" s="32">
        <f>IF(BH17="","",IF(BK17="","",IF(OR(BK17&lt;RepFrom,BK17&gt;RepTo),"",IF(BN17="","",BN17+ROW()/1000000))))</f>
        <v>0</v>
      </c>
      <c r="BS17" s="32">
        <f>IF(BM17="","",IF(BK17="","",IF(YEAR(BK17)&lt;&gt;PlanYear,"",BM17+ROW()/1000000)))</f>
        <v>0</v>
      </c>
      <c r="BT17" s="17">
        <f>IF(Lists!$F17="","",Lists!$F17)</f>
        <v>0</v>
      </c>
      <c r="BU17" s="23">
        <f>IF(BT17="","",COUNTIF('Content Calendar'!$X$5:$X$604,BT17))</f>
        <v>0</v>
      </c>
      <c r="BV17" s="23">
        <f>IF(BT17="","",COUNTIFS('Content Calendar'!$X$5:$X$604,BT17,'Content Calendar'!$B$5:$B$604,"&gt;="&amp;DashStart,'Content Calendar'!$B$5:$B$604,"&lt;="&amp;DashEnd))</f>
        <v>0</v>
      </c>
      <c r="BW17" s="17">
        <f>IF(Team!$B$17="","",Team!$B$17)</f>
        <v>0</v>
      </c>
      <c r="BX17" s="23">
        <f>IF(BW17="","",COUNTIF('Content Calendar'!$W$5:$W$604,BW17))</f>
        <v>0</v>
      </c>
      <c r="BY17" s="23">
        <f>IF(BW17="","",COUNTIFS('Content Calendar'!$W$5:$W$604,BW17,'Content Calendar'!$X$5:$X$604,"&lt;&gt;Published"))</f>
        <v>0</v>
      </c>
      <c r="BZ17" s="23">
        <f>IF(BW17="","",COUNTIFS(Tasks!$C$5:$C$64,BW17,Tasks!$G$5:$G$64,"&lt;&gt;Complete"))</f>
        <v>0</v>
      </c>
      <c r="CA17" s="17">
        <f>IF(Campaigns!$B$17="","",Campaigns!$B$17)</f>
        <v>0</v>
      </c>
      <c r="CB17" s="25">
        <f>IF(Campaigns!$T$17="","",Campaigns!$T$17)</f>
        <v>0</v>
      </c>
      <c r="CC17" s="25">
        <f>IF(Campaigns!$Q$17="","",Campaigns!$Q$17)</f>
        <v>0</v>
      </c>
      <c r="CD17" s="23">
        <f>IF(Campaigns!$Y$17="","",Campaigns!$Y$17)</f>
        <v>0</v>
      </c>
      <c r="CE17" s="32">
        <f>IF(CA17="","",IF(N(CB17)&lt;=0,"",N(CB17)+ROW()/1000000))</f>
        <v>0</v>
      </c>
      <c r="CF17" s="17">
        <f>IF(Accounts!$C$17="","",Accounts!$C$17)</f>
        <v>0</v>
      </c>
      <c r="CG17" s="17">
        <f>IF(Accounts!$B$17="","",Accounts!$B$17)</f>
        <v>0</v>
      </c>
      <c r="CH17" s="23">
        <f>IF(Accounts!$J$17="","",Accounts!$J$17)</f>
        <v>0</v>
      </c>
      <c r="CI17" s="23">
        <f>IF(CF17="","",SUMIFS(Analytics!$X$5:$X$154,Analytics!$E$5:$E$154,CF17,Analytics!$B$5:$B$154,"&gt;="&amp;DashStart,Analytics!$B$5:$B$154,"&lt;="&amp;DashEnd))</f>
        <v>0</v>
      </c>
      <c r="CJ17" s="32">
        <f>IF(CH17="","",IF(CH17=0,"",CH17+ROW()/1000000))</f>
        <v>0</v>
      </c>
    </row>
    <row r="18" spans="1:88">
      <c r="A18" s="16">
        <f>IF(ROW()-4&gt;12,"",DATE(PlanYear,ROW()-4,1))</f>
        <v>0</v>
      </c>
      <c r="B18" s="16">
        <f>IF(A18="","",EOMONTH(A18,0))</f>
        <v>0</v>
      </c>
      <c r="C18" s="17">
        <f>IF(A18="","",TEXT(A18,"yyyy-mm"))</f>
        <v>0</v>
      </c>
      <c r="D18" s="17">
        <f>IF(A18="","",TEXT(A18,"mmm"))</f>
        <v>0</v>
      </c>
      <c r="E18" s="23">
        <f>IF(C18="","",COUNTIFS('Content Calendar'!$D$5:$D$604,C18))</f>
        <v>0</v>
      </c>
      <c r="F18" s="23">
        <f>IF(C18="","",COUNTIFS('Content Calendar'!$D$5:$D$604,C18,'Content Calendar'!$X$5:$X$604,"Published"))</f>
        <v>0</v>
      </c>
      <c r="G18" s="23">
        <f>IF(C18="","",SUMIFS(Analytics!$J$5:$J$154,Analytics!$C$5:$C$154,C18))</f>
        <v>0</v>
      </c>
      <c r="H18" s="23">
        <f>IF(C18="","",SUMIFS(Analytics!$K$5:$K$154,Analytics!$C$5:$C$154,C18))</f>
        <v>0</v>
      </c>
      <c r="I18" s="23">
        <f>IF(C18="","",SUMIFS(Analytics!$L$5:$L$154,Analytics!$C$5:$C$154,C18))</f>
        <v>0</v>
      </c>
      <c r="J18" s="24">
        <f>IF(OR(G18="",G18=0),"",I18/G18)</f>
        <v>0</v>
      </c>
      <c r="K18" s="23">
        <f>IF(C18="","",SUMIFS(Analytics!$G$5:$G$154,Analytics!$C$5:$C$154,C18))</f>
        <v>0</v>
      </c>
      <c r="L18" s="23">
        <f>IF(C18="","",SUMIFS(Analytics!$X$5:$X$154,Analytics!$C$5:$C$154,C18))</f>
        <v>0</v>
      </c>
      <c r="M18" s="23">
        <f>IF(C18="","",SUMIFS(Analytics!$R$5:$R$154,Analytics!$C$5:$C$154,C18))</f>
        <v>0</v>
      </c>
      <c r="N18" s="23">
        <f>IF(C18="","",SUMIFS(Analytics!$S$5:$S$154,Analytics!$C$5:$C$154,C18))</f>
        <v>0</v>
      </c>
      <c r="O18" s="23">
        <f>IF(C18="","",SUMIFS(Analytics!$T$5:$T$154,Analytics!$C$5:$C$154,C18))</f>
        <v>0</v>
      </c>
      <c r="P18" s="25">
        <f>IF(C18="","",SUMIFS(Analytics!$U$5:$U$154,Analytics!$C$5:$C$154,C18))</f>
        <v>0</v>
      </c>
      <c r="Q18" s="25">
        <f>IF(C18="","",SUMIFS(Budget!$H$5:$H$64,Budget!$C$5:$C$64,C18))</f>
        <v>0</v>
      </c>
      <c r="R18" s="25">
        <f>IF(C18="","",P18-Q18)</f>
        <v>0</v>
      </c>
      <c r="S18" s="23">
        <f>IF(C18="","",MonthlyPostTarget)</f>
        <v>0</v>
      </c>
      <c r="T18" s="17">
        <f>IF(Lists!$C18="","",Lists!$C18)</f>
        <v>0</v>
      </c>
      <c r="U18" s="23">
        <f>IF(T18="","",COUNTIFS('Content Calendar'!$G$5:$G$604,T18,'Content Calendar'!$B$5:$B$604,"&gt;="&amp;DashStart,'Content Calendar'!$B$5:$B$604,"&lt;="&amp;DashEnd))</f>
        <v>0</v>
      </c>
      <c r="V18" s="23">
        <f>IF(T18="","",COUNTIFS('Content Calendar'!$G$5:$G$604,T18,'Content Calendar'!$X$5:$X$604,"Published",'Content Calendar'!$B$5:$B$604,"&gt;="&amp;DashStart,'Content Calendar'!$B$5:$B$604,"&lt;="&amp;DashEnd))</f>
        <v>0</v>
      </c>
      <c r="W18" s="23">
        <f>IF(T18="","",SUMIFS(Analytics!$J$5:$J$154,Analytics!$D$5:$D$154,T18,Analytics!$B$5:$B$154,"&gt;="&amp;DashStart,Analytics!$B$5:$B$154,"&lt;="&amp;DashEnd))</f>
        <v>0</v>
      </c>
      <c r="X18" s="23">
        <f>IF(T18="","",SUMIFS(Analytics!$L$5:$L$154,Analytics!$D$5:$D$154,T18,Analytics!$B$5:$B$154,"&gt;="&amp;DashStart,Analytics!$B$5:$B$154,"&lt;="&amp;DashEnd))</f>
        <v>0</v>
      </c>
      <c r="Y18" s="24">
        <f>IF(OR(W18="",W18=0),"",X18/W18)</f>
        <v>0</v>
      </c>
      <c r="Z18" s="23">
        <f>IF(T18="","",SUMIFS(Analytics!$G$5:$G$154,Analytics!$D$5:$D$154,T18,Analytics!$B$5:$B$154,"&gt;="&amp;DashStart,Analytics!$B$5:$B$154,"&lt;="&amp;DashEnd))</f>
        <v>0</v>
      </c>
      <c r="AA18" s="23">
        <f>IF(T18="","",SUMIFS(Analytics!$X$5:$X$154,Analytics!$D$5:$D$154,T18,Analytics!$B$5:$B$154,"&gt;="&amp;DashStart,Analytics!$B$5:$B$154,"&lt;="&amp;DashEnd))</f>
        <v>0</v>
      </c>
      <c r="AB18" s="23">
        <f>IF(T18="","",SUMIFS(Analytics!$R$5:$R$154,Analytics!$D$5:$D$154,T18,Analytics!$B$5:$B$154,"&gt;="&amp;DashStart,Analytics!$B$5:$B$154,"&lt;="&amp;DashEnd))</f>
        <v>0</v>
      </c>
      <c r="AC18" s="25">
        <f>IF(T18="","",SUMIFS(Analytics!$U$5:$U$154,Analytics!$D$5:$D$154,T18,Analytics!$B$5:$B$154,"&gt;="&amp;DashStart,Analytics!$B$5:$B$154,"&lt;="&amp;DashEnd))</f>
        <v>0</v>
      </c>
      <c r="AD18" s="23">
        <f>IF(T18="","",COUNTIFS('Content Calendar'!$G$5:$G$604,T18,'Content Calendar'!$B$5:$B$604,"&gt;="&amp;DATE(PlanYear,1,1),'Content Calendar'!$B$5:$B$604,"&lt;="&amp;DATE(PlanYear,12,31)))</f>
        <v>0</v>
      </c>
      <c r="AE18" s="23">
        <f>IF(T18="","",SUMIFS(Analytics!$J$5:$J$154,Analytics!$D$5:$D$154,T18))</f>
        <v>0</v>
      </c>
      <c r="AF18" s="23">
        <f>IF(T18="","",SUMIFS(Analytics!$L$5:$L$154,Analytics!$D$5:$D$154,T18))</f>
        <v>0</v>
      </c>
      <c r="AG18" s="24">
        <f>IF(OR(AE18="",AE18=0),"",AF18/AE18)</f>
        <v>0</v>
      </c>
      <c r="AH18" s="23">
        <f>IF(T18="","",SUMIFS(Analytics!$X$5:$X$154,Analytics!$D$5:$D$154,T18))</f>
        <v>0</v>
      </c>
      <c r="AI18" s="32">
        <f>IF(T18="","",IF(AE18=0,"",AE18+ROW()/1000000))</f>
        <v>0</v>
      </c>
      <c r="AJ18" s="17">
        <f>IF('Content Pillars'!$B$18="","",'Content Pillars'!$B$18)</f>
        <v>0</v>
      </c>
      <c r="AK18" s="23">
        <f>IF(AJ18="","",COUNTIFS('Content Calendar'!$J$5:$J$604,AJ18,'Content Calendar'!$B$5:$B$604,"&gt;="&amp;DATE(PlanYear,1,1),'Content Calendar'!$B$5:$B$604,"&lt;="&amp;DATE(PlanYear,12,31)))</f>
        <v>0</v>
      </c>
      <c r="AL18" s="23">
        <f>IF(AJ18="","",SUMIFS(Performance!$O$5:$O$404,Performance!$H$5:$H$404,AJ18))</f>
        <v>0</v>
      </c>
      <c r="AM18" s="23">
        <f>IF(AJ18="","",SUMIFS(Performance!$Z$5:$Z$404,Performance!$H$5:$H$404,AJ18))</f>
        <v>0</v>
      </c>
      <c r="AN18" s="24">
        <f>IF(OR(AL18="",AL18=0),"",AM18/AL18)</f>
        <v>0</v>
      </c>
      <c r="AO18" s="32">
        <f>IF(AN18="","",AN18+ROW()/1000000)</f>
        <v>0</v>
      </c>
      <c r="AP18" s="17">
        <f>IF(Lists!$E18="","",Lists!$E18)</f>
        <v>0</v>
      </c>
      <c r="AQ18" s="23">
        <f>IF(AP18="","",COUNTIF(Performance!$G$5:$G$404,AP18))</f>
        <v>0</v>
      </c>
      <c r="AR18" s="23">
        <f>IF(AP18="","",SUMIFS(Performance!$O$5:$O$404,Performance!$G$5:$G$404,AP18))</f>
        <v>0</v>
      </c>
      <c r="AS18" s="23">
        <f>IF(AP18="","",SUMIFS(Performance!$Z$5:$Z$404,Performance!$G$5:$G$404,AP18))</f>
        <v>0</v>
      </c>
      <c r="AT18" s="24">
        <f>IF(OR(AR18="",AR18=0),"",AS18/AR18)</f>
        <v>0</v>
      </c>
      <c r="AU18" s="32">
        <f>IF(AQ18=0,"",IF(AT18="","",AT18+ROW()/1000000))</f>
        <v>0</v>
      </c>
      <c r="AV18" s="17">
        <f>IF(ROW()-4&gt;7,"",TEXT(DATE(2024,1,ROW()-4),"ddd"))</f>
        <v>0</v>
      </c>
      <c r="AW18" s="23">
        <f>IF(AV18="","",COUNTIF(Performance!$N$5:$N$404,AV18))</f>
        <v>0</v>
      </c>
      <c r="AX18" s="23">
        <f>IF(AV18="","",SUMIFS(Performance!$O$5:$O$404,Performance!$N$5:$N$404,AV18))</f>
        <v>0</v>
      </c>
      <c r="AY18" s="23">
        <f>IF(AV18="","",SUMIFS(Performance!$Z$5:$Z$404,Performance!$N$5:$N$404,AV18))</f>
        <v>0</v>
      </c>
      <c r="AZ18" s="24">
        <f>IF(OR(AX18="",AX18=0),"",AY18/AX18)</f>
        <v>0</v>
      </c>
      <c r="BA18" s="32">
        <f>IF(AW18=0,"",IF(AZ18="","",AZ18+ROW()/1000000))</f>
        <v>0</v>
      </c>
      <c r="BB18" s="17">
        <f>IF(Lists!$AL18="","",Lists!$AL18)</f>
        <v>0</v>
      </c>
      <c r="BC18" s="23">
        <f>IF(BB18="","",COUNTIF(Performance!$M$5:$M$404,BB18))</f>
        <v>0</v>
      </c>
      <c r="BD18" s="23">
        <f>IF(BB18="","",SUMIFS(Performance!$O$5:$O$404,Performance!$M$5:$M$404,BB18))</f>
        <v>0</v>
      </c>
      <c r="BE18" s="23">
        <f>IF(BB18="","",SUMIFS(Performance!$Z$5:$Z$404,Performance!$M$5:$M$404,BB18))</f>
        <v>0</v>
      </c>
      <c r="BF18" s="24">
        <f>IF(OR(BD18="",BD18=0),"",BE18/BD18)</f>
        <v>0</v>
      </c>
      <c r="BG18" s="32">
        <f>IF(BC18=0,"",IF(BF18="","",BF18+ROW()/1000000))</f>
        <v>0</v>
      </c>
      <c r="BH18" s="17">
        <f>IF(Performance!$C$18="","",Performance!$C$18)</f>
        <v>0</v>
      </c>
      <c r="BI18" s="17">
        <f>IF(Performance!$F$18="","",Performance!$F$18)</f>
        <v>0</v>
      </c>
      <c r="BJ18" s="17">
        <f>IF(Performance!$H$18="","",Performance!$H$18)</f>
        <v>0</v>
      </c>
      <c r="BK18" s="16">
        <f>IF(Performance!$D$18="","",Performance!$D$18)</f>
        <v>0</v>
      </c>
      <c r="BL18" s="17">
        <f>IF(Performance!$E$18="","",Performance!$E$18)</f>
        <v>0</v>
      </c>
      <c r="BM18" s="23">
        <f>IF(Performance!$O$18="","",Performance!$O$18)</f>
        <v>0</v>
      </c>
      <c r="BN18" s="24">
        <f>IF(Performance!$AA$18="","",Performance!$AA$18)</f>
        <v>0</v>
      </c>
      <c r="BO18" s="32">
        <f>IF(BH18="","",IF(BK18="","",IF(OR(BK18&lt;DashStart,BK18&gt;DashEnd),"",IF(BN18="","",BN18+ROW()/1000000))))</f>
        <v>0</v>
      </c>
      <c r="BP18" s="32">
        <f>IF(BM18="","",IF(BK18="","",IF(OR(BK18&lt;DashStart,BK18&gt;DashEnd),"",BM18+ROW()/1000000)))</f>
        <v>0</v>
      </c>
      <c r="BQ18" s="32">
        <f>IF(BH18="","",IF(BK18="","",IF(YEAR(BK18)&lt;&gt;PlanYear,"",IF(BN18="","",BN18+ROW()/1000000))))</f>
        <v>0</v>
      </c>
      <c r="BR18" s="32">
        <f>IF(BH18="","",IF(BK18="","",IF(OR(BK18&lt;RepFrom,BK18&gt;RepTo),"",IF(BN18="","",BN18+ROW()/1000000))))</f>
        <v>0</v>
      </c>
      <c r="BS18" s="32">
        <f>IF(BM18="","",IF(BK18="","",IF(YEAR(BK18)&lt;&gt;PlanYear,"",BM18+ROW()/1000000)))</f>
        <v>0</v>
      </c>
      <c r="BT18" s="17">
        <f>IF(Lists!$F18="","",Lists!$F18)</f>
        <v>0</v>
      </c>
      <c r="BU18" s="23">
        <f>IF(BT18="","",COUNTIF('Content Calendar'!$X$5:$X$604,BT18))</f>
        <v>0</v>
      </c>
      <c r="BV18" s="23">
        <f>IF(BT18="","",COUNTIFS('Content Calendar'!$X$5:$X$604,BT18,'Content Calendar'!$B$5:$B$604,"&gt;="&amp;DashStart,'Content Calendar'!$B$5:$B$604,"&lt;="&amp;DashEnd))</f>
        <v>0</v>
      </c>
      <c r="BW18" s="17">
        <f>IF(Team!$B$18="","",Team!$B$18)</f>
        <v>0</v>
      </c>
      <c r="BX18" s="23">
        <f>IF(BW18="","",COUNTIF('Content Calendar'!$W$5:$W$604,BW18))</f>
        <v>0</v>
      </c>
      <c r="BY18" s="23">
        <f>IF(BW18="","",COUNTIFS('Content Calendar'!$W$5:$W$604,BW18,'Content Calendar'!$X$5:$X$604,"&lt;&gt;Published"))</f>
        <v>0</v>
      </c>
      <c r="BZ18" s="23">
        <f>IF(BW18="","",COUNTIFS(Tasks!$C$5:$C$64,BW18,Tasks!$G$5:$G$64,"&lt;&gt;Complete"))</f>
        <v>0</v>
      </c>
      <c r="CA18" s="17">
        <f>IF(Campaigns!$B$18="","",Campaigns!$B$18)</f>
        <v>0</v>
      </c>
      <c r="CB18" s="25">
        <f>IF(Campaigns!$T$18="","",Campaigns!$T$18)</f>
        <v>0</v>
      </c>
      <c r="CC18" s="25">
        <f>IF(Campaigns!$Q$18="","",Campaigns!$Q$18)</f>
        <v>0</v>
      </c>
      <c r="CD18" s="23">
        <f>IF(Campaigns!$Y$18="","",Campaigns!$Y$18)</f>
        <v>0</v>
      </c>
      <c r="CE18" s="32">
        <f>IF(CA18="","",IF(N(CB18)&lt;=0,"",N(CB18)+ROW()/1000000))</f>
        <v>0</v>
      </c>
      <c r="CF18" s="17">
        <f>IF(Accounts!$C$18="","",Accounts!$C$18)</f>
        <v>0</v>
      </c>
      <c r="CG18" s="17">
        <f>IF(Accounts!$B$18="","",Accounts!$B$18)</f>
        <v>0</v>
      </c>
      <c r="CH18" s="23">
        <f>IF(Accounts!$J$18="","",Accounts!$J$18)</f>
        <v>0</v>
      </c>
      <c r="CI18" s="23">
        <f>IF(CF18="","",SUMIFS(Analytics!$X$5:$X$154,Analytics!$E$5:$E$154,CF18,Analytics!$B$5:$B$154,"&gt;="&amp;DashStart,Analytics!$B$5:$B$154,"&lt;="&amp;DashEnd))</f>
        <v>0</v>
      </c>
      <c r="CJ18" s="32">
        <f>IF(CH18="","",IF(CH18=0,"",CH18+ROW()/1000000))</f>
        <v>0</v>
      </c>
    </row>
    <row r="19" spans="1:88">
      <c r="A19" s="16">
        <f>IF(ROW()-4&gt;12,"",DATE(PlanYear,ROW()-4,1))</f>
        <v>0</v>
      </c>
      <c r="B19" s="16">
        <f>IF(A19="","",EOMONTH(A19,0))</f>
        <v>0</v>
      </c>
      <c r="C19" s="17">
        <f>IF(A19="","",TEXT(A19,"yyyy-mm"))</f>
        <v>0</v>
      </c>
      <c r="D19" s="17">
        <f>IF(A19="","",TEXT(A19,"mmm"))</f>
        <v>0</v>
      </c>
      <c r="E19" s="23">
        <f>IF(C19="","",COUNTIFS('Content Calendar'!$D$5:$D$604,C19))</f>
        <v>0</v>
      </c>
      <c r="F19" s="23">
        <f>IF(C19="","",COUNTIFS('Content Calendar'!$D$5:$D$604,C19,'Content Calendar'!$X$5:$X$604,"Published"))</f>
        <v>0</v>
      </c>
      <c r="G19" s="23">
        <f>IF(C19="","",SUMIFS(Analytics!$J$5:$J$154,Analytics!$C$5:$C$154,C19))</f>
        <v>0</v>
      </c>
      <c r="H19" s="23">
        <f>IF(C19="","",SUMIFS(Analytics!$K$5:$K$154,Analytics!$C$5:$C$154,C19))</f>
        <v>0</v>
      </c>
      <c r="I19" s="23">
        <f>IF(C19="","",SUMIFS(Analytics!$L$5:$L$154,Analytics!$C$5:$C$154,C19))</f>
        <v>0</v>
      </c>
      <c r="J19" s="24">
        <f>IF(OR(G19="",G19=0),"",I19/G19)</f>
        <v>0</v>
      </c>
      <c r="K19" s="23">
        <f>IF(C19="","",SUMIFS(Analytics!$G$5:$G$154,Analytics!$C$5:$C$154,C19))</f>
        <v>0</v>
      </c>
      <c r="L19" s="23">
        <f>IF(C19="","",SUMIFS(Analytics!$X$5:$X$154,Analytics!$C$5:$C$154,C19))</f>
        <v>0</v>
      </c>
      <c r="M19" s="23">
        <f>IF(C19="","",SUMIFS(Analytics!$R$5:$R$154,Analytics!$C$5:$C$154,C19))</f>
        <v>0</v>
      </c>
      <c r="N19" s="23">
        <f>IF(C19="","",SUMIFS(Analytics!$S$5:$S$154,Analytics!$C$5:$C$154,C19))</f>
        <v>0</v>
      </c>
      <c r="O19" s="23">
        <f>IF(C19="","",SUMIFS(Analytics!$T$5:$T$154,Analytics!$C$5:$C$154,C19))</f>
        <v>0</v>
      </c>
      <c r="P19" s="25">
        <f>IF(C19="","",SUMIFS(Analytics!$U$5:$U$154,Analytics!$C$5:$C$154,C19))</f>
        <v>0</v>
      </c>
      <c r="Q19" s="25">
        <f>IF(C19="","",SUMIFS(Budget!$H$5:$H$64,Budget!$C$5:$C$64,C19))</f>
        <v>0</v>
      </c>
      <c r="R19" s="25">
        <f>IF(C19="","",P19-Q19)</f>
        <v>0</v>
      </c>
      <c r="S19" s="23">
        <f>IF(C19="","",MonthlyPostTarget)</f>
        <v>0</v>
      </c>
      <c r="T19" s="17">
        <f>IF(Lists!$C19="","",Lists!$C19)</f>
        <v>0</v>
      </c>
      <c r="U19" s="23">
        <f>IF(T19="","",COUNTIFS('Content Calendar'!$G$5:$G$604,T19,'Content Calendar'!$B$5:$B$604,"&gt;="&amp;DashStart,'Content Calendar'!$B$5:$B$604,"&lt;="&amp;DashEnd))</f>
        <v>0</v>
      </c>
      <c r="V19" s="23">
        <f>IF(T19="","",COUNTIFS('Content Calendar'!$G$5:$G$604,T19,'Content Calendar'!$X$5:$X$604,"Published",'Content Calendar'!$B$5:$B$604,"&gt;="&amp;DashStart,'Content Calendar'!$B$5:$B$604,"&lt;="&amp;DashEnd))</f>
        <v>0</v>
      </c>
      <c r="W19" s="23">
        <f>IF(T19="","",SUMIFS(Analytics!$J$5:$J$154,Analytics!$D$5:$D$154,T19,Analytics!$B$5:$B$154,"&gt;="&amp;DashStart,Analytics!$B$5:$B$154,"&lt;="&amp;DashEnd))</f>
        <v>0</v>
      </c>
      <c r="X19" s="23">
        <f>IF(T19="","",SUMIFS(Analytics!$L$5:$L$154,Analytics!$D$5:$D$154,T19,Analytics!$B$5:$B$154,"&gt;="&amp;DashStart,Analytics!$B$5:$B$154,"&lt;="&amp;DashEnd))</f>
        <v>0</v>
      </c>
      <c r="Y19" s="24">
        <f>IF(OR(W19="",W19=0),"",X19/W19)</f>
        <v>0</v>
      </c>
      <c r="Z19" s="23">
        <f>IF(T19="","",SUMIFS(Analytics!$G$5:$G$154,Analytics!$D$5:$D$154,T19,Analytics!$B$5:$B$154,"&gt;="&amp;DashStart,Analytics!$B$5:$B$154,"&lt;="&amp;DashEnd))</f>
        <v>0</v>
      </c>
      <c r="AA19" s="23">
        <f>IF(T19="","",SUMIFS(Analytics!$X$5:$X$154,Analytics!$D$5:$D$154,T19,Analytics!$B$5:$B$154,"&gt;="&amp;DashStart,Analytics!$B$5:$B$154,"&lt;="&amp;DashEnd))</f>
        <v>0</v>
      </c>
      <c r="AB19" s="23">
        <f>IF(T19="","",SUMIFS(Analytics!$R$5:$R$154,Analytics!$D$5:$D$154,T19,Analytics!$B$5:$B$154,"&gt;="&amp;DashStart,Analytics!$B$5:$B$154,"&lt;="&amp;DashEnd))</f>
        <v>0</v>
      </c>
      <c r="AC19" s="25">
        <f>IF(T19="","",SUMIFS(Analytics!$U$5:$U$154,Analytics!$D$5:$D$154,T19,Analytics!$B$5:$B$154,"&gt;="&amp;DashStart,Analytics!$B$5:$B$154,"&lt;="&amp;DashEnd))</f>
        <v>0</v>
      </c>
      <c r="AD19" s="23">
        <f>IF(T19="","",COUNTIFS('Content Calendar'!$G$5:$G$604,T19,'Content Calendar'!$B$5:$B$604,"&gt;="&amp;DATE(PlanYear,1,1),'Content Calendar'!$B$5:$B$604,"&lt;="&amp;DATE(PlanYear,12,31)))</f>
        <v>0</v>
      </c>
      <c r="AE19" s="23">
        <f>IF(T19="","",SUMIFS(Analytics!$J$5:$J$154,Analytics!$D$5:$D$154,T19))</f>
        <v>0</v>
      </c>
      <c r="AF19" s="23">
        <f>IF(T19="","",SUMIFS(Analytics!$L$5:$L$154,Analytics!$D$5:$D$154,T19))</f>
        <v>0</v>
      </c>
      <c r="AG19" s="24">
        <f>IF(OR(AE19="",AE19=0),"",AF19/AE19)</f>
        <v>0</v>
      </c>
      <c r="AH19" s="23">
        <f>IF(T19="","",SUMIFS(Analytics!$X$5:$X$154,Analytics!$D$5:$D$154,T19))</f>
        <v>0</v>
      </c>
      <c r="AI19" s="32">
        <f>IF(T19="","",IF(AE19=0,"",AE19+ROW()/1000000))</f>
        <v>0</v>
      </c>
      <c r="AJ19" s="17">
        <f>IF('Content Pillars'!$B$19="","",'Content Pillars'!$B$19)</f>
        <v>0</v>
      </c>
      <c r="AK19" s="23">
        <f>IF(AJ19="","",COUNTIFS('Content Calendar'!$J$5:$J$604,AJ19,'Content Calendar'!$B$5:$B$604,"&gt;="&amp;DATE(PlanYear,1,1),'Content Calendar'!$B$5:$B$604,"&lt;="&amp;DATE(PlanYear,12,31)))</f>
        <v>0</v>
      </c>
      <c r="AL19" s="23">
        <f>IF(AJ19="","",SUMIFS(Performance!$O$5:$O$404,Performance!$H$5:$H$404,AJ19))</f>
        <v>0</v>
      </c>
      <c r="AM19" s="23">
        <f>IF(AJ19="","",SUMIFS(Performance!$Z$5:$Z$404,Performance!$H$5:$H$404,AJ19))</f>
        <v>0</v>
      </c>
      <c r="AN19" s="24">
        <f>IF(OR(AL19="",AL19=0),"",AM19/AL19)</f>
        <v>0</v>
      </c>
      <c r="AO19" s="32">
        <f>IF(AN19="","",AN19+ROW()/1000000)</f>
        <v>0</v>
      </c>
      <c r="AP19" s="17">
        <f>IF(Lists!$E19="","",Lists!$E19)</f>
        <v>0</v>
      </c>
      <c r="AQ19" s="23">
        <f>IF(AP19="","",COUNTIF(Performance!$G$5:$G$404,AP19))</f>
        <v>0</v>
      </c>
      <c r="AR19" s="23">
        <f>IF(AP19="","",SUMIFS(Performance!$O$5:$O$404,Performance!$G$5:$G$404,AP19))</f>
        <v>0</v>
      </c>
      <c r="AS19" s="23">
        <f>IF(AP19="","",SUMIFS(Performance!$Z$5:$Z$404,Performance!$G$5:$G$404,AP19))</f>
        <v>0</v>
      </c>
      <c r="AT19" s="24">
        <f>IF(OR(AR19="",AR19=0),"",AS19/AR19)</f>
        <v>0</v>
      </c>
      <c r="AU19" s="32">
        <f>IF(AQ19=0,"",IF(AT19="","",AT19+ROW()/1000000))</f>
        <v>0</v>
      </c>
      <c r="AV19" s="17">
        <f>IF(ROW()-4&gt;7,"",TEXT(DATE(2024,1,ROW()-4),"ddd"))</f>
        <v>0</v>
      </c>
      <c r="AW19" s="23">
        <f>IF(AV19="","",COUNTIF(Performance!$N$5:$N$404,AV19))</f>
        <v>0</v>
      </c>
      <c r="AX19" s="23">
        <f>IF(AV19="","",SUMIFS(Performance!$O$5:$O$404,Performance!$N$5:$N$404,AV19))</f>
        <v>0</v>
      </c>
      <c r="AY19" s="23">
        <f>IF(AV19="","",SUMIFS(Performance!$Z$5:$Z$404,Performance!$N$5:$N$404,AV19))</f>
        <v>0</v>
      </c>
      <c r="AZ19" s="24">
        <f>IF(OR(AX19="",AX19=0),"",AY19/AX19)</f>
        <v>0</v>
      </c>
      <c r="BA19" s="32">
        <f>IF(AW19=0,"",IF(AZ19="","",AZ19+ROW()/1000000))</f>
        <v>0</v>
      </c>
      <c r="BB19" s="17">
        <f>IF(Lists!$AL19="","",Lists!$AL19)</f>
        <v>0</v>
      </c>
      <c r="BC19" s="23">
        <f>IF(BB19="","",COUNTIF(Performance!$M$5:$M$404,BB19))</f>
        <v>0</v>
      </c>
      <c r="BD19" s="23">
        <f>IF(BB19="","",SUMIFS(Performance!$O$5:$O$404,Performance!$M$5:$M$404,BB19))</f>
        <v>0</v>
      </c>
      <c r="BE19" s="23">
        <f>IF(BB19="","",SUMIFS(Performance!$Z$5:$Z$404,Performance!$M$5:$M$404,BB19))</f>
        <v>0</v>
      </c>
      <c r="BF19" s="24">
        <f>IF(OR(BD19="",BD19=0),"",BE19/BD19)</f>
        <v>0</v>
      </c>
      <c r="BG19" s="32">
        <f>IF(BC19=0,"",IF(BF19="","",BF19+ROW()/1000000))</f>
        <v>0</v>
      </c>
      <c r="BH19" s="17">
        <f>IF(Performance!$C$19="","",Performance!$C$19)</f>
        <v>0</v>
      </c>
      <c r="BI19" s="17">
        <f>IF(Performance!$F$19="","",Performance!$F$19)</f>
        <v>0</v>
      </c>
      <c r="BJ19" s="17">
        <f>IF(Performance!$H$19="","",Performance!$H$19)</f>
        <v>0</v>
      </c>
      <c r="BK19" s="16">
        <f>IF(Performance!$D$19="","",Performance!$D$19)</f>
        <v>0</v>
      </c>
      <c r="BL19" s="17">
        <f>IF(Performance!$E$19="","",Performance!$E$19)</f>
        <v>0</v>
      </c>
      <c r="BM19" s="23">
        <f>IF(Performance!$O$19="","",Performance!$O$19)</f>
        <v>0</v>
      </c>
      <c r="BN19" s="24">
        <f>IF(Performance!$AA$19="","",Performance!$AA$19)</f>
        <v>0</v>
      </c>
      <c r="BO19" s="32">
        <f>IF(BH19="","",IF(BK19="","",IF(OR(BK19&lt;DashStart,BK19&gt;DashEnd),"",IF(BN19="","",BN19+ROW()/1000000))))</f>
        <v>0</v>
      </c>
      <c r="BP19" s="32">
        <f>IF(BM19="","",IF(BK19="","",IF(OR(BK19&lt;DashStart,BK19&gt;DashEnd),"",BM19+ROW()/1000000)))</f>
        <v>0</v>
      </c>
      <c r="BQ19" s="32">
        <f>IF(BH19="","",IF(BK19="","",IF(YEAR(BK19)&lt;&gt;PlanYear,"",IF(BN19="","",BN19+ROW()/1000000))))</f>
        <v>0</v>
      </c>
      <c r="BR19" s="32">
        <f>IF(BH19="","",IF(BK19="","",IF(OR(BK19&lt;RepFrom,BK19&gt;RepTo),"",IF(BN19="","",BN19+ROW()/1000000))))</f>
        <v>0</v>
      </c>
      <c r="BS19" s="32">
        <f>IF(BM19="","",IF(BK19="","",IF(YEAR(BK19)&lt;&gt;PlanYear,"",BM19+ROW()/1000000)))</f>
        <v>0</v>
      </c>
      <c r="BT19" s="17">
        <f>IF(Lists!$F19="","",Lists!$F19)</f>
        <v>0</v>
      </c>
      <c r="BU19" s="23">
        <f>IF(BT19="","",COUNTIF('Content Calendar'!$X$5:$X$604,BT19))</f>
        <v>0</v>
      </c>
      <c r="BV19" s="23">
        <f>IF(BT19="","",COUNTIFS('Content Calendar'!$X$5:$X$604,BT19,'Content Calendar'!$B$5:$B$604,"&gt;="&amp;DashStart,'Content Calendar'!$B$5:$B$604,"&lt;="&amp;DashEnd))</f>
        <v>0</v>
      </c>
      <c r="BW19" s="17">
        <f>IF(Team!$B$19="","",Team!$B$19)</f>
        <v>0</v>
      </c>
      <c r="BX19" s="23">
        <f>IF(BW19="","",COUNTIF('Content Calendar'!$W$5:$W$604,BW19))</f>
        <v>0</v>
      </c>
      <c r="BY19" s="23">
        <f>IF(BW19="","",COUNTIFS('Content Calendar'!$W$5:$W$604,BW19,'Content Calendar'!$X$5:$X$604,"&lt;&gt;Published"))</f>
        <v>0</v>
      </c>
      <c r="BZ19" s="23">
        <f>IF(BW19="","",COUNTIFS(Tasks!$C$5:$C$64,BW19,Tasks!$G$5:$G$64,"&lt;&gt;Complete"))</f>
        <v>0</v>
      </c>
      <c r="CA19" s="17">
        <f>IF(Campaigns!$B$19="","",Campaigns!$B$19)</f>
        <v>0</v>
      </c>
      <c r="CB19" s="25">
        <f>IF(Campaigns!$T$19="","",Campaigns!$T$19)</f>
        <v>0</v>
      </c>
      <c r="CC19" s="25">
        <f>IF(Campaigns!$Q$19="","",Campaigns!$Q$19)</f>
        <v>0</v>
      </c>
      <c r="CD19" s="23">
        <f>IF(Campaigns!$Y$19="","",Campaigns!$Y$19)</f>
        <v>0</v>
      </c>
      <c r="CE19" s="32">
        <f>IF(CA19="","",IF(N(CB19)&lt;=0,"",N(CB19)+ROW()/1000000))</f>
        <v>0</v>
      </c>
      <c r="CF19" s="17">
        <f>IF(Accounts!$C$19="","",Accounts!$C$19)</f>
        <v>0</v>
      </c>
      <c r="CG19" s="17">
        <f>IF(Accounts!$B$19="","",Accounts!$B$19)</f>
        <v>0</v>
      </c>
      <c r="CH19" s="23">
        <f>IF(Accounts!$J$19="","",Accounts!$J$19)</f>
        <v>0</v>
      </c>
      <c r="CI19" s="23">
        <f>IF(CF19="","",SUMIFS(Analytics!$X$5:$X$154,Analytics!$E$5:$E$154,CF19,Analytics!$B$5:$B$154,"&gt;="&amp;DashStart,Analytics!$B$5:$B$154,"&lt;="&amp;DashEnd))</f>
        <v>0</v>
      </c>
      <c r="CJ19" s="32">
        <f>IF(CH19="","",IF(CH19=0,"",CH19+ROW()/1000000))</f>
        <v>0</v>
      </c>
    </row>
    <row r="20" spans="1:88">
      <c r="A20" s="16">
        <f>IF(ROW()-4&gt;12,"",DATE(PlanYear,ROW()-4,1))</f>
        <v>0</v>
      </c>
      <c r="B20" s="16">
        <f>IF(A20="","",EOMONTH(A20,0))</f>
        <v>0</v>
      </c>
      <c r="C20" s="17">
        <f>IF(A20="","",TEXT(A20,"yyyy-mm"))</f>
        <v>0</v>
      </c>
      <c r="D20" s="17">
        <f>IF(A20="","",TEXT(A20,"mmm"))</f>
        <v>0</v>
      </c>
      <c r="E20" s="23">
        <f>IF(C20="","",COUNTIFS('Content Calendar'!$D$5:$D$604,C20))</f>
        <v>0</v>
      </c>
      <c r="F20" s="23">
        <f>IF(C20="","",COUNTIFS('Content Calendar'!$D$5:$D$604,C20,'Content Calendar'!$X$5:$X$604,"Published"))</f>
        <v>0</v>
      </c>
      <c r="G20" s="23">
        <f>IF(C20="","",SUMIFS(Analytics!$J$5:$J$154,Analytics!$C$5:$C$154,C20))</f>
        <v>0</v>
      </c>
      <c r="H20" s="23">
        <f>IF(C20="","",SUMIFS(Analytics!$K$5:$K$154,Analytics!$C$5:$C$154,C20))</f>
        <v>0</v>
      </c>
      <c r="I20" s="23">
        <f>IF(C20="","",SUMIFS(Analytics!$L$5:$L$154,Analytics!$C$5:$C$154,C20))</f>
        <v>0</v>
      </c>
      <c r="J20" s="24">
        <f>IF(OR(G20="",G20=0),"",I20/G20)</f>
        <v>0</v>
      </c>
      <c r="K20" s="23">
        <f>IF(C20="","",SUMIFS(Analytics!$G$5:$G$154,Analytics!$C$5:$C$154,C20))</f>
        <v>0</v>
      </c>
      <c r="L20" s="23">
        <f>IF(C20="","",SUMIFS(Analytics!$X$5:$X$154,Analytics!$C$5:$C$154,C20))</f>
        <v>0</v>
      </c>
      <c r="M20" s="23">
        <f>IF(C20="","",SUMIFS(Analytics!$R$5:$R$154,Analytics!$C$5:$C$154,C20))</f>
        <v>0</v>
      </c>
      <c r="N20" s="23">
        <f>IF(C20="","",SUMIFS(Analytics!$S$5:$S$154,Analytics!$C$5:$C$154,C20))</f>
        <v>0</v>
      </c>
      <c r="O20" s="23">
        <f>IF(C20="","",SUMIFS(Analytics!$T$5:$T$154,Analytics!$C$5:$C$154,C20))</f>
        <v>0</v>
      </c>
      <c r="P20" s="25">
        <f>IF(C20="","",SUMIFS(Analytics!$U$5:$U$154,Analytics!$C$5:$C$154,C20))</f>
        <v>0</v>
      </c>
      <c r="Q20" s="25">
        <f>IF(C20="","",SUMIFS(Budget!$H$5:$H$64,Budget!$C$5:$C$64,C20))</f>
        <v>0</v>
      </c>
      <c r="R20" s="25">
        <f>IF(C20="","",P20-Q20)</f>
        <v>0</v>
      </c>
      <c r="S20" s="23">
        <f>IF(C20="","",MonthlyPostTarget)</f>
        <v>0</v>
      </c>
      <c r="T20" s="17">
        <f>IF(Lists!$C20="","",Lists!$C20)</f>
        <v>0</v>
      </c>
      <c r="U20" s="23">
        <f>IF(T20="","",COUNTIFS('Content Calendar'!$G$5:$G$604,T20,'Content Calendar'!$B$5:$B$604,"&gt;="&amp;DashStart,'Content Calendar'!$B$5:$B$604,"&lt;="&amp;DashEnd))</f>
        <v>0</v>
      </c>
      <c r="V20" s="23">
        <f>IF(T20="","",COUNTIFS('Content Calendar'!$G$5:$G$604,T20,'Content Calendar'!$X$5:$X$604,"Published",'Content Calendar'!$B$5:$B$604,"&gt;="&amp;DashStart,'Content Calendar'!$B$5:$B$604,"&lt;="&amp;DashEnd))</f>
        <v>0</v>
      </c>
      <c r="W20" s="23">
        <f>IF(T20="","",SUMIFS(Analytics!$J$5:$J$154,Analytics!$D$5:$D$154,T20,Analytics!$B$5:$B$154,"&gt;="&amp;DashStart,Analytics!$B$5:$B$154,"&lt;="&amp;DashEnd))</f>
        <v>0</v>
      </c>
      <c r="X20" s="23">
        <f>IF(T20="","",SUMIFS(Analytics!$L$5:$L$154,Analytics!$D$5:$D$154,T20,Analytics!$B$5:$B$154,"&gt;="&amp;DashStart,Analytics!$B$5:$B$154,"&lt;="&amp;DashEnd))</f>
        <v>0</v>
      </c>
      <c r="Y20" s="24">
        <f>IF(OR(W20="",W20=0),"",X20/W20)</f>
        <v>0</v>
      </c>
      <c r="Z20" s="23">
        <f>IF(T20="","",SUMIFS(Analytics!$G$5:$G$154,Analytics!$D$5:$D$154,T20,Analytics!$B$5:$B$154,"&gt;="&amp;DashStart,Analytics!$B$5:$B$154,"&lt;="&amp;DashEnd))</f>
        <v>0</v>
      </c>
      <c r="AA20" s="23">
        <f>IF(T20="","",SUMIFS(Analytics!$X$5:$X$154,Analytics!$D$5:$D$154,T20,Analytics!$B$5:$B$154,"&gt;="&amp;DashStart,Analytics!$B$5:$B$154,"&lt;="&amp;DashEnd))</f>
        <v>0</v>
      </c>
      <c r="AB20" s="23">
        <f>IF(T20="","",SUMIFS(Analytics!$R$5:$R$154,Analytics!$D$5:$D$154,T20,Analytics!$B$5:$B$154,"&gt;="&amp;DashStart,Analytics!$B$5:$B$154,"&lt;="&amp;DashEnd))</f>
        <v>0</v>
      </c>
      <c r="AC20" s="25">
        <f>IF(T20="","",SUMIFS(Analytics!$U$5:$U$154,Analytics!$D$5:$D$154,T20,Analytics!$B$5:$B$154,"&gt;="&amp;DashStart,Analytics!$B$5:$B$154,"&lt;="&amp;DashEnd))</f>
        <v>0</v>
      </c>
      <c r="AD20" s="23">
        <f>IF(T20="","",COUNTIFS('Content Calendar'!$G$5:$G$604,T20,'Content Calendar'!$B$5:$B$604,"&gt;="&amp;DATE(PlanYear,1,1),'Content Calendar'!$B$5:$B$604,"&lt;="&amp;DATE(PlanYear,12,31)))</f>
        <v>0</v>
      </c>
      <c r="AE20" s="23">
        <f>IF(T20="","",SUMIFS(Analytics!$J$5:$J$154,Analytics!$D$5:$D$154,T20))</f>
        <v>0</v>
      </c>
      <c r="AF20" s="23">
        <f>IF(T20="","",SUMIFS(Analytics!$L$5:$L$154,Analytics!$D$5:$D$154,T20))</f>
        <v>0</v>
      </c>
      <c r="AG20" s="24">
        <f>IF(OR(AE20="",AE20=0),"",AF20/AE20)</f>
        <v>0</v>
      </c>
      <c r="AH20" s="23">
        <f>IF(T20="","",SUMIFS(Analytics!$X$5:$X$154,Analytics!$D$5:$D$154,T20))</f>
        <v>0</v>
      </c>
      <c r="AI20" s="32">
        <f>IF(T20="","",IF(AE20=0,"",AE20+ROW()/1000000))</f>
        <v>0</v>
      </c>
      <c r="AJ20" s="17">
        <f>IF('Content Pillars'!$B$20="","",'Content Pillars'!$B$20)</f>
        <v>0</v>
      </c>
      <c r="AK20" s="23">
        <f>IF(AJ20="","",COUNTIFS('Content Calendar'!$J$5:$J$604,AJ20,'Content Calendar'!$B$5:$B$604,"&gt;="&amp;DATE(PlanYear,1,1),'Content Calendar'!$B$5:$B$604,"&lt;="&amp;DATE(PlanYear,12,31)))</f>
        <v>0</v>
      </c>
      <c r="AL20" s="23">
        <f>IF(AJ20="","",SUMIFS(Performance!$O$5:$O$404,Performance!$H$5:$H$404,AJ20))</f>
        <v>0</v>
      </c>
      <c r="AM20" s="23">
        <f>IF(AJ20="","",SUMIFS(Performance!$Z$5:$Z$404,Performance!$H$5:$H$404,AJ20))</f>
        <v>0</v>
      </c>
      <c r="AN20" s="24">
        <f>IF(OR(AL20="",AL20=0),"",AM20/AL20)</f>
        <v>0</v>
      </c>
      <c r="AO20" s="32">
        <f>IF(AN20="","",AN20+ROW()/1000000)</f>
        <v>0</v>
      </c>
      <c r="AP20" s="17">
        <f>IF(Lists!$E20="","",Lists!$E20)</f>
        <v>0</v>
      </c>
      <c r="AQ20" s="23">
        <f>IF(AP20="","",COUNTIF(Performance!$G$5:$G$404,AP20))</f>
        <v>0</v>
      </c>
      <c r="AR20" s="23">
        <f>IF(AP20="","",SUMIFS(Performance!$O$5:$O$404,Performance!$G$5:$G$404,AP20))</f>
        <v>0</v>
      </c>
      <c r="AS20" s="23">
        <f>IF(AP20="","",SUMIFS(Performance!$Z$5:$Z$404,Performance!$G$5:$G$404,AP20))</f>
        <v>0</v>
      </c>
      <c r="AT20" s="24">
        <f>IF(OR(AR20="",AR20=0),"",AS20/AR20)</f>
        <v>0</v>
      </c>
      <c r="AU20" s="32">
        <f>IF(AQ20=0,"",IF(AT20="","",AT20+ROW()/1000000))</f>
        <v>0</v>
      </c>
      <c r="AV20" s="17">
        <f>IF(ROW()-4&gt;7,"",TEXT(DATE(2024,1,ROW()-4),"ddd"))</f>
        <v>0</v>
      </c>
      <c r="AW20" s="23">
        <f>IF(AV20="","",COUNTIF(Performance!$N$5:$N$404,AV20))</f>
        <v>0</v>
      </c>
      <c r="AX20" s="23">
        <f>IF(AV20="","",SUMIFS(Performance!$O$5:$O$404,Performance!$N$5:$N$404,AV20))</f>
        <v>0</v>
      </c>
      <c r="AY20" s="23">
        <f>IF(AV20="","",SUMIFS(Performance!$Z$5:$Z$404,Performance!$N$5:$N$404,AV20))</f>
        <v>0</v>
      </c>
      <c r="AZ20" s="24">
        <f>IF(OR(AX20="",AX20=0),"",AY20/AX20)</f>
        <v>0</v>
      </c>
      <c r="BA20" s="32">
        <f>IF(AW20=0,"",IF(AZ20="","",AZ20+ROW()/1000000))</f>
        <v>0</v>
      </c>
      <c r="BB20" s="17">
        <f>IF(Lists!$AL20="","",Lists!$AL20)</f>
        <v>0</v>
      </c>
      <c r="BC20" s="23">
        <f>IF(BB20="","",COUNTIF(Performance!$M$5:$M$404,BB20))</f>
        <v>0</v>
      </c>
      <c r="BD20" s="23">
        <f>IF(BB20="","",SUMIFS(Performance!$O$5:$O$404,Performance!$M$5:$M$404,BB20))</f>
        <v>0</v>
      </c>
      <c r="BE20" s="23">
        <f>IF(BB20="","",SUMIFS(Performance!$Z$5:$Z$404,Performance!$M$5:$M$404,BB20))</f>
        <v>0</v>
      </c>
      <c r="BF20" s="24">
        <f>IF(OR(BD20="",BD20=0),"",BE20/BD20)</f>
        <v>0</v>
      </c>
      <c r="BG20" s="32">
        <f>IF(BC20=0,"",IF(BF20="","",BF20+ROW()/1000000))</f>
        <v>0</v>
      </c>
      <c r="BH20" s="17">
        <f>IF(Performance!$C$20="","",Performance!$C$20)</f>
        <v>0</v>
      </c>
      <c r="BI20" s="17">
        <f>IF(Performance!$F$20="","",Performance!$F$20)</f>
        <v>0</v>
      </c>
      <c r="BJ20" s="17">
        <f>IF(Performance!$H$20="","",Performance!$H$20)</f>
        <v>0</v>
      </c>
      <c r="BK20" s="16">
        <f>IF(Performance!$D$20="","",Performance!$D$20)</f>
        <v>0</v>
      </c>
      <c r="BL20" s="17">
        <f>IF(Performance!$E$20="","",Performance!$E$20)</f>
        <v>0</v>
      </c>
      <c r="BM20" s="23">
        <f>IF(Performance!$O$20="","",Performance!$O$20)</f>
        <v>0</v>
      </c>
      <c r="BN20" s="24">
        <f>IF(Performance!$AA$20="","",Performance!$AA$20)</f>
        <v>0</v>
      </c>
      <c r="BO20" s="32">
        <f>IF(BH20="","",IF(BK20="","",IF(OR(BK20&lt;DashStart,BK20&gt;DashEnd),"",IF(BN20="","",BN20+ROW()/1000000))))</f>
        <v>0</v>
      </c>
      <c r="BP20" s="32">
        <f>IF(BM20="","",IF(BK20="","",IF(OR(BK20&lt;DashStart,BK20&gt;DashEnd),"",BM20+ROW()/1000000)))</f>
        <v>0</v>
      </c>
      <c r="BQ20" s="32">
        <f>IF(BH20="","",IF(BK20="","",IF(YEAR(BK20)&lt;&gt;PlanYear,"",IF(BN20="","",BN20+ROW()/1000000))))</f>
        <v>0</v>
      </c>
      <c r="BR20" s="32">
        <f>IF(BH20="","",IF(BK20="","",IF(OR(BK20&lt;RepFrom,BK20&gt;RepTo),"",IF(BN20="","",BN20+ROW()/1000000))))</f>
        <v>0</v>
      </c>
      <c r="BS20" s="32">
        <f>IF(BM20="","",IF(BK20="","",IF(YEAR(BK20)&lt;&gt;PlanYear,"",BM20+ROW()/1000000)))</f>
        <v>0</v>
      </c>
      <c r="BT20" s="17">
        <f>IF(Lists!$F20="","",Lists!$F20)</f>
        <v>0</v>
      </c>
      <c r="BU20" s="23">
        <f>IF(BT20="","",COUNTIF('Content Calendar'!$X$5:$X$604,BT20))</f>
        <v>0</v>
      </c>
      <c r="BV20" s="23">
        <f>IF(BT20="","",COUNTIFS('Content Calendar'!$X$5:$X$604,BT20,'Content Calendar'!$B$5:$B$604,"&gt;="&amp;DashStart,'Content Calendar'!$B$5:$B$604,"&lt;="&amp;DashEnd))</f>
        <v>0</v>
      </c>
      <c r="BW20" s="17">
        <f>IF(Team!$B$20="","",Team!$B$20)</f>
        <v>0</v>
      </c>
      <c r="BX20" s="23">
        <f>IF(BW20="","",COUNTIF('Content Calendar'!$W$5:$W$604,BW20))</f>
        <v>0</v>
      </c>
      <c r="BY20" s="23">
        <f>IF(BW20="","",COUNTIFS('Content Calendar'!$W$5:$W$604,BW20,'Content Calendar'!$X$5:$X$604,"&lt;&gt;Published"))</f>
        <v>0</v>
      </c>
      <c r="BZ20" s="23">
        <f>IF(BW20="","",COUNTIFS(Tasks!$C$5:$C$64,BW20,Tasks!$G$5:$G$64,"&lt;&gt;Complete"))</f>
        <v>0</v>
      </c>
      <c r="CA20" s="17">
        <f>IF(Campaigns!$B$20="","",Campaigns!$B$20)</f>
        <v>0</v>
      </c>
      <c r="CB20" s="25">
        <f>IF(Campaigns!$T$20="","",Campaigns!$T$20)</f>
        <v>0</v>
      </c>
      <c r="CC20" s="25">
        <f>IF(Campaigns!$Q$20="","",Campaigns!$Q$20)</f>
        <v>0</v>
      </c>
      <c r="CD20" s="23">
        <f>IF(Campaigns!$Y$20="","",Campaigns!$Y$20)</f>
        <v>0</v>
      </c>
      <c r="CE20" s="32">
        <f>IF(CA20="","",IF(N(CB20)&lt;=0,"",N(CB20)+ROW()/1000000))</f>
        <v>0</v>
      </c>
      <c r="CF20" s="17">
        <f>IF(Accounts!$C$20="","",Accounts!$C$20)</f>
        <v>0</v>
      </c>
      <c r="CG20" s="17">
        <f>IF(Accounts!$B$20="","",Accounts!$B$20)</f>
        <v>0</v>
      </c>
      <c r="CH20" s="23">
        <f>IF(Accounts!$J$20="","",Accounts!$J$20)</f>
        <v>0</v>
      </c>
      <c r="CI20" s="23">
        <f>IF(CF20="","",SUMIFS(Analytics!$X$5:$X$154,Analytics!$E$5:$E$154,CF20,Analytics!$B$5:$B$154,"&gt;="&amp;DashStart,Analytics!$B$5:$B$154,"&lt;="&amp;DashEnd))</f>
        <v>0</v>
      </c>
      <c r="CJ20" s="32">
        <f>IF(CH20="","",IF(CH20=0,"",CH20+ROW()/1000000))</f>
        <v>0</v>
      </c>
    </row>
    <row r="21" spans="1:88">
      <c r="A21" s="16">
        <f>IF(ROW()-4&gt;12,"",DATE(PlanYear,ROW()-4,1))</f>
        <v>0</v>
      </c>
      <c r="B21" s="16">
        <f>IF(A21="","",EOMONTH(A21,0))</f>
        <v>0</v>
      </c>
      <c r="C21" s="17">
        <f>IF(A21="","",TEXT(A21,"yyyy-mm"))</f>
        <v>0</v>
      </c>
      <c r="D21" s="17">
        <f>IF(A21="","",TEXT(A21,"mmm"))</f>
        <v>0</v>
      </c>
      <c r="E21" s="23">
        <f>IF(C21="","",COUNTIFS('Content Calendar'!$D$5:$D$604,C21))</f>
        <v>0</v>
      </c>
      <c r="F21" s="23">
        <f>IF(C21="","",COUNTIFS('Content Calendar'!$D$5:$D$604,C21,'Content Calendar'!$X$5:$X$604,"Published"))</f>
        <v>0</v>
      </c>
      <c r="G21" s="23">
        <f>IF(C21="","",SUMIFS(Analytics!$J$5:$J$154,Analytics!$C$5:$C$154,C21))</f>
        <v>0</v>
      </c>
      <c r="H21" s="23">
        <f>IF(C21="","",SUMIFS(Analytics!$K$5:$K$154,Analytics!$C$5:$C$154,C21))</f>
        <v>0</v>
      </c>
      <c r="I21" s="23">
        <f>IF(C21="","",SUMIFS(Analytics!$L$5:$L$154,Analytics!$C$5:$C$154,C21))</f>
        <v>0</v>
      </c>
      <c r="J21" s="24">
        <f>IF(OR(G21="",G21=0),"",I21/G21)</f>
        <v>0</v>
      </c>
      <c r="K21" s="23">
        <f>IF(C21="","",SUMIFS(Analytics!$G$5:$G$154,Analytics!$C$5:$C$154,C21))</f>
        <v>0</v>
      </c>
      <c r="L21" s="23">
        <f>IF(C21="","",SUMIFS(Analytics!$X$5:$X$154,Analytics!$C$5:$C$154,C21))</f>
        <v>0</v>
      </c>
      <c r="M21" s="23">
        <f>IF(C21="","",SUMIFS(Analytics!$R$5:$R$154,Analytics!$C$5:$C$154,C21))</f>
        <v>0</v>
      </c>
      <c r="N21" s="23">
        <f>IF(C21="","",SUMIFS(Analytics!$S$5:$S$154,Analytics!$C$5:$C$154,C21))</f>
        <v>0</v>
      </c>
      <c r="O21" s="23">
        <f>IF(C21="","",SUMIFS(Analytics!$T$5:$T$154,Analytics!$C$5:$C$154,C21))</f>
        <v>0</v>
      </c>
      <c r="P21" s="25">
        <f>IF(C21="","",SUMIFS(Analytics!$U$5:$U$154,Analytics!$C$5:$C$154,C21))</f>
        <v>0</v>
      </c>
      <c r="Q21" s="25">
        <f>IF(C21="","",SUMIFS(Budget!$H$5:$H$64,Budget!$C$5:$C$64,C21))</f>
        <v>0</v>
      </c>
      <c r="R21" s="25">
        <f>IF(C21="","",P21-Q21)</f>
        <v>0</v>
      </c>
      <c r="S21" s="23">
        <f>IF(C21="","",MonthlyPostTarget)</f>
        <v>0</v>
      </c>
      <c r="T21" s="17">
        <f>IF(Lists!$C21="","",Lists!$C21)</f>
        <v>0</v>
      </c>
      <c r="U21" s="23">
        <f>IF(T21="","",COUNTIFS('Content Calendar'!$G$5:$G$604,T21,'Content Calendar'!$B$5:$B$604,"&gt;="&amp;DashStart,'Content Calendar'!$B$5:$B$604,"&lt;="&amp;DashEnd))</f>
        <v>0</v>
      </c>
      <c r="V21" s="23">
        <f>IF(T21="","",COUNTIFS('Content Calendar'!$G$5:$G$604,T21,'Content Calendar'!$X$5:$X$604,"Published",'Content Calendar'!$B$5:$B$604,"&gt;="&amp;DashStart,'Content Calendar'!$B$5:$B$604,"&lt;="&amp;DashEnd))</f>
        <v>0</v>
      </c>
      <c r="W21" s="23">
        <f>IF(T21="","",SUMIFS(Analytics!$J$5:$J$154,Analytics!$D$5:$D$154,T21,Analytics!$B$5:$B$154,"&gt;="&amp;DashStart,Analytics!$B$5:$B$154,"&lt;="&amp;DashEnd))</f>
        <v>0</v>
      </c>
      <c r="X21" s="23">
        <f>IF(T21="","",SUMIFS(Analytics!$L$5:$L$154,Analytics!$D$5:$D$154,T21,Analytics!$B$5:$B$154,"&gt;="&amp;DashStart,Analytics!$B$5:$B$154,"&lt;="&amp;DashEnd))</f>
        <v>0</v>
      </c>
      <c r="Y21" s="24">
        <f>IF(OR(W21="",W21=0),"",X21/W21)</f>
        <v>0</v>
      </c>
      <c r="Z21" s="23">
        <f>IF(T21="","",SUMIFS(Analytics!$G$5:$G$154,Analytics!$D$5:$D$154,T21,Analytics!$B$5:$B$154,"&gt;="&amp;DashStart,Analytics!$B$5:$B$154,"&lt;="&amp;DashEnd))</f>
        <v>0</v>
      </c>
      <c r="AA21" s="23">
        <f>IF(T21="","",SUMIFS(Analytics!$X$5:$X$154,Analytics!$D$5:$D$154,T21,Analytics!$B$5:$B$154,"&gt;="&amp;DashStart,Analytics!$B$5:$B$154,"&lt;="&amp;DashEnd))</f>
        <v>0</v>
      </c>
      <c r="AB21" s="23">
        <f>IF(T21="","",SUMIFS(Analytics!$R$5:$R$154,Analytics!$D$5:$D$154,T21,Analytics!$B$5:$B$154,"&gt;="&amp;DashStart,Analytics!$B$5:$B$154,"&lt;="&amp;DashEnd))</f>
        <v>0</v>
      </c>
      <c r="AC21" s="25">
        <f>IF(T21="","",SUMIFS(Analytics!$U$5:$U$154,Analytics!$D$5:$D$154,T21,Analytics!$B$5:$B$154,"&gt;="&amp;DashStart,Analytics!$B$5:$B$154,"&lt;="&amp;DashEnd))</f>
        <v>0</v>
      </c>
      <c r="AD21" s="23">
        <f>IF(T21="","",COUNTIFS('Content Calendar'!$G$5:$G$604,T21,'Content Calendar'!$B$5:$B$604,"&gt;="&amp;DATE(PlanYear,1,1),'Content Calendar'!$B$5:$B$604,"&lt;="&amp;DATE(PlanYear,12,31)))</f>
        <v>0</v>
      </c>
      <c r="AE21" s="23">
        <f>IF(T21="","",SUMIFS(Analytics!$J$5:$J$154,Analytics!$D$5:$D$154,T21))</f>
        <v>0</v>
      </c>
      <c r="AF21" s="23">
        <f>IF(T21="","",SUMIFS(Analytics!$L$5:$L$154,Analytics!$D$5:$D$154,T21))</f>
        <v>0</v>
      </c>
      <c r="AG21" s="24">
        <f>IF(OR(AE21="",AE21=0),"",AF21/AE21)</f>
        <v>0</v>
      </c>
      <c r="AH21" s="23">
        <f>IF(T21="","",SUMIFS(Analytics!$X$5:$X$154,Analytics!$D$5:$D$154,T21))</f>
        <v>0</v>
      </c>
      <c r="AI21" s="32">
        <f>IF(T21="","",IF(AE21=0,"",AE21+ROW()/1000000))</f>
        <v>0</v>
      </c>
      <c r="AJ21" s="17">
        <f>IF('Content Pillars'!$B$21="","",'Content Pillars'!$B$21)</f>
        <v>0</v>
      </c>
      <c r="AK21" s="23">
        <f>IF(AJ21="","",COUNTIFS('Content Calendar'!$J$5:$J$604,AJ21,'Content Calendar'!$B$5:$B$604,"&gt;="&amp;DATE(PlanYear,1,1),'Content Calendar'!$B$5:$B$604,"&lt;="&amp;DATE(PlanYear,12,31)))</f>
        <v>0</v>
      </c>
      <c r="AL21" s="23">
        <f>IF(AJ21="","",SUMIFS(Performance!$O$5:$O$404,Performance!$H$5:$H$404,AJ21))</f>
        <v>0</v>
      </c>
      <c r="AM21" s="23">
        <f>IF(AJ21="","",SUMIFS(Performance!$Z$5:$Z$404,Performance!$H$5:$H$404,AJ21))</f>
        <v>0</v>
      </c>
      <c r="AN21" s="24">
        <f>IF(OR(AL21="",AL21=0),"",AM21/AL21)</f>
        <v>0</v>
      </c>
      <c r="AO21" s="32">
        <f>IF(AN21="","",AN21+ROW()/1000000)</f>
        <v>0</v>
      </c>
      <c r="AP21" s="17">
        <f>IF(Lists!$E21="","",Lists!$E21)</f>
        <v>0</v>
      </c>
      <c r="AQ21" s="23">
        <f>IF(AP21="","",COUNTIF(Performance!$G$5:$G$404,AP21))</f>
        <v>0</v>
      </c>
      <c r="AR21" s="23">
        <f>IF(AP21="","",SUMIFS(Performance!$O$5:$O$404,Performance!$G$5:$G$404,AP21))</f>
        <v>0</v>
      </c>
      <c r="AS21" s="23">
        <f>IF(AP21="","",SUMIFS(Performance!$Z$5:$Z$404,Performance!$G$5:$G$404,AP21))</f>
        <v>0</v>
      </c>
      <c r="AT21" s="24">
        <f>IF(OR(AR21="",AR21=0),"",AS21/AR21)</f>
        <v>0</v>
      </c>
      <c r="AU21" s="32">
        <f>IF(AQ21=0,"",IF(AT21="","",AT21+ROW()/1000000))</f>
        <v>0</v>
      </c>
      <c r="AV21" s="17">
        <f>IF(ROW()-4&gt;7,"",TEXT(DATE(2024,1,ROW()-4),"ddd"))</f>
        <v>0</v>
      </c>
      <c r="AW21" s="23">
        <f>IF(AV21="","",COUNTIF(Performance!$N$5:$N$404,AV21))</f>
        <v>0</v>
      </c>
      <c r="AX21" s="23">
        <f>IF(AV21="","",SUMIFS(Performance!$O$5:$O$404,Performance!$N$5:$N$404,AV21))</f>
        <v>0</v>
      </c>
      <c r="AY21" s="23">
        <f>IF(AV21="","",SUMIFS(Performance!$Z$5:$Z$404,Performance!$N$5:$N$404,AV21))</f>
        <v>0</v>
      </c>
      <c r="AZ21" s="24">
        <f>IF(OR(AX21="",AX21=0),"",AY21/AX21)</f>
        <v>0</v>
      </c>
      <c r="BA21" s="32">
        <f>IF(AW21=0,"",IF(AZ21="","",AZ21+ROW()/1000000))</f>
        <v>0</v>
      </c>
      <c r="BB21" s="17">
        <f>IF(Lists!$AL21="","",Lists!$AL21)</f>
        <v>0</v>
      </c>
      <c r="BC21" s="23">
        <f>IF(BB21="","",COUNTIF(Performance!$M$5:$M$404,BB21))</f>
        <v>0</v>
      </c>
      <c r="BD21" s="23">
        <f>IF(BB21="","",SUMIFS(Performance!$O$5:$O$404,Performance!$M$5:$M$404,BB21))</f>
        <v>0</v>
      </c>
      <c r="BE21" s="23">
        <f>IF(BB21="","",SUMIFS(Performance!$Z$5:$Z$404,Performance!$M$5:$M$404,BB21))</f>
        <v>0</v>
      </c>
      <c r="BF21" s="24">
        <f>IF(OR(BD21="",BD21=0),"",BE21/BD21)</f>
        <v>0</v>
      </c>
      <c r="BG21" s="32">
        <f>IF(BC21=0,"",IF(BF21="","",BF21+ROW()/1000000))</f>
        <v>0</v>
      </c>
      <c r="BH21" s="17">
        <f>IF(Performance!$C$21="","",Performance!$C$21)</f>
        <v>0</v>
      </c>
      <c r="BI21" s="17">
        <f>IF(Performance!$F$21="","",Performance!$F$21)</f>
        <v>0</v>
      </c>
      <c r="BJ21" s="17">
        <f>IF(Performance!$H$21="","",Performance!$H$21)</f>
        <v>0</v>
      </c>
      <c r="BK21" s="16">
        <f>IF(Performance!$D$21="","",Performance!$D$21)</f>
        <v>0</v>
      </c>
      <c r="BL21" s="17">
        <f>IF(Performance!$E$21="","",Performance!$E$21)</f>
        <v>0</v>
      </c>
      <c r="BM21" s="23">
        <f>IF(Performance!$O$21="","",Performance!$O$21)</f>
        <v>0</v>
      </c>
      <c r="BN21" s="24">
        <f>IF(Performance!$AA$21="","",Performance!$AA$21)</f>
        <v>0</v>
      </c>
      <c r="BO21" s="32">
        <f>IF(BH21="","",IF(BK21="","",IF(OR(BK21&lt;DashStart,BK21&gt;DashEnd),"",IF(BN21="","",BN21+ROW()/1000000))))</f>
        <v>0</v>
      </c>
      <c r="BP21" s="32">
        <f>IF(BM21="","",IF(BK21="","",IF(OR(BK21&lt;DashStart,BK21&gt;DashEnd),"",BM21+ROW()/1000000)))</f>
        <v>0</v>
      </c>
      <c r="BQ21" s="32">
        <f>IF(BH21="","",IF(BK21="","",IF(YEAR(BK21)&lt;&gt;PlanYear,"",IF(BN21="","",BN21+ROW()/1000000))))</f>
        <v>0</v>
      </c>
      <c r="BR21" s="32">
        <f>IF(BH21="","",IF(BK21="","",IF(OR(BK21&lt;RepFrom,BK21&gt;RepTo),"",IF(BN21="","",BN21+ROW()/1000000))))</f>
        <v>0</v>
      </c>
      <c r="BS21" s="32">
        <f>IF(BM21="","",IF(BK21="","",IF(YEAR(BK21)&lt;&gt;PlanYear,"",BM21+ROW()/1000000)))</f>
        <v>0</v>
      </c>
      <c r="BT21" s="17">
        <f>IF(Lists!$F21="","",Lists!$F21)</f>
        <v>0</v>
      </c>
      <c r="BU21" s="23">
        <f>IF(BT21="","",COUNTIF('Content Calendar'!$X$5:$X$604,BT21))</f>
        <v>0</v>
      </c>
      <c r="BV21" s="23">
        <f>IF(BT21="","",COUNTIFS('Content Calendar'!$X$5:$X$604,BT21,'Content Calendar'!$B$5:$B$604,"&gt;="&amp;DashStart,'Content Calendar'!$B$5:$B$604,"&lt;="&amp;DashEnd))</f>
        <v>0</v>
      </c>
      <c r="BW21" s="17">
        <f>IF(Team!$B$21="","",Team!$B$21)</f>
        <v>0</v>
      </c>
      <c r="BX21" s="23">
        <f>IF(BW21="","",COUNTIF('Content Calendar'!$W$5:$W$604,BW21))</f>
        <v>0</v>
      </c>
      <c r="BY21" s="23">
        <f>IF(BW21="","",COUNTIFS('Content Calendar'!$W$5:$W$604,BW21,'Content Calendar'!$X$5:$X$604,"&lt;&gt;Published"))</f>
        <v>0</v>
      </c>
      <c r="BZ21" s="23">
        <f>IF(BW21="","",COUNTIFS(Tasks!$C$5:$C$64,BW21,Tasks!$G$5:$G$64,"&lt;&gt;Complete"))</f>
        <v>0</v>
      </c>
      <c r="CA21" s="17">
        <f>IF(Campaigns!$B$21="","",Campaigns!$B$21)</f>
        <v>0</v>
      </c>
      <c r="CB21" s="25">
        <f>IF(Campaigns!$T$21="","",Campaigns!$T$21)</f>
        <v>0</v>
      </c>
      <c r="CC21" s="25">
        <f>IF(Campaigns!$Q$21="","",Campaigns!$Q$21)</f>
        <v>0</v>
      </c>
      <c r="CD21" s="23">
        <f>IF(Campaigns!$Y$21="","",Campaigns!$Y$21)</f>
        <v>0</v>
      </c>
      <c r="CE21" s="32">
        <f>IF(CA21="","",IF(N(CB21)&lt;=0,"",N(CB21)+ROW()/1000000))</f>
        <v>0</v>
      </c>
      <c r="CF21" s="17">
        <f>IF(Accounts!$C$21="","",Accounts!$C$21)</f>
        <v>0</v>
      </c>
      <c r="CG21" s="17">
        <f>IF(Accounts!$B$21="","",Accounts!$B$21)</f>
        <v>0</v>
      </c>
      <c r="CH21" s="23">
        <f>IF(Accounts!$J$21="","",Accounts!$J$21)</f>
        <v>0</v>
      </c>
      <c r="CI21" s="23">
        <f>IF(CF21="","",SUMIFS(Analytics!$X$5:$X$154,Analytics!$E$5:$E$154,CF21,Analytics!$B$5:$B$154,"&gt;="&amp;DashStart,Analytics!$B$5:$B$154,"&lt;="&amp;DashEnd))</f>
        <v>0</v>
      </c>
      <c r="CJ21" s="32">
        <f>IF(CH21="","",IF(CH21=0,"",CH21+ROW()/1000000))</f>
        <v>0</v>
      </c>
    </row>
    <row r="22" spans="1:88">
      <c r="A22" s="16">
        <f>IF(ROW()-4&gt;12,"",DATE(PlanYear,ROW()-4,1))</f>
        <v>0</v>
      </c>
      <c r="B22" s="16">
        <f>IF(A22="","",EOMONTH(A22,0))</f>
        <v>0</v>
      </c>
      <c r="C22" s="17">
        <f>IF(A22="","",TEXT(A22,"yyyy-mm"))</f>
        <v>0</v>
      </c>
      <c r="D22" s="17">
        <f>IF(A22="","",TEXT(A22,"mmm"))</f>
        <v>0</v>
      </c>
      <c r="E22" s="23">
        <f>IF(C22="","",COUNTIFS('Content Calendar'!$D$5:$D$604,C22))</f>
        <v>0</v>
      </c>
      <c r="F22" s="23">
        <f>IF(C22="","",COUNTIFS('Content Calendar'!$D$5:$D$604,C22,'Content Calendar'!$X$5:$X$604,"Published"))</f>
        <v>0</v>
      </c>
      <c r="G22" s="23">
        <f>IF(C22="","",SUMIFS(Analytics!$J$5:$J$154,Analytics!$C$5:$C$154,C22))</f>
        <v>0</v>
      </c>
      <c r="H22" s="23">
        <f>IF(C22="","",SUMIFS(Analytics!$K$5:$K$154,Analytics!$C$5:$C$154,C22))</f>
        <v>0</v>
      </c>
      <c r="I22" s="23">
        <f>IF(C22="","",SUMIFS(Analytics!$L$5:$L$154,Analytics!$C$5:$C$154,C22))</f>
        <v>0</v>
      </c>
      <c r="J22" s="24">
        <f>IF(OR(G22="",G22=0),"",I22/G22)</f>
        <v>0</v>
      </c>
      <c r="K22" s="23">
        <f>IF(C22="","",SUMIFS(Analytics!$G$5:$G$154,Analytics!$C$5:$C$154,C22))</f>
        <v>0</v>
      </c>
      <c r="L22" s="23">
        <f>IF(C22="","",SUMIFS(Analytics!$X$5:$X$154,Analytics!$C$5:$C$154,C22))</f>
        <v>0</v>
      </c>
      <c r="M22" s="23">
        <f>IF(C22="","",SUMIFS(Analytics!$R$5:$R$154,Analytics!$C$5:$C$154,C22))</f>
        <v>0</v>
      </c>
      <c r="N22" s="23">
        <f>IF(C22="","",SUMIFS(Analytics!$S$5:$S$154,Analytics!$C$5:$C$154,C22))</f>
        <v>0</v>
      </c>
      <c r="O22" s="23">
        <f>IF(C22="","",SUMIFS(Analytics!$T$5:$T$154,Analytics!$C$5:$C$154,C22))</f>
        <v>0</v>
      </c>
      <c r="P22" s="25">
        <f>IF(C22="","",SUMIFS(Analytics!$U$5:$U$154,Analytics!$C$5:$C$154,C22))</f>
        <v>0</v>
      </c>
      <c r="Q22" s="25">
        <f>IF(C22="","",SUMIFS(Budget!$H$5:$H$64,Budget!$C$5:$C$64,C22))</f>
        <v>0</v>
      </c>
      <c r="R22" s="25">
        <f>IF(C22="","",P22-Q22)</f>
        <v>0</v>
      </c>
      <c r="S22" s="23">
        <f>IF(C22="","",MonthlyPostTarget)</f>
        <v>0</v>
      </c>
      <c r="T22" s="17">
        <f>IF(Lists!$C22="","",Lists!$C22)</f>
        <v>0</v>
      </c>
      <c r="U22" s="23">
        <f>IF(T22="","",COUNTIFS('Content Calendar'!$G$5:$G$604,T22,'Content Calendar'!$B$5:$B$604,"&gt;="&amp;DashStart,'Content Calendar'!$B$5:$B$604,"&lt;="&amp;DashEnd))</f>
        <v>0</v>
      </c>
      <c r="V22" s="23">
        <f>IF(T22="","",COUNTIFS('Content Calendar'!$G$5:$G$604,T22,'Content Calendar'!$X$5:$X$604,"Published",'Content Calendar'!$B$5:$B$604,"&gt;="&amp;DashStart,'Content Calendar'!$B$5:$B$604,"&lt;="&amp;DashEnd))</f>
        <v>0</v>
      </c>
      <c r="W22" s="23">
        <f>IF(T22="","",SUMIFS(Analytics!$J$5:$J$154,Analytics!$D$5:$D$154,T22,Analytics!$B$5:$B$154,"&gt;="&amp;DashStart,Analytics!$B$5:$B$154,"&lt;="&amp;DashEnd))</f>
        <v>0</v>
      </c>
      <c r="X22" s="23">
        <f>IF(T22="","",SUMIFS(Analytics!$L$5:$L$154,Analytics!$D$5:$D$154,T22,Analytics!$B$5:$B$154,"&gt;="&amp;DashStart,Analytics!$B$5:$B$154,"&lt;="&amp;DashEnd))</f>
        <v>0</v>
      </c>
      <c r="Y22" s="24">
        <f>IF(OR(W22="",W22=0),"",X22/W22)</f>
        <v>0</v>
      </c>
      <c r="Z22" s="23">
        <f>IF(T22="","",SUMIFS(Analytics!$G$5:$G$154,Analytics!$D$5:$D$154,T22,Analytics!$B$5:$B$154,"&gt;="&amp;DashStart,Analytics!$B$5:$B$154,"&lt;="&amp;DashEnd))</f>
        <v>0</v>
      </c>
      <c r="AA22" s="23">
        <f>IF(T22="","",SUMIFS(Analytics!$X$5:$X$154,Analytics!$D$5:$D$154,T22,Analytics!$B$5:$B$154,"&gt;="&amp;DashStart,Analytics!$B$5:$B$154,"&lt;="&amp;DashEnd))</f>
        <v>0</v>
      </c>
      <c r="AB22" s="23">
        <f>IF(T22="","",SUMIFS(Analytics!$R$5:$R$154,Analytics!$D$5:$D$154,T22,Analytics!$B$5:$B$154,"&gt;="&amp;DashStart,Analytics!$B$5:$B$154,"&lt;="&amp;DashEnd))</f>
        <v>0</v>
      </c>
      <c r="AC22" s="25">
        <f>IF(T22="","",SUMIFS(Analytics!$U$5:$U$154,Analytics!$D$5:$D$154,T22,Analytics!$B$5:$B$154,"&gt;="&amp;DashStart,Analytics!$B$5:$B$154,"&lt;="&amp;DashEnd))</f>
        <v>0</v>
      </c>
      <c r="AD22" s="23">
        <f>IF(T22="","",COUNTIFS('Content Calendar'!$G$5:$G$604,T22,'Content Calendar'!$B$5:$B$604,"&gt;="&amp;DATE(PlanYear,1,1),'Content Calendar'!$B$5:$B$604,"&lt;="&amp;DATE(PlanYear,12,31)))</f>
        <v>0</v>
      </c>
      <c r="AE22" s="23">
        <f>IF(T22="","",SUMIFS(Analytics!$J$5:$J$154,Analytics!$D$5:$D$154,T22))</f>
        <v>0</v>
      </c>
      <c r="AF22" s="23">
        <f>IF(T22="","",SUMIFS(Analytics!$L$5:$L$154,Analytics!$D$5:$D$154,T22))</f>
        <v>0</v>
      </c>
      <c r="AG22" s="24">
        <f>IF(OR(AE22="",AE22=0),"",AF22/AE22)</f>
        <v>0</v>
      </c>
      <c r="AH22" s="23">
        <f>IF(T22="","",SUMIFS(Analytics!$X$5:$X$154,Analytics!$D$5:$D$154,T22))</f>
        <v>0</v>
      </c>
      <c r="AI22" s="32">
        <f>IF(T22="","",IF(AE22=0,"",AE22+ROW()/1000000))</f>
        <v>0</v>
      </c>
      <c r="AJ22" s="17">
        <f>IF('Content Pillars'!$B$22="","",'Content Pillars'!$B$22)</f>
        <v>0</v>
      </c>
      <c r="AK22" s="23">
        <f>IF(AJ22="","",COUNTIFS('Content Calendar'!$J$5:$J$604,AJ22,'Content Calendar'!$B$5:$B$604,"&gt;="&amp;DATE(PlanYear,1,1),'Content Calendar'!$B$5:$B$604,"&lt;="&amp;DATE(PlanYear,12,31)))</f>
        <v>0</v>
      </c>
      <c r="AL22" s="23">
        <f>IF(AJ22="","",SUMIFS(Performance!$O$5:$O$404,Performance!$H$5:$H$404,AJ22))</f>
        <v>0</v>
      </c>
      <c r="AM22" s="23">
        <f>IF(AJ22="","",SUMIFS(Performance!$Z$5:$Z$404,Performance!$H$5:$H$404,AJ22))</f>
        <v>0</v>
      </c>
      <c r="AN22" s="24">
        <f>IF(OR(AL22="",AL22=0),"",AM22/AL22)</f>
        <v>0</v>
      </c>
      <c r="AO22" s="32">
        <f>IF(AN22="","",AN22+ROW()/1000000)</f>
        <v>0</v>
      </c>
      <c r="AP22" s="17">
        <f>IF(Lists!$E22="","",Lists!$E22)</f>
        <v>0</v>
      </c>
      <c r="AQ22" s="23">
        <f>IF(AP22="","",COUNTIF(Performance!$G$5:$G$404,AP22))</f>
        <v>0</v>
      </c>
      <c r="AR22" s="23">
        <f>IF(AP22="","",SUMIFS(Performance!$O$5:$O$404,Performance!$G$5:$G$404,AP22))</f>
        <v>0</v>
      </c>
      <c r="AS22" s="23">
        <f>IF(AP22="","",SUMIFS(Performance!$Z$5:$Z$404,Performance!$G$5:$G$404,AP22))</f>
        <v>0</v>
      </c>
      <c r="AT22" s="24">
        <f>IF(OR(AR22="",AR22=0),"",AS22/AR22)</f>
        <v>0</v>
      </c>
      <c r="AU22" s="32">
        <f>IF(AQ22=0,"",IF(AT22="","",AT22+ROW()/1000000))</f>
        <v>0</v>
      </c>
      <c r="AV22" s="17">
        <f>IF(ROW()-4&gt;7,"",TEXT(DATE(2024,1,ROW()-4),"ddd"))</f>
        <v>0</v>
      </c>
      <c r="AW22" s="23">
        <f>IF(AV22="","",COUNTIF(Performance!$N$5:$N$404,AV22))</f>
        <v>0</v>
      </c>
      <c r="AX22" s="23">
        <f>IF(AV22="","",SUMIFS(Performance!$O$5:$O$404,Performance!$N$5:$N$404,AV22))</f>
        <v>0</v>
      </c>
      <c r="AY22" s="23">
        <f>IF(AV22="","",SUMIFS(Performance!$Z$5:$Z$404,Performance!$N$5:$N$404,AV22))</f>
        <v>0</v>
      </c>
      <c r="AZ22" s="24">
        <f>IF(OR(AX22="",AX22=0),"",AY22/AX22)</f>
        <v>0</v>
      </c>
      <c r="BA22" s="32">
        <f>IF(AW22=0,"",IF(AZ22="","",AZ22+ROW()/1000000))</f>
        <v>0</v>
      </c>
      <c r="BB22" s="17">
        <f>IF(Lists!$AL22="","",Lists!$AL22)</f>
        <v>0</v>
      </c>
      <c r="BC22" s="23">
        <f>IF(BB22="","",COUNTIF(Performance!$M$5:$M$404,BB22))</f>
        <v>0</v>
      </c>
      <c r="BD22" s="23">
        <f>IF(BB22="","",SUMIFS(Performance!$O$5:$O$404,Performance!$M$5:$M$404,BB22))</f>
        <v>0</v>
      </c>
      <c r="BE22" s="23">
        <f>IF(BB22="","",SUMIFS(Performance!$Z$5:$Z$404,Performance!$M$5:$M$404,BB22))</f>
        <v>0</v>
      </c>
      <c r="BF22" s="24">
        <f>IF(OR(BD22="",BD22=0),"",BE22/BD22)</f>
        <v>0</v>
      </c>
      <c r="BG22" s="32">
        <f>IF(BC22=0,"",IF(BF22="","",BF22+ROW()/1000000))</f>
        <v>0</v>
      </c>
      <c r="BH22" s="17">
        <f>IF(Performance!$C$22="","",Performance!$C$22)</f>
        <v>0</v>
      </c>
      <c r="BI22" s="17">
        <f>IF(Performance!$F$22="","",Performance!$F$22)</f>
        <v>0</v>
      </c>
      <c r="BJ22" s="17">
        <f>IF(Performance!$H$22="","",Performance!$H$22)</f>
        <v>0</v>
      </c>
      <c r="BK22" s="16">
        <f>IF(Performance!$D$22="","",Performance!$D$22)</f>
        <v>0</v>
      </c>
      <c r="BL22" s="17">
        <f>IF(Performance!$E$22="","",Performance!$E$22)</f>
        <v>0</v>
      </c>
      <c r="BM22" s="23">
        <f>IF(Performance!$O$22="","",Performance!$O$22)</f>
        <v>0</v>
      </c>
      <c r="BN22" s="24">
        <f>IF(Performance!$AA$22="","",Performance!$AA$22)</f>
        <v>0</v>
      </c>
      <c r="BO22" s="32">
        <f>IF(BH22="","",IF(BK22="","",IF(OR(BK22&lt;DashStart,BK22&gt;DashEnd),"",IF(BN22="","",BN22+ROW()/1000000))))</f>
        <v>0</v>
      </c>
      <c r="BP22" s="32">
        <f>IF(BM22="","",IF(BK22="","",IF(OR(BK22&lt;DashStart,BK22&gt;DashEnd),"",BM22+ROW()/1000000)))</f>
        <v>0</v>
      </c>
      <c r="BQ22" s="32">
        <f>IF(BH22="","",IF(BK22="","",IF(YEAR(BK22)&lt;&gt;PlanYear,"",IF(BN22="","",BN22+ROW()/1000000))))</f>
        <v>0</v>
      </c>
      <c r="BR22" s="32">
        <f>IF(BH22="","",IF(BK22="","",IF(OR(BK22&lt;RepFrom,BK22&gt;RepTo),"",IF(BN22="","",BN22+ROW()/1000000))))</f>
        <v>0</v>
      </c>
      <c r="BS22" s="32">
        <f>IF(BM22="","",IF(BK22="","",IF(YEAR(BK22)&lt;&gt;PlanYear,"",BM22+ROW()/1000000)))</f>
        <v>0</v>
      </c>
      <c r="BT22" s="17">
        <f>IF(Lists!$F22="","",Lists!$F22)</f>
        <v>0</v>
      </c>
      <c r="BU22" s="23">
        <f>IF(BT22="","",COUNTIF('Content Calendar'!$X$5:$X$604,BT22))</f>
        <v>0</v>
      </c>
      <c r="BV22" s="23">
        <f>IF(BT22="","",COUNTIFS('Content Calendar'!$X$5:$X$604,BT22,'Content Calendar'!$B$5:$B$604,"&gt;="&amp;DashStart,'Content Calendar'!$B$5:$B$604,"&lt;="&amp;DashEnd))</f>
        <v>0</v>
      </c>
      <c r="BW22" s="17">
        <f>IF(Team!$B$22="","",Team!$B$22)</f>
        <v>0</v>
      </c>
      <c r="BX22" s="23">
        <f>IF(BW22="","",COUNTIF('Content Calendar'!$W$5:$W$604,BW22))</f>
        <v>0</v>
      </c>
      <c r="BY22" s="23">
        <f>IF(BW22="","",COUNTIFS('Content Calendar'!$W$5:$W$604,BW22,'Content Calendar'!$X$5:$X$604,"&lt;&gt;Published"))</f>
        <v>0</v>
      </c>
      <c r="BZ22" s="23">
        <f>IF(BW22="","",COUNTIFS(Tasks!$C$5:$C$64,BW22,Tasks!$G$5:$G$64,"&lt;&gt;Complete"))</f>
        <v>0</v>
      </c>
      <c r="CA22" s="17">
        <f>IF(Campaigns!$B$22="","",Campaigns!$B$22)</f>
        <v>0</v>
      </c>
      <c r="CB22" s="25">
        <f>IF(Campaigns!$T$22="","",Campaigns!$T$22)</f>
        <v>0</v>
      </c>
      <c r="CC22" s="25">
        <f>IF(Campaigns!$Q$22="","",Campaigns!$Q$22)</f>
        <v>0</v>
      </c>
      <c r="CD22" s="23">
        <f>IF(Campaigns!$Y$22="","",Campaigns!$Y$22)</f>
        <v>0</v>
      </c>
      <c r="CE22" s="32">
        <f>IF(CA22="","",IF(N(CB22)&lt;=0,"",N(CB22)+ROW()/1000000))</f>
        <v>0</v>
      </c>
      <c r="CF22" s="17">
        <f>IF(Accounts!$C$22="","",Accounts!$C$22)</f>
        <v>0</v>
      </c>
      <c r="CG22" s="17">
        <f>IF(Accounts!$B$22="","",Accounts!$B$22)</f>
        <v>0</v>
      </c>
      <c r="CH22" s="23">
        <f>IF(Accounts!$J$22="","",Accounts!$J$22)</f>
        <v>0</v>
      </c>
      <c r="CI22" s="23">
        <f>IF(CF22="","",SUMIFS(Analytics!$X$5:$X$154,Analytics!$E$5:$E$154,CF22,Analytics!$B$5:$B$154,"&gt;="&amp;DashStart,Analytics!$B$5:$B$154,"&lt;="&amp;DashEnd))</f>
        <v>0</v>
      </c>
      <c r="CJ22" s="32">
        <f>IF(CH22="","",IF(CH22=0,"",CH22+ROW()/1000000))</f>
        <v>0</v>
      </c>
    </row>
    <row r="23" spans="1:88">
      <c r="A23" s="16">
        <f>IF(ROW()-4&gt;12,"",DATE(PlanYear,ROW()-4,1))</f>
        <v>0</v>
      </c>
      <c r="B23" s="16">
        <f>IF(A23="","",EOMONTH(A23,0))</f>
        <v>0</v>
      </c>
      <c r="C23" s="17">
        <f>IF(A23="","",TEXT(A23,"yyyy-mm"))</f>
        <v>0</v>
      </c>
      <c r="D23" s="17">
        <f>IF(A23="","",TEXT(A23,"mmm"))</f>
        <v>0</v>
      </c>
      <c r="E23" s="23">
        <f>IF(C23="","",COUNTIFS('Content Calendar'!$D$5:$D$604,C23))</f>
        <v>0</v>
      </c>
      <c r="F23" s="23">
        <f>IF(C23="","",COUNTIFS('Content Calendar'!$D$5:$D$604,C23,'Content Calendar'!$X$5:$X$604,"Published"))</f>
        <v>0</v>
      </c>
      <c r="G23" s="23">
        <f>IF(C23="","",SUMIFS(Analytics!$J$5:$J$154,Analytics!$C$5:$C$154,C23))</f>
        <v>0</v>
      </c>
      <c r="H23" s="23">
        <f>IF(C23="","",SUMIFS(Analytics!$K$5:$K$154,Analytics!$C$5:$C$154,C23))</f>
        <v>0</v>
      </c>
      <c r="I23" s="23">
        <f>IF(C23="","",SUMIFS(Analytics!$L$5:$L$154,Analytics!$C$5:$C$154,C23))</f>
        <v>0</v>
      </c>
      <c r="J23" s="24">
        <f>IF(OR(G23="",G23=0),"",I23/G23)</f>
        <v>0</v>
      </c>
      <c r="K23" s="23">
        <f>IF(C23="","",SUMIFS(Analytics!$G$5:$G$154,Analytics!$C$5:$C$154,C23))</f>
        <v>0</v>
      </c>
      <c r="L23" s="23">
        <f>IF(C23="","",SUMIFS(Analytics!$X$5:$X$154,Analytics!$C$5:$C$154,C23))</f>
        <v>0</v>
      </c>
      <c r="M23" s="23">
        <f>IF(C23="","",SUMIFS(Analytics!$R$5:$R$154,Analytics!$C$5:$C$154,C23))</f>
        <v>0</v>
      </c>
      <c r="N23" s="23">
        <f>IF(C23="","",SUMIFS(Analytics!$S$5:$S$154,Analytics!$C$5:$C$154,C23))</f>
        <v>0</v>
      </c>
      <c r="O23" s="23">
        <f>IF(C23="","",SUMIFS(Analytics!$T$5:$T$154,Analytics!$C$5:$C$154,C23))</f>
        <v>0</v>
      </c>
      <c r="P23" s="25">
        <f>IF(C23="","",SUMIFS(Analytics!$U$5:$U$154,Analytics!$C$5:$C$154,C23))</f>
        <v>0</v>
      </c>
      <c r="Q23" s="25">
        <f>IF(C23="","",SUMIFS(Budget!$H$5:$H$64,Budget!$C$5:$C$64,C23))</f>
        <v>0</v>
      </c>
      <c r="R23" s="25">
        <f>IF(C23="","",P23-Q23)</f>
        <v>0</v>
      </c>
      <c r="S23" s="23">
        <f>IF(C23="","",MonthlyPostTarget)</f>
        <v>0</v>
      </c>
      <c r="T23" s="17">
        <f>IF(Lists!$C23="","",Lists!$C23)</f>
        <v>0</v>
      </c>
      <c r="U23" s="23">
        <f>IF(T23="","",COUNTIFS('Content Calendar'!$G$5:$G$604,T23,'Content Calendar'!$B$5:$B$604,"&gt;="&amp;DashStart,'Content Calendar'!$B$5:$B$604,"&lt;="&amp;DashEnd))</f>
        <v>0</v>
      </c>
      <c r="V23" s="23">
        <f>IF(T23="","",COUNTIFS('Content Calendar'!$G$5:$G$604,T23,'Content Calendar'!$X$5:$X$604,"Published",'Content Calendar'!$B$5:$B$604,"&gt;="&amp;DashStart,'Content Calendar'!$B$5:$B$604,"&lt;="&amp;DashEnd))</f>
        <v>0</v>
      </c>
      <c r="W23" s="23">
        <f>IF(T23="","",SUMIFS(Analytics!$J$5:$J$154,Analytics!$D$5:$D$154,T23,Analytics!$B$5:$B$154,"&gt;="&amp;DashStart,Analytics!$B$5:$B$154,"&lt;="&amp;DashEnd))</f>
        <v>0</v>
      </c>
      <c r="X23" s="23">
        <f>IF(T23="","",SUMIFS(Analytics!$L$5:$L$154,Analytics!$D$5:$D$154,T23,Analytics!$B$5:$B$154,"&gt;="&amp;DashStart,Analytics!$B$5:$B$154,"&lt;="&amp;DashEnd))</f>
        <v>0</v>
      </c>
      <c r="Y23" s="24">
        <f>IF(OR(W23="",W23=0),"",X23/W23)</f>
        <v>0</v>
      </c>
      <c r="Z23" s="23">
        <f>IF(T23="","",SUMIFS(Analytics!$G$5:$G$154,Analytics!$D$5:$D$154,T23,Analytics!$B$5:$B$154,"&gt;="&amp;DashStart,Analytics!$B$5:$B$154,"&lt;="&amp;DashEnd))</f>
        <v>0</v>
      </c>
      <c r="AA23" s="23">
        <f>IF(T23="","",SUMIFS(Analytics!$X$5:$X$154,Analytics!$D$5:$D$154,T23,Analytics!$B$5:$B$154,"&gt;="&amp;DashStart,Analytics!$B$5:$B$154,"&lt;="&amp;DashEnd))</f>
        <v>0</v>
      </c>
      <c r="AB23" s="23">
        <f>IF(T23="","",SUMIFS(Analytics!$R$5:$R$154,Analytics!$D$5:$D$154,T23,Analytics!$B$5:$B$154,"&gt;="&amp;DashStart,Analytics!$B$5:$B$154,"&lt;="&amp;DashEnd))</f>
        <v>0</v>
      </c>
      <c r="AC23" s="25">
        <f>IF(T23="","",SUMIFS(Analytics!$U$5:$U$154,Analytics!$D$5:$D$154,T23,Analytics!$B$5:$B$154,"&gt;="&amp;DashStart,Analytics!$B$5:$B$154,"&lt;="&amp;DashEnd))</f>
        <v>0</v>
      </c>
      <c r="AD23" s="23">
        <f>IF(T23="","",COUNTIFS('Content Calendar'!$G$5:$G$604,T23,'Content Calendar'!$B$5:$B$604,"&gt;="&amp;DATE(PlanYear,1,1),'Content Calendar'!$B$5:$B$604,"&lt;="&amp;DATE(PlanYear,12,31)))</f>
        <v>0</v>
      </c>
      <c r="AE23" s="23">
        <f>IF(T23="","",SUMIFS(Analytics!$J$5:$J$154,Analytics!$D$5:$D$154,T23))</f>
        <v>0</v>
      </c>
      <c r="AF23" s="23">
        <f>IF(T23="","",SUMIFS(Analytics!$L$5:$L$154,Analytics!$D$5:$D$154,T23))</f>
        <v>0</v>
      </c>
      <c r="AG23" s="24">
        <f>IF(OR(AE23="",AE23=0),"",AF23/AE23)</f>
        <v>0</v>
      </c>
      <c r="AH23" s="23">
        <f>IF(T23="","",SUMIFS(Analytics!$X$5:$X$154,Analytics!$D$5:$D$154,T23))</f>
        <v>0</v>
      </c>
      <c r="AI23" s="32">
        <f>IF(T23="","",IF(AE23=0,"",AE23+ROW()/1000000))</f>
        <v>0</v>
      </c>
      <c r="AJ23" s="17">
        <f>IF('Content Pillars'!$B$23="","",'Content Pillars'!$B$23)</f>
        <v>0</v>
      </c>
      <c r="AK23" s="23">
        <f>IF(AJ23="","",COUNTIFS('Content Calendar'!$J$5:$J$604,AJ23,'Content Calendar'!$B$5:$B$604,"&gt;="&amp;DATE(PlanYear,1,1),'Content Calendar'!$B$5:$B$604,"&lt;="&amp;DATE(PlanYear,12,31)))</f>
        <v>0</v>
      </c>
      <c r="AL23" s="23">
        <f>IF(AJ23="","",SUMIFS(Performance!$O$5:$O$404,Performance!$H$5:$H$404,AJ23))</f>
        <v>0</v>
      </c>
      <c r="AM23" s="23">
        <f>IF(AJ23="","",SUMIFS(Performance!$Z$5:$Z$404,Performance!$H$5:$H$404,AJ23))</f>
        <v>0</v>
      </c>
      <c r="AN23" s="24">
        <f>IF(OR(AL23="",AL23=0),"",AM23/AL23)</f>
        <v>0</v>
      </c>
      <c r="AO23" s="32">
        <f>IF(AN23="","",AN23+ROW()/1000000)</f>
        <v>0</v>
      </c>
      <c r="AP23" s="17">
        <f>IF(Lists!$E23="","",Lists!$E23)</f>
        <v>0</v>
      </c>
      <c r="AQ23" s="23">
        <f>IF(AP23="","",COUNTIF(Performance!$G$5:$G$404,AP23))</f>
        <v>0</v>
      </c>
      <c r="AR23" s="23">
        <f>IF(AP23="","",SUMIFS(Performance!$O$5:$O$404,Performance!$G$5:$G$404,AP23))</f>
        <v>0</v>
      </c>
      <c r="AS23" s="23">
        <f>IF(AP23="","",SUMIFS(Performance!$Z$5:$Z$404,Performance!$G$5:$G$404,AP23))</f>
        <v>0</v>
      </c>
      <c r="AT23" s="24">
        <f>IF(OR(AR23="",AR23=0),"",AS23/AR23)</f>
        <v>0</v>
      </c>
      <c r="AU23" s="32">
        <f>IF(AQ23=0,"",IF(AT23="","",AT23+ROW()/1000000))</f>
        <v>0</v>
      </c>
      <c r="AV23" s="17">
        <f>IF(ROW()-4&gt;7,"",TEXT(DATE(2024,1,ROW()-4),"ddd"))</f>
        <v>0</v>
      </c>
      <c r="AW23" s="23">
        <f>IF(AV23="","",COUNTIF(Performance!$N$5:$N$404,AV23))</f>
        <v>0</v>
      </c>
      <c r="AX23" s="23">
        <f>IF(AV23="","",SUMIFS(Performance!$O$5:$O$404,Performance!$N$5:$N$404,AV23))</f>
        <v>0</v>
      </c>
      <c r="AY23" s="23">
        <f>IF(AV23="","",SUMIFS(Performance!$Z$5:$Z$404,Performance!$N$5:$N$404,AV23))</f>
        <v>0</v>
      </c>
      <c r="AZ23" s="24">
        <f>IF(OR(AX23="",AX23=0),"",AY23/AX23)</f>
        <v>0</v>
      </c>
      <c r="BA23" s="32">
        <f>IF(AW23=0,"",IF(AZ23="","",AZ23+ROW()/1000000))</f>
        <v>0</v>
      </c>
      <c r="BB23" s="17">
        <f>IF(Lists!$AL23="","",Lists!$AL23)</f>
        <v>0</v>
      </c>
      <c r="BC23" s="23">
        <f>IF(BB23="","",COUNTIF(Performance!$M$5:$M$404,BB23))</f>
        <v>0</v>
      </c>
      <c r="BD23" s="23">
        <f>IF(BB23="","",SUMIFS(Performance!$O$5:$O$404,Performance!$M$5:$M$404,BB23))</f>
        <v>0</v>
      </c>
      <c r="BE23" s="23">
        <f>IF(BB23="","",SUMIFS(Performance!$Z$5:$Z$404,Performance!$M$5:$M$404,BB23))</f>
        <v>0</v>
      </c>
      <c r="BF23" s="24">
        <f>IF(OR(BD23="",BD23=0),"",BE23/BD23)</f>
        <v>0</v>
      </c>
      <c r="BG23" s="32">
        <f>IF(BC23=0,"",IF(BF23="","",BF23+ROW()/1000000))</f>
        <v>0</v>
      </c>
      <c r="BH23" s="17">
        <f>IF(Performance!$C$23="","",Performance!$C$23)</f>
        <v>0</v>
      </c>
      <c r="BI23" s="17">
        <f>IF(Performance!$F$23="","",Performance!$F$23)</f>
        <v>0</v>
      </c>
      <c r="BJ23" s="17">
        <f>IF(Performance!$H$23="","",Performance!$H$23)</f>
        <v>0</v>
      </c>
      <c r="BK23" s="16">
        <f>IF(Performance!$D$23="","",Performance!$D$23)</f>
        <v>0</v>
      </c>
      <c r="BL23" s="17">
        <f>IF(Performance!$E$23="","",Performance!$E$23)</f>
        <v>0</v>
      </c>
      <c r="BM23" s="23">
        <f>IF(Performance!$O$23="","",Performance!$O$23)</f>
        <v>0</v>
      </c>
      <c r="BN23" s="24">
        <f>IF(Performance!$AA$23="","",Performance!$AA$23)</f>
        <v>0</v>
      </c>
      <c r="BO23" s="32">
        <f>IF(BH23="","",IF(BK23="","",IF(OR(BK23&lt;DashStart,BK23&gt;DashEnd),"",IF(BN23="","",BN23+ROW()/1000000))))</f>
        <v>0</v>
      </c>
      <c r="BP23" s="32">
        <f>IF(BM23="","",IF(BK23="","",IF(OR(BK23&lt;DashStart,BK23&gt;DashEnd),"",BM23+ROW()/1000000)))</f>
        <v>0</v>
      </c>
      <c r="BQ23" s="32">
        <f>IF(BH23="","",IF(BK23="","",IF(YEAR(BK23)&lt;&gt;PlanYear,"",IF(BN23="","",BN23+ROW()/1000000))))</f>
        <v>0</v>
      </c>
      <c r="BR23" s="32">
        <f>IF(BH23="","",IF(BK23="","",IF(OR(BK23&lt;RepFrom,BK23&gt;RepTo),"",IF(BN23="","",BN23+ROW()/1000000))))</f>
        <v>0</v>
      </c>
      <c r="BS23" s="32">
        <f>IF(BM23="","",IF(BK23="","",IF(YEAR(BK23)&lt;&gt;PlanYear,"",BM23+ROW()/1000000)))</f>
        <v>0</v>
      </c>
      <c r="BT23" s="17">
        <f>IF(Lists!$F23="","",Lists!$F23)</f>
        <v>0</v>
      </c>
      <c r="BU23" s="23">
        <f>IF(BT23="","",COUNTIF('Content Calendar'!$X$5:$X$604,BT23))</f>
        <v>0</v>
      </c>
      <c r="BV23" s="23">
        <f>IF(BT23="","",COUNTIFS('Content Calendar'!$X$5:$X$604,BT23,'Content Calendar'!$B$5:$B$604,"&gt;="&amp;DashStart,'Content Calendar'!$B$5:$B$604,"&lt;="&amp;DashEnd))</f>
        <v>0</v>
      </c>
      <c r="BW23" s="17">
        <f>IF(Team!$B$23="","",Team!$B$23)</f>
        <v>0</v>
      </c>
      <c r="BX23" s="23">
        <f>IF(BW23="","",COUNTIF('Content Calendar'!$W$5:$W$604,BW23))</f>
        <v>0</v>
      </c>
      <c r="BY23" s="23">
        <f>IF(BW23="","",COUNTIFS('Content Calendar'!$W$5:$W$604,BW23,'Content Calendar'!$X$5:$X$604,"&lt;&gt;Published"))</f>
        <v>0</v>
      </c>
      <c r="BZ23" s="23">
        <f>IF(BW23="","",COUNTIFS(Tasks!$C$5:$C$64,BW23,Tasks!$G$5:$G$64,"&lt;&gt;Complete"))</f>
        <v>0</v>
      </c>
      <c r="CA23" s="17">
        <f>IF(Campaigns!$B$23="","",Campaigns!$B$23)</f>
        <v>0</v>
      </c>
      <c r="CB23" s="25">
        <f>IF(Campaigns!$T$23="","",Campaigns!$T$23)</f>
        <v>0</v>
      </c>
      <c r="CC23" s="25">
        <f>IF(Campaigns!$Q$23="","",Campaigns!$Q$23)</f>
        <v>0</v>
      </c>
      <c r="CD23" s="23">
        <f>IF(Campaigns!$Y$23="","",Campaigns!$Y$23)</f>
        <v>0</v>
      </c>
      <c r="CE23" s="32">
        <f>IF(CA23="","",IF(N(CB23)&lt;=0,"",N(CB23)+ROW()/1000000))</f>
        <v>0</v>
      </c>
      <c r="CF23" s="17">
        <f>IF(Accounts!$C$23="","",Accounts!$C$23)</f>
        <v>0</v>
      </c>
      <c r="CG23" s="17">
        <f>IF(Accounts!$B$23="","",Accounts!$B$23)</f>
        <v>0</v>
      </c>
      <c r="CH23" s="23">
        <f>IF(Accounts!$J$23="","",Accounts!$J$23)</f>
        <v>0</v>
      </c>
      <c r="CI23" s="23">
        <f>IF(CF23="","",SUMIFS(Analytics!$X$5:$X$154,Analytics!$E$5:$E$154,CF23,Analytics!$B$5:$B$154,"&gt;="&amp;DashStart,Analytics!$B$5:$B$154,"&lt;="&amp;DashEnd))</f>
        <v>0</v>
      </c>
      <c r="CJ23" s="32">
        <f>IF(CH23="","",IF(CH23=0,"",CH23+ROW()/1000000))</f>
        <v>0</v>
      </c>
    </row>
    <row r="24" spans="1:88">
      <c r="A24" s="16">
        <f>IF(ROW()-4&gt;12,"",DATE(PlanYear,ROW()-4,1))</f>
        <v>0</v>
      </c>
      <c r="B24" s="16">
        <f>IF(A24="","",EOMONTH(A24,0))</f>
        <v>0</v>
      </c>
      <c r="C24" s="17">
        <f>IF(A24="","",TEXT(A24,"yyyy-mm"))</f>
        <v>0</v>
      </c>
      <c r="D24" s="17">
        <f>IF(A24="","",TEXT(A24,"mmm"))</f>
        <v>0</v>
      </c>
      <c r="E24" s="23">
        <f>IF(C24="","",COUNTIFS('Content Calendar'!$D$5:$D$604,C24))</f>
        <v>0</v>
      </c>
      <c r="F24" s="23">
        <f>IF(C24="","",COUNTIFS('Content Calendar'!$D$5:$D$604,C24,'Content Calendar'!$X$5:$X$604,"Published"))</f>
        <v>0</v>
      </c>
      <c r="G24" s="23">
        <f>IF(C24="","",SUMIFS(Analytics!$J$5:$J$154,Analytics!$C$5:$C$154,C24))</f>
        <v>0</v>
      </c>
      <c r="H24" s="23">
        <f>IF(C24="","",SUMIFS(Analytics!$K$5:$K$154,Analytics!$C$5:$C$154,C24))</f>
        <v>0</v>
      </c>
      <c r="I24" s="23">
        <f>IF(C24="","",SUMIFS(Analytics!$L$5:$L$154,Analytics!$C$5:$C$154,C24))</f>
        <v>0</v>
      </c>
      <c r="J24" s="24">
        <f>IF(OR(G24="",G24=0),"",I24/G24)</f>
        <v>0</v>
      </c>
      <c r="K24" s="23">
        <f>IF(C24="","",SUMIFS(Analytics!$G$5:$G$154,Analytics!$C$5:$C$154,C24))</f>
        <v>0</v>
      </c>
      <c r="L24" s="23">
        <f>IF(C24="","",SUMIFS(Analytics!$X$5:$X$154,Analytics!$C$5:$C$154,C24))</f>
        <v>0</v>
      </c>
      <c r="M24" s="23">
        <f>IF(C24="","",SUMIFS(Analytics!$R$5:$R$154,Analytics!$C$5:$C$154,C24))</f>
        <v>0</v>
      </c>
      <c r="N24" s="23">
        <f>IF(C24="","",SUMIFS(Analytics!$S$5:$S$154,Analytics!$C$5:$C$154,C24))</f>
        <v>0</v>
      </c>
      <c r="O24" s="23">
        <f>IF(C24="","",SUMIFS(Analytics!$T$5:$T$154,Analytics!$C$5:$C$154,C24))</f>
        <v>0</v>
      </c>
      <c r="P24" s="25">
        <f>IF(C24="","",SUMIFS(Analytics!$U$5:$U$154,Analytics!$C$5:$C$154,C24))</f>
        <v>0</v>
      </c>
      <c r="Q24" s="25">
        <f>IF(C24="","",SUMIFS(Budget!$H$5:$H$64,Budget!$C$5:$C$64,C24))</f>
        <v>0</v>
      </c>
      <c r="R24" s="25">
        <f>IF(C24="","",P24-Q24)</f>
        <v>0</v>
      </c>
      <c r="S24" s="23">
        <f>IF(C24="","",MonthlyPostTarget)</f>
        <v>0</v>
      </c>
      <c r="T24" s="17">
        <f>IF(Lists!$C24="","",Lists!$C24)</f>
        <v>0</v>
      </c>
      <c r="U24" s="23">
        <f>IF(T24="","",COUNTIFS('Content Calendar'!$G$5:$G$604,T24,'Content Calendar'!$B$5:$B$604,"&gt;="&amp;DashStart,'Content Calendar'!$B$5:$B$604,"&lt;="&amp;DashEnd))</f>
        <v>0</v>
      </c>
      <c r="V24" s="23">
        <f>IF(T24="","",COUNTIFS('Content Calendar'!$G$5:$G$604,T24,'Content Calendar'!$X$5:$X$604,"Published",'Content Calendar'!$B$5:$B$604,"&gt;="&amp;DashStart,'Content Calendar'!$B$5:$B$604,"&lt;="&amp;DashEnd))</f>
        <v>0</v>
      </c>
      <c r="W24" s="23">
        <f>IF(T24="","",SUMIFS(Analytics!$J$5:$J$154,Analytics!$D$5:$D$154,T24,Analytics!$B$5:$B$154,"&gt;="&amp;DashStart,Analytics!$B$5:$B$154,"&lt;="&amp;DashEnd))</f>
        <v>0</v>
      </c>
      <c r="X24" s="23">
        <f>IF(T24="","",SUMIFS(Analytics!$L$5:$L$154,Analytics!$D$5:$D$154,T24,Analytics!$B$5:$B$154,"&gt;="&amp;DashStart,Analytics!$B$5:$B$154,"&lt;="&amp;DashEnd))</f>
        <v>0</v>
      </c>
      <c r="Y24" s="24">
        <f>IF(OR(W24="",W24=0),"",X24/W24)</f>
        <v>0</v>
      </c>
      <c r="Z24" s="23">
        <f>IF(T24="","",SUMIFS(Analytics!$G$5:$G$154,Analytics!$D$5:$D$154,T24,Analytics!$B$5:$B$154,"&gt;="&amp;DashStart,Analytics!$B$5:$B$154,"&lt;="&amp;DashEnd))</f>
        <v>0</v>
      </c>
      <c r="AA24" s="23">
        <f>IF(T24="","",SUMIFS(Analytics!$X$5:$X$154,Analytics!$D$5:$D$154,T24,Analytics!$B$5:$B$154,"&gt;="&amp;DashStart,Analytics!$B$5:$B$154,"&lt;="&amp;DashEnd))</f>
        <v>0</v>
      </c>
      <c r="AB24" s="23">
        <f>IF(T24="","",SUMIFS(Analytics!$R$5:$R$154,Analytics!$D$5:$D$154,T24,Analytics!$B$5:$B$154,"&gt;="&amp;DashStart,Analytics!$B$5:$B$154,"&lt;="&amp;DashEnd))</f>
        <v>0</v>
      </c>
      <c r="AC24" s="25">
        <f>IF(T24="","",SUMIFS(Analytics!$U$5:$U$154,Analytics!$D$5:$D$154,T24,Analytics!$B$5:$B$154,"&gt;="&amp;DashStart,Analytics!$B$5:$B$154,"&lt;="&amp;DashEnd))</f>
        <v>0</v>
      </c>
      <c r="AD24" s="23">
        <f>IF(T24="","",COUNTIFS('Content Calendar'!$G$5:$G$604,T24,'Content Calendar'!$B$5:$B$604,"&gt;="&amp;DATE(PlanYear,1,1),'Content Calendar'!$B$5:$B$604,"&lt;="&amp;DATE(PlanYear,12,31)))</f>
        <v>0</v>
      </c>
      <c r="AE24" s="23">
        <f>IF(T24="","",SUMIFS(Analytics!$J$5:$J$154,Analytics!$D$5:$D$154,T24))</f>
        <v>0</v>
      </c>
      <c r="AF24" s="23">
        <f>IF(T24="","",SUMIFS(Analytics!$L$5:$L$154,Analytics!$D$5:$D$154,T24))</f>
        <v>0</v>
      </c>
      <c r="AG24" s="24">
        <f>IF(OR(AE24="",AE24=0),"",AF24/AE24)</f>
        <v>0</v>
      </c>
      <c r="AH24" s="23">
        <f>IF(T24="","",SUMIFS(Analytics!$X$5:$X$154,Analytics!$D$5:$D$154,T24))</f>
        <v>0</v>
      </c>
      <c r="AI24" s="32">
        <f>IF(T24="","",IF(AE24=0,"",AE24+ROW()/1000000))</f>
        <v>0</v>
      </c>
      <c r="AJ24" s="17">
        <f>IF('Content Pillars'!$B$24="","",'Content Pillars'!$B$24)</f>
        <v>0</v>
      </c>
      <c r="AK24" s="23">
        <f>IF(AJ24="","",COUNTIFS('Content Calendar'!$J$5:$J$604,AJ24,'Content Calendar'!$B$5:$B$604,"&gt;="&amp;DATE(PlanYear,1,1),'Content Calendar'!$B$5:$B$604,"&lt;="&amp;DATE(PlanYear,12,31)))</f>
        <v>0</v>
      </c>
      <c r="AL24" s="23">
        <f>IF(AJ24="","",SUMIFS(Performance!$O$5:$O$404,Performance!$H$5:$H$404,AJ24))</f>
        <v>0</v>
      </c>
      <c r="AM24" s="23">
        <f>IF(AJ24="","",SUMIFS(Performance!$Z$5:$Z$404,Performance!$H$5:$H$404,AJ24))</f>
        <v>0</v>
      </c>
      <c r="AN24" s="24">
        <f>IF(OR(AL24="",AL24=0),"",AM24/AL24)</f>
        <v>0</v>
      </c>
      <c r="AO24" s="32">
        <f>IF(AN24="","",AN24+ROW()/1000000)</f>
        <v>0</v>
      </c>
      <c r="AP24" s="17">
        <f>IF(Lists!$E24="","",Lists!$E24)</f>
        <v>0</v>
      </c>
      <c r="AQ24" s="23">
        <f>IF(AP24="","",COUNTIF(Performance!$G$5:$G$404,AP24))</f>
        <v>0</v>
      </c>
      <c r="AR24" s="23">
        <f>IF(AP24="","",SUMIFS(Performance!$O$5:$O$404,Performance!$G$5:$G$404,AP24))</f>
        <v>0</v>
      </c>
      <c r="AS24" s="23">
        <f>IF(AP24="","",SUMIFS(Performance!$Z$5:$Z$404,Performance!$G$5:$G$404,AP24))</f>
        <v>0</v>
      </c>
      <c r="AT24" s="24">
        <f>IF(OR(AR24="",AR24=0),"",AS24/AR24)</f>
        <v>0</v>
      </c>
      <c r="AU24" s="32">
        <f>IF(AQ24=0,"",IF(AT24="","",AT24+ROW()/1000000))</f>
        <v>0</v>
      </c>
      <c r="AV24" s="17">
        <f>IF(ROW()-4&gt;7,"",TEXT(DATE(2024,1,ROW()-4),"ddd"))</f>
        <v>0</v>
      </c>
      <c r="AW24" s="23">
        <f>IF(AV24="","",COUNTIF(Performance!$N$5:$N$404,AV24))</f>
        <v>0</v>
      </c>
      <c r="AX24" s="23">
        <f>IF(AV24="","",SUMIFS(Performance!$O$5:$O$404,Performance!$N$5:$N$404,AV24))</f>
        <v>0</v>
      </c>
      <c r="AY24" s="23">
        <f>IF(AV24="","",SUMIFS(Performance!$Z$5:$Z$404,Performance!$N$5:$N$404,AV24))</f>
        <v>0</v>
      </c>
      <c r="AZ24" s="24">
        <f>IF(OR(AX24="",AX24=0),"",AY24/AX24)</f>
        <v>0</v>
      </c>
      <c r="BA24" s="32">
        <f>IF(AW24=0,"",IF(AZ24="","",AZ24+ROW()/1000000))</f>
        <v>0</v>
      </c>
      <c r="BB24" s="17">
        <f>IF(Lists!$AL24="","",Lists!$AL24)</f>
        <v>0</v>
      </c>
      <c r="BC24" s="23">
        <f>IF(BB24="","",COUNTIF(Performance!$M$5:$M$404,BB24))</f>
        <v>0</v>
      </c>
      <c r="BD24" s="23">
        <f>IF(BB24="","",SUMIFS(Performance!$O$5:$O$404,Performance!$M$5:$M$404,BB24))</f>
        <v>0</v>
      </c>
      <c r="BE24" s="23">
        <f>IF(BB24="","",SUMIFS(Performance!$Z$5:$Z$404,Performance!$M$5:$M$404,BB24))</f>
        <v>0</v>
      </c>
      <c r="BF24" s="24">
        <f>IF(OR(BD24="",BD24=0),"",BE24/BD24)</f>
        <v>0</v>
      </c>
      <c r="BG24" s="32">
        <f>IF(BC24=0,"",IF(BF24="","",BF24+ROW()/1000000))</f>
        <v>0</v>
      </c>
      <c r="BH24" s="17">
        <f>IF(Performance!$C$24="","",Performance!$C$24)</f>
        <v>0</v>
      </c>
      <c r="BI24" s="17">
        <f>IF(Performance!$F$24="","",Performance!$F$24)</f>
        <v>0</v>
      </c>
      <c r="BJ24" s="17">
        <f>IF(Performance!$H$24="","",Performance!$H$24)</f>
        <v>0</v>
      </c>
      <c r="BK24" s="16">
        <f>IF(Performance!$D$24="","",Performance!$D$24)</f>
        <v>0</v>
      </c>
      <c r="BL24" s="17">
        <f>IF(Performance!$E$24="","",Performance!$E$24)</f>
        <v>0</v>
      </c>
      <c r="BM24" s="23">
        <f>IF(Performance!$O$24="","",Performance!$O$24)</f>
        <v>0</v>
      </c>
      <c r="BN24" s="24">
        <f>IF(Performance!$AA$24="","",Performance!$AA$24)</f>
        <v>0</v>
      </c>
      <c r="BO24" s="32">
        <f>IF(BH24="","",IF(BK24="","",IF(OR(BK24&lt;DashStart,BK24&gt;DashEnd),"",IF(BN24="","",BN24+ROW()/1000000))))</f>
        <v>0</v>
      </c>
      <c r="BP24" s="32">
        <f>IF(BM24="","",IF(BK24="","",IF(OR(BK24&lt;DashStart,BK24&gt;DashEnd),"",BM24+ROW()/1000000)))</f>
        <v>0</v>
      </c>
      <c r="BQ24" s="32">
        <f>IF(BH24="","",IF(BK24="","",IF(YEAR(BK24)&lt;&gt;PlanYear,"",IF(BN24="","",BN24+ROW()/1000000))))</f>
        <v>0</v>
      </c>
      <c r="BR24" s="32">
        <f>IF(BH24="","",IF(BK24="","",IF(OR(BK24&lt;RepFrom,BK24&gt;RepTo),"",IF(BN24="","",BN24+ROW()/1000000))))</f>
        <v>0</v>
      </c>
      <c r="BS24" s="32">
        <f>IF(BM24="","",IF(BK24="","",IF(YEAR(BK24)&lt;&gt;PlanYear,"",BM24+ROW()/1000000)))</f>
        <v>0</v>
      </c>
      <c r="BT24" s="17">
        <f>IF(Lists!$F24="","",Lists!$F24)</f>
        <v>0</v>
      </c>
      <c r="BU24" s="23">
        <f>IF(BT24="","",COUNTIF('Content Calendar'!$X$5:$X$604,BT24))</f>
        <v>0</v>
      </c>
      <c r="BV24" s="23">
        <f>IF(BT24="","",COUNTIFS('Content Calendar'!$X$5:$X$604,BT24,'Content Calendar'!$B$5:$B$604,"&gt;="&amp;DashStart,'Content Calendar'!$B$5:$B$604,"&lt;="&amp;DashEnd))</f>
        <v>0</v>
      </c>
      <c r="BW24" s="17">
        <f>IF(Team!$B$24="","",Team!$B$24)</f>
        <v>0</v>
      </c>
      <c r="BX24" s="23">
        <f>IF(BW24="","",COUNTIF('Content Calendar'!$W$5:$W$604,BW24))</f>
        <v>0</v>
      </c>
      <c r="BY24" s="23">
        <f>IF(BW24="","",COUNTIFS('Content Calendar'!$W$5:$W$604,BW24,'Content Calendar'!$X$5:$X$604,"&lt;&gt;Published"))</f>
        <v>0</v>
      </c>
      <c r="BZ24" s="23">
        <f>IF(BW24="","",COUNTIFS(Tasks!$C$5:$C$64,BW24,Tasks!$G$5:$G$64,"&lt;&gt;Complete"))</f>
        <v>0</v>
      </c>
      <c r="CA24" s="17">
        <f>IF(Campaigns!$B$24="","",Campaigns!$B$24)</f>
        <v>0</v>
      </c>
      <c r="CB24" s="25">
        <f>IF(Campaigns!$T$24="","",Campaigns!$T$24)</f>
        <v>0</v>
      </c>
      <c r="CC24" s="25">
        <f>IF(Campaigns!$Q$24="","",Campaigns!$Q$24)</f>
        <v>0</v>
      </c>
      <c r="CD24" s="23">
        <f>IF(Campaigns!$Y$24="","",Campaigns!$Y$24)</f>
        <v>0</v>
      </c>
      <c r="CE24" s="32">
        <f>IF(CA24="","",IF(N(CB24)&lt;=0,"",N(CB24)+ROW()/1000000))</f>
        <v>0</v>
      </c>
      <c r="CF24" s="17">
        <f>IF(Accounts!$C$24="","",Accounts!$C$24)</f>
        <v>0</v>
      </c>
      <c r="CG24" s="17">
        <f>IF(Accounts!$B$24="","",Accounts!$B$24)</f>
        <v>0</v>
      </c>
      <c r="CH24" s="23">
        <f>IF(Accounts!$J$24="","",Accounts!$J$24)</f>
        <v>0</v>
      </c>
      <c r="CI24" s="23">
        <f>IF(CF24="","",SUMIFS(Analytics!$X$5:$X$154,Analytics!$E$5:$E$154,CF24,Analytics!$B$5:$B$154,"&gt;="&amp;DashStart,Analytics!$B$5:$B$154,"&lt;="&amp;DashEnd))</f>
        <v>0</v>
      </c>
      <c r="CJ24" s="32">
        <f>IF(CH24="","",IF(CH24=0,"",CH24+ROW()/1000000))</f>
        <v>0</v>
      </c>
    </row>
    <row r="25" spans="1:88">
      <c r="A25" s="16">
        <f>IF(ROW()-4&gt;12,"",DATE(PlanYear,ROW()-4,1))</f>
        <v>0</v>
      </c>
      <c r="B25" s="16">
        <f>IF(A25="","",EOMONTH(A25,0))</f>
        <v>0</v>
      </c>
      <c r="C25" s="17">
        <f>IF(A25="","",TEXT(A25,"yyyy-mm"))</f>
        <v>0</v>
      </c>
      <c r="D25" s="17">
        <f>IF(A25="","",TEXT(A25,"mmm"))</f>
        <v>0</v>
      </c>
      <c r="E25" s="23">
        <f>IF(C25="","",COUNTIFS('Content Calendar'!$D$5:$D$604,C25))</f>
        <v>0</v>
      </c>
      <c r="F25" s="23">
        <f>IF(C25="","",COUNTIFS('Content Calendar'!$D$5:$D$604,C25,'Content Calendar'!$X$5:$X$604,"Published"))</f>
        <v>0</v>
      </c>
      <c r="G25" s="23">
        <f>IF(C25="","",SUMIFS(Analytics!$J$5:$J$154,Analytics!$C$5:$C$154,C25))</f>
        <v>0</v>
      </c>
      <c r="H25" s="23">
        <f>IF(C25="","",SUMIFS(Analytics!$K$5:$K$154,Analytics!$C$5:$C$154,C25))</f>
        <v>0</v>
      </c>
      <c r="I25" s="23">
        <f>IF(C25="","",SUMIFS(Analytics!$L$5:$L$154,Analytics!$C$5:$C$154,C25))</f>
        <v>0</v>
      </c>
      <c r="J25" s="24">
        <f>IF(OR(G25="",G25=0),"",I25/G25)</f>
        <v>0</v>
      </c>
      <c r="K25" s="23">
        <f>IF(C25="","",SUMIFS(Analytics!$G$5:$G$154,Analytics!$C$5:$C$154,C25))</f>
        <v>0</v>
      </c>
      <c r="L25" s="23">
        <f>IF(C25="","",SUMIFS(Analytics!$X$5:$X$154,Analytics!$C$5:$C$154,C25))</f>
        <v>0</v>
      </c>
      <c r="M25" s="23">
        <f>IF(C25="","",SUMIFS(Analytics!$R$5:$R$154,Analytics!$C$5:$C$154,C25))</f>
        <v>0</v>
      </c>
      <c r="N25" s="23">
        <f>IF(C25="","",SUMIFS(Analytics!$S$5:$S$154,Analytics!$C$5:$C$154,C25))</f>
        <v>0</v>
      </c>
      <c r="O25" s="23">
        <f>IF(C25="","",SUMIFS(Analytics!$T$5:$T$154,Analytics!$C$5:$C$154,C25))</f>
        <v>0</v>
      </c>
      <c r="P25" s="25">
        <f>IF(C25="","",SUMIFS(Analytics!$U$5:$U$154,Analytics!$C$5:$C$154,C25))</f>
        <v>0</v>
      </c>
      <c r="Q25" s="25">
        <f>IF(C25="","",SUMIFS(Budget!$H$5:$H$64,Budget!$C$5:$C$64,C25))</f>
        <v>0</v>
      </c>
      <c r="R25" s="25">
        <f>IF(C25="","",P25-Q25)</f>
        <v>0</v>
      </c>
      <c r="S25" s="23">
        <f>IF(C25="","",MonthlyPostTarget)</f>
        <v>0</v>
      </c>
      <c r="T25" s="17">
        <f>IF(Lists!$C25="","",Lists!$C25)</f>
        <v>0</v>
      </c>
      <c r="U25" s="23">
        <f>IF(T25="","",COUNTIFS('Content Calendar'!$G$5:$G$604,T25,'Content Calendar'!$B$5:$B$604,"&gt;="&amp;DashStart,'Content Calendar'!$B$5:$B$604,"&lt;="&amp;DashEnd))</f>
        <v>0</v>
      </c>
      <c r="V25" s="23">
        <f>IF(T25="","",COUNTIFS('Content Calendar'!$G$5:$G$604,T25,'Content Calendar'!$X$5:$X$604,"Published",'Content Calendar'!$B$5:$B$604,"&gt;="&amp;DashStart,'Content Calendar'!$B$5:$B$604,"&lt;="&amp;DashEnd))</f>
        <v>0</v>
      </c>
      <c r="W25" s="23">
        <f>IF(T25="","",SUMIFS(Analytics!$J$5:$J$154,Analytics!$D$5:$D$154,T25,Analytics!$B$5:$B$154,"&gt;="&amp;DashStart,Analytics!$B$5:$B$154,"&lt;="&amp;DashEnd))</f>
        <v>0</v>
      </c>
      <c r="X25" s="23">
        <f>IF(T25="","",SUMIFS(Analytics!$L$5:$L$154,Analytics!$D$5:$D$154,T25,Analytics!$B$5:$B$154,"&gt;="&amp;DashStart,Analytics!$B$5:$B$154,"&lt;="&amp;DashEnd))</f>
        <v>0</v>
      </c>
      <c r="Y25" s="24">
        <f>IF(OR(W25="",W25=0),"",X25/W25)</f>
        <v>0</v>
      </c>
      <c r="Z25" s="23">
        <f>IF(T25="","",SUMIFS(Analytics!$G$5:$G$154,Analytics!$D$5:$D$154,T25,Analytics!$B$5:$B$154,"&gt;="&amp;DashStart,Analytics!$B$5:$B$154,"&lt;="&amp;DashEnd))</f>
        <v>0</v>
      </c>
      <c r="AA25" s="23">
        <f>IF(T25="","",SUMIFS(Analytics!$X$5:$X$154,Analytics!$D$5:$D$154,T25,Analytics!$B$5:$B$154,"&gt;="&amp;DashStart,Analytics!$B$5:$B$154,"&lt;="&amp;DashEnd))</f>
        <v>0</v>
      </c>
      <c r="AB25" s="23">
        <f>IF(T25="","",SUMIFS(Analytics!$R$5:$R$154,Analytics!$D$5:$D$154,T25,Analytics!$B$5:$B$154,"&gt;="&amp;DashStart,Analytics!$B$5:$B$154,"&lt;="&amp;DashEnd))</f>
        <v>0</v>
      </c>
      <c r="AC25" s="25">
        <f>IF(T25="","",SUMIFS(Analytics!$U$5:$U$154,Analytics!$D$5:$D$154,T25,Analytics!$B$5:$B$154,"&gt;="&amp;DashStart,Analytics!$B$5:$B$154,"&lt;="&amp;DashEnd))</f>
        <v>0</v>
      </c>
      <c r="AD25" s="23">
        <f>IF(T25="","",COUNTIFS('Content Calendar'!$G$5:$G$604,T25,'Content Calendar'!$B$5:$B$604,"&gt;="&amp;DATE(PlanYear,1,1),'Content Calendar'!$B$5:$B$604,"&lt;="&amp;DATE(PlanYear,12,31)))</f>
        <v>0</v>
      </c>
      <c r="AE25" s="23">
        <f>IF(T25="","",SUMIFS(Analytics!$J$5:$J$154,Analytics!$D$5:$D$154,T25))</f>
        <v>0</v>
      </c>
      <c r="AF25" s="23">
        <f>IF(T25="","",SUMIFS(Analytics!$L$5:$L$154,Analytics!$D$5:$D$154,T25))</f>
        <v>0</v>
      </c>
      <c r="AG25" s="24">
        <f>IF(OR(AE25="",AE25=0),"",AF25/AE25)</f>
        <v>0</v>
      </c>
      <c r="AH25" s="23">
        <f>IF(T25="","",SUMIFS(Analytics!$X$5:$X$154,Analytics!$D$5:$D$154,T25))</f>
        <v>0</v>
      </c>
      <c r="AI25" s="32">
        <f>IF(T25="","",IF(AE25=0,"",AE25+ROW()/1000000))</f>
        <v>0</v>
      </c>
      <c r="AJ25" s="17">
        <f>IF('Content Pillars'!$B$25="","",'Content Pillars'!$B$25)</f>
        <v>0</v>
      </c>
      <c r="AK25" s="23">
        <f>IF(AJ25="","",COUNTIFS('Content Calendar'!$J$5:$J$604,AJ25,'Content Calendar'!$B$5:$B$604,"&gt;="&amp;DATE(PlanYear,1,1),'Content Calendar'!$B$5:$B$604,"&lt;="&amp;DATE(PlanYear,12,31)))</f>
        <v>0</v>
      </c>
      <c r="AL25" s="23">
        <f>IF(AJ25="","",SUMIFS(Performance!$O$5:$O$404,Performance!$H$5:$H$404,AJ25))</f>
        <v>0</v>
      </c>
      <c r="AM25" s="23">
        <f>IF(AJ25="","",SUMIFS(Performance!$Z$5:$Z$404,Performance!$H$5:$H$404,AJ25))</f>
        <v>0</v>
      </c>
      <c r="AN25" s="24">
        <f>IF(OR(AL25="",AL25=0),"",AM25/AL25)</f>
        <v>0</v>
      </c>
      <c r="AO25" s="32">
        <f>IF(AN25="","",AN25+ROW()/1000000)</f>
        <v>0</v>
      </c>
      <c r="AP25" s="17">
        <f>IF(Lists!$E25="","",Lists!$E25)</f>
        <v>0</v>
      </c>
      <c r="AQ25" s="23">
        <f>IF(AP25="","",COUNTIF(Performance!$G$5:$G$404,AP25))</f>
        <v>0</v>
      </c>
      <c r="AR25" s="23">
        <f>IF(AP25="","",SUMIFS(Performance!$O$5:$O$404,Performance!$G$5:$G$404,AP25))</f>
        <v>0</v>
      </c>
      <c r="AS25" s="23">
        <f>IF(AP25="","",SUMIFS(Performance!$Z$5:$Z$404,Performance!$G$5:$G$404,AP25))</f>
        <v>0</v>
      </c>
      <c r="AT25" s="24">
        <f>IF(OR(AR25="",AR25=0),"",AS25/AR25)</f>
        <v>0</v>
      </c>
      <c r="AU25" s="32">
        <f>IF(AQ25=0,"",IF(AT25="","",AT25+ROW()/1000000))</f>
        <v>0</v>
      </c>
      <c r="AV25" s="17">
        <f>IF(ROW()-4&gt;7,"",TEXT(DATE(2024,1,ROW()-4),"ddd"))</f>
        <v>0</v>
      </c>
      <c r="AW25" s="23">
        <f>IF(AV25="","",COUNTIF(Performance!$N$5:$N$404,AV25))</f>
        <v>0</v>
      </c>
      <c r="AX25" s="23">
        <f>IF(AV25="","",SUMIFS(Performance!$O$5:$O$404,Performance!$N$5:$N$404,AV25))</f>
        <v>0</v>
      </c>
      <c r="AY25" s="23">
        <f>IF(AV25="","",SUMIFS(Performance!$Z$5:$Z$404,Performance!$N$5:$N$404,AV25))</f>
        <v>0</v>
      </c>
      <c r="AZ25" s="24">
        <f>IF(OR(AX25="",AX25=0),"",AY25/AX25)</f>
        <v>0</v>
      </c>
      <c r="BA25" s="32">
        <f>IF(AW25=0,"",IF(AZ25="","",AZ25+ROW()/1000000))</f>
        <v>0</v>
      </c>
      <c r="BB25" s="17">
        <f>IF(Lists!$AL25="","",Lists!$AL25)</f>
        <v>0</v>
      </c>
      <c r="BC25" s="23">
        <f>IF(BB25="","",COUNTIF(Performance!$M$5:$M$404,BB25))</f>
        <v>0</v>
      </c>
      <c r="BD25" s="23">
        <f>IF(BB25="","",SUMIFS(Performance!$O$5:$O$404,Performance!$M$5:$M$404,BB25))</f>
        <v>0</v>
      </c>
      <c r="BE25" s="23">
        <f>IF(BB25="","",SUMIFS(Performance!$Z$5:$Z$404,Performance!$M$5:$M$404,BB25))</f>
        <v>0</v>
      </c>
      <c r="BF25" s="24">
        <f>IF(OR(BD25="",BD25=0),"",BE25/BD25)</f>
        <v>0</v>
      </c>
      <c r="BG25" s="32">
        <f>IF(BC25=0,"",IF(BF25="","",BF25+ROW()/1000000))</f>
        <v>0</v>
      </c>
      <c r="BH25" s="17">
        <f>IF(Performance!$C$25="","",Performance!$C$25)</f>
        <v>0</v>
      </c>
      <c r="BI25" s="17">
        <f>IF(Performance!$F$25="","",Performance!$F$25)</f>
        <v>0</v>
      </c>
      <c r="BJ25" s="17">
        <f>IF(Performance!$H$25="","",Performance!$H$25)</f>
        <v>0</v>
      </c>
      <c r="BK25" s="16">
        <f>IF(Performance!$D$25="","",Performance!$D$25)</f>
        <v>0</v>
      </c>
      <c r="BL25" s="17">
        <f>IF(Performance!$E$25="","",Performance!$E$25)</f>
        <v>0</v>
      </c>
      <c r="BM25" s="23">
        <f>IF(Performance!$O$25="","",Performance!$O$25)</f>
        <v>0</v>
      </c>
      <c r="BN25" s="24">
        <f>IF(Performance!$AA$25="","",Performance!$AA$25)</f>
        <v>0</v>
      </c>
      <c r="BO25" s="32">
        <f>IF(BH25="","",IF(BK25="","",IF(OR(BK25&lt;DashStart,BK25&gt;DashEnd),"",IF(BN25="","",BN25+ROW()/1000000))))</f>
        <v>0</v>
      </c>
      <c r="BP25" s="32">
        <f>IF(BM25="","",IF(BK25="","",IF(OR(BK25&lt;DashStart,BK25&gt;DashEnd),"",BM25+ROW()/1000000)))</f>
        <v>0</v>
      </c>
      <c r="BQ25" s="32">
        <f>IF(BH25="","",IF(BK25="","",IF(YEAR(BK25)&lt;&gt;PlanYear,"",IF(BN25="","",BN25+ROW()/1000000))))</f>
        <v>0</v>
      </c>
      <c r="BR25" s="32">
        <f>IF(BH25="","",IF(BK25="","",IF(OR(BK25&lt;RepFrom,BK25&gt;RepTo),"",IF(BN25="","",BN25+ROW()/1000000))))</f>
        <v>0</v>
      </c>
      <c r="BS25" s="32">
        <f>IF(BM25="","",IF(BK25="","",IF(YEAR(BK25)&lt;&gt;PlanYear,"",BM25+ROW()/1000000)))</f>
        <v>0</v>
      </c>
      <c r="BT25" s="17">
        <f>IF(Lists!$F25="","",Lists!$F25)</f>
        <v>0</v>
      </c>
      <c r="BU25" s="23">
        <f>IF(BT25="","",COUNTIF('Content Calendar'!$X$5:$X$604,BT25))</f>
        <v>0</v>
      </c>
      <c r="BV25" s="23">
        <f>IF(BT25="","",COUNTIFS('Content Calendar'!$X$5:$X$604,BT25,'Content Calendar'!$B$5:$B$604,"&gt;="&amp;DashStart,'Content Calendar'!$B$5:$B$604,"&lt;="&amp;DashEnd))</f>
        <v>0</v>
      </c>
      <c r="BW25" s="17">
        <f>IF(Team!$B$25="","",Team!$B$25)</f>
        <v>0</v>
      </c>
      <c r="BX25" s="23">
        <f>IF(BW25="","",COUNTIF('Content Calendar'!$W$5:$W$604,BW25))</f>
        <v>0</v>
      </c>
      <c r="BY25" s="23">
        <f>IF(BW25="","",COUNTIFS('Content Calendar'!$W$5:$W$604,BW25,'Content Calendar'!$X$5:$X$604,"&lt;&gt;Published"))</f>
        <v>0</v>
      </c>
      <c r="BZ25" s="23">
        <f>IF(BW25="","",COUNTIFS(Tasks!$C$5:$C$64,BW25,Tasks!$G$5:$G$64,"&lt;&gt;Complete"))</f>
        <v>0</v>
      </c>
      <c r="CA25" s="17">
        <f>IF(Campaigns!$B$25="","",Campaigns!$B$25)</f>
        <v>0</v>
      </c>
      <c r="CB25" s="25">
        <f>IF(Campaigns!$T$25="","",Campaigns!$T$25)</f>
        <v>0</v>
      </c>
      <c r="CC25" s="25">
        <f>IF(Campaigns!$Q$25="","",Campaigns!$Q$25)</f>
        <v>0</v>
      </c>
      <c r="CD25" s="23">
        <f>IF(Campaigns!$Y$25="","",Campaigns!$Y$25)</f>
        <v>0</v>
      </c>
      <c r="CE25" s="32">
        <f>IF(CA25="","",IF(N(CB25)&lt;=0,"",N(CB25)+ROW()/1000000))</f>
        <v>0</v>
      </c>
      <c r="CF25" s="17">
        <f>IF(Accounts!$C$25="","",Accounts!$C$25)</f>
        <v>0</v>
      </c>
      <c r="CG25" s="17">
        <f>IF(Accounts!$B$25="","",Accounts!$B$25)</f>
        <v>0</v>
      </c>
      <c r="CH25" s="23">
        <f>IF(Accounts!$J$25="","",Accounts!$J$25)</f>
        <v>0</v>
      </c>
      <c r="CI25" s="23">
        <f>IF(CF25="","",SUMIFS(Analytics!$X$5:$X$154,Analytics!$E$5:$E$154,CF25,Analytics!$B$5:$B$154,"&gt;="&amp;DashStart,Analytics!$B$5:$B$154,"&lt;="&amp;DashEnd))</f>
        <v>0</v>
      </c>
      <c r="CJ25" s="32">
        <f>IF(CH25="","",IF(CH25=0,"",CH25+ROW()/1000000))</f>
        <v>0</v>
      </c>
    </row>
    <row r="26" spans="1:88">
      <c r="A26" s="16">
        <f>IF(ROW()-4&gt;12,"",DATE(PlanYear,ROW()-4,1))</f>
        <v>0</v>
      </c>
      <c r="B26" s="16">
        <f>IF(A26="","",EOMONTH(A26,0))</f>
        <v>0</v>
      </c>
      <c r="C26" s="17">
        <f>IF(A26="","",TEXT(A26,"yyyy-mm"))</f>
        <v>0</v>
      </c>
      <c r="D26" s="17">
        <f>IF(A26="","",TEXT(A26,"mmm"))</f>
        <v>0</v>
      </c>
      <c r="E26" s="23">
        <f>IF(C26="","",COUNTIFS('Content Calendar'!$D$5:$D$604,C26))</f>
        <v>0</v>
      </c>
      <c r="F26" s="23">
        <f>IF(C26="","",COUNTIFS('Content Calendar'!$D$5:$D$604,C26,'Content Calendar'!$X$5:$X$604,"Published"))</f>
        <v>0</v>
      </c>
      <c r="G26" s="23">
        <f>IF(C26="","",SUMIFS(Analytics!$J$5:$J$154,Analytics!$C$5:$C$154,C26))</f>
        <v>0</v>
      </c>
      <c r="H26" s="23">
        <f>IF(C26="","",SUMIFS(Analytics!$K$5:$K$154,Analytics!$C$5:$C$154,C26))</f>
        <v>0</v>
      </c>
      <c r="I26" s="23">
        <f>IF(C26="","",SUMIFS(Analytics!$L$5:$L$154,Analytics!$C$5:$C$154,C26))</f>
        <v>0</v>
      </c>
      <c r="J26" s="24">
        <f>IF(OR(G26="",G26=0),"",I26/G26)</f>
        <v>0</v>
      </c>
      <c r="K26" s="23">
        <f>IF(C26="","",SUMIFS(Analytics!$G$5:$G$154,Analytics!$C$5:$C$154,C26))</f>
        <v>0</v>
      </c>
      <c r="L26" s="23">
        <f>IF(C26="","",SUMIFS(Analytics!$X$5:$X$154,Analytics!$C$5:$C$154,C26))</f>
        <v>0</v>
      </c>
      <c r="M26" s="23">
        <f>IF(C26="","",SUMIFS(Analytics!$R$5:$R$154,Analytics!$C$5:$C$154,C26))</f>
        <v>0</v>
      </c>
      <c r="N26" s="23">
        <f>IF(C26="","",SUMIFS(Analytics!$S$5:$S$154,Analytics!$C$5:$C$154,C26))</f>
        <v>0</v>
      </c>
      <c r="O26" s="23">
        <f>IF(C26="","",SUMIFS(Analytics!$T$5:$T$154,Analytics!$C$5:$C$154,C26))</f>
        <v>0</v>
      </c>
      <c r="P26" s="25">
        <f>IF(C26="","",SUMIFS(Analytics!$U$5:$U$154,Analytics!$C$5:$C$154,C26))</f>
        <v>0</v>
      </c>
      <c r="Q26" s="25">
        <f>IF(C26="","",SUMIFS(Budget!$H$5:$H$64,Budget!$C$5:$C$64,C26))</f>
        <v>0</v>
      </c>
      <c r="R26" s="25">
        <f>IF(C26="","",P26-Q26)</f>
        <v>0</v>
      </c>
      <c r="S26" s="23">
        <f>IF(C26="","",MonthlyPostTarget)</f>
        <v>0</v>
      </c>
      <c r="T26" s="17">
        <f>IF(Lists!$C26="","",Lists!$C26)</f>
        <v>0</v>
      </c>
      <c r="U26" s="23">
        <f>IF(T26="","",COUNTIFS('Content Calendar'!$G$5:$G$604,T26,'Content Calendar'!$B$5:$B$604,"&gt;="&amp;DashStart,'Content Calendar'!$B$5:$B$604,"&lt;="&amp;DashEnd))</f>
        <v>0</v>
      </c>
      <c r="V26" s="23">
        <f>IF(T26="","",COUNTIFS('Content Calendar'!$G$5:$G$604,T26,'Content Calendar'!$X$5:$X$604,"Published",'Content Calendar'!$B$5:$B$604,"&gt;="&amp;DashStart,'Content Calendar'!$B$5:$B$604,"&lt;="&amp;DashEnd))</f>
        <v>0</v>
      </c>
      <c r="W26" s="23">
        <f>IF(T26="","",SUMIFS(Analytics!$J$5:$J$154,Analytics!$D$5:$D$154,T26,Analytics!$B$5:$B$154,"&gt;="&amp;DashStart,Analytics!$B$5:$B$154,"&lt;="&amp;DashEnd))</f>
        <v>0</v>
      </c>
      <c r="X26" s="23">
        <f>IF(T26="","",SUMIFS(Analytics!$L$5:$L$154,Analytics!$D$5:$D$154,T26,Analytics!$B$5:$B$154,"&gt;="&amp;DashStart,Analytics!$B$5:$B$154,"&lt;="&amp;DashEnd))</f>
        <v>0</v>
      </c>
      <c r="Y26" s="24">
        <f>IF(OR(W26="",W26=0),"",X26/W26)</f>
        <v>0</v>
      </c>
      <c r="Z26" s="23">
        <f>IF(T26="","",SUMIFS(Analytics!$G$5:$G$154,Analytics!$D$5:$D$154,T26,Analytics!$B$5:$B$154,"&gt;="&amp;DashStart,Analytics!$B$5:$B$154,"&lt;="&amp;DashEnd))</f>
        <v>0</v>
      </c>
      <c r="AA26" s="23">
        <f>IF(T26="","",SUMIFS(Analytics!$X$5:$X$154,Analytics!$D$5:$D$154,T26,Analytics!$B$5:$B$154,"&gt;="&amp;DashStart,Analytics!$B$5:$B$154,"&lt;="&amp;DashEnd))</f>
        <v>0</v>
      </c>
      <c r="AB26" s="23">
        <f>IF(T26="","",SUMIFS(Analytics!$R$5:$R$154,Analytics!$D$5:$D$154,T26,Analytics!$B$5:$B$154,"&gt;="&amp;DashStart,Analytics!$B$5:$B$154,"&lt;="&amp;DashEnd))</f>
        <v>0</v>
      </c>
      <c r="AC26" s="25">
        <f>IF(T26="","",SUMIFS(Analytics!$U$5:$U$154,Analytics!$D$5:$D$154,T26,Analytics!$B$5:$B$154,"&gt;="&amp;DashStart,Analytics!$B$5:$B$154,"&lt;="&amp;DashEnd))</f>
        <v>0</v>
      </c>
      <c r="AD26" s="23">
        <f>IF(T26="","",COUNTIFS('Content Calendar'!$G$5:$G$604,T26,'Content Calendar'!$B$5:$B$604,"&gt;="&amp;DATE(PlanYear,1,1),'Content Calendar'!$B$5:$B$604,"&lt;="&amp;DATE(PlanYear,12,31)))</f>
        <v>0</v>
      </c>
      <c r="AE26" s="23">
        <f>IF(T26="","",SUMIFS(Analytics!$J$5:$J$154,Analytics!$D$5:$D$154,T26))</f>
        <v>0</v>
      </c>
      <c r="AF26" s="23">
        <f>IF(T26="","",SUMIFS(Analytics!$L$5:$L$154,Analytics!$D$5:$D$154,T26))</f>
        <v>0</v>
      </c>
      <c r="AG26" s="24">
        <f>IF(OR(AE26="",AE26=0),"",AF26/AE26)</f>
        <v>0</v>
      </c>
      <c r="AH26" s="23">
        <f>IF(T26="","",SUMIFS(Analytics!$X$5:$X$154,Analytics!$D$5:$D$154,T26))</f>
        <v>0</v>
      </c>
      <c r="AI26" s="32">
        <f>IF(T26="","",IF(AE26=0,"",AE26+ROW()/1000000))</f>
        <v>0</v>
      </c>
      <c r="AJ26" s="17">
        <f>IF('Content Pillars'!$B$26="","",'Content Pillars'!$B$26)</f>
        <v>0</v>
      </c>
      <c r="AK26" s="23">
        <f>IF(AJ26="","",COUNTIFS('Content Calendar'!$J$5:$J$604,AJ26,'Content Calendar'!$B$5:$B$604,"&gt;="&amp;DATE(PlanYear,1,1),'Content Calendar'!$B$5:$B$604,"&lt;="&amp;DATE(PlanYear,12,31)))</f>
        <v>0</v>
      </c>
      <c r="AL26" s="23">
        <f>IF(AJ26="","",SUMIFS(Performance!$O$5:$O$404,Performance!$H$5:$H$404,AJ26))</f>
        <v>0</v>
      </c>
      <c r="AM26" s="23">
        <f>IF(AJ26="","",SUMIFS(Performance!$Z$5:$Z$404,Performance!$H$5:$H$404,AJ26))</f>
        <v>0</v>
      </c>
      <c r="AN26" s="24">
        <f>IF(OR(AL26="",AL26=0),"",AM26/AL26)</f>
        <v>0</v>
      </c>
      <c r="AO26" s="32">
        <f>IF(AN26="","",AN26+ROW()/1000000)</f>
        <v>0</v>
      </c>
      <c r="AP26" s="17">
        <f>IF(Lists!$E26="","",Lists!$E26)</f>
        <v>0</v>
      </c>
      <c r="AQ26" s="23">
        <f>IF(AP26="","",COUNTIF(Performance!$G$5:$G$404,AP26))</f>
        <v>0</v>
      </c>
      <c r="AR26" s="23">
        <f>IF(AP26="","",SUMIFS(Performance!$O$5:$O$404,Performance!$G$5:$G$404,AP26))</f>
        <v>0</v>
      </c>
      <c r="AS26" s="23">
        <f>IF(AP26="","",SUMIFS(Performance!$Z$5:$Z$404,Performance!$G$5:$G$404,AP26))</f>
        <v>0</v>
      </c>
      <c r="AT26" s="24">
        <f>IF(OR(AR26="",AR26=0),"",AS26/AR26)</f>
        <v>0</v>
      </c>
      <c r="AU26" s="32">
        <f>IF(AQ26=0,"",IF(AT26="","",AT26+ROW()/1000000))</f>
        <v>0</v>
      </c>
      <c r="AV26" s="17">
        <f>IF(ROW()-4&gt;7,"",TEXT(DATE(2024,1,ROW()-4),"ddd"))</f>
        <v>0</v>
      </c>
      <c r="AW26" s="23">
        <f>IF(AV26="","",COUNTIF(Performance!$N$5:$N$404,AV26))</f>
        <v>0</v>
      </c>
      <c r="AX26" s="23">
        <f>IF(AV26="","",SUMIFS(Performance!$O$5:$O$404,Performance!$N$5:$N$404,AV26))</f>
        <v>0</v>
      </c>
      <c r="AY26" s="23">
        <f>IF(AV26="","",SUMIFS(Performance!$Z$5:$Z$404,Performance!$N$5:$N$404,AV26))</f>
        <v>0</v>
      </c>
      <c r="AZ26" s="24">
        <f>IF(OR(AX26="",AX26=0),"",AY26/AX26)</f>
        <v>0</v>
      </c>
      <c r="BA26" s="32">
        <f>IF(AW26=0,"",IF(AZ26="","",AZ26+ROW()/1000000))</f>
        <v>0</v>
      </c>
      <c r="BB26" s="17">
        <f>IF(Lists!$AL26="","",Lists!$AL26)</f>
        <v>0</v>
      </c>
      <c r="BC26" s="23">
        <f>IF(BB26="","",COUNTIF(Performance!$M$5:$M$404,BB26))</f>
        <v>0</v>
      </c>
      <c r="BD26" s="23">
        <f>IF(BB26="","",SUMIFS(Performance!$O$5:$O$404,Performance!$M$5:$M$404,BB26))</f>
        <v>0</v>
      </c>
      <c r="BE26" s="23">
        <f>IF(BB26="","",SUMIFS(Performance!$Z$5:$Z$404,Performance!$M$5:$M$404,BB26))</f>
        <v>0</v>
      </c>
      <c r="BF26" s="24">
        <f>IF(OR(BD26="",BD26=0),"",BE26/BD26)</f>
        <v>0</v>
      </c>
      <c r="BG26" s="32">
        <f>IF(BC26=0,"",IF(BF26="","",BF26+ROW()/1000000))</f>
        <v>0</v>
      </c>
      <c r="BH26" s="17">
        <f>IF(Performance!$C$26="","",Performance!$C$26)</f>
        <v>0</v>
      </c>
      <c r="BI26" s="17">
        <f>IF(Performance!$F$26="","",Performance!$F$26)</f>
        <v>0</v>
      </c>
      <c r="BJ26" s="17">
        <f>IF(Performance!$H$26="","",Performance!$H$26)</f>
        <v>0</v>
      </c>
      <c r="BK26" s="16">
        <f>IF(Performance!$D$26="","",Performance!$D$26)</f>
        <v>0</v>
      </c>
      <c r="BL26" s="17">
        <f>IF(Performance!$E$26="","",Performance!$E$26)</f>
        <v>0</v>
      </c>
      <c r="BM26" s="23">
        <f>IF(Performance!$O$26="","",Performance!$O$26)</f>
        <v>0</v>
      </c>
      <c r="BN26" s="24">
        <f>IF(Performance!$AA$26="","",Performance!$AA$26)</f>
        <v>0</v>
      </c>
      <c r="BO26" s="32">
        <f>IF(BH26="","",IF(BK26="","",IF(OR(BK26&lt;DashStart,BK26&gt;DashEnd),"",IF(BN26="","",BN26+ROW()/1000000))))</f>
        <v>0</v>
      </c>
      <c r="BP26" s="32">
        <f>IF(BM26="","",IF(BK26="","",IF(OR(BK26&lt;DashStart,BK26&gt;DashEnd),"",BM26+ROW()/1000000)))</f>
        <v>0</v>
      </c>
      <c r="BQ26" s="32">
        <f>IF(BH26="","",IF(BK26="","",IF(YEAR(BK26)&lt;&gt;PlanYear,"",IF(BN26="","",BN26+ROW()/1000000))))</f>
        <v>0</v>
      </c>
      <c r="BR26" s="32">
        <f>IF(BH26="","",IF(BK26="","",IF(OR(BK26&lt;RepFrom,BK26&gt;RepTo),"",IF(BN26="","",BN26+ROW()/1000000))))</f>
        <v>0</v>
      </c>
      <c r="BS26" s="32">
        <f>IF(BM26="","",IF(BK26="","",IF(YEAR(BK26)&lt;&gt;PlanYear,"",BM26+ROW()/1000000)))</f>
        <v>0</v>
      </c>
      <c r="BT26" s="17">
        <f>IF(Lists!$F26="","",Lists!$F26)</f>
        <v>0</v>
      </c>
      <c r="BU26" s="23">
        <f>IF(BT26="","",COUNTIF('Content Calendar'!$X$5:$X$604,BT26))</f>
        <v>0</v>
      </c>
      <c r="BV26" s="23">
        <f>IF(BT26="","",COUNTIFS('Content Calendar'!$X$5:$X$604,BT26,'Content Calendar'!$B$5:$B$604,"&gt;="&amp;DashStart,'Content Calendar'!$B$5:$B$604,"&lt;="&amp;DashEnd))</f>
        <v>0</v>
      </c>
      <c r="BW26" s="17">
        <f>IF(Team!$B$26="","",Team!$B$26)</f>
        <v>0</v>
      </c>
      <c r="BX26" s="23">
        <f>IF(BW26="","",COUNTIF('Content Calendar'!$W$5:$W$604,BW26))</f>
        <v>0</v>
      </c>
      <c r="BY26" s="23">
        <f>IF(BW26="","",COUNTIFS('Content Calendar'!$W$5:$W$604,BW26,'Content Calendar'!$X$5:$X$604,"&lt;&gt;Published"))</f>
        <v>0</v>
      </c>
      <c r="BZ26" s="23">
        <f>IF(BW26="","",COUNTIFS(Tasks!$C$5:$C$64,BW26,Tasks!$G$5:$G$64,"&lt;&gt;Complete"))</f>
        <v>0</v>
      </c>
      <c r="CA26" s="17">
        <f>IF(Campaigns!$B$26="","",Campaigns!$B$26)</f>
        <v>0</v>
      </c>
      <c r="CB26" s="25">
        <f>IF(Campaigns!$T$26="","",Campaigns!$T$26)</f>
        <v>0</v>
      </c>
      <c r="CC26" s="25">
        <f>IF(Campaigns!$Q$26="","",Campaigns!$Q$26)</f>
        <v>0</v>
      </c>
      <c r="CD26" s="23">
        <f>IF(Campaigns!$Y$26="","",Campaigns!$Y$26)</f>
        <v>0</v>
      </c>
      <c r="CE26" s="32">
        <f>IF(CA26="","",IF(N(CB26)&lt;=0,"",N(CB26)+ROW()/1000000))</f>
        <v>0</v>
      </c>
      <c r="CF26" s="17">
        <f>IF(Accounts!$C$26="","",Accounts!$C$26)</f>
        <v>0</v>
      </c>
      <c r="CG26" s="17">
        <f>IF(Accounts!$B$26="","",Accounts!$B$26)</f>
        <v>0</v>
      </c>
      <c r="CH26" s="23">
        <f>IF(Accounts!$J$26="","",Accounts!$J$26)</f>
        <v>0</v>
      </c>
      <c r="CI26" s="23">
        <f>IF(CF26="","",SUMIFS(Analytics!$X$5:$X$154,Analytics!$E$5:$E$154,CF26,Analytics!$B$5:$B$154,"&gt;="&amp;DashStart,Analytics!$B$5:$B$154,"&lt;="&amp;DashEnd))</f>
        <v>0</v>
      </c>
      <c r="CJ26" s="32">
        <f>IF(CH26="","",IF(CH26=0,"",CH26+ROW()/1000000))</f>
        <v>0</v>
      </c>
    </row>
    <row r="27" spans="1:88">
      <c r="A27" s="16">
        <f>IF(ROW()-4&gt;12,"",DATE(PlanYear,ROW()-4,1))</f>
        <v>0</v>
      </c>
      <c r="B27" s="16">
        <f>IF(A27="","",EOMONTH(A27,0))</f>
        <v>0</v>
      </c>
      <c r="C27" s="17">
        <f>IF(A27="","",TEXT(A27,"yyyy-mm"))</f>
        <v>0</v>
      </c>
      <c r="D27" s="17">
        <f>IF(A27="","",TEXT(A27,"mmm"))</f>
        <v>0</v>
      </c>
      <c r="E27" s="23">
        <f>IF(C27="","",COUNTIFS('Content Calendar'!$D$5:$D$604,C27))</f>
        <v>0</v>
      </c>
      <c r="F27" s="23">
        <f>IF(C27="","",COUNTIFS('Content Calendar'!$D$5:$D$604,C27,'Content Calendar'!$X$5:$X$604,"Published"))</f>
        <v>0</v>
      </c>
      <c r="G27" s="23">
        <f>IF(C27="","",SUMIFS(Analytics!$J$5:$J$154,Analytics!$C$5:$C$154,C27))</f>
        <v>0</v>
      </c>
      <c r="H27" s="23">
        <f>IF(C27="","",SUMIFS(Analytics!$K$5:$K$154,Analytics!$C$5:$C$154,C27))</f>
        <v>0</v>
      </c>
      <c r="I27" s="23">
        <f>IF(C27="","",SUMIFS(Analytics!$L$5:$L$154,Analytics!$C$5:$C$154,C27))</f>
        <v>0</v>
      </c>
      <c r="J27" s="24">
        <f>IF(OR(G27="",G27=0),"",I27/G27)</f>
        <v>0</v>
      </c>
      <c r="K27" s="23">
        <f>IF(C27="","",SUMIFS(Analytics!$G$5:$G$154,Analytics!$C$5:$C$154,C27))</f>
        <v>0</v>
      </c>
      <c r="L27" s="23">
        <f>IF(C27="","",SUMIFS(Analytics!$X$5:$X$154,Analytics!$C$5:$C$154,C27))</f>
        <v>0</v>
      </c>
      <c r="M27" s="23">
        <f>IF(C27="","",SUMIFS(Analytics!$R$5:$R$154,Analytics!$C$5:$C$154,C27))</f>
        <v>0</v>
      </c>
      <c r="N27" s="23">
        <f>IF(C27="","",SUMIFS(Analytics!$S$5:$S$154,Analytics!$C$5:$C$154,C27))</f>
        <v>0</v>
      </c>
      <c r="O27" s="23">
        <f>IF(C27="","",SUMIFS(Analytics!$T$5:$T$154,Analytics!$C$5:$C$154,C27))</f>
        <v>0</v>
      </c>
      <c r="P27" s="25">
        <f>IF(C27="","",SUMIFS(Analytics!$U$5:$U$154,Analytics!$C$5:$C$154,C27))</f>
        <v>0</v>
      </c>
      <c r="Q27" s="25">
        <f>IF(C27="","",SUMIFS(Budget!$H$5:$H$64,Budget!$C$5:$C$64,C27))</f>
        <v>0</v>
      </c>
      <c r="R27" s="25">
        <f>IF(C27="","",P27-Q27)</f>
        <v>0</v>
      </c>
      <c r="S27" s="23">
        <f>IF(C27="","",MonthlyPostTarget)</f>
        <v>0</v>
      </c>
      <c r="T27" s="17">
        <f>IF(Lists!$C27="","",Lists!$C27)</f>
        <v>0</v>
      </c>
      <c r="U27" s="23">
        <f>IF(T27="","",COUNTIFS('Content Calendar'!$G$5:$G$604,T27,'Content Calendar'!$B$5:$B$604,"&gt;="&amp;DashStart,'Content Calendar'!$B$5:$B$604,"&lt;="&amp;DashEnd))</f>
        <v>0</v>
      </c>
      <c r="V27" s="23">
        <f>IF(T27="","",COUNTIFS('Content Calendar'!$G$5:$G$604,T27,'Content Calendar'!$X$5:$X$604,"Published",'Content Calendar'!$B$5:$B$604,"&gt;="&amp;DashStart,'Content Calendar'!$B$5:$B$604,"&lt;="&amp;DashEnd))</f>
        <v>0</v>
      </c>
      <c r="W27" s="23">
        <f>IF(T27="","",SUMIFS(Analytics!$J$5:$J$154,Analytics!$D$5:$D$154,T27,Analytics!$B$5:$B$154,"&gt;="&amp;DashStart,Analytics!$B$5:$B$154,"&lt;="&amp;DashEnd))</f>
        <v>0</v>
      </c>
      <c r="X27" s="23">
        <f>IF(T27="","",SUMIFS(Analytics!$L$5:$L$154,Analytics!$D$5:$D$154,T27,Analytics!$B$5:$B$154,"&gt;="&amp;DashStart,Analytics!$B$5:$B$154,"&lt;="&amp;DashEnd))</f>
        <v>0</v>
      </c>
      <c r="Y27" s="24">
        <f>IF(OR(W27="",W27=0),"",X27/W27)</f>
        <v>0</v>
      </c>
      <c r="Z27" s="23">
        <f>IF(T27="","",SUMIFS(Analytics!$G$5:$G$154,Analytics!$D$5:$D$154,T27,Analytics!$B$5:$B$154,"&gt;="&amp;DashStart,Analytics!$B$5:$B$154,"&lt;="&amp;DashEnd))</f>
        <v>0</v>
      </c>
      <c r="AA27" s="23">
        <f>IF(T27="","",SUMIFS(Analytics!$X$5:$X$154,Analytics!$D$5:$D$154,T27,Analytics!$B$5:$B$154,"&gt;="&amp;DashStart,Analytics!$B$5:$B$154,"&lt;="&amp;DashEnd))</f>
        <v>0</v>
      </c>
      <c r="AB27" s="23">
        <f>IF(T27="","",SUMIFS(Analytics!$R$5:$R$154,Analytics!$D$5:$D$154,T27,Analytics!$B$5:$B$154,"&gt;="&amp;DashStart,Analytics!$B$5:$B$154,"&lt;="&amp;DashEnd))</f>
        <v>0</v>
      </c>
      <c r="AC27" s="25">
        <f>IF(T27="","",SUMIFS(Analytics!$U$5:$U$154,Analytics!$D$5:$D$154,T27,Analytics!$B$5:$B$154,"&gt;="&amp;DashStart,Analytics!$B$5:$B$154,"&lt;="&amp;DashEnd))</f>
        <v>0</v>
      </c>
      <c r="AD27" s="23">
        <f>IF(T27="","",COUNTIFS('Content Calendar'!$G$5:$G$604,T27,'Content Calendar'!$B$5:$B$604,"&gt;="&amp;DATE(PlanYear,1,1),'Content Calendar'!$B$5:$B$604,"&lt;="&amp;DATE(PlanYear,12,31)))</f>
        <v>0</v>
      </c>
      <c r="AE27" s="23">
        <f>IF(T27="","",SUMIFS(Analytics!$J$5:$J$154,Analytics!$D$5:$D$154,T27))</f>
        <v>0</v>
      </c>
      <c r="AF27" s="23">
        <f>IF(T27="","",SUMIFS(Analytics!$L$5:$L$154,Analytics!$D$5:$D$154,T27))</f>
        <v>0</v>
      </c>
      <c r="AG27" s="24">
        <f>IF(OR(AE27="",AE27=0),"",AF27/AE27)</f>
        <v>0</v>
      </c>
      <c r="AH27" s="23">
        <f>IF(T27="","",SUMIFS(Analytics!$X$5:$X$154,Analytics!$D$5:$D$154,T27))</f>
        <v>0</v>
      </c>
      <c r="AI27" s="32">
        <f>IF(T27="","",IF(AE27=0,"",AE27+ROW()/1000000))</f>
        <v>0</v>
      </c>
      <c r="AJ27" s="17">
        <f>IF('Content Pillars'!$B$27="","",'Content Pillars'!$B$27)</f>
        <v>0</v>
      </c>
      <c r="AK27" s="23">
        <f>IF(AJ27="","",COUNTIFS('Content Calendar'!$J$5:$J$604,AJ27,'Content Calendar'!$B$5:$B$604,"&gt;="&amp;DATE(PlanYear,1,1),'Content Calendar'!$B$5:$B$604,"&lt;="&amp;DATE(PlanYear,12,31)))</f>
        <v>0</v>
      </c>
      <c r="AL27" s="23">
        <f>IF(AJ27="","",SUMIFS(Performance!$O$5:$O$404,Performance!$H$5:$H$404,AJ27))</f>
        <v>0</v>
      </c>
      <c r="AM27" s="23">
        <f>IF(AJ27="","",SUMIFS(Performance!$Z$5:$Z$404,Performance!$H$5:$H$404,AJ27))</f>
        <v>0</v>
      </c>
      <c r="AN27" s="24">
        <f>IF(OR(AL27="",AL27=0),"",AM27/AL27)</f>
        <v>0</v>
      </c>
      <c r="AO27" s="32">
        <f>IF(AN27="","",AN27+ROW()/1000000)</f>
        <v>0</v>
      </c>
      <c r="AP27" s="17">
        <f>IF(Lists!$E27="","",Lists!$E27)</f>
        <v>0</v>
      </c>
      <c r="AQ27" s="23">
        <f>IF(AP27="","",COUNTIF(Performance!$G$5:$G$404,AP27))</f>
        <v>0</v>
      </c>
      <c r="AR27" s="23">
        <f>IF(AP27="","",SUMIFS(Performance!$O$5:$O$404,Performance!$G$5:$G$404,AP27))</f>
        <v>0</v>
      </c>
      <c r="AS27" s="23">
        <f>IF(AP27="","",SUMIFS(Performance!$Z$5:$Z$404,Performance!$G$5:$G$404,AP27))</f>
        <v>0</v>
      </c>
      <c r="AT27" s="24">
        <f>IF(OR(AR27="",AR27=0),"",AS27/AR27)</f>
        <v>0</v>
      </c>
      <c r="AU27" s="32">
        <f>IF(AQ27=0,"",IF(AT27="","",AT27+ROW()/1000000))</f>
        <v>0</v>
      </c>
      <c r="AV27" s="17">
        <f>IF(ROW()-4&gt;7,"",TEXT(DATE(2024,1,ROW()-4),"ddd"))</f>
        <v>0</v>
      </c>
      <c r="AW27" s="23">
        <f>IF(AV27="","",COUNTIF(Performance!$N$5:$N$404,AV27))</f>
        <v>0</v>
      </c>
      <c r="AX27" s="23">
        <f>IF(AV27="","",SUMIFS(Performance!$O$5:$O$404,Performance!$N$5:$N$404,AV27))</f>
        <v>0</v>
      </c>
      <c r="AY27" s="23">
        <f>IF(AV27="","",SUMIFS(Performance!$Z$5:$Z$404,Performance!$N$5:$N$404,AV27))</f>
        <v>0</v>
      </c>
      <c r="AZ27" s="24">
        <f>IF(OR(AX27="",AX27=0),"",AY27/AX27)</f>
        <v>0</v>
      </c>
      <c r="BA27" s="32">
        <f>IF(AW27=0,"",IF(AZ27="","",AZ27+ROW()/1000000))</f>
        <v>0</v>
      </c>
      <c r="BB27" s="17">
        <f>IF(Lists!$AL27="","",Lists!$AL27)</f>
        <v>0</v>
      </c>
      <c r="BC27" s="23">
        <f>IF(BB27="","",COUNTIF(Performance!$M$5:$M$404,BB27))</f>
        <v>0</v>
      </c>
      <c r="BD27" s="23">
        <f>IF(BB27="","",SUMIFS(Performance!$O$5:$O$404,Performance!$M$5:$M$404,BB27))</f>
        <v>0</v>
      </c>
      <c r="BE27" s="23">
        <f>IF(BB27="","",SUMIFS(Performance!$Z$5:$Z$404,Performance!$M$5:$M$404,BB27))</f>
        <v>0</v>
      </c>
      <c r="BF27" s="24">
        <f>IF(OR(BD27="",BD27=0),"",BE27/BD27)</f>
        <v>0</v>
      </c>
      <c r="BG27" s="32">
        <f>IF(BC27=0,"",IF(BF27="","",BF27+ROW()/1000000))</f>
        <v>0</v>
      </c>
      <c r="BH27" s="17">
        <f>IF(Performance!$C$27="","",Performance!$C$27)</f>
        <v>0</v>
      </c>
      <c r="BI27" s="17">
        <f>IF(Performance!$F$27="","",Performance!$F$27)</f>
        <v>0</v>
      </c>
      <c r="BJ27" s="17">
        <f>IF(Performance!$H$27="","",Performance!$H$27)</f>
        <v>0</v>
      </c>
      <c r="BK27" s="16">
        <f>IF(Performance!$D$27="","",Performance!$D$27)</f>
        <v>0</v>
      </c>
      <c r="BL27" s="17">
        <f>IF(Performance!$E$27="","",Performance!$E$27)</f>
        <v>0</v>
      </c>
      <c r="BM27" s="23">
        <f>IF(Performance!$O$27="","",Performance!$O$27)</f>
        <v>0</v>
      </c>
      <c r="BN27" s="24">
        <f>IF(Performance!$AA$27="","",Performance!$AA$27)</f>
        <v>0</v>
      </c>
      <c r="BO27" s="32">
        <f>IF(BH27="","",IF(BK27="","",IF(OR(BK27&lt;DashStart,BK27&gt;DashEnd),"",IF(BN27="","",BN27+ROW()/1000000))))</f>
        <v>0</v>
      </c>
      <c r="BP27" s="32">
        <f>IF(BM27="","",IF(BK27="","",IF(OR(BK27&lt;DashStart,BK27&gt;DashEnd),"",BM27+ROW()/1000000)))</f>
        <v>0</v>
      </c>
      <c r="BQ27" s="32">
        <f>IF(BH27="","",IF(BK27="","",IF(YEAR(BK27)&lt;&gt;PlanYear,"",IF(BN27="","",BN27+ROW()/1000000))))</f>
        <v>0</v>
      </c>
      <c r="BR27" s="32">
        <f>IF(BH27="","",IF(BK27="","",IF(OR(BK27&lt;RepFrom,BK27&gt;RepTo),"",IF(BN27="","",BN27+ROW()/1000000))))</f>
        <v>0</v>
      </c>
      <c r="BS27" s="32">
        <f>IF(BM27="","",IF(BK27="","",IF(YEAR(BK27)&lt;&gt;PlanYear,"",BM27+ROW()/1000000)))</f>
        <v>0</v>
      </c>
      <c r="BT27" s="17">
        <f>IF(Lists!$F27="","",Lists!$F27)</f>
        <v>0</v>
      </c>
      <c r="BU27" s="23">
        <f>IF(BT27="","",COUNTIF('Content Calendar'!$X$5:$X$604,BT27))</f>
        <v>0</v>
      </c>
      <c r="BV27" s="23">
        <f>IF(BT27="","",COUNTIFS('Content Calendar'!$X$5:$X$604,BT27,'Content Calendar'!$B$5:$B$604,"&gt;="&amp;DashStart,'Content Calendar'!$B$5:$B$604,"&lt;="&amp;DashEnd))</f>
        <v>0</v>
      </c>
      <c r="BW27" s="17">
        <f>IF(Team!$B$27="","",Team!$B$27)</f>
        <v>0</v>
      </c>
      <c r="BX27" s="23">
        <f>IF(BW27="","",COUNTIF('Content Calendar'!$W$5:$W$604,BW27))</f>
        <v>0</v>
      </c>
      <c r="BY27" s="23">
        <f>IF(BW27="","",COUNTIFS('Content Calendar'!$W$5:$W$604,BW27,'Content Calendar'!$X$5:$X$604,"&lt;&gt;Published"))</f>
        <v>0</v>
      </c>
      <c r="BZ27" s="23">
        <f>IF(BW27="","",COUNTIFS(Tasks!$C$5:$C$64,BW27,Tasks!$G$5:$G$64,"&lt;&gt;Complete"))</f>
        <v>0</v>
      </c>
      <c r="CA27" s="17">
        <f>IF(Campaigns!$B$27="","",Campaigns!$B$27)</f>
        <v>0</v>
      </c>
      <c r="CB27" s="25">
        <f>IF(Campaigns!$T$27="","",Campaigns!$T$27)</f>
        <v>0</v>
      </c>
      <c r="CC27" s="25">
        <f>IF(Campaigns!$Q$27="","",Campaigns!$Q$27)</f>
        <v>0</v>
      </c>
      <c r="CD27" s="23">
        <f>IF(Campaigns!$Y$27="","",Campaigns!$Y$27)</f>
        <v>0</v>
      </c>
      <c r="CE27" s="32">
        <f>IF(CA27="","",IF(N(CB27)&lt;=0,"",N(CB27)+ROW()/1000000))</f>
        <v>0</v>
      </c>
      <c r="CF27" s="17">
        <f>IF(Accounts!$C$27="","",Accounts!$C$27)</f>
        <v>0</v>
      </c>
      <c r="CG27" s="17">
        <f>IF(Accounts!$B$27="","",Accounts!$B$27)</f>
        <v>0</v>
      </c>
      <c r="CH27" s="23">
        <f>IF(Accounts!$J$27="","",Accounts!$J$27)</f>
        <v>0</v>
      </c>
      <c r="CI27" s="23">
        <f>IF(CF27="","",SUMIFS(Analytics!$X$5:$X$154,Analytics!$E$5:$E$154,CF27,Analytics!$B$5:$B$154,"&gt;="&amp;DashStart,Analytics!$B$5:$B$154,"&lt;="&amp;DashEnd))</f>
        <v>0</v>
      </c>
      <c r="CJ27" s="32">
        <f>IF(CH27="","",IF(CH27=0,"",CH27+ROW()/1000000))</f>
        <v>0</v>
      </c>
    </row>
    <row r="28" spans="1:88">
      <c r="A28" s="16">
        <f>IF(ROW()-4&gt;12,"",DATE(PlanYear,ROW()-4,1))</f>
        <v>0</v>
      </c>
      <c r="B28" s="16">
        <f>IF(A28="","",EOMONTH(A28,0))</f>
        <v>0</v>
      </c>
      <c r="C28" s="17">
        <f>IF(A28="","",TEXT(A28,"yyyy-mm"))</f>
        <v>0</v>
      </c>
      <c r="D28" s="17">
        <f>IF(A28="","",TEXT(A28,"mmm"))</f>
        <v>0</v>
      </c>
      <c r="E28" s="23">
        <f>IF(C28="","",COUNTIFS('Content Calendar'!$D$5:$D$604,C28))</f>
        <v>0</v>
      </c>
      <c r="F28" s="23">
        <f>IF(C28="","",COUNTIFS('Content Calendar'!$D$5:$D$604,C28,'Content Calendar'!$X$5:$X$604,"Published"))</f>
        <v>0</v>
      </c>
      <c r="G28" s="23">
        <f>IF(C28="","",SUMIFS(Analytics!$J$5:$J$154,Analytics!$C$5:$C$154,C28))</f>
        <v>0</v>
      </c>
      <c r="H28" s="23">
        <f>IF(C28="","",SUMIFS(Analytics!$K$5:$K$154,Analytics!$C$5:$C$154,C28))</f>
        <v>0</v>
      </c>
      <c r="I28" s="23">
        <f>IF(C28="","",SUMIFS(Analytics!$L$5:$L$154,Analytics!$C$5:$C$154,C28))</f>
        <v>0</v>
      </c>
      <c r="J28" s="24">
        <f>IF(OR(G28="",G28=0),"",I28/G28)</f>
        <v>0</v>
      </c>
      <c r="K28" s="23">
        <f>IF(C28="","",SUMIFS(Analytics!$G$5:$G$154,Analytics!$C$5:$C$154,C28))</f>
        <v>0</v>
      </c>
      <c r="L28" s="23">
        <f>IF(C28="","",SUMIFS(Analytics!$X$5:$X$154,Analytics!$C$5:$C$154,C28))</f>
        <v>0</v>
      </c>
      <c r="M28" s="23">
        <f>IF(C28="","",SUMIFS(Analytics!$R$5:$R$154,Analytics!$C$5:$C$154,C28))</f>
        <v>0</v>
      </c>
      <c r="N28" s="23">
        <f>IF(C28="","",SUMIFS(Analytics!$S$5:$S$154,Analytics!$C$5:$C$154,C28))</f>
        <v>0</v>
      </c>
      <c r="O28" s="23">
        <f>IF(C28="","",SUMIFS(Analytics!$T$5:$T$154,Analytics!$C$5:$C$154,C28))</f>
        <v>0</v>
      </c>
      <c r="P28" s="25">
        <f>IF(C28="","",SUMIFS(Analytics!$U$5:$U$154,Analytics!$C$5:$C$154,C28))</f>
        <v>0</v>
      </c>
      <c r="Q28" s="25">
        <f>IF(C28="","",SUMIFS(Budget!$H$5:$H$64,Budget!$C$5:$C$64,C28))</f>
        <v>0</v>
      </c>
      <c r="R28" s="25">
        <f>IF(C28="","",P28-Q28)</f>
        <v>0</v>
      </c>
      <c r="S28" s="23">
        <f>IF(C28="","",MonthlyPostTarget)</f>
        <v>0</v>
      </c>
      <c r="T28" s="17">
        <f>IF(Lists!$C28="","",Lists!$C28)</f>
        <v>0</v>
      </c>
      <c r="U28" s="23">
        <f>IF(T28="","",COUNTIFS('Content Calendar'!$G$5:$G$604,T28,'Content Calendar'!$B$5:$B$604,"&gt;="&amp;DashStart,'Content Calendar'!$B$5:$B$604,"&lt;="&amp;DashEnd))</f>
        <v>0</v>
      </c>
      <c r="V28" s="23">
        <f>IF(T28="","",COUNTIFS('Content Calendar'!$G$5:$G$604,T28,'Content Calendar'!$X$5:$X$604,"Published",'Content Calendar'!$B$5:$B$604,"&gt;="&amp;DashStart,'Content Calendar'!$B$5:$B$604,"&lt;="&amp;DashEnd))</f>
        <v>0</v>
      </c>
      <c r="W28" s="23">
        <f>IF(T28="","",SUMIFS(Analytics!$J$5:$J$154,Analytics!$D$5:$D$154,T28,Analytics!$B$5:$B$154,"&gt;="&amp;DashStart,Analytics!$B$5:$B$154,"&lt;="&amp;DashEnd))</f>
        <v>0</v>
      </c>
      <c r="X28" s="23">
        <f>IF(T28="","",SUMIFS(Analytics!$L$5:$L$154,Analytics!$D$5:$D$154,T28,Analytics!$B$5:$B$154,"&gt;="&amp;DashStart,Analytics!$B$5:$B$154,"&lt;="&amp;DashEnd))</f>
        <v>0</v>
      </c>
      <c r="Y28" s="24">
        <f>IF(OR(W28="",W28=0),"",X28/W28)</f>
        <v>0</v>
      </c>
      <c r="Z28" s="23">
        <f>IF(T28="","",SUMIFS(Analytics!$G$5:$G$154,Analytics!$D$5:$D$154,T28,Analytics!$B$5:$B$154,"&gt;="&amp;DashStart,Analytics!$B$5:$B$154,"&lt;="&amp;DashEnd))</f>
        <v>0</v>
      </c>
      <c r="AA28" s="23">
        <f>IF(T28="","",SUMIFS(Analytics!$X$5:$X$154,Analytics!$D$5:$D$154,T28,Analytics!$B$5:$B$154,"&gt;="&amp;DashStart,Analytics!$B$5:$B$154,"&lt;="&amp;DashEnd))</f>
        <v>0</v>
      </c>
      <c r="AB28" s="23">
        <f>IF(T28="","",SUMIFS(Analytics!$R$5:$R$154,Analytics!$D$5:$D$154,T28,Analytics!$B$5:$B$154,"&gt;="&amp;DashStart,Analytics!$B$5:$B$154,"&lt;="&amp;DashEnd))</f>
        <v>0</v>
      </c>
      <c r="AC28" s="25">
        <f>IF(T28="","",SUMIFS(Analytics!$U$5:$U$154,Analytics!$D$5:$D$154,T28,Analytics!$B$5:$B$154,"&gt;="&amp;DashStart,Analytics!$B$5:$B$154,"&lt;="&amp;DashEnd))</f>
        <v>0</v>
      </c>
      <c r="AD28" s="23">
        <f>IF(T28="","",COUNTIFS('Content Calendar'!$G$5:$G$604,T28,'Content Calendar'!$B$5:$B$604,"&gt;="&amp;DATE(PlanYear,1,1),'Content Calendar'!$B$5:$B$604,"&lt;="&amp;DATE(PlanYear,12,31)))</f>
        <v>0</v>
      </c>
      <c r="AE28" s="23">
        <f>IF(T28="","",SUMIFS(Analytics!$J$5:$J$154,Analytics!$D$5:$D$154,T28))</f>
        <v>0</v>
      </c>
      <c r="AF28" s="23">
        <f>IF(T28="","",SUMIFS(Analytics!$L$5:$L$154,Analytics!$D$5:$D$154,T28))</f>
        <v>0</v>
      </c>
      <c r="AG28" s="24">
        <f>IF(OR(AE28="",AE28=0),"",AF28/AE28)</f>
        <v>0</v>
      </c>
      <c r="AH28" s="23">
        <f>IF(T28="","",SUMIFS(Analytics!$X$5:$X$154,Analytics!$D$5:$D$154,T28))</f>
        <v>0</v>
      </c>
      <c r="AI28" s="32">
        <f>IF(T28="","",IF(AE28=0,"",AE28+ROW()/1000000))</f>
        <v>0</v>
      </c>
      <c r="AJ28" s="17">
        <f>IF('Content Pillars'!$B$28="","",'Content Pillars'!$B$28)</f>
        <v>0</v>
      </c>
      <c r="AK28" s="23">
        <f>IF(AJ28="","",COUNTIFS('Content Calendar'!$J$5:$J$604,AJ28,'Content Calendar'!$B$5:$B$604,"&gt;="&amp;DATE(PlanYear,1,1),'Content Calendar'!$B$5:$B$604,"&lt;="&amp;DATE(PlanYear,12,31)))</f>
        <v>0</v>
      </c>
      <c r="AL28" s="23">
        <f>IF(AJ28="","",SUMIFS(Performance!$O$5:$O$404,Performance!$H$5:$H$404,AJ28))</f>
        <v>0</v>
      </c>
      <c r="AM28" s="23">
        <f>IF(AJ28="","",SUMIFS(Performance!$Z$5:$Z$404,Performance!$H$5:$H$404,AJ28))</f>
        <v>0</v>
      </c>
      <c r="AN28" s="24">
        <f>IF(OR(AL28="",AL28=0),"",AM28/AL28)</f>
        <v>0</v>
      </c>
      <c r="AO28" s="32">
        <f>IF(AN28="","",AN28+ROW()/1000000)</f>
        <v>0</v>
      </c>
      <c r="AP28" s="17">
        <f>IF(Lists!$E28="","",Lists!$E28)</f>
        <v>0</v>
      </c>
      <c r="AQ28" s="23">
        <f>IF(AP28="","",COUNTIF(Performance!$G$5:$G$404,AP28))</f>
        <v>0</v>
      </c>
      <c r="AR28" s="23">
        <f>IF(AP28="","",SUMIFS(Performance!$O$5:$O$404,Performance!$G$5:$G$404,AP28))</f>
        <v>0</v>
      </c>
      <c r="AS28" s="23">
        <f>IF(AP28="","",SUMIFS(Performance!$Z$5:$Z$404,Performance!$G$5:$G$404,AP28))</f>
        <v>0</v>
      </c>
      <c r="AT28" s="24">
        <f>IF(OR(AR28="",AR28=0),"",AS28/AR28)</f>
        <v>0</v>
      </c>
      <c r="AU28" s="32">
        <f>IF(AQ28=0,"",IF(AT28="","",AT28+ROW()/1000000))</f>
        <v>0</v>
      </c>
      <c r="AV28" s="17">
        <f>IF(ROW()-4&gt;7,"",TEXT(DATE(2024,1,ROW()-4),"ddd"))</f>
        <v>0</v>
      </c>
      <c r="AW28" s="23">
        <f>IF(AV28="","",COUNTIF(Performance!$N$5:$N$404,AV28))</f>
        <v>0</v>
      </c>
      <c r="AX28" s="23">
        <f>IF(AV28="","",SUMIFS(Performance!$O$5:$O$404,Performance!$N$5:$N$404,AV28))</f>
        <v>0</v>
      </c>
      <c r="AY28" s="23">
        <f>IF(AV28="","",SUMIFS(Performance!$Z$5:$Z$404,Performance!$N$5:$N$404,AV28))</f>
        <v>0</v>
      </c>
      <c r="AZ28" s="24">
        <f>IF(OR(AX28="",AX28=0),"",AY28/AX28)</f>
        <v>0</v>
      </c>
      <c r="BA28" s="32">
        <f>IF(AW28=0,"",IF(AZ28="","",AZ28+ROW()/1000000))</f>
        <v>0</v>
      </c>
      <c r="BB28" s="17">
        <f>IF(Lists!$AL28="","",Lists!$AL28)</f>
        <v>0</v>
      </c>
      <c r="BC28" s="23">
        <f>IF(BB28="","",COUNTIF(Performance!$M$5:$M$404,BB28))</f>
        <v>0</v>
      </c>
      <c r="BD28" s="23">
        <f>IF(BB28="","",SUMIFS(Performance!$O$5:$O$404,Performance!$M$5:$M$404,BB28))</f>
        <v>0</v>
      </c>
      <c r="BE28" s="23">
        <f>IF(BB28="","",SUMIFS(Performance!$Z$5:$Z$404,Performance!$M$5:$M$404,BB28))</f>
        <v>0</v>
      </c>
      <c r="BF28" s="24">
        <f>IF(OR(BD28="",BD28=0),"",BE28/BD28)</f>
        <v>0</v>
      </c>
      <c r="BG28" s="32">
        <f>IF(BC28=0,"",IF(BF28="","",BF28+ROW()/1000000))</f>
        <v>0</v>
      </c>
      <c r="BH28" s="17">
        <f>IF(Performance!$C$28="","",Performance!$C$28)</f>
        <v>0</v>
      </c>
      <c r="BI28" s="17">
        <f>IF(Performance!$F$28="","",Performance!$F$28)</f>
        <v>0</v>
      </c>
      <c r="BJ28" s="17">
        <f>IF(Performance!$H$28="","",Performance!$H$28)</f>
        <v>0</v>
      </c>
      <c r="BK28" s="16">
        <f>IF(Performance!$D$28="","",Performance!$D$28)</f>
        <v>0</v>
      </c>
      <c r="BL28" s="17">
        <f>IF(Performance!$E$28="","",Performance!$E$28)</f>
        <v>0</v>
      </c>
      <c r="BM28" s="23">
        <f>IF(Performance!$O$28="","",Performance!$O$28)</f>
        <v>0</v>
      </c>
      <c r="BN28" s="24">
        <f>IF(Performance!$AA$28="","",Performance!$AA$28)</f>
        <v>0</v>
      </c>
      <c r="BO28" s="32">
        <f>IF(BH28="","",IF(BK28="","",IF(OR(BK28&lt;DashStart,BK28&gt;DashEnd),"",IF(BN28="","",BN28+ROW()/1000000))))</f>
        <v>0</v>
      </c>
      <c r="BP28" s="32">
        <f>IF(BM28="","",IF(BK28="","",IF(OR(BK28&lt;DashStart,BK28&gt;DashEnd),"",BM28+ROW()/1000000)))</f>
        <v>0</v>
      </c>
      <c r="BQ28" s="32">
        <f>IF(BH28="","",IF(BK28="","",IF(YEAR(BK28)&lt;&gt;PlanYear,"",IF(BN28="","",BN28+ROW()/1000000))))</f>
        <v>0</v>
      </c>
      <c r="BR28" s="32">
        <f>IF(BH28="","",IF(BK28="","",IF(OR(BK28&lt;RepFrom,BK28&gt;RepTo),"",IF(BN28="","",BN28+ROW()/1000000))))</f>
        <v>0</v>
      </c>
      <c r="BS28" s="32">
        <f>IF(BM28="","",IF(BK28="","",IF(YEAR(BK28)&lt;&gt;PlanYear,"",BM28+ROW()/1000000)))</f>
        <v>0</v>
      </c>
      <c r="BT28" s="17">
        <f>IF(Lists!$F28="","",Lists!$F28)</f>
        <v>0</v>
      </c>
      <c r="BU28" s="23">
        <f>IF(BT28="","",COUNTIF('Content Calendar'!$X$5:$X$604,BT28))</f>
        <v>0</v>
      </c>
      <c r="BV28" s="23">
        <f>IF(BT28="","",COUNTIFS('Content Calendar'!$X$5:$X$604,BT28,'Content Calendar'!$B$5:$B$604,"&gt;="&amp;DashStart,'Content Calendar'!$B$5:$B$604,"&lt;="&amp;DashEnd))</f>
        <v>0</v>
      </c>
      <c r="BW28" s="17">
        <f>IF(Team!$B$28="","",Team!$B$28)</f>
        <v>0</v>
      </c>
      <c r="BX28" s="23">
        <f>IF(BW28="","",COUNTIF('Content Calendar'!$W$5:$W$604,BW28))</f>
        <v>0</v>
      </c>
      <c r="BY28" s="23">
        <f>IF(BW28="","",COUNTIFS('Content Calendar'!$W$5:$W$604,BW28,'Content Calendar'!$X$5:$X$604,"&lt;&gt;Published"))</f>
        <v>0</v>
      </c>
      <c r="BZ28" s="23">
        <f>IF(BW28="","",COUNTIFS(Tasks!$C$5:$C$64,BW28,Tasks!$G$5:$G$64,"&lt;&gt;Complete"))</f>
        <v>0</v>
      </c>
      <c r="CA28" s="17">
        <f>IF(Campaigns!$B$28="","",Campaigns!$B$28)</f>
        <v>0</v>
      </c>
      <c r="CB28" s="25">
        <f>IF(Campaigns!$T$28="","",Campaigns!$T$28)</f>
        <v>0</v>
      </c>
      <c r="CC28" s="25">
        <f>IF(Campaigns!$Q$28="","",Campaigns!$Q$28)</f>
        <v>0</v>
      </c>
      <c r="CD28" s="23">
        <f>IF(Campaigns!$Y$28="","",Campaigns!$Y$28)</f>
        <v>0</v>
      </c>
      <c r="CE28" s="32">
        <f>IF(CA28="","",IF(N(CB28)&lt;=0,"",N(CB28)+ROW()/1000000))</f>
        <v>0</v>
      </c>
      <c r="CF28" s="17">
        <f>IF(Accounts!$C$28="","",Accounts!$C$28)</f>
        <v>0</v>
      </c>
      <c r="CG28" s="17">
        <f>IF(Accounts!$B$28="","",Accounts!$B$28)</f>
        <v>0</v>
      </c>
      <c r="CH28" s="23">
        <f>IF(Accounts!$J$28="","",Accounts!$J$28)</f>
        <v>0</v>
      </c>
      <c r="CI28" s="23">
        <f>IF(CF28="","",SUMIFS(Analytics!$X$5:$X$154,Analytics!$E$5:$E$154,CF28,Analytics!$B$5:$B$154,"&gt;="&amp;DashStart,Analytics!$B$5:$B$154,"&lt;="&amp;DashEnd))</f>
        <v>0</v>
      </c>
      <c r="CJ28" s="32">
        <f>IF(CH28="","",IF(CH28=0,"",CH28+ROW()/1000000))</f>
        <v>0</v>
      </c>
    </row>
    <row r="29" spans="1:88">
      <c r="A29" s="16">
        <f>IF(ROW()-4&gt;12,"",DATE(PlanYear,ROW()-4,1))</f>
        <v>0</v>
      </c>
      <c r="B29" s="16">
        <f>IF(A29="","",EOMONTH(A29,0))</f>
        <v>0</v>
      </c>
      <c r="C29" s="17">
        <f>IF(A29="","",TEXT(A29,"yyyy-mm"))</f>
        <v>0</v>
      </c>
      <c r="D29" s="17">
        <f>IF(A29="","",TEXT(A29,"mmm"))</f>
        <v>0</v>
      </c>
      <c r="E29" s="23">
        <f>IF(C29="","",COUNTIFS('Content Calendar'!$D$5:$D$604,C29))</f>
        <v>0</v>
      </c>
      <c r="F29" s="23">
        <f>IF(C29="","",COUNTIFS('Content Calendar'!$D$5:$D$604,C29,'Content Calendar'!$X$5:$X$604,"Published"))</f>
        <v>0</v>
      </c>
      <c r="G29" s="23">
        <f>IF(C29="","",SUMIFS(Analytics!$J$5:$J$154,Analytics!$C$5:$C$154,C29))</f>
        <v>0</v>
      </c>
      <c r="H29" s="23">
        <f>IF(C29="","",SUMIFS(Analytics!$K$5:$K$154,Analytics!$C$5:$C$154,C29))</f>
        <v>0</v>
      </c>
      <c r="I29" s="23">
        <f>IF(C29="","",SUMIFS(Analytics!$L$5:$L$154,Analytics!$C$5:$C$154,C29))</f>
        <v>0</v>
      </c>
      <c r="J29" s="24">
        <f>IF(OR(G29="",G29=0),"",I29/G29)</f>
        <v>0</v>
      </c>
      <c r="K29" s="23">
        <f>IF(C29="","",SUMIFS(Analytics!$G$5:$G$154,Analytics!$C$5:$C$154,C29))</f>
        <v>0</v>
      </c>
      <c r="L29" s="23">
        <f>IF(C29="","",SUMIFS(Analytics!$X$5:$X$154,Analytics!$C$5:$C$154,C29))</f>
        <v>0</v>
      </c>
      <c r="M29" s="23">
        <f>IF(C29="","",SUMIFS(Analytics!$R$5:$R$154,Analytics!$C$5:$C$154,C29))</f>
        <v>0</v>
      </c>
      <c r="N29" s="23">
        <f>IF(C29="","",SUMIFS(Analytics!$S$5:$S$154,Analytics!$C$5:$C$154,C29))</f>
        <v>0</v>
      </c>
      <c r="O29" s="23">
        <f>IF(C29="","",SUMIFS(Analytics!$T$5:$T$154,Analytics!$C$5:$C$154,C29))</f>
        <v>0</v>
      </c>
      <c r="P29" s="25">
        <f>IF(C29="","",SUMIFS(Analytics!$U$5:$U$154,Analytics!$C$5:$C$154,C29))</f>
        <v>0</v>
      </c>
      <c r="Q29" s="25">
        <f>IF(C29="","",SUMIFS(Budget!$H$5:$H$64,Budget!$C$5:$C$64,C29))</f>
        <v>0</v>
      </c>
      <c r="R29" s="25">
        <f>IF(C29="","",P29-Q29)</f>
        <v>0</v>
      </c>
      <c r="S29" s="23">
        <f>IF(C29="","",MonthlyPostTarget)</f>
        <v>0</v>
      </c>
      <c r="T29" s="17">
        <f>IF(Lists!$C29="","",Lists!$C29)</f>
        <v>0</v>
      </c>
      <c r="U29" s="23">
        <f>IF(T29="","",COUNTIFS('Content Calendar'!$G$5:$G$604,T29,'Content Calendar'!$B$5:$B$604,"&gt;="&amp;DashStart,'Content Calendar'!$B$5:$B$604,"&lt;="&amp;DashEnd))</f>
        <v>0</v>
      </c>
      <c r="V29" s="23">
        <f>IF(T29="","",COUNTIFS('Content Calendar'!$G$5:$G$604,T29,'Content Calendar'!$X$5:$X$604,"Published",'Content Calendar'!$B$5:$B$604,"&gt;="&amp;DashStart,'Content Calendar'!$B$5:$B$604,"&lt;="&amp;DashEnd))</f>
        <v>0</v>
      </c>
      <c r="W29" s="23">
        <f>IF(T29="","",SUMIFS(Analytics!$J$5:$J$154,Analytics!$D$5:$D$154,T29,Analytics!$B$5:$B$154,"&gt;="&amp;DashStart,Analytics!$B$5:$B$154,"&lt;="&amp;DashEnd))</f>
        <v>0</v>
      </c>
      <c r="X29" s="23">
        <f>IF(T29="","",SUMIFS(Analytics!$L$5:$L$154,Analytics!$D$5:$D$154,T29,Analytics!$B$5:$B$154,"&gt;="&amp;DashStart,Analytics!$B$5:$B$154,"&lt;="&amp;DashEnd))</f>
        <v>0</v>
      </c>
      <c r="Y29" s="24">
        <f>IF(OR(W29="",W29=0),"",X29/W29)</f>
        <v>0</v>
      </c>
      <c r="Z29" s="23">
        <f>IF(T29="","",SUMIFS(Analytics!$G$5:$G$154,Analytics!$D$5:$D$154,T29,Analytics!$B$5:$B$154,"&gt;="&amp;DashStart,Analytics!$B$5:$B$154,"&lt;="&amp;DashEnd))</f>
        <v>0</v>
      </c>
      <c r="AA29" s="23">
        <f>IF(T29="","",SUMIFS(Analytics!$X$5:$X$154,Analytics!$D$5:$D$154,T29,Analytics!$B$5:$B$154,"&gt;="&amp;DashStart,Analytics!$B$5:$B$154,"&lt;="&amp;DashEnd))</f>
        <v>0</v>
      </c>
      <c r="AB29" s="23">
        <f>IF(T29="","",SUMIFS(Analytics!$R$5:$R$154,Analytics!$D$5:$D$154,T29,Analytics!$B$5:$B$154,"&gt;="&amp;DashStart,Analytics!$B$5:$B$154,"&lt;="&amp;DashEnd))</f>
        <v>0</v>
      </c>
      <c r="AC29" s="25">
        <f>IF(T29="","",SUMIFS(Analytics!$U$5:$U$154,Analytics!$D$5:$D$154,T29,Analytics!$B$5:$B$154,"&gt;="&amp;DashStart,Analytics!$B$5:$B$154,"&lt;="&amp;DashEnd))</f>
        <v>0</v>
      </c>
      <c r="AD29" s="23">
        <f>IF(T29="","",COUNTIFS('Content Calendar'!$G$5:$G$604,T29,'Content Calendar'!$B$5:$B$604,"&gt;="&amp;DATE(PlanYear,1,1),'Content Calendar'!$B$5:$B$604,"&lt;="&amp;DATE(PlanYear,12,31)))</f>
        <v>0</v>
      </c>
      <c r="AE29" s="23">
        <f>IF(T29="","",SUMIFS(Analytics!$J$5:$J$154,Analytics!$D$5:$D$154,T29))</f>
        <v>0</v>
      </c>
      <c r="AF29" s="23">
        <f>IF(T29="","",SUMIFS(Analytics!$L$5:$L$154,Analytics!$D$5:$D$154,T29))</f>
        <v>0</v>
      </c>
      <c r="AG29" s="24">
        <f>IF(OR(AE29="",AE29=0),"",AF29/AE29)</f>
        <v>0</v>
      </c>
      <c r="AH29" s="23">
        <f>IF(T29="","",SUMIFS(Analytics!$X$5:$X$154,Analytics!$D$5:$D$154,T29))</f>
        <v>0</v>
      </c>
      <c r="AI29" s="32">
        <f>IF(T29="","",IF(AE29=0,"",AE29+ROW()/1000000))</f>
        <v>0</v>
      </c>
      <c r="AJ29" s="17">
        <f>IF('Content Pillars'!$B$29="","",'Content Pillars'!$B$29)</f>
        <v>0</v>
      </c>
      <c r="AK29" s="23">
        <f>IF(AJ29="","",COUNTIFS('Content Calendar'!$J$5:$J$604,AJ29,'Content Calendar'!$B$5:$B$604,"&gt;="&amp;DATE(PlanYear,1,1),'Content Calendar'!$B$5:$B$604,"&lt;="&amp;DATE(PlanYear,12,31)))</f>
        <v>0</v>
      </c>
      <c r="AL29" s="23">
        <f>IF(AJ29="","",SUMIFS(Performance!$O$5:$O$404,Performance!$H$5:$H$404,AJ29))</f>
        <v>0</v>
      </c>
      <c r="AM29" s="23">
        <f>IF(AJ29="","",SUMIFS(Performance!$Z$5:$Z$404,Performance!$H$5:$H$404,AJ29))</f>
        <v>0</v>
      </c>
      <c r="AN29" s="24">
        <f>IF(OR(AL29="",AL29=0),"",AM29/AL29)</f>
        <v>0</v>
      </c>
      <c r="AO29" s="32">
        <f>IF(AN29="","",AN29+ROW()/1000000)</f>
        <v>0</v>
      </c>
      <c r="AP29" s="17">
        <f>IF(Lists!$E29="","",Lists!$E29)</f>
        <v>0</v>
      </c>
      <c r="AQ29" s="23">
        <f>IF(AP29="","",COUNTIF(Performance!$G$5:$G$404,AP29))</f>
        <v>0</v>
      </c>
      <c r="AR29" s="23">
        <f>IF(AP29="","",SUMIFS(Performance!$O$5:$O$404,Performance!$G$5:$G$404,AP29))</f>
        <v>0</v>
      </c>
      <c r="AS29" s="23">
        <f>IF(AP29="","",SUMIFS(Performance!$Z$5:$Z$404,Performance!$G$5:$G$404,AP29))</f>
        <v>0</v>
      </c>
      <c r="AT29" s="24">
        <f>IF(OR(AR29="",AR29=0),"",AS29/AR29)</f>
        <v>0</v>
      </c>
      <c r="AU29" s="32">
        <f>IF(AQ29=0,"",IF(AT29="","",AT29+ROW()/1000000))</f>
        <v>0</v>
      </c>
      <c r="AV29" s="17">
        <f>IF(ROW()-4&gt;7,"",TEXT(DATE(2024,1,ROW()-4),"ddd"))</f>
        <v>0</v>
      </c>
      <c r="AW29" s="23">
        <f>IF(AV29="","",COUNTIF(Performance!$N$5:$N$404,AV29))</f>
        <v>0</v>
      </c>
      <c r="AX29" s="23">
        <f>IF(AV29="","",SUMIFS(Performance!$O$5:$O$404,Performance!$N$5:$N$404,AV29))</f>
        <v>0</v>
      </c>
      <c r="AY29" s="23">
        <f>IF(AV29="","",SUMIFS(Performance!$Z$5:$Z$404,Performance!$N$5:$N$404,AV29))</f>
        <v>0</v>
      </c>
      <c r="AZ29" s="24">
        <f>IF(OR(AX29="",AX29=0),"",AY29/AX29)</f>
        <v>0</v>
      </c>
      <c r="BA29" s="32">
        <f>IF(AW29=0,"",IF(AZ29="","",AZ29+ROW()/1000000))</f>
        <v>0</v>
      </c>
      <c r="BB29" s="17">
        <f>IF(Lists!$AL29="","",Lists!$AL29)</f>
        <v>0</v>
      </c>
      <c r="BC29" s="23">
        <f>IF(BB29="","",COUNTIF(Performance!$M$5:$M$404,BB29))</f>
        <v>0</v>
      </c>
      <c r="BD29" s="23">
        <f>IF(BB29="","",SUMIFS(Performance!$O$5:$O$404,Performance!$M$5:$M$404,BB29))</f>
        <v>0</v>
      </c>
      <c r="BE29" s="23">
        <f>IF(BB29="","",SUMIFS(Performance!$Z$5:$Z$404,Performance!$M$5:$M$404,BB29))</f>
        <v>0</v>
      </c>
      <c r="BF29" s="24">
        <f>IF(OR(BD29="",BD29=0),"",BE29/BD29)</f>
        <v>0</v>
      </c>
      <c r="BG29" s="32">
        <f>IF(BC29=0,"",IF(BF29="","",BF29+ROW()/1000000))</f>
        <v>0</v>
      </c>
      <c r="BH29" s="17">
        <f>IF(Performance!$C$29="","",Performance!$C$29)</f>
        <v>0</v>
      </c>
      <c r="BI29" s="17">
        <f>IF(Performance!$F$29="","",Performance!$F$29)</f>
        <v>0</v>
      </c>
      <c r="BJ29" s="17">
        <f>IF(Performance!$H$29="","",Performance!$H$29)</f>
        <v>0</v>
      </c>
      <c r="BK29" s="16">
        <f>IF(Performance!$D$29="","",Performance!$D$29)</f>
        <v>0</v>
      </c>
      <c r="BL29" s="17">
        <f>IF(Performance!$E$29="","",Performance!$E$29)</f>
        <v>0</v>
      </c>
      <c r="BM29" s="23">
        <f>IF(Performance!$O$29="","",Performance!$O$29)</f>
        <v>0</v>
      </c>
      <c r="BN29" s="24">
        <f>IF(Performance!$AA$29="","",Performance!$AA$29)</f>
        <v>0</v>
      </c>
      <c r="BO29" s="32">
        <f>IF(BH29="","",IF(BK29="","",IF(OR(BK29&lt;DashStart,BK29&gt;DashEnd),"",IF(BN29="","",BN29+ROW()/1000000))))</f>
        <v>0</v>
      </c>
      <c r="BP29" s="32">
        <f>IF(BM29="","",IF(BK29="","",IF(OR(BK29&lt;DashStart,BK29&gt;DashEnd),"",BM29+ROW()/1000000)))</f>
        <v>0</v>
      </c>
      <c r="BQ29" s="32">
        <f>IF(BH29="","",IF(BK29="","",IF(YEAR(BK29)&lt;&gt;PlanYear,"",IF(BN29="","",BN29+ROW()/1000000))))</f>
        <v>0</v>
      </c>
      <c r="BR29" s="32">
        <f>IF(BH29="","",IF(BK29="","",IF(OR(BK29&lt;RepFrom,BK29&gt;RepTo),"",IF(BN29="","",BN29+ROW()/1000000))))</f>
        <v>0</v>
      </c>
      <c r="BS29" s="32">
        <f>IF(BM29="","",IF(BK29="","",IF(YEAR(BK29)&lt;&gt;PlanYear,"",BM29+ROW()/1000000)))</f>
        <v>0</v>
      </c>
      <c r="BT29" s="17">
        <f>IF(Lists!$F29="","",Lists!$F29)</f>
        <v>0</v>
      </c>
      <c r="BU29" s="23">
        <f>IF(BT29="","",COUNTIF('Content Calendar'!$X$5:$X$604,BT29))</f>
        <v>0</v>
      </c>
      <c r="BV29" s="23">
        <f>IF(BT29="","",COUNTIFS('Content Calendar'!$X$5:$X$604,BT29,'Content Calendar'!$B$5:$B$604,"&gt;="&amp;DashStart,'Content Calendar'!$B$5:$B$604,"&lt;="&amp;DashEnd))</f>
        <v>0</v>
      </c>
      <c r="BW29" s="17">
        <f>IF(Team!$B$29="","",Team!$B$29)</f>
        <v>0</v>
      </c>
      <c r="BX29" s="23">
        <f>IF(BW29="","",COUNTIF('Content Calendar'!$W$5:$W$604,BW29))</f>
        <v>0</v>
      </c>
      <c r="BY29" s="23">
        <f>IF(BW29="","",COUNTIFS('Content Calendar'!$W$5:$W$604,BW29,'Content Calendar'!$X$5:$X$604,"&lt;&gt;Published"))</f>
        <v>0</v>
      </c>
      <c r="BZ29" s="23">
        <f>IF(BW29="","",COUNTIFS(Tasks!$C$5:$C$64,BW29,Tasks!$G$5:$G$64,"&lt;&gt;Complete"))</f>
        <v>0</v>
      </c>
      <c r="CA29" s="17">
        <f>IF(Campaigns!$B$29="","",Campaigns!$B$29)</f>
        <v>0</v>
      </c>
      <c r="CB29" s="25">
        <f>IF(Campaigns!$T$29="","",Campaigns!$T$29)</f>
        <v>0</v>
      </c>
      <c r="CC29" s="25">
        <f>IF(Campaigns!$Q$29="","",Campaigns!$Q$29)</f>
        <v>0</v>
      </c>
      <c r="CD29" s="23">
        <f>IF(Campaigns!$Y$29="","",Campaigns!$Y$29)</f>
        <v>0</v>
      </c>
      <c r="CE29" s="32">
        <f>IF(CA29="","",IF(N(CB29)&lt;=0,"",N(CB29)+ROW()/1000000))</f>
        <v>0</v>
      </c>
      <c r="CF29" s="17">
        <f>IF(Accounts!$C$29="","",Accounts!$C$29)</f>
        <v>0</v>
      </c>
      <c r="CG29" s="17">
        <f>IF(Accounts!$B$29="","",Accounts!$B$29)</f>
        <v>0</v>
      </c>
      <c r="CH29" s="23">
        <f>IF(Accounts!$J$29="","",Accounts!$J$29)</f>
        <v>0</v>
      </c>
      <c r="CI29" s="23">
        <f>IF(CF29="","",SUMIFS(Analytics!$X$5:$X$154,Analytics!$E$5:$E$154,CF29,Analytics!$B$5:$B$154,"&gt;="&amp;DashStart,Analytics!$B$5:$B$154,"&lt;="&amp;DashEnd))</f>
        <v>0</v>
      </c>
      <c r="CJ29" s="32">
        <f>IF(CH29="","",IF(CH29=0,"",CH29+ROW()/1000000))</f>
        <v>0</v>
      </c>
    </row>
    <row r="30" spans="1:88">
      <c r="A30" s="16">
        <f>IF(ROW()-4&gt;12,"",DATE(PlanYear,ROW()-4,1))</f>
        <v>0</v>
      </c>
      <c r="B30" s="16">
        <f>IF(A30="","",EOMONTH(A30,0))</f>
        <v>0</v>
      </c>
      <c r="C30" s="17">
        <f>IF(A30="","",TEXT(A30,"yyyy-mm"))</f>
        <v>0</v>
      </c>
      <c r="D30" s="17">
        <f>IF(A30="","",TEXT(A30,"mmm"))</f>
        <v>0</v>
      </c>
      <c r="E30" s="23">
        <f>IF(C30="","",COUNTIFS('Content Calendar'!$D$5:$D$604,C30))</f>
        <v>0</v>
      </c>
      <c r="F30" s="23">
        <f>IF(C30="","",COUNTIFS('Content Calendar'!$D$5:$D$604,C30,'Content Calendar'!$X$5:$X$604,"Published"))</f>
        <v>0</v>
      </c>
      <c r="G30" s="23">
        <f>IF(C30="","",SUMIFS(Analytics!$J$5:$J$154,Analytics!$C$5:$C$154,C30))</f>
        <v>0</v>
      </c>
      <c r="H30" s="23">
        <f>IF(C30="","",SUMIFS(Analytics!$K$5:$K$154,Analytics!$C$5:$C$154,C30))</f>
        <v>0</v>
      </c>
      <c r="I30" s="23">
        <f>IF(C30="","",SUMIFS(Analytics!$L$5:$L$154,Analytics!$C$5:$C$154,C30))</f>
        <v>0</v>
      </c>
      <c r="J30" s="24">
        <f>IF(OR(G30="",G30=0),"",I30/G30)</f>
        <v>0</v>
      </c>
      <c r="K30" s="23">
        <f>IF(C30="","",SUMIFS(Analytics!$G$5:$G$154,Analytics!$C$5:$C$154,C30))</f>
        <v>0</v>
      </c>
      <c r="L30" s="23">
        <f>IF(C30="","",SUMIFS(Analytics!$X$5:$X$154,Analytics!$C$5:$C$154,C30))</f>
        <v>0</v>
      </c>
      <c r="M30" s="23">
        <f>IF(C30="","",SUMIFS(Analytics!$R$5:$R$154,Analytics!$C$5:$C$154,C30))</f>
        <v>0</v>
      </c>
      <c r="N30" s="23">
        <f>IF(C30="","",SUMIFS(Analytics!$S$5:$S$154,Analytics!$C$5:$C$154,C30))</f>
        <v>0</v>
      </c>
      <c r="O30" s="23">
        <f>IF(C30="","",SUMIFS(Analytics!$T$5:$T$154,Analytics!$C$5:$C$154,C30))</f>
        <v>0</v>
      </c>
      <c r="P30" s="25">
        <f>IF(C30="","",SUMIFS(Analytics!$U$5:$U$154,Analytics!$C$5:$C$154,C30))</f>
        <v>0</v>
      </c>
      <c r="Q30" s="25">
        <f>IF(C30="","",SUMIFS(Budget!$H$5:$H$64,Budget!$C$5:$C$64,C30))</f>
        <v>0</v>
      </c>
      <c r="R30" s="25">
        <f>IF(C30="","",P30-Q30)</f>
        <v>0</v>
      </c>
      <c r="S30" s="23">
        <f>IF(C30="","",MonthlyPostTarget)</f>
        <v>0</v>
      </c>
      <c r="T30" s="17">
        <f>IF(Lists!$C30="","",Lists!$C30)</f>
        <v>0</v>
      </c>
      <c r="U30" s="23">
        <f>IF(T30="","",COUNTIFS('Content Calendar'!$G$5:$G$604,T30,'Content Calendar'!$B$5:$B$604,"&gt;="&amp;DashStart,'Content Calendar'!$B$5:$B$604,"&lt;="&amp;DashEnd))</f>
        <v>0</v>
      </c>
      <c r="V30" s="23">
        <f>IF(T30="","",COUNTIFS('Content Calendar'!$G$5:$G$604,T30,'Content Calendar'!$X$5:$X$604,"Published",'Content Calendar'!$B$5:$B$604,"&gt;="&amp;DashStart,'Content Calendar'!$B$5:$B$604,"&lt;="&amp;DashEnd))</f>
        <v>0</v>
      </c>
      <c r="W30" s="23">
        <f>IF(T30="","",SUMIFS(Analytics!$J$5:$J$154,Analytics!$D$5:$D$154,T30,Analytics!$B$5:$B$154,"&gt;="&amp;DashStart,Analytics!$B$5:$B$154,"&lt;="&amp;DashEnd))</f>
        <v>0</v>
      </c>
      <c r="X30" s="23">
        <f>IF(T30="","",SUMIFS(Analytics!$L$5:$L$154,Analytics!$D$5:$D$154,T30,Analytics!$B$5:$B$154,"&gt;="&amp;DashStart,Analytics!$B$5:$B$154,"&lt;="&amp;DashEnd))</f>
        <v>0</v>
      </c>
      <c r="Y30" s="24">
        <f>IF(OR(W30="",W30=0),"",X30/W30)</f>
        <v>0</v>
      </c>
      <c r="Z30" s="23">
        <f>IF(T30="","",SUMIFS(Analytics!$G$5:$G$154,Analytics!$D$5:$D$154,T30,Analytics!$B$5:$B$154,"&gt;="&amp;DashStart,Analytics!$B$5:$B$154,"&lt;="&amp;DashEnd))</f>
        <v>0</v>
      </c>
      <c r="AA30" s="23">
        <f>IF(T30="","",SUMIFS(Analytics!$X$5:$X$154,Analytics!$D$5:$D$154,T30,Analytics!$B$5:$B$154,"&gt;="&amp;DashStart,Analytics!$B$5:$B$154,"&lt;="&amp;DashEnd))</f>
        <v>0</v>
      </c>
      <c r="AB30" s="23">
        <f>IF(T30="","",SUMIFS(Analytics!$R$5:$R$154,Analytics!$D$5:$D$154,T30,Analytics!$B$5:$B$154,"&gt;="&amp;DashStart,Analytics!$B$5:$B$154,"&lt;="&amp;DashEnd))</f>
        <v>0</v>
      </c>
      <c r="AC30" s="25">
        <f>IF(T30="","",SUMIFS(Analytics!$U$5:$U$154,Analytics!$D$5:$D$154,T30,Analytics!$B$5:$B$154,"&gt;="&amp;DashStart,Analytics!$B$5:$B$154,"&lt;="&amp;DashEnd))</f>
        <v>0</v>
      </c>
      <c r="AD30" s="23">
        <f>IF(T30="","",COUNTIFS('Content Calendar'!$G$5:$G$604,T30,'Content Calendar'!$B$5:$B$604,"&gt;="&amp;DATE(PlanYear,1,1),'Content Calendar'!$B$5:$B$604,"&lt;="&amp;DATE(PlanYear,12,31)))</f>
        <v>0</v>
      </c>
      <c r="AE30" s="23">
        <f>IF(T30="","",SUMIFS(Analytics!$J$5:$J$154,Analytics!$D$5:$D$154,T30))</f>
        <v>0</v>
      </c>
      <c r="AF30" s="23">
        <f>IF(T30="","",SUMIFS(Analytics!$L$5:$L$154,Analytics!$D$5:$D$154,T30))</f>
        <v>0</v>
      </c>
      <c r="AG30" s="24">
        <f>IF(OR(AE30="",AE30=0),"",AF30/AE30)</f>
        <v>0</v>
      </c>
      <c r="AH30" s="23">
        <f>IF(T30="","",SUMIFS(Analytics!$X$5:$X$154,Analytics!$D$5:$D$154,T30))</f>
        <v>0</v>
      </c>
      <c r="AI30" s="32">
        <f>IF(T30="","",IF(AE30=0,"",AE30+ROW()/1000000))</f>
        <v>0</v>
      </c>
      <c r="AJ30" s="17">
        <f>IF('Content Pillars'!$B$30="","",'Content Pillars'!$B$30)</f>
        <v>0</v>
      </c>
      <c r="AK30" s="23">
        <f>IF(AJ30="","",COUNTIFS('Content Calendar'!$J$5:$J$604,AJ30,'Content Calendar'!$B$5:$B$604,"&gt;="&amp;DATE(PlanYear,1,1),'Content Calendar'!$B$5:$B$604,"&lt;="&amp;DATE(PlanYear,12,31)))</f>
        <v>0</v>
      </c>
      <c r="AL30" s="23">
        <f>IF(AJ30="","",SUMIFS(Performance!$O$5:$O$404,Performance!$H$5:$H$404,AJ30))</f>
        <v>0</v>
      </c>
      <c r="AM30" s="23">
        <f>IF(AJ30="","",SUMIFS(Performance!$Z$5:$Z$404,Performance!$H$5:$H$404,AJ30))</f>
        <v>0</v>
      </c>
      <c r="AN30" s="24">
        <f>IF(OR(AL30="",AL30=0),"",AM30/AL30)</f>
        <v>0</v>
      </c>
      <c r="AO30" s="32">
        <f>IF(AN30="","",AN30+ROW()/1000000)</f>
        <v>0</v>
      </c>
      <c r="AP30" s="17">
        <f>IF(Lists!$E30="","",Lists!$E30)</f>
        <v>0</v>
      </c>
      <c r="AQ30" s="23">
        <f>IF(AP30="","",COUNTIF(Performance!$G$5:$G$404,AP30))</f>
        <v>0</v>
      </c>
      <c r="AR30" s="23">
        <f>IF(AP30="","",SUMIFS(Performance!$O$5:$O$404,Performance!$G$5:$G$404,AP30))</f>
        <v>0</v>
      </c>
      <c r="AS30" s="23">
        <f>IF(AP30="","",SUMIFS(Performance!$Z$5:$Z$404,Performance!$G$5:$G$404,AP30))</f>
        <v>0</v>
      </c>
      <c r="AT30" s="24">
        <f>IF(OR(AR30="",AR30=0),"",AS30/AR30)</f>
        <v>0</v>
      </c>
      <c r="AU30" s="32">
        <f>IF(AQ30=0,"",IF(AT30="","",AT30+ROW()/1000000))</f>
        <v>0</v>
      </c>
      <c r="AV30" s="17">
        <f>IF(ROW()-4&gt;7,"",TEXT(DATE(2024,1,ROW()-4),"ddd"))</f>
        <v>0</v>
      </c>
      <c r="AW30" s="23">
        <f>IF(AV30="","",COUNTIF(Performance!$N$5:$N$404,AV30))</f>
        <v>0</v>
      </c>
      <c r="AX30" s="23">
        <f>IF(AV30="","",SUMIFS(Performance!$O$5:$O$404,Performance!$N$5:$N$404,AV30))</f>
        <v>0</v>
      </c>
      <c r="AY30" s="23">
        <f>IF(AV30="","",SUMIFS(Performance!$Z$5:$Z$404,Performance!$N$5:$N$404,AV30))</f>
        <v>0</v>
      </c>
      <c r="AZ30" s="24">
        <f>IF(OR(AX30="",AX30=0),"",AY30/AX30)</f>
        <v>0</v>
      </c>
      <c r="BA30" s="32">
        <f>IF(AW30=0,"",IF(AZ30="","",AZ30+ROW()/1000000))</f>
        <v>0</v>
      </c>
      <c r="BB30" s="17">
        <f>IF(Lists!$AL30="","",Lists!$AL30)</f>
        <v>0</v>
      </c>
      <c r="BC30" s="23">
        <f>IF(BB30="","",COUNTIF(Performance!$M$5:$M$404,BB30))</f>
        <v>0</v>
      </c>
      <c r="BD30" s="23">
        <f>IF(BB30="","",SUMIFS(Performance!$O$5:$O$404,Performance!$M$5:$M$404,BB30))</f>
        <v>0</v>
      </c>
      <c r="BE30" s="23">
        <f>IF(BB30="","",SUMIFS(Performance!$Z$5:$Z$404,Performance!$M$5:$M$404,BB30))</f>
        <v>0</v>
      </c>
      <c r="BF30" s="24">
        <f>IF(OR(BD30="",BD30=0),"",BE30/BD30)</f>
        <v>0</v>
      </c>
      <c r="BG30" s="32">
        <f>IF(BC30=0,"",IF(BF30="","",BF30+ROW()/1000000))</f>
        <v>0</v>
      </c>
      <c r="BH30" s="17">
        <f>IF(Performance!$C$30="","",Performance!$C$30)</f>
        <v>0</v>
      </c>
      <c r="BI30" s="17">
        <f>IF(Performance!$F$30="","",Performance!$F$30)</f>
        <v>0</v>
      </c>
      <c r="BJ30" s="17">
        <f>IF(Performance!$H$30="","",Performance!$H$30)</f>
        <v>0</v>
      </c>
      <c r="BK30" s="16">
        <f>IF(Performance!$D$30="","",Performance!$D$30)</f>
        <v>0</v>
      </c>
      <c r="BL30" s="17">
        <f>IF(Performance!$E$30="","",Performance!$E$30)</f>
        <v>0</v>
      </c>
      <c r="BM30" s="23">
        <f>IF(Performance!$O$30="","",Performance!$O$30)</f>
        <v>0</v>
      </c>
      <c r="BN30" s="24">
        <f>IF(Performance!$AA$30="","",Performance!$AA$30)</f>
        <v>0</v>
      </c>
      <c r="BO30" s="32">
        <f>IF(BH30="","",IF(BK30="","",IF(OR(BK30&lt;DashStart,BK30&gt;DashEnd),"",IF(BN30="","",BN30+ROW()/1000000))))</f>
        <v>0</v>
      </c>
      <c r="BP30" s="32">
        <f>IF(BM30="","",IF(BK30="","",IF(OR(BK30&lt;DashStart,BK30&gt;DashEnd),"",BM30+ROW()/1000000)))</f>
        <v>0</v>
      </c>
      <c r="BQ30" s="32">
        <f>IF(BH30="","",IF(BK30="","",IF(YEAR(BK30)&lt;&gt;PlanYear,"",IF(BN30="","",BN30+ROW()/1000000))))</f>
        <v>0</v>
      </c>
      <c r="BR30" s="32">
        <f>IF(BH30="","",IF(BK30="","",IF(OR(BK30&lt;RepFrom,BK30&gt;RepTo),"",IF(BN30="","",BN30+ROW()/1000000))))</f>
        <v>0</v>
      </c>
      <c r="BS30" s="32">
        <f>IF(BM30="","",IF(BK30="","",IF(YEAR(BK30)&lt;&gt;PlanYear,"",BM30+ROW()/1000000)))</f>
        <v>0</v>
      </c>
      <c r="BT30" s="17">
        <f>IF(Lists!$F30="","",Lists!$F30)</f>
        <v>0</v>
      </c>
      <c r="BU30" s="23">
        <f>IF(BT30="","",COUNTIF('Content Calendar'!$X$5:$X$604,BT30))</f>
        <v>0</v>
      </c>
      <c r="BV30" s="23">
        <f>IF(BT30="","",COUNTIFS('Content Calendar'!$X$5:$X$604,BT30,'Content Calendar'!$B$5:$B$604,"&gt;="&amp;DashStart,'Content Calendar'!$B$5:$B$604,"&lt;="&amp;DashEnd))</f>
        <v>0</v>
      </c>
      <c r="BW30" s="17">
        <f>IF(Team!$B$30="","",Team!$B$30)</f>
        <v>0</v>
      </c>
      <c r="BX30" s="23">
        <f>IF(BW30="","",COUNTIF('Content Calendar'!$W$5:$W$604,BW30))</f>
        <v>0</v>
      </c>
      <c r="BY30" s="23">
        <f>IF(BW30="","",COUNTIFS('Content Calendar'!$W$5:$W$604,BW30,'Content Calendar'!$X$5:$X$604,"&lt;&gt;Published"))</f>
        <v>0</v>
      </c>
      <c r="BZ30" s="23">
        <f>IF(BW30="","",COUNTIFS(Tasks!$C$5:$C$64,BW30,Tasks!$G$5:$G$64,"&lt;&gt;Complete"))</f>
        <v>0</v>
      </c>
      <c r="CA30" s="17">
        <f>IF(Campaigns!$B$30="","",Campaigns!$B$30)</f>
        <v>0</v>
      </c>
      <c r="CB30" s="25">
        <f>IF(Campaigns!$T$30="","",Campaigns!$T$30)</f>
        <v>0</v>
      </c>
      <c r="CC30" s="25">
        <f>IF(Campaigns!$Q$30="","",Campaigns!$Q$30)</f>
        <v>0</v>
      </c>
      <c r="CD30" s="23">
        <f>IF(Campaigns!$Y$30="","",Campaigns!$Y$30)</f>
        <v>0</v>
      </c>
      <c r="CE30" s="32">
        <f>IF(CA30="","",IF(N(CB30)&lt;=0,"",N(CB30)+ROW()/1000000))</f>
        <v>0</v>
      </c>
      <c r="CF30" s="17">
        <f>IF(Accounts!$C$30="","",Accounts!$C$30)</f>
        <v>0</v>
      </c>
      <c r="CG30" s="17">
        <f>IF(Accounts!$B$30="","",Accounts!$B$30)</f>
        <v>0</v>
      </c>
      <c r="CH30" s="23">
        <f>IF(Accounts!$J$30="","",Accounts!$J$30)</f>
        <v>0</v>
      </c>
      <c r="CI30" s="23">
        <f>IF(CF30="","",SUMIFS(Analytics!$X$5:$X$154,Analytics!$E$5:$E$154,CF30,Analytics!$B$5:$B$154,"&gt;="&amp;DashStart,Analytics!$B$5:$B$154,"&lt;="&amp;DashEnd))</f>
        <v>0</v>
      </c>
      <c r="CJ30" s="32">
        <f>IF(CH30="","",IF(CH30=0,"",CH30+ROW()/1000000))</f>
        <v>0</v>
      </c>
    </row>
    <row r="31" spans="1:88">
      <c r="A31" s="16">
        <f>IF(ROW()-4&gt;12,"",DATE(PlanYear,ROW()-4,1))</f>
        <v>0</v>
      </c>
      <c r="B31" s="16">
        <f>IF(A31="","",EOMONTH(A31,0))</f>
        <v>0</v>
      </c>
      <c r="C31" s="17">
        <f>IF(A31="","",TEXT(A31,"yyyy-mm"))</f>
        <v>0</v>
      </c>
      <c r="D31" s="17">
        <f>IF(A31="","",TEXT(A31,"mmm"))</f>
        <v>0</v>
      </c>
      <c r="E31" s="23">
        <f>IF(C31="","",COUNTIFS('Content Calendar'!$D$5:$D$604,C31))</f>
        <v>0</v>
      </c>
      <c r="F31" s="23">
        <f>IF(C31="","",COUNTIFS('Content Calendar'!$D$5:$D$604,C31,'Content Calendar'!$X$5:$X$604,"Published"))</f>
        <v>0</v>
      </c>
      <c r="G31" s="23">
        <f>IF(C31="","",SUMIFS(Analytics!$J$5:$J$154,Analytics!$C$5:$C$154,C31))</f>
        <v>0</v>
      </c>
      <c r="H31" s="23">
        <f>IF(C31="","",SUMIFS(Analytics!$K$5:$K$154,Analytics!$C$5:$C$154,C31))</f>
        <v>0</v>
      </c>
      <c r="I31" s="23">
        <f>IF(C31="","",SUMIFS(Analytics!$L$5:$L$154,Analytics!$C$5:$C$154,C31))</f>
        <v>0</v>
      </c>
      <c r="J31" s="24">
        <f>IF(OR(G31="",G31=0),"",I31/G31)</f>
        <v>0</v>
      </c>
      <c r="K31" s="23">
        <f>IF(C31="","",SUMIFS(Analytics!$G$5:$G$154,Analytics!$C$5:$C$154,C31))</f>
        <v>0</v>
      </c>
      <c r="L31" s="23">
        <f>IF(C31="","",SUMIFS(Analytics!$X$5:$X$154,Analytics!$C$5:$C$154,C31))</f>
        <v>0</v>
      </c>
      <c r="M31" s="23">
        <f>IF(C31="","",SUMIFS(Analytics!$R$5:$R$154,Analytics!$C$5:$C$154,C31))</f>
        <v>0</v>
      </c>
      <c r="N31" s="23">
        <f>IF(C31="","",SUMIFS(Analytics!$S$5:$S$154,Analytics!$C$5:$C$154,C31))</f>
        <v>0</v>
      </c>
      <c r="O31" s="23">
        <f>IF(C31="","",SUMIFS(Analytics!$T$5:$T$154,Analytics!$C$5:$C$154,C31))</f>
        <v>0</v>
      </c>
      <c r="P31" s="25">
        <f>IF(C31="","",SUMIFS(Analytics!$U$5:$U$154,Analytics!$C$5:$C$154,C31))</f>
        <v>0</v>
      </c>
      <c r="Q31" s="25">
        <f>IF(C31="","",SUMIFS(Budget!$H$5:$H$64,Budget!$C$5:$C$64,C31))</f>
        <v>0</v>
      </c>
      <c r="R31" s="25">
        <f>IF(C31="","",P31-Q31)</f>
        <v>0</v>
      </c>
      <c r="S31" s="23">
        <f>IF(C31="","",MonthlyPostTarget)</f>
        <v>0</v>
      </c>
      <c r="T31" s="17">
        <f>IF(Lists!$C31="","",Lists!$C31)</f>
        <v>0</v>
      </c>
      <c r="U31" s="23">
        <f>IF(T31="","",COUNTIFS('Content Calendar'!$G$5:$G$604,T31,'Content Calendar'!$B$5:$B$604,"&gt;="&amp;DashStart,'Content Calendar'!$B$5:$B$604,"&lt;="&amp;DashEnd))</f>
        <v>0</v>
      </c>
      <c r="V31" s="23">
        <f>IF(T31="","",COUNTIFS('Content Calendar'!$G$5:$G$604,T31,'Content Calendar'!$X$5:$X$604,"Published",'Content Calendar'!$B$5:$B$604,"&gt;="&amp;DashStart,'Content Calendar'!$B$5:$B$604,"&lt;="&amp;DashEnd))</f>
        <v>0</v>
      </c>
      <c r="W31" s="23">
        <f>IF(T31="","",SUMIFS(Analytics!$J$5:$J$154,Analytics!$D$5:$D$154,T31,Analytics!$B$5:$B$154,"&gt;="&amp;DashStart,Analytics!$B$5:$B$154,"&lt;="&amp;DashEnd))</f>
        <v>0</v>
      </c>
      <c r="X31" s="23">
        <f>IF(T31="","",SUMIFS(Analytics!$L$5:$L$154,Analytics!$D$5:$D$154,T31,Analytics!$B$5:$B$154,"&gt;="&amp;DashStart,Analytics!$B$5:$B$154,"&lt;="&amp;DashEnd))</f>
        <v>0</v>
      </c>
      <c r="Y31" s="24">
        <f>IF(OR(W31="",W31=0),"",X31/W31)</f>
        <v>0</v>
      </c>
      <c r="Z31" s="23">
        <f>IF(T31="","",SUMIFS(Analytics!$G$5:$G$154,Analytics!$D$5:$D$154,T31,Analytics!$B$5:$B$154,"&gt;="&amp;DashStart,Analytics!$B$5:$B$154,"&lt;="&amp;DashEnd))</f>
        <v>0</v>
      </c>
      <c r="AA31" s="23">
        <f>IF(T31="","",SUMIFS(Analytics!$X$5:$X$154,Analytics!$D$5:$D$154,T31,Analytics!$B$5:$B$154,"&gt;="&amp;DashStart,Analytics!$B$5:$B$154,"&lt;="&amp;DashEnd))</f>
        <v>0</v>
      </c>
      <c r="AB31" s="23">
        <f>IF(T31="","",SUMIFS(Analytics!$R$5:$R$154,Analytics!$D$5:$D$154,T31,Analytics!$B$5:$B$154,"&gt;="&amp;DashStart,Analytics!$B$5:$B$154,"&lt;="&amp;DashEnd))</f>
        <v>0</v>
      </c>
      <c r="AC31" s="25">
        <f>IF(T31="","",SUMIFS(Analytics!$U$5:$U$154,Analytics!$D$5:$D$154,T31,Analytics!$B$5:$B$154,"&gt;="&amp;DashStart,Analytics!$B$5:$B$154,"&lt;="&amp;DashEnd))</f>
        <v>0</v>
      </c>
      <c r="AD31" s="23">
        <f>IF(T31="","",COUNTIFS('Content Calendar'!$G$5:$G$604,T31,'Content Calendar'!$B$5:$B$604,"&gt;="&amp;DATE(PlanYear,1,1),'Content Calendar'!$B$5:$B$604,"&lt;="&amp;DATE(PlanYear,12,31)))</f>
        <v>0</v>
      </c>
      <c r="AE31" s="23">
        <f>IF(T31="","",SUMIFS(Analytics!$J$5:$J$154,Analytics!$D$5:$D$154,T31))</f>
        <v>0</v>
      </c>
      <c r="AF31" s="23">
        <f>IF(T31="","",SUMIFS(Analytics!$L$5:$L$154,Analytics!$D$5:$D$154,T31))</f>
        <v>0</v>
      </c>
      <c r="AG31" s="24">
        <f>IF(OR(AE31="",AE31=0),"",AF31/AE31)</f>
        <v>0</v>
      </c>
      <c r="AH31" s="23">
        <f>IF(T31="","",SUMIFS(Analytics!$X$5:$X$154,Analytics!$D$5:$D$154,T31))</f>
        <v>0</v>
      </c>
      <c r="AI31" s="32">
        <f>IF(T31="","",IF(AE31=0,"",AE31+ROW()/1000000))</f>
        <v>0</v>
      </c>
      <c r="AJ31" s="17">
        <f>IF('Content Pillars'!$B$31="","",'Content Pillars'!$B$31)</f>
        <v>0</v>
      </c>
      <c r="AK31" s="23">
        <f>IF(AJ31="","",COUNTIFS('Content Calendar'!$J$5:$J$604,AJ31,'Content Calendar'!$B$5:$B$604,"&gt;="&amp;DATE(PlanYear,1,1),'Content Calendar'!$B$5:$B$604,"&lt;="&amp;DATE(PlanYear,12,31)))</f>
        <v>0</v>
      </c>
      <c r="AL31" s="23">
        <f>IF(AJ31="","",SUMIFS(Performance!$O$5:$O$404,Performance!$H$5:$H$404,AJ31))</f>
        <v>0</v>
      </c>
      <c r="AM31" s="23">
        <f>IF(AJ31="","",SUMIFS(Performance!$Z$5:$Z$404,Performance!$H$5:$H$404,AJ31))</f>
        <v>0</v>
      </c>
      <c r="AN31" s="24">
        <f>IF(OR(AL31="",AL31=0),"",AM31/AL31)</f>
        <v>0</v>
      </c>
      <c r="AO31" s="32">
        <f>IF(AN31="","",AN31+ROW()/1000000)</f>
        <v>0</v>
      </c>
      <c r="AP31" s="17">
        <f>IF(Lists!$E31="","",Lists!$E31)</f>
        <v>0</v>
      </c>
      <c r="AQ31" s="23">
        <f>IF(AP31="","",COUNTIF(Performance!$G$5:$G$404,AP31))</f>
        <v>0</v>
      </c>
      <c r="AR31" s="23">
        <f>IF(AP31="","",SUMIFS(Performance!$O$5:$O$404,Performance!$G$5:$G$404,AP31))</f>
        <v>0</v>
      </c>
      <c r="AS31" s="23">
        <f>IF(AP31="","",SUMIFS(Performance!$Z$5:$Z$404,Performance!$G$5:$G$404,AP31))</f>
        <v>0</v>
      </c>
      <c r="AT31" s="24">
        <f>IF(OR(AR31="",AR31=0),"",AS31/AR31)</f>
        <v>0</v>
      </c>
      <c r="AU31" s="32">
        <f>IF(AQ31=0,"",IF(AT31="","",AT31+ROW()/1000000))</f>
        <v>0</v>
      </c>
      <c r="AV31" s="17">
        <f>IF(ROW()-4&gt;7,"",TEXT(DATE(2024,1,ROW()-4),"ddd"))</f>
        <v>0</v>
      </c>
      <c r="AW31" s="23">
        <f>IF(AV31="","",COUNTIF(Performance!$N$5:$N$404,AV31))</f>
        <v>0</v>
      </c>
      <c r="AX31" s="23">
        <f>IF(AV31="","",SUMIFS(Performance!$O$5:$O$404,Performance!$N$5:$N$404,AV31))</f>
        <v>0</v>
      </c>
      <c r="AY31" s="23">
        <f>IF(AV31="","",SUMIFS(Performance!$Z$5:$Z$404,Performance!$N$5:$N$404,AV31))</f>
        <v>0</v>
      </c>
      <c r="AZ31" s="24">
        <f>IF(OR(AX31="",AX31=0),"",AY31/AX31)</f>
        <v>0</v>
      </c>
      <c r="BA31" s="32">
        <f>IF(AW31=0,"",IF(AZ31="","",AZ31+ROW()/1000000))</f>
        <v>0</v>
      </c>
      <c r="BB31" s="17">
        <f>IF(Lists!$AL31="","",Lists!$AL31)</f>
        <v>0</v>
      </c>
      <c r="BC31" s="23">
        <f>IF(BB31="","",COUNTIF(Performance!$M$5:$M$404,BB31))</f>
        <v>0</v>
      </c>
      <c r="BD31" s="23">
        <f>IF(BB31="","",SUMIFS(Performance!$O$5:$O$404,Performance!$M$5:$M$404,BB31))</f>
        <v>0</v>
      </c>
      <c r="BE31" s="23">
        <f>IF(BB31="","",SUMIFS(Performance!$Z$5:$Z$404,Performance!$M$5:$M$404,BB31))</f>
        <v>0</v>
      </c>
      <c r="BF31" s="24">
        <f>IF(OR(BD31="",BD31=0),"",BE31/BD31)</f>
        <v>0</v>
      </c>
      <c r="BG31" s="32">
        <f>IF(BC31=0,"",IF(BF31="","",BF31+ROW()/1000000))</f>
        <v>0</v>
      </c>
      <c r="BH31" s="17">
        <f>IF(Performance!$C$31="","",Performance!$C$31)</f>
        <v>0</v>
      </c>
      <c r="BI31" s="17">
        <f>IF(Performance!$F$31="","",Performance!$F$31)</f>
        <v>0</v>
      </c>
      <c r="BJ31" s="17">
        <f>IF(Performance!$H$31="","",Performance!$H$31)</f>
        <v>0</v>
      </c>
      <c r="BK31" s="16">
        <f>IF(Performance!$D$31="","",Performance!$D$31)</f>
        <v>0</v>
      </c>
      <c r="BL31" s="17">
        <f>IF(Performance!$E$31="","",Performance!$E$31)</f>
        <v>0</v>
      </c>
      <c r="BM31" s="23">
        <f>IF(Performance!$O$31="","",Performance!$O$31)</f>
        <v>0</v>
      </c>
      <c r="BN31" s="24">
        <f>IF(Performance!$AA$31="","",Performance!$AA$31)</f>
        <v>0</v>
      </c>
      <c r="BO31" s="32">
        <f>IF(BH31="","",IF(BK31="","",IF(OR(BK31&lt;DashStart,BK31&gt;DashEnd),"",IF(BN31="","",BN31+ROW()/1000000))))</f>
        <v>0</v>
      </c>
      <c r="BP31" s="32">
        <f>IF(BM31="","",IF(BK31="","",IF(OR(BK31&lt;DashStart,BK31&gt;DashEnd),"",BM31+ROW()/1000000)))</f>
        <v>0</v>
      </c>
      <c r="BQ31" s="32">
        <f>IF(BH31="","",IF(BK31="","",IF(YEAR(BK31)&lt;&gt;PlanYear,"",IF(BN31="","",BN31+ROW()/1000000))))</f>
        <v>0</v>
      </c>
      <c r="BR31" s="32">
        <f>IF(BH31="","",IF(BK31="","",IF(OR(BK31&lt;RepFrom,BK31&gt;RepTo),"",IF(BN31="","",BN31+ROW()/1000000))))</f>
        <v>0</v>
      </c>
      <c r="BS31" s="32">
        <f>IF(BM31="","",IF(BK31="","",IF(YEAR(BK31)&lt;&gt;PlanYear,"",BM31+ROW()/1000000)))</f>
        <v>0</v>
      </c>
      <c r="BT31" s="17">
        <f>IF(Lists!$F31="","",Lists!$F31)</f>
        <v>0</v>
      </c>
      <c r="BU31" s="23">
        <f>IF(BT31="","",COUNTIF('Content Calendar'!$X$5:$X$604,BT31))</f>
        <v>0</v>
      </c>
      <c r="BV31" s="23">
        <f>IF(BT31="","",COUNTIFS('Content Calendar'!$X$5:$X$604,BT31,'Content Calendar'!$B$5:$B$604,"&gt;="&amp;DashStart,'Content Calendar'!$B$5:$B$604,"&lt;="&amp;DashEnd))</f>
        <v>0</v>
      </c>
      <c r="BW31" s="17">
        <f>IF(Team!$B$31="","",Team!$B$31)</f>
        <v>0</v>
      </c>
      <c r="BX31" s="23">
        <f>IF(BW31="","",COUNTIF('Content Calendar'!$W$5:$W$604,BW31))</f>
        <v>0</v>
      </c>
      <c r="BY31" s="23">
        <f>IF(BW31="","",COUNTIFS('Content Calendar'!$W$5:$W$604,BW31,'Content Calendar'!$X$5:$X$604,"&lt;&gt;Published"))</f>
        <v>0</v>
      </c>
      <c r="BZ31" s="23">
        <f>IF(BW31="","",COUNTIFS(Tasks!$C$5:$C$64,BW31,Tasks!$G$5:$G$64,"&lt;&gt;Complete"))</f>
        <v>0</v>
      </c>
      <c r="CA31" s="17">
        <f>IF(Campaigns!$B$31="","",Campaigns!$B$31)</f>
        <v>0</v>
      </c>
      <c r="CB31" s="25">
        <f>IF(Campaigns!$T$31="","",Campaigns!$T$31)</f>
        <v>0</v>
      </c>
      <c r="CC31" s="25">
        <f>IF(Campaigns!$Q$31="","",Campaigns!$Q$31)</f>
        <v>0</v>
      </c>
      <c r="CD31" s="23">
        <f>IF(Campaigns!$Y$31="","",Campaigns!$Y$31)</f>
        <v>0</v>
      </c>
      <c r="CE31" s="32">
        <f>IF(CA31="","",IF(N(CB31)&lt;=0,"",N(CB31)+ROW()/1000000))</f>
        <v>0</v>
      </c>
      <c r="CF31" s="17">
        <f>IF(Accounts!$C$31="","",Accounts!$C$31)</f>
        <v>0</v>
      </c>
      <c r="CG31" s="17">
        <f>IF(Accounts!$B$31="","",Accounts!$B$31)</f>
        <v>0</v>
      </c>
      <c r="CH31" s="23">
        <f>IF(Accounts!$J$31="","",Accounts!$J$31)</f>
        <v>0</v>
      </c>
      <c r="CI31" s="23">
        <f>IF(CF31="","",SUMIFS(Analytics!$X$5:$X$154,Analytics!$E$5:$E$154,CF31,Analytics!$B$5:$B$154,"&gt;="&amp;DashStart,Analytics!$B$5:$B$154,"&lt;="&amp;DashEnd))</f>
        <v>0</v>
      </c>
      <c r="CJ31" s="32">
        <f>IF(CH31="","",IF(CH31=0,"",CH31+ROW()/1000000))</f>
        <v>0</v>
      </c>
    </row>
    <row r="32" spans="1:88">
      <c r="A32" s="16">
        <f>IF(ROW()-4&gt;12,"",DATE(PlanYear,ROW()-4,1))</f>
        <v>0</v>
      </c>
      <c r="B32" s="16">
        <f>IF(A32="","",EOMONTH(A32,0))</f>
        <v>0</v>
      </c>
      <c r="C32" s="17">
        <f>IF(A32="","",TEXT(A32,"yyyy-mm"))</f>
        <v>0</v>
      </c>
      <c r="D32" s="17">
        <f>IF(A32="","",TEXT(A32,"mmm"))</f>
        <v>0</v>
      </c>
      <c r="E32" s="23">
        <f>IF(C32="","",COUNTIFS('Content Calendar'!$D$5:$D$604,C32))</f>
        <v>0</v>
      </c>
      <c r="F32" s="23">
        <f>IF(C32="","",COUNTIFS('Content Calendar'!$D$5:$D$604,C32,'Content Calendar'!$X$5:$X$604,"Published"))</f>
        <v>0</v>
      </c>
      <c r="G32" s="23">
        <f>IF(C32="","",SUMIFS(Analytics!$J$5:$J$154,Analytics!$C$5:$C$154,C32))</f>
        <v>0</v>
      </c>
      <c r="H32" s="23">
        <f>IF(C32="","",SUMIFS(Analytics!$K$5:$K$154,Analytics!$C$5:$C$154,C32))</f>
        <v>0</v>
      </c>
      <c r="I32" s="23">
        <f>IF(C32="","",SUMIFS(Analytics!$L$5:$L$154,Analytics!$C$5:$C$154,C32))</f>
        <v>0</v>
      </c>
      <c r="J32" s="24">
        <f>IF(OR(G32="",G32=0),"",I32/G32)</f>
        <v>0</v>
      </c>
      <c r="K32" s="23">
        <f>IF(C32="","",SUMIFS(Analytics!$G$5:$G$154,Analytics!$C$5:$C$154,C32))</f>
        <v>0</v>
      </c>
      <c r="L32" s="23">
        <f>IF(C32="","",SUMIFS(Analytics!$X$5:$X$154,Analytics!$C$5:$C$154,C32))</f>
        <v>0</v>
      </c>
      <c r="M32" s="23">
        <f>IF(C32="","",SUMIFS(Analytics!$R$5:$R$154,Analytics!$C$5:$C$154,C32))</f>
        <v>0</v>
      </c>
      <c r="N32" s="23">
        <f>IF(C32="","",SUMIFS(Analytics!$S$5:$S$154,Analytics!$C$5:$C$154,C32))</f>
        <v>0</v>
      </c>
      <c r="O32" s="23">
        <f>IF(C32="","",SUMIFS(Analytics!$T$5:$T$154,Analytics!$C$5:$C$154,C32))</f>
        <v>0</v>
      </c>
      <c r="P32" s="25">
        <f>IF(C32="","",SUMIFS(Analytics!$U$5:$U$154,Analytics!$C$5:$C$154,C32))</f>
        <v>0</v>
      </c>
      <c r="Q32" s="25">
        <f>IF(C32="","",SUMIFS(Budget!$H$5:$H$64,Budget!$C$5:$C$64,C32))</f>
        <v>0</v>
      </c>
      <c r="R32" s="25">
        <f>IF(C32="","",P32-Q32)</f>
        <v>0</v>
      </c>
      <c r="S32" s="23">
        <f>IF(C32="","",MonthlyPostTarget)</f>
        <v>0</v>
      </c>
      <c r="T32" s="17">
        <f>IF(Lists!$C32="","",Lists!$C32)</f>
        <v>0</v>
      </c>
      <c r="U32" s="23">
        <f>IF(T32="","",COUNTIFS('Content Calendar'!$G$5:$G$604,T32,'Content Calendar'!$B$5:$B$604,"&gt;="&amp;DashStart,'Content Calendar'!$B$5:$B$604,"&lt;="&amp;DashEnd))</f>
        <v>0</v>
      </c>
      <c r="V32" s="23">
        <f>IF(T32="","",COUNTIFS('Content Calendar'!$G$5:$G$604,T32,'Content Calendar'!$X$5:$X$604,"Published",'Content Calendar'!$B$5:$B$604,"&gt;="&amp;DashStart,'Content Calendar'!$B$5:$B$604,"&lt;="&amp;DashEnd))</f>
        <v>0</v>
      </c>
      <c r="W32" s="23">
        <f>IF(T32="","",SUMIFS(Analytics!$J$5:$J$154,Analytics!$D$5:$D$154,T32,Analytics!$B$5:$B$154,"&gt;="&amp;DashStart,Analytics!$B$5:$B$154,"&lt;="&amp;DashEnd))</f>
        <v>0</v>
      </c>
      <c r="X32" s="23">
        <f>IF(T32="","",SUMIFS(Analytics!$L$5:$L$154,Analytics!$D$5:$D$154,T32,Analytics!$B$5:$B$154,"&gt;="&amp;DashStart,Analytics!$B$5:$B$154,"&lt;="&amp;DashEnd))</f>
        <v>0</v>
      </c>
      <c r="Y32" s="24">
        <f>IF(OR(W32="",W32=0),"",X32/W32)</f>
        <v>0</v>
      </c>
      <c r="Z32" s="23">
        <f>IF(T32="","",SUMIFS(Analytics!$G$5:$G$154,Analytics!$D$5:$D$154,T32,Analytics!$B$5:$B$154,"&gt;="&amp;DashStart,Analytics!$B$5:$B$154,"&lt;="&amp;DashEnd))</f>
        <v>0</v>
      </c>
      <c r="AA32" s="23">
        <f>IF(T32="","",SUMIFS(Analytics!$X$5:$X$154,Analytics!$D$5:$D$154,T32,Analytics!$B$5:$B$154,"&gt;="&amp;DashStart,Analytics!$B$5:$B$154,"&lt;="&amp;DashEnd))</f>
        <v>0</v>
      </c>
      <c r="AB32" s="23">
        <f>IF(T32="","",SUMIFS(Analytics!$R$5:$R$154,Analytics!$D$5:$D$154,T32,Analytics!$B$5:$B$154,"&gt;="&amp;DashStart,Analytics!$B$5:$B$154,"&lt;="&amp;DashEnd))</f>
        <v>0</v>
      </c>
      <c r="AC32" s="25">
        <f>IF(T32="","",SUMIFS(Analytics!$U$5:$U$154,Analytics!$D$5:$D$154,T32,Analytics!$B$5:$B$154,"&gt;="&amp;DashStart,Analytics!$B$5:$B$154,"&lt;="&amp;DashEnd))</f>
        <v>0</v>
      </c>
      <c r="AD32" s="23">
        <f>IF(T32="","",COUNTIFS('Content Calendar'!$G$5:$G$604,T32,'Content Calendar'!$B$5:$B$604,"&gt;="&amp;DATE(PlanYear,1,1),'Content Calendar'!$B$5:$B$604,"&lt;="&amp;DATE(PlanYear,12,31)))</f>
        <v>0</v>
      </c>
      <c r="AE32" s="23">
        <f>IF(T32="","",SUMIFS(Analytics!$J$5:$J$154,Analytics!$D$5:$D$154,T32))</f>
        <v>0</v>
      </c>
      <c r="AF32" s="23">
        <f>IF(T32="","",SUMIFS(Analytics!$L$5:$L$154,Analytics!$D$5:$D$154,T32))</f>
        <v>0</v>
      </c>
      <c r="AG32" s="24">
        <f>IF(OR(AE32="",AE32=0),"",AF32/AE32)</f>
        <v>0</v>
      </c>
      <c r="AH32" s="23">
        <f>IF(T32="","",SUMIFS(Analytics!$X$5:$X$154,Analytics!$D$5:$D$154,T32))</f>
        <v>0</v>
      </c>
      <c r="AI32" s="32">
        <f>IF(T32="","",IF(AE32=0,"",AE32+ROW()/1000000))</f>
        <v>0</v>
      </c>
      <c r="AJ32" s="17">
        <f>IF('Content Pillars'!$B$32="","",'Content Pillars'!$B$32)</f>
        <v>0</v>
      </c>
      <c r="AK32" s="23">
        <f>IF(AJ32="","",COUNTIFS('Content Calendar'!$J$5:$J$604,AJ32,'Content Calendar'!$B$5:$B$604,"&gt;="&amp;DATE(PlanYear,1,1),'Content Calendar'!$B$5:$B$604,"&lt;="&amp;DATE(PlanYear,12,31)))</f>
        <v>0</v>
      </c>
      <c r="AL32" s="23">
        <f>IF(AJ32="","",SUMIFS(Performance!$O$5:$O$404,Performance!$H$5:$H$404,AJ32))</f>
        <v>0</v>
      </c>
      <c r="AM32" s="23">
        <f>IF(AJ32="","",SUMIFS(Performance!$Z$5:$Z$404,Performance!$H$5:$H$404,AJ32))</f>
        <v>0</v>
      </c>
      <c r="AN32" s="24">
        <f>IF(OR(AL32="",AL32=0),"",AM32/AL32)</f>
        <v>0</v>
      </c>
      <c r="AO32" s="32">
        <f>IF(AN32="","",AN32+ROW()/1000000)</f>
        <v>0</v>
      </c>
      <c r="AP32" s="17">
        <f>IF(Lists!$E32="","",Lists!$E32)</f>
        <v>0</v>
      </c>
      <c r="AQ32" s="23">
        <f>IF(AP32="","",COUNTIF(Performance!$G$5:$G$404,AP32))</f>
        <v>0</v>
      </c>
      <c r="AR32" s="23">
        <f>IF(AP32="","",SUMIFS(Performance!$O$5:$O$404,Performance!$G$5:$G$404,AP32))</f>
        <v>0</v>
      </c>
      <c r="AS32" s="23">
        <f>IF(AP32="","",SUMIFS(Performance!$Z$5:$Z$404,Performance!$G$5:$G$404,AP32))</f>
        <v>0</v>
      </c>
      <c r="AT32" s="24">
        <f>IF(OR(AR32="",AR32=0),"",AS32/AR32)</f>
        <v>0</v>
      </c>
      <c r="AU32" s="32">
        <f>IF(AQ32=0,"",IF(AT32="","",AT32+ROW()/1000000))</f>
        <v>0</v>
      </c>
      <c r="AV32" s="17">
        <f>IF(ROW()-4&gt;7,"",TEXT(DATE(2024,1,ROW()-4),"ddd"))</f>
        <v>0</v>
      </c>
      <c r="AW32" s="23">
        <f>IF(AV32="","",COUNTIF(Performance!$N$5:$N$404,AV32))</f>
        <v>0</v>
      </c>
      <c r="AX32" s="23">
        <f>IF(AV32="","",SUMIFS(Performance!$O$5:$O$404,Performance!$N$5:$N$404,AV32))</f>
        <v>0</v>
      </c>
      <c r="AY32" s="23">
        <f>IF(AV32="","",SUMIFS(Performance!$Z$5:$Z$404,Performance!$N$5:$N$404,AV32))</f>
        <v>0</v>
      </c>
      <c r="AZ32" s="24">
        <f>IF(OR(AX32="",AX32=0),"",AY32/AX32)</f>
        <v>0</v>
      </c>
      <c r="BA32" s="32">
        <f>IF(AW32=0,"",IF(AZ32="","",AZ32+ROW()/1000000))</f>
        <v>0</v>
      </c>
      <c r="BB32" s="17">
        <f>IF(Lists!$AL32="","",Lists!$AL32)</f>
        <v>0</v>
      </c>
      <c r="BC32" s="23">
        <f>IF(BB32="","",COUNTIF(Performance!$M$5:$M$404,BB32))</f>
        <v>0</v>
      </c>
      <c r="BD32" s="23">
        <f>IF(BB32="","",SUMIFS(Performance!$O$5:$O$404,Performance!$M$5:$M$404,BB32))</f>
        <v>0</v>
      </c>
      <c r="BE32" s="23">
        <f>IF(BB32="","",SUMIFS(Performance!$Z$5:$Z$404,Performance!$M$5:$M$404,BB32))</f>
        <v>0</v>
      </c>
      <c r="BF32" s="24">
        <f>IF(OR(BD32="",BD32=0),"",BE32/BD32)</f>
        <v>0</v>
      </c>
      <c r="BG32" s="32">
        <f>IF(BC32=0,"",IF(BF32="","",BF32+ROW()/1000000))</f>
        <v>0</v>
      </c>
      <c r="BH32" s="17">
        <f>IF(Performance!$C$32="","",Performance!$C$32)</f>
        <v>0</v>
      </c>
      <c r="BI32" s="17">
        <f>IF(Performance!$F$32="","",Performance!$F$32)</f>
        <v>0</v>
      </c>
      <c r="BJ32" s="17">
        <f>IF(Performance!$H$32="","",Performance!$H$32)</f>
        <v>0</v>
      </c>
      <c r="BK32" s="16">
        <f>IF(Performance!$D$32="","",Performance!$D$32)</f>
        <v>0</v>
      </c>
      <c r="BL32" s="17">
        <f>IF(Performance!$E$32="","",Performance!$E$32)</f>
        <v>0</v>
      </c>
      <c r="BM32" s="23">
        <f>IF(Performance!$O$32="","",Performance!$O$32)</f>
        <v>0</v>
      </c>
      <c r="BN32" s="24">
        <f>IF(Performance!$AA$32="","",Performance!$AA$32)</f>
        <v>0</v>
      </c>
      <c r="BO32" s="32">
        <f>IF(BH32="","",IF(BK32="","",IF(OR(BK32&lt;DashStart,BK32&gt;DashEnd),"",IF(BN32="","",BN32+ROW()/1000000))))</f>
        <v>0</v>
      </c>
      <c r="BP32" s="32">
        <f>IF(BM32="","",IF(BK32="","",IF(OR(BK32&lt;DashStart,BK32&gt;DashEnd),"",BM32+ROW()/1000000)))</f>
        <v>0</v>
      </c>
      <c r="BQ32" s="32">
        <f>IF(BH32="","",IF(BK32="","",IF(YEAR(BK32)&lt;&gt;PlanYear,"",IF(BN32="","",BN32+ROW()/1000000))))</f>
        <v>0</v>
      </c>
      <c r="BR32" s="32">
        <f>IF(BH32="","",IF(BK32="","",IF(OR(BK32&lt;RepFrom,BK32&gt;RepTo),"",IF(BN32="","",BN32+ROW()/1000000))))</f>
        <v>0</v>
      </c>
      <c r="BS32" s="32">
        <f>IF(BM32="","",IF(BK32="","",IF(YEAR(BK32)&lt;&gt;PlanYear,"",BM32+ROW()/1000000)))</f>
        <v>0</v>
      </c>
      <c r="BT32" s="17">
        <f>IF(Lists!$F32="","",Lists!$F32)</f>
        <v>0</v>
      </c>
      <c r="BU32" s="23">
        <f>IF(BT32="","",COUNTIF('Content Calendar'!$X$5:$X$604,BT32))</f>
        <v>0</v>
      </c>
      <c r="BV32" s="23">
        <f>IF(BT32="","",COUNTIFS('Content Calendar'!$X$5:$X$604,BT32,'Content Calendar'!$B$5:$B$604,"&gt;="&amp;DashStart,'Content Calendar'!$B$5:$B$604,"&lt;="&amp;DashEnd))</f>
        <v>0</v>
      </c>
      <c r="BW32" s="17">
        <f>IF(Team!$B$32="","",Team!$B$32)</f>
        <v>0</v>
      </c>
      <c r="BX32" s="23">
        <f>IF(BW32="","",COUNTIF('Content Calendar'!$W$5:$W$604,BW32))</f>
        <v>0</v>
      </c>
      <c r="BY32" s="23">
        <f>IF(BW32="","",COUNTIFS('Content Calendar'!$W$5:$W$604,BW32,'Content Calendar'!$X$5:$X$604,"&lt;&gt;Published"))</f>
        <v>0</v>
      </c>
      <c r="BZ32" s="23">
        <f>IF(BW32="","",COUNTIFS(Tasks!$C$5:$C$64,BW32,Tasks!$G$5:$G$64,"&lt;&gt;Complete"))</f>
        <v>0</v>
      </c>
      <c r="CA32" s="17">
        <f>IF(Campaigns!$B$32="","",Campaigns!$B$32)</f>
        <v>0</v>
      </c>
      <c r="CB32" s="25">
        <f>IF(Campaigns!$T$32="","",Campaigns!$T$32)</f>
        <v>0</v>
      </c>
      <c r="CC32" s="25">
        <f>IF(Campaigns!$Q$32="","",Campaigns!$Q$32)</f>
        <v>0</v>
      </c>
      <c r="CD32" s="23">
        <f>IF(Campaigns!$Y$32="","",Campaigns!$Y$32)</f>
        <v>0</v>
      </c>
      <c r="CE32" s="32">
        <f>IF(CA32="","",IF(N(CB32)&lt;=0,"",N(CB32)+ROW()/1000000))</f>
        <v>0</v>
      </c>
      <c r="CF32" s="17">
        <f>IF(Accounts!$C$32="","",Accounts!$C$32)</f>
        <v>0</v>
      </c>
      <c r="CG32" s="17">
        <f>IF(Accounts!$B$32="","",Accounts!$B$32)</f>
        <v>0</v>
      </c>
      <c r="CH32" s="23">
        <f>IF(Accounts!$J$32="","",Accounts!$J$32)</f>
        <v>0</v>
      </c>
      <c r="CI32" s="23">
        <f>IF(CF32="","",SUMIFS(Analytics!$X$5:$X$154,Analytics!$E$5:$E$154,CF32,Analytics!$B$5:$B$154,"&gt;="&amp;DashStart,Analytics!$B$5:$B$154,"&lt;="&amp;DashEnd))</f>
        <v>0</v>
      </c>
      <c r="CJ32" s="32">
        <f>IF(CH32="","",IF(CH32=0,"",CH32+ROW()/1000000))</f>
        <v>0</v>
      </c>
    </row>
    <row r="33" spans="1:88">
      <c r="A33" s="16">
        <f>IF(ROW()-4&gt;12,"",DATE(PlanYear,ROW()-4,1))</f>
        <v>0</v>
      </c>
      <c r="B33" s="16">
        <f>IF(A33="","",EOMONTH(A33,0))</f>
        <v>0</v>
      </c>
      <c r="C33" s="17">
        <f>IF(A33="","",TEXT(A33,"yyyy-mm"))</f>
        <v>0</v>
      </c>
      <c r="D33" s="17">
        <f>IF(A33="","",TEXT(A33,"mmm"))</f>
        <v>0</v>
      </c>
      <c r="E33" s="23">
        <f>IF(C33="","",COUNTIFS('Content Calendar'!$D$5:$D$604,C33))</f>
        <v>0</v>
      </c>
      <c r="F33" s="23">
        <f>IF(C33="","",COUNTIFS('Content Calendar'!$D$5:$D$604,C33,'Content Calendar'!$X$5:$X$604,"Published"))</f>
        <v>0</v>
      </c>
      <c r="G33" s="23">
        <f>IF(C33="","",SUMIFS(Analytics!$J$5:$J$154,Analytics!$C$5:$C$154,C33))</f>
        <v>0</v>
      </c>
      <c r="H33" s="23">
        <f>IF(C33="","",SUMIFS(Analytics!$K$5:$K$154,Analytics!$C$5:$C$154,C33))</f>
        <v>0</v>
      </c>
      <c r="I33" s="23">
        <f>IF(C33="","",SUMIFS(Analytics!$L$5:$L$154,Analytics!$C$5:$C$154,C33))</f>
        <v>0</v>
      </c>
      <c r="J33" s="24">
        <f>IF(OR(G33="",G33=0),"",I33/G33)</f>
        <v>0</v>
      </c>
      <c r="K33" s="23">
        <f>IF(C33="","",SUMIFS(Analytics!$G$5:$G$154,Analytics!$C$5:$C$154,C33))</f>
        <v>0</v>
      </c>
      <c r="L33" s="23">
        <f>IF(C33="","",SUMIFS(Analytics!$X$5:$X$154,Analytics!$C$5:$C$154,C33))</f>
        <v>0</v>
      </c>
      <c r="M33" s="23">
        <f>IF(C33="","",SUMIFS(Analytics!$R$5:$R$154,Analytics!$C$5:$C$154,C33))</f>
        <v>0</v>
      </c>
      <c r="N33" s="23">
        <f>IF(C33="","",SUMIFS(Analytics!$S$5:$S$154,Analytics!$C$5:$C$154,C33))</f>
        <v>0</v>
      </c>
      <c r="O33" s="23">
        <f>IF(C33="","",SUMIFS(Analytics!$T$5:$T$154,Analytics!$C$5:$C$154,C33))</f>
        <v>0</v>
      </c>
      <c r="P33" s="25">
        <f>IF(C33="","",SUMIFS(Analytics!$U$5:$U$154,Analytics!$C$5:$C$154,C33))</f>
        <v>0</v>
      </c>
      <c r="Q33" s="25">
        <f>IF(C33="","",SUMIFS(Budget!$H$5:$H$64,Budget!$C$5:$C$64,C33))</f>
        <v>0</v>
      </c>
      <c r="R33" s="25">
        <f>IF(C33="","",P33-Q33)</f>
        <v>0</v>
      </c>
      <c r="S33" s="23">
        <f>IF(C33="","",MonthlyPostTarget)</f>
        <v>0</v>
      </c>
      <c r="T33" s="17">
        <f>IF(Lists!$C33="","",Lists!$C33)</f>
        <v>0</v>
      </c>
      <c r="U33" s="23">
        <f>IF(T33="","",COUNTIFS('Content Calendar'!$G$5:$G$604,T33,'Content Calendar'!$B$5:$B$604,"&gt;="&amp;DashStart,'Content Calendar'!$B$5:$B$604,"&lt;="&amp;DashEnd))</f>
        <v>0</v>
      </c>
      <c r="V33" s="23">
        <f>IF(T33="","",COUNTIFS('Content Calendar'!$G$5:$G$604,T33,'Content Calendar'!$X$5:$X$604,"Published",'Content Calendar'!$B$5:$B$604,"&gt;="&amp;DashStart,'Content Calendar'!$B$5:$B$604,"&lt;="&amp;DashEnd))</f>
        <v>0</v>
      </c>
      <c r="W33" s="23">
        <f>IF(T33="","",SUMIFS(Analytics!$J$5:$J$154,Analytics!$D$5:$D$154,T33,Analytics!$B$5:$B$154,"&gt;="&amp;DashStart,Analytics!$B$5:$B$154,"&lt;="&amp;DashEnd))</f>
        <v>0</v>
      </c>
      <c r="X33" s="23">
        <f>IF(T33="","",SUMIFS(Analytics!$L$5:$L$154,Analytics!$D$5:$D$154,T33,Analytics!$B$5:$B$154,"&gt;="&amp;DashStart,Analytics!$B$5:$B$154,"&lt;="&amp;DashEnd))</f>
        <v>0</v>
      </c>
      <c r="Y33" s="24">
        <f>IF(OR(W33="",W33=0),"",X33/W33)</f>
        <v>0</v>
      </c>
      <c r="Z33" s="23">
        <f>IF(T33="","",SUMIFS(Analytics!$G$5:$G$154,Analytics!$D$5:$D$154,T33,Analytics!$B$5:$B$154,"&gt;="&amp;DashStart,Analytics!$B$5:$B$154,"&lt;="&amp;DashEnd))</f>
        <v>0</v>
      </c>
      <c r="AA33" s="23">
        <f>IF(T33="","",SUMIFS(Analytics!$X$5:$X$154,Analytics!$D$5:$D$154,T33,Analytics!$B$5:$B$154,"&gt;="&amp;DashStart,Analytics!$B$5:$B$154,"&lt;="&amp;DashEnd))</f>
        <v>0</v>
      </c>
      <c r="AB33" s="23">
        <f>IF(T33="","",SUMIFS(Analytics!$R$5:$R$154,Analytics!$D$5:$D$154,T33,Analytics!$B$5:$B$154,"&gt;="&amp;DashStart,Analytics!$B$5:$B$154,"&lt;="&amp;DashEnd))</f>
        <v>0</v>
      </c>
      <c r="AC33" s="25">
        <f>IF(T33="","",SUMIFS(Analytics!$U$5:$U$154,Analytics!$D$5:$D$154,T33,Analytics!$B$5:$B$154,"&gt;="&amp;DashStart,Analytics!$B$5:$B$154,"&lt;="&amp;DashEnd))</f>
        <v>0</v>
      </c>
      <c r="AD33" s="23">
        <f>IF(T33="","",COUNTIFS('Content Calendar'!$G$5:$G$604,T33,'Content Calendar'!$B$5:$B$604,"&gt;="&amp;DATE(PlanYear,1,1),'Content Calendar'!$B$5:$B$604,"&lt;="&amp;DATE(PlanYear,12,31)))</f>
        <v>0</v>
      </c>
      <c r="AE33" s="23">
        <f>IF(T33="","",SUMIFS(Analytics!$J$5:$J$154,Analytics!$D$5:$D$154,T33))</f>
        <v>0</v>
      </c>
      <c r="AF33" s="23">
        <f>IF(T33="","",SUMIFS(Analytics!$L$5:$L$154,Analytics!$D$5:$D$154,T33))</f>
        <v>0</v>
      </c>
      <c r="AG33" s="24">
        <f>IF(OR(AE33="",AE33=0),"",AF33/AE33)</f>
        <v>0</v>
      </c>
      <c r="AH33" s="23">
        <f>IF(T33="","",SUMIFS(Analytics!$X$5:$X$154,Analytics!$D$5:$D$154,T33))</f>
        <v>0</v>
      </c>
      <c r="AI33" s="32">
        <f>IF(T33="","",IF(AE33=0,"",AE33+ROW()/1000000))</f>
        <v>0</v>
      </c>
      <c r="AJ33" s="17">
        <f>IF('Content Pillars'!$B$33="","",'Content Pillars'!$B$33)</f>
        <v>0</v>
      </c>
      <c r="AK33" s="23">
        <f>IF(AJ33="","",COUNTIFS('Content Calendar'!$J$5:$J$604,AJ33,'Content Calendar'!$B$5:$B$604,"&gt;="&amp;DATE(PlanYear,1,1),'Content Calendar'!$B$5:$B$604,"&lt;="&amp;DATE(PlanYear,12,31)))</f>
        <v>0</v>
      </c>
      <c r="AL33" s="23">
        <f>IF(AJ33="","",SUMIFS(Performance!$O$5:$O$404,Performance!$H$5:$H$404,AJ33))</f>
        <v>0</v>
      </c>
      <c r="AM33" s="23">
        <f>IF(AJ33="","",SUMIFS(Performance!$Z$5:$Z$404,Performance!$H$5:$H$404,AJ33))</f>
        <v>0</v>
      </c>
      <c r="AN33" s="24">
        <f>IF(OR(AL33="",AL33=0),"",AM33/AL33)</f>
        <v>0</v>
      </c>
      <c r="AO33" s="32">
        <f>IF(AN33="","",AN33+ROW()/1000000)</f>
        <v>0</v>
      </c>
      <c r="AP33" s="17">
        <f>IF(Lists!$E33="","",Lists!$E33)</f>
        <v>0</v>
      </c>
      <c r="AQ33" s="23">
        <f>IF(AP33="","",COUNTIF(Performance!$G$5:$G$404,AP33))</f>
        <v>0</v>
      </c>
      <c r="AR33" s="23">
        <f>IF(AP33="","",SUMIFS(Performance!$O$5:$O$404,Performance!$G$5:$G$404,AP33))</f>
        <v>0</v>
      </c>
      <c r="AS33" s="23">
        <f>IF(AP33="","",SUMIFS(Performance!$Z$5:$Z$404,Performance!$G$5:$G$404,AP33))</f>
        <v>0</v>
      </c>
      <c r="AT33" s="24">
        <f>IF(OR(AR33="",AR33=0),"",AS33/AR33)</f>
        <v>0</v>
      </c>
      <c r="AU33" s="32">
        <f>IF(AQ33=0,"",IF(AT33="","",AT33+ROW()/1000000))</f>
        <v>0</v>
      </c>
      <c r="AV33" s="17">
        <f>IF(ROW()-4&gt;7,"",TEXT(DATE(2024,1,ROW()-4),"ddd"))</f>
        <v>0</v>
      </c>
      <c r="AW33" s="23">
        <f>IF(AV33="","",COUNTIF(Performance!$N$5:$N$404,AV33))</f>
        <v>0</v>
      </c>
      <c r="AX33" s="23">
        <f>IF(AV33="","",SUMIFS(Performance!$O$5:$O$404,Performance!$N$5:$N$404,AV33))</f>
        <v>0</v>
      </c>
      <c r="AY33" s="23">
        <f>IF(AV33="","",SUMIFS(Performance!$Z$5:$Z$404,Performance!$N$5:$N$404,AV33))</f>
        <v>0</v>
      </c>
      <c r="AZ33" s="24">
        <f>IF(OR(AX33="",AX33=0),"",AY33/AX33)</f>
        <v>0</v>
      </c>
      <c r="BA33" s="32">
        <f>IF(AW33=0,"",IF(AZ33="","",AZ33+ROW()/1000000))</f>
        <v>0</v>
      </c>
      <c r="BB33" s="17">
        <f>IF(Lists!$AL33="","",Lists!$AL33)</f>
        <v>0</v>
      </c>
      <c r="BC33" s="23">
        <f>IF(BB33="","",COUNTIF(Performance!$M$5:$M$404,BB33))</f>
        <v>0</v>
      </c>
      <c r="BD33" s="23">
        <f>IF(BB33="","",SUMIFS(Performance!$O$5:$O$404,Performance!$M$5:$M$404,BB33))</f>
        <v>0</v>
      </c>
      <c r="BE33" s="23">
        <f>IF(BB33="","",SUMIFS(Performance!$Z$5:$Z$404,Performance!$M$5:$M$404,BB33))</f>
        <v>0</v>
      </c>
      <c r="BF33" s="24">
        <f>IF(OR(BD33="",BD33=0),"",BE33/BD33)</f>
        <v>0</v>
      </c>
      <c r="BG33" s="32">
        <f>IF(BC33=0,"",IF(BF33="","",BF33+ROW()/1000000))</f>
        <v>0</v>
      </c>
      <c r="BH33" s="17">
        <f>IF(Performance!$C$33="","",Performance!$C$33)</f>
        <v>0</v>
      </c>
      <c r="BI33" s="17">
        <f>IF(Performance!$F$33="","",Performance!$F$33)</f>
        <v>0</v>
      </c>
      <c r="BJ33" s="17">
        <f>IF(Performance!$H$33="","",Performance!$H$33)</f>
        <v>0</v>
      </c>
      <c r="BK33" s="16">
        <f>IF(Performance!$D$33="","",Performance!$D$33)</f>
        <v>0</v>
      </c>
      <c r="BL33" s="17">
        <f>IF(Performance!$E$33="","",Performance!$E$33)</f>
        <v>0</v>
      </c>
      <c r="BM33" s="23">
        <f>IF(Performance!$O$33="","",Performance!$O$33)</f>
        <v>0</v>
      </c>
      <c r="BN33" s="24">
        <f>IF(Performance!$AA$33="","",Performance!$AA$33)</f>
        <v>0</v>
      </c>
      <c r="BO33" s="32">
        <f>IF(BH33="","",IF(BK33="","",IF(OR(BK33&lt;DashStart,BK33&gt;DashEnd),"",IF(BN33="","",BN33+ROW()/1000000))))</f>
        <v>0</v>
      </c>
      <c r="BP33" s="32">
        <f>IF(BM33="","",IF(BK33="","",IF(OR(BK33&lt;DashStart,BK33&gt;DashEnd),"",BM33+ROW()/1000000)))</f>
        <v>0</v>
      </c>
      <c r="BQ33" s="32">
        <f>IF(BH33="","",IF(BK33="","",IF(YEAR(BK33)&lt;&gt;PlanYear,"",IF(BN33="","",BN33+ROW()/1000000))))</f>
        <v>0</v>
      </c>
      <c r="BR33" s="32">
        <f>IF(BH33="","",IF(BK33="","",IF(OR(BK33&lt;RepFrom,BK33&gt;RepTo),"",IF(BN33="","",BN33+ROW()/1000000))))</f>
        <v>0</v>
      </c>
      <c r="BS33" s="32">
        <f>IF(BM33="","",IF(BK33="","",IF(YEAR(BK33)&lt;&gt;PlanYear,"",BM33+ROW()/1000000)))</f>
        <v>0</v>
      </c>
      <c r="BT33" s="17">
        <f>IF(Lists!$F33="","",Lists!$F33)</f>
        <v>0</v>
      </c>
      <c r="BU33" s="23">
        <f>IF(BT33="","",COUNTIF('Content Calendar'!$X$5:$X$604,BT33))</f>
        <v>0</v>
      </c>
      <c r="BV33" s="23">
        <f>IF(BT33="","",COUNTIFS('Content Calendar'!$X$5:$X$604,BT33,'Content Calendar'!$B$5:$B$604,"&gt;="&amp;DashStart,'Content Calendar'!$B$5:$B$604,"&lt;="&amp;DashEnd))</f>
        <v>0</v>
      </c>
      <c r="BW33" s="17">
        <f>IF(Team!$B$33="","",Team!$B$33)</f>
        <v>0</v>
      </c>
      <c r="BX33" s="23">
        <f>IF(BW33="","",COUNTIF('Content Calendar'!$W$5:$W$604,BW33))</f>
        <v>0</v>
      </c>
      <c r="BY33" s="23">
        <f>IF(BW33="","",COUNTIFS('Content Calendar'!$W$5:$W$604,BW33,'Content Calendar'!$X$5:$X$604,"&lt;&gt;Published"))</f>
        <v>0</v>
      </c>
      <c r="BZ33" s="23">
        <f>IF(BW33="","",COUNTIFS(Tasks!$C$5:$C$64,BW33,Tasks!$G$5:$G$64,"&lt;&gt;Complete"))</f>
        <v>0</v>
      </c>
      <c r="CA33" s="17">
        <f>IF(Campaigns!$B$33="","",Campaigns!$B$33)</f>
        <v>0</v>
      </c>
      <c r="CB33" s="25">
        <f>IF(Campaigns!$T$33="","",Campaigns!$T$33)</f>
        <v>0</v>
      </c>
      <c r="CC33" s="25">
        <f>IF(Campaigns!$Q$33="","",Campaigns!$Q$33)</f>
        <v>0</v>
      </c>
      <c r="CD33" s="23">
        <f>IF(Campaigns!$Y$33="","",Campaigns!$Y$33)</f>
        <v>0</v>
      </c>
      <c r="CE33" s="32">
        <f>IF(CA33="","",IF(N(CB33)&lt;=0,"",N(CB33)+ROW()/1000000))</f>
        <v>0</v>
      </c>
      <c r="CF33" s="17">
        <f>IF(Accounts!$C$33="","",Accounts!$C$33)</f>
        <v>0</v>
      </c>
      <c r="CG33" s="17">
        <f>IF(Accounts!$B$33="","",Accounts!$B$33)</f>
        <v>0</v>
      </c>
      <c r="CH33" s="23">
        <f>IF(Accounts!$J$33="","",Accounts!$J$33)</f>
        <v>0</v>
      </c>
      <c r="CI33" s="23">
        <f>IF(CF33="","",SUMIFS(Analytics!$X$5:$X$154,Analytics!$E$5:$E$154,CF33,Analytics!$B$5:$B$154,"&gt;="&amp;DashStart,Analytics!$B$5:$B$154,"&lt;="&amp;DashEnd))</f>
        <v>0</v>
      </c>
      <c r="CJ33" s="32">
        <f>IF(CH33="","",IF(CH33=0,"",CH33+ROW()/1000000))</f>
        <v>0</v>
      </c>
    </row>
    <row r="34" spans="1:88">
      <c r="A34" s="16">
        <f>IF(ROW()-4&gt;12,"",DATE(PlanYear,ROW()-4,1))</f>
        <v>0</v>
      </c>
      <c r="B34" s="16">
        <f>IF(A34="","",EOMONTH(A34,0))</f>
        <v>0</v>
      </c>
      <c r="C34" s="17">
        <f>IF(A34="","",TEXT(A34,"yyyy-mm"))</f>
        <v>0</v>
      </c>
      <c r="D34" s="17">
        <f>IF(A34="","",TEXT(A34,"mmm"))</f>
        <v>0</v>
      </c>
      <c r="E34" s="23">
        <f>IF(C34="","",COUNTIFS('Content Calendar'!$D$5:$D$604,C34))</f>
        <v>0</v>
      </c>
      <c r="F34" s="23">
        <f>IF(C34="","",COUNTIFS('Content Calendar'!$D$5:$D$604,C34,'Content Calendar'!$X$5:$X$604,"Published"))</f>
        <v>0</v>
      </c>
      <c r="G34" s="23">
        <f>IF(C34="","",SUMIFS(Analytics!$J$5:$J$154,Analytics!$C$5:$C$154,C34))</f>
        <v>0</v>
      </c>
      <c r="H34" s="23">
        <f>IF(C34="","",SUMIFS(Analytics!$K$5:$K$154,Analytics!$C$5:$C$154,C34))</f>
        <v>0</v>
      </c>
      <c r="I34" s="23">
        <f>IF(C34="","",SUMIFS(Analytics!$L$5:$L$154,Analytics!$C$5:$C$154,C34))</f>
        <v>0</v>
      </c>
      <c r="J34" s="24">
        <f>IF(OR(G34="",G34=0),"",I34/G34)</f>
        <v>0</v>
      </c>
      <c r="K34" s="23">
        <f>IF(C34="","",SUMIFS(Analytics!$G$5:$G$154,Analytics!$C$5:$C$154,C34))</f>
        <v>0</v>
      </c>
      <c r="L34" s="23">
        <f>IF(C34="","",SUMIFS(Analytics!$X$5:$X$154,Analytics!$C$5:$C$154,C34))</f>
        <v>0</v>
      </c>
      <c r="M34" s="23">
        <f>IF(C34="","",SUMIFS(Analytics!$R$5:$R$154,Analytics!$C$5:$C$154,C34))</f>
        <v>0</v>
      </c>
      <c r="N34" s="23">
        <f>IF(C34="","",SUMIFS(Analytics!$S$5:$S$154,Analytics!$C$5:$C$154,C34))</f>
        <v>0</v>
      </c>
      <c r="O34" s="23">
        <f>IF(C34="","",SUMIFS(Analytics!$T$5:$T$154,Analytics!$C$5:$C$154,C34))</f>
        <v>0</v>
      </c>
      <c r="P34" s="25">
        <f>IF(C34="","",SUMIFS(Analytics!$U$5:$U$154,Analytics!$C$5:$C$154,C34))</f>
        <v>0</v>
      </c>
      <c r="Q34" s="25">
        <f>IF(C34="","",SUMIFS(Budget!$H$5:$H$64,Budget!$C$5:$C$64,C34))</f>
        <v>0</v>
      </c>
      <c r="R34" s="25">
        <f>IF(C34="","",P34-Q34)</f>
        <v>0</v>
      </c>
      <c r="S34" s="23">
        <f>IF(C34="","",MonthlyPostTarget)</f>
        <v>0</v>
      </c>
      <c r="T34" s="17">
        <f>IF(Lists!$C34="","",Lists!$C34)</f>
        <v>0</v>
      </c>
      <c r="U34" s="23">
        <f>IF(T34="","",COUNTIFS('Content Calendar'!$G$5:$G$604,T34,'Content Calendar'!$B$5:$B$604,"&gt;="&amp;DashStart,'Content Calendar'!$B$5:$B$604,"&lt;="&amp;DashEnd))</f>
        <v>0</v>
      </c>
      <c r="V34" s="23">
        <f>IF(T34="","",COUNTIFS('Content Calendar'!$G$5:$G$604,T34,'Content Calendar'!$X$5:$X$604,"Published",'Content Calendar'!$B$5:$B$604,"&gt;="&amp;DashStart,'Content Calendar'!$B$5:$B$604,"&lt;="&amp;DashEnd))</f>
        <v>0</v>
      </c>
      <c r="W34" s="23">
        <f>IF(T34="","",SUMIFS(Analytics!$J$5:$J$154,Analytics!$D$5:$D$154,T34,Analytics!$B$5:$B$154,"&gt;="&amp;DashStart,Analytics!$B$5:$B$154,"&lt;="&amp;DashEnd))</f>
        <v>0</v>
      </c>
      <c r="X34" s="23">
        <f>IF(T34="","",SUMIFS(Analytics!$L$5:$L$154,Analytics!$D$5:$D$154,T34,Analytics!$B$5:$B$154,"&gt;="&amp;DashStart,Analytics!$B$5:$B$154,"&lt;="&amp;DashEnd))</f>
        <v>0</v>
      </c>
      <c r="Y34" s="24">
        <f>IF(OR(W34="",W34=0),"",X34/W34)</f>
        <v>0</v>
      </c>
      <c r="Z34" s="23">
        <f>IF(T34="","",SUMIFS(Analytics!$G$5:$G$154,Analytics!$D$5:$D$154,T34,Analytics!$B$5:$B$154,"&gt;="&amp;DashStart,Analytics!$B$5:$B$154,"&lt;="&amp;DashEnd))</f>
        <v>0</v>
      </c>
      <c r="AA34" s="23">
        <f>IF(T34="","",SUMIFS(Analytics!$X$5:$X$154,Analytics!$D$5:$D$154,T34,Analytics!$B$5:$B$154,"&gt;="&amp;DashStart,Analytics!$B$5:$B$154,"&lt;="&amp;DashEnd))</f>
        <v>0</v>
      </c>
      <c r="AB34" s="23">
        <f>IF(T34="","",SUMIFS(Analytics!$R$5:$R$154,Analytics!$D$5:$D$154,T34,Analytics!$B$5:$B$154,"&gt;="&amp;DashStart,Analytics!$B$5:$B$154,"&lt;="&amp;DashEnd))</f>
        <v>0</v>
      </c>
      <c r="AC34" s="25">
        <f>IF(T34="","",SUMIFS(Analytics!$U$5:$U$154,Analytics!$D$5:$D$154,T34,Analytics!$B$5:$B$154,"&gt;="&amp;DashStart,Analytics!$B$5:$B$154,"&lt;="&amp;DashEnd))</f>
        <v>0</v>
      </c>
      <c r="AD34" s="23">
        <f>IF(T34="","",COUNTIFS('Content Calendar'!$G$5:$G$604,T34,'Content Calendar'!$B$5:$B$604,"&gt;="&amp;DATE(PlanYear,1,1),'Content Calendar'!$B$5:$B$604,"&lt;="&amp;DATE(PlanYear,12,31)))</f>
        <v>0</v>
      </c>
      <c r="AE34" s="23">
        <f>IF(T34="","",SUMIFS(Analytics!$J$5:$J$154,Analytics!$D$5:$D$154,T34))</f>
        <v>0</v>
      </c>
      <c r="AF34" s="23">
        <f>IF(T34="","",SUMIFS(Analytics!$L$5:$L$154,Analytics!$D$5:$D$154,T34))</f>
        <v>0</v>
      </c>
      <c r="AG34" s="24">
        <f>IF(OR(AE34="",AE34=0),"",AF34/AE34)</f>
        <v>0</v>
      </c>
      <c r="AH34" s="23">
        <f>IF(T34="","",SUMIFS(Analytics!$X$5:$X$154,Analytics!$D$5:$D$154,T34))</f>
        <v>0</v>
      </c>
      <c r="AI34" s="32">
        <f>IF(T34="","",IF(AE34=0,"",AE34+ROW()/1000000))</f>
        <v>0</v>
      </c>
      <c r="AJ34" s="17">
        <f>IF('Content Pillars'!$B$34="","",'Content Pillars'!$B$34)</f>
        <v>0</v>
      </c>
      <c r="AK34" s="23">
        <f>IF(AJ34="","",COUNTIFS('Content Calendar'!$J$5:$J$604,AJ34,'Content Calendar'!$B$5:$B$604,"&gt;="&amp;DATE(PlanYear,1,1),'Content Calendar'!$B$5:$B$604,"&lt;="&amp;DATE(PlanYear,12,31)))</f>
        <v>0</v>
      </c>
      <c r="AL34" s="23">
        <f>IF(AJ34="","",SUMIFS(Performance!$O$5:$O$404,Performance!$H$5:$H$404,AJ34))</f>
        <v>0</v>
      </c>
      <c r="AM34" s="23">
        <f>IF(AJ34="","",SUMIFS(Performance!$Z$5:$Z$404,Performance!$H$5:$H$404,AJ34))</f>
        <v>0</v>
      </c>
      <c r="AN34" s="24">
        <f>IF(OR(AL34="",AL34=0),"",AM34/AL34)</f>
        <v>0</v>
      </c>
      <c r="AO34" s="32">
        <f>IF(AN34="","",AN34+ROW()/1000000)</f>
        <v>0</v>
      </c>
      <c r="AP34" s="17">
        <f>IF(Lists!$E34="","",Lists!$E34)</f>
        <v>0</v>
      </c>
      <c r="AQ34" s="23">
        <f>IF(AP34="","",COUNTIF(Performance!$G$5:$G$404,AP34))</f>
        <v>0</v>
      </c>
      <c r="AR34" s="23">
        <f>IF(AP34="","",SUMIFS(Performance!$O$5:$O$404,Performance!$G$5:$G$404,AP34))</f>
        <v>0</v>
      </c>
      <c r="AS34" s="23">
        <f>IF(AP34="","",SUMIFS(Performance!$Z$5:$Z$404,Performance!$G$5:$G$404,AP34))</f>
        <v>0</v>
      </c>
      <c r="AT34" s="24">
        <f>IF(OR(AR34="",AR34=0),"",AS34/AR34)</f>
        <v>0</v>
      </c>
      <c r="AU34" s="32">
        <f>IF(AQ34=0,"",IF(AT34="","",AT34+ROW()/1000000))</f>
        <v>0</v>
      </c>
      <c r="AV34" s="17">
        <f>IF(ROW()-4&gt;7,"",TEXT(DATE(2024,1,ROW()-4),"ddd"))</f>
        <v>0</v>
      </c>
      <c r="AW34" s="23">
        <f>IF(AV34="","",COUNTIF(Performance!$N$5:$N$404,AV34))</f>
        <v>0</v>
      </c>
      <c r="AX34" s="23">
        <f>IF(AV34="","",SUMIFS(Performance!$O$5:$O$404,Performance!$N$5:$N$404,AV34))</f>
        <v>0</v>
      </c>
      <c r="AY34" s="23">
        <f>IF(AV34="","",SUMIFS(Performance!$Z$5:$Z$404,Performance!$N$5:$N$404,AV34))</f>
        <v>0</v>
      </c>
      <c r="AZ34" s="24">
        <f>IF(OR(AX34="",AX34=0),"",AY34/AX34)</f>
        <v>0</v>
      </c>
      <c r="BA34" s="32">
        <f>IF(AW34=0,"",IF(AZ34="","",AZ34+ROW()/1000000))</f>
        <v>0</v>
      </c>
      <c r="BB34" s="17">
        <f>IF(Lists!$AL34="","",Lists!$AL34)</f>
        <v>0</v>
      </c>
      <c r="BC34" s="23">
        <f>IF(BB34="","",COUNTIF(Performance!$M$5:$M$404,BB34))</f>
        <v>0</v>
      </c>
      <c r="BD34" s="23">
        <f>IF(BB34="","",SUMIFS(Performance!$O$5:$O$404,Performance!$M$5:$M$404,BB34))</f>
        <v>0</v>
      </c>
      <c r="BE34" s="23">
        <f>IF(BB34="","",SUMIFS(Performance!$Z$5:$Z$404,Performance!$M$5:$M$404,BB34))</f>
        <v>0</v>
      </c>
      <c r="BF34" s="24">
        <f>IF(OR(BD34="",BD34=0),"",BE34/BD34)</f>
        <v>0</v>
      </c>
      <c r="BG34" s="32">
        <f>IF(BC34=0,"",IF(BF34="","",BF34+ROW()/1000000))</f>
        <v>0</v>
      </c>
      <c r="BH34" s="17">
        <f>IF(Performance!$C$34="","",Performance!$C$34)</f>
        <v>0</v>
      </c>
      <c r="BI34" s="17">
        <f>IF(Performance!$F$34="","",Performance!$F$34)</f>
        <v>0</v>
      </c>
      <c r="BJ34" s="17">
        <f>IF(Performance!$H$34="","",Performance!$H$34)</f>
        <v>0</v>
      </c>
      <c r="BK34" s="16">
        <f>IF(Performance!$D$34="","",Performance!$D$34)</f>
        <v>0</v>
      </c>
      <c r="BL34" s="17">
        <f>IF(Performance!$E$34="","",Performance!$E$34)</f>
        <v>0</v>
      </c>
      <c r="BM34" s="23">
        <f>IF(Performance!$O$34="","",Performance!$O$34)</f>
        <v>0</v>
      </c>
      <c r="BN34" s="24">
        <f>IF(Performance!$AA$34="","",Performance!$AA$34)</f>
        <v>0</v>
      </c>
      <c r="BO34" s="32">
        <f>IF(BH34="","",IF(BK34="","",IF(OR(BK34&lt;DashStart,BK34&gt;DashEnd),"",IF(BN34="","",BN34+ROW()/1000000))))</f>
        <v>0</v>
      </c>
      <c r="BP34" s="32">
        <f>IF(BM34="","",IF(BK34="","",IF(OR(BK34&lt;DashStart,BK34&gt;DashEnd),"",BM34+ROW()/1000000)))</f>
        <v>0</v>
      </c>
      <c r="BQ34" s="32">
        <f>IF(BH34="","",IF(BK34="","",IF(YEAR(BK34)&lt;&gt;PlanYear,"",IF(BN34="","",BN34+ROW()/1000000))))</f>
        <v>0</v>
      </c>
      <c r="BR34" s="32">
        <f>IF(BH34="","",IF(BK34="","",IF(OR(BK34&lt;RepFrom,BK34&gt;RepTo),"",IF(BN34="","",BN34+ROW()/1000000))))</f>
        <v>0</v>
      </c>
      <c r="BS34" s="32">
        <f>IF(BM34="","",IF(BK34="","",IF(YEAR(BK34)&lt;&gt;PlanYear,"",BM34+ROW()/1000000)))</f>
        <v>0</v>
      </c>
      <c r="BT34" s="17">
        <f>IF(Lists!$F34="","",Lists!$F34)</f>
        <v>0</v>
      </c>
      <c r="BU34" s="23">
        <f>IF(BT34="","",COUNTIF('Content Calendar'!$X$5:$X$604,BT34))</f>
        <v>0</v>
      </c>
      <c r="BV34" s="23">
        <f>IF(BT34="","",COUNTIFS('Content Calendar'!$X$5:$X$604,BT34,'Content Calendar'!$B$5:$B$604,"&gt;="&amp;DashStart,'Content Calendar'!$B$5:$B$604,"&lt;="&amp;DashEnd))</f>
        <v>0</v>
      </c>
      <c r="BW34" s="17">
        <f>IF(Team!$B$34="","",Team!$B$34)</f>
        <v>0</v>
      </c>
      <c r="BX34" s="23">
        <f>IF(BW34="","",COUNTIF('Content Calendar'!$W$5:$W$604,BW34))</f>
        <v>0</v>
      </c>
      <c r="BY34" s="23">
        <f>IF(BW34="","",COUNTIFS('Content Calendar'!$W$5:$W$604,BW34,'Content Calendar'!$X$5:$X$604,"&lt;&gt;Published"))</f>
        <v>0</v>
      </c>
      <c r="BZ34" s="23">
        <f>IF(BW34="","",COUNTIFS(Tasks!$C$5:$C$64,BW34,Tasks!$G$5:$G$64,"&lt;&gt;Complete"))</f>
        <v>0</v>
      </c>
      <c r="CA34" s="17">
        <f>IF(Campaigns!$B$34="","",Campaigns!$B$34)</f>
        <v>0</v>
      </c>
      <c r="CB34" s="25">
        <f>IF(Campaigns!$T$34="","",Campaigns!$T$34)</f>
        <v>0</v>
      </c>
      <c r="CC34" s="25">
        <f>IF(Campaigns!$Q$34="","",Campaigns!$Q$34)</f>
        <v>0</v>
      </c>
      <c r="CD34" s="23">
        <f>IF(Campaigns!$Y$34="","",Campaigns!$Y$34)</f>
        <v>0</v>
      </c>
      <c r="CE34" s="32">
        <f>IF(CA34="","",IF(N(CB34)&lt;=0,"",N(CB34)+ROW()/1000000))</f>
        <v>0</v>
      </c>
      <c r="CF34" s="17">
        <f>IF(Accounts!$C$34="","",Accounts!$C$34)</f>
        <v>0</v>
      </c>
      <c r="CG34" s="17">
        <f>IF(Accounts!$B$34="","",Accounts!$B$34)</f>
        <v>0</v>
      </c>
      <c r="CH34" s="23">
        <f>IF(Accounts!$J$34="","",Accounts!$J$34)</f>
        <v>0</v>
      </c>
      <c r="CI34" s="23">
        <f>IF(CF34="","",SUMIFS(Analytics!$X$5:$X$154,Analytics!$E$5:$E$154,CF34,Analytics!$B$5:$B$154,"&gt;="&amp;DashStart,Analytics!$B$5:$B$154,"&lt;="&amp;DashEnd))</f>
        <v>0</v>
      </c>
      <c r="CJ34" s="32">
        <f>IF(CH34="","",IF(CH34=0,"",CH34+ROW()/1000000))</f>
        <v>0</v>
      </c>
    </row>
    <row r="35" spans="1:88">
      <c r="A35" s="16">
        <f>IF(ROW()-4&gt;12,"",DATE(PlanYear,ROW()-4,1))</f>
        <v>0</v>
      </c>
      <c r="B35" s="16">
        <f>IF(A35="","",EOMONTH(A35,0))</f>
        <v>0</v>
      </c>
      <c r="C35" s="17">
        <f>IF(A35="","",TEXT(A35,"yyyy-mm"))</f>
        <v>0</v>
      </c>
      <c r="D35" s="17">
        <f>IF(A35="","",TEXT(A35,"mmm"))</f>
        <v>0</v>
      </c>
      <c r="E35" s="23">
        <f>IF(C35="","",COUNTIFS('Content Calendar'!$D$5:$D$604,C35))</f>
        <v>0</v>
      </c>
      <c r="F35" s="23">
        <f>IF(C35="","",COUNTIFS('Content Calendar'!$D$5:$D$604,C35,'Content Calendar'!$X$5:$X$604,"Published"))</f>
        <v>0</v>
      </c>
      <c r="G35" s="23">
        <f>IF(C35="","",SUMIFS(Analytics!$J$5:$J$154,Analytics!$C$5:$C$154,C35))</f>
        <v>0</v>
      </c>
      <c r="H35" s="23">
        <f>IF(C35="","",SUMIFS(Analytics!$K$5:$K$154,Analytics!$C$5:$C$154,C35))</f>
        <v>0</v>
      </c>
      <c r="I35" s="23">
        <f>IF(C35="","",SUMIFS(Analytics!$L$5:$L$154,Analytics!$C$5:$C$154,C35))</f>
        <v>0</v>
      </c>
      <c r="J35" s="24">
        <f>IF(OR(G35="",G35=0),"",I35/G35)</f>
        <v>0</v>
      </c>
      <c r="K35" s="23">
        <f>IF(C35="","",SUMIFS(Analytics!$G$5:$G$154,Analytics!$C$5:$C$154,C35))</f>
        <v>0</v>
      </c>
      <c r="L35" s="23">
        <f>IF(C35="","",SUMIFS(Analytics!$X$5:$X$154,Analytics!$C$5:$C$154,C35))</f>
        <v>0</v>
      </c>
      <c r="M35" s="23">
        <f>IF(C35="","",SUMIFS(Analytics!$R$5:$R$154,Analytics!$C$5:$C$154,C35))</f>
        <v>0</v>
      </c>
      <c r="N35" s="23">
        <f>IF(C35="","",SUMIFS(Analytics!$S$5:$S$154,Analytics!$C$5:$C$154,C35))</f>
        <v>0</v>
      </c>
      <c r="O35" s="23">
        <f>IF(C35="","",SUMIFS(Analytics!$T$5:$T$154,Analytics!$C$5:$C$154,C35))</f>
        <v>0</v>
      </c>
      <c r="P35" s="25">
        <f>IF(C35="","",SUMIFS(Analytics!$U$5:$U$154,Analytics!$C$5:$C$154,C35))</f>
        <v>0</v>
      </c>
      <c r="Q35" s="25">
        <f>IF(C35="","",SUMIFS(Budget!$H$5:$H$64,Budget!$C$5:$C$64,C35))</f>
        <v>0</v>
      </c>
      <c r="R35" s="25">
        <f>IF(C35="","",P35-Q35)</f>
        <v>0</v>
      </c>
      <c r="S35" s="23">
        <f>IF(C35="","",MonthlyPostTarget)</f>
        <v>0</v>
      </c>
      <c r="T35" s="17">
        <f>IF(Lists!$C35="","",Lists!$C35)</f>
        <v>0</v>
      </c>
      <c r="U35" s="23">
        <f>IF(T35="","",COUNTIFS('Content Calendar'!$G$5:$G$604,T35,'Content Calendar'!$B$5:$B$604,"&gt;="&amp;DashStart,'Content Calendar'!$B$5:$B$604,"&lt;="&amp;DashEnd))</f>
        <v>0</v>
      </c>
      <c r="V35" s="23">
        <f>IF(T35="","",COUNTIFS('Content Calendar'!$G$5:$G$604,T35,'Content Calendar'!$X$5:$X$604,"Published",'Content Calendar'!$B$5:$B$604,"&gt;="&amp;DashStart,'Content Calendar'!$B$5:$B$604,"&lt;="&amp;DashEnd))</f>
        <v>0</v>
      </c>
      <c r="W35" s="23">
        <f>IF(T35="","",SUMIFS(Analytics!$J$5:$J$154,Analytics!$D$5:$D$154,T35,Analytics!$B$5:$B$154,"&gt;="&amp;DashStart,Analytics!$B$5:$B$154,"&lt;="&amp;DashEnd))</f>
        <v>0</v>
      </c>
      <c r="X35" s="23">
        <f>IF(T35="","",SUMIFS(Analytics!$L$5:$L$154,Analytics!$D$5:$D$154,T35,Analytics!$B$5:$B$154,"&gt;="&amp;DashStart,Analytics!$B$5:$B$154,"&lt;="&amp;DashEnd))</f>
        <v>0</v>
      </c>
      <c r="Y35" s="24">
        <f>IF(OR(W35="",W35=0),"",X35/W35)</f>
        <v>0</v>
      </c>
      <c r="Z35" s="23">
        <f>IF(T35="","",SUMIFS(Analytics!$G$5:$G$154,Analytics!$D$5:$D$154,T35,Analytics!$B$5:$B$154,"&gt;="&amp;DashStart,Analytics!$B$5:$B$154,"&lt;="&amp;DashEnd))</f>
        <v>0</v>
      </c>
      <c r="AA35" s="23">
        <f>IF(T35="","",SUMIFS(Analytics!$X$5:$X$154,Analytics!$D$5:$D$154,T35,Analytics!$B$5:$B$154,"&gt;="&amp;DashStart,Analytics!$B$5:$B$154,"&lt;="&amp;DashEnd))</f>
        <v>0</v>
      </c>
      <c r="AB35" s="23">
        <f>IF(T35="","",SUMIFS(Analytics!$R$5:$R$154,Analytics!$D$5:$D$154,T35,Analytics!$B$5:$B$154,"&gt;="&amp;DashStart,Analytics!$B$5:$B$154,"&lt;="&amp;DashEnd))</f>
        <v>0</v>
      </c>
      <c r="AC35" s="25">
        <f>IF(T35="","",SUMIFS(Analytics!$U$5:$U$154,Analytics!$D$5:$D$154,T35,Analytics!$B$5:$B$154,"&gt;="&amp;DashStart,Analytics!$B$5:$B$154,"&lt;="&amp;DashEnd))</f>
        <v>0</v>
      </c>
      <c r="AD35" s="23">
        <f>IF(T35="","",COUNTIFS('Content Calendar'!$G$5:$G$604,T35,'Content Calendar'!$B$5:$B$604,"&gt;="&amp;DATE(PlanYear,1,1),'Content Calendar'!$B$5:$B$604,"&lt;="&amp;DATE(PlanYear,12,31)))</f>
        <v>0</v>
      </c>
      <c r="AE35" s="23">
        <f>IF(T35="","",SUMIFS(Analytics!$J$5:$J$154,Analytics!$D$5:$D$154,T35))</f>
        <v>0</v>
      </c>
      <c r="AF35" s="23">
        <f>IF(T35="","",SUMIFS(Analytics!$L$5:$L$154,Analytics!$D$5:$D$154,T35))</f>
        <v>0</v>
      </c>
      <c r="AG35" s="24">
        <f>IF(OR(AE35="",AE35=0),"",AF35/AE35)</f>
        <v>0</v>
      </c>
      <c r="AH35" s="23">
        <f>IF(T35="","",SUMIFS(Analytics!$X$5:$X$154,Analytics!$D$5:$D$154,T35))</f>
        <v>0</v>
      </c>
      <c r="AI35" s="32">
        <f>IF(T35="","",IF(AE35=0,"",AE35+ROW()/1000000))</f>
        <v>0</v>
      </c>
      <c r="AJ35" s="17">
        <f>IF('Content Pillars'!$B$35="","",'Content Pillars'!$B$35)</f>
        <v>0</v>
      </c>
      <c r="AK35" s="23">
        <f>IF(AJ35="","",COUNTIFS('Content Calendar'!$J$5:$J$604,AJ35,'Content Calendar'!$B$5:$B$604,"&gt;="&amp;DATE(PlanYear,1,1),'Content Calendar'!$B$5:$B$604,"&lt;="&amp;DATE(PlanYear,12,31)))</f>
        <v>0</v>
      </c>
      <c r="AL35" s="23">
        <f>IF(AJ35="","",SUMIFS(Performance!$O$5:$O$404,Performance!$H$5:$H$404,AJ35))</f>
        <v>0</v>
      </c>
      <c r="AM35" s="23">
        <f>IF(AJ35="","",SUMIFS(Performance!$Z$5:$Z$404,Performance!$H$5:$H$404,AJ35))</f>
        <v>0</v>
      </c>
      <c r="AN35" s="24">
        <f>IF(OR(AL35="",AL35=0),"",AM35/AL35)</f>
        <v>0</v>
      </c>
      <c r="AO35" s="32">
        <f>IF(AN35="","",AN35+ROW()/1000000)</f>
        <v>0</v>
      </c>
      <c r="AP35" s="17">
        <f>IF(Lists!$E35="","",Lists!$E35)</f>
        <v>0</v>
      </c>
      <c r="AQ35" s="23">
        <f>IF(AP35="","",COUNTIF(Performance!$G$5:$G$404,AP35))</f>
        <v>0</v>
      </c>
      <c r="AR35" s="23">
        <f>IF(AP35="","",SUMIFS(Performance!$O$5:$O$404,Performance!$G$5:$G$404,AP35))</f>
        <v>0</v>
      </c>
      <c r="AS35" s="23">
        <f>IF(AP35="","",SUMIFS(Performance!$Z$5:$Z$404,Performance!$G$5:$G$404,AP35))</f>
        <v>0</v>
      </c>
      <c r="AT35" s="24">
        <f>IF(OR(AR35="",AR35=0),"",AS35/AR35)</f>
        <v>0</v>
      </c>
      <c r="AU35" s="32">
        <f>IF(AQ35=0,"",IF(AT35="","",AT35+ROW()/1000000))</f>
        <v>0</v>
      </c>
      <c r="AV35" s="17">
        <f>IF(ROW()-4&gt;7,"",TEXT(DATE(2024,1,ROW()-4),"ddd"))</f>
        <v>0</v>
      </c>
      <c r="AW35" s="23">
        <f>IF(AV35="","",COUNTIF(Performance!$N$5:$N$404,AV35))</f>
        <v>0</v>
      </c>
      <c r="AX35" s="23">
        <f>IF(AV35="","",SUMIFS(Performance!$O$5:$O$404,Performance!$N$5:$N$404,AV35))</f>
        <v>0</v>
      </c>
      <c r="AY35" s="23">
        <f>IF(AV35="","",SUMIFS(Performance!$Z$5:$Z$404,Performance!$N$5:$N$404,AV35))</f>
        <v>0</v>
      </c>
      <c r="AZ35" s="24">
        <f>IF(OR(AX35="",AX35=0),"",AY35/AX35)</f>
        <v>0</v>
      </c>
      <c r="BA35" s="32">
        <f>IF(AW35=0,"",IF(AZ35="","",AZ35+ROW()/1000000))</f>
        <v>0</v>
      </c>
      <c r="BB35" s="17">
        <f>IF(Lists!$AL35="","",Lists!$AL35)</f>
        <v>0</v>
      </c>
      <c r="BC35" s="23">
        <f>IF(BB35="","",COUNTIF(Performance!$M$5:$M$404,BB35))</f>
        <v>0</v>
      </c>
      <c r="BD35" s="23">
        <f>IF(BB35="","",SUMIFS(Performance!$O$5:$O$404,Performance!$M$5:$M$404,BB35))</f>
        <v>0</v>
      </c>
      <c r="BE35" s="23">
        <f>IF(BB35="","",SUMIFS(Performance!$Z$5:$Z$404,Performance!$M$5:$M$404,BB35))</f>
        <v>0</v>
      </c>
      <c r="BF35" s="24">
        <f>IF(OR(BD35="",BD35=0),"",BE35/BD35)</f>
        <v>0</v>
      </c>
      <c r="BG35" s="32">
        <f>IF(BC35=0,"",IF(BF35="","",BF35+ROW()/1000000))</f>
        <v>0</v>
      </c>
      <c r="BH35" s="17">
        <f>IF(Performance!$C$35="","",Performance!$C$35)</f>
        <v>0</v>
      </c>
      <c r="BI35" s="17">
        <f>IF(Performance!$F$35="","",Performance!$F$35)</f>
        <v>0</v>
      </c>
      <c r="BJ35" s="17">
        <f>IF(Performance!$H$35="","",Performance!$H$35)</f>
        <v>0</v>
      </c>
      <c r="BK35" s="16">
        <f>IF(Performance!$D$35="","",Performance!$D$35)</f>
        <v>0</v>
      </c>
      <c r="BL35" s="17">
        <f>IF(Performance!$E$35="","",Performance!$E$35)</f>
        <v>0</v>
      </c>
      <c r="BM35" s="23">
        <f>IF(Performance!$O$35="","",Performance!$O$35)</f>
        <v>0</v>
      </c>
      <c r="BN35" s="24">
        <f>IF(Performance!$AA$35="","",Performance!$AA$35)</f>
        <v>0</v>
      </c>
      <c r="BO35" s="32">
        <f>IF(BH35="","",IF(BK35="","",IF(OR(BK35&lt;DashStart,BK35&gt;DashEnd),"",IF(BN35="","",BN35+ROW()/1000000))))</f>
        <v>0</v>
      </c>
      <c r="BP35" s="32">
        <f>IF(BM35="","",IF(BK35="","",IF(OR(BK35&lt;DashStart,BK35&gt;DashEnd),"",BM35+ROW()/1000000)))</f>
        <v>0</v>
      </c>
      <c r="BQ35" s="32">
        <f>IF(BH35="","",IF(BK35="","",IF(YEAR(BK35)&lt;&gt;PlanYear,"",IF(BN35="","",BN35+ROW()/1000000))))</f>
        <v>0</v>
      </c>
      <c r="BR35" s="32">
        <f>IF(BH35="","",IF(BK35="","",IF(OR(BK35&lt;RepFrom,BK35&gt;RepTo),"",IF(BN35="","",BN35+ROW()/1000000))))</f>
        <v>0</v>
      </c>
      <c r="BS35" s="32">
        <f>IF(BM35="","",IF(BK35="","",IF(YEAR(BK35)&lt;&gt;PlanYear,"",BM35+ROW()/1000000)))</f>
        <v>0</v>
      </c>
      <c r="BT35" s="17">
        <f>IF(Lists!$F35="","",Lists!$F35)</f>
        <v>0</v>
      </c>
      <c r="BU35" s="23">
        <f>IF(BT35="","",COUNTIF('Content Calendar'!$X$5:$X$604,BT35))</f>
        <v>0</v>
      </c>
      <c r="BV35" s="23">
        <f>IF(BT35="","",COUNTIFS('Content Calendar'!$X$5:$X$604,BT35,'Content Calendar'!$B$5:$B$604,"&gt;="&amp;DashStart,'Content Calendar'!$B$5:$B$604,"&lt;="&amp;DashEnd))</f>
        <v>0</v>
      </c>
      <c r="BW35" s="17">
        <f>IF(Team!$B$35="","",Team!$B$35)</f>
        <v>0</v>
      </c>
      <c r="BX35" s="23">
        <f>IF(BW35="","",COUNTIF('Content Calendar'!$W$5:$W$604,BW35))</f>
        <v>0</v>
      </c>
      <c r="BY35" s="23">
        <f>IF(BW35="","",COUNTIFS('Content Calendar'!$W$5:$W$604,BW35,'Content Calendar'!$X$5:$X$604,"&lt;&gt;Published"))</f>
        <v>0</v>
      </c>
      <c r="BZ35" s="23">
        <f>IF(BW35="","",COUNTIFS(Tasks!$C$5:$C$64,BW35,Tasks!$G$5:$G$64,"&lt;&gt;Complete"))</f>
        <v>0</v>
      </c>
      <c r="CA35" s="17">
        <f>IF(Campaigns!$B$35="","",Campaigns!$B$35)</f>
        <v>0</v>
      </c>
      <c r="CB35" s="25">
        <f>IF(Campaigns!$T$35="","",Campaigns!$T$35)</f>
        <v>0</v>
      </c>
      <c r="CC35" s="25">
        <f>IF(Campaigns!$Q$35="","",Campaigns!$Q$35)</f>
        <v>0</v>
      </c>
      <c r="CD35" s="23">
        <f>IF(Campaigns!$Y$35="","",Campaigns!$Y$35)</f>
        <v>0</v>
      </c>
      <c r="CE35" s="32">
        <f>IF(CA35="","",IF(N(CB35)&lt;=0,"",N(CB35)+ROW()/1000000))</f>
        <v>0</v>
      </c>
      <c r="CF35" s="17">
        <f>IF(Accounts!$C$35="","",Accounts!$C$35)</f>
        <v>0</v>
      </c>
      <c r="CG35" s="17">
        <f>IF(Accounts!$B$35="","",Accounts!$B$35)</f>
        <v>0</v>
      </c>
      <c r="CH35" s="23">
        <f>IF(Accounts!$J$35="","",Accounts!$J$35)</f>
        <v>0</v>
      </c>
      <c r="CI35" s="23">
        <f>IF(CF35="","",SUMIFS(Analytics!$X$5:$X$154,Analytics!$E$5:$E$154,CF35,Analytics!$B$5:$B$154,"&gt;="&amp;DashStart,Analytics!$B$5:$B$154,"&lt;="&amp;DashEnd))</f>
        <v>0</v>
      </c>
      <c r="CJ35" s="32">
        <f>IF(CH35="","",IF(CH35=0,"",CH35+ROW()/1000000))</f>
        <v>0</v>
      </c>
    </row>
    <row r="36" spans="1:88">
      <c r="A36" s="16">
        <f>IF(ROW()-4&gt;12,"",DATE(PlanYear,ROW()-4,1))</f>
        <v>0</v>
      </c>
      <c r="B36" s="16">
        <f>IF(A36="","",EOMONTH(A36,0))</f>
        <v>0</v>
      </c>
      <c r="C36" s="17">
        <f>IF(A36="","",TEXT(A36,"yyyy-mm"))</f>
        <v>0</v>
      </c>
      <c r="D36" s="17">
        <f>IF(A36="","",TEXT(A36,"mmm"))</f>
        <v>0</v>
      </c>
      <c r="E36" s="23">
        <f>IF(C36="","",COUNTIFS('Content Calendar'!$D$5:$D$604,C36))</f>
        <v>0</v>
      </c>
      <c r="F36" s="23">
        <f>IF(C36="","",COUNTIFS('Content Calendar'!$D$5:$D$604,C36,'Content Calendar'!$X$5:$X$604,"Published"))</f>
        <v>0</v>
      </c>
      <c r="G36" s="23">
        <f>IF(C36="","",SUMIFS(Analytics!$J$5:$J$154,Analytics!$C$5:$C$154,C36))</f>
        <v>0</v>
      </c>
      <c r="H36" s="23">
        <f>IF(C36="","",SUMIFS(Analytics!$K$5:$K$154,Analytics!$C$5:$C$154,C36))</f>
        <v>0</v>
      </c>
      <c r="I36" s="23">
        <f>IF(C36="","",SUMIFS(Analytics!$L$5:$L$154,Analytics!$C$5:$C$154,C36))</f>
        <v>0</v>
      </c>
      <c r="J36" s="24">
        <f>IF(OR(G36="",G36=0),"",I36/G36)</f>
        <v>0</v>
      </c>
      <c r="K36" s="23">
        <f>IF(C36="","",SUMIFS(Analytics!$G$5:$G$154,Analytics!$C$5:$C$154,C36))</f>
        <v>0</v>
      </c>
      <c r="L36" s="23">
        <f>IF(C36="","",SUMIFS(Analytics!$X$5:$X$154,Analytics!$C$5:$C$154,C36))</f>
        <v>0</v>
      </c>
      <c r="M36" s="23">
        <f>IF(C36="","",SUMIFS(Analytics!$R$5:$R$154,Analytics!$C$5:$C$154,C36))</f>
        <v>0</v>
      </c>
      <c r="N36" s="23">
        <f>IF(C36="","",SUMIFS(Analytics!$S$5:$S$154,Analytics!$C$5:$C$154,C36))</f>
        <v>0</v>
      </c>
      <c r="O36" s="23">
        <f>IF(C36="","",SUMIFS(Analytics!$T$5:$T$154,Analytics!$C$5:$C$154,C36))</f>
        <v>0</v>
      </c>
      <c r="P36" s="25">
        <f>IF(C36="","",SUMIFS(Analytics!$U$5:$U$154,Analytics!$C$5:$C$154,C36))</f>
        <v>0</v>
      </c>
      <c r="Q36" s="25">
        <f>IF(C36="","",SUMIFS(Budget!$H$5:$H$64,Budget!$C$5:$C$64,C36))</f>
        <v>0</v>
      </c>
      <c r="R36" s="25">
        <f>IF(C36="","",P36-Q36)</f>
        <v>0</v>
      </c>
      <c r="S36" s="23">
        <f>IF(C36="","",MonthlyPostTarget)</f>
        <v>0</v>
      </c>
      <c r="T36" s="17">
        <f>IF(Lists!$C36="","",Lists!$C36)</f>
        <v>0</v>
      </c>
      <c r="U36" s="23">
        <f>IF(T36="","",COUNTIFS('Content Calendar'!$G$5:$G$604,T36,'Content Calendar'!$B$5:$B$604,"&gt;="&amp;DashStart,'Content Calendar'!$B$5:$B$604,"&lt;="&amp;DashEnd))</f>
        <v>0</v>
      </c>
      <c r="V36" s="23">
        <f>IF(T36="","",COUNTIFS('Content Calendar'!$G$5:$G$604,T36,'Content Calendar'!$X$5:$X$604,"Published",'Content Calendar'!$B$5:$B$604,"&gt;="&amp;DashStart,'Content Calendar'!$B$5:$B$604,"&lt;="&amp;DashEnd))</f>
        <v>0</v>
      </c>
      <c r="W36" s="23">
        <f>IF(T36="","",SUMIFS(Analytics!$J$5:$J$154,Analytics!$D$5:$D$154,T36,Analytics!$B$5:$B$154,"&gt;="&amp;DashStart,Analytics!$B$5:$B$154,"&lt;="&amp;DashEnd))</f>
        <v>0</v>
      </c>
      <c r="X36" s="23">
        <f>IF(T36="","",SUMIFS(Analytics!$L$5:$L$154,Analytics!$D$5:$D$154,T36,Analytics!$B$5:$B$154,"&gt;="&amp;DashStart,Analytics!$B$5:$B$154,"&lt;="&amp;DashEnd))</f>
        <v>0</v>
      </c>
      <c r="Y36" s="24">
        <f>IF(OR(W36="",W36=0),"",X36/W36)</f>
        <v>0</v>
      </c>
      <c r="Z36" s="23">
        <f>IF(T36="","",SUMIFS(Analytics!$G$5:$G$154,Analytics!$D$5:$D$154,T36,Analytics!$B$5:$B$154,"&gt;="&amp;DashStart,Analytics!$B$5:$B$154,"&lt;="&amp;DashEnd))</f>
        <v>0</v>
      </c>
      <c r="AA36" s="23">
        <f>IF(T36="","",SUMIFS(Analytics!$X$5:$X$154,Analytics!$D$5:$D$154,T36,Analytics!$B$5:$B$154,"&gt;="&amp;DashStart,Analytics!$B$5:$B$154,"&lt;="&amp;DashEnd))</f>
        <v>0</v>
      </c>
      <c r="AB36" s="23">
        <f>IF(T36="","",SUMIFS(Analytics!$R$5:$R$154,Analytics!$D$5:$D$154,T36,Analytics!$B$5:$B$154,"&gt;="&amp;DashStart,Analytics!$B$5:$B$154,"&lt;="&amp;DashEnd))</f>
        <v>0</v>
      </c>
      <c r="AC36" s="25">
        <f>IF(T36="","",SUMIFS(Analytics!$U$5:$U$154,Analytics!$D$5:$D$154,T36,Analytics!$B$5:$B$154,"&gt;="&amp;DashStart,Analytics!$B$5:$B$154,"&lt;="&amp;DashEnd))</f>
        <v>0</v>
      </c>
      <c r="AD36" s="23">
        <f>IF(T36="","",COUNTIFS('Content Calendar'!$G$5:$G$604,T36,'Content Calendar'!$B$5:$B$604,"&gt;="&amp;DATE(PlanYear,1,1),'Content Calendar'!$B$5:$B$604,"&lt;="&amp;DATE(PlanYear,12,31)))</f>
        <v>0</v>
      </c>
      <c r="AE36" s="23">
        <f>IF(T36="","",SUMIFS(Analytics!$J$5:$J$154,Analytics!$D$5:$D$154,T36))</f>
        <v>0</v>
      </c>
      <c r="AF36" s="23">
        <f>IF(T36="","",SUMIFS(Analytics!$L$5:$L$154,Analytics!$D$5:$D$154,T36))</f>
        <v>0</v>
      </c>
      <c r="AG36" s="24">
        <f>IF(OR(AE36="",AE36=0),"",AF36/AE36)</f>
        <v>0</v>
      </c>
      <c r="AH36" s="23">
        <f>IF(T36="","",SUMIFS(Analytics!$X$5:$X$154,Analytics!$D$5:$D$154,T36))</f>
        <v>0</v>
      </c>
      <c r="AI36" s="32">
        <f>IF(T36="","",IF(AE36=0,"",AE36+ROW()/1000000))</f>
        <v>0</v>
      </c>
      <c r="AJ36" s="17">
        <f>IF('Content Pillars'!$B$36="","",'Content Pillars'!$B$36)</f>
        <v>0</v>
      </c>
      <c r="AK36" s="23">
        <f>IF(AJ36="","",COUNTIFS('Content Calendar'!$J$5:$J$604,AJ36,'Content Calendar'!$B$5:$B$604,"&gt;="&amp;DATE(PlanYear,1,1),'Content Calendar'!$B$5:$B$604,"&lt;="&amp;DATE(PlanYear,12,31)))</f>
        <v>0</v>
      </c>
      <c r="AL36" s="23">
        <f>IF(AJ36="","",SUMIFS(Performance!$O$5:$O$404,Performance!$H$5:$H$404,AJ36))</f>
        <v>0</v>
      </c>
      <c r="AM36" s="23">
        <f>IF(AJ36="","",SUMIFS(Performance!$Z$5:$Z$404,Performance!$H$5:$H$404,AJ36))</f>
        <v>0</v>
      </c>
      <c r="AN36" s="24">
        <f>IF(OR(AL36="",AL36=0),"",AM36/AL36)</f>
        <v>0</v>
      </c>
      <c r="AO36" s="32">
        <f>IF(AN36="","",AN36+ROW()/1000000)</f>
        <v>0</v>
      </c>
      <c r="AP36" s="17">
        <f>IF(Lists!$E36="","",Lists!$E36)</f>
        <v>0</v>
      </c>
      <c r="AQ36" s="23">
        <f>IF(AP36="","",COUNTIF(Performance!$G$5:$G$404,AP36))</f>
        <v>0</v>
      </c>
      <c r="AR36" s="23">
        <f>IF(AP36="","",SUMIFS(Performance!$O$5:$O$404,Performance!$G$5:$G$404,AP36))</f>
        <v>0</v>
      </c>
      <c r="AS36" s="23">
        <f>IF(AP36="","",SUMIFS(Performance!$Z$5:$Z$404,Performance!$G$5:$G$404,AP36))</f>
        <v>0</v>
      </c>
      <c r="AT36" s="24">
        <f>IF(OR(AR36="",AR36=0),"",AS36/AR36)</f>
        <v>0</v>
      </c>
      <c r="AU36" s="32">
        <f>IF(AQ36=0,"",IF(AT36="","",AT36+ROW()/1000000))</f>
        <v>0</v>
      </c>
      <c r="AV36" s="17">
        <f>IF(ROW()-4&gt;7,"",TEXT(DATE(2024,1,ROW()-4),"ddd"))</f>
        <v>0</v>
      </c>
      <c r="AW36" s="23">
        <f>IF(AV36="","",COUNTIF(Performance!$N$5:$N$404,AV36))</f>
        <v>0</v>
      </c>
      <c r="AX36" s="23">
        <f>IF(AV36="","",SUMIFS(Performance!$O$5:$O$404,Performance!$N$5:$N$404,AV36))</f>
        <v>0</v>
      </c>
      <c r="AY36" s="23">
        <f>IF(AV36="","",SUMIFS(Performance!$Z$5:$Z$404,Performance!$N$5:$N$404,AV36))</f>
        <v>0</v>
      </c>
      <c r="AZ36" s="24">
        <f>IF(OR(AX36="",AX36=0),"",AY36/AX36)</f>
        <v>0</v>
      </c>
      <c r="BA36" s="32">
        <f>IF(AW36=0,"",IF(AZ36="","",AZ36+ROW()/1000000))</f>
        <v>0</v>
      </c>
      <c r="BB36" s="17">
        <f>IF(Lists!$AL36="","",Lists!$AL36)</f>
        <v>0</v>
      </c>
      <c r="BC36" s="23">
        <f>IF(BB36="","",COUNTIF(Performance!$M$5:$M$404,BB36))</f>
        <v>0</v>
      </c>
      <c r="BD36" s="23">
        <f>IF(BB36="","",SUMIFS(Performance!$O$5:$O$404,Performance!$M$5:$M$404,BB36))</f>
        <v>0</v>
      </c>
      <c r="BE36" s="23">
        <f>IF(BB36="","",SUMIFS(Performance!$Z$5:$Z$404,Performance!$M$5:$M$404,BB36))</f>
        <v>0</v>
      </c>
      <c r="BF36" s="24">
        <f>IF(OR(BD36="",BD36=0),"",BE36/BD36)</f>
        <v>0</v>
      </c>
      <c r="BG36" s="32">
        <f>IF(BC36=0,"",IF(BF36="","",BF36+ROW()/1000000))</f>
        <v>0</v>
      </c>
      <c r="BH36" s="17">
        <f>IF(Performance!$C$36="","",Performance!$C$36)</f>
        <v>0</v>
      </c>
      <c r="BI36" s="17">
        <f>IF(Performance!$F$36="","",Performance!$F$36)</f>
        <v>0</v>
      </c>
      <c r="BJ36" s="17">
        <f>IF(Performance!$H$36="","",Performance!$H$36)</f>
        <v>0</v>
      </c>
      <c r="BK36" s="16">
        <f>IF(Performance!$D$36="","",Performance!$D$36)</f>
        <v>0</v>
      </c>
      <c r="BL36" s="17">
        <f>IF(Performance!$E$36="","",Performance!$E$36)</f>
        <v>0</v>
      </c>
      <c r="BM36" s="23">
        <f>IF(Performance!$O$36="","",Performance!$O$36)</f>
        <v>0</v>
      </c>
      <c r="BN36" s="24">
        <f>IF(Performance!$AA$36="","",Performance!$AA$36)</f>
        <v>0</v>
      </c>
      <c r="BO36" s="32">
        <f>IF(BH36="","",IF(BK36="","",IF(OR(BK36&lt;DashStart,BK36&gt;DashEnd),"",IF(BN36="","",BN36+ROW()/1000000))))</f>
        <v>0</v>
      </c>
      <c r="BP36" s="32">
        <f>IF(BM36="","",IF(BK36="","",IF(OR(BK36&lt;DashStart,BK36&gt;DashEnd),"",BM36+ROW()/1000000)))</f>
        <v>0</v>
      </c>
      <c r="BQ36" s="32">
        <f>IF(BH36="","",IF(BK36="","",IF(YEAR(BK36)&lt;&gt;PlanYear,"",IF(BN36="","",BN36+ROW()/1000000))))</f>
        <v>0</v>
      </c>
      <c r="BR36" s="32">
        <f>IF(BH36="","",IF(BK36="","",IF(OR(BK36&lt;RepFrom,BK36&gt;RepTo),"",IF(BN36="","",BN36+ROW()/1000000))))</f>
        <v>0</v>
      </c>
      <c r="BS36" s="32">
        <f>IF(BM36="","",IF(BK36="","",IF(YEAR(BK36)&lt;&gt;PlanYear,"",BM36+ROW()/1000000)))</f>
        <v>0</v>
      </c>
      <c r="BT36" s="17">
        <f>IF(Lists!$F36="","",Lists!$F36)</f>
        <v>0</v>
      </c>
      <c r="BU36" s="23">
        <f>IF(BT36="","",COUNTIF('Content Calendar'!$X$5:$X$604,BT36))</f>
        <v>0</v>
      </c>
      <c r="BV36" s="23">
        <f>IF(BT36="","",COUNTIFS('Content Calendar'!$X$5:$X$604,BT36,'Content Calendar'!$B$5:$B$604,"&gt;="&amp;DashStart,'Content Calendar'!$B$5:$B$604,"&lt;="&amp;DashEnd))</f>
        <v>0</v>
      </c>
      <c r="BW36" s="17">
        <f>IF(Team!$B$36="","",Team!$B$36)</f>
        <v>0</v>
      </c>
      <c r="BX36" s="23">
        <f>IF(BW36="","",COUNTIF('Content Calendar'!$W$5:$W$604,BW36))</f>
        <v>0</v>
      </c>
      <c r="BY36" s="23">
        <f>IF(BW36="","",COUNTIFS('Content Calendar'!$W$5:$W$604,BW36,'Content Calendar'!$X$5:$X$604,"&lt;&gt;Published"))</f>
        <v>0</v>
      </c>
      <c r="BZ36" s="23">
        <f>IF(BW36="","",COUNTIFS(Tasks!$C$5:$C$64,BW36,Tasks!$G$5:$G$64,"&lt;&gt;Complete"))</f>
        <v>0</v>
      </c>
      <c r="CA36" s="17">
        <f>IF(Campaigns!$B$36="","",Campaigns!$B$36)</f>
        <v>0</v>
      </c>
      <c r="CB36" s="25">
        <f>IF(Campaigns!$T$36="","",Campaigns!$T$36)</f>
        <v>0</v>
      </c>
      <c r="CC36" s="25">
        <f>IF(Campaigns!$Q$36="","",Campaigns!$Q$36)</f>
        <v>0</v>
      </c>
      <c r="CD36" s="23">
        <f>IF(Campaigns!$Y$36="","",Campaigns!$Y$36)</f>
        <v>0</v>
      </c>
      <c r="CE36" s="32">
        <f>IF(CA36="","",IF(N(CB36)&lt;=0,"",N(CB36)+ROW()/1000000))</f>
        <v>0</v>
      </c>
      <c r="CF36" s="17">
        <f>IF(Accounts!$C$36="","",Accounts!$C$36)</f>
        <v>0</v>
      </c>
      <c r="CG36" s="17">
        <f>IF(Accounts!$B$36="","",Accounts!$B$36)</f>
        <v>0</v>
      </c>
      <c r="CH36" s="23">
        <f>IF(Accounts!$J$36="","",Accounts!$J$36)</f>
        <v>0</v>
      </c>
      <c r="CI36" s="23">
        <f>IF(CF36="","",SUMIFS(Analytics!$X$5:$X$154,Analytics!$E$5:$E$154,CF36,Analytics!$B$5:$B$154,"&gt;="&amp;DashStart,Analytics!$B$5:$B$154,"&lt;="&amp;DashEnd))</f>
        <v>0</v>
      </c>
      <c r="CJ36" s="32">
        <f>IF(CH36="","",IF(CH36=0,"",CH36+ROW()/1000000))</f>
        <v>0</v>
      </c>
    </row>
    <row r="37" spans="1:88">
      <c r="A37" s="16">
        <f>IF(ROW()-4&gt;12,"",DATE(PlanYear,ROW()-4,1))</f>
        <v>0</v>
      </c>
      <c r="B37" s="16">
        <f>IF(A37="","",EOMONTH(A37,0))</f>
        <v>0</v>
      </c>
      <c r="C37" s="17">
        <f>IF(A37="","",TEXT(A37,"yyyy-mm"))</f>
        <v>0</v>
      </c>
      <c r="D37" s="17">
        <f>IF(A37="","",TEXT(A37,"mmm"))</f>
        <v>0</v>
      </c>
      <c r="E37" s="23">
        <f>IF(C37="","",COUNTIFS('Content Calendar'!$D$5:$D$604,C37))</f>
        <v>0</v>
      </c>
      <c r="F37" s="23">
        <f>IF(C37="","",COUNTIFS('Content Calendar'!$D$5:$D$604,C37,'Content Calendar'!$X$5:$X$604,"Published"))</f>
        <v>0</v>
      </c>
      <c r="G37" s="23">
        <f>IF(C37="","",SUMIFS(Analytics!$J$5:$J$154,Analytics!$C$5:$C$154,C37))</f>
        <v>0</v>
      </c>
      <c r="H37" s="23">
        <f>IF(C37="","",SUMIFS(Analytics!$K$5:$K$154,Analytics!$C$5:$C$154,C37))</f>
        <v>0</v>
      </c>
      <c r="I37" s="23">
        <f>IF(C37="","",SUMIFS(Analytics!$L$5:$L$154,Analytics!$C$5:$C$154,C37))</f>
        <v>0</v>
      </c>
      <c r="J37" s="24">
        <f>IF(OR(G37="",G37=0),"",I37/G37)</f>
        <v>0</v>
      </c>
      <c r="K37" s="23">
        <f>IF(C37="","",SUMIFS(Analytics!$G$5:$G$154,Analytics!$C$5:$C$154,C37))</f>
        <v>0</v>
      </c>
      <c r="L37" s="23">
        <f>IF(C37="","",SUMIFS(Analytics!$X$5:$X$154,Analytics!$C$5:$C$154,C37))</f>
        <v>0</v>
      </c>
      <c r="M37" s="23">
        <f>IF(C37="","",SUMIFS(Analytics!$R$5:$R$154,Analytics!$C$5:$C$154,C37))</f>
        <v>0</v>
      </c>
      <c r="N37" s="23">
        <f>IF(C37="","",SUMIFS(Analytics!$S$5:$S$154,Analytics!$C$5:$C$154,C37))</f>
        <v>0</v>
      </c>
      <c r="O37" s="23">
        <f>IF(C37="","",SUMIFS(Analytics!$T$5:$T$154,Analytics!$C$5:$C$154,C37))</f>
        <v>0</v>
      </c>
      <c r="P37" s="25">
        <f>IF(C37="","",SUMIFS(Analytics!$U$5:$U$154,Analytics!$C$5:$C$154,C37))</f>
        <v>0</v>
      </c>
      <c r="Q37" s="25">
        <f>IF(C37="","",SUMIFS(Budget!$H$5:$H$64,Budget!$C$5:$C$64,C37))</f>
        <v>0</v>
      </c>
      <c r="R37" s="25">
        <f>IF(C37="","",P37-Q37)</f>
        <v>0</v>
      </c>
      <c r="S37" s="23">
        <f>IF(C37="","",MonthlyPostTarget)</f>
        <v>0</v>
      </c>
      <c r="T37" s="17">
        <f>IF(Lists!$C37="","",Lists!$C37)</f>
        <v>0</v>
      </c>
      <c r="U37" s="23">
        <f>IF(T37="","",COUNTIFS('Content Calendar'!$G$5:$G$604,T37,'Content Calendar'!$B$5:$B$604,"&gt;="&amp;DashStart,'Content Calendar'!$B$5:$B$604,"&lt;="&amp;DashEnd))</f>
        <v>0</v>
      </c>
      <c r="V37" s="23">
        <f>IF(T37="","",COUNTIFS('Content Calendar'!$G$5:$G$604,T37,'Content Calendar'!$X$5:$X$604,"Published",'Content Calendar'!$B$5:$B$604,"&gt;="&amp;DashStart,'Content Calendar'!$B$5:$B$604,"&lt;="&amp;DashEnd))</f>
        <v>0</v>
      </c>
      <c r="W37" s="23">
        <f>IF(T37="","",SUMIFS(Analytics!$J$5:$J$154,Analytics!$D$5:$D$154,T37,Analytics!$B$5:$B$154,"&gt;="&amp;DashStart,Analytics!$B$5:$B$154,"&lt;="&amp;DashEnd))</f>
        <v>0</v>
      </c>
      <c r="X37" s="23">
        <f>IF(T37="","",SUMIFS(Analytics!$L$5:$L$154,Analytics!$D$5:$D$154,T37,Analytics!$B$5:$B$154,"&gt;="&amp;DashStart,Analytics!$B$5:$B$154,"&lt;="&amp;DashEnd))</f>
        <v>0</v>
      </c>
      <c r="Y37" s="24">
        <f>IF(OR(W37="",W37=0),"",X37/W37)</f>
        <v>0</v>
      </c>
      <c r="Z37" s="23">
        <f>IF(T37="","",SUMIFS(Analytics!$G$5:$G$154,Analytics!$D$5:$D$154,T37,Analytics!$B$5:$B$154,"&gt;="&amp;DashStart,Analytics!$B$5:$B$154,"&lt;="&amp;DashEnd))</f>
        <v>0</v>
      </c>
      <c r="AA37" s="23">
        <f>IF(T37="","",SUMIFS(Analytics!$X$5:$X$154,Analytics!$D$5:$D$154,T37,Analytics!$B$5:$B$154,"&gt;="&amp;DashStart,Analytics!$B$5:$B$154,"&lt;="&amp;DashEnd))</f>
        <v>0</v>
      </c>
      <c r="AB37" s="23">
        <f>IF(T37="","",SUMIFS(Analytics!$R$5:$R$154,Analytics!$D$5:$D$154,T37,Analytics!$B$5:$B$154,"&gt;="&amp;DashStart,Analytics!$B$5:$B$154,"&lt;="&amp;DashEnd))</f>
        <v>0</v>
      </c>
      <c r="AC37" s="25">
        <f>IF(T37="","",SUMIFS(Analytics!$U$5:$U$154,Analytics!$D$5:$D$154,T37,Analytics!$B$5:$B$154,"&gt;="&amp;DashStart,Analytics!$B$5:$B$154,"&lt;="&amp;DashEnd))</f>
        <v>0</v>
      </c>
      <c r="AD37" s="23">
        <f>IF(T37="","",COUNTIFS('Content Calendar'!$G$5:$G$604,T37,'Content Calendar'!$B$5:$B$604,"&gt;="&amp;DATE(PlanYear,1,1),'Content Calendar'!$B$5:$B$604,"&lt;="&amp;DATE(PlanYear,12,31)))</f>
        <v>0</v>
      </c>
      <c r="AE37" s="23">
        <f>IF(T37="","",SUMIFS(Analytics!$J$5:$J$154,Analytics!$D$5:$D$154,T37))</f>
        <v>0</v>
      </c>
      <c r="AF37" s="23">
        <f>IF(T37="","",SUMIFS(Analytics!$L$5:$L$154,Analytics!$D$5:$D$154,T37))</f>
        <v>0</v>
      </c>
      <c r="AG37" s="24">
        <f>IF(OR(AE37="",AE37=0),"",AF37/AE37)</f>
        <v>0</v>
      </c>
      <c r="AH37" s="23">
        <f>IF(T37="","",SUMIFS(Analytics!$X$5:$X$154,Analytics!$D$5:$D$154,T37))</f>
        <v>0</v>
      </c>
      <c r="AI37" s="32">
        <f>IF(T37="","",IF(AE37=0,"",AE37+ROW()/1000000))</f>
        <v>0</v>
      </c>
      <c r="AJ37" s="17">
        <f>IF('Content Pillars'!$B$37="","",'Content Pillars'!$B$37)</f>
        <v>0</v>
      </c>
      <c r="AK37" s="23">
        <f>IF(AJ37="","",COUNTIFS('Content Calendar'!$J$5:$J$604,AJ37,'Content Calendar'!$B$5:$B$604,"&gt;="&amp;DATE(PlanYear,1,1),'Content Calendar'!$B$5:$B$604,"&lt;="&amp;DATE(PlanYear,12,31)))</f>
        <v>0</v>
      </c>
      <c r="AL37" s="23">
        <f>IF(AJ37="","",SUMIFS(Performance!$O$5:$O$404,Performance!$H$5:$H$404,AJ37))</f>
        <v>0</v>
      </c>
      <c r="AM37" s="23">
        <f>IF(AJ37="","",SUMIFS(Performance!$Z$5:$Z$404,Performance!$H$5:$H$404,AJ37))</f>
        <v>0</v>
      </c>
      <c r="AN37" s="24">
        <f>IF(OR(AL37="",AL37=0),"",AM37/AL37)</f>
        <v>0</v>
      </c>
      <c r="AO37" s="32">
        <f>IF(AN37="","",AN37+ROW()/1000000)</f>
        <v>0</v>
      </c>
      <c r="AP37" s="17">
        <f>IF(Lists!$E37="","",Lists!$E37)</f>
        <v>0</v>
      </c>
      <c r="AQ37" s="23">
        <f>IF(AP37="","",COUNTIF(Performance!$G$5:$G$404,AP37))</f>
        <v>0</v>
      </c>
      <c r="AR37" s="23">
        <f>IF(AP37="","",SUMIFS(Performance!$O$5:$O$404,Performance!$G$5:$G$404,AP37))</f>
        <v>0</v>
      </c>
      <c r="AS37" s="23">
        <f>IF(AP37="","",SUMIFS(Performance!$Z$5:$Z$404,Performance!$G$5:$G$404,AP37))</f>
        <v>0</v>
      </c>
      <c r="AT37" s="24">
        <f>IF(OR(AR37="",AR37=0),"",AS37/AR37)</f>
        <v>0</v>
      </c>
      <c r="AU37" s="32">
        <f>IF(AQ37=0,"",IF(AT37="","",AT37+ROW()/1000000))</f>
        <v>0</v>
      </c>
      <c r="AV37" s="17">
        <f>IF(ROW()-4&gt;7,"",TEXT(DATE(2024,1,ROW()-4),"ddd"))</f>
        <v>0</v>
      </c>
      <c r="AW37" s="23">
        <f>IF(AV37="","",COUNTIF(Performance!$N$5:$N$404,AV37))</f>
        <v>0</v>
      </c>
      <c r="AX37" s="23">
        <f>IF(AV37="","",SUMIFS(Performance!$O$5:$O$404,Performance!$N$5:$N$404,AV37))</f>
        <v>0</v>
      </c>
      <c r="AY37" s="23">
        <f>IF(AV37="","",SUMIFS(Performance!$Z$5:$Z$404,Performance!$N$5:$N$404,AV37))</f>
        <v>0</v>
      </c>
      <c r="AZ37" s="24">
        <f>IF(OR(AX37="",AX37=0),"",AY37/AX37)</f>
        <v>0</v>
      </c>
      <c r="BA37" s="32">
        <f>IF(AW37=0,"",IF(AZ37="","",AZ37+ROW()/1000000))</f>
        <v>0</v>
      </c>
      <c r="BB37" s="17">
        <f>IF(Lists!$AL37="","",Lists!$AL37)</f>
        <v>0</v>
      </c>
      <c r="BC37" s="23">
        <f>IF(BB37="","",COUNTIF(Performance!$M$5:$M$404,BB37))</f>
        <v>0</v>
      </c>
      <c r="BD37" s="23">
        <f>IF(BB37="","",SUMIFS(Performance!$O$5:$O$404,Performance!$M$5:$M$404,BB37))</f>
        <v>0</v>
      </c>
      <c r="BE37" s="23">
        <f>IF(BB37="","",SUMIFS(Performance!$Z$5:$Z$404,Performance!$M$5:$M$404,BB37))</f>
        <v>0</v>
      </c>
      <c r="BF37" s="24">
        <f>IF(OR(BD37="",BD37=0),"",BE37/BD37)</f>
        <v>0</v>
      </c>
      <c r="BG37" s="32">
        <f>IF(BC37=0,"",IF(BF37="","",BF37+ROW()/1000000))</f>
        <v>0</v>
      </c>
      <c r="BH37" s="17">
        <f>IF(Performance!$C$37="","",Performance!$C$37)</f>
        <v>0</v>
      </c>
      <c r="BI37" s="17">
        <f>IF(Performance!$F$37="","",Performance!$F$37)</f>
        <v>0</v>
      </c>
      <c r="BJ37" s="17">
        <f>IF(Performance!$H$37="","",Performance!$H$37)</f>
        <v>0</v>
      </c>
      <c r="BK37" s="16">
        <f>IF(Performance!$D$37="","",Performance!$D$37)</f>
        <v>0</v>
      </c>
      <c r="BL37" s="17">
        <f>IF(Performance!$E$37="","",Performance!$E$37)</f>
        <v>0</v>
      </c>
      <c r="BM37" s="23">
        <f>IF(Performance!$O$37="","",Performance!$O$37)</f>
        <v>0</v>
      </c>
      <c r="BN37" s="24">
        <f>IF(Performance!$AA$37="","",Performance!$AA$37)</f>
        <v>0</v>
      </c>
      <c r="BO37" s="32">
        <f>IF(BH37="","",IF(BK37="","",IF(OR(BK37&lt;DashStart,BK37&gt;DashEnd),"",IF(BN37="","",BN37+ROW()/1000000))))</f>
        <v>0</v>
      </c>
      <c r="BP37" s="32">
        <f>IF(BM37="","",IF(BK37="","",IF(OR(BK37&lt;DashStart,BK37&gt;DashEnd),"",BM37+ROW()/1000000)))</f>
        <v>0</v>
      </c>
      <c r="BQ37" s="32">
        <f>IF(BH37="","",IF(BK37="","",IF(YEAR(BK37)&lt;&gt;PlanYear,"",IF(BN37="","",BN37+ROW()/1000000))))</f>
        <v>0</v>
      </c>
      <c r="BR37" s="32">
        <f>IF(BH37="","",IF(BK37="","",IF(OR(BK37&lt;RepFrom,BK37&gt;RepTo),"",IF(BN37="","",BN37+ROW()/1000000))))</f>
        <v>0</v>
      </c>
      <c r="BS37" s="32">
        <f>IF(BM37="","",IF(BK37="","",IF(YEAR(BK37)&lt;&gt;PlanYear,"",BM37+ROW()/1000000)))</f>
        <v>0</v>
      </c>
      <c r="BT37" s="17">
        <f>IF(Lists!$F37="","",Lists!$F37)</f>
        <v>0</v>
      </c>
      <c r="BU37" s="23">
        <f>IF(BT37="","",COUNTIF('Content Calendar'!$X$5:$X$604,BT37))</f>
        <v>0</v>
      </c>
      <c r="BV37" s="23">
        <f>IF(BT37="","",COUNTIFS('Content Calendar'!$X$5:$X$604,BT37,'Content Calendar'!$B$5:$B$604,"&gt;="&amp;DashStart,'Content Calendar'!$B$5:$B$604,"&lt;="&amp;DashEnd))</f>
        <v>0</v>
      </c>
      <c r="BW37" s="17">
        <f>IF(Team!$B$37="","",Team!$B$37)</f>
        <v>0</v>
      </c>
      <c r="BX37" s="23">
        <f>IF(BW37="","",COUNTIF('Content Calendar'!$W$5:$W$604,BW37))</f>
        <v>0</v>
      </c>
      <c r="BY37" s="23">
        <f>IF(BW37="","",COUNTIFS('Content Calendar'!$W$5:$W$604,BW37,'Content Calendar'!$X$5:$X$604,"&lt;&gt;Published"))</f>
        <v>0</v>
      </c>
      <c r="BZ37" s="23">
        <f>IF(BW37="","",COUNTIFS(Tasks!$C$5:$C$64,BW37,Tasks!$G$5:$G$64,"&lt;&gt;Complete"))</f>
        <v>0</v>
      </c>
      <c r="CA37" s="17">
        <f>IF(Campaigns!$B$37="","",Campaigns!$B$37)</f>
        <v>0</v>
      </c>
      <c r="CB37" s="25">
        <f>IF(Campaigns!$T$37="","",Campaigns!$T$37)</f>
        <v>0</v>
      </c>
      <c r="CC37" s="25">
        <f>IF(Campaigns!$Q$37="","",Campaigns!$Q$37)</f>
        <v>0</v>
      </c>
      <c r="CD37" s="23">
        <f>IF(Campaigns!$Y$37="","",Campaigns!$Y$37)</f>
        <v>0</v>
      </c>
      <c r="CE37" s="32">
        <f>IF(CA37="","",IF(N(CB37)&lt;=0,"",N(CB37)+ROW()/1000000))</f>
        <v>0</v>
      </c>
      <c r="CF37" s="17">
        <f>IF(Accounts!$C$37="","",Accounts!$C$37)</f>
        <v>0</v>
      </c>
      <c r="CG37" s="17">
        <f>IF(Accounts!$B$37="","",Accounts!$B$37)</f>
        <v>0</v>
      </c>
      <c r="CH37" s="23">
        <f>IF(Accounts!$J$37="","",Accounts!$J$37)</f>
        <v>0</v>
      </c>
      <c r="CI37" s="23">
        <f>IF(CF37="","",SUMIFS(Analytics!$X$5:$X$154,Analytics!$E$5:$E$154,CF37,Analytics!$B$5:$B$154,"&gt;="&amp;DashStart,Analytics!$B$5:$B$154,"&lt;="&amp;DashEnd))</f>
        <v>0</v>
      </c>
      <c r="CJ37" s="32">
        <f>IF(CH37="","",IF(CH37=0,"",CH37+ROW()/1000000))</f>
        <v>0</v>
      </c>
    </row>
    <row r="38" spans="1:88">
      <c r="A38" s="16">
        <f>IF(ROW()-4&gt;12,"",DATE(PlanYear,ROW()-4,1))</f>
        <v>0</v>
      </c>
      <c r="B38" s="16">
        <f>IF(A38="","",EOMONTH(A38,0))</f>
        <v>0</v>
      </c>
      <c r="C38" s="17">
        <f>IF(A38="","",TEXT(A38,"yyyy-mm"))</f>
        <v>0</v>
      </c>
      <c r="D38" s="17">
        <f>IF(A38="","",TEXT(A38,"mmm"))</f>
        <v>0</v>
      </c>
      <c r="E38" s="23">
        <f>IF(C38="","",COUNTIFS('Content Calendar'!$D$5:$D$604,C38))</f>
        <v>0</v>
      </c>
      <c r="F38" s="23">
        <f>IF(C38="","",COUNTIFS('Content Calendar'!$D$5:$D$604,C38,'Content Calendar'!$X$5:$X$604,"Published"))</f>
        <v>0</v>
      </c>
      <c r="G38" s="23">
        <f>IF(C38="","",SUMIFS(Analytics!$J$5:$J$154,Analytics!$C$5:$C$154,C38))</f>
        <v>0</v>
      </c>
      <c r="H38" s="23">
        <f>IF(C38="","",SUMIFS(Analytics!$K$5:$K$154,Analytics!$C$5:$C$154,C38))</f>
        <v>0</v>
      </c>
      <c r="I38" s="23">
        <f>IF(C38="","",SUMIFS(Analytics!$L$5:$L$154,Analytics!$C$5:$C$154,C38))</f>
        <v>0</v>
      </c>
      <c r="J38" s="24">
        <f>IF(OR(G38="",G38=0),"",I38/G38)</f>
        <v>0</v>
      </c>
      <c r="K38" s="23">
        <f>IF(C38="","",SUMIFS(Analytics!$G$5:$G$154,Analytics!$C$5:$C$154,C38))</f>
        <v>0</v>
      </c>
      <c r="L38" s="23">
        <f>IF(C38="","",SUMIFS(Analytics!$X$5:$X$154,Analytics!$C$5:$C$154,C38))</f>
        <v>0</v>
      </c>
      <c r="M38" s="23">
        <f>IF(C38="","",SUMIFS(Analytics!$R$5:$R$154,Analytics!$C$5:$C$154,C38))</f>
        <v>0</v>
      </c>
      <c r="N38" s="23">
        <f>IF(C38="","",SUMIFS(Analytics!$S$5:$S$154,Analytics!$C$5:$C$154,C38))</f>
        <v>0</v>
      </c>
      <c r="O38" s="23">
        <f>IF(C38="","",SUMIFS(Analytics!$T$5:$T$154,Analytics!$C$5:$C$154,C38))</f>
        <v>0</v>
      </c>
      <c r="P38" s="25">
        <f>IF(C38="","",SUMIFS(Analytics!$U$5:$U$154,Analytics!$C$5:$C$154,C38))</f>
        <v>0</v>
      </c>
      <c r="Q38" s="25">
        <f>IF(C38="","",SUMIFS(Budget!$H$5:$H$64,Budget!$C$5:$C$64,C38))</f>
        <v>0</v>
      </c>
      <c r="R38" s="25">
        <f>IF(C38="","",P38-Q38)</f>
        <v>0</v>
      </c>
      <c r="S38" s="23">
        <f>IF(C38="","",MonthlyPostTarget)</f>
        <v>0</v>
      </c>
      <c r="T38" s="17">
        <f>IF(Lists!$C38="","",Lists!$C38)</f>
        <v>0</v>
      </c>
      <c r="U38" s="23">
        <f>IF(T38="","",COUNTIFS('Content Calendar'!$G$5:$G$604,T38,'Content Calendar'!$B$5:$B$604,"&gt;="&amp;DashStart,'Content Calendar'!$B$5:$B$604,"&lt;="&amp;DashEnd))</f>
        <v>0</v>
      </c>
      <c r="V38" s="23">
        <f>IF(T38="","",COUNTIFS('Content Calendar'!$G$5:$G$604,T38,'Content Calendar'!$X$5:$X$604,"Published",'Content Calendar'!$B$5:$B$604,"&gt;="&amp;DashStart,'Content Calendar'!$B$5:$B$604,"&lt;="&amp;DashEnd))</f>
        <v>0</v>
      </c>
      <c r="W38" s="23">
        <f>IF(T38="","",SUMIFS(Analytics!$J$5:$J$154,Analytics!$D$5:$D$154,T38,Analytics!$B$5:$B$154,"&gt;="&amp;DashStart,Analytics!$B$5:$B$154,"&lt;="&amp;DashEnd))</f>
        <v>0</v>
      </c>
      <c r="X38" s="23">
        <f>IF(T38="","",SUMIFS(Analytics!$L$5:$L$154,Analytics!$D$5:$D$154,T38,Analytics!$B$5:$B$154,"&gt;="&amp;DashStart,Analytics!$B$5:$B$154,"&lt;="&amp;DashEnd))</f>
        <v>0</v>
      </c>
      <c r="Y38" s="24">
        <f>IF(OR(W38="",W38=0),"",X38/W38)</f>
        <v>0</v>
      </c>
      <c r="Z38" s="23">
        <f>IF(T38="","",SUMIFS(Analytics!$G$5:$G$154,Analytics!$D$5:$D$154,T38,Analytics!$B$5:$B$154,"&gt;="&amp;DashStart,Analytics!$B$5:$B$154,"&lt;="&amp;DashEnd))</f>
        <v>0</v>
      </c>
      <c r="AA38" s="23">
        <f>IF(T38="","",SUMIFS(Analytics!$X$5:$X$154,Analytics!$D$5:$D$154,T38,Analytics!$B$5:$B$154,"&gt;="&amp;DashStart,Analytics!$B$5:$B$154,"&lt;="&amp;DashEnd))</f>
        <v>0</v>
      </c>
      <c r="AB38" s="23">
        <f>IF(T38="","",SUMIFS(Analytics!$R$5:$R$154,Analytics!$D$5:$D$154,T38,Analytics!$B$5:$B$154,"&gt;="&amp;DashStart,Analytics!$B$5:$B$154,"&lt;="&amp;DashEnd))</f>
        <v>0</v>
      </c>
      <c r="AC38" s="25">
        <f>IF(T38="","",SUMIFS(Analytics!$U$5:$U$154,Analytics!$D$5:$D$154,T38,Analytics!$B$5:$B$154,"&gt;="&amp;DashStart,Analytics!$B$5:$B$154,"&lt;="&amp;DashEnd))</f>
        <v>0</v>
      </c>
      <c r="AD38" s="23">
        <f>IF(T38="","",COUNTIFS('Content Calendar'!$G$5:$G$604,T38,'Content Calendar'!$B$5:$B$604,"&gt;="&amp;DATE(PlanYear,1,1),'Content Calendar'!$B$5:$B$604,"&lt;="&amp;DATE(PlanYear,12,31)))</f>
        <v>0</v>
      </c>
      <c r="AE38" s="23">
        <f>IF(T38="","",SUMIFS(Analytics!$J$5:$J$154,Analytics!$D$5:$D$154,T38))</f>
        <v>0</v>
      </c>
      <c r="AF38" s="23">
        <f>IF(T38="","",SUMIFS(Analytics!$L$5:$L$154,Analytics!$D$5:$D$154,T38))</f>
        <v>0</v>
      </c>
      <c r="AG38" s="24">
        <f>IF(OR(AE38="",AE38=0),"",AF38/AE38)</f>
        <v>0</v>
      </c>
      <c r="AH38" s="23">
        <f>IF(T38="","",SUMIFS(Analytics!$X$5:$X$154,Analytics!$D$5:$D$154,T38))</f>
        <v>0</v>
      </c>
      <c r="AI38" s="32">
        <f>IF(T38="","",IF(AE38=0,"",AE38+ROW()/1000000))</f>
        <v>0</v>
      </c>
      <c r="AJ38" s="17">
        <f>IF('Content Pillars'!$B$38="","",'Content Pillars'!$B$38)</f>
        <v>0</v>
      </c>
      <c r="AK38" s="23">
        <f>IF(AJ38="","",COUNTIFS('Content Calendar'!$J$5:$J$604,AJ38,'Content Calendar'!$B$5:$B$604,"&gt;="&amp;DATE(PlanYear,1,1),'Content Calendar'!$B$5:$B$604,"&lt;="&amp;DATE(PlanYear,12,31)))</f>
        <v>0</v>
      </c>
      <c r="AL38" s="23">
        <f>IF(AJ38="","",SUMIFS(Performance!$O$5:$O$404,Performance!$H$5:$H$404,AJ38))</f>
        <v>0</v>
      </c>
      <c r="AM38" s="23">
        <f>IF(AJ38="","",SUMIFS(Performance!$Z$5:$Z$404,Performance!$H$5:$H$404,AJ38))</f>
        <v>0</v>
      </c>
      <c r="AN38" s="24">
        <f>IF(OR(AL38="",AL38=0),"",AM38/AL38)</f>
        <v>0</v>
      </c>
      <c r="AO38" s="32">
        <f>IF(AN38="","",AN38+ROW()/1000000)</f>
        <v>0</v>
      </c>
      <c r="AP38" s="17">
        <f>IF(Lists!$E38="","",Lists!$E38)</f>
        <v>0</v>
      </c>
      <c r="AQ38" s="23">
        <f>IF(AP38="","",COUNTIF(Performance!$G$5:$G$404,AP38))</f>
        <v>0</v>
      </c>
      <c r="AR38" s="23">
        <f>IF(AP38="","",SUMIFS(Performance!$O$5:$O$404,Performance!$G$5:$G$404,AP38))</f>
        <v>0</v>
      </c>
      <c r="AS38" s="23">
        <f>IF(AP38="","",SUMIFS(Performance!$Z$5:$Z$404,Performance!$G$5:$G$404,AP38))</f>
        <v>0</v>
      </c>
      <c r="AT38" s="24">
        <f>IF(OR(AR38="",AR38=0),"",AS38/AR38)</f>
        <v>0</v>
      </c>
      <c r="AU38" s="32">
        <f>IF(AQ38=0,"",IF(AT38="","",AT38+ROW()/1000000))</f>
        <v>0</v>
      </c>
      <c r="AV38" s="17">
        <f>IF(ROW()-4&gt;7,"",TEXT(DATE(2024,1,ROW()-4),"ddd"))</f>
        <v>0</v>
      </c>
      <c r="AW38" s="23">
        <f>IF(AV38="","",COUNTIF(Performance!$N$5:$N$404,AV38))</f>
        <v>0</v>
      </c>
      <c r="AX38" s="23">
        <f>IF(AV38="","",SUMIFS(Performance!$O$5:$O$404,Performance!$N$5:$N$404,AV38))</f>
        <v>0</v>
      </c>
      <c r="AY38" s="23">
        <f>IF(AV38="","",SUMIFS(Performance!$Z$5:$Z$404,Performance!$N$5:$N$404,AV38))</f>
        <v>0</v>
      </c>
      <c r="AZ38" s="24">
        <f>IF(OR(AX38="",AX38=0),"",AY38/AX38)</f>
        <v>0</v>
      </c>
      <c r="BA38" s="32">
        <f>IF(AW38=0,"",IF(AZ38="","",AZ38+ROW()/1000000))</f>
        <v>0</v>
      </c>
      <c r="BB38" s="17">
        <f>IF(Lists!$AL38="","",Lists!$AL38)</f>
        <v>0</v>
      </c>
      <c r="BC38" s="23">
        <f>IF(BB38="","",COUNTIF(Performance!$M$5:$M$404,BB38))</f>
        <v>0</v>
      </c>
      <c r="BD38" s="23">
        <f>IF(BB38="","",SUMIFS(Performance!$O$5:$O$404,Performance!$M$5:$M$404,BB38))</f>
        <v>0</v>
      </c>
      <c r="BE38" s="23">
        <f>IF(BB38="","",SUMIFS(Performance!$Z$5:$Z$404,Performance!$M$5:$M$404,BB38))</f>
        <v>0</v>
      </c>
      <c r="BF38" s="24">
        <f>IF(OR(BD38="",BD38=0),"",BE38/BD38)</f>
        <v>0</v>
      </c>
      <c r="BG38" s="32">
        <f>IF(BC38=0,"",IF(BF38="","",BF38+ROW()/1000000))</f>
        <v>0</v>
      </c>
      <c r="BH38" s="17">
        <f>IF(Performance!$C$38="","",Performance!$C$38)</f>
        <v>0</v>
      </c>
      <c r="BI38" s="17">
        <f>IF(Performance!$F$38="","",Performance!$F$38)</f>
        <v>0</v>
      </c>
      <c r="BJ38" s="17">
        <f>IF(Performance!$H$38="","",Performance!$H$38)</f>
        <v>0</v>
      </c>
      <c r="BK38" s="16">
        <f>IF(Performance!$D$38="","",Performance!$D$38)</f>
        <v>0</v>
      </c>
      <c r="BL38" s="17">
        <f>IF(Performance!$E$38="","",Performance!$E$38)</f>
        <v>0</v>
      </c>
      <c r="BM38" s="23">
        <f>IF(Performance!$O$38="","",Performance!$O$38)</f>
        <v>0</v>
      </c>
      <c r="BN38" s="24">
        <f>IF(Performance!$AA$38="","",Performance!$AA$38)</f>
        <v>0</v>
      </c>
      <c r="BO38" s="32">
        <f>IF(BH38="","",IF(BK38="","",IF(OR(BK38&lt;DashStart,BK38&gt;DashEnd),"",IF(BN38="","",BN38+ROW()/1000000))))</f>
        <v>0</v>
      </c>
      <c r="BP38" s="32">
        <f>IF(BM38="","",IF(BK38="","",IF(OR(BK38&lt;DashStart,BK38&gt;DashEnd),"",BM38+ROW()/1000000)))</f>
        <v>0</v>
      </c>
      <c r="BQ38" s="32">
        <f>IF(BH38="","",IF(BK38="","",IF(YEAR(BK38)&lt;&gt;PlanYear,"",IF(BN38="","",BN38+ROW()/1000000))))</f>
        <v>0</v>
      </c>
      <c r="BR38" s="32">
        <f>IF(BH38="","",IF(BK38="","",IF(OR(BK38&lt;RepFrom,BK38&gt;RepTo),"",IF(BN38="","",BN38+ROW()/1000000))))</f>
        <v>0</v>
      </c>
      <c r="BS38" s="32">
        <f>IF(BM38="","",IF(BK38="","",IF(YEAR(BK38)&lt;&gt;PlanYear,"",BM38+ROW()/1000000)))</f>
        <v>0</v>
      </c>
      <c r="BT38" s="17">
        <f>IF(Lists!$F38="","",Lists!$F38)</f>
        <v>0</v>
      </c>
      <c r="BU38" s="23">
        <f>IF(BT38="","",COUNTIF('Content Calendar'!$X$5:$X$604,BT38))</f>
        <v>0</v>
      </c>
      <c r="BV38" s="23">
        <f>IF(BT38="","",COUNTIFS('Content Calendar'!$X$5:$X$604,BT38,'Content Calendar'!$B$5:$B$604,"&gt;="&amp;DashStart,'Content Calendar'!$B$5:$B$604,"&lt;="&amp;DashEnd))</f>
        <v>0</v>
      </c>
      <c r="BW38" s="17">
        <f>IF(Team!$B$38="","",Team!$B$38)</f>
        <v>0</v>
      </c>
      <c r="BX38" s="23">
        <f>IF(BW38="","",COUNTIF('Content Calendar'!$W$5:$W$604,BW38))</f>
        <v>0</v>
      </c>
      <c r="BY38" s="23">
        <f>IF(BW38="","",COUNTIFS('Content Calendar'!$W$5:$W$604,BW38,'Content Calendar'!$X$5:$X$604,"&lt;&gt;Published"))</f>
        <v>0</v>
      </c>
      <c r="BZ38" s="23">
        <f>IF(BW38="","",COUNTIFS(Tasks!$C$5:$C$64,BW38,Tasks!$G$5:$G$64,"&lt;&gt;Complete"))</f>
        <v>0</v>
      </c>
      <c r="CA38" s="17">
        <f>IF(Campaigns!$B$38="","",Campaigns!$B$38)</f>
        <v>0</v>
      </c>
      <c r="CB38" s="25">
        <f>IF(Campaigns!$T$38="","",Campaigns!$T$38)</f>
        <v>0</v>
      </c>
      <c r="CC38" s="25">
        <f>IF(Campaigns!$Q$38="","",Campaigns!$Q$38)</f>
        <v>0</v>
      </c>
      <c r="CD38" s="23">
        <f>IF(Campaigns!$Y$38="","",Campaigns!$Y$38)</f>
        <v>0</v>
      </c>
      <c r="CE38" s="32">
        <f>IF(CA38="","",IF(N(CB38)&lt;=0,"",N(CB38)+ROW()/1000000))</f>
        <v>0</v>
      </c>
      <c r="CF38" s="17">
        <f>IF(Accounts!$C$38="","",Accounts!$C$38)</f>
        <v>0</v>
      </c>
      <c r="CG38" s="17">
        <f>IF(Accounts!$B$38="","",Accounts!$B$38)</f>
        <v>0</v>
      </c>
      <c r="CH38" s="23">
        <f>IF(Accounts!$J$38="","",Accounts!$J$38)</f>
        <v>0</v>
      </c>
      <c r="CI38" s="23">
        <f>IF(CF38="","",SUMIFS(Analytics!$X$5:$X$154,Analytics!$E$5:$E$154,CF38,Analytics!$B$5:$B$154,"&gt;="&amp;DashStart,Analytics!$B$5:$B$154,"&lt;="&amp;DashEnd))</f>
        <v>0</v>
      </c>
      <c r="CJ38" s="32">
        <f>IF(CH38="","",IF(CH38=0,"",CH38+ROW()/1000000))</f>
        <v>0</v>
      </c>
    </row>
    <row r="39" spans="1:88">
      <c r="A39" s="16">
        <f>IF(ROW()-4&gt;12,"",DATE(PlanYear,ROW()-4,1))</f>
        <v>0</v>
      </c>
      <c r="B39" s="16">
        <f>IF(A39="","",EOMONTH(A39,0))</f>
        <v>0</v>
      </c>
      <c r="C39" s="17">
        <f>IF(A39="","",TEXT(A39,"yyyy-mm"))</f>
        <v>0</v>
      </c>
      <c r="D39" s="17">
        <f>IF(A39="","",TEXT(A39,"mmm"))</f>
        <v>0</v>
      </c>
      <c r="E39" s="23">
        <f>IF(C39="","",COUNTIFS('Content Calendar'!$D$5:$D$604,C39))</f>
        <v>0</v>
      </c>
      <c r="F39" s="23">
        <f>IF(C39="","",COUNTIFS('Content Calendar'!$D$5:$D$604,C39,'Content Calendar'!$X$5:$X$604,"Published"))</f>
        <v>0</v>
      </c>
      <c r="G39" s="23">
        <f>IF(C39="","",SUMIFS(Analytics!$J$5:$J$154,Analytics!$C$5:$C$154,C39))</f>
        <v>0</v>
      </c>
      <c r="H39" s="23">
        <f>IF(C39="","",SUMIFS(Analytics!$K$5:$K$154,Analytics!$C$5:$C$154,C39))</f>
        <v>0</v>
      </c>
      <c r="I39" s="23">
        <f>IF(C39="","",SUMIFS(Analytics!$L$5:$L$154,Analytics!$C$5:$C$154,C39))</f>
        <v>0</v>
      </c>
      <c r="J39" s="24">
        <f>IF(OR(G39="",G39=0),"",I39/G39)</f>
        <v>0</v>
      </c>
      <c r="K39" s="23">
        <f>IF(C39="","",SUMIFS(Analytics!$G$5:$G$154,Analytics!$C$5:$C$154,C39))</f>
        <v>0</v>
      </c>
      <c r="L39" s="23">
        <f>IF(C39="","",SUMIFS(Analytics!$X$5:$X$154,Analytics!$C$5:$C$154,C39))</f>
        <v>0</v>
      </c>
      <c r="M39" s="23">
        <f>IF(C39="","",SUMIFS(Analytics!$R$5:$R$154,Analytics!$C$5:$C$154,C39))</f>
        <v>0</v>
      </c>
      <c r="N39" s="23">
        <f>IF(C39="","",SUMIFS(Analytics!$S$5:$S$154,Analytics!$C$5:$C$154,C39))</f>
        <v>0</v>
      </c>
      <c r="O39" s="23">
        <f>IF(C39="","",SUMIFS(Analytics!$T$5:$T$154,Analytics!$C$5:$C$154,C39))</f>
        <v>0</v>
      </c>
      <c r="P39" s="25">
        <f>IF(C39="","",SUMIFS(Analytics!$U$5:$U$154,Analytics!$C$5:$C$154,C39))</f>
        <v>0</v>
      </c>
      <c r="Q39" s="25">
        <f>IF(C39="","",SUMIFS(Budget!$H$5:$H$64,Budget!$C$5:$C$64,C39))</f>
        <v>0</v>
      </c>
      <c r="R39" s="25">
        <f>IF(C39="","",P39-Q39)</f>
        <v>0</v>
      </c>
      <c r="S39" s="23">
        <f>IF(C39="","",MonthlyPostTarget)</f>
        <v>0</v>
      </c>
      <c r="T39" s="17">
        <f>IF(Lists!$C39="","",Lists!$C39)</f>
        <v>0</v>
      </c>
      <c r="U39" s="23">
        <f>IF(T39="","",COUNTIFS('Content Calendar'!$G$5:$G$604,T39,'Content Calendar'!$B$5:$B$604,"&gt;="&amp;DashStart,'Content Calendar'!$B$5:$B$604,"&lt;="&amp;DashEnd))</f>
        <v>0</v>
      </c>
      <c r="V39" s="23">
        <f>IF(T39="","",COUNTIFS('Content Calendar'!$G$5:$G$604,T39,'Content Calendar'!$X$5:$X$604,"Published",'Content Calendar'!$B$5:$B$604,"&gt;="&amp;DashStart,'Content Calendar'!$B$5:$B$604,"&lt;="&amp;DashEnd))</f>
        <v>0</v>
      </c>
      <c r="W39" s="23">
        <f>IF(T39="","",SUMIFS(Analytics!$J$5:$J$154,Analytics!$D$5:$D$154,T39,Analytics!$B$5:$B$154,"&gt;="&amp;DashStart,Analytics!$B$5:$B$154,"&lt;="&amp;DashEnd))</f>
        <v>0</v>
      </c>
      <c r="X39" s="23">
        <f>IF(T39="","",SUMIFS(Analytics!$L$5:$L$154,Analytics!$D$5:$D$154,T39,Analytics!$B$5:$B$154,"&gt;="&amp;DashStart,Analytics!$B$5:$B$154,"&lt;="&amp;DashEnd))</f>
        <v>0</v>
      </c>
      <c r="Y39" s="24">
        <f>IF(OR(W39="",W39=0),"",X39/W39)</f>
        <v>0</v>
      </c>
      <c r="Z39" s="23">
        <f>IF(T39="","",SUMIFS(Analytics!$G$5:$G$154,Analytics!$D$5:$D$154,T39,Analytics!$B$5:$B$154,"&gt;="&amp;DashStart,Analytics!$B$5:$B$154,"&lt;="&amp;DashEnd))</f>
        <v>0</v>
      </c>
      <c r="AA39" s="23">
        <f>IF(T39="","",SUMIFS(Analytics!$X$5:$X$154,Analytics!$D$5:$D$154,T39,Analytics!$B$5:$B$154,"&gt;="&amp;DashStart,Analytics!$B$5:$B$154,"&lt;="&amp;DashEnd))</f>
        <v>0</v>
      </c>
      <c r="AB39" s="23">
        <f>IF(T39="","",SUMIFS(Analytics!$R$5:$R$154,Analytics!$D$5:$D$154,T39,Analytics!$B$5:$B$154,"&gt;="&amp;DashStart,Analytics!$B$5:$B$154,"&lt;="&amp;DashEnd))</f>
        <v>0</v>
      </c>
      <c r="AC39" s="25">
        <f>IF(T39="","",SUMIFS(Analytics!$U$5:$U$154,Analytics!$D$5:$D$154,T39,Analytics!$B$5:$B$154,"&gt;="&amp;DashStart,Analytics!$B$5:$B$154,"&lt;="&amp;DashEnd))</f>
        <v>0</v>
      </c>
      <c r="AD39" s="23">
        <f>IF(T39="","",COUNTIFS('Content Calendar'!$G$5:$G$604,T39,'Content Calendar'!$B$5:$B$604,"&gt;="&amp;DATE(PlanYear,1,1),'Content Calendar'!$B$5:$B$604,"&lt;="&amp;DATE(PlanYear,12,31)))</f>
        <v>0</v>
      </c>
      <c r="AE39" s="23">
        <f>IF(T39="","",SUMIFS(Analytics!$J$5:$J$154,Analytics!$D$5:$D$154,T39))</f>
        <v>0</v>
      </c>
      <c r="AF39" s="23">
        <f>IF(T39="","",SUMIFS(Analytics!$L$5:$L$154,Analytics!$D$5:$D$154,T39))</f>
        <v>0</v>
      </c>
      <c r="AG39" s="24">
        <f>IF(OR(AE39="",AE39=0),"",AF39/AE39)</f>
        <v>0</v>
      </c>
      <c r="AH39" s="23">
        <f>IF(T39="","",SUMIFS(Analytics!$X$5:$X$154,Analytics!$D$5:$D$154,T39))</f>
        <v>0</v>
      </c>
      <c r="AI39" s="32">
        <f>IF(T39="","",IF(AE39=0,"",AE39+ROW()/1000000))</f>
        <v>0</v>
      </c>
      <c r="AJ39" s="17">
        <f>IF('Content Pillars'!$B$39="","",'Content Pillars'!$B$39)</f>
        <v>0</v>
      </c>
      <c r="AK39" s="23">
        <f>IF(AJ39="","",COUNTIFS('Content Calendar'!$J$5:$J$604,AJ39,'Content Calendar'!$B$5:$B$604,"&gt;="&amp;DATE(PlanYear,1,1),'Content Calendar'!$B$5:$B$604,"&lt;="&amp;DATE(PlanYear,12,31)))</f>
        <v>0</v>
      </c>
      <c r="AL39" s="23">
        <f>IF(AJ39="","",SUMIFS(Performance!$O$5:$O$404,Performance!$H$5:$H$404,AJ39))</f>
        <v>0</v>
      </c>
      <c r="AM39" s="23">
        <f>IF(AJ39="","",SUMIFS(Performance!$Z$5:$Z$404,Performance!$H$5:$H$404,AJ39))</f>
        <v>0</v>
      </c>
      <c r="AN39" s="24">
        <f>IF(OR(AL39="",AL39=0),"",AM39/AL39)</f>
        <v>0</v>
      </c>
      <c r="AO39" s="32">
        <f>IF(AN39="","",AN39+ROW()/1000000)</f>
        <v>0</v>
      </c>
      <c r="AP39" s="17">
        <f>IF(Lists!$E39="","",Lists!$E39)</f>
        <v>0</v>
      </c>
      <c r="AQ39" s="23">
        <f>IF(AP39="","",COUNTIF(Performance!$G$5:$G$404,AP39))</f>
        <v>0</v>
      </c>
      <c r="AR39" s="23">
        <f>IF(AP39="","",SUMIFS(Performance!$O$5:$O$404,Performance!$G$5:$G$404,AP39))</f>
        <v>0</v>
      </c>
      <c r="AS39" s="23">
        <f>IF(AP39="","",SUMIFS(Performance!$Z$5:$Z$404,Performance!$G$5:$G$404,AP39))</f>
        <v>0</v>
      </c>
      <c r="AT39" s="24">
        <f>IF(OR(AR39="",AR39=0),"",AS39/AR39)</f>
        <v>0</v>
      </c>
      <c r="AU39" s="32">
        <f>IF(AQ39=0,"",IF(AT39="","",AT39+ROW()/1000000))</f>
        <v>0</v>
      </c>
      <c r="AV39" s="17">
        <f>IF(ROW()-4&gt;7,"",TEXT(DATE(2024,1,ROW()-4),"ddd"))</f>
        <v>0</v>
      </c>
      <c r="AW39" s="23">
        <f>IF(AV39="","",COUNTIF(Performance!$N$5:$N$404,AV39))</f>
        <v>0</v>
      </c>
      <c r="AX39" s="23">
        <f>IF(AV39="","",SUMIFS(Performance!$O$5:$O$404,Performance!$N$5:$N$404,AV39))</f>
        <v>0</v>
      </c>
      <c r="AY39" s="23">
        <f>IF(AV39="","",SUMIFS(Performance!$Z$5:$Z$404,Performance!$N$5:$N$404,AV39))</f>
        <v>0</v>
      </c>
      <c r="AZ39" s="24">
        <f>IF(OR(AX39="",AX39=0),"",AY39/AX39)</f>
        <v>0</v>
      </c>
      <c r="BA39" s="32">
        <f>IF(AW39=0,"",IF(AZ39="","",AZ39+ROW()/1000000))</f>
        <v>0</v>
      </c>
      <c r="BB39" s="17">
        <f>IF(Lists!$AL39="","",Lists!$AL39)</f>
        <v>0</v>
      </c>
      <c r="BC39" s="23">
        <f>IF(BB39="","",COUNTIF(Performance!$M$5:$M$404,BB39))</f>
        <v>0</v>
      </c>
      <c r="BD39" s="23">
        <f>IF(BB39="","",SUMIFS(Performance!$O$5:$O$404,Performance!$M$5:$M$404,BB39))</f>
        <v>0</v>
      </c>
      <c r="BE39" s="23">
        <f>IF(BB39="","",SUMIFS(Performance!$Z$5:$Z$404,Performance!$M$5:$M$404,BB39))</f>
        <v>0</v>
      </c>
      <c r="BF39" s="24">
        <f>IF(OR(BD39="",BD39=0),"",BE39/BD39)</f>
        <v>0</v>
      </c>
      <c r="BG39" s="32">
        <f>IF(BC39=0,"",IF(BF39="","",BF39+ROW()/1000000))</f>
        <v>0</v>
      </c>
      <c r="BH39" s="17">
        <f>IF(Performance!$C$39="","",Performance!$C$39)</f>
        <v>0</v>
      </c>
      <c r="BI39" s="17">
        <f>IF(Performance!$F$39="","",Performance!$F$39)</f>
        <v>0</v>
      </c>
      <c r="BJ39" s="17">
        <f>IF(Performance!$H$39="","",Performance!$H$39)</f>
        <v>0</v>
      </c>
      <c r="BK39" s="16">
        <f>IF(Performance!$D$39="","",Performance!$D$39)</f>
        <v>0</v>
      </c>
      <c r="BL39" s="17">
        <f>IF(Performance!$E$39="","",Performance!$E$39)</f>
        <v>0</v>
      </c>
      <c r="BM39" s="23">
        <f>IF(Performance!$O$39="","",Performance!$O$39)</f>
        <v>0</v>
      </c>
      <c r="BN39" s="24">
        <f>IF(Performance!$AA$39="","",Performance!$AA$39)</f>
        <v>0</v>
      </c>
      <c r="BO39" s="32">
        <f>IF(BH39="","",IF(BK39="","",IF(OR(BK39&lt;DashStart,BK39&gt;DashEnd),"",IF(BN39="","",BN39+ROW()/1000000))))</f>
        <v>0</v>
      </c>
      <c r="BP39" s="32">
        <f>IF(BM39="","",IF(BK39="","",IF(OR(BK39&lt;DashStart,BK39&gt;DashEnd),"",BM39+ROW()/1000000)))</f>
        <v>0</v>
      </c>
      <c r="BQ39" s="32">
        <f>IF(BH39="","",IF(BK39="","",IF(YEAR(BK39)&lt;&gt;PlanYear,"",IF(BN39="","",BN39+ROW()/1000000))))</f>
        <v>0</v>
      </c>
      <c r="BR39" s="32">
        <f>IF(BH39="","",IF(BK39="","",IF(OR(BK39&lt;RepFrom,BK39&gt;RepTo),"",IF(BN39="","",BN39+ROW()/1000000))))</f>
        <v>0</v>
      </c>
      <c r="BS39" s="32">
        <f>IF(BM39="","",IF(BK39="","",IF(YEAR(BK39)&lt;&gt;PlanYear,"",BM39+ROW()/1000000)))</f>
        <v>0</v>
      </c>
      <c r="BT39" s="17">
        <f>IF(Lists!$F39="","",Lists!$F39)</f>
        <v>0</v>
      </c>
      <c r="BU39" s="23">
        <f>IF(BT39="","",COUNTIF('Content Calendar'!$X$5:$X$604,BT39))</f>
        <v>0</v>
      </c>
      <c r="BV39" s="23">
        <f>IF(BT39="","",COUNTIFS('Content Calendar'!$X$5:$X$604,BT39,'Content Calendar'!$B$5:$B$604,"&gt;="&amp;DashStart,'Content Calendar'!$B$5:$B$604,"&lt;="&amp;DashEnd))</f>
        <v>0</v>
      </c>
      <c r="BW39" s="17">
        <f>IF(Team!$B$39="","",Team!$B$39)</f>
        <v>0</v>
      </c>
      <c r="BX39" s="23">
        <f>IF(BW39="","",COUNTIF('Content Calendar'!$W$5:$W$604,BW39))</f>
        <v>0</v>
      </c>
      <c r="BY39" s="23">
        <f>IF(BW39="","",COUNTIFS('Content Calendar'!$W$5:$W$604,BW39,'Content Calendar'!$X$5:$X$604,"&lt;&gt;Published"))</f>
        <v>0</v>
      </c>
      <c r="BZ39" s="23">
        <f>IF(BW39="","",COUNTIFS(Tasks!$C$5:$C$64,BW39,Tasks!$G$5:$G$64,"&lt;&gt;Complete"))</f>
        <v>0</v>
      </c>
      <c r="CA39" s="17">
        <f>IF(Campaigns!$B$39="","",Campaigns!$B$39)</f>
        <v>0</v>
      </c>
      <c r="CB39" s="25">
        <f>IF(Campaigns!$T$39="","",Campaigns!$T$39)</f>
        <v>0</v>
      </c>
      <c r="CC39" s="25">
        <f>IF(Campaigns!$Q$39="","",Campaigns!$Q$39)</f>
        <v>0</v>
      </c>
      <c r="CD39" s="23">
        <f>IF(Campaigns!$Y$39="","",Campaigns!$Y$39)</f>
        <v>0</v>
      </c>
      <c r="CE39" s="32">
        <f>IF(CA39="","",IF(N(CB39)&lt;=0,"",N(CB39)+ROW()/1000000))</f>
        <v>0</v>
      </c>
      <c r="CF39" s="17">
        <f>IF(Accounts!$C$39="","",Accounts!$C$39)</f>
        <v>0</v>
      </c>
      <c r="CG39" s="17">
        <f>IF(Accounts!$B$39="","",Accounts!$B$39)</f>
        <v>0</v>
      </c>
      <c r="CH39" s="23">
        <f>IF(Accounts!$J$39="","",Accounts!$J$39)</f>
        <v>0</v>
      </c>
      <c r="CI39" s="23">
        <f>IF(CF39="","",SUMIFS(Analytics!$X$5:$X$154,Analytics!$E$5:$E$154,CF39,Analytics!$B$5:$B$154,"&gt;="&amp;DashStart,Analytics!$B$5:$B$154,"&lt;="&amp;DashEnd))</f>
        <v>0</v>
      </c>
      <c r="CJ39" s="32">
        <f>IF(CH39="","",IF(CH39=0,"",CH39+ROW()/1000000))</f>
        <v>0</v>
      </c>
    </row>
    <row r="40" spans="1:88">
      <c r="A40" s="16">
        <f>IF(ROW()-4&gt;12,"",DATE(PlanYear,ROW()-4,1))</f>
        <v>0</v>
      </c>
      <c r="B40" s="16">
        <f>IF(A40="","",EOMONTH(A40,0))</f>
        <v>0</v>
      </c>
      <c r="C40" s="17">
        <f>IF(A40="","",TEXT(A40,"yyyy-mm"))</f>
        <v>0</v>
      </c>
      <c r="D40" s="17">
        <f>IF(A40="","",TEXT(A40,"mmm"))</f>
        <v>0</v>
      </c>
      <c r="E40" s="23">
        <f>IF(C40="","",COUNTIFS('Content Calendar'!$D$5:$D$604,C40))</f>
        <v>0</v>
      </c>
      <c r="F40" s="23">
        <f>IF(C40="","",COUNTIFS('Content Calendar'!$D$5:$D$604,C40,'Content Calendar'!$X$5:$X$604,"Published"))</f>
        <v>0</v>
      </c>
      <c r="G40" s="23">
        <f>IF(C40="","",SUMIFS(Analytics!$J$5:$J$154,Analytics!$C$5:$C$154,C40))</f>
        <v>0</v>
      </c>
      <c r="H40" s="23">
        <f>IF(C40="","",SUMIFS(Analytics!$K$5:$K$154,Analytics!$C$5:$C$154,C40))</f>
        <v>0</v>
      </c>
      <c r="I40" s="23">
        <f>IF(C40="","",SUMIFS(Analytics!$L$5:$L$154,Analytics!$C$5:$C$154,C40))</f>
        <v>0</v>
      </c>
      <c r="J40" s="24">
        <f>IF(OR(G40="",G40=0),"",I40/G40)</f>
        <v>0</v>
      </c>
      <c r="K40" s="23">
        <f>IF(C40="","",SUMIFS(Analytics!$G$5:$G$154,Analytics!$C$5:$C$154,C40))</f>
        <v>0</v>
      </c>
      <c r="L40" s="23">
        <f>IF(C40="","",SUMIFS(Analytics!$X$5:$X$154,Analytics!$C$5:$C$154,C40))</f>
        <v>0</v>
      </c>
      <c r="M40" s="23">
        <f>IF(C40="","",SUMIFS(Analytics!$R$5:$R$154,Analytics!$C$5:$C$154,C40))</f>
        <v>0</v>
      </c>
      <c r="N40" s="23">
        <f>IF(C40="","",SUMIFS(Analytics!$S$5:$S$154,Analytics!$C$5:$C$154,C40))</f>
        <v>0</v>
      </c>
      <c r="O40" s="23">
        <f>IF(C40="","",SUMIFS(Analytics!$T$5:$T$154,Analytics!$C$5:$C$154,C40))</f>
        <v>0</v>
      </c>
      <c r="P40" s="25">
        <f>IF(C40="","",SUMIFS(Analytics!$U$5:$U$154,Analytics!$C$5:$C$154,C40))</f>
        <v>0</v>
      </c>
      <c r="Q40" s="25">
        <f>IF(C40="","",SUMIFS(Budget!$H$5:$H$64,Budget!$C$5:$C$64,C40))</f>
        <v>0</v>
      </c>
      <c r="R40" s="25">
        <f>IF(C40="","",P40-Q40)</f>
        <v>0</v>
      </c>
      <c r="S40" s="23">
        <f>IF(C40="","",MonthlyPostTarget)</f>
        <v>0</v>
      </c>
      <c r="T40" s="17">
        <f>IF(Lists!$C40="","",Lists!$C40)</f>
        <v>0</v>
      </c>
      <c r="U40" s="23">
        <f>IF(T40="","",COUNTIFS('Content Calendar'!$G$5:$G$604,T40,'Content Calendar'!$B$5:$B$604,"&gt;="&amp;DashStart,'Content Calendar'!$B$5:$B$604,"&lt;="&amp;DashEnd))</f>
        <v>0</v>
      </c>
      <c r="V40" s="23">
        <f>IF(T40="","",COUNTIFS('Content Calendar'!$G$5:$G$604,T40,'Content Calendar'!$X$5:$X$604,"Published",'Content Calendar'!$B$5:$B$604,"&gt;="&amp;DashStart,'Content Calendar'!$B$5:$B$604,"&lt;="&amp;DashEnd))</f>
        <v>0</v>
      </c>
      <c r="W40" s="23">
        <f>IF(T40="","",SUMIFS(Analytics!$J$5:$J$154,Analytics!$D$5:$D$154,T40,Analytics!$B$5:$B$154,"&gt;="&amp;DashStart,Analytics!$B$5:$B$154,"&lt;="&amp;DashEnd))</f>
        <v>0</v>
      </c>
      <c r="X40" s="23">
        <f>IF(T40="","",SUMIFS(Analytics!$L$5:$L$154,Analytics!$D$5:$D$154,T40,Analytics!$B$5:$B$154,"&gt;="&amp;DashStart,Analytics!$B$5:$B$154,"&lt;="&amp;DashEnd))</f>
        <v>0</v>
      </c>
      <c r="Y40" s="24">
        <f>IF(OR(W40="",W40=0),"",X40/W40)</f>
        <v>0</v>
      </c>
      <c r="Z40" s="23">
        <f>IF(T40="","",SUMIFS(Analytics!$G$5:$G$154,Analytics!$D$5:$D$154,T40,Analytics!$B$5:$B$154,"&gt;="&amp;DashStart,Analytics!$B$5:$B$154,"&lt;="&amp;DashEnd))</f>
        <v>0</v>
      </c>
      <c r="AA40" s="23">
        <f>IF(T40="","",SUMIFS(Analytics!$X$5:$X$154,Analytics!$D$5:$D$154,T40,Analytics!$B$5:$B$154,"&gt;="&amp;DashStart,Analytics!$B$5:$B$154,"&lt;="&amp;DashEnd))</f>
        <v>0</v>
      </c>
      <c r="AB40" s="23">
        <f>IF(T40="","",SUMIFS(Analytics!$R$5:$R$154,Analytics!$D$5:$D$154,T40,Analytics!$B$5:$B$154,"&gt;="&amp;DashStart,Analytics!$B$5:$B$154,"&lt;="&amp;DashEnd))</f>
        <v>0</v>
      </c>
      <c r="AC40" s="25">
        <f>IF(T40="","",SUMIFS(Analytics!$U$5:$U$154,Analytics!$D$5:$D$154,T40,Analytics!$B$5:$B$154,"&gt;="&amp;DashStart,Analytics!$B$5:$B$154,"&lt;="&amp;DashEnd))</f>
        <v>0</v>
      </c>
      <c r="AD40" s="23">
        <f>IF(T40="","",COUNTIFS('Content Calendar'!$G$5:$G$604,T40,'Content Calendar'!$B$5:$B$604,"&gt;="&amp;DATE(PlanYear,1,1),'Content Calendar'!$B$5:$B$604,"&lt;="&amp;DATE(PlanYear,12,31)))</f>
        <v>0</v>
      </c>
      <c r="AE40" s="23">
        <f>IF(T40="","",SUMIFS(Analytics!$J$5:$J$154,Analytics!$D$5:$D$154,T40))</f>
        <v>0</v>
      </c>
      <c r="AF40" s="23">
        <f>IF(T40="","",SUMIFS(Analytics!$L$5:$L$154,Analytics!$D$5:$D$154,T40))</f>
        <v>0</v>
      </c>
      <c r="AG40" s="24">
        <f>IF(OR(AE40="",AE40=0),"",AF40/AE40)</f>
        <v>0</v>
      </c>
      <c r="AH40" s="23">
        <f>IF(T40="","",SUMIFS(Analytics!$X$5:$X$154,Analytics!$D$5:$D$154,T40))</f>
        <v>0</v>
      </c>
      <c r="AI40" s="32">
        <f>IF(T40="","",IF(AE40=0,"",AE40+ROW()/1000000))</f>
        <v>0</v>
      </c>
      <c r="AJ40" s="17">
        <f>IF('Content Pillars'!$B$40="","",'Content Pillars'!$B$40)</f>
        <v>0</v>
      </c>
      <c r="AK40" s="23">
        <f>IF(AJ40="","",COUNTIFS('Content Calendar'!$J$5:$J$604,AJ40,'Content Calendar'!$B$5:$B$604,"&gt;="&amp;DATE(PlanYear,1,1),'Content Calendar'!$B$5:$B$604,"&lt;="&amp;DATE(PlanYear,12,31)))</f>
        <v>0</v>
      </c>
      <c r="AL40" s="23">
        <f>IF(AJ40="","",SUMIFS(Performance!$O$5:$O$404,Performance!$H$5:$H$404,AJ40))</f>
        <v>0</v>
      </c>
      <c r="AM40" s="23">
        <f>IF(AJ40="","",SUMIFS(Performance!$Z$5:$Z$404,Performance!$H$5:$H$404,AJ40))</f>
        <v>0</v>
      </c>
      <c r="AN40" s="24">
        <f>IF(OR(AL40="",AL40=0),"",AM40/AL40)</f>
        <v>0</v>
      </c>
      <c r="AO40" s="32">
        <f>IF(AN40="","",AN40+ROW()/1000000)</f>
        <v>0</v>
      </c>
      <c r="AP40" s="17">
        <f>IF(Lists!$E40="","",Lists!$E40)</f>
        <v>0</v>
      </c>
      <c r="AQ40" s="23">
        <f>IF(AP40="","",COUNTIF(Performance!$G$5:$G$404,AP40))</f>
        <v>0</v>
      </c>
      <c r="AR40" s="23">
        <f>IF(AP40="","",SUMIFS(Performance!$O$5:$O$404,Performance!$G$5:$G$404,AP40))</f>
        <v>0</v>
      </c>
      <c r="AS40" s="23">
        <f>IF(AP40="","",SUMIFS(Performance!$Z$5:$Z$404,Performance!$G$5:$G$404,AP40))</f>
        <v>0</v>
      </c>
      <c r="AT40" s="24">
        <f>IF(OR(AR40="",AR40=0),"",AS40/AR40)</f>
        <v>0</v>
      </c>
      <c r="AU40" s="32">
        <f>IF(AQ40=0,"",IF(AT40="","",AT40+ROW()/1000000))</f>
        <v>0</v>
      </c>
      <c r="AV40" s="17">
        <f>IF(ROW()-4&gt;7,"",TEXT(DATE(2024,1,ROW()-4),"ddd"))</f>
        <v>0</v>
      </c>
      <c r="AW40" s="23">
        <f>IF(AV40="","",COUNTIF(Performance!$N$5:$N$404,AV40))</f>
        <v>0</v>
      </c>
      <c r="AX40" s="23">
        <f>IF(AV40="","",SUMIFS(Performance!$O$5:$O$404,Performance!$N$5:$N$404,AV40))</f>
        <v>0</v>
      </c>
      <c r="AY40" s="23">
        <f>IF(AV40="","",SUMIFS(Performance!$Z$5:$Z$404,Performance!$N$5:$N$404,AV40))</f>
        <v>0</v>
      </c>
      <c r="AZ40" s="24">
        <f>IF(OR(AX40="",AX40=0),"",AY40/AX40)</f>
        <v>0</v>
      </c>
      <c r="BA40" s="32">
        <f>IF(AW40=0,"",IF(AZ40="","",AZ40+ROW()/1000000))</f>
        <v>0</v>
      </c>
      <c r="BB40" s="17">
        <f>IF(Lists!$AL40="","",Lists!$AL40)</f>
        <v>0</v>
      </c>
      <c r="BC40" s="23">
        <f>IF(BB40="","",COUNTIF(Performance!$M$5:$M$404,BB40))</f>
        <v>0</v>
      </c>
      <c r="BD40" s="23">
        <f>IF(BB40="","",SUMIFS(Performance!$O$5:$O$404,Performance!$M$5:$M$404,BB40))</f>
        <v>0</v>
      </c>
      <c r="BE40" s="23">
        <f>IF(BB40="","",SUMIFS(Performance!$Z$5:$Z$404,Performance!$M$5:$M$404,BB40))</f>
        <v>0</v>
      </c>
      <c r="BF40" s="24">
        <f>IF(OR(BD40="",BD40=0),"",BE40/BD40)</f>
        <v>0</v>
      </c>
      <c r="BG40" s="32">
        <f>IF(BC40=0,"",IF(BF40="","",BF40+ROW()/1000000))</f>
        <v>0</v>
      </c>
      <c r="BH40" s="17">
        <f>IF(Performance!$C$40="","",Performance!$C$40)</f>
        <v>0</v>
      </c>
      <c r="BI40" s="17">
        <f>IF(Performance!$F$40="","",Performance!$F$40)</f>
        <v>0</v>
      </c>
      <c r="BJ40" s="17">
        <f>IF(Performance!$H$40="","",Performance!$H$40)</f>
        <v>0</v>
      </c>
      <c r="BK40" s="16">
        <f>IF(Performance!$D$40="","",Performance!$D$40)</f>
        <v>0</v>
      </c>
      <c r="BL40" s="17">
        <f>IF(Performance!$E$40="","",Performance!$E$40)</f>
        <v>0</v>
      </c>
      <c r="BM40" s="23">
        <f>IF(Performance!$O$40="","",Performance!$O$40)</f>
        <v>0</v>
      </c>
      <c r="BN40" s="24">
        <f>IF(Performance!$AA$40="","",Performance!$AA$40)</f>
        <v>0</v>
      </c>
      <c r="BO40" s="32">
        <f>IF(BH40="","",IF(BK40="","",IF(OR(BK40&lt;DashStart,BK40&gt;DashEnd),"",IF(BN40="","",BN40+ROW()/1000000))))</f>
        <v>0</v>
      </c>
      <c r="BP40" s="32">
        <f>IF(BM40="","",IF(BK40="","",IF(OR(BK40&lt;DashStart,BK40&gt;DashEnd),"",BM40+ROW()/1000000)))</f>
        <v>0</v>
      </c>
      <c r="BQ40" s="32">
        <f>IF(BH40="","",IF(BK40="","",IF(YEAR(BK40)&lt;&gt;PlanYear,"",IF(BN40="","",BN40+ROW()/1000000))))</f>
        <v>0</v>
      </c>
      <c r="BR40" s="32">
        <f>IF(BH40="","",IF(BK40="","",IF(OR(BK40&lt;RepFrom,BK40&gt;RepTo),"",IF(BN40="","",BN40+ROW()/1000000))))</f>
        <v>0</v>
      </c>
      <c r="BS40" s="32">
        <f>IF(BM40="","",IF(BK40="","",IF(YEAR(BK40)&lt;&gt;PlanYear,"",BM40+ROW()/1000000)))</f>
        <v>0</v>
      </c>
      <c r="BT40" s="17">
        <f>IF(Lists!$F40="","",Lists!$F40)</f>
        <v>0</v>
      </c>
      <c r="BU40" s="23">
        <f>IF(BT40="","",COUNTIF('Content Calendar'!$X$5:$X$604,BT40))</f>
        <v>0</v>
      </c>
      <c r="BV40" s="23">
        <f>IF(BT40="","",COUNTIFS('Content Calendar'!$X$5:$X$604,BT40,'Content Calendar'!$B$5:$B$604,"&gt;="&amp;DashStart,'Content Calendar'!$B$5:$B$604,"&lt;="&amp;DashEnd))</f>
        <v>0</v>
      </c>
      <c r="BW40" s="17">
        <f>IF(Team!$B$40="","",Team!$B$40)</f>
        <v>0</v>
      </c>
      <c r="BX40" s="23">
        <f>IF(BW40="","",COUNTIF('Content Calendar'!$W$5:$W$604,BW40))</f>
        <v>0</v>
      </c>
      <c r="BY40" s="23">
        <f>IF(BW40="","",COUNTIFS('Content Calendar'!$W$5:$W$604,BW40,'Content Calendar'!$X$5:$X$604,"&lt;&gt;Published"))</f>
        <v>0</v>
      </c>
      <c r="BZ40" s="23">
        <f>IF(BW40="","",COUNTIFS(Tasks!$C$5:$C$64,BW40,Tasks!$G$5:$G$64,"&lt;&gt;Complete"))</f>
        <v>0</v>
      </c>
      <c r="CA40" s="17">
        <f>IF(Campaigns!$B$40="","",Campaigns!$B$40)</f>
        <v>0</v>
      </c>
      <c r="CB40" s="25">
        <f>IF(Campaigns!$T$40="","",Campaigns!$T$40)</f>
        <v>0</v>
      </c>
      <c r="CC40" s="25">
        <f>IF(Campaigns!$Q$40="","",Campaigns!$Q$40)</f>
        <v>0</v>
      </c>
      <c r="CD40" s="23">
        <f>IF(Campaigns!$Y$40="","",Campaigns!$Y$40)</f>
        <v>0</v>
      </c>
      <c r="CE40" s="32">
        <f>IF(CA40="","",IF(N(CB40)&lt;=0,"",N(CB40)+ROW()/1000000))</f>
        <v>0</v>
      </c>
      <c r="CF40" s="17">
        <f>IF(Accounts!$C$40="","",Accounts!$C$40)</f>
        <v>0</v>
      </c>
      <c r="CG40" s="17">
        <f>IF(Accounts!$B$40="","",Accounts!$B$40)</f>
        <v>0</v>
      </c>
      <c r="CH40" s="23">
        <f>IF(Accounts!$J$40="","",Accounts!$J$40)</f>
        <v>0</v>
      </c>
      <c r="CI40" s="23">
        <f>IF(CF40="","",SUMIFS(Analytics!$X$5:$X$154,Analytics!$E$5:$E$154,CF40,Analytics!$B$5:$B$154,"&gt;="&amp;DashStart,Analytics!$B$5:$B$154,"&lt;="&amp;DashEnd))</f>
        <v>0</v>
      </c>
      <c r="CJ40" s="32">
        <f>IF(CH40="","",IF(CH40=0,"",CH40+ROW()/1000000))</f>
        <v>0</v>
      </c>
    </row>
    <row r="41" spans="1:88">
      <c r="A41" s="16">
        <f>IF(ROW()-4&gt;12,"",DATE(PlanYear,ROW()-4,1))</f>
        <v>0</v>
      </c>
      <c r="B41" s="16">
        <f>IF(A41="","",EOMONTH(A41,0))</f>
        <v>0</v>
      </c>
      <c r="C41" s="17">
        <f>IF(A41="","",TEXT(A41,"yyyy-mm"))</f>
        <v>0</v>
      </c>
      <c r="D41" s="17">
        <f>IF(A41="","",TEXT(A41,"mmm"))</f>
        <v>0</v>
      </c>
      <c r="E41" s="23">
        <f>IF(C41="","",COUNTIFS('Content Calendar'!$D$5:$D$604,C41))</f>
        <v>0</v>
      </c>
      <c r="F41" s="23">
        <f>IF(C41="","",COUNTIFS('Content Calendar'!$D$5:$D$604,C41,'Content Calendar'!$X$5:$X$604,"Published"))</f>
        <v>0</v>
      </c>
      <c r="G41" s="23">
        <f>IF(C41="","",SUMIFS(Analytics!$J$5:$J$154,Analytics!$C$5:$C$154,C41))</f>
        <v>0</v>
      </c>
      <c r="H41" s="23">
        <f>IF(C41="","",SUMIFS(Analytics!$K$5:$K$154,Analytics!$C$5:$C$154,C41))</f>
        <v>0</v>
      </c>
      <c r="I41" s="23">
        <f>IF(C41="","",SUMIFS(Analytics!$L$5:$L$154,Analytics!$C$5:$C$154,C41))</f>
        <v>0</v>
      </c>
      <c r="J41" s="24">
        <f>IF(OR(G41="",G41=0),"",I41/G41)</f>
        <v>0</v>
      </c>
      <c r="K41" s="23">
        <f>IF(C41="","",SUMIFS(Analytics!$G$5:$G$154,Analytics!$C$5:$C$154,C41))</f>
        <v>0</v>
      </c>
      <c r="L41" s="23">
        <f>IF(C41="","",SUMIFS(Analytics!$X$5:$X$154,Analytics!$C$5:$C$154,C41))</f>
        <v>0</v>
      </c>
      <c r="M41" s="23">
        <f>IF(C41="","",SUMIFS(Analytics!$R$5:$R$154,Analytics!$C$5:$C$154,C41))</f>
        <v>0</v>
      </c>
      <c r="N41" s="23">
        <f>IF(C41="","",SUMIFS(Analytics!$S$5:$S$154,Analytics!$C$5:$C$154,C41))</f>
        <v>0</v>
      </c>
      <c r="O41" s="23">
        <f>IF(C41="","",SUMIFS(Analytics!$T$5:$T$154,Analytics!$C$5:$C$154,C41))</f>
        <v>0</v>
      </c>
      <c r="P41" s="25">
        <f>IF(C41="","",SUMIFS(Analytics!$U$5:$U$154,Analytics!$C$5:$C$154,C41))</f>
        <v>0</v>
      </c>
      <c r="Q41" s="25">
        <f>IF(C41="","",SUMIFS(Budget!$H$5:$H$64,Budget!$C$5:$C$64,C41))</f>
        <v>0</v>
      </c>
      <c r="R41" s="25">
        <f>IF(C41="","",P41-Q41)</f>
        <v>0</v>
      </c>
      <c r="S41" s="23">
        <f>IF(C41="","",MonthlyPostTarget)</f>
        <v>0</v>
      </c>
      <c r="T41" s="17">
        <f>IF(Lists!$C41="","",Lists!$C41)</f>
        <v>0</v>
      </c>
      <c r="U41" s="23">
        <f>IF(T41="","",COUNTIFS('Content Calendar'!$G$5:$G$604,T41,'Content Calendar'!$B$5:$B$604,"&gt;="&amp;DashStart,'Content Calendar'!$B$5:$B$604,"&lt;="&amp;DashEnd))</f>
        <v>0</v>
      </c>
      <c r="V41" s="23">
        <f>IF(T41="","",COUNTIFS('Content Calendar'!$G$5:$G$604,T41,'Content Calendar'!$X$5:$X$604,"Published",'Content Calendar'!$B$5:$B$604,"&gt;="&amp;DashStart,'Content Calendar'!$B$5:$B$604,"&lt;="&amp;DashEnd))</f>
        <v>0</v>
      </c>
      <c r="W41" s="23">
        <f>IF(T41="","",SUMIFS(Analytics!$J$5:$J$154,Analytics!$D$5:$D$154,T41,Analytics!$B$5:$B$154,"&gt;="&amp;DashStart,Analytics!$B$5:$B$154,"&lt;="&amp;DashEnd))</f>
        <v>0</v>
      </c>
      <c r="X41" s="23">
        <f>IF(T41="","",SUMIFS(Analytics!$L$5:$L$154,Analytics!$D$5:$D$154,T41,Analytics!$B$5:$B$154,"&gt;="&amp;DashStart,Analytics!$B$5:$B$154,"&lt;="&amp;DashEnd))</f>
        <v>0</v>
      </c>
      <c r="Y41" s="24">
        <f>IF(OR(W41="",W41=0),"",X41/W41)</f>
        <v>0</v>
      </c>
      <c r="Z41" s="23">
        <f>IF(T41="","",SUMIFS(Analytics!$G$5:$G$154,Analytics!$D$5:$D$154,T41,Analytics!$B$5:$B$154,"&gt;="&amp;DashStart,Analytics!$B$5:$B$154,"&lt;="&amp;DashEnd))</f>
        <v>0</v>
      </c>
      <c r="AA41" s="23">
        <f>IF(T41="","",SUMIFS(Analytics!$X$5:$X$154,Analytics!$D$5:$D$154,T41,Analytics!$B$5:$B$154,"&gt;="&amp;DashStart,Analytics!$B$5:$B$154,"&lt;="&amp;DashEnd))</f>
        <v>0</v>
      </c>
      <c r="AB41" s="23">
        <f>IF(T41="","",SUMIFS(Analytics!$R$5:$R$154,Analytics!$D$5:$D$154,T41,Analytics!$B$5:$B$154,"&gt;="&amp;DashStart,Analytics!$B$5:$B$154,"&lt;="&amp;DashEnd))</f>
        <v>0</v>
      </c>
      <c r="AC41" s="25">
        <f>IF(T41="","",SUMIFS(Analytics!$U$5:$U$154,Analytics!$D$5:$D$154,T41,Analytics!$B$5:$B$154,"&gt;="&amp;DashStart,Analytics!$B$5:$B$154,"&lt;="&amp;DashEnd))</f>
        <v>0</v>
      </c>
      <c r="AD41" s="23">
        <f>IF(T41="","",COUNTIFS('Content Calendar'!$G$5:$G$604,T41,'Content Calendar'!$B$5:$B$604,"&gt;="&amp;DATE(PlanYear,1,1),'Content Calendar'!$B$5:$B$604,"&lt;="&amp;DATE(PlanYear,12,31)))</f>
        <v>0</v>
      </c>
      <c r="AE41" s="23">
        <f>IF(T41="","",SUMIFS(Analytics!$J$5:$J$154,Analytics!$D$5:$D$154,T41))</f>
        <v>0</v>
      </c>
      <c r="AF41" s="23">
        <f>IF(T41="","",SUMIFS(Analytics!$L$5:$L$154,Analytics!$D$5:$D$154,T41))</f>
        <v>0</v>
      </c>
      <c r="AG41" s="24">
        <f>IF(OR(AE41="",AE41=0),"",AF41/AE41)</f>
        <v>0</v>
      </c>
      <c r="AH41" s="23">
        <f>IF(T41="","",SUMIFS(Analytics!$X$5:$X$154,Analytics!$D$5:$D$154,T41))</f>
        <v>0</v>
      </c>
      <c r="AI41" s="32">
        <f>IF(T41="","",IF(AE41=0,"",AE41+ROW()/1000000))</f>
        <v>0</v>
      </c>
      <c r="AJ41" s="17">
        <f>IF('Content Pillars'!$B$41="","",'Content Pillars'!$B$41)</f>
        <v>0</v>
      </c>
      <c r="AK41" s="23">
        <f>IF(AJ41="","",COUNTIFS('Content Calendar'!$J$5:$J$604,AJ41,'Content Calendar'!$B$5:$B$604,"&gt;="&amp;DATE(PlanYear,1,1),'Content Calendar'!$B$5:$B$604,"&lt;="&amp;DATE(PlanYear,12,31)))</f>
        <v>0</v>
      </c>
      <c r="AL41" s="23">
        <f>IF(AJ41="","",SUMIFS(Performance!$O$5:$O$404,Performance!$H$5:$H$404,AJ41))</f>
        <v>0</v>
      </c>
      <c r="AM41" s="23">
        <f>IF(AJ41="","",SUMIFS(Performance!$Z$5:$Z$404,Performance!$H$5:$H$404,AJ41))</f>
        <v>0</v>
      </c>
      <c r="AN41" s="24">
        <f>IF(OR(AL41="",AL41=0),"",AM41/AL41)</f>
        <v>0</v>
      </c>
      <c r="AO41" s="32">
        <f>IF(AN41="","",AN41+ROW()/1000000)</f>
        <v>0</v>
      </c>
      <c r="AP41" s="17">
        <f>IF(Lists!$E41="","",Lists!$E41)</f>
        <v>0</v>
      </c>
      <c r="AQ41" s="23">
        <f>IF(AP41="","",COUNTIF(Performance!$G$5:$G$404,AP41))</f>
        <v>0</v>
      </c>
      <c r="AR41" s="23">
        <f>IF(AP41="","",SUMIFS(Performance!$O$5:$O$404,Performance!$G$5:$G$404,AP41))</f>
        <v>0</v>
      </c>
      <c r="AS41" s="23">
        <f>IF(AP41="","",SUMIFS(Performance!$Z$5:$Z$404,Performance!$G$5:$G$404,AP41))</f>
        <v>0</v>
      </c>
      <c r="AT41" s="24">
        <f>IF(OR(AR41="",AR41=0),"",AS41/AR41)</f>
        <v>0</v>
      </c>
      <c r="AU41" s="32">
        <f>IF(AQ41=0,"",IF(AT41="","",AT41+ROW()/1000000))</f>
        <v>0</v>
      </c>
      <c r="AV41" s="17">
        <f>IF(ROW()-4&gt;7,"",TEXT(DATE(2024,1,ROW()-4),"ddd"))</f>
        <v>0</v>
      </c>
      <c r="AW41" s="23">
        <f>IF(AV41="","",COUNTIF(Performance!$N$5:$N$404,AV41))</f>
        <v>0</v>
      </c>
      <c r="AX41" s="23">
        <f>IF(AV41="","",SUMIFS(Performance!$O$5:$O$404,Performance!$N$5:$N$404,AV41))</f>
        <v>0</v>
      </c>
      <c r="AY41" s="23">
        <f>IF(AV41="","",SUMIFS(Performance!$Z$5:$Z$404,Performance!$N$5:$N$404,AV41))</f>
        <v>0</v>
      </c>
      <c r="AZ41" s="24">
        <f>IF(OR(AX41="",AX41=0),"",AY41/AX41)</f>
        <v>0</v>
      </c>
      <c r="BA41" s="32">
        <f>IF(AW41=0,"",IF(AZ41="","",AZ41+ROW()/1000000))</f>
        <v>0</v>
      </c>
      <c r="BB41" s="17">
        <f>IF(Lists!$AL41="","",Lists!$AL41)</f>
        <v>0</v>
      </c>
      <c r="BC41" s="23">
        <f>IF(BB41="","",COUNTIF(Performance!$M$5:$M$404,BB41))</f>
        <v>0</v>
      </c>
      <c r="BD41" s="23">
        <f>IF(BB41="","",SUMIFS(Performance!$O$5:$O$404,Performance!$M$5:$M$404,BB41))</f>
        <v>0</v>
      </c>
      <c r="BE41" s="23">
        <f>IF(BB41="","",SUMIFS(Performance!$Z$5:$Z$404,Performance!$M$5:$M$404,BB41))</f>
        <v>0</v>
      </c>
      <c r="BF41" s="24">
        <f>IF(OR(BD41="",BD41=0),"",BE41/BD41)</f>
        <v>0</v>
      </c>
      <c r="BG41" s="32">
        <f>IF(BC41=0,"",IF(BF41="","",BF41+ROW()/1000000))</f>
        <v>0</v>
      </c>
      <c r="BH41" s="17">
        <f>IF(Performance!$C$41="","",Performance!$C$41)</f>
        <v>0</v>
      </c>
      <c r="BI41" s="17">
        <f>IF(Performance!$F$41="","",Performance!$F$41)</f>
        <v>0</v>
      </c>
      <c r="BJ41" s="17">
        <f>IF(Performance!$H$41="","",Performance!$H$41)</f>
        <v>0</v>
      </c>
      <c r="BK41" s="16">
        <f>IF(Performance!$D$41="","",Performance!$D$41)</f>
        <v>0</v>
      </c>
      <c r="BL41" s="17">
        <f>IF(Performance!$E$41="","",Performance!$E$41)</f>
        <v>0</v>
      </c>
      <c r="BM41" s="23">
        <f>IF(Performance!$O$41="","",Performance!$O$41)</f>
        <v>0</v>
      </c>
      <c r="BN41" s="24">
        <f>IF(Performance!$AA$41="","",Performance!$AA$41)</f>
        <v>0</v>
      </c>
      <c r="BO41" s="32">
        <f>IF(BH41="","",IF(BK41="","",IF(OR(BK41&lt;DashStart,BK41&gt;DashEnd),"",IF(BN41="","",BN41+ROW()/1000000))))</f>
        <v>0</v>
      </c>
      <c r="BP41" s="32">
        <f>IF(BM41="","",IF(BK41="","",IF(OR(BK41&lt;DashStart,BK41&gt;DashEnd),"",BM41+ROW()/1000000)))</f>
        <v>0</v>
      </c>
      <c r="BQ41" s="32">
        <f>IF(BH41="","",IF(BK41="","",IF(YEAR(BK41)&lt;&gt;PlanYear,"",IF(BN41="","",BN41+ROW()/1000000))))</f>
        <v>0</v>
      </c>
      <c r="BR41" s="32">
        <f>IF(BH41="","",IF(BK41="","",IF(OR(BK41&lt;RepFrom,BK41&gt;RepTo),"",IF(BN41="","",BN41+ROW()/1000000))))</f>
        <v>0</v>
      </c>
      <c r="BS41" s="32">
        <f>IF(BM41="","",IF(BK41="","",IF(YEAR(BK41)&lt;&gt;PlanYear,"",BM41+ROW()/1000000)))</f>
        <v>0</v>
      </c>
      <c r="BT41" s="17">
        <f>IF(Lists!$F41="","",Lists!$F41)</f>
        <v>0</v>
      </c>
      <c r="BU41" s="23">
        <f>IF(BT41="","",COUNTIF('Content Calendar'!$X$5:$X$604,BT41))</f>
        <v>0</v>
      </c>
      <c r="BV41" s="23">
        <f>IF(BT41="","",COUNTIFS('Content Calendar'!$X$5:$X$604,BT41,'Content Calendar'!$B$5:$B$604,"&gt;="&amp;DashStart,'Content Calendar'!$B$5:$B$604,"&lt;="&amp;DashEnd))</f>
        <v>0</v>
      </c>
      <c r="BW41" s="17">
        <f>IF(Team!$B$41="","",Team!$B$41)</f>
        <v>0</v>
      </c>
      <c r="BX41" s="23">
        <f>IF(BW41="","",COUNTIF('Content Calendar'!$W$5:$W$604,BW41))</f>
        <v>0</v>
      </c>
      <c r="BY41" s="23">
        <f>IF(BW41="","",COUNTIFS('Content Calendar'!$W$5:$W$604,BW41,'Content Calendar'!$X$5:$X$604,"&lt;&gt;Published"))</f>
        <v>0</v>
      </c>
      <c r="BZ41" s="23">
        <f>IF(BW41="","",COUNTIFS(Tasks!$C$5:$C$64,BW41,Tasks!$G$5:$G$64,"&lt;&gt;Complete"))</f>
        <v>0</v>
      </c>
      <c r="CA41" s="17">
        <f>IF(Campaigns!$B$41="","",Campaigns!$B$41)</f>
        <v>0</v>
      </c>
      <c r="CB41" s="25">
        <f>IF(Campaigns!$T$41="","",Campaigns!$T$41)</f>
        <v>0</v>
      </c>
      <c r="CC41" s="25">
        <f>IF(Campaigns!$Q$41="","",Campaigns!$Q$41)</f>
        <v>0</v>
      </c>
      <c r="CD41" s="23">
        <f>IF(Campaigns!$Y$41="","",Campaigns!$Y$41)</f>
        <v>0</v>
      </c>
      <c r="CE41" s="32">
        <f>IF(CA41="","",IF(N(CB41)&lt;=0,"",N(CB41)+ROW()/1000000))</f>
        <v>0</v>
      </c>
      <c r="CF41" s="17">
        <f>IF(Accounts!$C$41="","",Accounts!$C$41)</f>
        <v>0</v>
      </c>
      <c r="CG41" s="17">
        <f>IF(Accounts!$B$41="","",Accounts!$B$41)</f>
        <v>0</v>
      </c>
      <c r="CH41" s="23">
        <f>IF(Accounts!$J$41="","",Accounts!$J$41)</f>
        <v>0</v>
      </c>
      <c r="CI41" s="23">
        <f>IF(CF41="","",SUMIFS(Analytics!$X$5:$X$154,Analytics!$E$5:$E$154,CF41,Analytics!$B$5:$B$154,"&gt;="&amp;DashStart,Analytics!$B$5:$B$154,"&lt;="&amp;DashEnd))</f>
        <v>0</v>
      </c>
      <c r="CJ41" s="32">
        <f>IF(CH41="","",IF(CH41=0,"",CH41+ROW()/1000000))</f>
        <v>0</v>
      </c>
    </row>
    <row r="42" spans="1:88">
      <c r="A42" s="16">
        <f>IF(ROW()-4&gt;12,"",DATE(PlanYear,ROW()-4,1))</f>
        <v>0</v>
      </c>
      <c r="B42" s="16">
        <f>IF(A42="","",EOMONTH(A42,0))</f>
        <v>0</v>
      </c>
      <c r="C42" s="17">
        <f>IF(A42="","",TEXT(A42,"yyyy-mm"))</f>
        <v>0</v>
      </c>
      <c r="D42" s="17">
        <f>IF(A42="","",TEXT(A42,"mmm"))</f>
        <v>0</v>
      </c>
      <c r="E42" s="23">
        <f>IF(C42="","",COUNTIFS('Content Calendar'!$D$5:$D$604,C42))</f>
        <v>0</v>
      </c>
      <c r="F42" s="23">
        <f>IF(C42="","",COUNTIFS('Content Calendar'!$D$5:$D$604,C42,'Content Calendar'!$X$5:$X$604,"Published"))</f>
        <v>0</v>
      </c>
      <c r="G42" s="23">
        <f>IF(C42="","",SUMIFS(Analytics!$J$5:$J$154,Analytics!$C$5:$C$154,C42))</f>
        <v>0</v>
      </c>
      <c r="H42" s="23">
        <f>IF(C42="","",SUMIFS(Analytics!$K$5:$K$154,Analytics!$C$5:$C$154,C42))</f>
        <v>0</v>
      </c>
      <c r="I42" s="23">
        <f>IF(C42="","",SUMIFS(Analytics!$L$5:$L$154,Analytics!$C$5:$C$154,C42))</f>
        <v>0</v>
      </c>
      <c r="J42" s="24">
        <f>IF(OR(G42="",G42=0),"",I42/G42)</f>
        <v>0</v>
      </c>
      <c r="K42" s="23">
        <f>IF(C42="","",SUMIFS(Analytics!$G$5:$G$154,Analytics!$C$5:$C$154,C42))</f>
        <v>0</v>
      </c>
      <c r="L42" s="23">
        <f>IF(C42="","",SUMIFS(Analytics!$X$5:$X$154,Analytics!$C$5:$C$154,C42))</f>
        <v>0</v>
      </c>
      <c r="M42" s="23">
        <f>IF(C42="","",SUMIFS(Analytics!$R$5:$R$154,Analytics!$C$5:$C$154,C42))</f>
        <v>0</v>
      </c>
      <c r="N42" s="23">
        <f>IF(C42="","",SUMIFS(Analytics!$S$5:$S$154,Analytics!$C$5:$C$154,C42))</f>
        <v>0</v>
      </c>
      <c r="O42" s="23">
        <f>IF(C42="","",SUMIFS(Analytics!$T$5:$T$154,Analytics!$C$5:$C$154,C42))</f>
        <v>0</v>
      </c>
      <c r="P42" s="25">
        <f>IF(C42="","",SUMIFS(Analytics!$U$5:$U$154,Analytics!$C$5:$C$154,C42))</f>
        <v>0</v>
      </c>
      <c r="Q42" s="25">
        <f>IF(C42="","",SUMIFS(Budget!$H$5:$H$64,Budget!$C$5:$C$64,C42))</f>
        <v>0</v>
      </c>
      <c r="R42" s="25">
        <f>IF(C42="","",P42-Q42)</f>
        <v>0</v>
      </c>
      <c r="S42" s="23">
        <f>IF(C42="","",MonthlyPostTarget)</f>
        <v>0</v>
      </c>
      <c r="T42" s="17">
        <f>IF(Lists!$C42="","",Lists!$C42)</f>
        <v>0</v>
      </c>
      <c r="U42" s="23">
        <f>IF(T42="","",COUNTIFS('Content Calendar'!$G$5:$G$604,T42,'Content Calendar'!$B$5:$B$604,"&gt;="&amp;DashStart,'Content Calendar'!$B$5:$B$604,"&lt;="&amp;DashEnd))</f>
        <v>0</v>
      </c>
      <c r="V42" s="23">
        <f>IF(T42="","",COUNTIFS('Content Calendar'!$G$5:$G$604,T42,'Content Calendar'!$X$5:$X$604,"Published",'Content Calendar'!$B$5:$B$604,"&gt;="&amp;DashStart,'Content Calendar'!$B$5:$B$604,"&lt;="&amp;DashEnd))</f>
        <v>0</v>
      </c>
      <c r="W42" s="23">
        <f>IF(T42="","",SUMIFS(Analytics!$J$5:$J$154,Analytics!$D$5:$D$154,T42,Analytics!$B$5:$B$154,"&gt;="&amp;DashStart,Analytics!$B$5:$B$154,"&lt;="&amp;DashEnd))</f>
        <v>0</v>
      </c>
      <c r="X42" s="23">
        <f>IF(T42="","",SUMIFS(Analytics!$L$5:$L$154,Analytics!$D$5:$D$154,T42,Analytics!$B$5:$B$154,"&gt;="&amp;DashStart,Analytics!$B$5:$B$154,"&lt;="&amp;DashEnd))</f>
        <v>0</v>
      </c>
      <c r="Y42" s="24">
        <f>IF(OR(W42="",W42=0),"",X42/W42)</f>
        <v>0</v>
      </c>
      <c r="Z42" s="23">
        <f>IF(T42="","",SUMIFS(Analytics!$G$5:$G$154,Analytics!$D$5:$D$154,T42,Analytics!$B$5:$B$154,"&gt;="&amp;DashStart,Analytics!$B$5:$B$154,"&lt;="&amp;DashEnd))</f>
        <v>0</v>
      </c>
      <c r="AA42" s="23">
        <f>IF(T42="","",SUMIFS(Analytics!$X$5:$X$154,Analytics!$D$5:$D$154,T42,Analytics!$B$5:$B$154,"&gt;="&amp;DashStart,Analytics!$B$5:$B$154,"&lt;="&amp;DashEnd))</f>
        <v>0</v>
      </c>
      <c r="AB42" s="23">
        <f>IF(T42="","",SUMIFS(Analytics!$R$5:$R$154,Analytics!$D$5:$D$154,T42,Analytics!$B$5:$B$154,"&gt;="&amp;DashStart,Analytics!$B$5:$B$154,"&lt;="&amp;DashEnd))</f>
        <v>0</v>
      </c>
      <c r="AC42" s="25">
        <f>IF(T42="","",SUMIFS(Analytics!$U$5:$U$154,Analytics!$D$5:$D$154,T42,Analytics!$B$5:$B$154,"&gt;="&amp;DashStart,Analytics!$B$5:$B$154,"&lt;="&amp;DashEnd))</f>
        <v>0</v>
      </c>
      <c r="AD42" s="23">
        <f>IF(T42="","",COUNTIFS('Content Calendar'!$G$5:$G$604,T42,'Content Calendar'!$B$5:$B$604,"&gt;="&amp;DATE(PlanYear,1,1),'Content Calendar'!$B$5:$B$604,"&lt;="&amp;DATE(PlanYear,12,31)))</f>
        <v>0</v>
      </c>
      <c r="AE42" s="23">
        <f>IF(T42="","",SUMIFS(Analytics!$J$5:$J$154,Analytics!$D$5:$D$154,T42))</f>
        <v>0</v>
      </c>
      <c r="AF42" s="23">
        <f>IF(T42="","",SUMIFS(Analytics!$L$5:$L$154,Analytics!$D$5:$D$154,T42))</f>
        <v>0</v>
      </c>
      <c r="AG42" s="24">
        <f>IF(OR(AE42="",AE42=0),"",AF42/AE42)</f>
        <v>0</v>
      </c>
      <c r="AH42" s="23">
        <f>IF(T42="","",SUMIFS(Analytics!$X$5:$X$154,Analytics!$D$5:$D$154,T42))</f>
        <v>0</v>
      </c>
      <c r="AI42" s="32">
        <f>IF(T42="","",IF(AE42=0,"",AE42+ROW()/1000000))</f>
        <v>0</v>
      </c>
      <c r="AJ42" s="17">
        <f>IF('Content Pillars'!$B$42="","",'Content Pillars'!$B$42)</f>
        <v>0</v>
      </c>
      <c r="AK42" s="23">
        <f>IF(AJ42="","",COUNTIFS('Content Calendar'!$J$5:$J$604,AJ42,'Content Calendar'!$B$5:$B$604,"&gt;="&amp;DATE(PlanYear,1,1),'Content Calendar'!$B$5:$B$604,"&lt;="&amp;DATE(PlanYear,12,31)))</f>
        <v>0</v>
      </c>
      <c r="AL42" s="23">
        <f>IF(AJ42="","",SUMIFS(Performance!$O$5:$O$404,Performance!$H$5:$H$404,AJ42))</f>
        <v>0</v>
      </c>
      <c r="AM42" s="23">
        <f>IF(AJ42="","",SUMIFS(Performance!$Z$5:$Z$404,Performance!$H$5:$H$404,AJ42))</f>
        <v>0</v>
      </c>
      <c r="AN42" s="24">
        <f>IF(OR(AL42="",AL42=0),"",AM42/AL42)</f>
        <v>0</v>
      </c>
      <c r="AO42" s="32">
        <f>IF(AN42="","",AN42+ROW()/1000000)</f>
        <v>0</v>
      </c>
      <c r="AP42" s="17">
        <f>IF(Lists!$E42="","",Lists!$E42)</f>
        <v>0</v>
      </c>
      <c r="AQ42" s="23">
        <f>IF(AP42="","",COUNTIF(Performance!$G$5:$G$404,AP42))</f>
        <v>0</v>
      </c>
      <c r="AR42" s="23">
        <f>IF(AP42="","",SUMIFS(Performance!$O$5:$O$404,Performance!$G$5:$G$404,AP42))</f>
        <v>0</v>
      </c>
      <c r="AS42" s="23">
        <f>IF(AP42="","",SUMIFS(Performance!$Z$5:$Z$404,Performance!$G$5:$G$404,AP42))</f>
        <v>0</v>
      </c>
      <c r="AT42" s="24">
        <f>IF(OR(AR42="",AR42=0),"",AS42/AR42)</f>
        <v>0</v>
      </c>
      <c r="AU42" s="32">
        <f>IF(AQ42=0,"",IF(AT42="","",AT42+ROW()/1000000))</f>
        <v>0</v>
      </c>
      <c r="AV42" s="17">
        <f>IF(ROW()-4&gt;7,"",TEXT(DATE(2024,1,ROW()-4),"ddd"))</f>
        <v>0</v>
      </c>
      <c r="AW42" s="23">
        <f>IF(AV42="","",COUNTIF(Performance!$N$5:$N$404,AV42))</f>
        <v>0</v>
      </c>
      <c r="AX42" s="23">
        <f>IF(AV42="","",SUMIFS(Performance!$O$5:$O$404,Performance!$N$5:$N$404,AV42))</f>
        <v>0</v>
      </c>
      <c r="AY42" s="23">
        <f>IF(AV42="","",SUMIFS(Performance!$Z$5:$Z$404,Performance!$N$5:$N$404,AV42))</f>
        <v>0</v>
      </c>
      <c r="AZ42" s="24">
        <f>IF(OR(AX42="",AX42=0),"",AY42/AX42)</f>
        <v>0</v>
      </c>
      <c r="BA42" s="32">
        <f>IF(AW42=0,"",IF(AZ42="","",AZ42+ROW()/1000000))</f>
        <v>0</v>
      </c>
      <c r="BB42" s="17">
        <f>IF(Lists!$AL42="","",Lists!$AL42)</f>
        <v>0</v>
      </c>
      <c r="BC42" s="23">
        <f>IF(BB42="","",COUNTIF(Performance!$M$5:$M$404,BB42))</f>
        <v>0</v>
      </c>
      <c r="BD42" s="23">
        <f>IF(BB42="","",SUMIFS(Performance!$O$5:$O$404,Performance!$M$5:$M$404,BB42))</f>
        <v>0</v>
      </c>
      <c r="BE42" s="23">
        <f>IF(BB42="","",SUMIFS(Performance!$Z$5:$Z$404,Performance!$M$5:$M$404,BB42))</f>
        <v>0</v>
      </c>
      <c r="BF42" s="24">
        <f>IF(OR(BD42="",BD42=0),"",BE42/BD42)</f>
        <v>0</v>
      </c>
      <c r="BG42" s="32">
        <f>IF(BC42=0,"",IF(BF42="","",BF42+ROW()/1000000))</f>
        <v>0</v>
      </c>
      <c r="BH42" s="17">
        <f>IF(Performance!$C$42="","",Performance!$C$42)</f>
        <v>0</v>
      </c>
      <c r="BI42" s="17">
        <f>IF(Performance!$F$42="","",Performance!$F$42)</f>
        <v>0</v>
      </c>
      <c r="BJ42" s="17">
        <f>IF(Performance!$H$42="","",Performance!$H$42)</f>
        <v>0</v>
      </c>
      <c r="BK42" s="16">
        <f>IF(Performance!$D$42="","",Performance!$D$42)</f>
        <v>0</v>
      </c>
      <c r="BL42" s="17">
        <f>IF(Performance!$E$42="","",Performance!$E$42)</f>
        <v>0</v>
      </c>
      <c r="BM42" s="23">
        <f>IF(Performance!$O$42="","",Performance!$O$42)</f>
        <v>0</v>
      </c>
      <c r="BN42" s="24">
        <f>IF(Performance!$AA$42="","",Performance!$AA$42)</f>
        <v>0</v>
      </c>
      <c r="BO42" s="32">
        <f>IF(BH42="","",IF(BK42="","",IF(OR(BK42&lt;DashStart,BK42&gt;DashEnd),"",IF(BN42="","",BN42+ROW()/1000000))))</f>
        <v>0</v>
      </c>
      <c r="BP42" s="32">
        <f>IF(BM42="","",IF(BK42="","",IF(OR(BK42&lt;DashStart,BK42&gt;DashEnd),"",BM42+ROW()/1000000)))</f>
        <v>0</v>
      </c>
      <c r="BQ42" s="32">
        <f>IF(BH42="","",IF(BK42="","",IF(YEAR(BK42)&lt;&gt;PlanYear,"",IF(BN42="","",BN42+ROW()/1000000))))</f>
        <v>0</v>
      </c>
      <c r="BR42" s="32">
        <f>IF(BH42="","",IF(BK42="","",IF(OR(BK42&lt;RepFrom,BK42&gt;RepTo),"",IF(BN42="","",BN42+ROW()/1000000))))</f>
        <v>0</v>
      </c>
      <c r="BS42" s="32">
        <f>IF(BM42="","",IF(BK42="","",IF(YEAR(BK42)&lt;&gt;PlanYear,"",BM42+ROW()/1000000)))</f>
        <v>0</v>
      </c>
      <c r="BT42" s="17">
        <f>IF(Lists!$F42="","",Lists!$F42)</f>
        <v>0</v>
      </c>
      <c r="BU42" s="23">
        <f>IF(BT42="","",COUNTIF('Content Calendar'!$X$5:$X$604,BT42))</f>
        <v>0</v>
      </c>
      <c r="BV42" s="23">
        <f>IF(BT42="","",COUNTIFS('Content Calendar'!$X$5:$X$604,BT42,'Content Calendar'!$B$5:$B$604,"&gt;="&amp;DashStart,'Content Calendar'!$B$5:$B$604,"&lt;="&amp;DashEnd))</f>
        <v>0</v>
      </c>
      <c r="BW42" s="17">
        <f>IF(Team!$B$42="","",Team!$B$42)</f>
        <v>0</v>
      </c>
      <c r="BX42" s="23">
        <f>IF(BW42="","",COUNTIF('Content Calendar'!$W$5:$W$604,BW42))</f>
        <v>0</v>
      </c>
      <c r="BY42" s="23">
        <f>IF(BW42="","",COUNTIFS('Content Calendar'!$W$5:$W$604,BW42,'Content Calendar'!$X$5:$X$604,"&lt;&gt;Published"))</f>
        <v>0</v>
      </c>
      <c r="BZ42" s="23">
        <f>IF(BW42="","",COUNTIFS(Tasks!$C$5:$C$64,BW42,Tasks!$G$5:$G$64,"&lt;&gt;Complete"))</f>
        <v>0</v>
      </c>
      <c r="CA42" s="17">
        <f>IF(Campaigns!$B$42="","",Campaigns!$B$42)</f>
        <v>0</v>
      </c>
      <c r="CB42" s="25">
        <f>IF(Campaigns!$T$42="","",Campaigns!$T$42)</f>
        <v>0</v>
      </c>
      <c r="CC42" s="25">
        <f>IF(Campaigns!$Q$42="","",Campaigns!$Q$42)</f>
        <v>0</v>
      </c>
      <c r="CD42" s="23">
        <f>IF(Campaigns!$Y$42="","",Campaigns!$Y$42)</f>
        <v>0</v>
      </c>
      <c r="CE42" s="32">
        <f>IF(CA42="","",IF(N(CB42)&lt;=0,"",N(CB42)+ROW()/1000000))</f>
        <v>0</v>
      </c>
      <c r="CF42" s="17">
        <f>IF(Accounts!$C$42="","",Accounts!$C$42)</f>
        <v>0</v>
      </c>
      <c r="CG42" s="17">
        <f>IF(Accounts!$B$42="","",Accounts!$B$42)</f>
        <v>0</v>
      </c>
      <c r="CH42" s="23">
        <f>IF(Accounts!$J$42="","",Accounts!$J$42)</f>
        <v>0</v>
      </c>
      <c r="CI42" s="23">
        <f>IF(CF42="","",SUMIFS(Analytics!$X$5:$X$154,Analytics!$E$5:$E$154,CF42,Analytics!$B$5:$B$154,"&gt;="&amp;DashStart,Analytics!$B$5:$B$154,"&lt;="&amp;DashEnd))</f>
        <v>0</v>
      </c>
      <c r="CJ42" s="32">
        <f>IF(CH42="","",IF(CH42=0,"",CH42+ROW()/1000000))</f>
        <v>0</v>
      </c>
    </row>
    <row r="43" spans="1:88">
      <c r="A43" s="16">
        <f>IF(ROW()-4&gt;12,"",DATE(PlanYear,ROW()-4,1))</f>
        <v>0</v>
      </c>
      <c r="B43" s="16">
        <f>IF(A43="","",EOMONTH(A43,0))</f>
        <v>0</v>
      </c>
      <c r="C43" s="17">
        <f>IF(A43="","",TEXT(A43,"yyyy-mm"))</f>
        <v>0</v>
      </c>
      <c r="D43" s="17">
        <f>IF(A43="","",TEXT(A43,"mmm"))</f>
        <v>0</v>
      </c>
      <c r="E43" s="23">
        <f>IF(C43="","",COUNTIFS('Content Calendar'!$D$5:$D$604,C43))</f>
        <v>0</v>
      </c>
      <c r="F43" s="23">
        <f>IF(C43="","",COUNTIFS('Content Calendar'!$D$5:$D$604,C43,'Content Calendar'!$X$5:$X$604,"Published"))</f>
        <v>0</v>
      </c>
      <c r="G43" s="23">
        <f>IF(C43="","",SUMIFS(Analytics!$J$5:$J$154,Analytics!$C$5:$C$154,C43))</f>
        <v>0</v>
      </c>
      <c r="H43" s="23">
        <f>IF(C43="","",SUMIFS(Analytics!$K$5:$K$154,Analytics!$C$5:$C$154,C43))</f>
        <v>0</v>
      </c>
      <c r="I43" s="23">
        <f>IF(C43="","",SUMIFS(Analytics!$L$5:$L$154,Analytics!$C$5:$C$154,C43))</f>
        <v>0</v>
      </c>
      <c r="J43" s="24">
        <f>IF(OR(G43="",G43=0),"",I43/G43)</f>
        <v>0</v>
      </c>
      <c r="K43" s="23">
        <f>IF(C43="","",SUMIFS(Analytics!$G$5:$G$154,Analytics!$C$5:$C$154,C43))</f>
        <v>0</v>
      </c>
      <c r="L43" s="23">
        <f>IF(C43="","",SUMIFS(Analytics!$X$5:$X$154,Analytics!$C$5:$C$154,C43))</f>
        <v>0</v>
      </c>
      <c r="M43" s="23">
        <f>IF(C43="","",SUMIFS(Analytics!$R$5:$R$154,Analytics!$C$5:$C$154,C43))</f>
        <v>0</v>
      </c>
      <c r="N43" s="23">
        <f>IF(C43="","",SUMIFS(Analytics!$S$5:$S$154,Analytics!$C$5:$C$154,C43))</f>
        <v>0</v>
      </c>
      <c r="O43" s="23">
        <f>IF(C43="","",SUMIFS(Analytics!$T$5:$T$154,Analytics!$C$5:$C$154,C43))</f>
        <v>0</v>
      </c>
      <c r="P43" s="25">
        <f>IF(C43="","",SUMIFS(Analytics!$U$5:$U$154,Analytics!$C$5:$C$154,C43))</f>
        <v>0</v>
      </c>
      <c r="Q43" s="25">
        <f>IF(C43="","",SUMIFS(Budget!$H$5:$H$64,Budget!$C$5:$C$64,C43))</f>
        <v>0</v>
      </c>
      <c r="R43" s="25">
        <f>IF(C43="","",P43-Q43)</f>
        <v>0</v>
      </c>
      <c r="S43" s="23">
        <f>IF(C43="","",MonthlyPostTarget)</f>
        <v>0</v>
      </c>
      <c r="T43" s="17">
        <f>IF(Lists!$C43="","",Lists!$C43)</f>
        <v>0</v>
      </c>
      <c r="U43" s="23">
        <f>IF(T43="","",COUNTIFS('Content Calendar'!$G$5:$G$604,T43,'Content Calendar'!$B$5:$B$604,"&gt;="&amp;DashStart,'Content Calendar'!$B$5:$B$604,"&lt;="&amp;DashEnd))</f>
        <v>0</v>
      </c>
      <c r="V43" s="23">
        <f>IF(T43="","",COUNTIFS('Content Calendar'!$G$5:$G$604,T43,'Content Calendar'!$X$5:$X$604,"Published",'Content Calendar'!$B$5:$B$604,"&gt;="&amp;DashStart,'Content Calendar'!$B$5:$B$604,"&lt;="&amp;DashEnd))</f>
        <v>0</v>
      </c>
      <c r="W43" s="23">
        <f>IF(T43="","",SUMIFS(Analytics!$J$5:$J$154,Analytics!$D$5:$D$154,T43,Analytics!$B$5:$B$154,"&gt;="&amp;DashStart,Analytics!$B$5:$B$154,"&lt;="&amp;DashEnd))</f>
        <v>0</v>
      </c>
      <c r="X43" s="23">
        <f>IF(T43="","",SUMIFS(Analytics!$L$5:$L$154,Analytics!$D$5:$D$154,T43,Analytics!$B$5:$B$154,"&gt;="&amp;DashStart,Analytics!$B$5:$B$154,"&lt;="&amp;DashEnd))</f>
        <v>0</v>
      </c>
      <c r="Y43" s="24">
        <f>IF(OR(W43="",W43=0),"",X43/W43)</f>
        <v>0</v>
      </c>
      <c r="Z43" s="23">
        <f>IF(T43="","",SUMIFS(Analytics!$G$5:$G$154,Analytics!$D$5:$D$154,T43,Analytics!$B$5:$B$154,"&gt;="&amp;DashStart,Analytics!$B$5:$B$154,"&lt;="&amp;DashEnd))</f>
        <v>0</v>
      </c>
      <c r="AA43" s="23">
        <f>IF(T43="","",SUMIFS(Analytics!$X$5:$X$154,Analytics!$D$5:$D$154,T43,Analytics!$B$5:$B$154,"&gt;="&amp;DashStart,Analytics!$B$5:$B$154,"&lt;="&amp;DashEnd))</f>
        <v>0</v>
      </c>
      <c r="AB43" s="23">
        <f>IF(T43="","",SUMIFS(Analytics!$R$5:$R$154,Analytics!$D$5:$D$154,T43,Analytics!$B$5:$B$154,"&gt;="&amp;DashStart,Analytics!$B$5:$B$154,"&lt;="&amp;DashEnd))</f>
        <v>0</v>
      </c>
      <c r="AC43" s="25">
        <f>IF(T43="","",SUMIFS(Analytics!$U$5:$U$154,Analytics!$D$5:$D$154,T43,Analytics!$B$5:$B$154,"&gt;="&amp;DashStart,Analytics!$B$5:$B$154,"&lt;="&amp;DashEnd))</f>
        <v>0</v>
      </c>
      <c r="AD43" s="23">
        <f>IF(T43="","",COUNTIFS('Content Calendar'!$G$5:$G$604,T43,'Content Calendar'!$B$5:$B$604,"&gt;="&amp;DATE(PlanYear,1,1),'Content Calendar'!$B$5:$B$604,"&lt;="&amp;DATE(PlanYear,12,31)))</f>
        <v>0</v>
      </c>
      <c r="AE43" s="23">
        <f>IF(T43="","",SUMIFS(Analytics!$J$5:$J$154,Analytics!$D$5:$D$154,T43))</f>
        <v>0</v>
      </c>
      <c r="AF43" s="23">
        <f>IF(T43="","",SUMIFS(Analytics!$L$5:$L$154,Analytics!$D$5:$D$154,T43))</f>
        <v>0</v>
      </c>
      <c r="AG43" s="24">
        <f>IF(OR(AE43="",AE43=0),"",AF43/AE43)</f>
        <v>0</v>
      </c>
      <c r="AH43" s="23">
        <f>IF(T43="","",SUMIFS(Analytics!$X$5:$X$154,Analytics!$D$5:$D$154,T43))</f>
        <v>0</v>
      </c>
      <c r="AI43" s="32">
        <f>IF(T43="","",IF(AE43=0,"",AE43+ROW()/1000000))</f>
        <v>0</v>
      </c>
      <c r="AJ43" s="17">
        <f>IF('Content Pillars'!$B$43="","",'Content Pillars'!$B$43)</f>
        <v>0</v>
      </c>
      <c r="AK43" s="23">
        <f>IF(AJ43="","",COUNTIFS('Content Calendar'!$J$5:$J$604,AJ43,'Content Calendar'!$B$5:$B$604,"&gt;="&amp;DATE(PlanYear,1,1),'Content Calendar'!$B$5:$B$604,"&lt;="&amp;DATE(PlanYear,12,31)))</f>
        <v>0</v>
      </c>
      <c r="AL43" s="23">
        <f>IF(AJ43="","",SUMIFS(Performance!$O$5:$O$404,Performance!$H$5:$H$404,AJ43))</f>
        <v>0</v>
      </c>
      <c r="AM43" s="23">
        <f>IF(AJ43="","",SUMIFS(Performance!$Z$5:$Z$404,Performance!$H$5:$H$404,AJ43))</f>
        <v>0</v>
      </c>
      <c r="AN43" s="24">
        <f>IF(OR(AL43="",AL43=0),"",AM43/AL43)</f>
        <v>0</v>
      </c>
      <c r="AO43" s="32">
        <f>IF(AN43="","",AN43+ROW()/1000000)</f>
        <v>0</v>
      </c>
      <c r="AP43" s="17">
        <f>IF(Lists!$E43="","",Lists!$E43)</f>
        <v>0</v>
      </c>
      <c r="AQ43" s="23">
        <f>IF(AP43="","",COUNTIF(Performance!$G$5:$G$404,AP43))</f>
        <v>0</v>
      </c>
      <c r="AR43" s="23">
        <f>IF(AP43="","",SUMIFS(Performance!$O$5:$O$404,Performance!$G$5:$G$404,AP43))</f>
        <v>0</v>
      </c>
      <c r="AS43" s="23">
        <f>IF(AP43="","",SUMIFS(Performance!$Z$5:$Z$404,Performance!$G$5:$G$404,AP43))</f>
        <v>0</v>
      </c>
      <c r="AT43" s="24">
        <f>IF(OR(AR43="",AR43=0),"",AS43/AR43)</f>
        <v>0</v>
      </c>
      <c r="AU43" s="32">
        <f>IF(AQ43=0,"",IF(AT43="","",AT43+ROW()/1000000))</f>
        <v>0</v>
      </c>
      <c r="AV43" s="17">
        <f>IF(ROW()-4&gt;7,"",TEXT(DATE(2024,1,ROW()-4),"ddd"))</f>
        <v>0</v>
      </c>
      <c r="AW43" s="23">
        <f>IF(AV43="","",COUNTIF(Performance!$N$5:$N$404,AV43))</f>
        <v>0</v>
      </c>
      <c r="AX43" s="23">
        <f>IF(AV43="","",SUMIFS(Performance!$O$5:$O$404,Performance!$N$5:$N$404,AV43))</f>
        <v>0</v>
      </c>
      <c r="AY43" s="23">
        <f>IF(AV43="","",SUMIFS(Performance!$Z$5:$Z$404,Performance!$N$5:$N$404,AV43))</f>
        <v>0</v>
      </c>
      <c r="AZ43" s="24">
        <f>IF(OR(AX43="",AX43=0),"",AY43/AX43)</f>
        <v>0</v>
      </c>
      <c r="BA43" s="32">
        <f>IF(AW43=0,"",IF(AZ43="","",AZ43+ROW()/1000000))</f>
        <v>0</v>
      </c>
      <c r="BB43" s="17">
        <f>IF(Lists!$AL43="","",Lists!$AL43)</f>
        <v>0</v>
      </c>
      <c r="BC43" s="23">
        <f>IF(BB43="","",COUNTIF(Performance!$M$5:$M$404,BB43))</f>
        <v>0</v>
      </c>
      <c r="BD43" s="23">
        <f>IF(BB43="","",SUMIFS(Performance!$O$5:$O$404,Performance!$M$5:$M$404,BB43))</f>
        <v>0</v>
      </c>
      <c r="BE43" s="23">
        <f>IF(BB43="","",SUMIFS(Performance!$Z$5:$Z$404,Performance!$M$5:$M$404,BB43))</f>
        <v>0</v>
      </c>
      <c r="BF43" s="24">
        <f>IF(OR(BD43="",BD43=0),"",BE43/BD43)</f>
        <v>0</v>
      </c>
      <c r="BG43" s="32">
        <f>IF(BC43=0,"",IF(BF43="","",BF43+ROW()/1000000))</f>
        <v>0</v>
      </c>
      <c r="BH43" s="17">
        <f>IF(Performance!$C$43="","",Performance!$C$43)</f>
        <v>0</v>
      </c>
      <c r="BI43" s="17">
        <f>IF(Performance!$F$43="","",Performance!$F$43)</f>
        <v>0</v>
      </c>
      <c r="BJ43" s="17">
        <f>IF(Performance!$H$43="","",Performance!$H$43)</f>
        <v>0</v>
      </c>
      <c r="BK43" s="16">
        <f>IF(Performance!$D$43="","",Performance!$D$43)</f>
        <v>0</v>
      </c>
      <c r="BL43" s="17">
        <f>IF(Performance!$E$43="","",Performance!$E$43)</f>
        <v>0</v>
      </c>
      <c r="BM43" s="23">
        <f>IF(Performance!$O$43="","",Performance!$O$43)</f>
        <v>0</v>
      </c>
      <c r="BN43" s="24">
        <f>IF(Performance!$AA$43="","",Performance!$AA$43)</f>
        <v>0</v>
      </c>
      <c r="BO43" s="32">
        <f>IF(BH43="","",IF(BK43="","",IF(OR(BK43&lt;DashStart,BK43&gt;DashEnd),"",IF(BN43="","",BN43+ROW()/1000000))))</f>
        <v>0</v>
      </c>
      <c r="BP43" s="32">
        <f>IF(BM43="","",IF(BK43="","",IF(OR(BK43&lt;DashStart,BK43&gt;DashEnd),"",BM43+ROW()/1000000)))</f>
        <v>0</v>
      </c>
      <c r="BQ43" s="32">
        <f>IF(BH43="","",IF(BK43="","",IF(YEAR(BK43)&lt;&gt;PlanYear,"",IF(BN43="","",BN43+ROW()/1000000))))</f>
        <v>0</v>
      </c>
      <c r="BR43" s="32">
        <f>IF(BH43="","",IF(BK43="","",IF(OR(BK43&lt;RepFrom,BK43&gt;RepTo),"",IF(BN43="","",BN43+ROW()/1000000))))</f>
        <v>0</v>
      </c>
      <c r="BS43" s="32">
        <f>IF(BM43="","",IF(BK43="","",IF(YEAR(BK43)&lt;&gt;PlanYear,"",BM43+ROW()/1000000)))</f>
        <v>0</v>
      </c>
      <c r="BT43" s="17">
        <f>IF(Lists!$F43="","",Lists!$F43)</f>
        <v>0</v>
      </c>
      <c r="BU43" s="23">
        <f>IF(BT43="","",COUNTIF('Content Calendar'!$X$5:$X$604,BT43))</f>
        <v>0</v>
      </c>
      <c r="BV43" s="23">
        <f>IF(BT43="","",COUNTIFS('Content Calendar'!$X$5:$X$604,BT43,'Content Calendar'!$B$5:$B$604,"&gt;="&amp;DashStart,'Content Calendar'!$B$5:$B$604,"&lt;="&amp;DashEnd))</f>
        <v>0</v>
      </c>
      <c r="BW43" s="17">
        <f>IF(Team!$B$43="","",Team!$B$43)</f>
        <v>0</v>
      </c>
      <c r="BX43" s="23">
        <f>IF(BW43="","",COUNTIF('Content Calendar'!$W$5:$W$604,BW43))</f>
        <v>0</v>
      </c>
      <c r="BY43" s="23">
        <f>IF(BW43="","",COUNTIFS('Content Calendar'!$W$5:$W$604,BW43,'Content Calendar'!$X$5:$X$604,"&lt;&gt;Published"))</f>
        <v>0</v>
      </c>
      <c r="BZ43" s="23">
        <f>IF(BW43="","",COUNTIFS(Tasks!$C$5:$C$64,BW43,Tasks!$G$5:$G$64,"&lt;&gt;Complete"))</f>
        <v>0</v>
      </c>
      <c r="CA43" s="17">
        <f>IF(Campaigns!$B$43="","",Campaigns!$B$43)</f>
        <v>0</v>
      </c>
      <c r="CB43" s="25">
        <f>IF(Campaigns!$T$43="","",Campaigns!$T$43)</f>
        <v>0</v>
      </c>
      <c r="CC43" s="25">
        <f>IF(Campaigns!$Q$43="","",Campaigns!$Q$43)</f>
        <v>0</v>
      </c>
      <c r="CD43" s="23">
        <f>IF(Campaigns!$Y$43="","",Campaigns!$Y$43)</f>
        <v>0</v>
      </c>
      <c r="CE43" s="32">
        <f>IF(CA43="","",IF(N(CB43)&lt;=0,"",N(CB43)+ROW()/1000000))</f>
        <v>0</v>
      </c>
      <c r="CF43" s="17">
        <f>IF(Accounts!$C$43="","",Accounts!$C$43)</f>
        <v>0</v>
      </c>
      <c r="CG43" s="17">
        <f>IF(Accounts!$B$43="","",Accounts!$B$43)</f>
        <v>0</v>
      </c>
      <c r="CH43" s="23">
        <f>IF(Accounts!$J$43="","",Accounts!$J$43)</f>
        <v>0</v>
      </c>
      <c r="CI43" s="23">
        <f>IF(CF43="","",SUMIFS(Analytics!$X$5:$X$154,Analytics!$E$5:$E$154,CF43,Analytics!$B$5:$B$154,"&gt;="&amp;DashStart,Analytics!$B$5:$B$154,"&lt;="&amp;DashEnd))</f>
        <v>0</v>
      </c>
      <c r="CJ43" s="32">
        <f>IF(CH43="","",IF(CH43=0,"",CH43+ROW()/1000000))</f>
        <v>0</v>
      </c>
    </row>
    <row r="44" spans="1:88">
      <c r="A44" s="16">
        <f>IF(ROW()-4&gt;12,"",DATE(PlanYear,ROW()-4,1))</f>
        <v>0</v>
      </c>
      <c r="B44" s="16">
        <f>IF(A44="","",EOMONTH(A44,0))</f>
        <v>0</v>
      </c>
      <c r="C44" s="17">
        <f>IF(A44="","",TEXT(A44,"yyyy-mm"))</f>
        <v>0</v>
      </c>
      <c r="D44" s="17">
        <f>IF(A44="","",TEXT(A44,"mmm"))</f>
        <v>0</v>
      </c>
      <c r="E44" s="23">
        <f>IF(C44="","",COUNTIFS('Content Calendar'!$D$5:$D$604,C44))</f>
        <v>0</v>
      </c>
      <c r="F44" s="23">
        <f>IF(C44="","",COUNTIFS('Content Calendar'!$D$5:$D$604,C44,'Content Calendar'!$X$5:$X$604,"Published"))</f>
        <v>0</v>
      </c>
      <c r="G44" s="23">
        <f>IF(C44="","",SUMIFS(Analytics!$J$5:$J$154,Analytics!$C$5:$C$154,C44))</f>
        <v>0</v>
      </c>
      <c r="H44" s="23">
        <f>IF(C44="","",SUMIFS(Analytics!$K$5:$K$154,Analytics!$C$5:$C$154,C44))</f>
        <v>0</v>
      </c>
      <c r="I44" s="23">
        <f>IF(C44="","",SUMIFS(Analytics!$L$5:$L$154,Analytics!$C$5:$C$154,C44))</f>
        <v>0</v>
      </c>
      <c r="J44" s="24">
        <f>IF(OR(G44="",G44=0),"",I44/G44)</f>
        <v>0</v>
      </c>
      <c r="K44" s="23">
        <f>IF(C44="","",SUMIFS(Analytics!$G$5:$G$154,Analytics!$C$5:$C$154,C44))</f>
        <v>0</v>
      </c>
      <c r="L44" s="23">
        <f>IF(C44="","",SUMIFS(Analytics!$X$5:$X$154,Analytics!$C$5:$C$154,C44))</f>
        <v>0</v>
      </c>
      <c r="M44" s="23">
        <f>IF(C44="","",SUMIFS(Analytics!$R$5:$R$154,Analytics!$C$5:$C$154,C44))</f>
        <v>0</v>
      </c>
      <c r="N44" s="23">
        <f>IF(C44="","",SUMIFS(Analytics!$S$5:$S$154,Analytics!$C$5:$C$154,C44))</f>
        <v>0</v>
      </c>
      <c r="O44" s="23">
        <f>IF(C44="","",SUMIFS(Analytics!$T$5:$T$154,Analytics!$C$5:$C$154,C44))</f>
        <v>0</v>
      </c>
      <c r="P44" s="25">
        <f>IF(C44="","",SUMIFS(Analytics!$U$5:$U$154,Analytics!$C$5:$C$154,C44))</f>
        <v>0</v>
      </c>
      <c r="Q44" s="25">
        <f>IF(C44="","",SUMIFS(Budget!$H$5:$H$64,Budget!$C$5:$C$64,C44))</f>
        <v>0</v>
      </c>
      <c r="R44" s="25">
        <f>IF(C44="","",P44-Q44)</f>
        <v>0</v>
      </c>
      <c r="S44" s="23">
        <f>IF(C44="","",MonthlyPostTarget)</f>
        <v>0</v>
      </c>
      <c r="T44" s="17">
        <f>IF(Lists!$C44="","",Lists!$C44)</f>
        <v>0</v>
      </c>
      <c r="U44" s="23">
        <f>IF(T44="","",COUNTIFS('Content Calendar'!$G$5:$G$604,T44,'Content Calendar'!$B$5:$B$604,"&gt;="&amp;DashStart,'Content Calendar'!$B$5:$B$604,"&lt;="&amp;DashEnd))</f>
        <v>0</v>
      </c>
      <c r="V44" s="23">
        <f>IF(T44="","",COUNTIFS('Content Calendar'!$G$5:$G$604,T44,'Content Calendar'!$X$5:$X$604,"Published",'Content Calendar'!$B$5:$B$604,"&gt;="&amp;DashStart,'Content Calendar'!$B$5:$B$604,"&lt;="&amp;DashEnd))</f>
        <v>0</v>
      </c>
      <c r="W44" s="23">
        <f>IF(T44="","",SUMIFS(Analytics!$J$5:$J$154,Analytics!$D$5:$D$154,T44,Analytics!$B$5:$B$154,"&gt;="&amp;DashStart,Analytics!$B$5:$B$154,"&lt;="&amp;DashEnd))</f>
        <v>0</v>
      </c>
      <c r="X44" s="23">
        <f>IF(T44="","",SUMIFS(Analytics!$L$5:$L$154,Analytics!$D$5:$D$154,T44,Analytics!$B$5:$B$154,"&gt;="&amp;DashStart,Analytics!$B$5:$B$154,"&lt;="&amp;DashEnd))</f>
        <v>0</v>
      </c>
      <c r="Y44" s="24">
        <f>IF(OR(W44="",W44=0),"",X44/W44)</f>
        <v>0</v>
      </c>
      <c r="Z44" s="23">
        <f>IF(T44="","",SUMIFS(Analytics!$G$5:$G$154,Analytics!$D$5:$D$154,T44,Analytics!$B$5:$B$154,"&gt;="&amp;DashStart,Analytics!$B$5:$B$154,"&lt;="&amp;DashEnd))</f>
        <v>0</v>
      </c>
      <c r="AA44" s="23">
        <f>IF(T44="","",SUMIFS(Analytics!$X$5:$X$154,Analytics!$D$5:$D$154,T44,Analytics!$B$5:$B$154,"&gt;="&amp;DashStart,Analytics!$B$5:$B$154,"&lt;="&amp;DashEnd))</f>
        <v>0</v>
      </c>
      <c r="AB44" s="23">
        <f>IF(T44="","",SUMIFS(Analytics!$R$5:$R$154,Analytics!$D$5:$D$154,T44,Analytics!$B$5:$B$154,"&gt;="&amp;DashStart,Analytics!$B$5:$B$154,"&lt;="&amp;DashEnd))</f>
        <v>0</v>
      </c>
      <c r="AC44" s="25">
        <f>IF(T44="","",SUMIFS(Analytics!$U$5:$U$154,Analytics!$D$5:$D$154,T44,Analytics!$B$5:$B$154,"&gt;="&amp;DashStart,Analytics!$B$5:$B$154,"&lt;="&amp;DashEnd))</f>
        <v>0</v>
      </c>
      <c r="AD44" s="23">
        <f>IF(T44="","",COUNTIFS('Content Calendar'!$G$5:$G$604,T44,'Content Calendar'!$B$5:$B$604,"&gt;="&amp;DATE(PlanYear,1,1),'Content Calendar'!$B$5:$B$604,"&lt;="&amp;DATE(PlanYear,12,31)))</f>
        <v>0</v>
      </c>
      <c r="AE44" s="23">
        <f>IF(T44="","",SUMIFS(Analytics!$J$5:$J$154,Analytics!$D$5:$D$154,T44))</f>
        <v>0</v>
      </c>
      <c r="AF44" s="23">
        <f>IF(T44="","",SUMIFS(Analytics!$L$5:$L$154,Analytics!$D$5:$D$154,T44))</f>
        <v>0</v>
      </c>
      <c r="AG44" s="24">
        <f>IF(OR(AE44="",AE44=0),"",AF44/AE44)</f>
        <v>0</v>
      </c>
      <c r="AH44" s="23">
        <f>IF(T44="","",SUMIFS(Analytics!$X$5:$X$154,Analytics!$D$5:$D$154,T44))</f>
        <v>0</v>
      </c>
      <c r="AI44" s="32">
        <f>IF(T44="","",IF(AE44=0,"",AE44+ROW()/1000000))</f>
        <v>0</v>
      </c>
      <c r="AJ44" s="17">
        <f>IF('Content Pillars'!$B$44="","",'Content Pillars'!$B$44)</f>
        <v>0</v>
      </c>
      <c r="AK44" s="23">
        <f>IF(AJ44="","",COUNTIFS('Content Calendar'!$J$5:$J$604,AJ44,'Content Calendar'!$B$5:$B$604,"&gt;="&amp;DATE(PlanYear,1,1),'Content Calendar'!$B$5:$B$604,"&lt;="&amp;DATE(PlanYear,12,31)))</f>
        <v>0</v>
      </c>
      <c r="AL44" s="23">
        <f>IF(AJ44="","",SUMIFS(Performance!$O$5:$O$404,Performance!$H$5:$H$404,AJ44))</f>
        <v>0</v>
      </c>
      <c r="AM44" s="23">
        <f>IF(AJ44="","",SUMIFS(Performance!$Z$5:$Z$404,Performance!$H$5:$H$404,AJ44))</f>
        <v>0</v>
      </c>
      <c r="AN44" s="24">
        <f>IF(OR(AL44="",AL44=0),"",AM44/AL44)</f>
        <v>0</v>
      </c>
      <c r="AO44" s="32">
        <f>IF(AN44="","",AN44+ROW()/1000000)</f>
        <v>0</v>
      </c>
      <c r="AP44" s="17">
        <f>IF(Lists!$E44="","",Lists!$E44)</f>
        <v>0</v>
      </c>
      <c r="AQ44" s="23">
        <f>IF(AP44="","",COUNTIF(Performance!$G$5:$G$404,AP44))</f>
        <v>0</v>
      </c>
      <c r="AR44" s="23">
        <f>IF(AP44="","",SUMIFS(Performance!$O$5:$O$404,Performance!$G$5:$G$404,AP44))</f>
        <v>0</v>
      </c>
      <c r="AS44" s="23">
        <f>IF(AP44="","",SUMIFS(Performance!$Z$5:$Z$404,Performance!$G$5:$G$404,AP44))</f>
        <v>0</v>
      </c>
      <c r="AT44" s="24">
        <f>IF(OR(AR44="",AR44=0),"",AS44/AR44)</f>
        <v>0</v>
      </c>
      <c r="AU44" s="32">
        <f>IF(AQ44=0,"",IF(AT44="","",AT44+ROW()/1000000))</f>
        <v>0</v>
      </c>
      <c r="AV44" s="17">
        <f>IF(ROW()-4&gt;7,"",TEXT(DATE(2024,1,ROW()-4),"ddd"))</f>
        <v>0</v>
      </c>
      <c r="AW44" s="23">
        <f>IF(AV44="","",COUNTIF(Performance!$N$5:$N$404,AV44))</f>
        <v>0</v>
      </c>
      <c r="AX44" s="23">
        <f>IF(AV44="","",SUMIFS(Performance!$O$5:$O$404,Performance!$N$5:$N$404,AV44))</f>
        <v>0</v>
      </c>
      <c r="AY44" s="23">
        <f>IF(AV44="","",SUMIFS(Performance!$Z$5:$Z$404,Performance!$N$5:$N$404,AV44))</f>
        <v>0</v>
      </c>
      <c r="AZ44" s="24">
        <f>IF(OR(AX44="",AX44=0),"",AY44/AX44)</f>
        <v>0</v>
      </c>
      <c r="BA44" s="32">
        <f>IF(AW44=0,"",IF(AZ44="","",AZ44+ROW()/1000000))</f>
        <v>0</v>
      </c>
      <c r="BB44" s="17">
        <f>IF(Lists!$AL44="","",Lists!$AL44)</f>
        <v>0</v>
      </c>
      <c r="BC44" s="23">
        <f>IF(BB44="","",COUNTIF(Performance!$M$5:$M$404,BB44))</f>
        <v>0</v>
      </c>
      <c r="BD44" s="23">
        <f>IF(BB44="","",SUMIFS(Performance!$O$5:$O$404,Performance!$M$5:$M$404,BB44))</f>
        <v>0</v>
      </c>
      <c r="BE44" s="23">
        <f>IF(BB44="","",SUMIFS(Performance!$Z$5:$Z$404,Performance!$M$5:$M$404,BB44))</f>
        <v>0</v>
      </c>
      <c r="BF44" s="24">
        <f>IF(OR(BD44="",BD44=0),"",BE44/BD44)</f>
        <v>0</v>
      </c>
      <c r="BG44" s="32">
        <f>IF(BC44=0,"",IF(BF44="","",BF44+ROW()/1000000))</f>
        <v>0</v>
      </c>
      <c r="BH44" s="17">
        <f>IF(Performance!$C$44="","",Performance!$C$44)</f>
        <v>0</v>
      </c>
      <c r="BI44" s="17">
        <f>IF(Performance!$F$44="","",Performance!$F$44)</f>
        <v>0</v>
      </c>
      <c r="BJ44" s="17">
        <f>IF(Performance!$H$44="","",Performance!$H$44)</f>
        <v>0</v>
      </c>
      <c r="BK44" s="16">
        <f>IF(Performance!$D$44="","",Performance!$D$44)</f>
        <v>0</v>
      </c>
      <c r="BL44" s="17">
        <f>IF(Performance!$E$44="","",Performance!$E$44)</f>
        <v>0</v>
      </c>
      <c r="BM44" s="23">
        <f>IF(Performance!$O$44="","",Performance!$O$44)</f>
        <v>0</v>
      </c>
      <c r="BN44" s="24">
        <f>IF(Performance!$AA$44="","",Performance!$AA$44)</f>
        <v>0</v>
      </c>
      <c r="BO44" s="32">
        <f>IF(BH44="","",IF(BK44="","",IF(OR(BK44&lt;DashStart,BK44&gt;DashEnd),"",IF(BN44="","",BN44+ROW()/1000000))))</f>
        <v>0</v>
      </c>
      <c r="BP44" s="32">
        <f>IF(BM44="","",IF(BK44="","",IF(OR(BK44&lt;DashStart,BK44&gt;DashEnd),"",BM44+ROW()/1000000)))</f>
        <v>0</v>
      </c>
      <c r="BQ44" s="32">
        <f>IF(BH44="","",IF(BK44="","",IF(YEAR(BK44)&lt;&gt;PlanYear,"",IF(BN44="","",BN44+ROW()/1000000))))</f>
        <v>0</v>
      </c>
      <c r="BR44" s="32">
        <f>IF(BH44="","",IF(BK44="","",IF(OR(BK44&lt;RepFrom,BK44&gt;RepTo),"",IF(BN44="","",BN44+ROW()/1000000))))</f>
        <v>0</v>
      </c>
      <c r="BS44" s="32">
        <f>IF(BM44="","",IF(BK44="","",IF(YEAR(BK44)&lt;&gt;PlanYear,"",BM44+ROW()/1000000)))</f>
        <v>0</v>
      </c>
      <c r="BT44" s="17">
        <f>IF(Lists!$F44="","",Lists!$F44)</f>
        <v>0</v>
      </c>
      <c r="BU44" s="23">
        <f>IF(BT44="","",COUNTIF('Content Calendar'!$X$5:$X$604,BT44))</f>
        <v>0</v>
      </c>
      <c r="BV44" s="23">
        <f>IF(BT44="","",COUNTIFS('Content Calendar'!$X$5:$X$604,BT44,'Content Calendar'!$B$5:$B$604,"&gt;="&amp;DashStart,'Content Calendar'!$B$5:$B$604,"&lt;="&amp;DashEnd))</f>
        <v>0</v>
      </c>
      <c r="BW44" s="17">
        <f>IF(Team!$B$44="","",Team!$B$44)</f>
        <v>0</v>
      </c>
      <c r="BX44" s="23">
        <f>IF(BW44="","",COUNTIF('Content Calendar'!$W$5:$W$604,BW44))</f>
        <v>0</v>
      </c>
      <c r="BY44" s="23">
        <f>IF(BW44="","",COUNTIFS('Content Calendar'!$W$5:$W$604,BW44,'Content Calendar'!$X$5:$X$604,"&lt;&gt;Published"))</f>
        <v>0</v>
      </c>
      <c r="BZ44" s="23">
        <f>IF(BW44="","",COUNTIFS(Tasks!$C$5:$C$64,BW44,Tasks!$G$5:$G$64,"&lt;&gt;Complete"))</f>
        <v>0</v>
      </c>
      <c r="CA44" s="17">
        <f>IF(Campaigns!$B$44="","",Campaigns!$B$44)</f>
        <v>0</v>
      </c>
      <c r="CB44" s="25">
        <f>IF(Campaigns!$T$44="","",Campaigns!$T$44)</f>
        <v>0</v>
      </c>
      <c r="CC44" s="25">
        <f>IF(Campaigns!$Q$44="","",Campaigns!$Q$44)</f>
        <v>0</v>
      </c>
      <c r="CD44" s="23">
        <f>IF(Campaigns!$Y$44="","",Campaigns!$Y$44)</f>
        <v>0</v>
      </c>
      <c r="CE44" s="32">
        <f>IF(CA44="","",IF(N(CB44)&lt;=0,"",N(CB44)+ROW()/1000000))</f>
        <v>0</v>
      </c>
      <c r="CF44" s="17">
        <f>IF(Accounts!$C$44="","",Accounts!$C$44)</f>
        <v>0</v>
      </c>
      <c r="CG44" s="17">
        <f>IF(Accounts!$B$44="","",Accounts!$B$44)</f>
        <v>0</v>
      </c>
      <c r="CH44" s="23">
        <f>IF(Accounts!$J$44="","",Accounts!$J$44)</f>
        <v>0</v>
      </c>
      <c r="CI44" s="23">
        <f>IF(CF44="","",SUMIFS(Analytics!$X$5:$X$154,Analytics!$E$5:$E$154,CF44,Analytics!$B$5:$B$154,"&gt;="&amp;DashStart,Analytics!$B$5:$B$154,"&lt;="&amp;DashEnd))</f>
        <v>0</v>
      </c>
      <c r="CJ44" s="32">
        <f>IF(CH44="","",IF(CH44=0,"",CH44+ROW()/1000000))</f>
        <v>0</v>
      </c>
    </row>
    <row r="45" spans="1:88">
      <c r="A45" s="16">
        <f>IF(ROW()-4&gt;12,"",DATE(PlanYear,ROW()-4,1))</f>
        <v>0</v>
      </c>
      <c r="B45" s="16">
        <f>IF(A45="","",EOMONTH(A45,0))</f>
        <v>0</v>
      </c>
      <c r="C45" s="17">
        <f>IF(A45="","",TEXT(A45,"yyyy-mm"))</f>
        <v>0</v>
      </c>
      <c r="D45" s="17">
        <f>IF(A45="","",TEXT(A45,"mmm"))</f>
        <v>0</v>
      </c>
      <c r="E45" s="23">
        <f>IF(C45="","",COUNTIFS('Content Calendar'!$D$5:$D$604,C45))</f>
        <v>0</v>
      </c>
      <c r="F45" s="23">
        <f>IF(C45="","",COUNTIFS('Content Calendar'!$D$5:$D$604,C45,'Content Calendar'!$X$5:$X$604,"Published"))</f>
        <v>0</v>
      </c>
      <c r="G45" s="23">
        <f>IF(C45="","",SUMIFS(Analytics!$J$5:$J$154,Analytics!$C$5:$C$154,C45))</f>
        <v>0</v>
      </c>
      <c r="H45" s="23">
        <f>IF(C45="","",SUMIFS(Analytics!$K$5:$K$154,Analytics!$C$5:$C$154,C45))</f>
        <v>0</v>
      </c>
      <c r="I45" s="23">
        <f>IF(C45="","",SUMIFS(Analytics!$L$5:$L$154,Analytics!$C$5:$C$154,C45))</f>
        <v>0</v>
      </c>
      <c r="J45" s="24">
        <f>IF(OR(G45="",G45=0),"",I45/G45)</f>
        <v>0</v>
      </c>
      <c r="K45" s="23">
        <f>IF(C45="","",SUMIFS(Analytics!$G$5:$G$154,Analytics!$C$5:$C$154,C45))</f>
        <v>0</v>
      </c>
      <c r="L45" s="23">
        <f>IF(C45="","",SUMIFS(Analytics!$X$5:$X$154,Analytics!$C$5:$C$154,C45))</f>
        <v>0</v>
      </c>
      <c r="M45" s="23">
        <f>IF(C45="","",SUMIFS(Analytics!$R$5:$R$154,Analytics!$C$5:$C$154,C45))</f>
        <v>0</v>
      </c>
      <c r="N45" s="23">
        <f>IF(C45="","",SUMIFS(Analytics!$S$5:$S$154,Analytics!$C$5:$C$154,C45))</f>
        <v>0</v>
      </c>
      <c r="O45" s="23">
        <f>IF(C45="","",SUMIFS(Analytics!$T$5:$T$154,Analytics!$C$5:$C$154,C45))</f>
        <v>0</v>
      </c>
      <c r="P45" s="25">
        <f>IF(C45="","",SUMIFS(Analytics!$U$5:$U$154,Analytics!$C$5:$C$154,C45))</f>
        <v>0</v>
      </c>
      <c r="Q45" s="25">
        <f>IF(C45="","",SUMIFS(Budget!$H$5:$H$64,Budget!$C$5:$C$64,C45))</f>
        <v>0</v>
      </c>
      <c r="R45" s="25">
        <f>IF(C45="","",P45-Q45)</f>
        <v>0</v>
      </c>
      <c r="S45" s="23">
        <f>IF(C45="","",MonthlyPostTarget)</f>
        <v>0</v>
      </c>
      <c r="T45" s="17">
        <f>IF(Lists!$C45="","",Lists!$C45)</f>
        <v>0</v>
      </c>
      <c r="U45" s="23">
        <f>IF(T45="","",COUNTIFS('Content Calendar'!$G$5:$G$604,T45,'Content Calendar'!$B$5:$B$604,"&gt;="&amp;DashStart,'Content Calendar'!$B$5:$B$604,"&lt;="&amp;DashEnd))</f>
        <v>0</v>
      </c>
      <c r="V45" s="23">
        <f>IF(T45="","",COUNTIFS('Content Calendar'!$G$5:$G$604,T45,'Content Calendar'!$X$5:$X$604,"Published",'Content Calendar'!$B$5:$B$604,"&gt;="&amp;DashStart,'Content Calendar'!$B$5:$B$604,"&lt;="&amp;DashEnd))</f>
        <v>0</v>
      </c>
      <c r="W45" s="23">
        <f>IF(T45="","",SUMIFS(Analytics!$J$5:$J$154,Analytics!$D$5:$D$154,T45,Analytics!$B$5:$B$154,"&gt;="&amp;DashStart,Analytics!$B$5:$B$154,"&lt;="&amp;DashEnd))</f>
        <v>0</v>
      </c>
      <c r="X45" s="23">
        <f>IF(T45="","",SUMIFS(Analytics!$L$5:$L$154,Analytics!$D$5:$D$154,T45,Analytics!$B$5:$B$154,"&gt;="&amp;DashStart,Analytics!$B$5:$B$154,"&lt;="&amp;DashEnd))</f>
        <v>0</v>
      </c>
      <c r="Y45" s="24">
        <f>IF(OR(W45="",W45=0),"",X45/W45)</f>
        <v>0</v>
      </c>
      <c r="Z45" s="23">
        <f>IF(T45="","",SUMIFS(Analytics!$G$5:$G$154,Analytics!$D$5:$D$154,T45,Analytics!$B$5:$B$154,"&gt;="&amp;DashStart,Analytics!$B$5:$B$154,"&lt;="&amp;DashEnd))</f>
        <v>0</v>
      </c>
      <c r="AA45" s="23">
        <f>IF(T45="","",SUMIFS(Analytics!$X$5:$X$154,Analytics!$D$5:$D$154,T45,Analytics!$B$5:$B$154,"&gt;="&amp;DashStart,Analytics!$B$5:$B$154,"&lt;="&amp;DashEnd))</f>
        <v>0</v>
      </c>
      <c r="AB45" s="23">
        <f>IF(T45="","",SUMIFS(Analytics!$R$5:$R$154,Analytics!$D$5:$D$154,T45,Analytics!$B$5:$B$154,"&gt;="&amp;DashStart,Analytics!$B$5:$B$154,"&lt;="&amp;DashEnd))</f>
        <v>0</v>
      </c>
      <c r="AC45" s="25">
        <f>IF(T45="","",SUMIFS(Analytics!$U$5:$U$154,Analytics!$D$5:$D$154,T45,Analytics!$B$5:$B$154,"&gt;="&amp;DashStart,Analytics!$B$5:$B$154,"&lt;="&amp;DashEnd))</f>
        <v>0</v>
      </c>
      <c r="AD45" s="23">
        <f>IF(T45="","",COUNTIFS('Content Calendar'!$G$5:$G$604,T45,'Content Calendar'!$B$5:$B$604,"&gt;="&amp;DATE(PlanYear,1,1),'Content Calendar'!$B$5:$B$604,"&lt;="&amp;DATE(PlanYear,12,31)))</f>
        <v>0</v>
      </c>
      <c r="AE45" s="23">
        <f>IF(T45="","",SUMIFS(Analytics!$J$5:$J$154,Analytics!$D$5:$D$154,T45))</f>
        <v>0</v>
      </c>
      <c r="AF45" s="23">
        <f>IF(T45="","",SUMIFS(Analytics!$L$5:$L$154,Analytics!$D$5:$D$154,T45))</f>
        <v>0</v>
      </c>
      <c r="AG45" s="24">
        <f>IF(OR(AE45="",AE45=0),"",AF45/AE45)</f>
        <v>0</v>
      </c>
      <c r="AH45" s="23">
        <f>IF(T45="","",SUMIFS(Analytics!$X$5:$X$154,Analytics!$D$5:$D$154,T45))</f>
        <v>0</v>
      </c>
      <c r="AI45" s="32">
        <f>IF(T45="","",IF(AE45=0,"",AE45+ROW()/1000000))</f>
        <v>0</v>
      </c>
      <c r="AJ45" s="17">
        <f>IF('Content Pillars'!$B$45="","",'Content Pillars'!$B$45)</f>
        <v>0</v>
      </c>
      <c r="AK45" s="23">
        <f>IF(AJ45="","",COUNTIFS('Content Calendar'!$J$5:$J$604,AJ45,'Content Calendar'!$B$5:$B$604,"&gt;="&amp;DATE(PlanYear,1,1),'Content Calendar'!$B$5:$B$604,"&lt;="&amp;DATE(PlanYear,12,31)))</f>
        <v>0</v>
      </c>
      <c r="AL45" s="23">
        <f>IF(AJ45="","",SUMIFS(Performance!$O$5:$O$404,Performance!$H$5:$H$404,AJ45))</f>
        <v>0</v>
      </c>
      <c r="AM45" s="23">
        <f>IF(AJ45="","",SUMIFS(Performance!$Z$5:$Z$404,Performance!$H$5:$H$404,AJ45))</f>
        <v>0</v>
      </c>
      <c r="AN45" s="24">
        <f>IF(OR(AL45="",AL45=0),"",AM45/AL45)</f>
        <v>0</v>
      </c>
      <c r="AO45" s="32">
        <f>IF(AN45="","",AN45+ROW()/1000000)</f>
        <v>0</v>
      </c>
      <c r="AP45" s="17">
        <f>IF(Lists!$E45="","",Lists!$E45)</f>
        <v>0</v>
      </c>
      <c r="AQ45" s="23">
        <f>IF(AP45="","",COUNTIF(Performance!$G$5:$G$404,AP45))</f>
        <v>0</v>
      </c>
      <c r="AR45" s="23">
        <f>IF(AP45="","",SUMIFS(Performance!$O$5:$O$404,Performance!$G$5:$G$404,AP45))</f>
        <v>0</v>
      </c>
      <c r="AS45" s="23">
        <f>IF(AP45="","",SUMIFS(Performance!$Z$5:$Z$404,Performance!$G$5:$G$404,AP45))</f>
        <v>0</v>
      </c>
      <c r="AT45" s="24">
        <f>IF(OR(AR45="",AR45=0),"",AS45/AR45)</f>
        <v>0</v>
      </c>
      <c r="AU45" s="32">
        <f>IF(AQ45=0,"",IF(AT45="","",AT45+ROW()/1000000))</f>
        <v>0</v>
      </c>
      <c r="AV45" s="17">
        <f>IF(ROW()-4&gt;7,"",TEXT(DATE(2024,1,ROW()-4),"ddd"))</f>
        <v>0</v>
      </c>
      <c r="AW45" s="23">
        <f>IF(AV45="","",COUNTIF(Performance!$N$5:$N$404,AV45))</f>
        <v>0</v>
      </c>
      <c r="AX45" s="23">
        <f>IF(AV45="","",SUMIFS(Performance!$O$5:$O$404,Performance!$N$5:$N$404,AV45))</f>
        <v>0</v>
      </c>
      <c r="AY45" s="23">
        <f>IF(AV45="","",SUMIFS(Performance!$Z$5:$Z$404,Performance!$N$5:$N$404,AV45))</f>
        <v>0</v>
      </c>
      <c r="AZ45" s="24">
        <f>IF(OR(AX45="",AX45=0),"",AY45/AX45)</f>
        <v>0</v>
      </c>
      <c r="BA45" s="32">
        <f>IF(AW45=0,"",IF(AZ45="","",AZ45+ROW()/1000000))</f>
        <v>0</v>
      </c>
      <c r="BB45" s="17">
        <f>IF(Lists!$AL45="","",Lists!$AL45)</f>
        <v>0</v>
      </c>
      <c r="BC45" s="23">
        <f>IF(BB45="","",COUNTIF(Performance!$M$5:$M$404,BB45))</f>
        <v>0</v>
      </c>
      <c r="BD45" s="23">
        <f>IF(BB45="","",SUMIFS(Performance!$O$5:$O$404,Performance!$M$5:$M$404,BB45))</f>
        <v>0</v>
      </c>
      <c r="BE45" s="23">
        <f>IF(BB45="","",SUMIFS(Performance!$Z$5:$Z$404,Performance!$M$5:$M$404,BB45))</f>
        <v>0</v>
      </c>
      <c r="BF45" s="24">
        <f>IF(OR(BD45="",BD45=0),"",BE45/BD45)</f>
        <v>0</v>
      </c>
      <c r="BG45" s="32">
        <f>IF(BC45=0,"",IF(BF45="","",BF45+ROW()/1000000))</f>
        <v>0</v>
      </c>
      <c r="BH45" s="17">
        <f>IF(Performance!$C$45="","",Performance!$C$45)</f>
        <v>0</v>
      </c>
      <c r="BI45" s="17">
        <f>IF(Performance!$F$45="","",Performance!$F$45)</f>
        <v>0</v>
      </c>
      <c r="BJ45" s="17">
        <f>IF(Performance!$H$45="","",Performance!$H$45)</f>
        <v>0</v>
      </c>
      <c r="BK45" s="16">
        <f>IF(Performance!$D$45="","",Performance!$D$45)</f>
        <v>0</v>
      </c>
      <c r="BL45" s="17">
        <f>IF(Performance!$E$45="","",Performance!$E$45)</f>
        <v>0</v>
      </c>
      <c r="BM45" s="23">
        <f>IF(Performance!$O$45="","",Performance!$O$45)</f>
        <v>0</v>
      </c>
      <c r="BN45" s="24">
        <f>IF(Performance!$AA$45="","",Performance!$AA$45)</f>
        <v>0</v>
      </c>
      <c r="BO45" s="32">
        <f>IF(BH45="","",IF(BK45="","",IF(OR(BK45&lt;DashStart,BK45&gt;DashEnd),"",IF(BN45="","",BN45+ROW()/1000000))))</f>
        <v>0</v>
      </c>
      <c r="BP45" s="32">
        <f>IF(BM45="","",IF(BK45="","",IF(OR(BK45&lt;DashStart,BK45&gt;DashEnd),"",BM45+ROW()/1000000)))</f>
        <v>0</v>
      </c>
      <c r="BQ45" s="32">
        <f>IF(BH45="","",IF(BK45="","",IF(YEAR(BK45)&lt;&gt;PlanYear,"",IF(BN45="","",BN45+ROW()/1000000))))</f>
        <v>0</v>
      </c>
      <c r="BR45" s="32">
        <f>IF(BH45="","",IF(BK45="","",IF(OR(BK45&lt;RepFrom,BK45&gt;RepTo),"",IF(BN45="","",BN45+ROW()/1000000))))</f>
        <v>0</v>
      </c>
      <c r="BS45" s="32">
        <f>IF(BM45="","",IF(BK45="","",IF(YEAR(BK45)&lt;&gt;PlanYear,"",BM45+ROW()/1000000)))</f>
        <v>0</v>
      </c>
      <c r="BT45" s="17">
        <f>IF(Lists!$F45="","",Lists!$F45)</f>
        <v>0</v>
      </c>
      <c r="BU45" s="23">
        <f>IF(BT45="","",COUNTIF('Content Calendar'!$X$5:$X$604,BT45))</f>
        <v>0</v>
      </c>
      <c r="BV45" s="23">
        <f>IF(BT45="","",COUNTIFS('Content Calendar'!$X$5:$X$604,BT45,'Content Calendar'!$B$5:$B$604,"&gt;="&amp;DashStart,'Content Calendar'!$B$5:$B$604,"&lt;="&amp;DashEnd))</f>
        <v>0</v>
      </c>
      <c r="BW45" s="17">
        <f>IF(Team!$B$45="","",Team!$B$45)</f>
        <v>0</v>
      </c>
      <c r="BX45" s="23">
        <f>IF(BW45="","",COUNTIF('Content Calendar'!$W$5:$W$604,BW45))</f>
        <v>0</v>
      </c>
      <c r="BY45" s="23">
        <f>IF(BW45="","",COUNTIFS('Content Calendar'!$W$5:$W$604,BW45,'Content Calendar'!$X$5:$X$604,"&lt;&gt;Published"))</f>
        <v>0</v>
      </c>
      <c r="BZ45" s="23">
        <f>IF(BW45="","",COUNTIFS(Tasks!$C$5:$C$64,BW45,Tasks!$G$5:$G$64,"&lt;&gt;Complete"))</f>
        <v>0</v>
      </c>
      <c r="CA45" s="17">
        <f>IF(Campaigns!$B$45="","",Campaigns!$B$45)</f>
        <v>0</v>
      </c>
      <c r="CB45" s="25">
        <f>IF(Campaigns!$T$45="","",Campaigns!$T$45)</f>
        <v>0</v>
      </c>
      <c r="CC45" s="25">
        <f>IF(Campaigns!$Q$45="","",Campaigns!$Q$45)</f>
        <v>0</v>
      </c>
      <c r="CD45" s="23">
        <f>IF(Campaigns!$Y$45="","",Campaigns!$Y$45)</f>
        <v>0</v>
      </c>
      <c r="CE45" s="32">
        <f>IF(CA45="","",IF(N(CB45)&lt;=0,"",N(CB45)+ROW()/1000000))</f>
        <v>0</v>
      </c>
      <c r="CF45" s="17">
        <f>IF(Accounts!$C$45="","",Accounts!$C$45)</f>
        <v>0</v>
      </c>
      <c r="CG45" s="17">
        <f>IF(Accounts!$B$45="","",Accounts!$B$45)</f>
        <v>0</v>
      </c>
      <c r="CH45" s="23">
        <f>IF(Accounts!$J$45="","",Accounts!$J$45)</f>
        <v>0</v>
      </c>
      <c r="CI45" s="23">
        <f>IF(CF45="","",SUMIFS(Analytics!$X$5:$X$154,Analytics!$E$5:$E$154,CF45,Analytics!$B$5:$B$154,"&gt;="&amp;DashStart,Analytics!$B$5:$B$154,"&lt;="&amp;DashEnd))</f>
        <v>0</v>
      </c>
      <c r="CJ45" s="32">
        <f>IF(CH45="","",IF(CH45=0,"",CH45+ROW()/1000000))</f>
        <v>0</v>
      </c>
    </row>
    <row r="46" spans="1:88">
      <c r="A46" s="16">
        <f>IF(ROW()-4&gt;12,"",DATE(PlanYear,ROW()-4,1))</f>
        <v>0</v>
      </c>
      <c r="B46" s="16">
        <f>IF(A46="","",EOMONTH(A46,0))</f>
        <v>0</v>
      </c>
      <c r="C46" s="17">
        <f>IF(A46="","",TEXT(A46,"yyyy-mm"))</f>
        <v>0</v>
      </c>
      <c r="D46" s="17">
        <f>IF(A46="","",TEXT(A46,"mmm"))</f>
        <v>0</v>
      </c>
      <c r="E46" s="23">
        <f>IF(C46="","",COUNTIFS('Content Calendar'!$D$5:$D$604,C46))</f>
        <v>0</v>
      </c>
      <c r="F46" s="23">
        <f>IF(C46="","",COUNTIFS('Content Calendar'!$D$5:$D$604,C46,'Content Calendar'!$X$5:$X$604,"Published"))</f>
        <v>0</v>
      </c>
      <c r="G46" s="23">
        <f>IF(C46="","",SUMIFS(Analytics!$J$5:$J$154,Analytics!$C$5:$C$154,C46))</f>
        <v>0</v>
      </c>
      <c r="H46" s="23">
        <f>IF(C46="","",SUMIFS(Analytics!$K$5:$K$154,Analytics!$C$5:$C$154,C46))</f>
        <v>0</v>
      </c>
      <c r="I46" s="23">
        <f>IF(C46="","",SUMIFS(Analytics!$L$5:$L$154,Analytics!$C$5:$C$154,C46))</f>
        <v>0</v>
      </c>
      <c r="J46" s="24">
        <f>IF(OR(G46="",G46=0),"",I46/G46)</f>
        <v>0</v>
      </c>
      <c r="K46" s="23">
        <f>IF(C46="","",SUMIFS(Analytics!$G$5:$G$154,Analytics!$C$5:$C$154,C46))</f>
        <v>0</v>
      </c>
      <c r="L46" s="23">
        <f>IF(C46="","",SUMIFS(Analytics!$X$5:$X$154,Analytics!$C$5:$C$154,C46))</f>
        <v>0</v>
      </c>
      <c r="M46" s="23">
        <f>IF(C46="","",SUMIFS(Analytics!$R$5:$R$154,Analytics!$C$5:$C$154,C46))</f>
        <v>0</v>
      </c>
      <c r="N46" s="23">
        <f>IF(C46="","",SUMIFS(Analytics!$S$5:$S$154,Analytics!$C$5:$C$154,C46))</f>
        <v>0</v>
      </c>
      <c r="O46" s="23">
        <f>IF(C46="","",SUMIFS(Analytics!$T$5:$T$154,Analytics!$C$5:$C$154,C46))</f>
        <v>0</v>
      </c>
      <c r="P46" s="25">
        <f>IF(C46="","",SUMIFS(Analytics!$U$5:$U$154,Analytics!$C$5:$C$154,C46))</f>
        <v>0</v>
      </c>
      <c r="Q46" s="25">
        <f>IF(C46="","",SUMIFS(Budget!$H$5:$H$64,Budget!$C$5:$C$64,C46))</f>
        <v>0</v>
      </c>
      <c r="R46" s="25">
        <f>IF(C46="","",P46-Q46)</f>
        <v>0</v>
      </c>
      <c r="S46" s="23">
        <f>IF(C46="","",MonthlyPostTarget)</f>
        <v>0</v>
      </c>
      <c r="T46" s="17">
        <f>IF(Lists!$C46="","",Lists!$C46)</f>
        <v>0</v>
      </c>
      <c r="U46" s="23">
        <f>IF(T46="","",COUNTIFS('Content Calendar'!$G$5:$G$604,T46,'Content Calendar'!$B$5:$B$604,"&gt;="&amp;DashStart,'Content Calendar'!$B$5:$B$604,"&lt;="&amp;DashEnd))</f>
        <v>0</v>
      </c>
      <c r="V46" s="23">
        <f>IF(T46="","",COUNTIFS('Content Calendar'!$G$5:$G$604,T46,'Content Calendar'!$X$5:$X$604,"Published",'Content Calendar'!$B$5:$B$604,"&gt;="&amp;DashStart,'Content Calendar'!$B$5:$B$604,"&lt;="&amp;DashEnd))</f>
        <v>0</v>
      </c>
      <c r="W46" s="23">
        <f>IF(T46="","",SUMIFS(Analytics!$J$5:$J$154,Analytics!$D$5:$D$154,T46,Analytics!$B$5:$B$154,"&gt;="&amp;DashStart,Analytics!$B$5:$B$154,"&lt;="&amp;DashEnd))</f>
        <v>0</v>
      </c>
      <c r="X46" s="23">
        <f>IF(T46="","",SUMIFS(Analytics!$L$5:$L$154,Analytics!$D$5:$D$154,T46,Analytics!$B$5:$B$154,"&gt;="&amp;DashStart,Analytics!$B$5:$B$154,"&lt;="&amp;DashEnd))</f>
        <v>0</v>
      </c>
      <c r="Y46" s="24">
        <f>IF(OR(W46="",W46=0),"",X46/W46)</f>
        <v>0</v>
      </c>
      <c r="Z46" s="23">
        <f>IF(T46="","",SUMIFS(Analytics!$G$5:$G$154,Analytics!$D$5:$D$154,T46,Analytics!$B$5:$B$154,"&gt;="&amp;DashStart,Analytics!$B$5:$B$154,"&lt;="&amp;DashEnd))</f>
        <v>0</v>
      </c>
      <c r="AA46" s="23">
        <f>IF(T46="","",SUMIFS(Analytics!$X$5:$X$154,Analytics!$D$5:$D$154,T46,Analytics!$B$5:$B$154,"&gt;="&amp;DashStart,Analytics!$B$5:$B$154,"&lt;="&amp;DashEnd))</f>
        <v>0</v>
      </c>
      <c r="AB46" s="23">
        <f>IF(T46="","",SUMIFS(Analytics!$R$5:$R$154,Analytics!$D$5:$D$154,T46,Analytics!$B$5:$B$154,"&gt;="&amp;DashStart,Analytics!$B$5:$B$154,"&lt;="&amp;DashEnd))</f>
        <v>0</v>
      </c>
      <c r="AC46" s="25">
        <f>IF(T46="","",SUMIFS(Analytics!$U$5:$U$154,Analytics!$D$5:$D$154,T46,Analytics!$B$5:$B$154,"&gt;="&amp;DashStart,Analytics!$B$5:$B$154,"&lt;="&amp;DashEnd))</f>
        <v>0</v>
      </c>
      <c r="AD46" s="23">
        <f>IF(T46="","",COUNTIFS('Content Calendar'!$G$5:$G$604,T46,'Content Calendar'!$B$5:$B$604,"&gt;="&amp;DATE(PlanYear,1,1),'Content Calendar'!$B$5:$B$604,"&lt;="&amp;DATE(PlanYear,12,31)))</f>
        <v>0</v>
      </c>
      <c r="AE46" s="23">
        <f>IF(T46="","",SUMIFS(Analytics!$J$5:$J$154,Analytics!$D$5:$D$154,T46))</f>
        <v>0</v>
      </c>
      <c r="AF46" s="23">
        <f>IF(T46="","",SUMIFS(Analytics!$L$5:$L$154,Analytics!$D$5:$D$154,T46))</f>
        <v>0</v>
      </c>
      <c r="AG46" s="24">
        <f>IF(OR(AE46="",AE46=0),"",AF46/AE46)</f>
        <v>0</v>
      </c>
      <c r="AH46" s="23">
        <f>IF(T46="","",SUMIFS(Analytics!$X$5:$X$154,Analytics!$D$5:$D$154,T46))</f>
        <v>0</v>
      </c>
      <c r="AI46" s="32">
        <f>IF(T46="","",IF(AE46=0,"",AE46+ROW()/1000000))</f>
        <v>0</v>
      </c>
      <c r="AJ46" s="17">
        <f>IF('Content Pillars'!$B$46="","",'Content Pillars'!$B$46)</f>
        <v>0</v>
      </c>
      <c r="AK46" s="23">
        <f>IF(AJ46="","",COUNTIFS('Content Calendar'!$J$5:$J$604,AJ46,'Content Calendar'!$B$5:$B$604,"&gt;="&amp;DATE(PlanYear,1,1),'Content Calendar'!$B$5:$B$604,"&lt;="&amp;DATE(PlanYear,12,31)))</f>
        <v>0</v>
      </c>
      <c r="AL46" s="23">
        <f>IF(AJ46="","",SUMIFS(Performance!$O$5:$O$404,Performance!$H$5:$H$404,AJ46))</f>
        <v>0</v>
      </c>
      <c r="AM46" s="23">
        <f>IF(AJ46="","",SUMIFS(Performance!$Z$5:$Z$404,Performance!$H$5:$H$404,AJ46))</f>
        <v>0</v>
      </c>
      <c r="AN46" s="24">
        <f>IF(OR(AL46="",AL46=0),"",AM46/AL46)</f>
        <v>0</v>
      </c>
      <c r="AO46" s="32">
        <f>IF(AN46="","",AN46+ROW()/1000000)</f>
        <v>0</v>
      </c>
      <c r="AP46" s="17">
        <f>IF(Lists!$E46="","",Lists!$E46)</f>
        <v>0</v>
      </c>
      <c r="AQ46" s="23">
        <f>IF(AP46="","",COUNTIF(Performance!$G$5:$G$404,AP46))</f>
        <v>0</v>
      </c>
      <c r="AR46" s="23">
        <f>IF(AP46="","",SUMIFS(Performance!$O$5:$O$404,Performance!$G$5:$G$404,AP46))</f>
        <v>0</v>
      </c>
      <c r="AS46" s="23">
        <f>IF(AP46="","",SUMIFS(Performance!$Z$5:$Z$404,Performance!$G$5:$G$404,AP46))</f>
        <v>0</v>
      </c>
      <c r="AT46" s="24">
        <f>IF(OR(AR46="",AR46=0),"",AS46/AR46)</f>
        <v>0</v>
      </c>
      <c r="AU46" s="32">
        <f>IF(AQ46=0,"",IF(AT46="","",AT46+ROW()/1000000))</f>
        <v>0</v>
      </c>
      <c r="AV46" s="17">
        <f>IF(ROW()-4&gt;7,"",TEXT(DATE(2024,1,ROW()-4),"ddd"))</f>
        <v>0</v>
      </c>
      <c r="AW46" s="23">
        <f>IF(AV46="","",COUNTIF(Performance!$N$5:$N$404,AV46))</f>
        <v>0</v>
      </c>
      <c r="AX46" s="23">
        <f>IF(AV46="","",SUMIFS(Performance!$O$5:$O$404,Performance!$N$5:$N$404,AV46))</f>
        <v>0</v>
      </c>
      <c r="AY46" s="23">
        <f>IF(AV46="","",SUMIFS(Performance!$Z$5:$Z$404,Performance!$N$5:$N$404,AV46))</f>
        <v>0</v>
      </c>
      <c r="AZ46" s="24">
        <f>IF(OR(AX46="",AX46=0),"",AY46/AX46)</f>
        <v>0</v>
      </c>
      <c r="BA46" s="32">
        <f>IF(AW46=0,"",IF(AZ46="","",AZ46+ROW()/1000000))</f>
        <v>0</v>
      </c>
      <c r="BB46" s="17">
        <f>IF(Lists!$AL46="","",Lists!$AL46)</f>
        <v>0</v>
      </c>
      <c r="BC46" s="23">
        <f>IF(BB46="","",COUNTIF(Performance!$M$5:$M$404,BB46))</f>
        <v>0</v>
      </c>
      <c r="BD46" s="23">
        <f>IF(BB46="","",SUMIFS(Performance!$O$5:$O$404,Performance!$M$5:$M$404,BB46))</f>
        <v>0</v>
      </c>
      <c r="BE46" s="23">
        <f>IF(BB46="","",SUMIFS(Performance!$Z$5:$Z$404,Performance!$M$5:$M$404,BB46))</f>
        <v>0</v>
      </c>
      <c r="BF46" s="24">
        <f>IF(OR(BD46="",BD46=0),"",BE46/BD46)</f>
        <v>0</v>
      </c>
      <c r="BG46" s="32">
        <f>IF(BC46=0,"",IF(BF46="","",BF46+ROW()/1000000))</f>
        <v>0</v>
      </c>
      <c r="BH46" s="17">
        <f>IF(Performance!$C$46="","",Performance!$C$46)</f>
        <v>0</v>
      </c>
      <c r="BI46" s="17">
        <f>IF(Performance!$F$46="","",Performance!$F$46)</f>
        <v>0</v>
      </c>
      <c r="BJ46" s="17">
        <f>IF(Performance!$H$46="","",Performance!$H$46)</f>
        <v>0</v>
      </c>
      <c r="BK46" s="16">
        <f>IF(Performance!$D$46="","",Performance!$D$46)</f>
        <v>0</v>
      </c>
      <c r="BL46" s="17">
        <f>IF(Performance!$E$46="","",Performance!$E$46)</f>
        <v>0</v>
      </c>
      <c r="BM46" s="23">
        <f>IF(Performance!$O$46="","",Performance!$O$46)</f>
        <v>0</v>
      </c>
      <c r="BN46" s="24">
        <f>IF(Performance!$AA$46="","",Performance!$AA$46)</f>
        <v>0</v>
      </c>
      <c r="BO46" s="32">
        <f>IF(BH46="","",IF(BK46="","",IF(OR(BK46&lt;DashStart,BK46&gt;DashEnd),"",IF(BN46="","",BN46+ROW()/1000000))))</f>
        <v>0</v>
      </c>
      <c r="BP46" s="32">
        <f>IF(BM46="","",IF(BK46="","",IF(OR(BK46&lt;DashStart,BK46&gt;DashEnd),"",BM46+ROW()/1000000)))</f>
        <v>0</v>
      </c>
      <c r="BQ46" s="32">
        <f>IF(BH46="","",IF(BK46="","",IF(YEAR(BK46)&lt;&gt;PlanYear,"",IF(BN46="","",BN46+ROW()/1000000))))</f>
        <v>0</v>
      </c>
      <c r="BR46" s="32">
        <f>IF(BH46="","",IF(BK46="","",IF(OR(BK46&lt;RepFrom,BK46&gt;RepTo),"",IF(BN46="","",BN46+ROW()/1000000))))</f>
        <v>0</v>
      </c>
      <c r="BS46" s="32">
        <f>IF(BM46="","",IF(BK46="","",IF(YEAR(BK46)&lt;&gt;PlanYear,"",BM46+ROW()/1000000)))</f>
        <v>0</v>
      </c>
      <c r="BT46" s="17">
        <f>IF(Lists!$F46="","",Lists!$F46)</f>
        <v>0</v>
      </c>
      <c r="BU46" s="23">
        <f>IF(BT46="","",COUNTIF('Content Calendar'!$X$5:$X$604,BT46))</f>
        <v>0</v>
      </c>
      <c r="BV46" s="23">
        <f>IF(BT46="","",COUNTIFS('Content Calendar'!$X$5:$X$604,BT46,'Content Calendar'!$B$5:$B$604,"&gt;="&amp;DashStart,'Content Calendar'!$B$5:$B$604,"&lt;="&amp;DashEnd))</f>
        <v>0</v>
      </c>
      <c r="BW46" s="17">
        <f>IF(Team!$B$46="","",Team!$B$46)</f>
        <v>0</v>
      </c>
      <c r="BX46" s="23">
        <f>IF(BW46="","",COUNTIF('Content Calendar'!$W$5:$W$604,BW46))</f>
        <v>0</v>
      </c>
      <c r="BY46" s="23">
        <f>IF(BW46="","",COUNTIFS('Content Calendar'!$W$5:$W$604,BW46,'Content Calendar'!$X$5:$X$604,"&lt;&gt;Published"))</f>
        <v>0</v>
      </c>
      <c r="BZ46" s="23">
        <f>IF(BW46="","",COUNTIFS(Tasks!$C$5:$C$64,BW46,Tasks!$G$5:$G$64,"&lt;&gt;Complete"))</f>
        <v>0</v>
      </c>
      <c r="CA46" s="17">
        <f>IF(Campaigns!$B$46="","",Campaigns!$B$46)</f>
        <v>0</v>
      </c>
      <c r="CB46" s="25">
        <f>IF(Campaigns!$T$46="","",Campaigns!$T$46)</f>
        <v>0</v>
      </c>
      <c r="CC46" s="25">
        <f>IF(Campaigns!$Q$46="","",Campaigns!$Q$46)</f>
        <v>0</v>
      </c>
      <c r="CD46" s="23">
        <f>IF(Campaigns!$Y$46="","",Campaigns!$Y$46)</f>
        <v>0</v>
      </c>
      <c r="CE46" s="32">
        <f>IF(CA46="","",IF(N(CB46)&lt;=0,"",N(CB46)+ROW()/1000000))</f>
        <v>0</v>
      </c>
      <c r="CF46" s="17">
        <f>IF(Accounts!$C$46="","",Accounts!$C$46)</f>
        <v>0</v>
      </c>
      <c r="CG46" s="17">
        <f>IF(Accounts!$B$46="","",Accounts!$B$46)</f>
        <v>0</v>
      </c>
      <c r="CH46" s="23">
        <f>IF(Accounts!$J$46="","",Accounts!$J$46)</f>
        <v>0</v>
      </c>
      <c r="CI46" s="23">
        <f>IF(CF46="","",SUMIFS(Analytics!$X$5:$X$154,Analytics!$E$5:$E$154,CF46,Analytics!$B$5:$B$154,"&gt;="&amp;DashStart,Analytics!$B$5:$B$154,"&lt;="&amp;DashEnd))</f>
        <v>0</v>
      </c>
      <c r="CJ46" s="32">
        <f>IF(CH46="","",IF(CH46=0,"",CH46+ROW()/1000000))</f>
        <v>0</v>
      </c>
    </row>
    <row r="47" spans="1:88">
      <c r="A47" s="16">
        <f>IF(ROW()-4&gt;12,"",DATE(PlanYear,ROW()-4,1))</f>
        <v>0</v>
      </c>
      <c r="B47" s="16">
        <f>IF(A47="","",EOMONTH(A47,0))</f>
        <v>0</v>
      </c>
      <c r="C47" s="17">
        <f>IF(A47="","",TEXT(A47,"yyyy-mm"))</f>
        <v>0</v>
      </c>
      <c r="D47" s="17">
        <f>IF(A47="","",TEXT(A47,"mmm"))</f>
        <v>0</v>
      </c>
      <c r="E47" s="23">
        <f>IF(C47="","",COUNTIFS('Content Calendar'!$D$5:$D$604,C47))</f>
        <v>0</v>
      </c>
      <c r="F47" s="23">
        <f>IF(C47="","",COUNTIFS('Content Calendar'!$D$5:$D$604,C47,'Content Calendar'!$X$5:$X$604,"Published"))</f>
        <v>0</v>
      </c>
      <c r="G47" s="23">
        <f>IF(C47="","",SUMIFS(Analytics!$J$5:$J$154,Analytics!$C$5:$C$154,C47))</f>
        <v>0</v>
      </c>
      <c r="H47" s="23">
        <f>IF(C47="","",SUMIFS(Analytics!$K$5:$K$154,Analytics!$C$5:$C$154,C47))</f>
        <v>0</v>
      </c>
      <c r="I47" s="23">
        <f>IF(C47="","",SUMIFS(Analytics!$L$5:$L$154,Analytics!$C$5:$C$154,C47))</f>
        <v>0</v>
      </c>
      <c r="J47" s="24">
        <f>IF(OR(G47="",G47=0),"",I47/G47)</f>
        <v>0</v>
      </c>
      <c r="K47" s="23">
        <f>IF(C47="","",SUMIFS(Analytics!$G$5:$G$154,Analytics!$C$5:$C$154,C47))</f>
        <v>0</v>
      </c>
      <c r="L47" s="23">
        <f>IF(C47="","",SUMIFS(Analytics!$X$5:$X$154,Analytics!$C$5:$C$154,C47))</f>
        <v>0</v>
      </c>
      <c r="M47" s="23">
        <f>IF(C47="","",SUMIFS(Analytics!$R$5:$R$154,Analytics!$C$5:$C$154,C47))</f>
        <v>0</v>
      </c>
      <c r="N47" s="23">
        <f>IF(C47="","",SUMIFS(Analytics!$S$5:$S$154,Analytics!$C$5:$C$154,C47))</f>
        <v>0</v>
      </c>
      <c r="O47" s="23">
        <f>IF(C47="","",SUMIFS(Analytics!$T$5:$T$154,Analytics!$C$5:$C$154,C47))</f>
        <v>0</v>
      </c>
      <c r="P47" s="25">
        <f>IF(C47="","",SUMIFS(Analytics!$U$5:$U$154,Analytics!$C$5:$C$154,C47))</f>
        <v>0</v>
      </c>
      <c r="Q47" s="25">
        <f>IF(C47="","",SUMIFS(Budget!$H$5:$H$64,Budget!$C$5:$C$64,C47))</f>
        <v>0</v>
      </c>
      <c r="R47" s="25">
        <f>IF(C47="","",P47-Q47)</f>
        <v>0</v>
      </c>
      <c r="S47" s="23">
        <f>IF(C47="","",MonthlyPostTarget)</f>
        <v>0</v>
      </c>
      <c r="T47" s="17">
        <f>IF(Lists!$C47="","",Lists!$C47)</f>
        <v>0</v>
      </c>
      <c r="U47" s="23">
        <f>IF(T47="","",COUNTIFS('Content Calendar'!$G$5:$G$604,T47,'Content Calendar'!$B$5:$B$604,"&gt;="&amp;DashStart,'Content Calendar'!$B$5:$B$604,"&lt;="&amp;DashEnd))</f>
        <v>0</v>
      </c>
      <c r="V47" s="23">
        <f>IF(T47="","",COUNTIFS('Content Calendar'!$G$5:$G$604,T47,'Content Calendar'!$X$5:$X$604,"Published",'Content Calendar'!$B$5:$B$604,"&gt;="&amp;DashStart,'Content Calendar'!$B$5:$B$604,"&lt;="&amp;DashEnd))</f>
        <v>0</v>
      </c>
      <c r="W47" s="23">
        <f>IF(T47="","",SUMIFS(Analytics!$J$5:$J$154,Analytics!$D$5:$D$154,T47,Analytics!$B$5:$B$154,"&gt;="&amp;DashStart,Analytics!$B$5:$B$154,"&lt;="&amp;DashEnd))</f>
        <v>0</v>
      </c>
      <c r="X47" s="23">
        <f>IF(T47="","",SUMIFS(Analytics!$L$5:$L$154,Analytics!$D$5:$D$154,T47,Analytics!$B$5:$B$154,"&gt;="&amp;DashStart,Analytics!$B$5:$B$154,"&lt;="&amp;DashEnd))</f>
        <v>0</v>
      </c>
      <c r="Y47" s="24">
        <f>IF(OR(W47="",W47=0),"",X47/W47)</f>
        <v>0</v>
      </c>
      <c r="Z47" s="23">
        <f>IF(T47="","",SUMIFS(Analytics!$G$5:$G$154,Analytics!$D$5:$D$154,T47,Analytics!$B$5:$B$154,"&gt;="&amp;DashStart,Analytics!$B$5:$B$154,"&lt;="&amp;DashEnd))</f>
        <v>0</v>
      </c>
      <c r="AA47" s="23">
        <f>IF(T47="","",SUMIFS(Analytics!$X$5:$X$154,Analytics!$D$5:$D$154,T47,Analytics!$B$5:$B$154,"&gt;="&amp;DashStart,Analytics!$B$5:$B$154,"&lt;="&amp;DashEnd))</f>
        <v>0</v>
      </c>
      <c r="AB47" s="23">
        <f>IF(T47="","",SUMIFS(Analytics!$R$5:$R$154,Analytics!$D$5:$D$154,T47,Analytics!$B$5:$B$154,"&gt;="&amp;DashStart,Analytics!$B$5:$B$154,"&lt;="&amp;DashEnd))</f>
        <v>0</v>
      </c>
      <c r="AC47" s="25">
        <f>IF(T47="","",SUMIFS(Analytics!$U$5:$U$154,Analytics!$D$5:$D$154,T47,Analytics!$B$5:$B$154,"&gt;="&amp;DashStart,Analytics!$B$5:$B$154,"&lt;="&amp;DashEnd))</f>
        <v>0</v>
      </c>
      <c r="AD47" s="23">
        <f>IF(T47="","",COUNTIFS('Content Calendar'!$G$5:$G$604,T47,'Content Calendar'!$B$5:$B$604,"&gt;="&amp;DATE(PlanYear,1,1),'Content Calendar'!$B$5:$B$604,"&lt;="&amp;DATE(PlanYear,12,31)))</f>
        <v>0</v>
      </c>
      <c r="AE47" s="23">
        <f>IF(T47="","",SUMIFS(Analytics!$J$5:$J$154,Analytics!$D$5:$D$154,T47))</f>
        <v>0</v>
      </c>
      <c r="AF47" s="23">
        <f>IF(T47="","",SUMIFS(Analytics!$L$5:$L$154,Analytics!$D$5:$D$154,T47))</f>
        <v>0</v>
      </c>
      <c r="AG47" s="24">
        <f>IF(OR(AE47="",AE47=0),"",AF47/AE47)</f>
        <v>0</v>
      </c>
      <c r="AH47" s="23">
        <f>IF(T47="","",SUMIFS(Analytics!$X$5:$X$154,Analytics!$D$5:$D$154,T47))</f>
        <v>0</v>
      </c>
      <c r="AI47" s="32">
        <f>IF(T47="","",IF(AE47=0,"",AE47+ROW()/1000000))</f>
        <v>0</v>
      </c>
      <c r="AJ47" s="17">
        <f>IF('Content Pillars'!$B$47="","",'Content Pillars'!$B$47)</f>
        <v>0</v>
      </c>
      <c r="AK47" s="23">
        <f>IF(AJ47="","",COUNTIFS('Content Calendar'!$J$5:$J$604,AJ47,'Content Calendar'!$B$5:$B$604,"&gt;="&amp;DATE(PlanYear,1,1),'Content Calendar'!$B$5:$B$604,"&lt;="&amp;DATE(PlanYear,12,31)))</f>
        <v>0</v>
      </c>
      <c r="AL47" s="23">
        <f>IF(AJ47="","",SUMIFS(Performance!$O$5:$O$404,Performance!$H$5:$H$404,AJ47))</f>
        <v>0</v>
      </c>
      <c r="AM47" s="23">
        <f>IF(AJ47="","",SUMIFS(Performance!$Z$5:$Z$404,Performance!$H$5:$H$404,AJ47))</f>
        <v>0</v>
      </c>
      <c r="AN47" s="24">
        <f>IF(OR(AL47="",AL47=0),"",AM47/AL47)</f>
        <v>0</v>
      </c>
      <c r="AO47" s="32">
        <f>IF(AN47="","",AN47+ROW()/1000000)</f>
        <v>0</v>
      </c>
      <c r="AP47" s="17">
        <f>IF(Lists!$E47="","",Lists!$E47)</f>
        <v>0</v>
      </c>
      <c r="AQ47" s="23">
        <f>IF(AP47="","",COUNTIF(Performance!$G$5:$G$404,AP47))</f>
        <v>0</v>
      </c>
      <c r="AR47" s="23">
        <f>IF(AP47="","",SUMIFS(Performance!$O$5:$O$404,Performance!$G$5:$G$404,AP47))</f>
        <v>0</v>
      </c>
      <c r="AS47" s="23">
        <f>IF(AP47="","",SUMIFS(Performance!$Z$5:$Z$404,Performance!$G$5:$G$404,AP47))</f>
        <v>0</v>
      </c>
      <c r="AT47" s="24">
        <f>IF(OR(AR47="",AR47=0),"",AS47/AR47)</f>
        <v>0</v>
      </c>
      <c r="AU47" s="32">
        <f>IF(AQ47=0,"",IF(AT47="","",AT47+ROW()/1000000))</f>
        <v>0</v>
      </c>
      <c r="AV47" s="17">
        <f>IF(ROW()-4&gt;7,"",TEXT(DATE(2024,1,ROW()-4),"ddd"))</f>
        <v>0</v>
      </c>
      <c r="AW47" s="23">
        <f>IF(AV47="","",COUNTIF(Performance!$N$5:$N$404,AV47))</f>
        <v>0</v>
      </c>
      <c r="AX47" s="23">
        <f>IF(AV47="","",SUMIFS(Performance!$O$5:$O$404,Performance!$N$5:$N$404,AV47))</f>
        <v>0</v>
      </c>
      <c r="AY47" s="23">
        <f>IF(AV47="","",SUMIFS(Performance!$Z$5:$Z$404,Performance!$N$5:$N$404,AV47))</f>
        <v>0</v>
      </c>
      <c r="AZ47" s="24">
        <f>IF(OR(AX47="",AX47=0),"",AY47/AX47)</f>
        <v>0</v>
      </c>
      <c r="BA47" s="32">
        <f>IF(AW47=0,"",IF(AZ47="","",AZ47+ROW()/1000000))</f>
        <v>0</v>
      </c>
      <c r="BB47" s="17">
        <f>IF(Lists!$AL47="","",Lists!$AL47)</f>
        <v>0</v>
      </c>
      <c r="BC47" s="23">
        <f>IF(BB47="","",COUNTIF(Performance!$M$5:$M$404,BB47))</f>
        <v>0</v>
      </c>
      <c r="BD47" s="23">
        <f>IF(BB47="","",SUMIFS(Performance!$O$5:$O$404,Performance!$M$5:$M$404,BB47))</f>
        <v>0</v>
      </c>
      <c r="BE47" s="23">
        <f>IF(BB47="","",SUMIFS(Performance!$Z$5:$Z$404,Performance!$M$5:$M$404,BB47))</f>
        <v>0</v>
      </c>
      <c r="BF47" s="24">
        <f>IF(OR(BD47="",BD47=0),"",BE47/BD47)</f>
        <v>0</v>
      </c>
      <c r="BG47" s="32">
        <f>IF(BC47=0,"",IF(BF47="","",BF47+ROW()/1000000))</f>
        <v>0</v>
      </c>
      <c r="BH47" s="17">
        <f>IF(Performance!$C$47="","",Performance!$C$47)</f>
        <v>0</v>
      </c>
      <c r="BI47" s="17">
        <f>IF(Performance!$F$47="","",Performance!$F$47)</f>
        <v>0</v>
      </c>
      <c r="BJ47" s="17">
        <f>IF(Performance!$H$47="","",Performance!$H$47)</f>
        <v>0</v>
      </c>
      <c r="BK47" s="16">
        <f>IF(Performance!$D$47="","",Performance!$D$47)</f>
        <v>0</v>
      </c>
      <c r="BL47" s="17">
        <f>IF(Performance!$E$47="","",Performance!$E$47)</f>
        <v>0</v>
      </c>
      <c r="BM47" s="23">
        <f>IF(Performance!$O$47="","",Performance!$O$47)</f>
        <v>0</v>
      </c>
      <c r="BN47" s="24">
        <f>IF(Performance!$AA$47="","",Performance!$AA$47)</f>
        <v>0</v>
      </c>
      <c r="BO47" s="32">
        <f>IF(BH47="","",IF(BK47="","",IF(OR(BK47&lt;DashStart,BK47&gt;DashEnd),"",IF(BN47="","",BN47+ROW()/1000000))))</f>
        <v>0</v>
      </c>
      <c r="BP47" s="32">
        <f>IF(BM47="","",IF(BK47="","",IF(OR(BK47&lt;DashStart,BK47&gt;DashEnd),"",BM47+ROW()/1000000)))</f>
        <v>0</v>
      </c>
      <c r="BQ47" s="32">
        <f>IF(BH47="","",IF(BK47="","",IF(YEAR(BK47)&lt;&gt;PlanYear,"",IF(BN47="","",BN47+ROW()/1000000))))</f>
        <v>0</v>
      </c>
      <c r="BR47" s="32">
        <f>IF(BH47="","",IF(BK47="","",IF(OR(BK47&lt;RepFrom,BK47&gt;RepTo),"",IF(BN47="","",BN47+ROW()/1000000))))</f>
        <v>0</v>
      </c>
      <c r="BS47" s="32">
        <f>IF(BM47="","",IF(BK47="","",IF(YEAR(BK47)&lt;&gt;PlanYear,"",BM47+ROW()/1000000)))</f>
        <v>0</v>
      </c>
      <c r="BT47" s="17">
        <f>IF(Lists!$F47="","",Lists!$F47)</f>
        <v>0</v>
      </c>
      <c r="BU47" s="23">
        <f>IF(BT47="","",COUNTIF('Content Calendar'!$X$5:$X$604,BT47))</f>
        <v>0</v>
      </c>
      <c r="BV47" s="23">
        <f>IF(BT47="","",COUNTIFS('Content Calendar'!$X$5:$X$604,BT47,'Content Calendar'!$B$5:$B$604,"&gt;="&amp;DashStart,'Content Calendar'!$B$5:$B$604,"&lt;="&amp;DashEnd))</f>
        <v>0</v>
      </c>
      <c r="BW47" s="17">
        <f>IF(Team!$B$47="","",Team!$B$47)</f>
        <v>0</v>
      </c>
      <c r="BX47" s="23">
        <f>IF(BW47="","",COUNTIF('Content Calendar'!$W$5:$W$604,BW47))</f>
        <v>0</v>
      </c>
      <c r="BY47" s="23">
        <f>IF(BW47="","",COUNTIFS('Content Calendar'!$W$5:$W$604,BW47,'Content Calendar'!$X$5:$X$604,"&lt;&gt;Published"))</f>
        <v>0</v>
      </c>
      <c r="BZ47" s="23">
        <f>IF(BW47="","",COUNTIFS(Tasks!$C$5:$C$64,BW47,Tasks!$G$5:$G$64,"&lt;&gt;Complete"))</f>
        <v>0</v>
      </c>
      <c r="CA47" s="17">
        <f>IF(Campaigns!$B$47="","",Campaigns!$B$47)</f>
        <v>0</v>
      </c>
      <c r="CB47" s="25">
        <f>IF(Campaigns!$T$47="","",Campaigns!$T$47)</f>
        <v>0</v>
      </c>
      <c r="CC47" s="25">
        <f>IF(Campaigns!$Q$47="","",Campaigns!$Q$47)</f>
        <v>0</v>
      </c>
      <c r="CD47" s="23">
        <f>IF(Campaigns!$Y$47="","",Campaigns!$Y$47)</f>
        <v>0</v>
      </c>
      <c r="CE47" s="32">
        <f>IF(CA47="","",IF(N(CB47)&lt;=0,"",N(CB47)+ROW()/1000000))</f>
        <v>0</v>
      </c>
      <c r="CF47" s="17">
        <f>IF(Accounts!$C$47="","",Accounts!$C$47)</f>
        <v>0</v>
      </c>
      <c r="CG47" s="17">
        <f>IF(Accounts!$B$47="","",Accounts!$B$47)</f>
        <v>0</v>
      </c>
      <c r="CH47" s="23">
        <f>IF(Accounts!$J$47="","",Accounts!$J$47)</f>
        <v>0</v>
      </c>
      <c r="CI47" s="23">
        <f>IF(CF47="","",SUMIFS(Analytics!$X$5:$X$154,Analytics!$E$5:$E$154,CF47,Analytics!$B$5:$B$154,"&gt;="&amp;DashStart,Analytics!$B$5:$B$154,"&lt;="&amp;DashEnd))</f>
        <v>0</v>
      </c>
      <c r="CJ47" s="32">
        <f>IF(CH47="","",IF(CH47=0,"",CH47+ROW()/1000000))</f>
        <v>0</v>
      </c>
    </row>
    <row r="48" spans="1:88">
      <c r="A48" s="16">
        <f>IF(ROW()-4&gt;12,"",DATE(PlanYear,ROW()-4,1))</f>
        <v>0</v>
      </c>
      <c r="B48" s="16">
        <f>IF(A48="","",EOMONTH(A48,0))</f>
        <v>0</v>
      </c>
      <c r="C48" s="17">
        <f>IF(A48="","",TEXT(A48,"yyyy-mm"))</f>
        <v>0</v>
      </c>
      <c r="D48" s="17">
        <f>IF(A48="","",TEXT(A48,"mmm"))</f>
        <v>0</v>
      </c>
      <c r="E48" s="23">
        <f>IF(C48="","",COUNTIFS('Content Calendar'!$D$5:$D$604,C48))</f>
        <v>0</v>
      </c>
      <c r="F48" s="23">
        <f>IF(C48="","",COUNTIFS('Content Calendar'!$D$5:$D$604,C48,'Content Calendar'!$X$5:$X$604,"Published"))</f>
        <v>0</v>
      </c>
      <c r="G48" s="23">
        <f>IF(C48="","",SUMIFS(Analytics!$J$5:$J$154,Analytics!$C$5:$C$154,C48))</f>
        <v>0</v>
      </c>
      <c r="H48" s="23">
        <f>IF(C48="","",SUMIFS(Analytics!$K$5:$K$154,Analytics!$C$5:$C$154,C48))</f>
        <v>0</v>
      </c>
      <c r="I48" s="23">
        <f>IF(C48="","",SUMIFS(Analytics!$L$5:$L$154,Analytics!$C$5:$C$154,C48))</f>
        <v>0</v>
      </c>
      <c r="J48" s="24">
        <f>IF(OR(G48="",G48=0),"",I48/G48)</f>
        <v>0</v>
      </c>
      <c r="K48" s="23">
        <f>IF(C48="","",SUMIFS(Analytics!$G$5:$G$154,Analytics!$C$5:$C$154,C48))</f>
        <v>0</v>
      </c>
      <c r="L48" s="23">
        <f>IF(C48="","",SUMIFS(Analytics!$X$5:$X$154,Analytics!$C$5:$C$154,C48))</f>
        <v>0</v>
      </c>
      <c r="M48" s="23">
        <f>IF(C48="","",SUMIFS(Analytics!$R$5:$R$154,Analytics!$C$5:$C$154,C48))</f>
        <v>0</v>
      </c>
      <c r="N48" s="23">
        <f>IF(C48="","",SUMIFS(Analytics!$S$5:$S$154,Analytics!$C$5:$C$154,C48))</f>
        <v>0</v>
      </c>
      <c r="O48" s="23">
        <f>IF(C48="","",SUMIFS(Analytics!$T$5:$T$154,Analytics!$C$5:$C$154,C48))</f>
        <v>0</v>
      </c>
      <c r="P48" s="25">
        <f>IF(C48="","",SUMIFS(Analytics!$U$5:$U$154,Analytics!$C$5:$C$154,C48))</f>
        <v>0</v>
      </c>
      <c r="Q48" s="25">
        <f>IF(C48="","",SUMIFS(Budget!$H$5:$H$64,Budget!$C$5:$C$64,C48))</f>
        <v>0</v>
      </c>
      <c r="R48" s="25">
        <f>IF(C48="","",P48-Q48)</f>
        <v>0</v>
      </c>
      <c r="S48" s="23">
        <f>IF(C48="","",MonthlyPostTarget)</f>
        <v>0</v>
      </c>
      <c r="T48" s="17">
        <f>IF(Lists!$C48="","",Lists!$C48)</f>
        <v>0</v>
      </c>
      <c r="U48" s="23">
        <f>IF(T48="","",COUNTIFS('Content Calendar'!$G$5:$G$604,T48,'Content Calendar'!$B$5:$B$604,"&gt;="&amp;DashStart,'Content Calendar'!$B$5:$B$604,"&lt;="&amp;DashEnd))</f>
        <v>0</v>
      </c>
      <c r="V48" s="23">
        <f>IF(T48="","",COUNTIFS('Content Calendar'!$G$5:$G$604,T48,'Content Calendar'!$X$5:$X$604,"Published",'Content Calendar'!$B$5:$B$604,"&gt;="&amp;DashStart,'Content Calendar'!$B$5:$B$604,"&lt;="&amp;DashEnd))</f>
        <v>0</v>
      </c>
      <c r="W48" s="23">
        <f>IF(T48="","",SUMIFS(Analytics!$J$5:$J$154,Analytics!$D$5:$D$154,T48,Analytics!$B$5:$B$154,"&gt;="&amp;DashStart,Analytics!$B$5:$B$154,"&lt;="&amp;DashEnd))</f>
        <v>0</v>
      </c>
      <c r="X48" s="23">
        <f>IF(T48="","",SUMIFS(Analytics!$L$5:$L$154,Analytics!$D$5:$D$154,T48,Analytics!$B$5:$B$154,"&gt;="&amp;DashStart,Analytics!$B$5:$B$154,"&lt;="&amp;DashEnd))</f>
        <v>0</v>
      </c>
      <c r="Y48" s="24">
        <f>IF(OR(W48="",W48=0),"",X48/W48)</f>
        <v>0</v>
      </c>
      <c r="Z48" s="23">
        <f>IF(T48="","",SUMIFS(Analytics!$G$5:$G$154,Analytics!$D$5:$D$154,T48,Analytics!$B$5:$B$154,"&gt;="&amp;DashStart,Analytics!$B$5:$B$154,"&lt;="&amp;DashEnd))</f>
        <v>0</v>
      </c>
      <c r="AA48" s="23">
        <f>IF(T48="","",SUMIFS(Analytics!$X$5:$X$154,Analytics!$D$5:$D$154,T48,Analytics!$B$5:$B$154,"&gt;="&amp;DashStart,Analytics!$B$5:$B$154,"&lt;="&amp;DashEnd))</f>
        <v>0</v>
      </c>
      <c r="AB48" s="23">
        <f>IF(T48="","",SUMIFS(Analytics!$R$5:$R$154,Analytics!$D$5:$D$154,T48,Analytics!$B$5:$B$154,"&gt;="&amp;DashStart,Analytics!$B$5:$B$154,"&lt;="&amp;DashEnd))</f>
        <v>0</v>
      </c>
      <c r="AC48" s="25">
        <f>IF(T48="","",SUMIFS(Analytics!$U$5:$U$154,Analytics!$D$5:$D$154,T48,Analytics!$B$5:$B$154,"&gt;="&amp;DashStart,Analytics!$B$5:$B$154,"&lt;="&amp;DashEnd))</f>
        <v>0</v>
      </c>
      <c r="AD48" s="23">
        <f>IF(T48="","",COUNTIFS('Content Calendar'!$G$5:$G$604,T48,'Content Calendar'!$B$5:$B$604,"&gt;="&amp;DATE(PlanYear,1,1),'Content Calendar'!$B$5:$B$604,"&lt;="&amp;DATE(PlanYear,12,31)))</f>
        <v>0</v>
      </c>
      <c r="AE48" s="23">
        <f>IF(T48="","",SUMIFS(Analytics!$J$5:$J$154,Analytics!$D$5:$D$154,T48))</f>
        <v>0</v>
      </c>
      <c r="AF48" s="23">
        <f>IF(T48="","",SUMIFS(Analytics!$L$5:$L$154,Analytics!$D$5:$D$154,T48))</f>
        <v>0</v>
      </c>
      <c r="AG48" s="24">
        <f>IF(OR(AE48="",AE48=0),"",AF48/AE48)</f>
        <v>0</v>
      </c>
      <c r="AH48" s="23">
        <f>IF(T48="","",SUMIFS(Analytics!$X$5:$X$154,Analytics!$D$5:$D$154,T48))</f>
        <v>0</v>
      </c>
      <c r="AI48" s="32">
        <f>IF(T48="","",IF(AE48=0,"",AE48+ROW()/1000000))</f>
        <v>0</v>
      </c>
      <c r="AJ48" s="17">
        <f>IF('Content Pillars'!$B$48="","",'Content Pillars'!$B$48)</f>
        <v>0</v>
      </c>
      <c r="AK48" s="23">
        <f>IF(AJ48="","",COUNTIFS('Content Calendar'!$J$5:$J$604,AJ48,'Content Calendar'!$B$5:$B$604,"&gt;="&amp;DATE(PlanYear,1,1),'Content Calendar'!$B$5:$B$604,"&lt;="&amp;DATE(PlanYear,12,31)))</f>
        <v>0</v>
      </c>
      <c r="AL48" s="23">
        <f>IF(AJ48="","",SUMIFS(Performance!$O$5:$O$404,Performance!$H$5:$H$404,AJ48))</f>
        <v>0</v>
      </c>
      <c r="AM48" s="23">
        <f>IF(AJ48="","",SUMIFS(Performance!$Z$5:$Z$404,Performance!$H$5:$H$404,AJ48))</f>
        <v>0</v>
      </c>
      <c r="AN48" s="24">
        <f>IF(OR(AL48="",AL48=0),"",AM48/AL48)</f>
        <v>0</v>
      </c>
      <c r="AO48" s="32">
        <f>IF(AN48="","",AN48+ROW()/1000000)</f>
        <v>0</v>
      </c>
      <c r="AP48" s="17">
        <f>IF(Lists!$E48="","",Lists!$E48)</f>
        <v>0</v>
      </c>
      <c r="AQ48" s="23">
        <f>IF(AP48="","",COUNTIF(Performance!$G$5:$G$404,AP48))</f>
        <v>0</v>
      </c>
      <c r="AR48" s="23">
        <f>IF(AP48="","",SUMIFS(Performance!$O$5:$O$404,Performance!$G$5:$G$404,AP48))</f>
        <v>0</v>
      </c>
      <c r="AS48" s="23">
        <f>IF(AP48="","",SUMIFS(Performance!$Z$5:$Z$404,Performance!$G$5:$G$404,AP48))</f>
        <v>0</v>
      </c>
      <c r="AT48" s="24">
        <f>IF(OR(AR48="",AR48=0),"",AS48/AR48)</f>
        <v>0</v>
      </c>
      <c r="AU48" s="32">
        <f>IF(AQ48=0,"",IF(AT48="","",AT48+ROW()/1000000))</f>
        <v>0</v>
      </c>
      <c r="AV48" s="17">
        <f>IF(ROW()-4&gt;7,"",TEXT(DATE(2024,1,ROW()-4),"ddd"))</f>
        <v>0</v>
      </c>
      <c r="AW48" s="23">
        <f>IF(AV48="","",COUNTIF(Performance!$N$5:$N$404,AV48))</f>
        <v>0</v>
      </c>
      <c r="AX48" s="23">
        <f>IF(AV48="","",SUMIFS(Performance!$O$5:$O$404,Performance!$N$5:$N$404,AV48))</f>
        <v>0</v>
      </c>
      <c r="AY48" s="23">
        <f>IF(AV48="","",SUMIFS(Performance!$Z$5:$Z$404,Performance!$N$5:$N$404,AV48))</f>
        <v>0</v>
      </c>
      <c r="AZ48" s="24">
        <f>IF(OR(AX48="",AX48=0),"",AY48/AX48)</f>
        <v>0</v>
      </c>
      <c r="BA48" s="32">
        <f>IF(AW48=0,"",IF(AZ48="","",AZ48+ROW()/1000000))</f>
        <v>0</v>
      </c>
      <c r="BB48" s="17">
        <f>IF(Lists!$AL48="","",Lists!$AL48)</f>
        <v>0</v>
      </c>
      <c r="BC48" s="23">
        <f>IF(BB48="","",COUNTIF(Performance!$M$5:$M$404,BB48))</f>
        <v>0</v>
      </c>
      <c r="BD48" s="23">
        <f>IF(BB48="","",SUMIFS(Performance!$O$5:$O$404,Performance!$M$5:$M$404,BB48))</f>
        <v>0</v>
      </c>
      <c r="BE48" s="23">
        <f>IF(BB48="","",SUMIFS(Performance!$Z$5:$Z$404,Performance!$M$5:$M$404,BB48))</f>
        <v>0</v>
      </c>
      <c r="BF48" s="24">
        <f>IF(OR(BD48="",BD48=0),"",BE48/BD48)</f>
        <v>0</v>
      </c>
      <c r="BG48" s="32">
        <f>IF(BC48=0,"",IF(BF48="","",BF48+ROW()/1000000))</f>
        <v>0</v>
      </c>
      <c r="BH48" s="17">
        <f>IF(Performance!$C$48="","",Performance!$C$48)</f>
        <v>0</v>
      </c>
      <c r="BI48" s="17">
        <f>IF(Performance!$F$48="","",Performance!$F$48)</f>
        <v>0</v>
      </c>
      <c r="BJ48" s="17">
        <f>IF(Performance!$H$48="","",Performance!$H$48)</f>
        <v>0</v>
      </c>
      <c r="BK48" s="16">
        <f>IF(Performance!$D$48="","",Performance!$D$48)</f>
        <v>0</v>
      </c>
      <c r="BL48" s="17">
        <f>IF(Performance!$E$48="","",Performance!$E$48)</f>
        <v>0</v>
      </c>
      <c r="BM48" s="23">
        <f>IF(Performance!$O$48="","",Performance!$O$48)</f>
        <v>0</v>
      </c>
      <c r="BN48" s="24">
        <f>IF(Performance!$AA$48="","",Performance!$AA$48)</f>
        <v>0</v>
      </c>
      <c r="BO48" s="32">
        <f>IF(BH48="","",IF(BK48="","",IF(OR(BK48&lt;DashStart,BK48&gt;DashEnd),"",IF(BN48="","",BN48+ROW()/1000000))))</f>
        <v>0</v>
      </c>
      <c r="BP48" s="32">
        <f>IF(BM48="","",IF(BK48="","",IF(OR(BK48&lt;DashStart,BK48&gt;DashEnd),"",BM48+ROW()/1000000)))</f>
        <v>0</v>
      </c>
      <c r="BQ48" s="32">
        <f>IF(BH48="","",IF(BK48="","",IF(YEAR(BK48)&lt;&gt;PlanYear,"",IF(BN48="","",BN48+ROW()/1000000))))</f>
        <v>0</v>
      </c>
      <c r="BR48" s="32">
        <f>IF(BH48="","",IF(BK48="","",IF(OR(BK48&lt;RepFrom,BK48&gt;RepTo),"",IF(BN48="","",BN48+ROW()/1000000))))</f>
        <v>0</v>
      </c>
      <c r="BS48" s="32">
        <f>IF(BM48="","",IF(BK48="","",IF(YEAR(BK48)&lt;&gt;PlanYear,"",BM48+ROW()/1000000)))</f>
        <v>0</v>
      </c>
      <c r="BT48" s="17">
        <f>IF(Lists!$F48="","",Lists!$F48)</f>
        <v>0</v>
      </c>
      <c r="BU48" s="23">
        <f>IF(BT48="","",COUNTIF('Content Calendar'!$X$5:$X$604,BT48))</f>
        <v>0</v>
      </c>
      <c r="BV48" s="23">
        <f>IF(BT48="","",COUNTIFS('Content Calendar'!$X$5:$X$604,BT48,'Content Calendar'!$B$5:$B$604,"&gt;="&amp;DashStart,'Content Calendar'!$B$5:$B$604,"&lt;="&amp;DashEnd))</f>
        <v>0</v>
      </c>
      <c r="BW48" s="17">
        <f>IF(Team!$B$48="","",Team!$B$48)</f>
        <v>0</v>
      </c>
      <c r="BX48" s="23">
        <f>IF(BW48="","",COUNTIF('Content Calendar'!$W$5:$W$604,BW48))</f>
        <v>0</v>
      </c>
      <c r="BY48" s="23">
        <f>IF(BW48="","",COUNTIFS('Content Calendar'!$W$5:$W$604,BW48,'Content Calendar'!$X$5:$X$604,"&lt;&gt;Published"))</f>
        <v>0</v>
      </c>
      <c r="BZ48" s="23">
        <f>IF(BW48="","",COUNTIFS(Tasks!$C$5:$C$64,BW48,Tasks!$G$5:$G$64,"&lt;&gt;Complete"))</f>
        <v>0</v>
      </c>
      <c r="CA48" s="17">
        <f>IF(Campaigns!$B$48="","",Campaigns!$B$48)</f>
        <v>0</v>
      </c>
      <c r="CB48" s="25">
        <f>IF(Campaigns!$T$48="","",Campaigns!$T$48)</f>
        <v>0</v>
      </c>
      <c r="CC48" s="25">
        <f>IF(Campaigns!$Q$48="","",Campaigns!$Q$48)</f>
        <v>0</v>
      </c>
      <c r="CD48" s="23">
        <f>IF(Campaigns!$Y$48="","",Campaigns!$Y$48)</f>
        <v>0</v>
      </c>
      <c r="CE48" s="32">
        <f>IF(CA48="","",IF(N(CB48)&lt;=0,"",N(CB48)+ROW()/1000000))</f>
        <v>0</v>
      </c>
      <c r="CF48" s="17">
        <f>IF(Accounts!$C$48="","",Accounts!$C$48)</f>
        <v>0</v>
      </c>
      <c r="CG48" s="17">
        <f>IF(Accounts!$B$48="","",Accounts!$B$48)</f>
        <v>0</v>
      </c>
      <c r="CH48" s="23">
        <f>IF(Accounts!$J$48="","",Accounts!$J$48)</f>
        <v>0</v>
      </c>
      <c r="CI48" s="23">
        <f>IF(CF48="","",SUMIFS(Analytics!$X$5:$X$154,Analytics!$E$5:$E$154,CF48,Analytics!$B$5:$B$154,"&gt;="&amp;DashStart,Analytics!$B$5:$B$154,"&lt;="&amp;DashEnd))</f>
        <v>0</v>
      </c>
      <c r="CJ48" s="32">
        <f>IF(CH48="","",IF(CH48=0,"",CH48+ROW()/1000000))</f>
        <v>0</v>
      </c>
    </row>
    <row r="49" spans="1:88">
      <c r="A49" s="16">
        <f>IF(ROW()-4&gt;12,"",DATE(PlanYear,ROW()-4,1))</f>
        <v>0</v>
      </c>
      <c r="B49" s="16">
        <f>IF(A49="","",EOMONTH(A49,0))</f>
        <v>0</v>
      </c>
      <c r="C49" s="17">
        <f>IF(A49="","",TEXT(A49,"yyyy-mm"))</f>
        <v>0</v>
      </c>
      <c r="D49" s="17">
        <f>IF(A49="","",TEXT(A49,"mmm"))</f>
        <v>0</v>
      </c>
      <c r="E49" s="23">
        <f>IF(C49="","",COUNTIFS('Content Calendar'!$D$5:$D$604,C49))</f>
        <v>0</v>
      </c>
      <c r="F49" s="23">
        <f>IF(C49="","",COUNTIFS('Content Calendar'!$D$5:$D$604,C49,'Content Calendar'!$X$5:$X$604,"Published"))</f>
        <v>0</v>
      </c>
      <c r="G49" s="23">
        <f>IF(C49="","",SUMIFS(Analytics!$J$5:$J$154,Analytics!$C$5:$C$154,C49))</f>
        <v>0</v>
      </c>
      <c r="H49" s="23">
        <f>IF(C49="","",SUMIFS(Analytics!$K$5:$K$154,Analytics!$C$5:$C$154,C49))</f>
        <v>0</v>
      </c>
      <c r="I49" s="23">
        <f>IF(C49="","",SUMIFS(Analytics!$L$5:$L$154,Analytics!$C$5:$C$154,C49))</f>
        <v>0</v>
      </c>
      <c r="J49" s="24">
        <f>IF(OR(G49="",G49=0),"",I49/G49)</f>
        <v>0</v>
      </c>
      <c r="K49" s="23">
        <f>IF(C49="","",SUMIFS(Analytics!$G$5:$G$154,Analytics!$C$5:$C$154,C49))</f>
        <v>0</v>
      </c>
      <c r="L49" s="23">
        <f>IF(C49="","",SUMIFS(Analytics!$X$5:$X$154,Analytics!$C$5:$C$154,C49))</f>
        <v>0</v>
      </c>
      <c r="M49" s="23">
        <f>IF(C49="","",SUMIFS(Analytics!$R$5:$R$154,Analytics!$C$5:$C$154,C49))</f>
        <v>0</v>
      </c>
      <c r="N49" s="23">
        <f>IF(C49="","",SUMIFS(Analytics!$S$5:$S$154,Analytics!$C$5:$C$154,C49))</f>
        <v>0</v>
      </c>
      <c r="O49" s="23">
        <f>IF(C49="","",SUMIFS(Analytics!$T$5:$T$154,Analytics!$C$5:$C$154,C49))</f>
        <v>0</v>
      </c>
      <c r="P49" s="25">
        <f>IF(C49="","",SUMIFS(Analytics!$U$5:$U$154,Analytics!$C$5:$C$154,C49))</f>
        <v>0</v>
      </c>
      <c r="Q49" s="25">
        <f>IF(C49="","",SUMIFS(Budget!$H$5:$H$64,Budget!$C$5:$C$64,C49))</f>
        <v>0</v>
      </c>
      <c r="R49" s="25">
        <f>IF(C49="","",P49-Q49)</f>
        <v>0</v>
      </c>
      <c r="S49" s="23">
        <f>IF(C49="","",MonthlyPostTarget)</f>
        <v>0</v>
      </c>
      <c r="T49" s="17">
        <f>IF(Lists!$C49="","",Lists!$C49)</f>
        <v>0</v>
      </c>
      <c r="U49" s="23">
        <f>IF(T49="","",COUNTIFS('Content Calendar'!$G$5:$G$604,T49,'Content Calendar'!$B$5:$B$604,"&gt;="&amp;DashStart,'Content Calendar'!$B$5:$B$604,"&lt;="&amp;DashEnd))</f>
        <v>0</v>
      </c>
      <c r="V49" s="23">
        <f>IF(T49="","",COUNTIFS('Content Calendar'!$G$5:$G$604,T49,'Content Calendar'!$X$5:$X$604,"Published",'Content Calendar'!$B$5:$B$604,"&gt;="&amp;DashStart,'Content Calendar'!$B$5:$B$604,"&lt;="&amp;DashEnd))</f>
        <v>0</v>
      </c>
      <c r="W49" s="23">
        <f>IF(T49="","",SUMIFS(Analytics!$J$5:$J$154,Analytics!$D$5:$D$154,T49,Analytics!$B$5:$B$154,"&gt;="&amp;DashStart,Analytics!$B$5:$B$154,"&lt;="&amp;DashEnd))</f>
        <v>0</v>
      </c>
      <c r="X49" s="23">
        <f>IF(T49="","",SUMIFS(Analytics!$L$5:$L$154,Analytics!$D$5:$D$154,T49,Analytics!$B$5:$B$154,"&gt;="&amp;DashStart,Analytics!$B$5:$B$154,"&lt;="&amp;DashEnd))</f>
        <v>0</v>
      </c>
      <c r="Y49" s="24">
        <f>IF(OR(W49="",W49=0),"",X49/W49)</f>
        <v>0</v>
      </c>
      <c r="Z49" s="23">
        <f>IF(T49="","",SUMIFS(Analytics!$G$5:$G$154,Analytics!$D$5:$D$154,T49,Analytics!$B$5:$B$154,"&gt;="&amp;DashStart,Analytics!$B$5:$B$154,"&lt;="&amp;DashEnd))</f>
        <v>0</v>
      </c>
      <c r="AA49" s="23">
        <f>IF(T49="","",SUMIFS(Analytics!$X$5:$X$154,Analytics!$D$5:$D$154,T49,Analytics!$B$5:$B$154,"&gt;="&amp;DashStart,Analytics!$B$5:$B$154,"&lt;="&amp;DashEnd))</f>
        <v>0</v>
      </c>
      <c r="AB49" s="23">
        <f>IF(T49="","",SUMIFS(Analytics!$R$5:$R$154,Analytics!$D$5:$D$154,T49,Analytics!$B$5:$B$154,"&gt;="&amp;DashStart,Analytics!$B$5:$B$154,"&lt;="&amp;DashEnd))</f>
        <v>0</v>
      </c>
      <c r="AC49" s="25">
        <f>IF(T49="","",SUMIFS(Analytics!$U$5:$U$154,Analytics!$D$5:$D$154,T49,Analytics!$B$5:$B$154,"&gt;="&amp;DashStart,Analytics!$B$5:$B$154,"&lt;="&amp;DashEnd))</f>
        <v>0</v>
      </c>
      <c r="AD49" s="23">
        <f>IF(T49="","",COUNTIFS('Content Calendar'!$G$5:$G$604,T49,'Content Calendar'!$B$5:$B$604,"&gt;="&amp;DATE(PlanYear,1,1),'Content Calendar'!$B$5:$B$604,"&lt;="&amp;DATE(PlanYear,12,31)))</f>
        <v>0</v>
      </c>
      <c r="AE49" s="23">
        <f>IF(T49="","",SUMIFS(Analytics!$J$5:$J$154,Analytics!$D$5:$D$154,T49))</f>
        <v>0</v>
      </c>
      <c r="AF49" s="23">
        <f>IF(T49="","",SUMIFS(Analytics!$L$5:$L$154,Analytics!$D$5:$D$154,T49))</f>
        <v>0</v>
      </c>
      <c r="AG49" s="24">
        <f>IF(OR(AE49="",AE49=0),"",AF49/AE49)</f>
        <v>0</v>
      </c>
      <c r="AH49" s="23">
        <f>IF(T49="","",SUMIFS(Analytics!$X$5:$X$154,Analytics!$D$5:$D$154,T49))</f>
        <v>0</v>
      </c>
      <c r="AI49" s="32">
        <f>IF(T49="","",IF(AE49=0,"",AE49+ROW()/1000000))</f>
        <v>0</v>
      </c>
      <c r="AJ49" s="17">
        <f>IF('Content Pillars'!$B$49="","",'Content Pillars'!$B$49)</f>
        <v>0</v>
      </c>
      <c r="AK49" s="23">
        <f>IF(AJ49="","",COUNTIFS('Content Calendar'!$J$5:$J$604,AJ49,'Content Calendar'!$B$5:$B$604,"&gt;="&amp;DATE(PlanYear,1,1),'Content Calendar'!$B$5:$B$604,"&lt;="&amp;DATE(PlanYear,12,31)))</f>
        <v>0</v>
      </c>
      <c r="AL49" s="23">
        <f>IF(AJ49="","",SUMIFS(Performance!$O$5:$O$404,Performance!$H$5:$H$404,AJ49))</f>
        <v>0</v>
      </c>
      <c r="AM49" s="23">
        <f>IF(AJ49="","",SUMIFS(Performance!$Z$5:$Z$404,Performance!$H$5:$H$404,AJ49))</f>
        <v>0</v>
      </c>
      <c r="AN49" s="24">
        <f>IF(OR(AL49="",AL49=0),"",AM49/AL49)</f>
        <v>0</v>
      </c>
      <c r="AO49" s="32">
        <f>IF(AN49="","",AN49+ROW()/1000000)</f>
        <v>0</v>
      </c>
      <c r="AP49" s="17">
        <f>IF(Lists!$E49="","",Lists!$E49)</f>
        <v>0</v>
      </c>
      <c r="AQ49" s="23">
        <f>IF(AP49="","",COUNTIF(Performance!$G$5:$G$404,AP49))</f>
        <v>0</v>
      </c>
      <c r="AR49" s="23">
        <f>IF(AP49="","",SUMIFS(Performance!$O$5:$O$404,Performance!$G$5:$G$404,AP49))</f>
        <v>0</v>
      </c>
      <c r="AS49" s="23">
        <f>IF(AP49="","",SUMIFS(Performance!$Z$5:$Z$404,Performance!$G$5:$G$404,AP49))</f>
        <v>0</v>
      </c>
      <c r="AT49" s="24">
        <f>IF(OR(AR49="",AR49=0),"",AS49/AR49)</f>
        <v>0</v>
      </c>
      <c r="AU49" s="32">
        <f>IF(AQ49=0,"",IF(AT49="","",AT49+ROW()/1000000))</f>
        <v>0</v>
      </c>
      <c r="AV49" s="17">
        <f>IF(ROW()-4&gt;7,"",TEXT(DATE(2024,1,ROW()-4),"ddd"))</f>
        <v>0</v>
      </c>
      <c r="AW49" s="23">
        <f>IF(AV49="","",COUNTIF(Performance!$N$5:$N$404,AV49))</f>
        <v>0</v>
      </c>
      <c r="AX49" s="23">
        <f>IF(AV49="","",SUMIFS(Performance!$O$5:$O$404,Performance!$N$5:$N$404,AV49))</f>
        <v>0</v>
      </c>
      <c r="AY49" s="23">
        <f>IF(AV49="","",SUMIFS(Performance!$Z$5:$Z$404,Performance!$N$5:$N$404,AV49))</f>
        <v>0</v>
      </c>
      <c r="AZ49" s="24">
        <f>IF(OR(AX49="",AX49=0),"",AY49/AX49)</f>
        <v>0</v>
      </c>
      <c r="BA49" s="32">
        <f>IF(AW49=0,"",IF(AZ49="","",AZ49+ROW()/1000000))</f>
        <v>0</v>
      </c>
      <c r="BB49" s="17">
        <f>IF(Lists!$AL49="","",Lists!$AL49)</f>
        <v>0</v>
      </c>
      <c r="BC49" s="23">
        <f>IF(BB49="","",COUNTIF(Performance!$M$5:$M$404,BB49))</f>
        <v>0</v>
      </c>
      <c r="BD49" s="23">
        <f>IF(BB49="","",SUMIFS(Performance!$O$5:$O$404,Performance!$M$5:$M$404,BB49))</f>
        <v>0</v>
      </c>
      <c r="BE49" s="23">
        <f>IF(BB49="","",SUMIFS(Performance!$Z$5:$Z$404,Performance!$M$5:$M$404,BB49))</f>
        <v>0</v>
      </c>
      <c r="BF49" s="24">
        <f>IF(OR(BD49="",BD49=0),"",BE49/BD49)</f>
        <v>0</v>
      </c>
      <c r="BG49" s="32">
        <f>IF(BC49=0,"",IF(BF49="","",BF49+ROW()/1000000))</f>
        <v>0</v>
      </c>
      <c r="BH49" s="17">
        <f>IF(Performance!$C$49="","",Performance!$C$49)</f>
        <v>0</v>
      </c>
      <c r="BI49" s="17">
        <f>IF(Performance!$F$49="","",Performance!$F$49)</f>
        <v>0</v>
      </c>
      <c r="BJ49" s="17">
        <f>IF(Performance!$H$49="","",Performance!$H$49)</f>
        <v>0</v>
      </c>
      <c r="BK49" s="16">
        <f>IF(Performance!$D$49="","",Performance!$D$49)</f>
        <v>0</v>
      </c>
      <c r="BL49" s="17">
        <f>IF(Performance!$E$49="","",Performance!$E$49)</f>
        <v>0</v>
      </c>
      <c r="BM49" s="23">
        <f>IF(Performance!$O$49="","",Performance!$O$49)</f>
        <v>0</v>
      </c>
      <c r="BN49" s="24">
        <f>IF(Performance!$AA$49="","",Performance!$AA$49)</f>
        <v>0</v>
      </c>
      <c r="BO49" s="32">
        <f>IF(BH49="","",IF(BK49="","",IF(OR(BK49&lt;DashStart,BK49&gt;DashEnd),"",IF(BN49="","",BN49+ROW()/1000000))))</f>
        <v>0</v>
      </c>
      <c r="BP49" s="32">
        <f>IF(BM49="","",IF(BK49="","",IF(OR(BK49&lt;DashStart,BK49&gt;DashEnd),"",BM49+ROW()/1000000)))</f>
        <v>0</v>
      </c>
      <c r="BQ49" s="32">
        <f>IF(BH49="","",IF(BK49="","",IF(YEAR(BK49)&lt;&gt;PlanYear,"",IF(BN49="","",BN49+ROW()/1000000))))</f>
        <v>0</v>
      </c>
      <c r="BR49" s="32">
        <f>IF(BH49="","",IF(BK49="","",IF(OR(BK49&lt;RepFrom,BK49&gt;RepTo),"",IF(BN49="","",BN49+ROW()/1000000))))</f>
        <v>0</v>
      </c>
      <c r="BS49" s="32">
        <f>IF(BM49="","",IF(BK49="","",IF(YEAR(BK49)&lt;&gt;PlanYear,"",BM49+ROW()/1000000)))</f>
        <v>0</v>
      </c>
      <c r="BT49" s="17">
        <f>IF(Lists!$F49="","",Lists!$F49)</f>
        <v>0</v>
      </c>
      <c r="BU49" s="23">
        <f>IF(BT49="","",COUNTIF('Content Calendar'!$X$5:$X$604,BT49))</f>
        <v>0</v>
      </c>
      <c r="BV49" s="23">
        <f>IF(BT49="","",COUNTIFS('Content Calendar'!$X$5:$X$604,BT49,'Content Calendar'!$B$5:$B$604,"&gt;="&amp;DashStart,'Content Calendar'!$B$5:$B$604,"&lt;="&amp;DashEnd))</f>
        <v>0</v>
      </c>
      <c r="BW49" s="17">
        <f>IF(Team!$B$49="","",Team!$B$49)</f>
        <v>0</v>
      </c>
      <c r="BX49" s="23">
        <f>IF(BW49="","",COUNTIF('Content Calendar'!$W$5:$W$604,BW49))</f>
        <v>0</v>
      </c>
      <c r="BY49" s="23">
        <f>IF(BW49="","",COUNTIFS('Content Calendar'!$W$5:$W$604,BW49,'Content Calendar'!$X$5:$X$604,"&lt;&gt;Published"))</f>
        <v>0</v>
      </c>
      <c r="BZ49" s="23">
        <f>IF(BW49="","",COUNTIFS(Tasks!$C$5:$C$64,BW49,Tasks!$G$5:$G$64,"&lt;&gt;Complete"))</f>
        <v>0</v>
      </c>
      <c r="CA49" s="17">
        <f>IF(Campaigns!$B$49="","",Campaigns!$B$49)</f>
        <v>0</v>
      </c>
      <c r="CB49" s="25">
        <f>IF(Campaigns!$T$49="","",Campaigns!$T$49)</f>
        <v>0</v>
      </c>
      <c r="CC49" s="25">
        <f>IF(Campaigns!$Q$49="","",Campaigns!$Q$49)</f>
        <v>0</v>
      </c>
      <c r="CD49" s="23">
        <f>IF(Campaigns!$Y$49="","",Campaigns!$Y$49)</f>
        <v>0</v>
      </c>
      <c r="CE49" s="32">
        <f>IF(CA49="","",IF(N(CB49)&lt;=0,"",N(CB49)+ROW()/1000000))</f>
        <v>0</v>
      </c>
      <c r="CF49" s="17">
        <f>IF(Accounts!$C$49="","",Accounts!$C$49)</f>
        <v>0</v>
      </c>
      <c r="CG49" s="17">
        <f>IF(Accounts!$B$49="","",Accounts!$B$49)</f>
        <v>0</v>
      </c>
      <c r="CH49" s="23">
        <f>IF(Accounts!$J$49="","",Accounts!$J$49)</f>
        <v>0</v>
      </c>
      <c r="CI49" s="23">
        <f>IF(CF49="","",SUMIFS(Analytics!$X$5:$X$154,Analytics!$E$5:$E$154,CF49,Analytics!$B$5:$B$154,"&gt;="&amp;DashStart,Analytics!$B$5:$B$154,"&lt;="&amp;DashEnd))</f>
        <v>0</v>
      </c>
      <c r="CJ49" s="32">
        <f>IF(CH49="","",IF(CH49=0,"",CH49+ROW()/1000000))</f>
        <v>0</v>
      </c>
    </row>
    <row r="50" spans="1:88">
      <c r="A50" s="16">
        <f>IF(ROW()-4&gt;12,"",DATE(PlanYear,ROW()-4,1))</f>
        <v>0</v>
      </c>
      <c r="B50" s="16">
        <f>IF(A50="","",EOMONTH(A50,0))</f>
        <v>0</v>
      </c>
      <c r="C50" s="17">
        <f>IF(A50="","",TEXT(A50,"yyyy-mm"))</f>
        <v>0</v>
      </c>
      <c r="D50" s="17">
        <f>IF(A50="","",TEXT(A50,"mmm"))</f>
        <v>0</v>
      </c>
      <c r="E50" s="23">
        <f>IF(C50="","",COUNTIFS('Content Calendar'!$D$5:$D$604,C50))</f>
        <v>0</v>
      </c>
      <c r="F50" s="23">
        <f>IF(C50="","",COUNTIFS('Content Calendar'!$D$5:$D$604,C50,'Content Calendar'!$X$5:$X$604,"Published"))</f>
        <v>0</v>
      </c>
      <c r="G50" s="23">
        <f>IF(C50="","",SUMIFS(Analytics!$J$5:$J$154,Analytics!$C$5:$C$154,C50))</f>
        <v>0</v>
      </c>
      <c r="H50" s="23">
        <f>IF(C50="","",SUMIFS(Analytics!$K$5:$K$154,Analytics!$C$5:$C$154,C50))</f>
        <v>0</v>
      </c>
      <c r="I50" s="23">
        <f>IF(C50="","",SUMIFS(Analytics!$L$5:$L$154,Analytics!$C$5:$C$154,C50))</f>
        <v>0</v>
      </c>
      <c r="J50" s="24">
        <f>IF(OR(G50="",G50=0),"",I50/G50)</f>
        <v>0</v>
      </c>
      <c r="K50" s="23">
        <f>IF(C50="","",SUMIFS(Analytics!$G$5:$G$154,Analytics!$C$5:$C$154,C50))</f>
        <v>0</v>
      </c>
      <c r="L50" s="23">
        <f>IF(C50="","",SUMIFS(Analytics!$X$5:$X$154,Analytics!$C$5:$C$154,C50))</f>
        <v>0</v>
      </c>
      <c r="M50" s="23">
        <f>IF(C50="","",SUMIFS(Analytics!$R$5:$R$154,Analytics!$C$5:$C$154,C50))</f>
        <v>0</v>
      </c>
      <c r="N50" s="23">
        <f>IF(C50="","",SUMIFS(Analytics!$S$5:$S$154,Analytics!$C$5:$C$154,C50))</f>
        <v>0</v>
      </c>
      <c r="O50" s="23">
        <f>IF(C50="","",SUMIFS(Analytics!$T$5:$T$154,Analytics!$C$5:$C$154,C50))</f>
        <v>0</v>
      </c>
      <c r="P50" s="25">
        <f>IF(C50="","",SUMIFS(Analytics!$U$5:$U$154,Analytics!$C$5:$C$154,C50))</f>
        <v>0</v>
      </c>
      <c r="Q50" s="25">
        <f>IF(C50="","",SUMIFS(Budget!$H$5:$H$64,Budget!$C$5:$C$64,C50))</f>
        <v>0</v>
      </c>
      <c r="R50" s="25">
        <f>IF(C50="","",P50-Q50)</f>
        <v>0</v>
      </c>
      <c r="S50" s="23">
        <f>IF(C50="","",MonthlyPostTarget)</f>
        <v>0</v>
      </c>
      <c r="T50" s="17">
        <f>IF(Lists!$C50="","",Lists!$C50)</f>
        <v>0</v>
      </c>
      <c r="U50" s="23">
        <f>IF(T50="","",COUNTIFS('Content Calendar'!$G$5:$G$604,T50,'Content Calendar'!$B$5:$B$604,"&gt;="&amp;DashStart,'Content Calendar'!$B$5:$B$604,"&lt;="&amp;DashEnd))</f>
        <v>0</v>
      </c>
      <c r="V50" s="23">
        <f>IF(T50="","",COUNTIFS('Content Calendar'!$G$5:$G$604,T50,'Content Calendar'!$X$5:$X$604,"Published",'Content Calendar'!$B$5:$B$604,"&gt;="&amp;DashStart,'Content Calendar'!$B$5:$B$604,"&lt;="&amp;DashEnd))</f>
        <v>0</v>
      </c>
      <c r="W50" s="23">
        <f>IF(T50="","",SUMIFS(Analytics!$J$5:$J$154,Analytics!$D$5:$D$154,T50,Analytics!$B$5:$B$154,"&gt;="&amp;DashStart,Analytics!$B$5:$B$154,"&lt;="&amp;DashEnd))</f>
        <v>0</v>
      </c>
      <c r="X50" s="23">
        <f>IF(T50="","",SUMIFS(Analytics!$L$5:$L$154,Analytics!$D$5:$D$154,T50,Analytics!$B$5:$B$154,"&gt;="&amp;DashStart,Analytics!$B$5:$B$154,"&lt;="&amp;DashEnd))</f>
        <v>0</v>
      </c>
      <c r="Y50" s="24">
        <f>IF(OR(W50="",W50=0),"",X50/W50)</f>
        <v>0</v>
      </c>
      <c r="Z50" s="23">
        <f>IF(T50="","",SUMIFS(Analytics!$G$5:$G$154,Analytics!$D$5:$D$154,T50,Analytics!$B$5:$B$154,"&gt;="&amp;DashStart,Analytics!$B$5:$B$154,"&lt;="&amp;DashEnd))</f>
        <v>0</v>
      </c>
      <c r="AA50" s="23">
        <f>IF(T50="","",SUMIFS(Analytics!$X$5:$X$154,Analytics!$D$5:$D$154,T50,Analytics!$B$5:$B$154,"&gt;="&amp;DashStart,Analytics!$B$5:$B$154,"&lt;="&amp;DashEnd))</f>
        <v>0</v>
      </c>
      <c r="AB50" s="23">
        <f>IF(T50="","",SUMIFS(Analytics!$R$5:$R$154,Analytics!$D$5:$D$154,T50,Analytics!$B$5:$B$154,"&gt;="&amp;DashStart,Analytics!$B$5:$B$154,"&lt;="&amp;DashEnd))</f>
        <v>0</v>
      </c>
      <c r="AC50" s="25">
        <f>IF(T50="","",SUMIFS(Analytics!$U$5:$U$154,Analytics!$D$5:$D$154,T50,Analytics!$B$5:$B$154,"&gt;="&amp;DashStart,Analytics!$B$5:$B$154,"&lt;="&amp;DashEnd))</f>
        <v>0</v>
      </c>
      <c r="AD50" s="23">
        <f>IF(T50="","",COUNTIFS('Content Calendar'!$G$5:$G$604,T50,'Content Calendar'!$B$5:$B$604,"&gt;="&amp;DATE(PlanYear,1,1),'Content Calendar'!$B$5:$B$604,"&lt;="&amp;DATE(PlanYear,12,31)))</f>
        <v>0</v>
      </c>
      <c r="AE50" s="23">
        <f>IF(T50="","",SUMIFS(Analytics!$J$5:$J$154,Analytics!$D$5:$D$154,T50))</f>
        <v>0</v>
      </c>
      <c r="AF50" s="23">
        <f>IF(T50="","",SUMIFS(Analytics!$L$5:$L$154,Analytics!$D$5:$D$154,T50))</f>
        <v>0</v>
      </c>
      <c r="AG50" s="24">
        <f>IF(OR(AE50="",AE50=0),"",AF50/AE50)</f>
        <v>0</v>
      </c>
      <c r="AH50" s="23">
        <f>IF(T50="","",SUMIFS(Analytics!$X$5:$X$154,Analytics!$D$5:$D$154,T50))</f>
        <v>0</v>
      </c>
      <c r="AI50" s="32">
        <f>IF(T50="","",IF(AE50=0,"",AE50+ROW()/1000000))</f>
        <v>0</v>
      </c>
      <c r="AJ50" s="17">
        <f>IF('Content Pillars'!$B$50="","",'Content Pillars'!$B$50)</f>
        <v>0</v>
      </c>
      <c r="AK50" s="23">
        <f>IF(AJ50="","",COUNTIFS('Content Calendar'!$J$5:$J$604,AJ50,'Content Calendar'!$B$5:$B$604,"&gt;="&amp;DATE(PlanYear,1,1),'Content Calendar'!$B$5:$B$604,"&lt;="&amp;DATE(PlanYear,12,31)))</f>
        <v>0</v>
      </c>
      <c r="AL50" s="23">
        <f>IF(AJ50="","",SUMIFS(Performance!$O$5:$O$404,Performance!$H$5:$H$404,AJ50))</f>
        <v>0</v>
      </c>
      <c r="AM50" s="23">
        <f>IF(AJ50="","",SUMIFS(Performance!$Z$5:$Z$404,Performance!$H$5:$H$404,AJ50))</f>
        <v>0</v>
      </c>
      <c r="AN50" s="24">
        <f>IF(OR(AL50="",AL50=0),"",AM50/AL50)</f>
        <v>0</v>
      </c>
      <c r="AO50" s="32">
        <f>IF(AN50="","",AN50+ROW()/1000000)</f>
        <v>0</v>
      </c>
      <c r="AP50" s="17">
        <f>IF(Lists!$E50="","",Lists!$E50)</f>
        <v>0</v>
      </c>
      <c r="AQ50" s="23">
        <f>IF(AP50="","",COUNTIF(Performance!$G$5:$G$404,AP50))</f>
        <v>0</v>
      </c>
      <c r="AR50" s="23">
        <f>IF(AP50="","",SUMIFS(Performance!$O$5:$O$404,Performance!$G$5:$G$404,AP50))</f>
        <v>0</v>
      </c>
      <c r="AS50" s="23">
        <f>IF(AP50="","",SUMIFS(Performance!$Z$5:$Z$404,Performance!$G$5:$G$404,AP50))</f>
        <v>0</v>
      </c>
      <c r="AT50" s="24">
        <f>IF(OR(AR50="",AR50=0),"",AS50/AR50)</f>
        <v>0</v>
      </c>
      <c r="AU50" s="32">
        <f>IF(AQ50=0,"",IF(AT50="","",AT50+ROW()/1000000))</f>
        <v>0</v>
      </c>
      <c r="AV50" s="17">
        <f>IF(ROW()-4&gt;7,"",TEXT(DATE(2024,1,ROW()-4),"ddd"))</f>
        <v>0</v>
      </c>
      <c r="AW50" s="23">
        <f>IF(AV50="","",COUNTIF(Performance!$N$5:$N$404,AV50))</f>
        <v>0</v>
      </c>
      <c r="AX50" s="23">
        <f>IF(AV50="","",SUMIFS(Performance!$O$5:$O$404,Performance!$N$5:$N$404,AV50))</f>
        <v>0</v>
      </c>
      <c r="AY50" s="23">
        <f>IF(AV50="","",SUMIFS(Performance!$Z$5:$Z$404,Performance!$N$5:$N$404,AV50))</f>
        <v>0</v>
      </c>
      <c r="AZ50" s="24">
        <f>IF(OR(AX50="",AX50=0),"",AY50/AX50)</f>
        <v>0</v>
      </c>
      <c r="BA50" s="32">
        <f>IF(AW50=0,"",IF(AZ50="","",AZ50+ROW()/1000000))</f>
        <v>0</v>
      </c>
      <c r="BB50" s="17">
        <f>IF(Lists!$AL50="","",Lists!$AL50)</f>
        <v>0</v>
      </c>
      <c r="BC50" s="23">
        <f>IF(BB50="","",COUNTIF(Performance!$M$5:$M$404,BB50))</f>
        <v>0</v>
      </c>
      <c r="BD50" s="23">
        <f>IF(BB50="","",SUMIFS(Performance!$O$5:$O$404,Performance!$M$5:$M$404,BB50))</f>
        <v>0</v>
      </c>
      <c r="BE50" s="23">
        <f>IF(BB50="","",SUMIFS(Performance!$Z$5:$Z$404,Performance!$M$5:$M$404,BB50))</f>
        <v>0</v>
      </c>
      <c r="BF50" s="24">
        <f>IF(OR(BD50="",BD50=0),"",BE50/BD50)</f>
        <v>0</v>
      </c>
      <c r="BG50" s="32">
        <f>IF(BC50=0,"",IF(BF50="","",BF50+ROW()/1000000))</f>
        <v>0</v>
      </c>
      <c r="BH50" s="17">
        <f>IF(Performance!$C$50="","",Performance!$C$50)</f>
        <v>0</v>
      </c>
      <c r="BI50" s="17">
        <f>IF(Performance!$F$50="","",Performance!$F$50)</f>
        <v>0</v>
      </c>
      <c r="BJ50" s="17">
        <f>IF(Performance!$H$50="","",Performance!$H$50)</f>
        <v>0</v>
      </c>
      <c r="BK50" s="16">
        <f>IF(Performance!$D$50="","",Performance!$D$50)</f>
        <v>0</v>
      </c>
      <c r="BL50" s="17">
        <f>IF(Performance!$E$50="","",Performance!$E$50)</f>
        <v>0</v>
      </c>
      <c r="BM50" s="23">
        <f>IF(Performance!$O$50="","",Performance!$O$50)</f>
        <v>0</v>
      </c>
      <c r="BN50" s="24">
        <f>IF(Performance!$AA$50="","",Performance!$AA$50)</f>
        <v>0</v>
      </c>
      <c r="BO50" s="32">
        <f>IF(BH50="","",IF(BK50="","",IF(OR(BK50&lt;DashStart,BK50&gt;DashEnd),"",IF(BN50="","",BN50+ROW()/1000000))))</f>
        <v>0</v>
      </c>
      <c r="BP50" s="32">
        <f>IF(BM50="","",IF(BK50="","",IF(OR(BK50&lt;DashStart,BK50&gt;DashEnd),"",BM50+ROW()/1000000)))</f>
        <v>0</v>
      </c>
      <c r="BQ50" s="32">
        <f>IF(BH50="","",IF(BK50="","",IF(YEAR(BK50)&lt;&gt;PlanYear,"",IF(BN50="","",BN50+ROW()/1000000))))</f>
        <v>0</v>
      </c>
      <c r="BR50" s="32">
        <f>IF(BH50="","",IF(BK50="","",IF(OR(BK50&lt;RepFrom,BK50&gt;RepTo),"",IF(BN50="","",BN50+ROW()/1000000))))</f>
        <v>0</v>
      </c>
      <c r="BS50" s="32">
        <f>IF(BM50="","",IF(BK50="","",IF(YEAR(BK50)&lt;&gt;PlanYear,"",BM50+ROW()/1000000)))</f>
        <v>0</v>
      </c>
      <c r="BT50" s="17">
        <f>IF(Lists!$F50="","",Lists!$F50)</f>
        <v>0</v>
      </c>
      <c r="BU50" s="23">
        <f>IF(BT50="","",COUNTIF('Content Calendar'!$X$5:$X$604,BT50))</f>
        <v>0</v>
      </c>
      <c r="BV50" s="23">
        <f>IF(BT50="","",COUNTIFS('Content Calendar'!$X$5:$X$604,BT50,'Content Calendar'!$B$5:$B$604,"&gt;="&amp;DashStart,'Content Calendar'!$B$5:$B$604,"&lt;="&amp;DashEnd))</f>
        <v>0</v>
      </c>
      <c r="BW50" s="17">
        <f>IF(Team!$B$50="","",Team!$B$50)</f>
        <v>0</v>
      </c>
      <c r="BX50" s="23">
        <f>IF(BW50="","",COUNTIF('Content Calendar'!$W$5:$W$604,BW50))</f>
        <v>0</v>
      </c>
      <c r="BY50" s="23">
        <f>IF(BW50="","",COUNTIFS('Content Calendar'!$W$5:$W$604,BW50,'Content Calendar'!$X$5:$X$604,"&lt;&gt;Published"))</f>
        <v>0</v>
      </c>
      <c r="BZ50" s="23">
        <f>IF(BW50="","",COUNTIFS(Tasks!$C$5:$C$64,BW50,Tasks!$G$5:$G$64,"&lt;&gt;Complete"))</f>
        <v>0</v>
      </c>
      <c r="CA50" s="17">
        <f>IF(Campaigns!$B$50="","",Campaigns!$B$50)</f>
        <v>0</v>
      </c>
      <c r="CB50" s="25">
        <f>IF(Campaigns!$T$50="","",Campaigns!$T$50)</f>
        <v>0</v>
      </c>
      <c r="CC50" s="25">
        <f>IF(Campaigns!$Q$50="","",Campaigns!$Q$50)</f>
        <v>0</v>
      </c>
      <c r="CD50" s="23">
        <f>IF(Campaigns!$Y$50="","",Campaigns!$Y$50)</f>
        <v>0</v>
      </c>
      <c r="CE50" s="32">
        <f>IF(CA50="","",IF(N(CB50)&lt;=0,"",N(CB50)+ROW()/1000000))</f>
        <v>0</v>
      </c>
      <c r="CF50" s="17">
        <f>IF(Accounts!$C$50="","",Accounts!$C$50)</f>
        <v>0</v>
      </c>
      <c r="CG50" s="17">
        <f>IF(Accounts!$B$50="","",Accounts!$B$50)</f>
        <v>0</v>
      </c>
      <c r="CH50" s="23">
        <f>IF(Accounts!$J$50="","",Accounts!$J$50)</f>
        <v>0</v>
      </c>
      <c r="CI50" s="23">
        <f>IF(CF50="","",SUMIFS(Analytics!$X$5:$X$154,Analytics!$E$5:$E$154,CF50,Analytics!$B$5:$B$154,"&gt;="&amp;DashStart,Analytics!$B$5:$B$154,"&lt;="&amp;DashEnd))</f>
        <v>0</v>
      </c>
      <c r="CJ50" s="32">
        <f>IF(CH50="","",IF(CH50=0,"",CH50+ROW()/1000000))</f>
        <v>0</v>
      </c>
    </row>
    <row r="51" spans="1:88">
      <c r="A51" s="16">
        <f>IF(ROW()-4&gt;12,"",DATE(PlanYear,ROW()-4,1))</f>
        <v>0</v>
      </c>
      <c r="B51" s="16">
        <f>IF(A51="","",EOMONTH(A51,0))</f>
        <v>0</v>
      </c>
      <c r="C51" s="17">
        <f>IF(A51="","",TEXT(A51,"yyyy-mm"))</f>
        <v>0</v>
      </c>
      <c r="D51" s="17">
        <f>IF(A51="","",TEXT(A51,"mmm"))</f>
        <v>0</v>
      </c>
      <c r="E51" s="23">
        <f>IF(C51="","",COUNTIFS('Content Calendar'!$D$5:$D$604,C51))</f>
        <v>0</v>
      </c>
      <c r="F51" s="23">
        <f>IF(C51="","",COUNTIFS('Content Calendar'!$D$5:$D$604,C51,'Content Calendar'!$X$5:$X$604,"Published"))</f>
        <v>0</v>
      </c>
      <c r="G51" s="23">
        <f>IF(C51="","",SUMIFS(Analytics!$J$5:$J$154,Analytics!$C$5:$C$154,C51))</f>
        <v>0</v>
      </c>
      <c r="H51" s="23">
        <f>IF(C51="","",SUMIFS(Analytics!$K$5:$K$154,Analytics!$C$5:$C$154,C51))</f>
        <v>0</v>
      </c>
      <c r="I51" s="23">
        <f>IF(C51="","",SUMIFS(Analytics!$L$5:$L$154,Analytics!$C$5:$C$154,C51))</f>
        <v>0</v>
      </c>
      <c r="J51" s="24">
        <f>IF(OR(G51="",G51=0),"",I51/G51)</f>
        <v>0</v>
      </c>
      <c r="K51" s="23">
        <f>IF(C51="","",SUMIFS(Analytics!$G$5:$G$154,Analytics!$C$5:$C$154,C51))</f>
        <v>0</v>
      </c>
      <c r="L51" s="23">
        <f>IF(C51="","",SUMIFS(Analytics!$X$5:$X$154,Analytics!$C$5:$C$154,C51))</f>
        <v>0</v>
      </c>
      <c r="M51" s="23">
        <f>IF(C51="","",SUMIFS(Analytics!$R$5:$R$154,Analytics!$C$5:$C$154,C51))</f>
        <v>0</v>
      </c>
      <c r="N51" s="23">
        <f>IF(C51="","",SUMIFS(Analytics!$S$5:$S$154,Analytics!$C$5:$C$154,C51))</f>
        <v>0</v>
      </c>
      <c r="O51" s="23">
        <f>IF(C51="","",SUMIFS(Analytics!$T$5:$T$154,Analytics!$C$5:$C$154,C51))</f>
        <v>0</v>
      </c>
      <c r="P51" s="25">
        <f>IF(C51="","",SUMIFS(Analytics!$U$5:$U$154,Analytics!$C$5:$C$154,C51))</f>
        <v>0</v>
      </c>
      <c r="Q51" s="25">
        <f>IF(C51="","",SUMIFS(Budget!$H$5:$H$64,Budget!$C$5:$C$64,C51))</f>
        <v>0</v>
      </c>
      <c r="R51" s="25">
        <f>IF(C51="","",P51-Q51)</f>
        <v>0</v>
      </c>
      <c r="S51" s="23">
        <f>IF(C51="","",MonthlyPostTarget)</f>
        <v>0</v>
      </c>
      <c r="T51" s="17">
        <f>IF(Lists!$C51="","",Lists!$C51)</f>
        <v>0</v>
      </c>
      <c r="U51" s="23">
        <f>IF(T51="","",COUNTIFS('Content Calendar'!$G$5:$G$604,T51,'Content Calendar'!$B$5:$B$604,"&gt;="&amp;DashStart,'Content Calendar'!$B$5:$B$604,"&lt;="&amp;DashEnd))</f>
        <v>0</v>
      </c>
      <c r="V51" s="23">
        <f>IF(T51="","",COUNTIFS('Content Calendar'!$G$5:$G$604,T51,'Content Calendar'!$X$5:$X$604,"Published",'Content Calendar'!$B$5:$B$604,"&gt;="&amp;DashStart,'Content Calendar'!$B$5:$B$604,"&lt;="&amp;DashEnd))</f>
        <v>0</v>
      </c>
      <c r="W51" s="23">
        <f>IF(T51="","",SUMIFS(Analytics!$J$5:$J$154,Analytics!$D$5:$D$154,T51,Analytics!$B$5:$B$154,"&gt;="&amp;DashStart,Analytics!$B$5:$B$154,"&lt;="&amp;DashEnd))</f>
        <v>0</v>
      </c>
      <c r="X51" s="23">
        <f>IF(T51="","",SUMIFS(Analytics!$L$5:$L$154,Analytics!$D$5:$D$154,T51,Analytics!$B$5:$B$154,"&gt;="&amp;DashStart,Analytics!$B$5:$B$154,"&lt;="&amp;DashEnd))</f>
        <v>0</v>
      </c>
      <c r="Y51" s="24">
        <f>IF(OR(W51="",W51=0),"",X51/W51)</f>
        <v>0</v>
      </c>
      <c r="Z51" s="23">
        <f>IF(T51="","",SUMIFS(Analytics!$G$5:$G$154,Analytics!$D$5:$D$154,T51,Analytics!$B$5:$B$154,"&gt;="&amp;DashStart,Analytics!$B$5:$B$154,"&lt;="&amp;DashEnd))</f>
        <v>0</v>
      </c>
      <c r="AA51" s="23">
        <f>IF(T51="","",SUMIFS(Analytics!$X$5:$X$154,Analytics!$D$5:$D$154,T51,Analytics!$B$5:$B$154,"&gt;="&amp;DashStart,Analytics!$B$5:$B$154,"&lt;="&amp;DashEnd))</f>
        <v>0</v>
      </c>
      <c r="AB51" s="23">
        <f>IF(T51="","",SUMIFS(Analytics!$R$5:$R$154,Analytics!$D$5:$D$154,T51,Analytics!$B$5:$B$154,"&gt;="&amp;DashStart,Analytics!$B$5:$B$154,"&lt;="&amp;DashEnd))</f>
        <v>0</v>
      </c>
      <c r="AC51" s="25">
        <f>IF(T51="","",SUMIFS(Analytics!$U$5:$U$154,Analytics!$D$5:$D$154,T51,Analytics!$B$5:$B$154,"&gt;="&amp;DashStart,Analytics!$B$5:$B$154,"&lt;="&amp;DashEnd))</f>
        <v>0</v>
      </c>
      <c r="AD51" s="23">
        <f>IF(T51="","",COUNTIFS('Content Calendar'!$G$5:$G$604,T51,'Content Calendar'!$B$5:$B$604,"&gt;="&amp;DATE(PlanYear,1,1),'Content Calendar'!$B$5:$B$604,"&lt;="&amp;DATE(PlanYear,12,31)))</f>
        <v>0</v>
      </c>
      <c r="AE51" s="23">
        <f>IF(T51="","",SUMIFS(Analytics!$J$5:$J$154,Analytics!$D$5:$D$154,T51))</f>
        <v>0</v>
      </c>
      <c r="AF51" s="23">
        <f>IF(T51="","",SUMIFS(Analytics!$L$5:$L$154,Analytics!$D$5:$D$154,T51))</f>
        <v>0</v>
      </c>
      <c r="AG51" s="24">
        <f>IF(OR(AE51="",AE51=0),"",AF51/AE51)</f>
        <v>0</v>
      </c>
      <c r="AH51" s="23">
        <f>IF(T51="","",SUMIFS(Analytics!$X$5:$X$154,Analytics!$D$5:$D$154,T51))</f>
        <v>0</v>
      </c>
      <c r="AI51" s="32">
        <f>IF(T51="","",IF(AE51=0,"",AE51+ROW()/1000000))</f>
        <v>0</v>
      </c>
      <c r="AJ51" s="17">
        <f>IF('Content Pillars'!$B$51="","",'Content Pillars'!$B$51)</f>
        <v>0</v>
      </c>
      <c r="AK51" s="23">
        <f>IF(AJ51="","",COUNTIFS('Content Calendar'!$J$5:$J$604,AJ51,'Content Calendar'!$B$5:$B$604,"&gt;="&amp;DATE(PlanYear,1,1),'Content Calendar'!$B$5:$B$604,"&lt;="&amp;DATE(PlanYear,12,31)))</f>
        <v>0</v>
      </c>
      <c r="AL51" s="23">
        <f>IF(AJ51="","",SUMIFS(Performance!$O$5:$O$404,Performance!$H$5:$H$404,AJ51))</f>
        <v>0</v>
      </c>
      <c r="AM51" s="23">
        <f>IF(AJ51="","",SUMIFS(Performance!$Z$5:$Z$404,Performance!$H$5:$H$404,AJ51))</f>
        <v>0</v>
      </c>
      <c r="AN51" s="24">
        <f>IF(OR(AL51="",AL51=0),"",AM51/AL51)</f>
        <v>0</v>
      </c>
      <c r="AO51" s="32">
        <f>IF(AN51="","",AN51+ROW()/1000000)</f>
        <v>0</v>
      </c>
      <c r="AP51" s="17">
        <f>IF(Lists!$E51="","",Lists!$E51)</f>
        <v>0</v>
      </c>
      <c r="AQ51" s="23">
        <f>IF(AP51="","",COUNTIF(Performance!$G$5:$G$404,AP51))</f>
        <v>0</v>
      </c>
      <c r="AR51" s="23">
        <f>IF(AP51="","",SUMIFS(Performance!$O$5:$O$404,Performance!$G$5:$G$404,AP51))</f>
        <v>0</v>
      </c>
      <c r="AS51" s="23">
        <f>IF(AP51="","",SUMIFS(Performance!$Z$5:$Z$404,Performance!$G$5:$G$404,AP51))</f>
        <v>0</v>
      </c>
      <c r="AT51" s="24">
        <f>IF(OR(AR51="",AR51=0),"",AS51/AR51)</f>
        <v>0</v>
      </c>
      <c r="AU51" s="32">
        <f>IF(AQ51=0,"",IF(AT51="","",AT51+ROW()/1000000))</f>
        <v>0</v>
      </c>
      <c r="AV51" s="17">
        <f>IF(ROW()-4&gt;7,"",TEXT(DATE(2024,1,ROW()-4),"ddd"))</f>
        <v>0</v>
      </c>
      <c r="AW51" s="23">
        <f>IF(AV51="","",COUNTIF(Performance!$N$5:$N$404,AV51))</f>
        <v>0</v>
      </c>
      <c r="AX51" s="23">
        <f>IF(AV51="","",SUMIFS(Performance!$O$5:$O$404,Performance!$N$5:$N$404,AV51))</f>
        <v>0</v>
      </c>
      <c r="AY51" s="23">
        <f>IF(AV51="","",SUMIFS(Performance!$Z$5:$Z$404,Performance!$N$5:$N$404,AV51))</f>
        <v>0</v>
      </c>
      <c r="AZ51" s="24">
        <f>IF(OR(AX51="",AX51=0),"",AY51/AX51)</f>
        <v>0</v>
      </c>
      <c r="BA51" s="32">
        <f>IF(AW51=0,"",IF(AZ51="","",AZ51+ROW()/1000000))</f>
        <v>0</v>
      </c>
      <c r="BB51" s="17">
        <f>IF(Lists!$AL51="","",Lists!$AL51)</f>
        <v>0</v>
      </c>
      <c r="BC51" s="23">
        <f>IF(BB51="","",COUNTIF(Performance!$M$5:$M$404,BB51))</f>
        <v>0</v>
      </c>
      <c r="BD51" s="23">
        <f>IF(BB51="","",SUMIFS(Performance!$O$5:$O$404,Performance!$M$5:$M$404,BB51))</f>
        <v>0</v>
      </c>
      <c r="BE51" s="23">
        <f>IF(BB51="","",SUMIFS(Performance!$Z$5:$Z$404,Performance!$M$5:$M$404,BB51))</f>
        <v>0</v>
      </c>
      <c r="BF51" s="24">
        <f>IF(OR(BD51="",BD51=0),"",BE51/BD51)</f>
        <v>0</v>
      </c>
      <c r="BG51" s="32">
        <f>IF(BC51=0,"",IF(BF51="","",BF51+ROW()/1000000))</f>
        <v>0</v>
      </c>
      <c r="BH51" s="17">
        <f>IF(Performance!$C$51="","",Performance!$C$51)</f>
        <v>0</v>
      </c>
      <c r="BI51" s="17">
        <f>IF(Performance!$F$51="","",Performance!$F$51)</f>
        <v>0</v>
      </c>
      <c r="BJ51" s="17">
        <f>IF(Performance!$H$51="","",Performance!$H$51)</f>
        <v>0</v>
      </c>
      <c r="BK51" s="16">
        <f>IF(Performance!$D$51="","",Performance!$D$51)</f>
        <v>0</v>
      </c>
      <c r="BL51" s="17">
        <f>IF(Performance!$E$51="","",Performance!$E$51)</f>
        <v>0</v>
      </c>
      <c r="BM51" s="23">
        <f>IF(Performance!$O$51="","",Performance!$O$51)</f>
        <v>0</v>
      </c>
      <c r="BN51" s="24">
        <f>IF(Performance!$AA$51="","",Performance!$AA$51)</f>
        <v>0</v>
      </c>
      <c r="BO51" s="32">
        <f>IF(BH51="","",IF(BK51="","",IF(OR(BK51&lt;DashStart,BK51&gt;DashEnd),"",IF(BN51="","",BN51+ROW()/1000000))))</f>
        <v>0</v>
      </c>
      <c r="BP51" s="32">
        <f>IF(BM51="","",IF(BK51="","",IF(OR(BK51&lt;DashStart,BK51&gt;DashEnd),"",BM51+ROW()/1000000)))</f>
        <v>0</v>
      </c>
      <c r="BQ51" s="32">
        <f>IF(BH51="","",IF(BK51="","",IF(YEAR(BK51)&lt;&gt;PlanYear,"",IF(BN51="","",BN51+ROW()/1000000))))</f>
        <v>0</v>
      </c>
      <c r="BR51" s="32">
        <f>IF(BH51="","",IF(BK51="","",IF(OR(BK51&lt;RepFrom,BK51&gt;RepTo),"",IF(BN51="","",BN51+ROW()/1000000))))</f>
        <v>0</v>
      </c>
      <c r="BS51" s="32">
        <f>IF(BM51="","",IF(BK51="","",IF(YEAR(BK51)&lt;&gt;PlanYear,"",BM51+ROW()/1000000)))</f>
        <v>0</v>
      </c>
      <c r="BT51" s="17">
        <f>IF(Lists!$F51="","",Lists!$F51)</f>
        <v>0</v>
      </c>
      <c r="BU51" s="23">
        <f>IF(BT51="","",COUNTIF('Content Calendar'!$X$5:$X$604,BT51))</f>
        <v>0</v>
      </c>
      <c r="BV51" s="23">
        <f>IF(BT51="","",COUNTIFS('Content Calendar'!$X$5:$X$604,BT51,'Content Calendar'!$B$5:$B$604,"&gt;="&amp;DashStart,'Content Calendar'!$B$5:$B$604,"&lt;="&amp;DashEnd))</f>
        <v>0</v>
      </c>
      <c r="BW51" s="17">
        <f>IF(Team!$B$51="","",Team!$B$51)</f>
        <v>0</v>
      </c>
      <c r="BX51" s="23">
        <f>IF(BW51="","",COUNTIF('Content Calendar'!$W$5:$W$604,BW51))</f>
        <v>0</v>
      </c>
      <c r="BY51" s="23">
        <f>IF(BW51="","",COUNTIFS('Content Calendar'!$W$5:$W$604,BW51,'Content Calendar'!$X$5:$X$604,"&lt;&gt;Published"))</f>
        <v>0</v>
      </c>
      <c r="BZ51" s="23">
        <f>IF(BW51="","",COUNTIFS(Tasks!$C$5:$C$64,BW51,Tasks!$G$5:$G$64,"&lt;&gt;Complete"))</f>
        <v>0</v>
      </c>
      <c r="CA51" s="17">
        <f>IF(Campaigns!$B$51="","",Campaigns!$B$51)</f>
        <v>0</v>
      </c>
      <c r="CB51" s="25">
        <f>IF(Campaigns!$T$51="","",Campaigns!$T$51)</f>
        <v>0</v>
      </c>
      <c r="CC51" s="25">
        <f>IF(Campaigns!$Q$51="","",Campaigns!$Q$51)</f>
        <v>0</v>
      </c>
      <c r="CD51" s="23">
        <f>IF(Campaigns!$Y$51="","",Campaigns!$Y$51)</f>
        <v>0</v>
      </c>
      <c r="CE51" s="32">
        <f>IF(CA51="","",IF(N(CB51)&lt;=0,"",N(CB51)+ROW()/1000000))</f>
        <v>0</v>
      </c>
      <c r="CF51" s="17">
        <f>IF(Accounts!$C$51="","",Accounts!$C$51)</f>
        <v>0</v>
      </c>
      <c r="CG51" s="17">
        <f>IF(Accounts!$B$51="","",Accounts!$B$51)</f>
        <v>0</v>
      </c>
      <c r="CH51" s="23">
        <f>IF(Accounts!$J$51="","",Accounts!$J$51)</f>
        <v>0</v>
      </c>
      <c r="CI51" s="23">
        <f>IF(CF51="","",SUMIFS(Analytics!$X$5:$X$154,Analytics!$E$5:$E$154,CF51,Analytics!$B$5:$B$154,"&gt;="&amp;DashStart,Analytics!$B$5:$B$154,"&lt;="&amp;DashEnd))</f>
        <v>0</v>
      </c>
      <c r="CJ51" s="32">
        <f>IF(CH51="","",IF(CH51=0,"",CH51+ROW()/1000000))</f>
        <v>0</v>
      </c>
    </row>
    <row r="52" spans="1:88">
      <c r="A52" s="16">
        <f>IF(ROW()-4&gt;12,"",DATE(PlanYear,ROW()-4,1))</f>
        <v>0</v>
      </c>
      <c r="B52" s="16">
        <f>IF(A52="","",EOMONTH(A52,0))</f>
        <v>0</v>
      </c>
      <c r="C52" s="17">
        <f>IF(A52="","",TEXT(A52,"yyyy-mm"))</f>
        <v>0</v>
      </c>
      <c r="D52" s="17">
        <f>IF(A52="","",TEXT(A52,"mmm"))</f>
        <v>0</v>
      </c>
      <c r="E52" s="23">
        <f>IF(C52="","",COUNTIFS('Content Calendar'!$D$5:$D$604,C52))</f>
        <v>0</v>
      </c>
      <c r="F52" s="23">
        <f>IF(C52="","",COUNTIFS('Content Calendar'!$D$5:$D$604,C52,'Content Calendar'!$X$5:$X$604,"Published"))</f>
        <v>0</v>
      </c>
      <c r="G52" s="23">
        <f>IF(C52="","",SUMIFS(Analytics!$J$5:$J$154,Analytics!$C$5:$C$154,C52))</f>
        <v>0</v>
      </c>
      <c r="H52" s="23">
        <f>IF(C52="","",SUMIFS(Analytics!$K$5:$K$154,Analytics!$C$5:$C$154,C52))</f>
        <v>0</v>
      </c>
      <c r="I52" s="23">
        <f>IF(C52="","",SUMIFS(Analytics!$L$5:$L$154,Analytics!$C$5:$C$154,C52))</f>
        <v>0</v>
      </c>
      <c r="J52" s="24">
        <f>IF(OR(G52="",G52=0),"",I52/G52)</f>
        <v>0</v>
      </c>
      <c r="K52" s="23">
        <f>IF(C52="","",SUMIFS(Analytics!$G$5:$G$154,Analytics!$C$5:$C$154,C52))</f>
        <v>0</v>
      </c>
      <c r="L52" s="23">
        <f>IF(C52="","",SUMIFS(Analytics!$X$5:$X$154,Analytics!$C$5:$C$154,C52))</f>
        <v>0</v>
      </c>
      <c r="M52" s="23">
        <f>IF(C52="","",SUMIFS(Analytics!$R$5:$R$154,Analytics!$C$5:$C$154,C52))</f>
        <v>0</v>
      </c>
      <c r="N52" s="23">
        <f>IF(C52="","",SUMIFS(Analytics!$S$5:$S$154,Analytics!$C$5:$C$154,C52))</f>
        <v>0</v>
      </c>
      <c r="O52" s="23">
        <f>IF(C52="","",SUMIFS(Analytics!$T$5:$T$154,Analytics!$C$5:$C$154,C52))</f>
        <v>0</v>
      </c>
      <c r="P52" s="25">
        <f>IF(C52="","",SUMIFS(Analytics!$U$5:$U$154,Analytics!$C$5:$C$154,C52))</f>
        <v>0</v>
      </c>
      <c r="Q52" s="25">
        <f>IF(C52="","",SUMIFS(Budget!$H$5:$H$64,Budget!$C$5:$C$64,C52))</f>
        <v>0</v>
      </c>
      <c r="R52" s="25">
        <f>IF(C52="","",P52-Q52)</f>
        <v>0</v>
      </c>
      <c r="S52" s="23">
        <f>IF(C52="","",MonthlyPostTarget)</f>
        <v>0</v>
      </c>
      <c r="T52" s="17">
        <f>IF(Lists!$C52="","",Lists!$C52)</f>
        <v>0</v>
      </c>
      <c r="U52" s="23">
        <f>IF(T52="","",COUNTIFS('Content Calendar'!$G$5:$G$604,T52,'Content Calendar'!$B$5:$B$604,"&gt;="&amp;DashStart,'Content Calendar'!$B$5:$B$604,"&lt;="&amp;DashEnd))</f>
        <v>0</v>
      </c>
      <c r="V52" s="23">
        <f>IF(T52="","",COUNTIFS('Content Calendar'!$G$5:$G$604,T52,'Content Calendar'!$X$5:$X$604,"Published",'Content Calendar'!$B$5:$B$604,"&gt;="&amp;DashStart,'Content Calendar'!$B$5:$B$604,"&lt;="&amp;DashEnd))</f>
        <v>0</v>
      </c>
      <c r="W52" s="23">
        <f>IF(T52="","",SUMIFS(Analytics!$J$5:$J$154,Analytics!$D$5:$D$154,T52,Analytics!$B$5:$B$154,"&gt;="&amp;DashStart,Analytics!$B$5:$B$154,"&lt;="&amp;DashEnd))</f>
        <v>0</v>
      </c>
      <c r="X52" s="23">
        <f>IF(T52="","",SUMIFS(Analytics!$L$5:$L$154,Analytics!$D$5:$D$154,T52,Analytics!$B$5:$B$154,"&gt;="&amp;DashStart,Analytics!$B$5:$B$154,"&lt;="&amp;DashEnd))</f>
        <v>0</v>
      </c>
      <c r="Y52" s="24">
        <f>IF(OR(W52="",W52=0),"",X52/W52)</f>
        <v>0</v>
      </c>
      <c r="Z52" s="23">
        <f>IF(T52="","",SUMIFS(Analytics!$G$5:$G$154,Analytics!$D$5:$D$154,T52,Analytics!$B$5:$B$154,"&gt;="&amp;DashStart,Analytics!$B$5:$B$154,"&lt;="&amp;DashEnd))</f>
        <v>0</v>
      </c>
      <c r="AA52" s="23">
        <f>IF(T52="","",SUMIFS(Analytics!$X$5:$X$154,Analytics!$D$5:$D$154,T52,Analytics!$B$5:$B$154,"&gt;="&amp;DashStart,Analytics!$B$5:$B$154,"&lt;="&amp;DashEnd))</f>
        <v>0</v>
      </c>
      <c r="AB52" s="23">
        <f>IF(T52="","",SUMIFS(Analytics!$R$5:$R$154,Analytics!$D$5:$D$154,T52,Analytics!$B$5:$B$154,"&gt;="&amp;DashStart,Analytics!$B$5:$B$154,"&lt;="&amp;DashEnd))</f>
        <v>0</v>
      </c>
      <c r="AC52" s="25">
        <f>IF(T52="","",SUMIFS(Analytics!$U$5:$U$154,Analytics!$D$5:$D$154,T52,Analytics!$B$5:$B$154,"&gt;="&amp;DashStart,Analytics!$B$5:$B$154,"&lt;="&amp;DashEnd))</f>
        <v>0</v>
      </c>
      <c r="AD52" s="23">
        <f>IF(T52="","",COUNTIFS('Content Calendar'!$G$5:$G$604,T52,'Content Calendar'!$B$5:$B$604,"&gt;="&amp;DATE(PlanYear,1,1),'Content Calendar'!$B$5:$B$604,"&lt;="&amp;DATE(PlanYear,12,31)))</f>
        <v>0</v>
      </c>
      <c r="AE52" s="23">
        <f>IF(T52="","",SUMIFS(Analytics!$J$5:$J$154,Analytics!$D$5:$D$154,T52))</f>
        <v>0</v>
      </c>
      <c r="AF52" s="23">
        <f>IF(T52="","",SUMIFS(Analytics!$L$5:$L$154,Analytics!$D$5:$D$154,T52))</f>
        <v>0</v>
      </c>
      <c r="AG52" s="24">
        <f>IF(OR(AE52="",AE52=0),"",AF52/AE52)</f>
        <v>0</v>
      </c>
      <c r="AH52" s="23">
        <f>IF(T52="","",SUMIFS(Analytics!$X$5:$X$154,Analytics!$D$5:$D$154,T52))</f>
        <v>0</v>
      </c>
      <c r="AI52" s="32">
        <f>IF(T52="","",IF(AE52=0,"",AE52+ROW()/1000000))</f>
        <v>0</v>
      </c>
      <c r="AJ52" s="17">
        <f>IF('Content Pillars'!$B$52="","",'Content Pillars'!$B$52)</f>
        <v>0</v>
      </c>
      <c r="AK52" s="23">
        <f>IF(AJ52="","",COUNTIFS('Content Calendar'!$J$5:$J$604,AJ52,'Content Calendar'!$B$5:$B$604,"&gt;="&amp;DATE(PlanYear,1,1),'Content Calendar'!$B$5:$B$604,"&lt;="&amp;DATE(PlanYear,12,31)))</f>
        <v>0</v>
      </c>
      <c r="AL52" s="23">
        <f>IF(AJ52="","",SUMIFS(Performance!$O$5:$O$404,Performance!$H$5:$H$404,AJ52))</f>
        <v>0</v>
      </c>
      <c r="AM52" s="23">
        <f>IF(AJ52="","",SUMIFS(Performance!$Z$5:$Z$404,Performance!$H$5:$H$404,AJ52))</f>
        <v>0</v>
      </c>
      <c r="AN52" s="24">
        <f>IF(OR(AL52="",AL52=0),"",AM52/AL52)</f>
        <v>0</v>
      </c>
      <c r="AO52" s="32">
        <f>IF(AN52="","",AN52+ROW()/1000000)</f>
        <v>0</v>
      </c>
      <c r="AP52" s="17">
        <f>IF(Lists!$E52="","",Lists!$E52)</f>
        <v>0</v>
      </c>
      <c r="AQ52" s="23">
        <f>IF(AP52="","",COUNTIF(Performance!$G$5:$G$404,AP52))</f>
        <v>0</v>
      </c>
      <c r="AR52" s="23">
        <f>IF(AP52="","",SUMIFS(Performance!$O$5:$O$404,Performance!$G$5:$G$404,AP52))</f>
        <v>0</v>
      </c>
      <c r="AS52" s="23">
        <f>IF(AP52="","",SUMIFS(Performance!$Z$5:$Z$404,Performance!$G$5:$G$404,AP52))</f>
        <v>0</v>
      </c>
      <c r="AT52" s="24">
        <f>IF(OR(AR52="",AR52=0),"",AS52/AR52)</f>
        <v>0</v>
      </c>
      <c r="AU52" s="32">
        <f>IF(AQ52=0,"",IF(AT52="","",AT52+ROW()/1000000))</f>
        <v>0</v>
      </c>
      <c r="AV52" s="17">
        <f>IF(ROW()-4&gt;7,"",TEXT(DATE(2024,1,ROW()-4),"ddd"))</f>
        <v>0</v>
      </c>
      <c r="AW52" s="23">
        <f>IF(AV52="","",COUNTIF(Performance!$N$5:$N$404,AV52))</f>
        <v>0</v>
      </c>
      <c r="AX52" s="23">
        <f>IF(AV52="","",SUMIFS(Performance!$O$5:$O$404,Performance!$N$5:$N$404,AV52))</f>
        <v>0</v>
      </c>
      <c r="AY52" s="23">
        <f>IF(AV52="","",SUMIFS(Performance!$Z$5:$Z$404,Performance!$N$5:$N$404,AV52))</f>
        <v>0</v>
      </c>
      <c r="AZ52" s="24">
        <f>IF(OR(AX52="",AX52=0),"",AY52/AX52)</f>
        <v>0</v>
      </c>
      <c r="BA52" s="32">
        <f>IF(AW52=0,"",IF(AZ52="","",AZ52+ROW()/1000000))</f>
        <v>0</v>
      </c>
      <c r="BB52" s="17">
        <f>IF(Lists!$AL52="","",Lists!$AL52)</f>
        <v>0</v>
      </c>
      <c r="BC52" s="23">
        <f>IF(BB52="","",COUNTIF(Performance!$M$5:$M$404,BB52))</f>
        <v>0</v>
      </c>
      <c r="BD52" s="23">
        <f>IF(BB52="","",SUMIFS(Performance!$O$5:$O$404,Performance!$M$5:$M$404,BB52))</f>
        <v>0</v>
      </c>
      <c r="BE52" s="23">
        <f>IF(BB52="","",SUMIFS(Performance!$Z$5:$Z$404,Performance!$M$5:$M$404,BB52))</f>
        <v>0</v>
      </c>
      <c r="BF52" s="24">
        <f>IF(OR(BD52="",BD52=0),"",BE52/BD52)</f>
        <v>0</v>
      </c>
      <c r="BG52" s="32">
        <f>IF(BC52=0,"",IF(BF52="","",BF52+ROW()/1000000))</f>
        <v>0</v>
      </c>
      <c r="BH52" s="17">
        <f>IF(Performance!$C$52="","",Performance!$C$52)</f>
        <v>0</v>
      </c>
      <c r="BI52" s="17">
        <f>IF(Performance!$F$52="","",Performance!$F$52)</f>
        <v>0</v>
      </c>
      <c r="BJ52" s="17">
        <f>IF(Performance!$H$52="","",Performance!$H$52)</f>
        <v>0</v>
      </c>
      <c r="BK52" s="16">
        <f>IF(Performance!$D$52="","",Performance!$D$52)</f>
        <v>0</v>
      </c>
      <c r="BL52" s="17">
        <f>IF(Performance!$E$52="","",Performance!$E$52)</f>
        <v>0</v>
      </c>
      <c r="BM52" s="23">
        <f>IF(Performance!$O$52="","",Performance!$O$52)</f>
        <v>0</v>
      </c>
      <c r="BN52" s="24">
        <f>IF(Performance!$AA$52="","",Performance!$AA$52)</f>
        <v>0</v>
      </c>
      <c r="BO52" s="32">
        <f>IF(BH52="","",IF(BK52="","",IF(OR(BK52&lt;DashStart,BK52&gt;DashEnd),"",IF(BN52="","",BN52+ROW()/1000000))))</f>
        <v>0</v>
      </c>
      <c r="BP52" s="32">
        <f>IF(BM52="","",IF(BK52="","",IF(OR(BK52&lt;DashStart,BK52&gt;DashEnd),"",BM52+ROW()/1000000)))</f>
        <v>0</v>
      </c>
      <c r="BQ52" s="32">
        <f>IF(BH52="","",IF(BK52="","",IF(YEAR(BK52)&lt;&gt;PlanYear,"",IF(BN52="","",BN52+ROW()/1000000))))</f>
        <v>0</v>
      </c>
      <c r="BR52" s="32">
        <f>IF(BH52="","",IF(BK52="","",IF(OR(BK52&lt;RepFrom,BK52&gt;RepTo),"",IF(BN52="","",BN52+ROW()/1000000))))</f>
        <v>0</v>
      </c>
      <c r="BS52" s="32">
        <f>IF(BM52="","",IF(BK52="","",IF(YEAR(BK52)&lt;&gt;PlanYear,"",BM52+ROW()/1000000)))</f>
        <v>0</v>
      </c>
      <c r="BT52" s="17">
        <f>IF(Lists!$F52="","",Lists!$F52)</f>
        <v>0</v>
      </c>
      <c r="BU52" s="23">
        <f>IF(BT52="","",COUNTIF('Content Calendar'!$X$5:$X$604,BT52))</f>
        <v>0</v>
      </c>
      <c r="BV52" s="23">
        <f>IF(BT52="","",COUNTIFS('Content Calendar'!$X$5:$X$604,BT52,'Content Calendar'!$B$5:$B$604,"&gt;="&amp;DashStart,'Content Calendar'!$B$5:$B$604,"&lt;="&amp;DashEnd))</f>
        <v>0</v>
      </c>
      <c r="BW52" s="17">
        <f>IF(Team!$B$52="","",Team!$B$52)</f>
        <v>0</v>
      </c>
      <c r="BX52" s="23">
        <f>IF(BW52="","",COUNTIF('Content Calendar'!$W$5:$W$604,BW52))</f>
        <v>0</v>
      </c>
      <c r="BY52" s="23">
        <f>IF(BW52="","",COUNTIFS('Content Calendar'!$W$5:$W$604,BW52,'Content Calendar'!$X$5:$X$604,"&lt;&gt;Published"))</f>
        <v>0</v>
      </c>
      <c r="BZ52" s="23">
        <f>IF(BW52="","",COUNTIFS(Tasks!$C$5:$C$64,BW52,Tasks!$G$5:$G$64,"&lt;&gt;Complete"))</f>
        <v>0</v>
      </c>
      <c r="CA52" s="17">
        <f>IF(Campaigns!$B$52="","",Campaigns!$B$52)</f>
        <v>0</v>
      </c>
      <c r="CB52" s="25">
        <f>IF(Campaigns!$T$52="","",Campaigns!$T$52)</f>
        <v>0</v>
      </c>
      <c r="CC52" s="25">
        <f>IF(Campaigns!$Q$52="","",Campaigns!$Q$52)</f>
        <v>0</v>
      </c>
      <c r="CD52" s="23">
        <f>IF(Campaigns!$Y$52="","",Campaigns!$Y$52)</f>
        <v>0</v>
      </c>
      <c r="CE52" s="32">
        <f>IF(CA52="","",IF(N(CB52)&lt;=0,"",N(CB52)+ROW()/1000000))</f>
        <v>0</v>
      </c>
      <c r="CF52" s="17">
        <f>IF(Accounts!$C$52="","",Accounts!$C$52)</f>
        <v>0</v>
      </c>
      <c r="CG52" s="17">
        <f>IF(Accounts!$B$52="","",Accounts!$B$52)</f>
        <v>0</v>
      </c>
      <c r="CH52" s="23">
        <f>IF(Accounts!$J$52="","",Accounts!$J$52)</f>
        <v>0</v>
      </c>
      <c r="CI52" s="23">
        <f>IF(CF52="","",SUMIFS(Analytics!$X$5:$X$154,Analytics!$E$5:$E$154,CF52,Analytics!$B$5:$B$154,"&gt;="&amp;DashStart,Analytics!$B$5:$B$154,"&lt;="&amp;DashEnd))</f>
        <v>0</v>
      </c>
      <c r="CJ52" s="32">
        <f>IF(CH52="","",IF(CH52=0,"",CH52+ROW()/1000000))</f>
        <v>0</v>
      </c>
    </row>
    <row r="53" spans="1:88">
      <c r="A53" s="16">
        <f>IF(ROW()-4&gt;12,"",DATE(PlanYear,ROW()-4,1))</f>
        <v>0</v>
      </c>
      <c r="B53" s="16">
        <f>IF(A53="","",EOMONTH(A53,0))</f>
        <v>0</v>
      </c>
      <c r="C53" s="17">
        <f>IF(A53="","",TEXT(A53,"yyyy-mm"))</f>
        <v>0</v>
      </c>
      <c r="D53" s="17">
        <f>IF(A53="","",TEXT(A53,"mmm"))</f>
        <v>0</v>
      </c>
      <c r="E53" s="23">
        <f>IF(C53="","",COUNTIFS('Content Calendar'!$D$5:$D$604,C53))</f>
        <v>0</v>
      </c>
      <c r="F53" s="23">
        <f>IF(C53="","",COUNTIFS('Content Calendar'!$D$5:$D$604,C53,'Content Calendar'!$X$5:$X$604,"Published"))</f>
        <v>0</v>
      </c>
      <c r="G53" s="23">
        <f>IF(C53="","",SUMIFS(Analytics!$J$5:$J$154,Analytics!$C$5:$C$154,C53))</f>
        <v>0</v>
      </c>
      <c r="H53" s="23">
        <f>IF(C53="","",SUMIFS(Analytics!$K$5:$K$154,Analytics!$C$5:$C$154,C53))</f>
        <v>0</v>
      </c>
      <c r="I53" s="23">
        <f>IF(C53="","",SUMIFS(Analytics!$L$5:$L$154,Analytics!$C$5:$C$154,C53))</f>
        <v>0</v>
      </c>
      <c r="J53" s="24">
        <f>IF(OR(G53="",G53=0),"",I53/G53)</f>
        <v>0</v>
      </c>
      <c r="K53" s="23">
        <f>IF(C53="","",SUMIFS(Analytics!$G$5:$G$154,Analytics!$C$5:$C$154,C53))</f>
        <v>0</v>
      </c>
      <c r="L53" s="23">
        <f>IF(C53="","",SUMIFS(Analytics!$X$5:$X$154,Analytics!$C$5:$C$154,C53))</f>
        <v>0</v>
      </c>
      <c r="M53" s="23">
        <f>IF(C53="","",SUMIFS(Analytics!$R$5:$R$154,Analytics!$C$5:$C$154,C53))</f>
        <v>0</v>
      </c>
      <c r="N53" s="23">
        <f>IF(C53="","",SUMIFS(Analytics!$S$5:$S$154,Analytics!$C$5:$C$154,C53))</f>
        <v>0</v>
      </c>
      <c r="O53" s="23">
        <f>IF(C53="","",SUMIFS(Analytics!$T$5:$T$154,Analytics!$C$5:$C$154,C53))</f>
        <v>0</v>
      </c>
      <c r="P53" s="25">
        <f>IF(C53="","",SUMIFS(Analytics!$U$5:$U$154,Analytics!$C$5:$C$154,C53))</f>
        <v>0</v>
      </c>
      <c r="Q53" s="25">
        <f>IF(C53="","",SUMIFS(Budget!$H$5:$H$64,Budget!$C$5:$C$64,C53))</f>
        <v>0</v>
      </c>
      <c r="R53" s="25">
        <f>IF(C53="","",P53-Q53)</f>
        <v>0</v>
      </c>
      <c r="S53" s="23">
        <f>IF(C53="","",MonthlyPostTarget)</f>
        <v>0</v>
      </c>
      <c r="T53" s="17">
        <f>IF(Lists!$C53="","",Lists!$C53)</f>
        <v>0</v>
      </c>
      <c r="U53" s="23">
        <f>IF(T53="","",COUNTIFS('Content Calendar'!$G$5:$G$604,T53,'Content Calendar'!$B$5:$B$604,"&gt;="&amp;DashStart,'Content Calendar'!$B$5:$B$604,"&lt;="&amp;DashEnd))</f>
        <v>0</v>
      </c>
      <c r="V53" s="23">
        <f>IF(T53="","",COUNTIFS('Content Calendar'!$G$5:$G$604,T53,'Content Calendar'!$X$5:$X$604,"Published",'Content Calendar'!$B$5:$B$604,"&gt;="&amp;DashStart,'Content Calendar'!$B$5:$B$604,"&lt;="&amp;DashEnd))</f>
        <v>0</v>
      </c>
      <c r="W53" s="23">
        <f>IF(T53="","",SUMIFS(Analytics!$J$5:$J$154,Analytics!$D$5:$D$154,T53,Analytics!$B$5:$B$154,"&gt;="&amp;DashStart,Analytics!$B$5:$B$154,"&lt;="&amp;DashEnd))</f>
        <v>0</v>
      </c>
      <c r="X53" s="23">
        <f>IF(T53="","",SUMIFS(Analytics!$L$5:$L$154,Analytics!$D$5:$D$154,T53,Analytics!$B$5:$B$154,"&gt;="&amp;DashStart,Analytics!$B$5:$B$154,"&lt;="&amp;DashEnd))</f>
        <v>0</v>
      </c>
      <c r="Y53" s="24">
        <f>IF(OR(W53="",W53=0),"",X53/W53)</f>
        <v>0</v>
      </c>
      <c r="Z53" s="23">
        <f>IF(T53="","",SUMIFS(Analytics!$G$5:$G$154,Analytics!$D$5:$D$154,T53,Analytics!$B$5:$B$154,"&gt;="&amp;DashStart,Analytics!$B$5:$B$154,"&lt;="&amp;DashEnd))</f>
        <v>0</v>
      </c>
      <c r="AA53" s="23">
        <f>IF(T53="","",SUMIFS(Analytics!$X$5:$X$154,Analytics!$D$5:$D$154,T53,Analytics!$B$5:$B$154,"&gt;="&amp;DashStart,Analytics!$B$5:$B$154,"&lt;="&amp;DashEnd))</f>
        <v>0</v>
      </c>
      <c r="AB53" s="23">
        <f>IF(T53="","",SUMIFS(Analytics!$R$5:$R$154,Analytics!$D$5:$D$154,T53,Analytics!$B$5:$B$154,"&gt;="&amp;DashStart,Analytics!$B$5:$B$154,"&lt;="&amp;DashEnd))</f>
        <v>0</v>
      </c>
      <c r="AC53" s="25">
        <f>IF(T53="","",SUMIFS(Analytics!$U$5:$U$154,Analytics!$D$5:$D$154,T53,Analytics!$B$5:$B$154,"&gt;="&amp;DashStart,Analytics!$B$5:$B$154,"&lt;="&amp;DashEnd))</f>
        <v>0</v>
      </c>
      <c r="AD53" s="23">
        <f>IF(T53="","",COUNTIFS('Content Calendar'!$G$5:$G$604,T53,'Content Calendar'!$B$5:$B$604,"&gt;="&amp;DATE(PlanYear,1,1),'Content Calendar'!$B$5:$B$604,"&lt;="&amp;DATE(PlanYear,12,31)))</f>
        <v>0</v>
      </c>
      <c r="AE53" s="23">
        <f>IF(T53="","",SUMIFS(Analytics!$J$5:$J$154,Analytics!$D$5:$D$154,T53))</f>
        <v>0</v>
      </c>
      <c r="AF53" s="23">
        <f>IF(T53="","",SUMIFS(Analytics!$L$5:$L$154,Analytics!$D$5:$D$154,T53))</f>
        <v>0</v>
      </c>
      <c r="AG53" s="24">
        <f>IF(OR(AE53="",AE53=0),"",AF53/AE53)</f>
        <v>0</v>
      </c>
      <c r="AH53" s="23">
        <f>IF(T53="","",SUMIFS(Analytics!$X$5:$X$154,Analytics!$D$5:$D$154,T53))</f>
        <v>0</v>
      </c>
      <c r="AI53" s="32">
        <f>IF(T53="","",IF(AE53=0,"",AE53+ROW()/1000000))</f>
        <v>0</v>
      </c>
      <c r="AJ53" s="17">
        <f>IF('Content Pillars'!$B$53="","",'Content Pillars'!$B$53)</f>
        <v>0</v>
      </c>
      <c r="AK53" s="23">
        <f>IF(AJ53="","",COUNTIFS('Content Calendar'!$J$5:$J$604,AJ53,'Content Calendar'!$B$5:$B$604,"&gt;="&amp;DATE(PlanYear,1,1),'Content Calendar'!$B$5:$B$604,"&lt;="&amp;DATE(PlanYear,12,31)))</f>
        <v>0</v>
      </c>
      <c r="AL53" s="23">
        <f>IF(AJ53="","",SUMIFS(Performance!$O$5:$O$404,Performance!$H$5:$H$404,AJ53))</f>
        <v>0</v>
      </c>
      <c r="AM53" s="23">
        <f>IF(AJ53="","",SUMIFS(Performance!$Z$5:$Z$404,Performance!$H$5:$H$404,AJ53))</f>
        <v>0</v>
      </c>
      <c r="AN53" s="24">
        <f>IF(OR(AL53="",AL53=0),"",AM53/AL53)</f>
        <v>0</v>
      </c>
      <c r="AO53" s="32">
        <f>IF(AN53="","",AN53+ROW()/1000000)</f>
        <v>0</v>
      </c>
      <c r="AP53" s="17">
        <f>IF(Lists!$E53="","",Lists!$E53)</f>
        <v>0</v>
      </c>
      <c r="AQ53" s="23">
        <f>IF(AP53="","",COUNTIF(Performance!$G$5:$G$404,AP53))</f>
        <v>0</v>
      </c>
      <c r="AR53" s="23">
        <f>IF(AP53="","",SUMIFS(Performance!$O$5:$O$404,Performance!$G$5:$G$404,AP53))</f>
        <v>0</v>
      </c>
      <c r="AS53" s="23">
        <f>IF(AP53="","",SUMIFS(Performance!$Z$5:$Z$404,Performance!$G$5:$G$404,AP53))</f>
        <v>0</v>
      </c>
      <c r="AT53" s="24">
        <f>IF(OR(AR53="",AR53=0),"",AS53/AR53)</f>
        <v>0</v>
      </c>
      <c r="AU53" s="32">
        <f>IF(AQ53=0,"",IF(AT53="","",AT53+ROW()/1000000))</f>
        <v>0</v>
      </c>
      <c r="AV53" s="17">
        <f>IF(ROW()-4&gt;7,"",TEXT(DATE(2024,1,ROW()-4),"ddd"))</f>
        <v>0</v>
      </c>
      <c r="AW53" s="23">
        <f>IF(AV53="","",COUNTIF(Performance!$N$5:$N$404,AV53))</f>
        <v>0</v>
      </c>
      <c r="AX53" s="23">
        <f>IF(AV53="","",SUMIFS(Performance!$O$5:$O$404,Performance!$N$5:$N$404,AV53))</f>
        <v>0</v>
      </c>
      <c r="AY53" s="23">
        <f>IF(AV53="","",SUMIFS(Performance!$Z$5:$Z$404,Performance!$N$5:$N$404,AV53))</f>
        <v>0</v>
      </c>
      <c r="AZ53" s="24">
        <f>IF(OR(AX53="",AX53=0),"",AY53/AX53)</f>
        <v>0</v>
      </c>
      <c r="BA53" s="32">
        <f>IF(AW53=0,"",IF(AZ53="","",AZ53+ROW()/1000000))</f>
        <v>0</v>
      </c>
      <c r="BB53" s="17">
        <f>IF(Lists!$AL53="","",Lists!$AL53)</f>
        <v>0</v>
      </c>
      <c r="BC53" s="23">
        <f>IF(BB53="","",COUNTIF(Performance!$M$5:$M$404,BB53))</f>
        <v>0</v>
      </c>
      <c r="BD53" s="23">
        <f>IF(BB53="","",SUMIFS(Performance!$O$5:$O$404,Performance!$M$5:$M$404,BB53))</f>
        <v>0</v>
      </c>
      <c r="BE53" s="23">
        <f>IF(BB53="","",SUMIFS(Performance!$Z$5:$Z$404,Performance!$M$5:$M$404,BB53))</f>
        <v>0</v>
      </c>
      <c r="BF53" s="24">
        <f>IF(OR(BD53="",BD53=0),"",BE53/BD53)</f>
        <v>0</v>
      </c>
      <c r="BG53" s="32">
        <f>IF(BC53=0,"",IF(BF53="","",BF53+ROW()/1000000))</f>
        <v>0</v>
      </c>
      <c r="BH53" s="17">
        <f>IF(Performance!$C$53="","",Performance!$C$53)</f>
        <v>0</v>
      </c>
      <c r="BI53" s="17">
        <f>IF(Performance!$F$53="","",Performance!$F$53)</f>
        <v>0</v>
      </c>
      <c r="BJ53" s="17">
        <f>IF(Performance!$H$53="","",Performance!$H$53)</f>
        <v>0</v>
      </c>
      <c r="BK53" s="16">
        <f>IF(Performance!$D$53="","",Performance!$D$53)</f>
        <v>0</v>
      </c>
      <c r="BL53" s="17">
        <f>IF(Performance!$E$53="","",Performance!$E$53)</f>
        <v>0</v>
      </c>
      <c r="BM53" s="23">
        <f>IF(Performance!$O$53="","",Performance!$O$53)</f>
        <v>0</v>
      </c>
      <c r="BN53" s="24">
        <f>IF(Performance!$AA$53="","",Performance!$AA$53)</f>
        <v>0</v>
      </c>
      <c r="BO53" s="32">
        <f>IF(BH53="","",IF(BK53="","",IF(OR(BK53&lt;DashStart,BK53&gt;DashEnd),"",IF(BN53="","",BN53+ROW()/1000000))))</f>
        <v>0</v>
      </c>
      <c r="BP53" s="32">
        <f>IF(BM53="","",IF(BK53="","",IF(OR(BK53&lt;DashStart,BK53&gt;DashEnd),"",BM53+ROW()/1000000)))</f>
        <v>0</v>
      </c>
      <c r="BQ53" s="32">
        <f>IF(BH53="","",IF(BK53="","",IF(YEAR(BK53)&lt;&gt;PlanYear,"",IF(BN53="","",BN53+ROW()/1000000))))</f>
        <v>0</v>
      </c>
      <c r="BR53" s="32">
        <f>IF(BH53="","",IF(BK53="","",IF(OR(BK53&lt;RepFrom,BK53&gt;RepTo),"",IF(BN53="","",BN53+ROW()/1000000))))</f>
        <v>0</v>
      </c>
      <c r="BS53" s="32">
        <f>IF(BM53="","",IF(BK53="","",IF(YEAR(BK53)&lt;&gt;PlanYear,"",BM53+ROW()/1000000)))</f>
        <v>0</v>
      </c>
      <c r="BT53" s="17">
        <f>IF(Lists!$F53="","",Lists!$F53)</f>
        <v>0</v>
      </c>
      <c r="BU53" s="23">
        <f>IF(BT53="","",COUNTIF('Content Calendar'!$X$5:$X$604,BT53))</f>
        <v>0</v>
      </c>
      <c r="BV53" s="23">
        <f>IF(BT53="","",COUNTIFS('Content Calendar'!$X$5:$X$604,BT53,'Content Calendar'!$B$5:$B$604,"&gt;="&amp;DashStart,'Content Calendar'!$B$5:$B$604,"&lt;="&amp;DashEnd))</f>
        <v>0</v>
      </c>
      <c r="BW53" s="17">
        <f>IF(Team!$B$53="","",Team!$B$53)</f>
        <v>0</v>
      </c>
      <c r="BX53" s="23">
        <f>IF(BW53="","",COUNTIF('Content Calendar'!$W$5:$W$604,BW53))</f>
        <v>0</v>
      </c>
      <c r="BY53" s="23">
        <f>IF(BW53="","",COUNTIFS('Content Calendar'!$W$5:$W$604,BW53,'Content Calendar'!$X$5:$X$604,"&lt;&gt;Published"))</f>
        <v>0</v>
      </c>
      <c r="BZ53" s="23">
        <f>IF(BW53="","",COUNTIFS(Tasks!$C$5:$C$64,BW53,Tasks!$G$5:$G$64,"&lt;&gt;Complete"))</f>
        <v>0</v>
      </c>
      <c r="CA53" s="17">
        <f>IF(Campaigns!$B$53="","",Campaigns!$B$53)</f>
        <v>0</v>
      </c>
      <c r="CB53" s="25">
        <f>IF(Campaigns!$T$53="","",Campaigns!$T$53)</f>
        <v>0</v>
      </c>
      <c r="CC53" s="25">
        <f>IF(Campaigns!$Q$53="","",Campaigns!$Q$53)</f>
        <v>0</v>
      </c>
      <c r="CD53" s="23">
        <f>IF(Campaigns!$Y$53="","",Campaigns!$Y$53)</f>
        <v>0</v>
      </c>
      <c r="CE53" s="32">
        <f>IF(CA53="","",IF(N(CB53)&lt;=0,"",N(CB53)+ROW()/1000000))</f>
        <v>0</v>
      </c>
      <c r="CF53" s="17">
        <f>IF(Accounts!$C$53="","",Accounts!$C$53)</f>
        <v>0</v>
      </c>
      <c r="CG53" s="17">
        <f>IF(Accounts!$B$53="","",Accounts!$B$53)</f>
        <v>0</v>
      </c>
      <c r="CH53" s="23">
        <f>IF(Accounts!$J$53="","",Accounts!$J$53)</f>
        <v>0</v>
      </c>
      <c r="CI53" s="23">
        <f>IF(CF53="","",SUMIFS(Analytics!$X$5:$X$154,Analytics!$E$5:$E$154,CF53,Analytics!$B$5:$B$154,"&gt;="&amp;DashStart,Analytics!$B$5:$B$154,"&lt;="&amp;DashEnd))</f>
        <v>0</v>
      </c>
      <c r="CJ53" s="32">
        <f>IF(CH53="","",IF(CH53=0,"",CH53+ROW()/1000000))</f>
        <v>0</v>
      </c>
    </row>
    <row r="54" spans="1:88">
      <c r="A54" s="16">
        <f>IF(ROW()-4&gt;12,"",DATE(PlanYear,ROW()-4,1))</f>
        <v>0</v>
      </c>
      <c r="B54" s="16">
        <f>IF(A54="","",EOMONTH(A54,0))</f>
        <v>0</v>
      </c>
      <c r="C54" s="17">
        <f>IF(A54="","",TEXT(A54,"yyyy-mm"))</f>
        <v>0</v>
      </c>
      <c r="D54" s="17">
        <f>IF(A54="","",TEXT(A54,"mmm"))</f>
        <v>0</v>
      </c>
      <c r="E54" s="23">
        <f>IF(C54="","",COUNTIFS('Content Calendar'!$D$5:$D$604,C54))</f>
        <v>0</v>
      </c>
      <c r="F54" s="23">
        <f>IF(C54="","",COUNTIFS('Content Calendar'!$D$5:$D$604,C54,'Content Calendar'!$X$5:$X$604,"Published"))</f>
        <v>0</v>
      </c>
      <c r="G54" s="23">
        <f>IF(C54="","",SUMIFS(Analytics!$J$5:$J$154,Analytics!$C$5:$C$154,C54))</f>
        <v>0</v>
      </c>
      <c r="H54" s="23">
        <f>IF(C54="","",SUMIFS(Analytics!$K$5:$K$154,Analytics!$C$5:$C$154,C54))</f>
        <v>0</v>
      </c>
      <c r="I54" s="23">
        <f>IF(C54="","",SUMIFS(Analytics!$L$5:$L$154,Analytics!$C$5:$C$154,C54))</f>
        <v>0</v>
      </c>
      <c r="J54" s="24">
        <f>IF(OR(G54="",G54=0),"",I54/G54)</f>
        <v>0</v>
      </c>
      <c r="K54" s="23">
        <f>IF(C54="","",SUMIFS(Analytics!$G$5:$G$154,Analytics!$C$5:$C$154,C54))</f>
        <v>0</v>
      </c>
      <c r="L54" s="23">
        <f>IF(C54="","",SUMIFS(Analytics!$X$5:$X$154,Analytics!$C$5:$C$154,C54))</f>
        <v>0</v>
      </c>
      <c r="M54" s="23">
        <f>IF(C54="","",SUMIFS(Analytics!$R$5:$R$154,Analytics!$C$5:$C$154,C54))</f>
        <v>0</v>
      </c>
      <c r="N54" s="23">
        <f>IF(C54="","",SUMIFS(Analytics!$S$5:$S$154,Analytics!$C$5:$C$154,C54))</f>
        <v>0</v>
      </c>
      <c r="O54" s="23">
        <f>IF(C54="","",SUMIFS(Analytics!$T$5:$T$154,Analytics!$C$5:$C$154,C54))</f>
        <v>0</v>
      </c>
      <c r="P54" s="25">
        <f>IF(C54="","",SUMIFS(Analytics!$U$5:$U$154,Analytics!$C$5:$C$154,C54))</f>
        <v>0</v>
      </c>
      <c r="Q54" s="25">
        <f>IF(C54="","",SUMIFS(Budget!$H$5:$H$64,Budget!$C$5:$C$64,C54))</f>
        <v>0</v>
      </c>
      <c r="R54" s="25">
        <f>IF(C54="","",P54-Q54)</f>
        <v>0</v>
      </c>
      <c r="S54" s="23">
        <f>IF(C54="","",MonthlyPostTarget)</f>
        <v>0</v>
      </c>
      <c r="T54" s="17">
        <f>IF(Lists!$C54="","",Lists!$C54)</f>
        <v>0</v>
      </c>
      <c r="U54" s="23">
        <f>IF(T54="","",COUNTIFS('Content Calendar'!$G$5:$G$604,T54,'Content Calendar'!$B$5:$B$604,"&gt;="&amp;DashStart,'Content Calendar'!$B$5:$B$604,"&lt;="&amp;DashEnd))</f>
        <v>0</v>
      </c>
      <c r="V54" s="23">
        <f>IF(T54="","",COUNTIFS('Content Calendar'!$G$5:$G$604,T54,'Content Calendar'!$X$5:$X$604,"Published",'Content Calendar'!$B$5:$B$604,"&gt;="&amp;DashStart,'Content Calendar'!$B$5:$B$604,"&lt;="&amp;DashEnd))</f>
        <v>0</v>
      </c>
      <c r="W54" s="23">
        <f>IF(T54="","",SUMIFS(Analytics!$J$5:$J$154,Analytics!$D$5:$D$154,T54,Analytics!$B$5:$B$154,"&gt;="&amp;DashStart,Analytics!$B$5:$B$154,"&lt;="&amp;DashEnd))</f>
        <v>0</v>
      </c>
      <c r="X54" s="23">
        <f>IF(T54="","",SUMIFS(Analytics!$L$5:$L$154,Analytics!$D$5:$D$154,T54,Analytics!$B$5:$B$154,"&gt;="&amp;DashStart,Analytics!$B$5:$B$154,"&lt;="&amp;DashEnd))</f>
        <v>0</v>
      </c>
      <c r="Y54" s="24">
        <f>IF(OR(W54="",W54=0),"",X54/W54)</f>
        <v>0</v>
      </c>
      <c r="Z54" s="23">
        <f>IF(T54="","",SUMIFS(Analytics!$G$5:$G$154,Analytics!$D$5:$D$154,T54,Analytics!$B$5:$B$154,"&gt;="&amp;DashStart,Analytics!$B$5:$B$154,"&lt;="&amp;DashEnd))</f>
        <v>0</v>
      </c>
      <c r="AA54" s="23">
        <f>IF(T54="","",SUMIFS(Analytics!$X$5:$X$154,Analytics!$D$5:$D$154,T54,Analytics!$B$5:$B$154,"&gt;="&amp;DashStart,Analytics!$B$5:$B$154,"&lt;="&amp;DashEnd))</f>
        <v>0</v>
      </c>
      <c r="AB54" s="23">
        <f>IF(T54="","",SUMIFS(Analytics!$R$5:$R$154,Analytics!$D$5:$D$154,T54,Analytics!$B$5:$B$154,"&gt;="&amp;DashStart,Analytics!$B$5:$B$154,"&lt;="&amp;DashEnd))</f>
        <v>0</v>
      </c>
      <c r="AC54" s="25">
        <f>IF(T54="","",SUMIFS(Analytics!$U$5:$U$154,Analytics!$D$5:$D$154,T54,Analytics!$B$5:$B$154,"&gt;="&amp;DashStart,Analytics!$B$5:$B$154,"&lt;="&amp;DashEnd))</f>
        <v>0</v>
      </c>
      <c r="AD54" s="23">
        <f>IF(T54="","",COUNTIFS('Content Calendar'!$G$5:$G$604,T54,'Content Calendar'!$B$5:$B$604,"&gt;="&amp;DATE(PlanYear,1,1),'Content Calendar'!$B$5:$B$604,"&lt;="&amp;DATE(PlanYear,12,31)))</f>
        <v>0</v>
      </c>
      <c r="AE54" s="23">
        <f>IF(T54="","",SUMIFS(Analytics!$J$5:$J$154,Analytics!$D$5:$D$154,T54))</f>
        <v>0</v>
      </c>
      <c r="AF54" s="23">
        <f>IF(T54="","",SUMIFS(Analytics!$L$5:$L$154,Analytics!$D$5:$D$154,T54))</f>
        <v>0</v>
      </c>
      <c r="AG54" s="24">
        <f>IF(OR(AE54="",AE54=0),"",AF54/AE54)</f>
        <v>0</v>
      </c>
      <c r="AH54" s="23">
        <f>IF(T54="","",SUMIFS(Analytics!$X$5:$X$154,Analytics!$D$5:$D$154,T54))</f>
        <v>0</v>
      </c>
      <c r="AI54" s="32">
        <f>IF(T54="","",IF(AE54=0,"",AE54+ROW()/1000000))</f>
        <v>0</v>
      </c>
      <c r="AJ54" s="17">
        <f>IF('Content Pillars'!$B$54="","",'Content Pillars'!$B$54)</f>
        <v>0</v>
      </c>
      <c r="AK54" s="23">
        <f>IF(AJ54="","",COUNTIFS('Content Calendar'!$J$5:$J$604,AJ54,'Content Calendar'!$B$5:$B$604,"&gt;="&amp;DATE(PlanYear,1,1),'Content Calendar'!$B$5:$B$604,"&lt;="&amp;DATE(PlanYear,12,31)))</f>
        <v>0</v>
      </c>
      <c r="AL54" s="23">
        <f>IF(AJ54="","",SUMIFS(Performance!$O$5:$O$404,Performance!$H$5:$H$404,AJ54))</f>
        <v>0</v>
      </c>
      <c r="AM54" s="23">
        <f>IF(AJ54="","",SUMIFS(Performance!$Z$5:$Z$404,Performance!$H$5:$H$404,AJ54))</f>
        <v>0</v>
      </c>
      <c r="AN54" s="24">
        <f>IF(OR(AL54="",AL54=0),"",AM54/AL54)</f>
        <v>0</v>
      </c>
      <c r="AO54" s="32">
        <f>IF(AN54="","",AN54+ROW()/1000000)</f>
        <v>0</v>
      </c>
      <c r="AP54" s="17">
        <f>IF(Lists!$E54="","",Lists!$E54)</f>
        <v>0</v>
      </c>
      <c r="AQ54" s="23">
        <f>IF(AP54="","",COUNTIF(Performance!$G$5:$G$404,AP54))</f>
        <v>0</v>
      </c>
      <c r="AR54" s="23">
        <f>IF(AP54="","",SUMIFS(Performance!$O$5:$O$404,Performance!$G$5:$G$404,AP54))</f>
        <v>0</v>
      </c>
      <c r="AS54" s="23">
        <f>IF(AP54="","",SUMIFS(Performance!$Z$5:$Z$404,Performance!$G$5:$G$404,AP54))</f>
        <v>0</v>
      </c>
      <c r="AT54" s="24">
        <f>IF(OR(AR54="",AR54=0),"",AS54/AR54)</f>
        <v>0</v>
      </c>
      <c r="AU54" s="32">
        <f>IF(AQ54=0,"",IF(AT54="","",AT54+ROW()/1000000))</f>
        <v>0</v>
      </c>
      <c r="AV54" s="17">
        <f>IF(ROW()-4&gt;7,"",TEXT(DATE(2024,1,ROW()-4),"ddd"))</f>
        <v>0</v>
      </c>
      <c r="AW54" s="23">
        <f>IF(AV54="","",COUNTIF(Performance!$N$5:$N$404,AV54))</f>
        <v>0</v>
      </c>
      <c r="AX54" s="23">
        <f>IF(AV54="","",SUMIFS(Performance!$O$5:$O$404,Performance!$N$5:$N$404,AV54))</f>
        <v>0</v>
      </c>
      <c r="AY54" s="23">
        <f>IF(AV54="","",SUMIFS(Performance!$Z$5:$Z$404,Performance!$N$5:$N$404,AV54))</f>
        <v>0</v>
      </c>
      <c r="AZ54" s="24">
        <f>IF(OR(AX54="",AX54=0),"",AY54/AX54)</f>
        <v>0</v>
      </c>
      <c r="BA54" s="32">
        <f>IF(AW54=0,"",IF(AZ54="","",AZ54+ROW()/1000000))</f>
        <v>0</v>
      </c>
      <c r="BB54" s="17">
        <f>IF(Lists!$AL54="","",Lists!$AL54)</f>
        <v>0</v>
      </c>
      <c r="BC54" s="23">
        <f>IF(BB54="","",COUNTIF(Performance!$M$5:$M$404,BB54))</f>
        <v>0</v>
      </c>
      <c r="BD54" s="23">
        <f>IF(BB54="","",SUMIFS(Performance!$O$5:$O$404,Performance!$M$5:$M$404,BB54))</f>
        <v>0</v>
      </c>
      <c r="BE54" s="23">
        <f>IF(BB54="","",SUMIFS(Performance!$Z$5:$Z$404,Performance!$M$5:$M$404,BB54))</f>
        <v>0</v>
      </c>
      <c r="BF54" s="24">
        <f>IF(OR(BD54="",BD54=0),"",BE54/BD54)</f>
        <v>0</v>
      </c>
      <c r="BG54" s="32">
        <f>IF(BC54=0,"",IF(BF54="","",BF54+ROW()/1000000))</f>
        <v>0</v>
      </c>
      <c r="BH54" s="17">
        <f>IF(Performance!$C$54="","",Performance!$C$54)</f>
        <v>0</v>
      </c>
      <c r="BI54" s="17">
        <f>IF(Performance!$F$54="","",Performance!$F$54)</f>
        <v>0</v>
      </c>
      <c r="BJ54" s="17">
        <f>IF(Performance!$H$54="","",Performance!$H$54)</f>
        <v>0</v>
      </c>
      <c r="BK54" s="16">
        <f>IF(Performance!$D$54="","",Performance!$D$54)</f>
        <v>0</v>
      </c>
      <c r="BL54" s="17">
        <f>IF(Performance!$E$54="","",Performance!$E$54)</f>
        <v>0</v>
      </c>
      <c r="BM54" s="23">
        <f>IF(Performance!$O$54="","",Performance!$O$54)</f>
        <v>0</v>
      </c>
      <c r="BN54" s="24">
        <f>IF(Performance!$AA$54="","",Performance!$AA$54)</f>
        <v>0</v>
      </c>
      <c r="BO54" s="32">
        <f>IF(BH54="","",IF(BK54="","",IF(OR(BK54&lt;DashStart,BK54&gt;DashEnd),"",IF(BN54="","",BN54+ROW()/1000000))))</f>
        <v>0</v>
      </c>
      <c r="BP54" s="32">
        <f>IF(BM54="","",IF(BK54="","",IF(OR(BK54&lt;DashStart,BK54&gt;DashEnd),"",BM54+ROW()/1000000)))</f>
        <v>0</v>
      </c>
      <c r="BQ54" s="32">
        <f>IF(BH54="","",IF(BK54="","",IF(YEAR(BK54)&lt;&gt;PlanYear,"",IF(BN54="","",BN54+ROW()/1000000))))</f>
        <v>0</v>
      </c>
      <c r="BR54" s="32">
        <f>IF(BH54="","",IF(BK54="","",IF(OR(BK54&lt;RepFrom,BK54&gt;RepTo),"",IF(BN54="","",BN54+ROW()/1000000))))</f>
        <v>0</v>
      </c>
      <c r="BS54" s="32">
        <f>IF(BM54="","",IF(BK54="","",IF(YEAR(BK54)&lt;&gt;PlanYear,"",BM54+ROW()/1000000)))</f>
        <v>0</v>
      </c>
      <c r="BT54" s="17">
        <f>IF(Lists!$F54="","",Lists!$F54)</f>
        <v>0</v>
      </c>
      <c r="BU54" s="23">
        <f>IF(BT54="","",COUNTIF('Content Calendar'!$X$5:$X$604,BT54))</f>
        <v>0</v>
      </c>
      <c r="BV54" s="23">
        <f>IF(BT54="","",COUNTIFS('Content Calendar'!$X$5:$X$604,BT54,'Content Calendar'!$B$5:$B$604,"&gt;="&amp;DashStart,'Content Calendar'!$B$5:$B$604,"&lt;="&amp;DashEnd))</f>
        <v>0</v>
      </c>
      <c r="BW54" s="17">
        <f>IF(Team!$B$54="","",Team!$B$54)</f>
        <v>0</v>
      </c>
      <c r="BX54" s="23">
        <f>IF(BW54="","",COUNTIF('Content Calendar'!$W$5:$W$604,BW54))</f>
        <v>0</v>
      </c>
      <c r="BY54" s="23">
        <f>IF(BW54="","",COUNTIFS('Content Calendar'!$W$5:$W$604,BW54,'Content Calendar'!$X$5:$X$604,"&lt;&gt;Published"))</f>
        <v>0</v>
      </c>
      <c r="BZ54" s="23">
        <f>IF(BW54="","",COUNTIFS(Tasks!$C$5:$C$64,BW54,Tasks!$G$5:$G$64,"&lt;&gt;Complete"))</f>
        <v>0</v>
      </c>
      <c r="CA54" s="17">
        <f>IF(Campaigns!$B$54="","",Campaigns!$B$54)</f>
        <v>0</v>
      </c>
      <c r="CB54" s="25">
        <f>IF(Campaigns!$T$54="","",Campaigns!$T$54)</f>
        <v>0</v>
      </c>
      <c r="CC54" s="25">
        <f>IF(Campaigns!$Q$54="","",Campaigns!$Q$54)</f>
        <v>0</v>
      </c>
      <c r="CD54" s="23">
        <f>IF(Campaigns!$Y$54="","",Campaigns!$Y$54)</f>
        <v>0</v>
      </c>
      <c r="CE54" s="32">
        <f>IF(CA54="","",IF(N(CB54)&lt;=0,"",N(CB54)+ROW()/1000000))</f>
        <v>0</v>
      </c>
      <c r="CF54" s="17">
        <f>IF(Accounts!$C$54="","",Accounts!$C$54)</f>
        <v>0</v>
      </c>
      <c r="CG54" s="17">
        <f>IF(Accounts!$B$54="","",Accounts!$B$54)</f>
        <v>0</v>
      </c>
      <c r="CH54" s="23">
        <f>IF(Accounts!$J$54="","",Accounts!$J$54)</f>
        <v>0</v>
      </c>
      <c r="CI54" s="23">
        <f>IF(CF54="","",SUMIFS(Analytics!$X$5:$X$154,Analytics!$E$5:$E$154,CF54,Analytics!$B$5:$B$154,"&gt;="&amp;DashStart,Analytics!$B$5:$B$154,"&lt;="&amp;DashEnd))</f>
        <v>0</v>
      </c>
      <c r="CJ54" s="32">
        <f>IF(CH54="","",IF(CH54=0,"",CH54+ROW()/1000000))</f>
        <v>0</v>
      </c>
    </row>
    <row r="55" spans="1:88">
      <c r="A55" s="16">
        <f>IF(ROW()-4&gt;12,"",DATE(PlanYear,ROW()-4,1))</f>
        <v>0</v>
      </c>
      <c r="B55" s="16">
        <f>IF(A55="","",EOMONTH(A55,0))</f>
        <v>0</v>
      </c>
      <c r="C55" s="17">
        <f>IF(A55="","",TEXT(A55,"yyyy-mm"))</f>
        <v>0</v>
      </c>
      <c r="D55" s="17">
        <f>IF(A55="","",TEXT(A55,"mmm"))</f>
        <v>0</v>
      </c>
      <c r="E55" s="23">
        <f>IF(C55="","",COUNTIFS('Content Calendar'!$D$5:$D$604,C55))</f>
        <v>0</v>
      </c>
      <c r="F55" s="23">
        <f>IF(C55="","",COUNTIFS('Content Calendar'!$D$5:$D$604,C55,'Content Calendar'!$X$5:$X$604,"Published"))</f>
        <v>0</v>
      </c>
      <c r="G55" s="23">
        <f>IF(C55="","",SUMIFS(Analytics!$J$5:$J$154,Analytics!$C$5:$C$154,C55))</f>
        <v>0</v>
      </c>
      <c r="H55" s="23">
        <f>IF(C55="","",SUMIFS(Analytics!$K$5:$K$154,Analytics!$C$5:$C$154,C55))</f>
        <v>0</v>
      </c>
      <c r="I55" s="23">
        <f>IF(C55="","",SUMIFS(Analytics!$L$5:$L$154,Analytics!$C$5:$C$154,C55))</f>
        <v>0</v>
      </c>
      <c r="J55" s="24">
        <f>IF(OR(G55="",G55=0),"",I55/G55)</f>
        <v>0</v>
      </c>
      <c r="K55" s="23">
        <f>IF(C55="","",SUMIFS(Analytics!$G$5:$G$154,Analytics!$C$5:$C$154,C55))</f>
        <v>0</v>
      </c>
      <c r="L55" s="23">
        <f>IF(C55="","",SUMIFS(Analytics!$X$5:$X$154,Analytics!$C$5:$C$154,C55))</f>
        <v>0</v>
      </c>
      <c r="M55" s="23">
        <f>IF(C55="","",SUMIFS(Analytics!$R$5:$R$154,Analytics!$C$5:$C$154,C55))</f>
        <v>0</v>
      </c>
      <c r="N55" s="23">
        <f>IF(C55="","",SUMIFS(Analytics!$S$5:$S$154,Analytics!$C$5:$C$154,C55))</f>
        <v>0</v>
      </c>
      <c r="O55" s="23">
        <f>IF(C55="","",SUMIFS(Analytics!$T$5:$T$154,Analytics!$C$5:$C$154,C55))</f>
        <v>0</v>
      </c>
      <c r="P55" s="25">
        <f>IF(C55="","",SUMIFS(Analytics!$U$5:$U$154,Analytics!$C$5:$C$154,C55))</f>
        <v>0</v>
      </c>
      <c r="Q55" s="25">
        <f>IF(C55="","",SUMIFS(Budget!$H$5:$H$64,Budget!$C$5:$C$64,C55))</f>
        <v>0</v>
      </c>
      <c r="R55" s="25">
        <f>IF(C55="","",P55-Q55)</f>
        <v>0</v>
      </c>
      <c r="S55" s="23">
        <f>IF(C55="","",MonthlyPostTarget)</f>
        <v>0</v>
      </c>
      <c r="T55" s="17">
        <f>IF(Lists!$C55="","",Lists!$C55)</f>
        <v>0</v>
      </c>
      <c r="U55" s="23">
        <f>IF(T55="","",COUNTIFS('Content Calendar'!$G$5:$G$604,T55,'Content Calendar'!$B$5:$B$604,"&gt;="&amp;DashStart,'Content Calendar'!$B$5:$B$604,"&lt;="&amp;DashEnd))</f>
        <v>0</v>
      </c>
      <c r="V55" s="23">
        <f>IF(T55="","",COUNTIFS('Content Calendar'!$G$5:$G$604,T55,'Content Calendar'!$X$5:$X$604,"Published",'Content Calendar'!$B$5:$B$604,"&gt;="&amp;DashStart,'Content Calendar'!$B$5:$B$604,"&lt;="&amp;DashEnd))</f>
        <v>0</v>
      </c>
      <c r="W55" s="23">
        <f>IF(T55="","",SUMIFS(Analytics!$J$5:$J$154,Analytics!$D$5:$D$154,T55,Analytics!$B$5:$B$154,"&gt;="&amp;DashStart,Analytics!$B$5:$B$154,"&lt;="&amp;DashEnd))</f>
        <v>0</v>
      </c>
      <c r="X55" s="23">
        <f>IF(T55="","",SUMIFS(Analytics!$L$5:$L$154,Analytics!$D$5:$D$154,T55,Analytics!$B$5:$B$154,"&gt;="&amp;DashStart,Analytics!$B$5:$B$154,"&lt;="&amp;DashEnd))</f>
        <v>0</v>
      </c>
      <c r="Y55" s="24">
        <f>IF(OR(W55="",W55=0),"",X55/W55)</f>
        <v>0</v>
      </c>
      <c r="Z55" s="23">
        <f>IF(T55="","",SUMIFS(Analytics!$G$5:$G$154,Analytics!$D$5:$D$154,T55,Analytics!$B$5:$B$154,"&gt;="&amp;DashStart,Analytics!$B$5:$B$154,"&lt;="&amp;DashEnd))</f>
        <v>0</v>
      </c>
      <c r="AA55" s="23">
        <f>IF(T55="","",SUMIFS(Analytics!$X$5:$X$154,Analytics!$D$5:$D$154,T55,Analytics!$B$5:$B$154,"&gt;="&amp;DashStart,Analytics!$B$5:$B$154,"&lt;="&amp;DashEnd))</f>
        <v>0</v>
      </c>
      <c r="AB55" s="23">
        <f>IF(T55="","",SUMIFS(Analytics!$R$5:$R$154,Analytics!$D$5:$D$154,T55,Analytics!$B$5:$B$154,"&gt;="&amp;DashStart,Analytics!$B$5:$B$154,"&lt;="&amp;DashEnd))</f>
        <v>0</v>
      </c>
      <c r="AC55" s="25">
        <f>IF(T55="","",SUMIFS(Analytics!$U$5:$U$154,Analytics!$D$5:$D$154,T55,Analytics!$B$5:$B$154,"&gt;="&amp;DashStart,Analytics!$B$5:$B$154,"&lt;="&amp;DashEnd))</f>
        <v>0</v>
      </c>
      <c r="AD55" s="23">
        <f>IF(T55="","",COUNTIFS('Content Calendar'!$G$5:$G$604,T55,'Content Calendar'!$B$5:$B$604,"&gt;="&amp;DATE(PlanYear,1,1),'Content Calendar'!$B$5:$B$604,"&lt;="&amp;DATE(PlanYear,12,31)))</f>
        <v>0</v>
      </c>
      <c r="AE55" s="23">
        <f>IF(T55="","",SUMIFS(Analytics!$J$5:$J$154,Analytics!$D$5:$D$154,T55))</f>
        <v>0</v>
      </c>
      <c r="AF55" s="23">
        <f>IF(T55="","",SUMIFS(Analytics!$L$5:$L$154,Analytics!$D$5:$D$154,T55))</f>
        <v>0</v>
      </c>
      <c r="AG55" s="24">
        <f>IF(OR(AE55="",AE55=0),"",AF55/AE55)</f>
        <v>0</v>
      </c>
      <c r="AH55" s="23">
        <f>IF(T55="","",SUMIFS(Analytics!$X$5:$X$154,Analytics!$D$5:$D$154,T55))</f>
        <v>0</v>
      </c>
      <c r="AI55" s="32">
        <f>IF(T55="","",IF(AE55=0,"",AE55+ROW()/1000000))</f>
        <v>0</v>
      </c>
      <c r="AJ55" s="17">
        <f>IF('Content Pillars'!$B$55="","",'Content Pillars'!$B$55)</f>
        <v>0</v>
      </c>
      <c r="AK55" s="23">
        <f>IF(AJ55="","",COUNTIFS('Content Calendar'!$J$5:$J$604,AJ55,'Content Calendar'!$B$5:$B$604,"&gt;="&amp;DATE(PlanYear,1,1),'Content Calendar'!$B$5:$B$604,"&lt;="&amp;DATE(PlanYear,12,31)))</f>
        <v>0</v>
      </c>
      <c r="AL55" s="23">
        <f>IF(AJ55="","",SUMIFS(Performance!$O$5:$O$404,Performance!$H$5:$H$404,AJ55))</f>
        <v>0</v>
      </c>
      <c r="AM55" s="23">
        <f>IF(AJ55="","",SUMIFS(Performance!$Z$5:$Z$404,Performance!$H$5:$H$404,AJ55))</f>
        <v>0</v>
      </c>
      <c r="AN55" s="24">
        <f>IF(OR(AL55="",AL55=0),"",AM55/AL55)</f>
        <v>0</v>
      </c>
      <c r="AO55" s="32">
        <f>IF(AN55="","",AN55+ROW()/1000000)</f>
        <v>0</v>
      </c>
      <c r="AP55" s="17">
        <f>IF(Lists!$E55="","",Lists!$E55)</f>
        <v>0</v>
      </c>
      <c r="AQ55" s="23">
        <f>IF(AP55="","",COUNTIF(Performance!$G$5:$G$404,AP55))</f>
        <v>0</v>
      </c>
      <c r="AR55" s="23">
        <f>IF(AP55="","",SUMIFS(Performance!$O$5:$O$404,Performance!$G$5:$G$404,AP55))</f>
        <v>0</v>
      </c>
      <c r="AS55" s="23">
        <f>IF(AP55="","",SUMIFS(Performance!$Z$5:$Z$404,Performance!$G$5:$G$404,AP55))</f>
        <v>0</v>
      </c>
      <c r="AT55" s="24">
        <f>IF(OR(AR55="",AR55=0),"",AS55/AR55)</f>
        <v>0</v>
      </c>
      <c r="AU55" s="32">
        <f>IF(AQ55=0,"",IF(AT55="","",AT55+ROW()/1000000))</f>
        <v>0</v>
      </c>
      <c r="AV55" s="17">
        <f>IF(ROW()-4&gt;7,"",TEXT(DATE(2024,1,ROW()-4),"ddd"))</f>
        <v>0</v>
      </c>
      <c r="AW55" s="23">
        <f>IF(AV55="","",COUNTIF(Performance!$N$5:$N$404,AV55))</f>
        <v>0</v>
      </c>
      <c r="AX55" s="23">
        <f>IF(AV55="","",SUMIFS(Performance!$O$5:$O$404,Performance!$N$5:$N$404,AV55))</f>
        <v>0</v>
      </c>
      <c r="AY55" s="23">
        <f>IF(AV55="","",SUMIFS(Performance!$Z$5:$Z$404,Performance!$N$5:$N$404,AV55))</f>
        <v>0</v>
      </c>
      <c r="AZ55" s="24">
        <f>IF(OR(AX55="",AX55=0),"",AY55/AX55)</f>
        <v>0</v>
      </c>
      <c r="BA55" s="32">
        <f>IF(AW55=0,"",IF(AZ55="","",AZ55+ROW()/1000000))</f>
        <v>0</v>
      </c>
      <c r="BB55" s="17">
        <f>IF(Lists!$AL55="","",Lists!$AL55)</f>
        <v>0</v>
      </c>
      <c r="BC55" s="23">
        <f>IF(BB55="","",COUNTIF(Performance!$M$5:$M$404,BB55))</f>
        <v>0</v>
      </c>
      <c r="BD55" s="23">
        <f>IF(BB55="","",SUMIFS(Performance!$O$5:$O$404,Performance!$M$5:$M$404,BB55))</f>
        <v>0</v>
      </c>
      <c r="BE55" s="23">
        <f>IF(BB55="","",SUMIFS(Performance!$Z$5:$Z$404,Performance!$M$5:$M$404,BB55))</f>
        <v>0</v>
      </c>
      <c r="BF55" s="24">
        <f>IF(OR(BD55="",BD55=0),"",BE55/BD55)</f>
        <v>0</v>
      </c>
      <c r="BG55" s="32">
        <f>IF(BC55=0,"",IF(BF55="","",BF55+ROW()/1000000))</f>
        <v>0</v>
      </c>
      <c r="BH55" s="17">
        <f>IF(Performance!$C$55="","",Performance!$C$55)</f>
        <v>0</v>
      </c>
      <c r="BI55" s="17">
        <f>IF(Performance!$F$55="","",Performance!$F$55)</f>
        <v>0</v>
      </c>
      <c r="BJ55" s="17">
        <f>IF(Performance!$H$55="","",Performance!$H$55)</f>
        <v>0</v>
      </c>
      <c r="BK55" s="16">
        <f>IF(Performance!$D$55="","",Performance!$D$55)</f>
        <v>0</v>
      </c>
      <c r="BL55" s="17">
        <f>IF(Performance!$E$55="","",Performance!$E$55)</f>
        <v>0</v>
      </c>
      <c r="BM55" s="23">
        <f>IF(Performance!$O$55="","",Performance!$O$55)</f>
        <v>0</v>
      </c>
      <c r="BN55" s="24">
        <f>IF(Performance!$AA$55="","",Performance!$AA$55)</f>
        <v>0</v>
      </c>
      <c r="BO55" s="32">
        <f>IF(BH55="","",IF(BK55="","",IF(OR(BK55&lt;DashStart,BK55&gt;DashEnd),"",IF(BN55="","",BN55+ROW()/1000000))))</f>
        <v>0</v>
      </c>
      <c r="BP55" s="32">
        <f>IF(BM55="","",IF(BK55="","",IF(OR(BK55&lt;DashStart,BK55&gt;DashEnd),"",BM55+ROW()/1000000)))</f>
        <v>0</v>
      </c>
      <c r="BQ55" s="32">
        <f>IF(BH55="","",IF(BK55="","",IF(YEAR(BK55)&lt;&gt;PlanYear,"",IF(BN55="","",BN55+ROW()/1000000))))</f>
        <v>0</v>
      </c>
      <c r="BR55" s="32">
        <f>IF(BH55="","",IF(BK55="","",IF(OR(BK55&lt;RepFrom,BK55&gt;RepTo),"",IF(BN55="","",BN55+ROW()/1000000))))</f>
        <v>0</v>
      </c>
      <c r="BS55" s="32">
        <f>IF(BM55="","",IF(BK55="","",IF(YEAR(BK55)&lt;&gt;PlanYear,"",BM55+ROW()/1000000)))</f>
        <v>0</v>
      </c>
      <c r="BT55" s="17">
        <f>IF(Lists!$F55="","",Lists!$F55)</f>
        <v>0</v>
      </c>
      <c r="BU55" s="23">
        <f>IF(BT55="","",COUNTIF('Content Calendar'!$X$5:$X$604,BT55))</f>
        <v>0</v>
      </c>
      <c r="BV55" s="23">
        <f>IF(BT55="","",COUNTIFS('Content Calendar'!$X$5:$X$604,BT55,'Content Calendar'!$B$5:$B$604,"&gt;="&amp;DashStart,'Content Calendar'!$B$5:$B$604,"&lt;="&amp;DashEnd))</f>
        <v>0</v>
      </c>
      <c r="BW55" s="17">
        <f>IF(Team!$B$55="","",Team!$B$55)</f>
        <v>0</v>
      </c>
      <c r="BX55" s="23">
        <f>IF(BW55="","",COUNTIF('Content Calendar'!$W$5:$W$604,BW55))</f>
        <v>0</v>
      </c>
      <c r="BY55" s="23">
        <f>IF(BW55="","",COUNTIFS('Content Calendar'!$W$5:$W$604,BW55,'Content Calendar'!$X$5:$X$604,"&lt;&gt;Published"))</f>
        <v>0</v>
      </c>
      <c r="BZ55" s="23">
        <f>IF(BW55="","",COUNTIFS(Tasks!$C$5:$C$64,BW55,Tasks!$G$5:$G$64,"&lt;&gt;Complete"))</f>
        <v>0</v>
      </c>
      <c r="CA55" s="17">
        <f>IF(Campaigns!$B$55="","",Campaigns!$B$55)</f>
        <v>0</v>
      </c>
      <c r="CB55" s="25">
        <f>IF(Campaigns!$T$55="","",Campaigns!$T$55)</f>
        <v>0</v>
      </c>
      <c r="CC55" s="25">
        <f>IF(Campaigns!$Q$55="","",Campaigns!$Q$55)</f>
        <v>0</v>
      </c>
      <c r="CD55" s="23">
        <f>IF(Campaigns!$Y$55="","",Campaigns!$Y$55)</f>
        <v>0</v>
      </c>
      <c r="CE55" s="32">
        <f>IF(CA55="","",IF(N(CB55)&lt;=0,"",N(CB55)+ROW()/1000000))</f>
        <v>0</v>
      </c>
      <c r="CF55" s="17">
        <f>IF(Accounts!$C$55="","",Accounts!$C$55)</f>
        <v>0</v>
      </c>
      <c r="CG55" s="17">
        <f>IF(Accounts!$B$55="","",Accounts!$B$55)</f>
        <v>0</v>
      </c>
      <c r="CH55" s="23">
        <f>IF(Accounts!$J$55="","",Accounts!$J$55)</f>
        <v>0</v>
      </c>
      <c r="CI55" s="23">
        <f>IF(CF55="","",SUMIFS(Analytics!$X$5:$X$154,Analytics!$E$5:$E$154,CF55,Analytics!$B$5:$B$154,"&gt;="&amp;DashStart,Analytics!$B$5:$B$154,"&lt;="&amp;DashEnd))</f>
        <v>0</v>
      </c>
      <c r="CJ55" s="32">
        <f>IF(CH55="","",IF(CH55=0,"",CH55+ROW()/1000000))</f>
        <v>0</v>
      </c>
    </row>
    <row r="56" spans="1:88">
      <c r="A56" s="16">
        <f>IF(ROW()-4&gt;12,"",DATE(PlanYear,ROW()-4,1))</f>
        <v>0</v>
      </c>
      <c r="B56" s="16">
        <f>IF(A56="","",EOMONTH(A56,0))</f>
        <v>0</v>
      </c>
      <c r="C56" s="17">
        <f>IF(A56="","",TEXT(A56,"yyyy-mm"))</f>
        <v>0</v>
      </c>
      <c r="D56" s="17">
        <f>IF(A56="","",TEXT(A56,"mmm"))</f>
        <v>0</v>
      </c>
      <c r="E56" s="23">
        <f>IF(C56="","",COUNTIFS('Content Calendar'!$D$5:$D$604,C56))</f>
        <v>0</v>
      </c>
      <c r="F56" s="23">
        <f>IF(C56="","",COUNTIFS('Content Calendar'!$D$5:$D$604,C56,'Content Calendar'!$X$5:$X$604,"Published"))</f>
        <v>0</v>
      </c>
      <c r="G56" s="23">
        <f>IF(C56="","",SUMIFS(Analytics!$J$5:$J$154,Analytics!$C$5:$C$154,C56))</f>
        <v>0</v>
      </c>
      <c r="H56" s="23">
        <f>IF(C56="","",SUMIFS(Analytics!$K$5:$K$154,Analytics!$C$5:$C$154,C56))</f>
        <v>0</v>
      </c>
      <c r="I56" s="23">
        <f>IF(C56="","",SUMIFS(Analytics!$L$5:$L$154,Analytics!$C$5:$C$154,C56))</f>
        <v>0</v>
      </c>
      <c r="J56" s="24">
        <f>IF(OR(G56="",G56=0),"",I56/G56)</f>
        <v>0</v>
      </c>
      <c r="K56" s="23">
        <f>IF(C56="","",SUMIFS(Analytics!$G$5:$G$154,Analytics!$C$5:$C$154,C56))</f>
        <v>0</v>
      </c>
      <c r="L56" s="23">
        <f>IF(C56="","",SUMIFS(Analytics!$X$5:$X$154,Analytics!$C$5:$C$154,C56))</f>
        <v>0</v>
      </c>
      <c r="M56" s="23">
        <f>IF(C56="","",SUMIFS(Analytics!$R$5:$R$154,Analytics!$C$5:$C$154,C56))</f>
        <v>0</v>
      </c>
      <c r="N56" s="23">
        <f>IF(C56="","",SUMIFS(Analytics!$S$5:$S$154,Analytics!$C$5:$C$154,C56))</f>
        <v>0</v>
      </c>
      <c r="O56" s="23">
        <f>IF(C56="","",SUMIFS(Analytics!$T$5:$T$154,Analytics!$C$5:$C$154,C56))</f>
        <v>0</v>
      </c>
      <c r="P56" s="25">
        <f>IF(C56="","",SUMIFS(Analytics!$U$5:$U$154,Analytics!$C$5:$C$154,C56))</f>
        <v>0</v>
      </c>
      <c r="Q56" s="25">
        <f>IF(C56="","",SUMIFS(Budget!$H$5:$H$64,Budget!$C$5:$C$64,C56))</f>
        <v>0</v>
      </c>
      <c r="R56" s="25">
        <f>IF(C56="","",P56-Q56)</f>
        <v>0</v>
      </c>
      <c r="S56" s="23">
        <f>IF(C56="","",MonthlyPostTarget)</f>
        <v>0</v>
      </c>
      <c r="T56" s="17">
        <f>IF(Lists!$C56="","",Lists!$C56)</f>
        <v>0</v>
      </c>
      <c r="U56" s="23">
        <f>IF(T56="","",COUNTIFS('Content Calendar'!$G$5:$G$604,T56,'Content Calendar'!$B$5:$B$604,"&gt;="&amp;DashStart,'Content Calendar'!$B$5:$B$604,"&lt;="&amp;DashEnd))</f>
        <v>0</v>
      </c>
      <c r="V56" s="23">
        <f>IF(T56="","",COUNTIFS('Content Calendar'!$G$5:$G$604,T56,'Content Calendar'!$X$5:$X$604,"Published",'Content Calendar'!$B$5:$B$604,"&gt;="&amp;DashStart,'Content Calendar'!$B$5:$B$604,"&lt;="&amp;DashEnd))</f>
        <v>0</v>
      </c>
      <c r="W56" s="23">
        <f>IF(T56="","",SUMIFS(Analytics!$J$5:$J$154,Analytics!$D$5:$D$154,T56,Analytics!$B$5:$B$154,"&gt;="&amp;DashStart,Analytics!$B$5:$B$154,"&lt;="&amp;DashEnd))</f>
        <v>0</v>
      </c>
      <c r="X56" s="23">
        <f>IF(T56="","",SUMIFS(Analytics!$L$5:$L$154,Analytics!$D$5:$D$154,T56,Analytics!$B$5:$B$154,"&gt;="&amp;DashStart,Analytics!$B$5:$B$154,"&lt;="&amp;DashEnd))</f>
        <v>0</v>
      </c>
      <c r="Y56" s="24">
        <f>IF(OR(W56="",W56=0),"",X56/W56)</f>
        <v>0</v>
      </c>
      <c r="Z56" s="23">
        <f>IF(T56="","",SUMIFS(Analytics!$G$5:$G$154,Analytics!$D$5:$D$154,T56,Analytics!$B$5:$B$154,"&gt;="&amp;DashStart,Analytics!$B$5:$B$154,"&lt;="&amp;DashEnd))</f>
        <v>0</v>
      </c>
      <c r="AA56" s="23">
        <f>IF(T56="","",SUMIFS(Analytics!$X$5:$X$154,Analytics!$D$5:$D$154,T56,Analytics!$B$5:$B$154,"&gt;="&amp;DashStart,Analytics!$B$5:$B$154,"&lt;="&amp;DashEnd))</f>
        <v>0</v>
      </c>
      <c r="AB56" s="23">
        <f>IF(T56="","",SUMIFS(Analytics!$R$5:$R$154,Analytics!$D$5:$D$154,T56,Analytics!$B$5:$B$154,"&gt;="&amp;DashStart,Analytics!$B$5:$B$154,"&lt;="&amp;DashEnd))</f>
        <v>0</v>
      </c>
      <c r="AC56" s="25">
        <f>IF(T56="","",SUMIFS(Analytics!$U$5:$U$154,Analytics!$D$5:$D$154,T56,Analytics!$B$5:$B$154,"&gt;="&amp;DashStart,Analytics!$B$5:$B$154,"&lt;="&amp;DashEnd))</f>
        <v>0</v>
      </c>
      <c r="AD56" s="23">
        <f>IF(T56="","",COUNTIFS('Content Calendar'!$G$5:$G$604,T56,'Content Calendar'!$B$5:$B$604,"&gt;="&amp;DATE(PlanYear,1,1),'Content Calendar'!$B$5:$B$604,"&lt;="&amp;DATE(PlanYear,12,31)))</f>
        <v>0</v>
      </c>
      <c r="AE56" s="23">
        <f>IF(T56="","",SUMIFS(Analytics!$J$5:$J$154,Analytics!$D$5:$D$154,T56))</f>
        <v>0</v>
      </c>
      <c r="AF56" s="23">
        <f>IF(T56="","",SUMIFS(Analytics!$L$5:$L$154,Analytics!$D$5:$D$154,T56))</f>
        <v>0</v>
      </c>
      <c r="AG56" s="24">
        <f>IF(OR(AE56="",AE56=0),"",AF56/AE56)</f>
        <v>0</v>
      </c>
      <c r="AH56" s="23">
        <f>IF(T56="","",SUMIFS(Analytics!$X$5:$X$154,Analytics!$D$5:$D$154,T56))</f>
        <v>0</v>
      </c>
      <c r="AI56" s="32">
        <f>IF(T56="","",IF(AE56=0,"",AE56+ROW()/1000000))</f>
        <v>0</v>
      </c>
      <c r="AJ56" s="17">
        <f>IF('Content Pillars'!$B$56="","",'Content Pillars'!$B$56)</f>
        <v>0</v>
      </c>
      <c r="AK56" s="23">
        <f>IF(AJ56="","",COUNTIFS('Content Calendar'!$J$5:$J$604,AJ56,'Content Calendar'!$B$5:$B$604,"&gt;="&amp;DATE(PlanYear,1,1),'Content Calendar'!$B$5:$B$604,"&lt;="&amp;DATE(PlanYear,12,31)))</f>
        <v>0</v>
      </c>
      <c r="AL56" s="23">
        <f>IF(AJ56="","",SUMIFS(Performance!$O$5:$O$404,Performance!$H$5:$H$404,AJ56))</f>
        <v>0</v>
      </c>
      <c r="AM56" s="23">
        <f>IF(AJ56="","",SUMIFS(Performance!$Z$5:$Z$404,Performance!$H$5:$H$404,AJ56))</f>
        <v>0</v>
      </c>
      <c r="AN56" s="24">
        <f>IF(OR(AL56="",AL56=0),"",AM56/AL56)</f>
        <v>0</v>
      </c>
      <c r="AO56" s="32">
        <f>IF(AN56="","",AN56+ROW()/1000000)</f>
        <v>0</v>
      </c>
      <c r="AP56" s="17">
        <f>IF(Lists!$E56="","",Lists!$E56)</f>
        <v>0</v>
      </c>
      <c r="AQ56" s="23">
        <f>IF(AP56="","",COUNTIF(Performance!$G$5:$G$404,AP56))</f>
        <v>0</v>
      </c>
      <c r="AR56" s="23">
        <f>IF(AP56="","",SUMIFS(Performance!$O$5:$O$404,Performance!$G$5:$G$404,AP56))</f>
        <v>0</v>
      </c>
      <c r="AS56" s="23">
        <f>IF(AP56="","",SUMIFS(Performance!$Z$5:$Z$404,Performance!$G$5:$G$404,AP56))</f>
        <v>0</v>
      </c>
      <c r="AT56" s="24">
        <f>IF(OR(AR56="",AR56=0),"",AS56/AR56)</f>
        <v>0</v>
      </c>
      <c r="AU56" s="32">
        <f>IF(AQ56=0,"",IF(AT56="","",AT56+ROW()/1000000))</f>
        <v>0</v>
      </c>
      <c r="AV56" s="17">
        <f>IF(ROW()-4&gt;7,"",TEXT(DATE(2024,1,ROW()-4),"ddd"))</f>
        <v>0</v>
      </c>
      <c r="AW56" s="23">
        <f>IF(AV56="","",COUNTIF(Performance!$N$5:$N$404,AV56))</f>
        <v>0</v>
      </c>
      <c r="AX56" s="23">
        <f>IF(AV56="","",SUMIFS(Performance!$O$5:$O$404,Performance!$N$5:$N$404,AV56))</f>
        <v>0</v>
      </c>
      <c r="AY56" s="23">
        <f>IF(AV56="","",SUMIFS(Performance!$Z$5:$Z$404,Performance!$N$5:$N$404,AV56))</f>
        <v>0</v>
      </c>
      <c r="AZ56" s="24">
        <f>IF(OR(AX56="",AX56=0),"",AY56/AX56)</f>
        <v>0</v>
      </c>
      <c r="BA56" s="32">
        <f>IF(AW56=0,"",IF(AZ56="","",AZ56+ROW()/1000000))</f>
        <v>0</v>
      </c>
      <c r="BB56" s="17">
        <f>IF(Lists!$AL56="","",Lists!$AL56)</f>
        <v>0</v>
      </c>
      <c r="BC56" s="23">
        <f>IF(BB56="","",COUNTIF(Performance!$M$5:$M$404,BB56))</f>
        <v>0</v>
      </c>
      <c r="BD56" s="23">
        <f>IF(BB56="","",SUMIFS(Performance!$O$5:$O$404,Performance!$M$5:$M$404,BB56))</f>
        <v>0</v>
      </c>
      <c r="BE56" s="23">
        <f>IF(BB56="","",SUMIFS(Performance!$Z$5:$Z$404,Performance!$M$5:$M$404,BB56))</f>
        <v>0</v>
      </c>
      <c r="BF56" s="24">
        <f>IF(OR(BD56="",BD56=0),"",BE56/BD56)</f>
        <v>0</v>
      </c>
      <c r="BG56" s="32">
        <f>IF(BC56=0,"",IF(BF56="","",BF56+ROW()/1000000))</f>
        <v>0</v>
      </c>
      <c r="BH56" s="17">
        <f>IF(Performance!$C$56="","",Performance!$C$56)</f>
        <v>0</v>
      </c>
      <c r="BI56" s="17">
        <f>IF(Performance!$F$56="","",Performance!$F$56)</f>
        <v>0</v>
      </c>
      <c r="BJ56" s="17">
        <f>IF(Performance!$H$56="","",Performance!$H$56)</f>
        <v>0</v>
      </c>
      <c r="BK56" s="16">
        <f>IF(Performance!$D$56="","",Performance!$D$56)</f>
        <v>0</v>
      </c>
      <c r="BL56" s="17">
        <f>IF(Performance!$E$56="","",Performance!$E$56)</f>
        <v>0</v>
      </c>
      <c r="BM56" s="23">
        <f>IF(Performance!$O$56="","",Performance!$O$56)</f>
        <v>0</v>
      </c>
      <c r="BN56" s="24">
        <f>IF(Performance!$AA$56="","",Performance!$AA$56)</f>
        <v>0</v>
      </c>
      <c r="BO56" s="32">
        <f>IF(BH56="","",IF(BK56="","",IF(OR(BK56&lt;DashStart,BK56&gt;DashEnd),"",IF(BN56="","",BN56+ROW()/1000000))))</f>
        <v>0</v>
      </c>
      <c r="BP56" s="32">
        <f>IF(BM56="","",IF(BK56="","",IF(OR(BK56&lt;DashStart,BK56&gt;DashEnd),"",BM56+ROW()/1000000)))</f>
        <v>0</v>
      </c>
      <c r="BQ56" s="32">
        <f>IF(BH56="","",IF(BK56="","",IF(YEAR(BK56)&lt;&gt;PlanYear,"",IF(BN56="","",BN56+ROW()/1000000))))</f>
        <v>0</v>
      </c>
      <c r="BR56" s="32">
        <f>IF(BH56="","",IF(BK56="","",IF(OR(BK56&lt;RepFrom,BK56&gt;RepTo),"",IF(BN56="","",BN56+ROW()/1000000))))</f>
        <v>0</v>
      </c>
      <c r="BS56" s="32">
        <f>IF(BM56="","",IF(BK56="","",IF(YEAR(BK56)&lt;&gt;PlanYear,"",BM56+ROW()/1000000)))</f>
        <v>0</v>
      </c>
      <c r="BT56" s="17">
        <f>IF(Lists!$F56="","",Lists!$F56)</f>
        <v>0</v>
      </c>
      <c r="BU56" s="23">
        <f>IF(BT56="","",COUNTIF('Content Calendar'!$X$5:$X$604,BT56))</f>
        <v>0</v>
      </c>
      <c r="BV56" s="23">
        <f>IF(BT56="","",COUNTIFS('Content Calendar'!$X$5:$X$604,BT56,'Content Calendar'!$B$5:$B$604,"&gt;="&amp;DashStart,'Content Calendar'!$B$5:$B$604,"&lt;="&amp;DashEnd))</f>
        <v>0</v>
      </c>
      <c r="BW56" s="17">
        <f>IF(Team!$B$56="","",Team!$B$56)</f>
        <v>0</v>
      </c>
      <c r="BX56" s="23">
        <f>IF(BW56="","",COUNTIF('Content Calendar'!$W$5:$W$604,BW56))</f>
        <v>0</v>
      </c>
      <c r="BY56" s="23">
        <f>IF(BW56="","",COUNTIFS('Content Calendar'!$W$5:$W$604,BW56,'Content Calendar'!$X$5:$X$604,"&lt;&gt;Published"))</f>
        <v>0</v>
      </c>
      <c r="BZ56" s="23">
        <f>IF(BW56="","",COUNTIFS(Tasks!$C$5:$C$64,BW56,Tasks!$G$5:$G$64,"&lt;&gt;Complete"))</f>
        <v>0</v>
      </c>
      <c r="CA56" s="17">
        <f>IF(Campaigns!$B$56="","",Campaigns!$B$56)</f>
        <v>0</v>
      </c>
      <c r="CB56" s="25">
        <f>IF(Campaigns!$T$56="","",Campaigns!$T$56)</f>
        <v>0</v>
      </c>
      <c r="CC56" s="25">
        <f>IF(Campaigns!$Q$56="","",Campaigns!$Q$56)</f>
        <v>0</v>
      </c>
      <c r="CD56" s="23">
        <f>IF(Campaigns!$Y$56="","",Campaigns!$Y$56)</f>
        <v>0</v>
      </c>
      <c r="CE56" s="32">
        <f>IF(CA56="","",IF(N(CB56)&lt;=0,"",N(CB56)+ROW()/1000000))</f>
        <v>0</v>
      </c>
      <c r="CF56" s="17">
        <f>IF(Accounts!$C$56="","",Accounts!$C$56)</f>
        <v>0</v>
      </c>
      <c r="CG56" s="17">
        <f>IF(Accounts!$B$56="","",Accounts!$B$56)</f>
        <v>0</v>
      </c>
      <c r="CH56" s="23">
        <f>IF(Accounts!$J$56="","",Accounts!$J$56)</f>
        <v>0</v>
      </c>
      <c r="CI56" s="23">
        <f>IF(CF56="","",SUMIFS(Analytics!$X$5:$X$154,Analytics!$E$5:$E$154,CF56,Analytics!$B$5:$B$154,"&gt;="&amp;DashStart,Analytics!$B$5:$B$154,"&lt;="&amp;DashEnd))</f>
        <v>0</v>
      </c>
      <c r="CJ56" s="32">
        <f>IF(CH56="","",IF(CH56=0,"",CH56+ROW()/1000000))</f>
        <v>0</v>
      </c>
    </row>
    <row r="57" spans="1:88">
      <c r="A57" s="16">
        <f>IF(ROW()-4&gt;12,"",DATE(PlanYear,ROW()-4,1))</f>
        <v>0</v>
      </c>
      <c r="B57" s="16">
        <f>IF(A57="","",EOMONTH(A57,0))</f>
        <v>0</v>
      </c>
      <c r="C57" s="17">
        <f>IF(A57="","",TEXT(A57,"yyyy-mm"))</f>
        <v>0</v>
      </c>
      <c r="D57" s="17">
        <f>IF(A57="","",TEXT(A57,"mmm"))</f>
        <v>0</v>
      </c>
      <c r="E57" s="23">
        <f>IF(C57="","",COUNTIFS('Content Calendar'!$D$5:$D$604,C57))</f>
        <v>0</v>
      </c>
      <c r="F57" s="23">
        <f>IF(C57="","",COUNTIFS('Content Calendar'!$D$5:$D$604,C57,'Content Calendar'!$X$5:$X$604,"Published"))</f>
        <v>0</v>
      </c>
      <c r="G57" s="23">
        <f>IF(C57="","",SUMIFS(Analytics!$J$5:$J$154,Analytics!$C$5:$C$154,C57))</f>
        <v>0</v>
      </c>
      <c r="H57" s="23">
        <f>IF(C57="","",SUMIFS(Analytics!$K$5:$K$154,Analytics!$C$5:$C$154,C57))</f>
        <v>0</v>
      </c>
      <c r="I57" s="23">
        <f>IF(C57="","",SUMIFS(Analytics!$L$5:$L$154,Analytics!$C$5:$C$154,C57))</f>
        <v>0</v>
      </c>
      <c r="J57" s="24">
        <f>IF(OR(G57="",G57=0),"",I57/G57)</f>
        <v>0</v>
      </c>
      <c r="K57" s="23">
        <f>IF(C57="","",SUMIFS(Analytics!$G$5:$G$154,Analytics!$C$5:$C$154,C57))</f>
        <v>0</v>
      </c>
      <c r="L57" s="23">
        <f>IF(C57="","",SUMIFS(Analytics!$X$5:$X$154,Analytics!$C$5:$C$154,C57))</f>
        <v>0</v>
      </c>
      <c r="M57" s="23">
        <f>IF(C57="","",SUMIFS(Analytics!$R$5:$R$154,Analytics!$C$5:$C$154,C57))</f>
        <v>0</v>
      </c>
      <c r="N57" s="23">
        <f>IF(C57="","",SUMIFS(Analytics!$S$5:$S$154,Analytics!$C$5:$C$154,C57))</f>
        <v>0</v>
      </c>
      <c r="O57" s="23">
        <f>IF(C57="","",SUMIFS(Analytics!$T$5:$T$154,Analytics!$C$5:$C$154,C57))</f>
        <v>0</v>
      </c>
      <c r="P57" s="25">
        <f>IF(C57="","",SUMIFS(Analytics!$U$5:$U$154,Analytics!$C$5:$C$154,C57))</f>
        <v>0</v>
      </c>
      <c r="Q57" s="25">
        <f>IF(C57="","",SUMIFS(Budget!$H$5:$H$64,Budget!$C$5:$C$64,C57))</f>
        <v>0</v>
      </c>
      <c r="R57" s="25">
        <f>IF(C57="","",P57-Q57)</f>
        <v>0</v>
      </c>
      <c r="S57" s="23">
        <f>IF(C57="","",MonthlyPostTarget)</f>
        <v>0</v>
      </c>
      <c r="T57" s="17">
        <f>IF(Lists!$C57="","",Lists!$C57)</f>
        <v>0</v>
      </c>
      <c r="U57" s="23">
        <f>IF(T57="","",COUNTIFS('Content Calendar'!$G$5:$G$604,T57,'Content Calendar'!$B$5:$B$604,"&gt;="&amp;DashStart,'Content Calendar'!$B$5:$B$604,"&lt;="&amp;DashEnd))</f>
        <v>0</v>
      </c>
      <c r="V57" s="23">
        <f>IF(T57="","",COUNTIFS('Content Calendar'!$G$5:$G$604,T57,'Content Calendar'!$X$5:$X$604,"Published",'Content Calendar'!$B$5:$B$604,"&gt;="&amp;DashStart,'Content Calendar'!$B$5:$B$604,"&lt;="&amp;DashEnd))</f>
        <v>0</v>
      </c>
      <c r="W57" s="23">
        <f>IF(T57="","",SUMIFS(Analytics!$J$5:$J$154,Analytics!$D$5:$D$154,T57,Analytics!$B$5:$B$154,"&gt;="&amp;DashStart,Analytics!$B$5:$B$154,"&lt;="&amp;DashEnd))</f>
        <v>0</v>
      </c>
      <c r="X57" s="23">
        <f>IF(T57="","",SUMIFS(Analytics!$L$5:$L$154,Analytics!$D$5:$D$154,T57,Analytics!$B$5:$B$154,"&gt;="&amp;DashStart,Analytics!$B$5:$B$154,"&lt;="&amp;DashEnd))</f>
        <v>0</v>
      </c>
      <c r="Y57" s="24">
        <f>IF(OR(W57="",W57=0),"",X57/W57)</f>
        <v>0</v>
      </c>
      <c r="Z57" s="23">
        <f>IF(T57="","",SUMIFS(Analytics!$G$5:$G$154,Analytics!$D$5:$D$154,T57,Analytics!$B$5:$B$154,"&gt;="&amp;DashStart,Analytics!$B$5:$B$154,"&lt;="&amp;DashEnd))</f>
        <v>0</v>
      </c>
      <c r="AA57" s="23">
        <f>IF(T57="","",SUMIFS(Analytics!$X$5:$X$154,Analytics!$D$5:$D$154,T57,Analytics!$B$5:$B$154,"&gt;="&amp;DashStart,Analytics!$B$5:$B$154,"&lt;="&amp;DashEnd))</f>
        <v>0</v>
      </c>
      <c r="AB57" s="23">
        <f>IF(T57="","",SUMIFS(Analytics!$R$5:$R$154,Analytics!$D$5:$D$154,T57,Analytics!$B$5:$B$154,"&gt;="&amp;DashStart,Analytics!$B$5:$B$154,"&lt;="&amp;DashEnd))</f>
        <v>0</v>
      </c>
      <c r="AC57" s="25">
        <f>IF(T57="","",SUMIFS(Analytics!$U$5:$U$154,Analytics!$D$5:$D$154,T57,Analytics!$B$5:$B$154,"&gt;="&amp;DashStart,Analytics!$B$5:$B$154,"&lt;="&amp;DashEnd))</f>
        <v>0</v>
      </c>
      <c r="AD57" s="23">
        <f>IF(T57="","",COUNTIFS('Content Calendar'!$G$5:$G$604,T57,'Content Calendar'!$B$5:$B$604,"&gt;="&amp;DATE(PlanYear,1,1),'Content Calendar'!$B$5:$B$604,"&lt;="&amp;DATE(PlanYear,12,31)))</f>
        <v>0</v>
      </c>
      <c r="AE57" s="23">
        <f>IF(T57="","",SUMIFS(Analytics!$J$5:$J$154,Analytics!$D$5:$D$154,T57))</f>
        <v>0</v>
      </c>
      <c r="AF57" s="23">
        <f>IF(T57="","",SUMIFS(Analytics!$L$5:$L$154,Analytics!$D$5:$D$154,T57))</f>
        <v>0</v>
      </c>
      <c r="AG57" s="24">
        <f>IF(OR(AE57="",AE57=0),"",AF57/AE57)</f>
        <v>0</v>
      </c>
      <c r="AH57" s="23">
        <f>IF(T57="","",SUMIFS(Analytics!$X$5:$X$154,Analytics!$D$5:$D$154,T57))</f>
        <v>0</v>
      </c>
      <c r="AI57" s="32">
        <f>IF(T57="","",IF(AE57=0,"",AE57+ROW()/1000000))</f>
        <v>0</v>
      </c>
      <c r="AJ57" s="17">
        <f>IF('Content Pillars'!$B$57="","",'Content Pillars'!$B$57)</f>
        <v>0</v>
      </c>
      <c r="AK57" s="23">
        <f>IF(AJ57="","",COUNTIFS('Content Calendar'!$J$5:$J$604,AJ57,'Content Calendar'!$B$5:$B$604,"&gt;="&amp;DATE(PlanYear,1,1),'Content Calendar'!$B$5:$B$604,"&lt;="&amp;DATE(PlanYear,12,31)))</f>
        <v>0</v>
      </c>
      <c r="AL57" s="23">
        <f>IF(AJ57="","",SUMIFS(Performance!$O$5:$O$404,Performance!$H$5:$H$404,AJ57))</f>
        <v>0</v>
      </c>
      <c r="AM57" s="23">
        <f>IF(AJ57="","",SUMIFS(Performance!$Z$5:$Z$404,Performance!$H$5:$H$404,AJ57))</f>
        <v>0</v>
      </c>
      <c r="AN57" s="24">
        <f>IF(OR(AL57="",AL57=0),"",AM57/AL57)</f>
        <v>0</v>
      </c>
      <c r="AO57" s="32">
        <f>IF(AN57="","",AN57+ROW()/1000000)</f>
        <v>0</v>
      </c>
      <c r="AP57" s="17">
        <f>IF(Lists!$E57="","",Lists!$E57)</f>
        <v>0</v>
      </c>
      <c r="AQ57" s="23">
        <f>IF(AP57="","",COUNTIF(Performance!$G$5:$G$404,AP57))</f>
        <v>0</v>
      </c>
      <c r="AR57" s="23">
        <f>IF(AP57="","",SUMIFS(Performance!$O$5:$O$404,Performance!$G$5:$G$404,AP57))</f>
        <v>0</v>
      </c>
      <c r="AS57" s="23">
        <f>IF(AP57="","",SUMIFS(Performance!$Z$5:$Z$404,Performance!$G$5:$G$404,AP57))</f>
        <v>0</v>
      </c>
      <c r="AT57" s="24">
        <f>IF(OR(AR57="",AR57=0),"",AS57/AR57)</f>
        <v>0</v>
      </c>
      <c r="AU57" s="32">
        <f>IF(AQ57=0,"",IF(AT57="","",AT57+ROW()/1000000))</f>
        <v>0</v>
      </c>
      <c r="AV57" s="17">
        <f>IF(ROW()-4&gt;7,"",TEXT(DATE(2024,1,ROW()-4),"ddd"))</f>
        <v>0</v>
      </c>
      <c r="AW57" s="23">
        <f>IF(AV57="","",COUNTIF(Performance!$N$5:$N$404,AV57))</f>
        <v>0</v>
      </c>
      <c r="AX57" s="23">
        <f>IF(AV57="","",SUMIFS(Performance!$O$5:$O$404,Performance!$N$5:$N$404,AV57))</f>
        <v>0</v>
      </c>
      <c r="AY57" s="23">
        <f>IF(AV57="","",SUMIFS(Performance!$Z$5:$Z$404,Performance!$N$5:$N$404,AV57))</f>
        <v>0</v>
      </c>
      <c r="AZ57" s="24">
        <f>IF(OR(AX57="",AX57=0),"",AY57/AX57)</f>
        <v>0</v>
      </c>
      <c r="BA57" s="32">
        <f>IF(AW57=0,"",IF(AZ57="","",AZ57+ROW()/1000000))</f>
        <v>0</v>
      </c>
      <c r="BB57" s="17">
        <f>IF(Lists!$AL57="","",Lists!$AL57)</f>
        <v>0</v>
      </c>
      <c r="BC57" s="23">
        <f>IF(BB57="","",COUNTIF(Performance!$M$5:$M$404,BB57))</f>
        <v>0</v>
      </c>
      <c r="BD57" s="23">
        <f>IF(BB57="","",SUMIFS(Performance!$O$5:$O$404,Performance!$M$5:$M$404,BB57))</f>
        <v>0</v>
      </c>
      <c r="BE57" s="23">
        <f>IF(BB57="","",SUMIFS(Performance!$Z$5:$Z$404,Performance!$M$5:$M$404,BB57))</f>
        <v>0</v>
      </c>
      <c r="BF57" s="24">
        <f>IF(OR(BD57="",BD57=0),"",BE57/BD57)</f>
        <v>0</v>
      </c>
      <c r="BG57" s="32">
        <f>IF(BC57=0,"",IF(BF57="","",BF57+ROW()/1000000))</f>
        <v>0</v>
      </c>
      <c r="BH57" s="17">
        <f>IF(Performance!$C$57="","",Performance!$C$57)</f>
        <v>0</v>
      </c>
      <c r="BI57" s="17">
        <f>IF(Performance!$F$57="","",Performance!$F$57)</f>
        <v>0</v>
      </c>
      <c r="BJ57" s="17">
        <f>IF(Performance!$H$57="","",Performance!$H$57)</f>
        <v>0</v>
      </c>
      <c r="BK57" s="16">
        <f>IF(Performance!$D$57="","",Performance!$D$57)</f>
        <v>0</v>
      </c>
      <c r="BL57" s="17">
        <f>IF(Performance!$E$57="","",Performance!$E$57)</f>
        <v>0</v>
      </c>
      <c r="BM57" s="23">
        <f>IF(Performance!$O$57="","",Performance!$O$57)</f>
        <v>0</v>
      </c>
      <c r="BN57" s="24">
        <f>IF(Performance!$AA$57="","",Performance!$AA$57)</f>
        <v>0</v>
      </c>
      <c r="BO57" s="32">
        <f>IF(BH57="","",IF(BK57="","",IF(OR(BK57&lt;DashStart,BK57&gt;DashEnd),"",IF(BN57="","",BN57+ROW()/1000000))))</f>
        <v>0</v>
      </c>
      <c r="BP57" s="32">
        <f>IF(BM57="","",IF(BK57="","",IF(OR(BK57&lt;DashStart,BK57&gt;DashEnd),"",BM57+ROW()/1000000)))</f>
        <v>0</v>
      </c>
      <c r="BQ57" s="32">
        <f>IF(BH57="","",IF(BK57="","",IF(YEAR(BK57)&lt;&gt;PlanYear,"",IF(BN57="","",BN57+ROW()/1000000))))</f>
        <v>0</v>
      </c>
      <c r="BR57" s="32">
        <f>IF(BH57="","",IF(BK57="","",IF(OR(BK57&lt;RepFrom,BK57&gt;RepTo),"",IF(BN57="","",BN57+ROW()/1000000))))</f>
        <v>0</v>
      </c>
      <c r="BS57" s="32">
        <f>IF(BM57="","",IF(BK57="","",IF(YEAR(BK57)&lt;&gt;PlanYear,"",BM57+ROW()/1000000)))</f>
        <v>0</v>
      </c>
      <c r="BT57" s="17">
        <f>IF(Lists!$F57="","",Lists!$F57)</f>
        <v>0</v>
      </c>
      <c r="BU57" s="23">
        <f>IF(BT57="","",COUNTIF('Content Calendar'!$X$5:$X$604,BT57))</f>
        <v>0</v>
      </c>
      <c r="BV57" s="23">
        <f>IF(BT57="","",COUNTIFS('Content Calendar'!$X$5:$X$604,BT57,'Content Calendar'!$B$5:$B$604,"&gt;="&amp;DashStart,'Content Calendar'!$B$5:$B$604,"&lt;="&amp;DashEnd))</f>
        <v>0</v>
      </c>
      <c r="BW57" s="17">
        <f>IF(Team!$B$57="","",Team!$B$57)</f>
        <v>0</v>
      </c>
      <c r="BX57" s="23">
        <f>IF(BW57="","",COUNTIF('Content Calendar'!$W$5:$W$604,BW57))</f>
        <v>0</v>
      </c>
      <c r="BY57" s="23">
        <f>IF(BW57="","",COUNTIFS('Content Calendar'!$W$5:$W$604,BW57,'Content Calendar'!$X$5:$X$604,"&lt;&gt;Published"))</f>
        <v>0</v>
      </c>
      <c r="BZ57" s="23">
        <f>IF(BW57="","",COUNTIFS(Tasks!$C$5:$C$64,BW57,Tasks!$G$5:$G$64,"&lt;&gt;Complete"))</f>
        <v>0</v>
      </c>
      <c r="CA57" s="17">
        <f>IF(Campaigns!$B$57="","",Campaigns!$B$57)</f>
        <v>0</v>
      </c>
      <c r="CB57" s="25">
        <f>IF(Campaigns!$T$57="","",Campaigns!$T$57)</f>
        <v>0</v>
      </c>
      <c r="CC57" s="25">
        <f>IF(Campaigns!$Q$57="","",Campaigns!$Q$57)</f>
        <v>0</v>
      </c>
      <c r="CD57" s="23">
        <f>IF(Campaigns!$Y$57="","",Campaigns!$Y$57)</f>
        <v>0</v>
      </c>
      <c r="CE57" s="32">
        <f>IF(CA57="","",IF(N(CB57)&lt;=0,"",N(CB57)+ROW()/1000000))</f>
        <v>0</v>
      </c>
      <c r="CF57" s="17">
        <f>IF(Accounts!$C$57="","",Accounts!$C$57)</f>
        <v>0</v>
      </c>
      <c r="CG57" s="17">
        <f>IF(Accounts!$B$57="","",Accounts!$B$57)</f>
        <v>0</v>
      </c>
      <c r="CH57" s="23">
        <f>IF(Accounts!$J$57="","",Accounts!$J$57)</f>
        <v>0</v>
      </c>
      <c r="CI57" s="23">
        <f>IF(CF57="","",SUMIFS(Analytics!$X$5:$X$154,Analytics!$E$5:$E$154,CF57,Analytics!$B$5:$B$154,"&gt;="&amp;DashStart,Analytics!$B$5:$B$154,"&lt;="&amp;DashEnd))</f>
        <v>0</v>
      </c>
      <c r="CJ57" s="32">
        <f>IF(CH57="","",IF(CH57=0,"",CH57+ROW()/1000000))</f>
        <v>0</v>
      </c>
    </row>
    <row r="58" spans="1:88">
      <c r="A58" s="16">
        <f>IF(ROW()-4&gt;12,"",DATE(PlanYear,ROW()-4,1))</f>
        <v>0</v>
      </c>
      <c r="B58" s="16">
        <f>IF(A58="","",EOMONTH(A58,0))</f>
        <v>0</v>
      </c>
      <c r="C58" s="17">
        <f>IF(A58="","",TEXT(A58,"yyyy-mm"))</f>
        <v>0</v>
      </c>
      <c r="D58" s="17">
        <f>IF(A58="","",TEXT(A58,"mmm"))</f>
        <v>0</v>
      </c>
      <c r="E58" s="23">
        <f>IF(C58="","",COUNTIFS('Content Calendar'!$D$5:$D$604,C58))</f>
        <v>0</v>
      </c>
      <c r="F58" s="23">
        <f>IF(C58="","",COUNTIFS('Content Calendar'!$D$5:$D$604,C58,'Content Calendar'!$X$5:$X$604,"Published"))</f>
        <v>0</v>
      </c>
      <c r="G58" s="23">
        <f>IF(C58="","",SUMIFS(Analytics!$J$5:$J$154,Analytics!$C$5:$C$154,C58))</f>
        <v>0</v>
      </c>
      <c r="H58" s="23">
        <f>IF(C58="","",SUMIFS(Analytics!$K$5:$K$154,Analytics!$C$5:$C$154,C58))</f>
        <v>0</v>
      </c>
      <c r="I58" s="23">
        <f>IF(C58="","",SUMIFS(Analytics!$L$5:$L$154,Analytics!$C$5:$C$154,C58))</f>
        <v>0</v>
      </c>
      <c r="J58" s="24">
        <f>IF(OR(G58="",G58=0),"",I58/G58)</f>
        <v>0</v>
      </c>
      <c r="K58" s="23">
        <f>IF(C58="","",SUMIFS(Analytics!$G$5:$G$154,Analytics!$C$5:$C$154,C58))</f>
        <v>0</v>
      </c>
      <c r="L58" s="23">
        <f>IF(C58="","",SUMIFS(Analytics!$X$5:$X$154,Analytics!$C$5:$C$154,C58))</f>
        <v>0</v>
      </c>
      <c r="M58" s="23">
        <f>IF(C58="","",SUMIFS(Analytics!$R$5:$R$154,Analytics!$C$5:$C$154,C58))</f>
        <v>0</v>
      </c>
      <c r="N58" s="23">
        <f>IF(C58="","",SUMIFS(Analytics!$S$5:$S$154,Analytics!$C$5:$C$154,C58))</f>
        <v>0</v>
      </c>
      <c r="O58" s="23">
        <f>IF(C58="","",SUMIFS(Analytics!$T$5:$T$154,Analytics!$C$5:$C$154,C58))</f>
        <v>0</v>
      </c>
      <c r="P58" s="25">
        <f>IF(C58="","",SUMIFS(Analytics!$U$5:$U$154,Analytics!$C$5:$C$154,C58))</f>
        <v>0</v>
      </c>
      <c r="Q58" s="25">
        <f>IF(C58="","",SUMIFS(Budget!$H$5:$H$64,Budget!$C$5:$C$64,C58))</f>
        <v>0</v>
      </c>
      <c r="R58" s="25">
        <f>IF(C58="","",P58-Q58)</f>
        <v>0</v>
      </c>
      <c r="S58" s="23">
        <f>IF(C58="","",MonthlyPostTarget)</f>
        <v>0</v>
      </c>
      <c r="T58" s="17">
        <f>IF(Lists!$C58="","",Lists!$C58)</f>
        <v>0</v>
      </c>
      <c r="U58" s="23">
        <f>IF(T58="","",COUNTIFS('Content Calendar'!$G$5:$G$604,T58,'Content Calendar'!$B$5:$B$604,"&gt;="&amp;DashStart,'Content Calendar'!$B$5:$B$604,"&lt;="&amp;DashEnd))</f>
        <v>0</v>
      </c>
      <c r="V58" s="23">
        <f>IF(T58="","",COUNTIFS('Content Calendar'!$G$5:$G$604,T58,'Content Calendar'!$X$5:$X$604,"Published",'Content Calendar'!$B$5:$B$604,"&gt;="&amp;DashStart,'Content Calendar'!$B$5:$B$604,"&lt;="&amp;DashEnd))</f>
        <v>0</v>
      </c>
      <c r="W58" s="23">
        <f>IF(T58="","",SUMIFS(Analytics!$J$5:$J$154,Analytics!$D$5:$D$154,T58,Analytics!$B$5:$B$154,"&gt;="&amp;DashStart,Analytics!$B$5:$B$154,"&lt;="&amp;DashEnd))</f>
        <v>0</v>
      </c>
      <c r="X58" s="23">
        <f>IF(T58="","",SUMIFS(Analytics!$L$5:$L$154,Analytics!$D$5:$D$154,T58,Analytics!$B$5:$B$154,"&gt;="&amp;DashStart,Analytics!$B$5:$B$154,"&lt;="&amp;DashEnd))</f>
        <v>0</v>
      </c>
      <c r="Y58" s="24">
        <f>IF(OR(W58="",W58=0),"",X58/W58)</f>
        <v>0</v>
      </c>
      <c r="Z58" s="23">
        <f>IF(T58="","",SUMIFS(Analytics!$G$5:$G$154,Analytics!$D$5:$D$154,T58,Analytics!$B$5:$B$154,"&gt;="&amp;DashStart,Analytics!$B$5:$B$154,"&lt;="&amp;DashEnd))</f>
        <v>0</v>
      </c>
      <c r="AA58" s="23">
        <f>IF(T58="","",SUMIFS(Analytics!$X$5:$X$154,Analytics!$D$5:$D$154,T58,Analytics!$B$5:$B$154,"&gt;="&amp;DashStart,Analytics!$B$5:$B$154,"&lt;="&amp;DashEnd))</f>
        <v>0</v>
      </c>
      <c r="AB58" s="23">
        <f>IF(T58="","",SUMIFS(Analytics!$R$5:$R$154,Analytics!$D$5:$D$154,T58,Analytics!$B$5:$B$154,"&gt;="&amp;DashStart,Analytics!$B$5:$B$154,"&lt;="&amp;DashEnd))</f>
        <v>0</v>
      </c>
      <c r="AC58" s="25">
        <f>IF(T58="","",SUMIFS(Analytics!$U$5:$U$154,Analytics!$D$5:$D$154,T58,Analytics!$B$5:$B$154,"&gt;="&amp;DashStart,Analytics!$B$5:$B$154,"&lt;="&amp;DashEnd))</f>
        <v>0</v>
      </c>
      <c r="AD58" s="23">
        <f>IF(T58="","",COUNTIFS('Content Calendar'!$G$5:$G$604,T58,'Content Calendar'!$B$5:$B$604,"&gt;="&amp;DATE(PlanYear,1,1),'Content Calendar'!$B$5:$B$604,"&lt;="&amp;DATE(PlanYear,12,31)))</f>
        <v>0</v>
      </c>
      <c r="AE58" s="23">
        <f>IF(T58="","",SUMIFS(Analytics!$J$5:$J$154,Analytics!$D$5:$D$154,T58))</f>
        <v>0</v>
      </c>
      <c r="AF58" s="23">
        <f>IF(T58="","",SUMIFS(Analytics!$L$5:$L$154,Analytics!$D$5:$D$154,T58))</f>
        <v>0</v>
      </c>
      <c r="AG58" s="24">
        <f>IF(OR(AE58="",AE58=0),"",AF58/AE58)</f>
        <v>0</v>
      </c>
      <c r="AH58" s="23">
        <f>IF(T58="","",SUMIFS(Analytics!$X$5:$X$154,Analytics!$D$5:$D$154,T58))</f>
        <v>0</v>
      </c>
      <c r="AI58" s="32">
        <f>IF(T58="","",IF(AE58=0,"",AE58+ROW()/1000000))</f>
        <v>0</v>
      </c>
      <c r="AJ58" s="17">
        <f>IF('Content Pillars'!$B$58="","",'Content Pillars'!$B$58)</f>
        <v>0</v>
      </c>
      <c r="AK58" s="23">
        <f>IF(AJ58="","",COUNTIFS('Content Calendar'!$J$5:$J$604,AJ58,'Content Calendar'!$B$5:$B$604,"&gt;="&amp;DATE(PlanYear,1,1),'Content Calendar'!$B$5:$B$604,"&lt;="&amp;DATE(PlanYear,12,31)))</f>
        <v>0</v>
      </c>
      <c r="AL58" s="23">
        <f>IF(AJ58="","",SUMIFS(Performance!$O$5:$O$404,Performance!$H$5:$H$404,AJ58))</f>
        <v>0</v>
      </c>
      <c r="AM58" s="23">
        <f>IF(AJ58="","",SUMIFS(Performance!$Z$5:$Z$404,Performance!$H$5:$H$404,AJ58))</f>
        <v>0</v>
      </c>
      <c r="AN58" s="24">
        <f>IF(OR(AL58="",AL58=0),"",AM58/AL58)</f>
        <v>0</v>
      </c>
      <c r="AO58" s="32">
        <f>IF(AN58="","",AN58+ROW()/1000000)</f>
        <v>0</v>
      </c>
      <c r="AP58" s="17">
        <f>IF(Lists!$E58="","",Lists!$E58)</f>
        <v>0</v>
      </c>
      <c r="AQ58" s="23">
        <f>IF(AP58="","",COUNTIF(Performance!$G$5:$G$404,AP58))</f>
        <v>0</v>
      </c>
      <c r="AR58" s="23">
        <f>IF(AP58="","",SUMIFS(Performance!$O$5:$O$404,Performance!$G$5:$G$404,AP58))</f>
        <v>0</v>
      </c>
      <c r="AS58" s="23">
        <f>IF(AP58="","",SUMIFS(Performance!$Z$5:$Z$404,Performance!$G$5:$G$404,AP58))</f>
        <v>0</v>
      </c>
      <c r="AT58" s="24">
        <f>IF(OR(AR58="",AR58=0),"",AS58/AR58)</f>
        <v>0</v>
      </c>
      <c r="AU58" s="32">
        <f>IF(AQ58=0,"",IF(AT58="","",AT58+ROW()/1000000))</f>
        <v>0</v>
      </c>
      <c r="AV58" s="17">
        <f>IF(ROW()-4&gt;7,"",TEXT(DATE(2024,1,ROW()-4),"ddd"))</f>
        <v>0</v>
      </c>
      <c r="AW58" s="23">
        <f>IF(AV58="","",COUNTIF(Performance!$N$5:$N$404,AV58))</f>
        <v>0</v>
      </c>
      <c r="AX58" s="23">
        <f>IF(AV58="","",SUMIFS(Performance!$O$5:$O$404,Performance!$N$5:$N$404,AV58))</f>
        <v>0</v>
      </c>
      <c r="AY58" s="23">
        <f>IF(AV58="","",SUMIFS(Performance!$Z$5:$Z$404,Performance!$N$5:$N$404,AV58))</f>
        <v>0</v>
      </c>
      <c r="AZ58" s="24">
        <f>IF(OR(AX58="",AX58=0),"",AY58/AX58)</f>
        <v>0</v>
      </c>
      <c r="BA58" s="32">
        <f>IF(AW58=0,"",IF(AZ58="","",AZ58+ROW()/1000000))</f>
        <v>0</v>
      </c>
      <c r="BB58" s="17">
        <f>IF(Lists!$AL58="","",Lists!$AL58)</f>
        <v>0</v>
      </c>
      <c r="BC58" s="23">
        <f>IF(BB58="","",COUNTIF(Performance!$M$5:$M$404,BB58))</f>
        <v>0</v>
      </c>
      <c r="BD58" s="23">
        <f>IF(BB58="","",SUMIFS(Performance!$O$5:$O$404,Performance!$M$5:$M$404,BB58))</f>
        <v>0</v>
      </c>
      <c r="BE58" s="23">
        <f>IF(BB58="","",SUMIFS(Performance!$Z$5:$Z$404,Performance!$M$5:$M$404,BB58))</f>
        <v>0</v>
      </c>
      <c r="BF58" s="24">
        <f>IF(OR(BD58="",BD58=0),"",BE58/BD58)</f>
        <v>0</v>
      </c>
      <c r="BG58" s="32">
        <f>IF(BC58=0,"",IF(BF58="","",BF58+ROW()/1000000))</f>
        <v>0</v>
      </c>
      <c r="BH58" s="17">
        <f>IF(Performance!$C$58="","",Performance!$C$58)</f>
        <v>0</v>
      </c>
      <c r="BI58" s="17">
        <f>IF(Performance!$F$58="","",Performance!$F$58)</f>
        <v>0</v>
      </c>
      <c r="BJ58" s="17">
        <f>IF(Performance!$H$58="","",Performance!$H$58)</f>
        <v>0</v>
      </c>
      <c r="BK58" s="16">
        <f>IF(Performance!$D$58="","",Performance!$D$58)</f>
        <v>0</v>
      </c>
      <c r="BL58" s="17">
        <f>IF(Performance!$E$58="","",Performance!$E$58)</f>
        <v>0</v>
      </c>
      <c r="BM58" s="23">
        <f>IF(Performance!$O$58="","",Performance!$O$58)</f>
        <v>0</v>
      </c>
      <c r="BN58" s="24">
        <f>IF(Performance!$AA$58="","",Performance!$AA$58)</f>
        <v>0</v>
      </c>
      <c r="BO58" s="32">
        <f>IF(BH58="","",IF(BK58="","",IF(OR(BK58&lt;DashStart,BK58&gt;DashEnd),"",IF(BN58="","",BN58+ROW()/1000000))))</f>
        <v>0</v>
      </c>
      <c r="BP58" s="32">
        <f>IF(BM58="","",IF(BK58="","",IF(OR(BK58&lt;DashStart,BK58&gt;DashEnd),"",BM58+ROW()/1000000)))</f>
        <v>0</v>
      </c>
      <c r="BQ58" s="32">
        <f>IF(BH58="","",IF(BK58="","",IF(YEAR(BK58)&lt;&gt;PlanYear,"",IF(BN58="","",BN58+ROW()/1000000))))</f>
        <v>0</v>
      </c>
      <c r="BR58" s="32">
        <f>IF(BH58="","",IF(BK58="","",IF(OR(BK58&lt;RepFrom,BK58&gt;RepTo),"",IF(BN58="","",BN58+ROW()/1000000))))</f>
        <v>0</v>
      </c>
      <c r="BS58" s="32">
        <f>IF(BM58="","",IF(BK58="","",IF(YEAR(BK58)&lt;&gt;PlanYear,"",BM58+ROW()/1000000)))</f>
        <v>0</v>
      </c>
      <c r="BT58" s="17">
        <f>IF(Lists!$F58="","",Lists!$F58)</f>
        <v>0</v>
      </c>
      <c r="BU58" s="23">
        <f>IF(BT58="","",COUNTIF('Content Calendar'!$X$5:$X$604,BT58))</f>
        <v>0</v>
      </c>
      <c r="BV58" s="23">
        <f>IF(BT58="","",COUNTIFS('Content Calendar'!$X$5:$X$604,BT58,'Content Calendar'!$B$5:$B$604,"&gt;="&amp;DashStart,'Content Calendar'!$B$5:$B$604,"&lt;="&amp;DashEnd))</f>
        <v>0</v>
      </c>
      <c r="BW58" s="17">
        <f>IF(Team!$B$58="","",Team!$B$58)</f>
        <v>0</v>
      </c>
      <c r="BX58" s="23">
        <f>IF(BW58="","",COUNTIF('Content Calendar'!$W$5:$W$604,BW58))</f>
        <v>0</v>
      </c>
      <c r="BY58" s="23">
        <f>IF(BW58="","",COUNTIFS('Content Calendar'!$W$5:$W$604,BW58,'Content Calendar'!$X$5:$X$604,"&lt;&gt;Published"))</f>
        <v>0</v>
      </c>
      <c r="BZ58" s="23">
        <f>IF(BW58="","",COUNTIFS(Tasks!$C$5:$C$64,BW58,Tasks!$G$5:$G$64,"&lt;&gt;Complete"))</f>
        <v>0</v>
      </c>
      <c r="CA58" s="17">
        <f>IF(Campaigns!$B$58="","",Campaigns!$B$58)</f>
        <v>0</v>
      </c>
      <c r="CB58" s="25">
        <f>IF(Campaigns!$T$58="","",Campaigns!$T$58)</f>
        <v>0</v>
      </c>
      <c r="CC58" s="25">
        <f>IF(Campaigns!$Q$58="","",Campaigns!$Q$58)</f>
        <v>0</v>
      </c>
      <c r="CD58" s="23">
        <f>IF(Campaigns!$Y$58="","",Campaigns!$Y$58)</f>
        <v>0</v>
      </c>
      <c r="CE58" s="32">
        <f>IF(CA58="","",IF(N(CB58)&lt;=0,"",N(CB58)+ROW()/1000000))</f>
        <v>0</v>
      </c>
      <c r="CF58" s="17">
        <f>IF(Accounts!$C$58="","",Accounts!$C$58)</f>
        <v>0</v>
      </c>
      <c r="CG58" s="17">
        <f>IF(Accounts!$B$58="","",Accounts!$B$58)</f>
        <v>0</v>
      </c>
      <c r="CH58" s="23">
        <f>IF(Accounts!$J$58="","",Accounts!$J$58)</f>
        <v>0</v>
      </c>
      <c r="CI58" s="23">
        <f>IF(CF58="","",SUMIFS(Analytics!$X$5:$X$154,Analytics!$E$5:$E$154,CF58,Analytics!$B$5:$B$154,"&gt;="&amp;DashStart,Analytics!$B$5:$B$154,"&lt;="&amp;DashEnd))</f>
        <v>0</v>
      </c>
      <c r="CJ58" s="32">
        <f>IF(CH58="","",IF(CH58=0,"",CH58+ROW()/1000000))</f>
        <v>0</v>
      </c>
    </row>
    <row r="59" spans="1:88">
      <c r="A59" s="16">
        <f>IF(ROW()-4&gt;12,"",DATE(PlanYear,ROW()-4,1))</f>
        <v>0</v>
      </c>
      <c r="B59" s="16">
        <f>IF(A59="","",EOMONTH(A59,0))</f>
        <v>0</v>
      </c>
      <c r="C59" s="17">
        <f>IF(A59="","",TEXT(A59,"yyyy-mm"))</f>
        <v>0</v>
      </c>
      <c r="D59" s="17">
        <f>IF(A59="","",TEXT(A59,"mmm"))</f>
        <v>0</v>
      </c>
      <c r="E59" s="23">
        <f>IF(C59="","",COUNTIFS('Content Calendar'!$D$5:$D$604,C59))</f>
        <v>0</v>
      </c>
      <c r="F59" s="23">
        <f>IF(C59="","",COUNTIFS('Content Calendar'!$D$5:$D$604,C59,'Content Calendar'!$X$5:$X$604,"Published"))</f>
        <v>0</v>
      </c>
      <c r="G59" s="23">
        <f>IF(C59="","",SUMIFS(Analytics!$J$5:$J$154,Analytics!$C$5:$C$154,C59))</f>
        <v>0</v>
      </c>
      <c r="H59" s="23">
        <f>IF(C59="","",SUMIFS(Analytics!$K$5:$K$154,Analytics!$C$5:$C$154,C59))</f>
        <v>0</v>
      </c>
      <c r="I59" s="23">
        <f>IF(C59="","",SUMIFS(Analytics!$L$5:$L$154,Analytics!$C$5:$C$154,C59))</f>
        <v>0</v>
      </c>
      <c r="J59" s="24">
        <f>IF(OR(G59="",G59=0),"",I59/G59)</f>
        <v>0</v>
      </c>
      <c r="K59" s="23">
        <f>IF(C59="","",SUMIFS(Analytics!$G$5:$G$154,Analytics!$C$5:$C$154,C59))</f>
        <v>0</v>
      </c>
      <c r="L59" s="23">
        <f>IF(C59="","",SUMIFS(Analytics!$X$5:$X$154,Analytics!$C$5:$C$154,C59))</f>
        <v>0</v>
      </c>
      <c r="M59" s="23">
        <f>IF(C59="","",SUMIFS(Analytics!$R$5:$R$154,Analytics!$C$5:$C$154,C59))</f>
        <v>0</v>
      </c>
      <c r="N59" s="23">
        <f>IF(C59="","",SUMIFS(Analytics!$S$5:$S$154,Analytics!$C$5:$C$154,C59))</f>
        <v>0</v>
      </c>
      <c r="O59" s="23">
        <f>IF(C59="","",SUMIFS(Analytics!$T$5:$T$154,Analytics!$C$5:$C$154,C59))</f>
        <v>0</v>
      </c>
      <c r="P59" s="25">
        <f>IF(C59="","",SUMIFS(Analytics!$U$5:$U$154,Analytics!$C$5:$C$154,C59))</f>
        <v>0</v>
      </c>
      <c r="Q59" s="25">
        <f>IF(C59="","",SUMIFS(Budget!$H$5:$H$64,Budget!$C$5:$C$64,C59))</f>
        <v>0</v>
      </c>
      <c r="R59" s="25">
        <f>IF(C59="","",P59-Q59)</f>
        <v>0</v>
      </c>
      <c r="S59" s="23">
        <f>IF(C59="","",MonthlyPostTarget)</f>
        <v>0</v>
      </c>
      <c r="T59" s="17">
        <f>IF(Lists!$C59="","",Lists!$C59)</f>
        <v>0</v>
      </c>
      <c r="U59" s="23">
        <f>IF(T59="","",COUNTIFS('Content Calendar'!$G$5:$G$604,T59,'Content Calendar'!$B$5:$B$604,"&gt;="&amp;DashStart,'Content Calendar'!$B$5:$B$604,"&lt;="&amp;DashEnd))</f>
        <v>0</v>
      </c>
      <c r="V59" s="23">
        <f>IF(T59="","",COUNTIFS('Content Calendar'!$G$5:$G$604,T59,'Content Calendar'!$X$5:$X$604,"Published",'Content Calendar'!$B$5:$B$604,"&gt;="&amp;DashStart,'Content Calendar'!$B$5:$B$604,"&lt;="&amp;DashEnd))</f>
        <v>0</v>
      </c>
      <c r="W59" s="23">
        <f>IF(T59="","",SUMIFS(Analytics!$J$5:$J$154,Analytics!$D$5:$D$154,T59,Analytics!$B$5:$B$154,"&gt;="&amp;DashStart,Analytics!$B$5:$B$154,"&lt;="&amp;DashEnd))</f>
        <v>0</v>
      </c>
      <c r="X59" s="23">
        <f>IF(T59="","",SUMIFS(Analytics!$L$5:$L$154,Analytics!$D$5:$D$154,T59,Analytics!$B$5:$B$154,"&gt;="&amp;DashStart,Analytics!$B$5:$B$154,"&lt;="&amp;DashEnd))</f>
        <v>0</v>
      </c>
      <c r="Y59" s="24">
        <f>IF(OR(W59="",W59=0),"",X59/W59)</f>
        <v>0</v>
      </c>
      <c r="Z59" s="23">
        <f>IF(T59="","",SUMIFS(Analytics!$G$5:$G$154,Analytics!$D$5:$D$154,T59,Analytics!$B$5:$B$154,"&gt;="&amp;DashStart,Analytics!$B$5:$B$154,"&lt;="&amp;DashEnd))</f>
        <v>0</v>
      </c>
      <c r="AA59" s="23">
        <f>IF(T59="","",SUMIFS(Analytics!$X$5:$X$154,Analytics!$D$5:$D$154,T59,Analytics!$B$5:$B$154,"&gt;="&amp;DashStart,Analytics!$B$5:$B$154,"&lt;="&amp;DashEnd))</f>
        <v>0</v>
      </c>
      <c r="AB59" s="23">
        <f>IF(T59="","",SUMIFS(Analytics!$R$5:$R$154,Analytics!$D$5:$D$154,T59,Analytics!$B$5:$B$154,"&gt;="&amp;DashStart,Analytics!$B$5:$B$154,"&lt;="&amp;DashEnd))</f>
        <v>0</v>
      </c>
      <c r="AC59" s="25">
        <f>IF(T59="","",SUMIFS(Analytics!$U$5:$U$154,Analytics!$D$5:$D$154,T59,Analytics!$B$5:$B$154,"&gt;="&amp;DashStart,Analytics!$B$5:$B$154,"&lt;="&amp;DashEnd))</f>
        <v>0</v>
      </c>
      <c r="AD59" s="23">
        <f>IF(T59="","",COUNTIFS('Content Calendar'!$G$5:$G$604,T59,'Content Calendar'!$B$5:$B$604,"&gt;="&amp;DATE(PlanYear,1,1),'Content Calendar'!$B$5:$B$604,"&lt;="&amp;DATE(PlanYear,12,31)))</f>
        <v>0</v>
      </c>
      <c r="AE59" s="23">
        <f>IF(T59="","",SUMIFS(Analytics!$J$5:$J$154,Analytics!$D$5:$D$154,T59))</f>
        <v>0</v>
      </c>
      <c r="AF59" s="23">
        <f>IF(T59="","",SUMIFS(Analytics!$L$5:$L$154,Analytics!$D$5:$D$154,T59))</f>
        <v>0</v>
      </c>
      <c r="AG59" s="24">
        <f>IF(OR(AE59="",AE59=0),"",AF59/AE59)</f>
        <v>0</v>
      </c>
      <c r="AH59" s="23">
        <f>IF(T59="","",SUMIFS(Analytics!$X$5:$X$154,Analytics!$D$5:$D$154,T59))</f>
        <v>0</v>
      </c>
      <c r="AI59" s="32">
        <f>IF(T59="","",IF(AE59=0,"",AE59+ROW()/1000000))</f>
        <v>0</v>
      </c>
      <c r="AJ59" s="17">
        <f>IF('Content Pillars'!$B$59="","",'Content Pillars'!$B$59)</f>
        <v>0</v>
      </c>
      <c r="AK59" s="23">
        <f>IF(AJ59="","",COUNTIFS('Content Calendar'!$J$5:$J$604,AJ59,'Content Calendar'!$B$5:$B$604,"&gt;="&amp;DATE(PlanYear,1,1),'Content Calendar'!$B$5:$B$604,"&lt;="&amp;DATE(PlanYear,12,31)))</f>
        <v>0</v>
      </c>
      <c r="AL59" s="23">
        <f>IF(AJ59="","",SUMIFS(Performance!$O$5:$O$404,Performance!$H$5:$H$404,AJ59))</f>
        <v>0</v>
      </c>
      <c r="AM59" s="23">
        <f>IF(AJ59="","",SUMIFS(Performance!$Z$5:$Z$404,Performance!$H$5:$H$404,AJ59))</f>
        <v>0</v>
      </c>
      <c r="AN59" s="24">
        <f>IF(OR(AL59="",AL59=0),"",AM59/AL59)</f>
        <v>0</v>
      </c>
      <c r="AO59" s="32">
        <f>IF(AN59="","",AN59+ROW()/1000000)</f>
        <v>0</v>
      </c>
      <c r="AP59" s="17">
        <f>IF(Lists!$E59="","",Lists!$E59)</f>
        <v>0</v>
      </c>
      <c r="AQ59" s="23">
        <f>IF(AP59="","",COUNTIF(Performance!$G$5:$G$404,AP59))</f>
        <v>0</v>
      </c>
      <c r="AR59" s="23">
        <f>IF(AP59="","",SUMIFS(Performance!$O$5:$O$404,Performance!$G$5:$G$404,AP59))</f>
        <v>0</v>
      </c>
      <c r="AS59" s="23">
        <f>IF(AP59="","",SUMIFS(Performance!$Z$5:$Z$404,Performance!$G$5:$G$404,AP59))</f>
        <v>0</v>
      </c>
      <c r="AT59" s="24">
        <f>IF(OR(AR59="",AR59=0),"",AS59/AR59)</f>
        <v>0</v>
      </c>
      <c r="AU59" s="32">
        <f>IF(AQ59=0,"",IF(AT59="","",AT59+ROW()/1000000))</f>
        <v>0</v>
      </c>
      <c r="AV59" s="17">
        <f>IF(ROW()-4&gt;7,"",TEXT(DATE(2024,1,ROW()-4),"ddd"))</f>
        <v>0</v>
      </c>
      <c r="AW59" s="23">
        <f>IF(AV59="","",COUNTIF(Performance!$N$5:$N$404,AV59))</f>
        <v>0</v>
      </c>
      <c r="AX59" s="23">
        <f>IF(AV59="","",SUMIFS(Performance!$O$5:$O$404,Performance!$N$5:$N$404,AV59))</f>
        <v>0</v>
      </c>
      <c r="AY59" s="23">
        <f>IF(AV59="","",SUMIFS(Performance!$Z$5:$Z$404,Performance!$N$5:$N$404,AV59))</f>
        <v>0</v>
      </c>
      <c r="AZ59" s="24">
        <f>IF(OR(AX59="",AX59=0),"",AY59/AX59)</f>
        <v>0</v>
      </c>
      <c r="BA59" s="32">
        <f>IF(AW59=0,"",IF(AZ59="","",AZ59+ROW()/1000000))</f>
        <v>0</v>
      </c>
      <c r="BB59" s="17">
        <f>IF(Lists!$AL59="","",Lists!$AL59)</f>
        <v>0</v>
      </c>
      <c r="BC59" s="23">
        <f>IF(BB59="","",COUNTIF(Performance!$M$5:$M$404,BB59))</f>
        <v>0</v>
      </c>
      <c r="BD59" s="23">
        <f>IF(BB59="","",SUMIFS(Performance!$O$5:$O$404,Performance!$M$5:$M$404,BB59))</f>
        <v>0</v>
      </c>
      <c r="BE59" s="23">
        <f>IF(BB59="","",SUMIFS(Performance!$Z$5:$Z$404,Performance!$M$5:$M$404,BB59))</f>
        <v>0</v>
      </c>
      <c r="BF59" s="24">
        <f>IF(OR(BD59="",BD59=0),"",BE59/BD59)</f>
        <v>0</v>
      </c>
      <c r="BG59" s="32">
        <f>IF(BC59=0,"",IF(BF59="","",BF59+ROW()/1000000))</f>
        <v>0</v>
      </c>
      <c r="BH59" s="17">
        <f>IF(Performance!$C$59="","",Performance!$C$59)</f>
        <v>0</v>
      </c>
      <c r="BI59" s="17">
        <f>IF(Performance!$F$59="","",Performance!$F$59)</f>
        <v>0</v>
      </c>
      <c r="BJ59" s="17">
        <f>IF(Performance!$H$59="","",Performance!$H$59)</f>
        <v>0</v>
      </c>
      <c r="BK59" s="16">
        <f>IF(Performance!$D$59="","",Performance!$D$59)</f>
        <v>0</v>
      </c>
      <c r="BL59" s="17">
        <f>IF(Performance!$E$59="","",Performance!$E$59)</f>
        <v>0</v>
      </c>
      <c r="BM59" s="23">
        <f>IF(Performance!$O$59="","",Performance!$O$59)</f>
        <v>0</v>
      </c>
      <c r="BN59" s="24">
        <f>IF(Performance!$AA$59="","",Performance!$AA$59)</f>
        <v>0</v>
      </c>
      <c r="BO59" s="32">
        <f>IF(BH59="","",IF(BK59="","",IF(OR(BK59&lt;DashStart,BK59&gt;DashEnd),"",IF(BN59="","",BN59+ROW()/1000000))))</f>
        <v>0</v>
      </c>
      <c r="BP59" s="32">
        <f>IF(BM59="","",IF(BK59="","",IF(OR(BK59&lt;DashStart,BK59&gt;DashEnd),"",BM59+ROW()/1000000)))</f>
        <v>0</v>
      </c>
      <c r="BQ59" s="32">
        <f>IF(BH59="","",IF(BK59="","",IF(YEAR(BK59)&lt;&gt;PlanYear,"",IF(BN59="","",BN59+ROW()/1000000))))</f>
        <v>0</v>
      </c>
      <c r="BR59" s="32">
        <f>IF(BH59="","",IF(BK59="","",IF(OR(BK59&lt;RepFrom,BK59&gt;RepTo),"",IF(BN59="","",BN59+ROW()/1000000))))</f>
        <v>0</v>
      </c>
      <c r="BS59" s="32">
        <f>IF(BM59="","",IF(BK59="","",IF(YEAR(BK59)&lt;&gt;PlanYear,"",BM59+ROW()/1000000)))</f>
        <v>0</v>
      </c>
      <c r="BT59" s="17">
        <f>IF(Lists!$F59="","",Lists!$F59)</f>
        <v>0</v>
      </c>
      <c r="BU59" s="23">
        <f>IF(BT59="","",COUNTIF('Content Calendar'!$X$5:$X$604,BT59))</f>
        <v>0</v>
      </c>
      <c r="BV59" s="23">
        <f>IF(BT59="","",COUNTIFS('Content Calendar'!$X$5:$X$604,BT59,'Content Calendar'!$B$5:$B$604,"&gt;="&amp;DashStart,'Content Calendar'!$B$5:$B$604,"&lt;="&amp;DashEnd))</f>
        <v>0</v>
      </c>
      <c r="BW59" s="17">
        <f>IF(Team!$B$59="","",Team!$B$59)</f>
        <v>0</v>
      </c>
      <c r="BX59" s="23">
        <f>IF(BW59="","",COUNTIF('Content Calendar'!$W$5:$W$604,BW59))</f>
        <v>0</v>
      </c>
      <c r="BY59" s="23">
        <f>IF(BW59="","",COUNTIFS('Content Calendar'!$W$5:$W$604,BW59,'Content Calendar'!$X$5:$X$604,"&lt;&gt;Published"))</f>
        <v>0</v>
      </c>
      <c r="BZ59" s="23">
        <f>IF(BW59="","",COUNTIFS(Tasks!$C$5:$C$64,BW59,Tasks!$G$5:$G$64,"&lt;&gt;Complete"))</f>
        <v>0</v>
      </c>
      <c r="CA59" s="17">
        <f>IF(Campaigns!$B$59="","",Campaigns!$B$59)</f>
        <v>0</v>
      </c>
      <c r="CB59" s="25">
        <f>IF(Campaigns!$T$59="","",Campaigns!$T$59)</f>
        <v>0</v>
      </c>
      <c r="CC59" s="25">
        <f>IF(Campaigns!$Q$59="","",Campaigns!$Q$59)</f>
        <v>0</v>
      </c>
      <c r="CD59" s="23">
        <f>IF(Campaigns!$Y$59="","",Campaigns!$Y$59)</f>
        <v>0</v>
      </c>
      <c r="CE59" s="32">
        <f>IF(CA59="","",IF(N(CB59)&lt;=0,"",N(CB59)+ROW()/1000000))</f>
        <v>0</v>
      </c>
      <c r="CF59" s="17">
        <f>IF(Accounts!$C$59="","",Accounts!$C$59)</f>
        <v>0</v>
      </c>
      <c r="CG59" s="17">
        <f>IF(Accounts!$B$59="","",Accounts!$B$59)</f>
        <v>0</v>
      </c>
      <c r="CH59" s="23">
        <f>IF(Accounts!$J$59="","",Accounts!$J$59)</f>
        <v>0</v>
      </c>
      <c r="CI59" s="23">
        <f>IF(CF59="","",SUMIFS(Analytics!$X$5:$X$154,Analytics!$E$5:$E$154,CF59,Analytics!$B$5:$B$154,"&gt;="&amp;DashStart,Analytics!$B$5:$B$154,"&lt;="&amp;DashEnd))</f>
        <v>0</v>
      </c>
      <c r="CJ59" s="32">
        <f>IF(CH59="","",IF(CH59=0,"",CH59+ROW()/1000000))</f>
        <v>0</v>
      </c>
    </row>
    <row r="60" spans="1:88">
      <c r="A60" s="16">
        <f>IF(ROW()-4&gt;12,"",DATE(PlanYear,ROW()-4,1))</f>
        <v>0</v>
      </c>
      <c r="B60" s="16">
        <f>IF(A60="","",EOMONTH(A60,0))</f>
        <v>0</v>
      </c>
      <c r="C60" s="17">
        <f>IF(A60="","",TEXT(A60,"yyyy-mm"))</f>
        <v>0</v>
      </c>
      <c r="D60" s="17">
        <f>IF(A60="","",TEXT(A60,"mmm"))</f>
        <v>0</v>
      </c>
      <c r="E60" s="23">
        <f>IF(C60="","",COUNTIFS('Content Calendar'!$D$5:$D$604,C60))</f>
        <v>0</v>
      </c>
      <c r="F60" s="23">
        <f>IF(C60="","",COUNTIFS('Content Calendar'!$D$5:$D$604,C60,'Content Calendar'!$X$5:$X$604,"Published"))</f>
        <v>0</v>
      </c>
      <c r="G60" s="23">
        <f>IF(C60="","",SUMIFS(Analytics!$J$5:$J$154,Analytics!$C$5:$C$154,C60))</f>
        <v>0</v>
      </c>
      <c r="H60" s="23">
        <f>IF(C60="","",SUMIFS(Analytics!$K$5:$K$154,Analytics!$C$5:$C$154,C60))</f>
        <v>0</v>
      </c>
      <c r="I60" s="23">
        <f>IF(C60="","",SUMIFS(Analytics!$L$5:$L$154,Analytics!$C$5:$C$154,C60))</f>
        <v>0</v>
      </c>
      <c r="J60" s="24">
        <f>IF(OR(G60="",G60=0),"",I60/G60)</f>
        <v>0</v>
      </c>
      <c r="K60" s="23">
        <f>IF(C60="","",SUMIFS(Analytics!$G$5:$G$154,Analytics!$C$5:$C$154,C60))</f>
        <v>0</v>
      </c>
      <c r="L60" s="23">
        <f>IF(C60="","",SUMIFS(Analytics!$X$5:$X$154,Analytics!$C$5:$C$154,C60))</f>
        <v>0</v>
      </c>
      <c r="M60" s="23">
        <f>IF(C60="","",SUMIFS(Analytics!$R$5:$R$154,Analytics!$C$5:$C$154,C60))</f>
        <v>0</v>
      </c>
      <c r="N60" s="23">
        <f>IF(C60="","",SUMIFS(Analytics!$S$5:$S$154,Analytics!$C$5:$C$154,C60))</f>
        <v>0</v>
      </c>
      <c r="O60" s="23">
        <f>IF(C60="","",SUMIFS(Analytics!$T$5:$T$154,Analytics!$C$5:$C$154,C60))</f>
        <v>0</v>
      </c>
      <c r="P60" s="25">
        <f>IF(C60="","",SUMIFS(Analytics!$U$5:$U$154,Analytics!$C$5:$C$154,C60))</f>
        <v>0</v>
      </c>
      <c r="Q60" s="25">
        <f>IF(C60="","",SUMIFS(Budget!$H$5:$H$64,Budget!$C$5:$C$64,C60))</f>
        <v>0</v>
      </c>
      <c r="R60" s="25">
        <f>IF(C60="","",P60-Q60)</f>
        <v>0</v>
      </c>
      <c r="S60" s="23">
        <f>IF(C60="","",MonthlyPostTarget)</f>
        <v>0</v>
      </c>
      <c r="T60" s="17">
        <f>IF(Lists!$C60="","",Lists!$C60)</f>
        <v>0</v>
      </c>
      <c r="U60" s="23">
        <f>IF(T60="","",COUNTIFS('Content Calendar'!$G$5:$G$604,T60,'Content Calendar'!$B$5:$B$604,"&gt;="&amp;DashStart,'Content Calendar'!$B$5:$B$604,"&lt;="&amp;DashEnd))</f>
        <v>0</v>
      </c>
      <c r="V60" s="23">
        <f>IF(T60="","",COUNTIFS('Content Calendar'!$G$5:$G$604,T60,'Content Calendar'!$X$5:$X$604,"Published",'Content Calendar'!$B$5:$B$604,"&gt;="&amp;DashStart,'Content Calendar'!$B$5:$B$604,"&lt;="&amp;DashEnd))</f>
        <v>0</v>
      </c>
      <c r="W60" s="23">
        <f>IF(T60="","",SUMIFS(Analytics!$J$5:$J$154,Analytics!$D$5:$D$154,T60,Analytics!$B$5:$B$154,"&gt;="&amp;DashStart,Analytics!$B$5:$B$154,"&lt;="&amp;DashEnd))</f>
        <v>0</v>
      </c>
      <c r="X60" s="23">
        <f>IF(T60="","",SUMIFS(Analytics!$L$5:$L$154,Analytics!$D$5:$D$154,T60,Analytics!$B$5:$B$154,"&gt;="&amp;DashStart,Analytics!$B$5:$B$154,"&lt;="&amp;DashEnd))</f>
        <v>0</v>
      </c>
      <c r="Y60" s="24">
        <f>IF(OR(W60="",W60=0),"",X60/W60)</f>
        <v>0</v>
      </c>
      <c r="Z60" s="23">
        <f>IF(T60="","",SUMIFS(Analytics!$G$5:$G$154,Analytics!$D$5:$D$154,T60,Analytics!$B$5:$B$154,"&gt;="&amp;DashStart,Analytics!$B$5:$B$154,"&lt;="&amp;DashEnd))</f>
        <v>0</v>
      </c>
      <c r="AA60" s="23">
        <f>IF(T60="","",SUMIFS(Analytics!$X$5:$X$154,Analytics!$D$5:$D$154,T60,Analytics!$B$5:$B$154,"&gt;="&amp;DashStart,Analytics!$B$5:$B$154,"&lt;="&amp;DashEnd))</f>
        <v>0</v>
      </c>
      <c r="AB60" s="23">
        <f>IF(T60="","",SUMIFS(Analytics!$R$5:$R$154,Analytics!$D$5:$D$154,T60,Analytics!$B$5:$B$154,"&gt;="&amp;DashStart,Analytics!$B$5:$B$154,"&lt;="&amp;DashEnd))</f>
        <v>0</v>
      </c>
      <c r="AC60" s="25">
        <f>IF(T60="","",SUMIFS(Analytics!$U$5:$U$154,Analytics!$D$5:$D$154,T60,Analytics!$B$5:$B$154,"&gt;="&amp;DashStart,Analytics!$B$5:$B$154,"&lt;="&amp;DashEnd))</f>
        <v>0</v>
      </c>
      <c r="AD60" s="23">
        <f>IF(T60="","",COUNTIFS('Content Calendar'!$G$5:$G$604,T60,'Content Calendar'!$B$5:$B$604,"&gt;="&amp;DATE(PlanYear,1,1),'Content Calendar'!$B$5:$B$604,"&lt;="&amp;DATE(PlanYear,12,31)))</f>
        <v>0</v>
      </c>
      <c r="AE60" s="23">
        <f>IF(T60="","",SUMIFS(Analytics!$J$5:$J$154,Analytics!$D$5:$D$154,T60))</f>
        <v>0</v>
      </c>
      <c r="AF60" s="23">
        <f>IF(T60="","",SUMIFS(Analytics!$L$5:$L$154,Analytics!$D$5:$D$154,T60))</f>
        <v>0</v>
      </c>
      <c r="AG60" s="24">
        <f>IF(OR(AE60="",AE60=0),"",AF60/AE60)</f>
        <v>0</v>
      </c>
      <c r="AH60" s="23">
        <f>IF(T60="","",SUMIFS(Analytics!$X$5:$X$154,Analytics!$D$5:$D$154,T60))</f>
        <v>0</v>
      </c>
      <c r="AI60" s="32">
        <f>IF(T60="","",IF(AE60=0,"",AE60+ROW()/1000000))</f>
        <v>0</v>
      </c>
      <c r="AJ60" s="17">
        <f>IF('Content Pillars'!$B$60="","",'Content Pillars'!$B$60)</f>
        <v>0</v>
      </c>
      <c r="AK60" s="23">
        <f>IF(AJ60="","",COUNTIFS('Content Calendar'!$J$5:$J$604,AJ60,'Content Calendar'!$B$5:$B$604,"&gt;="&amp;DATE(PlanYear,1,1),'Content Calendar'!$B$5:$B$604,"&lt;="&amp;DATE(PlanYear,12,31)))</f>
        <v>0</v>
      </c>
      <c r="AL60" s="23">
        <f>IF(AJ60="","",SUMIFS(Performance!$O$5:$O$404,Performance!$H$5:$H$404,AJ60))</f>
        <v>0</v>
      </c>
      <c r="AM60" s="23">
        <f>IF(AJ60="","",SUMIFS(Performance!$Z$5:$Z$404,Performance!$H$5:$H$404,AJ60))</f>
        <v>0</v>
      </c>
      <c r="AN60" s="24">
        <f>IF(OR(AL60="",AL60=0),"",AM60/AL60)</f>
        <v>0</v>
      </c>
      <c r="AO60" s="32">
        <f>IF(AN60="","",AN60+ROW()/1000000)</f>
        <v>0</v>
      </c>
      <c r="AP60" s="17">
        <f>IF(Lists!$E60="","",Lists!$E60)</f>
        <v>0</v>
      </c>
      <c r="AQ60" s="23">
        <f>IF(AP60="","",COUNTIF(Performance!$G$5:$G$404,AP60))</f>
        <v>0</v>
      </c>
      <c r="AR60" s="23">
        <f>IF(AP60="","",SUMIFS(Performance!$O$5:$O$404,Performance!$G$5:$G$404,AP60))</f>
        <v>0</v>
      </c>
      <c r="AS60" s="23">
        <f>IF(AP60="","",SUMIFS(Performance!$Z$5:$Z$404,Performance!$G$5:$G$404,AP60))</f>
        <v>0</v>
      </c>
      <c r="AT60" s="24">
        <f>IF(OR(AR60="",AR60=0),"",AS60/AR60)</f>
        <v>0</v>
      </c>
      <c r="AU60" s="32">
        <f>IF(AQ60=0,"",IF(AT60="","",AT60+ROW()/1000000))</f>
        <v>0</v>
      </c>
      <c r="AV60" s="17">
        <f>IF(ROW()-4&gt;7,"",TEXT(DATE(2024,1,ROW()-4),"ddd"))</f>
        <v>0</v>
      </c>
      <c r="AW60" s="23">
        <f>IF(AV60="","",COUNTIF(Performance!$N$5:$N$404,AV60))</f>
        <v>0</v>
      </c>
      <c r="AX60" s="23">
        <f>IF(AV60="","",SUMIFS(Performance!$O$5:$O$404,Performance!$N$5:$N$404,AV60))</f>
        <v>0</v>
      </c>
      <c r="AY60" s="23">
        <f>IF(AV60="","",SUMIFS(Performance!$Z$5:$Z$404,Performance!$N$5:$N$404,AV60))</f>
        <v>0</v>
      </c>
      <c r="AZ60" s="24">
        <f>IF(OR(AX60="",AX60=0),"",AY60/AX60)</f>
        <v>0</v>
      </c>
      <c r="BA60" s="32">
        <f>IF(AW60=0,"",IF(AZ60="","",AZ60+ROW()/1000000))</f>
        <v>0</v>
      </c>
      <c r="BB60" s="17">
        <f>IF(Lists!$AL60="","",Lists!$AL60)</f>
        <v>0</v>
      </c>
      <c r="BC60" s="23">
        <f>IF(BB60="","",COUNTIF(Performance!$M$5:$M$404,BB60))</f>
        <v>0</v>
      </c>
      <c r="BD60" s="23">
        <f>IF(BB60="","",SUMIFS(Performance!$O$5:$O$404,Performance!$M$5:$M$404,BB60))</f>
        <v>0</v>
      </c>
      <c r="BE60" s="23">
        <f>IF(BB60="","",SUMIFS(Performance!$Z$5:$Z$404,Performance!$M$5:$M$404,BB60))</f>
        <v>0</v>
      </c>
      <c r="BF60" s="24">
        <f>IF(OR(BD60="",BD60=0),"",BE60/BD60)</f>
        <v>0</v>
      </c>
      <c r="BG60" s="32">
        <f>IF(BC60=0,"",IF(BF60="","",BF60+ROW()/1000000))</f>
        <v>0</v>
      </c>
      <c r="BH60" s="17">
        <f>IF(Performance!$C$60="","",Performance!$C$60)</f>
        <v>0</v>
      </c>
      <c r="BI60" s="17">
        <f>IF(Performance!$F$60="","",Performance!$F$60)</f>
        <v>0</v>
      </c>
      <c r="BJ60" s="17">
        <f>IF(Performance!$H$60="","",Performance!$H$60)</f>
        <v>0</v>
      </c>
      <c r="BK60" s="16">
        <f>IF(Performance!$D$60="","",Performance!$D$60)</f>
        <v>0</v>
      </c>
      <c r="BL60" s="17">
        <f>IF(Performance!$E$60="","",Performance!$E$60)</f>
        <v>0</v>
      </c>
      <c r="BM60" s="23">
        <f>IF(Performance!$O$60="","",Performance!$O$60)</f>
        <v>0</v>
      </c>
      <c r="BN60" s="24">
        <f>IF(Performance!$AA$60="","",Performance!$AA$60)</f>
        <v>0</v>
      </c>
      <c r="BO60" s="32">
        <f>IF(BH60="","",IF(BK60="","",IF(OR(BK60&lt;DashStart,BK60&gt;DashEnd),"",IF(BN60="","",BN60+ROW()/1000000))))</f>
        <v>0</v>
      </c>
      <c r="BP60" s="32">
        <f>IF(BM60="","",IF(BK60="","",IF(OR(BK60&lt;DashStart,BK60&gt;DashEnd),"",BM60+ROW()/1000000)))</f>
        <v>0</v>
      </c>
      <c r="BQ60" s="32">
        <f>IF(BH60="","",IF(BK60="","",IF(YEAR(BK60)&lt;&gt;PlanYear,"",IF(BN60="","",BN60+ROW()/1000000))))</f>
        <v>0</v>
      </c>
      <c r="BR60" s="32">
        <f>IF(BH60="","",IF(BK60="","",IF(OR(BK60&lt;RepFrom,BK60&gt;RepTo),"",IF(BN60="","",BN60+ROW()/1000000))))</f>
        <v>0</v>
      </c>
      <c r="BS60" s="32">
        <f>IF(BM60="","",IF(BK60="","",IF(YEAR(BK60)&lt;&gt;PlanYear,"",BM60+ROW()/1000000)))</f>
        <v>0</v>
      </c>
      <c r="BT60" s="17">
        <f>IF(Lists!$F60="","",Lists!$F60)</f>
        <v>0</v>
      </c>
      <c r="BU60" s="23">
        <f>IF(BT60="","",COUNTIF('Content Calendar'!$X$5:$X$604,BT60))</f>
        <v>0</v>
      </c>
      <c r="BV60" s="23">
        <f>IF(BT60="","",COUNTIFS('Content Calendar'!$X$5:$X$604,BT60,'Content Calendar'!$B$5:$B$604,"&gt;="&amp;DashStart,'Content Calendar'!$B$5:$B$604,"&lt;="&amp;DashEnd))</f>
        <v>0</v>
      </c>
      <c r="BW60" s="17">
        <f>IF(Team!$B$60="","",Team!$B$60)</f>
        <v>0</v>
      </c>
      <c r="BX60" s="23">
        <f>IF(BW60="","",COUNTIF('Content Calendar'!$W$5:$W$604,BW60))</f>
        <v>0</v>
      </c>
      <c r="BY60" s="23">
        <f>IF(BW60="","",COUNTIFS('Content Calendar'!$W$5:$W$604,BW60,'Content Calendar'!$X$5:$X$604,"&lt;&gt;Published"))</f>
        <v>0</v>
      </c>
      <c r="BZ60" s="23">
        <f>IF(BW60="","",COUNTIFS(Tasks!$C$5:$C$64,BW60,Tasks!$G$5:$G$64,"&lt;&gt;Complete"))</f>
        <v>0</v>
      </c>
      <c r="CA60" s="17">
        <f>IF(Campaigns!$B$60="","",Campaigns!$B$60)</f>
        <v>0</v>
      </c>
      <c r="CB60" s="25">
        <f>IF(Campaigns!$T$60="","",Campaigns!$T$60)</f>
        <v>0</v>
      </c>
      <c r="CC60" s="25">
        <f>IF(Campaigns!$Q$60="","",Campaigns!$Q$60)</f>
        <v>0</v>
      </c>
      <c r="CD60" s="23">
        <f>IF(Campaigns!$Y$60="","",Campaigns!$Y$60)</f>
        <v>0</v>
      </c>
      <c r="CE60" s="32">
        <f>IF(CA60="","",IF(N(CB60)&lt;=0,"",N(CB60)+ROW()/1000000))</f>
        <v>0</v>
      </c>
      <c r="CF60" s="17">
        <f>IF(Accounts!$C$60="","",Accounts!$C$60)</f>
        <v>0</v>
      </c>
      <c r="CG60" s="17">
        <f>IF(Accounts!$B$60="","",Accounts!$B$60)</f>
        <v>0</v>
      </c>
      <c r="CH60" s="23">
        <f>IF(Accounts!$J$60="","",Accounts!$J$60)</f>
        <v>0</v>
      </c>
      <c r="CI60" s="23">
        <f>IF(CF60="","",SUMIFS(Analytics!$X$5:$X$154,Analytics!$E$5:$E$154,CF60,Analytics!$B$5:$B$154,"&gt;="&amp;DashStart,Analytics!$B$5:$B$154,"&lt;="&amp;DashEnd))</f>
        <v>0</v>
      </c>
      <c r="CJ60" s="32">
        <f>IF(CH60="","",IF(CH60=0,"",CH60+ROW()/1000000))</f>
        <v>0</v>
      </c>
    </row>
    <row r="61" spans="1:88">
      <c r="A61" s="16">
        <f>IF(ROW()-4&gt;12,"",DATE(PlanYear,ROW()-4,1))</f>
        <v>0</v>
      </c>
      <c r="B61" s="16">
        <f>IF(A61="","",EOMONTH(A61,0))</f>
        <v>0</v>
      </c>
      <c r="C61" s="17">
        <f>IF(A61="","",TEXT(A61,"yyyy-mm"))</f>
        <v>0</v>
      </c>
      <c r="D61" s="17">
        <f>IF(A61="","",TEXT(A61,"mmm"))</f>
        <v>0</v>
      </c>
      <c r="E61" s="23">
        <f>IF(C61="","",COUNTIFS('Content Calendar'!$D$5:$D$604,C61))</f>
        <v>0</v>
      </c>
      <c r="F61" s="23">
        <f>IF(C61="","",COUNTIFS('Content Calendar'!$D$5:$D$604,C61,'Content Calendar'!$X$5:$X$604,"Published"))</f>
        <v>0</v>
      </c>
      <c r="G61" s="23">
        <f>IF(C61="","",SUMIFS(Analytics!$J$5:$J$154,Analytics!$C$5:$C$154,C61))</f>
        <v>0</v>
      </c>
      <c r="H61" s="23">
        <f>IF(C61="","",SUMIFS(Analytics!$K$5:$K$154,Analytics!$C$5:$C$154,C61))</f>
        <v>0</v>
      </c>
      <c r="I61" s="23">
        <f>IF(C61="","",SUMIFS(Analytics!$L$5:$L$154,Analytics!$C$5:$C$154,C61))</f>
        <v>0</v>
      </c>
      <c r="J61" s="24">
        <f>IF(OR(G61="",G61=0),"",I61/G61)</f>
        <v>0</v>
      </c>
      <c r="K61" s="23">
        <f>IF(C61="","",SUMIFS(Analytics!$G$5:$G$154,Analytics!$C$5:$C$154,C61))</f>
        <v>0</v>
      </c>
      <c r="L61" s="23">
        <f>IF(C61="","",SUMIFS(Analytics!$X$5:$X$154,Analytics!$C$5:$C$154,C61))</f>
        <v>0</v>
      </c>
      <c r="M61" s="23">
        <f>IF(C61="","",SUMIFS(Analytics!$R$5:$R$154,Analytics!$C$5:$C$154,C61))</f>
        <v>0</v>
      </c>
      <c r="N61" s="23">
        <f>IF(C61="","",SUMIFS(Analytics!$S$5:$S$154,Analytics!$C$5:$C$154,C61))</f>
        <v>0</v>
      </c>
      <c r="O61" s="23">
        <f>IF(C61="","",SUMIFS(Analytics!$T$5:$T$154,Analytics!$C$5:$C$154,C61))</f>
        <v>0</v>
      </c>
      <c r="P61" s="25">
        <f>IF(C61="","",SUMIFS(Analytics!$U$5:$U$154,Analytics!$C$5:$C$154,C61))</f>
        <v>0</v>
      </c>
      <c r="Q61" s="25">
        <f>IF(C61="","",SUMIFS(Budget!$H$5:$H$64,Budget!$C$5:$C$64,C61))</f>
        <v>0</v>
      </c>
      <c r="R61" s="25">
        <f>IF(C61="","",P61-Q61)</f>
        <v>0</v>
      </c>
      <c r="S61" s="23">
        <f>IF(C61="","",MonthlyPostTarget)</f>
        <v>0</v>
      </c>
      <c r="T61" s="17">
        <f>IF(Lists!$C61="","",Lists!$C61)</f>
        <v>0</v>
      </c>
      <c r="U61" s="23">
        <f>IF(T61="","",COUNTIFS('Content Calendar'!$G$5:$G$604,T61,'Content Calendar'!$B$5:$B$604,"&gt;="&amp;DashStart,'Content Calendar'!$B$5:$B$604,"&lt;="&amp;DashEnd))</f>
        <v>0</v>
      </c>
      <c r="V61" s="23">
        <f>IF(T61="","",COUNTIFS('Content Calendar'!$G$5:$G$604,T61,'Content Calendar'!$X$5:$X$604,"Published",'Content Calendar'!$B$5:$B$604,"&gt;="&amp;DashStart,'Content Calendar'!$B$5:$B$604,"&lt;="&amp;DashEnd))</f>
        <v>0</v>
      </c>
      <c r="W61" s="23">
        <f>IF(T61="","",SUMIFS(Analytics!$J$5:$J$154,Analytics!$D$5:$D$154,T61,Analytics!$B$5:$B$154,"&gt;="&amp;DashStart,Analytics!$B$5:$B$154,"&lt;="&amp;DashEnd))</f>
        <v>0</v>
      </c>
      <c r="X61" s="23">
        <f>IF(T61="","",SUMIFS(Analytics!$L$5:$L$154,Analytics!$D$5:$D$154,T61,Analytics!$B$5:$B$154,"&gt;="&amp;DashStart,Analytics!$B$5:$B$154,"&lt;="&amp;DashEnd))</f>
        <v>0</v>
      </c>
      <c r="Y61" s="24">
        <f>IF(OR(W61="",W61=0),"",X61/W61)</f>
        <v>0</v>
      </c>
      <c r="Z61" s="23">
        <f>IF(T61="","",SUMIFS(Analytics!$G$5:$G$154,Analytics!$D$5:$D$154,T61,Analytics!$B$5:$B$154,"&gt;="&amp;DashStart,Analytics!$B$5:$B$154,"&lt;="&amp;DashEnd))</f>
        <v>0</v>
      </c>
      <c r="AA61" s="23">
        <f>IF(T61="","",SUMIFS(Analytics!$X$5:$X$154,Analytics!$D$5:$D$154,T61,Analytics!$B$5:$B$154,"&gt;="&amp;DashStart,Analytics!$B$5:$B$154,"&lt;="&amp;DashEnd))</f>
        <v>0</v>
      </c>
      <c r="AB61" s="23">
        <f>IF(T61="","",SUMIFS(Analytics!$R$5:$R$154,Analytics!$D$5:$D$154,T61,Analytics!$B$5:$B$154,"&gt;="&amp;DashStart,Analytics!$B$5:$B$154,"&lt;="&amp;DashEnd))</f>
        <v>0</v>
      </c>
      <c r="AC61" s="25">
        <f>IF(T61="","",SUMIFS(Analytics!$U$5:$U$154,Analytics!$D$5:$D$154,T61,Analytics!$B$5:$B$154,"&gt;="&amp;DashStart,Analytics!$B$5:$B$154,"&lt;="&amp;DashEnd))</f>
        <v>0</v>
      </c>
      <c r="AD61" s="23">
        <f>IF(T61="","",COUNTIFS('Content Calendar'!$G$5:$G$604,T61,'Content Calendar'!$B$5:$B$604,"&gt;="&amp;DATE(PlanYear,1,1),'Content Calendar'!$B$5:$B$604,"&lt;="&amp;DATE(PlanYear,12,31)))</f>
        <v>0</v>
      </c>
      <c r="AE61" s="23">
        <f>IF(T61="","",SUMIFS(Analytics!$J$5:$J$154,Analytics!$D$5:$D$154,T61))</f>
        <v>0</v>
      </c>
      <c r="AF61" s="23">
        <f>IF(T61="","",SUMIFS(Analytics!$L$5:$L$154,Analytics!$D$5:$D$154,T61))</f>
        <v>0</v>
      </c>
      <c r="AG61" s="24">
        <f>IF(OR(AE61="",AE61=0),"",AF61/AE61)</f>
        <v>0</v>
      </c>
      <c r="AH61" s="23">
        <f>IF(T61="","",SUMIFS(Analytics!$X$5:$X$154,Analytics!$D$5:$D$154,T61))</f>
        <v>0</v>
      </c>
      <c r="AI61" s="32">
        <f>IF(T61="","",IF(AE61=0,"",AE61+ROW()/1000000))</f>
        <v>0</v>
      </c>
      <c r="AJ61" s="17">
        <f>IF('Content Pillars'!$B$61="","",'Content Pillars'!$B$61)</f>
        <v>0</v>
      </c>
      <c r="AK61" s="23">
        <f>IF(AJ61="","",COUNTIFS('Content Calendar'!$J$5:$J$604,AJ61,'Content Calendar'!$B$5:$B$604,"&gt;="&amp;DATE(PlanYear,1,1),'Content Calendar'!$B$5:$B$604,"&lt;="&amp;DATE(PlanYear,12,31)))</f>
        <v>0</v>
      </c>
      <c r="AL61" s="23">
        <f>IF(AJ61="","",SUMIFS(Performance!$O$5:$O$404,Performance!$H$5:$H$404,AJ61))</f>
        <v>0</v>
      </c>
      <c r="AM61" s="23">
        <f>IF(AJ61="","",SUMIFS(Performance!$Z$5:$Z$404,Performance!$H$5:$H$404,AJ61))</f>
        <v>0</v>
      </c>
      <c r="AN61" s="24">
        <f>IF(OR(AL61="",AL61=0),"",AM61/AL61)</f>
        <v>0</v>
      </c>
      <c r="AO61" s="32">
        <f>IF(AN61="","",AN61+ROW()/1000000)</f>
        <v>0</v>
      </c>
      <c r="AP61" s="17">
        <f>IF(Lists!$E61="","",Lists!$E61)</f>
        <v>0</v>
      </c>
      <c r="AQ61" s="23">
        <f>IF(AP61="","",COUNTIF(Performance!$G$5:$G$404,AP61))</f>
        <v>0</v>
      </c>
      <c r="AR61" s="23">
        <f>IF(AP61="","",SUMIFS(Performance!$O$5:$O$404,Performance!$G$5:$G$404,AP61))</f>
        <v>0</v>
      </c>
      <c r="AS61" s="23">
        <f>IF(AP61="","",SUMIFS(Performance!$Z$5:$Z$404,Performance!$G$5:$G$404,AP61))</f>
        <v>0</v>
      </c>
      <c r="AT61" s="24">
        <f>IF(OR(AR61="",AR61=0),"",AS61/AR61)</f>
        <v>0</v>
      </c>
      <c r="AU61" s="32">
        <f>IF(AQ61=0,"",IF(AT61="","",AT61+ROW()/1000000))</f>
        <v>0</v>
      </c>
      <c r="AV61" s="17">
        <f>IF(ROW()-4&gt;7,"",TEXT(DATE(2024,1,ROW()-4),"ddd"))</f>
        <v>0</v>
      </c>
      <c r="AW61" s="23">
        <f>IF(AV61="","",COUNTIF(Performance!$N$5:$N$404,AV61))</f>
        <v>0</v>
      </c>
      <c r="AX61" s="23">
        <f>IF(AV61="","",SUMIFS(Performance!$O$5:$O$404,Performance!$N$5:$N$404,AV61))</f>
        <v>0</v>
      </c>
      <c r="AY61" s="23">
        <f>IF(AV61="","",SUMIFS(Performance!$Z$5:$Z$404,Performance!$N$5:$N$404,AV61))</f>
        <v>0</v>
      </c>
      <c r="AZ61" s="24">
        <f>IF(OR(AX61="",AX61=0),"",AY61/AX61)</f>
        <v>0</v>
      </c>
      <c r="BA61" s="32">
        <f>IF(AW61=0,"",IF(AZ61="","",AZ61+ROW()/1000000))</f>
        <v>0</v>
      </c>
      <c r="BB61" s="17">
        <f>IF(Lists!$AL61="","",Lists!$AL61)</f>
        <v>0</v>
      </c>
      <c r="BC61" s="23">
        <f>IF(BB61="","",COUNTIF(Performance!$M$5:$M$404,BB61))</f>
        <v>0</v>
      </c>
      <c r="BD61" s="23">
        <f>IF(BB61="","",SUMIFS(Performance!$O$5:$O$404,Performance!$M$5:$M$404,BB61))</f>
        <v>0</v>
      </c>
      <c r="BE61" s="23">
        <f>IF(BB61="","",SUMIFS(Performance!$Z$5:$Z$404,Performance!$M$5:$M$404,BB61))</f>
        <v>0</v>
      </c>
      <c r="BF61" s="24">
        <f>IF(OR(BD61="",BD61=0),"",BE61/BD61)</f>
        <v>0</v>
      </c>
      <c r="BG61" s="32">
        <f>IF(BC61=0,"",IF(BF61="","",BF61+ROW()/1000000))</f>
        <v>0</v>
      </c>
      <c r="BH61" s="17">
        <f>IF(Performance!$C$61="","",Performance!$C$61)</f>
        <v>0</v>
      </c>
      <c r="BI61" s="17">
        <f>IF(Performance!$F$61="","",Performance!$F$61)</f>
        <v>0</v>
      </c>
      <c r="BJ61" s="17">
        <f>IF(Performance!$H$61="","",Performance!$H$61)</f>
        <v>0</v>
      </c>
      <c r="BK61" s="16">
        <f>IF(Performance!$D$61="","",Performance!$D$61)</f>
        <v>0</v>
      </c>
      <c r="BL61" s="17">
        <f>IF(Performance!$E$61="","",Performance!$E$61)</f>
        <v>0</v>
      </c>
      <c r="BM61" s="23">
        <f>IF(Performance!$O$61="","",Performance!$O$61)</f>
        <v>0</v>
      </c>
      <c r="BN61" s="24">
        <f>IF(Performance!$AA$61="","",Performance!$AA$61)</f>
        <v>0</v>
      </c>
      <c r="BO61" s="32">
        <f>IF(BH61="","",IF(BK61="","",IF(OR(BK61&lt;DashStart,BK61&gt;DashEnd),"",IF(BN61="","",BN61+ROW()/1000000))))</f>
        <v>0</v>
      </c>
      <c r="BP61" s="32">
        <f>IF(BM61="","",IF(BK61="","",IF(OR(BK61&lt;DashStart,BK61&gt;DashEnd),"",BM61+ROW()/1000000)))</f>
        <v>0</v>
      </c>
      <c r="BQ61" s="32">
        <f>IF(BH61="","",IF(BK61="","",IF(YEAR(BK61)&lt;&gt;PlanYear,"",IF(BN61="","",BN61+ROW()/1000000))))</f>
        <v>0</v>
      </c>
      <c r="BR61" s="32">
        <f>IF(BH61="","",IF(BK61="","",IF(OR(BK61&lt;RepFrom,BK61&gt;RepTo),"",IF(BN61="","",BN61+ROW()/1000000))))</f>
        <v>0</v>
      </c>
      <c r="BS61" s="32">
        <f>IF(BM61="","",IF(BK61="","",IF(YEAR(BK61)&lt;&gt;PlanYear,"",BM61+ROW()/1000000)))</f>
        <v>0</v>
      </c>
      <c r="BT61" s="17">
        <f>IF(Lists!$F61="","",Lists!$F61)</f>
        <v>0</v>
      </c>
      <c r="BU61" s="23">
        <f>IF(BT61="","",COUNTIF('Content Calendar'!$X$5:$X$604,BT61))</f>
        <v>0</v>
      </c>
      <c r="BV61" s="23">
        <f>IF(BT61="","",COUNTIFS('Content Calendar'!$X$5:$X$604,BT61,'Content Calendar'!$B$5:$B$604,"&gt;="&amp;DashStart,'Content Calendar'!$B$5:$B$604,"&lt;="&amp;DashEnd))</f>
        <v>0</v>
      </c>
      <c r="BW61" s="17">
        <f>IF(Team!$B$61="","",Team!$B$61)</f>
        <v>0</v>
      </c>
      <c r="BX61" s="23">
        <f>IF(BW61="","",COUNTIF('Content Calendar'!$W$5:$W$604,BW61))</f>
        <v>0</v>
      </c>
      <c r="BY61" s="23">
        <f>IF(BW61="","",COUNTIFS('Content Calendar'!$W$5:$W$604,BW61,'Content Calendar'!$X$5:$X$604,"&lt;&gt;Published"))</f>
        <v>0</v>
      </c>
      <c r="BZ61" s="23">
        <f>IF(BW61="","",COUNTIFS(Tasks!$C$5:$C$64,BW61,Tasks!$G$5:$G$64,"&lt;&gt;Complete"))</f>
        <v>0</v>
      </c>
      <c r="CA61" s="17">
        <f>IF(Campaigns!$B$61="","",Campaigns!$B$61)</f>
        <v>0</v>
      </c>
      <c r="CB61" s="25">
        <f>IF(Campaigns!$T$61="","",Campaigns!$T$61)</f>
        <v>0</v>
      </c>
      <c r="CC61" s="25">
        <f>IF(Campaigns!$Q$61="","",Campaigns!$Q$61)</f>
        <v>0</v>
      </c>
      <c r="CD61" s="23">
        <f>IF(Campaigns!$Y$61="","",Campaigns!$Y$61)</f>
        <v>0</v>
      </c>
      <c r="CE61" s="32">
        <f>IF(CA61="","",IF(N(CB61)&lt;=0,"",N(CB61)+ROW()/1000000))</f>
        <v>0</v>
      </c>
      <c r="CF61" s="17">
        <f>IF(Accounts!$C$61="","",Accounts!$C$61)</f>
        <v>0</v>
      </c>
      <c r="CG61" s="17">
        <f>IF(Accounts!$B$61="","",Accounts!$B$61)</f>
        <v>0</v>
      </c>
      <c r="CH61" s="23">
        <f>IF(Accounts!$J$61="","",Accounts!$J$61)</f>
        <v>0</v>
      </c>
      <c r="CI61" s="23">
        <f>IF(CF61="","",SUMIFS(Analytics!$X$5:$X$154,Analytics!$E$5:$E$154,CF61,Analytics!$B$5:$B$154,"&gt;="&amp;DashStart,Analytics!$B$5:$B$154,"&lt;="&amp;DashEnd))</f>
        <v>0</v>
      </c>
      <c r="CJ61" s="32">
        <f>IF(CH61="","",IF(CH61=0,"",CH61+ROW()/1000000))</f>
        <v>0</v>
      </c>
    </row>
    <row r="62" spans="1:88">
      <c r="A62" s="16">
        <f>IF(ROW()-4&gt;12,"",DATE(PlanYear,ROW()-4,1))</f>
        <v>0</v>
      </c>
      <c r="B62" s="16">
        <f>IF(A62="","",EOMONTH(A62,0))</f>
        <v>0</v>
      </c>
      <c r="C62" s="17">
        <f>IF(A62="","",TEXT(A62,"yyyy-mm"))</f>
        <v>0</v>
      </c>
      <c r="D62" s="17">
        <f>IF(A62="","",TEXT(A62,"mmm"))</f>
        <v>0</v>
      </c>
      <c r="E62" s="23">
        <f>IF(C62="","",COUNTIFS('Content Calendar'!$D$5:$D$604,C62))</f>
        <v>0</v>
      </c>
      <c r="F62" s="23">
        <f>IF(C62="","",COUNTIFS('Content Calendar'!$D$5:$D$604,C62,'Content Calendar'!$X$5:$X$604,"Published"))</f>
        <v>0</v>
      </c>
      <c r="G62" s="23">
        <f>IF(C62="","",SUMIFS(Analytics!$J$5:$J$154,Analytics!$C$5:$C$154,C62))</f>
        <v>0</v>
      </c>
      <c r="H62" s="23">
        <f>IF(C62="","",SUMIFS(Analytics!$K$5:$K$154,Analytics!$C$5:$C$154,C62))</f>
        <v>0</v>
      </c>
      <c r="I62" s="23">
        <f>IF(C62="","",SUMIFS(Analytics!$L$5:$L$154,Analytics!$C$5:$C$154,C62))</f>
        <v>0</v>
      </c>
      <c r="J62" s="24">
        <f>IF(OR(G62="",G62=0),"",I62/G62)</f>
        <v>0</v>
      </c>
      <c r="K62" s="23">
        <f>IF(C62="","",SUMIFS(Analytics!$G$5:$G$154,Analytics!$C$5:$C$154,C62))</f>
        <v>0</v>
      </c>
      <c r="L62" s="23">
        <f>IF(C62="","",SUMIFS(Analytics!$X$5:$X$154,Analytics!$C$5:$C$154,C62))</f>
        <v>0</v>
      </c>
      <c r="M62" s="23">
        <f>IF(C62="","",SUMIFS(Analytics!$R$5:$R$154,Analytics!$C$5:$C$154,C62))</f>
        <v>0</v>
      </c>
      <c r="N62" s="23">
        <f>IF(C62="","",SUMIFS(Analytics!$S$5:$S$154,Analytics!$C$5:$C$154,C62))</f>
        <v>0</v>
      </c>
      <c r="O62" s="23">
        <f>IF(C62="","",SUMIFS(Analytics!$T$5:$T$154,Analytics!$C$5:$C$154,C62))</f>
        <v>0</v>
      </c>
      <c r="P62" s="25">
        <f>IF(C62="","",SUMIFS(Analytics!$U$5:$U$154,Analytics!$C$5:$C$154,C62))</f>
        <v>0</v>
      </c>
      <c r="Q62" s="25">
        <f>IF(C62="","",SUMIFS(Budget!$H$5:$H$64,Budget!$C$5:$C$64,C62))</f>
        <v>0</v>
      </c>
      <c r="R62" s="25">
        <f>IF(C62="","",P62-Q62)</f>
        <v>0</v>
      </c>
      <c r="S62" s="23">
        <f>IF(C62="","",MonthlyPostTarget)</f>
        <v>0</v>
      </c>
      <c r="T62" s="17">
        <f>IF(Lists!$C62="","",Lists!$C62)</f>
        <v>0</v>
      </c>
      <c r="U62" s="23">
        <f>IF(T62="","",COUNTIFS('Content Calendar'!$G$5:$G$604,T62,'Content Calendar'!$B$5:$B$604,"&gt;="&amp;DashStart,'Content Calendar'!$B$5:$B$604,"&lt;="&amp;DashEnd))</f>
        <v>0</v>
      </c>
      <c r="V62" s="23">
        <f>IF(T62="","",COUNTIFS('Content Calendar'!$G$5:$G$604,T62,'Content Calendar'!$X$5:$X$604,"Published",'Content Calendar'!$B$5:$B$604,"&gt;="&amp;DashStart,'Content Calendar'!$B$5:$B$604,"&lt;="&amp;DashEnd))</f>
        <v>0</v>
      </c>
      <c r="W62" s="23">
        <f>IF(T62="","",SUMIFS(Analytics!$J$5:$J$154,Analytics!$D$5:$D$154,T62,Analytics!$B$5:$B$154,"&gt;="&amp;DashStart,Analytics!$B$5:$B$154,"&lt;="&amp;DashEnd))</f>
        <v>0</v>
      </c>
      <c r="X62" s="23">
        <f>IF(T62="","",SUMIFS(Analytics!$L$5:$L$154,Analytics!$D$5:$D$154,T62,Analytics!$B$5:$B$154,"&gt;="&amp;DashStart,Analytics!$B$5:$B$154,"&lt;="&amp;DashEnd))</f>
        <v>0</v>
      </c>
      <c r="Y62" s="24">
        <f>IF(OR(W62="",W62=0),"",X62/W62)</f>
        <v>0</v>
      </c>
      <c r="Z62" s="23">
        <f>IF(T62="","",SUMIFS(Analytics!$G$5:$G$154,Analytics!$D$5:$D$154,T62,Analytics!$B$5:$B$154,"&gt;="&amp;DashStart,Analytics!$B$5:$B$154,"&lt;="&amp;DashEnd))</f>
        <v>0</v>
      </c>
      <c r="AA62" s="23">
        <f>IF(T62="","",SUMIFS(Analytics!$X$5:$X$154,Analytics!$D$5:$D$154,T62,Analytics!$B$5:$B$154,"&gt;="&amp;DashStart,Analytics!$B$5:$B$154,"&lt;="&amp;DashEnd))</f>
        <v>0</v>
      </c>
      <c r="AB62" s="23">
        <f>IF(T62="","",SUMIFS(Analytics!$R$5:$R$154,Analytics!$D$5:$D$154,T62,Analytics!$B$5:$B$154,"&gt;="&amp;DashStart,Analytics!$B$5:$B$154,"&lt;="&amp;DashEnd))</f>
        <v>0</v>
      </c>
      <c r="AC62" s="25">
        <f>IF(T62="","",SUMIFS(Analytics!$U$5:$U$154,Analytics!$D$5:$D$154,T62,Analytics!$B$5:$B$154,"&gt;="&amp;DashStart,Analytics!$B$5:$B$154,"&lt;="&amp;DashEnd))</f>
        <v>0</v>
      </c>
      <c r="AD62" s="23">
        <f>IF(T62="","",COUNTIFS('Content Calendar'!$G$5:$G$604,T62,'Content Calendar'!$B$5:$B$604,"&gt;="&amp;DATE(PlanYear,1,1),'Content Calendar'!$B$5:$B$604,"&lt;="&amp;DATE(PlanYear,12,31)))</f>
        <v>0</v>
      </c>
      <c r="AE62" s="23">
        <f>IF(T62="","",SUMIFS(Analytics!$J$5:$J$154,Analytics!$D$5:$D$154,T62))</f>
        <v>0</v>
      </c>
      <c r="AF62" s="23">
        <f>IF(T62="","",SUMIFS(Analytics!$L$5:$L$154,Analytics!$D$5:$D$154,T62))</f>
        <v>0</v>
      </c>
      <c r="AG62" s="24">
        <f>IF(OR(AE62="",AE62=0),"",AF62/AE62)</f>
        <v>0</v>
      </c>
      <c r="AH62" s="23">
        <f>IF(T62="","",SUMIFS(Analytics!$X$5:$X$154,Analytics!$D$5:$D$154,T62))</f>
        <v>0</v>
      </c>
      <c r="AI62" s="32">
        <f>IF(T62="","",IF(AE62=0,"",AE62+ROW()/1000000))</f>
        <v>0</v>
      </c>
      <c r="AJ62" s="17">
        <f>IF('Content Pillars'!$B$62="","",'Content Pillars'!$B$62)</f>
        <v>0</v>
      </c>
      <c r="AK62" s="23">
        <f>IF(AJ62="","",COUNTIFS('Content Calendar'!$J$5:$J$604,AJ62,'Content Calendar'!$B$5:$B$604,"&gt;="&amp;DATE(PlanYear,1,1),'Content Calendar'!$B$5:$B$604,"&lt;="&amp;DATE(PlanYear,12,31)))</f>
        <v>0</v>
      </c>
      <c r="AL62" s="23">
        <f>IF(AJ62="","",SUMIFS(Performance!$O$5:$O$404,Performance!$H$5:$H$404,AJ62))</f>
        <v>0</v>
      </c>
      <c r="AM62" s="23">
        <f>IF(AJ62="","",SUMIFS(Performance!$Z$5:$Z$404,Performance!$H$5:$H$404,AJ62))</f>
        <v>0</v>
      </c>
      <c r="AN62" s="24">
        <f>IF(OR(AL62="",AL62=0),"",AM62/AL62)</f>
        <v>0</v>
      </c>
      <c r="AO62" s="32">
        <f>IF(AN62="","",AN62+ROW()/1000000)</f>
        <v>0</v>
      </c>
      <c r="AP62" s="17">
        <f>IF(Lists!$E62="","",Lists!$E62)</f>
        <v>0</v>
      </c>
      <c r="AQ62" s="23">
        <f>IF(AP62="","",COUNTIF(Performance!$G$5:$G$404,AP62))</f>
        <v>0</v>
      </c>
      <c r="AR62" s="23">
        <f>IF(AP62="","",SUMIFS(Performance!$O$5:$O$404,Performance!$G$5:$G$404,AP62))</f>
        <v>0</v>
      </c>
      <c r="AS62" s="23">
        <f>IF(AP62="","",SUMIFS(Performance!$Z$5:$Z$404,Performance!$G$5:$G$404,AP62))</f>
        <v>0</v>
      </c>
      <c r="AT62" s="24">
        <f>IF(OR(AR62="",AR62=0),"",AS62/AR62)</f>
        <v>0</v>
      </c>
      <c r="AU62" s="32">
        <f>IF(AQ62=0,"",IF(AT62="","",AT62+ROW()/1000000))</f>
        <v>0</v>
      </c>
      <c r="AV62" s="17">
        <f>IF(ROW()-4&gt;7,"",TEXT(DATE(2024,1,ROW()-4),"ddd"))</f>
        <v>0</v>
      </c>
      <c r="AW62" s="23">
        <f>IF(AV62="","",COUNTIF(Performance!$N$5:$N$404,AV62))</f>
        <v>0</v>
      </c>
      <c r="AX62" s="23">
        <f>IF(AV62="","",SUMIFS(Performance!$O$5:$O$404,Performance!$N$5:$N$404,AV62))</f>
        <v>0</v>
      </c>
      <c r="AY62" s="23">
        <f>IF(AV62="","",SUMIFS(Performance!$Z$5:$Z$404,Performance!$N$5:$N$404,AV62))</f>
        <v>0</v>
      </c>
      <c r="AZ62" s="24">
        <f>IF(OR(AX62="",AX62=0),"",AY62/AX62)</f>
        <v>0</v>
      </c>
      <c r="BA62" s="32">
        <f>IF(AW62=0,"",IF(AZ62="","",AZ62+ROW()/1000000))</f>
        <v>0</v>
      </c>
      <c r="BB62" s="17">
        <f>IF(Lists!$AL62="","",Lists!$AL62)</f>
        <v>0</v>
      </c>
      <c r="BC62" s="23">
        <f>IF(BB62="","",COUNTIF(Performance!$M$5:$M$404,BB62))</f>
        <v>0</v>
      </c>
      <c r="BD62" s="23">
        <f>IF(BB62="","",SUMIFS(Performance!$O$5:$O$404,Performance!$M$5:$M$404,BB62))</f>
        <v>0</v>
      </c>
      <c r="BE62" s="23">
        <f>IF(BB62="","",SUMIFS(Performance!$Z$5:$Z$404,Performance!$M$5:$M$404,BB62))</f>
        <v>0</v>
      </c>
      <c r="BF62" s="24">
        <f>IF(OR(BD62="",BD62=0),"",BE62/BD62)</f>
        <v>0</v>
      </c>
      <c r="BG62" s="32">
        <f>IF(BC62=0,"",IF(BF62="","",BF62+ROW()/1000000))</f>
        <v>0</v>
      </c>
      <c r="BH62" s="17">
        <f>IF(Performance!$C$62="","",Performance!$C$62)</f>
        <v>0</v>
      </c>
      <c r="BI62" s="17">
        <f>IF(Performance!$F$62="","",Performance!$F$62)</f>
        <v>0</v>
      </c>
      <c r="BJ62" s="17">
        <f>IF(Performance!$H$62="","",Performance!$H$62)</f>
        <v>0</v>
      </c>
      <c r="BK62" s="16">
        <f>IF(Performance!$D$62="","",Performance!$D$62)</f>
        <v>0</v>
      </c>
      <c r="BL62" s="17">
        <f>IF(Performance!$E$62="","",Performance!$E$62)</f>
        <v>0</v>
      </c>
      <c r="BM62" s="23">
        <f>IF(Performance!$O$62="","",Performance!$O$62)</f>
        <v>0</v>
      </c>
      <c r="BN62" s="24">
        <f>IF(Performance!$AA$62="","",Performance!$AA$62)</f>
        <v>0</v>
      </c>
      <c r="BO62" s="32">
        <f>IF(BH62="","",IF(BK62="","",IF(OR(BK62&lt;DashStart,BK62&gt;DashEnd),"",IF(BN62="","",BN62+ROW()/1000000))))</f>
        <v>0</v>
      </c>
      <c r="BP62" s="32">
        <f>IF(BM62="","",IF(BK62="","",IF(OR(BK62&lt;DashStart,BK62&gt;DashEnd),"",BM62+ROW()/1000000)))</f>
        <v>0</v>
      </c>
      <c r="BQ62" s="32">
        <f>IF(BH62="","",IF(BK62="","",IF(YEAR(BK62)&lt;&gt;PlanYear,"",IF(BN62="","",BN62+ROW()/1000000))))</f>
        <v>0</v>
      </c>
      <c r="BR62" s="32">
        <f>IF(BH62="","",IF(BK62="","",IF(OR(BK62&lt;RepFrom,BK62&gt;RepTo),"",IF(BN62="","",BN62+ROW()/1000000))))</f>
        <v>0</v>
      </c>
      <c r="BS62" s="32">
        <f>IF(BM62="","",IF(BK62="","",IF(YEAR(BK62)&lt;&gt;PlanYear,"",BM62+ROW()/1000000)))</f>
        <v>0</v>
      </c>
      <c r="BT62" s="17">
        <f>IF(Lists!$F62="","",Lists!$F62)</f>
        <v>0</v>
      </c>
      <c r="BU62" s="23">
        <f>IF(BT62="","",COUNTIF('Content Calendar'!$X$5:$X$604,BT62))</f>
        <v>0</v>
      </c>
      <c r="BV62" s="23">
        <f>IF(BT62="","",COUNTIFS('Content Calendar'!$X$5:$X$604,BT62,'Content Calendar'!$B$5:$B$604,"&gt;="&amp;DashStart,'Content Calendar'!$B$5:$B$604,"&lt;="&amp;DashEnd))</f>
        <v>0</v>
      </c>
      <c r="BW62" s="17">
        <f>IF(Team!$B$62="","",Team!$B$62)</f>
        <v>0</v>
      </c>
      <c r="BX62" s="23">
        <f>IF(BW62="","",COUNTIF('Content Calendar'!$W$5:$W$604,BW62))</f>
        <v>0</v>
      </c>
      <c r="BY62" s="23">
        <f>IF(BW62="","",COUNTIFS('Content Calendar'!$W$5:$W$604,BW62,'Content Calendar'!$X$5:$X$604,"&lt;&gt;Published"))</f>
        <v>0</v>
      </c>
      <c r="BZ62" s="23">
        <f>IF(BW62="","",COUNTIFS(Tasks!$C$5:$C$64,BW62,Tasks!$G$5:$G$64,"&lt;&gt;Complete"))</f>
        <v>0</v>
      </c>
      <c r="CA62" s="17">
        <f>IF(Campaigns!$B$62="","",Campaigns!$B$62)</f>
        <v>0</v>
      </c>
      <c r="CB62" s="25">
        <f>IF(Campaigns!$T$62="","",Campaigns!$T$62)</f>
        <v>0</v>
      </c>
      <c r="CC62" s="25">
        <f>IF(Campaigns!$Q$62="","",Campaigns!$Q$62)</f>
        <v>0</v>
      </c>
      <c r="CD62" s="23">
        <f>IF(Campaigns!$Y$62="","",Campaigns!$Y$62)</f>
        <v>0</v>
      </c>
      <c r="CE62" s="32">
        <f>IF(CA62="","",IF(N(CB62)&lt;=0,"",N(CB62)+ROW()/1000000))</f>
        <v>0</v>
      </c>
      <c r="CF62" s="17">
        <f>IF(Accounts!$C$62="","",Accounts!$C$62)</f>
        <v>0</v>
      </c>
      <c r="CG62" s="17">
        <f>IF(Accounts!$B$62="","",Accounts!$B$62)</f>
        <v>0</v>
      </c>
      <c r="CH62" s="23">
        <f>IF(Accounts!$J$62="","",Accounts!$J$62)</f>
        <v>0</v>
      </c>
      <c r="CI62" s="23">
        <f>IF(CF62="","",SUMIFS(Analytics!$X$5:$X$154,Analytics!$E$5:$E$154,CF62,Analytics!$B$5:$B$154,"&gt;="&amp;DashStart,Analytics!$B$5:$B$154,"&lt;="&amp;DashEnd))</f>
        <v>0</v>
      </c>
      <c r="CJ62" s="32">
        <f>IF(CH62="","",IF(CH62=0,"",CH62+ROW()/1000000))</f>
        <v>0</v>
      </c>
    </row>
    <row r="63" spans="1:88">
      <c r="A63" s="16">
        <f>IF(ROW()-4&gt;12,"",DATE(PlanYear,ROW()-4,1))</f>
        <v>0</v>
      </c>
      <c r="B63" s="16">
        <f>IF(A63="","",EOMONTH(A63,0))</f>
        <v>0</v>
      </c>
      <c r="C63" s="17">
        <f>IF(A63="","",TEXT(A63,"yyyy-mm"))</f>
        <v>0</v>
      </c>
      <c r="D63" s="17">
        <f>IF(A63="","",TEXT(A63,"mmm"))</f>
        <v>0</v>
      </c>
      <c r="E63" s="23">
        <f>IF(C63="","",COUNTIFS('Content Calendar'!$D$5:$D$604,C63))</f>
        <v>0</v>
      </c>
      <c r="F63" s="23">
        <f>IF(C63="","",COUNTIFS('Content Calendar'!$D$5:$D$604,C63,'Content Calendar'!$X$5:$X$604,"Published"))</f>
        <v>0</v>
      </c>
      <c r="G63" s="23">
        <f>IF(C63="","",SUMIFS(Analytics!$J$5:$J$154,Analytics!$C$5:$C$154,C63))</f>
        <v>0</v>
      </c>
      <c r="H63" s="23">
        <f>IF(C63="","",SUMIFS(Analytics!$K$5:$K$154,Analytics!$C$5:$C$154,C63))</f>
        <v>0</v>
      </c>
      <c r="I63" s="23">
        <f>IF(C63="","",SUMIFS(Analytics!$L$5:$L$154,Analytics!$C$5:$C$154,C63))</f>
        <v>0</v>
      </c>
      <c r="J63" s="24">
        <f>IF(OR(G63="",G63=0),"",I63/G63)</f>
        <v>0</v>
      </c>
      <c r="K63" s="23">
        <f>IF(C63="","",SUMIFS(Analytics!$G$5:$G$154,Analytics!$C$5:$C$154,C63))</f>
        <v>0</v>
      </c>
      <c r="L63" s="23">
        <f>IF(C63="","",SUMIFS(Analytics!$X$5:$X$154,Analytics!$C$5:$C$154,C63))</f>
        <v>0</v>
      </c>
      <c r="M63" s="23">
        <f>IF(C63="","",SUMIFS(Analytics!$R$5:$R$154,Analytics!$C$5:$C$154,C63))</f>
        <v>0</v>
      </c>
      <c r="N63" s="23">
        <f>IF(C63="","",SUMIFS(Analytics!$S$5:$S$154,Analytics!$C$5:$C$154,C63))</f>
        <v>0</v>
      </c>
      <c r="O63" s="23">
        <f>IF(C63="","",SUMIFS(Analytics!$T$5:$T$154,Analytics!$C$5:$C$154,C63))</f>
        <v>0</v>
      </c>
      <c r="P63" s="25">
        <f>IF(C63="","",SUMIFS(Analytics!$U$5:$U$154,Analytics!$C$5:$C$154,C63))</f>
        <v>0</v>
      </c>
      <c r="Q63" s="25">
        <f>IF(C63="","",SUMIFS(Budget!$H$5:$H$64,Budget!$C$5:$C$64,C63))</f>
        <v>0</v>
      </c>
      <c r="R63" s="25">
        <f>IF(C63="","",P63-Q63)</f>
        <v>0</v>
      </c>
      <c r="S63" s="23">
        <f>IF(C63="","",MonthlyPostTarget)</f>
        <v>0</v>
      </c>
      <c r="T63" s="17">
        <f>IF(Lists!$C63="","",Lists!$C63)</f>
        <v>0</v>
      </c>
      <c r="U63" s="23">
        <f>IF(T63="","",COUNTIFS('Content Calendar'!$G$5:$G$604,T63,'Content Calendar'!$B$5:$B$604,"&gt;="&amp;DashStart,'Content Calendar'!$B$5:$B$604,"&lt;="&amp;DashEnd))</f>
        <v>0</v>
      </c>
      <c r="V63" s="23">
        <f>IF(T63="","",COUNTIFS('Content Calendar'!$G$5:$G$604,T63,'Content Calendar'!$X$5:$X$604,"Published",'Content Calendar'!$B$5:$B$604,"&gt;="&amp;DashStart,'Content Calendar'!$B$5:$B$604,"&lt;="&amp;DashEnd))</f>
        <v>0</v>
      </c>
      <c r="W63" s="23">
        <f>IF(T63="","",SUMIFS(Analytics!$J$5:$J$154,Analytics!$D$5:$D$154,T63,Analytics!$B$5:$B$154,"&gt;="&amp;DashStart,Analytics!$B$5:$B$154,"&lt;="&amp;DashEnd))</f>
        <v>0</v>
      </c>
      <c r="X63" s="23">
        <f>IF(T63="","",SUMIFS(Analytics!$L$5:$L$154,Analytics!$D$5:$D$154,T63,Analytics!$B$5:$B$154,"&gt;="&amp;DashStart,Analytics!$B$5:$B$154,"&lt;="&amp;DashEnd))</f>
        <v>0</v>
      </c>
      <c r="Y63" s="24">
        <f>IF(OR(W63="",W63=0),"",X63/W63)</f>
        <v>0</v>
      </c>
      <c r="Z63" s="23">
        <f>IF(T63="","",SUMIFS(Analytics!$G$5:$G$154,Analytics!$D$5:$D$154,T63,Analytics!$B$5:$B$154,"&gt;="&amp;DashStart,Analytics!$B$5:$B$154,"&lt;="&amp;DashEnd))</f>
        <v>0</v>
      </c>
      <c r="AA63" s="23">
        <f>IF(T63="","",SUMIFS(Analytics!$X$5:$X$154,Analytics!$D$5:$D$154,T63,Analytics!$B$5:$B$154,"&gt;="&amp;DashStart,Analytics!$B$5:$B$154,"&lt;="&amp;DashEnd))</f>
        <v>0</v>
      </c>
      <c r="AB63" s="23">
        <f>IF(T63="","",SUMIFS(Analytics!$R$5:$R$154,Analytics!$D$5:$D$154,T63,Analytics!$B$5:$B$154,"&gt;="&amp;DashStart,Analytics!$B$5:$B$154,"&lt;="&amp;DashEnd))</f>
        <v>0</v>
      </c>
      <c r="AC63" s="25">
        <f>IF(T63="","",SUMIFS(Analytics!$U$5:$U$154,Analytics!$D$5:$D$154,T63,Analytics!$B$5:$B$154,"&gt;="&amp;DashStart,Analytics!$B$5:$B$154,"&lt;="&amp;DashEnd))</f>
        <v>0</v>
      </c>
      <c r="AD63" s="23">
        <f>IF(T63="","",COUNTIFS('Content Calendar'!$G$5:$G$604,T63,'Content Calendar'!$B$5:$B$604,"&gt;="&amp;DATE(PlanYear,1,1),'Content Calendar'!$B$5:$B$604,"&lt;="&amp;DATE(PlanYear,12,31)))</f>
        <v>0</v>
      </c>
      <c r="AE63" s="23">
        <f>IF(T63="","",SUMIFS(Analytics!$J$5:$J$154,Analytics!$D$5:$D$154,T63))</f>
        <v>0</v>
      </c>
      <c r="AF63" s="23">
        <f>IF(T63="","",SUMIFS(Analytics!$L$5:$L$154,Analytics!$D$5:$D$154,T63))</f>
        <v>0</v>
      </c>
      <c r="AG63" s="24">
        <f>IF(OR(AE63="",AE63=0),"",AF63/AE63)</f>
        <v>0</v>
      </c>
      <c r="AH63" s="23">
        <f>IF(T63="","",SUMIFS(Analytics!$X$5:$X$154,Analytics!$D$5:$D$154,T63))</f>
        <v>0</v>
      </c>
      <c r="AI63" s="32">
        <f>IF(T63="","",IF(AE63=0,"",AE63+ROW()/1000000))</f>
        <v>0</v>
      </c>
      <c r="AJ63" s="17">
        <f>IF('Content Pillars'!$B$63="","",'Content Pillars'!$B$63)</f>
        <v>0</v>
      </c>
      <c r="AK63" s="23">
        <f>IF(AJ63="","",COUNTIFS('Content Calendar'!$J$5:$J$604,AJ63,'Content Calendar'!$B$5:$B$604,"&gt;="&amp;DATE(PlanYear,1,1),'Content Calendar'!$B$5:$B$604,"&lt;="&amp;DATE(PlanYear,12,31)))</f>
        <v>0</v>
      </c>
      <c r="AL63" s="23">
        <f>IF(AJ63="","",SUMIFS(Performance!$O$5:$O$404,Performance!$H$5:$H$404,AJ63))</f>
        <v>0</v>
      </c>
      <c r="AM63" s="23">
        <f>IF(AJ63="","",SUMIFS(Performance!$Z$5:$Z$404,Performance!$H$5:$H$404,AJ63))</f>
        <v>0</v>
      </c>
      <c r="AN63" s="24">
        <f>IF(OR(AL63="",AL63=0),"",AM63/AL63)</f>
        <v>0</v>
      </c>
      <c r="AO63" s="32">
        <f>IF(AN63="","",AN63+ROW()/1000000)</f>
        <v>0</v>
      </c>
      <c r="AP63" s="17">
        <f>IF(Lists!$E63="","",Lists!$E63)</f>
        <v>0</v>
      </c>
      <c r="AQ63" s="23">
        <f>IF(AP63="","",COUNTIF(Performance!$G$5:$G$404,AP63))</f>
        <v>0</v>
      </c>
      <c r="AR63" s="23">
        <f>IF(AP63="","",SUMIFS(Performance!$O$5:$O$404,Performance!$G$5:$G$404,AP63))</f>
        <v>0</v>
      </c>
      <c r="AS63" s="23">
        <f>IF(AP63="","",SUMIFS(Performance!$Z$5:$Z$404,Performance!$G$5:$G$404,AP63))</f>
        <v>0</v>
      </c>
      <c r="AT63" s="24">
        <f>IF(OR(AR63="",AR63=0),"",AS63/AR63)</f>
        <v>0</v>
      </c>
      <c r="AU63" s="32">
        <f>IF(AQ63=0,"",IF(AT63="","",AT63+ROW()/1000000))</f>
        <v>0</v>
      </c>
      <c r="AV63" s="17">
        <f>IF(ROW()-4&gt;7,"",TEXT(DATE(2024,1,ROW()-4),"ddd"))</f>
        <v>0</v>
      </c>
      <c r="AW63" s="23">
        <f>IF(AV63="","",COUNTIF(Performance!$N$5:$N$404,AV63))</f>
        <v>0</v>
      </c>
      <c r="AX63" s="23">
        <f>IF(AV63="","",SUMIFS(Performance!$O$5:$O$404,Performance!$N$5:$N$404,AV63))</f>
        <v>0</v>
      </c>
      <c r="AY63" s="23">
        <f>IF(AV63="","",SUMIFS(Performance!$Z$5:$Z$404,Performance!$N$5:$N$404,AV63))</f>
        <v>0</v>
      </c>
      <c r="AZ63" s="24">
        <f>IF(OR(AX63="",AX63=0),"",AY63/AX63)</f>
        <v>0</v>
      </c>
      <c r="BA63" s="32">
        <f>IF(AW63=0,"",IF(AZ63="","",AZ63+ROW()/1000000))</f>
        <v>0</v>
      </c>
      <c r="BB63" s="17">
        <f>IF(Lists!$AL63="","",Lists!$AL63)</f>
        <v>0</v>
      </c>
      <c r="BC63" s="23">
        <f>IF(BB63="","",COUNTIF(Performance!$M$5:$M$404,BB63))</f>
        <v>0</v>
      </c>
      <c r="BD63" s="23">
        <f>IF(BB63="","",SUMIFS(Performance!$O$5:$O$404,Performance!$M$5:$M$404,BB63))</f>
        <v>0</v>
      </c>
      <c r="BE63" s="23">
        <f>IF(BB63="","",SUMIFS(Performance!$Z$5:$Z$404,Performance!$M$5:$M$404,BB63))</f>
        <v>0</v>
      </c>
      <c r="BF63" s="24">
        <f>IF(OR(BD63="",BD63=0),"",BE63/BD63)</f>
        <v>0</v>
      </c>
      <c r="BG63" s="32">
        <f>IF(BC63=0,"",IF(BF63="","",BF63+ROW()/1000000))</f>
        <v>0</v>
      </c>
      <c r="BH63" s="17">
        <f>IF(Performance!$C$63="","",Performance!$C$63)</f>
        <v>0</v>
      </c>
      <c r="BI63" s="17">
        <f>IF(Performance!$F$63="","",Performance!$F$63)</f>
        <v>0</v>
      </c>
      <c r="BJ63" s="17">
        <f>IF(Performance!$H$63="","",Performance!$H$63)</f>
        <v>0</v>
      </c>
      <c r="BK63" s="16">
        <f>IF(Performance!$D$63="","",Performance!$D$63)</f>
        <v>0</v>
      </c>
      <c r="BL63" s="17">
        <f>IF(Performance!$E$63="","",Performance!$E$63)</f>
        <v>0</v>
      </c>
      <c r="BM63" s="23">
        <f>IF(Performance!$O$63="","",Performance!$O$63)</f>
        <v>0</v>
      </c>
      <c r="BN63" s="24">
        <f>IF(Performance!$AA$63="","",Performance!$AA$63)</f>
        <v>0</v>
      </c>
      <c r="BO63" s="32">
        <f>IF(BH63="","",IF(BK63="","",IF(OR(BK63&lt;DashStart,BK63&gt;DashEnd),"",IF(BN63="","",BN63+ROW()/1000000))))</f>
        <v>0</v>
      </c>
      <c r="BP63" s="32">
        <f>IF(BM63="","",IF(BK63="","",IF(OR(BK63&lt;DashStart,BK63&gt;DashEnd),"",BM63+ROW()/1000000)))</f>
        <v>0</v>
      </c>
      <c r="BQ63" s="32">
        <f>IF(BH63="","",IF(BK63="","",IF(YEAR(BK63)&lt;&gt;PlanYear,"",IF(BN63="","",BN63+ROW()/1000000))))</f>
        <v>0</v>
      </c>
      <c r="BR63" s="32">
        <f>IF(BH63="","",IF(BK63="","",IF(OR(BK63&lt;RepFrom,BK63&gt;RepTo),"",IF(BN63="","",BN63+ROW()/1000000))))</f>
        <v>0</v>
      </c>
      <c r="BS63" s="32">
        <f>IF(BM63="","",IF(BK63="","",IF(YEAR(BK63)&lt;&gt;PlanYear,"",BM63+ROW()/1000000)))</f>
        <v>0</v>
      </c>
      <c r="BT63" s="17">
        <f>IF(Lists!$F63="","",Lists!$F63)</f>
        <v>0</v>
      </c>
      <c r="BU63" s="23">
        <f>IF(BT63="","",COUNTIF('Content Calendar'!$X$5:$X$604,BT63))</f>
        <v>0</v>
      </c>
      <c r="BV63" s="23">
        <f>IF(BT63="","",COUNTIFS('Content Calendar'!$X$5:$X$604,BT63,'Content Calendar'!$B$5:$B$604,"&gt;="&amp;DashStart,'Content Calendar'!$B$5:$B$604,"&lt;="&amp;DashEnd))</f>
        <v>0</v>
      </c>
      <c r="BW63" s="17">
        <f>IF(Team!$B$63="","",Team!$B$63)</f>
        <v>0</v>
      </c>
      <c r="BX63" s="23">
        <f>IF(BW63="","",COUNTIF('Content Calendar'!$W$5:$W$604,BW63))</f>
        <v>0</v>
      </c>
      <c r="BY63" s="23">
        <f>IF(BW63="","",COUNTIFS('Content Calendar'!$W$5:$W$604,BW63,'Content Calendar'!$X$5:$X$604,"&lt;&gt;Published"))</f>
        <v>0</v>
      </c>
      <c r="BZ63" s="23">
        <f>IF(BW63="","",COUNTIFS(Tasks!$C$5:$C$64,BW63,Tasks!$G$5:$G$64,"&lt;&gt;Complete"))</f>
        <v>0</v>
      </c>
      <c r="CA63" s="17">
        <f>IF(Campaigns!$B$63="","",Campaigns!$B$63)</f>
        <v>0</v>
      </c>
      <c r="CB63" s="25">
        <f>IF(Campaigns!$T$63="","",Campaigns!$T$63)</f>
        <v>0</v>
      </c>
      <c r="CC63" s="25">
        <f>IF(Campaigns!$Q$63="","",Campaigns!$Q$63)</f>
        <v>0</v>
      </c>
      <c r="CD63" s="23">
        <f>IF(Campaigns!$Y$63="","",Campaigns!$Y$63)</f>
        <v>0</v>
      </c>
      <c r="CE63" s="32">
        <f>IF(CA63="","",IF(N(CB63)&lt;=0,"",N(CB63)+ROW()/1000000))</f>
        <v>0</v>
      </c>
      <c r="CF63" s="17">
        <f>IF(Accounts!$C$63="","",Accounts!$C$63)</f>
        <v>0</v>
      </c>
      <c r="CG63" s="17">
        <f>IF(Accounts!$B$63="","",Accounts!$B$63)</f>
        <v>0</v>
      </c>
      <c r="CH63" s="23">
        <f>IF(Accounts!$J$63="","",Accounts!$J$63)</f>
        <v>0</v>
      </c>
      <c r="CI63" s="23">
        <f>IF(CF63="","",SUMIFS(Analytics!$X$5:$X$154,Analytics!$E$5:$E$154,CF63,Analytics!$B$5:$B$154,"&gt;="&amp;DashStart,Analytics!$B$5:$B$154,"&lt;="&amp;DashEnd))</f>
        <v>0</v>
      </c>
      <c r="CJ63" s="32">
        <f>IF(CH63="","",IF(CH63=0,"",CH63+ROW()/1000000))</f>
        <v>0</v>
      </c>
    </row>
    <row r="64" spans="1:88">
      <c r="A64" s="16">
        <f>IF(ROW()-4&gt;12,"",DATE(PlanYear,ROW()-4,1))</f>
        <v>0</v>
      </c>
      <c r="B64" s="16">
        <f>IF(A64="","",EOMONTH(A64,0))</f>
        <v>0</v>
      </c>
      <c r="C64" s="17">
        <f>IF(A64="","",TEXT(A64,"yyyy-mm"))</f>
        <v>0</v>
      </c>
      <c r="D64" s="17">
        <f>IF(A64="","",TEXT(A64,"mmm"))</f>
        <v>0</v>
      </c>
      <c r="E64" s="23">
        <f>IF(C64="","",COUNTIFS('Content Calendar'!$D$5:$D$604,C64))</f>
        <v>0</v>
      </c>
      <c r="F64" s="23">
        <f>IF(C64="","",COUNTIFS('Content Calendar'!$D$5:$D$604,C64,'Content Calendar'!$X$5:$X$604,"Published"))</f>
        <v>0</v>
      </c>
      <c r="G64" s="23">
        <f>IF(C64="","",SUMIFS(Analytics!$J$5:$J$154,Analytics!$C$5:$C$154,C64))</f>
        <v>0</v>
      </c>
      <c r="H64" s="23">
        <f>IF(C64="","",SUMIFS(Analytics!$K$5:$K$154,Analytics!$C$5:$C$154,C64))</f>
        <v>0</v>
      </c>
      <c r="I64" s="23">
        <f>IF(C64="","",SUMIFS(Analytics!$L$5:$L$154,Analytics!$C$5:$C$154,C64))</f>
        <v>0</v>
      </c>
      <c r="J64" s="24">
        <f>IF(OR(G64="",G64=0),"",I64/G64)</f>
        <v>0</v>
      </c>
      <c r="K64" s="23">
        <f>IF(C64="","",SUMIFS(Analytics!$G$5:$G$154,Analytics!$C$5:$C$154,C64))</f>
        <v>0</v>
      </c>
      <c r="L64" s="23">
        <f>IF(C64="","",SUMIFS(Analytics!$X$5:$X$154,Analytics!$C$5:$C$154,C64))</f>
        <v>0</v>
      </c>
      <c r="M64" s="23">
        <f>IF(C64="","",SUMIFS(Analytics!$R$5:$R$154,Analytics!$C$5:$C$154,C64))</f>
        <v>0</v>
      </c>
      <c r="N64" s="23">
        <f>IF(C64="","",SUMIFS(Analytics!$S$5:$S$154,Analytics!$C$5:$C$154,C64))</f>
        <v>0</v>
      </c>
      <c r="O64" s="23">
        <f>IF(C64="","",SUMIFS(Analytics!$T$5:$T$154,Analytics!$C$5:$C$154,C64))</f>
        <v>0</v>
      </c>
      <c r="P64" s="25">
        <f>IF(C64="","",SUMIFS(Analytics!$U$5:$U$154,Analytics!$C$5:$C$154,C64))</f>
        <v>0</v>
      </c>
      <c r="Q64" s="25">
        <f>IF(C64="","",SUMIFS(Budget!$H$5:$H$64,Budget!$C$5:$C$64,C64))</f>
        <v>0</v>
      </c>
      <c r="R64" s="25">
        <f>IF(C64="","",P64-Q64)</f>
        <v>0</v>
      </c>
      <c r="S64" s="23">
        <f>IF(C64="","",MonthlyPostTarget)</f>
        <v>0</v>
      </c>
      <c r="T64" s="17">
        <f>IF(Lists!$C64="","",Lists!$C64)</f>
        <v>0</v>
      </c>
      <c r="U64" s="23">
        <f>IF(T64="","",COUNTIFS('Content Calendar'!$G$5:$G$604,T64,'Content Calendar'!$B$5:$B$604,"&gt;="&amp;DashStart,'Content Calendar'!$B$5:$B$604,"&lt;="&amp;DashEnd))</f>
        <v>0</v>
      </c>
      <c r="V64" s="23">
        <f>IF(T64="","",COUNTIFS('Content Calendar'!$G$5:$G$604,T64,'Content Calendar'!$X$5:$X$604,"Published",'Content Calendar'!$B$5:$B$604,"&gt;="&amp;DashStart,'Content Calendar'!$B$5:$B$604,"&lt;="&amp;DashEnd))</f>
        <v>0</v>
      </c>
      <c r="W64" s="23">
        <f>IF(T64="","",SUMIFS(Analytics!$J$5:$J$154,Analytics!$D$5:$D$154,T64,Analytics!$B$5:$B$154,"&gt;="&amp;DashStart,Analytics!$B$5:$B$154,"&lt;="&amp;DashEnd))</f>
        <v>0</v>
      </c>
      <c r="X64" s="23">
        <f>IF(T64="","",SUMIFS(Analytics!$L$5:$L$154,Analytics!$D$5:$D$154,T64,Analytics!$B$5:$B$154,"&gt;="&amp;DashStart,Analytics!$B$5:$B$154,"&lt;="&amp;DashEnd))</f>
        <v>0</v>
      </c>
      <c r="Y64" s="24">
        <f>IF(OR(W64="",W64=0),"",X64/W64)</f>
        <v>0</v>
      </c>
      <c r="Z64" s="23">
        <f>IF(T64="","",SUMIFS(Analytics!$G$5:$G$154,Analytics!$D$5:$D$154,T64,Analytics!$B$5:$B$154,"&gt;="&amp;DashStart,Analytics!$B$5:$B$154,"&lt;="&amp;DashEnd))</f>
        <v>0</v>
      </c>
      <c r="AA64" s="23">
        <f>IF(T64="","",SUMIFS(Analytics!$X$5:$X$154,Analytics!$D$5:$D$154,T64,Analytics!$B$5:$B$154,"&gt;="&amp;DashStart,Analytics!$B$5:$B$154,"&lt;="&amp;DashEnd))</f>
        <v>0</v>
      </c>
      <c r="AB64" s="23">
        <f>IF(T64="","",SUMIFS(Analytics!$R$5:$R$154,Analytics!$D$5:$D$154,T64,Analytics!$B$5:$B$154,"&gt;="&amp;DashStart,Analytics!$B$5:$B$154,"&lt;="&amp;DashEnd))</f>
        <v>0</v>
      </c>
      <c r="AC64" s="25">
        <f>IF(T64="","",SUMIFS(Analytics!$U$5:$U$154,Analytics!$D$5:$D$154,T64,Analytics!$B$5:$B$154,"&gt;="&amp;DashStart,Analytics!$B$5:$B$154,"&lt;="&amp;DashEnd))</f>
        <v>0</v>
      </c>
      <c r="AD64" s="23">
        <f>IF(T64="","",COUNTIFS('Content Calendar'!$G$5:$G$604,T64,'Content Calendar'!$B$5:$B$604,"&gt;="&amp;DATE(PlanYear,1,1),'Content Calendar'!$B$5:$B$604,"&lt;="&amp;DATE(PlanYear,12,31)))</f>
        <v>0</v>
      </c>
      <c r="AE64" s="23">
        <f>IF(T64="","",SUMIFS(Analytics!$J$5:$J$154,Analytics!$D$5:$D$154,T64))</f>
        <v>0</v>
      </c>
      <c r="AF64" s="23">
        <f>IF(T64="","",SUMIFS(Analytics!$L$5:$L$154,Analytics!$D$5:$D$154,T64))</f>
        <v>0</v>
      </c>
      <c r="AG64" s="24">
        <f>IF(OR(AE64="",AE64=0),"",AF64/AE64)</f>
        <v>0</v>
      </c>
      <c r="AH64" s="23">
        <f>IF(T64="","",SUMIFS(Analytics!$X$5:$X$154,Analytics!$D$5:$D$154,T64))</f>
        <v>0</v>
      </c>
      <c r="AI64" s="32">
        <f>IF(T64="","",IF(AE64=0,"",AE64+ROW()/1000000))</f>
        <v>0</v>
      </c>
      <c r="AJ64" s="17">
        <f>IF('Content Pillars'!$B$64="","",'Content Pillars'!$B$64)</f>
        <v>0</v>
      </c>
      <c r="AK64" s="23">
        <f>IF(AJ64="","",COUNTIFS('Content Calendar'!$J$5:$J$604,AJ64,'Content Calendar'!$B$5:$B$604,"&gt;="&amp;DATE(PlanYear,1,1),'Content Calendar'!$B$5:$B$604,"&lt;="&amp;DATE(PlanYear,12,31)))</f>
        <v>0</v>
      </c>
      <c r="AL64" s="23">
        <f>IF(AJ64="","",SUMIFS(Performance!$O$5:$O$404,Performance!$H$5:$H$404,AJ64))</f>
        <v>0</v>
      </c>
      <c r="AM64" s="23">
        <f>IF(AJ64="","",SUMIFS(Performance!$Z$5:$Z$404,Performance!$H$5:$H$404,AJ64))</f>
        <v>0</v>
      </c>
      <c r="AN64" s="24">
        <f>IF(OR(AL64="",AL64=0),"",AM64/AL64)</f>
        <v>0</v>
      </c>
      <c r="AO64" s="32">
        <f>IF(AN64="","",AN64+ROW()/1000000)</f>
        <v>0</v>
      </c>
      <c r="AP64" s="17">
        <f>IF(Lists!$E64="","",Lists!$E64)</f>
        <v>0</v>
      </c>
      <c r="AQ64" s="23">
        <f>IF(AP64="","",COUNTIF(Performance!$G$5:$G$404,AP64))</f>
        <v>0</v>
      </c>
      <c r="AR64" s="23">
        <f>IF(AP64="","",SUMIFS(Performance!$O$5:$O$404,Performance!$G$5:$G$404,AP64))</f>
        <v>0</v>
      </c>
      <c r="AS64" s="23">
        <f>IF(AP64="","",SUMIFS(Performance!$Z$5:$Z$404,Performance!$G$5:$G$404,AP64))</f>
        <v>0</v>
      </c>
      <c r="AT64" s="24">
        <f>IF(OR(AR64="",AR64=0),"",AS64/AR64)</f>
        <v>0</v>
      </c>
      <c r="AU64" s="32">
        <f>IF(AQ64=0,"",IF(AT64="","",AT64+ROW()/1000000))</f>
        <v>0</v>
      </c>
      <c r="AV64" s="17">
        <f>IF(ROW()-4&gt;7,"",TEXT(DATE(2024,1,ROW()-4),"ddd"))</f>
        <v>0</v>
      </c>
      <c r="AW64" s="23">
        <f>IF(AV64="","",COUNTIF(Performance!$N$5:$N$404,AV64))</f>
        <v>0</v>
      </c>
      <c r="AX64" s="23">
        <f>IF(AV64="","",SUMIFS(Performance!$O$5:$O$404,Performance!$N$5:$N$404,AV64))</f>
        <v>0</v>
      </c>
      <c r="AY64" s="23">
        <f>IF(AV64="","",SUMIFS(Performance!$Z$5:$Z$404,Performance!$N$5:$N$404,AV64))</f>
        <v>0</v>
      </c>
      <c r="AZ64" s="24">
        <f>IF(OR(AX64="",AX64=0),"",AY64/AX64)</f>
        <v>0</v>
      </c>
      <c r="BA64" s="32">
        <f>IF(AW64=0,"",IF(AZ64="","",AZ64+ROW()/1000000))</f>
        <v>0</v>
      </c>
      <c r="BB64" s="17">
        <f>IF(Lists!$AL64="","",Lists!$AL64)</f>
        <v>0</v>
      </c>
      <c r="BC64" s="23">
        <f>IF(BB64="","",COUNTIF(Performance!$M$5:$M$404,BB64))</f>
        <v>0</v>
      </c>
      <c r="BD64" s="23">
        <f>IF(BB64="","",SUMIFS(Performance!$O$5:$O$404,Performance!$M$5:$M$404,BB64))</f>
        <v>0</v>
      </c>
      <c r="BE64" s="23">
        <f>IF(BB64="","",SUMIFS(Performance!$Z$5:$Z$404,Performance!$M$5:$M$404,BB64))</f>
        <v>0</v>
      </c>
      <c r="BF64" s="24">
        <f>IF(OR(BD64="",BD64=0),"",BE64/BD64)</f>
        <v>0</v>
      </c>
      <c r="BG64" s="32">
        <f>IF(BC64=0,"",IF(BF64="","",BF64+ROW()/1000000))</f>
        <v>0</v>
      </c>
      <c r="BH64" s="17">
        <f>IF(Performance!$C$64="","",Performance!$C$64)</f>
        <v>0</v>
      </c>
      <c r="BI64" s="17">
        <f>IF(Performance!$F$64="","",Performance!$F$64)</f>
        <v>0</v>
      </c>
      <c r="BJ64" s="17">
        <f>IF(Performance!$H$64="","",Performance!$H$64)</f>
        <v>0</v>
      </c>
      <c r="BK64" s="16">
        <f>IF(Performance!$D$64="","",Performance!$D$64)</f>
        <v>0</v>
      </c>
      <c r="BL64" s="17">
        <f>IF(Performance!$E$64="","",Performance!$E$64)</f>
        <v>0</v>
      </c>
      <c r="BM64" s="23">
        <f>IF(Performance!$O$64="","",Performance!$O$64)</f>
        <v>0</v>
      </c>
      <c r="BN64" s="24">
        <f>IF(Performance!$AA$64="","",Performance!$AA$64)</f>
        <v>0</v>
      </c>
      <c r="BO64" s="32">
        <f>IF(BH64="","",IF(BK64="","",IF(OR(BK64&lt;DashStart,BK64&gt;DashEnd),"",IF(BN64="","",BN64+ROW()/1000000))))</f>
        <v>0</v>
      </c>
      <c r="BP64" s="32">
        <f>IF(BM64="","",IF(BK64="","",IF(OR(BK64&lt;DashStart,BK64&gt;DashEnd),"",BM64+ROW()/1000000)))</f>
        <v>0</v>
      </c>
      <c r="BQ64" s="32">
        <f>IF(BH64="","",IF(BK64="","",IF(YEAR(BK64)&lt;&gt;PlanYear,"",IF(BN64="","",BN64+ROW()/1000000))))</f>
        <v>0</v>
      </c>
      <c r="BR64" s="32">
        <f>IF(BH64="","",IF(BK64="","",IF(OR(BK64&lt;RepFrom,BK64&gt;RepTo),"",IF(BN64="","",BN64+ROW()/1000000))))</f>
        <v>0</v>
      </c>
      <c r="BS64" s="32">
        <f>IF(BM64="","",IF(BK64="","",IF(YEAR(BK64)&lt;&gt;PlanYear,"",BM64+ROW()/1000000)))</f>
        <v>0</v>
      </c>
      <c r="BT64" s="17">
        <f>IF(Lists!$F64="","",Lists!$F64)</f>
        <v>0</v>
      </c>
      <c r="BU64" s="23">
        <f>IF(BT64="","",COUNTIF('Content Calendar'!$X$5:$X$604,BT64))</f>
        <v>0</v>
      </c>
      <c r="BV64" s="23">
        <f>IF(BT64="","",COUNTIFS('Content Calendar'!$X$5:$X$604,BT64,'Content Calendar'!$B$5:$B$604,"&gt;="&amp;DashStart,'Content Calendar'!$B$5:$B$604,"&lt;="&amp;DashEnd))</f>
        <v>0</v>
      </c>
      <c r="BW64" s="17">
        <f>IF(Team!$B$64="","",Team!$B$64)</f>
        <v>0</v>
      </c>
      <c r="BX64" s="23">
        <f>IF(BW64="","",COUNTIF('Content Calendar'!$W$5:$W$604,BW64))</f>
        <v>0</v>
      </c>
      <c r="BY64" s="23">
        <f>IF(BW64="","",COUNTIFS('Content Calendar'!$W$5:$W$604,BW64,'Content Calendar'!$X$5:$X$604,"&lt;&gt;Published"))</f>
        <v>0</v>
      </c>
      <c r="BZ64" s="23">
        <f>IF(BW64="","",COUNTIFS(Tasks!$C$5:$C$64,BW64,Tasks!$G$5:$G$64,"&lt;&gt;Complete"))</f>
        <v>0</v>
      </c>
      <c r="CA64" s="17">
        <f>IF(Campaigns!$B$64="","",Campaigns!$B$64)</f>
        <v>0</v>
      </c>
      <c r="CB64" s="25">
        <f>IF(Campaigns!$T$64="","",Campaigns!$T$64)</f>
        <v>0</v>
      </c>
      <c r="CC64" s="25">
        <f>IF(Campaigns!$Q$64="","",Campaigns!$Q$64)</f>
        <v>0</v>
      </c>
      <c r="CD64" s="23">
        <f>IF(Campaigns!$Y$64="","",Campaigns!$Y$64)</f>
        <v>0</v>
      </c>
      <c r="CE64" s="32">
        <f>IF(CA64="","",IF(N(CB64)&lt;=0,"",N(CB64)+ROW()/1000000))</f>
        <v>0</v>
      </c>
      <c r="CF64" s="17">
        <f>IF(Accounts!$C$64="","",Accounts!$C$64)</f>
        <v>0</v>
      </c>
      <c r="CG64" s="17">
        <f>IF(Accounts!$B$64="","",Accounts!$B$64)</f>
        <v>0</v>
      </c>
      <c r="CH64" s="23">
        <f>IF(Accounts!$J$64="","",Accounts!$J$64)</f>
        <v>0</v>
      </c>
      <c r="CI64" s="23">
        <f>IF(CF64="","",SUMIFS(Analytics!$X$5:$X$154,Analytics!$E$5:$E$154,CF64,Analytics!$B$5:$B$154,"&gt;="&amp;DashStart,Analytics!$B$5:$B$154,"&lt;="&amp;DashEnd))</f>
        <v>0</v>
      </c>
      <c r="CJ64" s="32">
        <f>IF(CH64="","",IF(CH64=0,"",CH64+ROW()/1000000))</f>
        <v>0</v>
      </c>
    </row>
    <row r="65" spans="1:88">
      <c r="A65" s="16">
        <f>IF(ROW()-4&gt;12,"",DATE(PlanYear,ROW()-4,1))</f>
        <v>0</v>
      </c>
      <c r="B65" s="16">
        <f>IF(A65="","",EOMONTH(A65,0))</f>
        <v>0</v>
      </c>
      <c r="C65" s="17">
        <f>IF(A65="","",TEXT(A65,"yyyy-mm"))</f>
        <v>0</v>
      </c>
      <c r="D65" s="17">
        <f>IF(A65="","",TEXT(A65,"mmm"))</f>
        <v>0</v>
      </c>
      <c r="E65" s="23">
        <f>IF(C65="","",COUNTIFS('Content Calendar'!$D$5:$D$604,C65))</f>
        <v>0</v>
      </c>
      <c r="F65" s="23">
        <f>IF(C65="","",COUNTIFS('Content Calendar'!$D$5:$D$604,C65,'Content Calendar'!$X$5:$X$604,"Published"))</f>
        <v>0</v>
      </c>
      <c r="G65" s="23">
        <f>IF(C65="","",SUMIFS(Analytics!$J$5:$J$154,Analytics!$C$5:$C$154,C65))</f>
        <v>0</v>
      </c>
      <c r="H65" s="23">
        <f>IF(C65="","",SUMIFS(Analytics!$K$5:$K$154,Analytics!$C$5:$C$154,C65))</f>
        <v>0</v>
      </c>
      <c r="I65" s="23">
        <f>IF(C65="","",SUMIFS(Analytics!$L$5:$L$154,Analytics!$C$5:$C$154,C65))</f>
        <v>0</v>
      </c>
      <c r="J65" s="24">
        <f>IF(OR(G65="",G65=0),"",I65/G65)</f>
        <v>0</v>
      </c>
      <c r="K65" s="23">
        <f>IF(C65="","",SUMIFS(Analytics!$G$5:$G$154,Analytics!$C$5:$C$154,C65))</f>
        <v>0</v>
      </c>
      <c r="L65" s="23">
        <f>IF(C65="","",SUMIFS(Analytics!$X$5:$X$154,Analytics!$C$5:$C$154,C65))</f>
        <v>0</v>
      </c>
      <c r="M65" s="23">
        <f>IF(C65="","",SUMIFS(Analytics!$R$5:$R$154,Analytics!$C$5:$C$154,C65))</f>
        <v>0</v>
      </c>
      <c r="N65" s="23">
        <f>IF(C65="","",SUMIFS(Analytics!$S$5:$S$154,Analytics!$C$5:$C$154,C65))</f>
        <v>0</v>
      </c>
      <c r="O65" s="23">
        <f>IF(C65="","",SUMIFS(Analytics!$T$5:$T$154,Analytics!$C$5:$C$154,C65))</f>
        <v>0</v>
      </c>
      <c r="P65" s="25">
        <f>IF(C65="","",SUMIFS(Analytics!$U$5:$U$154,Analytics!$C$5:$C$154,C65))</f>
        <v>0</v>
      </c>
      <c r="Q65" s="25">
        <f>IF(C65="","",SUMIFS(Budget!$H$5:$H$64,Budget!$C$5:$C$64,C65))</f>
        <v>0</v>
      </c>
      <c r="R65" s="25">
        <f>IF(C65="","",P65-Q65)</f>
        <v>0</v>
      </c>
      <c r="S65" s="23">
        <f>IF(C65="","",MonthlyPostTarget)</f>
        <v>0</v>
      </c>
      <c r="T65" s="17">
        <f>IF(Lists!$C65="","",Lists!$C65)</f>
        <v>0</v>
      </c>
      <c r="U65" s="23">
        <f>IF(T65="","",COUNTIFS('Content Calendar'!$G$5:$G$604,T65,'Content Calendar'!$B$5:$B$604,"&gt;="&amp;DashStart,'Content Calendar'!$B$5:$B$604,"&lt;="&amp;DashEnd))</f>
        <v>0</v>
      </c>
      <c r="V65" s="23">
        <f>IF(T65="","",COUNTIFS('Content Calendar'!$G$5:$G$604,T65,'Content Calendar'!$X$5:$X$604,"Published",'Content Calendar'!$B$5:$B$604,"&gt;="&amp;DashStart,'Content Calendar'!$B$5:$B$604,"&lt;="&amp;DashEnd))</f>
        <v>0</v>
      </c>
      <c r="W65" s="23">
        <f>IF(T65="","",SUMIFS(Analytics!$J$5:$J$154,Analytics!$D$5:$D$154,T65,Analytics!$B$5:$B$154,"&gt;="&amp;DashStart,Analytics!$B$5:$B$154,"&lt;="&amp;DashEnd))</f>
        <v>0</v>
      </c>
      <c r="X65" s="23">
        <f>IF(T65="","",SUMIFS(Analytics!$L$5:$L$154,Analytics!$D$5:$D$154,T65,Analytics!$B$5:$B$154,"&gt;="&amp;DashStart,Analytics!$B$5:$B$154,"&lt;="&amp;DashEnd))</f>
        <v>0</v>
      </c>
      <c r="Y65" s="24">
        <f>IF(OR(W65="",W65=0),"",X65/W65)</f>
        <v>0</v>
      </c>
      <c r="Z65" s="23">
        <f>IF(T65="","",SUMIFS(Analytics!$G$5:$G$154,Analytics!$D$5:$D$154,T65,Analytics!$B$5:$B$154,"&gt;="&amp;DashStart,Analytics!$B$5:$B$154,"&lt;="&amp;DashEnd))</f>
        <v>0</v>
      </c>
      <c r="AA65" s="23">
        <f>IF(T65="","",SUMIFS(Analytics!$X$5:$X$154,Analytics!$D$5:$D$154,T65,Analytics!$B$5:$B$154,"&gt;="&amp;DashStart,Analytics!$B$5:$B$154,"&lt;="&amp;DashEnd))</f>
        <v>0</v>
      </c>
      <c r="AB65" s="23">
        <f>IF(T65="","",SUMIFS(Analytics!$R$5:$R$154,Analytics!$D$5:$D$154,T65,Analytics!$B$5:$B$154,"&gt;="&amp;DashStart,Analytics!$B$5:$B$154,"&lt;="&amp;DashEnd))</f>
        <v>0</v>
      </c>
      <c r="AC65" s="25">
        <f>IF(T65="","",SUMIFS(Analytics!$U$5:$U$154,Analytics!$D$5:$D$154,T65,Analytics!$B$5:$B$154,"&gt;="&amp;DashStart,Analytics!$B$5:$B$154,"&lt;="&amp;DashEnd))</f>
        <v>0</v>
      </c>
      <c r="AD65" s="23">
        <f>IF(T65="","",COUNTIFS('Content Calendar'!$G$5:$G$604,T65,'Content Calendar'!$B$5:$B$604,"&gt;="&amp;DATE(PlanYear,1,1),'Content Calendar'!$B$5:$B$604,"&lt;="&amp;DATE(PlanYear,12,31)))</f>
        <v>0</v>
      </c>
      <c r="AE65" s="23">
        <f>IF(T65="","",SUMIFS(Analytics!$J$5:$J$154,Analytics!$D$5:$D$154,T65))</f>
        <v>0</v>
      </c>
      <c r="AF65" s="23">
        <f>IF(T65="","",SUMIFS(Analytics!$L$5:$L$154,Analytics!$D$5:$D$154,T65))</f>
        <v>0</v>
      </c>
      <c r="AG65" s="24">
        <f>IF(OR(AE65="",AE65=0),"",AF65/AE65)</f>
        <v>0</v>
      </c>
      <c r="AH65" s="23">
        <f>IF(T65="","",SUMIFS(Analytics!$X$5:$X$154,Analytics!$D$5:$D$154,T65))</f>
        <v>0</v>
      </c>
      <c r="AI65" s="32">
        <f>IF(T65="","",IF(AE65=0,"",AE65+ROW()/1000000))</f>
        <v>0</v>
      </c>
      <c r="AJ65" s="17">
        <f>IF('Content Pillars'!$B$65="","",'Content Pillars'!$B$65)</f>
        <v>0</v>
      </c>
      <c r="AK65" s="23">
        <f>IF(AJ65="","",COUNTIFS('Content Calendar'!$J$5:$J$604,AJ65,'Content Calendar'!$B$5:$B$604,"&gt;="&amp;DATE(PlanYear,1,1),'Content Calendar'!$B$5:$B$604,"&lt;="&amp;DATE(PlanYear,12,31)))</f>
        <v>0</v>
      </c>
      <c r="AL65" s="23">
        <f>IF(AJ65="","",SUMIFS(Performance!$O$5:$O$404,Performance!$H$5:$H$404,AJ65))</f>
        <v>0</v>
      </c>
      <c r="AM65" s="23">
        <f>IF(AJ65="","",SUMIFS(Performance!$Z$5:$Z$404,Performance!$H$5:$H$404,AJ65))</f>
        <v>0</v>
      </c>
      <c r="AN65" s="24">
        <f>IF(OR(AL65="",AL65=0),"",AM65/AL65)</f>
        <v>0</v>
      </c>
      <c r="AO65" s="32">
        <f>IF(AN65="","",AN65+ROW()/1000000)</f>
        <v>0</v>
      </c>
      <c r="AP65" s="17">
        <f>IF(Lists!$E65="","",Lists!$E65)</f>
        <v>0</v>
      </c>
      <c r="AQ65" s="23">
        <f>IF(AP65="","",COUNTIF(Performance!$G$5:$G$404,AP65))</f>
        <v>0</v>
      </c>
      <c r="AR65" s="23">
        <f>IF(AP65="","",SUMIFS(Performance!$O$5:$O$404,Performance!$G$5:$G$404,AP65))</f>
        <v>0</v>
      </c>
      <c r="AS65" s="23">
        <f>IF(AP65="","",SUMIFS(Performance!$Z$5:$Z$404,Performance!$G$5:$G$404,AP65))</f>
        <v>0</v>
      </c>
      <c r="AT65" s="24">
        <f>IF(OR(AR65="",AR65=0),"",AS65/AR65)</f>
        <v>0</v>
      </c>
      <c r="AU65" s="32">
        <f>IF(AQ65=0,"",IF(AT65="","",AT65+ROW()/1000000))</f>
        <v>0</v>
      </c>
      <c r="AV65" s="17">
        <f>IF(ROW()-4&gt;7,"",TEXT(DATE(2024,1,ROW()-4),"ddd"))</f>
        <v>0</v>
      </c>
      <c r="AW65" s="23">
        <f>IF(AV65="","",COUNTIF(Performance!$N$5:$N$404,AV65))</f>
        <v>0</v>
      </c>
      <c r="AX65" s="23">
        <f>IF(AV65="","",SUMIFS(Performance!$O$5:$O$404,Performance!$N$5:$N$404,AV65))</f>
        <v>0</v>
      </c>
      <c r="AY65" s="23">
        <f>IF(AV65="","",SUMIFS(Performance!$Z$5:$Z$404,Performance!$N$5:$N$404,AV65))</f>
        <v>0</v>
      </c>
      <c r="AZ65" s="24">
        <f>IF(OR(AX65="",AX65=0),"",AY65/AX65)</f>
        <v>0</v>
      </c>
      <c r="BA65" s="32">
        <f>IF(AW65=0,"",IF(AZ65="","",AZ65+ROW()/1000000))</f>
        <v>0</v>
      </c>
      <c r="BB65" s="17">
        <f>IF(Lists!$AL65="","",Lists!$AL65)</f>
        <v>0</v>
      </c>
      <c r="BC65" s="23">
        <f>IF(BB65="","",COUNTIF(Performance!$M$5:$M$404,BB65))</f>
        <v>0</v>
      </c>
      <c r="BD65" s="23">
        <f>IF(BB65="","",SUMIFS(Performance!$O$5:$O$404,Performance!$M$5:$M$404,BB65))</f>
        <v>0</v>
      </c>
      <c r="BE65" s="23">
        <f>IF(BB65="","",SUMIFS(Performance!$Z$5:$Z$404,Performance!$M$5:$M$404,BB65))</f>
        <v>0</v>
      </c>
      <c r="BF65" s="24">
        <f>IF(OR(BD65="",BD65=0),"",BE65/BD65)</f>
        <v>0</v>
      </c>
      <c r="BG65" s="32">
        <f>IF(BC65=0,"",IF(BF65="","",BF65+ROW()/1000000))</f>
        <v>0</v>
      </c>
      <c r="BH65" s="17">
        <f>IF(Performance!$C$65="","",Performance!$C$65)</f>
        <v>0</v>
      </c>
      <c r="BI65" s="17">
        <f>IF(Performance!$F$65="","",Performance!$F$65)</f>
        <v>0</v>
      </c>
      <c r="BJ65" s="17">
        <f>IF(Performance!$H$65="","",Performance!$H$65)</f>
        <v>0</v>
      </c>
      <c r="BK65" s="16">
        <f>IF(Performance!$D$65="","",Performance!$D$65)</f>
        <v>0</v>
      </c>
      <c r="BL65" s="17">
        <f>IF(Performance!$E$65="","",Performance!$E$65)</f>
        <v>0</v>
      </c>
      <c r="BM65" s="23">
        <f>IF(Performance!$O$65="","",Performance!$O$65)</f>
        <v>0</v>
      </c>
      <c r="BN65" s="24">
        <f>IF(Performance!$AA$65="","",Performance!$AA$65)</f>
        <v>0</v>
      </c>
      <c r="BO65" s="32">
        <f>IF(BH65="","",IF(BK65="","",IF(OR(BK65&lt;DashStart,BK65&gt;DashEnd),"",IF(BN65="","",BN65+ROW()/1000000))))</f>
        <v>0</v>
      </c>
      <c r="BP65" s="32">
        <f>IF(BM65="","",IF(BK65="","",IF(OR(BK65&lt;DashStart,BK65&gt;DashEnd),"",BM65+ROW()/1000000)))</f>
        <v>0</v>
      </c>
      <c r="BQ65" s="32">
        <f>IF(BH65="","",IF(BK65="","",IF(YEAR(BK65)&lt;&gt;PlanYear,"",IF(BN65="","",BN65+ROW()/1000000))))</f>
        <v>0</v>
      </c>
      <c r="BR65" s="32">
        <f>IF(BH65="","",IF(BK65="","",IF(OR(BK65&lt;RepFrom,BK65&gt;RepTo),"",IF(BN65="","",BN65+ROW()/1000000))))</f>
        <v>0</v>
      </c>
      <c r="BS65" s="32">
        <f>IF(BM65="","",IF(BK65="","",IF(YEAR(BK65)&lt;&gt;PlanYear,"",BM65+ROW()/1000000)))</f>
        <v>0</v>
      </c>
      <c r="BT65" s="17">
        <f>IF(Lists!$F65="","",Lists!$F65)</f>
        <v>0</v>
      </c>
      <c r="BU65" s="23">
        <f>IF(BT65="","",COUNTIF('Content Calendar'!$X$5:$X$604,BT65))</f>
        <v>0</v>
      </c>
      <c r="BV65" s="23">
        <f>IF(BT65="","",COUNTIFS('Content Calendar'!$X$5:$X$604,BT65,'Content Calendar'!$B$5:$B$604,"&gt;="&amp;DashStart,'Content Calendar'!$B$5:$B$604,"&lt;="&amp;DashEnd))</f>
        <v>0</v>
      </c>
      <c r="BW65" s="17">
        <f>IF(Team!$B$65="","",Team!$B$65)</f>
        <v>0</v>
      </c>
      <c r="BX65" s="23">
        <f>IF(BW65="","",COUNTIF('Content Calendar'!$W$5:$W$604,BW65))</f>
        <v>0</v>
      </c>
      <c r="BY65" s="23">
        <f>IF(BW65="","",COUNTIFS('Content Calendar'!$W$5:$W$604,BW65,'Content Calendar'!$X$5:$X$604,"&lt;&gt;Published"))</f>
        <v>0</v>
      </c>
      <c r="BZ65" s="23">
        <f>IF(BW65="","",COUNTIFS(Tasks!$C$5:$C$64,BW65,Tasks!$G$5:$G$64,"&lt;&gt;Complete"))</f>
        <v>0</v>
      </c>
      <c r="CA65" s="17">
        <f>IF(Campaigns!$B$65="","",Campaigns!$B$65)</f>
        <v>0</v>
      </c>
      <c r="CB65" s="25">
        <f>IF(Campaigns!$T$65="","",Campaigns!$T$65)</f>
        <v>0</v>
      </c>
      <c r="CC65" s="25">
        <f>IF(Campaigns!$Q$65="","",Campaigns!$Q$65)</f>
        <v>0</v>
      </c>
      <c r="CD65" s="23">
        <f>IF(Campaigns!$Y$65="","",Campaigns!$Y$65)</f>
        <v>0</v>
      </c>
      <c r="CE65" s="32">
        <f>IF(CA65="","",IF(N(CB65)&lt;=0,"",N(CB65)+ROW()/1000000))</f>
        <v>0</v>
      </c>
      <c r="CF65" s="17">
        <f>IF(Accounts!$C$65="","",Accounts!$C$65)</f>
        <v>0</v>
      </c>
      <c r="CG65" s="17">
        <f>IF(Accounts!$B$65="","",Accounts!$B$65)</f>
        <v>0</v>
      </c>
      <c r="CH65" s="23">
        <f>IF(Accounts!$J$65="","",Accounts!$J$65)</f>
        <v>0</v>
      </c>
      <c r="CI65" s="23">
        <f>IF(CF65="","",SUMIFS(Analytics!$X$5:$X$154,Analytics!$E$5:$E$154,CF65,Analytics!$B$5:$B$154,"&gt;="&amp;DashStart,Analytics!$B$5:$B$154,"&lt;="&amp;DashEnd))</f>
        <v>0</v>
      </c>
      <c r="CJ65" s="32">
        <f>IF(CH65="","",IF(CH65=0,"",CH65+ROW()/1000000))</f>
        <v>0</v>
      </c>
    </row>
    <row r="66" spans="1:88">
      <c r="A66" s="16">
        <f>IF(ROW()-4&gt;12,"",DATE(PlanYear,ROW()-4,1))</f>
        <v>0</v>
      </c>
      <c r="B66" s="16">
        <f>IF(A66="","",EOMONTH(A66,0))</f>
        <v>0</v>
      </c>
      <c r="C66" s="17">
        <f>IF(A66="","",TEXT(A66,"yyyy-mm"))</f>
        <v>0</v>
      </c>
      <c r="D66" s="17">
        <f>IF(A66="","",TEXT(A66,"mmm"))</f>
        <v>0</v>
      </c>
      <c r="E66" s="23">
        <f>IF(C66="","",COUNTIFS('Content Calendar'!$D$5:$D$604,C66))</f>
        <v>0</v>
      </c>
      <c r="F66" s="23">
        <f>IF(C66="","",COUNTIFS('Content Calendar'!$D$5:$D$604,C66,'Content Calendar'!$X$5:$X$604,"Published"))</f>
        <v>0</v>
      </c>
      <c r="G66" s="23">
        <f>IF(C66="","",SUMIFS(Analytics!$J$5:$J$154,Analytics!$C$5:$C$154,C66))</f>
        <v>0</v>
      </c>
      <c r="H66" s="23">
        <f>IF(C66="","",SUMIFS(Analytics!$K$5:$K$154,Analytics!$C$5:$C$154,C66))</f>
        <v>0</v>
      </c>
      <c r="I66" s="23">
        <f>IF(C66="","",SUMIFS(Analytics!$L$5:$L$154,Analytics!$C$5:$C$154,C66))</f>
        <v>0</v>
      </c>
      <c r="J66" s="24">
        <f>IF(OR(G66="",G66=0),"",I66/G66)</f>
        <v>0</v>
      </c>
      <c r="K66" s="23">
        <f>IF(C66="","",SUMIFS(Analytics!$G$5:$G$154,Analytics!$C$5:$C$154,C66))</f>
        <v>0</v>
      </c>
      <c r="L66" s="23">
        <f>IF(C66="","",SUMIFS(Analytics!$X$5:$X$154,Analytics!$C$5:$C$154,C66))</f>
        <v>0</v>
      </c>
      <c r="M66" s="23">
        <f>IF(C66="","",SUMIFS(Analytics!$R$5:$R$154,Analytics!$C$5:$C$154,C66))</f>
        <v>0</v>
      </c>
      <c r="N66" s="23">
        <f>IF(C66="","",SUMIFS(Analytics!$S$5:$S$154,Analytics!$C$5:$C$154,C66))</f>
        <v>0</v>
      </c>
      <c r="O66" s="23">
        <f>IF(C66="","",SUMIFS(Analytics!$T$5:$T$154,Analytics!$C$5:$C$154,C66))</f>
        <v>0</v>
      </c>
      <c r="P66" s="25">
        <f>IF(C66="","",SUMIFS(Analytics!$U$5:$U$154,Analytics!$C$5:$C$154,C66))</f>
        <v>0</v>
      </c>
      <c r="Q66" s="25">
        <f>IF(C66="","",SUMIFS(Budget!$H$5:$H$64,Budget!$C$5:$C$64,C66))</f>
        <v>0</v>
      </c>
      <c r="R66" s="25">
        <f>IF(C66="","",P66-Q66)</f>
        <v>0</v>
      </c>
      <c r="S66" s="23">
        <f>IF(C66="","",MonthlyPostTarget)</f>
        <v>0</v>
      </c>
      <c r="T66" s="17">
        <f>IF(Lists!$C66="","",Lists!$C66)</f>
        <v>0</v>
      </c>
      <c r="U66" s="23">
        <f>IF(T66="","",COUNTIFS('Content Calendar'!$G$5:$G$604,T66,'Content Calendar'!$B$5:$B$604,"&gt;="&amp;DashStart,'Content Calendar'!$B$5:$B$604,"&lt;="&amp;DashEnd))</f>
        <v>0</v>
      </c>
      <c r="V66" s="23">
        <f>IF(T66="","",COUNTIFS('Content Calendar'!$G$5:$G$604,T66,'Content Calendar'!$X$5:$X$604,"Published",'Content Calendar'!$B$5:$B$604,"&gt;="&amp;DashStart,'Content Calendar'!$B$5:$B$604,"&lt;="&amp;DashEnd))</f>
        <v>0</v>
      </c>
      <c r="W66" s="23">
        <f>IF(T66="","",SUMIFS(Analytics!$J$5:$J$154,Analytics!$D$5:$D$154,T66,Analytics!$B$5:$B$154,"&gt;="&amp;DashStart,Analytics!$B$5:$B$154,"&lt;="&amp;DashEnd))</f>
        <v>0</v>
      </c>
      <c r="X66" s="23">
        <f>IF(T66="","",SUMIFS(Analytics!$L$5:$L$154,Analytics!$D$5:$D$154,T66,Analytics!$B$5:$B$154,"&gt;="&amp;DashStart,Analytics!$B$5:$B$154,"&lt;="&amp;DashEnd))</f>
        <v>0</v>
      </c>
      <c r="Y66" s="24">
        <f>IF(OR(W66="",W66=0),"",X66/W66)</f>
        <v>0</v>
      </c>
      <c r="Z66" s="23">
        <f>IF(T66="","",SUMIFS(Analytics!$G$5:$G$154,Analytics!$D$5:$D$154,T66,Analytics!$B$5:$B$154,"&gt;="&amp;DashStart,Analytics!$B$5:$B$154,"&lt;="&amp;DashEnd))</f>
        <v>0</v>
      </c>
      <c r="AA66" s="23">
        <f>IF(T66="","",SUMIFS(Analytics!$X$5:$X$154,Analytics!$D$5:$D$154,T66,Analytics!$B$5:$B$154,"&gt;="&amp;DashStart,Analytics!$B$5:$B$154,"&lt;="&amp;DashEnd))</f>
        <v>0</v>
      </c>
      <c r="AB66" s="23">
        <f>IF(T66="","",SUMIFS(Analytics!$R$5:$R$154,Analytics!$D$5:$D$154,T66,Analytics!$B$5:$B$154,"&gt;="&amp;DashStart,Analytics!$B$5:$B$154,"&lt;="&amp;DashEnd))</f>
        <v>0</v>
      </c>
      <c r="AC66" s="25">
        <f>IF(T66="","",SUMIFS(Analytics!$U$5:$U$154,Analytics!$D$5:$D$154,T66,Analytics!$B$5:$B$154,"&gt;="&amp;DashStart,Analytics!$B$5:$B$154,"&lt;="&amp;DashEnd))</f>
        <v>0</v>
      </c>
      <c r="AD66" s="23">
        <f>IF(T66="","",COUNTIFS('Content Calendar'!$G$5:$G$604,T66,'Content Calendar'!$B$5:$B$604,"&gt;="&amp;DATE(PlanYear,1,1),'Content Calendar'!$B$5:$B$604,"&lt;="&amp;DATE(PlanYear,12,31)))</f>
        <v>0</v>
      </c>
      <c r="AE66" s="23">
        <f>IF(T66="","",SUMIFS(Analytics!$J$5:$J$154,Analytics!$D$5:$D$154,T66))</f>
        <v>0</v>
      </c>
      <c r="AF66" s="23">
        <f>IF(T66="","",SUMIFS(Analytics!$L$5:$L$154,Analytics!$D$5:$D$154,T66))</f>
        <v>0</v>
      </c>
      <c r="AG66" s="24">
        <f>IF(OR(AE66="",AE66=0),"",AF66/AE66)</f>
        <v>0</v>
      </c>
      <c r="AH66" s="23">
        <f>IF(T66="","",SUMIFS(Analytics!$X$5:$X$154,Analytics!$D$5:$D$154,T66))</f>
        <v>0</v>
      </c>
      <c r="AI66" s="32">
        <f>IF(T66="","",IF(AE66=0,"",AE66+ROW()/1000000))</f>
        <v>0</v>
      </c>
      <c r="AJ66" s="17">
        <f>IF('Content Pillars'!$B$66="","",'Content Pillars'!$B$66)</f>
        <v>0</v>
      </c>
      <c r="AK66" s="23">
        <f>IF(AJ66="","",COUNTIFS('Content Calendar'!$J$5:$J$604,AJ66,'Content Calendar'!$B$5:$B$604,"&gt;="&amp;DATE(PlanYear,1,1),'Content Calendar'!$B$5:$B$604,"&lt;="&amp;DATE(PlanYear,12,31)))</f>
        <v>0</v>
      </c>
      <c r="AL66" s="23">
        <f>IF(AJ66="","",SUMIFS(Performance!$O$5:$O$404,Performance!$H$5:$H$404,AJ66))</f>
        <v>0</v>
      </c>
      <c r="AM66" s="23">
        <f>IF(AJ66="","",SUMIFS(Performance!$Z$5:$Z$404,Performance!$H$5:$H$404,AJ66))</f>
        <v>0</v>
      </c>
      <c r="AN66" s="24">
        <f>IF(OR(AL66="",AL66=0),"",AM66/AL66)</f>
        <v>0</v>
      </c>
      <c r="AO66" s="32">
        <f>IF(AN66="","",AN66+ROW()/1000000)</f>
        <v>0</v>
      </c>
      <c r="AP66" s="17">
        <f>IF(Lists!$E66="","",Lists!$E66)</f>
        <v>0</v>
      </c>
      <c r="AQ66" s="23">
        <f>IF(AP66="","",COUNTIF(Performance!$G$5:$G$404,AP66))</f>
        <v>0</v>
      </c>
      <c r="AR66" s="23">
        <f>IF(AP66="","",SUMIFS(Performance!$O$5:$O$404,Performance!$G$5:$G$404,AP66))</f>
        <v>0</v>
      </c>
      <c r="AS66" s="23">
        <f>IF(AP66="","",SUMIFS(Performance!$Z$5:$Z$404,Performance!$G$5:$G$404,AP66))</f>
        <v>0</v>
      </c>
      <c r="AT66" s="24">
        <f>IF(OR(AR66="",AR66=0),"",AS66/AR66)</f>
        <v>0</v>
      </c>
      <c r="AU66" s="32">
        <f>IF(AQ66=0,"",IF(AT66="","",AT66+ROW()/1000000))</f>
        <v>0</v>
      </c>
      <c r="AV66" s="17">
        <f>IF(ROW()-4&gt;7,"",TEXT(DATE(2024,1,ROW()-4),"ddd"))</f>
        <v>0</v>
      </c>
      <c r="AW66" s="23">
        <f>IF(AV66="","",COUNTIF(Performance!$N$5:$N$404,AV66))</f>
        <v>0</v>
      </c>
      <c r="AX66" s="23">
        <f>IF(AV66="","",SUMIFS(Performance!$O$5:$O$404,Performance!$N$5:$N$404,AV66))</f>
        <v>0</v>
      </c>
      <c r="AY66" s="23">
        <f>IF(AV66="","",SUMIFS(Performance!$Z$5:$Z$404,Performance!$N$5:$N$404,AV66))</f>
        <v>0</v>
      </c>
      <c r="AZ66" s="24">
        <f>IF(OR(AX66="",AX66=0),"",AY66/AX66)</f>
        <v>0</v>
      </c>
      <c r="BA66" s="32">
        <f>IF(AW66=0,"",IF(AZ66="","",AZ66+ROW()/1000000))</f>
        <v>0</v>
      </c>
      <c r="BB66" s="17">
        <f>IF(Lists!$AL66="","",Lists!$AL66)</f>
        <v>0</v>
      </c>
      <c r="BC66" s="23">
        <f>IF(BB66="","",COUNTIF(Performance!$M$5:$M$404,BB66))</f>
        <v>0</v>
      </c>
      <c r="BD66" s="23">
        <f>IF(BB66="","",SUMIFS(Performance!$O$5:$O$404,Performance!$M$5:$M$404,BB66))</f>
        <v>0</v>
      </c>
      <c r="BE66" s="23">
        <f>IF(BB66="","",SUMIFS(Performance!$Z$5:$Z$404,Performance!$M$5:$M$404,BB66))</f>
        <v>0</v>
      </c>
      <c r="BF66" s="24">
        <f>IF(OR(BD66="",BD66=0),"",BE66/BD66)</f>
        <v>0</v>
      </c>
      <c r="BG66" s="32">
        <f>IF(BC66=0,"",IF(BF66="","",BF66+ROW()/1000000))</f>
        <v>0</v>
      </c>
      <c r="BH66" s="17">
        <f>IF(Performance!$C$66="","",Performance!$C$66)</f>
        <v>0</v>
      </c>
      <c r="BI66" s="17">
        <f>IF(Performance!$F$66="","",Performance!$F$66)</f>
        <v>0</v>
      </c>
      <c r="BJ66" s="17">
        <f>IF(Performance!$H$66="","",Performance!$H$66)</f>
        <v>0</v>
      </c>
      <c r="BK66" s="16">
        <f>IF(Performance!$D$66="","",Performance!$D$66)</f>
        <v>0</v>
      </c>
      <c r="BL66" s="17">
        <f>IF(Performance!$E$66="","",Performance!$E$66)</f>
        <v>0</v>
      </c>
      <c r="BM66" s="23">
        <f>IF(Performance!$O$66="","",Performance!$O$66)</f>
        <v>0</v>
      </c>
      <c r="BN66" s="24">
        <f>IF(Performance!$AA$66="","",Performance!$AA$66)</f>
        <v>0</v>
      </c>
      <c r="BO66" s="32">
        <f>IF(BH66="","",IF(BK66="","",IF(OR(BK66&lt;DashStart,BK66&gt;DashEnd),"",IF(BN66="","",BN66+ROW()/1000000))))</f>
        <v>0</v>
      </c>
      <c r="BP66" s="32">
        <f>IF(BM66="","",IF(BK66="","",IF(OR(BK66&lt;DashStart,BK66&gt;DashEnd),"",BM66+ROW()/1000000)))</f>
        <v>0</v>
      </c>
      <c r="BQ66" s="32">
        <f>IF(BH66="","",IF(BK66="","",IF(YEAR(BK66)&lt;&gt;PlanYear,"",IF(BN66="","",BN66+ROW()/1000000))))</f>
        <v>0</v>
      </c>
      <c r="BR66" s="32">
        <f>IF(BH66="","",IF(BK66="","",IF(OR(BK66&lt;RepFrom,BK66&gt;RepTo),"",IF(BN66="","",BN66+ROW()/1000000))))</f>
        <v>0</v>
      </c>
      <c r="BS66" s="32">
        <f>IF(BM66="","",IF(BK66="","",IF(YEAR(BK66)&lt;&gt;PlanYear,"",BM66+ROW()/1000000)))</f>
        <v>0</v>
      </c>
      <c r="BT66" s="17">
        <f>IF(Lists!$F66="","",Lists!$F66)</f>
        <v>0</v>
      </c>
      <c r="BU66" s="23">
        <f>IF(BT66="","",COUNTIF('Content Calendar'!$X$5:$X$604,BT66))</f>
        <v>0</v>
      </c>
      <c r="BV66" s="23">
        <f>IF(BT66="","",COUNTIFS('Content Calendar'!$X$5:$X$604,BT66,'Content Calendar'!$B$5:$B$604,"&gt;="&amp;DashStart,'Content Calendar'!$B$5:$B$604,"&lt;="&amp;DashEnd))</f>
        <v>0</v>
      </c>
      <c r="BW66" s="17">
        <f>IF(Team!$B$66="","",Team!$B$66)</f>
        <v>0</v>
      </c>
      <c r="BX66" s="23">
        <f>IF(BW66="","",COUNTIF('Content Calendar'!$W$5:$W$604,BW66))</f>
        <v>0</v>
      </c>
      <c r="BY66" s="23">
        <f>IF(BW66="","",COUNTIFS('Content Calendar'!$W$5:$W$604,BW66,'Content Calendar'!$X$5:$X$604,"&lt;&gt;Published"))</f>
        <v>0</v>
      </c>
      <c r="BZ66" s="23">
        <f>IF(BW66="","",COUNTIFS(Tasks!$C$5:$C$64,BW66,Tasks!$G$5:$G$64,"&lt;&gt;Complete"))</f>
        <v>0</v>
      </c>
      <c r="CA66" s="17">
        <f>IF(Campaigns!$B$66="","",Campaigns!$B$66)</f>
        <v>0</v>
      </c>
      <c r="CB66" s="25">
        <f>IF(Campaigns!$T$66="","",Campaigns!$T$66)</f>
        <v>0</v>
      </c>
      <c r="CC66" s="25">
        <f>IF(Campaigns!$Q$66="","",Campaigns!$Q$66)</f>
        <v>0</v>
      </c>
      <c r="CD66" s="23">
        <f>IF(Campaigns!$Y$66="","",Campaigns!$Y$66)</f>
        <v>0</v>
      </c>
      <c r="CE66" s="32">
        <f>IF(CA66="","",IF(N(CB66)&lt;=0,"",N(CB66)+ROW()/1000000))</f>
        <v>0</v>
      </c>
      <c r="CF66" s="17">
        <f>IF(Accounts!$C$66="","",Accounts!$C$66)</f>
        <v>0</v>
      </c>
      <c r="CG66" s="17">
        <f>IF(Accounts!$B$66="","",Accounts!$B$66)</f>
        <v>0</v>
      </c>
      <c r="CH66" s="23">
        <f>IF(Accounts!$J$66="","",Accounts!$J$66)</f>
        <v>0</v>
      </c>
      <c r="CI66" s="23">
        <f>IF(CF66="","",SUMIFS(Analytics!$X$5:$X$154,Analytics!$E$5:$E$154,CF66,Analytics!$B$5:$B$154,"&gt;="&amp;DashStart,Analytics!$B$5:$B$154,"&lt;="&amp;DashEnd))</f>
        <v>0</v>
      </c>
      <c r="CJ66" s="32">
        <f>IF(CH66="","",IF(CH66=0,"",CH66+ROW()/1000000))</f>
        <v>0</v>
      </c>
    </row>
    <row r="67" spans="1:88">
      <c r="A67" s="16">
        <f>IF(ROW()-4&gt;12,"",DATE(PlanYear,ROW()-4,1))</f>
        <v>0</v>
      </c>
      <c r="B67" s="16">
        <f>IF(A67="","",EOMONTH(A67,0))</f>
        <v>0</v>
      </c>
      <c r="C67" s="17">
        <f>IF(A67="","",TEXT(A67,"yyyy-mm"))</f>
        <v>0</v>
      </c>
      <c r="D67" s="17">
        <f>IF(A67="","",TEXT(A67,"mmm"))</f>
        <v>0</v>
      </c>
      <c r="E67" s="23">
        <f>IF(C67="","",COUNTIFS('Content Calendar'!$D$5:$D$604,C67))</f>
        <v>0</v>
      </c>
      <c r="F67" s="23">
        <f>IF(C67="","",COUNTIFS('Content Calendar'!$D$5:$D$604,C67,'Content Calendar'!$X$5:$X$604,"Published"))</f>
        <v>0</v>
      </c>
      <c r="G67" s="23">
        <f>IF(C67="","",SUMIFS(Analytics!$J$5:$J$154,Analytics!$C$5:$C$154,C67))</f>
        <v>0</v>
      </c>
      <c r="H67" s="23">
        <f>IF(C67="","",SUMIFS(Analytics!$K$5:$K$154,Analytics!$C$5:$C$154,C67))</f>
        <v>0</v>
      </c>
      <c r="I67" s="23">
        <f>IF(C67="","",SUMIFS(Analytics!$L$5:$L$154,Analytics!$C$5:$C$154,C67))</f>
        <v>0</v>
      </c>
      <c r="J67" s="24">
        <f>IF(OR(G67="",G67=0),"",I67/G67)</f>
        <v>0</v>
      </c>
      <c r="K67" s="23">
        <f>IF(C67="","",SUMIFS(Analytics!$G$5:$G$154,Analytics!$C$5:$C$154,C67))</f>
        <v>0</v>
      </c>
      <c r="L67" s="23">
        <f>IF(C67="","",SUMIFS(Analytics!$X$5:$X$154,Analytics!$C$5:$C$154,C67))</f>
        <v>0</v>
      </c>
      <c r="M67" s="23">
        <f>IF(C67="","",SUMIFS(Analytics!$R$5:$R$154,Analytics!$C$5:$C$154,C67))</f>
        <v>0</v>
      </c>
      <c r="N67" s="23">
        <f>IF(C67="","",SUMIFS(Analytics!$S$5:$S$154,Analytics!$C$5:$C$154,C67))</f>
        <v>0</v>
      </c>
      <c r="O67" s="23">
        <f>IF(C67="","",SUMIFS(Analytics!$T$5:$T$154,Analytics!$C$5:$C$154,C67))</f>
        <v>0</v>
      </c>
      <c r="P67" s="25">
        <f>IF(C67="","",SUMIFS(Analytics!$U$5:$U$154,Analytics!$C$5:$C$154,C67))</f>
        <v>0</v>
      </c>
      <c r="Q67" s="25">
        <f>IF(C67="","",SUMIFS(Budget!$H$5:$H$64,Budget!$C$5:$C$64,C67))</f>
        <v>0</v>
      </c>
      <c r="R67" s="25">
        <f>IF(C67="","",P67-Q67)</f>
        <v>0</v>
      </c>
      <c r="S67" s="23">
        <f>IF(C67="","",MonthlyPostTarget)</f>
        <v>0</v>
      </c>
      <c r="T67" s="17">
        <f>IF(Lists!$C67="","",Lists!$C67)</f>
        <v>0</v>
      </c>
      <c r="U67" s="23">
        <f>IF(T67="","",COUNTIFS('Content Calendar'!$G$5:$G$604,T67,'Content Calendar'!$B$5:$B$604,"&gt;="&amp;DashStart,'Content Calendar'!$B$5:$B$604,"&lt;="&amp;DashEnd))</f>
        <v>0</v>
      </c>
      <c r="V67" s="23">
        <f>IF(T67="","",COUNTIFS('Content Calendar'!$G$5:$G$604,T67,'Content Calendar'!$X$5:$X$604,"Published",'Content Calendar'!$B$5:$B$604,"&gt;="&amp;DashStart,'Content Calendar'!$B$5:$B$604,"&lt;="&amp;DashEnd))</f>
        <v>0</v>
      </c>
      <c r="W67" s="23">
        <f>IF(T67="","",SUMIFS(Analytics!$J$5:$J$154,Analytics!$D$5:$D$154,T67,Analytics!$B$5:$B$154,"&gt;="&amp;DashStart,Analytics!$B$5:$B$154,"&lt;="&amp;DashEnd))</f>
        <v>0</v>
      </c>
      <c r="X67" s="23">
        <f>IF(T67="","",SUMIFS(Analytics!$L$5:$L$154,Analytics!$D$5:$D$154,T67,Analytics!$B$5:$B$154,"&gt;="&amp;DashStart,Analytics!$B$5:$B$154,"&lt;="&amp;DashEnd))</f>
        <v>0</v>
      </c>
      <c r="Y67" s="24">
        <f>IF(OR(W67="",W67=0),"",X67/W67)</f>
        <v>0</v>
      </c>
      <c r="Z67" s="23">
        <f>IF(T67="","",SUMIFS(Analytics!$G$5:$G$154,Analytics!$D$5:$D$154,T67,Analytics!$B$5:$B$154,"&gt;="&amp;DashStart,Analytics!$B$5:$B$154,"&lt;="&amp;DashEnd))</f>
        <v>0</v>
      </c>
      <c r="AA67" s="23">
        <f>IF(T67="","",SUMIFS(Analytics!$X$5:$X$154,Analytics!$D$5:$D$154,T67,Analytics!$B$5:$B$154,"&gt;="&amp;DashStart,Analytics!$B$5:$B$154,"&lt;="&amp;DashEnd))</f>
        <v>0</v>
      </c>
      <c r="AB67" s="23">
        <f>IF(T67="","",SUMIFS(Analytics!$R$5:$R$154,Analytics!$D$5:$D$154,T67,Analytics!$B$5:$B$154,"&gt;="&amp;DashStart,Analytics!$B$5:$B$154,"&lt;="&amp;DashEnd))</f>
        <v>0</v>
      </c>
      <c r="AC67" s="25">
        <f>IF(T67="","",SUMIFS(Analytics!$U$5:$U$154,Analytics!$D$5:$D$154,T67,Analytics!$B$5:$B$154,"&gt;="&amp;DashStart,Analytics!$B$5:$B$154,"&lt;="&amp;DashEnd))</f>
        <v>0</v>
      </c>
      <c r="AD67" s="23">
        <f>IF(T67="","",COUNTIFS('Content Calendar'!$G$5:$G$604,T67,'Content Calendar'!$B$5:$B$604,"&gt;="&amp;DATE(PlanYear,1,1),'Content Calendar'!$B$5:$B$604,"&lt;="&amp;DATE(PlanYear,12,31)))</f>
        <v>0</v>
      </c>
      <c r="AE67" s="23">
        <f>IF(T67="","",SUMIFS(Analytics!$J$5:$J$154,Analytics!$D$5:$D$154,T67))</f>
        <v>0</v>
      </c>
      <c r="AF67" s="23">
        <f>IF(T67="","",SUMIFS(Analytics!$L$5:$L$154,Analytics!$D$5:$D$154,T67))</f>
        <v>0</v>
      </c>
      <c r="AG67" s="24">
        <f>IF(OR(AE67="",AE67=0),"",AF67/AE67)</f>
        <v>0</v>
      </c>
      <c r="AH67" s="23">
        <f>IF(T67="","",SUMIFS(Analytics!$X$5:$X$154,Analytics!$D$5:$D$154,T67))</f>
        <v>0</v>
      </c>
      <c r="AI67" s="32">
        <f>IF(T67="","",IF(AE67=0,"",AE67+ROW()/1000000))</f>
        <v>0</v>
      </c>
      <c r="AJ67" s="17">
        <f>IF('Content Pillars'!$B$67="","",'Content Pillars'!$B$67)</f>
        <v>0</v>
      </c>
      <c r="AK67" s="23">
        <f>IF(AJ67="","",COUNTIFS('Content Calendar'!$J$5:$J$604,AJ67,'Content Calendar'!$B$5:$B$604,"&gt;="&amp;DATE(PlanYear,1,1),'Content Calendar'!$B$5:$B$604,"&lt;="&amp;DATE(PlanYear,12,31)))</f>
        <v>0</v>
      </c>
      <c r="AL67" s="23">
        <f>IF(AJ67="","",SUMIFS(Performance!$O$5:$O$404,Performance!$H$5:$H$404,AJ67))</f>
        <v>0</v>
      </c>
      <c r="AM67" s="23">
        <f>IF(AJ67="","",SUMIFS(Performance!$Z$5:$Z$404,Performance!$H$5:$H$404,AJ67))</f>
        <v>0</v>
      </c>
      <c r="AN67" s="24">
        <f>IF(OR(AL67="",AL67=0),"",AM67/AL67)</f>
        <v>0</v>
      </c>
      <c r="AO67" s="32">
        <f>IF(AN67="","",AN67+ROW()/1000000)</f>
        <v>0</v>
      </c>
      <c r="AP67" s="17">
        <f>IF(Lists!$E67="","",Lists!$E67)</f>
        <v>0</v>
      </c>
      <c r="AQ67" s="23">
        <f>IF(AP67="","",COUNTIF(Performance!$G$5:$G$404,AP67))</f>
        <v>0</v>
      </c>
      <c r="AR67" s="23">
        <f>IF(AP67="","",SUMIFS(Performance!$O$5:$O$404,Performance!$G$5:$G$404,AP67))</f>
        <v>0</v>
      </c>
      <c r="AS67" s="23">
        <f>IF(AP67="","",SUMIFS(Performance!$Z$5:$Z$404,Performance!$G$5:$G$404,AP67))</f>
        <v>0</v>
      </c>
      <c r="AT67" s="24">
        <f>IF(OR(AR67="",AR67=0),"",AS67/AR67)</f>
        <v>0</v>
      </c>
      <c r="AU67" s="32">
        <f>IF(AQ67=0,"",IF(AT67="","",AT67+ROW()/1000000))</f>
        <v>0</v>
      </c>
      <c r="AV67" s="17">
        <f>IF(ROW()-4&gt;7,"",TEXT(DATE(2024,1,ROW()-4),"ddd"))</f>
        <v>0</v>
      </c>
      <c r="AW67" s="23">
        <f>IF(AV67="","",COUNTIF(Performance!$N$5:$N$404,AV67))</f>
        <v>0</v>
      </c>
      <c r="AX67" s="23">
        <f>IF(AV67="","",SUMIFS(Performance!$O$5:$O$404,Performance!$N$5:$N$404,AV67))</f>
        <v>0</v>
      </c>
      <c r="AY67" s="23">
        <f>IF(AV67="","",SUMIFS(Performance!$Z$5:$Z$404,Performance!$N$5:$N$404,AV67))</f>
        <v>0</v>
      </c>
      <c r="AZ67" s="24">
        <f>IF(OR(AX67="",AX67=0),"",AY67/AX67)</f>
        <v>0</v>
      </c>
      <c r="BA67" s="32">
        <f>IF(AW67=0,"",IF(AZ67="","",AZ67+ROW()/1000000))</f>
        <v>0</v>
      </c>
      <c r="BB67" s="17">
        <f>IF(Lists!$AL67="","",Lists!$AL67)</f>
        <v>0</v>
      </c>
      <c r="BC67" s="23">
        <f>IF(BB67="","",COUNTIF(Performance!$M$5:$M$404,BB67))</f>
        <v>0</v>
      </c>
      <c r="BD67" s="23">
        <f>IF(BB67="","",SUMIFS(Performance!$O$5:$O$404,Performance!$M$5:$M$404,BB67))</f>
        <v>0</v>
      </c>
      <c r="BE67" s="23">
        <f>IF(BB67="","",SUMIFS(Performance!$Z$5:$Z$404,Performance!$M$5:$M$404,BB67))</f>
        <v>0</v>
      </c>
      <c r="BF67" s="24">
        <f>IF(OR(BD67="",BD67=0),"",BE67/BD67)</f>
        <v>0</v>
      </c>
      <c r="BG67" s="32">
        <f>IF(BC67=0,"",IF(BF67="","",BF67+ROW()/1000000))</f>
        <v>0</v>
      </c>
      <c r="BH67" s="17">
        <f>IF(Performance!$C$67="","",Performance!$C$67)</f>
        <v>0</v>
      </c>
      <c r="BI67" s="17">
        <f>IF(Performance!$F$67="","",Performance!$F$67)</f>
        <v>0</v>
      </c>
      <c r="BJ67" s="17">
        <f>IF(Performance!$H$67="","",Performance!$H$67)</f>
        <v>0</v>
      </c>
      <c r="BK67" s="16">
        <f>IF(Performance!$D$67="","",Performance!$D$67)</f>
        <v>0</v>
      </c>
      <c r="BL67" s="17">
        <f>IF(Performance!$E$67="","",Performance!$E$67)</f>
        <v>0</v>
      </c>
      <c r="BM67" s="23">
        <f>IF(Performance!$O$67="","",Performance!$O$67)</f>
        <v>0</v>
      </c>
      <c r="BN67" s="24">
        <f>IF(Performance!$AA$67="","",Performance!$AA$67)</f>
        <v>0</v>
      </c>
      <c r="BO67" s="32">
        <f>IF(BH67="","",IF(BK67="","",IF(OR(BK67&lt;DashStart,BK67&gt;DashEnd),"",IF(BN67="","",BN67+ROW()/1000000))))</f>
        <v>0</v>
      </c>
      <c r="BP67" s="32">
        <f>IF(BM67="","",IF(BK67="","",IF(OR(BK67&lt;DashStart,BK67&gt;DashEnd),"",BM67+ROW()/1000000)))</f>
        <v>0</v>
      </c>
      <c r="BQ67" s="32">
        <f>IF(BH67="","",IF(BK67="","",IF(YEAR(BK67)&lt;&gt;PlanYear,"",IF(BN67="","",BN67+ROW()/1000000))))</f>
        <v>0</v>
      </c>
      <c r="BR67" s="32">
        <f>IF(BH67="","",IF(BK67="","",IF(OR(BK67&lt;RepFrom,BK67&gt;RepTo),"",IF(BN67="","",BN67+ROW()/1000000))))</f>
        <v>0</v>
      </c>
      <c r="BS67" s="32">
        <f>IF(BM67="","",IF(BK67="","",IF(YEAR(BK67)&lt;&gt;PlanYear,"",BM67+ROW()/1000000)))</f>
        <v>0</v>
      </c>
      <c r="BT67" s="17">
        <f>IF(Lists!$F67="","",Lists!$F67)</f>
        <v>0</v>
      </c>
      <c r="BU67" s="23">
        <f>IF(BT67="","",COUNTIF('Content Calendar'!$X$5:$X$604,BT67))</f>
        <v>0</v>
      </c>
      <c r="BV67" s="23">
        <f>IF(BT67="","",COUNTIFS('Content Calendar'!$X$5:$X$604,BT67,'Content Calendar'!$B$5:$B$604,"&gt;="&amp;DashStart,'Content Calendar'!$B$5:$B$604,"&lt;="&amp;DashEnd))</f>
        <v>0</v>
      </c>
      <c r="BW67" s="17">
        <f>IF(Team!$B$67="","",Team!$B$67)</f>
        <v>0</v>
      </c>
      <c r="BX67" s="23">
        <f>IF(BW67="","",COUNTIF('Content Calendar'!$W$5:$W$604,BW67))</f>
        <v>0</v>
      </c>
      <c r="BY67" s="23">
        <f>IF(BW67="","",COUNTIFS('Content Calendar'!$W$5:$W$604,BW67,'Content Calendar'!$X$5:$X$604,"&lt;&gt;Published"))</f>
        <v>0</v>
      </c>
      <c r="BZ67" s="23">
        <f>IF(BW67="","",COUNTIFS(Tasks!$C$5:$C$64,BW67,Tasks!$G$5:$G$64,"&lt;&gt;Complete"))</f>
        <v>0</v>
      </c>
      <c r="CA67" s="17">
        <f>IF(Campaigns!$B$67="","",Campaigns!$B$67)</f>
        <v>0</v>
      </c>
      <c r="CB67" s="25">
        <f>IF(Campaigns!$T$67="","",Campaigns!$T$67)</f>
        <v>0</v>
      </c>
      <c r="CC67" s="25">
        <f>IF(Campaigns!$Q$67="","",Campaigns!$Q$67)</f>
        <v>0</v>
      </c>
      <c r="CD67" s="23">
        <f>IF(Campaigns!$Y$67="","",Campaigns!$Y$67)</f>
        <v>0</v>
      </c>
      <c r="CE67" s="32">
        <f>IF(CA67="","",IF(N(CB67)&lt;=0,"",N(CB67)+ROW()/1000000))</f>
        <v>0</v>
      </c>
      <c r="CF67" s="17">
        <f>IF(Accounts!$C$67="","",Accounts!$C$67)</f>
        <v>0</v>
      </c>
      <c r="CG67" s="17">
        <f>IF(Accounts!$B$67="","",Accounts!$B$67)</f>
        <v>0</v>
      </c>
      <c r="CH67" s="23">
        <f>IF(Accounts!$J$67="","",Accounts!$J$67)</f>
        <v>0</v>
      </c>
      <c r="CI67" s="23">
        <f>IF(CF67="","",SUMIFS(Analytics!$X$5:$X$154,Analytics!$E$5:$E$154,CF67,Analytics!$B$5:$B$154,"&gt;="&amp;DashStart,Analytics!$B$5:$B$154,"&lt;="&amp;DashEnd))</f>
        <v>0</v>
      </c>
      <c r="CJ67" s="32">
        <f>IF(CH67="","",IF(CH67=0,"",CH67+ROW()/1000000))</f>
        <v>0</v>
      </c>
    </row>
    <row r="68" spans="1:88">
      <c r="A68" s="16">
        <f>IF(ROW()-4&gt;12,"",DATE(PlanYear,ROW()-4,1))</f>
        <v>0</v>
      </c>
      <c r="B68" s="16">
        <f>IF(A68="","",EOMONTH(A68,0))</f>
        <v>0</v>
      </c>
      <c r="C68" s="17">
        <f>IF(A68="","",TEXT(A68,"yyyy-mm"))</f>
        <v>0</v>
      </c>
      <c r="D68" s="17">
        <f>IF(A68="","",TEXT(A68,"mmm"))</f>
        <v>0</v>
      </c>
      <c r="E68" s="23">
        <f>IF(C68="","",COUNTIFS('Content Calendar'!$D$5:$D$604,C68))</f>
        <v>0</v>
      </c>
      <c r="F68" s="23">
        <f>IF(C68="","",COUNTIFS('Content Calendar'!$D$5:$D$604,C68,'Content Calendar'!$X$5:$X$604,"Published"))</f>
        <v>0</v>
      </c>
      <c r="G68" s="23">
        <f>IF(C68="","",SUMIFS(Analytics!$J$5:$J$154,Analytics!$C$5:$C$154,C68))</f>
        <v>0</v>
      </c>
      <c r="H68" s="23">
        <f>IF(C68="","",SUMIFS(Analytics!$K$5:$K$154,Analytics!$C$5:$C$154,C68))</f>
        <v>0</v>
      </c>
      <c r="I68" s="23">
        <f>IF(C68="","",SUMIFS(Analytics!$L$5:$L$154,Analytics!$C$5:$C$154,C68))</f>
        <v>0</v>
      </c>
      <c r="J68" s="24">
        <f>IF(OR(G68="",G68=0),"",I68/G68)</f>
        <v>0</v>
      </c>
      <c r="K68" s="23">
        <f>IF(C68="","",SUMIFS(Analytics!$G$5:$G$154,Analytics!$C$5:$C$154,C68))</f>
        <v>0</v>
      </c>
      <c r="L68" s="23">
        <f>IF(C68="","",SUMIFS(Analytics!$X$5:$X$154,Analytics!$C$5:$C$154,C68))</f>
        <v>0</v>
      </c>
      <c r="M68" s="23">
        <f>IF(C68="","",SUMIFS(Analytics!$R$5:$R$154,Analytics!$C$5:$C$154,C68))</f>
        <v>0</v>
      </c>
      <c r="N68" s="23">
        <f>IF(C68="","",SUMIFS(Analytics!$S$5:$S$154,Analytics!$C$5:$C$154,C68))</f>
        <v>0</v>
      </c>
      <c r="O68" s="23">
        <f>IF(C68="","",SUMIFS(Analytics!$T$5:$T$154,Analytics!$C$5:$C$154,C68))</f>
        <v>0</v>
      </c>
      <c r="P68" s="25">
        <f>IF(C68="","",SUMIFS(Analytics!$U$5:$U$154,Analytics!$C$5:$C$154,C68))</f>
        <v>0</v>
      </c>
      <c r="Q68" s="25">
        <f>IF(C68="","",SUMIFS(Budget!$H$5:$H$64,Budget!$C$5:$C$64,C68))</f>
        <v>0</v>
      </c>
      <c r="R68" s="25">
        <f>IF(C68="","",P68-Q68)</f>
        <v>0</v>
      </c>
      <c r="S68" s="23">
        <f>IF(C68="","",MonthlyPostTarget)</f>
        <v>0</v>
      </c>
      <c r="T68" s="17">
        <f>IF(Lists!$C68="","",Lists!$C68)</f>
        <v>0</v>
      </c>
      <c r="U68" s="23">
        <f>IF(T68="","",COUNTIFS('Content Calendar'!$G$5:$G$604,T68,'Content Calendar'!$B$5:$B$604,"&gt;="&amp;DashStart,'Content Calendar'!$B$5:$B$604,"&lt;="&amp;DashEnd))</f>
        <v>0</v>
      </c>
      <c r="V68" s="23">
        <f>IF(T68="","",COUNTIFS('Content Calendar'!$G$5:$G$604,T68,'Content Calendar'!$X$5:$X$604,"Published",'Content Calendar'!$B$5:$B$604,"&gt;="&amp;DashStart,'Content Calendar'!$B$5:$B$604,"&lt;="&amp;DashEnd))</f>
        <v>0</v>
      </c>
      <c r="W68" s="23">
        <f>IF(T68="","",SUMIFS(Analytics!$J$5:$J$154,Analytics!$D$5:$D$154,T68,Analytics!$B$5:$B$154,"&gt;="&amp;DashStart,Analytics!$B$5:$B$154,"&lt;="&amp;DashEnd))</f>
        <v>0</v>
      </c>
      <c r="X68" s="23">
        <f>IF(T68="","",SUMIFS(Analytics!$L$5:$L$154,Analytics!$D$5:$D$154,T68,Analytics!$B$5:$B$154,"&gt;="&amp;DashStart,Analytics!$B$5:$B$154,"&lt;="&amp;DashEnd))</f>
        <v>0</v>
      </c>
      <c r="Y68" s="24">
        <f>IF(OR(W68="",W68=0),"",X68/W68)</f>
        <v>0</v>
      </c>
      <c r="Z68" s="23">
        <f>IF(T68="","",SUMIFS(Analytics!$G$5:$G$154,Analytics!$D$5:$D$154,T68,Analytics!$B$5:$B$154,"&gt;="&amp;DashStart,Analytics!$B$5:$B$154,"&lt;="&amp;DashEnd))</f>
        <v>0</v>
      </c>
      <c r="AA68" s="23">
        <f>IF(T68="","",SUMIFS(Analytics!$X$5:$X$154,Analytics!$D$5:$D$154,T68,Analytics!$B$5:$B$154,"&gt;="&amp;DashStart,Analytics!$B$5:$B$154,"&lt;="&amp;DashEnd))</f>
        <v>0</v>
      </c>
      <c r="AB68" s="23">
        <f>IF(T68="","",SUMIFS(Analytics!$R$5:$R$154,Analytics!$D$5:$D$154,T68,Analytics!$B$5:$B$154,"&gt;="&amp;DashStart,Analytics!$B$5:$B$154,"&lt;="&amp;DashEnd))</f>
        <v>0</v>
      </c>
      <c r="AC68" s="25">
        <f>IF(T68="","",SUMIFS(Analytics!$U$5:$U$154,Analytics!$D$5:$D$154,T68,Analytics!$B$5:$B$154,"&gt;="&amp;DashStart,Analytics!$B$5:$B$154,"&lt;="&amp;DashEnd))</f>
        <v>0</v>
      </c>
      <c r="AD68" s="23">
        <f>IF(T68="","",COUNTIFS('Content Calendar'!$G$5:$G$604,T68,'Content Calendar'!$B$5:$B$604,"&gt;="&amp;DATE(PlanYear,1,1),'Content Calendar'!$B$5:$B$604,"&lt;="&amp;DATE(PlanYear,12,31)))</f>
        <v>0</v>
      </c>
      <c r="AE68" s="23">
        <f>IF(T68="","",SUMIFS(Analytics!$J$5:$J$154,Analytics!$D$5:$D$154,T68))</f>
        <v>0</v>
      </c>
      <c r="AF68" s="23">
        <f>IF(T68="","",SUMIFS(Analytics!$L$5:$L$154,Analytics!$D$5:$D$154,T68))</f>
        <v>0</v>
      </c>
      <c r="AG68" s="24">
        <f>IF(OR(AE68="",AE68=0),"",AF68/AE68)</f>
        <v>0</v>
      </c>
      <c r="AH68" s="23">
        <f>IF(T68="","",SUMIFS(Analytics!$X$5:$X$154,Analytics!$D$5:$D$154,T68))</f>
        <v>0</v>
      </c>
      <c r="AI68" s="32">
        <f>IF(T68="","",IF(AE68=0,"",AE68+ROW()/1000000))</f>
        <v>0</v>
      </c>
      <c r="AJ68" s="17">
        <f>IF('Content Pillars'!$B$68="","",'Content Pillars'!$B$68)</f>
        <v>0</v>
      </c>
      <c r="AK68" s="23">
        <f>IF(AJ68="","",COUNTIFS('Content Calendar'!$J$5:$J$604,AJ68,'Content Calendar'!$B$5:$B$604,"&gt;="&amp;DATE(PlanYear,1,1),'Content Calendar'!$B$5:$B$604,"&lt;="&amp;DATE(PlanYear,12,31)))</f>
        <v>0</v>
      </c>
      <c r="AL68" s="23">
        <f>IF(AJ68="","",SUMIFS(Performance!$O$5:$O$404,Performance!$H$5:$H$404,AJ68))</f>
        <v>0</v>
      </c>
      <c r="AM68" s="23">
        <f>IF(AJ68="","",SUMIFS(Performance!$Z$5:$Z$404,Performance!$H$5:$H$404,AJ68))</f>
        <v>0</v>
      </c>
      <c r="AN68" s="24">
        <f>IF(OR(AL68="",AL68=0),"",AM68/AL68)</f>
        <v>0</v>
      </c>
      <c r="AO68" s="32">
        <f>IF(AN68="","",AN68+ROW()/1000000)</f>
        <v>0</v>
      </c>
      <c r="AP68" s="17">
        <f>IF(Lists!$E68="","",Lists!$E68)</f>
        <v>0</v>
      </c>
      <c r="AQ68" s="23">
        <f>IF(AP68="","",COUNTIF(Performance!$G$5:$G$404,AP68))</f>
        <v>0</v>
      </c>
      <c r="AR68" s="23">
        <f>IF(AP68="","",SUMIFS(Performance!$O$5:$O$404,Performance!$G$5:$G$404,AP68))</f>
        <v>0</v>
      </c>
      <c r="AS68" s="23">
        <f>IF(AP68="","",SUMIFS(Performance!$Z$5:$Z$404,Performance!$G$5:$G$404,AP68))</f>
        <v>0</v>
      </c>
      <c r="AT68" s="24">
        <f>IF(OR(AR68="",AR68=0),"",AS68/AR68)</f>
        <v>0</v>
      </c>
      <c r="AU68" s="32">
        <f>IF(AQ68=0,"",IF(AT68="","",AT68+ROW()/1000000))</f>
        <v>0</v>
      </c>
      <c r="AV68" s="17">
        <f>IF(ROW()-4&gt;7,"",TEXT(DATE(2024,1,ROW()-4),"ddd"))</f>
        <v>0</v>
      </c>
      <c r="AW68" s="23">
        <f>IF(AV68="","",COUNTIF(Performance!$N$5:$N$404,AV68))</f>
        <v>0</v>
      </c>
      <c r="AX68" s="23">
        <f>IF(AV68="","",SUMIFS(Performance!$O$5:$O$404,Performance!$N$5:$N$404,AV68))</f>
        <v>0</v>
      </c>
      <c r="AY68" s="23">
        <f>IF(AV68="","",SUMIFS(Performance!$Z$5:$Z$404,Performance!$N$5:$N$404,AV68))</f>
        <v>0</v>
      </c>
      <c r="AZ68" s="24">
        <f>IF(OR(AX68="",AX68=0),"",AY68/AX68)</f>
        <v>0</v>
      </c>
      <c r="BA68" s="32">
        <f>IF(AW68=0,"",IF(AZ68="","",AZ68+ROW()/1000000))</f>
        <v>0</v>
      </c>
      <c r="BB68" s="17">
        <f>IF(Lists!$AL68="","",Lists!$AL68)</f>
        <v>0</v>
      </c>
      <c r="BC68" s="23">
        <f>IF(BB68="","",COUNTIF(Performance!$M$5:$M$404,BB68))</f>
        <v>0</v>
      </c>
      <c r="BD68" s="23">
        <f>IF(BB68="","",SUMIFS(Performance!$O$5:$O$404,Performance!$M$5:$M$404,BB68))</f>
        <v>0</v>
      </c>
      <c r="BE68" s="23">
        <f>IF(BB68="","",SUMIFS(Performance!$Z$5:$Z$404,Performance!$M$5:$M$404,BB68))</f>
        <v>0</v>
      </c>
      <c r="BF68" s="24">
        <f>IF(OR(BD68="",BD68=0),"",BE68/BD68)</f>
        <v>0</v>
      </c>
      <c r="BG68" s="32">
        <f>IF(BC68=0,"",IF(BF68="","",BF68+ROW()/1000000))</f>
        <v>0</v>
      </c>
      <c r="BH68" s="17">
        <f>IF(Performance!$C$68="","",Performance!$C$68)</f>
        <v>0</v>
      </c>
      <c r="BI68" s="17">
        <f>IF(Performance!$F$68="","",Performance!$F$68)</f>
        <v>0</v>
      </c>
      <c r="BJ68" s="17">
        <f>IF(Performance!$H$68="","",Performance!$H$68)</f>
        <v>0</v>
      </c>
      <c r="BK68" s="16">
        <f>IF(Performance!$D$68="","",Performance!$D$68)</f>
        <v>0</v>
      </c>
      <c r="BL68" s="17">
        <f>IF(Performance!$E$68="","",Performance!$E$68)</f>
        <v>0</v>
      </c>
      <c r="BM68" s="23">
        <f>IF(Performance!$O$68="","",Performance!$O$68)</f>
        <v>0</v>
      </c>
      <c r="BN68" s="24">
        <f>IF(Performance!$AA$68="","",Performance!$AA$68)</f>
        <v>0</v>
      </c>
      <c r="BO68" s="32">
        <f>IF(BH68="","",IF(BK68="","",IF(OR(BK68&lt;DashStart,BK68&gt;DashEnd),"",IF(BN68="","",BN68+ROW()/1000000))))</f>
        <v>0</v>
      </c>
      <c r="BP68" s="32">
        <f>IF(BM68="","",IF(BK68="","",IF(OR(BK68&lt;DashStart,BK68&gt;DashEnd),"",BM68+ROW()/1000000)))</f>
        <v>0</v>
      </c>
      <c r="BQ68" s="32">
        <f>IF(BH68="","",IF(BK68="","",IF(YEAR(BK68)&lt;&gt;PlanYear,"",IF(BN68="","",BN68+ROW()/1000000))))</f>
        <v>0</v>
      </c>
      <c r="BR68" s="32">
        <f>IF(BH68="","",IF(BK68="","",IF(OR(BK68&lt;RepFrom,BK68&gt;RepTo),"",IF(BN68="","",BN68+ROW()/1000000))))</f>
        <v>0</v>
      </c>
      <c r="BS68" s="32">
        <f>IF(BM68="","",IF(BK68="","",IF(YEAR(BK68)&lt;&gt;PlanYear,"",BM68+ROW()/1000000)))</f>
        <v>0</v>
      </c>
      <c r="BT68" s="17">
        <f>IF(Lists!$F68="","",Lists!$F68)</f>
        <v>0</v>
      </c>
      <c r="BU68" s="23">
        <f>IF(BT68="","",COUNTIF('Content Calendar'!$X$5:$X$604,BT68))</f>
        <v>0</v>
      </c>
      <c r="BV68" s="23">
        <f>IF(BT68="","",COUNTIFS('Content Calendar'!$X$5:$X$604,BT68,'Content Calendar'!$B$5:$B$604,"&gt;="&amp;DashStart,'Content Calendar'!$B$5:$B$604,"&lt;="&amp;DashEnd))</f>
        <v>0</v>
      </c>
      <c r="BW68" s="17">
        <f>IF(Team!$B$68="","",Team!$B$68)</f>
        <v>0</v>
      </c>
      <c r="BX68" s="23">
        <f>IF(BW68="","",COUNTIF('Content Calendar'!$W$5:$W$604,BW68))</f>
        <v>0</v>
      </c>
      <c r="BY68" s="23">
        <f>IF(BW68="","",COUNTIFS('Content Calendar'!$W$5:$W$604,BW68,'Content Calendar'!$X$5:$X$604,"&lt;&gt;Published"))</f>
        <v>0</v>
      </c>
      <c r="BZ68" s="23">
        <f>IF(BW68="","",COUNTIFS(Tasks!$C$5:$C$64,BW68,Tasks!$G$5:$G$64,"&lt;&gt;Complete"))</f>
        <v>0</v>
      </c>
      <c r="CA68" s="17">
        <f>IF(Campaigns!$B$68="","",Campaigns!$B$68)</f>
        <v>0</v>
      </c>
      <c r="CB68" s="25">
        <f>IF(Campaigns!$T$68="","",Campaigns!$T$68)</f>
        <v>0</v>
      </c>
      <c r="CC68" s="25">
        <f>IF(Campaigns!$Q$68="","",Campaigns!$Q$68)</f>
        <v>0</v>
      </c>
      <c r="CD68" s="23">
        <f>IF(Campaigns!$Y$68="","",Campaigns!$Y$68)</f>
        <v>0</v>
      </c>
      <c r="CE68" s="32">
        <f>IF(CA68="","",IF(N(CB68)&lt;=0,"",N(CB68)+ROW()/1000000))</f>
        <v>0</v>
      </c>
      <c r="CF68" s="17">
        <f>IF(Accounts!$C$68="","",Accounts!$C$68)</f>
        <v>0</v>
      </c>
      <c r="CG68" s="17">
        <f>IF(Accounts!$B$68="","",Accounts!$B$68)</f>
        <v>0</v>
      </c>
      <c r="CH68" s="23">
        <f>IF(Accounts!$J$68="","",Accounts!$J$68)</f>
        <v>0</v>
      </c>
      <c r="CI68" s="23">
        <f>IF(CF68="","",SUMIFS(Analytics!$X$5:$X$154,Analytics!$E$5:$E$154,CF68,Analytics!$B$5:$B$154,"&gt;="&amp;DashStart,Analytics!$B$5:$B$154,"&lt;="&amp;DashEnd))</f>
        <v>0</v>
      </c>
      <c r="CJ68" s="32">
        <f>IF(CH68="","",IF(CH68=0,"",CH68+ROW()/1000000))</f>
        <v>0</v>
      </c>
    </row>
    <row r="69" spans="1:88">
      <c r="A69" s="16">
        <f>IF(ROW()-4&gt;12,"",DATE(PlanYear,ROW()-4,1))</f>
        <v>0</v>
      </c>
      <c r="B69" s="16">
        <f>IF(A69="","",EOMONTH(A69,0))</f>
        <v>0</v>
      </c>
      <c r="C69" s="17">
        <f>IF(A69="","",TEXT(A69,"yyyy-mm"))</f>
        <v>0</v>
      </c>
      <c r="D69" s="17">
        <f>IF(A69="","",TEXT(A69,"mmm"))</f>
        <v>0</v>
      </c>
      <c r="E69" s="23">
        <f>IF(C69="","",COUNTIFS('Content Calendar'!$D$5:$D$604,C69))</f>
        <v>0</v>
      </c>
      <c r="F69" s="23">
        <f>IF(C69="","",COUNTIFS('Content Calendar'!$D$5:$D$604,C69,'Content Calendar'!$X$5:$X$604,"Published"))</f>
        <v>0</v>
      </c>
      <c r="G69" s="23">
        <f>IF(C69="","",SUMIFS(Analytics!$J$5:$J$154,Analytics!$C$5:$C$154,C69))</f>
        <v>0</v>
      </c>
      <c r="H69" s="23">
        <f>IF(C69="","",SUMIFS(Analytics!$K$5:$K$154,Analytics!$C$5:$C$154,C69))</f>
        <v>0</v>
      </c>
      <c r="I69" s="23">
        <f>IF(C69="","",SUMIFS(Analytics!$L$5:$L$154,Analytics!$C$5:$C$154,C69))</f>
        <v>0</v>
      </c>
      <c r="J69" s="24">
        <f>IF(OR(G69="",G69=0),"",I69/G69)</f>
        <v>0</v>
      </c>
      <c r="K69" s="23">
        <f>IF(C69="","",SUMIFS(Analytics!$G$5:$G$154,Analytics!$C$5:$C$154,C69))</f>
        <v>0</v>
      </c>
      <c r="L69" s="23">
        <f>IF(C69="","",SUMIFS(Analytics!$X$5:$X$154,Analytics!$C$5:$C$154,C69))</f>
        <v>0</v>
      </c>
      <c r="M69" s="23">
        <f>IF(C69="","",SUMIFS(Analytics!$R$5:$R$154,Analytics!$C$5:$C$154,C69))</f>
        <v>0</v>
      </c>
      <c r="N69" s="23">
        <f>IF(C69="","",SUMIFS(Analytics!$S$5:$S$154,Analytics!$C$5:$C$154,C69))</f>
        <v>0</v>
      </c>
      <c r="O69" s="23">
        <f>IF(C69="","",SUMIFS(Analytics!$T$5:$T$154,Analytics!$C$5:$C$154,C69))</f>
        <v>0</v>
      </c>
      <c r="P69" s="25">
        <f>IF(C69="","",SUMIFS(Analytics!$U$5:$U$154,Analytics!$C$5:$C$154,C69))</f>
        <v>0</v>
      </c>
      <c r="Q69" s="25">
        <f>IF(C69="","",SUMIFS(Budget!$H$5:$H$64,Budget!$C$5:$C$64,C69))</f>
        <v>0</v>
      </c>
      <c r="R69" s="25">
        <f>IF(C69="","",P69-Q69)</f>
        <v>0</v>
      </c>
      <c r="S69" s="23">
        <f>IF(C69="","",MonthlyPostTarget)</f>
        <v>0</v>
      </c>
      <c r="T69" s="17">
        <f>IF(Lists!$C69="","",Lists!$C69)</f>
        <v>0</v>
      </c>
      <c r="U69" s="23">
        <f>IF(T69="","",COUNTIFS('Content Calendar'!$G$5:$G$604,T69,'Content Calendar'!$B$5:$B$604,"&gt;="&amp;DashStart,'Content Calendar'!$B$5:$B$604,"&lt;="&amp;DashEnd))</f>
        <v>0</v>
      </c>
      <c r="V69" s="23">
        <f>IF(T69="","",COUNTIFS('Content Calendar'!$G$5:$G$604,T69,'Content Calendar'!$X$5:$X$604,"Published",'Content Calendar'!$B$5:$B$604,"&gt;="&amp;DashStart,'Content Calendar'!$B$5:$B$604,"&lt;="&amp;DashEnd))</f>
        <v>0</v>
      </c>
      <c r="W69" s="23">
        <f>IF(T69="","",SUMIFS(Analytics!$J$5:$J$154,Analytics!$D$5:$D$154,T69,Analytics!$B$5:$B$154,"&gt;="&amp;DashStart,Analytics!$B$5:$B$154,"&lt;="&amp;DashEnd))</f>
        <v>0</v>
      </c>
      <c r="X69" s="23">
        <f>IF(T69="","",SUMIFS(Analytics!$L$5:$L$154,Analytics!$D$5:$D$154,T69,Analytics!$B$5:$B$154,"&gt;="&amp;DashStart,Analytics!$B$5:$B$154,"&lt;="&amp;DashEnd))</f>
        <v>0</v>
      </c>
      <c r="Y69" s="24">
        <f>IF(OR(W69="",W69=0),"",X69/W69)</f>
        <v>0</v>
      </c>
      <c r="Z69" s="23">
        <f>IF(T69="","",SUMIFS(Analytics!$G$5:$G$154,Analytics!$D$5:$D$154,T69,Analytics!$B$5:$B$154,"&gt;="&amp;DashStart,Analytics!$B$5:$B$154,"&lt;="&amp;DashEnd))</f>
        <v>0</v>
      </c>
      <c r="AA69" s="23">
        <f>IF(T69="","",SUMIFS(Analytics!$X$5:$X$154,Analytics!$D$5:$D$154,T69,Analytics!$B$5:$B$154,"&gt;="&amp;DashStart,Analytics!$B$5:$B$154,"&lt;="&amp;DashEnd))</f>
        <v>0</v>
      </c>
      <c r="AB69" s="23">
        <f>IF(T69="","",SUMIFS(Analytics!$R$5:$R$154,Analytics!$D$5:$D$154,T69,Analytics!$B$5:$B$154,"&gt;="&amp;DashStart,Analytics!$B$5:$B$154,"&lt;="&amp;DashEnd))</f>
        <v>0</v>
      </c>
      <c r="AC69" s="25">
        <f>IF(T69="","",SUMIFS(Analytics!$U$5:$U$154,Analytics!$D$5:$D$154,T69,Analytics!$B$5:$B$154,"&gt;="&amp;DashStart,Analytics!$B$5:$B$154,"&lt;="&amp;DashEnd))</f>
        <v>0</v>
      </c>
      <c r="AD69" s="23">
        <f>IF(T69="","",COUNTIFS('Content Calendar'!$G$5:$G$604,T69,'Content Calendar'!$B$5:$B$604,"&gt;="&amp;DATE(PlanYear,1,1),'Content Calendar'!$B$5:$B$604,"&lt;="&amp;DATE(PlanYear,12,31)))</f>
        <v>0</v>
      </c>
      <c r="AE69" s="23">
        <f>IF(T69="","",SUMIFS(Analytics!$J$5:$J$154,Analytics!$D$5:$D$154,T69))</f>
        <v>0</v>
      </c>
      <c r="AF69" s="23">
        <f>IF(T69="","",SUMIFS(Analytics!$L$5:$L$154,Analytics!$D$5:$D$154,T69))</f>
        <v>0</v>
      </c>
      <c r="AG69" s="24">
        <f>IF(OR(AE69="",AE69=0),"",AF69/AE69)</f>
        <v>0</v>
      </c>
      <c r="AH69" s="23">
        <f>IF(T69="","",SUMIFS(Analytics!$X$5:$X$154,Analytics!$D$5:$D$154,T69))</f>
        <v>0</v>
      </c>
      <c r="AI69" s="32">
        <f>IF(T69="","",IF(AE69=0,"",AE69+ROW()/1000000))</f>
        <v>0</v>
      </c>
      <c r="AJ69" s="17">
        <f>IF('Content Pillars'!$B$69="","",'Content Pillars'!$B$69)</f>
        <v>0</v>
      </c>
      <c r="AK69" s="23">
        <f>IF(AJ69="","",COUNTIFS('Content Calendar'!$J$5:$J$604,AJ69,'Content Calendar'!$B$5:$B$604,"&gt;="&amp;DATE(PlanYear,1,1),'Content Calendar'!$B$5:$B$604,"&lt;="&amp;DATE(PlanYear,12,31)))</f>
        <v>0</v>
      </c>
      <c r="AL69" s="23">
        <f>IF(AJ69="","",SUMIFS(Performance!$O$5:$O$404,Performance!$H$5:$H$404,AJ69))</f>
        <v>0</v>
      </c>
      <c r="AM69" s="23">
        <f>IF(AJ69="","",SUMIFS(Performance!$Z$5:$Z$404,Performance!$H$5:$H$404,AJ69))</f>
        <v>0</v>
      </c>
      <c r="AN69" s="24">
        <f>IF(OR(AL69="",AL69=0),"",AM69/AL69)</f>
        <v>0</v>
      </c>
      <c r="AO69" s="32">
        <f>IF(AN69="","",AN69+ROW()/1000000)</f>
        <v>0</v>
      </c>
      <c r="AP69" s="17">
        <f>IF(Lists!$E69="","",Lists!$E69)</f>
        <v>0</v>
      </c>
      <c r="AQ69" s="23">
        <f>IF(AP69="","",COUNTIF(Performance!$G$5:$G$404,AP69))</f>
        <v>0</v>
      </c>
      <c r="AR69" s="23">
        <f>IF(AP69="","",SUMIFS(Performance!$O$5:$O$404,Performance!$G$5:$G$404,AP69))</f>
        <v>0</v>
      </c>
      <c r="AS69" s="23">
        <f>IF(AP69="","",SUMIFS(Performance!$Z$5:$Z$404,Performance!$G$5:$G$404,AP69))</f>
        <v>0</v>
      </c>
      <c r="AT69" s="24">
        <f>IF(OR(AR69="",AR69=0),"",AS69/AR69)</f>
        <v>0</v>
      </c>
      <c r="AU69" s="32">
        <f>IF(AQ69=0,"",IF(AT69="","",AT69+ROW()/1000000))</f>
        <v>0</v>
      </c>
      <c r="AV69" s="17">
        <f>IF(ROW()-4&gt;7,"",TEXT(DATE(2024,1,ROW()-4),"ddd"))</f>
        <v>0</v>
      </c>
      <c r="AW69" s="23">
        <f>IF(AV69="","",COUNTIF(Performance!$N$5:$N$404,AV69))</f>
        <v>0</v>
      </c>
      <c r="AX69" s="23">
        <f>IF(AV69="","",SUMIFS(Performance!$O$5:$O$404,Performance!$N$5:$N$404,AV69))</f>
        <v>0</v>
      </c>
      <c r="AY69" s="23">
        <f>IF(AV69="","",SUMIFS(Performance!$Z$5:$Z$404,Performance!$N$5:$N$404,AV69))</f>
        <v>0</v>
      </c>
      <c r="AZ69" s="24">
        <f>IF(OR(AX69="",AX69=0),"",AY69/AX69)</f>
        <v>0</v>
      </c>
      <c r="BA69" s="32">
        <f>IF(AW69=0,"",IF(AZ69="","",AZ69+ROW()/1000000))</f>
        <v>0</v>
      </c>
      <c r="BB69" s="17">
        <f>IF(Lists!$AL69="","",Lists!$AL69)</f>
        <v>0</v>
      </c>
      <c r="BC69" s="23">
        <f>IF(BB69="","",COUNTIF(Performance!$M$5:$M$404,BB69))</f>
        <v>0</v>
      </c>
      <c r="BD69" s="23">
        <f>IF(BB69="","",SUMIFS(Performance!$O$5:$O$404,Performance!$M$5:$M$404,BB69))</f>
        <v>0</v>
      </c>
      <c r="BE69" s="23">
        <f>IF(BB69="","",SUMIFS(Performance!$Z$5:$Z$404,Performance!$M$5:$M$404,BB69))</f>
        <v>0</v>
      </c>
      <c r="BF69" s="24">
        <f>IF(OR(BD69="",BD69=0),"",BE69/BD69)</f>
        <v>0</v>
      </c>
      <c r="BG69" s="32">
        <f>IF(BC69=0,"",IF(BF69="","",BF69+ROW()/1000000))</f>
        <v>0</v>
      </c>
      <c r="BH69" s="17">
        <f>IF(Performance!$C$69="","",Performance!$C$69)</f>
        <v>0</v>
      </c>
      <c r="BI69" s="17">
        <f>IF(Performance!$F$69="","",Performance!$F$69)</f>
        <v>0</v>
      </c>
      <c r="BJ69" s="17">
        <f>IF(Performance!$H$69="","",Performance!$H$69)</f>
        <v>0</v>
      </c>
      <c r="BK69" s="16">
        <f>IF(Performance!$D$69="","",Performance!$D$69)</f>
        <v>0</v>
      </c>
      <c r="BL69" s="17">
        <f>IF(Performance!$E$69="","",Performance!$E$69)</f>
        <v>0</v>
      </c>
      <c r="BM69" s="23">
        <f>IF(Performance!$O$69="","",Performance!$O$69)</f>
        <v>0</v>
      </c>
      <c r="BN69" s="24">
        <f>IF(Performance!$AA$69="","",Performance!$AA$69)</f>
        <v>0</v>
      </c>
      <c r="BO69" s="32">
        <f>IF(BH69="","",IF(BK69="","",IF(OR(BK69&lt;DashStart,BK69&gt;DashEnd),"",IF(BN69="","",BN69+ROW()/1000000))))</f>
        <v>0</v>
      </c>
      <c r="BP69" s="32">
        <f>IF(BM69="","",IF(BK69="","",IF(OR(BK69&lt;DashStart,BK69&gt;DashEnd),"",BM69+ROW()/1000000)))</f>
        <v>0</v>
      </c>
      <c r="BQ69" s="32">
        <f>IF(BH69="","",IF(BK69="","",IF(YEAR(BK69)&lt;&gt;PlanYear,"",IF(BN69="","",BN69+ROW()/1000000))))</f>
        <v>0</v>
      </c>
      <c r="BR69" s="32">
        <f>IF(BH69="","",IF(BK69="","",IF(OR(BK69&lt;RepFrom,BK69&gt;RepTo),"",IF(BN69="","",BN69+ROW()/1000000))))</f>
        <v>0</v>
      </c>
      <c r="BS69" s="32">
        <f>IF(BM69="","",IF(BK69="","",IF(YEAR(BK69)&lt;&gt;PlanYear,"",BM69+ROW()/1000000)))</f>
        <v>0</v>
      </c>
      <c r="BT69" s="17">
        <f>IF(Lists!$F69="","",Lists!$F69)</f>
        <v>0</v>
      </c>
      <c r="BU69" s="23">
        <f>IF(BT69="","",COUNTIF('Content Calendar'!$X$5:$X$604,BT69))</f>
        <v>0</v>
      </c>
      <c r="BV69" s="23">
        <f>IF(BT69="","",COUNTIFS('Content Calendar'!$X$5:$X$604,BT69,'Content Calendar'!$B$5:$B$604,"&gt;="&amp;DashStart,'Content Calendar'!$B$5:$B$604,"&lt;="&amp;DashEnd))</f>
        <v>0</v>
      </c>
      <c r="BW69" s="17">
        <f>IF(Team!$B$69="","",Team!$B$69)</f>
        <v>0</v>
      </c>
      <c r="BX69" s="23">
        <f>IF(BW69="","",COUNTIF('Content Calendar'!$W$5:$W$604,BW69))</f>
        <v>0</v>
      </c>
      <c r="BY69" s="23">
        <f>IF(BW69="","",COUNTIFS('Content Calendar'!$W$5:$W$604,BW69,'Content Calendar'!$X$5:$X$604,"&lt;&gt;Published"))</f>
        <v>0</v>
      </c>
      <c r="BZ69" s="23">
        <f>IF(BW69="","",COUNTIFS(Tasks!$C$5:$C$64,BW69,Tasks!$G$5:$G$64,"&lt;&gt;Complete"))</f>
        <v>0</v>
      </c>
      <c r="CA69" s="17">
        <f>IF(Campaigns!$B$69="","",Campaigns!$B$69)</f>
        <v>0</v>
      </c>
      <c r="CB69" s="25">
        <f>IF(Campaigns!$T$69="","",Campaigns!$T$69)</f>
        <v>0</v>
      </c>
      <c r="CC69" s="25">
        <f>IF(Campaigns!$Q$69="","",Campaigns!$Q$69)</f>
        <v>0</v>
      </c>
      <c r="CD69" s="23">
        <f>IF(Campaigns!$Y$69="","",Campaigns!$Y$69)</f>
        <v>0</v>
      </c>
      <c r="CE69" s="32">
        <f>IF(CA69="","",IF(N(CB69)&lt;=0,"",N(CB69)+ROW()/1000000))</f>
        <v>0</v>
      </c>
      <c r="CF69" s="17">
        <f>IF(Accounts!$C$69="","",Accounts!$C$69)</f>
        <v>0</v>
      </c>
      <c r="CG69" s="17">
        <f>IF(Accounts!$B$69="","",Accounts!$B$69)</f>
        <v>0</v>
      </c>
      <c r="CH69" s="23">
        <f>IF(Accounts!$J$69="","",Accounts!$J$69)</f>
        <v>0</v>
      </c>
      <c r="CI69" s="23">
        <f>IF(CF69="","",SUMIFS(Analytics!$X$5:$X$154,Analytics!$E$5:$E$154,CF69,Analytics!$B$5:$B$154,"&gt;="&amp;DashStart,Analytics!$B$5:$B$154,"&lt;="&amp;DashEnd))</f>
        <v>0</v>
      </c>
      <c r="CJ69" s="32">
        <f>IF(CH69="","",IF(CH69=0,"",CH69+ROW()/1000000))</f>
        <v>0</v>
      </c>
    </row>
    <row r="70" spans="1:88">
      <c r="A70" s="16">
        <f>IF(ROW()-4&gt;12,"",DATE(PlanYear,ROW()-4,1))</f>
        <v>0</v>
      </c>
      <c r="B70" s="16">
        <f>IF(A70="","",EOMONTH(A70,0))</f>
        <v>0</v>
      </c>
      <c r="C70" s="17">
        <f>IF(A70="","",TEXT(A70,"yyyy-mm"))</f>
        <v>0</v>
      </c>
      <c r="D70" s="17">
        <f>IF(A70="","",TEXT(A70,"mmm"))</f>
        <v>0</v>
      </c>
      <c r="E70" s="23">
        <f>IF(C70="","",COUNTIFS('Content Calendar'!$D$5:$D$604,C70))</f>
        <v>0</v>
      </c>
      <c r="F70" s="23">
        <f>IF(C70="","",COUNTIFS('Content Calendar'!$D$5:$D$604,C70,'Content Calendar'!$X$5:$X$604,"Published"))</f>
        <v>0</v>
      </c>
      <c r="G70" s="23">
        <f>IF(C70="","",SUMIFS(Analytics!$J$5:$J$154,Analytics!$C$5:$C$154,C70))</f>
        <v>0</v>
      </c>
      <c r="H70" s="23">
        <f>IF(C70="","",SUMIFS(Analytics!$K$5:$K$154,Analytics!$C$5:$C$154,C70))</f>
        <v>0</v>
      </c>
      <c r="I70" s="23">
        <f>IF(C70="","",SUMIFS(Analytics!$L$5:$L$154,Analytics!$C$5:$C$154,C70))</f>
        <v>0</v>
      </c>
      <c r="J70" s="24">
        <f>IF(OR(G70="",G70=0),"",I70/G70)</f>
        <v>0</v>
      </c>
      <c r="K70" s="23">
        <f>IF(C70="","",SUMIFS(Analytics!$G$5:$G$154,Analytics!$C$5:$C$154,C70))</f>
        <v>0</v>
      </c>
      <c r="L70" s="23">
        <f>IF(C70="","",SUMIFS(Analytics!$X$5:$X$154,Analytics!$C$5:$C$154,C70))</f>
        <v>0</v>
      </c>
      <c r="M70" s="23">
        <f>IF(C70="","",SUMIFS(Analytics!$R$5:$R$154,Analytics!$C$5:$C$154,C70))</f>
        <v>0</v>
      </c>
      <c r="N70" s="23">
        <f>IF(C70="","",SUMIFS(Analytics!$S$5:$S$154,Analytics!$C$5:$C$154,C70))</f>
        <v>0</v>
      </c>
      <c r="O70" s="23">
        <f>IF(C70="","",SUMIFS(Analytics!$T$5:$T$154,Analytics!$C$5:$C$154,C70))</f>
        <v>0</v>
      </c>
      <c r="P70" s="25">
        <f>IF(C70="","",SUMIFS(Analytics!$U$5:$U$154,Analytics!$C$5:$C$154,C70))</f>
        <v>0</v>
      </c>
      <c r="Q70" s="25">
        <f>IF(C70="","",SUMIFS(Budget!$H$5:$H$64,Budget!$C$5:$C$64,C70))</f>
        <v>0</v>
      </c>
      <c r="R70" s="25">
        <f>IF(C70="","",P70-Q70)</f>
        <v>0</v>
      </c>
      <c r="S70" s="23">
        <f>IF(C70="","",MonthlyPostTarget)</f>
        <v>0</v>
      </c>
      <c r="T70" s="17">
        <f>IF(Lists!$C70="","",Lists!$C70)</f>
        <v>0</v>
      </c>
      <c r="U70" s="23">
        <f>IF(T70="","",COUNTIFS('Content Calendar'!$G$5:$G$604,T70,'Content Calendar'!$B$5:$B$604,"&gt;="&amp;DashStart,'Content Calendar'!$B$5:$B$604,"&lt;="&amp;DashEnd))</f>
        <v>0</v>
      </c>
      <c r="V70" s="23">
        <f>IF(T70="","",COUNTIFS('Content Calendar'!$G$5:$G$604,T70,'Content Calendar'!$X$5:$X$604,"Published",'Content Calendar'!$B$5:$B$604,"&gt;="&amp;DashStart,'Content Calendar'!$B$5:$B$604,"&lt;="&amp;DashEnd))</f>
        <v>0</v>
      </c>
      <c r="W70" s="23">
        <f>IF(T70="","",SUMIFS(Analytics!$J$5:$J$154,Analytics!$D$5:$D$154,T70,Analytics!$B$5:$B$154,"&gt;="&amp;DashStart,Analytics!$B$5:$B$154,"&lt;="&amp;DashEnd))</f>
        <v>0</v>
      </c>
      <c r="X70" s="23">
        <f>IF(T70="","",SUMIFS(Analytics!$L$5:$L$154,Analytics!$D$5:$D$154,T70,Analytics!$B$5:$B$154,"&gt;="&amp;DashStart,Analytics!$B$5:$B$154,"&lt;="&amp;DashEnd))</f>
        <v>0</v>
      </c>
      <c r="Y70" s="24">
        <f>IF(OR(W70="",W70=0),"",X70/W70)</f>
        <v>0</v>
      </c>
      <c r="Z70" s="23">
        <f>IF(T70="","",SUMIFS(Analytics!$G$5:$G$154,Analytics!$D$5:$D$154,T70,Analytics!$B$5:$B$154,"&gt;="&amp;DashStart,Analytics!$B$5:$B$154,"&lt;="&amp;DashEnd))</f>
        <v>0</v>
      </c>
      <c r="AA70" s="23">
        <f>IF(T70="","",SUMIFS(Analytics!$X$5:$X$154,Analytics!$D$5:$D$154,T70,Analytics!$B$5:$B$154,"&gt;="&amp;DashStart,Analytics!$B$5:$B$154,"&lt;="&amp;DashEnd))</f>
        <v>0</v>
      </c>
      <c r="AB70" s="23">
        <f>IF(T70="","",SUMIFS(Analytics!$R$5:$R$154,Analytics!$D$5:$D$154,T70,Analytics!$B$5:$B$154,"&gt;="&amp;DashStart,Analytics!$B$5:$B$154,"&lt;="&amp;DashEnd))</f>
        <v>0</v>
      </c>
      <c r="AC70" s="25">
        <f>IF(T70="","",SUMIFS(Analytics!$U$5:$U$154,Analytics!$D$5:$D$154,T70,Analytics!$B$5:$B$154,"&gt;="&amp;DashStart,Analytics!$B$5:$B$154,"&lt;="&amp;DashEnd))</f>
        <v>0</v>
      </c>
      <c r="AD70" s="23">
        <f>IF(T70="","",COUNTIFS('Content Calendar'!$G$5:$G$604,T70,'Content Calendar'!$B$5:$B$604,"&gt;="&amp;DATE(PlanYear,1,1),'Content Calendar'!$B$5:$B$604,"&lt;="&amp;DATE(PlanYear,12,31)))</f>
        <v>0</v>
      </c>
      <c r="AE70" s="23">
        <f>IF(T70="","",SUMIFS(Analytics!$J$5:$J$154,Analytics!$D$5:$D$154,T70))</f>
        <v>0</v>
      </c>
      <c r="AF70" s="23">
        <f>IF(T70="","",SUMIFS(Analytics!$L$5:$L$154,Analytics!$D$5:$D$154,T70))</f>
        <v>0</v>
      </c>
      <c r="AG70" s="24">
        <f>IF(OR(AE70="",AE70=0),"",AF70/AE70)</f>
        <v>0</v>
      </c>
      <c r="AH70" s="23">
        <f>IF(T70="","",SUMIFS(Analytics!$X$5:$X$154,Analytics!$D$5:$D$154,T70))</f>
        <v>0</v>
      </c>
      <c r="AI70" s="32">
        <f>IF(T70="","",IF(AE70=0,"",AE70+ROW()/1000000))</f>
        <v>0</v>
      </c>
      <c r="AJ70" s="17">
        <f>IF('Content Pillars'!$B$70="","",'Content Pillars'!$B$70)</f>
        <v>0</v>
      </c>
      <c r="AK70" s="23">
        <f>IF(AJ70="","",COUNTIFS('Content Calendar'!$J$5:$J$604,AJ70,'Content Calendar'!$B$5:$B$604,"&gt;="&amp;DATE(PlanYear,1,1),'Content Calendar'!$B$5:$B$604,"&lt;="&amp;DATE(PlanYear,12,31)))</f>
        <v>0</v>
      </c>
      <c r="AL70" s="23">
        <f>IF(AJ70="","",SUMIFS(Performance!$O$5:$O$404,Performance!$H$5:$H$404,AJ70))</f>
        <v>0</v>
      </c>
      <c r="AM70" s="23">
        <f>IF(AJ70="","",SUMIFS(Performance!$Z$5:$Z$404,Performance!$H$5:$H$404,AJ70))</f>
        <v>0</v>
      </c>
      <c r="AN70" s="24">
        <f>IF(OR(AL70="",AL70=0),"",AM70/AL70)</f>
        <v>0</v>
      </c>
      <c r="AO70" s="32">
        <f>IF(AN70="","",AN70+ROW()/1000000)</f>
        <v>0</v>
      </c>
      <c r="AP70" s="17">
        <f>IF(Lists!$E70="","",Lists!$E70)</f>
        <v>0</v>
      </c>
      <c r="AQ70" s="23">
        <f>IF(AP70="","",COUNTIF(Performance!$G$5:$G$404,AP70))</f>
        <v>0</v>
      </c>
      <c r="AR70" s="23">
        <f>IF(AP70="","",SUMIFS(Performance!$O$5:$O$404,Performance!$G$5:$G$404,AP70))</f>
        <v>0</v>
      </c>
      <c r="AS70" s="23">
        <f>IF(AP70="","",SUMIFS(Performance!$Z$5:$Z$404,Performance!$G$5:$G$404,AP70))</f>
        <v>0</v>
      </c>
      <c r="AT70" s="24">
        <f>IF(OR(AR70="",AR70=0),"",AS70/AR70)</f>
        <v>0</v>
      </c>
      <c r="AU70" s="32">
        <f>IF(AQ70=0,"",IF(AT70="","",AT70+ROW()/1000000))</f>
        <v>0</v>
      </c>
      <c r="AV70" s="17">
        <f>IF(ROW()-4&gt;7,"",TEXT(DATE(2024,1,ROW()-4),"ddd"))</f>
        <v>0</v>
      </c>
      <c r="AW70" s="23">
        <f>IF(AV70="","",COUNTIF(Performance!$N$5:$N$404,AV70))</f>
        <v>0</v>
      </c>
      <c r="AX70" s="23">
        <f>IF(AV70="","",SUMIFS(Performance!$O$5:$O$404,Performance!$N$5:$N$404,AV70))</f>
        <v>0</v>
      </c>
      <c r="AY70" s="23">
        <f>IF(AV70="","",SUMIFS(Performance!$Z$5:$Z$404,Performance!$N$5:$N$404,AV70))</f>
        <v>0</v>
      </c>
      <c r="AZ70" s="24">
        <f>IF(OR(AX70="",AX70=0),"",AY70/AX70)</f>
        <v>0</v>
      </c>
      <c r="BA70" s="32">
        <f>IF(AW70=0,"",IF(AZ70="","",AZ70+ROW()/1000000))</f>
        <v>0</v>
      </c>
      <c r="BB70" s="17">
        <f>IF(Lists!$AL70="","",Lists!$AL70)</f>
        <v>0</v>
      </c>
      <c r="BC70" s="23">
        <f>IF(BB70="","",COUNTIF(Performance!$M$5:$M$404,BB70))</f>
        <v>0</v>
      </c>
      <c r="BD70" s="23">
        <f>IF(BB70="","",SUMIFS(Performance!$O$5:$O$404,Performance!$M$5:$M$404,BB70))</f>
        <v>0</v>
      </c>
      <c r="BE70" s="23">
        <f>IF(BB70="","",SUMIFS(Performance!$Z$5:$Z$404,Performance!$M$5:$M$404,BB70))</f>
        <v>0</v>
      </c>
      <c r="BF70" s="24">
        <f>IF(OR(BD70="",BD70=0),"",BE70/BD70)</f>
        <v>0</v>
      </c>
      <c r="BG70" s="32">
        <f>IF(BC70=0,"",IF(BF70="","",BF70+ROW()/1000000))</f>
        <v>0</v>
      </c>
      <c r="BH70" s="17">
        <f>IF(Performance!$C$70="","",Performance!$C$70)</f>
        <v>0</v>
      </c>
      <c r="BI70" s="17">
        <f>IF(Performance!$F$70="","",Performance!$F$70)</f>
        <v>0</v>
      </c>
      <c r="BJ70" s="17">
        <f>IF(Performance!$H$70="","",Performance!$H$70)</f>
        <v>0</v>
      </c>
      <c r="BK70" s="16">
        <f>IF(Performance!$D$70="","",Performance!$D$70)</f>
        <v>0</v>
      </c>
      <c r="BL70" s="17">
        <f>IF(Performance!$E$70="","",Performance!$E$70)</f>
        <v>0</v>
      </c>
      <c r="BM70" s="23">
        <f>IF(Performance!$O$70="","",Performance!$O$70)</f>
        <v>0</v>
      </c>
      <c r="BN70" s="24">
        <f>IF(Performance!$AA$70="","",Performance!$AA$70)</f>
        <v>0</v>
      </c>
      <c r="BO70" s="32">
        <f>IF(BH70="","",IF(BK70="","",IF(OR(BK70&lt;DashStart,BK70&gt;DashEnd),"",IF(BN70="","",BN70+ROW()/1000000))))</f>
        <v>0</v>
      </c>
      <c r="BP70" s="32">
        <f>IF(BM70="","",IF(BK70="","",IF(OR(BK70&lt;DashStart,BK70&gt;DashEnd),"",BM70+ROW()/1000000)))</f>
        <v>0</v>
      </c>
      <c r="BQ70" s="32">
        <f>IF(BH70="","",IF(BK70="","",IF(YEAR(BK70)&lt;&gt;PlanYear,"",IF(BN70="","",BN70+ROW()/1000000))))</f>
        <v>0</v>
      </c>
      <c r="BR70" s="32">
        <f>IF(BH70="","",IF(BK70="","",IF(OR(BK70&lt;RepFrom,BK70&gt;RepTo),"",IF(BN70="","",BN70+ROW()/1000000))))</f>
        <v>0</v>
      </c>
      <c r="BS70" s="32">
        <f>IF(BM70="","",IF(BK70="","",IF(YEAR(BK70)&lt;&gt;PlanYear,"",BM70+ROW()/1000000)))</f>
        <v>0</v>
      </c>
      <c r="BT70" s="17">
        <f>IF(Lists!$F70="","",Lists!$F70)</f>
        <v>0</v>
      </c>
      <c r="BU70" s="23">
        <f>IF(BT70="","",COUNTIF('Content Calendar'!$X$5:$X$604,BT70))</f>
        <v>0</v>
      </c>
      <c r="BV70" s="23">
        <f>IF(BT70="","",COUNTIFS('Content Calendar'!$X$5:$X$604,BT70,'Content Calendar'!$B$5:$B$604,"&gt;="&amp;DashStart,'Content Calendar'!$B$5:$B$604,"&lt;="&amp;DashEnd))</f>
        <v>0</v>
      </c>
      <c r="BW70" s="17">
        <f>IF(Team!$B$70="","",Team!$B$70)</f>
        <v>0</v>
      </c>
      <c r="BX70" s="23">
        <f>IF(BW70="","",COUNTIF('Content Calendar'!$W$5:$W$604,BW70))</f>
        <v>0</v>
      </c>
      <c r="BY70" s="23">
        <f>IF(BW70="","",COUNTIFS('Content Calendar'!$W$5:$W$604,BW70,'Content Calendar'!$X$5:$X$604,"&lt;&gt;Published"))</f>
        <v>0</v>
      </c>
      <c r="BZ70" s="23">
        <f>IF(BW70="","",COUNTIFS(Tasks!$C$5:$C$64,BW70,Tasks!$G$5:$G$64,"&lt;&gt;Complete"))</f>
        <v>0</v>
      </c>
      <c r="CA70" s="17">
        <f>IF(Campaigns!$B$70="","",Campaigns!$B$70)</f>
        <v>0</v>
      </c>
      <c r="CB70" s="25">
        <f>IF(Campaigns!$T$70="","",Campaigns!$T$70)</f>
        <v>0</v>
      </c>
      <c r="CC70" s="25">
        <f>IF(Campaigns!$Q$70="","",Campaigns!$Q$70)</f>
        <v>0</v>
      </c>
      <c r="CD70" s="23">
        <f>IF(Campaigns!$Y$70="","",Campaigns!$Y$70)</f>
        <v>0</v>
      </c>
      <c r="CE70" s="32">
        <f>IF(CA70="","",IF(N(CB70)&lt;=0,"",N(CB70)+ROW()/1000000))</f>
        <v>0</v>
      </c>
      <c r="CF70" s="17">
        <f>IF(Accounts!$C$70="","",Accounts!$C$70)</f>
        <v>0</v>
      </c>
      <c r="CG70" s="17">
        <f>IF(Accounts!$B$70="","",Accounts!$B$70)</f>
        <v>0</v>
      </c>
      <c r="CH70" s="23">
        <f>IF(Accounts!$J$70="","",Accounts!$J$70)</f>
        <v>0</v>
      </c>
      <c r="CI70" s="23">
        <f>IF(CF70="","",SUMIFS(Analytics!$X$5:$X$154,Analytics!$E$5:$E$154,CF70,Analytics!$B$5:$B$154,"&gt;="&amp;DashStart,Analytics!$B$5:$B$154,"&lt;="&amp;DashEnd))</f>
        <v>0</v>
      </c>
      <c r="CJ70" s="32">
        <f>IF(CH70="","",IF(CH70=0,"",CH70+ROW()/1000000))</f>
        <v>0</v>
      </c>
    </row>
    <row r="71" spans="1:88">
      <c r="A71" s="16">
        <f>IF(ROW()-4&gt;12,"",DATE(PlanYear,ROW()-4,1))</f>
        <v>0</v>
      </c>
      <c r="B71" s="16">
        <f>IF(A71="","",EOMONTH(A71,0))</f>
        <v>0</v>
      </c>
      <c r="C71" s="17">
        <f>IF(A71="","",TEXT(A71,"yyyy-mm"))</f>
        <v>0</v>
      </c>
      <c r="D71" s="17">
        <f>IF(A71="","",TEXT(A71,"mmm"))</f>
        <v>0</v>
      </c>
      <c r="E71" s="23">
        <f>IF(C71="","",COUNTIFS('Content Calendar'!$D$5:$D$604,C71))</f>
        <v>0</v>
      </c>
      <c r="F71" s="23">
        <f>IF(C71="","",COUNTIFS('Content Calendar'!$D$5:$D$604,C71,'Content Calendar'!$X$5:$X$604,"Published"))</f>
        <v>0</v>
      </c>
      <c r="G71" s="23">
        <f>IF(C71="","",SUMIFS(Analytics!$J$5:$J$154,Analytics!$C$5:$C$154,C71))</f>
        <v>0</v>
      </c>
      <c r="H71" s="23">
        <f>IF(C71="","",SUMIFS(Analytics!$K$5:$K$154,Analytics!$C$5:$C$154,C71))</f>
        <v>0</v>
      </c>
      <c r="I71" s="23">
        <f>IF(C71="","",SUMIFS(Analytics!$L$5:$L$154,Analytics!$C$5:$C$154,C71))</f>
        <v>0</v>
      </c>
      <c r="J71" s="24">
        <f>IF(OR(G71="",G71=0),"",I71/G71)</f>
        <v>0</v>
      </c>
      <c r="K71" s="23">
        <f>IF(C71="","",SUMIFS(Analytics!$G$5:$G$154,Analytics!$C$5:$C$154,C71))</f>
        <v>0</v>
      </c>
      <c r="L71" s="23">
        <f>IF(C71="","",SUMIFS(Analytics!$X$5:$X$154,Analytics!$C$5:$C$154,C71))</f>
        <v>0</v>
      </c>
      <c r="M71" s="23">
        <f>IF(C71="","",SUMIFS(Analytics!$R$5:$R$154,Analytics!$C$5:$C$154,C71))</f>
        <v>0</v>
      </c>
      <c r="N71" s="23">
        <f>IF(C71="","",SUMIFS(Analytics!$S$5:$S$154,Analytics!$C$5:$C$154,C71))</f>
        <v>0</v>
      </c>
      <c r="O71" s="23">
        <f>IF(C71="","",SUMIFS(Analytics!$T$5:$T$154,Analytics!$C$5:$C$154,C71))</f>
        <v>0</v>
      </c>
      <c r="P71" s="25">
        <f>IF(C71="","",SUMIFS(Analytics!$U$5:$U$154,Analytics!$C$5:$C$154,C71))</f>
        <v>0</v>
      </c>
      <c r="Q71" s="25">
        <f>IF(C71="","",SUMIFS(Budget!$H$5:$H$64,Budget!$C$5:$C$64,C71))</f>
        <v>0</v>
      </c>
      <c r="R71" s="25">
        <f>IF(C71="","",P71-Q71)</f>
        <v>0</v>
      </c>
      <c r="S71" s="23">
        <f>IF(C71="","",MonthlyPostTarget)</f>
        <v>0</v>
      </c>
      <c r="T71" s="17">
        <f>IF(Lists!$C71="","",Lists!$C71)</f>
        <v>0</v>
      </c>
      <c r="U71" s="23">
        <f>IF(T71="","",COUNTIFS('Content Calendar'!$G$5:$G$604,T71,'Content Calendar'!$B$5:$B$604,"&gt;="&amp;DashStart,'Content Calendar'!$B$5:$B$604,"&lt;="&amp;DashEnd))</f>
        <v>0</v>
      </c>
      <c r="V71" s="23">
        <f>IF(T71="","",COUNTIFS('Content Calendar'!$G$5:$G$604,T71,'Content Calendar'!$X$5:$X$604,"Published",'Content Calendar'!$B$5:$B$604,"&gt;="&amp;DashStart,'Content Calendar'!$B$5:$B$604,"&lt;="&amp;DashEnd))</f>
        <v>0</v>
      </c>
      <c r="W71" s="23">
        <f>IF(T71="","",SUMIFS(Analytics!$J$5:$J$154,Analytics!$D$5:$D$154,T71,Analytics!$B$5:$B$154,"&gt;="&amp;DashStart,Analytics!$B$5:$B$154,"&lt;="&amp;DashEnd))</f>
        <v>0</v>
      </c>
      <c r="X71" s="23">
        <f>IF(T71="","",SUMIFS(Analytics!$L$5:$L$154,Analytics!$D$5:$D$154,T71,Analytics!$B$5:$B$154,"&gt;="&amp;DashStart,Analytics!$B$5:$B$154,"&lt;="&amp;DashEnd))</f>
        <v>0</v>
      </c>
      <c r="Y71" s="24">
        <f>IF(OR(W71="",W71=0),"",X71/W71)</f>
        <v>0</v>
      </c>
      <c r="Z71" s="23">
        <f>IF(T71="","",SUMIFS(Analytics!$G$5:$G$154,Analytics!$D$5:$D$154,T71,Analytics!$B$5:$B$154,"&gt;="&amp;DashStart,Analytics!$B$5:$B$154,"&lt;="&amp;DashEnd))</f>
        <v>0</v>
      </c>
      <c r="AA71" s="23">
        <f>IF(T71="","",SUMIFS(Analytics!$X$5:$X$154,Analytics!$D$5:$D$154,T71,Analytics!$B$5:$B$154,"&gt;="&amp;DashStart,Analytics!$B$5:$B$154,"&lt;="&amp;DashEnd))</f>
        <v>0</v>
      </c>
      <c r="AB71" s="23">
        <f>IF(T71="","",SUMIFS(Analytics!$R$5:$R$154,Analytics!$D$5:$D$154,T71,Analytics!$B$5:$B$154,"&gt;="&amp;DashStart,Analytics!$B$5:$B$154,"&lt;="&amp;DashEnd))</f>
        <v>0</v>
      </c>
      <c r="AC71" s="25">
        <f>IF(T71="","",SUMIFS(Analytics!$U$5:$U$154,Analytics!$D$5:$D$154,T71,Analytics!$B$5:$B$154,"&gt;="&amp;DashStart,Analytics!$B$5:$B$154,"&lt;="&amp;DashEnd))</f>
        <v>0</v>
      </c>
      <c r="AD71" s="23">
        <f>IF(T71="","",COUNTIFS('Content Calendar'!$G$5:$G$604,T71,'Content Calendar'!$B$5:$B$604,"&gt;="&amp;DATE(PlanYear,1,1),'Content Calendar'!$B$5:$B$604,"&lt;="&amp;DATE(PlanYear,12,31)))</f>
        <v>0</v>
      </c>
      <c r="AE71" s="23">
        <f>IF(T71="","",SUMIFS(Analytics!$J$5:$J$154,Analytics!$D$5:$D$154,T71))</f>
        <v>0</v>
      </c>
      <c r="AF71" s="23">
        <f>IF(T71="","",SUMIFS(Analytics!$L$5:$L$154,Analytics!$D$5:$D$154,T71))</f>
        <v>0</v>
      </c>
      <c r="AG71" s="24">
        <f>IF(OR(AE71="",AE71=0),"",AF71/AE71)</f>
        <v>0</v>
      </c>
      <c r="AH71" s="23">
        <f>IF(T71="","",SUMIFS(Analytics!$X$5:$X$154,Analytics!$D$5:$D$154,T71))</f>
        <v>0</v>
      </c>
      <c r="AI71" s="32">
        <f>IF(T71="","",IF(AE71=0,"",AE71+ROW()/1000000))</f>
        <v>0</v>
      </c>
      <c r="AJ71" s="17">
        <f>IF('Content Pillars'!$B$71="","",'Content Pillars'!$B$71)</f>
        <v>0</v>
      </c>
      <c r="AK71" s="23">
        <f>IF(AJ71="","",COUNTIFS('Content Calendar'!$J$5:$J$604,AJ71,'Content Calendar'!$B$5:$B$604,"&gt;="&amp;DATE(PlanYear,1,1),'Content Calendar'!$B$5:$B$604,"&lt;="&amp;DATE(PlanYear,12,31)))</f>
        <v>0</v>
      </c>
      <c r="AL71" s="23">
        <f>IF(AJ71="","",SUMIFS(Performance!$O$5:$O$404,Performance!$H$5:$H$404,AJ71))</f>
        <v>0</v>
      </c>
      <c r="AM71" s="23">
        <f>IF(AJ71="","",SUMIFS(Performance!$Z$5:$Z$404,Performance!$H$5:$H$404,AJ71))</f>
        <v>0</v>
      </c>
      <c r="AN71" s="24">
        <f>IF(OR(AL71="",AL71=0),"",AM71/AL71)</f>
        <v>0</v>
      </c>
      <c r="AO71" s="32">
        <f>IF(AN71="","",AN71+ROW()/1000000)</f>
        <v>0</v>
      </c>
      <c r="AP71" s="17">
        <f>IF(Lists!$E71="","",Lists!$E71)</f>
        <v>0</v>
      </c>
      <c r="AQ71" s="23">
        <f>IF(AP71="","",COUNTIF(Performance!$G$5:$G$404,AP71))</f>
        <v>0</v>
      </c>
      <c r="AR71" s="23">
        <f>IF(AP71="","",SUMIFS(Performance!$O$5:$O$404,Performance!$G$5:$G$404,AP71))</f>
        <v>0</v>
      </c>
      <c r="AS71" s="23">
        <f>IF(AP71="","",SUMIFS(Performance!$Z$5:$Z$404,Performance!$G$5:$G$404,AP71))</f>
        <v>0</v>
      </c>
      <c r="AT71" s="24">
        <f>IF(OR(AR71="",AR71=0),"",AS71/AR71)</f>
        <v>0</v>
      </c>
      <c r="AU71" s="32">
        <f>IF(AQ71=0,"",IF(AT71="","",AT71+ROW()/1000000))</f>
        <v>0</v>
      </c>
      <c r="AV71" s="17">
        <f>IF(ROW()-4&gt;7,"",TEXT(DATE(2024,1,ROW()-4),"ddd"))</f>
        <v>0</v>
      </c>
      <c r="AW71" s="23">
        <f>IF(AV71="","",COUNTIF(Performance!$N$5:$N$404,AV71))</f>
        <v>0</v>
      </c>
      <c r="AX71" s="23">
        <f>IF(AV71="","",SUMIFS(Performance!$O$5:$O$404,Performance!$N$5:$N$404,AV71))</f>
        <v>0</v>
      </c>
      <c r="AY71" s="23">
        <f>IF(AV71="","",SUMIFS(Performance!$Z$5:$Z$404,Performance!$N$5:$N$404,AV71))</f>
        <v>0</v>
      </c>
      <c r="AZ71" s="24">
        <f>IF(OR(AX71="",AX71=0),"",AY71/AX71)</f>
        <v>0</v>
      </c>
      <c r="BA71" s="32">
        <f>IF(AW71=0,"",IF(AZ71="","",AZ71+ROW()/1000000))</f>
        <v>0</v>
      </c>
      <c r="BB71" s="17">
        <f>IF(Lists!$AL71="","",Lists!$AL71)</f>
        <v>0</v>
      </c>
      <c r="BC71" s="23">
        <f>IF(BB71="","",COUNTIF(Performance!$M$5:$M$404,BB71))</f>
        <v>0</v>
      </c>
      <c r="BD71" s="23">
        <f>IF(BB71="","",SUMIFS(Performance!$O$5:$O$404,Performance!$M$5:$M$404,BB71))</f>
        <v>0</v>
      </c>
      <c r="BE71" s="23">
        <f>IF(BB71="","",SUMIFS(Performance!$Z$5:$Z$404,Performance!$M$5:$M$404,BB71))</f>
        <v>0</v>
      </c>
      <c r="BF71" s="24">
        <f>IF(OR(BD71="",BD71=0),"",BE71/BD71)</f>
        <v>0</v>
      </c>
      <c r="BG71" s="32">
        <f>IF(BC71=0,"",IF(BF71="","",BF71+ROW()/1000000))</f>
        <v>0</v>
      </c>
      <c r="BH71" s="17">
        <f>IF(Performance!$C$71="","",Performance!$C$71)</f>
        <v>0</v>
      </c>
      <c r="BI71" s="17">
        <f>IF(Performance!$F$71="","",Performance!$F$71)</f>
        <v>0</v>
      </c>
      <c r="BJ71" s="17">
        <f>IF(Performance!$H$71="","",Performance!$H$71)</f>
        <v>0</v>
      </c>
      <c r="BK71" s="16">
        <f>IF(Performance!$D$71="","",Performance!$D$71)</f>
        <v>0</v>
      </c>
      <c r="BL71" s="17">
        <f>IF(Performance!$E$71="","",Performance!$E$71)</f>
        <v>0</v>
      </c>
      <c r="BM71" s="23">
        <f>IF(Performance!$O$71="","",Performance!$O$71)</f>
        <v>0</v>
      </c>
      <c r="BN71" s="24">
        <f>IF(Performance!$AA$71="","",Performance!$AA$71)</f>
        <v>0</v>
      </c>
      <c r="BO71" s="32">
        <f>IF(BH71="","",IF(BK71="","",IF(OR(BK71&lt;DashStart,BK71&gt;DashEnd),"",IF(BN71="","",BN71+ROW()/1000000))))</f>
        <v>0</v>
      </c>
      <c r="BP71" s="32">
        <f>IF(BM71="","",IF(BK71="","",IF(OR(BK71&lt;DashStart,BK71&gt;DashEnd),"",BM71+ROW()/1000000)))</f>
        <v>0</v>
      </c>
      <c r="BQ71" s="32">
        <f>IF(BH71="","",IF(BK71="","",IF(YEAR(BK71)&lt;&gt;PlanYear,"",IF(BN71="","",BN71+ROW()/1000000))))</f>
        <v>0</v>
      </c>
      <c r="BR71" s="32">
        <f>IF(BH71="","",IF(BK71="","",IF(OR(BK71&lt;RepFrom,BK71&gt;RepTo),"",IF(BN71="","",BN71+ROW()/1000000))))</f>
        <v>0</v>
      </c>
      <c r="BS71" s="32">
        <f>IF(BM71="","",IF(BK71="","",IF(YEAR(BK71)&lt;&gt;PlanYear,"",BM71+ROW()/1000000)))</f>
        <v>0</v>
      </c>
      <c r="BT71" s="17">
        <f>IF(Lists!$F71="","",Lists!$F71)</f>
        <v>0</v>
      </c>
      <c r="BU71" s="23">
        <f>IF(BT71="","",COUNTIF('Content Calendar'!$X$5:$X$604,BT71))</f>
        <v>0</v>
      </c>
      <c r="BV71" s="23">
        <f>IF(BT71="","",COUNTIFS('Content Calendar'!$X$5:$X$604,BT71,'Content Calendar'!$B$5:$B$604,"&gt;="&amp;DashStart,'Content Calendar'!$B$5:$B$604,"&lt;="&amp;DashEnd))</f>
        <v>0</v>
      </c>
      <c r="BW71" s="17">
        <f>IF(Team!$B$71="","",Team!$B$71)</f>
        <v>0</v>
      </c>
      <c r="BX71" s="23">
        <f>IF(BW71="","",COUNTIF('Content Calendar'!$W$5:$W$604,BW71))</f>
        <v>0</v>
      </c>
      <c r="BY71" s="23">
        <f>IF(BW71="","",COUNTIFS('Content Calendar'!$W$5:$W$604,BW71,'Content Calendar'!$X$5:$X$604,"&lt;&gt;Published"))</f>
        <v>0</v>
      </c>
      <c r="BZ71" s="23">
        <f>IF(BW71="","",COUNTIFS(Tasks!$C$5:$C$64,BW71,Tasks!$G$5:$G$64,"&lt;&gt;Complete"))</f>
        <v>0</v>
      </c>
      <c r="CA71" s="17">
        <f>IF(Campaigns!$B$71="","",Campaigns!$B$71)</f>
        <v>0</v>
      </c>
      <c r="CB71" s="25">
        <f>IF(Campaigns!$T$71="","",Campaigns!$T$71)</f>
        <v>0</v>
      </c>
      <c r="CC71" s="25">
        <f>IF(Campaigns!$Q$71="","",Campaigns!$Q$71)</f>
        <v>0</v>
      </c>
      <c r="CD71" s="23">
        <f>IF(Campaigns!$Y$71="","",Campaigns!$Y$71)</f>
        <v>0</v>
      </c>
      <c r="CE71" s="32">
        <f>IF(CA71="","",IF(N(CB71)&lt;=0,"",N(CB71)+ROW()/1000000))</f>
        <v>0</v>
      </c>
      <c r="CF71" s="17">
        <f>IF(Accounts!$C$71="","",Accounts!$C$71)</f>
        <v>0</v>
      </c>
      <c r="CG71" s="17">
        <f>IF(Accounts!$B$71="","",Accounts!$B$71)</f>
        <v>0</v>
      </c>
      <c r="CH71" s="23">
        <f>IF(Accounts!$J$71="","",Accounts!$J$71)</f>
        <v>0</v>
      </c>
      <c r="CI71" s="23">
        <f>IF(CF71="","",SUMIFS(Analytics!$X$5:$X$154,Analytics!$E$5:$E$154,CF71,Analytics!$B$5:$B$154,"&gt;="&amp;DashStart,Analytics!$B$5:$B$154,"&lt;="&amp;DashEnd))</f>
        <v>0</v>
      </c>
      <c r="CJ71" s="32">
        <f>IF(CH71="","",IF(CH71=0,"",CH71+ROW()/1000000))</f>
        <v>0</v>
      </c>
    </row>
    <row r="72" spans="1:88">
      <c r="A72" s="16">
        <f>IF(ROW()-4&gt;12,"",DATE(PlanYear,ROW()-4,1))</f>
        <v>0</v>
      </c>
      <c r="B72" s="16">
        <f>IF(A72="","",EOMONTH(A72,0))</f>
        <v>0</v>
      </c>
      <c r="C72" s="17">
        <f>IF(A72="","",TEXT(A72,"yyyy-mm"))</f>
        <v>0</v>
      </c>
      <c r="D72" s="17">
        <f>IF(A72="","",TEXT(A72,"mmm"))</f>
        <v>0</v>
      </c>
      <c r="E72" s="23">
        <f>IF(C72="","",COUNTIFS('Content Calendar'!$D$5:$D$604,C72))</f>
        <v>0</v>
      </c>
      <c r="F72" s="23">
        <f>IF(C72="","",COUNTIFS('Content Calendar'!$D$5:$D$604,C72,'Content Calendar'!$X$5:$X$604,"Published"))</f>
        <v>0</v>
      </c>
      <c r="G72" s="23">
        <f>IF(C72="","",SUMIFS(Analytics!$J$5:$J$154,Analytics!$C$5:$C$154,C72))</f>
        <v>0</v>
      </c>
      <c r="H72" s="23">
        <f>IF(C72="","",SUMIFS(Analytics!$K$5:$K$154,Analytics!$C$5:$C$154,C72))</f>
        <v>0</v>
      </c>
      <c r="I72" s="23">
        <f>IF(C72="","",SUMIFS(Analytics!$L$5:$L$154,Analytics!$C$5:$C$154,C72))</f>
        <v>0</v>
      </c>
      <c r="J72" s="24">
        <f>IF(OR(G72="",G72=0),"",I72/G72)</f>
        <v>0</v>
      </c>
      <c r="K72" s="23">
        <f>IF(C72="","",SUMIFS(Analytics!$G$5:$G$154,Analytics!$C$5:$C$154,C72))</f>
        <v>0</v>
      </c>
      <c r="L72" s="23">
        <f>IF(C72="","",SUMIFS(Analytics!$X$5:$X$154,Analytics!$C$5:$C$154,C72))</f>
        <v>0</v>
      </c>
      <c r="M72" s="23">
        <f>IF(C72="","",SUMIFS(Analytics!$R$5:$R$154,Analytics!$C$5:$C$154,C72))</f>
        <v>0</v>
      </c>
      <c r="N72" s="23">
        <f>IF(C72="","",SUMIFS(Analytics!$S$5:$S$154,Analytics!$C$5:$C$154,C72))</f>
        <v>0</v>
      </c>
      <c r="O72" s="23">
        <f>IF(C72="","",SUMIFS(Analytics!$T$5:$T$154,Analytics!$C$5:$C$154,C72))</f>
        <v>0</v>
      </c>
      <c r="P72" s="25">
        <f>IF(C72="","",SUMIFS(Analytics!$U$5:$U$154,Analytics!$C$5:$C$154,C72))</f>
        <v>0</v>
      </c>
      <c r="Q72" s="25">
        <f>IF(C72="","",SUMIFS(Budget!$H$5:$H$64,Budget!$C$5:$C$64,C72))</f>
        <v>0</v>
      </c>
      <c r="R72" s="25">
        <f>IF(C72="","",P72-Q72)</f>
        <v>0</v>
      </c>
      <c r="S72" s="23">
        <f>IF(C72="","",MonthlyPostTarget)</f>
        <v>0</v>
      </c>
      <c r="T72" s="17">
        <f>IF(Lists!$C72="","",Lists!$C72)</f>
        <v>0</v>
      </c>
      <c r="U72" s="23">
        <f>IF(T72="","",COUNTIFS('Content Calendar'!$G$5:$G$604,T72,'Content Calendar'!$B$5:$B$604,"&gt;="&amp;DashStart,'Content Calendar'!$B$5:$B$604,"&lt;="&amp;DashEnd))</f>
        <v>0</v>
      </c>
      <c r="V72" s="23">
        <f>IF(T72="","",COUNTIFS('Content Calendar'!$G$5:$G$604,T72,'Content Calendar'!$X$5:$X$604,"Published",'Content Calendar'!$B$5:$B$604,"&gt;="&amp;DashStart,'Content Calendar'!$B$5:$B$604,"&lt;="&amp;DashEnd))</f>
        <v>0</v>
      </c>
      <c r="W72" s="23">
        <f>IF(T72="","",SUMIFS(Analytics!$J$5:$J$154,Analytics!$D$5:$D$154,T72,Analytics!$B$5:$B$154,"&gt;="&amp;DashStart,Analytics!$B$5:$B$154,"&lt;="&amp;DashEnd))</f>
        <v>0</v>
      </c>
      <c r="X72" s="23">
        <f>IF(T72="","",SUMIFS(Analytics!$L$5:$L$154,Analytics!$D$5:$D$154,T72,Analytics!$B$5:$B$154,"&gt;="&amp;DashStart,Analytics!$B$5:$B$154,"&lt;="&amp;DashEnd))</f>
        <v>0</v>
      </c>
      <c r="Y72" s="24">
        <f>IF(OR(W72="",W72=0),"",X72/W72)</f>
        <v>0</v>
      </c>
      <c r="Z72" s="23">
        <f>IF(T72="","",SUMIFS(Analytics!$G$5:$G$154,Analytics!$D$5:$D$154,T72,Analytics!$B$5:$B$154,"&gt;="&amp;DashStart,Analytics!$B$5:$B$154,"&lt;="&amp;DashEnd))</f>
        <v>0</v>
      </c>
      <c r="AA72" s="23">
        <f>IF(T72="","",SUMIFS(Analytics!$X$5:$X$154,Analytics!$D$5:$D$154,T72,Analytics!$B$5:$B$154,"&gt;="&amp;DashStart,Analytics!$B$5:$B$154,"&lt;="&amp;DashEnd))</f>
        <v>0</v>
      </c>
      <c r="AB72" s="23">
        <f>IF(T72="","",SUMIFS(Analytics!$R$5:$R$154,Analytics!$D$5:$D$154,T72,Analytics!$B$5:$B$154,"&gt;="&amp;DashStart,Analytics!$B$5:$B$154,"&lt;="&amp;DashEnd))</f>
        <v>0</v>
      </c>
      <c r="AC72" s="25">
        <f>IF(T72="","",SUMIFS(Analytics!$U$5:$U$154,Analytics!$D$5:$D$154,T72,Analytics!$B$5:$B$154,"&gt;="&amp;DashStart,Analytics!$B$5:$B$154,"&lt;="&amp;DashEnd))</f>
        <v>0</v>
      </c>
      <c r="AD72" s="23">
        <f>IF(T72="","",COUNTIFS('Content Calendar'!$G$5:$G$604,T72,'Content Calendar'!$B$5:$B$604,"&gt;="&amp;DATE(PlanYear,1,1),'Content Calendar'!$B$5:$B$604,"&lt;="&amp;DATE(PlanYear,12,31)))</f>
        <v>0</v>
      </c>
      <c r="AE72" s="23">
        <f>IF(T72="","",SUMIFS(Analytics!$J$5:$J$154,Analytics!$D$5:$D$154,T72))</f>
        <v>0</v>
      </c>
      <c r="AF72" s="23">
        <f>IF(T72="","",SUMIFS(Analytics!$L$5:$L$154,Analytics!$D$5:$D$154,T72))</f>
        <v>0</v>
      </c>
      <c r="AG72" s="24">
        <f>IF(OR(AE72="",AE72=0),"",AF72/AE72)</f>
        <v>0</v>
      </c>
      <c r="AH72" s="23">
        <f>IF(T72="","",SUMIFS(Analytics!$X$5:$X$154,Analytics!$D$5:$D$154,T72))</f>
        <v>0</v>
      </c>
      <c r="AI72" s="32">
        <f>IF(T72="","",IF(AE72=0,"",AE72+ROW()/1000000))</f>
        <v>0</v>
      </c>
      <c r="AJ72" s="17">
        <f>IF('Content Pillars'!$B$72="","",'Content Pillars'!$B$72)</f>
        <v>0</v>
      </c>
      <c r="AK72" s="23">
        <f>IF(AJ72="","",COUNTIFS('Content Calendar'!$J$5:$J$604,AJ72,'Content Calendar'!$B$5:$B$604,"&gt;="&amp;DATE(PlanYear,1,1),'Content Calendar'!$B$5:$B$604,"&lt;="&amp;DATE(PlanYear,12,31)))</f>
        <v>0</v>
      </c>
      <c r="AL72" s="23">
        <f>IF(AJ72="","",SUMIFS(Performance!$O$5:$O$404,Performance!$H$5:$H$404,AJ72))</f>
        <v>0</v>
      </c>
      <c r="AM72" s="23">
        <f>IF(AJ72="","",SUMIFS(Performance!$Z$5:$Z$404,Performance!$H$5:$H$404,AJ72))</f>
        <v>0</v>
      </c>
      <c r="AN72" s="24">
        <f>IF(OR(AL72="",AL72=0),"",AM72/AL72)</f>
        <v>0</v>
      </c>
      <c r="AO72" s="32">
        <f>IF(AN72="","",AN72+ROW()/1000000)</f>
        <v>0</v>
      </c>
      <c r="AP72" s="17">
        <f>IF(Lists!$E72="","",Lists!$E72)</f>
        <v>0</v>
      </c>
      <c r="AQ72" s="23">
        <f>IF(AP72="","",COUNTIF(Performance!$G$5:$G$404,AP72))</f>
        <v>0</v>
      </c>
      <c r="AR72" s="23">
        <f>IF(AP72="","",SUMIFS(Performance!$O$5:$O$404,Performance!$G$5:$G$404,AP72))</f>
        <v>0</v>
      </c>
      <c r="AS72" s="23">
        <f>IF(AP72="","",SUMIFS(Performance!$Z$5:$Z$404,Performance!$G$5:$G$404,AP72))</f>
        <v>0</v>
      </c>
      <c r="AT72" s="24">
        <f>IF(OR(AR72="",AR72=0),"",AS72/AR72)</f>
        <v>0</v>
      </c>
      <c r="AU72" s="32">
        <f>IF(AQ72=0,"",IF(AT72="","",AT72+ROW()/1000000))</f>
        <v>0</v>
      </c>
      <c r="AV72" s="17">
        <f>IF(ROW()-4&gt;7,"",TEXT(DATE(2024,1,ROW()-4),"ddd"))</f>
        <v>0</v>
      </c>
      <c r="AW72" s="23">
        <f>IF(AV72="","",COUNTIF(Performance!$N$5:$N$404,AV72))</f>
        <v>0</v>
      </c>
      <c r="AX72" s="23">
        <f>IF(AV72="","",SUMIFS(Performance!$O$5:$O$404,Performance!$N$5:$N$404,AV72))</f>
        <v>0</v>
      </c>
      <c r="AY72" s="23">
        <f>IF(AV72="","",SUMIFS(Performance!$Z$5:$Z$404,Performance!$N$5:$N$404,AV72))</f>
        <v>0</v>
      </c>
      <c r="AZ72" s="24">
        <f>IF(OR(AX72="",AX72=0),"",AY72/AX72)</f>
        <v>0</v>
      </c>
      <c r="BA72" s="32">
        <f>IF(AW72=0,"",IF(AZ72="","",AZ72+ROW()/1000000))</f>
        <v>0</v>
      </c>
      <c r="BB72" s="17">
        <f>IF(Lists!$AL72="","",Lists!$AL72)</f>
        <v>0</v>
      </c>
      <c r="BC72" s="23">
        <f>IF(BB72="","",COUNTIF(Performance!$M$5:$M$404,BB72))</f>
        <v>0</v>
      </c>
      <c r="BD72" s="23">
        <f>IF(BB72="","",SUMIFS(Performance!$O$5:$O$404,Performance!$M$5:$M$404,BB72))</f>
        <v>0</v>
      </c>
      <c r="BE72" s="23">
        <f>IF(BB72="","",SUMIFS(Performance!$Z$5:$Z$404,Performance!$M$5:$M$404,BB72))</f>
        <v>0</v>
      </c>
      <c r="BF72" s="24">
        <f>IF(OR(BD72="",BD72=0),"",BE72/BD72)</f>
        <v>0</v>
      </c>
      <c r="BG72" s="32">
        <f>IF(BC72=0,"",IF(BF72="","",BF72+ROW()/1000000))</f>
        <v>0</v>
      </c>
      <c r="BH72" s="17">
        <f>IF(Performance!$C$72="","",Performance!$C$72)</f>
        <v>0</v>
      </c>
      <c r="BI72" s="17">
        <f>IF(Performance!$F$72="","",Performance!$F$72)</f>
        <v>0</v>
      </c>
      <c r="BJ72" s="17">
        <f>IF(Performance!$H$72="","",Performance!$H$72)</f>
        <v>0</v>
      </c>
      <c r="BK72" s="16">
        <f>IF(Performance!$D$72="","",Performance!$D$72)</f>
        <v>0</v>
      </c>
      <c r="BL72" s="17">
        <f>IF(Performance!$E$72="","",Performance!$E$72)</f>
        <v>0</v>
      </c>
      <c r="BM72" s="23">
        <f>IF(Performance!$O$72="","",Performance!$O$72)</f>
        <v>0</v>
      </c>
      <c r="BN72" s="24">
        <f>IF(Performance!$AA$72="","",Performance!$AA$72)</f>
        <v>0</v>
      </c>
      <c r="BO72" s="32">
        <f>IF(BH72="","",IF(BK72="","",IF(OR(BK72&lt;DashStart,BK72&gt;DashEnd),"",IF(BN72="","",BN72+ROW()/1000000))))</f>
        <v>0</v>
      </c>
      <c r="BP72" s="32">
        <f>IF(BM72="","",IF(BK72="","",IF(OR(BK72&lt;DashStart,BK72&gt;DashEnd),"",BM72+ROW()/1000000)))</f>
        <v>0</v>
      </c>
      <c r="BQ72" s="32">
        <f>IF(BH72="","",IF(BK72="","",IF(YEAR(BK72)&lt;&gt;PlanYear,"",IF(BN72="","",BN72+ROW()/1000000))))</f>
        <v>0</v>
      </c>
      <c r="BR72" s="32">
        <f>IF(BH72="","",IF(BK72="","",IF(OR(BK72&lt;RepFrom,BK72&gt;RepTo),"",IF(BN72="","",BN72+ROW()/1000000))))</f>
        <v>0</v>
      </c>
      <c r="BS72" s="32">
        <f>IF(BM72="","",IF(BK72="","",IF(YEAR(BK72)&lt;&gt;PlanYear,"",BM72+ROW()/1000000)))</f>
        <v>0</v>
      </c>
      <c r="BT72" s="17">
        <f>IF(Lists!$F72="","",Lists!$F72)</f>
        <v>0</v>
      </c>
      <c r="BU72" s="23">
        <f>IF(BT72="","",COUNTIF('Content Calendar'!$X$5:$X$604,BT72))</f>
        <v>0</v>
      </c>
      <c r="BV72" s="23">
        <f>IF(BT72="","",COUNTIFS('Content Calendar'!$X$5:$X$604,BT72,'Content Calendar'!$B$5:$B$604,"&gt;="&amp;DashStart,'Content Calendar'!$B$5:$B$604,"&lt;="&amp;DashEnd))</f>
        <v>0</v>
      </c>
      <c r="BW72" s="17">
        <f>IF(Team!$B$72="","",Team!$B$72)</f>
        <v>0</v>
      </c>
      <c r="BX72" s="23">
        <f>IF(BW72="","",COUNTIF('Content Calendar'!$W$5:$W$604,BW72))</f>
        <v>0</v>
      </c>
      <c r="BY72" s="23">
        <f>IF(BW72="","",COUNTIFS('Content Calendar'!$W$5:$W$604,BW72,'Content Calendar'!$X$5:$X$604,"&lt;&gt;Published"))</f>
        <v>0</v>
      </c>
      <c r="BZ72" s="23">
        <f>IF(BW72="","",COUNTIFS(Tasks!$C$5:$C$64,BW72,Tasks!$G$5:$G$64,"&lt;&gt;Complete"))</f>
        <v>0</v>
      </c>
      <c r="CA72" s="17">
        <f>IF(Campaigns!$B$72="","",Campaigns!$B$72)</f>
        <v>0</v>
      </c>
      <c r="CB72" s="25">
        <f>IF(Campaigns!$T$72="","",Campaigns!$T$72)</f>
        <v>0</v>
      </c>
      <c r="CC72" s="25">
        <f>IF(Campaigns!$Q$72="","",Campaigns!$Q$72)</f>
        <v>0</v>
      </c>
      <c r="CD72" s="23">
        <f>IF(Campaigns!$Y$72="","",Campaigns!$Y$72)</f>
        <v>0</v>
      </c>
      <c r="CE72" s="32">
        <f>IF(CA72="","",IF(N(CB72)&lt;=0,"",N(CB72)+ROW()/1000000))</f>
        <v>0</v>
      </c>
      <c r="CF72" s="17">
        <f>IF(Accounts!$C$72="","",Accounts!$C$72)</f>
        <v>0</v>
      </c>
      <c r="CG72" s="17">
        <f>IF(Accounts!$B$72="","",Accounts!$B$72)</f>
        <v>0</v>
      </c>
      <c r="CH72" s="23">
        <f>IF(Accounts!$J$72="","",Accounts!$J$72)</f>
        <v>0</v>
      </c>
      <c r="CI72" s="23">
        <f>IF(CF72="","",SUMIFS(Analytics!$X$5:$X$154,Analytics!$E$5:$E$154,CF72,Analytics!$B$5:$B$154,"&gt;="&amp;DashStart,Analytics!$B$5:$B$154,"&lt;="&amp;DashEnd))</f>
        <v>0</v>
      </c>
      <c r="CJ72" s="32">
        <f>IF(CH72="","",IF(CH72=0,"",CH72+ROW()/1000000))</f>
        <v>0</v>
      </c>
    </row>
    <row r="73" spans="1:88">
      <c r="A73" s="16">
        <f>IF(ROW()-4&gt;12,"",DATE(PlanYear,ROW()-4,1))</f>
        <v>0</v>
      </c>
      <c r="B73" s="16">
        <f>IF(A73="","",EOMONTH(A73,0))</f>
        <v>0</v>
      </c>
      <c r="C73" s="17">
        <f>IF(A73="","",TEXT(A73,"yyyy-mm"))</f>
        <v>0</v>
      </c>
      <c r="D73" s="17">
        <f>IF(A73="","",TEXT(A73,"mmm"))</f>
        <v>0</v>
      </c>
      <c r="E73" s="23">
        <f>IF(C73="","",COUNTIFS('Content Calendar'!$D$5:$D$604,C73))</f>
        <v>0</v>
      </c>
      <c r="F73" s="23">
        <f>IF(C73="","",COUNTIFS('Content Calendar'!$D$5:$D$604,C73,'Content Calendar'!$X$5:$X$604,"Published"))</f>
        <v>0</v>
      </c>
      <c r="G73" s="23">
        <f>IF(C73="","",SUMIFS(Analytics!$J$5:$J$154,Analytics!$C$5:$C$154,C73))</f>
        <v>0</v>
      </c>
      <c r="H73" s="23">
        <f>IF(C73="","",SUMIFS(Analytics!$K$5:$K$154,Analytics!$C$5:$C$154,C73))</f>
        <v>0</v>
      </c>
      <c r="I73" s="23">
        <f>IF(C73="","",SUMIFS(Analytics!$L$5:$L$154,Analytics!$C$5:$C$154,C73))</f>
        <v>0</v>
      </c>
      <c r="J73" s="24">
        <f>IF(OR(G73="",G73=0),"",I73/G73)</f>
        <v>0</v>
      </c>
      <c r="K73" s="23">
        <f>IF(C73="","",SUMIFS(Analytics!$G$5:$G$154,Analytics!$C$5:$C$154,C73))</f>
        <v>0</v>
      </c>
      <c r="L73" s="23">
        <f>IF(C73="","",SUMIFS(Analytics!$X$5:$X$154,Analytics!$C$5:$C$154,C73))</f>
        <v>0</v>
      </c>
      <c r="M73" s="23">
        <f>IF(C73="","",SUMIFS(Analytics!$R$5:$R$154,Analytics!$C$5:$C$154,C73))</f>
        <v>0</v>
      </c>
      <c r="N73" s="23">
        <f>IF(C73="","",SUMIFS(Analytics!$S$5:$S$154,Analytics!$C$5:$C$154,C73))</f>
        <v>0</v>
      </c>
      <c r="O73" s="23">
        <f>IF(C73="","",SUMIFS(Analytics!$T$5:$T$154,Analytics!$C$5:$C$154,C73))</f>
        <v>0</v>
      </c>
      <c r="P73" s="25">
        <f>IF(C73="","",SUMIFS(Analytics!$U$5:$U$154,Analytics!$C$5:$C$154,C73))</f>
        <v>0</v>
      </c>
      <c r="Q73" s="25">
        <f>IF(C73="","",SUMIFS(Budget!$H$5:$H$64,Budget!$C$5:$C$64,C73))</f>
        <v>0</v>
      </c>
      <c r="R73" s="25">
        <f>IF(C73="","",P73-Q73)</f>
        <v>0</v>
      </c>
      <c r="S73" s="23">
        <f>IF(C73="","",MonthlyPostTarget)</f>
        <v>0</v>
      </c>
      <c r="T73" s="17">
        <f>IF(Lists!$C73="","",Lists!$C73)</f>
        <v>0</v>
      </c>
      <c r="U73" s="23">
        <f>IF(T73="","",COUNTIFS('Content Calendar'!$G$5:$G$604,T73,'Content Calendar'!$B$5:$B$604,"&gt;="&amp;DashStart,'Content Calendar'!$B$5:$B$604,"&lt;="&amp;DashEnd))</f>
        <v>0</v>
      </c>
      <c r="V73" s="23">
        <f>IF(T73="","",COUNTIFS('Content Calendar'!$G$5:$G$604,T73,'Content Calendar'!$X$5:$X$604,"Published",'Content Calendar'!$B$5:$B$604,"&gt;="&amp;DashStart,'Content Calendar'!$B$5:$B$604,"&lt;="&amp;DashEnd))</f>
        <v>0</v>
      </c>
      <c r="W73" s="23">
        <f>IF(T73="","",SUMIFS(Analytics!$J$5:$J$154,Analytics!$D$5:$D$154,T73,Analytics!$B$5:$B$154,"&gt;="&amp;DashStart,Analytics!$B$5:$B$154,"&lt;="&amp;DashEnd))</f>
        <v>0</v>
      </c>
      <c r="X73" s="23">
        <f>IF(T73="","",SUMIFS(Analytics!$L$5:$L$154,Analytics!$D$5:$D$154,T73,Analytics!$B$5:$B$154,"&gt;="&amp;DashStart,Analytics!$B$5:$B$154,"&lt;="&amp;DashEnd))</f>
        <v>0</v>
      </c>
      <c r="Y73" s="24">
        <f>IF(OR(W73="",W73=0),"",X73/W73)</f>
        <v>0</v>
      </c>
      <c r="Z73" s="23">
        <f>IF(T73="","",SUMIFS(Analytics!$G$5:$G$154,Analytics!$D$5:$D$154,T73,Analytics!$B$5:$B$154,"&gt;="&amp;DashStart,Analytics!$B$5:$B$154,"&lt;="&amp;DashEnd))</f>
        <v>0</v>
      </c>
      <c r="AA73" s="23">
        <f>IF(T73="","",SUMIFS(Analytics!$X$5:$X$154,Analytics!$D$5:$D$154,T73,Analytics!$B$5:$B$154,"&gt;="&amp;DashStart,Analytics!$B$5:$B$154,"&lt;="&amp;DashEnd))</f>
        <v>0</v>
      </c>
      <c r="AB73" s="23">
        <f>IF(T73="","",SUMIFS(Analytics!$R$5:$R$154,Analytics!$D$5:$D$154,T73,Analytics!$B$5:$B$154,"&gt;="&amp;DashStart,Analytics!$B$5:$B$154,"&lt;="&amp;DashEnd))</f>
        <v>0</v>
      </c>
      <c r="AC73" s="25">
        <f>IF(T73="","",SUMIFS(Analytics!$U$5:$U$154,Analytics!$D$5:$D$154,T73,Analytics!$B$5:$B$154,"&gt;="&amp;DashStart,Analytics!$B$5:$B$154,"&lt;="&amp;DashEnd))</f>
        <v>0</v>
      </c>
      <c r="AD73" s="23">
        <f>IF(T73="","",COUNTIFS('Content Calendar'!$G$5:$G$604,T73,'Content Calendar'!$B$5:$B$604,"&gt;="&amp;DATE(PlanYear,1,1),'Content Calendar'!$B$5:$B$604,"&lt;="&amp;DATE(PlanYear,12,31)))</f>
        <v>0</v>
      </c>
      <c r="AE73" s="23">
        <f>IF(T73="","",SUMIFS(Analytics!$J$5:$J$154,Analytics!$D$5:$D$154,T73))</f>
        <v>0</v>
      </c>
      <c r="AF73" s="23">
        <f>IF(T73="","",SUMIFS(Analytics!$L$5:$L$154,Analytics!$D$5:$D$154,T73))</f>
        <v>0</v>
      </c>
      <c r="AG73" s="24">
        <f>IF(OR(AE73="",AE73=0),"",AF73/AE73)</f>
        <v>0</v>
      </c>
      <c r="AH73" s="23">
        <f>IF(T73="","",SUMIFS(Analytics!$X$5:$X$154,Analytics!$D$5:$D$154,T73))</f>
        <v>0</v>
      </c>
      <c r="AI73" s="32">
        <f>IF(T73="","",IF(AE73=0,"",AE73+ROW()/1000000))</f>
        <v>0</v>
      </c>
      <c r="AJ73" s="17">
        <f>IF('Content Pillars'!$B$73="","",'Content Pillars'!$B$73)</f>
        <v>0</v>
      </c>
      <c r="AK73" s="23">
        <f>IF(AJ73="","",COUNTIFS('Content Calendar'!$J$5:$J$604,AJ73,'Content Calendar'!$B$5:$B$604,"&gt;="&amp;DATE(PlanYear,1,1),'Content Calendar'!$B$5:$B$604,"&lt;="&amp;DATE(PlanYear,12,31)))</f>
        <v>0</v>
      </c>
      <c r="AL73" s="23">
        <f>IF(AJ73="","",SUMIFS(Performance!$O$5:$O$404,Performance!$H$5:$H$404,AJ73))</f>
        <v>0</v>
      </c>
      <c r="AM73" s="23">
        <f>IF(AJ73="","",SUMIFS(Performance!$Z$5:$Z$404,Performance!$H$5:$H$404,AJ73))</f>
        <v>0</v>
      </c>
      <c r="AN73" s="24">
        <f>IF(OR(AL73="",AL73=0),"",AM73/AL73)</f>
        <v>0</v>
      </c>
      <c r="AO73" s="32">
        <f>IF(AN73="","",AN73+ROW()/1000000)</f>
        <v>0</v>
      </c>
      <c r="AP73" s="17">
        <f>IF(Lists!$E73="","",Lists!$E73)</f>
        <v>0</v>
      </c>
      <c r="AQ73" s="23">
        <f>IF(AP73="","",COUNTIF(Performance!$G$5:$G$404,AP73))</f>
        <v>0</v>
      </c>
      <c r="AR73" s="23">
        <f>IF(AP73="","",SUMIFS(Performance!$O$5:$O$404,Performance!$G$5:$G$404,AP73))</f>
        <v>0</v>
      </c>
      <c r="AS73" s="23">
        <f>IF(AP73="","",SUMIFS(Performance!$Z$5:$Z$404,Performance!$G$5:$G$404,AP73))</f>
        <v>0</v>
      </c>
      <c r="AT73" s="24">
        <f>IF(OR(AR73="",AR73=0),"",AS73/AR73)</f>
        <v>0</v>
      </c>
      <c r="AU73" s="32">
        <f>IF(AQ73=0,"",IF(AT73="","",AT73+ROW()/1000000))</f>
        <v>0</v>
      </c>
      <c r="AV73" s="17">
        <f>IF(ROW()-4&gt;7,"",TEXT(DATE(2024,1,ROW()-4),"ddd"))</f>
        <v>0</v>
      </c>
      <c r="AW73" s="23">
        <f>IF(AV73="","",COUNTIF(Performance!$N$5:$N$404,AV73))</f>
        <v>0</v>
      </c>
      <c r="AX73" s="23">
        <f>IF(AV73="","",SUMIFS(Performance!$O$5:$O$404,Performance!$N$5:$N$404,AV73))</f>
        <v>0</v>
      </c>
      <c r="AY73" s="23">
        <f>IF(AV73="","",SUMIFS(Performance!$Z$5:$Z$404,Performance!$N$5:$N$404,AV73))</f>
        <v>0</v>
      </c>
      <c r="AZ73" s="24">
        <f>IF(OR(AX73="",AX73=0),"",AY73/AX73)</f>
        <v>0</v>
      </c>
      <c r="BA73" s="32">
        <f>IF(AW73=0,"",IF(AZ73="","",AZ73+ROW()/1000000))</f>
        <v>0</v>
      </c>
      <c r="BB73" s="17">
        <f>IF(Lists!$AL73="","",Lists!$AL73)</f>
        <v>0</v>
      </c>
      <c r="BC73" s="23">
        <f>IF(BB73="","",COUNTIF(Performance!$M$5:$M$404,BB73))</f>
        <v>0</v>
      </c>
      <c r="BD73" s="23">
        <f>IF(BB73="","",SUMIFS(Performance!$O$5:$O$404,Performance!$M$5:$M$404,BB73))</f>
        <v>0</v>
      </c>
      <c r="BE73" s="23">
        <f>IF(BB73="","",SUMIFS(Performance!$Z$5:$Z$404,Performance!$M$5:$M$404,BB73))</f>
        <v>0</v>
      </c>
      <c r="BF73" s="24">
        <f>IF(OR(BD73="",BD73=0),"",BE73/BD73)</f>
        <v>0</v>
      </c>
      <c r="BG73" s="32">
        <f>IF(BC73=0,"",IF(BF73="","",BF73+ROW()/1000000))</f>
        <v>0</v>
      </c>
      <c r="BH73" s="17">
        <f>IF(Performance!$C$73="","",Performance!$C$73)</f>
        <v>0</v>
      </c>
      <c r="BI73" s="17">
        <f>IF(Performance!$F$73="","",Performance!$F$73)</f>
        <v>0</v>
      </c>
      <c r="BJ73" s="17">
        <f>IF(Performance!$H$73="","",Performance!$H$73)</f>
        <v>0</v>
      </c>
      <c r="BK73" s="16">
        <f>IF(Performance!$D$73="","",Performance!$D$73)</f>
        <v>0</v>
      </c>
      <c r="BL73" s="17">
        <f>IF(Performance!$E$73="","",Performance!$E$73)</f>
        <v>0</v>
      </c>
      <c r="BM73" s="23">
        <f>IF(Performance!$O$73="","",Performance!$O$73)</f>
        <v>0</v>
      </c>
      <c r="BN73" s="24">
        <f>IF(Performance!$AA$73="","",Performance!$AA$73)</f>
        <v>0</v>
      </c>
      <c r="BO73" s="32">
        <f>IF(BH73="","",IF(BK73="","",IF(OR(BK73&lt;DashStart,BK73&gt;DashEnd),"",IF(BN73="","",BN73+ROW()/1000000))))</f>
        <v>0</v>
      </c>
      <c r="BP73" s="32">
        <f>IF(BM73="","",IF(BK73="","",IF(OR(BK73&lt;DashStart,BK73&gt;DashEnd),"",BM73+ROW()/1000000)))</f>
        <v>0</v>
      </c>
      <c r="BQ73" s="32">
        <f>IF(BH73="","",IF(BK73="","",IF(YEAR(BK73)&lt;&gt;PlanYear,"",IF(BN73="","",BN73+ROW()/1000000))))</f>
        <v>0</v>
      </c>
      <c r="BR73" s="32">
        <f>IF(BH73="","",IF(BK73="","",IF(OR(BK73&lt;RepFrom,BK73&gt;RepTo),"",IF(BN73="","",BN73+ROW()/1000000))))</f>
        <v>0</v>
      </c>
      <c r="BS73" s="32">
        <f>IF(BM73="","",IF(BK73="","",IF(YEAR(BK73)&lt;&gt;PlanYear,"",BM73+ROW()/1000000)))</f>
        <v>0</v>
      </c>
      <c r="BT73" s="17">
        <f>IF(Lists!$F73="","",Lists!$F73)</f>
        <v>0</v>
      </c>
      <c r="BU73" s="23">
        <f>IF(BT73="","",COUNTIF('Content Calendar'!$X$5:$X$604,BT73))</f>
        <v>0</v>
      </c>
      <c r="BV73" s="23">
        <f>IF(BT73="","",COUNTIFS('Content Calendar'!$X$5:$X$604,BT73,'Content Calendar'!$B$5:$B$604,"&gt;="&amp;DashStart,'Content Calendar'!$B$5:$B$604,"&lt;="&amp;DashEnd))</f>
        <v>0</v>
      </c>
      <c r="BW73" s="17">
        <f>IF(Team!$B$73="","",Team!$B$73)</f>
        <v>0</v>
      </c>
      <c r="BX73" s="23">
        <f>IF(BW73="","",COUNTIF('Content Calendar'!$W$5:$W$604,BW73))</f>
        <v>0</v>
      </c>
      <c r="BY73" s="23">
        <f>IF(BW73="","",COUNTIFS('Content Calendar'!$W$5:$W$604,BW73,'Content Calendar'!$X$5:$X$604,"&lt;&gt;Published"))</f>
        <v>0</v>
      </c>
      <c r="BZ73" s="23">
        <f>IF(BW73="","",COUNTIFS(Tasks!$C$5:$C$64,BW73,Tasks!$G$5:$G$64,"&lt;&gt;Complete"))</f>
        <v>0</v>
      </c>
      <c r="CA73" s="17">
        <f>IF(Campaigns!$B$73="","",Campaigns!$B$73)</f>
        <v>0</v>
      </c>
      <c r="CB73" s="25">
        <f>IF(Campaigns!$T$73="","",Campaigns!$T$73)</f>
        <v>0</v>
      </c>
      <c r="CC73" s="25">
        <f>IF(Campaigns!$Q$73="","",Campaigns!$Q$73)</f>
        <v>0</v>
      </c>
      <c r="CD73" s="23">
        <f>IF(Campaigns!$Y$73="","",Campaigns!$Y$73)</f>
        <v>0</v>
      </c>
      <c r="CE73" s="32">
        <f>IF(CA73="","",IF(N(CB73)&lt;=0,"",N(CB73)+ROW()/1000000))</f>
        <v>0</v>
      </c>
      <c r="CF73" s="17">
        <f>IF(Accounts!$C$73="","",Accounts!$C$73)</f>
        <v>0</v>
      </c>
      <c r="CG73" s="17">
        <f>IF(Accounts!$B$73="","",Accounts!$B$73)</f>
        <v>0</v>
      </c>
      <c r="CH73" s="23">
        <f>IF(Accounts!$J$73="","",Accounts!$J$73)</f>
        <v>0</v>
      </c>
      <c r="CI73" s="23">
        <f>IF(CF73="","",SUMIFS(Analytics!$X$5:$X$154,Analytics!$E$5:$E$154,CF73,Analytics!$B$5:$B$154,"&gt;="&amp;DashStart,Analytics!$B$5:$B$154,"&lt;="&amp;DashEnd))</f>
        <v>0</v>
      </c>
      <c r="CJ73" s="32">
        <f>IF(CH73="","",IF(CH73=0,"",CH73+ROW()/1000000))</f>
        <v>0</v>
      </c>
    </row>
    <row r="74" spans="1:88">
      <c r="A74" s="16">
        <f>IF(ROW()-4&gt;12,"",DATE(PlanYear,ROW()-4,1))</f>
        <v>0</v>
      </c>
      <c r="B74" s="16">
        <f>IF(A74="","",EOMONTH(A74,0))</f>
        <v>0</v>
      </c>
      <c r="C74" s="17">
        <f>IF(A74="","",TEXT(A74,"yyyy-mm"))</f>
        <v>0</v>
      </c>
      <c r="D74" s="17">
        <f>IF(A74="","",TEXT(A74,"mmm"))</f>
        <v>0</v>
      </c>
      <c r="E74" s="23">
        <f>IF(C74="","",COUNTIFS('Content Calendar'!$D$5:$D$604,C74))</f>
        <v>0</v>
      </c>
      <c r="F74" s="23">
        <f>IF(C74="","",COUNTIFS('Content Calendar'!$D$5:$D$604,C74,'Content Calendar'!$X$5:$X$604,"Published"))</f>
        <v>0</v>
      </c>
      <c r="G74" s="23">
        <f>IF(C74="","",SUMIFS(Analytics!$J$5:$J$154,Analytics!$C$5:$C$154,C74))</f>
        <v>0</v>
      </c>
      <c r="H74" s="23">
        <f>IF(C74="","",SUMIFS(Analytics!$K$5:$K$154,Analytics!$C$5:$C$154,C74))</f>
        <v>0</v>
      </c>
      <c r="I74" s="23">
        <f>IF(C74="","",SUMIFS(Analytics!$L$5:$L$154,Analytics!$C$5:$C$154,C74))</f>
        <v>0</v>
      </c>
      <c r="J74" s="24">
        <f>IF(OR(G74="",G74=0),"",I74/G74)</f>
        <v>0</v>
      </c>
      <c r="K74" s="23">
        <f>IF(C74="","",SUMIFS(Analytics!$G$5:$G$154,Analytics!$C$5:$C$154,C74))</f>
        <v>0</v>
      </c>
      <c r="L74" s="23">
        <f>IF(C74="","",SUMIFS(Analytics!$X$5:$X$154,Analytics!$C$5:$C$154,C74))</f>
        <v>0</v>
      </c>
      <c r="M74" s="23">
        <f>IF(C74="","",SUMIFS(Analytics!$R$5:$R$154,Analytics!$C$5:$C$154,C74))</f>
        <v>0</v>
      </c>
      <c r="N74" s="23">
        <f>IF(C74="","",SUMIFS(Analytics!$S$5:$S$154,Analytics!$C$5:$C$154,C74))</f>
        <v>0</v>
      </c>
      <c r="O74" s="23">
        <f>IF(C74="","",SUMIFS(Analytics!$T$5:$T$154,Analytics!$C$5:$C$154,C74))</f>
        <v>0</v>
      </c>
      <c r="P74" s="25">
        <f>IF(C74="","",SUMIFS(Analytics!$U$5:$U$154,Analytics!$C$5:$C$154,C74))</f>
        <v>0</v>
      </c>
      <c r="Q74" s="25">
        <f>IF(C74="","",SUMIFS(Budget!$H$5:$H$64,Budget!$C$5:$C$64,C74))</f>
        <v>0</v>
      </c>
      <c r="R74" s="25">
        <f>IF(C74="","",P74-Q74)</f>
        <v>0</v>
      </c>
      <c r="S74" s="23">
        <f>IF(C74="","",MonthlyPostTarget)</f>
        <v>0</v>
      </c>
      <c r="T74" s="17">
        <f>IF(Lists!$C74="","",Lists!$C74)</f>
        <v>0</v>
      </c>
      <c r="U74" s="23">
        <f>IF(T74="","",COUNTIFS('Content Calendar'!$G$5:$G$604,T74,'Content Calendar'!$B$5:$B$604,"&gt;="&amp;DashStart,'Content Calendar'!$B$5:$B$604,"&lt;="&amp;DashEnd))</f>
        <v>0</v>
      </c>
      <c r="V74" s="23">
        <f>IF(T74="","",COUNTIFS('Content Calendar'!$G$5:$G$604,T74,'Content Calendar'!$X$5:$X$604,"Published",'Content Calendar'!$B$5:$B$604,"&gt;="&amp;DashStart,'Content Calendar'!$B$5:$B$604,"&lt;="&amp;DashEnd))</f>
        <v>0</v>
      </c>
      <c r="W74" s="23">
        <f>IF(T74="","",SUMIFS(Analytics!$J$5:$J$154,Analytics!$D$5:$D$154,T74,Analytics!$B$5:$B$154,"&gt;="&amp;DashStart,Analytics!$B$5:$B$154,"&lt;="&amp;DashEnd))</f>
        <v>0</v>
      </c>
      <c r="X74" s="23">
        <f>IF(T74="","",SUMIFS(Analytics!$L$5:$L$154,Analytics!$D$5:$D$154,T74,Analytics!$B$5:$B$154,"&gt;="&amp;DashStart,Analytics!$B$5:$B$154,"&lt;="&amp;DashEnd))</f>
        <v>0</v>
      </c>
      <c r="Y74" s="24">
        <f>IF(OR(W74="",W74=0),"",X74/W74)</f>
        <v>0</v>
      </c>
      <c r="Z74" s="23">
        <f>IF(T74="","",SUMIFS(Analytics!$G$5:$G$154,Analytics!$D$5:$D$154,T74,Analytics!$B$5:$B$154,"&gt;="&amp;DashStart,Analytics!$B$5:$B$154,"&lt;="&amp;DashEnd))</f>
        <v>0</v>
      </c>
      <c r="AA74" s="23">
        <f>IF(T74="","",SUMIFS(Analytics!$X$5:$X$154,Analytics!$D$5:$D$154,T74,Analytics!$B$5:$B$154,"&gt;="&amp;DashStart,Analytics!$B$5:$B$154,"&lt;="&amp;DashEnd))</f>
        <v>0</v>
      </c>
      <c r="AB74" s="23">
        <f>IF(T74="","",SUMIFS(Analytics!$R$5:$R$154,Analytics!$D$5:$D$154,T74,Analytics!$B$5:$B$154,"&gt;="&amp;DashStart,Analytics!$B$5:$B$154,"&lt;="&amp;DashEnd))</f>
        <v>0</v>
      </c>
      <c r="AC74" s="25">
        <f>IF(T74="","",SUMIFS(Analytics!$U$5:$U$154,Analytics!$D$5:$D$154,T74,Analytics!$B$5:$B$154,"&gt;="&amp;DashStart,Analytics!$B$5:$B$154,"&lt;="&amp;DashEnd))</f>
        <v>0</v>
      </c>
      <c r="AD74" s="23">
        <f>IF(T74="","",COUNTIFS('Content Calendar'!$G$5:$G$604,T74,'Content Calendar'!$B$5:$B$604,"&gt;="&amp;DATE(PlanYear,1,1),'Content Calendar'!$B$5:$B$604,"&lt;="&amp;DATE(PlanYear,12,31)))</f>
        <v>0</v>
      </c>
      <c r="AE74" s="23">
        <f>IF(T74="","",SUMIFS(Analytics!$J$5:$J$154,Analytics!$D$5:$D$154,T74))</f>
        <v>0</v>
      </c>
      <c r="AF74" s="23">
        <f>IF(T74="","",SUMIFS(Analytics!$L$5:$L$154,Analytics!$D$5:$D$154,T74))</f>
        <v>0</v>
      </c>
      <c r="AG74" s="24">
        <f>IF(OR(AE74="",AE74=0),"",AF74/AE74)</f>
        <v>0</v>
      </c>
      <c r="AH74" s="23">
        <f>IF(T74="","",SUMIFS(Analytics!$X$5:$X$154,Analytics!$D$5:$D$154,T74))</f>
        <v>0</v>
      </c>
      <c r="AI74" s="32">
        <f>IF(T74="","",IF(AE74=0,"",AE74+ROW()/1000000))</f>
        <v>0</v>
      </c>
      <c r="AJ74" s="17">
        <f>IF('Content Pillars'!$B$74="","",'Content Pillars'!$B$74)</f>
        <v>0</v>
      </c>
      <c r="AK74" s="23">
        <f>IF(AJ74="","",COUNTIFS('Content Calendar'!$J$5:$J$604,AJ74,'Content Calendar'!$B$5:$B$604,"&gt;="&amp;DATE(PlanYear,1,1),'Content Calendar'!$B$5:$B$604,"&lt;="&amp;DATE(PlanYear,12,31)))</f>
        <v>0</v>
      </c>
      <c r="AL74" s="23">
        <f>IF(AJ74="","",SUMIFS(Performance!$O$5:$O$404,Performance!$H$5:$H$404,AJ74))</f>
        <v>0</v>
      </c>
      <c r="AM74" s="23">
        <f>IF(AJ74="","",SUMIFS(Performance!$Z$5:$Z$404,Performance!$H$5:$H$404,AJ74))</f>
        <v>0</v>
      </c>
      <c r="AN74" s="24">
        <f>IF(OR(AL74="",AL74=0),"",AM74/AL74)</f>
        <v>0</v>
      </c>
      <c r="AO74" s="32">
        <f>IF(AN74="","",AN74+ROW()/1000000)</f>
        <v>0</v>
      </c>
      <c r="AP74" s="17">
        <f>IF(Lists!$E74="","",Lists!$E74)</f>
        <v>0</v>
      </c>
      <c r="AQ74" s="23">
        <f>IF(AP74="","",COUNTIF(Performance!$G$5:$G$404,AP74))</f>
        <v>0</v>
      </c>
      <c r="AR74" s="23">
        <f>IF(AP74="","",SUMIFS(Performance!$O$5:$O$404,Performance!$G$5:$G$404,AP74))</f>
        <v>0</v>
      </c>
      <c r="AS74" s="23">
        <f>IF(AP74="","",SUMIFS(Performance!$Z$5:$Z$404,Performance!$G$5:$G$404,AP74))</f>
        <v>0</v>
      </c>
      <c r="AT74" s="24">
        <f>IF(OR(AR74="",AR74=0),"",AS74/AR74)</f>
        <v>0</v>
      </c>
      <c r="AU74" s="32">
        <f>IF(AQ74=0,"",IF(AT74="","",AT74+ROW()/1000000))</f>
        <v>0</v>
      </c>
      <c r="AV74" s="17">
        <f>IF(ROW()-4&gt;7,"",TEXT(DATE(2024,1,ROW()-4),"ddd"))</f>
        <v>0</v>
      </c>
      <c r="AW74" s="23">
        <f>IF(AV74="","",COUNTIF(Performance!$N$5:$N$404,AV74))</f>
        <v>0</v>
      </c>
      <c r="AX74" s="23">
        <f>IF(AV74="","",SUMIFS(Performance!$O$5:$O$404,Performance!$N$5:$N$404,AV74))</f>
        <v>0</v>
      </c>
      <c r="AY74" s="23">
        <f>IF(AV74="","",SUMIFS(Performance!$Z$5:$Z$404,Performance!$N$5:$N$404,AV74))</f>
        <v>0</v>
      </c>
      <c r="AZ74" s="24">
        <f>IF(OR(AX74="",AX74=0),"",AY74/AX74)</f>
        <v>0</v>
      </c>
      <c r="BA74" s="32">
        <f>IF(AW74=0,"",IF(AZ74="","",AZ74+ROW()/1000000))</f>
        <v>0</v>
      </c>
      <c r="BB74" s="17">
        <f>IF(Lists!$AL74="","",Lists!$AL74)</f>
        <v>0</v>
      </c>
      <c r="BC74" s="23">
        <f>IF(BB74="","",COUNTIF(Performance!$M$5:$M$404,BB74))</f>
        <v>0</v>
      </c>
      <c r="BD74" s="23">
        <f>IF(BB74="","",SUMIFS(Performance!$O$5:$O$404,Performance!$M$5:$M$404,BB74))</f>
        <v>0</v>
      </c>
      <c r="BE74" s="23">
        <f>IF(BB74="","",SUMIFS(Performance!$Z$5:$Z$404,Performance!$M$5:$M$404,BB74))</f>
        <v>0</v>
      </c>
      <c r="BF74" s="24">
        <f>IF(OR(BD74="",BD74=0),"",BE74/BD74)</f>
        <v>0</v>
      </c>
      <c r="BG74" s="32">
        <f>IF(BC74=0,"",IF(BF74="","",BF74+ROW()/1000000))</f>
        <v>0</v>
      </c>
      <c r="BH74" s="17">
        <f>IF(Performance!$C$74="","",Performance!$C$74)</f>
        <v>0</v>
      </c>
      <c r="BI74" s="17">
        <f>IF(Performance!$F$74="","",Performance!$F$74)</f>
        <v>0</v>
      </c>
      <c r="BJ74" s="17">
        <f>IF(Performance!$H$74="","",Performance!$H$74)</f>
        <v>0</v>
      </c>
      <c r="BK74" s="16">
        <f>IF(Performance!$D$74="","",Performance!$D$74)</f>
        <v>0</v>
      </c>
      <c r="BL74" s="17">
        <f>IF(Performance!$E$74="","",Performance!$E$74)</f>
        <v>0</v>
      </c>
      <c r="BM74" s="23">
        <f>IF(Performance!$O$74="","",Performance!$O$74)</f>
        <v>0</v>
      </c>
      <c r="BN74" s="24">
        <f>IF(Performance!$AA$74="","",Performance!$AA$74)</f>
        <v>0</v>
      </c>
      <c r="BO74" s="32">
        <f>IF(BH74="","",IF(BK74="","",IF(OR(BK74&lt;DashStart,BK74&gt;DashEnd),"",IF(BN74="","",BN74+ROW()/1000000))))</f>
        <v>0</v>
      </c>
      <c r="BP74" s="32">
        <f>IF(BM74="","",IF(BK74="","",IF(OR(BK74&lt;DashStart,BK74&gt;DashEnd),"",BM74+ROW()/1000000)))</f>
        <v>0</v>
      </c>
      <c r="BQ74" s="32">
        <f>IF(BH74="","",IF(BK74="","",IF(YEAR(BK74)&lt;&gt;PlanYear,"",IF(BN74="","",BN74+ROW()/1000000))))</f>
        <v>0</v>
      </c>
      <c r="BR74" s="32">
        <f>IF(BH74="","",IF(BK74="","",IF(OR(BK74&lt;RepFrom,BK74&gt;RepTo),"",IF(BN74="","",BN74+ROW()/1000000))))</f>
        <v>0</v>
      </c>
      <c r="BS74" s="32">
        <f>IF(BM74="","",IF(BK74="","",IF(YEAR(BK74)&lt;&gt;PlanYear,"",BM74+ROW()/1000000)))</f>
        <v>0</v>
      </c>
      <c r="BT74" s="17">
        <f>IF(Lists!$F74="","",Lists!$F74)</f>
        <v>0</v>
      </c>
      <c r="BU74" s="23">
        <f>IF(BT74="","",COUNTIF('Content Calendar'!$X$5:$X$604,BT74))</f>
        <v>0</v>
      </c>
      <c r="BV74" s="23">
        <f>IF(BT74="","",COUNTIFS('Content Calendar'!$X$5:$X$604,BT74,'Content Calendar'!$B$5:$B$604,"&gt;="&amp;DashStart,'Content Calendar'!$B$5:$B$604,"&lt;="&amp;DashEnd))</f>
        <v>0</v>
      </c>
      <c r="BW74" s="17">
        <f>IF(Team!$B$74="","",Team!$B$74)</f>
        <v>0</v>
      </c>
      <c r="BX74" s="23">
        <f>IF(BW74="","",COUNTIF('Content Calendar'!$W$5:$W$604,BW74))</f>
        <v>0</v>
      </c>
      <c r="BY74" s="23">
        <f>IF(BW74="","",COUNTIFS('Content Calendar'!$W$5:$W$604,BW74,'Content Calendar'!$X$5:$X$604,"&lt;&gt;Published"))</f>
        <v>0</v>
      </c>
      <c r="BZ74" s="23">
        <f>IF(BW74="","",COUNTIFS(Tasks!$C$5:$C$64,BW74,Tasks!$G$5:$G$64,"&lt;&gt;Complete"))</f>
        <v>0</v>
      </c>
      <c r="CA74" s="17">
        <f>IF(Campaigns!$B$74="","",Campaigns!$B$74)</f>
        <v>0</v>
      </c>
      <c r="CB74" s="25">
        <f>IF(Campaigns!$T$74="","",Campaigns!$T$74)</f>
        <v>0</v>
      </c>
      <c r="CC74" s="25">
        <f>IF(Campaigns!$Q$74="","",Campaigns!$Q$74)</f>
        <v>0</v>
      </c>
      <c r="CD74" s="23">
        <f>IF(Campaigns!$Y$74="","",Campaigns!$Y$74)</f>
        <v>0</v>
      </c>
      <c r="CE74" s="32">
        <f>IF(CA74="","",IF(N(CB74)&lt;=0,"",N(CB74)+ROW()/1000000))</f>
        <v>0</v>
      </c>
      <c r="CF74" s="17">
        <f>IF(Accounts!$C$74="","",Accounts!$C$74)</f>
        <v>0</v>
      </c>
      <c r="CG74" s="17">
        <f>IF(Accounts!$B$74="","",Accounts!$B$74)</f>
        <v>0</v>
      </c>
      <c r="CH74" s="23">
        <f>IF(Accounts!$J$74="","",Accounts!$J$74)</f>
        <v>0</v>
      </c>
      <c r="CI74" s="23">
        <f>IF(CF74="","",SUMIFS(Analytics!$X$5:$X$154,Analytics!$E$5:$E$154,CF74,Analytics!$B$5:$B$154,"&gt;="&amp;DashStart,Analytics!$B$5:$B$154,"&lt;="&amp;DashEnd))</f>
        <v>0</v>
      </c>
      <c r="CJ74" s="32">
        <f>IF(CH74="","",IF(CH74=0,"",CH74+ROW()/1000000))</f>
        <v>0</v>
      </c>
    </row>
    <row r="75" spans="1:88">
      <c r="A75" s="16">
        <f>IF(ROW()-4&gt;12,"",DATE(PlanYear,ROW()-4,1))</f>
        <v>0</v>
      </c>
      <c r="B75" s="16">
        <f>IF(A75="","",EOMONTH(A75,0))</f>
        <v>0</v>
      </c>
      <c r="C75" s="17">
        <f>IF(A75="","",TEXT(A75,"yyyy-mm"))</f>
        <v>0</v>
      </c>
      <c r="D75" s="17">
        <f>IF(A75="","",TEXT(A75,"mmm"))</f>
        <v>0</v>
      </c>
      <c r="E75" s="23">
        <f>IF(C75="","",COUNTIFS('Content Calendar'!$D$5:$D$604,C75))</f>
        <v>0</v>
      </c>
      <c r="F75" s="23">
        <f>IF(C75="","",COUNTIFS('Content Calendar'!$D$5:$D$604,C75,'Content Calendar'!$X$5:$X$604,"Published"))</f>
        <v>0</v>
      </c>
      <c r="G75" s="23">
        <f>IF(C75="","",SUMIFS(Analytics!$J$5:$J$154,Analytics!$C$5:$C$154,C75))</f>
        <v>0</v>
      </c>
      <c r="H75" s="23">
        <f>IF(C75="","",SUMIFS(Analytics!$K$5:$K$154,Analytics!$C$5:$C$154,C75))</f>
        <v>0</v>
      </c>
      <c r="I75" s="23">
        <f>IF(C75="","",SUMIFS(Analytics!$L$5:$L$154,Analytics!$C$5:$C$154,C75))</f>
        <v>0</v>
      </c>
      <c r="J75" s="24">
        <f>IF(OR(G75="",G75=0),"",I75/G75)</f>
        <v>0</v>
      </c>
      <c r="K75" s="23">
        <f>IF(C75="","",SUMIFS(Analytics!$G$5:$G$154,Analytics!$C$5:$C$154,C75))</f>
        <v>0</v>
      </c>
      <c r="L75" s="23">
        <f>IF(C75="","",SUMIFS(Analytics!$X$5:$X$154,Analytics!$C$5:$C$154,C75))</f>
        <v>0</v>
      </c>
      <c r="M75" s="23">
        <f>IF(C75="","",SUMIFS(Analytics!$R$5:$R$154,Analytics!$C$5:$C$154,C75))</f>
        <v>0</v>
      </c>
      <c r="N75" s="23">
        <f>IF(C75="","",SUMIFS(Analytics!$S$5:$S$154,Analytics!$C$5:$C$154,C75))</f>
        <v>0</v>
      </c>
      <c r="O75" s="23">
        <f>IF(C75="","",SUMIFS(Analytics!$T$5:$T$154,Analytics!$C$5:$C$154,C75))</f>
        <v>0</v>
      </c>
      <c r="P75" s="25">
        <f>IF(C75="","",SUMIFS(Analytics!$U$5:$U$154,Analytics!$C$5:$C$154,C75))</f>
        <v>0</v>
      </c>
      <c r="Q75" s="25">
        <f>IF(C75="","",SUMIFS(Budget!$H$5:$H$64,Budget!$C$5:$C$64,C75))</f>
        <v>0</v>
      </c>
      <c r="R75" s="25">
        <f>IF(C75="","",P75-Q75)</f>
        <v>0</v>
      </c>
      <c r="S75" s="23">
        <f>IF(C75="","",MonthlyPostTarget)</f>
        <v>0</v>
      </c>
      <c r="T75" s="17">
        <f>IF(Lists!$C75="","",Lists!$C75)</f>
        <v>0</v>
      </c>
      <c r="U75" s="23">
        <f>IF(T75="","",COUNTIFS('Content Calendar'!$G$5:$G$604,T75,'Content Calendar'!$B$5:$B$604,"&gt;="&amp;DashStart,'Content Calendar'!$B$5:$B$604,"&lt;="&amp;DashEnd))</f>
        <v>0</v>
      </c>
      <c r="V75" s="23">
        <f>IF(T75="","",COUNTIFS('Content Calendar'!$G$5:$G$604,T75,'Content Calendar'!$X$5:$X$604,"Published",'Content Calendar'!$B$5:$B$604,"&gt;="&amp;DashStart,'Content Calendar'!$B$5:$B$604,"&lt;="&amp;DashEnd))</f>
        <v>0</v>
      </c>
      <c r="W75" s="23">
        <f>IF(T75="","",SUMIFS(Analytics!$J$5:$J$154,Analytics!$D$5:$D$154,T75,Analytics!$B$5:$B$154,"&gt;="&amp;DashStart,Analytics!$B$5:$B$154,"&lt;="&amp;DashEnd))</f>
        <v>0</v>
      </c>
      <c r="X75" s="23">
        <f>IF(T75="","",SUMIFS(Analytics!$L$5:$L$154,Analytics!$D$5:$D$154,T75,Analytics!$B$5:$B$154,"&gt;="&amp;DashStart,Analytics!$B$5:$B$154,"&lt;="&amp;DashEnd))</f>
        <v>0</v>
      </c>
      <c r="Y75" s="24">
        <f>IF(OR(W75="",W75=0),"",X75/W75)</f>
        <v>0</v>
      </c>
      <c r="Z75" s="23">
        <f>IF(T75="","",SUMIFS(Analytics!$G$5:$G$154,Analytics!$D$5:$D$154,T75,Analytics!$B$5:$B$154,"&gt;="&amp;DashStart,Analytics!$B$5:$B$154,"&lt;="&amp;DashEnd))</f>
        <v>0</v>
      </c>
      <c r="AA75" s="23">
        <f>IF(T75="","",SUMIFS(Analytics!$X$5:$X$154,Analytics!$D$5:$D$154,T75,Analytics!$B$5:$B$154,"&gt;="&amp;DashStart,Analytics!$B$5:$B$154,"&lt;="&amp;DashEnd))</f>
        <v>0</v>
      </c>
      <c r="AB75" s="23">
        <f>IF(T75="","",SUMIFS(Analytics!$R$5:$R$154,Analytics!$D$5:$D$154,T75,Analytics!$B$5:$B$154,"&gt;="&amp;DashStart,Analytics!$B$5:$B$154,"&lt;="&amp;DashEnd))</f>
        <v>0</v>
      </c>
      <c r="AC75" s="25">
        <f>IF(T75="","",SUMIFS(Analytics!$U$5:$U$154,Analytics!$D$5:$D$154,T75,Analytics!$B$5:$B$154,"&gt;="&amp;DashStart,Analytics!$B$5:$B$154,"&lt;="&amp;DashEnd))</f>
        <v>0</v>
      </c>
      <c r="AD75" s="23">
        <f>IF(T75="","",COUNTIFS('Content Calendar'!$G$5:$G$604,T75,'Content Calendar'!$B$5:$B$604,"&gt;="&amp;DATE(PlanYear,1,1),'Content Calendar'!$B$5:$B$604,"&lt;="&amp;DATE(PlanYear,12,31)))</f>
        <v>0</v>
      </c>
      <c r="AE75" s="23">
        <f>IF(T75="","",SUMIFS(Analytics!$J$5:$J$154,Analytics!$D$5:$D$154,T75))</f>
        <v>0</v>
      </c>
      <c r="AF75" s="23">
        <f>IF(T75="","",SUMIFS(Analytics!$L$5:$L$154,Analytics!$D$5:$D$154,T75))</f>
        <v>0</v>
      </c>
      <c r="AG75" s="24">
        <f>IF(OR(AE75="",AE75=0),"",AF75/AE75)</f>
        <v>0</v>
      </c>
      <c r="AH75" s="23">
        <f>IF(T75="","",SUMIFS(Analytics!$X$5:$X$154,Analytics!$D$5:$D$154,T75))</f>
        <v>0</v>
      </c>
      <c r="AI75" s="32">
        <f>IF(T75="","",IF(AE75=0,"",AE75+ROW()/1000000))</f>
        <v>0</v>
      </c>
      <c r="AJ75" s="17">
        <f>IF('Content Pillars'!$B$75="","",'Content Pillars'!$B$75)</f>
        <v>0</v>
      </c>
      <c r="AK75" s="23">
        <f>IF(AJ75="","",COUNTIFS('Content Calendar'!$J$5:$J$604,AJ75,'Content Calendar'!$B$5:$B$604,"&gt;="&amp;DATE(PlanYear,1,1),'Content Calendar'!$B$5:$B$604,"&lt;="&amp;DATE(PlanYear,12,31)))</f>
        <v>0</v>
      </c>
      <c r="AL75" s="23">
        <f>IF(AJ75="","",SUMIFS(Performance!$O$5:$O$404,Performance!$H$5:$H$404,AJ75))</f>
        <v>0</v>
      </c>
      <c r="AM75" s="23">
        <f>IF(AJ75="","",SUMIFS(Performance!$Z$5:$Z$404,Performance!$H$5:$H$404,AJ75))</f>
        <v>0</v>
      </c>
      <c r="AN75" s="24">
        <f>IF(OR(AL75="",AL75=0),"",AM75/AL75)</f>
        <v>0</v>
      </c>
      <c r="AO75" s="32">
        <f>IF(AN75="","",AN75+ROW()/1000000)</f>
        <v>0</v>
      </c>
      <c r="AP75" s="17">
        <f>IF(Lists!$E75="","",Lists!$E75)</f>
        <v>0</v>
      </c>
      <c r="AQ75" s="23">
        <f>IF(AP75="","",COUNTIF(Performance!$G$5:$G$404,AP75))</f>
        <v>0</v>
      </c>
      <c r="AR75" s="23">
        <f>IF(AP75="","",SUMIFS(Performance!$O$5:$O$404,Performance!$G$5:$G$404,AP75))</f>
        <v>0</v>
      </c>
      <c r="AS75" s="23">
        <f>IF(AP75="","",SUMIFS(Performance!$Z$5:$Z$404,Performance!$G$5:$G$404,AP75))</f>
        <v>0</v>
      </c>
      <c r="AT75" s="24">
        <f>IF(OR(AR75="",AR75=0),"",AS75/AR75)</f>
        <v>0</v>
      </c>
      <c r="AU75" s="32">
        <f>IF(AQ75=0,"",IF(AT75="","",AT75+ROW()/1000000))</f>
        <v>0</v>
      </c>
      <c r="AV75" s="17">
        <f>IF(ROW()-4&gt;7,"",TEXT(DATE(2024,1,ROW()-4),"ddd"))</f>
        <v>0</v>
      </c>
      <c r="AW75" s="23">
        <f>IF(AV75="","",COUNTIF(Performance!$N$5:$N$404,AV75))</f>
        <v>0</v>
      </c>
      <c r="AX75" s="23">
        <f>IF(AV75="","",SUMIFS(Performance!$O$5:$O$404,Performance!$N$5:$N$404,AV75))</f>
        <v>0</v>
      </c>
      <c r="AY75" s="23">
        <f>IF(AV75="","",SUMIFS(Performance!$Z$5:$Z$404,Performance!$N$5:$N$404,AV75))</f>
        <v>0</v>
      </c>
      <c r="AZ75" s="24">
        <f>IF(OR(AX75="",AX75=0),"",AY75/AX75)</f>
        <v>0</v>
      </c>
      <c r="BA75" s="32">
        <f>IF(AW75=0,"",IF(AZ75="","",AZ75+ROW()/1000000))</f>
        <v>0</v>
      </c>
      <c r="BB75" s="17">
        <f>IF(Lists!$AL75="","",Lists!$AL75)</f>
        <v>0</v>
      </c>
      <c r="BC75" s="23">
        <f>IF(BB75="","",COUNTIF(Performance!$M$5:$M$404,BB75))</f>
        <v>0</v>
      </c>
      <c r="BD75" s="23">
        <f>IF(BB75="","",SUMIFS(Performance!$O$5:$O$404,Performance!$M$5:$M$404,BB75))</f>
        <v>0</v>
      </c>
      <c r="BE75" s="23">
        <f>IF(BB75="","",SUMIFS(Performance!$Z$5:$Z$404,Performance!$M$5:$M$404,BB75))</f>
        <v>0</v>
      </c>
      <c r="BF75" s="24">
        <f>IF(OR(BD75="",BD75=0),"",BE75/BD75)</f>
        <v>0</v>
      </c>
      <c r="BG75" s="32">
        <f>IF(BC75=0,"",IF(BF75="","",BF75+ROW()/1000000))</f>
        <v>0</v>
      </c>
      <c r="BH75" s="17">
        <f>IF(Performance!$C$75="","",Performance!$C$75)</f>
        <v>0</v>
      </c>
      <c r="BI75" s="17">
        <f>IF(Performance!$F$75="","",Performance!$F$75)</f>
        <v>0</v>
      </c>
      <c r="BJ75" s="17">
        <f>IF(Performance!$H$75="","",Performance!$H$75)</f>
        <v>0</v>
      </c>
      <c r="BK75" s="16">
        <f>IF(Performance!$D$75="","",Performance!$D$75)</f>
        <v>0</v>
      </c>
      <c r="BL75" s="17">
        <f>IF(Performance!$E$75="","",Performance!$E$75)</f>
        <v>0</v>
      </c>
      <c r="BM75" s="23">
        <f>IF(Performance!$O$75="","",Performance!$O$75)</f>
        <v>0</v>
      </c>
      <c r="BN75" s="24">
        <f>IF(Performance!$AA$75="","",Performance!$AA$75)</f>
        <v>0</v>
      </c>
      <c r="BO75" s="32">
        <f>IF(BH75="","",IF(BK75="","",IF(OR(BK75&lt;DashStart,BK75&gt;DashEnd),"",IF(BN75="","",BN75+ROW()/1000000))))</f>
        <v>0</v>
      </c>
      <c r="BP75" s="32">
        <f>IF(BM75="","",IF(BK75="","",IF(OR(BK75&lt;DashStart,BK75&gt;DashEnd),"",BM75+ROW()/1000000)))</f>
        <v>0</v>
      </c>
      <c r="BQ75" s="32">
        <f>IF(BH75="","",IF(BK75="","",IF(YEAR(BK75)&lt;&gt;PlanYear,"",IF(BN75="","",BN75+ROW()/1000000))))</f>
        <v>0</v>
      </c>
      <c r="BR75" s="32">
        <f>IF(BH75="","",IF(BK75="","",IF(OR(BK75&lt;RepFrom,BK75&gt;RepTo),"",IF(BN75="","",BN75+ROW()/1000000))))</f>
        <v>0</v>
      </c>
      <c r="BS75" s="32">
        <f>IF(BM75="","",IF(BK75="","",IF(YEAR(BK75)&lt;&gt;PlanYear,"",BM75+ROW()/1000000)))</f>
        <v>0</v>
      </c>
      <c r="BT75" s="17">
        <f>IF(Lists!$F75="","",Lists!$F75)</f>
        <v>0</v>
      </c>
      <c r="BU75" s="23">
        <f>IF(BT75="","",COUNTIF('Content Calendar'!$X$5:$X$604,BT75))</f>
        <v>0</v>
      </c>
      <c r="BV75" s="23">
        <f>IF(BT75="","",COUNTIFS('Content Calendar'!$X$5:$X$604,BT75,'Content Calendar'!$B$5:$B$604,"&gt;="&amp;DashStart,'Content Calendar'!$B$5:$B$604,"&lt;="&amp;DashEnd))</f>
        <v>0</v>
      </c>
      <c r="BW75" s="17">
        <f>IF(Team!$B$75="","",Team!$B$75)</f>
        <v>0</v>
      </c>
      <c r="BX75" s="23">
        <f>IF(BW75="","",COUNTIF('Content Calendar'!$W$5:$W$604,BW75))</f>
        <v>0</v>
      </c>
      <c r="BY75" s="23">
        <f>IF(BW75="","",COUNTIFS('Content Calendar'!$W$5:$W$604,BW75,'Content Calendar'!$X$5:$X$604,"&lt;&gt;Published"))</f>
        <v>0</v>
      </c>
      <c r="BZ75" s="23">
        <f>IF(BW75="","",COUNTIFS(Tasks!$C$5:$C$64,BW75,Tasks!$G$5:$G$64,"&lt;&gt;Complete"))</f>
        <v>0</v>
      </c>
      <c r="CA75" s="17">
        <f>IF(Campaigns!$B$75="","",Campaigns!$B$75)</f>
        <v>0</v>
      </c>
      <c r="CB75" s="25">
        <f>IF(Campaigns!$T$75="","",Campaigns!$T$75)</f>
        <v>0</v>
      </c>
      <c r="CC75" s="25">
        <f>IF(Campaigns!$Q$75="","",Campaigns!$Q$75)</f>
        <v>0</v>
      </c>
      <c r="CD75" s="23">
        <f>IF(Campaigns!$Y$75="","",Campaigns!$Y$75)</f>
        <v>0</v>
      </c>
      <c r="CE75" s="32">
        <f>IF(CA75="","",IF(N(CB75)&lt;=0,"",N(CB75)+ROW()/1000000))</f>
        <v>0</v>
      </c>
      <c r="CF75" s="17">
        <f>IF(Accounts!$C$75="","",Accounts!$C$75)</f>
        <v>0</v>
      </c>
      <c r="CG75" s="17">
        <f>IF(Accounts!$B$75="","",Accounts!$B$75)</f>
        <v>0</v>
      </c>
      <c r="CH75" s="23">
        <f>IF(Accounts!$J$75="","",Accounts!$J$75)</f>
        <v>0</v>
      </c>
      <c r="CI75" s="23">
        <f>IF(CF75="","",SUMIFS(Analytics!$X$5:$X$154,Analytics!$E$5:$E$154,CF75,Analytics!$B$5:$B$154,"&gt;="&amp;DashStart,Analytics!$B$5:$B$154,"&lt;="&amp;DashEnd))</f>
        <v>0</v>
      </c>
      <c r="CJ75" s="32">
        <f>IF(CH75="","",IF(CH75=0,"",CH75+ROW()/1000000))</f>
        <v>0</v>
      </c>
    </row>
    <row r="76" spans="1:88">
      <c r="A76" s="16">
        <f>IF(ROW()-4&gt;12,"",DATE(PlanYear,ROW()-4,1))</f>
        <v>0</v>
      </c>
      <c r="B76" s="16">
        <f>IF(A76="","",EOMONTH(A76,0))</f>
        <v>0</v>
      </c>
      <c r="C76" s="17">
        <f>IF(A76="","",TEXT(A76,"yyyy-mm"))</f>
        <v>0</v>
      </c>
      <c r="D76" s="17">
        <f>IF(A76="","",TEXT(A76,"mmm"))</f>
        <v>0</v>
      </c>
      <c r="E76" s="23">
        <f>IF(C76="","",COUNTIFS('Content Calendar'!$D$5:$D$604,C76))</f>
        <v>0</v>
      </c>
      <c r="F76" s="23">
        <f>IF(C76="","",COUNTIFS('Content Calendar'!$D$5:$D$604,C76,'Content Calendar'!$X$5:$X$604,"Published"))</f>
        <v>0</v>
      </c>
      <c r="G76" s="23">
        <f>IF(C76="","",SUMIFS(Analytics!$J$5:$J$154,Analytics!$C$5:$C$154,C76))</f>
        <v>0</v>
      </c>
      <c r="H76" s="23">
        <f>IF(C76="","",SUMIFS(Analytics!$K$5:$K$154,Analytics!$C$5:$C$154,C76))</f>
        <v>0</v>
      </c>
      <c r="I76" s="23">
        <f>IF(C76="","",SUMIFS(Analytics!$L$5:$L$154,Analytics!$C$5:$C$154,C76))</f>
        <v>0</v>
      </c>
      <c r="J76" s="24">
        <f>IF(OR(G76="",G76=0),"",I76/G76)</f>
        <v>0</v>
      </c>
      <c r="K76" s="23">
        <f>IF(C76="","",SUMIFS(Analytics!$G$5:$G$154,Analytics!$C$5:$C$154,C76))</f>
        <v>0</v>
      </c>
      <c r="L76" s="23">
        <f>IF(C76="","",SUMIFS(Analytics!$X$5:$X$154,Analytics!$C$5:$C$154,C76))</f>
        <v>0</v>
      </c>
      <c r="M76" s="23">
        <f>IF(C76="","",SUMIFS(Analytics!$R$5:$R$154,Analytics!$C$5:$C$154,C76))</f>
        <v>0</v>
      </c>
      <c r="N76" s="23">
        <f>IF(C76="","",SUMIFS(Analytics!$S$5:$S$154,Analytics!$C$5:$C$154,C76))</f>
        <v>0</v>
      </c>
      <c r="O76" s="23">
        <f>IF(C76="","",SUMIFS(Analytics!$T$5:$T$154,Analytics!$C$5:$C$154,C76))</f>
        <v>0</v>
      </c>
      <c r="P76" s="25">
        <f>IF(C76="","",SUMIFS(Analytics!$U$5:$U$154,Analytics!$C$5:$C$154,C76))</f>
        <v>0</v>
      </c>
      <c r="Q76" s="25">
        <f>IF(C76="","",SUMIFS(Budget!$H$5:$H$64,Budget!$C$5:$C$64,C76))</f>
        <v>0</v>
      </c>
      <c r="R76" s="25">
        <f>IF(C76="","",P76-Q76)</f>
        <v>0</v>
      </c>
      <c r="S76" s="23">
        <f>IF(C76="","",MonthlyPostTarget)</f>
        <v>0</v>
      </c>
      <c r="T76" s="17">
        <f>IF(Lists!$C76="","",Lists!$C76)</f>
        <v>0</v>
      </c>
      <c r="U76" s="23">
        <f>IF(T76="","",COUNTIFS('Content Calendar'!$G$5:$G$604,T76,'Content Calendar'!$B$5:$B$604,"&gt;="&amp;DashStart,'Content Calendar'!$B$5:$B$604,"&lt;="&amp;DashEnd))</f>
        <v>0</v>
      </c>
      <c r="V76" s="23">
        <f>IF(T76="","",COUNTIFS('Content Calendar'!$G$5:$G$604,T76,'Content Calendar'!$X$5:$X$604,"Published",'Content Calendar'!$B$5:$B$604,"&gt;="&amp;DashStart,'Content Calendar'!$B$5:$B$604,"&lt;="&amp;DashEnd))</f>
        <v>0</v>
      </c>
      <c r="W76" s="23">
        <f>IF(T76="","",SUMIFS(Analytics!$J$5:$J$154,Analytics!$D$5:$D$154,T76,Analytics!$B$5:$B$154,"&gt;="&amp;DashStart,Analytics!$B$5:$B$154,"&lt;="&amp;DashEnd))</f>
        <v>0</v>
      </c>
      <c r="X76" s="23">
        <f>IF(T76="","",SUMIFS(Analytics!$L$5:$L$154,Analytics!$D$5:$D$154,T76,Analytics!$B$5:$B$154,"&gt;="&amp;DashStart,Analytics!$B$5:$B$154,"&lt;="&amp;DashEnd))</f>
        <v>0</v>
      </c>
      <c r="Y76" s="24">
        <f>IF(OR(W76="",W76=0),"",X76/W76)</f>
        <v>0</v>
      </c>
      <c r="Z76" s="23">
        <f>IF(T76="","",SUMIFS(Analytics!$G$5:$G$154,Analytics!$D$5:$D$154,T76,Analytics!$B$5:$B$154,"&gt;="&amp;DashStart,Analytics!$B$5:$B$154,"&lt;="&amp;DashEnd))</f>
        <v>0</v>
      </c>
      <c r="AA76" s="23">
        <f>IF(T76="","",SUMIFS(Analytics!$X$5:$X$154,Analytics!$D$5:$D$154,T76,Analytics!$B$5:$B$154,"&gt;="&amp;DashStart,Analytics!$B$5:$B$154,"&lt;="&amp;DashEnd))</f>
        <v>0</v>
      </c>
      <c r="AB76" s="23">
        <f>IF(T76="","",SUMIFS(Analytics!$R$5:$R$154,Analytics!$D$5:$D$154,T76,Analytics!$B$5:$B$154,"&gt;="&amp;DashStart,Analytics!$B$5:$B$154,"&lt;="&amp;DashEnd))</f>
        <v>0</v>
      </c>
      <c r="AC76" s="25">
        <f>IF(T76="","",SUMIFS(Analytics!$U$5:$U$154,Analytics!$D$5:$D$154,T76,Analytics!$B$5:$B$154,"&gt;="&amp;DashStart,Analytics!$B$5:$B$154,"&lt;="&amp;DashEnd))</f>
        <v>0</v>
      </c>
      <c r="AD76" s="23">
        <f>IF(T76="","",COUNTIFS('Content Calendar'!$G$5:$G$604,T76,'Content Calendar'!$B$5:$B$604,"&gt;="&amp;DATE(PlanYear,1,1),'Content Calendar'!$B$5:$B$604,"&lt;="&amp;DATE(PlanYear,12,31)))</f>
        <v>0</v>
      </c>
      <c r="AE76" s="23">
        <f>IF(T76="","",SUMIFS(Analytics!$J$5:$J$154,Analytics!$D$5:$D$154,T76))</f>
        <v>0</v>
      </c>
      <c r="AF76" s="23">
        <f>IF(T76="","",SUMIFS(Analytics!$L$5:$L$154,Analytics!$D$5:$D$154,T76))</f>
        <v>0</v>
      </c>
      <c r="AG76" s="24">
        <f>IF(OR(AE76="",AE76=0),"",AF76/AE76)</f>
        <v>0</v>
      </c>
      <c r="AH76" s="23">
        <f>IF(T76="","",SUMIFS(Analytics!$X$5:$X$154,Analytics!$D$5:$D$154,T76))</f>
        <v>0</v>
      </c>
      <c r="AI76" s="32">
        <f>IF(T76="","",IF(AE76=0,"",AE76+ROW()/1000000))</f>
        <v>0</v>
      </c>
      <c r="AJ76" s="17">
        <f>IF('Content Pillars'!$B$76="","",'Content Pillars'!$B$76)</f>
        <v>0</v>
      </c>
      <c r="AK76" s="23">
        <f>IF(AJ76="","",COUNTIFS('Content Calendar'!$J$5:$J$604,AJ76,'Content Calendar'!$B$5:$B$604,"&gt;="&amp;DATE(PlanYear,1,1),'Content Calendar'!$B$5:$B$604,"&lt;="&amp;DATE(PlanYear,12,31)))</f>
        <v>0</v>
      </c>
      <c r="AL76" s="23">
        <f>IF(AJ76="","",SUMIFS(Performance!$O$5:$O$404,Performance!$H$5:$H$404,AJ76))</f>
        <v>0</v>
      </c>
      <c r="AM76" s="23">
        <f>IF(AJ76="","",SUMIFS(Performance!$Z$5:$Z$404,Performance!$H$5:$H$404,AJ76))</f>
        <v>0</v>
      </c>
      <c r="AN76" s="24">
        <f>IF(OR(AL76="",AL76=0),"",AM76/AL76)</f>
        <v>0</v>
      </c>
      <c r="AO76" s="32">
        <f>IF(AN76="","",AN76+ROW()/1000000)</f>
        <v>0</v>
      </c>
      <c r="AP76" s="17">
        <f>IF(Lists!$E76="","",Lists!$E76)</f>
        <v>0</v>
      </c>
      <c r="AQ76" s="23">
        <f>IF(AP76="","",COUNTIF(Performance!$G$5:$G$404,AP76))</f>
        <v>0</v>
      </c>
      <c r="AR76" s="23">
        <f>IF(AP76="","",SUMIFS(Performance!$O$5:$O$404,Performance!$G$5:$G$404,AP76))</f>
        <v>0</v>
      </c>
      <c r="AS76" s="23">
        <f>IF(AP76="","",SUMIFS(Performance!$Z$5:$Z$404,Performance!$G$5:$G$404,AP76))</f>
        <v>0</v>
      </c>
      <c r="AT76" s="24">
        <f>IF(OR(AR76="",AR76=0),"",AS76/AR76)</f>
        <v>0</v>
      </c>
      <c r="AU76" s="32">
        <f>IF(AQ76=0,"",IF(AT76="","",AT76+ROW()/1000000))</f>
        <v>0</v>
      </c>
      <c r="AV76" s="17">
        <f>IF(ROW()-4&gt;7,"",TEXT(DATE(2024,1,ROW()-4),"ddd"))</f>
        <v>0</v>
      </c>
      <c r="AW76" s="23">
        <f>IF(AV76="","",COUNTIF(Performance!$N$5:$N$404,AV76))</f>
        <v>0</v>
      </c>
      <c r="AX76" s="23">
        <f>IF(AV76="","",SUMIFS(Performance!$O$5:$O$404,Performance!$N$5:$N$404,AV76))</f>
        <v>0</v>
      </c>
      <c r="AY76" s="23">
        <f>IF(AV76="","",SUMIFS(Performance!$Z$5:$Z$404,Performance!$N$5:$N$404,AV76))</f>
        <v>0</v>
      </c>
      <c r="AZ76" s="24">
        <f>IF(OR(AX76="",AX76=0),"",AY76/AX76)</f>
        <v>0</v>
      </c>
      <c r="BA76" s="32">
        <f>IF(AW76=0,"",IF(AZ76="","",AZ76+ROW()/1000000))</f>
        <v>0</v>
      </c>
      <c r="BB76" s="17">
        <f>IF(Lists!$AL76="","",Lists!$AL76)</f>
        <v>0</v>
      </c>
      <c r="BC76" s="23">
        <f>IF(BB76="","",COUNTIF(Performance!$M$5:$M$404,BB76))</f>
        <v>0</v>
      </c>
      <c r="BD76" s="23">
        <f>IF(BB76="","",SUMIFS(Performance!$O$5:$O$404,Performance!$M$5:$M$404,BB76))</f>
        <v>0</v>
      </c>
      <c r="BE76" s="23">
        <f>IF(BB76="","",SUMIFS(Performance!$Z$5:$Z$404,Performance!$M$5:$M$404,BB76))</f>
        <v>0</v>
      </c>
      <c r="BF76" s="24">
        <f>IF(OR(BD76="",BD76=0),"",BE76/BD76)</f>
        <v>0</v>
      </c>
      <c r="BG76" s="32">
        <f>IF(BC76=0,"",IF(BF76="","",BF76+ROW()/1000000))</f>
        <v>0</v>
      </c>
      <c r="BH76" s="17">
        <f>IF(Performance!$C$76="","",Performance!$C$76)</f>
        <v>0</v>
      </c>
      <c r="BI76" s="17">
        <f>IF(Performance!$F$76="","",Performance!$F$76)</f>
        <v>0</v>
      </c>
      <c r="BJ76" s="17">
        <f>IF(Performance!$H$76="","",Performance!$H$76)</f>
        <v>0</v>
      </c>
      <c r="BK76" s="16">
        <f>IF(Performance!$D$76="","",Performance!$D$76)</f>
        <v>0</v>
      </c>
      <c r="BL76" s="17">
        <f>IF(Performance!$E$76="","",Performance!$E$76)</f>
        <v>0</v>
      </c>
      <c r="BM76" s="23">
        <f>IF(Performance!$O$76="","",Performance!$O$76)</f>
        <v>0</v>
      </c>
      <c r="BN76" s="24">
        <f>IF(Performance!$AA$76="","",Performance!$AA$76)</f>
        <v>0</v>
      </c>
      <c r="BO76" s="32">
        <f>IF(BH76="","",IF(BK76="","",IF(OR(BK76&lt;DashStart,BK76&gt;DashEnd),"",IF(BN76="","",BN76+ROW()/1000000))))</f>
        <v>0</v>
      </c>
      <c r="BP76" s="32">
        <f>IF(BM76="","",IF(BK76="","",IF(OR(BK76&lt;DashStart,BK76&gt;DashEnd),"",BM76+ROW()/1000000)))</f>
        <v>0</v>
      </c>
      <c r="BQ76" s="32">
        <f>IF(BH76="","",IF(BK76="","",IF(YEAR(BK76)&lt;&gt;PlanYear,"",IF(BN76="","",BN76+ROW()/1000000))))</f>
        <v>0</v>
      </c>
      <c r="BR76" s="32">
        <f>IF(BH76="","",IF(BK76="","",IF(OR(BK76&lt;RepFrom,BK76&gt;RepTo),"",IF(BN76="","",BN76+ROW()/1000000))))</f>
        <v>0</v>
      </c>
      <c r="BS76" s="32">
        <f>IF(BM76="","",IF(BK76="","",IF(YEAR(BK76)&lt;&gt;PlanYear,"",BM76+ROW()/1000000)))</f>
        <v>0</v>
      </c>
      <c r="BT76" s="17">
        <f>IF(Lists!$F76="","",Lists!$F76)</f>
        <v>0</v>
      </c>
      <c r="BU76" s="23">
        <f>IF(BT76="","",COUNTIF('Content Calendar'!$X$5:$X$604,BT76))</f>
        <v>0</v>
      </c>
      <c r="BV76" s="23">
        <f>IF(BT76="","",COUNTIFS('Content Calendar'!$X$5:$X$604,BT76,'Content Calendar'!$B$5:$B$604,"&gt;="&amp;DashStart,'Content Calendar'!$B$5:$B$604,"&lt;="&amp;DashEnd))</f>
        <v>0</v>
      </c>
      <c r="BW76" s="17">
        <f>IF(Team!$B$76="","",Team!$B$76)</f>
        <v>0</v>
      </c>
      <c r="BX76" s="23">
        <f>IF(BW76="","",COUNTIF('Content Calendar'!$W$5:$W$604,BW76))</f>
        <v>0</v>
      </c>
      <c r="BY76" s="23">
        <f>IF(BW76="","",COUNTIFS('Content Calendar'!$W$5:$W$604,BW76,'Content Calendar'!$X$5:$X$604,"&lt;&gt;Published"))</f>
        <v>0</v>
      </c>
      <c r="BZ76" s="23">
        <f>IF(BW76="","",COUNTIFS(Tasks!$C$5:$C$64,BW76,Tasks!$G$5:$G$64,"&lt;&gt;Complete"))</f>
        <v>0</v>
      </c>
      <c r="CA76" s="17">
        <f>IF(Campaigns!$B$76="","",Campaigns!$B$76)</f>
        <v>0</v>
      </c>
      <c r="CB76" s="25">
        <f>IF(Campaigns!$T$76="","",Campaigns!$T$76)</f>
        <v>0</v>
      </c>
      <c r="CC76" s="25">
        <f>IF(Campaigns!$Q$76="","",Campaigns!$Q$76)</f>
        <v>0</v>
      </c>
      <c r="CD76" s="23">
        <f>IF(Campaigns!$Y$76="","",Campaigns!$Y$76)</f>
        <v>0</v>
      </c>
      <c r="CE76" s="32">
        <f>IF(CA76="","",IF(N(CB76)&lt;=0,"",N(CB76)+ROW()/1000000))</f>
        <v>0</v>
      </c>
      <c r="CF76" s="17">
        <f>IF(Accounts!$C$76="","",Accounts!$C$76)</f>
        <v>0</v>
      </c>
      <c r="CG76" s="17">
        <f>IF(Accounts!$B$76="","",Accounts!$B$76)</f>
        <v>0</v>
      </c>
      <c r="CH76" s="23">
        <f>IF(Accounts!$J$76="","",Accounts!$J$76)</f>
        <v>0</v>
      </c>
      <c r="CI76" s="23">
        <f>IF(CF76="","",SUMIFS(Analytics!$X$5:$X$154,Analytics!$E$5:$E$154,CF76,Analytics!$B$5:$B$154,"&gt;="&amp;DashStart,Analytics!$B$5:$B$154,"&lt;="&amp;DashEnd))</f>
        <v>0</v>
      </c>
      <c r="CJ76" s="32">
        <f>IF(CH76="","",IF(CH76=0,"",CH76+ROW()/1000000))</f>
        <v>0</v>
      </c>
    </row>
    <row r="77" spans="1:88">
      <c r="A77" s="16">
        <f>IF(ROW()-4&gt;12,"",DATE(PlanYear,ROW()-4,1))</f>
        <v>0</v>
      </c>
      <c r="B77" s="16">
        <f>IF(A77="","",EOMONTH(A77,0))</f>
        <v>0</v>
      </c>
      <c r="C77" s="17">
        <f>IF(A77="","",TEXT(A77,"yyyy-mm"))</f>
        <v>0</v>
      </c>
      <c r="D77" s="17">
        <f>IF(A77="","",TEXT(A77,"mmm"))</f>
        <v>0</v>
      </c>
      <c r="E77" s="23">
        <f>IF(C77="","",COUNTIFS('Content Calendar'!$D$5:$D$604,C77))</f>
        <v>0</v>
      </c>
      <c r="F77" s="23">
        <f>IF(C77="","",COUNTIFS('Content Calendar'!$D$5:$D$604,C77,'Content Calendar'!$X$5:$X$604,"Published"))</f>
        <v>0</v>
      </c>
      <c r="G77" s="23">
        <f>IF(C77="","",SUMIFS(Analytics!$J$5:$J$154,Analytics!$C$5:$C$154,C77))</f>
        <v>0</v>
      </c>
      <c r="H77" s="23">
        <f>IF(C77="","",SUMIFS(Analytics!$K$5:$K$154,Analytics!$C$5:$C$154,C77))</f>
        <v>0</v>
      </c>
      <c r="I77" s="23">
        <f>IF(C77="","",SUMIFS(Analytics!$L$5:$L$154,Analytics!$C$5:$C$154,C77))</f>
        <v>0</v>
      </c>
      <c r="J77" s="24">
        <f>IF(OR(G77="",G77=0),"",I77/G77)</f>
        <v>0</v>
      </c>
      <c r="K77" s="23">
        <f>IF(C77="","",SUMIFS(Analytics!$G$5:$G$154,Analytics!$C$5:$C$154,C77))</f>
        <v>0</v>
      </c>
      <c r="L77" s="23">
        <f>IF(C77="","",SUMIFS(Analytics!$X$5:$X$154,Analytics!$C$5:$C$154,C77))</f>
        <v>0</v>
      </c>
      <c r="M77" s="23">
        <f>IF(C77="","",SUMIFS(Analytics!$R$5:$R$154,Analytics!$C$5:$C$154,C77))</f>
        <v>0</v>
      </c>
      <c r="N77" s="23">
        <f>IF(C77="","",SUMIFS(Analytics!$S$5:$S$154,Analytics!$C$5:$C$154,C77))</f>
        <v>0</v>
      </c>
      <c r="O77" s="23">
        <f>IF(C77="","",SUMIFS(Analytics!$T$5:$T$154,Analytics!$C$5:$C$154,C77))</f>
        <v>0</v>
      </c>
      <c r="P77" s="25">
        <f>IF(C77="","",SUMIFS(Analytics!$U$5:$U$154,Analytics!$C$5:$C$154,C77))</f>
        <v>0</v>
      </c>
      <c r="Q77" s="25">
        <f>IF(C77="","",SUMIFS(Budget!$H$5:$H$64,Budget!$C$5:$C$64,C77))</f>
        <v>0</v>
      </c>
      <c r="R77" s="25">
        <f>IF(C77="","",P77-Q77)</f>
        <v>0</v>
      </c>
      <c r="S77" s="23">
        <f>IF(C77="","",MonthlyPostTarget)</f>
        <v>0</v>
      </c>
      <c r="T77" s="17">
        <f>IF(Lists!$C77="","",Lists!$C77)</f>
        <v>0</v>
      </c>
      <c r="U77" s="23">
        <f>IF(T77="","",COUNTIFS('Content Calendar'!$G$5:$G$604,T77,'Content Calendar'!$B$5:$B$604,"&gt;="&amp;DashStart,'Content Calendar'!$B$5:$B$604,"&lt;="&amp;DashEnd))</f>
        <v>0</v>
      </c>
      <c r="V77" s="23">
        <f>IF(T77="","",COUNTIFS('Content Calendar'!$G$5:$G$604,T77,'Content Calendar'!$X$5:$X$604,"Published",'Content Calendar'!$B$5:$B$604,"&gt;="&amp;DashStart,'Content Calendar'!$B$5:$B$604,"&lt;="&amp;DashEnd))</f>
        <v>0</v>
      </c>
      <c r="W77" s="23">
        <f>IF(T77="","",SUMIFS(Analytics!$J$5:$J$154,Analytics!$D$5:$D$154,T77,Analytics!$B$5:$B$154,"&gt;="&amp;DashStart,Analytics!$B$5:$B$154,"&lt;="&amp;DashEnd))</f>
        <v>0</v>
      </c>
      <c r="X77" s="23">
        <f>IF(T77="","",SUMIFS(Analytics!$L$5:$L$154,Analytics!$D$5:$D$154,T77,Analytics!$B$5:$B$154,"&gt;="&amp;DashStart,Analytics!$B$5:$B$154,"&lt;="&amp;DashEnd))</f>
        <v>0</v>
      </c>
      <c r="Y77" s="24">
        <f>IF(OR(W77="",W77=0),"",X77/W77)</f>
        <v>0</v>
      </c>
      <c r="Z77" s="23">
        <f>IF(T77="","",SUMIFS(Analytics!$G$5:$G$154,Analytics!$D$5:$D$154,T77,Analytics!$B$5:$B$154,"&gt;="&amp;DashStart,Analytics!$B$5:$B$154,"&lt;="&amp;DashEnd))</f>
        <v>0</v>
      </c>
      <c r="AA77" s="23">
        <f>IF(T77="","",SUMIFS(Analytics!$X$5:$X$154,Analytics!$D$5:$D$154,T77,Analytics!$B$5:$B$154,"&gt;="&amp;DashStart,Analytics!$B$5:$B$154,"&lt;="&amp;DashEnd))</f>
        <v>0</v>
      </c>
      <c r="AB77" s="23">
        <f>IF(T77="","",SUMIFS(Analytics!$R$5:$R$154,Analytics!$D$5:$D$154,T77,Analytics!$B$5:$B$154,"&gt;="&amp;DashStart,Analytics!$B$5:$B$154,"&lt;="&amp;DashEnd))</f>
        <v>0</v>
      </c>
      <c r="AC77" s="25">
        <f>IF(T77="","",SUMIFS(Analytics!$U$5:$U$154,Analytics!$D$5:$D$154,T77,Analytics!$B$5:$B$154,"&gt;="&amp;DashStart,Analytics!$B$5:$B$154,"&lt;="&amp;DashEnd))</f>
        <v>0</v>
      </c>
      <c r="AD77" s="23">
        <f>IF(T77="","",COUNTIFS('Content Calendar'!$G$5:$G$604,T77,'Content Calendar'!$B$5:$B$604,"&gt;="&amp;DATE(PlanYear,1,1),'Content Calendar'!$B$5:$B$604,"&lt;="&amp;DATE(PlanYear,12,31)))</f>
        <v>0</v>
      </c>
      <c r="AE77" s="23">
        <f>IF(T77="","",SUMIFS(Analytics!$J$5:$J$154,Analytics!$D$5:$D$154,T77))</f>
        <v>0</v>
      </c>
      <c r="AF77" s="23">
        <f>IF(T77="","",SUMIFS(Analytics!$L$5:$L$154,Analytics!$D$5:$D$154,T77))</f>
        <v>0</v>
      </c>
      <c r="AG77" s="24">
        <f>IF(OR(AE77="",AE77=0),"",AF77/AE77)</f>
        <v>0</v>
      </c>
      <c r="AH77" s="23">
        <f>IF(T77="","",SUMIFS(Analytics!$X$5:$X$154,Analytics!$D$5:$D$154,T77))</f>
        <v>0</v>
      </c>
      <c r="AI77" s="32">
        <f>IF(T77="","",IF(AE77=0,"",AE77+ROW()/1000000))</f>
        <v>0</v>
      </c>
      <c r="AJ77" s="17">
        <f>IF('Content Pillars'!$B$77="","",'Content Pillars'!$B$77)</f>
        <v>0</v>
      </c>
      <c r="AK77" s="23">
        <f>IF(AJ77="","",COUNTIFS('Content Calendar'!$J$5:$J$604,AJ77,'Content Calendar'!$B$5:$B$604,"&gt;="&amp;DATE(PlanYear,1,1),'Content Calendar'!$B$5:$B$604,"&lt;="&amp;DATE(PlanYear,12,31)))</f>
        <v>0</v>
      </c>
      <c r="AL77" s="23">
        <f>IF(AJ77="","",SUMIFS(Performance!$O$5:$O$404,Performance!$H$5:$H$404,AJ77))</f>
        <v>0</v>
      </c>
      <c r="AM77" s="23">
        <f>IF(AJ77="","",SUMIFS(Performance!$Z$5:$Z$404,Performance!$H$5:$H$404,AJ77))</f>
        <v>0</v>
      </c>
      <c r="AN77" s="24">
        <f>IF(OR(AL77="",AL77=0),"",AM77/AL77)</f>
        <v>0</v>
      </c>
      <c r="AO77" s="32">
        <f>IF(AN77="","",AN77+ROW()/1000000)</f>
        <v>0</v>
      </c>
      <c r="AP77" s="17">
        <f>IF(Lists!$E77="","",Lists!$E77)</f>
        <v>0</v>
      </c>
      <c r="AQ77" s="23">
        <f>IF(AP77="","",COUNTIF(Performance!$G$5:$G$404,AP77))</f>
        <v>0</v>
      </c>
      <c r="AR77" s="23">
        <f>IF(AP77="","",SUMIFS(Performance!$O$5:$O$404,Performance!$G$5:$G$404,AP77))</f>
        <v>0</v>
      </c>
      <c r="AS77" s="23">
        <f>IF(AP77="","",SUMIFS(Performance!$Z$5:$Z$404,Performance!$G$5:$G$404,AP77))</f>
        <v>0</v>
      </c>
      <c r="AT77" s="24">
        <f>IF(OR(AR77="",AR77=0),"",AS77/AR77)</f>
        <v>0</v>
      </c>
      <c r="AU77" s="32">
        <f>IF(AQ77=0,"",IF(AT77="","",AT77+ROW()/1000000))</f>
        <v>0</v>
      </c>
      <c r="AV77" s="17">
        <f>IF(ROW()-4&gt;7,"",TEXT(DATE(2024,1,ROW()-4),"ddd"))</f>
        <v>0</v>
      </c>
      <c r="AW77" s="23">
        <f>IF(AV77="","",COUNTIF(Performance!$N$5:$N$404,AV77))</f>
        <v>0</v>
      </c>
      <c r="AX77" s="23">
        <f>IF(AV77="","",SUMIFS(Performance!$O$5:$O$404,Performance!$N$5:$N$404,AV77))</f>
        <v>0</v>
      </c>
      <c r="AY77" s="23">
        <f>IF(AV77="","",SUMIFS(Performance!$Z$5:$Z$404,Performance!$N$5:$N$404,AV77))</f>
        <v>0</v>
      </c>
      <c r="AZ77" s="24">
        <f>IF(OR(AX77="",AX77=0),"",AY77/AX77)</f>
        <v>0</v>
      </c>
      <c r="BA77" s="32">
        <f>IF(AW77=0,"",IF(AZ77="","",AZ77+ROW()/1000000))</f>
        <v>0</v>
      </c>
      <c r="BB77" s="17">
        <f>IF(Lists!$AL77="","",Lists!$AL77)</f>
        <v>0</v>
      </c>
      <c r="BC77" s="23">
        <f>IF(BB77="","",COUNTIF(Performance!$M$5:$M$404,BB77))</f>
        <v>0</v>
      </c>
      <c r="BD77" s="23">
        <f>IF(BB77="","",SUMIFS(Performance!$O$5:$O$404,Performance!$M$5:$M$404,BB77))</f>
        <v>0</v>
      </c>
      <c r="BE77" s="23">
        <f>IF(BB77="","",SUMIFS(Performance!$Z$5:$Z$404,Performance!$M$5:$M$404,BB77))</f>
        <v>0</v>
      </c>
      <c r="BF77" s="24">
        <f>IF(OR(BD77="",BD77=0),"",BE77/BD77)</f>
        <v>0</v>
      </c>
      <c r="BG77" s="32">
        <f>IF(BC77=0,"",IF(BF77="","",BF77+ROW()/1000000))</f>
        <v>0</v>
      </c>
      <c r="BH77" s="17">
        <f>IF(Performance!$C$77="","",Performance!$C$77)</f>
        <v>0</v>
      </c>
      <c r="BI77" s="17">
        <f>IF(Performance!$F$77="","",Performance!$F$77)</f>
        <v>0</v>
      </c>
      <c r="BJ77" s="17">
        <f>IF(Performance!$H$77="","",Performance!$H$77)</f>
        <v>0</v>
      </c>
      <c r="BK77" s="16">
        <f>IF(Performance!$D$77="","",Performance!$D$77)</f>
        <v>0</v>
      </c>
      <c r="BL77" s="17">
        <f>IF(Performance!$E$77="","",Performance!$E$77)</f>
        <v>0</v>
      </c>
      <c r="BM77" s="23">
        <f>IF(Performance!$O$77="","",Performance!$O$77)</f>
        <v>0</v>
      </c>
      <c r="BN77" s="24">
        <f>IF(Performance!$AA$77="","",Performance!$AA$77)</f>
        <v>0</v>
      </c>
      <c r="BO77" s="32">
        <f>IF(BH77="","",IF(BK77="","",IF(OR(BK77&lt;DashStart,BK77&gt;DashEnd),"",IF(BN77="","",BN77+ROW()/1000000))))</f>
        <v>0</v>
      </c>
      <c r="BP77" s="32">
        <f>IF(BM77="","",IF(BK77="","",IF(OR(BK77&lt;DashStart,BK77&gt;DashEnd),"",BM77+ROW()/1000000)))</f>
        <v>0</v>
      </c>
      <c r="BQ77" s="32">
        <f>IF(BH77="","",IF(BK77="","",IF(YEAR(BK77)&lt;&gt;PlanYear,"",IF(BN77="","",BN77+ROW()/1000000))))</f>
        <v>0</v>
      </c>
      <c r="BR77" s="32">
        <f>IF(BH77="","",IF(BK77="","",IF(OR(BK77&lt;RepFrom,BK77&gt;RepTo),"",IF(BN77="","",BN77+ROW()/1000000))))</f>
        <v>0</v>
      </c>
      <c r="BS77" s="32">
        <f>IF(BM77="","",IF(BK77="","",IF(YEAR(BK77)&lt;&gt;PlanYear,"",BM77+ROW()/1000000)))</f>
        <v>0</v>
      </c>
      <c r="BT77" s="17">
        <f>IF(Lists!$F77="","",Lists!$F77)</f>
        <v>0</v>
      </c>
      <c r="BU77" s="23">
        <f>IF(BT77="","",COUNTIF('Content Calendar'!$X$5:$X$604,BT77))</f>
        <v>0</v>
      </c>
      <c r="BV77" s="23">
        <f>IF(BT77="","",COUNTIFS('Content Calendar'!$X$5:$X$604,BT77,'Content Calendar'!$B$5:$B$604,"&gt;="&amp;DashStart,'Content Calendar'!$B$5:$B$604,"&lt;="&amp;DashEnd))</f>
        <v>0</v>
      </c>
      <c r="BW77" s="17">
        <f>IF(Team!$B$77="","",Team!$B$77)</f>
        <v>0</v>
      </c>
      <c r="BX77" s="23">
        <f>IF(BW77="","",COUNTIF('Content Calendar'!$W$5:$W$604,BW77))</f>
        <v>0</v>
      </c>
      <c r="BY77" s="23">
        <f>IF(BW77="","",COUNTIFS('Content Calendar'!$W$5:$W$604,BW77,'Content Calendar'!$X$5:$X$604,"&lt;&gt;Published"))</f>
        <v>0</v>
      </c>
      <c r="BZ77" s="23">
        <f>IF(BW77="","",COUNTIFS(Tasks!$C$5:$C$64,BW77,Tasks!$G$5:$G$64,"&lt;&gt;Complete"))</f>
        <v>0</v>
      </c>
      <c r="CA77" s="17">
        <f>IF(Campaigns!$B$77="","",Campaigns!$B$77)</f>
        <v>0</v>
      </c>
      <c r="CB77" s="25">
        <f>IF(Campaigns!$T$77="","",Campaigns!$T$77)</f>
        <v>0</v>
      </c>
      <c r="CC77" s="25">
        <f>IF(Campaigns!$Q$77="","",Campaigns!$Q$77)</f>
        <v>0</v>
      </c>
      <c r="CD77" s="23">
        <f>IF(Campaigns!$Y$77="","",Campaigns!$Y$77)</f>
        <v>0</v>
      </c>
      <c r="CE77" s="32">
        <f>IF(CA77="","",IF(N(CB77)&lt;=0,"",N(CB77)+ROW()/1000000))</f>
        <v>0</v>
      </c>
      <c r="CF77" s="17">
        <f>IF(Accounts!$C$77="","",Accounts!$C$77)</f>
        <v>0</v>
      </c>
      <c r="CG77" s="17">
        <f>IF(Accounts!$B$77="","",Accounts!$B$77)</f>
        <v>0</v>
      </c>
      <c r="CH77" s="23">
        <f>IF(Accounts!$J$77="","",Accounts!$J$77)</f>
        <v>0</v>
      </c>
      <c r="CI77" s="23">
        <f>IF(CF77="","",SUMIFS(Analytics!$X$5:$X$154,Analytics!$E$5:$E$154,CF77,Analytics!$B$5:$B$154,"&gt;="&amp;DashStart,Analytics!$B$5:$B$154,"&lt;="&amp;DashEnd))</f>
        <v>0</v>
      </c>
      <c r="CJ77" s="32">
        <f>IF(CH77="","",IF(CH77=0,"",CH77+ROW()/1000000))</f>
        <v>0</v>
      </c>
    </row>
    <row r="78" spans="1:88">
      <c r="A78" s="16">
        <f>IF(ROW()-4&gt;12,"",DATE(PlanYear,ROW()-4,1))</f>
        <v>0</v>
      </c>
      <c r="B78" s="16">
        <f>IF(A78="","",EOMONTH(A78,0))</f>
        <v>0</v>
      </c>
      <c r="C78" s="17">
        <f>IF(A78="","",TEXT(A78,"yyyy-mm"))</f>
        <v>0</v>
      </c>
      <c r="D78" s="17">
        <f>IF(A78="","",TEXT(A78,"mmm"))</f>
        <v>0</v>
      </c>
      <c r="E78" s="23">
        <f>IF(C78="","",COUNTIFS('Content Calendar'!$D$5:$D$604,C78))</f>
        <v>0</v>
      </c>
      <c r="F78" s="23">
        <f>IF(C78="","",COUNTIFS('Content Calendar'!$D$5:$D$604,C78,'Content Calendar'!$X$5:$X$604,"Published"))</f>
        <v>0</v>
      </c>
      <c r="G78" s="23">
        <f>IF(C78="","",SUMIFS(Analytics!$J$5:$J$154,Analytics!$C$5:$C$154,C78))</f>
        <v>0</v>
      </c>
      <c r="H78" s="23">
        <f>IF(C78="","",SUMIFS(Analytics!$K$5:$K$154,Analytics!$C$5:$C$154,C78))</f>
        <v>0</v>
      </c>
      <c r="I78" s="23">
        <f>IF(C78="","",SUMIFS(Analytics!$L$5:$L$154,Analytics!$C$5:$C$154,C78))</f>
        <v>0</v>
      </c>
      <c r="J78" s="24">
        <f>IF(OR(G78="",G78=0),"",I78/G78)</f>
        <v>0</v>
      </c>
      <c r="K78" s="23">
        <f>IF(C78="","",SUMIFS(Analytics!$G$5:$G$154,Analytics!$C$5:$C$154,C78))</f>
        <v>0</v>
      </c>
      <c r="L78" s="23">
        <f>IF(C78="","",SUMIFS(Analytics!$X$5:$X$154,Analytics!$C$5:$C$154,C78))</f>
        <v>0</v>
      </c>
      <c r="M78" s="23">
        <f>IF(C78="","",SUMIFS(Analytics!$R$5:$R$154,Analytics!$C$5:$C$154,C78))</f>
        <v>0</v>
      </c>
      <c r="N78" s="23">
        <f>IF(C78="","",SUMIFS(Analytics!$S$5:$S$154,Analytics!$C$5:$C$154,C78))</f>
        <v>0</v>
      </c>
      <c r="O78" s="23">
        <f>IF(C78="","",SUMIFS(Analytics!$T$5:$T$154,Analytics!$C$5:$C$154,C78))</f>
        <v>0</v>
      </c>
      <c r="P78" s="25">
        <f>IF(C78="","",SUMIFS(Analytics!$U$5:$U$154,Analytics!$C$5:$C$154,C78))</f>
        <v>0</v>
      </c>
      <c r="Q78" s="25">
        <f>IF(C78="","",SUMIFS(Budget!$H$5:$H$64,Budget!$C$5:$C$64,C78))</f>
        <v>0</v>
      </c>
      <c r="R78" s="25">
        <f>IF(C78="","",P78-Q78)</f>
        <v>0</v>
      </c>
      <c r="S78" s="23">
        <f>IF(C78="","",MonthlyPostTarget)</f>
        <v>0</v>
      </c>
      <c r="T78" s="17">
        <f>IF(Lists!$C78="","",Lists!$C78)</f>
        <v>0</v>
      </c>
      <c r="U78" s="23">
        <f>IF(T78="","",COUNTIFS('Content Calendar'!$G$5:$G$604,T78,'Content Calendar'!$B$5:$B$604,"&gt;="&amp;DashStart,'Content Calendar'!$B$5:$B$604,"&lt;="&amp;DashEnd))</f>
        <v>0</v>
      </c>
      <c r="V78" s="23">
        <f>IF(T78="","",COUNTIFS('Content Calendar'!$G$5:$G$604,T78,'Content Calendar'!$X$5:$X$604,"Published",'Content Calendar'!$B$5:$B$604,"&gt;="&amp;DashStart,'Content Calendar'!$B$5:$B$604,"&lt;="&amp;DashEnd))</f>
        <v>0</v>
      </c>
      <c r="W78" s="23">
        <f>IF(T78="","",SUMIFS(Analytics!$J$5:$J$154,Analytics!$D$5:$D$154,T78,Analytics!$B$5:$B$154,"&gt;="&amp;DashStart,Analytics!$B$5:$B$154,"&lt;="&amp;DashEnd))</f>
        <v>0</v>
      </c>
      <c r="X78" s="23">
        <f>IF(T78="","",SUMIFS(Analytics!$L$5:$L$154,Analytics!$D$5:$D$154,T78,Analytics!$B$5:$B$154,"&gt;="&amp;DashStart,Analytics!$B$5:$B$154,"&lt;="&amp;DashEnd))</f>
        <v>0</v>
      </c>
      <c r="Y78" s="24">
        <f>IF(OR(W78="",W78=0),"",X78/W78)</f>
        <v>0</v>
      </c>
      <c r="Z78" s="23">
        <f>IF(T78="","",SUMIFS(Analytics!$G$5:$G$154,Analytics!$D$5:$D$154,T78,Analytics!$B$5:$B$154,"&gt;="&amp;DashStart,Analytics!$B$5:$B$154,"&lt;="&amp;DashEnd))</f>
        <v>0</v>
      </c>
      <c r="AA78" s="23">
        <f>IF(T78="","",SUMIFS(Analytics!$X$5:$X$154,Analytics!$D$5:$D$154,T78,Analytics!$B$5:$B$154,"&gt;="&amp;DashStart,Analytics!$B$5:$B$154,"&lt;="&amp;DashEnd))</f>
        <v>0</v>
      </c>
      <c r="AB78" s="23">
        <f>IF(T78="","",SUMIFS(Analytics!$R$5:$R$154,Analytics!$D$5:$D$154,T78,Analytics!$B$5:$B$154,"&gt;="&amp;DashStart,Analytics!$B$5:$B$154,"&lt;="&amp;DashEnd))</f>
        <v>0</v>
      </c>
      <c r="AC78" s="25">
        <f>IF(T78="","",SUMIFS(Analytics!$U$5:$U$154,Analytics!$D$5:$D$154,T78,Analytics!$B$5:$B$154,"&gt;="&amp;DashStart,Analytics!$B$5:$B$154,"&lt;="&amp;DashEnd))</f>
        <v>0</v>
      </c>
      <c r="AD78" s="23">
        <f>IF(T78="","",COUNTIFS('Content Calendar'!$G$5:$G$604,T78,'Content Calendar'!$B$5:$B$604,"&gt;="&amp;DATE(PlanYear,1,1),'Content Calendar'!$B$5:$B$604,"&lt;="&amp;DATE(PlanYear,12,31)))</f>
        <v>0</v>
      </c>
      <c r="AE78" s="23">
        <f>IF(T78="","",SUMIFS(Analytics!$J$5:$J$154,Analytics!$D$5:$D$154,T78))</f>
        <v>0</v>
      </c>
      <c r="AF78" s="23">
        <f>IF(T78="","",SUMIFS(Analytics!$L$5:$L$154,Analytics!$D$5:$D$154,T78))</f>
        <v>0</v>
      </c>
      <c r="AG78" s="24">
        <f>IF(OR(AE78="",AE78=0),"",AF78/AE78)</f>
        <v>0</v>
      </c>
      <c r="AH78" s="23">
        <f>IF(T78="","",SUMIFS(Analytics!$X$5:$X$154,Analytics!$D$5:$D$154,T78))</f>
        <v>0</v>
      </c>
      <c r="AI78" s="32">
        <f>IF(T78="","",IF(AE78=0,"",AE78+ROW()/1000000))</f>
        <v>0</v>
      </c>
      <c r="AJ78" s="17">
        <f>IF('Content Pillars'!$B$78="","",'Content Pillars'!$B$78)</f>
        <v>0</v>
      </c>
      <c r="AK78" s="23">
        <f>IF(AJ78="","",COUNTIFS('Content Calendar'!$J$5:$J$604,AJ78,'Content Calendar'!$B$5:$B$604,"&gt;="&amp;DATE(PlanYear,1,1),'Content Calendar'!$B$5:$B$604,"&lt;="&amp;DATE(PlanYear,12,31)))</f>
        <v>0</v>
      </c>
      <c r="AL78" s="23">
        <f>IF(AJ78="","",SUMIFS(Performance!$O$5:$O$404,Performance!$H$5:$H$404,AJ78))</f>
        <v>0</v>
      </c>
      <c r="AM78" s="23">
        <f>IF(AJ78="","",SUMIFS(Performance!$Z$5:$Z$404,Performance!$H$5:$H$404,AJ78))</f>
        <v>0</v>
      </c>
      <c r="AN78" s="24">
        <f>IF(OR(AL78="",AL78=0),"",AM78/AL78)</f>
        <v>0</v>
      </c>
      <c r="AO78" s="32">
        <f>IF(AN78="","",AN78+ROW()/1000000)</f>
        <v>0</v>
      </c>
      <c r="AP78" s="17">
        <f>IF(Lists!$E78="","",Lists!$E78)</f>
        <v>0</v>
      </c>
      <c r="AQ78" s="23">
        <f>IF(AP78="","",COUNTIF(Performance!$G$5:$G$404,AP78))</f>
        <v>0</v>
      </c>
      <c r="AR78" s="23">
        <f>IF(AP78="","",SUMIFS(Performance!$O$5:$O$404,Performance!$G$5:$G$404,AP78))</f>
        <v>0</v>
      </c>
      <c r="AS78" s="23">
        <f>IF(AP78="","",SUMIFS(Performance!$Z$5:$Z$404,Performance!$G$5:$G$404,AP78))</f>
        <v>0</v>
      </c>
      <c r="AT78" s="24">
        <f>IF(OR(AR78="",AR78=0),"",AS78/AR78)</f>
        <v>0</v>
      </c>
      <c r="AU78" s="32">
        <f>IF(AQ78=0,"",IF(AT78="","",AT78+ROW()/1000000))</f>
        <v>0</v>
      </c>
      <c r="AV78" s="17">
        <f>IF(ROW()-4&gt;7,"",TEXT(DATE(2024,1,ROW()-4),"ddd"))</f>
        <v>0</v>
      </c>
      <c r="AW78" s="23">
        <f>IF(AV78="","",COUNTIF(Performance!$N$5:$N$404,AV78))</f>
        <v>0</v>
      </c>
      <c r="AX78" s="23">
        <f>IF(AV78="","",SUMIFS(Performance!$O$5:$O$404,Performance!$N$5:$N$404,AV78))</f>
        <v>0</v>
      </c>
      <c r="AY78" s="23">
        <f>IF(AV78="","",SUMIFS(Performance!$Z$5:$Z$404,Performance!$N$5:$N$404,AV78))</f>
        <v>0</v>
      </c>
      <c r="AZ78" s="24">
        <f>IF(OR(AX78="",AX78=0),"",AY78/AX78)</f>
        <v>0</v>
      </c>
      <c r="BA78" s="32">
        <f>IF(AW78=0,"",IF(AZ78="","",AZ78+ROW()/1000000))</f>
        <v>0</v>
      </c>
      <c r="BB78" s="17">
        <f>IF(Lists!$AL78="","",Lists!$AL78)</f>
        <v>0</v>
      </c>
      <c r="BC78" s="23">
        <f>IF(BB78="","",COUNTIF(Performance!$M$5:$M$404,BB78))</f>
        <v>0</v>
      </c>
      <c r="BD78" s="23">
        <f>IF(BB78="","",SUMIFS(Performance!$O$5:$O$404,Performance!$M$5:$M$404,BB78))</f>
        <v>0</v>
      </c>
      <c r="BE78" s="23">
        <f>IF(BB78="","",SUMIFS(Performance!$Z$5:$Z$404,Performance!$M$5:$M$404,BB78))</f>
        <v>0</v>
      </c>
      <c r="BF78" s="24">
        <f>IF(OR(BD78="",BD78=0),"",BE78/BD78)</f>
        <v>0</v>
      </c>
      <c r="BG78" s="32">
        <f>IF(BC78=0,"",IF(BF78="","",BF78+ROW()/1000000))</f>
        <v>0</v>
      </c>
      <c r="BH78" s="17">
        <f>IF(Performance!$C$78="","",Performance!$C$78)</f>
        <v>0</v>
      </c>
      <c r="BI78" s="17">
        <f>IF(Performance!$F$78="","",Performance!$F$78)</f>
        <v>0</v>
      </c>
      <c r="BJ78" s="17">
        <f>IF(Performance!$H$78="","",Performance!$H$78)</f>
        <v>0</v>
      </c>
      <c r="BK78" s="16">
        <f>IF(Performance!$D$78="","",Performance!$D$78)</f>
        <v>0</v>
      </c>
      <c r="BL78" s="17">
        <f>IF(Performance!$E$78="","",Performance!$E$78)</f>
        <v>0</v>
      </c>
      <c r="BM78" s="23">
        <f>IF(Performance!$O$78="","",Performance!$O$78)</f>
        <v>0</v>
      </c>
      <c r="BN78" s="24">
        <f>IF(Performance!$AA$78="","",Performance!$AA$78)</f>
        <v>0</v>
      </c>
      <c r="BO78" s="32">
        <f>IF(BH78="","",IF(BK78="","",IF(OR(BK78&lt;DashStart,BK78&gt;DashEnd),"",IF(BN78="","",BN78+ROW()/1000000))))</f>
        <v>0</v>
      </c>
      <c r="BP78" s="32">
        <f>IF(BM78="","",IF(BK78="","",IF(OR(BK78&lt;DashStart,BK78&gt;DashEnd),"",BM78+ROW()/1000000)))</f>
        <v>0</v>
      </c>
      <c r="BQ78" s="32">
        <f>IF(BH78="","",IF(BK78="","",IF(YEAR(BK78)&lt;&gt;PlanYear,"",IF(BN78="","",BN78+ROW()/1000000))))</f>
        <v>0</v>
      </c>
      <c r="BR78" s="32">
        <f>IF(BH78="","",IF(BK78="","",IF(OR(BK78&lt;RepFrom,BK78&gt;RepTo),"",IF(BN78="","",BN78+ROW()/1000000))))</f>
        <v>0</v>
      </c>
      <c r="BS78" s="32">
        <f>IF(BM78="","",IF(BK78="","",IF(YEAR(BK78)&lt;&gt;PlanYear,"",BM78+ROW()/1000000)))</f>
        <v>0</v>
      </c>
      <c r="BT78" s="17">
        <f>IF(Lists!$F78="","",Lists!$F78)</f>
        <v>0</v>
      </c>
      <c r="BU78" s="23">
        <f>IF(BT78="","",COUNTIF('Content Calendar'!$X$5:$X$604,BT78))</f>
        <v>0</v>
      </c>
      <c r="BV78" s="23">
        <f>IF(BT78="","",COUNTIFS('Content Calendar'!$X$5:$X$604,BT78,'Content Calendar'!$B$5:$B$604,"&gt;="&amp;DashStart,'Content Calendar'!$B$5:$B$604,"&lt;="&amp;DashEnd))</f>
        <v>0</v>
      </c>
      <c r="BW78" s="17">
        <f>IF(Team!$B$78="","",Team!$B$78)</f>
        <v>0</v>
      </c>
      <c r="BX78" s="23">
        <f>IF(BW78="","",COUNTIF('Content Calendar'!$W$5:$W$604,BW78))</f>
        <v>0</v>
      </c>
      <c r="BY78" s="23">
        <f>IF(BW78="","",COUNTIFS('Content Calendar'!$W$5:$W$604,BW78,'Content Calendar'!$X$5:$X$604,"&lt;&gt;Published"))</f>
        <v>0</v>
      </c>
      <c r="BZ78" s="23">
        <f>IF(BW78="","",COUNTIFS(Tasks!$C$5:$C$64,BW78,Tasks!$G$5:$G$64,"&lt;&gt;Complete"))</f>
        <v>0</v>
      </c>
      <c r="CA78" s="17">
        <f>IF(Campaigns!$B$78="","",Campaigns!$B$78)</f>
        <v>0</v>
      </c>
      <c r="CB78" s="25">
        <f>IF(Campaigns!$T$78="","",Campaigns!$T$78)</f>
        <v>0</v>
      </c>
      <c r="CC78" s="25">
        <f>IF(Campaigns!$Q$78="","",Campaigns!$Q$78)</f>
        <v>0</v>
      </c>
      <c r="CD78" s="23">
        <f>IF(Campaigns!$Y$78="","",Campaigns!$Y$78)</f>
        <v>0</v>
      </c>
      <c r="CE78" s="32">
        <f>IF(CA78="","",IF(N(CB78)&lt;=0,"",N(CB78)+ROW()/1000000))</f>
        <v>0</v>
      </c>
      <c r="CF78" s="17">
        <f>IF(Accounts!$C$78="","",Accounts!$C$78)</f>
        <v>0</v>
      </c>
      <c r="CG78" s="17">
        <f>IF(Accounts!$B$78="","",Accounts!$B$78)</f>
        <v>0</v>
      </c>
      <c r="CH78" s="23">
        <f>IF(Accounts!$J$78="","",Accounts!$J$78)</f>
        <v>0</v>
      </c>
      <c r="CI78" s="23">
        <f>IF(CF78="","",SUMIFS(Analytics!$X$5:$X$154,Analytics!$E$5:$E$154,CF78,Analytics!$B$5:$B$154,"&gt;="&amp;DashStart,Analytics!$B$5:$B$154,"&lt;="&amp;DashEnd))</f>
        <v>0</v>
      </c>
      <c r="CJ78" s="32">
        <f>IF(CH78="","",IF(CH78=0,"",CH78+ROW()/1000000))</f>
        <v>0</v>
      </c>
    </row>
    <row r="79" spans="1:88">
      <c r="A79" s="16">
        <f>IF(ROW()-4&gt;12,"",DATE(PlanYear,ROW()-4,1))</f>
        <v>0</v>
      </c>
      <c r="B79" s="16">
        <f>IF(A79="","",EOMONTH(A79,0))</f>
        <v>0</v>
      </c>
      <c r="C79" s="17">
        <f>IF(A79="","",TEXT(A79,"yyyy-mm"))</f>
        <v>0</v>
      </c>
      <c r="D79" s="17">
        <f>IF(A79="","",TEXT(A79,"mmm"))</f>
        <v>0</v>
      </c>
      <c r="E79" s="23">
        <f>IF(C79="","",COUNTIFS('Content Calendar'!$D$5:$D$604,C79))</f>
        <v>0</v>
      </c>
      <c r="F79" s="23">
        <f>IF(C79="","",COUNTIFS('Content Calendar'!$D$5:$D$604,C79,'Content Calendar'!$X$5:$X$604,"Published"))</f>
        <v>0</v>
      </c>
      <c r="G79" s="23">
        <f>IF(C79="","",SUMIFS(Analytics!$J$5:$J$154,Analytics!$C$5:$C$154,C79))</f>
        <v>0</v>
      </c>
      <c r="H79" s="23">
        <f>IF(C79="","",SUMIFS(Analytics!$K$5:$K$154,Analytics!$C$5:$C$154,C79))</f>
        <v>0</v>
      </c>
      <c r="I79" s="23">
        <f>IF(C79="","",SUMIFS(Analytics!$L$5:$L$154,Analytics!$C$5:$C$154,C79))</f>
        <v>0</v>
      </c>
      <c r="J79" s="24">
        <f>IF(OR(G79="",G79=0),"",I79/G79)</f>
        <v>0</v>
      </c>
      <c r="K79" s="23">
        <f>IF(C79="","",SUMIFS(Analytics!$G$5:$G$154,Analytics!$C$5:$C$154,C79))</f>
        <v>0</v>
      </c>
      <c r="L79" s="23">
        <f>IF(C79="","",SUMIFS(Analytics!$X$5:$X$154,Analytics!$C$5:$C$154,C79))</f>
        <v>0</v>
      </c>
      <c r="M79" s="23">
        <f>IF(C79="","",SUMIFS(Analytics!$R$5:$R$154,Analytics!$C$5:$C$154,C79))</f>
        <v>0</v>
      </c>
      <c r="N79" s="23">
        <f>IF(C79="","",SUMIFS(Analytics!$S$5:$S$154,Analytics!$C$5:$C$154,C79))</f>
        <v>0</v>
      </c>
      <c r="O79" s="23">
        <f>IF(C79="","",SUMIFS(Analytics!$T$5:$T$154,Analytics!$C$5:$C$154,C79))</f>
        <v>0</v>
      </c>
      <c r="P79" s="25">
        <f>IF(C79="","",SUMIFS(Analytics!$U$5:$U$154,Analytics!$C$5:$C$154,C79))</f>
        <v>0</v>
      </c>
      <c r="Q79" s="25">
        <f>IF(C79="","",SUMIFS(Budget!$H$5:$H$64,Budget!$C$5:$C$64,C79))</f>
        <v>0</v>
      </c>
      <c r="R79" s="25">
        <f>IF(C79="","",P79-Q79)</f>
        <v>0</v>
      </c>
      <c r="S79" s="23">
        <f>IF(C79="","",MonthlyPostTarget)</f>
        <v>0</v>
      </c>
      <c r="T79" s="17">
        <f>IF(Lists!$C79="","",Lists!$C79)</f>
        <v>0</v>
      </c>
      <c r="U79" s="23">
        <f>IF(T79="","",COUNTIFS('Content Calendar'!$G$5:$G$604,T79,'Content Calendar'!$B$5:$B$604,"&gt;="&amp;DashStart,'Content Calendar'!$B$5:$B$604,"&lt;="&amp;DashEnd))</f>
        <v>0</v>
      </c>
      <c r="V79" s="23">
        <f>IF(T79="","",COUNTIFS('Content Calendar'!$G$5:$G$604,T79,'Content Calendar'!$X$5:$X$604,"Published",'Content Calendar'!$B$5:$B$604,"&gt;="&amp;DashStart,'Content Calendar'!$B$5:$B$604,"&lt;="&amp;DashEnd))</f>
        <v>0</v>
      </c>
      <c r="W79" s="23">
        <f>IF(T79="","",SUMIFS(Analytics!$J$5:$J$154,Analytics!$D$5:$D$154,T79,Analytics!$B$5:$B$154,"&gt;="&amp;DashStart,Analytics!$B$5:$B$154,"&lt;="&amp;DashEnd))</f>
        <v>0</v>
      </c>
      <c r="X79" s="23">
        <f>IF(T79="","",SUMIFS(Analytics!$L$5:$L$154,Analytics!$D$5:$D$154,T79,Analytics!$B$5:$B$154,"&gt;="&amp;DashStart,Analytics!$B$5:$B$154,"&lt;="&amp;DashEnd))</f>
        <v>0</v>
      </c>
      <c r="Y79" s="24">
        <f>IF(OR(W79="",W79=0),"",X79/W79)</f>
        <v>0</v>
      </c>
      <c r="Z79" s="23">
        <f>IF(T79="","",SUMIFS(Analytics!$G$5:$G$154,Analytics!$D$5:$D$154,T79,Analytics!$B$5:$B$154,"&gt;="&amp;DashStart,Analytics!$B$5:$B$154,"&lt;="&amp;DashEnd))</f>
        <v>0</v>
      </c>
      <c r="AA79" s="23">
        <f>IF(T79="","",SUMIFS(Analytics!$X$5:$X$154,Analytics!$D$5:$D$154,T79,Analytics!$B$5:$B$154,"&gt;="&amp;DashStart,Analytics!$B$5:$B$154,"&lt;="&amp;DashEnd))</f>
        <v>0</v>
      </c>
      <c r="AB79" s="23">
        <f>IF(T79="","",SUMIFS(Analytics!$R$5:$R$154,Analytics!$D$5:$D$154,T79,Analytics!$B$5:$B$154,"&gt;="&amp;DashStart,Analytics!$B$5:$B$154,"&lt;="&amp;DashEnd))</f>
        <v>0</v>
      </c>
      <c r="AC79" s="25">
        <f>IF(T79="","",SUMIFS(Analytics!$U$5:$U$154,Analytics!$D$5:$D$154,T79,Analytics!$B$5:$B$154,"&gt;="&amp;DashStart,Analytics!$B$5:$B$154,"&lt;="&amp;DashEnd))</f>
        <v>0</v>
      </c>
      <c r="AD79" s="23">
        <f>IF(T79="","",COUNTIFS('Content Calendar'!$G$5:$G$604,T79,'Content Calendar'!$B$5:$B$604,"&gt;="&amp;DATE(PlanYear,1,1),'Content Calendar'!$B$5:$B$604,"&lt;="&amp;DATE(PlanYear,12,31)))</f>
        <v>0</v>
      </c>
      <c r="AE79" s="23">
        <f>IF(T79="","",SUMIFS(Analytics!$J$5:$J$154,Analytics!$D$5:$D$154,T79))</f>
        <v>0</v>
      </c>
      <c r="AF79" s="23">
        <f>IF(T79="","",SUMIFS(Analytics!$L$5:$L$154,Analytics!$D$5:$D$154,T79))</f>
        <v>0</v>
      </c>
      <c r="AG79" s="24">
        <f>IF(OR(AE79="",AE79=0),"",AF79/AE79)</f>
        <v>0</v>
      </c>
      <c r="AH79" s="23">
        <f>IF(T79="","",SUMIFS(Analytics!$X$5:$X$154,Analytics!$D$5:$D$154,T79))</f>
        <v>0</v>
      </c>
      <c r="AI79" s="32">
        <f>IF(T79="","",IF(AE79=0,"",AE79+ROW()/1000000))</f>
        <v>0</v>
      </c>
      <c r="AJ79" s="17">
        <f>IF('Content Pillars'!$B$79="","",'Content Pillars'!$B$79)</f>
        <v>0</v>
      </c>
      <c r="AK79" s="23">
        <f>IF(AJ79="","",COUNTIFS('Content Calendar'!$J$5:$J$604,AJ79,'Content Calendar'!$B$5:$B$604,"&gt;="&amp;DATE(PlanYear,1,1),'Content Calendar'!$B$5:$B$604,"&lt;="&amp;DATE(PlanYear,12,31)))</f>
        <v>0</v>
      </c>
      <c r="AL79" s="23">
        <f>IF(AJ79="","",SUMIFS(Performance!$O$5:$O$404,Performance!$H$5:$H$404,AJ79))</f>
        <v>0</v>
      </c>
      <c r="AM79" s="23">
        <f>IF(AJ79="","",SUMIFS(Performance!$Z$5:$Z$404,Performance!$H$5:$H$404,AJ79))</f>
        <v>0</v>
      </c>
      <c r="AN79" s="24">
        <f>IF(OR(AL79="",AL79=0),"",AM79/AL79)</f>
        <v>0</v>
      </c>
      <c r="AO79" s="32">
        <f>IF(AN79="","",AN79+ROW()/1000000)</f>
        <v>0</v>
      </c>
      <c r="AP79" s="17">
        <f>IF(Lists!$E79="","",Lists!$E79)</f>
        <v>0</v>
      </c>
      <c r="AQ79" s="23">
        <f>IF(AP79="","",COUNTIF(Performance!$G$5:$G$404,AP79))</f>
        <v>0</v>
      </c>
      <c r="AR79" s="23">
        <f>IF(AP79="","",SUMIFS(Performance!$O$5:$O$404,Performance!$G$5:$G$404,AP79))</f>
        <v>0</v>
      </c>
      <c r="AS79" s="23">
        <f>IF(AP79="","",SUMIFS(Performance!$Z$5:$Z$404,Performance!$G$5:$G$404,AP79))</f>
        <v>0</v>
      </c>
      <c r="AT79" s="24">
        <f>IF(OR(AR79="",AR79=0),"",AS79/AR79)</f>
        <v>0</v>
      </c>
      <c r="AU79" s="32">
        <f>IF(AQ79=0,"",IF(AT79="","",AT79+ROW()/1000000))</f>
        <v>0</v>
      </c>
      <c r="AV79" s="17">
        <f>IF(ROW()-4&gt;7,"",TEXT(DATE(2024,1,ROW()-4),"ddd"))</f>
        <v>0</v>
      </c>
      <c r="AW79" s="23">
        <f>IF(AV79="","",COUNTIF(Performance!$N$5:$N$404,AV79))</f>
        <v>0</v>
      </c>
      <c r="AX79" s="23">
        <f>IF(AV79="","",SUMIFS(Performance!$O$5:$O$404,Performance!$N$5:$N$404,AV79))</f>
        <v>0</v>
      </c>
      <c r="AY79" s="23">
        <f>IF(AV79="","",SUMIFS(Performance!$Z$5:$Z$404,Performance!$N$5:$N$404,AV79))</f>
        <v>0</v>
      </c>
      <c r="AZ79" s="24">
        <f>IF(OR(AX79="",AX79=0),"",AY79/AX79)</f>
        <v>0</v>
      </c>
      <c r="BA79" s="32">
        <f>IF(AW79=0,"",IF(AZ79="","",AZ79+ROW()/1000000))</f>
        <v>0</v>
      </c>
      <c r="BB79" s="17">
        <f>IF(Lists!$AL79="","",Lists!$AL79)</f>
        <v>0</v>
      </c>
      <c r="BC79" s="23">
        <f>IF(BB79="","",COUNTIF(Performance!$M$5:$M$404,BB79))</f>
        <v>0</v>
      </c>
      <c r="BD79" s="23">
        <f>IF(BB79="","",SUMIFS(Performance!$O$5:$O$404,Performance!$M$5:$M$404,BB79))</f>
        <v>0</v>
      </c>
      <c r="BE79" s="23">
        <f>IF(BB79="","",SUMIFS(Performance!$Z$5:$Z$404,Performance!$M$5:$M$404,BB79))</f>
        <v>0</v>
      </c>
      <c r="BF79" s="24">
        <f>IF(OR(BD79="",BD79=0),"",BE79/BD79)</f>
        <v>0</v>
      </c>
      <c r="BG79" s="32">
        <f>IF(BC79=0,"",IF(BF79="","",BF79+ROW()/1000000))</f>
        <v>0</v>
      </c>
      <c r="BH79" s="17">
        <f>IF(Performance!$C$79="","",Performance!$C$79)</f>
        <v>0</v>
      </c>
      <c r="BI79" s="17">
        <f>IF(Performance!$F$79="","",Performance!$F$79)</f>
        <v>0</v>
      </c>
      <c r="BJ79" s="17">
        <f>IF(Performance!$H$79="","",Performance!$H$79)</f>
        <v>0</v>
      </c>
      <c r="BK79" s="16">
        <f>IF(Performance!$D$79="","",Performance!$D$79)</f>
        <v>0</v>
      </c>
      <c r="BL79" s="17">
        <f>IF(Performance!$E$79="","",Performance!$E$79)</f>
        <v>0</v>
      </c>
      <c r="BM79" s="23">
        <f>IF(Performance!$O$79="","",Performance!$O$79)</f>
        <v>0</v>
      </c>
      <c r="BN79" s="24">
        <f>IF(Performance!$AA$79="","",Performance!$AA$79)</f>
        <v>0</v>
      </c>
      <c r="BO79" s="32">
        <f>IF(BH79="","",IF(BK79="","",IF(OR(BK79&lt;DashStart,BK79&gt;DashEnd),"",IF(BN79="","",BN79+ROW()/1000000))))</f>
        <v>0</v>
      </c>
      <c r="BP79" s="32">
        <f>IF(BM79="","",IF(BK79="","",IF(OR(BK79&lt;DashStart,BK79&gt;DashEnd),"",BM79+ROW()/1000000)))</f>
        <v>0</v>
      </c>
      <c r="BQ79" s="32">
        <f>IF(BH79="","",IF(BK79="","",IF(YEAR(BK79)&lt;&gt;PlanYear,"",IF(BN79="","",BN79+ROW()/1000000))))</f>
        <v>0</v>
      </c>
      <c r="BR79" s="32">
        <f>IF(BH79="","",IF(BK79="","",IF(OR(BK79&lt;RepFrom,BK79&gt;RepTo),"",IF(BN79="","",BN79+ROW()/1000000))))</f>
        <v>0</v>
      </c>
      <c r="BS79" s="32">
        <f>IF(BM79="","",IF(BK79="","",IF(YEAR(BK79)&lt;&gt;PlanYear,"",BM79+ROW()/1000000)))</f>
        <v>0</v>
      </c>
      <c r="BT79" s="17">
        <f>IF(Lists!$F79="","",Lists!$F79)</f>
        <v>0</v>
      </c>
      <c r="BU79" s="23">
        <f>IF(BT79="","",COUNTIF('Content Calendar'!$X$5:$X$604,BT79))</f>
        <v>0</v>
      </c>
      <c r="BV79" s="23">
        <f>IF(BT79="","",COUNTIFS('Content Calendar'!$X$5:$X$604,BT79,'Content Calendar'!$B$5:$B$604,"&gt;="&amp;DashStart,'Content Calendar'!$B$5:$B$604,"&lt;="&amp;DashEnd))</f>
        <v>0</v>
      </c>
      <c r="BW79" s="17">
        <f>IF(Team!$B$79="","",Team!$B$79)</f>
        <v>0</v>
      </c>
      <c r="BX79" s="23">
        <f>IF(BW79="","",COUNTIF('Content Calendar'!$W$5:$W$604,BW79))</f>
        <v>0</v>
      </c>
      <c r="BY79" s="23">
        <f>IF(BW79="","",COUNTIFS('Content Calendar'!$W$5:$W$604,BW79,'Content Calendar'!$X$5:$X$604,"&lt;&gt;Published"))</f>
        <v>0</v>
      </c>
      <c r="BZ79" s="23">
        <f>IF(BW79="","",COUNTIFS(Tasks!$C$5:$C$64,BW79,Tasks!$G$5:$G$64,"&lt;&gt;Complete"))</f>
        <v>0</v>
      </c>
      <c r="CA79" s="17">
        <f>IF(Campaigns!$B$79="","",Campaigns!$B$79)</f>
        <v>0</v>
      </c>
      <c r="CB79" s="25">
        <f>IF(Campaigns!$T$79="","",Campaigns!$T$79)</f>
        <v>0</v>
      </c>
      <c r="CC79" s="25">
        <f>IF(Campaigns!$Q$79="","",Campaigns!$Q$79)</f>
        <v>0</v>
      </c>
      <c r="CD79" s="23">
        <f>IF(Campaigns!$Y$79="","",Campaigns!$Y$79)</f>
        <v>0</v>
      </c>
      <c r="CE79" s="32">
        <f>IF(CA79="","",IF(N(CB79)&lt;=0,"",N(CB79)+ROW()/1000000))</f>
        <v>0</v>
      </c>
      <c r="CF79" s="17">
        <f>IF(Accounts!$C$79="","",Accounts!$C$79)</f>
        <v>0</v>
      </c>
      <c r="CG79" s="17">
        <f>IF(Accounts!$B$79="","",Accounts!$B$79)</f>
        <v>0</v>
      </c>
      <c r="CH79" s="23">
        <f>IF(Accounts!$J$79="","",Accounts!$J$79)</f>
        <v>0</v>
      </c>
      <c r="CI79" s="23">
        <f>IF(CF79="","",SUMIFS(Analytics!$X$5:$X$154,Analytics!$E$5:$E$154,CF79,Analytics!$B$5:$B$154,"&gt;="&amp;DashStart,Analytics!$B$5:$B$154,"&lt;="&amp;DashEnd))</f>
        <v>0</v>
      </c>
      <c r="CJ79" s="32">
        <f>IF(CH79="","",IF(CH79=0,"",CH79+ROW()/1000000))</f>
        <v>0</v>
      </c>
    </row>
    <row r="80" spans="1:88">
      <c r="A80" s="16">
        <f>IF(ROW()-4&gt;12,"",DATE(PlanYear,ROW()-4,1))</f>
        <v>0</v>
      </c>
      <c r="B80" s="16">
        <f>IF(A80="","",EOMONTH(A80,0))</f>
        <v>0</v>
      </c>
      <c r="C80" s="17">
        <f>IF(A80="","",TEXT(A80,"yyyy-mm"))</f>
        <v>0</v>
      </c>
      <c r="D80" s="17">
        <f>IF(A80="","",TEXT(A80,"mmm"))</f>
        <v>0</v>
      </c>
      <c r="E80" s="23">
        <f>IF(C80="","",COUNTIFS('Content Calendar'!$D$5:$D$604,C80))</f>
        <v>0</v>
      </c>
      <c r="F80" s="23">
        <f>IF(C80="","",COUNTIFS('Content Calendar'!$D$5:$D$604,C80,'Content Calendar'!$X$5:$X$604,"Published"))</f>
        <v>0</v>
      </c>
      <c r="G80" s="23">
        <f>IF(C80="","",SUMIFS(Analytics!$J$5:$J$154,Analytics!$C$5:$C$154,C80))</f>
        <v>0</v>
      </c>
      <c r="H80" s="23">
        <f>IF(C80="","",SUMIFS(Analytics!$K$5:$K$154,Analytics!$C$5:$C$154,C80))</f>
        <v>0</v>
      </c>
      <c r="I80" s="23">
        <f>IF(C80="","",SUMIFS(Analytics!$L$5:$L$154,Analytics!$C$5:$C$154,C80))</f>
        <v>0</v>
      </c>
      <c r="J80" s="24">
        <f>IF(OR(G80="",G80=0),"",I80/G80)</f>
        <v>0</v>
      </c>
      <c r="K80" s="23">
        <f>IF(C80="","",SUMIFS(Analytics!$G$5:$G$154,Analytics!$C$5:$C$154,C80))</f>
        <v>0</v>
      </c>
      <c r="L80" s="23">
        <f>IF(C80="","",SUMIFS(Analytics!$X$5:$X$154,Analytics!$C$5:$C$154,C80))</f>
        <v>0</v>
      </c>
      <c r="M80" s="23">
        <f>IF(C80="","",SUMIFS(Analytics!$R$5:$R$154,Analytics!$C$5:$C$154,C80))</f>
        <v>0</v>
      </c>
      <c r="N80" s="23">
        <f>IF(C80="","",SUMIFS(Analytics!$S$5:$S$154,Analytics!$C$5:$C$154,C80))</f>
        <v>0</v>
      </c>
      <c r="O80" s="23">
        <f>IF(C80="","",SUMIFS(Analytics!$T$5:$T$154,Analytics!$C$5:$C$154,C80))</f>
        <v>0</v>
      </c>
      <c r="P80" s="25">
        <f>IF(C80="","",SUMIFS(Analytics!$U$5:$U$154,Analytics!$C$5:$C$154,C80))</f>
        <v>0</v>
      </c>
      <c r="Q80" s="25">
        <f>IF(C80="","",SUMIFS(Budget!$H$5:$H$64,Budget!$C$5:$C$64,C80))</f>
        <v>0</v>
      </c>
      <c r="R80" s="25">
        <f>IF(C80="","",P80-Q80)</f>
        <v>0</v>
      </c>
      <c r="S80" s="23">
        <f>IF(C80="","",MonthlyPostTarget)</f>
        <v>0</v>
      </c>
      <c r="T80" s="17">
        <f>IF(Lists!$C80="","",Lists!$C80)</f>
        <v>0</v>
      </c>
      <c r="U80" s="23">
        <f>IF(T80="","",COUNTIFS('Content Calendar'!$G$5:$G$604,T80,'Content Calendar'!$B$5:$B$604,"&gt;="&amp;DashStart,'Content Calendar'!$B$5:$B$604,"&lt;="&amp;DashEnd))</f>
        <v>0</v>
      </c>
      <c r="V80" s="23">
        <f>IF(T80="","",COUNTIFS('Content Calendar'!$G$5:$G$604,T80,'Content Calendar'!$X$5:$X$604,"Published",'Content Calendar'!$B$5:$B$604,"&gt;="&amp;DashStart,'Content Calendar'!$B$5:$B$604,"&lt;="&amp;DashEnd))</f>
        <v>0</v>
      </c>
      <c r="W80" s="23">
        <f>IF(T80="","",SUMIFS(Analytics!$J$5:$J$154,Analytics!$D$5:$D$154,T80,Analytics!$B$5:$B$154,"&gt;="&amp;DashStart,Analytics!$B$5:$B$154,"&lt;="&amp;DashEnd))</f>
        <v>0</v>
      </c>
      <c r="X80" s="23">
        <f>IF(T80="","",SUMIFS(Analytics!$L$5:$L$154,Analytics!$D$5:$D$154,T80,Analytics!$B$5:$B$154,"&gt;="&amp;DashStart,Analytics!$B$5:$B$154,"&lt;="&amp;DashEnd))</f>
        <v>0</v>
      </c>
      <c r="Y80" s="24">
        <f>IF(OR(W80="",W80=0),"",X80/W80)</f>
        <v>0</v>
      </c>
      <c r="Z80" s="23">
        <f>IF(T80="","",SUMIFS(Analytics!$G$5:$G$154,Analytics!$D$5:$D$154,T80,Analytics!$B$5:$B$154,"&gt;="&amp;DashStart,Analytics!$B$5:$B$154,"&lt;="&amp;DashEnd))</f>
        <v>0</v>
      </c>
      <c r="AA80" s="23">
        <f>IF(T80="","",SUMIFS(Analytics!$X$5:$X$154,Analytics!$D$5:$D$154,T80,Analytics!$B$5:$B$154,"&gt;="&amp;DashStart,Analytics!$B$5:$B$154,"&lt;="&amp;DashEnd))</f>
        <v>0</v>
      </c>
      <c r="AB80" s="23">
        <f>IF(T80="","",SUMIFS(Analytics!$R$5:$R$154,Analytics!$D$5:$D$154,T80,Analytics!$B$5:$B$154,"&gt;="&amp;DashStart,Analytics!$B$5:$B$154,"&lt;="&amp;DashEnd))</f>
        <v>0</v>
      </c>
      <c r="AC80" s="25">
        <f>IF(T80="","",SUMIFS(Analytics!$U$5:$U$154,Analytics!$D$5:$D$154,T80,Analytics!$B$5:$B$154,"&gt;="&amp;DashStart,Analytics!$B$5:$B$154,"&lt;="&amp;DashEnd))</f>
        <v>0</v>
      </c>
      <c r="AD80" s="23">
        <f>IF(T80="","",COUNTIFS('Content Calendar'!$G$5:$G$604,T80,'Content Calendar'!$B$5:$B$604,"&gt;="&amp;DATE(PlanYear,1,1),'Content Calendar'!$B$5:$B$604,"&lt;="&amp;DATE(PlanYear,12,31)))</f>
        <v>0</v>
      </c>
      <c r="AE80" s="23">
        <f>IF(T80="","",SUMIFS(Analytics!$J$5:$J$154,Analytics!$D$5:$D$154,T80))</f>
        <v>0</v>
      </c>
      <c r="AF80" s="23">
        <f>IF(T80="","",SUMIFS(Analytics!$L$5:$L$154,Analytics!$D$5:$D$154,T80))</f>
        <v>0</v>
      </c>
      <c r="AG80" s="24">
        <f>IF(OR(AE80="",AE80=0),"",AF80/AE80)</f>
        <v>0</v>
      </c>
      <c r="AH80" s="23">
        <f>IF(T80="","",SUMIFS(Analytics!$X$5:$X$154,Analytics!$D$5:$D$154,T80))</f>
        <v>0</v>
      </c>
      <c r="AI80" s="32">
        <f>IF(T80="","",IF(AE80=0,"",AE80+ROW()/1000000))</f>
        <v>0</v>
      </c>
      <c r="AJ80" s="17">
        <f>IF('Content Pillars'!$B$80="","",'Content Pillars'!$B$80)</f>
        <v>0</v>
      </c>
      <c r="AK80" s="23">
        <f>IF(AJ80="","",COUNTIFS('Content Calendar'!$J$5:$J$604,AJ80,'Content Calendar'!$B$5:$B$604,"&gt;="&amp;DATE(PlanYear,1,1),'Content Calendar'!$B$5:$B$604,"&lt;="&amp;DATE(PlanYear,12,31)))</f>
        <v>0</v>
      </c>
      <c r="AL80" s="23">
        <f>IF(AJ80="","",SUMIFS(Performance!$O$5:$O$404,Performance!$H$5:$H$404,AJ80))</f>
        <v>0</v>
      </c>
      <c r="AM80" s="23">
        <f>IF(AJ80="","",SUMIFS(Performance!$Z$5:$Z$404,Performance!$H$5:$H$404,AJ80))</f>
        <v>0</v>
      </c>
      <c r="AN80" s="24">
        <f>IF(OR(AL80="",AL80=0),"",AM80/AL80)</f>
        <v>0</v>
      </c>
      <c r="AO80" s="32">
        <f>IF(AN80="","",AN80+ROW()/1000000)</f>
        <v>0</v>
      </c>
      <c r="AP80" s="17">
        <f>IF(Lists!$E80="","",Lists!$E80)</f>
        <v>0</v>
      </c>
      <c r="AQ80" s="23">
        <f>IF(AP80="","",COUNTIF(Performance!$G$5:$G$404,AP80))</f>
        <v>0</v>
      </c>
      <c r="AR80" s="23">
        <f>IF(AP80="","",SUMIFS(Performance!$O$5:$O$404,Performance!$G$5:$G$404,AP80))</f>
        <v>0</v>
      </c>
      <c r="AS80" s="23">
        <f>IF(AP80="","",SUMIFS(Performance!$Z$5:$Z$404,Performance!$G$5:$G$404,AP80))</f>
        <v>0</v>
      </c>
      <c r="AT80" s="24">
        <f>IF(OR(AR80="",AR80=0),"",AS80/AR80)</f>
        <v>0</v>
      </c>
      <c r="AU80" s="32">
        <f>IF(AQ80=0,"",IF(AT80="","",AT80+ROW()/1000000))</f>
        <v>0</v>
      </c>
      <c r="AV80" s="17">
        <f>IF(ROW()-4&gt;7,"",TEXT(DATE(2024,1,ROW()-4),"ddd"))</f>
        <v>0</v>
      </c>
      <c r="AW80" s="23">
        <f>IF(AV80="","",COUNTIF(Performance!$N$5:$N$404,AV80))</f>
        <v>0</v>
      </c>
      <c r="AX80" s="23">
        <f>IF(AV80="","",SUMIFS(Performance!$O$5:$O$404,Performance!$N$5:$N$404,AV80))</f>
        <v>0</v>
      </c>
      <c r="AY80" s="23">
        <f>IF(AV80="","",SUMIFS(Performance!$Z$5:$Z$404,Performance!$N$5:$N$404,AV80))</f>
        <v>0</v>
      </c>
      <c r="AZ80" s="24">
        <f>IF(OR(AX80="",AX80=0),"",AY80/AX80)</f>
        <v>0</v>
      </c>
      <c r="BA80" s="32">
        <f>IF(AW80=0,"",IF(AZ80="","",AZ80+ROW()/1000000))</f>
        <v>0</v>
      </c>
      <c r="BB80" s="17">
        <f>IF(Lists!$AL80="","",Lists!$AL80)</f>
        <v>0</v>
      </c>
      <c r="BC80" s="23">
        <f>IF(BB80="","",COUNTIF(Performance!$M$5:$M$404,BB80))</f>
        <v>0</v>
      </c>
      <c r="BD80" s="23">
        <f>IF(BB80="","",SUMIFS(Performance!$O$5:$O$404,Performance!$M$5:$M$404,BB80))</f>
        <v>0</v>
      </c>
      <c r="BE80" s="23">
        <f>IF(BB80="","",SUMIFS(Performance!$Z$5:$Z$404,Performance!$M$5:$M$404,BB80))</f>
        <v>0</v>
      </c>
      <c r="BF80" s="24">
        <f>IF(OR(BD80="",BD80=0),"",BE80/BD80)</f>
        <v>0</v>
      </c>
      <c r="BG80" s="32">
        <f>IF(BC80=0,"",IF(BF80="","",BF80+ROW()/1000000))</f>
        <v>0</v>
      </c>
      <c r="BH80" s="17">
        <f>IF(Performance!$C$80="","",Performance!$C$80)</f>
        <v>0</v>
      </c>
      <c r="BI80" s="17">
        <f>IF(Performance!$F$80="","",Performance!$F$80)</f>
        <v>0</v>
      </c>
      <c r="BJ80" s="17">
        <f>IF(Performance!$H$80="","",Performance!$H$80)</f>
        <v>0</v>
      </c>
      <c r="BK80" s="16">
        <f>IF(Performance!$D$80="","",Performance!$D$80)</f>
        <v>0</v>
      </c>
      <c r="BL80" s="17">
        <f>IF(Performance!$E$80="","",Performance!$E$80)</f>
        <v>0</v>
      </c>
      <c r="BM80" s="23">
        <f>IF(Performance!$O$80="","",Performance!$O$80)</f>
        <v>0</v>
      </c>
      <c r="BN80" s="24">
        <f>IF(Performance!$AA$80="","",Performance!$AA$80)</f>
        <v>0</v>
      </c>
      <c r="BO80" s="32">
        <f>IF(BH80="","",IF(BK80="","",IF(OR(BK80&lt;DashStart,BK80&gt;DashEnd),"",IF(BN80="","",BN80+ROW()/1000000))))</f>
        <v>0</v>
      </c>
      <c r="BP80" s="32">
        <f>IF(BM80="","",IF(BK80="","",IF(OR(BK80&lt;DashStart,BK80&gt;DashEnd),"",BM80+ROW()/1000000)))</f>
        <v>0</v>
      </c>
      <c r="BQ80" s="32">
        <f>IF(BH80="","",IF(BK80="","",IF(YEAR(BK80)&lt;&gt;PlanYear,"",IF(BN80="","",BN80+ROW()/1000000))))</f>
        <v>0</v>
      </c>
      <c r="BR80" s="32">
        <f>IF(BH80="","",IF(BK80="","",IF(OR(BK80&lt;RepFrom,BK80&gt;RepTo),"",IF(BN80="","",BN80+ROW()/1000000))))</f>
        <v>0</v>
      </c>
      <c r="BS80" s="32">
        <f>IF(BM80="","",IF(BK80="","",IF(YEAR(BK80)&lt;&gt;PlanYear,"",BM80+ROW()/1000000)))</f>
        <v>0</v>
      </c>
      <c r="BT80" s="17">
        <f>IF(Lists!$F80="","",Lists!$F80)</f>
        <v>0</v>
      </c>
      <c r="BU80" s="23">
        <f>IF(BT80="","",COUNTIF('Content Calendar'!$X$5:$X$604,BT80))</f>
        <v>0</v>
      </c>
      <c r="BV80" s="23">
        <f>IF(BT80="","",COUNTIFS('Content Calendar'!$X$5:$X$604,BT80,'Content Calendar'!$B$5:$B$604,"&gt;="&amp;DashStart,'Content Calendar'!$B$5:$B$604,"&lt;="&amp;DashEnd))</f>
        <v>0</v>
      </c>
      <c r="BW80" s="17">
        <f>IF(Team!$B$80="","",Team!$B$80)</f>
        <v>0</v>
      </c>
      <c r="BX80" s="23">
        <f>IF(BW80="","",COUNTIF('Content Calendar'!$W$5:$W$604,BW80))</f>
        <v>0</v>
      </c>
      <c r="BY80" s="23">
        <f>IF(BW80="","",COUNTIFS('Content Calendar'!$W$5:$W$604,BW80,'Content Calendar'!$X$5:$X$604,"&lt;&gt;Published"))</f>
        <v>0</v>
      </c>
      <c r="BZ80" s="23">
        <f>IF(BW80="","",COUNTIFS(Tasks!$C$5:$C$64,BW80,Tasks!$G$5:$G$64,"&lt;&gt;Complete"))</f>
        <v>0</v>
      </c>
      <c r="CA80" s="17">
        <f>IF(Campaigns!$B$80="","",Campaigns!$B$80)</f>
        <v>0</v>
      </c>
      <c r="CB80" s="25">
        <f>IF(Campaigns!$T$80="","",Campaigns!$T$80)</f>
        <v>0</v>
      </c>
      <c r="CC80" s="25">
        <f>IF(Campaigns!$Q$80="","",Campaigns!$Q$80)</f>
        <v>0</v>
      </c>
      <c r="CD80" s="23">
        <f>IF(Campaigns!$Y$80="","",Campaigns!$Y$80)</f>
        <v>0</v>
      </c>
      <c r="CE80" s="32">
        <f>IF(CA80="","",IF(N(CB80)&lt;=0,"",N(CB80)+ROW()/1000000))</f>
        <v>0</v>
      </c>
      <c r="CF80" s="17">
        <f>IF(Accounts!$C$80="","",Accounts!$C$80)</f>
        <v>0</v>
      </c>
      <c r="CG80" s="17">
        <f>IF(Accounts!$B$80="","",Accounts!$B$80)</f>
        <v>0</v>
      </c>
      <c r="CH80" s="23">
        <f>IF(Accounts!$J$80="","",Accounts!$J$80)</f>
        <v>0</v>
      </c>
      <c r="CI80" s="23">
        <f>IF(CF80="","",SUMIFS(Analytics!$X$5:$X$154,Analytics!$E$5:$E$154,CF80,Analytics!$B$5:$B$154,"&gt;="&amp;DashStart,Analytics!$B$5:$B$154,"&lt;="&amp;DashEnd))</f>
        <v>0</v>
      </c>
      <c r="CJ80" s="32">
        <f>IF(CH80="","",IF(CH80=0,"",CH80+ROW()/1000000))</f>
        <v>0</v>
      </c>
    </row>
    <row r="81" spans="1:88">
      <c r="A81" s="16">
        <f>IF(ROW()-4&gt;12,"",DATE(PlanYear,ROW()-4,1))</f>
        <v>0</v>
      </c>
      <c r="B81" s="16">
        <f>IF(A81="","",EOMONTH(A81,0))</f>
        <v>0</v>
      </c>
      <c r="C81" s="17">
        <f>IF(A81="","",TEXT(A81,"yyyy-mm"))</f>
        <v>0</v>
      </c>
      <c r="D81" s="17">
        <f>IF(A81="","",TEXT(A81,"mmm"))</f>
        <v>0</v>
      </c>
      <c r="E81" s="23">
        <f>IF(C81="","",COUNTIFS('Content Calendar'!$D$5:$D$604,C81))</f>
        <v>0</v>
      </c>
      <c r="F81" s="23">
        <f>IF(C81="","",COUNTIFS('Content Calendar'!$D$5:$D$604,C81,'Content Calendar'!$X$5:$X$604,"Published"))</f>
        <v>0</v>
      </c>
      <c r="G81" s="23">
        <f>IF(C81="","",SUMIFS(Analytics!$J$5:$J$154,Analytics!$C$5:$C$154,C81))</f>
        <v>0</v>
      </c>
      <c r="H81" s="23">
        <f>IF(C81="","",SUMIFS(Analytics!$K$5:$K$154,Analytics!$C$5:$C$154,C81))</f>
        <v>0</v>
      </c>
      <c r="I81" s="23">
        <f>IF(C81="","",SUMIFS(Analytics!$L$5:$L$154,Analytics!$C$5:$C$154,C81))</f>
        <v>0</v>
      </c>
      <c r="J81" s="24">
        <f>IF(OR(G81="",G81=0),"",I81/G81)</f>
        <v>0</v>
      </c>
      <c r="K81" s="23">
        <f>IF(C81="","",SUMIFS(Analytics!$G$5:$G$154,Analytics!$C$5:$C$154,C81))</f>
        <v>0</v>
      </c>
      <c r="L81" s="23">
        <f>IF(C81="","",SUMIFS(Analytics!$X$5:$X$154,Analytics!$C$5:$C$154,C81))</f>
        <v>0</v>
      </c>
      <c r="M81" s="23">
        <f>IF(C81="","",SUMIFS(Analytics!$R$5:$R$154,Analytics!$C$5:$C$154,C81))</f>
        <v>0</v>
      </c>
      <c r="N81" s="23">
        <f>IF(C81="","",SUMIFS(Analytics!$S$5:$S$154,Analytics!$C$5:$C$154,C81))</f>
        <v>0</v>
      </c>
      <c r="O81" s="23">
        <f>IF(C81="","",SUMIFS(Analytics!$T$5:$T$154,Analytics!$C$5:$C$154,C81))</f>
        <v>0</v>
      </c>
      <c r="P81" s="25">
        <f>IF(C81="","",SUMIFS(Analytics!$U$5:$U$154,Analytics!$C$5:$C$154,C81))</f>
        <v>0</v>
      </c>
      <c r="Q81" s="25">
        <f>IF(C81="","",SUMIFS(Budget!$H$5:$H$64,Budget!$C$5:$C$64,C81))</f>
        <v>0</v>
      </c>
      <c r="R81" s="25">
        <f>IF(C81="","",P81-Q81)</f>
        <v>0</v>
      </c>
      <c r="S81" s="23">
        <f>IF(C81="","",MonthlyPostTarget)</f>
        <v>0</v>
      </c>
      <c r="T81" s="17">
        <f>IF(Lists!$C81="","",Lists!$C81)</f>
        <v>0</v>
      </c>
      <c r="U81" s="23">
        <f>IF(T81="","",COUNTIFS('Content Calendar'!$G$5:$G$604,T81,'Content Calendar'!$B$5:$B$604,"&gt;="&amp;DashStart,'Content Calendar'!$B$5:$B$604,"&lt;="&amp;DashEnd))</f>
        <v>0</v>
      </c>
      <c r="V81" s="23">
        <f>IF(T81="","",COUNTIFS('Content Calendar'!$G$5:$G$604,T81,'Content Calendar'!$X$5:$X$604,"Published",'Content Calendar'!$B$5:$B$604,"&gt;="&amp;DashStart,'Content Calendar'!$B$5:$B$604,"&lt;="&amp;DashEnd))</f>
        <v>0</v>
      </c>
      <c r="W81" s="23">
        <f>IF(T81="","",SUMIFS(Analytics!$J$5:$J$154,Analytics!$D$5:$D$154,T81,Analytics!$B$5:$B$154,"&gt;="&amp;DashStart,Analytics!$B$5:$B$154,"&lt;="&amp;DashEnd))</f>
        <v>0</v>
      </c>
      <c r="X81" s="23">
        <f>IF(T81="","",SUMIFS(Analytics!$L$5:$L$154,Analytics!$D$5:$D$154,T81,Analytics!$B$5:$B$154,"&gt;="&amp;DashStart,Analytics!$B$5:$B$154,"&lt;="&amp;DashEnd))</f>
        <v>0</v>
      </c>
      <c r="Y81" s="24">
        <f>IF(OR(W81="",W81=0),"",X81/W81)</f>
        <v>0</v>
      </c>
      <c r="Z81" s="23">
        <f>IF(T81="","",SUMIFS(Analytics!$G$5:$G$154,Analytics!$D$5:$D$154,T81,Analytics!$B$5:$B$154,"&gt;="&amp;DashStart,Analytics!$B$5:$B$154,"&lt;="&amp;DashEnd))</f>
        <v>0</v>
      </c>
      <c r="AA81" s="23">
        <f>IF(T81="","",SUMIFS(Analytics!$X$5:$X$154,Analytics!$D$5:$D$154,T81,Analytics!$B$5:$B$154,"&gt;="&amp;DashStart,Analytics!$B$5:$B$154,"&lt;="&amp;DashEnd))</f>
        <v>0</v>
      </c>
      <c r="AB81" s="23">
        <f>IF(T81="","",SUMIFS(Analytics!$R$5:$R$154,Analytics!$D$5:$D$154,T81,Analytics!$B$5:$B$154,"&gt;="&amp;DashStart,Analytics!$B$5:$B$154,"&lt;="&amp;DashEnd))</f>
        <v>0</v>
      </c>
      <c r="AC81" s="25">
        <f>IF(T81="","",SUMIFS(Analytics!$U$5:$U$154,Analytics!$D$5:$D$154,T81,Analytics!$B$5:$B$154,"&gt;="&amp;DashStart,Analytics!$B$5:$B$154,"&lt;="&amp;DashEnd))</f>
        <v>0</v>
      </c>
      <c r="AD81" s="23">
        <f>IF(T81="","",COUNTIFS('Content Calendar'!$G$5:$G$604,T81,'Content Calendar'!$B$5:$B$604,"&gt;="&amp;DATE(PlanYear,1,1),'Content Calendar'!$B$5:$B$604,"&lt;="&amp;DATE(PlanYear,12,31)))</f>
        <v>0</v>
      </c>
      <c r="AE81" s="23">
        <f>IF(T81="","",SUMIFS(Analytics!$J$5:$J$154,Analytics!$D$5:$D$154,T81))</f>
        <v>0</v>
      </c>
      <c r="AF81" s="23">
        <f>IF(T81="","",SUMIFS(Analytics!$L$5:$L$154,Analytics!$D$5:$D$154,T81))</f>
        <v>0</v>
      </c>
      <c r="AG81" s="24">
        <f>IF(OR(AE81="",AE81=0),"",AF81/AE81)</f>
        <v>0</v>
      </c>
      <c r="AH81" s="23">
        <f>IF(T81="","",SUMIFS(Analytics!$X$5:$X$154,Analytics!$D$5:$D$154,T81))</f>
        <v>0</v>
      </c>
      <c r="AI81" s="32">
        <f>IF(T81="","",IF(AE81=0,"",AE81+ROW()/1000000))</f>
        <v>0</v>
      </c>
      <c r="AJ81" s="17">
        <f>IF('Content Pillars'!$B$81="","",'Content Pillars'!$B$81)</f>
        <v>0</v>
      </c>
      <c r="AK81" s="23">
        <f>IF(AJ81="","",COUNTIFS('Content Calendar'!$J$5:$J$604,AJ81,'Content Calendar'!$B$5:$B$604,"&gt;="&amp;DATE(PlanYear,1,1),'Content Calendar'!$B$5:$B$604,"&lt;="&amp;DATE(PlanYear,12,31)))</f>
        <v>0</v>
      </c>
      <c r="AL81" s="23">
        <f>IF(AJ81="","",SUMIFS(Performance!$O$5:$O$404,Performance!$H$5:$H$404,AJ81))</f>
        <v>0</v>
      </c>
      <c r="AM81" s="23">
        <f>IF(AJ81="","",SUMIFS(Performance!$Z$5:$Z$404,Performance!$H$5:$H$404,AJ81))</f>
        <v>0</v>
      </c>
      <c r="AN81" s="24">
        <f>IF(OR(AL81="",AL81=0),"",AM81/AL81)</f>
        <v>0</v>
      </c>
      <c r="AO81" s="32">
        <f>IF(AN81="","",AN81+ROW()/1000000)</f>
        <v>0</v>
      </c>
      <c r="AP81" s="17">
        <f>IF(Lists!$E81="","",Lists!$E81)</f>
        <v>0</v>
      </c>
      <c r="AQ81" s="23">
        <f>IF(AP81="","",COUNTIF(Performance!$G$5:$G$404,AP81))</f>
        <v>0</v>
      </c>
      <c r="AR81" s="23">
        <f>IF(AP81="","",SUMIFS(Performance!$O$5:$O$404,Performance!$G$5:$G$404,AP81))</f>
        <v>0</v>
      </c>
      <c r="AS81" s="23">
        <f>IF(AP81="","",SUMIFS(Performance!$Z$5:$Z$404,Performance!$G$5:$G$404,AP81))</f>
        <v>0</v>
      </c>
      <c r="AT81" s="24">
        <f>IF(OR(AR81="",AR81=0),"",AS81/AR81)</f>
        <v>0</v>
      </c>
      <c r="AU81" s="32">
        <f>IF(AQ81=0,"",IF(AT81="","",AT81+ROW()/1000000))</f>
        <v>0</v>
      </c>
      <c r="AV81" s="17">
        <f>IF(ROW()-4&gt;7,"",TEXT(DATE(2024,1,ROW()-4),"ddd"))</f>
        <v>0</v>
      </c>
      <c r="AW81" s="23">
        <f>IF(AV81="","",COUNTIF(Performance!$N$5:$N$404,AV81))</f>
        <v>0</v>
      </c>
      <c r="AX81" s="23">
        <f>IF(AV81="","",SUMIFS(Performance!$O$5:$O$404,Performance!$N$5:$N$404,AV81))</f>
        <v>0</v>
      </c>
      <c r="AY81" s="23">
        <f>IF(AV81="","",SUMIFS(Performance!$Z$5:$Z$404,Performance!$N$5:$N$404,AV81))</f>
        <v>0</v>
      </c>
      <c r="AZ81" s="24">
        <f>IF(OR(AX81="",AX81=0),"",AY81/AX81)</f>
        <v>0</v>
      </c>
      <c r="BA81" s="32">
        <f>IF(AW81=0,"",IF(AZ81="","",AZ81+ROW()/1000000))</f>
        <v>0</v>
      </c>
      <c r="BB81" s="17">
        <f>IF(Lists!$AL81="","",Lists!$AL81)</f>
        <v>0</v>
      </c>
      <c r="BC81" s="23">
        <f>IF(BB81="","",COUNTIF(Performance!$M$5:$M$404,BB81))</f>
        <v>0</v>
      </c>
      <c r="BD81" s="23">
        <f>IF(BB81="","",SUMIFS(Performance!$O$5:$O$404,Performance!$M$5:$M$404,BB81))</f>
        <v>0</v>
      </c>
      <c r="BE81" s="23">
        <f>IF(BB81="","",SUMIFS(Performance!$Z$5:$Z$404,Performance!$M$5:$M$404,BB81))</f>
        <v>0</v>
      </c>
      <c r="BF81" s="24">
        <f>IF(OR(BD81="",BD81=0),"",BE81/BD81)</f>
        <v>0</v>
      </c>
      <c r="BG81" s="32">
        <f>IF(BC81=0,"",IF(BF81="","",BF81+ROW()/1000000))</f>
        <v>0</v>
      </c>
      <c r="BH81" s="17">
        <f>IF(Performance!$C$81="","",Performance!$C$81)</f>
        <v>0</v>
      </c>
      <c r="BI81" s="17">
        <f>IF(Performance!$F$81="","",Performance!$F$81)</f>
        <v>0</v>
      </c>
      <c r="BJ81" s="17">
        <f>IF(Performance!$H$81="","",Performance!$H$81)</f>
        <v>0</v>
      </c>
      <c r="BK81" s="16">
        <f>IF(Performance!$D$81="","",Performance!$D$81)</f>
        <v>0</v>
      </c>
      <c r="BL81" s="17">
        <f>IF(Performance!$E$81="","",Performance!$E$81)</f>
        <v>0</v>
      </c>
      <c r="BM81" s="23">
        <f>IF(Performance!$O$81="","",Performance!$O$81)</f>
        <v>0</v>
      </c>
      <c r="BN81" s="24">
        <f>IF(Performance!$AA$81="","",Performance!$AA$81)</f>
        <v>0</v>
      </c>
      <c r="BO81" s="32">
        <f>IF(BH81="","",IF(BK81="","",IF(OR(BK81&lt;DashStart,BK81&gt;DashEnd),"",IF(BN81="","",BN81+ROW()/1000000))))</f>
        <v>0</v>
      </c>
      <c r="BP81" s="32">
        <f>IF(BM81="","",IF(BK81="","",IF(OR(BK81&lt;DashStart,BK81&gt;DashEnd),"",BM81+ROW()/1000000)))</f>
        <v>0</v>
      </c>
      <c r="BQ81" s="32">
        <f>IF(BH81="","",IF(BK81="","",IF(YEAR(BK81)&lt;&gt;PlanYear,"",IF(BN81="","",BN81+ROW()/1000000))))</f>
        <v>0</v>
      </c>
      <c r="BR81" s="32">
        <f>IF(BH81="","",IF(BK81="","",IF(OR(BK81&lt;RepFrom,BK81&gt;RepTo),"",IF(BN81="","",BN81+ROW()/1000000))))</f>
        <v>0</v>
      </c>
      <c r="BS81" s="32">
        <f>IF(BM81="","",IF(BK81="","",IF(YEAR(BK81)&lt;&gt;PlanYear,"",BM81+ROW()/1000000)))</f>
        <v>0</v>
      </c>
      <c r="BT81" s="17">
        <f>IF(Lists!$F81="","",Lists!$F81)</f>
        <v>0</v>
      </c>
      <c r="BU81" s="23">
        <f>IF(BT81="","",COUNTIF('Content Calendar'!$X$5:$X$604,BT81))</f>
        <v>0</v>
      </c>
      <c r="BV81" s="23">
        <f>IF(BT81="","",COUNTIFS('Content Calendar'!$X$5:$X$604,BT81,'Content Calendar'!$B$5:$B$604,"&gt;="&amp;DashStart,'Content Calendar'!$B$5:$B$604,"&lt;="&amp;DashEnd))</f>
        <v>0</v>
      </c>
      <c r="BW81" s="17">
        <f>IF(Team!$B$81="","",Team!$B$81)</f>
        <v>0</v>
      </c>
      <c r="BX81" s="23">
        <f>IF(BW81="","",COUNTIF('Content Calendar'!$W$5:$W$604,BW81))</f>
        <v>0</v>
      </c>
      <c r="BY81" s="23">
        <f>IF(BW81="","",COUNTIFS('Content Calendar'!$W$5:$W$604,BW81,'Content Calendar'!$X$5:$X$604,"&lt;&gt;Published"))</f>
        <v>0</v>
      </c>
      <c r="BZ81" s="23">
        <f>IF(BW81="","",COUNTIFS(Tasks!$C$5:$C$64,BW81,Tasks!$G$5:$G$64,"&lt;&gt;Complete"))</f>
        <v>0</v>
      </c>
      <c r="CA81" s="17">
        <f>IF(Campaigns!$B$81="","",Campaigns!$B$81)</f>
        <v>0</v>
      </c>
      <c r="CB81" s="25">
        <f>IF(Campaigns!$T$81="","",Campaigns!$T$81)</f>
        <v>0</v>
      </c>
      <c r="CC81" s="25">
        <f>IF(Campaigns!$Q$81="","",Campaigns!$Q$81)</f>
        <v>0</v>
      </c>
      <c r="CD81" s="23">
        <f>IF(Campaigns!$Y$81="","",Campaigns!$Y$81)</f>
        <v>0</v>
      </c>
      <c r="CE81" s="32">
        <f>IF(CA81="","",IF(N(CB81)&lt;=0,"",N(CB81)+ROW()/1000000))</f>
        <v>0</v>
      </c>
      <c r="CF81" s="17">
        <f>IF(Accounts!$C$81="","",Accounts!$C$81)</f>
        <v>0</v>
      </c>
      <c r="CG81" s="17">
        <f>IF(Accounts!$B$81="","",Accounts!$B$81)</f>
        <v>0</v>
      </c>
      <c r="CH81" s="23">
        <f>IF(Accounts!$J$81="","",Accounts!$J$81)</f>
        <v>0</v>
      </c>
      <c r="CI81" s="23">
        <f>IF(CF81="","",SUMIFS(Analytics!$X$5:$X$154,Analytics!$E$5:$E$154,CF81,Analytics!$B$5:$B$154,"&gt;="&amp;DashStart,Analytics!$B$5:$B$154,"&lt;="&amp;DashEnd))</f>
        <v>0</v>
      </c>
      <c r="CJ81" s="32">
        <f>IF(CH81="","",IF(CH81=0,"",CH81+ROW()/1000000))</f>
        <v>0</v>
      </c>
    </row>
    <row r="82" spans="1:88">
      <c r="A82" s="16">
        <f>IF(ROW()-4&gt;12,"",DATE(PlanYear,ROW()-4,1))</f>
        <v>0</v>
      </c>
      <c r="B82" s="16">
        <f>IF(A82="","",EOMONTH(A82,0))</f>
        <v>0</v>
      </c>
      <c r="C82" s="17">
        <f>IF(A82="","",TEXT(A82,"yyyy-mm"))</f>
        <v>0</v>
      </c>
      <c r="D82" s="17">
        <f>IF(A82="","",TEXT(A82,"mmm"))</f>
        <v>0</v>
      </c>
      <c r="E82" s="23">
        <f>IF(C82="","",COUNTIFS('Content Calendar'!$D$5:$D$604,C82))</f>
        <v>0</v>
      </c>
      <c r="F82" s="23">
        <f>IF(C82="","",COUNTIFS('Content Calendar'!$D$5:$D$604,C82,'Content Calendar'!$X$5:$X$604,"Published"))</f>
        <v>0</v>
      </c>
      <c r="G82" s="23">
        <f>IF(C82="","",SUMIFS(Analytics!$J$5:$J$154,Analytics!$C$5:$C$154,C82))</f>
        <v>0</v>
      </c>
      <c r="H82" s="23">
        <f>IF(C82="","",SUMIFS(Analytics!$K$5:$K$154,Analytics!$C$5:$C$154,C82))</f>
        <v>0</v>
      </c>
      <c r="I82" s="23">
        <f>IF(C82="","",SUMIFS(Analytics!$L$5:$L$154,Analytics!$C$5:$C$154,C82))</f>
        <v>0</v>
      </c>
      <c r="J82" s="24">
        <f>IF(OR(G82="",G82=0),"",I82/G82)</f>
        <v>0</v>
      </c>
      <c r="K82" s="23">
        <f>IF(C82="","",SUMIFS(Analytics!$G$5:$G$154,Analytics!$C$5:$C$154,C82))</f>
        <v>0</v>
      </c>
      <c r="L82" s="23">
        <f>IF(C82="","",SUMIFS(Analytics!$X$5:$X$154,Analytics!$C$5:$C$154,C82))</f>
        <v>0</v>
      </c>
      <c r="M82" s="23">
        <f>IF(C82="","",SUMIFS(Analytics!$R$5:$R$154,Analytics!$C$5:$C$154,C82))</f>
        <v>0</v>
      </c>
      <c r="N82" s="23">
        <f>IF(C82="","",SUMIFS(Analytics!$S$5:$S$154,Analytics!$C$5:$C$154,C82))</f>
        <v>0</v>
      </c>
      <c r="O82" s="23">
        <f>IF(C82="","",SUMIFS(Analytics!$T$5:$T$154,Analytics!$C$5:$C$154,C82))</f>
        <v>0</v>
      </c>
      <c r="P82" s="25">
        <f>IF(C82="","",SUMIFS(Analytics!$U$5:$U$154,Analytics!$C$5:$C$154,C82))</f>
        <v>0</v>
      </c>
      <c r="Q82" s="25">
        <f>IF(C82="","",SUMIFS(Budget!$H$5:$H$64,Budget!$C$5:$C$64,C82))</f>
        <v>0</v>
      </c>
      <c r="R82" s="25">
        <f>IF(C82="","",P82-Q82)</f>
        <v>0</v>
      </c>
      <c r="S82" s="23">
        <f>IF(C82="","",MonthlyPostTarget)</f>
        <v>0</v>
      </c>
      <c r="T82" s="17">
        <f>IF(Lists!$C82="","",Lists!$C82)</f>
        <v>0</v>
      </c>
      <c r="U82" s="23">
        <f>IF(T82="","",COUNTIFS('Content Calendar'!$G$5:$G$604,T82,'Content Calendar'!$B$5:$B$604,"&gt;="&amp;DashStart,'Content Calendar'!$B$5:$B$604,"&lt;="&amp;DashEnd))</f>
        <v>0</v>
      </c>
      <c r="V82" s="23">
        <f>IF(T82="","",COUNTIFS('Content Calendar'!$G$5:$G$604,T82,'Content Calendar'!$X$5:$X$604,"Published",'Content Calendar'!$B$5:$B$604,"&gt;="&amp;DashStart,'Content Calendar'!$B$5:$B$604,"&lt;="&amp;DashEnd))</f>
        <v>0</v>
      </c>
      <c r="W82" s="23">
        <f>IF(T82="","",SUMIFS(Analytics!$J$5:$J$154,Analytics!$D$5:$D$154,T82,Analytics!$B$5:$B$154,"&gt;="&amp;DashStart,Analytics!$B$5:$B$154,"&lt;="&amp;DashEnd))</f>
        <v>0</v>
      </c>
      <c r="X82" s="23">
        <f>IF(T82="","",SUMIFS(Analytics!$L$5:$L$154,Analytics!$D$5:$D$154,T82,Analytics!$B$5:$B$154,"&gt;="&amp;DashStart,Analytics!$B$5:$B$154,"&lt;="&amp;DashEnd))</f>
        <v>0</v>
      </c>
      <c r="Y82" s="24">
        <f>IF(OR(W82="",W82=0),"",X82/W82)</f>
        <v>0</v>
      </c>
      <c r="Z82" s="23">
        <f>IF(T82="","",SUMIFS(Analytics!$G$5:$G$154,Analytics!$D$5:$D$154,T82,Analytics!$B$5:$B$154,"&gt;="&amp;DashStart,Analytics!$B$5:$B$154,"&lt;="&amp;DashEnd))</f>
        <v>0</v>
      </c>
      <c r="AA82" s="23">
        <f>IF(T82="","",SUMIFS(Analytics!$X$5:$X$154,Analytics!$D$5:$D$154,T82,Analytics!$B$5:$B$154,"&gt;="&amp;DashStart,Analytics!$B$5:$B$154,"&lt;="&amp;DashEnd))</f>
        <v>0</v>
      </c>
      <c r="AB82" s="23">
        <f>IF(T82="","",SUMIFS(Analytics!$R$5:$R$154,Analytics!$D$5:$D$154,T82,Analytics!$B$5:$B$154,"&gt;="&amp;DashStart,Analytics!$B$5:$B$154,"&lt;="&amp;DashEnd))</f>
        <v>0</v>
      </c>
      <c r="AC82" s="25">
        <f>IF(T82="","",SUMIFS(Analytics!$U$5:$U$154,Analytics!$D$5:$D$154,T82,Analytics!$B$5:$B$154,"&gt;="&amp;DashStart,Analytics!$B$5:$B$154,"&lt;="&amp;DashEnd))</f>
        <v>0</v>
      </c>
      <c r="AD82" s="23">
        <f>IF(T82="","",COUNTIFS('Content Calendar'!$G$5:$G$604,T82,'Content Calendar'!$B$5:$B$604,"&gt;="&amp;DATE(PlanYear,1,1),'Content Calendar'!$B$5:$B$604,"&lt;="&amp;DATE(PlanYear,12,31)))</f>
        <v>0</v>
      </c>
      <c r="AE82" s="23">
        <f>IF(T82="","",SUMIFS(Analytics!$J$5:$J$154,Analytics!$D$5:$D$154,T82))</f>
        <v>0</v>
      </c>
      <c r="AF82" s="23">
        <f>IF(T82="","",SUMIFS(Analytics!$L$5:$L$154,Analytics!$D$5:$D$154,T82))</f>
        <v>0</v>
      </c>
      <c r="AG82" s="24">
        <f>IF(OR(AE82="",AE82=0),"",AF82/AE82)</f>
        <v>0</v>
      </c>
      <c r="AH82" s="23">
        <f>IF(T82="","",SUMIFS(Analytics!$X$5:$X$154,Analytics!$D$5:$D$154,T82))</f>
        <v>0</v>
      </c>
      <c r="AI82" s="32">
        <f>IF(T82="","",IF(AE82=0,"",AE82+ROW()/1000000))</f>
        <v>0</v>
      </c>
      <c r="AJ82" s="17">
        <f>IF('Content Pillars'!$B$82="","",'Content Pillars'!$B$82)</f>
        <v>0</v>
      </c>
      <c r="AK82" s="23">
        <f>IF(AJ82="","",COUNTIFS('Content Calendar'!$J$5:$J$604,AJ82,'Content Calendar'!$B$5:$B$604,"&gt;="&amp;DATE(PlanYear,1,1),'Content Calendar'!$B$5:$B$604,"&lt;="&amp;DATE(PlanYear,12,31)))</f>
        <v>0</v>
      </c>
      <c r="AL82" s="23">
        <f>IF(AJ82="","",SUMIFS(Performance!$O$5:$O$404,Performance!$H$5:$H$404,AJ82))</f>
        <v>0</v>
      </c>
      <c r="AM82" s="23">
        <f>IF(AJ82="","",SUMIFS(Performance!$Z$5:$Z$404,Performance!$H$5:$H$404,AJ82))</f>
        <v>0</v>
      </c>
      <c r="AN82" s="24">
        <f>IF(OR(AL82="",AL82=0),"",AM82/AL82)</f>
        <v>0</v>
      </c>
      <c r="AO82" s="32">
        <f>IF(AN82="","",AN82+ROW()/1000000)</f>
        <v>0</v>
      </c>
      <c r="AP82" s="17">
        <f>IF(Lists!$E82="","",Lists!$E82)</f>
        <v>0</v>
      </c>
      <c r="AQ82" s="23">
        <f>IF(AP82="","",COUNTIF(Performance!$G$5:$G$404,AP82))</f>
        <v>0</v>
      </c>
      <c r="AR82" s="23">
        <f>IF(AP82="","",SUMIFS(Performance!$O$5:$O$404,Performance!$G$5:$G$404,AP82))</f>
        <v>0</v>
      </c>
      <c r="AS82" s="23">
        <f>IF(AP82="","",SUMIFS(Performance!$Z$5:$Z$404,Performance!$G$5:$G$404,AP82))</f>
        <v>0</v>
      </c>
      <c r="AT82" s="24">
        <f>IF(OR(AR82="",AR82=0),"",AS82/AR82)</f>
        <v>0</v>
      </c>
      <c r="AU82" s="32">
        <f>IF(AQ82=0,"",IF(AT82="","",AT82+ROW()/1000000))</f>
        <v>0</v>
      </c>
      <c r="AV82" s="17">
        <f>IF(ROW()-4&gt;7,"",TEXT(DATE(2024,1,ROW()-4),"ddd"))</f>
        <v>0</v>
      </c>
      <c r="AW82" s="23">
        <f>IF(AV82="","",COUNTIF(Performance!$N$5:$N$404,AV82))</f>
        <v>0</v>
      </c>
      <c r="AX82" s="23">
        <f>IF(AV82="","",SUMIFS(Performance!$O$5:$O$404,Performance!$N$5:$N$404,AV82))</f>
        <v>0</v>
      </c>
      <c r="AY82" s="23">
        <f>IF(AV82="","",SUMIFS(Performance!$Z$5:$Z$404,Performance!$N$5:$N$404,AV82))</f>
        <v>0</v>
      </c>
      <c r="AZ82" s="24">
        <f>IF(OR(AX82="",AX82=0),"",AY82/AX82)</f>
        <v>0</v>
      </c>
      <c r="BA82" s="32">
        <f>IF(AW82=0,"",IF(AZ82="","",AZ82+ROW()/1000000))</f>
        <v>0</v>
      </c>
      <c r="BB82" s="17">
        <f>IF(Lists!$AL82="","",Lists!$AL82)</f>
        <v>0</v>
      </c>
      <c r="BC82" s="23">
        <f>IF(BB82="","",COUNTIF(Performance!$M$5:$M$404,BB82))</f>
        <v>0</v>
      </c>
      <c r="BD82" s="23">
        <f>IF(BB82="","",SUMIFS(Performance!$O$5:$O$404,Performance!$M$5:$M$404,BB82))</f>
        <v>0</v>
      </c>
      <c r="BE82" s="23">
        <f>IF(BB82="","",SUMIFS(Performance!$Z$5:$Z$404,Performance!$M$5:$M$404,BB82))</f>
        <v>0</v>
      </c>
      <c r="BF82" s="24">
        <f>IF(OR(BD82="",BD82=0),"",BE82/BD82)</f>
        <v>0</v>
      </c>
      <c r="BG82" s="32">
        <f>IF(BC82=0,"",IF(BF82="","",BF82+ROW()/1000000))</f>
        <v>0</v>
      </c>
      <c r="BH82" s="17">
        <f>IF(Performance!$C$82="","",Performance!$C$82)</f>
        <v>0</v>
      </c>
      <c r="BI82" s="17">
        <f>IF(Performance!$F$82="","",Performance!$F$82)</f>
        <v>0</v>
      </c>
      <c r="BJ82" s="17">
        <f>IF(Performance!$H$82="","",Performance!$H$82)</f>
        <v>0</v>
      </c>
      <c r="BK82" s="16">
        <f>IF(Performance!$D$82="","",Performance!$D$82)</f>
        <v>0</v>
      </c>
      <c r="BL82" s="17">
        <f>IF(Performance!$E$82="","",Performance!$E$82)</f>
        <v>0</v>
      </c>
      <c r="BM82" s="23">
        <f>IF(Performance!$O$82="","",Performance!$O$82)</f>
        <v>0</v>
      </c>
      <c r="BN82" s="24">
        <f>IF(Performance!$AA$82="","",Performance!$AA$82)</f>
        <v>0</v>
      </c>
      <c r="BO82" s="32">
        <f>IF(BH82="","",IF(BK82="","",IF(OR(BK82&lt;DashStart,BK82&gt;DashEnd),"",IF(BN82="","",BN82+ROW()/1000000))))</f>
        <v>0</v>
      </c>
      <c r="BP82" s="32">
        <f>IF(BM82="","",IF(BK82="","",IF(OR(BK82&lt;DashStart,BK82&gt;DashEnd),"",BM82+ROW()/1000000)))</f>
        <v>0</v>
      </c>
      <c r="BQ82" s="32">
        <f>IF(BH82="","",IF(BK82="","",IF(YEAR(BK82)&lt;&gt;PlanYear,"",IF(BN82="","",BN82+ROW()/1000000))))</f>
        <v>0</v>
      </c>
      <c r="BR82" s="32">
        <f>IF(BH82="","",IF(BK82="","",IF(OR(BK82&lt;RepFrom,BK82&gt;RepTo),"",IF(BN82="","",BN82+ROW()/1000000))))</f>
        <v>0</v>
      </c>
      <c r="BS82" s="32">
        <f>IF(BM82="","",IF(BK82="","",IF(YEAR(BK82)&lt;&gt;PlanYear,"",BM82+ROW()/1000000)))</f>
        <v>0</v>
      </c>
      <c r="BT82" s="17">
        <f>IF(Lists!$F82="","",Lists!$F82)</f>
        <v>0</v>
      </c>
      <c r="BU82" s="23">
        <f>IF(BT82="","",COUNTIF('Content Calendar'!$X$5:$X$604,BT82))</f>
        <v>0</v>
      </c>
      <c r="BV82" s="23">
        <f>IF(BT82="","",COUNTIFS('Content Calendar'!$X$5:$X$604,BT82,'Content Calendar'!$B$5:$B$604,"&gt;="&amp;DashStart,'Content Calendar'!$B$5:$B$604,"&lt;="&amp;DashEnd))</f>
        <v>0</v>
      </c>
      <c r="BW82" s="17">
        <f>IF(Team!$B$82="","",Team!$B$82)</f>
        <v>0</v>
      </c>
      <c r="BX82" s="23">
        <f>IF(BW82="","",COUNTIF('Content Calendar'!$W$5:$W$604,BW82))</f>
        <v>0</v>
      </c>
      <c r="BY82" s="23">
        <f>IF(BW82="","",COUNTIFS('Content Calendar'!$W$5:$W$604,BW82,'Content Calendar'!$X$5:$X$604,"&lt;&gt;Published"))</f>
        <v>0</v>
      </c>
      <c r="BZ82" s="23">
        <f>IF(BW82="","",COUNTIFS(Tasks!$C$5:$C$64,BW82,Tasks!$G$5:$G$64,"&lt;&gt;Complete"))</f>
        <v>0</v>
      </c>
      <c r="CA82" s="17">
        <f>IF(Campaigns!$B$82="","",Campaigns!$B$82)</f>
        <v>0</v>
      </c>
      <c r="CB82" s="25">
        <f>IF(Campaigns!$T$82="","",Campaigns!$T$82)</f>
        <v>0</v>
      </c>
      <c r="CC82" s="25">
        <f>IF(Campaigns!$Q$82="","",Campaigns!$Q$82)</f>
        <v>0</v>
      </c>
      <c r="CD82" s="23">
        <f>IF(Campaigns!$Y$82="","",Campaigns!$Y$82)</f>
        <v>0</v>
      </c>
      <c r="CE82" s="32">
        <f>IF(CA82="","",IF(N(CB82)&lt;=0,"",N(CB82)+ROW()/1000000))</f>
        <v>0</v>
      </c>
      <c r="CF82" s="17">
        <f>IF(Accounts!$C$82="","",Accounts!$C$82)</f>
        <v>0</v>
      </c>
      <c r="CG82" s="17">
        <f>IF(Accounts!$B$82="","",Accounts!$B$82)</f>
        <v>0</v>
      </c>
      <c r="CH82" s="23">
        <f>IF(Accounts!$J$82="","",Accounts!$J$82)</f>
        <v>0</v>
      </c>
      <c r="CI82" s="23">
        <f>IF(CF82="","",SUMIFS(Analytics!$X$5:$X$154,Analytics!$E$5:$E$154,CF82,Analytics!$B$5:$B$154,"&gt;="&amp;DashStart,Analytics!$B$5:$B$154,"&lt;="&amp;DashEnd))</f>
        <v>0</v>
      </c>
      <c r="CJ82" s="32">
        <f>IF(CH82="","",IF(CH82=0,"",CH82+ROW()/1000000))</f>
        <v>0</v>
      </c>
    </row>
    <row r="83" spans="1:88">
      <c r="A83" s="16">
        <f>IF(ROW()-4&gt;12,"",DATE(PlanYear,ROW()-4,1))</f>
        <v>0</v>
      </c>
      <c r="B83" s="16">
        <f>IF(A83="","",EOMONTH(A83,0))</f>
        <v>0</v>
      </c>
      <c r="C83" s="17">
        <f>IF(A83="","",TEXT(A83,"yyyy-mm"))</f>
        <v>0</v>
      </c>
      <c r="D83" s="17">
        <f>IF(A83="","",TEXT(A83,"mmm"))</f>
        <v>0</v>
      </c>
      <c r="E83" s="23">
        <f>IF(C83="","",COUNTIFS('Content Calendar'!$D$5:$D$604,C83))</f>
        <v>0</v>
      </c>
      <c r="F83" s="23">
        <f>IF(C83="","",COUNTIFS('Content Calendar'!$D$5:$D$604,C83,'Content Calendar'!$X$5:$X$604,"Published"))</f>
        <v>0</v>
      </c>
      <c r="G83" s="23">
        <f>IF(C83="","",SUMIFS(Analytics!$J$5:$J$154,Analytics!$C$5:$C$154,C83))</f>
        <v>0</v>
      </c>
      <c r="H83" s="23">
        <f>IF(C83="","",SUMIFS(Analytics!$K$5:$K$154,Analytics!$C$5:$C$154,C83))</f>
        <v>0</v>
      </c>
      <c r="I83" s="23">
        <f>IF(C83="","",SUMIFS(Analytics!$L$5:$L$154,Analytics!$C$5:$C$154,C83))</f>
        <v>0</v>
      </c>
      <c r="J83" s="24">
        <f>IF(OR(G83="",G83=0),"",I83/G83)</f>
        <v>0</v>
      </c>
      <c r="K83" s="23">
        <f>IF(C83="","",SUMIFS(Analytics!$G$5:$G$154,Analytics!$C$5:$C$154,C83))</f>
        <v>0</v>
      </c>
      <c r="L83" s="23">
        <f>IF(C83="","",SUMIFS(Analytics!$X$5:$X$154,Analytics!$C$5:$C$154,C83))</f>
        <v>0</v>
      </c>
      <c r="M83" s="23">
        <f>IF(C83="","",SUMIFS(Analytics!$R$5:$R$154,Analytics!$C$5:$C$154,C83))</f>
        <v>0</v>
      </c>
      <c r="N83" s="23">
        <f>IF(C83="","",SUMIFS(Analytics!$S$5:$S$154,Analytics!$C$5:$C$154,C83))</f>
        <v>0</v>
      </c>
      <c r="O83" s="23">
        <f>IF(C83="","",SUMIFS(Analytics!$T$5:$T$154,Analytics!$C$5:$C$154,C83))</f>
        <v>0</v>
      </c>
      <c r="P83" s="25">
        <f>IF(C83="","",SUMIFS(Analytics!$U$5:$U$154,Analytics!$C$5:$C$154,C83))</f>
        <v>0</v>
      </c>
      <c r="Q83" s="25">
        <f>IF(C83="","",SUMIFS(Budget!$H$5:$H$64,Budget!$C$5:$C$64,C83))</f>
        <v>0</v>
      </c>
      <c r="R83" s="25">
        <f>IF(C83="","",P83-Q83)</f>
        <v>0</v>
      </c>
      <c r="S83" s="23">
        <f>IF(C83="","",MonthlyPostTarget)</f>
        <v>0</v>
      </c>
      <c r="T83" s="17">
        <f>IF(Lists!$C83="","",Lists!$C83)</f>
        <v>0</v>
      </c>
      <c r="U83" s="23">
        <f>IF(T83="","",COUNTIFS('Content Calendar'!$G$5:$G$604,T83,'Content Calendar'!$B$5:$B$604,"&gt;="&amp;DashStart,'Content Calendar'!$B$5:$B$604,"&lt;="&amp;DashEnd))</f>
        <v>0</v>
      </c>
      <c r="V83" s="23">
        <f>IF(T83="","",COUNTIFS('Content Calendar'!$G$5:$G$604,T83,'Content Calendar'!$X$5:$X$604,"Published",'Content Calendar'!$B$5:$B$604,"&gt;="&amp;DashStart,'Content Calendar'!$B$5:$B$604,"&lt;="&amp;DashEnd))</f>
        <v>0</v>
      </c>
      <c r="W83" s="23">
        <f>IF(T83="","",SUMIFS(Analytics!$J$5:$J$154,Analytics!$D$5:$D$154,T83,Analytics!$B$5:$B$154,"&gt;="&amp;DashStart,Analytics!$B$5:$B$154,"&lt;="&amp;DashEnd))</f>
        <v>0</v>
      </c>
      <c r="X83" s="23">
        <f>IF(T83="","",SUMIFS(Analytics!$L$5:$L$154,Analytics!$D$5:$D$154,T83,Analytics!$B$5:$B$154,"&gt;="&amp;DashStart,Analytics!$B$5:$B$154,"&lt;="&amp;DashEnd))</f>
        <v>0</v>
      </c>
      <c r="Y83" s="24">
        <f>IF(OR(W83="",W83=0),"",X83/W83)</f>
        <v>0</v>
      </c>
      <c r="Z83" s="23">
        <f>IF(T83="","",SUMIFS(Analytics!$G$5:$G$154,Analytics!$D$5:$D$154,T83,Analytics!$B$5:$B$154,"&gt;="&amp;DashStart,Analytics!$B$5:$B$154,"&lt;="&amp;DashEnd))</f>
        <v>0</v>
      </c>
      <c r="AA83" s="23">
        <f>IF(T83="","",SUMIFS(Analytics!$X$5:$X$154,Analytics!$D$5:$D$154,T83,Analytics!$B$5:$B$154,"&gt;="&amp;DashStart,Analytics!$B$5:$B$154,"&lt;="&amp;DashEnd))</f>
        <v>0</v>
      </c>
      <c r="AB83" s="23">
        <f>IF(T83="","",SUMIFS(Analytics!$R$5:$R$154,Analytics!$D$5:$D$154,T83,Analytics!$B$5:$B$154,"&gt;="&amp;DashStart,Analytics!$B$5:$B$154,"&lt;="&amp;DashEnd))</f>
        <v>0</v>
      </c>
      <c r="AC83" s="25">
        <f>IF(T83="","",SUMIFS(Analytics!$U$5:$U$154,Analytics!$D$5:$D$154,T83,Analytics!$B$5:$B$154,"&gt;="&amp;DashStart,Analytics!$B$5:$B$154,"&lt;="&amp;DashEnd))</f>
        <v>0</v>
      </c>
      <c r="AD83" s="23">
        <f>IF(T83="","",COUNTIFS('Content Calendar'!$G$5:$G$604,T83,'Content Calendar'!$B$5:$B$604,"&gt;="&amp;DATE(PlanYear,1,1),'Content Calendar'!$B$5:$B$604,"&lt;="&amp;DATE(PlanYear,12,31)))</f>
        <v>0</v>
      </c>
      <c r="AE83" s="23">
        <f>IF(T83="","",SUMIFS(Analytics!$J$5:$J$154,Analytics!$D$5:$D$154,T83))</f>
        <v>0</v>
      </c>
      <c r="AF83" s="23">
        <f>IF(T83="","",SUMIFS(Analytics!$L$5:$L$154,Analytics!$D$5:$D$154,T83))</f>
        <v>0</v>
      </c>
      <c r="AG83" s="24">
        <f>IF(OR(AE83="",AE83=0),"",AF83/AE83)</f>
        <v>0</v>
      </c>
      <c r="AH83" s="23">
        <f>IF(T83="","",SUMIFS(Analytics!$X$5:$X$154,Analytics!$D$5:$D$154,T83))</f>
        <v>0</v>
      </c>
      <c r="AI83" s="32">
        <f>IF(T83="","",IF(AE83=0,"",AE83+ROW()/1000000))</f>
        <v>0</v>
      </c>
      <c r="AJ83" s="17">
        <f>IF('Content Pillars'!$B$83="","",'Content Pillars'!$B$83)</f>
        <v>0</v>
      </c>
      <c r="AK83" s="23">
        <f>IF(AJ83="","",COUNTIFS('Content Calendar'!$J$5:$J$604,AJ83,'Content Calendar'!$B$5:$B$604,"&gt;="&amp;DATE(PlanYear,1,1),'Content Calendar'!$B$5:$B$604,"&lt;="&amp;DATE(PlanYear,12,31)))</f>
        <v>0</v>
      </c>
      <c r="AL83" s="23">
        <f>IF(AJ83="","",SUMIFS(Performance!$O$5:$O$404,Performance!$H$5:$H$404,AJ83))</f>
        <v>0</v>
      </c>
      <c r="AM83" s="23">
        <f>IF(AJ83="","",SUMIFS(Performance!$Z$5:$Z$404,Performance!$H$5:$H$404,AJ83))</f>
        <v>0</v>
      </c>
      <c r="AN83" s="24">
        <f>IF(OR(AL83="",AL83=0),"",AM83/AL83)</f>
        <v>0</v>
      </c>
      <c r="AO83" s="32">
        <f>IF(AN83="","",AN83+ROW()/1000000)</f>
        <v>0</v>
      </c>
      <c r="AP83" s="17">
        <f>IF(Lists!$E83="","",Lists!$E83)</f>
        <v>0</v>
      </c>
      <c r="AQ83" s="23">
        <f>IF(AP83="","",COUNTIF(Performance!$G$5:$G$404,AP83))</f>
        <v>0</v>
      </c>
      <c r="AR83" s="23">
        <f>IF(AP83="","",SUMIFS(Performance!$O$5:$O$404,Performance!$G$5:$G$404,AP83))</f>
        <v>0</v>
      </c>
      <c r="AS83" s="23">
        <f>IF(AP83="","",SUMIFS(Performance!$Z$5:$Z$404,Performance!$G$5:$G$404,AP83))</f>
        <v>0</v>
      </c>
      <c r="AT83" s="24">
        <f>IF(OR(AR83="",AR83=0),"",AS83/AR83)</f>
        <v>0</v>
      </c>
      <c r="AU83" s="32">
        <f>IF(AQ83=0,"",IF(AT83="","",AT83+ROW()/1000000))</f>
        <v>0</v>
      </c>
      <c r="AV83" s="17">
        <f>IF(ROW()-4&gt;7,"",TEXT(DATE(2024,1,ROW()-4),"ddd"))</f>
        <v>0</v>
      </c>
      <c r="AW83" s="23">
        <f>IF(AV83="","",COUNTIF(Performance!$N$5:$N$404,AV83))</f>
        <v>0</v>
      </c>
      <c r="AX83" s="23">
        <f>IF(AV83="","",SUMIFS(Performance!$O$5:$O$404,Performance!$N$5:$N$404,AV83))</f>
        <v>0</v>
      </c>
      <c r="AY83" s="23">
        <f>IF(AV83="","",SUMIFS(Performance!$Z$5:$Z$404,Performance!$N$5:$N$404,AV83))</f>
        <v>0</v>
      </c>
      <c r="AZ83" s="24">
        <f>IF(OR(AX83="",AX83=0),"",AY83/AX83)</f>
        <v>0</v>
      </c>
      <c r="BA83" s="32">
        <f>IF(AW83=0,"",IF(AZ83="","",AZ83+ROW()/1000000))</f>
        <v>0</v>
      </c>
      <c r="BB83" s="17">
        <f>IF(Lists!$AL83="","",Lists!$AL83)</f>
        <v>0</v>
      </c>
      <c r="BC83" s="23">
        <f>IF(BB83="","",COUNTIF(Performance!$M$5:$M$404,BB83))</f>
        <v>0</v>
      </c>
      <c r="BD83" s="23">
        <f>IF(BB83="","",SUMIFS(Performance!$O$5:$O$404,Performance!$M$5:$M$404,BB83))</f>
        <v>0</v>
      </c>
      <c r="BE83" s="23">
        <f>IF(BB83="","",SUMIFS(Performance!$Z$5:$Z$404,Performance!$M$5:$M$404,BB83))</f>
        <v>0</v>
      </c>
      <c r="BF83" s="24">
        <f>IF(OR(BD83="",BD83=0),"",BE83/BD83)</f>
        <v>0</v>
      </c>
      <c r="BG83" s="32">
        <f>IF(BC83=0,"",IF(BF83="","",BF83+ROW()/1000000))</f>
        <v>0</v>
      </c>
      <c r="BH83" s="17">
        <f>IF(Performance!$C$83="","",Performance!$C$83)</f>
        <v>0</v>
      </c>
      <c r="BI83" s="17">
        <f>IF(Performance!$F$83="","",Performance!$F$83)</f>
        <v>0</v>
      </c>
      <c r="BJ83" s="17">
        <f>IF(Performance!$H$83="","",Performance!$H$83)</f>
        <v>0</v>
      </c>
      <c r="BK83" s="16">
        <f>IF(Performance!$D$83="","",Performance!$D$83)</f>
        <v>0</v>
      </c>
      <c r="BL83" s="17">
        <f>IF(Performance!$E$83="","",Performance!$E$83)</f>
        <v>0</v>
      </c>
      <c r="BM83" s="23">
        <f>IF(Performance!$O$83="","",Performance!$O$83)</f>
        <v>0</v>
      </c>
      <c r="BN83" s="24">
        <f>IF(Performance!$AA$83="","",Performance!$AA$83)</f>
        <v>0</v>
      </c>
      <c r="BO83" s="32">
        <f>IF(BH83="","",IF(BK83="","",IF(OR(BK83&lt;DashStart,BK83&gt;DashEnd),"",IF(BN83="","",BN83+ROW()/1000000))))</f>
        <v>0</v>
      </c>
      <c r="BP83" s="32">
        <f>IF(BM83="","",IF(BK83="","",IF(OR(BK83&lt;DashStart,BK83&gt;DashEnd),"",BM83+ROW()/1000000)))</f>
        <v>0</v>
      </c>
      <c r="BQ83" s="32">
        <f>IF(BH83="","",IF(BK83="","",IF(YEAR(BK83)&lt;&gt;PlanYear,"",IF(BN83="","",BN83+ROW()/1000000))))</f>
        <v>0</v>
      </c>
      <c r="BR83" s="32">
        <f>IF(BH83="","",IF(BK83="","",IF(OR(BK83&lt;RepFrom,BK83&gt;RepTo),"",IF(BN83="","",BN83+ROW()/1000000))))</f>
        <v>0</v>
      </c>
      <c r="BS83" s="32">
        <f>IF(BM83="","",IF(BK83="","",IF(YEAR(BK83)&lt;&gt;PlanYear,"",BM83+ROW()/1000000)))</f>
        <v>0</v>
      </c>
      <c r="BT83" s="17">
        <f>IF(Lists!$F83="","",Lists!$F83)</f>
        <v>0</v>
      </c>
      <c r="BU83" s="23">
        <f>IF(BT83="","",COUNTIF('Content Calendar'!$X$5:$X$604,BT83))</f>
        <v>0</v>
      </c>
      <c r="BV83" s="23">
        <f>IF(BT83="","",COUNTIFS('Content Calendar'!$X$5:$X$604,BT83,'Content Calendar'!$B$5:$B$604,"&gt;="&amp;DashStart,'Content Calendar'!$B$5:$B$604,"&lt;="&amp;DashEnd))</f>
        <v>0</v>
      </c>
      <c r="BW83" s="17">
        <f>IF(Team!$B$83="","",Team!$B$83)</f>
        <v>0</v>
      </c>
      <c r="BX83" s="23">
        <f>IF(BW83="","",COUNTIF('Content Calendar'!$W$5:$W$604,BW83))</f>
        <v>0</v>
      </c>
      <c r="BY83" s="23">
        <f>IF(BW83="","",COUNTIFS('Content Calendar'!$W$5:$W$604,BW83,'Content Calendar'!$X$5:$X$604,"&lt;&gt;Published"))</f>
        <v>0</v>
      </c>
      <c r="BZ83" s="23">
        <f>IF(BW83="","",COUNTIFS(Tasks!$C$5:$C$64,BW83,Tasks!$G$5:$G$64,"&lt;&gt;Complete"))</f>
        <v>0</v>
      </c>
      <c r="CA83" s="17">
        <f>IF(Campaigns!$B$83="","",Campaigns!$B$83)</f>
        <v>0</v>
      </c>
      <c r="CB83" s="25">
        <f>IF(Campaigns!$T$83="","",Campaigns!$T$83)</f>
        <v>0</v>
      </c>
      <c r="CC83" s="25">
        <f>IF(Campaigns!$Q$83="","",Campaigns!$Q$83)</f>
        <v>0</v>
      </c>
      <c r="CD83" s="23">
        <f>IF(Campaigns!$Y$83="","",Campaigns!$Y$83)</f>
        <v>0</v>
      </c>
      <c r="CE83" s="32">
        <f>IF(CA83="","",IF(N(CB83)&lt;=0,"",N(CB83)+ROW()/1000000))</f>
        <v>0</v>
      </c>
      <c r="CF83" s="17">
        <f>IF(Accounts!$C$83="","",Accounts!$C$83)</f>
        <v>0</v>
      </c>
      <c r="CG83" s="17">
        <f>IF(Accounts!$B$83="","",Accounts!$B$83)</f>
        <v>0</v>
      </c>
      <c r="CH83" s="23">
        <f>IF(Accounts!$J$83="","",Accounts!$J$83)</f>
        <v>0</v>
      </c>
      <c r="CI83" s="23">
        <f>IF(CF83="","",SUMIFS(Analytics!$X$5:$X$154,Analytics!$E$5:$E$154,CF83,Analytics!$B$5:$B$154,"&gt;="&amp;DashStart,Analytics!$B$5:$B$154,"&lt;="&amp;DashEnd))</f>
        <v>0</v>
      </c>
      <c r="CJ83" s="32">
        <f>IF(CH83="","",IF(CH83=0,"",CH83+ROW()/1000000))</f>
        <v>0</v>
      </c>
    </row>
    <row r="84" spans="1:88">
      <c r="A84" s="16">
        <f>IF(ROW()-4&gt;12,"",DATE(PlanYear,ROW()-4,1))</f>
        <v>0</v>
      </c>
      <c r="B84" s="16">
        <f>IF(A84="","",EOMONTH(A84,0))</f>
        <v>0</v>
      </c>
      <c r="C84" s="17">
        <f>IF(A84="","",TEXT(A84,"yyyy-mm"))</f>
        <v>0</v>
      </c>
      <c r="D84" s="17">
        <f>IF(A84="","",TEXT(A84,"mmm"))</f>
        <v>0</v>
      </c>
      <c r="E84" s="23">
        <f>IF(C84="","",COUNTIFS('Content Calendar'!$D$5:$D$604,C84))</f>
        <v>0</v>
      </c>
      <c r="F84" s="23">
        <f>IF(C84="","",COUNTIFS('Content Calendar'!$D$5:$D$604,C84,'Content Calendar'!$X$5:$X$604,"Published"))</f>
        <v>0</v>
      </c>
      <c r="G84" s="23">
        <f>IF(C84="","",SUMIFS(Analytics!$J$5:$J$154,Analytics!$C$5:$C$154,C84))</f>
        <v>0</v>
      </c>
      <c r="H84" s="23">
        <f>IF(C84="","",SUMIFS(Analytics!$K$5:$K$154,Analytics!$C$5:$C$154,C84))</f>
        <v>0</v>
      </c>
      <c r="I84" s="23">
        <f>IF(C84="","",SUMIFS(Analytics!$L$5:$L$154,Analytics!$C$5:$C$154,C84))</f>
        <v>0</v>
      </c>
      <c r="J84" s="24">
        <f>IF(OR(G84="",G84=0),"",I84/G84)</f>
        <v>0</v>
      </c>
      <c r="K84" s="23">
        <f>IF(C84="","",SUMIFS(Analytics!$G$5:$G$154,Analytics!$C$5:$C$154,C84))</f>
        <v>0</v>
      </c>
      <c r="L84" s="23">
        <f>IF(C84="","",SUMIFS(Analytics!$X$5:$X$154,Analytics!$C$5:$C$154,C84))</f>
        <v>0</v>
      </c>
      <c r="M84" s="23">
        <f>IF(C84="","",SUMIFS(Analytics!$R$5:$R$154,Analytics!$C$5:$C$154,C84))</f>
        <v>0</v>
      </c>
      <c r="N84" s="23">
        <f>IF(C84="","",SUMIFS(Analytics!$S$5:$S$154,Analytics!$C$5:$C$154,C84))</f>
        <v>0</v>
      </c>
      <c r="O84" s="23">
        <f>IF(C84="","",SUMIFS(Analytics!$T$5:$T$154,Analytics!$C$5:$C$154,C84))</f>
        <v>0</v>
      </c>
      <c r="P84" s="25">
        <f>IF(C84="","",SUMIFS(Analytics!$U$5:$U$154,Analytics!$C$5:$C$154,C84))</f>
        <v>0</v>
      </c>
      <c r="Q84" s="25">
        <f>IF(C84="","",SUMIFS(Budget!$H$5:$H$64,Budget!$C$5:$C$64,C84))</f>
        <v>0</v>
      </c>
      <c r="R84" s="25">
        <f>IF(C84="","",P84-Q84)</f>
        <v>0</v>
      </c>
      <c r="S84" s="23">
        <f>IF(C84="","",MonthlyPostTarget)</f>
        <v>0</v>
      </c>
      <c r="T84" s="17">
        <f>IF(Lists!$C84="","",Lists!$C84)</f>
        <v>0</v>
      </c>
      <c r="U84" s="23">
        <f>IF(T84="","",COUNTIFS('Content Calendar'!$G$5:$G$604,T84,'Content Calendar'!$B$5:$B$604,"&gt;="&amp;DashStart,'Content Calendar'!$B$5:$B$604,"&lt;="&amp;DashEnd))</f>
        <v>0</v>
      </c>
      <c r="V84" s="23">
        <f>IF(T84="","",COUNTIFS('Content Calendar'!$G$5:$G$604,T84,'Content Calendar'!$X$5:$X$604,"Published",'Content Calendar'!$B$5:$B$604,"&gt;="&amp;DashStart,'Content Calendar'!$B$5:$B$604,"&lt;="&amp;DashEnd))</f>
        <v>0</v>
      </c>
      <c r="W84" s="23">
        <f>IF(T84="","",SUMIFS(Analytics!$J$5:$J$154,Analytics!$D$5:$D$154,T84,Analytics!$B$5:$B$154,"&gt;="&amp;DashStart,Analytics!$B$5:$B$154,"&lt;="&amp;DashEnd))</f>
        <v>0</v>
      </c>
      <c r="X84" s="23">
        <f>IF(T84="","",SUMIFS(Analytics!$L$5:$L$154,Analytics!$D$5:$D$154,T84,Analytics!$B$5:$B$154,"&gt;="&amp;DashStart,Analytics!$B$5:$B$154,"&lt;="&amp;DashEnd))</f>
        <v>0</v>
      </c>
      <c r="Y84" s="24">
        <f>IF(OR(W84="",W84=0),"",X84/W84)</f>
        <v>0</v>
      </c>
      <c r="Z84" s="23">
        <f>IF(T84="","",SUMIFS(Analytics!$G$5:$G$154,Analytics!$D$5:$D$154,T84,Analytics!$B$5:$B$154,"&gt;="&amp;DashStart,Analytics!$B$5:$B$154,"&lt;="&amp;DashEnd))</f>
        <v>0</v>
      </c>
      <c r="AA84" s="23">
        <f>IF(T84="","",SUMIFS(Analytics!$X$5:$X$154,Analytics!$D$5:$D$154,T84,Analytics!$B$5:$B$154,"&gt;="&amp;DashStart,Analytics!$B$5:$B$154,"&lt;="&amp;DashEnd))</f>
        <v>0</v>
      </c>
      <c r="AB84" s="23">
        <f>IF(T84="","",SUMIFS(Analytics!$R$5:$R$154,Analytics!$D$5:$D$154,T84,Analytics!$B$5:$B$154,"&gt;="&amp;DashStart,Analytics!$B$5:$B$154,"&lt;="&amp;DashEnd))</f>
        <v>0</v>
      </c>
      <c r="AC84" s="25">
        <f>IF(T84="","",SUMIFS(Analytics!$U$5:$U$154,Analytics!$D$5:$D$154,T84,Analytics!$B$5:$B$154,"&gt;="&amp;DashStart,Analytics!$B$5:$B$154,"&lt;="&amp;DashEnd))</f>
        <v>0</v>
      </c>
      <c r="AD84" s="23">
        <f>IF(T84="","",COUNTIFS('Content Calendar'!$G$5:$G$604,T84,'Content Calendar'!$B$5:$B$604,"&gt;="&amp;DATE(PlanYear,1,1),'Content Calendar'!$B$5:$B$604,"&lt;="&amp;DATE(PlanYear,12,31)))</f>
        <v>0</v>
      </c>
      <c r="AE84" s="23">
        <f>IF(T84="","",SUMIFS(Analytics!$J$5:$J$154,Analytics!$D$5:$D$154,T84))</f>
        <v>0</v>
      </c>
      <c r="AF84" s="23">
        <f>IF(T84="","",SUMIFS(Analytics!$L$5:$L$154,Analytics!$D$5:$D$154,T84))</f>
        <v>0</v>
      </c>
      <c r="AG84" s="24">
        <f>IF(OR(AE84="",AE84=0),"",AF84/AE84)</f>
        <v>0</v>
      </c>
      <c r="AH84" s="23">
        <f>IF(T84="","",SUMIFS(Analytics!$X$5:$X$154,Analytics!$D$5:$D$154,T84))</f>
        <v>0</v>
      </c>
      <c r="AI84" s="32">
        <f>IF(T84="","",IF(AE84=0,"",AE84+ROW()/1000000))</f>
        <v>0</v>
      </c>
      <c r="AJ84" s="17">
        <f>IF('Content Pillars'!$B$84="","",'Content Pillars'!$B$84)</f>
        <v>0</v>
      </c>
      <c r="AK84" s="23">
        <f>IF(AJ84="","",COUNTIFS('Content Calendar'!$J$5:$J$604,AJ84,'Content Calendar'!$B$5:$B$604,"&gt;="&amp;DATE(PlanYear,1,1),'Content Calendar'!$B$5:$B$604,"&lt;="&amp;DATE(PlanYear,12,31)))</f>
        <v>0</v>
      </c>
      <c r="AL84" s="23">
        <f>IF(AJ84="","",SUMIFS(Performance!$O$5:$O$404,Performance!$H$5:$H$404,AJ84))</f>
        <v>0</v>
      </c>
      <c r="AM84" s="23">
        <f>IF(AJ84="","",SUMIFS(Performance!$Z$5:$Z$404,Performance!$H$5:$H$404,AJ84))</f>
        <v>0</v>
      </c>
      <c r="AN84" s="24">
        <f>IF(OR(AL84="",AL84=0),"",AM84/AL84)</f>
        <v>0</v>
      </c>
      <c r="AO84" s="32">
        <f>IF(AN84="","",AN84+ROW()/1000000)</f>
        <v>0</v>
      </c>
      <c r="AP84" s="17">
        <f>IF(Lists!$E84="","",Lists!$E84)</f>
        <v>0</v>
      </c>
      <c r="AQ84" s="23">
        <f>IF(AP84="","",COUNTIF(Performance!$G$5:$G$404,AP84))</f>
        <v>0</v>
      </c>
      <c r="AR84" s="23">
        <f>IF(AP84="","",SUMIFS(Performance!$O$5:$O$404,Performance!$G$5:$G$404,AP84))</f>
        <v>0</v>
      </c>
      <c r="AS84" s="23">
        <f>IF(AP84="","",SUMIFS(Performance!$Z$5:$Z$404,Performance!$G$5:$G$404,AP84))</f>
        <v>0</v>
      </c>
      <c r="AT84" s="24">
        <f>IF(OR(AR84="",AR84=0),"",AS84/AR84)</f>
        <v>0</v>
      </c>
      <c r="AU84" s="32">
        <f>IF(AQ84=0,"",IF(AT84="","",AT84+ROW()/1000000))</f>
        <v>0</v>
      </c>
      <c r="AV84" s="17">
        <f>IF(ROW()-4&gt;7,"",TEXT(DATE(2024,1,ROW()-4),"ddd"))</f>
        <v>0</v>
      </c>
      <c r="AW84" s="23">
        <f>IF(AV84="","",COUNTIF(Performance!$N$5:$N$404,AV84))</f>
        <v>0</v>
      </c>
      <c r="AX84" s="23">
        <f>IF(AV84="","",SUMIFS(Performance!$O$5:$O$404,Performance!$N$5:$N$404,AV84))</f>
        <v>0</v>
      </c>
      <c r="AY84" s="23">
        <f>IF(AV84="","",SUMIFS(Performance!$Z$5:$Z$404,Performance!$N$5:$N$404,AV84))</f>
        <v>0</v>
      </c>
      <c r="AZ84" s="24">
        <f>IF(OR(AX84="",AX84=0),"",AY84/AX84)</f>
        <v>0</v>
      </c>
      <c r="BA84" s="32">
        <f>IF(AW84=0,"",IF(AZ84="","",AZ84+ROW()/1000000))</f>
        <v>0</v>
      </c>
      <c r="BB84" s="17">
        <f>IF(Lists!$AL84="","",Lists!$AL84)</f>
        <v>0</v>
      </c>
      <c r="BC84" s="23">
        <f>IF(BB84="","",COUNTIF(Performance!$M$5:$M$404,BB84))</f>
        <v>0</v>
      </c>
      <c r="BD84" s="23">
        <f>IF(BB84="","",SUMIFS(Performance!$O$5:$O$404,Performance!$M$5:$M$404,BB84))</f>
        <v>0</v>
      </c>
      <c r="BE84" s="23">
        <f>IF(BB84="","",SUMIFS(Performance!$Z$5:$Z$404,Performance!$M$5:$M$404,BB84))</f>
        <v>0</v>
      </c>
      <c r="BF84" s="24">
        <f>IF(OR(BD84="",BD84=0),"",BE84/BD84)</f>
        <v>0</v>
      </c>
      <c r="BG84" s="32">
        <f>IF(BC84=0,"",IF(BF84="","",BF84+ROW()/1000000))</f>
        <v>0</v>
      </c>
      <c r="BH84" s="17">
        <f>IF(Performance!$C$84="","",Performance!$C$84)</f>
        <v>0</v>
      </c>
      <c r="BI84" s="17">
        <f>IF(Performance!$F$84="","",Performance!$F$84)</f>
        <v>0</v>
      </c>
      <c r="BJ84" s="17">
        <f>IF(Performance!$H$84="","",Performance!$H$84)</f>
        <v>0</v>
      </c>
      <c r="BK84" s="16">
        <f>IF(Performance!$D$84="","",Performance!$D$84)</f>
        <v>0</v>
      </c>
      <c r="BL84" s="17">
        <f>IF(Performance!$E$84="","",Performance!$E$84)</f>
        <v>0</v>
      </c>
      <c r="BM84" s="23">
        <f>IF(Performance!$O$84="","",Performance!$O$84)</f>
        <v>0</v>
      </c>
      <c r="BN84" s="24">
        <f>IF(Performance!$AA$84="","",Performance!$AA$84)</f>
        <v>0</v>
      </c>
      <c r="BO84" s="32">
        <f>IF(BH84="","",IF(BK84="","",IF(OR(BK84&lt;DashStart,BK84&gt;DashEnd),"",IF(BN84="","",BN84+ROW()/1000000))))</f>
        <v>0</v>
      </c>
      <c r="BP84" s="32">
        <f>IF(BM84="","",IF(BK84="","",IF(OR(BK84&lt;DashStart,BK84&gt;DashEnd),"",BM84+ROW()/1000000)))</f>
        <v>0</v>
      </c>
      <c r="BQ84" s="32">
        <f>IF(BH84="","",IF(BK84="","",IF(YEAR(BK84)&lt;&gt;PlanYear,"",IF(BN84="","",BN84+ROW()/1000000))))</f>
        <v>0</v>
      </c>
      <c r="BR84" s="32">
        <f>IF(BH84="","",IF(BK84="","",IF(OR(BK84&lt;RepFrom,BK84&gt;RepTo),"",IF(BN84="","",BN84+ROW()/1000000))))</f>
        <v>0</v>
      </c>
      <c r="BS84" s="32">
        <f>IF(BM84="","",IF(BK84="","",IF(YEAR(BK84)&lt;&gt;PlanYear,"",BM84+ROW()/1000000)))</f>
        <v>0</v>
      </c>
      <c r="BT84" s="17">
        <f>IF(Lists!$F84="","",Lists!$F84)</f>
        <v>0</v>
      </c>
      <c r="BU84" s="23">
        <f>IF(BT84="","",COUNTIF('Content Calendar'!$X$5:$X$604,BT84))</f>
        <v>0</v>
      </c>
      <c r="BV84" s="23">
        <f>IF(BT84="","",COUNTIFS('Content Calendar'!$X$5:$X$604,BT84,'Content Calendar'!$B$5:$B$604,"&gt;="&amp;DashStart,'Content Calendar'!$B$5:$B$604,"&lt;="&amp;DashEnd))</f>
        <v>0</v>
      </c>
      <c r="BW84" s="17">
        <f>IF(Team!$B$84="","",Team!$B$84)</f>
        <v>0</v>
      </c>
      <c r="BX84" s="23">
        <f>IF(BW84="","",COUNTIF('Content Calendar'!$W$5:$W$604,BW84))</f>
        <v>0</v>
      </c>
      <c r="BY84" s="23">
        <f>IF(BW84="","",COUNTIFS('Content Calendar'!$W$5:$W$604,BW84,'Content Calendar'!$X$5:$X$604,"&lt;&gt;Published"))</f>
        <v>0</v>
      </c>
      <c r="BZ84" s="23">
        <f>IF(BW84="","",COUNTIFS(Tasks!$C$5:$C$64,BW84,Tasks!$G$5:$G$64,"&lt;&gt;Complete"))</f>
        <v>0</v>
      </c>
      <c r="CA84" s="17">
        <f>IF(Campaigns!$B$84="","",Campaigns!$B$84)</f>
        <v>0</v>
      </c>
      <c r="CB84" s="25">
        <f>IF(Campaigns!$T$84="","",Campaigns!$T$84)</f>
        <v>0</v>
      </c>
      <c r="CC84" s="25">
        <f>IF(Campaigns!$Q$84="","",Campaigns!$Q$84)</f>
        <v>0</v>
      </c>
      <c r="CD84" s="23">
        <f>IF(Campaigns!$Y$84="","",Campaigns!$Y$84)</f>
        <v>0</v>
      </c>
      <c r="CE84" s="32">
        <f>IF(CA84="","",IF(N(CB84)&lt;=0,"",N(CB84)+ROW()/1000000))</f>
        <v>0</v>
      </c>
      <c r="CF84" s="17">
        <f>IF(Accounts!$C$84="","",Accounts!$C$84)</f>
        <v>0</v>
      </c>
      <c r="CG84" s="17">
        <f>IF(Accounts!$B$84="","",Accounts!$B$84)</f>
        <v>0</v>
      </c>
      <c r="CH84" s="23">
        <f>IF(Accounts!$J$84="","",Accounts!$J$84)</f>
        <v>0</v>
      </c>
      <c r="CI84" s="23">
        <f>IF(CF84="","",SUMIFS(Analytics!$X$5:$X$154,Analytics!$E$5:$E$154,CF84,Analytics!$B$5:$B$154,"&gt;="&amp;DashStart,Analytics!$B$5:$B$154,"&lt;="&amp;DashEnd))</f>
        <v>0</v>
      </c>
      <c r="CJ84" s="32">
        <f>IF(CH84="","",IF(CH84=0,"",CH84+ROW()/1000000))</f>
        <v>0</v>
      </c>
    </row>
    <row r="85" spans="1:88">
      <c r="A85" s="16">
        <f>IF(ROW()-4&gt;12,"",DATE(PlanYear,ROW()-4,1))</f>
        <v>0</v>
      </c>
      <c r="B85" s="16">
        <f>IF(A85="","",EOMONTH(A85,0))</f>
        <v>0</v>
      </c>
      <c r="C85" s="17">
        <f>IF(A85="","",TEXT(A85,"yyyy-mm"))</f>
        <v>0</v>
      </c>
      <c r="D85" s="17">
        <f>IF(A85="","",TEXT(A85,"mmm"))</f>
        <v>0</v>
      </c>
      <c r="E85" s="23">
        <f>IF(C85="","",COUNTIFS('Content Calendar'!$D$5:$D$604,C85))</f>
        <v>0</v>
      </c>
      <c r="F85" s="23">
        <f>IF(C85="","",COUNTIFS('Content Calendar'!$D$5:$D$604,C85,'Content Calendar'!$X$5:$X$604,"Published"))</f>
        <v>0</v>
      </c>
      <c r="G85" s="23">
        <f>IF(C85="","",SUMIFS(Analytics!$J$5:$J$154,Analytics!$C$5:$C$154,C85))</f>
        <v>0</v>
      </c>
      <c r="H85" s="23">
        <f>IF(C85="","",SUMIFS(Analytics!$K$5:$K$154,Analytics!$C$5:$C$154,C85))</f>
        <v>0</v>
      </c>
      <c r="I85" s="23">
        <f>IF(C85="","",SUMIFS(Analytics!$L$5:$L$154,Analytics!$C$5:$C$154,C85))</f>
        <v>0</v>
      </c>
      <c r="J85" s="24">
        <f>IF(OR(G85="",G85=0),"",I85/G85)</f>
        <v>0</v>
      </c>
      <c r="K85" s="23">
        <f>IF(C85="","",SUMIFS(Analytics!$G$5:$G$154,Analytics!$C$5:$C$154,C85))</f>
        <v>0</v>
      </c>
      <c r="L85" s="23">
        <f>IF(C85="","",SUMIFS(Analytics!$X$5:$X$154,Analytics!$C$5:$C$154,C85))</f>
        <v>0</v>
      </c>
      <c r="M85" s="23">
        <f>IF(C85="","",SUMIFS(Analytics!$R$5:$R$154,Analytics!$C$5:$C$154,C85))</f>
        <v>0</v>
      </c>
      <c r="N85" s="23">
        <f>IF(C85="","",SUMIFS(Analytics!$S$5:$S$154,Analytics!$C$5:$C$154,C85))</f>
        <v>0</v>
      </c>
      <c r="O85" s="23">
        <f>IF(C85="","",SUMIFS(Analytics!$T$5:$T$154,Analytics!$C$5:$C$154,C85))</f>
        <v>0</v>
      </c>
      <c r="P85" s="25">
        <f>IF(C85="","",SUMIFS(Analytics!$U$5:$U$154,Analytics!$C$5:$C$154,C85))</f>
        <v>0</v>
      </c>
      <c r="Q85" s="25">
        <f>IF(C85="","",SUMIFS(Budget!$H$5:$H$64,Budget!$C$5:$C$64,C85))</f>
        <v>0</v>
      </c>
      <c r="R85" s="25">
        <f>IF(C85="","",P85-Q85)</f>
        <v>0</v>
      </c>
      <c r="S85" s="23">
        <f>IF(C85="","",MonthlyPostTarget)</f>
        <v>0</v>
      </c>
      <c r="T85" s="17">
        <f>IF(Lists!$C85="","",Lists!$C85)</f>
        <v>0</v>
      </c>
      <c r="U85" s="23">
        <f>IF(T85="","",COUNTIFS('Content Calendar'!$G$5:$G$604,T85,'Content Calendar'!$B$5:$B$604,"&gt;="&amp;DashStart,'Content Calendar'!$B$5:$B$604,"&lt;="&amp;DashEnd))</f>
        <v>0</v>
      </c>
      <c r="V85" s="23">
        <f>IF(T85="","",COUNTIFS('Content Calendar'!$G$5:$G$604,T85,'Content Calendar'!$X$5:$X$604,"Published",'Content Calendar'!$B$5:$B$604,"&gt;="&amp;DashStart,'Content Calendar'!$B$5:$B$604,"&lt;="&amp;DashEnd))</f>
        <v>0</v>
      </c>
      <c r="W85" s="23">
        <f>IF(T85="","",SUMIFS(Analytics!$J$5:$J$154,Analytics!$D$5:$D$154,T85,Analytics!$B$5:$B$154,"&gt;="&amp;DashStart,Analytics!$B$5:$B$154,"&lt;="&amp;DashEnd))</f>
        <v>0</v>
      </c>
      <c r="X85" s="23">
        <f>IF(T85="","",SUMIFS(Analytics!$L$5:$L$154,Analytics!$D$5:$D$154,T85,Analytics!$B$5:$B$154,"&gt;="&amp;DashStart,Analytics!$B$5:$B$154,"&lt;="&amp;DashEnd))</f>
        <v>0</v>
      </c>
      <c r="Y85" s="24">
        <f>IF(OR(W85="",W85=0),"",X85/W85)</f>
        <v>0</v>
      </c>
      <c r="Z85" s="23">
        <f>IF(T85="","",SUMIFS(Analytics!$G$5:$G$154,Analytics!$D$5:$D$154,T85,Analytics!$B$5:$B$154,"&gt;="&amp;DashStart,Analytics!$B$5:$B$154,"&lt;="&amp;DashEnd))</f>
        <v>0</v>
      </c>
      <c r="AA85" s="23">
        <f>IF(T85="","",SUMIFS(Analytics!$X$5:$X$154,Analytics!$D$5:$D$154,T85,Analytics!$B$5:$B$154,"&gt;="&amp;DashStart,Analytics!$B$5:$B$154,"&lt;="&amp;DashEnd))</f>
        <v>0</v>
      </c>
      <c r="AB85" s="23">
        <f>IF(T85="","",SUMIFS(Analytics!$R$5:$R$154,Analytics!$D$5:$D$154,T85,Analytics!$B$5:$B$154,"&gt;="&amp;DashStart,Analytics!$B$5:$B$154,"&lt;="&amp;DashEnd))</f>
        <v>0</v>
      </c>
      <c r="AC85" s="25">
        <f>IF(T85="","",SUMIFS(Analytics!$U$5:$U$154,Analytics!$D$5:$D$154,T85,Analytics!$B$5:$B$154,"&gt;="&amp;DashStart,Analytics!$B$5:$B$154,"&lt;="&amp;DashEnd))</f>
        <v>0</v>
      </c>
      <c r="AD85" s="23">
        <f>IF(T85="","",COUNTIFS('Content Calendar'!$G$5:$G$604,T85,'Content Calendar'!$B$5:$B$604,"&gt;="&amp;DATE(PlanYear,1,1),'Content Calendar'!$B$5:$B$604,"&lt;="&amp;DATE(PlanYear,12,31)))</f>
        <v>0</v>
      </c>
      <c r="AE85" s="23">
        <f>IF(T85="","",SUMIFS(Analytics!$J$5:$J$154,Analytics!$D$5:$D$154,T85))</f>
        <v>0</v>
      </c>
      <c r="AF85" s="23">
        <f>IF(T85="","",SUMIFS(Analytics!$L$5:$L$154,Analytics!$D$5:$D$154,T85))</f>
        <v>0</v>
      </c>
      <c r="AG85" s="24">
        <f>IF(OR(AE85="",AE85=0),"",AF85/AE85)</f>
        <v>0</v>
      </c>
      <c r="AH85" s="23">
        <f>IF(T85="","",SUMIFS(Analytics!$X$5:$X$154,Analytics!$D$5:$D$154,T85))</f>
        <v>0</v>
      </c>
      <c r="AI85" s="32">
        <f>IF(T85="","",IF(AE85=0,"",AE85+ROW()/1000000))</f>
        <v>0</v>
      </c>
      <c r="AJ85" s="17">
        <f>IF('Content Pillars'!$B$85="","",'Content Pillars'!$B$85)</f>
        <v>0</v>
      </c>
      <c r="AK85" s="23">
        <f>IF(AJ85="","",COUNTIFS('Content Calendar'!$J$5:$J$604,AJ85,'Content Calendar'!$B$5:$B$604,"&gt;="&amp;DATE(PlanYear,1,1),'Content Calendar'!$B$5:$B$604,"&lt;="&amp;DATE(PlanYear,12,31)))</f>
        <v>0</v>
      </c>
      <c r="AL85" s="23">
        <f>IF(AJ85="","",SUMIFS(Performance!$O$5:$O$404,Performance!$H$5:$H$404,AJ85))</f>
        <v>0</v>
      </c>
      <c r="AM85" s="23">
        <f>IF(AJ85="","",SUMIFS(Performance!$Z$5:$Z$404,Performance!$H$5:$H$404,AJ85))</f>
        <v>0</v>
      </c>
      <c r="AN85" s="24">
        <f>IF(OR(AL85="",AL85=0),"",AM85/AL85)</f>
        <v>0</v>
      </c>
      <c r="AO85" s="32">
        <f>IF(AN85="","",AN85+ROW()/1000000)</f>
        <v>0</v>
      </c>
      <c r="AP85" s="17">
        <f>IF(Lists!$E85="","",Lists!$E85)</f>
        <v>0</v>
      </c>
      <c r="AQ85" s="23">
        <f>IF(AP85="","",COUNTIF(Performance!$G$5:$G$404,AP85))</f>
        <v>0</v>
      </c>
      <c r="AR85" s="23">
        <f>IF(AP85="","",SUMIFS(Performance!$O$5:$O$404,Performance!$G$5:$G$404,AP85))</f>
        <v>0</v>
      </c>
      <c r="AS85" s="23">
        <f>IF(AP85="","",SUMIFS(Performance!$Z$5:$Z$404,Performance!$G$5:$G$404,AP85))</f>
        <v>0</v>
      </c>
      <c r="AT85" s="24">
        <f>IF(OR(AR85="",AR85=0),"",AS85/AR85)</f>
        <v>0</v>
      </c>
      <c r="AU85" s="32">
        <f>IF(AQ85=0,"",IF(AT85="","",AT85+ROW()/1000000))</f>
        <v>0</v>
      </c>
      <c r="AV85" s="17">
        <f>IF(ROW()-4&gt;7,"",TEXT(DATE(2024,1,ROW()-4),"ddd"))</f>
        <v>0</v>
      </c>
      <c r="AW85" s="23">
        <f>IF(AV85="","",COUNTIF(Performance!$N$5:$N$404,AV85))</f>
        <v>0</v>
      </c>
      <c r="AX85" s="23">
        <f>IF(AV85="","",SUMIFS(Performance!$O$5:$O$404,Performance!$N$5:$N$404,AV85))</f>
        <v>0</v>
      </c>
      <c r="AY85" s="23">
        <f>IF(AV85="","",SUMIFS(Performance!$Z$5:$Z$404,Performance!$N$5:$N$404,AV85))</f>
        <v>0</v>
      </c>
      <c r="AZ85" s="24">
        <f>IF(OR(AX85="",AX85=0),"",AY85/AX85)</f>
        <v>0</v>
      </c>
      <c r="BA85" s="32">
        <f>IF(AW85=0,"",IF(AZ85="","",AZ85+ROW()/1000000))</f>
        <v>0</v>
      </c>
      <c r="BB85" s="17">
        <f>IF(Lists!$AL85="","",Lists!$AL85)</f>
        <v>0</v>
      </c>
      <c r="BC85" s="23">
        <f>IF(BB85="","",COUNTIF(Performance!$M$5:$M$404,BB85))</f>
        <v>0</v>
      </c>
      <c r="BD85" s="23">
        <f>IF(BB85="","",SUMIFS(Performance!$O$5:$O$404,Performance!$M$5:$M$404,BB85))</f>
        <v>0</v>
      </c>
      <c r="BE85" s="23">
        <f>IF(BB85="","",SUMIFS(Performance!$Z$5:$Z$404,Performance!$M$5:$M$404,BB85))</f>
        <v>0</v>
      </c>
      <c r="BF85" s="24">
        <f>IF(OR(BD85="",BD85=0),"",BE85/BD85)</f>
        <v>0</v>
      </c>
      <c r="BG85" s="32">
        <f>IF(BC85=0,"",IF(BF85="","",BF85+ROW()/1000000))</f>
        <v>0</v>
      </c>
      <c r="BH85" s="17">
        <f>IF(Performance!$C$85="","",Performance!$C$85)</f>
        <v>0</v>
      </c>
      <c r="BI85" s="17">
        <f>IF(Performance!$F$85="","",Performance!$F$85)</f>
        <v>0</v>
      </c>
      <c r="BJ85" s="17">
        <f>IF(Performance!$H$85="","",Performance!$H$85)</f>
        <v>0</v>
      </c>
      <c r="BK85" s="16">
        <f>IF(Performance!$D$85="","",Performance!$D$85)</f>
        <v>0</v>
      </c>
      <c r="BL85" s="17">
        <f>IF(Performance!$E$85="","",Performance!$E$85)</f>
        <v>0</v>
      </c>
      <c r="BM85" s="23">
        <f>IF(Performance!$O$85="","",Performance!$O$85)</f>
        <v>0</v>
      </c>
      <c r="BN85" s="24">
        <f>IF(Performance!$AA$85="","",Performance!$AA$85)</f>
        <v>0</v>
      </c>
      <c r="BO85" s="32">
        <f>IF(BH85="","",IF(BK85="","",IF(OR(BK85&lt;DashStart,BK85&gt;DashEnd),"",IF(BN85="","",BN85+ROW()/1000000))))</f>
        <v>0</v>
      </c>
      <c r="BP85" s="32">
        <f>IF(BM85="","",IF(BK85="","",IF(OR(BK85&lt;DashStart,BK85&gt;DashEnd),"",BM85+ROW()/1000000)))</f>
        <v>0</v>
      </c>
      <c r="BQ85" s="32">
        <f>IF(BH85="","",IF(BK85="","",IF(YEAR(BK85)&lt;&gt;PlanYear,"",IF(BN85="","",BN85+ROW()/1000000))))</f>
        <v>0</v>
      </c>
      <c r="BR85" s="32">
        <f>IF(BH85="","",IF(BK85="","",IF(OR(BK85&lt;RepFrom,BK85&gt;RepTo),"",IF(BN85="","",BN85+ROW()/1000000))))</f>
        <v>0</v>
      </c>
      <c r="BS85" s="32">
        <f>IF(BM85="","",IF(BK85="","",IF(YEAR(BK85)&lt;&gt;PlanYear,"",BM85+ROW()/1000000)))</f>
        <v>0</v>
      </c>
      <c r="BT85" s="17">
        <f>IF(Lists!$F85="","",Lists!$F85)</f>
        <v>0</v>
      </c>
      <c r="BU85" s="23">
        <f>IF(BT85="","",COUNTIF('Content Calendar'!$X$5:$X$604,BT85))</f>
        <v>0</v>
      </c>
      <c r="BV85" s="23">
        <f>IF(BT85="","",COUNTIFS('Content Calendar'!$X$5:$X$604,BT85,'Content Calendar'!$B$5:$B$604,"&gt;="&amp;DashStart,'Content Calendar'!$B$5:$B$604,"&lt;="&amp;DashEnd))</f>
        <v>0</v>
      </c>
      <c r="BW85" s="17">
        <f>IF(Team!$B$85="","",Team!$B$85)</f>
        <v>0</v>
      </c>
      <c r="BX85" s="23">
        <f>IF(BW85="","",COUNTIF('Content Calendar'!$W$5:$W$604,BW85))</f>
        <v>0</v>
      </c>
      <c r="BY85" s="23">
        <f>IF(BW85="","",COUNTIFS('Content Calendar'!$W$5:$W$604,BW85,'Content Calendar'!$X$5:$X$604,"&lt;&gt;Published"))</f>
        <v>0</v>
      </c>
      <c r="BZ85" s="23">
        <f>IF(BW85="","",COUNTIFS(Tasks!$C$5:$C$64,BW85,Tasks!$G$5:$G$64,"&lt;&gt;Complete"))</f>
        <v>0</v>
      </c>
      <c r="CA85" s="17">
        <f>IF(Campaigns!$B$85="","",Campaigns!$B$85)</f>
        <v>0</v>
      </c>
      <c r="CB85" s="25">
        <f>IF(Campaigns!$T$85="","",Campaigns!$T$85)</f>
        <v>0</v>
      </c>
      <c r="CC85" s="25">
        <f>IF(Campaigns!$Q$85="","",Campaigns!$Q$85)</f>
        <v>0</v>
      </c>
      <c r="CD85" s="23">
        <f>IF(Campaigns!$Y$85="","",Campaigns!$Y$85)</f>
        <v>0</v>
      </c>
      <c r="CE85" s="32">
        <f>IF(CA85="","",IF(N(CB85)&lt;=0,"",N(CB85)+ROW()/1000000))</f>
        <v>0</v>
      </c>
      <c r="CF85" s="17">
        <f>IF(Accounts!$C$85="","",Accounts!$C$85)</f>
        <v>0</v>
      </c>
      <c r="CG85" s="17">
        <f>IF(Accounts!$B$85="","",Accounts!$B$85)</f>
        <v>0</v>
      </c>
      <c r="CH85" s="23">
        <f>IF(Accounts!$J$85="","",Accounts!$J$85)</f>
        <v>0</v>
      </c>
      <c r="CI85" s="23">
        <f>IF(CF85="","",SUMIFS(Analytics!$X$5:$X$154,Analytics!$E$5:$E$154,CF85,Analytics!$B$5:$B$154,"&gt;="&amp;DashStart,Analytics!$B$5:$B$154,"&lt;="&amp;DashEnd))</f>
        <v>0</v>
      </c>
      <c r="CJ85" s="32">
        <f>IF(CH85="","",IF(CH85=0,"",CH85+ROW()/1000000))</f>
        <v>0</v>
      </c>
    </row>
    <row r="86" spans="1:88">
      <c r="A86" s="16">
        <f>IF(ROW()-4&gt;12,"",DATE(PlanYear,ROW()-4,1))</f>
        <v>0</v>
      </c>
      <c r="B86" s="16">
        <f>IF(A86="","",EOMONTH(A86,0))</f>
        <v>0</v>
      </c>
      <c r="C86" s="17">
        <f>IF(A86="","",TEXT(A86,"yyyy-mm"))</f>
        <v>0</v>
      </c>
      <c r="D86" s="17">
        <f>IF(A86="","",TEXT(A86,"mmm"))</f>
        <v>0</v>
      </c>
      <c r="E86" s="23">
        <f>IF(C86="","",COUNTIFS('Content Calendar'!$D$5:$D$604,C86))</f>
        <v>0</v>
      </c>
      <c r="F86" s="23">
        <f>IF(C86="","",COUNTIFS('Content Calendar'!$D$5:$D$604,C86,'Content Calendar'!$X$5:$X$604,"Published"))</f>
        <v>0</v>
      </c>
      <c r="G86" s="23">
        <f>IF(C86="","",SUMIFS(Analytics!$J$5:$J$154,Analytics!$C$5:$C$154,C86))</f>
        <v>0</v>
      </c>
      <c r="H86" s="23">
        <f>IF(C86="","",SUMIFS(Analytics!$K$5:$K$154,Analytics!$C$5:$C$154,C86))</f>
        <v>0</v>
      </c>
      <c r="I86" s="23">
        <f>IF(C86="","",SUMIFS(Analytics!$L$5:$L$154,Analytics!$C$5:$C$154,C86))</f>
        <v>0</v>
      </c>
      <c r="J86" s="24">
        <f>IF(OR(G86="",G86=0),"",I86/G86)</f>
        <v>0</v>
      </c>
      <c r="K86" s="23">
        <f>IF(C86="","",SUMIFS(Analytics!$G$5:$G$154,Analytics!$C$5:$C$154,C86))</f>
        <v>0</v>
      </c>
      <c r="L86" s="23">
        <f>IF(C86="","",SUMIFS(Analytics!$X$5:$X$154,Analytics!$C$5:$C$154,C86))</f>
        <v>0</v>
      </c>
      <c r="M86" s="23">
        <f>IF(C86="","",SUMIFS(Analytics!$R$5:$R$154,Analytics!$C$5:$C$154,C86))</f>
        <v>0</v>
      </c>
      <c r="N86" s="23">
        <f>IF(C86="","",SUMIFS(Analytics!$S$5:$S$154,Analytics!$C$5:$C$154,C86))</f>
        <v>0</v>
      </c>
      <c r="O86" s="23">
        <f>IF(C86="","",SUMIFS(Analytics!$T$5:$T$154,Analytics!$C$5:$C$154,C86))</f>
        <v>0</v>
      </c>
      <c r="P86" s="25">
        <f>IF(C86="","",SUMIFS(Analytics!$U$5:$U$154,Analytics!$C$5:$C$154,C86))</f>
        <v>0</v>
      </c>
      <c r="Q86" s="25">
        <f>IF(C86="","",SUMIFS(Budget!$H$5:$H$64,Budget!$C$5:$C$64,C86))</f>
        <v>0</v>
      </c>
      <c r="R86" s="25">
        <f>IF(C86="","",P86-Q86)</f>
        <v>0</v>
      </c>
      <c r="S86" s="23">
        <f>IF(C86="","",MonthlyPostTarget)</f>
        <v>0</v>
      </c>
      <c r="T86" s="17">
        <f>IF(Lists!$C86="","",Lists!$C86)</f>
        <v>0</v>
      </c>
      <c r="U86" s="23">
        <f>IF(T86="","",COUNTIFS('Content Calendar'!$G$5:$G$604,T86,'Content Calendar'!$B$5:$B$604,"&gt;="&amp;DashStart,'Content Calendar'!$B$5:$B$604,"&lt;="&amp;DashEnd))</f>
        <v>0</v>
      </c>
      <c r="V86" s="23">
        <f>IF(T86="","",COUNTIFS('Content Calendar'!$G$5:$G$604,T86,'Content Calendar'!$X$5:$X$604,"Published",'Content Calendar'!$B$5:$B$604,"&gt;="&amp;DashStart,'Content Calendar'!$B$5:$B$604,"&lt;="&amp;DashEnd))</f>
        <v>0</v>
      </c>
      <c r="W86" s="23">
        <f>IF(T86="","",SUMIFS(Analytics!$J$5:$J$154,Analytics!$D$5:$D$154,T86,Analytics!$B$5:$B$154,"&gt;="&amp;DashStart,Analytics!$B$5:$B$154,"&lt;="&amp;DashEnd))</f>
        <v>0</v>
      </c>
      <c r="X86" s="23">
        <f>IF(T86="","",SUMIFS(Analytics!$L$5:$L$154,Analytics!$D$5:$D$154,T86,Analytics!$B$5:$B$154,"&gt;="&amp;DashStart,Analytics!$B$5:$B$154,"&lt;="&amp;DashEnd))</f>
        <v>0</v>
      </c>
      <c r="Y86" s="24">
        <f>IF(OR(W86="",W86=0),"",X86/W86)</f>
        <v>0</v>
      </c>
      <c r="Z86" s="23">
        <f>IF(T86="","",SUMIFS(Analytics!$G$5:$G$154,Analytics!$D$5:$D$154,T86,Analytics!$B$5:$B$154,"&gt;="&amp;DashStart,Analytics!$B$5:$B$154,"&lt;="&amp;DashEnd))</f>
        <v>0</v>
      </c>
      <c r="AA86" s="23">
        <f>IF(T86="","",SUMIFS(Analytics!$X$5:$X$154,Analytics!$D$5:$D$154,T86,Analytics!$B$5:$B$154,"&gt;="&amp;DashStart,Analytics!$B$5:$B$154,"&lt;="&amp;DashEnd))</f>
        <v>0</v>
      </c>
      <c r="AB86" s="23">
        <f>IF(T86="","",SUMIFS(Analytics!$R$5:$R$154,Analytics!$D$5:$D$154,T86,Analytics!$B$5:$B$154,"&gt;="&amp;DashStart,Analytics!$B$5:$B$154,"&lt;="&amp;DashEnd))</f>
        <v>0</v>
      </c>
      <c r="AC86" s="25">
        <f>IF(T86="","",SUMIFS(Analytics!$U$5:$U$154,Analytics!$D$5:$D$154,T86,Analytics!$B$5:$B$154,"&gt;="&amp;DashStart,Analytics!$B$5:$B$154,"&lt;="&amp;DashEnd))</f>
        <v>0</v>
      </c>
      <c r="AD86" s="23">
        <f>IF(T86="","",COUNTIFS('Content Calendar'!$G$5:$G$604,T86,'Content Calendar'!$B$5:$B$604,"&gt;="&amp;DATE(PlanYear,1,1),'Content Calendar'!$B$5:$B$604,"&lt;="&amp;DATE(PlanYear,12,31)))</f>
        <v>0</v>
      </c>
      <c r="AE86" s="23">
        <f>IF(T86="","",SUMIFS(Analytics!$J$5:$J$154,Analytics!$D$5:$D$154,T86))</f>
        <v>0</v>
      </c>
      <c r="AF86" s="23">
        <f>IF(T86="","",SUMIFS(Analytics!$L$5:$L$154,Analytics!$D$5:$D$154,T86))</f>
        <v>0</v>
      </c>
      <c r="AG86" s="24">
        <f>IF(OR(AE86="",AE86=0),"",AF86/AE86)</f>
        <v>0</v>
      </c>
      <c r="AH86" s="23">
        <f>IF(T86="","",SUMIFS(Analytics!$X$5:$X$154,Analytics!$D$5:$D$154,T86))</f>
        <v>0</v>
      </c>
      <c r="AI86" s="32">
        <f>IF(T86="","",IF(AE86=0,"",AE86+ROW()/1000000))</f>
        <v>0</v>
      </c>
      <c r="AJ86" s="17">
        <f>IF('Content Pillars'!$B$86="","",'Content Pillars'!$B$86)</f>
        <v>0</v>
      </c>
      <c r="AK86" s="23">
        <f>IF(AJ86="","",COUNTIFS('Content Calendar'!$J$5:$J$604,AJ86,'Content Calendar'!$B$5:$B$604,"&gt;="&amp;DATE(PlanYear,1,1),'Content Calendar'!$B$5:$B$604,"&lt;="&amp;DATE(PlanYear,12,31)))</f>
        <v>0</v>
      </c>
      <c r="AL86" s="23">
        <f>IF(AJ86="","",SUMIFS(Performance!$O$5:$O$404,Performance!$H$5:$H$404,AJ86))</f>
        <v>0</v>
      </c>
      <c r="AM86" s="23">
        <f>IF(AJ86="","",SUMIFS(Performance!$Z$5:$Z$404,Performance!$H$5:$H$404,AJ86))</f>
        <v>0</v>
      </c>
      <c r="AN86" s="24">
        <f>IF(OR(AL86="",AL86=0),"",AM86/AL86)</f>
        <v>0</v>
      </c>
      <c r="AO86" s="32">
        <f>IF(AN86="","",AN86+ROW()/1000000)</f>
        <v>0</v>
      </c>
      <c r="AP86" s="17">
        <f>IF(Lists!$E86="","",Lists!$E86)</f>
        <v>0</v>
      </c>
      <c r="AQ86" s="23">
        <f>IF(AP86="","",COUNTIF(Performance!$G$5:$G$404,AP86))</f>
        <v>0</v>
      </c>
      <c r="AR86" s="23">
        <f>IF(AP86="","",SUMIFS(Performance!$O$5:$O$404,Performance!$G$5:$G$404,AP86))</f>
        <v>0</v>
      </c>
      <c r="AS86" s="23">
        <f>IF(AP86="","",SUMIFS(Performance!$Z$5:$Z$404,Performance!$G$5:$G$404,AP86))</f>
        <v>0</v>
      </c>
      <c r="AT86" s="24">
        <f>IF(OR(AR86="",AR86=0),"",AS86/AR86)</f>
        <v>0</v>
      </c>
      <c r="AU86" s="32">
        <f>IF(AQ86=0,"",IF(AT86="","",AT86+ROW()/1000000))</f>
        <v>0</v>
      </c>
      <c r="AV86" s="17">
        <f>IF(ROW()-4&gt;7,"",TEXT(DATE(2024,1,ROW()-4),"ddd"))</f>
        <v>0</v>
      </c>
      <c r="AW86" s="23">
        <f>IF(AV86="","",COUNTIF(Performance!$N$5:$N$404,AV86))</f>
        <v>0</v>
      </c>
      <c r="AX86" s="23">
        <f>IF(AV86="","",SUMIFS(Performance!$O$5:$O$404,Performance!$N$5:$N$404,AV86))</f>
        <v>0</v>
      </c>
      <c r="AY86" s="23">
        <f>IF(AV86="","",SUMIFS(Performance!$Z$5:$Z$404,Performance!$N$5:$N$404,AV86))</f>
        <v>0</v>
      </c>
      <c r="AZ86" s="24">
        <f>IF(OR(AX86="",AX86=0),"",AY86/AX86)</f>
        <v>0</v>
      </c>
      <c r="BA86" s="32">
        <f>IF(AW86=0,"",IF(AZ86="","",AZ86+ROW()/1000000))</f>
        <v>0</v>
      </c>
      <c r="BB86" s="17">
        <f>IF(Lists!$AL86="","",Lists!$AL86)</f>
        <v>0</v>
      </c>
      <c r="BC86" s="23">
        <f>IF(BB86="","",COUNTIF(Performance!$M$5:$M$404,BB86))</f>
        <v>0</v>
      </c>
      <c r="BD86" s="23">
        <f>IF(BB86="","",SUMIFS(Performance!$O$5:$O$404,Performance!$M$5:$M$404,BB86))</f>
        <v>0</v>
      </c>
      <c r="BE86" s="23">
        <f>IF(BB86="","",SUMIFS(Performance!$Z$5:$Z$404,Performance!$M$5:$M$404,BB86))</f>
        <v>0</v>
      </c>
      <c r="BF86" s="24">
        <f>IF(OR(BD86="",BD86=0),"",BE86/BD86)</f>
        <v>0</v>
      </c>
      <c r="BG86" s="32">
        <f>IF(BC86=0,"",IF(BF86="","",BF86+ROW()/1000000))</f>
        <v>0</v>
      </c>
      <c r="BH86" s="17">
        <f>IF(Performance!$C$86="","",Performance!$C$86)</f>
        <v>0</v>
      </c>
      <c r="BI86" s="17">
        <f>IF(Performance!$F$86="","",Performance!$F$86)</f>
        <v>0</v>
      </c>
      <c r="BJ86" s="17">
        <f>IF(Performance!$H$86="","",Performance!$H$86)</f>
        <v>0</v>
      </c>
      <c r="BK86" s="16">
        <f>IF(Performance!$D$86="","",Performance!$D$86)</f>
        <v>0</v>
      </c>
      <c r="BL86" s="17">
        <f>IF(Performance!$E$86="","",Performance!$E$86)</f>
        <v>0</v>
      </c>
      <c r="BM86" s="23">
        <f>IF(Performance!$O$86="","",Performance!$O$86)</f>
        <v>0</v>
      </c>
      <c r="BN86" s="24">
        <f>IF(Performance!$AA$86="","",Performance!$AA$86)</f>
        <v>0</v>
      </c>
      <c r="BO86" s="32">
        <f>IF(BH86="","",IF(BK86="","",IF(OR(BK86&lt;DashStart,BK86&gt;DashEnd),"",IF(BN86="","",BN86+ROW()/1000000))))</f>
        <v>0</v>
      </c>
      <c r="BP86" s="32">
        <f>IF(BM86="","",IF(BK86="","",IF(OR(BK86&lt;DashStart,BK86&gt;DashEnd),"",BM86+ROW()/1000000)))</f>
        <v>0</v>
      </c>
      <c r="BQ86" s="32">
        <f>IF(BH86="","",IF(BK86="","",IF(YEAR(BK86)&lt;&gt;PlanYear,"",IF(BN86="","",BN86+ROW()/1000000))))</f>
        <v>0</v>
      </c>
      <c r="BR86" s="32">
        <f>IF(BH86="","",IF(BK86="","",IF(OR(BK86&lt;RepFrom,BK86&gt;RepTo),"",IF(BN86="","",BN86+ROW()/1000000))))</f>
        <v>0</v>
      </c>
      <c r="BS86" s="32">
        <f>IF(BM86="","",IF(BK86="","",IF(YEAR(BK86)&lt;&gt;PlanYear,"",BM86+ROW()/1000000)))</f>
        <v>0</v>
      </c>
      <c r="BT86" s="17">
        <f>IF(Lists!$F86="","",Lists!$F86)</f>
        <v>0</v>
      </c>
      <c r="BU86" s="23">
        <f>IF(BT86="","",COUNTIF('Content Calendar'!$X$5:$X$604,BT86))</f>
        <v>0</v>
      </c>
      <c r="BV86" s="23">
        <f>IF(BT86="","",COUNTIFS('Content Calendar'!$X$5:$X$604,BT86,'Content Calendar'!$B$5:$B$604,"&gt;="&amp;DashStart,'Content Calendar'!$B$5:$B$604,"&lt;="&amp;DashEnd))</f>
        <v>0</v>
      </c>
      <c r="BW86" s="17">
        <f>IF(Team!$B$86="","",Team!$B$86)</f>
        <v>0</v>
      </c>
      <c r="BX86" s="23">
        <f>IF(BW86="","",COUNTIF('Content Calendar'!$W$5:$W$604,BW86))</f>
        <v>0</v>
      </c>
      <c r="BY86" s="23">
        <f>IF(BW86="","",COUNTIFS('Content Calendar'!$W$5:$W$604,BW86,'Content Calendar'!$X$5:$X$604,"&lt;&gt;Published"))</f>
        <v>0</v>
      </c>
      <c r="BZ86" s="23">
        <f>IF(BW86="","",COUNTIFS(Tasks!$C$5:$C$64,BW86,Tasks!$G$5:$G$64,"&lt;&gt;Complete"))</f>
        <v>0</v>
      </c>
      <c r="CA86" s="17">
        <f>IF(Campaigns!$B$86="","",Campaigns!$B$86)</f>
        <v>0</v>
      </c>
      <c r="CB86" s="25">
        <f>IF(Campaigns!$T$86="","",Campaigns!$T$86)</f>
        <v>0</v>
      </c>
      <c r="CC86" s="25">
        <f>IF(Campaigns!$Q$86="","",Campaigns!$Q$86)</f>
        <v>0</v>
      </c>
      <c r="CD86" s="23">
        <f>IF(Campaigns!$Y$86="","",Campaigns!$Y$86)</f>
        <v>0</v>
      </c>
      <c r="CE86" s="32">
        <f>IF(CA86="","",IF(N(CB86)&lt;=0,"",N(CB86)+ROW()/1000000))</f>
        <v>0</v>
      </c>
      <c r="CF86" s="17">
        <f>IF(Accounts!$C$86="","",Accounts!$C$86)</f>
        <v>0</v>
      </c>
      <c r="CG86" s="17">
        <f>IF(Accounts!$B$86="","",Accounts!$B$86)</f>
        <v>0</v>
      </c>
      <c r="CH86" s="23">
        <f>IF(Accounts!$J$86="","",Accounts!$J$86)</f>
        <v>0</v>
      </c>
      <c r="CI86" s="23">
        <f>IF(CF86="","",SUMIFS(Analytics!$X$5:$X$154,Analytics!$E$5:$E$154,CF86,Analytics!$B$5:$B$154,"&gt;="&amp;DashStart,Analytics!$B$5:$B$154,"&lt;="&amp;DashEnd))</f>
        <v>0</v>
      </c>
      <c r="CJ86" s="32">
        <f>IF(CH86="","",IF(CH86=0,"",CH86+ROW()/1000000))</f>
        <v>0</v>
      </c>
    </row>
    <row r="87" spans="1:88">
      <c r="A87" s="16">
        <f>IF(ROW()-4&gt;12,"",DATE(PlanYear,ROW()-4,1))</f>
        <v>0</v>
      </c>
      <c r="B87" s="16">
        <f>IF(A87="","",EOMONTH(A87,0))</f>
        <v>0</v>
      </c>
      <c r="C87" s="17">
        <f>IF(A87="","",TEXT(A87,"yyyy-mm"))</f>
        <v>0</v>
      </c>
      <c r="D87" s="17">
        <f>IF(A87="","",TEXT(A87,"mmm"))</f>
        <v>0</v>
      </c>
      <c r="E87" s="23">
        <f>IF(C87="","",COUNTIFS('Content Calendar'!$D$5:$D$604,C87))</f>
        <v>0</v>
      </c>
      <c r="F87" s="23">
        <f>IF(C87="","",COUNTIFS('Content Calendar'!$D$5:$D$604,C87,'Content Calendar'!$X$5:$X$604,"Published"))</f>
        <v>0</v>
      </c>
      <c r="G87" s="23">
        <f>IF(C87="","",SUMIFS(Analytics!$J$5:$J$154,Analytics!$C$5:$C$154,C87))</f>
        <v>0</v>
      </c>
      <c r="H87" s="23">
        <f>IF(C87="","",SUMIFS(Analytics!$K$5:$K$154,Analytics!$C$5:$C$154,C87))</f>
        <v>0</v>
      </c>
      <c r="I87" s="23">
        <f>IF(C87="","",SUMIFS(Analytics!$L$5:$L$154,Analytics!$C$5:$C$154,C87))</f>
        <v>0</v>
      </c>
      <c r="J87" s="24">
        <f>IF(OR(G87="",G87=0),"",I87/G87)</f>
        <v>0</v>
      </c>
      <c r="K87" s="23">
        <f>IF(C87="","",SUMIFS(Analytics!$G$5:$G$154,Analytics!$C$5:$C$154,C87))</f>
        <v>0</v>
      </c>
      <c r="L87" s="23">
        <f>IF(C87="","",SUMIFS(Analytics!$X$5:$X$154,Analytics!$C$5:$C$154,C87))</f>
        <v>0</v>
      </c>
      <c r="M87" s="23">
        <f>IF(C87="","",SUMIFS(Analytics!$R$5:$R$154,Analytics!$C$5:$C$154,C87))</f>
        <v>0</v>
      </c>
      <c r="N87" s="23">
        <f>IF(C87="","",SUMIFS(Analytics!$S$5:$S$154,Analytics!$C$5:$C$154,C87))</f>
        <v>0</v>
      </c>
      <c r="O87" s="23">
        <f>IF(C87="","",SUMIFS(Analytics!$T$5:$T$154,Analytics!$C$5:$C$154,C87))</f>
        <v>0</v>
      </c>
      <c r="P87" s="25">
        <f>IF(C87="","",SUMIFS(Analytics!$U$5:$U$154,Analytics!$C$5:$C$154,C87))</f>
        <v>0</v>
      </c>
      <c r="Q87" s="25">
        <f>IF(C87="","",SUMIFS(Budget!$H$5:$H$64,Budget!$C$5:$C$64,C87))</f>
        <v>0</v>
      </c>
      <c r="R87" s="25">
        <f>IF(C87="","",P87-Q87)</f>
        <v>0</v>
      </c>
      <c r="S87" s="23">
        <f>IF(C87="","",MonthlyPostTarget)</f>
        <v>0</v>
      </c>
      <c r="T87" s="17">
        <f>IF(Lists!$C87="","",Lists!$C87)</f>
        <v>0</v>
      </c>
      <c r="U87" s="23">
        <f>IF(T87="","",COUNTIFS('Content Calendar'!$G$5:$G$604,T87,'Content Calendar'!$B$5:$B$604,"&gt;="&amp;DashStart,'Content Calendar'!$B$5:$B$604,"&lt;="&amp;DashEnd))</f>
        <v>0</v>
      </c>
      <c r="V87" s="23">
        <f>IF(T87="","",COUNTIFS('Content Calendar'!$G$5:$G$604,T87,'Content Calendar'!$X$5:$X$604,"Published",'Content Calendar'!$B$5:$B$604,"&gt;="&amp;DashStart,'Content Calendar'!$B$5:$B$604,"&lt;="&amp;DashEnd))</f>
        <v>0</v>
      </c>
      <c r="W87" s="23">
        <f>IF(T87="","",SUMIFS(Analytics!$J$5:$J$154,Analytics!$D$5:$D$154,T87,Analytics!$B$5:$B$154,"&gt;="&amp;DashStart,Analytics!$B$5:$B$154,"&lt;="&amp;DashEnd))</f>
        <v>0</v>
      </c>
      <c r="X87" s="23">
        <f>IF(T87="","",SUMIFS(Analytics!$L$5:$L$154,Analytics!$D$5:$D$154,T87,Analytics!$B$5:$B$154,"&gt;="&amp;DashStart,Analytics!$B$5:$B$154,"&lt;="&amp;DashEnd))</f>
        <v>0</v>
      </c>
      <c r="Y87" s="24">
        <f>IF(OR(W87="",W87=0),"",X87/W87)</f>
        <v>0</v>
      </c>
      <c r="Z87" s="23">
        <f>IF(T87="","",SUMIFS(Analytics!$G$5:$G$154,Analytics!$D$5:$D$154,T87,Analytics!$B$5:$B$154,"&gt;="&amp;DashStart,Analytics!$B$5:$B$154,"&lt;="&amp;DashEnd))</f>
        <v>0</v>
      </c>
      <c r="AA87" s="23">
        <f>IF(T87="","",SUMIFS(Analytics!$X$5:$X$154,Analytics!$D$5:$D$154,T87,Analytics!$B$5:$B$154,"&gt;="&amp;DashStart,Analytics!$B$5:$B$154,"&lt;="&amp;DashEnd))</f>
        <v>0</v>
      </c>
      <c r="AB87" s="23">
        <f>IF(T87="","",SUMIFS(Analytics!$R$5:$R$154,Analytics!$D$5:$D$154,T87,Analytics!$B$5:$B$154,"&gt;="&amp;DashStart,Analytics!$B$5:$B$154,"&lt;="&amp;DashEnd))</f>
        <v>0</v>
      </c>
      <c r="AC87" s="25">
        <f>IF(T87="","",SUMIFS(Analytics!$U$5:$U$154,Analytics!$D$5:$D$154,T87,Analytics!$B$5:$B$154,"&gt;="&amp;DashStart,Analytics!$B$5:$B$154,"&lt;="&amp;DashEnd))</f>
        <v>0</v>
      </c>
      <c r="AD87" s="23">
        <f>IF(T87="","",COUNTIFS('Content Calendar'!$G$5:$G$604,T87,'Content Calendar'!$B$5:$B$604,"&gt;="&amp;DATE(PlanYear,1,1),'Content Calendar'!$B$5:$B$604,"&lt;="&amp;DATE(PlanYear,12,31)))</f>
        <v>0</v>
      </c>
      <c r="AE87" s="23">
        <f>IF(T87="","",SUMIFS(Analytics!$J$5:$J$154,Analytics!$D$5:$D$154,T87))</f>
        <v>0</v>
      </c>
      <c r="AF87" s="23">
        <f>IF(T87="","",SUMIFS(Analytics!$L$5:$L$154,Analytics!$D$5:$D$154,T87))</f>
        <v>0</v>
      </c>
      <c r="AG87" s="24">
        <f>IF(OR(AE87="",AE87=0),"",AF87/AE87)</f>
        <v>0</v>
      </c>
      <c r="AH87" s="23">
        <f>IF(T87="","",SUMIFS(Analytics!$X$5:$X$154,Analytics!$D$5:$D$154,T87))</f>
        <v>0</v>
      </c>
      <c r="AI87" s="32">
        <f>IF(T87="","",IF(AE87=0,"",AE87+ROW()/1000000))</f>
        <v>0</v>
      </c>
      <c r="AJ87" s="17">
        <f>IF('Content Pillars'!$B$87="","",'Content Pillars'!$B$87)</f>
        <v>0</v>
      </c>
      <c r="AK87" s="23">
        <f>IF(AJ87="","",COUNTIFS('Content Calendar'!$J$5:$J$604,AJ87,'Content Calendar'!$B$5:$B$604,"&gt;="&amp;DATE(PlanYear,1,1),'Content Calendar'!$B$5:$B$604,"&lt;="&amp;DATE(PlanYear,12,31)))</f>
        <v>0</v>
      </c>
      <c r="AL87" s="23">
        <f>IF(AJ87="","",SUMIFS(Performance!$O$5:$O$404,Performance!$H$5:$H$404,AJ87))</f>
        <v>0</v>
      </c>
      <c r="AM87" s="23">
        <f>IF(AJ87="","",SUMIFS(Performance!$Z$5:$Z$404,Performance!$H$5:$H$404,AJ87))</f>
        <v>0</v>
      </c>
      <c r="AN87" s="24">
        <f>IF(OR(AL87="",AL87=0),"",AM87/AL87)</f>
        <v>0</v>
      </c>
      <c r="AO87" s="32">
        <f>IF(AN87="","",AN87+ROW()/1000000)</f>
        <v>0</v>
      </c>
      <c r="AP87" s="17">
        <f>IF(Lists!$E87="","",Lists!$E87)</f>
        <v>0</v>
      </c>
      <c r="AQ87" s="23">
        <f>IF(AP87="","",COUNTIF(Performance!$G$5:$G$404,AP87))</f>
        <v>0</v>
      </c>
      <c r="AR87" s="23">
        <f>IF(AP87="","",SUMIFS(Performance!$O$5:$O$404,Performance!$G$5:$G$404,AP87))</f>
        <v>0</v>
      </c>
      <c r="AS87" s="23">
        <f>IF(AP87="","",SUMIFS(Performance!$Z$5:$Z$404,Performance!$G$5:$G$404,AP87))</f>
        <v>0</v>
      </c>
      <c r="AT87" s="24">
        <f>IF(OR(AR87="",AR87=0),"",AS87/AR87)</f>
        <v>0</v>
      </c>
      <c r="AU87" s="32">
        <f>IF(AQ87=0,"",IF(AT87="","",AT87+ROW()/1000000))</f>
        <v>0</v>
      </c>
      <c r="AV87" s="17">
        <f>IF(ROW()-4&gt;7,"",TEXT(DATE(2024,1,ROW()-4),"ddd"))</f>
        <v>0</v>
      </c>
      <c r="AW87" s="23">
        <f>IF(AV87="","",COUNTIF(Performance!$N$5:$N$404,AV87))</f>
        <v>0</v>
      </c>
      <c r="AX87" s="23">
        <f>IF(AV87="","",SUMIFS(Performance!$O$5:$O$404,Performance!$N$5:$N$404,AV87))</f>
        <v>0</v>
      </c>
      <c r="AY87" s="23">
        <f>IF(AV87="","",SUMIFS(Performance!$Z$5:$Z$404,Performance!$N$5:$N$404,AV87))</f>
        <v>0</v>
      </c>
      <c r="AZ87" s="24">
        <f>IF(OR(AX87="",AX87=0),"",AY87/AX87)</f>
        <v>0</v>
      </c>
      <c r="BA87" s="32">
        <f>IF(AW87=0,"",IF(AZ87="","",AZ87+ROW()/1000000))</f>
        <v>0</v>
      </c>
      <c r="BB87" s="17">
        <f>IF(Lists!$AL87="","",Lists!$AL87)</f>
        <v>0</v>
      </c>
      <c r="BC87" s="23">
        <f>IF(BB87="","",COUNTIF(Performance!$M$5:$M$404,BB87))</f>
        <v>0</v>
      </c>
      <c r="BD87" s="23">
        <f>IF(BB87="","",SUMIFS(Performance!$O$5:$O$404,Performance!$M$5:$M$404,BB87))</f>
        <v>0</v>
      </c>
      <c r="BE87" s="23">
        <f>IF(BB87="","",SUMIFS(Performance!$Z$5:$Z$404,Performance!$M$5:$M$404,BB87))</f>
        <v>0</v>
      </c>
      <c r="BF87" s="24">
        <f>IF(OR(BD87="",BD87=0),"",BE87/BD87)</f>
        <v>0</v>
      </c>
      <c r="BG87" s="32">
        <f>IF(BC87=0,"",IF(BF87="","",BF87+ROW()/1000000))</f>
        <v>0</v>
      </c>
      <c r="BH87" s="17">
        <f>IF(Performance!$C$87="","",Performance!$C$87)</f>
        <v>0</v>
      </c>
      <c r="BI87" s="17">
        <f>IF(Performance!$F$87="","",Performance!$F$87)</f>
        <v>0</v>
      </c>
      <c r="BJ87" s="17">
        <f>IF(Performance!$H$87="","",Performance!$H$87)</f>
        <v>0</v>
      </c>
      <c r="BK87" s="16">
        <f>IF(Performance!$D$87="","",Performance!$D$87)</f>
        <v>0</v>
      </c>
      <c r="BL87" s="17">
        <f>IF(Performance!$E$87="","",Performance!$E$87)</f>
        <v>0</v>
      </c>
      <c r="BM87" s="23">
        <f>IF(Performance!$O$87="","",Performance!$O$87)</f>
        <v>0</v>
      </c>
      <c r="BN87" s="24">
        <f>IF(Performance!$AA$87="","",Performance!$AA$87)</f>
        <v>0</v>
      </c>
      <c r="BO87" s="32">
        <f>IF(BH87="","",IF(BK87="","",IF(OR(BK87&lt;DashStart,BK87&gt;DashEnd),"",IF(BN87="","",BN87+ROW()/1000000))))</f>
        <v>0</v>
      </c>
      <c r="BP87" s="32">
        <f>IF(BM87="","",IF(BK87="","",IF(OR(BK87&lt;DashStart,BK87&gt;DashEnd),"",BM87+ROW()/1000000)))</f>
        <v>0</v>
      </c>
      <c r="BQ87" s="32">
        <f>IF(BH87="","",IF(BK87="","",IF(YEAR(BK87)&lt;&gt;PlanYear,"",IF(BN87="","",BN87+ROW()/1000000))))</f>
        <v>0</v>
      </c>
      <c r="BR87" s="32">
        <f>IF(BH87="","",IF(BK87="","",IF(OR(BK87&lt;RepFrom,BK87&gt;RepTo),"",IF(BN87="","",BN87+ROW()/1000000))))</f>
        <v>0</v>
      </c>
      <c r="BS87" s="32">
        <f>IF(BM87="","",IF(BK87="","",IF(YEAR(BK87)&lt;&gt;PlanYear,"",BM87+ROW()/1000000)))</f>
        <v>0</v>
      </c>
      <c r="BT87" s="17">
        <f>IF(Lists!$F87="","",Lists!$F87)</f>
        <v>0</v>
      </c>
      <c r="BU87" s="23">
        <f>IF(BT87="","",COUNTIF('Content Calendar'!$X$5:$X$604,BT87))</f>
        <v>0</v>
      </c>
      <c r="BV87" s="23">
        <f>IF(BT87="","",COUNTIFS('Content Calendar'!$X$5:$X$604,BT87,'Content Calendar'!$B$5:$B$604,"&gt;="&amp;DashStart,'Content Calendar'!$B$5:$B$604,"&lt;="&amp;DashEnd))</f>
        <v>0</v>
      </c>
      <c r="BW87" s="17">
        <f>IF(Team!$B$87="","",Team!$B$87)</f>
        <v>0</v>
      </c>
      <c r="BX87" s="23">
        <f>IF(BW87="","",COUNTIF('Content Calendar'!$W$5:$W$604,BW87))</f>
        <v>0</v>
      </c>
      <c r="BY87" s="23">
        <f>IF(BW87="","",COUNTIFS('Content Calendar'!$W$5:$W$604,BW87,'Content Calendar'!$X$5:$X$604,"&lt;&gt;Published"))</f>
        <v>0</v>
      </c>
      <c r="BZ87" s="23">
        <f>IF(BW87="","",COUNTIFS(Tasks!$C$5:$C$64,BW87,Tasks!$G$5:$G$64,"&lt;&gt;Complete"))</f>
        <v>0</v>
      </c>
      <c r="CA87" s="17">
        <f>IF(Campaigns!$B$87="","",Campaigns!$B$87)</f>
        <v>0</v>
      </c>
      <c r="CB87" s="25">
        <f>IF(Campaigns!$T$87="","",Campaigns!$T$87)</f>
        <v>0</v>
      </c>
      <c r="CC87" s="25">
        <f>IF(Campaigns!$Q$87="","",Campaigns!$Q$87)</f>
        <v>0</v>
      </c>
      <c r="CD87" s="23">
        <f>IF(Campaigns!$Y$87="","",Campaigns!$Y$87)</f>
        <v>0</v>
      </c>
      <c r="CE87" s="32">
        <f>IF(CA87="","",IF(N(CB87)&lt;=0,"",N(CB87)+ROW()/1000000))</f>
        <v>0</v>
      </c>
      <c r="CF87" s="17">
        <f>IF(Accounts!$C$87="","",Accounts!$C$87)</f>
        <v>0</v>
      </c>
      <c r="CG87" s="17">
        <f>IF(Accounts!$B$87="","",Accounts!$B$87)</f>
        <v>0</v>
      </c>
      <c r="CH87" s="23">
        <f>IF(Accounts!$J$87="","",Accounts!$J$87)</f>
        <v>0</v>
      </c>
      <c r="CI87" s="23">
        <f>IF(CF87="","",SUMIFS(Analytics!$X$5:$X$154,Analytics!$E$5:$E$154,CF87,Analytics!$B$5:$B$154,"&gt;="&amp;DashStart,Analytics!$B$5:$B$154,"&lt;="&amp;DashEnd))</f>
        <v>0</v>
      </c>
      <c r="CJ87" s="32">
        <f>IF(CH87="","",IF(CH87=0,"",CH87+ROW()/1000000))</f>
        <v>0</v>
      </c>
    </row>
    <row r="88" spans="1:88">
      <c r="A88" s="16">
        <f>IF(ROW()-4&gt;12,"",DATE(PlanYear,ROW()-4,1))</f>
        <v>0</v>
      </c>
      <c r="B88" s="16">
        <f>IF(A88="","",EOMONTH(A88,0))</f>
        <v>0</v>
      </c>
      <c r="C88" s="17">
        <f>IF(A88="","",TEXT(A88,"yyyy-mm"))</f>
        <v>0</v>
      </c>
      <c r="D88" s="17">
        <f>IF(A88="","",TEXT(A88,"mmm"))</f>
        <v>0</v>
      </c>
      <c r="E88" s="23">
        <f>IF(C88="","",COUNTIFS('Content Calendar'!$D$5:$D$604,C88))</f>
        <v>0</v>
      </c>
      <c r="F88" s="23">
        <f>IF(C88="","",COUNTIFS('Content Calendar'!$D$5:$D$604,C88,'Content Calendar'!$X$5:$X$604,"Published"))</f>
        <v>0</v>
      </c>
      <c r="G88" s="23">
        <f>IF(C88="","",SUMIFS(Analytics!$J$5:$J$154,Analytics!$C$5:$C$154,C88))</f>
        <v>0</v>
      </c>
      <c r="H88" s="23">
        <f>IF(C88="","",SUMIFS(Analytics!$K$5:$K$154,Analytics!$C$5:$C$154,C88))</f>
        <v>0</v>
      </c>
      <c r="I88" s="23">
        <f>IF(C88="","",SUMIFS(Analytics!$L$5:$L$154,Analytics!$C$5:$C$154,C88))</f>
        <v>0</v>
      </c>
      <c r="J88" s="24">
        <f>IF(OR(G88="",G88=0),"",I88/G88)</f>
        <v>0</v>
      </c>
      <c r="K88" s="23">
        <f>IF(C88="","",SUMIFS(Analytics!$G$5:$G$154,Analytics!$C$5:$C$154,C88))</f>
        <v>0</v>
      </c>
      <c r="L88" s="23">
        <f>IF(C88="","",SUMIFS(Analytics!$X$5:$X$154,Analytics!$C$5:$C$154,C88))</f>
        <v>0</v>
      </c>
      <c r="M88" s="23">
        <f>IF(C88="","",SUMIFS(Analytics!$R$5:$R$154,Analytics!$C$5:$C$154,C88))</f>
        <v>0</v>
      </c>
      <c r="N88" s="23">
        <f>IF(C88="","",SUMIFS(Analytics!$S$5:$S$154,Analytics!$C$5:$C$154,C88))</f>
        <v>0</v>
      </c>
      <c r="O88" s="23">
        <f>IF(C88="","",SUMIFS(Analytics!$T$5:$T$154,Analytics!$C$5:$C$154,C88))</f>
        <v>0</v>
      </c>
      <c r="P88" s="25">
        <f>IF(C88="","",SUMIFS(Analytics!$U$5:$U$154,Analytics!$C$5:$C$154,C88))</f>
        <v>0</v>
      </c>
      <c r="Q88" s="25">
        <f>IF(C88="","",SUMIFS(Budget!$H$5:$H$64,Budget!$C$5:$C$64,C88))</f>
        <v>0</v>
      </c>
      <c r="R88" s="25">
        <f>IF(C88="","",P88-Q88)</f>
        <v>0</v>
      </c>
      <c r="S88" s="23">
        <f>IF(C88="","",MonthlyPostTarget)</f>
        <v>0</v>
      </c>
      <c r="T88" s="17">
        <f>IF(Lists!$C88="","",Lists!$C88)</f>
        <v>0</v>
      </c>
      <c r="U88" s="23">
        <f>IF(T88="","",COUNTIFS('Content Calendar'!$G$5:$G$604,T88,'Content Calendar'!$B$5:$B$604,"&gt;="&amp;DashStart,'Content Calendar'!$B$5:$B$604,"&lt;="&amp;DashEnd))</f>
        <v>0</v>
      </c>
      <c r="V88" s="23">
        <f>IF(T88="","",COUNTIFS('Content Calendar'!$G$5:$G$604,T88,'Content Calendar'!$X$5:$X$604,"Published",'Content Calendar'!$B$5:$B$604,"&gt;="&amp;DashStart,'Content Calendar'!$B$5:$B$604,"&lt;="&amp;DashEnd))</f>
        <v>0</v>
      </c>
      <c r="W88" s="23">
        <f>IF(T88="","",SUMIFS(Analytics!$J$5:$J$154,Analytics!$D$5:$D$154,T88,Analytics!$B$5:$B$154,"&gt;="&amp;DashStart,Analytics!$B$5:$B$154,"&lt;="&amp;DashEnd))</f>
        <v>0</v>
      </c>
      <c r="X88" s="23">
        <f>IF(T88="","",SUMIFS(Analytics!$L$5:$L$154,Analytics!$D$5:$D$154,T88,Analytics!$B$5:$B$154,"&gt;="&amp;DashStart,Analytics!$B$5:$B$154,"&lt;="&amp;DashEnd))</f>
        <v>0</v>
      </c>
      <c r="Y88" s="24">
        <f>IF(OR(W88="",W88=0),"",X88/W88)</f>
        <v>0</v>
      </c>
      <c r="Z88" s="23">
        <f>IF(T88="","",SUMIFS(Analytics!$G$5:$G$154,Analytics!$D$5:$D$154,T88,Analytics!$B$5:$B$154,"&gt;="&amp;DashStart,Analytics!$B$5:$B$154,"&lt;="&amp;DashEnd))</f>
        <v>0</v>
      </c>
      <c r="AA88" s="23">
        <f>IF(T88="","",SUMIFS(Analytics!$X$5:$X$154,Analytics!$D$5:$D$154,T88,Analytics!$B$5:$B$154,"&gt;="&amp;DashStart,Analytics!$B$5:$B$154,"&lt;="&amp;DashEnd))</f>
        <v>0</v>
      </c>
      <c r="AB88" s="23">
        <f>IF(T88="","",SUMIFS(Analytics!$R$5:$R$154,Analytics!$D$5:$D$154,T88,Analytics!$B$5:$B$154,"&gt;="&amp;DashStart,Analytics!$B$5:$B$154,"&lt;="&amp;DashEnd))</f>
        <v>0</v>
      </c>
      <c r="AC88" s="25">
        <f>IF(T88="","",SUMIFS(Analytics!$U$5:$U$154,Analytics!$D$5:$D$154,T88,Analytics!$B$5:$B$154,"&gt;="&amp;DashStart,Analytics!$B$5:$B$154,"&lt;="&amp;DashEnd))</f>
        <v>0</v>
      </c>
      <c r="AD88" s="23">
        <f>IF(T88="","",COUNTIFS('Content Calendar'!$G$5:$G$604,T88,'Content Calendar'!$B$5:$B$604,"&gt;="&amp;DATE(PlanYear,1,1),'Content Calendar'!$B$5:$B$604,"&lt;="&amp;DATE(PlanYear,12,31)))</f>
        <v>0</v>
      </c>
      <c r="AE88" s="23">
        <f>IF(T88="","",SUMIFS(Analytics!$J$5:$J$154,Analytics!$D$5:$D$154,T88))</f>
        <v>0</v>
      </c>
      <c r="AF88" s="23">
        <f>IF(T88="","",SUMIFS(Analytics!$L$5:$L$154,Analytics!$D$5:$D$154,T88))</f>
        <v>0</v>
      </c>
      <c r="AG88" s="24">
        <f>IF(OR(AE88="",AE88=0),"",AF88/AE88)</f>
        <v>0</v>
      </c>
      <c r="AH88" s="23">
        <f>IF(T88="","",SUMIFS(Analytics!$X$5:$X$154,Analytics!$D$5:$D$154,T88))</f>
        <v>0</v>
      </c>
      <c r="AI88" s="32">
        <f>IF(T88="","",IF(AE88=0,"",AE88+ROW()/1000000))</f>
        <v>0</v>
      </c>
      <c r="AJ88" s="17">
        <f>IF('Content Pillars'!$B$88="","",'Content Pillars'!$B$88)</f>
        <v>0</v>
      </c>
      <c r="AK88" s="23">
        <f>IF(AJ88="","",COUNTIFS('Content Calendar'!$J$5:$J$604,AJ88,'Content Calendar'!$B$5:$B$604,"&gt;="&amp;DATE(PlanYear,1,1),'Content Calendar'!$B$5:$B$604,"&lt;="&amp;DATE(PlanYear,12,31)))</f>
        <v>0</v>
      </c>
      <c r="AL88" s="23">
        <f>IF(AJ88="","",SUMIFS(Performance!$O$5:$O$404,Performance!$H$5:$H$404,AJ88))</f>
        <v>0</v>
      </c>
      <c r="AM88" s="23">
        <f>IF(AJ88="","",SUMIFS(Performance!$Z$5:$Z$404,Performance!$H$5:$H$404,AJ88))</f>
        <v>0</v>
      </c>
      <c r="AN88" s="24">
        <f>IF(OR(AL88="",AL88=0),"",AM88/AL88)</f>
        <v>0</v>
      </c>
      <c r="AO88" s="32">
        <f>IF(AN88="","",AN88+ROW()/1000000)</f>
        <v>0</v>
      </c>
      <c r="AP88" s="17">
        <f>IF(Lists!$E88="","",Lists!$E88)</f>
        <v>0</v>
      </c>
      <c r="AQ88" s="23">
        <f>IF(AP88="","",COUNTIF(Performance!$G$5:$G$404,AP88))</f>
        <v>0</v>
      </c>
      <c r="AR88" s="23">
        <f>IF(AP88="","",SUMIFS(Performance!$O$5:$O$404,Performance!$G$5:$G$404,AP88))</f>
        <v>0</v>
      </c>
      <c r="AS88" s="23">
        <f>IF(AP88="","",SUMIFS(Performance!$Z$5:$Z$404,Performance!$G$5:$G$404,AP88))</f>
        <v>0</v>
      </c>
      <c r="AT88" s="24">
        <f>IF(OR(AR88="",AR88=0),"",AS88/AR88)</f>
        <v>0</v>
      </c>
      <c r="AU88" s="32">
        <f>IF(AQ88=0,"",IF(AT88="","",AT88+ROW()/1000000))</f>
        <v>0</v>
      </c>
      <c r="AV88" s="17">
        <f>IF(ROW()-4&gt;7,"",TEXT(DATE(2024,1,ROW()-4),"ddd"))</f>
        <v>0</v>
      </c>
      <c r="AW88" s="23">
        <f>IF(AV88="","",COUNTIF(Performance!$N$5:$N$404,AV88))</f>
        <v>0</v>
      </c>
      <c r="AX88" s="23">
        <f>IF(AV88="","",SUMIFS(Performance!$O$5:$O$404,Performance!$N$5:$N$404,AV88))</f>
        <v>0</v>
      </c>
      <c r="AY88" s="23">
        <f>IF(AV88="","",SUMIFS(Performance!$Z$5:$Z$404,Performance!$N$5:$N$404,AV88))</f>
        <v>0</v>
      </c>
      <c r="AZ88" s="24">
        <f>IF(OR(AX88="",AX88=0),"",AY88/AX88)</f>
        <v>0</v>
      </c>
      <c r="BA88" s="32">
        <f>IF(AW88=0,"",IF(AZ88="","",AZ88+ROW()/1000000))</f>
        <v>0</v>
      </c>
      <c r="BB88" s="17">
        <f>IF(Lists!$AL88="","",Lists!$AL88)</f>
        <v>0</v>
      </c>
      <c r="BC88" s="23">
        <f>IF(BB88="","",COUNTIF(Performance!$M$5:$M$404,BB88))</f>
        <v>0</v>
      </c>
      <c r="BD88" s="23">
        <f>IF(BB88="","",SUMIFS(Performance!$O$5:$O$404,Performance!$M$5:$M$404,BB88))</f>
        <v>0</v>
      </c>
      <c r="BE88" s="23">
        <f>IF(BB88="","",SUMIFS(Performance!$Z$5:$Z$404,Performance!$M$5:$M$404,BB88))</f>
        <v>0</v>
      </c>
      <c r="BF88" s="24">
        <f>IF(OR(BD88="",BD88=0),"",BE88/BD88)</f>
        <v>0</v>
      </c>
      <c r="BG88" s="32">
        <f>IF(BC88=0,"",IF(BF88="","",BF88+ROW()/1000000))</f>
        <v>0</v>
      </c>
      <c r="BH88" s="17">
        <f>IF(Performance!$C$88="","",Performance!$C$88)</f>
        <v>0</v>
      </c>
      <c r="BI88" s="17">
        <f>IF(Performance!$F$88="","",Performance!$F$88)</f>
        <v>0</v>
      </c>
      <c r="BJ88" s="17">
        <f>IF(Performance!$H$88="","",Performance!$H$88)</f>
        <v>0</v>
      </c>
      <c r="BK88" s="16">
        <f>IF(Performance!$D$88="","",Performance!$D$88)</f>
        <v>0</v>
      </c>
      <c r="BL88" s="17">
        <f>IF(Performance!$E$88="","",Performance!$E$88)</f>
        <v>0</v>
      </c>
      <c r="BM88" s="23">
        <f>IF(Performance!$O$88="","",Performance!$O$88)</f>
        <v>0</v>
      </c>
      <c r="BN88" s="24">
        <f>IF(Performance!$AA$88="","",Performance!$AA$88)</f>
        <v>0</v>
      </c>
      <c r="BO88" s="32">
        <f>IF(BH88="","",IF(BK88="","",IF(OR(BK88&lt;DashStart,BK88&gt;DashEnd),"",IF(BN88="","",BN88+ROW()/1000000))))</f>
        <v>0</v>
      </c>
      <c r="BP88" s="32">
        <f>IF(BM88="","",IF(BK88="","",IF(OR(BK88&lt;DashStart,BK88&gt;DashEnd),"",BM88+ROW()/1000000)))</f>
        <v>0</v>
      </c>
      <c r="BQ88" s="32">
        <f>IF(BH88="","",IF(BK88="","",IF(YEAR(BK88)&lt;&gt;PlanYear,"",IF(BN88="","",BN88+ROW()/1000000))))</f>
        <v>0</v>
      </c>
      <c r="BR88" s="32">
        <f>IF(BH88="","",IF(BK88="","",IF(OR(BK88&lt;RepFrom,BK88&gt;RepTo),"",IF(BN88="","",BN88+ROW()/1000000))))</f>
        <v>0</v>
      </c>
      <c r="BS88" s="32">
        <f>IF(BM88="","",IF(BK88="","",IF(YEAR(BK88)&lt;&gt;PlanYear,"",BM88+ROW()/1000000)))</f>
        <v>0</v>
      </c>
      <c r="BT88" s="17">
        <f>IF(Lists!$F88="","",Lists!$F88)</f>
        <v>0</v>
      </c>
      <c r="BU88" s="23">
        <f>IF(BT88="","",COUNTIF('Content Calendar'!$X$5:$X$604,BT88))</f>
        <v>0</v>
      </c>
      <c r="BV88" s="23">
        <f>IF(BT88="","",COUNTIFS('Content Calendar'!$X$5:$X$604,BT88,'Content Calendar'!$B$5:$B$604,"&gt;="&amp;DashStart,'Content Calendar'!$B$5:$B$604,"&lt;="&amp;DashEnd))</f>
        <v>0</v>
      </c>
      <c r="BW88" s="17">
        <f>IF(Team!$B$88="","",Team!$B$88)</f>
        <v>0</v>
      </c>
      <c r="BX88" s="23">
        <f>IF(BW88="","",COUNTIF('Content Calendar'!$W$5:$W$604,BW88))</f>
        <v>0</v>
      </c>
      <c r="BY88" s="23">
        <f>IF(BW88="","",COUNTIFS('Content Calendar'!$W$5:$W$604,BW88,'Content Calendar'!$X$5:$X$604,"&lt;&gt;Published"))</f>
        <v>0</v>
      </c>
      <c r="BZ88" s="23">
        <f>IF(BW88="","",COUNTIFS(Tasks!$C$5:$C$64,BW88,Tasks!$G$5:$G$64,"&lt;&gt;Complete"))</f>
        <v>0</v>
      </c>
      <c r="CA88" s="17">
        <f>IF(Campaigns!$B$88="","",Campaigns!$B$88)</f>
        <v>0</v>
      </c>
      <c r="CB88" s="25">
        <f>IF(Campaigns!$T$88="","",Campaigns!$T$88)</f>
        <v>0</v>
      </c>
      <c r="CC88" s="25">
        <f>IF(Campaigns!$Q$88="","",Campaigns!$Q$88)</f>
        <v>0</v>
      </c>
      <c r="CD88" s="23">
        <f>IF(Campaigns!$Y$88="","",Campaigns!$Y$88)</f>
        <v>0</v>
      </c>
      <c r="CE88" s="32">
        <f>IF(CA88="","",IF(N(CB88)&lt;=0,"",N(CB88)+ROW()/1000000))</f>
        <v>0</v>
      </c>
      <c r="CF88" s="17">
        <f>IF(Accounts!$C$88="","",Accounts!$C$88)</f>
        <v>0</v>
      </c>
      <c r="CG88" s="17">
        <f>IF(Accounts!$B$88="","",Accounts!$B$88)</f>
        <v>0</v>
      </c>
      <c r="CH88" s="23">
        <f>IF(Accounts!$J$88="","",Accounts!$J$88)</f>
        <v>0</v>
      </c>
      <c r="CI88" s="23">
        <f>IF(CF88="","",SUMIFS(Analytics!$X$5:$X$154,Analytics!$E$5:$E$154,CF88,Analytics!$B$5:$B$154,"&gt;="&amp;DashStart,Analytics!$B$5:$B$154,"&lt;="&amp;DashEnd))</f>
        <v>0</v>
      </c>
      <c r="CJ88" s="32">
        <f>IF(CH88="","",IF(CH88=0,"",CH88+ROW()/1000000))</f>
        <v>0</v>
      </c>
    </row>
    <row r="89" spans="1:88">
      <c r="A89" s="16">
        <f>IF(ROW()-4&gt;12,"",DATE(PlanYear,ROW()-4,1))</f>
        <v>0</v>
      </c>
      <c r="B89" s="16">
        <f>IF(A89="","",EOMONTH(A89,0))</f>
        <v>0</v>
      </c>
      <c r="C89" s="17">
        <f>IF(A89="","",TEXT(A89,"yyyy-mm"))</f>
        <v>0</v>
      </c>
      <c r="D89" s="17">
        <f>IF(A89="","",TEXT(A89,"mmm"))</f>
        <v>0</v>
      </c>
      <c r="E89" s="23">
        <f>IF(C89="","",COUNTIFS('Content Calendar'!$D$5:$D$604,C89))</f>
        <v>0</v>
      </c>
      <c r="F89" s="23">
        <f>IF(C89="","",COUNTIFS('Content Calendar'!$D$5:$D$604,C89,'Content Calendar'!$X$5:$X$604,"Published"))</f>
        <v>0</v>
      </c>
      <c r="G89" s="23">
        <f>IF(C89="","",SUMIFS(Analytics!$J$5:$J$154,Analytics!$C$5:$C$154,C89))</f>
        <v>0</v>
      </c>
      <c r="H89" s="23">
        <f>IF(C89="","",SUMIFS(Analytics!$K$5:$K$154,Analytics!$C$5:$C$154,C89))</f>
        <v>0</v>
      </c>
      <c r="I89" s="23">
        <f>IF(C89="","",SUMIFS(Analytics!$L$5:$L$154,Analytics!$C$5:$C$154,C89))</f>
        <v>0</v>
      </c>
      <c r="J89" s="24">
        <f>IF(OR(G89="",G89=0),"",I89/G89)</f>
        <v>0</v>
      </c>
      <c r="K89" s="23">
        <f>IF(C89="","",SUMIFS(Analytics!$G$5:$G$154,Analytics!$C$5:$C$154,C89))</f>
        <v>0</v>
      </c>
      <c r="L89" s="23">
        <f>IF(C89="","",SUMIFS(Analytics!$X$5:$X$154,Analytics!$C$5:$C$154,C89))</f>
        <v>0</v>
      </c>
      <c r="M89" s="23">
        <f>IF(C89="","",SUMIFS(Analytics!$R$5:$R$154,Analytics!$C$5:$C$154,C89))</f>
        <v>0</v>
      </c>
      <c r="N89" s="23">
        <f>IF(C89="","",SUMIFS(Analytics!$S$5:$S$154,Analytics!$C$5:$C$154,C89))</f>
        <v>0</v>
      </c>
      <c r="O89" s="23">
        <f>IF(C89="","",SUMIFS(Analytics!$T$5:$T$154,Analytics!$C$5:$C$154,C89))</f>
        <v>0</v>
      </c>
      <c r="P89" s="25">
        <f>IF(C89="","",SUMIFS(Analytics!$U$5:$U$154,Analytics!$C$5:$C$154,C89))</f>
        <v>0</v>
      </c>
      <c r="Q89" s="25">
        <f>IF(C89="","",SUMIFS(Budget!$H$5:$H$64,Budget!$C$5:$C$64,C89))</f>
        <v>0</v>
      </c>
      <c r="R89" s="25">
        <f>IF(C89="","",P89-Q89)</f>
        <v>0</v>
      </c>
      <c r="S89" s="23">
        <f>IF(C89="","",MonthlyPostTarget)</f>
        <v>0</v>
      </c>
      <c r="T89" s="17">
        <f>IF(Lists!$C89="","",Lists!$C89)</f>
        <v>0</v>
      </c>
      <c r="U89" s="23">
        <f>IF(T89="","",COUNTIFS('Content Calendar'!$G$5:$G$604,T89,'Content Calendar'!$B$5:$B$604,"&gt;="&amp;DashStart,'Content Calendar'!$B$5:$B$604,"&lt;="&amp;DashEnd))</f>
        <v>0</v>
      </c>
      <c r="V89" s="23">
        <f>IF(T89="","",COUNTIFS('Content Calendar'!$G$5:$G$604,T89,'Content Calendar'!$X$5:$X$604,"Published",'Content Calendar'!$B$5:$B$604,"&gt;="&amp;DashStart,'Content Calendar'!$B$5:$B$604,"&lt;="&amp;DashEnd))</f>
        <v>0</v>
      </c>
      <c r="W89" s="23">
        <f>IF(T89="","",SUMIFS(Analytics!$J$5:$J$154,Analytics!$D$5:$D$154,T89,Analytics!$B$5:$B$154,"&gt;="&amp;DashStart,Analytics!$B$5:$B$154,"&lt;="&amp;DashEnd))</f>
        <v>0</v>
      </c>
      <c r="X89" s="23">
        <f>IF(T89="","",SUMIFS(Analytics!$L$5:$L$154,Analytics!$D$5:$D$154,T89,Analytics!$B$5:$B$154,"&gt;="&amp;DashStart,Analytics!$B$5:$B$154,"&lt;="&amp;DashEnd))</f>
        <v>0</v>
      </c>
      <c r="Y89" s="24">
        <f>IF(OR(W89="",W89=0),"",X89/W89)</f>
        <v>0</v>
      </c>
      <c r="Z89" s="23">
        <f>IF(T89="","",SUMIFS(Analytics!$G$5:$G$154,Analytics!$D$5:$D$154,T89,Analytics!$B$5:$B$154,"&gt;="&amp;DashStart,Analytics!$B$5:$B$154,"&lt;="&amp;DashEnd))</f>
        <v>0</v>
      </c>
      <c r="AA89" s="23">
        <f>IF(T89="","",SUMIFS(Analytics!$X$5:$X$154,Analytics!$D$5:$D$154,T89,Analytics!$B$5:$B$154,"&gt;="&amp;DashStart,Analytics!$B$5:$B$154,"&lt;="&amp;DashEnd))</f>
        <v>0</v>
      </c>
      <c r="AB89" s="23">
        <f>IF(T89="","",SUMIFS(Analytics!$R$5:$R$154,Analytics!$D$5:$D$154,T89,Analytics!$B$5:$B$154,"&gt;="&amp;DashStart,Analytics!$B$5:$B$154,"&lt;="&amp;DashEnd))</f>
        <v>0</v>
      </c>
      <c r="AC89" s="25">
        <f>IF(T89="","",SUMIFS(Analytics!$U$5:$U$154,Analytics!$D$5:$D$154,T89,Analytics!$B$5:$B$154,"&gt;="&amp;DashStart,Analytics!$B$5:$B$154,"&lt;="&amp;DashEnd))</f>
        <v>0</v>
      </c>
      <c r="AD89" s="23">
        <f>IF(T89="","",COUNTIFS('Content Calendar'!$G$5:$G$604,T89,'Content Calendar'!$B$5:$B$604,"&gt;="&amp;DATE(PlanYear,1,1),'Content Calendar'!$B$5:$B$604,"&lt;="&amp;DATE(PlanYear,12,31)))</f>
        <v>0</v>
      </c>
      <c r="AE89" s="23">
        <f>IF(T89="","",SUMIFS(Analytics!$J$5:$J$154,Analytics!$D$5:$D$154,T89))</f>
        <v>0</v>
      </c>
      <c r="AF89" s="23">
        <f>IF(T89="","",SUMIFS(Analytics!$L$5:$L$154,Analytics!$D$5:$D$154,T89))</f>
        <v>0</v>
      </c>
      <c r="AG89" s="24">
        <f>IF(OR(AE89="",AE89=0),"",AF89/AE89)</f>
        <v>0</v>
      </c>
      <c r="AH89" s="23">
        <f>IF(T89="","",SUMIFS(Analytics!$X$5:$X$154,Analytics!$D$5:$D$154,T89))</f>
        <v>0</v>
      </c>
      <c r="AI89" s="32">
        <f>IF(T89="","",IF(AE89=0,"",AE89+ROW()/1000000))</f>
        <v>0</v>
      </c>
      <c r="AJ89" s="17">
        <f>IF('Content Pillars'!$B$89="","",'Content Pillars'!$B$89)</f>
        <v>0</v>
      </c>
      <c r="AK89" s="23">
        <f>IF(AJ89="","",COUNTIFS('Content Calendar'!$J$5:$J$604,AJ89,'Content Calendar'!$B$5:$B$604,"&gt;="&amp;DATE(PlanYear,1,1),'Content Calendar'!$B$5:$B$604,"&lt;="&amp;DATE(PlanYear,12,31)))</f>
        <v>0</v>
      </c>
      <c r="AL89" s="23">
        <f>IF(AJ89="","",SUMIFS(Performance!$O$5:$O$404,Performance!$H$5:$H$404,AJ89))</f>
        <v>0</v>
      </c>
      <c r="AM89" s="23">
        <f>IF(AJ89="","",SUMIFS(Performance!$Z$5:$Z$404,Performance!$H$5:$H$404,AJ89))</f>
        <v>0</v>
      </c>
      <c r="AN89" s="24">
        <f>IF(OR(AL89="",AL89=0),"",AM89/AL89)</f>
        <v>0</v>
      </c>
      <c r="AO89" s="32">
        <f>IF(AN89="","",AN89+ROW()/1000000)</f>
        <v>0</v>
      </c>
      <c r="AP89" s="17">
        <f>IF(Lists!$E89="","",Lists!$E89)</f>
        <v>0</v>
      </c>
      <c r="AQ89" s="23">
        <f>IF(AP89="","",COUNTIF(Performance!$G$5:$G$404,AP89))</f>
        <v>0</v>
      </c>
      <c r="AR89" s="23">
        <f>IF(AP89="","",SUMIFS(Performance!$O$5:$O$404,Performance!$G$5:$G$404,AP89))</f>
        <v>0</v>
      </c>
      <c r="AS89" s="23">
        <f>IF(AP89="","",SUMIFS(Performance!$Z$5:$Z$404,Performance!$G$5:$G$404,AP89))</f>
        <v>0</v>
      </c>
      <c r="AT89" s="24">
        <f>IF(OR(AR89="",AR89=0),"",AS89/AR89)</f>
        <v>0</v>
      </c>
      <c r="AU89" s="32">
        <f>IF(AQ89=0,"",IF(AT89="","",AT89+ROW()/1000000))</f>
        <v>0</v>
      </c>
      <c r="AV89" s="17">
        <f>IF(ROW()-4&gt;7,"",TEXT(DATE(2024,1,ROW()-4),"ddd"))</f>
        <v>0</v>
      </c>
      <c r="AW89" s="23">
        <f>IF(AV89="","",COUNTIF(Performance!$N$5:$N$404,AV89))</f>
        <v>0</v>
      </c>
      <c r="AX89" s="23">
        <f>IF(AV89="","",SUMIFS(Performance!$O$5:$O$404,Performance!$N$5:$N$404,AV89))</f>
        <v>0</v>
      </c>
      <c r="AY89" s="23">
        <f>IF(AV89="","",SUMIFS(Performance!$Z$5:$Z$404,Performance!$N$5:$N$404,AV89))</f>
        <v>0</v>
      </c>
      <c r="AZ89" s="24">
        <f>IF(OR(AX89="",AX89=0),"",AY89/AX89)</f>
        <v>0</v>
      </c>
      <c r="BA89" s="32">
        <f>IF(AW89=0,"",IF(AZ89="","",AZ89+ROW()/1000000))</f>
        <v>0</v>
      </c>
      <c r="BB89" s="17">
        <f>IF(Lists!$AL89="","",Lists!$AL89)</f>
        <v>0</v>
      </c>
      <c r="BC89" s="23">
        <f>IF(BB89="","",COUNTIF(Performance!$M$5:$M$404,BB89))</f>
        <v>0</v>
      </c>
      <c r="BD89" s="23">
        <f>IF(BB89="","",SUMIFS(Performance!$O$5:$O$404,Performance!$M$5:$M$404,BB89))</f>
        <v>0</v>
      </c>
      <c r="BE89" s="23">
        <f>IF(BB89="","",SUMIFS(Performance!$Z$5:$Z$404,Performance!$M$5:$M$404,BB89))</f>
        <v>0</v>
      </c>
      <c r="BF89" s="24">
        <f>IF(OR(BD89="",BD89=0),"",BE89/BD89)</f>
        <v>0</v>
      </c>
      <c r="BG89" s="32">
        <f>IF(BC89=0,"",IF(BF89="","",BF89+ROW()/1000000))</f>
        <v>0</v>
      </c>
      <c r="BH89" s="17">
        <f>IF(Performance!$C$89="","",Performance!$C$89)</f>
        <v>0</v>
      </c>
      <c r="BI89" s="17">
        <f>IF(Performance!$F$89="","",Performance!$F$89)</f>
        <v>0</v>
      </c>
      <c r="BJ89" s="17">
        <f>IF(Performance!$H$89="","",Performance!$H$89)</f>
        <v>0</v>
      </c>
      <c r="BK89" s="16">
        <f>IF(Performance!$D$89="","",Performance!$D$89)</f>
        <v>0</v>
      </c>
      <c r="BL89" s="17">
        <f>IF(Performance!$E$89="","",Performance!$E$89)</f>
        <v>0</v>
      </c>
      <c r="BM89" s="23">
        <f>IF(Performance!$O$89="","",Performance!$O$89)</f>
        <v>0</v>
      </c>
      <c r="BN89" s="24">
        <f>IF(Performance!$AA$89="","",Performance!$AA$89)</f>
        <v>0</v>
      </c>
      <c r="BO89" s="32">
        <f>IF(BH89="","",IF(BK89="","",IF(OR(BK89&lt;DashStart,BK89&gt;DashEnd),"",IF(BN89="","",BN89+ROW()/1000000))))</f>
        <v>0</v>
      </c>
      <c r="BP89" s="32">
        <f>IF(BM89="","",IF(BK89="","",IF(OR(BK89&lt;DashStart,BK89&gt;DashEnd),"",BM89+ROW()/1000000)))</f>
        <v>0</v>
      </c>
      <c r="BQ89" s="32">
        <f>IF(BH89="","",IF(BK89="","",IF(YEAR(BK89)&lt;&gt;PlanYear,"",IF(BN89="","",BN89+ROW()/1000000))))</f>
        <v>0</v>
      </c>
      <c r="BR89" s="32">
        <f>IF(BH89="","",IF(BK89="","",IF(OR(BK89&lt;RepFrom,BK89&gt;RepTo),"",IF(BN89="","",BN89+ROW()/1000000))))</f>
        <v>0</v>
      </c>
      <c r="BS89" s="32">
        <f>IF(BM89="","",IF(BK89="","",IF(YEAR(BK89)&lt;&gt;PlanYear,"",BM89+ROW()/1000000)))</f>
        <v>0</v>
      </c>
      <c r="BT89" s="17">
        <f>IF(Lists!$F89="","",Lists!$F89)</f>
        <v>0</v>
      </c>
      <c r="BU89" s="23">
        <f>IF(BT89="","",COUNTIF('Content Calendar'!$X$5:$X$604,BT89))</f>
        <v>0</v>
      </c>
      <c r="BV89" s="23">
        <f>IF(BT89="","",COUNTIFS('Content Calendar'!$X$5:$X$604,BT89,'Content Calendar'!$B$5:$B$604,"&gt;="&amp;DashStart,'Content Calendar'!$B$5:$B$604,"&lt;="&amp;DashEnd))</f>
        <v>0</v>
      </c>
      <c r="BW89" s="17">
        <f>IF(Team!$B$89="","",Team!$B$89)</f>
        <v>0</v>
      </c>
      <c r="BX89" s="23">
        <f>IF(BW89="","",COUNTIF('Content Calendar'!$W$5:$W$604,BW89))</f>
        <v>0</v>
      </c>
      <c r="BY89" s="23">
        <f>IF(BW89="","",COUNTIFS('Content Calendar'!$W$5:$W$604,BW89,'Content Calendar'!$X$5:$X$604,"&lt;&gt;Published"))</f>
        <v>0</v>
      </c>
      <c r="BZ89" s="23">
        <f>IF(BW89="","",COUNTIFS(Tasks!$C$5:$C$64,BW89,Tasks!$G$5:$G$64,"&lt;&gt;Complete"))</f>
        <v>0</v>
      </c>
      <c r="CA89" s="17">
        <f>IF(Campaigns!$B$89="","",Campaigns!$B$89)</f>
        <v>0</v>
      </c>
      <c r="CB89" s="25">
        <f>IF(Campaigns!$T$89="","",Campaigns!$T$89)</f>
        <v>0</v>
      </c>
      <c r="CC89" s="25">
        <f>IF(Campaigns!$Q$89="","",Campaigns!$Q$89)</f>
        <v>0</v>
      </c>
      <c r="CD89" s="23">
        <f>IF(Campaigns!$Y$89="","",Campaigns!$Y$89)</f>
        <v>0</v>
      </c>
      <c r="CE89" s="32">
        <f>IF(CA89="","",IF(N(CB89)&lt;=0,"",N(CB89)+ROW()/1000000))</f>
        <v>0</v>
      </c>
      <c r="CF89" s="17">
        <f>IF(Accounts!$C$89="","",Accounts!$C$89)</f>
        <v>0</v>
      </c>
      <c r="CG89" s="17">
        <f>IF(Accounts!$B$89="","",Accounts!$B$89)</f>
        <v>0</v>
      </c>
      <c r="CH89" s="23">
        <f>IF(Accounts!$J$89="","",Accounts!$J$89)</f>
        <v>0</v>
      </c>
      <c r="CI89" s="23">
        <f>IF(CF89="","",SUMIFS(Analytics!$X$5:$X$154,Analytics!$E$5:$E$154,CF89,Analytics!$B$5:$B$154,"&gt;="&amp;DashStart,Analytics!$B$5:$B$154,"&lt;="&amp;DashEnd))</f>
        <v>0</v>
      </c>
      <c r="CJ89" s="32">
        <f>IF(CH89="","",IF(CH89=0,"",CH89+ROW()/1000000))</f>
        <v>0</v>
      </c>
    </row>
    <row r="90" spans="1:88">
      <c r="A90" s="16">
        <f>IF(ROW()-4&gt;12,"",DATE(PlanYear,ROW()-4,1))</f>
        <v>0</v>
      </c>
      <c r="B90" s="16">
        <f>IF(A90="","",EOMONTH(A90,0))</f>
        <v>0</v>
      </c>
      <c r="C90" s="17">
        <f>IF(A90="","",TEXT(A90,"yyyy-mm"))</f>
        <v>0</v>
      </c>
      <c r="D90" s="17">
        <f>IF(A90="","",TEXT(A90,"mmm"))</f>
        <v>0</v>
      </c>
      <c r="E90" s="23">
        <f>IF(C90="","",COUNTIFS('Content Calendar'!$D$5:$D$604,C90))</f>
        <v>0</v>
      </c>
      <c r="F90" s="23">
        <f>IF(C90="","",COUNTIFS('Content Calendar'!$D$5:$D$604,C90,'Content Calendar'!$X$5:$X$604,"Published"))</f>
        <v>0</v>
      </c>
      <c r="G90" s="23">
        <f>IF(C90="","",SUMIFS(Analytics!$J$5:$J$154,Analytics!$C$5:$C$154,C90))</f>
        <v>0</v>
      </c>
      <c r="H90" s="23">
        <f>IF(C90="","",SUMIFS(Analytics!$K$5:$K$154,Analytics!$C$5:$C$154,C90))</f>
        <v>0</v>
      </c>
      <c r="I90" s="23">
        <f>IF(C90="","",SUMIFS(Analytics!$L$5:$L$154,Analytics!$C$5:$C$154,C90))</f>
        <v>0</v>
      </c>
      <c r="J90" s="24">
        <f>IF(OR(G90="",G90=0),"",I90/G90)</f>
        <v>0</v>
      </c>
      <c r="K90" s="23">
        <f>IF(C90="","",SUMIFS(Analytics!$G$5:$G$154,Analytics!$C$5:$C$154,C90))</f>
        <v>0</v>
      </c>
      <c r="L90" s="23">
        <f>IF(C90="","",SUMIFS(Analytics!$X$5:$X$154,Analytics!$C$5:$C$154,C90))</f>
        <v>0</v>
      </c>
      <c r="M90" s="23">
        <f>IF(C90="","",SUMIFS(Analytics!$R$5:$R$154,Analytics!$C$5:$C$154,C90))</f>
        <v>0</v>
      </c>
      <c r="N90" s="23">
        <f>IF(C90="","",SUMIFS(Analytics!$S$5:$S$154,Analytics!$C$5:$C$154,C90))</f>
        <v>0</v>
      </c>
      <c r="O90" s="23">
        <f>IF(C90="","",SUMIFS(Analytics!$T$5:$T$154,Analytics!$C$5:$C$154,C90))</f>
        <v>0</v>
      </c>
      <c r="P90" s="25">
        <f>IF(C90="","",SUMIFS(Analytics!$U$5:$U$154,Analytics!$C$5:$C$154,C90))</f>
        <v>0</v>
      </c>
      <c r="Q90" s="25">
        <f>IF(C90="","",SUMIFS(Budget!$H$5:$H$64,Budget!$C$5:$C$64,C90))</f>
        <v>0</v>
      </c>
      <c r="R90" s="25">
        <f>IF(C90="","",P90-Q90)</f>
        <v>0</v>
      </c>
      <c r="S90" s="23">
        <f>IF(C90="","",MonthlyPostTarget)</f>
        <v>0</v>
      </c>
      <c r="T90" s="17">
        <f>IF(Lists!$C90="","",Lists!$C90)</f>
        <v>0</v>
      </c>
      <c r="U90" s="23">
        <f>IF(T90="","",COUNTIFS('Content Calendar'!$G$5:$G$604,T90,'Content Calendar'!$B$5:$B$604,"&gt;="&amp;DashStart,'Content Calendar'!$B$5:$B$604,"&lt;="&amp;DashEnd))</f>
        <v>0</v>
      </c>
      <c r="V90" s="23">
        <f>IF(T90="","",COUNTIFS('Content Calendar'!$G$5:$G$604,T90,'Content Calendar'!$X$5:$X$604,"Published",'Content Calendar'!$B$5:$B$604,"&gt;="&amp;DashStart,'Content Calendar'!$B$5:$B$604,"&lt;="&amp;DashEnd))</f>
        <v>0</v>
      </c>
      <c r="W90" s="23">
        <f>IF(T90="","",SUMIFS(Analytics!$J$5:$J$154,Analytics!$D$5:$D$154,T90,Analytics!$B$5:$B$154,"&gt;="&amp;DashStart,Analytics!$B$5:$B$154,"&lt;="&amp;DashEnd))</f>
        <v>0</v>
      </c>
      <c r="X90" s="23">
        <f>IF(T90="","",SUMIFS(Analytics!$L$5:$L$154,Analytics!$D$5:$D$154,T90,Analytics!$B$5:$B$154,"&gt;="&amp;DashStart,Analytics!$B$5:$B$154,"&lt;="&amp;DashEnd))</f>
        <v>0</v>
      </c>
      <c r="Y90" s="24">
        <f>IF(OR(W90="",W90=0),"",X90/W90)</f>
        <v>0</v>
      </c>
      <c r="Z90" s="23">
        <f>IF(T90="","",SUMIFS(Analytics!$G$5:$G$154,Analytics!$D$5:$D$154,T90,Analytics!$B$5:$B$154,"&gt;="&amp;DashStart,Analytics!$B$5:$B$154,"&lt;="&amp;DashEnd))</f>
        <v>0</v>
      </c>
      <c r="AA90" s="23">
        <f>IF(T90="","",SUMIFS(Analytics!$X$5:$X$154,Analytics!$D$5:$D$154,T90,Analytics!$B$5:$B$154,"&gt;="&amp;DashStart,Analytics!$B$5:$B$154,"&lt;="&amp;DashEnd))</f>
        <v>0</v>
      </c>
      <c r="AB90" s="23">
        <f>IF(T90="","",SUMIFS(Analytics!$R$5:$R$154,Analytics!$D$5:$D$154,T90,Analytics!$B$5:$B$154,"&gt;="&amp;DashStart,Analytics!$B$5:$B$154,"&lt;="&amp;DashEnd))</f>
        <v>0</v>
      </c>
      <c r="AC90" s="25">
        <f>IF(T90="","",SUMIFS(Analytics!$U$5:$U$154,Analytics!$D$5:$D$154,T90,Analytics!$B$5:$B$154,"&gt;="&amp;DashStart,Analytics!$B$5:$B$154,"&lt;="&amp;DashEnd))</f>
        <v>0</v>
      </c>
      <c r="AD90" s="23">
        <f>IF(T90="","",COUNTIFS('Content Calendar'!$G$5:$G$604,T90,'Content Calendar'!$B$5:$B$604,"&gt;="&amp;DATE(PlanYear,1,1),'Content Calendar'!$B$5:$B$604,"&lt;="&amp;DATE(PlanYear,12,31)))</f>
        <v>0</v>
      </c>
      <c r="AE90" s="23">
        <f>IF(T90="","",SUMIFS(Analytics!$J$5:$J$154,Analytics!$D$5:$D$154,T90))</f>
        <v>0</v>
      </c>
      <c r="AF90" s="23">
        <f>IF(T90="","",SUMIFS(Analytics!$L$5:$L$154,Analytics!$D$5:$D$154,T90))</f>
        <v>0</v>
      </c>
      <c r="AG90" s="24">
        <f>IF(OR(AE90="",AE90=0),"",AF90/AE90)</f>
        <v>0</v>
      </c>
      <c r="AH90" s="23">
        <f>IF(T90="","",SUMIFS(Analytics!$X$5:$X$154,Analytics!$D$5:$D$154,T90))</f>
        <v>0</v>
      </c>
      <c r="AI90" s="32">
        <f>IF(T90="","",IF(AE90=0,"",AE90+ROW()/1000000))</f>
        <v>0</v>
      </c>
      <c r="AJ90" s="17">
        <f>IF('Content Pillars'!$B$90="","",'Content Pillars'!$B$90)</f>
        <v>0</v>
      </c>
      <c r="AK90" s="23">
        <f>IF(AJ90="","",COUNTIFS('Content Calendar'!$J$5:$J$604,AJ90,'Content Calendar'!$B$5:$B$604,"&gt;="&amp;DATE(PlanYear,1,1),'Content Calendar'!$B$5:$B$604,"&lt;="&amp;DATE(PlanYear,12,31)))</f>
        <v>0</v>
      </c>
      <c r="AL90" s="23">
        <f>IF(AJ90="","",SUMIFS(Performance!$O$5:$O$404,Performance!$H$5:$H$404,AJ90))</f>
        <v>0</v>
      </c>
      <c r="AM90" s="23">
        <f>IF(AJ90="","",SUMIFS(Performance!$Z$5:$Z$404,Performance!$H$5:$H$404,AJ90))</f>
        <v>0</v>
      </c>
      <c r="AN90" s="24">
        <f>IF(OR(AL90="",AL90=0),"",AM90/AL90)</f>
        <v>0</v>
      </c>
      <c r="AO90" s="32">
        <f>IF(AN90="","",AN90+ROW()/1000000)</f>
        <v>0</v>
      </c>
      <c r="AP90" s="17">
        <f>IF(Lists!$E90="","",Lists!$E90)</f>
        <v>0</v>
      </c>
      <c r="AQ90" s="23">
        <f>IF(AP90="","",COUNTIF(Performance!$G$5:$G$404,AP90))</f>
        <v>0</v>
      </c>
      <c r="AR90" s="23">
        <f>IF(AP90="","",SUMIFS(Performance!$O$5:$O$404,Performance!$G$5:$G$404,AP90))</f>
        <v>0</v>
      </c>
      <c r="AS90" s="23">
        <f>IF(AP90="","",SUMIFS(Performance!$Z$5:$Z$404,Performance!$G$5:$G$404,AP90))</f>
        <v>0</v>
      </c>
      <c r="AT90" s="24">
        <f>IF(OR(AR90="",AR90=0),"",AS90/AR90)</f>
        <v>0</v>
      </c>
      <c r="AU90" s="32">
        <f>IF(AQ90=0,"",IF(AT90="","",AT90+ROW()/1000000))</f>
        <v>0</v>
      </c>
      <c r="AV90" s="17">
        <f>IF(ROW()-4&gt;7,"",TEXT(DATE(2024,1,ROW()-4),"ddd"))</f>
        <v>0</v>
      </c>
      <c r="AW90" s="23">
        <f>IF(AV90="","",COUNTIF(Performance!$N$5:$N$404,AV90))</f>
        <v>0</v>
      </c>
      <c r="AX90" s="23">
        <f>IF(AV90="","",SUMIFS(Performance!$O$5:$O$404,Performance!$N$5:$N$404,AV90))</f>
        <v>0</v>
      </c>
      <c r="AY90" s="23">
        <f>IF(AV90="","",SUMIFS(Performance!$Z$5:$Z$404,Performance!$N$5:$N$404,AV90))</f>
        <v>0</v>
      </c>
      <c r="AZ90" s="24">
        <f>IF(OR(AX90="",AX90=0),"",AY90/AX90)</f>
        <v>0</v>
      </c>
      <c r="BA90" s="32">
        <f>IF(AW90=0,"",IF(AZ90="","",AZ90+ROW()/1000000))</f>
        <v>0</v>
      </c>
      <c r="BB90" s="17">
        <f>IF(Lists!$AL90="","",Lists!$AL90)</f>
        <v>0</v>
      </c>
      <c r="BC90" s="23">
        <f>IF(BB90="","",COUNTIF(Performance!$M$5:$M$404,BB90))</f>
        <v>0</v>
      </c>
      <c r="BD90" s="23">
        <f>IF(BB90="","",SUMIFS(Performance!$O$5:$O$404,Performance!$M$5:$M$404,BB90))</f>
        <v>0</v>
      </c>
      <c r="BE90" s="23">
        <f>IF(BB90="","",SUMIFS(Performance!$Z$5:$Z$404,Performance!$M$5:$M$404,BB90))</f>
        <v>0</v>
      </c>
      <c r="BF90" s="24">
        <f>IF(OR(BD90="",BD90=0),"",BE90/BD90)</f>
        <v>0</v>
      </c>
      <c r="BG90" s="32">
        <f>IF(BC90=0,"",IF(BF90="","",BF90+ROW()/1000000))</f>
        <v>0</v>
      </c>
      <c r="BH90" s="17">
        <f>IF(Performance!$C$90="","",Performance!$C$90)</f>
        <v>0</v>
      </c>
      <c r="BI90" s="17">
        <f>IF(Performance!$F$90="","",Performance!$F$90)</f>
        <v>0</v>
      </c>
      <c r="BJ90" s="17">
        <f>IF(Performance!$H$90="","",Performance!$H$90)</f>
        <v>0</v>
      </c>
      <c r="BK90" s="16">
        <f>IF(Performance!$D$90="","",Performance!$D$90)</f>
        <v>0</v>
      </c>
      <c r="BL90" s="17">
        <f>IF(Performance!$E$90="","",Performance!$E$90)</f>
        <v>0</v>
      </c>
      <c r="BM90" s="23">
        <f>IF(Performance!$O$90="","",Performance!$O$90)</f>
        <v>0</v>
      </c>
      <c r="BN90" s="24">
        <f>IF(Performance!$AA$90="","",Performance!$AA$90)</f>
        <v>0</v>
      </c>
      <c r="BO90" s="32">
        <f>IF(BH90="","",IF(BK90="","",IF(OR(BK90&lt;DashStart,BK90&gt;DashEnd),"",IF(BN90="","",BN90+ROW()/1000000))))</f>
        <v>0</v>
      </c>
      <c r="BP90" s="32">
        <f>IF(BM90="","",IF(BK90="","",IF(OR(BK90&lt;DashStart,BK90&gt;DashEnd),"",BM90+ROW()/1000000)))</f>
        <v>0</v>
      </c>
      <c r="BQ90" s="32">
        <f>IF(BH90="","",IF(BK90="","",IF(YEAR(BK90)&lt;&gt;PlanYear,"",IF(BN90="","",BN90+ROW()/1000000))))</f>
        <v>0</v>
      </c>
      <c r="BR90" s="32">
        <f>IF(BH90="","",IF(BK90="","",IF(OR(BK90&lt;RepFrom,BK90&gt;RepTo),"",IF(BN90="","",BN90+ROW()/1000000))))</f>
        <v>0</v>
      </c>
      <c r="BS90" s="32">
        <f>IF(BM90="","",IF(BK90="","",IF(YEAR(BK90)&lt;&gt;PlanYear,"",BM90+ROW()/1000000)))</f>
        <v>0</v>
      </c>
      <c r="BT90" s="17">
        <f>IF(Lists!$F90="","",Lists!$F90)</f>
        <v>0</v>
      </c>
      <c r="BU90" s="23">
        <f>IF(BT90="","",COUNTIF('Content Calendar'!$X$5:$X$604,BT90))</f>
        <v>0</v>
      </c>
      <c r="BV90" s="23">
        <f>IF(BT90="","",COUNTIFS('Content Calendar'!$X$5:$X$604,BT90,'Content Calendar'!$B$5:$B$604,"&gt;="&amp;DashStart,'Content Calendar'!$B$5:$B$604,"&lt;="&amp;DashEnd))</f>
        <v>0</v>
      </c>
      <c r="BW90" s="17">
        <f>IF(Team!$B$90="","",Team!$B$90)</f>
        <v>0</v>
      </c>
      <c r="BX90" s="23">
        <f>IF(BW90="","",COUNTIF('Content Calendar'!$W$5:$W$604,BW90))</f>
        <v>0</v>
      </c>
      <c r="BY90" s="23">
        <f>IF(BW90="","",COUNTIFS('Content Calendar'!$W$5:$W$604,BW90,'Content Calendar'!$X$5:$X$604,"&lt;&gt;Published"))</f>
        <v>0</v>
      </c>
      <c r="BZ90" s="23">
        <f>IF(BW90="","",COUNTIFS(Tasks!$C$5:$C$64,BW90,Tasks!$G$5:$G$64,"&lt;&gt;Complete"))</f>
        <v>0</v>
      </c>
      <c r="CA90" s="17">
        <f>IF(Campaigns!$B$90="","",Campaigns!$B$90)</f>
        <v>0</v>
      </c>
      <c r="CB90" s="25">
        <f>IF(Campaigns!$T$90="","",Campaigns!$T$90)</f>
        <v>0</v>
      </c>
      <c r="CC90" s="25">
        <f>IF(Campaigns!$Q$90="","",Campaigns!$Q$90)</f>
        <v>0</v>
      </c>
      <c r="CD90" s="23">
        <f>IF(Campaigns!$Y$90="","",Campaigns!$Y$90)</f>
        <v>0</v>
      </c>
      <c r="CE90" s="32">
        <f>IF(CA90="","",IF(N(CB90)&lt;=0,"",N(CB90)+ROW()/1000000))</f>
        <v>0</v>
      </c>
      <c r="CF90" s="17">
        <f>IF(Accounts!$C$90="","",Accounts!$C$90)</f>
        <v>0</v>
      </c>
      <c r="CG90" s="17">
        <f>IF(Accounts!$B$90="","",Accounts!$B$90)</f>
        <v>0</v>
      </c>
      <c r="CH90" s="23">
        <f>IF(Accounts!$J$90="","",Accounts!$J$90)</f>
        <v>0</v>
      </c>
      <c r="CI90" s="23">
        <f>IF(CF90="","",SUMIFS(Analytics!$X$5:$X$154,Analytics!$E$5:$E$154,CF90,Analytics!$B$5:$B$154,"&gt;="&amp;DashStart,Analytics!$B$5:$B$154,"&lt;="&amp;DashEnd))</f>
        <v>0</v>
      </c>
      <c r="CJ90" s="32">
        <f>IF(CH90="","",IF(CH90=0,"",CH90+ROW()/1000000))</f>
        <v>0</v>
      </c>
    </row>
    <row r="91" spans="1:88">
      <c r="A91" s="16">
        <f>IF(ROW()-4&gt;12,"",DATE(PlanYear,ROW()-4,1))</f>
        <v>0</v>
      </c>
      <c r="B91" s="16">
        <f>IF(A91="","",EOMONTH(A91,0))</f>
        <v>0</v>
      </c>
      <c r="C91" s="17">
        <f>IF(A91="","",TEXT(A91,"yyyy-mm"))</f>
        <v>0</v>
      </c>
      <c r="D91" s="17">
        <f>IF(A91="","",TEXT(A91,"mmm"))</f>
        <v>0</v>
      </c>
      <c r="E91" s="23">
        <f>IF(C91="","",COUNTIFS('Content Calendar'!$D$5:$D$604,C91))</f>
        <v>0</v>
      </c>
      <c r="F91" s="23">
        <f>IF(C91="","",COUNTIFS('Content Calendar'!$D$5:$D$604,C91,'Content Calendar'!$X$5:$X$604,"Published"))</f>
        <v>0</v>
      </c>
      <c r="G91" s="23">
        <f>IF(C91="","",SUMIFS(Analytics!$J$5:$J$154,Analytics!$C$5:$C$154,C91))</f>
        <v>0</v>
      </c>
      <c r="H91" s="23">
        <f>IF(C91="","",SUMIFS(Analytics!$K$5:$K$154,Analytics!$C$5:$C$154,C91))</f>
        <v>0</v>
      </c>
      <c r="I91" s="23">
        <f>IF(C91="","",SUMIFS(Analytics!$L$5:$L$154,Analytics!$C$5:$C$154,C91))</f>
        <v>0</v>
      </c>
      <c r="J91" s="24">
        <f>IF(OR(G91="",G91=0),"",I91/G91)</f>
        <v>0</v>
      </c>
      <c r="K91" s="23">
        <f>IF(C91="","",SUMIFS(Analytics!$G$5:$G$154,Analytics!$C$5:$C$154,C91))</f>
        <v>0</v>
      </c>
      <c r="L91" s="23">
        <f>IF(C91="","",SUMIFS(Analytics!$X$5:$X$154,Analytics!$C$5:$C$154,C91))</f>
        <v>0</v>
      </c>
      <c r="M91" s="23">
        <f>IF(C91="","",SUMIFS(Analytics!$R$5:$R$154,Analytics!$C$5:$C$154,C91))</f>
        <v>0</v>
      </c>
      <c r="N91" s="23">
        <f>IF(C91="","",SUMIFS(Analytics!$S$5:$S$154,Analytics!$C$5:$C$154,C91))</f>
        <v>0</v>
      </c>
      <c r="O91" s="23">
        <f>IF(C91="","",SUMIFS(Analytics!$T$5:$T$154,Analytics!$C$5:$C$154,C91))</f>
        <v>0</v>
      </c>
      <c r="P91" s="25">
        <f>IF(C91="","",SUMIFS(Analytics!$U$5:$U$154,Analytics!$C$5:$C$154,C91))</f>
        <v>0</v>
      </c>
      <c r="Q91" s="25">
        <f>IF(C91="","",SUMIFS(Budget!$H$5:$H$64,Budget!$C$5:$C$64,C91))</f>
        <v>0</v>
      </c>
      <c r="R91" s="25">
        <f>IF(C91="","",P91-Q91)</f>
        <v>0</v>
      </c>
      <c r="S91" s="23">
        <f>IF(C91="","",MonthlyPostTarget)</f>
        <v>0</v>
      </c>
      <c r="T91" s="17">
        <f>IF(Lists!$C91="","",Lists!$C91)</f>
        <v>0</v>
      </c>
      <c r="U91" s="23">
        <f>IF(T91="","",COUNTIFS('Content Calendar'!$G$5:$G$604,T91,'Content Calendar'!$B$5:$B$604,"&gt;="&amp;DashStart,'Content Calendar'!$B$5:$B$604,"&lt;="&amp;DashEnd))</f>
        <v>0</v>
      </c>
      <c r="V91" s="23">
        <f>IF(T91="","",COUNTIFS('Content Calendar'!$G$5:$G$604,T91,'Content Calendar'!$X$5:$X$604,"Published",'Content Calendar'!$B$5:$B$604,"&gt;="&amp;DashStart,'Content Calendar'!$B$5:$B$604,"&lt;="&amp;DashEnd))</f>
        <v>0</v>
      </c>
      <c r="W91" s="23">
        <f>IF(T91="","",SUMIFS(Analytics!$J$5:$J$154,Analytics!$D$5:$D$154,T91,Analytics!$B$5:$B$154,"&gt;="&amp;DashStart,Analytics!$B$5:$B$154,"&lt;="&amp;DashEnd))</f>
        <v>0</v>
      </c>
      <c r="X91" s="23">
        <f>IF(T91="","",SUMIFS(Analytics!$L$5:$L$154,Analytics!$D$5:$D$154,T91,Analytics!$B$5:$B$154,"&gt;="&amp;DashStart,Analytics!$B$5:$B$154,"&lt;="&amp;DashEnd))</f>
        <v>0</v>
      </c>
      <c r="Y91" s="24">
        <f>IF(OR(W91="",W91=0),"",X91/W91)</f>
        <v>0</v>
      </c>
      <c r="Z91" s="23">
        <f>IF(T91="","",SUMIFS(Analytics!$G$5:$G$154,Analytics!$D$5:$D$154,T91,Analytics!$B$5:$B$154,"&gt;="&amp;DashStart,Analytics!$B$5:$B$154,"&lt;="&amp;DashEnd))</f>
        <v>0</v>
      </c>
      <c r="AA91" s="23">
        <f>IF(T91="","",SUMIFS(Analytics!$X$5:$X$154,Analytics!$D$5:$D$154,T91,Analytics!$B$5:$B$154,"&gt;="&amp;DashStart,Analytics!$B$5:$B$154,"&lt;="&amp;DashEnd))</f>
        <v>0</v>
      </c>
      <c r="AB91" s="23">
        <f>IF(T91="","",SUMIFS(Analytics!$R$5:$R$154,Analytics!$D$5:$D$154,T91,Analytics!$B$5:$B$154,"&gt;="&amp;DashStart,Analytics!$B$5:$B$154,"&lt;="&amp;DashEnd))</f>
        <v>0</v>
      </c>
      <c r="AC91" s="25">
        <f>IF(T91="","",SUMIFS(Analytics!$U$5:$U$154,Analytics!$D$5:$D$154,T91,Analytics!$B$5:$B$154,"&gt;="&amp;DashStart,Analytics!$B$5:$B$154,"&lt;="&amp;DashEnd))</f>
        <v>0</v>
      </c>
      <c r="AD91" s="23">
        <f>IF(T91="","",COUNTIFS('Content Calendar'!$G$5:$G$604,T91,'Content Calendar'!$B$5:$B$604,"&gt;="&amp;DATE(PlanYear,1,1),'Content Calendar'!$B$5:$B$604,"&lt;="&amp;DATE(PlanYear,12,31)))</f>
        <v>0</v>
      </c>
      <c r="AE91" s="23">
        <f>IF(T91="","",SUMIFS(Analytics!$J$5:$J$154,Analytics!$D$5:$D$154,T91))</f>
        <v>0</v>
      </c>
      <c r="AF91" s="23">
        <f>IF(T91="","",SUMIFS(Analytics!$L$5:$L$154,Analytics!$D$5:$D$154,T91))</f>
        <v>0</v>
      </c>
      <c r="AG91" s="24">
        <f>IF(OR(AE91="",AE91=0),"",AF91/AE91)</f>
        <v>0</v>
      </c>
      <c r="AH91" s="23">
        <f>IF(T91="","",SUMIFS(Analytics!$X$5:$X$154,Analytics!$D$5:$D$154,T91))</f>
        <v>0</v>
      </c>
      <c r="AI91" s="32">
        <f>IF(T91="","",IF(AE91=0,"",AE91+ROW()/1000000))</f>
        <v>0</v>
      </c>
      <c r="AJ91" s="17">
        <f>IF('Content Pillars'!$B$91="","",'Content Pillars'!$B$91)</f>
        <v>0</v>
      </c>
      <c r="AK91" s="23">
        <f>IF(AJ91="","",COUNTIFS('Content Calendar'!$J$5:$J$604,AJ91,'Content Calendar'!$B$5:$B$604,"&gt;="&amp;DATE(PlanYear,1,1),'Content Calendar'!$B$5:$B$604,"&lt;="&amp;DATE(PlanYear,12,31)))</f>
        <v>0</v>
      </c>
      <c r="AL91" s="23">
        <f>IF(AJ91="","",SUMIFS(Performance!$O$5:$O$404,Performance!$H$5:$H$404,AJ91))</f>
        <v>0</v>
      </c>
      <c r="AM91" s="23">
        <f>IF(AJ91="","",SUMIFS(Performance!$Z$5:$Z$404,Performance!$H$5:$H$404,AJ91))</f>
        <v>0</v>
      </c>
      <c r="AN91" s="24">
        <f>IF(OR(AL91="",AL91=0),"",AM91/AL91)</f>
        <v>0</v>
      </c>
      <c r="AO91" s="32">
        <f>IF(AN91="","",AN91+ROW()/1000000)</f>
        <v>0</v>
      </c>
      <c r="AP91" s="17">
        <f>IF(Lists!$E91="","",Lists!$E91)</f>
        <v>0</v>
      </c>
      <c r="AQ91" s="23">
        <f>IF(AP91="","",COUNTIF(Performance!$G$5:$G$404,AP91))</f>
        <v>0</v>
      </c>
      <c r="AR91" s="23">
        <f>IF(AP91="","",SUMIFS(Performance!$O$5:$O$404,Performance!$G$5:$G$404,AP91))</f>
        <v>0</v>
      </c>
      <c r="AS91" s="23">
        <f>IF(AP91="","",SUMIFS(Performance!$Z$5:$Z$404,Performance!$G$5:$G$404,AP91))</f>
        <v>0</v>
      </c>
      <c r="AT91" s="24">
        <f>IF(OR(AR91="",AR91=0),"",AS91/AR91)</f>
        <v>0</v>
      </c>
      <c r="AU91" s="32">
        <f>IF(AQ91=0,"",IF(AT91="","",AT91+ROW()/1000000))</f>
        <v>0</v>
      </c>
      <c r="AV91" s="17">
        <f>IF(ROW()-4&gt;7,"",TEXT(DATE(2024,1,ROW()-4),"ddd"))</f>
        <v>0</v>
      </c>
      <c r="AW91" s="23">
        <f>IF(AV91="","",COUNTIF(Performance!$N$5:$N$404,AV91))</f>
        <v>0</v>
      </c>
      <c r="AX91" s="23">
        <f>IF(AV91="","",SUMIFS(Performance!$O$5:$O$404,Performance!$N$5:$N$404,AV91))</f>
        <v>0</v>
      </c>
      <c r="AY91" s="23">
        <f>IF(AV91="","",SUMIFS(Performance!$Z$5:$Z$404,Performance!$N$5:$N$404,AV91))</f>
        <v>0</v>
      </c>
      <c r="AZ91" s="24">
        <f>IF(OR(AX91="",AX91=0),"",AY91/AX91)</f>
        <v>0</v>
      </c>
      <c r="BA91" s="32">
        <f>IF(AW91=0,"",IF(AZ91="","",AZ91+ROW()/1000000))</f>
        <v>0</v>
      </c>
      <c r="BB91" s="17">
        <f>IF(Lists!$AL91="","",Lists!$AL91)</f>
        <v>0</v>
      </c>
      <c r="BC91" s="23">
        <f>IF(BB91="","",COUNTIF(Performance!$M$5:$M$404,BB91))</f>
        <v>0</v>
      </c>
      <c r="BD91" s="23">
        <f>IF(BB91="","",SUMIFS(Performance!$O$5:$O$404,Performance!$M$5:$M$404,BB91))</f>
        <v>0</v>
      </c>
      <c r="BE91" s="23">
        <f>IF(BB91="","",SUMIFS(Performance!$Z$5:$Z$404,Performance!$M$5:$M$404,BB91))</f>
        <v>0</v>
      </c>
      <c r="BF91" s="24">
        <f>IF(OR(BD91="",BD91=0),"",BE91/BD91)</f>
        <v>0</v>
      </c>
      <c r="BG91" s="32">
        <f>IF(BC91=0,"",IF(BF91="","",BF91+ROW()/1000000))</f>
        <v>0</v>
      </c>
      <c r="BH91" s="17">
        <f>IF(Performance!$C$91="","",Performance!$C$91)</f>
        <v>0</v>
      </c>
      <c r="BI91" s="17">
        <f>IF(Performance!$F$91="","",Performance!$F$91)</f>
        <v>0</v>
      </c>
      <c r="BJ91" s="17">
        <f>IF(Performance!$H$91="","",Performance!$H$91)</f>
        <v>0</v>
      </c>
      <c r="BK91" s="16">
        <f>IF(Performance!$D$91="","",Performance!$D$91)</f>
        <v>0</v>
      </c>
      <c r="BL91" s="17">
        <f>IF(Performance!$E$91="","",Performance!$E$91)</f>
        <v>0</v>
      </c>
      <c r="BM91" s="23">
        <f>IF(Performance!$O$91="","",Performance!$O$91)</f>
        <v>0</v>
      </c>
      <c r="BN91" s="24">
        <f>IF(Performance!$AA$91="","",Performance!$AA$91)</f>
        <v>0</v>
      </c>
      <c r="BO91" s="32">
        <f>IF(BH91="","",IF(BK91="","",IF(OR(BK91&lt;DashStart,BK91&gt;DashEnd),"",IF(BN91="","",BN91+ROW()/1000000))))</f>
        <v>0</v>
      </c>
      <c r="BP91" s="32">
        <f>IF(BM91="","",IF(BK91="","",IF(OR(BK91&lt;DashStart,BK91&gt;DashEnd),"",BM91+ROW()/1000000)))</f>
        <v>0</v>
      </c>
      <c r="BQ91" s="32">
        <f>IF(BH91="","",IF(BK91="","",IF(YEAR(BK91)&lt;&gt;PlanYear,"",IF(BN91="","",BN91+ROW()/1000000))))</f>
        <v>0</v>
      </c>
      <c r="BR91" s="32">
        <f>IF(BH91="","",IF(BK91="","",IF(OR(BK91&lt;RepFrom,BK91&gt;RepTo),"",IF(BN91="","",BN91+ROW()/1000000))))</f>
        <v>0</v>
      </c>
      <c r="BS91" s="32">
        <f>IF(BM91="","",IF(BK91="","",IF(YEAR(BK91)&lt;&gt;PlanYear,"",BM91+ROW()/1000000)))</f>
        <v>0</v>
      </c>
      <c r="BT91" s="17">
        <f>IF(Lists!$F91="","",Lists!$F91)</f>
        <v>0</v>
      </c>
      <c r="BU91" s="23">
        <f>IF(BT91="","",COUNTIF('Content Calendar'!$X$5:$X$604,BT91))</f>
        <v>0</v>
      </c>
      <c r="BV91" s="23">
        <f>IF(BT91="","",COUNTIFS('Content Calendar'!$X$5:$X$604,BT91,'Content Calendar'!$B$5:$B$604,"&gt;="&amp;DashStart,'Content Calendar'!$B$5:$B$604,"&lt;="&amp;DashEnd))</f>
        <v>0</v>
      </c>
      <c r="BW91" s="17">
        <f>IF(Team!$B$91="","",Team!$B$91)</f>
        <v>0</v>
      </c>
      <c r="BX91" s="23">
        <f>IF(BW91="","",COUNTIF('Content Calendar'!$W$5:$W$604,BW91))</f>
        <v>0</v>
      </c>
      <c r="BY91" s="23">
        <f>IF(BW91="","",COUNTIFS('Content Calendar'!$W$5:$W$604,BW91,'Content Calendar'!$X$5:$X$604,"&lt;&gt;Published"))</f>
        <v>0</v>
      </c>
      <c r="BZ91" s="23">
        <f>IF(BW91="","",COUNTIFS(Tasks!$C$5:$C$64,BW91,Tasks!$G$5:$G$64,"&lt;&gt;Complete"))</f>
        <v>0</v>
      </c>
      <c r="CA91" s="17">
        <f>IF(Campaigns!$B$91="","",Campaigns!$B$91)</f>
        <v>0</v>
      </c>
      <c r="CB91" s="25">
        <f>IF(Campaigns!$T$91="","",Campaigns!$T$91)</f>
        <v>0</v>
      </c>
      <c r="CC91" s="25">
        <f>IF(Campaigns!$Q$91="","",Campaigns!$Q$91)</f>
        <v>0</v>
      </c>
      <c r="CD91" s="23">
        <f>IF(Campaigns!$Y$91="","",Campaigns!$Y$91)</f>
        <v>0</v>
      </c>
      <c r="CE91" s="32">
        <f>IF(CA91="","",IF(N(CB91)&lt;=0,"",N(CB91)+ROW()/1000000))</f>
        <v>0</v>
      </c>
      <c r="CF91" s="17">
        <f>IF(Accounts!$C$91="","",Accounts!$C$91)</f>
        <v>0</v>
      </c>
      <c r="CG91" s="17">
        <f>IF(Accounts!$B$91="","",Accounts!$B$91)</f>
        <v>0</v>
      </c>
      <c r="CH91" s="23">
        <f>IF(Accounts!$J$91="","",Accounts!$J$91)</f>
        <v>0</v>
      </c>
      <c r="CI91" s="23">
        <f>IF(CF91="","",SUMIFS(Analytics!$X$5:$X$154,Analytics!$E$5:$E$154,CF91,Analytics!$B$5:$B$154,"&gt;="&amp;DashStart,Analytics!$B$5:$B$154,"&lt;="&amp;DashEnd))</f>
        <v>0</v>
      </c>
      <c r="CJ91" s="32">
        <f>IF(CH91="","",IF(CH91=0,"",CH91+ROW()/1000000))</f>
        <v>0</v>
      </c>
    </row>
    <row r="92" spans="1:88">
      <c r="A92" s="16">
        <f>IF(ROW()-4&gt;12,"",DATE(PlanYear,ROW()-4,1))</f>
        <v>0</v>
      </c>
      <c r="B92" s="16">
        <f>IF(A92="","",EOMONTH(A92,0))</f>
        <v>0</v>
      </c>
      <c r="C92" s="17">
        <f>IF(A92="","",TEXT(A92,"yyyy-mm"))</f>
        <v>0</v>
      </c>
      <c r="D92" s="17">
        <f>IF(A92="","",TEXT(A92,"mmm"))</f>
        <v>0</v>
      </c>
      <c r="E92" s="23">
        <f>IF(C92="","",COUNTIFS('Content Calendar'!$D$5:$D$604,C92))</f>
        <v>0</v>
      </c>
      <c r="F92" s="23">
        <f>IF(C92="","",COUNTIFS('Content Calendar'!$D$5:$D$604,C92,'Content Calendar'!$X$5:$X$604,"Published"))</f>
        <v>0</v>
      </c>
      <c r="G92" s="23">
        <f>IF(C92="","",SUMIFS(Analytics!$J$5:$J$154,Analytics!$C$5:$C$154,C92))</f>
        <v>0</v>
      </c>
      <c r="H92" s="23">
        <f>IF(C92="","",SUMIFS(Analytics!$K$5:$K$154,Analytics!$C$5:$C$154,C92))</f>
        <v>0</v>
      </c>
      <c r="I92" s="23">
        <f>IF(C92="","",SUMIFS(Analytics!$L$5:$L$154,Analytics!$C$5:$C$154,C92))</f>
        <v>0</v>
      </c>
      <c r="J92" s="24">
        <f>IF(OR(G92="",G92=0),"",I92/G92)</f>
        <v>0</v>
      </c>
      <c r="K92" s="23">
        <f>IF(C92="","",SUMIFS(Analytics!$G$5:$G$154,Analytics!$C$5:$C$154,C92))</f>
        <v>0</v>
      </c>
      <c r="L92" s="23">
        <f>IF(C92="","",SUMIFS(Analytics!$X$5:$X$154,Analytics!$C$5:$C$154,C92))</f>
        <v>0</v>
      </c>
      <c r="M92" s="23">
        <f>IF(C92="","",SUMIFS(Analytics!$R$5:$R$154,Analytics!$C$5:$C$154,C92))</f>
        <v>0</v>
      </c>
      <c r="N92" s="23">
        <f>IF(C92="","",SUMIFS(Analytics!$S$5:$S$154,Analytics!$C$5:$C$154,C92))</f>
        <v>0</v>
      </c>
      <c r="O92" s="23">
        <f>IF(C92="","",SUMIFS(Analytics!$T$5:$T$154,Analytics!$C$5:$C$154,C92))</f>
        <v>0</v>
      </c>
      <c r="P92" s="25">
        <f>IF(C92="","",SUMIFS(Analytics!$U$5:$U$154,Analytics!$C$5:$C$154,C92))</f>
        <v>0</v>
      </c>
      <c r="Q92" s="25">
        <f>IF(C92="","",SUMIFS(Budget!$H$5:$H$64,Budget!$C$5:$C$64,C92))</f>
        <v>0</v>
      </c>
      <c r="R92" s="25">
        <f>IF(C92="","",P92-Q92)</f>
        <v>0</v>
      </c>
      <c r="S92" s="23">
        <f>IF(C92="","",MonthlyPostTarget)</f>
        <v>0</v>
      </c>
      <c r="T92" s="17">
        <f>IF(Lists!$C92="","",Lists!$C92)</f>
        <v>0</v>
      </c>
      <c r="U92" s="23">
        <f>IF(T92="","",COUNTIFS('Content Calendar'!$G$5:$G$604,T92,'Content Calendar'!$B$5:$B$604,"&gt;="&amp;DashStart,'Content Calendar'!$B$5:$B$604,"&lt;="&amp;DashEnd))</f>
        <v>0</v>
      </c>
      <c r="V92" s="23">
        <f>IF(T92="","",COUNTIFS('Content Calendar'!$G$5:$G$604,T92,'Content Calendar'!$X$5:$X$604,"Published",'Content Calendar'!$B$5:$B$604,"&gt;="&amp;DashStart,'Content Calendar'!$B$5:$B$604,"&lt;="&amp;DashEnd))</f>
        <v>0</v>
      </c>
      <c r="W92" s="23">
        <f>IF(T92="","",SUMIFS(Analytics!$J$5:$J$154,Analytics!$D$5:$D$154,T92,Analytics!$B$5:$B$154,"&gt;="&amp;DashStart,Analytics!$B$5:$B$154,"&lt;="&amp;DashEnd))</f>
        <v>0</v>
      </c>
      <c r="X92" s="23">
        <f>IF(T92="","",SUMIFS(Analytics!$L$5:$L$154,Analytics!$D$5:$D$154,T92,Analytics!$B$5:$B$154,"&gt;="&amp;DashStart,Analytics!$B$5:$B$154,"&lt;="&amp;DashEnd))</f>
        <v>0</v>
      </c>
      <c r="Y92" s="24">
        <f>IF(OR(W92="",W92=0),"",X92/W92)</f>
        <v>0</v>
      </c>
      <c r="Z92" s="23">
        <f>IF(T92="","",SUMIFS(Analytics!$G$5:$G$154,Analytics!$D$5:$D$154,T92,Analytics!$B$5:$B$154,"&gt;="&amp;DashStart,Analytics!$B$5:$B$154,"&lt;="&amp;DashEnd))</f>
        <v>0</v>
      </c>
      <c r="AA92" s="23">
        <f>IF(T92="","",SUMIFS(Analytics!$X$5:$X$154,Analytics!$D$5:$D$154,T92,Analytics!$B$5:$B$154,"&gt;="&amp;DashStart,Analytics!$B$5:$B$154,"&lt;="&amp;DashEnd))</f>
        <v>0</v>
      </c>
      <c r="AB92" s="23">
        <f>IF(T92="","",SUMIFS(Analytics!$R$5:$R$154,Analytics!$D$5:$D$154,T92,Analytics!$B$5:$B$154,"&gt;="&amp;DashStart,Analytics!$B$5:$B$154,"&lt;="&amp;DashEnd))</f>
        <v>0</v>
      </c>
      <c r="AC92" s="25">
        <f>IF(T92="","",SUMIFS(Analytics!$U$5:$U$154,Analytics!$D$5:$D$154,T92,Analytics!$B$5:$B$154,"&gt;="&amp;DashStart,Analytics!$B$5:$B$154,"&lt;="&amp;DashEnd))</f>
        <v>0</v>
      </c>
      <c r="AD92" s="23">
        <f>IF(T92="","",COUNTIFS('Content Calendar'!$G$5:$G$604,T92,'Content Calendar'!$B$5:$B$604,"&gt;="&amp;DATE(PlanYear,1,1),'Content Calendar'!$B$5:$B$604,"&lt;="&amp;DATE(PlanYear,12,31)))</f>
        <v>0</v>
      </c>
      <c r="AE92" s="23">
        <f>IF(T92="","",SUMIFS(Analytics!$J$5:$J$154,Analytics!$D$5:$D$154,T92))</f>
        <v>0</v>
      </c>
      <c r="AF92" s="23">
        <f>IF(T92="","",SUMIFS(Analytics!$L$5:$L$154,Analytics!$D$5:$D$154,T92))</f>
        <v>0</v>
      </c>
      <c r="AG92" s="24">
        <f>IF(OR(AE92="",AE92=0),"",AF92/AE92)</f>
        <v>0</v>
      </c>
      <c r="AH92" s="23">
        <f>IF(T92="","",SUMIFS(Analytics!$X$5:$X$154,Analytics!$D$5:$D$154,T92))</f>
        <v>0</v>
      </c>
      <c r="AI92" s="32">
        <f>IF(T92="","",IF(AE92=0,"",AE92+ROW()/1000000))</f>
        <v>0</v>
      </c>
      <c r="AJ92" s="17">
        <f>IF('Content Pillars'!$B$92="","",'Content Pillars'!$B$92)</f>
        <v>0</v>
      </c>
      <c r="AK92" s="23">
        <f>IF(AJ92="","",COUNTIFS('Content Calendar'!$J$5:$J$604,AJ92,'Content Calendar'!$B$5:$B$604,"&gt;="&amp;DATE(PlanYear,1,1),'Content Calendar'!$B$5:$B$604,"&lt;="&amp;DATE(PlanYear,12,31)))</f>
        <v>0</v>
      </c>
      <c r="AL92" s="23">
        <f>IF(AJ92="","",SUMIFS(Performance!$O$5:$O$404,Performance!$H$5:$H$404,AJ92))</f>
        <v>0</v>
      </c>
      <c r="AM92" s="23">
        <f>IF(AJ92="","",SUMIFS(Performance!$Z$5:$Z$404,Performance!$H$5:$H$404,AJ92))</f>
        <v>0</v>
      </c>
      <c r="AN92" s="24">
        <f>IF(OR(AL92="",AL92=0),"",AM92/AL92)</f>
        <v>0</v>
      </c>
      <c r="AO92" s="32">
        <f>IF(AN92="","",AN92+ROW()/1000000)</f>
        <v>0</v>
      </c>
      <c r="AP92" s="17">
        <f>IF(Lists!$E92="","",Lists!$E92)</f>
        <v>0</v>
      </c>
      <c r="AQ92" s="23">
        <f>IF(AP92="","",COUNTIF(Performance!$G$5:$G$404,AP92))</f>
        <v>0</v>
      </c>
      <c r="AR92" s="23">
        <f>IF(AP92="","",SUMIFS(Performance!$O$5:$O$404,Performance!$G$5:$G$404,AP92))</f>
        <v>0</v>
      </c>
      <c r="AS92" s="23">
        <f>IF(AP92="","",SUMIFS(Performance!$Z$5:$Z$404,Performance!$G$5:$G$404,AP92))</f>
        <v>0</v>
      </c>
      <c r="AT92" s="24">
        <f>IF(OR(AR92="",AR92=0),"",AS92/AR92)</f>
        <v>0</v>
      </c>
      <c r="AU92" s="32">
        <f>IF(AQ92=0,"",IF(AT92="","",AT92+ROW()/1000000))</f>
        <v>0</v>
      </c>
      <c r="AV92" s="17">
        <f>IF(ROW()-4&gt;7,"",TEXT(DATE(2024,1,ROW()-4),"ddd"))</f>
        <v>0</v>
      </c>
      <c r="AW92" s="23">
        <f>IF(AV92="","",COUNTIF(Performance!$N$5:$N$404,AV92))</f>
        <v>0</v>
      </c>
      <c r="AX92" s="23">
        <f>IF(AV92="","",SUMIFS(Performance!$O$5:$O$404,Performance!$N$5:$N$404,AV92))</f>
        <v>0</v>
      </c>
      <c r="AY92" s="23">
        <f>IF(AV92="","",SUMIFS(Performance!$Z$5:$Z$404,Performance!$N$5:$N$404,AV92))</f>
        <v>0</v>
      </c>
      <c r="AZ92" s="24">
        <f>IF(OR(AX92="",AX92=0),"",AY92/AX92)</f>
        <v>0</v>
      </c>
      <c r="BA92" s="32">
        <f>IF(AW92=0,"",IF(AZ92="","",AZ92+ROW()/1000000))</f>
        <v>0</v>
      </c>
      <c r="BB92" s="17">
        <f>IF(Lists!$AL92="","",Lists!$AL92)</f>
        <v>0</v>
      </c>
      <c r="BC92" s="23">
        <f>IF(BB92="","",COUNTIF(Performance!$M$5:$M$404,BB92))</f>
        <v>0</v>
      </c>
      <c r="BD92" s="23">
        <f>IF(BB92="","",SUMIFS(Performance!$O$5:$O$404,Performance!$M$5:$M$404,BB92))</f>
        <v>0</v>
      </c>
      <c r="BE92" s="23">
        <f>IF(BB92="","",SUMIFS(Performance!$Z$5:$Z$404,Performance!$M$5:$M$404,BB92))</f>
        <v>0</v>
      </c>
      <c r="BF92" s="24">
        <f>IF(OR(BD92="",BD92=0),"",BE92/BD92)</f>
        <v>0</v>
      </c>
      <c r="BG92" s="32">
        <f>IF(BC92=0,"",IF(BF92="","",BF92+ROW()/1000000))</f>
        <v>0</v>
      </c>
      <c r="BH92" s="17">
        <f>IF(Performance!$C$92="","",Performance!$C$92)</f>
        <v>0</v>
      </c>
      <c r="BI92" s="17">
        <f>IF(Performance!$F$92="","",Performance!$F$92)</f>
        <v>0</v>
      </c>
      <c r="BJ92" s="17">
        <f>IF(Performance!$H$92="","",Performance!$H$92)</f>
        <v>0</v>
      </c>
      <c r="BK92" s="16">
        <f>IF(Performance!$D$92="","",Performance!$D$92)</f>
        <v>0</v>
      </c>
      <c r="BL92" s="17">
        <f>IF(Performance!$E$92="","",Performance!$E$92)</f>
        <v>0</v>
      </c>
      <c r="BM92" s="23">
        <f>IF(Performance!$O$92="","",Performance!$O$92)</f>
        <v>0</v>
      </c>
      <c r="BN92" s="24">
        <f>IF(Performance!$AA$92="","",Performance!$AA$92)</f>
        <v>0</v>
      </c>
      <c r="BO92" s="32">
        <f>IF(BH92="","",IF(BK92="","",IF(OR(BK92&lt;DashStart,BK92&gt;DashEnd),"",IF(BN92="","",BN92+ROW()/1000000))))</f>
        <v>0</v>
      </c>
      <c r="BP92" s="32">
        <f>IF(BM92="","",IF(BK92="","",IF(OR(BK92&lt;DashStart,BK92&gt;DashEnd),"",BM92+ROW()/1000000)))</f>
        <v>0</v>
      </c>
      <c r="BQ92" s="32">
        <f>IF(BH92="","",IF(BK92="","",IF(YEAR(BK92)&lt;&gt;PlanYear,"",IF(BN92="","",BN92+ROW()/1000000))))</f>
        <v>0</v>
      </c>
      <c r="BR92" s="32">
        <f>IF(BH92="","",IF(BK92="","",IF(OR(BK92&lt;RepFrom,BK92&gt;RepTo),"",IF(BN92="","",BN92+ROW()/1000000))))</f>
        <v>0</v>
      </c>
      <c r="BS92" s="32">
        <f>IF(BM92="","",IF(BK92="","",IF(YEAR(BK92)&lt;&gt;PlanYear,"",BM92+ROW()/1000000)))</f>
        <v>0</v>
      </c>
      <c r="BT92" s="17">
        <f>IF(Lists!$F92="","",Lists!$F92)</f>
        <v>0</v>
      </c>
      <c r="BU92" s="23">
        <f>IF(BT92="","",COUNTIF('Content Calendar'!$X$5:$X$604,BT92))</f>
        <v>0</v>
      </c>
      <c r="BV92" s="23">
        <f>IF(BT92="","",COUNTIFS('Content Calendar'!$X$5:$X$604,BT92,'Content Calendar'!$B$5:$B$604,"&gt;="&amp;DashStart,'Content Calendar'!$B$5:$B$604,"&lt;="&amp;DashEnd))</f>
        <v>0</v>
      </c>
      <c r="BW92" s="17">
        <f>IF(Team!$B$92="","",Team!$B$92)</f>
        <v>0</v>
      </c>
      <c r="BX92" s="23">
        <f>IF(BW92="","",COUNTIF('Content Calendar'!$W$5:$W$604,BW92))</f>
        <v>0</v>
      </c>
      <c r="BY92" s="23">
        <f>IF(BW92="","",COUNTIFS('Content Calendar'!$W$5:$W$604,BW92,'Content Calendar'!$X$5:$X$604,"&lt;&gt;Published"))</f>
        <v>0</v>
      </c>
      <c r="BZ92" s="23">
        <f>IF(BW92="","",COUNTIFS(Tasks!$C$5:$C$64,BW92,Tasks!$G$5:$G$64,"&lt;&gt;Complete"))</f>
        <v>0</v>
      </c>
      <c r="CA92" s="17">
        <f>IF(Campaigns!$B$92="","",Campaigns!$B$92)</f>
        <v>0</v>
      </c>
      <c r="CB92" s="25">
        <f>IF(Campaigns!$T$92="","",Campaigns!$T$92)</f>
        <v>0</v>
      </c>
      <c r="CC92" s="25">
        <f>IF(Campaigns!$Q$92="","",Campaigns!$Q$92)</f>
        <v>0</v>
      </c>
      <c r="CD92" s="23">
        <f>IF(Campaigns!$Y$92="","",Campaigns!$Y$92)</f>
        <v>0</v>
      </c>
      <c r="CE92" s="32">
        <f>IF(CA92="","",IF(N(CB92)&lt;=0,"",N(CB92)+ROW()/1000000))</f>
        <v>0</v>
      </c>
      <c r="CF92" s="17">
        <f>IF(Accounts!$C$92="","",Accounts!$C$92)</f>
        <v>0</v>
      </c>
      <c r="CG92" s="17">
        <f>IF(Accounts!$B$92="","",Accounts!$B$92)</f>
        <v>0</v>
      </c>
      <c r="CH92" s="23">
        <f>IF(Accounts!$J$92="","",Accounts!$J$92)</f>
        <v>0</v>
      </c>
      <c r="CI92" s="23">
        <f>IF(CF92="","",SUMIFS(Analytics!$X$5:$X$154,Analytics!$E$5:$E$154,CF92,Analytics!$B$5:$B$154,"&gt;="&amp;DashStart,Analytics!$B$5:$B$154,"&lt;="&amp;DashEnd))</f>
        <v>0</v>
      </c>
      <c r="CJ92" s="32">
        <f>IF(CH92="","",IF(CH92=0,"",CH92+ROW()/1000000))</f>
        <v>0</v>
      </c>
    </row>
    <row r="93" spans="1:88">
      <c r="A93" s="16">
        <f>IF(ROW()-4&gt;12,"",DATE(PlanYear,ROW()-4,1))</f>
        <v>0</v>
      </c>
      <c r="B93" s="16">
        <f>IF(A93="","",EOMONTH(A93,0))</f>
        <v>0</v>
      </c>
      <c r="C93" s="17">
        <f>IF(A93="","",TEXT(A93,"yyyy-mm"))</f>
        <v>0</v>
      </c>
      <c r="D93" s="17">
        <f>IF(A93="","",TEXT(A93,"mmm"))</f>
        <v>0</v>
      </c>
      <c r="E93" s="23">
        <f>IF(C93="","",COUNTIFS('Content Calendar'!$D$5:$D$604,C93))</f>
        <v>0</v>
      </c>
      <c r="F93" s="23">
        <f>IF(C93="","",COUNTIFS('Content Calendar'!$D$5:$D$604,C93,'Content Calendar'!$X$5:$X$604,"Published"))</f>
        <v>0</v>
      </c>
      <c r="G93" s="23">
        <f>IF(C93="","",SUMIFS(Analytics!$J$5:$J$154,Analytics!$C$5:$C$154,C93))</f>
        <v>0</v>
      </c>
      <c r="H93" s="23">
        <f>IF(C93="","",SUMIFS(Analytics!$K$5:$K$154,Analytics!$C$5:$C$154,C93))</f>
        <v>0</v>
      </c>
      <c r="I93" s="23">
        <f>IF(C93="","",SUMIFS(Analytics!$L$5:$L$154,Analytics!$C$5:$C$154,C93))</f>
        <v>0</v>
      </c>
      <c r="J93" s="24">
        <f>IF(OR(G93="",G93=0),"",I93/G93)</f>
        <v>0</v>
      </c>
      <c r="K93" s="23">
        <f>IF(C93="","",SUMIFS(Analytics!$G$5:$G$154,Analytics!$C$5:$C$154,C93))</f>
        <v>0</v>
      </c>
      <c r="L93" s="23">
        <f>IF(C93="","",SUMIFS(Analytics!$X$5:$X$154,Analytics!$C$5:$C$154,C93))</f>
        <v>0</v>
      </c>
      <c r="M93" s="23">
        <f>IF(C93="","",SUMIFS(Analytics!$R$5:$R$154,Analytics!$C$5:$C$154,C93))</f>
        <v>0</v>
      </c>
      <c r="N93" s="23">
        <f>IF(C93="","",SUMIFS(Analytics!$S$5:$S$154,Analytics!$C$5:$C$154,C93))</f>
        <v>0</v>
      </c>
      <c r="O93" s="23">
        <f>IF(C93="","",SUMIFS(Analytics!$T$5:$T$154,Analytics!$C$5:$C$154,C93))</f>
        <v>0</v>
      </c>
      <c r="P93" s="25">
        <f>IF(C93="","",SUMIFS(Analytics!$U$5:$U$154,Analytics!$C$5:$C$154,C93))</f>
        <v>0</v>
      </c>
      <c r="Q93" s="25">
        <f>IF(C93="","",SUMIFS(Budget!$H$5:$H$64,Budget!$C$5:$C$64,C93))</f>
        <v>0</v>
      </c>
      <c r="R93" s="25">
        <f>IF(C93="","",P93-Q93)</f>
        <v>0</v>
      </c>
      <c r="S93" s="23">
        <f>IF(C93="","",MonthlyPostTarget)</f>
        <v>0</v>
      </c>
      <c r="T93" s="17">
        <f>IF(Lists!$C93="","",Lists!$C93)</f>
        <v>0</v>
      </c>
      <c r="U93" s="23">
        <f>IF(T93="","",COUNTIFS('Content Calendar'!$G$5:$G$604,T93,'Content Calendar'!$B$5:$B$604,"&gt;="&amp;DashStart,'Content Calendar'!$B$5:$B$604,"&lt;="&amp;DashEnd))</f>
        <v>0</v>
      </c>
      <c r="V93" s="23">
        <f>IF(T93="","",COUNTIFS('Content Calendar'!$G$5:$G$604,T93,'Content Calendar'!$X$5:$X$604,"Published",'Content Calendar'!$B$5:$B$604,"&gt;="&amp;DashStart,'Content Calendar'!$B$5:$B$604,"&lt;="&amp;DashEnd))</f>
        <v>0</v>
      </c>
      <c r="W93" s="23">
        <f>IF(T93="","",SUMIFS(Analytics!$J$5:$J$154,Analytics!$D$5:$D$154,T93,Analytics!$B$5:$B$154,"&gt;="&amp;DashStart,Analytics!$B$5:$B$154,"&lt;="&amp;DashEnd))</f>
        <v>0</v>
      </c>
      <c r="X93" s="23">
        <f>IF(T93="","",SUMIFS(Analytics!$L$5:$L$154,Analytics!$D$5:$D$154,T93,Analytics!$B$5:$B$154,"&gt;="&amp;DashStart,Analytics!$B$5:$B$154,"&lt;="&amp;DashEnd))</f>
        <v>0</v>
      </c>
      <c r="Y93" s="24">
        <f>IF(OR(W93="",W93=0),"",X93/W93)</f>
        <v>0</v>
      </c>
      <c r="Z93" s="23">
        <f>IF(T93="","",SUMIFS(Analytics!$G$5:$G$154,Analytics!$D$5:$D$154,T93,Analytics!$B$5:$B$154,"&gt;="&amp;DashStart,Analytics!$B$5:$B$154,"&lt;="&amp;DashEnd))</f>
        <v>0</v>
      </c>
      <c r="AA93" s="23">
        <f>IF(T93="","",SUMIFS(Analytics!$X$5:$X$154,Analytics!$D$5:$D$154,T93,Analytics!$B$5:$B$154,"&gt;="&amp;DashStart,Analytics!$B$5:$B$154,"&lt;="&amp;DashEnd))</f>
        <v>0</v>
      </c>
      <c r="AB93" s="23">
        <f>IF(T93="","",SUMIFS(Analytics!$R$5:$R$154,Analytics!$D$5:$D$154,T93,Analytics!$B$5:$B$154,"&gt;="&amp;DashStart,Analytics!$B$5:$B$154,"&lt;="&amp;DashEnd))</f>
        <v>0</v>
      </c>
      <c r="AC93" s="25">
        <f>IF(T93="","",SUMIFS(Analytics!$U$5:$U$154,Analytics!$D$5:$D$154,T93,Analytics!$B$5:$B$154,"&gt;="&amp;DashStart,Analytics!$B$5:$B$154,"&lt;="&amp;DashEnd))</f>
        <v>0</v>
      </c>
      <c r="AD93" s="23">
        <f>IF(T93="","",COUNTIFS('Content Calendar'!$G$5:$G$604,T93,'Content Calendar'!$B$5:$B$604,"&gt;="&amp;DATE(PlanYear,1,1),'Content Calendar'!$B$5:$B$604,"&lt;="&amp;DATE(PlanYear,12,31)))</f>
        <v>0</v>
      </c>
      <c r="AE93" s="23">
        <f>IF(T93="","",SUMIFS(Analytics!$J$5:$J$154,Analytics!$D$5:$D$154,T93))</f>
        <v>0</v>
      </c>
      <c r="AF93" s="23">
        <f>IF(T93="","",SUMIFS(Analytics!$L$5:$L$154,Analytics!$D$5:$D$154,T93))</f>
        <v>0</v>
      </c>
      <c r="AG93" s="24">
        <f>IF(OR(AE93="",AE93=0),"",AF93/AE93)</f>
        <v>0</v>
      </c>
      <c r="AH93" s="23">
        <f>IF(T93="","",SUMIFS(Analytics!$X$5:$X$154,Analytics!$D$5:$D$154,T93))</f>
        <v>0</v>
      </c>
      <c r="AI93" s="32">
        <f>IF(T93="","",IF(AE93=0,"",AE93+ROW()/1000000))</f>
        <v>0</v>
      </c>
      <c r="AJ93" s="17">
        <f>IF('Content Pillars'!$B$93="","",'Content Pillars'!$B$93)</f>
        <v>0</v>
      </c>
      <c r="AK93" s="23">
        <f>IF(AJ93="","",COUNTIFS('Content Calendar'!$J$5:$J$604,AJ93,'Content Calendar'!$B$5:$B$604,"&gt;="&amp;DATE(PlanYear,1,1),'Content Calendar'!$B$5:$B$604,"&lt;="&amp;DATE(PlanYear,12,31)))</f>
        <v>0</v>
      </c>
      <c r="AL93" s="23">
        <f>IF(AJ93="","",SUMIFS(Performance!$O$5:$O$404,Performance!$H$5:$H$404,AJ93))</f>
        <v>0</v>
      </c>
      <c r="AM93" s="23">
        <f>IF(AJ93="","",SUMIFS(Performance!$Z$5:$Z$404,Performance!$H$5:$H$404,AJ93))</f>
        <v>0</v>
      </c>
      <c r="AN93" s="24">
        <f>IF(OR(AL93="",AL93=0),"",AM93/AL93)</f>
        <v>0</v>
      </c>
      <c r="AO93" s="32">
        <f>IF(AN93="","",AN93+ROW()/1000000)</f>
        <v>0</v>
      </c>
      <c r="AP93" s="17">
        <f>IF(Lists!$E93="","",Lists!$E93)</f>
        <v>0</v>
      </c>
      <c r="AQ93" s="23">
        <f>IF(AP93="","",COUNTIF(Performance!$G$5:$G$404,AP93))</f>
        <v>0</v>
      </c>
      <c r="AR93" s="23">
        <f>IF(AP93="","",SUMIFS(Performance!$O$5:$O$404,Performance!$G$5:$G$404,AP93))</f>
        <v>0</v>
      </c>
      <c r="AS93" s="23">
        <f>IF(AP93="","",SUMIFS(Performance!$Z$5:$Z$404,Performance!$G$5:$G$404,AP93))</f>
        <v>0</v>
      </c>
      <c r="AT93" s="24">
        <f>IF(OR(AR93="",AR93=0),"",AS93/AR93)</f>
        <v>0</v>
      </c>
      <c r="AU93" s="32">
        <f>IF(AQ93=0,"",IF(AT93="","",AT93+ROW()/1000000))</f>
        <v>0</v>
      </c>
      <c r="AV93" s="17">
        <f>IF(ROW()-4&gt;7,"",TEXT(DATE(2024,1,ROW()-4),"ddd"))</f>
        <v>0</v>
      </c>
      <c r="AW93" s="23">
        <f>IF(AV93="","",COUNTIF(Performance!$N$5:$N$404,AV93))</f>
        <v>0</v>
      </c>
      <c r="AX93" s="23">
        <f>IF(AV93="","",SUMIFS(Performance!$O$5:$O$404,Performance!$N$5:$N$404,AV93))</f>
        <v>0</v>
      </c>
      <c r="AY93" s="23">
        <f>IF(AV93="","",SUMIFS(Performance!$Z$5:$Z$404,Performance!$N$5:$N$404,AV93))</f>
        <v>0</v>
      </c>
      <c r="AZ93" s="24">
        <f>IF(OR(AX93="",AX93=0),"",AY93/AX93)</f>
        <v>0</v>
      </c>
      <c r="BA93" s="32">
        <f>IF(AW93=0,"",IF(AZ93="","",AZ93+ROW()/1000000))</f>
        <v>0</v>
      </c>
      <c r="BB93" s="17">
        <f>IF(Lists!$AL93="","",Lists!$AL93)</f>
        <v>0</v>
      </c>
      <c r="BC93" s="23">
        <f>IF(BB93="","",COUNTIF(Performance!$M$5:$M$404,BB93))</f>
        <v>0</v>
      </c>
      <c r="BD93" s="23">
        <f>IF(BB93="","",SUMIFS(Performance!$O$5:$O$404,Performance!$M$5:$M$404,BB93))</f>
        <v>0</v>
      </c>
      <c r="BE93" s="23">
        <f>IF(BB93="","",SUMIFS(Performance!$Z$5:$Z$404,Performance!$M$5:$M$404,BB93))</f>
        <v>0</v>
      </c>
      <c r="BF93" s="24">
        <f>IF(OR(BD93="",BD93=0),"",BE93/BD93)</f>
        <v>0</v>
      </c>
      <c r="BG93" s="32">
        <f>IF(BC93=0,"",IF(BF93="","",BF93+ROW()/1000000))</f>
        <v>0</v>
      </c>
      <c r="BH93" s="17">
        <f>IF(Performance!$C$93="","",Performance!$C$93)</f>
        <v>0</v>
      </c>
      <c r="BI93" s="17">
        <f>IF(Performance!$F$93="","",Performance!$F$93)</f>
        <v>0</v>
      </c>
      <c r="BJ93" s="17">
        <f>IF(Performance!$H$93="","",Performance!$H$93)</f>
        <v>0</v>
      </c>
      <c r="BK93" s="16">
        <f>IF(Performance!$D$93="","",Performance!$D$93)</f>
        <v>0</v>
      </c>
      <c r="BL93" s="17">
        <f>IF(Performance!$E$93="","",Performance!$E$93)</f>
        <v>0</v>
      </c>
      <c r="BM93" s="23">
        <f>IF(Performance!$O$93="","",Performance!$O$93)</f>
        <v>0</v>
      </c>
      <c r="BN93" s="24">
        <f>IF(Performance!$AA$93="","",Performance!$AA$93)</f>
        <v>0</v>
      </c>
      <c r="BO93" s="32">
        <f>IF(BH93="","",IF(BK93="","",IF(OR(BK93&lt;DashStart,BK93&gt;DashEnd),"",IF(BN93="","",BN93+ROW()/1000000))))</f>
        <v>0</v>
      </c>
      <c r="BP93" s="32">
        <f>IF(BM93="","",IF(BK93="","",IF(OR(BK93&lt;DashStart,BK93&gt;DashEnd),"",BM93+ROW()/1000000)))</f>
        <v>0</v>
      </c>
      <c r="BQ93" s="32">
        <f>IF(BH93="","",IF(BK93="","",IF(YEAR(BK93)&lt;&gt;PlanYear,"",IF(BN93="","",BN93+ROW()/1000000))))</f>
        <v>0</v>
      </c>
      <c r="BR93" s="32">
        <f>IF(BH93="","",IF(BK93="","",IF(OR(BK93&lt;RepFrom,BK93&gt;RepTo),"",IF(BN93="","",BN93+ROW()/1000000))))</f>
        <v>0</v>
      </c>
      <c r="BS93" s="32">
        <f>IF(BM93="","",IF(BK93="","",IF(YEAR(BK93)&lt;&gt;PlanYear,"",BM93+ROW()/1000000)))</f>
        <v>0</v>
      </c>
      <c r="BT93" s="17">
        <f>IF(Lists!$F93="","",Lists!$F93)</f>
        <v>0</v>
      </c>
      <c r="BU93" s="23">
        <f>IF(BT93="","",COUNTIF('Content Calendar'!$X$5:$X$604,BT93))</f>
        <v>0</v>
      </c>
      <c r="BV93" s="23">
        <f>IF(BT93="","",COUNTIFS('Content Calendar'!$X$5:$X$604,BT93,'Content Calendar'!$B$5:$B$604,"&gt;="&amp;DashStart,'Content Calendar'!$B$5:$B$604,"&lt;="&amp;DashEnd))</f>
        <v>0</v>
      </c>
      <c r="BW93" s="17">
        <f>IF(Team!$B$93="","",Team!$B$93)</f>
        <v>0</v>
      </c>
      <c r="BX93" s="23">
        <f>IF(BW93="","",COUNTIF('Content Calendar'!$W$5:$W$604,BW93))</f>
        <v>0</v>
      </c>
      <c r="BY93" s="23">
        <f>IF(BW93="","",COUNTIFS('Content Calendar'!$W$5:$W$604,BW93,'Content Calendar'!$X$5:$X$604,"&lt;&gt;Published"))</f>
        <v>0</v>
      </c>
      <c r="BZ93" s="23">
        <f>IF(BW93="","",COUNTIFS(Tasks!$C$5:$C$64,BW93,Tasks!$G$5:$G$64,"&lt;&gt;Complete"))</f>
        <v>0</v>
      </c>
      <c r="CA93" s="17">
        <f>IF(Campaigns!$B$93="","",Campaigns!$B$93)</f>
        <v>0</v>
      </c>
      <c r="CB93" s="25">
        <f>IF(Campaigns!$T$93="","",Campaigns!$T$93)</f>
        <v>0</v>
      </c>
      <c r="CC93" s="25">
        <f>IF(Campaigns!$Q$93="","",Campaigns!$Q$93)</f>
        <v>0</v>
      </c>
      <c r="CD93" s="23">
        <f>IF(Campaigns!$Y$93="","",Campaigns!$Y$93)</f>
        <v>0</v>
      </c>
      <c r="CE93" s="32">
        <f>IF(CA93="","",IF(N(CB93)&lt;=0,"",N(CB93)+ROW()/1000000))</f>
        <v>0</v>
      </c>
      <c r="CF93" s="17">
        <f>IF(Accounts!$C$93="","",Accounts!$C$93)</f>
        <v>0</v>
      </c>
      <c r="CG93" s="17">
        <f>IF(Accounts!$B$93="","",Accounts!$B$93)</f>
        <v>0</v>
      </c>
      <c r="CH93" s="23">
        <f>IF(Accounts!$J$93="","",Accounts!$J$93)</f>
        <v>0</v>
      </c>
      <c r="CI93" s="23">
        <f>IF(CF93="","",SUMIFS(Analytics!$X$5:$X$154,Analytics!$E$5:$E$154,CF93,Analytics!$B$5:$B$154,"&gt;="&amp;DashStart,Analytics!$B$5:$B$154,"&lt;="&amp;DashEnd))</f>
        <v>0</v>
      </c>
      <c r="CJ93" s="32">
        <f>IF(CH93="","",IF(CH93=0,"",CH93+ROW()/1000000))</f>
        <v>0</v>
      </c>
    </row>
    <row r="94" spans="1:88">
      <c r="A94" s="16">
        <f>IF(ROW()-4&gt;12,"",DATE(PlanYear,ROW()-4,1))</f>
        <v>0</v>
      </c>
      <c r="B94" s="16">
        <f>IF(A94="","",EOMONTH(A94,0))</f>
        <v>0</v>
      </c>
      <c r="C94" s="17">
        <f>IF(A94="","",TEXT(A94,"yyyy-mm"))</f>
        <v>0</v>
      </c>
      <c r="D94" s="17">
        <f>IF(A94="","",TEXT(A94,"mmm"))</f>
        <v>0</v>
      </c>
      <c r="E94" s="23">
        <f>IF(C94="","",COUNTIFS('Content Calendar'!$D$5:$D$604,C94))</f>
        <v>0</v>
      </c>
      <c r="F94" s="23">
        <f>IF(C94="","",COUNTIFS('Content Calendar'!$D$5:$D$604,C94,'Content Calendar'!$X$5:$X$604,"Published"))</f>
        <v>0</v>
      </c>
      <c r="G94" s="23">
        <f>IF(C94="","",SUMIFS(Analytics!$J$5:$J$154,Analytics!$C$5:$C$154,C94))</f>
        <v>0</v>
      </c>
      <c r="H94" s="23">
        <f>IF(C94="","",SUMIFS(Analytics!$K$5:$K$154,Analytics!$C$5:$C$154,C94))</f>
        <v>0</v>
      </c>
      <c r="I94" s="23">
        <f>IF(C94="","",SUMIFS(Analytics!$L$5:$L$154,Analytics!$C$5:$C$154,C94))</f>
        <v>0</v>
      </c>
      <c r="J94" s="24">
        <f>IF(OR(G94="",G94=0),"",I94/G94)</f>
        <v>0</v>
      </c>
      <c r="K94" s="23">
        <f>IF(C94="","",SUMIFS(Analytics!$G$5:$G$154,Analytics!$C$5:$C$154,C94))</f>
        <v>0</v>
      </c>
      <c r="L94" s="23">
        <f>IF(C94="","",SUMIFS(Analytics!$X$5:$X$154,Analytics!$C$5:$C$154,C94))</f>
        <v>0</v>
      </c>
      <c r="M94" s="23">
        <f>IF(C94="","",SUMIFS(Analytics!$R$5:$R$154,Analytics!$C$5:$C$154,C94))</f>
        <v>0</v>
      </c>
      <c r="N94" s="23">
        <f>IF(C94="","",SUMIFS(Analytics!$S$5:$S$154,Analytics!$C$5:$C$154,C94))</f>
        <v>0</v>
      </c>
      <c r="O94" s="23">
        <f>IF(C94="","",SUMIFS(Analytics!$T$5:$T$154,Analytics!$C$5:$C$154,C94))</f>
        <v>0</v>
      </c>
      <c r="P94" s="25">
        <f>IF(C94="","",SUMIFS(Analytics!$U$5:$U$154,Analytics!$C$5:$C$154,C94))</f>
        <v>0</v>
      </c>
      <c r="Q94" s="25">
        <f>IF(C94="","",SUMIFS(Budget!$H$5:$H$64,Budget!$C$5:$C$64,C94))</f>
        <v>0</v>
      </c>
      <c r="R94" s="25">
        <f>IF(C94="","",P94-Q94)</f>
        <v>0</v>
      </c>
      <c r="S94" s="23">
        <f>IF(C94="","",MonthlyPostTarget)</f>
        <v>0</v>
      </c>
      <c r="T94" s="17">
        <f>IF(Lists!$C94="","",Lists!$C94)</f>
        <v>0</v>
      </c>
      <c r="U94" s="23">
        <f>IF(T94="","",COUNTIFS('Content Calendar'!$G$5:$G$604,T94,'Content Calendar'!$B$5:$B$604,"&gt;="&amp;DashStart,'Content Calendar'!$B$5:$B$604,"&lt;="&amp;DashEnd))</f>
        <v>0</v>
      </c>
      <c r="V94" s="23">
        <f>IF(T94="","",COUNTIFS('Content Calendar'!$G$5:$G$604,T94,'Content Calendar'!$X$5:$X$604,"Published",'Content Calendar'!$B$5:$B$604,"&gt;="&amp;DashStart,'Content Calendar'!$B$5:$B$604,"&lt;="&amp;DashEnd))</f>
        <v>0</v>
      </c>
      <c r="W94" s="23">
        <f>IF(T94="","",SUMIFS(Analytics!$J$5:$J$154,Analytics!$D$5:$D$154,T94,Analytics!$B$5:$B$154,"&gt;="&amp;DashStart,Analytics!$B$5:$B$154,"&lt;="&amp;DashEnd))</f>
        <v>0</v>
      </c>
      <c r="X94" s="23">
        <f>IF(T94="","",SUMIFS(Analytics!$L$5:$L$154,Analytics!$D$5:$D$154,T94,Analytics!$B$5:$B$154,"&gt;="&amp;DashStart,Analytics!$B$5:$B$154,"&lt;="&amp;DashEnd))</f>
        <v>0</v>
      </c>
      <c r="Y94" s="24">
        <f>IF(OR(W94="",W94=0),"",X94/W94)</f>
        <v>0</v>
      </c>
      <c r="Z94" s="23">
        <f>IF(T94="","",SUMIFS(Analytics!$G$5:$G$154,Analytics!$D$5:$D$154,T94,Analytics!$B$5:$B$154,"&gt;="&amp;DashStart,Analytics!$B$5:$B$154,"&lt;="&amp;DashEnd))</f>
        <v>0</v>
      </c>
      <c r="AA94" s="23">
        <f>IF(T94="","",SUMIFS(Analytics!$X$5:$X$154,Analytics!$D$5:$D$154,T94,Analytics!$B$5:$B$154,"&gt;="&amp;DashStart,Analytics!$B$5:$B$154,"&lt;="&amp;DashEnd))</f>
        <v>0</v>
      </c>
      <c r="AB94" s="23">
        <f>IF(T94="","",SUMIFS(Analytics!$R$5:$R$154,Analytics!$D$5:$D$154,T94,Analytics!$B$5:$B$154,"&gt;="&amp;DashStart,Analytics!$B$5:$B$154,"&lt;="&amp;DashEnd))</f>
        <v>0</v>
      </c>
      <c r="AC94" s="25">
        <f>IF(T94="","",SUMIFS(Analytics!$U$5:$U$154,Analytics!$D$5:$D$154,T94,Analytics!$B$5:$B$154,"&gt;="&amp;DashStart,Analytics!$B$5:$B$154,"&lt;="&amp;DashEnd))</f>
        <v>0</v>
      </c>
      <c r="AD94" s="23">
        <f>IF(T94="","",COUNTIFS('Content Calendar'!$G$5:$G$604,T94,'Content Calendar'!$B$5:$B$604,"&gt;="&amp;DATE(PlanYear,1,1),'Content Calendar'!$B$5:$B$604,"&lt;="&amp;DATE(PlanYear,12,31)))</f>
        <v>0</v>
      </c>
      <c r="AE94" s="23">
        <f>IF(T94="","",SUMIFS(Analytics!$J$5:$J$154,Analytics!$D$5:$D$154,T94))</f>
        <v>0</v>
      </c>
      <c r="AF94" s="23">
        <f>IF(T94="","",SUMIFS(Analytics!$L$5:$L$154,Analytics!$D$5:$D$154,T94))</f>
        <v>0</v>
      </c>
      <c r="AG94" s="24">
        <f>IF(OR(AE94="",AE94=0),"",AF94/AE94)</f>
        <v>0</v>
      </c>
      <c r="AH94" s="23">
        <f>IF(T94="","",SUMIFS(Analytics!$X$5:$X$154,Analytics!$D$5:$D$154,T94))</f>
        <v>0</v>
      </c>
      <c r="AI94" s="32">
        <f>IF(T94="","",IF(AE94=0,"",AE94+ROW()/1000000))</f>
        <v>0</v>
      </c>
      <c r="AJ94" s="17">
        <f>IF('Content Pillars'!$B$94="","",'Content Pillars'!$B$94)</f>
        <v>0</v>
      </c>
      <c r="AK94" s="23">
        <f>IF(AJ94="","",COUNTIFS('Content Calendar'!$J$5:$J$604,AJ94,'Content Calendar'!$B$5:$B$604,"&gt;="&amp;DATE(PlanYear,1,1),'Content Calendar'!$B$5:$B$604,"&lt;="&amp;DATE(PlanYear,12,31)))</f>
        <v>0</v>
      </c>
      <c r="AL94" s="23">
        <f>IF(AJ94="","",SUMIFS(Performance!$O$5:$O$404,Performance!$H$5:$H$404,AJ94))</f>
        <v>0</v>
      </c>
      <c r="AM94" s="23">
        <f>IF(AJ94="","",SUMIFS(Performance!$Z$5:$Z$404,Performance!$H$5:$H$404,AJ94))</f>
        <v>0</v>
      </c>
      <c r="AN94" s="24">
        <f>IF(OR(AL94="",AL94=0),"",AM94/AL94)</f>
        <v>0</v>
      </c>
      <c r="AO94" s="32">
        <f>IF(AN94="","",AN94+ROW()/1000000)</f>
        <v>0</v>
      </c>
      <c r="AP94" s="17">
        <f>IF(Lists!$E94="","",Lists!$E94)</f>
        <v>0</v>
      </c>
      <c r="AQ94" s="23">
        <f>IF(AP94="","",COUNTIF(Performance!$G$5:$G$404,AP94))</f>
        <v>0</v>
      </c>
      <c r="AR94" s="23">
        <f>IF(AP94="","",SUMIFS(Performance!$O$5:$O$404,Performance!$G$5:$G$404,AP94))</f>
        <v>0</v>
      </c>
      <c r="AS94" s="23">
        <f>IF(AP94="","",SUMIFS(Performance!$Z$5:$Z$404,Performance!$G$5:$G$404,AP94))</f>
        <v>0</v>
      </c>
      <c r="AT94" s="24">
        <f>IF(OR(AR94="",AR94=0),"",AS94/AR94)</f>
        <v>0</v>
      </c>
      <c r="AU94" s="32">
        <f>IF(AQ94=0,"",IF(AT94="","",AT94+ROW()/1000000))</f>
        <v>0</v>
      </c>
      <c r="AV94" s="17">
        <f>IF(ROW()-4&gt;7,"",TEXT(DATE(2024,1,ROW()-4),"ddd"))</f>
        <v>0</v>
      </c>
      <c r="AW94" s="23">
        <f>IF(AV94="","",COUNTIF(Performance!$N$5:$N$404,AV94))</f>
        <v>0</v>
      </c>
      <c r="AX94" s="23">
        <f>IF(AV94="","",SUMIFS(Performance!$O$5:$O$404,Performance!$N$5:$N$404,AV94))</f>
        <v>0</v>
      </c>
      <c r="AY94" s="23">
        <f>IF(AV94="","",SUMIFS(Performance!$Z$5:$Z$404,Performance!$N$5:$N$404,AV94))</f>
        <v>0</v>
      </c>
      <c r="AZ94" s="24">
        <f>IF(OR(AX94="",AX94=0),"",AY94/AX94)</f>
        <v>0</v>
      </c>
      <c r="BA94" s="32">
        <f>IF(AW94=0,"",IF(AZ94="","",AZ94+ROW()/1000000))</f>
        <v>0</v>
      </c>
      <c r="BB94" s="17">
        <f>IF(Lists!$AL94="","",Lists!$AL94)</f>
        <v>0</v>
      </c>
      <c r="BC94" s="23">
        <f>IF(BB94="","",COUNTIF(Performance!$M$5:$M$404,BB94))</f>
        <v>0</v>
      </c>
      <c r="BD94" s="23">
        <f>IF(BB94="","",SUMIFS(Performance!$O$5:$O$404,Performance!$M$5:$M$404,BB94))</f>
        <v>0</v>
      </c>
      <c r="BE94" s="23">
        <f>IF(BB94="","",SUMIFS(Performance!$Z$5:$Z$404,Performance!$M$5:$M$404,BB94))</f>
        <v>0</v>
      </c>
      <c r="BF94" s="24">
        <f>IF(OR(BD94="",BD94=0),"",BE94/BD94)</f>
        <v>0</v>
      </c>
      <c r="BG94" s="32">
        <f>IF(BC94=0,"",IF(BF94="","",BF94+ROW()/1000000))</f>
        <v>0</v>
      </c>
      <c r="BH94" s="17">
        <f>IF(Performance!$C$94="","",Performance!$C$94)</f>
        <v>0</v>
      </c>
      <c r="BI94" s="17">
        <f>IF(Performance!$F$94="","",Performance!$F$94)</f>
        <v>0</v>
      </c>
      <c r="BJ94" s="17">
        <f>IF(Performance!$H$94="","",Performance!$H$94)</f>
        <v>0</v>
      </c>
      <c r="BK94" s="16">
        <f>IF(Performance!$D$94="","",Performance!$D$94)</f>
        <v>0</v>
      </c>
      <c r="BL94" s="17">
        <f>IF(Performance!$E$94="","",Performance!$E$94)</f>
        <v>0</v>
      </c>
      <c r="BM94" s="23">
        <f>IF(Performance!$O$94="","",Performance!$O$94)</f>
        <v>0</v>
      </c>
      <c r="BN94" s="24">
        <f>IF(Performance!$AA$94="","",Performance!$AA$94)</f>
        <v>0</v>
      </c>
      <c r="BO94" s="32">
        <f>IF(BH94="","",IF(BK94="","",IF(OR(BK94&lt;DashStart,BK94&gt;DashEnd),"",IF(BN94="","",BN94+ROW()/1000000))))</f>
        <v>0</v>
      </c>
      <c r="BP94" s="32">
        <f>IF(BM94="","",IF(BK94="","",IF(OR(BK94&lt;DashStart,BK94&gt;DashEnd),"",BM94+ROW()/1000000)))</f>
        <v>0</v>
      </c>
      <c r="BQ94" s="32">
        <f>IF(BH94="","",IF(BK94="","",IF(YEAR(BK94)&lt;&gt;PlanYear,"",IF(BN94="","",BN94+ROW()/1000000))))</f>
        <v>0</v>
      </c>
      <c r="BR94" s="32">
        <f>IF(BH94="","",IF(BK94="","",IF(OR(BK94&lt;RepFrom,BK94&gt;RepTo),"",IF(BN94="","",BN94+ROW()/1000000))))</f>
        <v>0</v>
      </c>
      <c r="BS94" s="32">
        <f>IF(BM94="","",IF(BK94="","",IF(YEAR(BK94)&lt;&gt;PlanYear,"",BM94+ROW()/1000000)))</f>
        <v>0</v>
      </c>
      <c r="BT94" s="17">
        <f>IF(Lists!$F94="","",Lists!$F94)</f>
        <v>0</v>
      </c>
      <c r="BU94" s="23">
        <f>IF(BT94="","",COUNTIF('Content Calendar'!$X$5:$X$604,BT94))</f>
        <v>0</v>
      </c>
      <c r="BV94" s="23">
        <f>IF(BT94="","",COUNTIFS('Content Calendar'!$X$5:$X$604,BT94,'Content Calendar'!$B$5:$B$604,"&gt;="&amp;DashStart,'Content Calendar'!$B$5:$B$604,"&lt;="&amp;DashEnd))</f>
        <v>0</v>
      </c>
      <c r="BW94" s="17">
        <f>IF(Team!$B$94="","",Team!$B$94)</f>
        <v>0</v>
      </c>
      <c r="BX94" s="23">
        <f>IF(BW94="","",COUNTIF('Content Calendar'!$W$5:$W$604,BW94))</f>
        <v>0</v>
      </c>
      <c r="BY94" s="23">
        <f>IF(BW94="","",COUNTIFS('Content Calendar'!$W$5:$W$604,BW94,'Content Calendar'!$X$5:$X$604,"&lt;&gt;Published"))</f>
        <v>0</v>
      </c>
      <c r="BZ94" s="23">
        <f>IF(BW94="","",COUNTIFS(Tasks!$C$5:$C$64,BW94,Tasks!$G$5:$G$64,"&lt;&gt;Complete"))</f>
        <v>0</v>
      </c>
      <c r="CA94" s="17">
        <f>IF(Campaigns!$B$94="","",Campaigns!$B$94)</f>
        <v>0</v>
      </c>
      <c r="CB94" s="25">
        <f>IF(Campaigns!$T$94="","",Campaigns!$T$94)</f>
        <v>0</v>
      </c>
      <c r="CC94" s="25">
        <f>IF(Campaigns!$Q$94="","",Campaigns!$Q$94)</f>
        <v>0</v>
      </c>
      <c r="CD94" s="23">
        <f>IF(Campaigns!$Y$94="","",Campaigns!$Y$94)</f>
        <v>0</v>
      </c>
      <c r="CE94" s="32">
        <f>IF(CA94="","",IF(N(CB94)&lt;=0,"",N(CB94)+ROW()/1000000))</f>
        <v>0</v>
      </c>
      <c r="CF94" s="17">
        <f>IF(Accounts!$C$94="","",Accounts!$C$94)</f>
        <v>0</v>
      </c>
      <c r="CG94" s="17">
        <f>IF(Accounts!$B$94="","",Accounts!$B$94)</f>
        <v>0</v>
      </c>
      <c r="CH94" s="23">
        <f>IF(Accounts!$J$94="","",Accounts!$J$94)</f>
        <v>0</v>
      </c>
      <c r="CI94" s="23">
        <f>IF(CF94="","",SUMIFS(Analytics!$X$5:$X$154,Analytics!$E$5:$E$154,CF94,Analytics!$B$5:$B$154,"&gt;="&amp;DashStart,Analytics!$B$5:$B$154,"&lt;="&amp;DashEnd))</f>
        <v>0</v>
      </c>
      <c r="CJ94" s="32">
        <f>IF(CH94="","",IF(CH94=0,"",CH94+ROW()/1000000))</f>
        <v>0</v>
      </c>
    </row>
    <row r="95" spans="1:88">
      <c r="A95" s="16">
        <f>IF(ROW()-4&gt;12,"",DATE(PlanYear,ROW()-4,1))</f>
        <v>0</v>
      </c>
      <c r="B95" s="16">
        <f>IF(A95="","",EOMONTH(A95,0))</f>
        <v>0</v>
      </c>
      <c r="C95" s="17">
        <f>IF(A95="","",TEXT(A95,"yyyy-mm"))</f>
        <v>0</v>
      </c>
      <c r="D95" s="17">
        <f>IF(A95="","",TEXT(A95,"mmm"))</f>
        <v>0</v>
      </c>
      <c r="E95" s="23">
        <f>IF(C95="","",COUNTIFS('Content Calendar'!$D$5:$D$604,C95))</f>
        <v>0</v>
      </c>
      <c r="F95" s="23">
        <f>IF(C95="","",COUNTIFS('Content Calendar'!$D$5:$D$604,C95,'Content Calendar'!$X$5:$X$604,"Published"))</f>
        <v>0</v>
      </c>
      <c r="G95" s="23">
        <f>IF(C95="","",SUMIFS(Analytics!$J$5:$J$154,Analytics!$C$5:$C$154,C95))</f>
        <v>0</v>
      </c>
      <c r="H95" s="23">
        <f>IF(C95="","",SUMIFS(Analytics!$K$5:$K$154,Analytics!$C$5:$C$154,C95))</f>
        <v>0</v>
      </c>
      <c r="I95" s="23">
        <f>IF(C95="","",SUMIFS(Analytics!$L$5:$L$154,Analytics!$C$5:$C$154,C95))</f>
        <v>0</v>
      </c>
      <c r="J95" s="24">
        <f>IF(OR(G95="",G95=0),"",I95/G95)</f>
        <v>0</v>
      </c>
      <c r="K95" s="23">
        <f>IF(C95="","",SUMIFS(Analytics!$G$5:$G$154,Analytics!$C$5:$C$154,C95))</f>
        <v>0</v>
      </c>
      <c r="L95" s="23">
        <f>IF(C95="","",SUMIFS(Analytics!$X$5:$X$154,Analytics!$C$5:$C$154,C95))</f>
        <v>0</v>
      </c>
      <c r="M95" s="23">
        <f>IF(C95="","",SUMIFS(Analytics!$R$5:$R$154,Analytics!$C$5:$C$154,C95))</f>
        <v>0</v>
      </c>
      <c r="N95" s="23">
        <f>IF(C95="","",SUMIFS(Analytics!$S$5:$S$154,Analytics!$C$5:$C$154,C95))</f>
        <v>0</v>
      </c>
      <c r="O95" s="23">
        <f>IF(C95="","",SUMIFS(Analytics!$T$5:$T$154,Analytics!$C$5:$C$154,C95))</f>
        <v>0</v>
      </c>
      <c r="P95" s="25">
        <f>IF(C95="","",SUMIFS(Analytics!$U$5:$U$154,Analytics!$C$5:$C$154,C95))</f>
        <v>0</v>
      </c>
      <c r="Q95" s="25">
        <f>IF(C95="","",SUMIFS(Budget!$H$5:$H$64,Budget!$C$5:$C$64,C95))</f>
        <v>0</v>
      </c>
      <c r="R95" s="25">
        <f>IF(C95="","",P95-Q95)</f>
        <v>0</v>
      </c>
      <c r="S95" s="23">
        <f>IF(C95="","",MonthlyPostTarget)</f>
        <v>0</v>
      </c>
      <c r="T95" s="17">
        <f>IF(Lists!$C95="","",Lists!$C95)</f>
        <v>0</v>
      </c>
      <c r="U95" s="23">
        <f>IF(T95="","",COUNTIFS('Content Calendar'!$G$5:$G$604,T95,'Content Calendar'!$B$5:$B$604,"&gt;="&amp;DashStart,'Content Calendar'!$B$5:$B$604,"&lt;="&amp;DashEnd))</f>
        <v>0</v>
      </c>
      <c r="V95" s="23">
        <f>IF(T95="","",COUNTIFS('Content Calendar'!$G$5:$G$604,T95,'Content Calendar'!$X$5:$X$604,"Published",'Content Calendar'!$B$5:$B$604,"&gt;="&amp;DashStart,'Content Calendar'!$B$5:$B$604,"&lt;="&amp;DashEnd))</f>
        <v>0</v>
      </c>
      <c r="W95" s="23">
        <f>IF(T95="","",SUMIFS(Analytics!$J$5:$J$154,Analytics!$D$5:$D$154,T95,Analytics!$B$5:$B$154,"&gt;="&amp;DashStart,Analytics!$B$5:$B$154,"&lt;="&amp;DashEnd))</f>
        <v>0</v>
      </c>
      <c r="X95" s="23">
        <f>IF(T95="","",SUMIFS(Analytics!$L$5:$L$154,Analytics!$D$5:$D$154,T95,Analytics!$B$5:$B$154,"&gt;="&amp;DashStart,Analytics!$B$5:$B$154,"&lt;="&amp;DashEnd))</f>
        <v>0</v>
      </c>
      <c r="Y95" s="24">
        <f>IF(OR(W95="",W95=0),"",X95/W95)</f>
        <v>0</v>
      </c>
      <c r="Z95" s="23">
        <f>IF(T95="","",SUMIFS(Analytics!$G$5:$G$154,Analytics!$D$5:$D$154,T95,Analytics!$B$5:$B$154,"&gt;="&amp;DashStart,Analytics!$B$5:$B$154,"&lt;="&amp;DashEnd))</f>
        <v>0</v>
      </c>
      <c r="AA95" s="23">
        <f>IF(T95="","",SUMIFS(Analytics!$X$5:$X$154,Analytics!$D$5:$D$154,T95,Analytics!$B$5:$B$154,"&gt;="&amp;DashStart,Analytics!$B$5:$B$154,"&lt;="&amp;DashEnd))</f>
        <v>0</v>
      </c>
      <c r="AB95" s="23">
        <f>IF(T95="","",SUMIFS(Analytics!$R$5:$R$154,Analytics!$D$5:$D$154,T95,Analytics!$B$5:$B$154,"&gt;="&amp;DashStart,Analytics!$B$5:$B$154,"&lt;="&amp;DashEnd))</f>
        <v>0</v>
      </c>
      <c r="AC95" s="25">
        <f>IF(T95="","",SUMIFS(Analytics!$U$5:$U$154,Analytics!$D$5:$D$154,T95,Analytics!$B$5:$B$154,"&gt;="&amp;DashStart,Analytics!$B$5:$B$154,"&lt;="&amp;DashEnd))</f>
        <v>0</v>
      </c>
      <c r="AD95" s="23">
        <f>IF(T95="","",COUNTIFS('Content Calendar'!$G$5:$G$604,T95,'Content Calendar'!$B$5:$B$604,"&gt;="&amp;DATE(PlanYear,1,1),'Content Calendar'!$B$5:$B$604,"&lt;="&amp;DATE(PlanYear,12,31)))</f>
        <v>0</v>
      </c>
      <c r="AE95" s="23">
        <f>IF(T95="","",SUMIFS(Analytics!$J$5:$J$154,Analytics!$D$5:$D$154,T95))</f>
        <v>0</v>
      </c>
      <c r="AF95" s="23">
        <f>IF(T95="","",SUMIFS(Analytics!$L$5:$L$154,Analytics!$D$5:$D$154,T95))</f>
        <v>0</v>
      </c>
      <c r="AG95" s="24">
        <f>IF(OR(AE95="",AE95=0),"",AF95/AE95)</f>
        <v>0</v>
      </c>
      <c r="AH95" s="23">
        <f>IF(T95="","",SUMIFS(Analytics!$X$5:$X$154,Analytics!$D$5:$D$154,T95))</f>
        <v>0</v>
      </c>
      <c r="AI95" s="32">
        <f>IF(T95="","",IF(AE95=0,"",AE95+ROW()/1000000))</f>
        <v>0</v>
      </c>
      <c r="AJ95" s="17">
        <f>IF('Content Pillars'!$B$95="","",'Content Pillars'!$B$95)</f>
        <v>0</v>
      </c>
      <c r="AK95" s="23">
        <f>IF(AJ95="","",COUNTIFS('Content Calendar'!$J$5:$J$604,AJ95,'Content Calendar'!$B$5:$B$604,"&gt;="&amp;DATE(PlanYear,1,1),'Content Calendar'!$B$5:$B$604,"&lt;="&amp;DATE(PlanYear,12,31)))</f>
        <v>0</v>
      </c>
      <c r="AL95" s="23">
        <f>IF(AJ95="","",SUMIFS(Performance!$O$5:$O$404,Performance!$H$5:$H$404,AJ95))</f>
        <v>0</v>
      </c>
      <c r="AM95" s="23">
        <f>IF(AJ95="","",SUMIFS(Performance!$Z$5:$Z$404,Performance!$H$5:$H$404,AJ95))</f>
        <v>0</v>
      </c>
      <c r="AN95" s="24">
        <f>IF(OR(AL95="",AL95=0),"",AM95/AL95)</f>
        <v>0</v>
      </c>
      <c r="AO95" s="32">
        <f>IF(AN95="","",AN95+ROW()/1000000)</f>
        <v>0</v>
      </c>
      <c r="AP95" s="17">
        <f>IF(Lists!$E95="","",Lists!$E95)</f>
        <v>0</v>
      </c>
      <c r="AQ95" s="23">
        <f>IF(AP95="","",COUNTIF(Performance!$G$5:$G$404,AP95))</f>
        <v>0</v>
      </c>
      <c r="AR95" s="23">
        <f>IF(AP95="","",SUMIFS(Performance!$O$5:$O$404,Performance!$G$5:$G$404,AP95))</f>
        <v>0</v>
      </c>
      <c r="AS95" s="23">
        <f>IF(AP95="","",SUMIFS(Performance!$Z$5:$Z$404,Performance!$G$5:$G$404,AP95))</f>
        <v>0</v>
      </c>
      <c r="AT95" s="24">
        <f>IF(OR(AR95="",AR95=0),"",AS95/AR95)</f>
        <v>0</v>
      </c>
      <c r="AU95" s="32">
        <f>IF(AQ95=0,"",IF(AT95="","",AT95+ROW()/1000000))</f>
        <v>0</v>
      </c>
      <c r="AV95" s="17">
        <f>IF(ROW()-4&gt;7,"",TEXT(DATE(2024,1,ROW()-4),"ddd"))</f>
        <v>0</v>
      </c>
      <c r="AW95" s="23">
        <f>IF(AV95="","",COUNTIF(Performance!$N$5:$N$404,AV95))</f>
        <v>0</v>
      </c>
      <c r="AX95" s="23">
        <f>IF(AV95="","",SUMIFS(Performance!$O$5:$O$404,Performance!$N$5:$N$404,AV95))</f>
        <v>0</v>
      </c>
      <c r="AY95" s="23">
        <f>IF(AV95="","",SUMIFS(Performance!$Z$5:$Z$404,Performance!$N$5:$N$404,AV95))</f>
        <v>0</v>
      </c>
      <c r="AZ95" s="24">
        <f>IF(OR(AX95="",AX95=0),"",AY95/AX95)</f>
        <v>0</v>
      </c>
      <c r="BA95" s="32">
        <f>IF(AW95=0,"",IF(AZ95="","",AZ95+ROW()/1000000))</f>
        <v>0</v>
      </c>
      <c r="BB95" s="17">
        <f>IF(Lists!$AL95="","",Lists!$AL95)</f>
        <v>0</v>
      </c>
      <c r="BC95" s="23">
        <f>IF(BB95="","",COUNTIF(Performance!$M$5:$M$404,BB95))</f>
        <v>0</v>
      </c>
      <c r="BD95" s="23">
        <f>IF(BB95="","",SUMIFS(Performance!$O$5:$O$404,Performance!$M$5:$M$404,BB95))</f>
        <v>0</v>
      </c>
      <c r="BE95" s="23">
        <f>IF(BB95="","",SUMIFS(Performance!$Z$5:$Z$404,Performance!$M$5:$M$404,BB95))</f>
        <v>0</v>
      </c>
      <c r="BF95" s="24">
        <f>IF(OR(BD95="",BD95=0),"",BE95/BD95)</f>
        <v>0</v>
      </c>
      <c r="BG95" s="32">
        <f>IF(BC95=0,"",IF(BF95="","",BF95+ROW()/1000000))</f>
        <v>0</v>
      </c>
      <c r="BH95" s="17">
        <f>IF(Performance!$C$95="","",Performance!$C$95)</f>
        <v>0</v>
      </c>
      <c r="BI95" s="17">
        <f>IF(Performance!$F$95="","",Performance!$F$95)</f>
        <v>0</v>
      </c>
      <c r="BJ95" s="17">
        <f>IF(Performance!$H$95="","",Performance!$H$95)</f>
        <v>0</v>
      </c>
      <c r="BK95" s="16">
        <f>IF(Performance!$D$95="","",Performance!$D$95)</f>
        <v>0</v>
      </c>
      <c r="BL95" s="17">
        <f>IF(Performance!$E$95="","",Performance!$E$95)</f>
        <v>0</v>
      </c>
      <c r="BM95" s="23">
        <f>IF(Performance!$O$95="","",Performance!$O$95)</f>
        <v>0</v>
      </c>
      <c r="BN95" s="24">
        <f>IF(Performance!$AA$95="","",Performance!$AA$95)</f>
        <v>0</v>
      </c>
      <c r="BO95" s="32">
        <f>IF(BH95="","",IF(BK95="","",IF(OR(BK95&lt;DashStart,BK95&gt;DashEnd),"",IF(BN95="","",BN95+ROW()/1000000))))</f>
        <v>0</v>
      </c>
      <c r="BP95" s="32">
        <f>IF(BM95="","",IF(BK95="","",IF(OR(BK95&lt;DashStart,BK95&gt;DashEnd),"",BM95+ROW()/1000000)))</f>
        <v>0</v>
      </c>
      <c r="BQ95" s="32">
        <f>IF(BH95="","",IF(BK95="","",IF(YEAR(BK95)&lt;&gt;PlanYear,"",IF(BN95="","",BN95+ROW()/1000000))))</f>
        <v>0</v>
      </c>
      <c r="BR95" s="32">
        <f>IF(BH95="","",IF(BK95="","",IF(OR(BK95&lt;RepFrom,BK95&gt;RepTo),"",IF(BN95="","",BN95+ROW()/1000000))))</f>
        <v>0</v>
      </c>
      <c r="BS95" s="32">
        <f>IF(BM95="","",IF(BK95="","",IF(YEAR(BK95)&lt;&gt;PlanYear,"",BM95+ROW()/1000000)))</f>
        <v>0</v>
      </c>
      <c r="BT95" s="17">
        <f>IF(Lists!$F95="","",Lists!$F95)</f>
        <v>0</v>
      </c>
      <c r="BU95" s="23">
        <f>IF(BT95="","",COUNTIF('Content Calendar'!$X$5:$X$604,BT95))</f>
        <v>0</v>
      </c>
      <c r="BV95" s="23">
        <f>IF(BT95="","",COUNTIFS('Content Calendar'!$X$5:$X$604,BT95,'Content Calendar'!$B$5:$B$604,"&gt;="&amp;DashStart,'Content Calendar'!$B$5:$B$604,"&lt;="&amp;DashEnd))</f>
        <v>0</v>
      </c>
      <c r="BW95" s="17">
        <f>IF(Team!$B$95="","",Team!$B$95)</f>
        <v>0</v>
      </c>
      <c r="BX95" s="23">
        <f>IF(BW95="","",COUNTIF('Content Calendar'!$W$5:$W$604,BW95))</f>
        <v>0</v>
      </c>
      <c r="BY95" s="23">
        <f>IF(BW95="","",COUNTIFS('Content Calendar'!$W$5:$W$604,BW95,'Content Calendar'!$X$5:$X$604,"&lt;&gt;Published"))</f>
        <v>0</v>
      </c>
      <c r="BZ95" s="23">
        <f>IF(BW95="","",COUNTIFS(Tasks!$C$5:$C$64,BW95,Tasks!$G$5:$G$64,"&lt;&gt;Complete"))</f>
        <v>0</v>
      </c>
      <c r="CA95" s="17">
        <f>IF(Campaigns!$B$95="","",Campaigns!$B$95)</f>
        <v>0</v>
      </c>
      <c r="CB95" s="25">
        <f>IF(Campaigns!$T$95="","",Campaigns!$T$95)</f>
        <v>0</v>
      </c>
      <c r="CC95" s="25">
        <f>IF(Campaigns!$Q$95="","",Campaigns!$Q$95)</f>
        <v>0</v>
      </c>
      <c r="CD95" s="23">
        <f>IF(Campaigns!$Y$95="","",Campaigns!$Y$95)</f>
        <v>0</v>
      </c>
      <c r="CE95" s="32">
        <f>IF(CA95="","",IF(N(CB95)&lt;=0,"",N(CB95)+ROW()/1000000))</f>
        <v>0</v>
      </c>
      <c r="CF95" s="17">
        <f>IF(Accounts!$C$95="","",Accounts!$C$95)</f>
        <v>0</v>
      </c>
      <c r="CG95" s="17">
        <f>IF(Accounts!$B$95="","",Accounts!$B$95)</f>
        <v>0</v>
      </c>
      <c r="CH95" s="23">
        <f>IF(Accounts!$J$95="","",Accounts!$J$95)</f>
        <v>0</v>
      </c>
      <c r="CI95" s="23">
        <f>IF(CF95="","",SUMIFS(Analytics!$X$5:$X$154,Analytics!$E$5:$E$154,CF95,Analytics!$B$5:$B$154,"&gt;="&amp;DashStart,Analytics!$B$5:$B$154,"&lt;="&amp;DashEnd))</f>
        <v>0</v>
      </c>
      <c r="CJ95" s="32">
        <f>IF(CH95="","",IF(CH95=0,"",CH95+ROW()/1000000))</f>
        <v>0</v>
      </c>
    </row>
    <row r="96" spans="1:88">
      <c r="A96" s="16">
        <f>IF(ROW()-4&gt;12,"",DATE(PlanYear,ROW()-4,1))</f>
        <v>0</v>
      </c>
      <c r="B96" s="16">
        <f>IF(A96="","",EOMONTH(A96,0))</f>
        <v>0</v>
      </c>
      <c r="C96" s="17">
        <f>IF(A96="","",TEXT(A96,"yyyy-mm"))</f>
        <v>0</v>
      </c>
      <c r="D96" s="17">
        <f>IF(A96="","",TEXT(A96,"mmm"))</f>
        <v>0</v>
      </c>
      <c r="E96" s="23">
        <f>IF(C96="","",COUNTIFS('Content Calendar'!$D$5:$D$604,C96))</f>
        <v>0</v>
      </c>
      <c r="F96" s="23">
        <f>IF(C96="","",COUNTIFS('Content Calendar'!$D$5:$D$604,C96,'Content Calendar'!$X$5:$X$604,"Published"))</f>
        <v>0</v>
      </c>
      <c r="G96" s="23">
        <f>IF(C96="","",SUMIFS(Analytics!$J$5:$J$154,Analytics!$C$5:$C$154,C96))</f>
        <v>0</v>
      </c>
      <c r="H96" s="23">
        <f>IF(C96="","",SUMIFS(Analytics!$K$5:$K$154,Analytics!$C$5:$C$154,C96))</f>
        <v>0</v>
      </c>
      <c r="I96" s="23">
        <f>IF(C96="","",SUMIFS(Analytics!$L$5:$L$154,Analytics!$C$5:$C$154,C96))</f>
        <v>0</v>
      </c>
      <c r="J96" s="24">
        <f>IF(OR(G96="",G96=0),"",I96/G96)</f>
        <v>0</v>
      </c>
      <c r="K96" s="23">
        <f>IF(C96="","",SUMIFS(Analytics!$G$5:$G$154,Analytics!$C$5:$C$154,C96))</f>
        <v>0</v>
      </c>
      <c r="L96" s="23">
        <f>IF(C96="","",SUMIFS(Analytics!$X$5:$X$154,Analytics!$C$5:$C$154,C96))</f>
        <v>0</v>
      </c>
      <c r="M96" s="23">
        <f>IF(C96="","",SUMIFS(Analytics!$R$5:$R$154,Analytics!$C$5:$C$154,C96))</f>
        <v>0</v>
      </c>
      <c r="N96" s="23">
        <f>IF(C96="","",SUMIFS(Analytics!$S$5:$S$154,Analytics!$C$5:$C$154,C96))</f>
        <v>0</v>
      </c>
      <c r="O96" s="23">
        <f>IF(C96="","",SUMIFS(Analytics!$T$5:$T$154,Analytics!$C$5:$C$154,C96))</f>
        <v>0</v>
      </c>
      <c r="P96" s="25">
        <f>IF(C96="","",SUMIFS(Analytics!$U$5:$U$154,Analytics!$C$5:$C$154,C96))</f>
        <v>0</v>
      </c>
      <c r="Q96" s="25">
        <f>IF(C96="","",SUMIFS(Budget!$H$5:$H$64,Budget!$C$5:$C$64,C96))</f>
        <v>0</v>
      </c>
      <c r="R96" s="25">
        <f>IF(C96="","",P96-Q96)</f>
        <v>0</v>
      </c>
      <c r="S96" s="23">
        <f>IF(C96="","",MonthlyPostTarget)</f>
        <v>0</v>
      </c>
      <c r="T96" s="17">
        <f>IF(Lists!$C96="","",Lists!$C96)</f>
        <v>0</v>
      </c>
      <c r="U96" s="23">
        <f>IF(T96="","",COUNTIFS('Content Calendar'!$G$5:$G$604,T96,'Content Calendar'!$B$5:$B$604,"&gt;="&amp;DashStart,'Content Calendar'!$B$5:$B$604,"&lt;="&amp;DashEnd))</f>
        <v>0</v>
      </c>
      <c r="V96" s="23">
        <f>IF(T96="","",COUNTIFS('Content Calendar'!$G$5:$G$604,T96,'Content Calendar'!$X$5:$X$604,"Published",'Content Calendar'!$B$5:$B$604,"&gt;="&amp;DashStart,'Content Calendar'!$B$5:$B$604,"&lt;="&amp;DashEnd))</f>
        <v>0</v>
      </c>
      <c r="W96" s="23">
        <f>IF(T96="","",SUMIFS(Analytics!$J$5:$J$154,Analytics!$D$5:$D$154,T96,Analytics!$B$5:$B$154,"&gt;="&amp;DashStart,Analytics!$B$5:$B$154,"&lt;="&amp;DashEnd))</f>
        <v>0</v>
      </c>
      <c r="X96" s="23">
        <f>IF(T96="","",SUMIFS(Analytics!$L$5:$L$154,Analytics!$D$5:$D$154,T96,Analytics!$B$5:$B$154,"&gt;="&amp;DashStart,Analytics!$B$5:$B$154,"&lt;="&amp;DashEnd))</f>
        <v>0</v>
      </c>
      <c r="Y96" s="24">
        <f>IF(OR(W96="",W96=0),"",X96/W96)</f>
        <v>0</v>
      </c>
      <c r="Z96" s="23">
        <f>IF(T96="","",SUMIFS(Analytics!$G$5:$G$154,Analytics!$D$5:$D$154,T96,Analytics!$B$5:$B$154,"&gt;="&amp;DashStart,Analytics!$B$5:$B$154,"&lt;="&amp;DashEnd))</f>
        <v>0</v>
      </c>
      <c r="AA96" s="23">
        <f>IF(T96="","",SUMIFS(Analytics!$X$5:$X$154,Analytics!$D$5:$D$154,T96,Analytics!$B$5:$B$154,"&gt;="&amp;DashStart,Analytics!$B$5:$B$154,"&lt;="&amp;DashEnd))</f>
        <v>0</v>
      </c>
      <c r="AB96" s="23">
        <f>IF(T96="","",SUMIFS(Analytics!$R$5:$R$154,Analytics!$D$5:$D$154,T96,Analytics!$B$5:$B$154,"&gt;="&amp;DashStart,Analytics!$B$5:$B$154,"&lt;="&amp;DashEnd))</f>
        <v>0</v>
      </c>
      <c r="AC96" s="25">
        <f>IF(T96="","",SUMIFS(Analytics!$U$5:$U$154,Analytics!$D$5:$D$154,T96,Analytics!$B$5:$B$154,"&gt;="&amp;DashStart,Analytics!$B$5:$B$154,"&lt;="&amp;DashEnd))</f>
        <v>0</v>
      </c>
      <c r="AD96" s="23">
        <f>IF(T96="","",COUNTIFS('Content Calendar'!$G$5:$G$604,T96,'Content Calendar'!$B$5:$B$604,"&gt;="&amp;DATE(PlanYear,1,1),'Content Calendar'!$B$5:$B$604,"&lt;="&amp;DATE(PlanYear,12,31)))</f>
        <v>0</v>
      </c>
      <c r="AE96" s="23">
        <f>IF(T96="","",SUMIFS(Analytics!$J$5:$J$154,Analytics!$D$5:$D$154,T96))</f>
        <v>0</v>
      </c>
      <c r="AF96" s="23">
        <f>IF(T96="","",SUMIFS(Analytics!$L$5:$L$154,Analytics!$D$5:$D$154,T96))</f>
        <v>0</v>
      </c>
      <c r="AG96" s="24">
        <f>IF(OR(AE96="",AE96=0),"",AF96/AE96)</f>
        <v>0</v>
      </c>
      <c r="AH96" s="23">
        <f>IF(T96="","",SUMIFS(Analytics!$X$5:$X$154,Analytics!$D$5:$D$154,T96))</f>
        <v>0</v>
      </c>
      <c r="AI96" s="32">
        <f>IF(T96="","",IF(AE96=0,"",AE96+ROW()/1000000))</f>
        <v>0</v>
      </c>
      <c r="AJ96" s="17">
        <f>IF('Content Pillars'!$B$96="","",'Content Pillars'!$B$96)</f>
        <v>0</v>
      </c>
      <c r="AK96" s="23">
        <f>IF(AJ96="","",COUNTIFS('Content Calendar'!$J$5:$J$604,AJ96,'Content Calendar'!$B$5:$B$604,"&gt;="&amp;DATE(PlanYear,1,1),'Content Calendar'!$B$5:$B$604,"&lt;="&amp;DATE(PlanYear,12,31)))</f>
        <v>0</v>
      </c>
      <c r="AL96" s="23">
        <f>IF(AJ96="","",SUMIFS(Performance!$O$5:$O$404,Performance!$H$5:$H$404,AJ96))</f>
        <v>0</v>
      </c>
      <c r="AM96" s="23">
        <f>IF(AJ96="","",SUMIFS(Performance!$Z$5:$Z$404,Performance!$H$5:$H$404,AJ96))</f>
        <v>0</v>
      </c>
      <c r="AN96" s="24">
        <f>IF(OR(AL96="",AL96=0),"",AM96/AL96)</f>
        <v>0</v>
      </c>
      <c r="AO96" s="32">
        <f>IF(AN96="","",AN96+ROW()/1000000)</f>
        <v>0</v>
      </c>
      <c r="AP96" s="17">
        <f>IF(Lists!$E96="","",Lists!$E96)</f>
        <v>0</v>
      </c>
      <c r="AQ96" s="23">
        <f>IF(AP96="","",COUNTIF(Performance!$G$5:$G$404,AP96))</f>
        <v>0</v>
      </c>
      <c r="AR96" s="23">
        <f>IF(AP96="","",SUMIFS(Performance!$O$5:$O$404,Performance!$G$5:$G$404,AP96))</f>
        <v>0</v>
      </c>
      <c r="AS96" s="23">
        <f>IF(AP96="","",SUMIFS(Performance!$Z$5:$Z$404,Performance!$G$5:$G$404,AP96))</f>
        <v>0</v>
      </c>
      <c r="AT96" s="24">
        <f>IF(OR(AR96="",AR96=0),"",AS96/AR96)</f>
        <v>0</v>
      </c>
      <c r="AU96" s="32">
        <f>IF(AQ96=0,"",IF(AT96="","",AT96+ROW()/1000000))</f>
        <v>0</v>
      </c>
      <c r="AV96" s="17">
        <f>IF(ROW()-4&gt;7,"",TEXT(DATE(2024,1,ROW()-4),"ddd"))</f>
        <v>0</v>
      </c>
      <c r="AW96" s="23">
        <f>IF(AV96="","",COUNTIF(Performance!$N$5:$N$404,AV96))</f>
        <v>0</v>
      </c>
      <c r="AX96" s="23">
        <f>IF(AV96="","",SUMIFS(Performance!$O$5:$O$404,Performance!$N$5:$N$404,AV96))</f>
        <v>0</v>
      </c>
      <c r="AY96" s="23">
        <f>IF(AV96="","",SUMIFS(Performance!$Z$5:$Z$404,Performance!$N$5:$N$404,AV96))</f>
        <v>0</v>
      </c>
      <c r="AZ96" s="24">
        <f>IF(OR(AX96="",AX96=0),"",AY96/AX96)</f>
        <v>0</v>
      </c>
      <c r="BA96" s="32">
        <f>IF(AW96=0,"",IF(AZ96="","",AZ96+ROW()/1000000))</f>
        <v>0</v>
      </c>
      <c r="BB96" s="17">
        <f>IF(Lists!$AL96="","",Lists!$AL96)</f>
        <v>0</v>
      </c>
      <c r="BC96" s="23">
        <f>IF(BB96="","",COUNTIF(Performance!$M$5:$M$404,BB96))</f>
        <v>0</v>
      </c>
      <c r="BD96" s="23">
        <f>IF(BB96="","",SUMIFS(Performance!$O$5:$O$404,Performance!$M$5:$M$404,BB96))</f>
        <v>0</v>
      </c>
      <c r="BE96" s="23">
        <f>IF(BB96="","",SUMIFS(Performance!$Z$5:$Z$404,Performance!$M$5:$M$404,BB96))</f>
        <v>0</v>
      </c>
      <c r="BF96" s="24">
        <f>IF(OR(BD96="",BD96=0),"",BE96/BD96)</f>
        <v>0</v>
      </c>
      <c r="BG96" s="32">
        <f>IF(BC96=0,"",IF(BF96="","",BF96+ROW()/1000000))</f>
        <v>0</v>
      </c>
      <c r="BH96" s="17">
        <f>IF(Performance!$C$96="","",Performance!$C$96)</f>
        <v>0</v>
      </c>
      <c r="BI96" s="17">
        <f>IF(Performance!$F$96="","",Performance!$F$96)</f>
        <v>0</v>
      </c>
      <c r="BJ96" s="17">
        <f>IF(Performance!$H$96="","",Performance!$H$96)</f>
        <v>0</v>
      </c>
      <c r="BK96" s="16">
        <f>IF(Performance!$D$96="","",Performance!$D$96)</f>
        <v>0</v>
      </c>
      <c r="BL96" s="17">
        <f>IF(Performance!$E$96="","",Performance!$E$96)</f>
        <v>0</v>
      </c>
      <c r="BM96" s="23">
        <f>IF(Performance!$O$96="","",Performance!$O$96)</f>
        <v>0</v>
      </c>
      <c r="BN96" s="24">
        <f>IF(Performance!$AA$96="","",Performance!$AA$96)</f>
        <v>0</v>
      </c>
      <c r="BO96" s="32">
        <f>IF(BH96="","",IF(BK96="","",IF(OR(BK96&lt;DashStart,BK96&gt;DashEnd),"",IF(BN96="","",BN96+ROW()/1000000))))</f>
        <v>0</v>
      </c>
      <c r="BP96" s="32">
        <f>IF(BM96="","",IF(BK96="","",IF(OR(BK96&lt;DashStart,BK96&gt;DashEnd),"",BM96+ROW()/1000000)))</f>
        <v>0</v>
      </c>
      <c r="BQ96" s="32">
        <f>IF(BH96="","",IF(BK96="","",IF(YEAR(BK96)&lt;&gt;PlanYear,"",IF(BN96="","",BN96+ROW()/1000000))))</f>
        <v>0</v>
      </c>
      <c r="BR96" s="32">
        <f>IF(BH96="","",IF(BK96="","",IF(OR(BK96&lt;RepFrom,BK96&gt;RepTo),"",IF(BN96="","",BN96+ROW()/1000000))))</f>
        <v>0</v>
      </c>
      <c r="BS96" s="32">
        <f>IF(BM96="","",IF(BK96="","",IF(YEAR(BK96)&lt;&gt;PlanYear,"",BM96+ROW()/1000000)))</f>
        <v>0</v>
      </c>
      <c r="BT96" s="17">
        <f>IF(Lists!$F96="","",Lists!$F96)</f>
        <v>0</v>
      </c>
      <c r="BU96" s="23">
        <f>IF(BT96="","",COUNTIF('Content Calendar'!$X$5:$X$604,BT96))</f>
        <v>0</v>
      </c>
      <c r="BV96" s="23">
        <f>IF(BT96="","",COUNTIFS('Content Calendar'!$X$5:$X$604,BT96,'Content Calendar'!$B$5:$B$604,"&gt;="&amp;DashStart,'Content Calendar'!$B$5:$B$604,"&lt;="&amp;DashEnd))</f>
        <v>0</v>
      </c>
      <c r="BW96" s="17">
        <f>IF(Team!$B$96="","",Team!$B$96)</f>
        <v>0</v>
      </c>
      <c r="BX96" s="23">
        <f>IF(BW96="","",COUNTIF('Content Calendar'!$W$5:$W$604,BW96))</f>
        <v>0</v>
      </c>
      <c r="BY96" s="23">
        <f>IF(BW96="","",COUNTIFS('Content Calendar'!$W$5:$W$604,BW96,'Content Calendar'!$X$5:$X$604,"&lt;&gt;Published"))</f>
        <v>0</v>
      </c>
      <c r="BZ96" s="23">
        <f>IF(BW96="","",COUNTIFS(Tasks!$C$5:$C$64,BW96,Tasks!$G$5:$G$64,"&lt;&gt;Complete"))</f>
        <v>0</v>
      </c>
      <c r="CA96" s="17">
        <f>IF(Campaigns!$B$96="","",Campaigns!$B$96)</f>
        <v>0</v>
      </c>
      <c r="CB96" s="25">
        <f>IF(Campaigns!$T$96="","",Campaigns!$T$96)</f>
        <v>0</v>
      </c>
      <c r="CC96" s="25">
        <f>IF(Campaigns!$Q$96="","",Campaigns!$Q$96)</f>
        <v>0</v>
      </c>
      <c r="CD96" s="23">
        <f>IF(Campaigns!$Y$96="","",Campaigns!$Y$96)</f>
        <v>0</v>
      </c>
      <c r="CE96" s="32">
        <f>IF(CA96="","",IF(N(CB96)&lt;=0,"",N(CB96)+ROW()/1000000))</f>
        <v>0</v>
      </c>
      <c r="CF96" s="17">
        <f>IF(Accounts!$C$96="","",Accounts!$C$96)</f>
        <v>0</v>
      </c>
      <c r="CG96" s="17">
        <f>IF(Accounts!$B$96="","",Accounts!$B$96)</f>
        <v>0</v>
      </c>
      <c r="CH96" s="23">
        <f>IF(Accounts!$J$96="","",Accounts!$J$96)</f>
        <v>0</v>
      </c>
      <c r="CI96" s="23">
        <f>IF(CF96="","",SUMIFS(Analytics!$X$5:$X$154,Analytics!$E$5:$E$154,CF96,Analytics!$B$5:$B$154,"&gt;="&amp;DashStart,Analytics!$B$5:$B$154,"&lt;="&amp;DashEnd))</f>
        <v>0</v>
      </c>
      <c r="CJ96" s="32">
        <f>IF(CH96="","",IF(CH96=0,"",CH96+ROW()/1000000))</f>
        <v>0</v>
      </c>
    </row>
    <row r="97" spans="1:88">
      <c r="A97" s="16">
        <f>IF(ROW()-4&gt;12,"",DATE(PlanYear,ROW()-4,1))</f>
        <v>0</v>
      </c>
      <c r="B97" s="16">
        <f>IF(A97="","",EOMONTH(A97,0))</f>
        <v>0</v>
      </c>
      <c r="C97" s="17">
        <f>IF(A97="","",TEXT(A97,"yyyy-mm"))</f>
        <v>0</v>
      </c>
      <c r="D97" s="17">
        <f>IF(A97="","",TEXT(A97,"mmm"))</f>
        <v>0</v>
      </c>
      <c r="E97" s="23">
        <f>IF(C97="","",COUNTIFS('Content Calendar'!$D$5:$D$604,C97))</f>
        <v>0</v>
      </c>
      <c r="F97" s="23">
        <f>IF(C97="","",COUNTIFS('Content Calendar'!$D$5:$D$604,C97,'Content Calendar'!$X$5:$X$604,"Published"))</f>
        <v>0</v>
      </c>
      <c r="G97" s="23">
        <f>IF(C97="","",SUMIFS(Analytics!$J$5:$J$154,Analytics!$C$5:$C$154,C97))</f>
        <v>0</v>
      </c>
      <c r="H97" s="23">
        <f>IF(C97="","",SUMIFS(Analytics!$K$5:$K$154,Analytics!$C$5:$C$154,C97))</f>
        <v>0</v>
      </c>
      <c r="I97" s="23">
        <f>IF(C97="","",SUMIFS(Analytics!$L$5:$L$154,Analytics!$C$5:$C$154,C97))</f>
        <v>0</v>
      </c>
      <c r="J97" s="24">
        <f>IF(OR(G97="",G97=0),"",I97/G97)</f>
        <v>0</v>
      </c>
      <c r="K97" s="23">
        <f>IF(C97="","",SUMIFS(Analytics!$G$5:$G$154,Analytics!$C$5:$C$154,C97))</f>
        <v>0</v>
      </c>
      <c r="L97" s="23">
        <f>IF(C97="","",SUMIFS(Analytics!$X$5:$X$154,Analytics!$C$5:$C$154,C97))</f>
        <v>0</v>
      </c>
      <c r="M97" s="23">
        <f>IF(C97="","",SUMIFS(Analytics!$R$5:$R$154,Analytics!$C$5:$C$154,C97))</f>
        <v>0</v>
      </c>
      <c r="N97" s="23">
        <f>IF(C97="","",SUMIFS(Analytics!$S$5:$S$154,Analytics!$C$5:$C$154,C97))</f>
        <v>0</v>
      </c>
      <c r="O97" s="23">
        <f>IF(C97="","",SUMIFS(Analytics!$T$5:$T$154,Analytics!$C$5:$C$154,C97))</f>
        <v>0</v>
      </c>
      <c r="P97" s="25">
        <f>IF(C97="","",SUMIFS(Analytics!$U$5:$U$154,Analytics!$C$5:$C$154,C97))</f>
        <v>0</v>
      </c>
      <c r="Q97" s="25">
        <f>IF(C97="","",SUMIFS(Budget!$H$5:$H$64,Budget!$C$5:$C$64,C97))</f>
        <v>0</v>
      </c>
      <c r="R97" s="25">
        <f>IF(C97="","",P97-Q97)</f>
        <v>0</v>
      </c>
      <c r="S97" s="23">
        <f>IF(C97="","",MonthlyPostTarget)</f>
        <v>0</v>
      </c>
      <c r="T97" s="17">
        <f>IF(Lists!$C97="","",Lists!$C97)</f>
        <v>0</v>
      </c>
      <c r="U97" s="23">
        <f>IF(T97="","",COUNTIFS('Content Calendar'!$G$5:$G$604,T97,'Content Calendar'!$B$5:$B$604,"&gt;="&amp;DashStart,'Content Calendar'!$B$5:$B$604,"&lt;="&amp;DashEnd))</f>
        <v>0</v>
      </c>
      <c r="V97" s="23">
        <f>IF(T97="","",COUNTIFS('Content Calendar'!$G$5:$G$604,T97,'Content Calendar'!$X$5:$X$604,"Published",'Content Calendar'!$B$5:$B$604,"&gt;="&amp;DashStart,'Content Calendar'!$B$5:$B$604,"&lt;="&amp;DashEnd))</f>
        <v>0</v>
      </c>
      <c r="W97" s="23">
        <f>IF(T97="","",SUMIFS(Analytics!$J$5:$J$154,Analytics!$D$5:$D$154,T97,Analytics!$B$5:$B$154,"&gt;="&amp;DashStart,Analytics!$B$5:$B$154,"&lt;="&amp;DashEnd))</f>
        <v>0</v>
      </c>
      <c r="X97" s="23">
        <f>IF(T97="","",SUMIFS(Analytics!$L$5:$L$154,Analytics!$D$5:$D$154,T97,Analytics!$B$5:$B$154,"&gt;="&amp;DashStart,Analytics!$B$5:$B$154,"&lt;="&amp;DashEnd))</f>
        <v>0</v>
      </c>
      <c r="Y97" s="24">
        <f>IF(OR(W97="",W97=0),"",X97/W97)</f>
        <v>0</v>
      </c>
      <c r="Z97" s="23">
        <f>IF(T97="","",SUMIFS(Analytics!$G$5:$G$154,Analytics!$D$5:$D$154,T97,Analytics!$B$5:$B$154,"&gt;="&amp;DashStart,Analytics!$B$5:$B$154,"&lt;="&amp;DashEnd))</f>
        <v>0</v>
      </c>
      <c r="AA97" s="23">
        <f>IF(T97="","",SUMIFS(Analytics!$X$5:$X$154,Analytics!$D$5:$D$154,T97,Analytics!$B$5:$B$154,"&gt;="&amp;DashStart,Analytics!$B$5:$B$154,"&lt;="&amp;DashEnd))</f>
        <v>0</v>
      </c>
      <c r="AB97" s="23">
        <f>IF(T97="","",SUMIFS(Analytics!$R$5:$R$154,Analytics!$D$5:$D$154,T97,Analytics!$B$5:$B$154,"&gt;="&amp;DashStart,Analytics!$B$5:$B$154,"&lt;="&amp;DashEnd))</f>
        <v>0</v>
      </c>
      <c r="AC97" s="25">
        <f>IF(T97="","",SUMIFS(Analytics!$U$5:$U$154,Analytics!$D$5:$D$154,T97,Analytics!$B$5:$B$154,"&gt;="&amp;DashStart,Analytics!$B$5:$B$154,"&lt;="&amp;DashEnd))</f>
        <v>0</v>
      </c>
      <c r="AD97" s="23">
        <f>IF(T97="","",COUNTIFS('Content Calendar'!$G$5:$G$604,T97,'Content Calendar'!$B$5:$B$604,"&gt;="&amp;DATE(PlanYear,1,1),'Content Calendar'!$B$5:$B$604,"&lt;="&amp;DATE(PlanYear,12,31)))</f>
        <v>0</v>
      </c>
      <c r="AE97" s="23">
        <f>IF(T97="","",SUMIFS(Analytics!$J$5:$J$154,Analytics!$D$5:$D$154,T97))</f>
        <v>0</v>
      </c>
      <c r="AF97" s="23">
        <f>IF(T97="","",SUMIFS(Analytics!$L$5:$L$154,Analytics!$D$5:$D$154,T97))</f>
        <v>0</v>
      </c>
      <c r="AG97" s="24">
        <f>IF(OR(AE97="",AE97=0),"",AF97/AE97)</f>
        <v>0</v>
      </c>
      <c r="AH97" s="23">
        <f>IF(T97="","",SUMIFS(Analytics!$X$5:$X$154,Analytics!$D$5:$D$154,T97))</f>
        <v>0</v>
      </c>
      <c r="AI97" s="32">
        <f>IF(T97="","",IF(AE97=0,"",AE97+ROW()/1000000))</f>
        <v>0</v>
      </c>
      <c r="AJ97" s="17">
        <f>IF('Content Pillars'!$B$97="","",'Content Pillars'!$B$97)</f>
        <v>0</v>
      </c>
      <c r="AK97" s="23">
        <f>IF(AJ97="","",COUNTIFS('Content Calendar'!$J$5:$J$604,AJ97,'Content Calendar'!$B$5:$B$604,"&gt;="&amp;DATE(PlanYear,1,1),'Content Calendar'!$B$5:$B$604,"&lt;="&amp;DATE(PlanYear,12,31)))</f>
        <v>0</v>
      </c>
      <c r="AL97" s="23">
        <f>IF(AJ97="","",SUMIFS(Performance!$O$5:$O$404,Performance!$H$5:$H$404,AJ97))</f>
        <v>0</v>
      </c>
      <c r="AM97" s="23">
        <f>IF(AJ97="","",SUMIFS(Performance!$Z$5:$Z$404,Performance!$H$5:$H$404,AJ97))</f>
        <v>0</v>
      </c>
      <c r="AN97" s="24">
        <f>IF(OR(AL97="",AL97=0),"",AM97/AL97)</f>
        <v>0</v>
      </c>
      <c r="AO97" s="32">
        <f>IF(AN97="","",AN97+ROW()/1000000)</f>
        <v>0</v>
      </c>
      <c r="AP97" s="17">
        <f>IF(Lists!$E97="","",Lists!$E97)</f>
        <v>0</v>
      </c>
      <c r="AQ97" s="23">
        <f>IF(AP97="","",COUNTIF(Performance!$G$5:$G$404,AP97))</f>
        <v>0</v>
      </c>
      <c r="AR97" s="23">
        <f>IF(AP97="","",SUMIFS(Performance!$O$5:$O$404,Performance!$G$5:$G$404,AP97))</f>
        <v>0</v>
      </c>
      <c r="AS97" s="23">
        <f>IF(AP97="","",SUMIFS(Performance!$Z$5:$Z$404,Performance!$G$5:$G$404,AP97))</f>
        <v>0</v>
      </c>
      <c r="AT97" s="24">
        <f>IF(OR(AR97="",AR97=0),"",AS97/AR97)</f>
        <v>0</v>
      </c>
      <c r="AU97" s="32">
        <f>IF(AQ97=0,"",IF(AT97="","",AT97+ROW()/1000000))</f>
        <v>0</v>
      </c>
      <c r="AV97" s="17">
        <f>IF(ROW()-4&gt;7,"",TEXT(DATE(2024,1,ROW()-4),"ddd"))</f>
        <v>0</v>
      </c>
      <c r="AW97" s="23">
        <f>IF(AV97="","",COUNTIF(Performance!$N$5:$N$404,AV97))</f>
        <v>0</v>
      </c>
      <c r="AX97" s="23">
        <f>IF(AV97="","",SUMIFS(Performance!$O$5:$O$404,Performance!$N$5:$N$404,AV97))</f>
        <v>0</v>
      </c>
      <c r="AY97" s="23">
        <f>IF(AV97="","",SUMIFS(Performance!$Z$5:$Z$404,Performance!$N$5:$N$404,AV97))</f>
        <v>0</v>
      </c>
      <c r="AZ97" s="24">
        <f>IF(OR(AX97="",AX97=0),"",AY97/AX97)</f>
        <v>0</v>
      </c>
      <c r="BA97" s="32">
        <f>IF(AW97=0,"",IF(AZ97="","",AZ97+ROW()/1000000))</f>
        <v>0</v>
      </c>
      <c r="BB97" s="17">
        <f>IF(Lists!$AL97="","",Lists!$AL97)</f>
        <v>0</v>
      </c>
      <c r="BC97" s="23">
        <f>IF(BB97="","",COUNTIF(Performance!$M$5:$M$404,BB97))</f>
        <v>0</v>
      </c>
      <c r="BD97" s="23">
        <f>IF(BB97="","",SUMIFS(Performance!$O$5:$O$404,Performance!$M$5:$M$404,BB97))</f>
        <v>0</v>
      </c>
      <c r="BE97" s="23">
        <f>IF(BB97="","",SUMIFS(Performance!$Z$5:$Z$404,Performance!$M$5:$M$404,BB97))</f>
        <v>0</v>
      </c>
      <c r="BF97" s="24">
        <f>IF(OR(BD97="",BD97=0),"",BE97/BD97)</f>
        <v>0</v>
      </c>
      <c r="BG97" s="32">
        <f>IF(BC97=0,"",IF(BF97="","",BF97+ROW()/1000000))</f>
        <v>0</v>
      </c>
      <c r="BH97" s="17">
        <f>IF(Performance!$C$97="","",Performance!$C$97)</f>
        <v>0</v>
      </c>
      <c r="BI97" s="17">
        <f>IF(Performance!$F$97="","",Performance!$F$97)</f>
        <v>0</v>
      </c>
      <c r="BJ97" s="17">
        <f>IF(Performance!$H$97="","",Performance!$H$97)</f>
        <v>0</v>
      </c>
      <c r="BK97" s="16">
        <f>IF(Performance!$D$97="","",Performance!$D$97)</f>
        <v>0</v>
      </c>
      <c r="BL97" s="17">
        <f>IF(Performance!$E$97="","",Performance!$E$97)</f>
        <v>0</v>
      </c>
      <c r="BM97" s="23">
        <f>IF(Performance!$O$97="","",Performance!$O$97)</f>
        <v>0</v>
      </c>
      <c r="BN97" s="24">
        <f>IF(Performance!$AA$97="","",Performance!$AA$97)</f>
        <v>0</v>
      </c>
      <c r="BO97" s="32">
        <f>IF(BH97="","",IF(BK97="","",IF(OR(BK97&lt;DashStart,BK97&gt;DashEnd),"",IF(BN97="","",BN97+ROW()/1000000))))</f>
        <v>0</v>
      </c>
      <c r="BP97" s="32">
        <f>IF(BM97="","",IF(BK97="","",IF(OR(BK97&lt;DashStart,BK97&gt;DashEnd),"",BM97+ROW()/1000000)))</f>
        <v>0</v>
      </c>
      <c r="BQ97" s="32">
        <f>IF(BH97="","",IF(BK97="","",IF(YEAR(BK97)&lt;&gt;PlanYear,"",IF(BN97="","",BN97+ROW()/1000000))))</f>
        <v>0</v>
      </c>
      <c r="BR97" s="32">
        <f>IF(BH97="","",IF(BK97="","",IF(OR(BK97&lt;RepFrom,BK97&gt;RepTo),"",IF(BN97="","",BN97+ROW()/1000000))))</f>
        <v>0</v>
      </c>
      <c r="BS97" s="32">
        <f>IF(BM97="","",IF(BK97="","",IF(YEAR(BK97)&lt;&gt;PlanYear,"",BM97+ROW()/1000000)))</f>
        <v>0</v>
      </c>
      <c r="BT97" s="17">
        <f>IF(Lists!$F97="","",Lists!$F97)</f>
        <v>0</v>
      </c>
      <c r="BU97" s="23">
        <f>IF(BT97="","",COUNTIF('Content Calendar'!$X$5:$X$604,BT97))</f>
        <v>0</v>
      </c>
      <c r="BV97" s="23">
        <f>IF(BT97="","",COUNTIFS('Content Calendar'!$X$5:$X$604,BT97,'Content Calendar'!$B$5:$B$604,"&gt;="&amp;DashStart,'Content Calendar'!$B$5:$B$604,"&lt;="&amp;DashEnd))</f>
        <v>0</v>
      </c>
      <c r="BW97" s="17">
        <f>IF(Team!$B$97="","",Team!$B$97)</f>
        <v>0</v>
      </c>
      <c r="BX97" s="23">
        <f>IF(BW97="","",COUNTIF('Content Calendar'!$W$5:$W$604,BW97))</f>
        <v>0</v>
      </c>
      <c r="BY97" s="23">
        <f>IF(BW97="","",COUNTIFS('Content Calendar'!$W$5:$W$604,BW97,'Content Calendar'!$X$5:$X$604,"&lt;&gt;Published"))</f>
        <v>0</v>
      </c>
      <c r="BZ97" s="23">
        <f>IF(BW97="","",COUNTIFS(Tasks!$C$5:$C$64,BW97,Tasks!$G$5:$G$64,"&lt;&gt;Complete"))</f>
        <v>0</v>
      </c>
      <c r="CA97" s="17">
        <f>IF(Campaigns!$B$97="","",Campaigns!$B$97)</f>
        <v>0</v>
      </c>
      <c r="CB97" s="25">
        <f>IF(Campaigns!$T$97="","",Campaigns!$T$97)</f>
        <v>0</v>
      </c>
      <c r="CC97" s="25">
        <f>IF(Campaigns!$Q$97="","",Campaigns!$Q$97)</f>
        <v>0</v>
      </c>
      <c r="CD97" s="23">
        <f>IF(Campaigns!$Y$97="","",Campaigns!$Y$97)</f>
        <v>0</v>
      </c>
      <c r="CE97" s="32">
        <f>IF(CA97="","",IF(N(CB97)&lt;=0,"",N(CB97)+ROW()/1000000))</f>
        <v>0</v>
      </c>
      <c r="CF97" s="17">
        <f>IF(Accounts!$C$97="","",Accounts!$C$97)</f>
        <v>0</v>
      </c>
      <c r="CG97" s="17">
        <f>IF(Accounts!$B$97="","",Accounts!$B$97)</f>
        <v>0</v>
      </c>
      <c r="CH97" s="23">
        <f>IF(Accounts!$J$97="","",Accounts!$J$97)</f>
        <v>0</v>
      </c>
      <c r="CI97" s="23">
        <f>IF(CF97="","",SUMIFS(Analytics!$X$5:$X$154,Analytics!$E$5:$E$154,CF97,Analytics!$B$5:$B$154,"&gt;="&amp;DashStart,Analytics!$B$5:$B$154,"&lt;="&amp;DashEnd))</f>
        <v>0</v>
      </c>
      <c r="CJ97" s="32">
        <f>IF(CH97="","",IF(CH97=0,"",CH97+ROW()/1000000))</f>
        <v>0</v>
      </c>
    </row>
    <row r="98" spans="1:88">
      <c r="A98" s="16">
        <f>IF(ROW()-4&gt;12,"",DATE(PlanYear,ROW()-4,1))</f>
        <v>0</v>
      </c>
      <c r="B98" s="16">
        <f>IF(A98="","",EOMONTH(A98,0))</f>
        <v>0</v>
      </c>
      <c r="C98" s="17">
        <f>IF(A98="","",TEXT(A98,"yyyy-mm"))</f>
        <v>0</v>
      </c>
      <c r="D98" s="17">
        <f>IF(A98="","",TEXT(A98,"mmm"))</f>
        <v>0</v>
      </c>
      <c r="E98" s="23">
        <f>IF(C98="","",COUNTIFS('Content Calendar'!$D$5:$D$604,C98))</f>
        <v>0</v>
      </c>
      <c r="F98" s="23">
        <f>IF(C98="","",COUNTIFS('Content Calendar'!$D$5:$D$604,C98,'Content Calendar'!$X$5:$X$604,"Published"))</f>
        <v>0</v>
      </c>
      <c r="G98" s="23">
        <f>IF(C98="","",SUMIFS(Analytics!$J$5:$J$154,Analytics!$C$5:$C$154,C98))</f>
        <v>0</v>
      </c>
      <c r="H98" s="23">
        <f>IF(C98="","",SUMIFS(Analytics!$K$5:$K$154,Analytics!$C$5:$C$154,C98))</f>
        <v>0</v>
      </c>
      <c r="I98" s="23">
        <f>IF(C98="","",SUMIFS(Analytics!$L$5:$L$154,Analytics!$C$5:$C$154,C98))</f>
        <v>0</v>
      </c>
      <c r="J98" s="24">
        <f>IF(OR(G98="",G98=0),"",I98/G98)</f>
        <v>0</v>
      </c>
      <c r="K98" s="23">
        <f>IF(C98="","",SUMIFS(Analytics!$G$5:$G$154,Analytics!$C$5:$C$154,C98))</f>
        <v>0</v>
      </c>
      <c r="L98" s="23">
        <f>IF(C98="","",SUMIFS(Analytics!$X$5:$X$154,Analytics!$C$5:$C$154,C98))</f>
        <v>0</v>
      </c>
      <c r="M98" s="23">
        <f>IF(C98="","",SUMIFS(Analytics!$R$5:$R$154,Analytics!$C$5:$C$154,C98))</f>
        <v>0</v>
      </c>
      <c r="N98" s="23">
        <f>IF(C98="","",SUMIFS(Analytics!$S$5:$S$154,Analytics!$C$5:$C$154,C98))</f>
        <v>0</v>
      </c>
      <c r="O98" s="23">
        <f>IF(C98="","",SUMIFS(Analytics!$T$5:$T$154,Analytics!$C$5:$C$154,C98))</f>
        <v>0</v>
      </c>
      <c r="P98" s="25">
        <f>IF(C98="","",SUMIFS(Analytics!$U$5:$U$154,Analytics!$C$5:$C$154,C98))</f>
        <v>0</v>
      </c>
      <c r="Q98" s="25">
        <f>IF(C98="","",SUMIFS(Budget!$H$5:$H$64,Budget!$C$5:$C$64,C98))</f>
        <v>0</v>
      </c>
      <c r="R98" s="25">
        <f>IF(C98="","",P98-Q98)</f>
        <v>0</v>
      </c>
      <c r="S98" s="23">
        <f>IF(C98="","",MonthlyPostTarget)</f>
        <v>0</v>
      </c>
      <c r="T98" s="17">
        <f>IF(Lists!$C98="","",Lists!$C98)</f>
        <v>0</v>
      </c>
      <c r="U98" s="23">
        <f>IF(T98="","",COUNTIFS('Content Calendar'!$G$5:$G$604,T98,'Content Calendar'!$B$5:$B$604,"&gt;="&amp;DashStart,'Content Calendar'!$B$5:$B$604,"&lt;="&amp;DashEnd))</f>
        <v>0</v>
      </c>
      <c r="V98" s="23">
        <f>IF(T98="","",COUNTIFS('Content Calendar'!$G$5:$G$604,T98,'Content Calendar'!$X$5:$X$604,"Published",'Content Calendar'!$B$5:$B$604,"&gt;="&amp;DashStart,'Content Calendar'!$B$5:$B$604,"&lt;="&amp;DashEnd))</f>
        <v>0</v>
      </c>
      <c r="W98" s="23">
        <f>IF(T98="","",SUMIFS(Analytics!$J$5:$J$154,Analytics!$D$5:$D$154,T98,Analytics!$B$5:$B$154,"&gt;="&amp;DashStart,Analytics!$B$5:$B$154,"&lt;="&amp;DashEnd))</f>
        <v>0</v>
      </c>
      <c r="X98" s="23">
        <f>IF(T98="","",SUMIFS(Analytics!$L$5:$L$154,Analytics!$D$5:$D$154,T98,Analytics!$B$5:$B$154,"&gt;="&amp;DashStart,Analytics!$B$5:$B$154,"&lt;="&amp;DashEnd))</f>
        <v>0</v>
      </c>
      <c r="Y98" s="24">
        <f>IF(OR(W98="",W98=0),"",X98/W98)</f>
        <v>0</v>
      </c>
      <c r="Z98" s="23">
        <f>IF(T98="","",SUMIFS(Analytics!$G$5:$G$154,Analytics!$D$5:$D$154,T98,Analytics!$B$5:$B$154,"&gt;="&amp;DashStart,Analytics!$B$5:$B$154,"&lt;="&amp;DashEnd))</f>
        <v>0</v>
      </c>
      <c r="AA98" s="23">
        <f>IF(T98="","",SUMIFS(Analytics!$X$5:$X$154,Analytics!$D$5:$D$154,T98,Analytics!$B$5:$B$154,"&gt;="&amp;DashStart,Analytics!$B$5:$B$154,"&lt;="&amp;DashEnd))</f>
        <v>0</v>
      </c>
      <c r="AB98" s="23">
        <f>IF(T98="","",SUMIFS(Analytics!$R$5:$R$154,Analytics!$D$5:$D$154,T98,Analytics!$B$5:$B$154,"&gt;="&amp;DashStart,Analytics!$B$5:$B$154,"&lt;="&amp;DashEnd))</f>
        <v>0</v>
      </c>
      <c r="AC98" s="25">
        <f>IF(T98="","",SUMIFS(Analytics!$U$5:$U$154,Analytics!$D$5:$D$154,T98,Analytics!$B$5:$B$154,"&gt;="&amp;DashStart,Analytics!$B$5:$B$154,"&lt;="&amp;DashEnd))</f>
        <v>0</v>
      </c>
      <c r="AD98" s="23">
        <f>IF(T98="","",COUNTIFS('Content Calendar'!$G$5:$G$604,T98,'Content Calendar'!$B$5:$B$604,"&gt;="&amp;DATE(PlanYear,1,1),'Content Calendar'!$B$5:$B$604,"&lt;="&amp;DATE(PlanYear,12,31)))</f>
        <v>0</v>
      </c>
      <c r="AE98" s="23">
        <f>IF(T98="","",SUMIFS(Analytics!$J$5:$J$154,Analytics!$D$5:$D$154,T98))</f>
        <v>0</v>
      </c>
      <c r="AF98" s="23">
        <f>IF(T98="","",SUMIFS(Analytics!$L$5:$L$154,Analytics!$D$5:$D$154,T98))</f>
        <v>0</v>
      </c>
      <c r="AG98" s="24">
        <f>IF(OR(AE98="",AE98=0),"",AF98/AE98)</f>
        <v>0</v>
      </c>
      <c r="AH98" s="23">
        <f>IF(T98="","",SUMIFS(Analytics!$X$5:$X$154,Analytics!$D$5:$D$154,T98))</f>
        <v>0</v>
      </c>
      <c r="AI98" s="32">
        <f>IF(T98="","",IF(AE98=0,"",AE98+ROW()/1000000))</f>
        <v>0</v>
      </c>
      <c r="AJ98" s="17">
        <f>IF('Content Pillars'!$B$98="","",'Content Pillars'!$B$98)</f>
        <v>0</v>
      </c>
      <c r="AK98" s="23">
        <f>IF(AJ98="","",COUNTIFS('Content Calendar'!$J$5:$J$604,AJ98,'Content Calendar'!$B$5:$B$604,"&gt;="&amp;DATE(PlanYear,1,1),'Content Calendar'!$B$5:$B$604,"&lt;="&amp;DATE(PlanYear,12,31)))</f>
        <v>0</v>
      </c>
      <c r="AL98" s="23">
        <f>IF(AJ98="","",SUMIFS(Performance!$O$5:$O$404,Performance!$H$5:$H$404,AJ98))</f>
        <v>0</v>
      </c>
      <c r="AM98" s="23">
        <f>IF(AJ98="","",SUMIFS(Performance!$Z$5:$Z$404,Performance!$H$5:$H$404,AJ98))</f>
        <v>0</v>
      </c>
      <c r="AN98" s="24">
        <f>IF(OR(AL98="",AL98=0),"",AM98/AL98)</f>
        <v>0</v>
      </c>
      <c r="AO98" s="32">
        <f>IF(AN98="","",AN98+ROW()/1000000)</f>
        <v>0</v>
      </c>
      <c r="AP98" s="17">
        <f>IF(Lists!$E98="","",Lists!$E98)</f>
        <v>0</v>
      </c>
      <c r="AQ98" s="23">
        <f>IF(AP98="","",COUNTIF(Performance!$G$5:$G$404,AP98))</f>
        <v>0</v>
      </c>
      <c r="AR98" s="23">
        <f>IF(AP98="","",SUMIFS(Performance!$O$5:$O$404,Performance!$G$5:$G$404,AP98))</f>
        <v>0</v>
      </c>
      <c r="AS98" s="23">
        <f>IF(AP98="","",SUMIFS(Performance!$Z$5:$Z$404,Performance!$G$5:$G$404,AP98))</f>
        <v>0</v>
      </c>
      <c r="AT98" s="24">
        <f>IF(OR(AR98="",AR98=0),"",AS98/AR98)</f>
        <v>0</v>
      </c>
      <c r="AU98" s="32">
        <f>IF(AQ98=0,"",IF(AT98="","",AT98+ROW()/1000000))</f>
        <v>0</v>
      </c>
      <c r="AV98" s="17">
        <f>IF(ROW()-4&gt;7,"",TEXT(DATE(2024,1,ROW()-4),"ddd"))</f>
        <v>0</v>
      </c>
      <c r="AW98" s="23">
        <f>IF(AV98="","",COUNTIF(Performance!$N$5:$N$404,AV98))</f>
        <v>0</v>
      </c>
      <c r="AX98" s="23">
        <f>IF(AV98="","",SUMIFS(Performance!$O$5:$O$404,Performance!$N$5:$N$404,AV98))</f>
        <v>0</v>
      </c>
      <c r="AY98" s="23">
        <f>IF(AV98="","",SUMIFS(Performance!$Z$5:$Z$404,Performance!$N$5:$N$404,AV98))</f>
        <v>0</v>
      </c>
      <c r="AZ98" s="24">
        <f>IF(OR(AX98="",AX98=0),"",AY98/AX98)</f>
        <v>0</v>
      </c>
      <c r="BA98" s="32">
        <f>IF(AW98=0,"",IF(AZ98="","",AZ98+ROW()/1000000))</f>
        <v>0</v>
      </c>
      <c r="BB98" s="17">
        <f>IF(Lists!$AL98="","",Lists!$AL98)</f>
        <v>0</v>
      </c>
      <c r="BC98" s="23">
        <f>IF(BB98="","",COUNTIF(Performance!$M$5:$M$404,BB98))</f>
        <v>0</v>
      </c>
      <c r="BD98" s="23">
        <f>IF(BB98="","",SUMIFS(Performance!$O$5:$O$404,Performance!$M$5:$M$404,BB98))</f>
        <v>0</v>
      </c>
      <c r="BE98" s="23">
        <f>IF(BB98="","",SUMIFS(Performance!$Z$5:$Z$404,Performance!$M$5:$M$404,BB98))</f>
        <v>0</v>
      </c>
      <c r="BF98" s="24">
        <f>IF(OR(BD98="",BD98=0),"",BE98/BD98)</f>
        <v>0</v>
      </c>
      <c r="BG98" s="32">
        <f>IF(BC98=0,"",IF(BF98="","",BF98+ROW()/1000000))</f>
        <v>0</v>
      </c>
      <c r="BH98" s="17">
        <f>IF(Performance!$C$98="","",Performance!$C$98)</f>
        <v>0</v>
      </c>
      <c r="BI98" s="17">
        <f>IF(Performance!$F$98="","",Performance!$F$98)</f>
        <v>0</v>
      </c>
      <c r="BJ98" s="17">
        <f>IF(Performance!$H$98="","",Performance!$H$98)</f>
        <v>0</v>
      </c>
      <c r="BK98" s="16">
        <f>IF(Performance!$D$98="","",Performance!$D$98)</f>
        <v>0</v>
      </c>
      <c r="BL98" s="17">
        <f>IF(Performance!$E$98="","",Performance!$E$98)</f>
        <v>0</v>
      </c>
      <c r="BM98" s="23">
        <f>IF(Performance!$O$98="","",Performance!$O$98)</f>
        <v>0</v>
      </c>
      <c r="BN98" s="24">
        <f>IF(Performance!$AA$98="","",Performance!$AA$98)</f>
        <v>0</v>
      </c>
      <c r="BO98" s="32">
        <f>IF(BH98="","",IF(BK98="","",IF(OR(BK98&lt;DashStart,BK98&gt;DashEnd),"",IF(BN98="","",BN98+ROW()/1000000))))</f>
        <v>0</v>
      </c>
      <c r="BP98" s="32">
        <f>IF(BM98="","",IF(BK98="","",IF(OR(BK98&lt;DashStart,BK98&gt;DashEnd),"",BM98+ROW()/1000000)))</f>
        <v>0</v>
      </c>
      <c r="BQ98" s="32">
        <f>IF(BH98="","",IF(BK98="","",IF(YEAR(BK98)&lt;&gt;PlanYear,"",IF(BN98="","",BN98+ROW()/1000000))))</f>
        <v>0</v>
      </c>
      <c r="BR98" s="32">
        <f>IF(BH98="","",IF(BK98="","",IF(OR(BK98&lt;RepFrom,BK98&gt;RepTo),"",IF(BN98="","",BN98+ROW()/1000000))))</f>
        <v>0</v>
      </c>
      <c r="BS98" s="32">
        <f>IF(BM98="","",IF(BK98="","",IF(YEAR(BK98)&lt;&gt;PlanYear,"",BM98+ROW()/1000000)))</f>
        <v>0</v>
      </c>
      <c r="BT98" s="17">
        <f>IF(Lists!$F98="","",Lists!$F98)</f>
        <v>0</v>
      </c>
      <c r="BU98" s="23">
        <f>IF(BT98="","",COUNTIF('Content Calendar'!$X$5:$X$604,BT98))</f>
        <v>0</v>
      </c>
      <c r="BV98" s="23">
        <f>IF(BT98="","",COUNTIFS('Content Calendar'!$X$5:$X$604,BT98,'Content Calendar'!$B$5:$B$604,"&gt;="&amp;DashStart,'Content Calendar'!$B$5:$B$604,"&lt;="&amp;DashEnd))</f>
        <v>0</v>
      </c>
      <c r="BW98" s="17">
        <f>IF(Team!$B$98="","",Team!$B$98)</f>
        <v>0</v>
      </c>
      <c r="BX98" s="23">
        <f>IF(BW98="","",COUNTIF('Content Calendar'!$W$5:$W$604,BW98))</f>
        <v>0</v>
      </c>
      <c r="BY98" s="23">
        <f>IF(BW98="","",COUNTIFS('Content Calendar'!$W$5:$W$604,BW98,'Content Calendar'!$X$5:$X$604,"&lt;&gt;Published"))</f>
        <v>0</v>
      </c>
      <c r="BZ98" s="23">
        <f>IF(BW98="","",COUNTIFS(Tasks!$C$5:$C$64,BW98,Tasks!$G$5:$G$64,"&lt;&gt;Complete"))</f>
        <v>0</v>
      </c>
      <c r="CA98" s="17">
        <f>IF(Campaigns!$B$98="","",Campaigns!$B$98)</f>
        <v>0</v>
      </c>
      <c r="CB98" s="25">
        <f>IF(Campaigns!$T$98="","",Campaigns!$T$98)</f>
        <v>0</v>
      </c>
      <c r="CC98" s="25">
        <f>IF(Campaigns!$Q$98="","",Campaigns!$Q$98)</f>
        <v>0</v>
      </c>
      <c r="CD98" s="23">
        <f>IF(Campaigns!$Y$98="","",Campaigns!$Y$98)</f>
        <v>0</v>
      </c>
      <c r="CE98" s="32">
        <f>IF(CA98="","",IF(N(CB98)&lt;=0,"",N(CB98)+ROW()/1000000))</f>
        <v>0</v>
      </c>
      <c r="CF98" s="17">
        <f>IF(Accounts!$C$98="","",Accounts!$C$98)</f>
        <v>0</v>
      </c>
      <c r="CG98" s="17">
        <f>IF(Accounts!$B$98="","",Accounts!$B$98)</f>
        <v>0</v>
      </c>
      <c r="CH98" s="23">
        <f>IF(Accounts!$J$98="","",Accounts!$J$98)</f>
        <v>0</v>
      </c>
      <c r="CI98" s="23">
        <f>IF(CF98="","",SUMIFS(Analytics!$X$5:$X$154,Analytics!$E$5:$E$154,CF98,Analytics!$B$5:$B$154,"&gt;="&amp;DashStart,Analytics!$B$5:$B$154,"&lt;="&amp;DashEnd))</f>
        <v>0</v>
      </c>
      <c r="CJ98" s="32">
        <f>IF(CH98="","",IF(CH98=0,"",CH98+ROW()/1000000))</f>
        <v>0</v>
      </c>
    </row>
    <row r="99" spans="1:88">
      <c r="A99" s="16">
        <f>IF(ROW()-4&gt;12,"",DATE(PlanYear,ROW()-4,1))</f>
        <v>0</v>
      </c>
      <c r="B99" s="16">
        <f>IF(A99="","",EOMONTH(A99,0))</f>
        <v>0</v>
      </c>
      <c r="C99" s="17">
        <f>IF(A99="","",TEXT(A99,"yyyy-mm"))</f>
        <v>0</v>
      </c>
      <c r="D99" s="17">
        <f>IF(A99="","",TEXT(A99,"mmm"))</f>
        <v>0</v>
      </c>
      <c r="E99" s="23">
        <f>IF(C99="","",COUNTIFS('Content Calendar'!$D$5:$D$604,C99))</f>
        <v>0</v>
      </c>
      <c r="F99" s="23">
        <f>IF(C99="","",COUNTIFS('Content Calendar'!$D$5:$D$604,C99,'Content Calendar'!$X$5:$X$604,"Published"))</f>
        <v>0</v>
      </c>
      <c r="G99" s="23">
        <f>IF(C99="","",SUMIFS(Analytics!$J$5:$J$154,Analytics!$C$5:$C$154,C99))</f>
        <v>0</v>
      </c>
      <c r="H99" s="23">
        <f>IF(C99="","",SUMIFS(Analytics!$K$5:$K$154,Analytics!$C$5:$C$154,C99))</f>
        <v>0</v>
      </c>
      <c r="I99" s="23">
        <f>IF(C99="","",SUMIFS(Analytics!$L$5:$L$154,Analytics!$C$5:$C$154,C99))</f>
        <v>0</v>
      </c>
      <c r="J99" s="24">
        <f>IF(OR(G99="",G99=0),"",I99/G99)</f>
        <v>0</v>
      </c>
      <c r="K99" s="23">
        <f>IF(C99="","",SUMIFS(Analytics!$G$5:$G$154,Analytics!$C$5:$C$154,C99))</f>
        <v>0</v>
      </c>
      <c r="L99" s="23">
        <f>IF(C99="","",SUMIFS(Analytics!$X$5:$X$154,Analytics!$C$5:$C$154,C99))</f>
        <v>0</v>
      </c>
      <c r="M99" s="23">
        <f>IF(C99="","",SUMIFS(Analytics!$R$5:$R$154,Analytics!$C$5:$C$154,C99))</f>
        <v>0</v>
      </c>
      <c r="N99" s="23">
        <f>IF(C99="","",SUMIFS(Analytics!$S$5:$S$154,Analytics!$C$5:$C$154,C99))</f>
        <v>0</v>
      </c>
      <c r="O99" s="23">
        <f>IF(C99="","",SUMIFS(Analytics!$T$5:$T$154,Analytics!$C$5:$C$154,C99))</f>
        <v>0</v>
      </c>
      <c r="P99" s="25">
        <f>IF(C99="","",SUMIFS(Analytics!$U$5:$U$154,Analytics!$C$5:$C$154,C99))</f>
        <v>0</v>
      </c>
      <c r="Q99" s="25">
        <f>IF(C99="","",SUMIFS(Budget!$H$5:$H$64,Budget!$C$5:$C$64,C99))</f>
        <v>0</v>
      </c>
      <c r="R99" s="25">
        <f>IF(C99="","",P99-Q99)</f>
        <v>0</v>
      </c>
      <c r="S99" s="23">
        <f>IF(C99="","",MonthlyPostTarget)</f>
        <v>0</v>
      </c>
      <c r="T99" s="17">
        <f>IF(Lists!$C99="","",Lists!$C99)</f>
        <v>0</v>
      </c>
      <c r="U99" s="23">
        <f>IF(T99="","",COUNTIFS('Content Calendar'!$G$5:$G$604,T99,'Content Calendar'!$B$5:$B$604,"&gt;="&amp;DashStart,'Content Calendar'!$B$5:$B$604,"&lt;="&amp;DashEnd))</f>
        <v>0</v>
      </c>
      <c r="V99" s="23">
        <f>IF(T99="","",COUNTIFS('Content Calendar'!$G$5:$G$604,T99,'Content Calendar'!$X$5:$X$604,"Published",'Content Calendar'!$B$5:$B$604,"&gt;="&amp;DashStart,'Content Calendar'!$B$5:$B$604,"&lt;="&amp;DashEnd))</f>
        <v>0</v>
      </c>
      <c r="W99" s="23">
        <f>IF(T99="","",SUMIFS(Analytics!$J$5:$J$154,Analytics!$D$5:$D$154,T99,Analytics!$B$5:$B$154,"&gt;="&amp;DashStart,Analytics!$B$5:$B$154,"&lt;="&amp;DashEnd))</f>
        <v>0</v>
      </c>
      <c r="X99" s="23">
        <f>IF(T99="","",SUMIFS(Analytics!$L$5:$L$154,Analytics!$D$5:$D$154,T99,Analytics!$B$5:$B$154,"&gt;="&amp;DashStart,Analytics!$B$5:$B$154,"&lt;="&amp;DashEnd))</f>
        <v>0</v>
      </c>
      <c r="Y99" s="24">
        <f>IF(OR(W99="",W99=0),"",X99/W99)</f>
        <v>0</v>
      </c>
      <c r="Z99" s="23">
        <f>IF(T99="","",SUMIFS(Analytics!$G$5:$G$154,Analytics!$D$5:$D$154,T99,Analytics!$B$5:$B$154,"&gt;="&amp;DashStart,Analytics!$B$5:$B$154,"&lt;="&amp;DashEnd))</f>
        <v>0</v>
      </c>
      <c r="AA99" s="23">
        <f>IF(T99="","",SUMIFS(Analytics!$X$5:$X$154,Analytics!$D$5:$D$154,T99,Analytics!$B$5:$B$154,"&gt;="&amp;DashStart,Analytics!$B$5:$B$154,"&lt;="&amp;DashEnd))</f>
        <v>0</v>
      </c>
      <c r="AB99" s="23">
        <f>IF(T99="","",SUMIFS(Analytics!$R$5:$R$154,Analytics!$D$5:$D$154,T99,Analytics!$B$5:$B$154,"&gt;="&amp;DashStart,Analytics!$B$5:$B$154,"&lt;="&amp;DashEnd))</f>
        <v>0</v>
      </c>
      <c r="AC99" s="25">
        <f>IF(T99="","",SUMIFS(Analytics!$U$5:$U$154,Analytics!$D$5:$D$154,T99,Analytics!$B$5:$B$154,"&gt;="&amp;DashStart,Analytics!$B$5:$B$154,"&lt;="&amp;DashEnd))</f>
        <v>0</v>
      </c>
      <c r="AD99" s="23">
        <f>IF(T99="","",COUNTIFS('Content Calendar'!$G$5:$G$604,T99,'Content Calendar'!$B$5:$B$604,"&gt;="&amp;DATE(PlanYear,1,1),'Content Calendar'!$B$5:$B$604,"&lt;="&amp;DATE(PlanYear,12,31)))</f>
        <v>0</v>
      </c>
      <c r="AE99" s="23">
        <f>IF(T99="","",SUMIFS(Analytics!$J$5:$J$154,Analytics!$D$5:$D$154,T99))</f>
        <v>0</v>
      </c>
      <c r="AF99" s="23">
        <f>IF(T99="","",SUMIFS(Analytics!$L$5:$L$154,Analytics!$D$5:$D$154,T99))</f>
        <v>0</v>
      </c>
      <c r="AG99" s="24">
        <f>IF(OR(AE99="",AE99=0),"",AF99/AE99)</f>
        <v>0</v>
      </c>
      <c r="AH99" s="23">
        <f>IF(T99="","",SUMIFS(Analytics!$X$5:$X$154,Analytics!$D$5:$D$154,T99))</f>
        <v>0</v>
      </c>
      <c r="AI99" s="32">
        <f>IF(T99="","",IF(AE99=0,"",AE99+ROW()/1000000))</f>
        <v>0</v>
      </c>
      <c r="AJ99" s="17">
        <f>IF('Content Pillars'!$B$99="","",'Content Pillars'!$B$99)</f>
        <v>0</v>
      </c>
      <c r="AK99" s="23">
        <f>IF(AJ99="","",COUNTIFS('Content Calendar'!$J$5:$J$604,AJ99,'Content Calendar'!$B$5:$B$604,"&gt;="&amp;DATE(PlanYear,1,1),'Content Calendar'!$B$5:$B$604,"&lt;="&amp;DATE(PlanYear,12,31)))</f>
        <v>0</v>
      </c>
      <c r="AL99" s="23">
        <f>IF(AJ99="","",SUMIFS(Performance!$O$5:$O$404,Performance!$H$5:$H$404,AJ99))</f>
        <v>0</v>
      </c>
      <c r="AM99" s="23">
        <f>IF(AJ99="","",SUMIFS(Performance!$Z$5:$Z$404,Performance!$H$5:$H$404,AJ99))</f>
        <v>0</v>
      </c>
      <c r="AN99" s="24">
        <f>IF(OR(AL99="",AL99=0),"",AM99/AL99)</f>
        <v>0</v>
      </c>
      <c r="AO99" s="32">
        <f>IF(AN99="","",AN99+ROW()/1000000)</f>
        <v>0</v>
      </c>
      <c r="AP99" s="17">
        <f>IF(Lists!$E99="","",Lists!$E99)</f>
        <v>0</v>
      </c>
      <c r="AQ99" s="23">
        <f>IF(AP99="","",COUNTIF(Performance!$G$5:$G$404,AP99))</f>
        <v>0</v>
      </c>
      <c r="AR99" s="23">
        <f>IF(AP99="","",SUMIFS(Performance!$O$5:$O$404,Performance!$G$5:$G$404,AP99))</f>
        <v>0</v>
      </c>
      <c r="AS99" s="23">
        <f>IF(AP99="","",SUMIFS(Performance!$Z$5:$Z$404,Performance!$G$5:$G$404,AP99))</f>
        <v>0</v>
      </c>
      <c r="AT99" s="24">
        <f>IF(OR(AR99="",AR99=0),"",AS99/AR99)</f>
        <v>0</v>
      </c>
      <c r="AU99" s="32">
        <f>IF(AQ99=0,"",IF(AT99="","",AT99+ROW()/1000000))</f>
        <v>0</v>
      </c>
      <c r="AV99" s="17">
        <f>IF(ROW()-4&gt;7,"",TEXT(DATE(2024,1,ROW()-4),"ddd"))</f>
        <v>0</v>
      </c>
      <c r="AW99" s="23">
        <f>IF(AV99="","",COUNTIF(Performance!$N$5:$N$404,AV99))</f>
        <v>0</v>
      </c>
      <c r="AX99" s="23">
        <f>IF(AV99="","",SUMIFS(Performance!$O$5:$O$404,Performance!$N$5:$N$404,AV99))</f>
        <v>0</v>
      </c>
      <c r="AY99" s="23">
        <f>IF(AV99="","",SUMIFS(Performance!$Z$5:$Z$404,Performance!$N$5:$N$404,AV99))</f>
        <v>0</v>
      </c>
      <c r="AZ99" s="24">
        <f>IF(OR(AX99="",AX99=0),"",AY99/AX99)</f>
        <v>0</v>
      </c>
      <c r="BA99" s="32">
        <f>IF(AW99=0,"",IF(AZ99="","",AZ99+ROW()/1000000))</f>
        <v>0</v>
      </c>
      <c r="BB99" s="17">
        <f>IF(Lists!$AL99="","",Lists!$AL99)</f>
        <v>0</v>
      </c>
      <c r="BC99" s="23">
        <f>IF(BB99="","",COUNTIF(Performance!$M$5:$M$404,BB99))</f>
        <v>0</v>
      </c>
      <c r="BD99" s="23">
        <f>IF(BB99="","",SUMIFS(Performance!$O$5:$O$404,Performance!$M$5:$M$404,BB99))</f>
        <v>0</v>
      </c>
      <c r="BE99" s="23">
        <f>IF(BB99="","",SUMIFS(Performance!$Z$5:$Z$404,Performance!$M$5:$M$404,BB99))</f>
        <v>0</v>
      </c>
      <c r="BF99" s="24">
        <f>IF(OR(BD99="",BD99=0),"",BE99/BD99)</f>
        <v>0</v>
      </c>
      <c r="BG99" s="32">
        <f>IF(BC99=0,"",IF(BF99="","",BF99+ROW()/1000000))</f>
        <v>0</v>
      </c>
      <c r="BH99" s="17">
        <f>IF(Performance!$C$99="","",Performance!$C$99)</f>
        <v>0</v>
      </c>
      <c r="BI99" s="17">
        <f>IF(Performance!$F$99="","",Performance!$F$99)</f>
        <v>0</v>
      </c>
      <c r="BJ99" s="17">
        <f>IF(Performance!$H$99="","",Performance!$H$99)</f>
        <v>0</v>
      </c>
      <c r="BK99" s="16">
        <f>IF(Performance!$D$99="","",Performance!$D$99)</f>
        <v>0</v>
      </c>
      <c r="BL99" s="17">
        <f>IF(Performance!$E$99="","",Performance!$E$99)</f>
        <v>0</v>
      </c>
      <c r="BM99" s="23">
        <f>IF(Performance!$O$99="","",Performance!$O$99)</f>
        <v>0</v>
      </c>
      <c r="BN99" s="24">
        <f>IF(Performance!$AA$99="","",Performance!$AA$99)</f>
        <v>0</v>
      </c>
      <c r="BO99" s="32">
        <f>IF(BH99="","",IF(BK99="","",IF(OR(BK99&lt;DashStart,BK99&gt;DashEnd),"",IF(BN99="","",BN99+ROW()/1000000))))</f>
        <v>0</v>
      </c>
      <c r="BP99" s="32">
        <f>IF(BM99="","",IF(BK99="","",IF(OR(BK99&lt;DashStart,BK99&gt;DashEnd),"",BM99+ROW()/1000000)))</f>
        <v>0</v>
      </c>
      <c r="BQ99" s="32">
        <f>IF(BH99="","",IF(BK99="","",IF(YEAR(BK99)&lt;&gt;PlanYear,"",IF(BN99="","",BN99+ROW()/1000000))))</f>
        <v>0</v>
      </c>
      <c r="BR99" s="32">
        <f>IF(BH99="","",IF(BK99="","",IF(OR(BK99&lt;RepFrom,BK99&gt;RepTo),"",IF(BN99="","",BN99+ROW()/1000000))))</f>
        <v>0</v>
      </c>
      <c r="BS99" s="32">
        <f>IF(BM99="","",IF(BK99="","",IF(YEAR(BK99)&lt;&gt;PlanYear,"",BM99+ROW()/1000000)))</f>
        <v>0</v>
      </c>
      <c r="BT99" s="17">
        <f>IF(Lists!$F99="","",Lists!$F99)</f>
        <v>0</v>
      </c>
      <c r="BU99" s="23">
        <f>IF(BT99="","",COUNTIF('Content Calendar'!$X$5:$X$604,BT99))</f>
        <v>0</v>
      </c>
      <c r="BV99" s="23">
        <f>IF(BT99="","",COUNTIFS('Content Calendar'!$X$5:$X$604,BT99,'Content Calendar'!$B$5:$B$604,"&gt;="&amp;DashStart,'Content Calendar'!$B$5:$B$604,"&lt;="&amp;DashEnd))</f>
        <v>0</v>
      </c>
      <c r="BW99" s="17">
        <f>IF(Team!$B$99="","",Team!$B$99)</f>
        <v>0</v>
      </c>
      <c r="BX99" s="23">
        <f>IF(BW99="","",COUNTIF('Content Calendar'!$W$5:$W$604,BW99))</f>
        <v>0</v>
      </c>
      <c r="BY99" s="23">
        <f>IF(BW99="","",COUNTIFS('Content Calendar'!$W$5:$W$604,BW99,'Content Calendar'!$X$5:$X$604,"&lt;&gt;Published"))</f>
        <v>0</v>
      </c>
      <c r="BZ99" s="23">
        <f>IF(BW99="","",COUNTIFS(Tasks!$C$5:$C$64,BW99,Tasks!$G$5:$G$64,"&lt;&gt;Complete"))</f>
        <v>0</v>
      </c>
      <c r="CA99" s="17">
        <f>IF(Campaigns!$B$99="","",Campaigns!$B$99)</f>
        <v>0</v>
      </c>
      <c r="CB99" s="25">
        <f>IF(Campaigns!$T$99="","",Campaigns!$T$99)</f>
        <v>0</v>
      </c>
      <c r="CC99" s="25">
        <f>IF(Campaigns!$Q$99="","",Campaigns!$Q$99)</f>
        <v>0</v>
      </c>
      <c r="CD99" s="23">
        <f>IF(Campaigns!$Y$99="","",Campaigns!$Y$99)</f>
        <v>0</v>
      </c>
      <c r="CE99" s="32">
        <f>IF(CA99="","",IF(N(CB99)&lt;=0,"",N(CB99)+ROW()/1000000))</f>
        <v>0</v>
      </c>
      <c r="CF99" s="17">
        <f>IF(Accounts!$C$99="","",Accounts!$C$99)</f>
        <v>0</v>
      </c>
      <c r="CG99" s="17">
        <f>IF(Accounts!$B$99="","",Accounts!$B$99)</f>
        <v>0</v>
      </c>
      <c r="CH99" s="23">
        <f>IF(Accounts!$J$99="","",Accounts!$J$99)</f>
        <v>0</v>
      </c>
      <c r="CI99" s="23">
        <f>IF(CF99="","",SUMIFS(Analytics!$X$5:$X$154,Analytics!$E$5:$E$154,CF99,Analytics!$B$5:$B$154,"&gt;="&amp;DashStart,Analytics!$B$5:$B$154,"&lt;="&amp;DashEnd))</f>
        <v>0</v>
      </c>
      <c r="CJ99" s="32">
        <f>IF(CH99="","",IF(CH99=0,"",CH99+ROW()/1000000))</f>
        <v>0</v>
      </c>
    </row>
    <row r="100" spans="1:88">
      <c r="A100" s="16">
        <f>IF(ROW()-4&gt;12,"",DATE(PlanYear,ROW()-4,1))</f>
        <v>0</v>
      </c>
      <c r="B100" s="16">
        <f>IF(A100="","",EOMONTH(A100,0))</f>
        <v>0</v>
      </c>
      <c r="C100" s="17">
        <f>IF(A100="","",TEXT(A100,"yyyy-mm"))</f>
        <v>0</v>
      </c>
      <c r="D100" s="17">
        <f>IF(A100="","",TEXT(A100,"mmm"))</f>
        <v>0</v>
      </c>
      <c r="E100" s="23">
        <f>IF(C100="","",COUNTIFS('Content Calendar'!$D$5:$D$604,C100))</f>
        <v>0</v>
      </c>
      <c r="F100" s="23">
        <f>IF(C100="","",COUNTIFS('Content Calendar'!$D$5:$D$604,C100,'Content Calendar'!$X$5:$X$604,"Published"))</f>
        <v>0</v>
      </c>
      <c r="G100" s="23">
        <f>IF(C100="","",SUMIFS(Analytics!$J$5:$J$154,Analytics!$C$5:$C$154,C100))</f>
        <v>0</v>
      </c>
      <c r="H100" s="23">
        <f>IF(C100="","",SUMIFS(Analytics!$K$5:$K$154,Analytics!$C$5:$C$154,C100))</f>
        <v>0</v>
      </c>
      <c r="I100" s="23">
        <f>IF(C100="","",SUMIFS(Analytics!$L$5:$L$154,Analytics!$C$5:$C$154,C100))</f>
        <v>0</v>
      </c>
      <c r="J100" s="24">
        <f>IF(OR(G100="",G100=0),"",I100/G100)</f>
        <v>0</v>
      </c>
      <c r="K100" s="23">
        <f>IF(C100="","",SUMIFS(Analytics!$G$5:$G$154,Analytics!$C$5:$C$154,C100))</f>
        <v>0</v>
      </c>
      <c r="L100" s="23">
        <f>IF(C100="","",SUMIFS(Analytics!$X$5:$X$154,Analytics!$C$5:$C$154,C100))</f>
        <v>0</v>
      </c>
      <c r="M100" s="23">
        <f>IF(C100="","",SUMIFS(Analytics!$R$5:$R$154,Analytics!$C$5:$C$154,C100))</f>
        <v>0</v>
      </c>
      <c r="N100" s="23">
        <f>IF(C100="","",SUMIFS(Analytics!$S$5:$S$154,Analytics!$C$5:$C$154,C100))</f>
        <v>0</v>
      </c>
      <c r="O100" s="23">
        <f>IF(C100="","",SUMIFS(Analytics!$T$5:$T$154,Analytics!$C$5:$C$154,C100))</f>
        <v>0</v>
      </c>
      <c r="P100" s="25">
        <f>IF(C100="","",SUMIFS(Analytics!$U$5:$U$154,Analytics!$C$5:$C$154,C100))</f>
        <v>0</v>
      </c>
      <c r="Q100" s="25">
        <f>IF(C100="","",SUMIFS(Budget!$H$5:$H$64,Budget!$C$5:$C$64,C100))</f>
        <v>0</v>
      </c>
      <c r="R100" s="25">
        <f>IF(C100="","",P100-Q100)</f>
        <v>0</v>
      </c>
      <c r="S100" s="23">
        <f>IF(C100="","",MonthlyPostTarget)</f>
        <v>0</v>
      </c>
      <c r="T100" s="17">
        <f>IF(Lists!$C100="","",Lists!$C100)</f>
        <v>0</v>
      </c>
      <c r="U100" s="23">
        <f>IF(T100="","",COUNTIFS('Content Calendar'!$G$5:$G$604,T100,'Content Calendar'!$B$5:$B$604,"&gt;="&amp;DashStart,'Content Calendar'!$B$5:$B$604,"&lt;="&amp;DashEnd))</f>
        <v>0</v>
      </c>
      <c r="V100" s="23">
        <f>IF(T100="","",COUNTIFS('Content Calendar'!$G$5:$G$604,T100,'Content Calendar'!$X$5:$X$604,"Published",'Content Calendar'!$B$5:$B$604,"&gt;="&amp;DashStart,'Content Calendar'!$B$5:$B$604,"&lt;="&amp;DashEnd))</f>
        <v>0</v>
      </c>
      <c r="W100" s="23">
        <f>IF(T100="","",SUMIFS(Analytics!$J$5:$J$154,Analytics!$D$5:$D$154,T100,Analytics!$B$5:$B$154,"&gt;="&amp;DashStart,Analytics!$B$5:$B$154,"&lt;="&amp;DashEnd))</f>
        <v>0</v>
      </c>
      <c r="X100" s="23">
        <f>IF(T100="","",SUMIFS(Analytics!$L$5:$L$154,Analytics!$D$5:$D$154,T100,Analytics!$B$5:$B$154,"&gt;="&amp;DashStart,Analytics!$B$5:$B$154,"&lt;="&amp;DashEnd))</f>
        <v>0</v>
      </c>
      <c r="Y100" s="24">
        <f>IF(OR(W100="",W100=0),"",X100/W100)</f>
        <v>0</v>
      </c>
      <c r="Z100" s="23">
        <f>IF(T100="","",SUMIFS(Analytics!$G$5:$G$154,Analytics!$D$5:$D$154,T100,Analytics!$B$5:$B$154,"&gt;="&amp;DashStart,Analytics!$B$5:$B$154,"&lt;="&amp;DashEnd))</f>
        <v>0</v>
      </c>
      <c r="AA100" s="23">
        <f>IF(T100="","",SUMIFS(Analytics!$X$5:$X$154,Analytics!$D$5:$D$154,T100,Analytics!$B$5:$B$154,"&gt;="&amp;DashStart,Analytics!$B$5:$B$154,"&lt;="&amp;DashEnd))</f>
        <v>0</v>
      </c>
      <c r="AB100" s="23">
        <f>IF(T100="","",SUMIFS(Analytics!$R$5:$R$154,Analytics!$D$5:$D$154,T100,Analytics!$B$5:$B$154,"&gt;="&amp;DashStart,Analytics!$B$5:$B$154,"&lt;="&amp;DashEnd))</f>
        <v>0</v>
      </c>
      <c r="AC100" s="25">
        <f>IF(T100="","",SUMIFS(Analytics!$U$5:$U$154,Analytics!$D$5:$D$154,T100,Analytics!$B$5:$B$154,"&gt;="&amp;DashStart,Analytics!$B$5:$B$154,"&lt;="&amp;DashEnd))</f>
        <v>0</v>
      </c>
      <c r="AD100" s="23">
        <f>IF(T100="","",COUNTIFS('Content Calendar'!$G$5:$G$604,T100,'Content Calendar'!$B$5:$B$604,"&gt;="&amp;DATE(PlanYear,1,1),'Content Calendar'!$B$5:$B$604,"&lt;="&amp;DATE(PlanYear,12,31)))</f>
        <v>0</v>
      </c>
      <c r="AE100" s="23">
        <f>IF(T100="","",SUMIFS(Analytics!$J$5:$J$154,Analytics!$D$5:$D$154,T100))</f>
        <v>0</v>
      </c>
      <c r="AF100" s="23">
        <f>IF(T100="","",SUMIFS(Analytics!$L$5:$L$154,Analytics!$D$5:$D$154,T100))</f>
        <v>0</v>
      </c>
      <c r="AG100" s="24">
        <f>IF(OR(AE100="",AE100=0),"",AF100/AE100)</f>
        <v>0</v>
      </c>
      <c r="AH100" s="23">
        <f>IF(T100="","",SUMIFS(Analytics!$X$5:$X$154,Analytics!$D$5:$D$154,T100))</f>
        <v>0</v>
      </c>
      <c r="AI100" s="32">
        <f>IF(T100="","",IF(AE100=0,"",AE100+ROW()/1000000))</f>
        <v>0</v>
      </c>
      <c r="AJ100" s="17">
        <f>IF('Content Pillars'!$B$100="","",'Content Pillars'!$B$100)</f>
        <v>0</v>
      </c>
      <c r="AK100" s="23">
        <f>IF(AJ100="","",COUNTIFS('Content Calendar'!$J$5:$J$604,AJ100,'Content Calendar'!$B$5:$B$604,"&gt;="&amp;DATE(PlanYear,1,1),'Content Calendar'!$B$5:$B$604,"&lt;="&amp;DATE(PlanYear,12,31)))</f>
        <v>0</v>
      </c>
      <c r="AL100" s="23">
        <f>IF(AJ100="","",SUMIFS(Performance!$O$5:$O$404,Performance!$H$5:$H$404,AJ100))</f>
        <v>0</v>
      </c>
      <c r="AM100" s="23">
        <f>IF(AJ100="","",SUMIFS(Performance!$Z$5:$Z$404,Performance!$H$5:$H$404,AJ100))</f>
        <v>0</v>
      </c>
      <c r="AN100" s="24">
        <f>IF(OR(AL100="",AL100=0),"",AM100/AL100)</f>
        <v>0</v>
      </c>
      <c r="AO100" s="32">
        <f>IF(AN100="","",AN100+ROW()/1000000)</f>
        <v>0</v>
      </c>
      <c r="AP100" s="17">
        <f>IF(Lists!$E100="","",Lists!$E100)</f>
        <v>0</v>
      </c>
      <c r="AQ100" s="23">
        <f>IF(AP100="","",COUNTIF(Performance!$G$5:$G$404,AP100))</f>
        <v>0</v>
      </c>
      <c r="AR100" s="23">
        <f>IF(AP100="","",SUMIFS(Performance!$O$5:$O$404,Performance!$G$5:$G$404,AP100))</f>
        <v>0</v>
      </c>
      <c r="AS100" s="23">
        <f>IF(AP100="","",SUMIFS(Performance!$Z$5:$Z$404,Performance!$G$5:$G$404,AP100))</f>
        <v>0</v>
      </c>
      <c r="AT100" s="24">
        <f>IF(OR(AR100="",AR100=0),"",AS100/AR100)</f>
        <v>0</v>
      </c>
      <c r="AU100" s="32">
        <f>IF(AQ100=0,"",IF(AT100="","",AT100+ROW()/1000000))</f>
        <v>0</v>
      </c>
      <c r="AV100" s="17">
        <f>IF(ROW()-4&gt;7,"",TEXT(DATE(2024,1,ROW()-4),"ddd"))</f>
        <v>0</v>
      </c>
      <c r="AW100" s="23">
        <f>IF(AV100="","",COUNTIF(Performance!$N$5:$N$404,AV100))</f>
        <v>0</v>
      </c>
      <c r="AX100" s="23">
        <f>IF(AV100="","",SUMIFS(Performance!$O$5:$O$404,Performance!$N$5:$N$404,AV100))</f>
        <v>0</v>
      </c>
      <c r="AY100" s="23">
        <f>IF(AV100="","",SUMIFS(Performance!$Z$5:$Z$404,Performance!$N$5:$N$404,AV100))</f>
        <v>0</v>
      </c>
      <c r="AZ100" s="24">
        <f>IF(OR(AX100="",AX100=0),"",AY100/AX100)</f>
        <v>0</v>
      </c>
      <c r="BA100" s="32">
        <f>IF(AW100=0,"",IF(AZ100="","",AZ100+ROW()/1000000))</f>
        <v>0</v>
      </c>
      <c r="BB100" s="17">
        <f>IF(Lists!$AL100="","",Lists!$AL100)</f>
        <v>0</v>
      </c>
      <c r="BC100" s="23">
        <f>IF(BB100="","",COUNTIF(Performance!$M$5:$M$404,BB100))</f>
        <v>0</v>
      </c>
      <c r="BD100" s="23">
        <f>IF(BB100="","",SUMIFS(Performance!$O$5:$O$404,Performance!$M$5:$M$404,BB100))</f>
        <v>0</v>
      </c>
      <c r="BE100" s="23">
        <f>IF(BB100="","",SUMIFS(Performance!$Z$5:$Z$404,Performance!$M$5:$M$404,BB100))</f>
        <v>0</v>
      </c>
      <c r="BF100" s="24">
        <f>IF(OR(BD100="",BD100=0),"",BE100/BD100)</f>
        <v>0</v>
      </c>
      <c r="BG100" s="32">
        <f>IF(BC100=0,"",IF(BF100="","",BF100+ROW()/1000000))</f>
        <v>0</v>
      </c>
      <c r="BH100" s="17">
        <f>IF(Performance!$C$100="","",Performance!$C$100)</f>
        <v>0</v>
      </c>
      <c r="BI100" s="17">
        <f>IF(Performance!$F$100="","",Performance!$F$100)</f>
        <v>0</v>
      </c>
      <c r="BJ100" s="17">
        <f>IF(Performance!$H$100="","",Performance!$H$100)</f>
        <v>0</v>
      </c>
      <c r="BK100" s="16">
        <f>IF(Performance!$D$100="","",Performance!$D$100)</f>
        <v>0</v>
      </c>
      <c r="BL100" s="17">
        <f>IF(Performance!$E$100="","",Performance!$E$100)</f>
        <v>0</v>
      </c>
      <c r="BM100" s="23">
        <f>IF(Performance!$O$100="","",Performance!$O$100)</f>
        <v>0</v>
      </c>
      <c r="BN100" s="24">
        <f>IF(Performance!$AA$100="","",Performance!$AA$100)</f>
        <v>0</v>
      </c>
      <c r="BO100" s="32">
        <f>IF(BH100="","",IF(BK100="","",IF(OR(BK100&lt;DashStart,BK100&gt;DashEnd),"",IF(BN100="","",BN100+ROW()/1000000))))</f>
        <v>0</v>
      </c>
      <c r="BP100" s="32">
        <f>IF(BM100="","",IF(BK100="","",IF(OR(BK100&lt;DashStart,BK100&gt;DashEnd),"",BM100+ROW()/1000000)))</f>
        <v>0</v>
      </c>
      <c r="BQ100" s="32">
        <f>IF(BH100="","",IF(BK100="","",IF(YEAR(BK100)&lt;&gt;PlanYear,"",IF(BN100="","",BN100+ROW()/1000000))))</f>
        <v>0</v>
      </c>
      <c r="BR100" s="32">
        <f>IF(BH100="","",IF(BK100="","",IF(OR(BK100&lt;RepFrom,BK100&gt;RepTo),"",IF(BN100="","",BN100+ROW()/1000000))))</f>
        <v>0</v>
      </c>
      <c r="BS100" s="32">
        <f>IF(BM100="","",IF(BK100="","",IF(YEAR(BK100)&lt;&gt;PlanYear,"",BM100+ROW()/1000000)))</f>
        <v>0</v>
      </c>
      <c r="BT100" s="17">
        <f>IF(Lists!$F100="","",Lists!$F100)</f>
        <v>0</v>
      </c>
      <c r="BU100" s="23">
        <f>IF(BT100="","",COUNTIF('Content Calendar'!$X$5:$X$604,BT100))</f>
        <v>0</v>
      </c>
      <c r="BV100" s="23">
        <f>IF(BT100="","",COUNTIFS('Content Calendar'!$X$5:$X$604,BT100,'Content Calendar'!$B$5:$B$604,"&gt;="&amp;DashStart,'Content Calendar'!$B$5:$B$604,"&lt;="&amp;DashEnd))</f>
        <v>0</v>
      </c>
      <c r="BW100" s="17">
        <f>IF(Team!$B$100="","",Team!$B$100)</f>
        <v>0</v>
      </c>
      <c r="BX100" s="23">
        <f>IF(BW100="","",COUNTIF('Content Calendar'!$W$5:$W$604,BW100))</f>
        <v>0</v>
      </c>
      <c r="BY100" s="23">
        <f>IF(BW100="","",COUNTIFS('Content Calendar'!$W$5:$W$604,BW100,'Content Calendar'!$X$5:$X$604,"&lt;&gt;Published"))</f>
        <v>0</v>
      </c>
      <c r="BZ100" s="23">
        <f>IF(BW100="","",COUNTIFS(Tasks!$C$5:$C$64,BW100,Tasks!$G$5:$G$64,"&lt;&gt;Complete"))</f>
        <v>0</v>
      </c>
      <c r="CA100" s="17">
        <f>IF(Campaigns!$B$100="","",Campaigns!$B$100)</f>
        <v>0</v>
      </c>
      <c r="CB100" s="25">
        <f>IF(Campaigns!$T$100="","",Campaigns!$T$100)</f>
        <v>0</v>
      </c>
      <c r="CC100" s="25">
        <f>IF(Campaigns!$Q$100="","",Campaigns!$Q$100)</f>
        <v>0</v>
      </c>
      <c r="CD100" s="23">
        <f>IF(Campaigns!$Y$100="","",Campaigns!$Y$100)</f>
        <v>0</v>
      </c>
      <c r="CE100" s="32">
        <f>IF(CA100="","",IF(N(CB100)&lt;=0,"",N(CB100)+ROW()/1000000))</f>
        <v>0</v>
      </c>
      <c r="CF100" s="17">
        <f>IF(Accounts!$C$100="","",Accounts!$C$100)</f>
        <v>0</v>
      </c>
      <c r="CG100" s="17">
        <f>IF(Accounts!$B$100="","",Accounts!$B$100)</f>
        <v>0</v>
      </c>
      <c r="CH100" s="23">
        <f>IF(Accounts!$J$100="","",Accounts!$J$100)</f>
        <v>0</v>
      </c>
      <c r="CI100" s="23">
        <f>IF(CF100="","",SUMIFS(Analytics!$X$5:$X$154,Analytics!$E$5:$E$154,CF100,Analytics!$B$5:$B$154,"&gt;="&amp;DashStart,Analytics!$B$5:$B$154,"&lt;="&amp;DashEnd))</f>
        <v>0</v>
      </c>
      <c r="CJ100" s="32">
        <f>IF(CH100="","",IF(CH100=0,"",CH100+ROW()/1000000))</f>
        <v>0</v>
      </c>
    </row>
    <row r="101" spans="1:88">
      <c r="A101" s="16">
        <f>IF(ROW()-4&gt;12,"",DATE(PlanYear,ROW()-4,1))</f>
        <v>0</v>
      </c>
      <c r="B101" s="16">
        <f>IF(A101="","",EOMONTH(A101,0))</f>
        <v>0</v>
      </c>
      <c r="C101" s="17">
        <f>IF(A101="","",TEXT(A101,"yyyy-mm"))</f>
        <v>0</v>
      </c>
      <c r="D101" s="17">
        <f>IF(A101="","",TEXT(A101,"mmm"))</f>
        <v>0</v>
      </c>
      <c r="E101" s="23">
        <f>IF(C101="","",COUNTIFS('Content Calendar'!$D$5:$D$604,C101))</f>
        <v>0</v>
      </c>
      <c r="F101" s="23">
        <f>IF(C101="","",COUNTIFS('Content Calendar'!$D$5:$D$604,C101,'Content Calendar'!$X$5:$X$604,"Published"))</f>
        <v>0</v>
      </c>
      <c r="G101" s="23">
        <f>IF(C101="","",SUMIFS(Analytics!$J$5:$J$154,Analytics!$C$5:$C$154,C101))</f>
        <v>0</v>
      </c>
      <c r="H101" s="23">
        <f>IF(C101="","",SUMIFS(Analytics!$K$5:$K$154,Analytics!$C$5:$C$154,C101))</f>
        <v>0</v>
      </c>
      <c r="I101" s="23">
        <f>IF(C101="","",SUMIFS(Analytics!$L$5:$L$154,Analytics!$C$5:$C$154,C101))</f>
        <v>0</v>
      </c>
      <c r="J101" s="24">
        <f>IF(OR(G101="",G101=0),"",I101/G101)</f>
        <v>0</v>
      </c>
      <c r="K101" s="23">
        <f>IF(C101="","",SUMIFS(Analytics!$G$5:$G$154,Analytics!$C$5:$C$154,C101))</f>
        <v>0</v>
      </c>
      <c r="L101" s="23">
        <f>IF(C101="","",SUMIFS(Analytics!$X$5:$X$154,Analytics!$C$5:$C$154,C101))</f>
        <v>0</v>
      </c>
      <c r="M101" s="23">
        <f>IF(C101="","",SUMIFS(Analytics!$R$5:$R$154,Analytics!$C$5:$C$154,C101))</f>
        <v>0</v>
      </c>
      <c r="N101" s="23">
        <f>IF(C101="","",SUMIFS(Analytics!$S$5:$S$154,Analytics!$C$5:$C$154,C101))</f>
        <v>0</v>
      </c>
      <c r="O101" s="23">
        <f>IF(C101="","",SUMIFS(Analytics!$T$5:$T$154,Analytics!$C$5:$C$154,C101))</f>
        <v>0</v>
      </c>
      <c r="P101" s="25">
        <f>IF(C101="","",SUMIFS(Analytics!$U$5:$U$154,Analytics!$C$5:$C$154,C101))</f>
        <v>0</v>
      </c>
      <c r="Q101" s="25">
        <f>IF(C101="","",SUMIFS(Budget!$H$5:$H$64,Budget!$C$5:$C$64,C101))</f>
        <v>0</v>
      </c>
      <c r="R101" s="25">
        <f>IF(C101="","",P101-Q101)</f>
        <v>0</v>
      </c>
      <c r="S101" s="23">
        <f>IF(C101="","",MonthlyPostTarget)</f>
        <v>0</v>
      </c>
      <c r="T101" s="17">
        <f>IF(Lists!$C101="","",Lists!$C101)</f>
        <v>0</v>
      </c>
      <c r="U101" s="23">
        <f>IF(T101="","",COUNTIFS('Content Calendar'!$G$5:$G$604,T101,'Content Calendar'!$B$5:$B$604,"&gt;="&amp;DashStart,'Content Calendar'!$B$5:$B$604,"&lt;="&amp;DashEnd))</f>
        <v>0</v>
      </c>
      <c r="V101" s="23">
        <f>IF(T101="","",COUNTIFS('Content Calendar'!$G$5:$G$604,T101,'Content Calendar'!$X$5:$X$604,"Published",'Content Calendar'!$B$5:$B$604,"&gt;="&amp;DashStart,'Content Calendar'!$B$5:$B$604,"&lt;="&amp;DashEnd))</f>
        <v>0</v>
      </c>
      <c r="W101" s="23">
        <f>IF(T101="","",SUMIFS(Analytics!$J$5:$J$154,Analytics!$D$5:$D$154,T101,Analytics!$B$5:$B$154,"&gt;="&amp;DashStart,Analytics!$B$5:$B$154,"&lt;="&amp;DashEnd))</f>
        <v>0</v>
      </c>
      <c r="X101" s="23">
        <f>IF(T101="","",SUMIFS(Analytics!$L$5:$L$154,Analytics!$D$5:$D$154,T101,Analytics!$B$5:$B$154,"&gt;="&amp;DashStart,Analytics!$B$5:$B$154,"&lt;="&amp;DashEnd))</f>
        <v>0</v>
      </c>
      <c r="Y101" s="24">
        <f>IF(OR(W101="",W101=0),"",X101/W101)</f>
        <v>0</v>
      </c>
      <c r="Z101" s="23">
        <f>IF(T101="","",SUMIFS(Analytics!$G$5:$G$154,Analytics!$D$5:$D$154,T101,Analytics!$B$5:$B$154,"&gt;="&amp;DashStart,Analytics!$B$5:$B$154,"&lt;="&amp;DashEnd))</f>
        <v>0</v>
      </c>
      <c r="AA101" s="23">
        <f>IF(T101="","",SUMIFS(Analytics!$X$5:$X$154,Analytics!$D$5:$D$154,T101,Analytics!$B$5:$B$154,"&gt;="&amp;DashStart,Analytics!$B$5:$B$154,"&lt;="&amp;DashEnd))</f>
        <v>0</v>
      </c>
      <c r="AB101" s="23">
        <f>IF(T101="","",SUMIFS(Analytics!$R$5:$R$154,Analytics!$D$5:$D$154,T101,Analytics!$B$5:$B$154,"&gt;="&amp;DashStart,Analytics!$B$5:$B$154,"&lt;="&amp;DashEnd))</f>
        <v>0</v>
      </c>
      <c r="AC101" s="25">
        <f>IF(T101="","",SUMIFS(Analytics!$U$5:$U$154,Analytics!$D$5:$D$154,T101,Analytics!$B$5:$B$154,"&gt;="&amp;DashStart,Analytics!$B$5:$B$154,"&lt;="&amp;DashEnd))</f>
        <v>0</v>
      </c>
      <c r="AD101" s="23">
        <f>IF(T101="","",COUNTIFS('Content Calendar'!$G$5:$G$604,T101,'Content Calendar'!$B$5:$B$604,"&gt;="&amp;DATE(PlanYear,1,1),'Content Calendar'!$B$5:$B$604,"&lt;="&amp;DATE(PlanYear,12,31)))</f>
        <v>0</v>
      </c>
      <c r="AE101" s="23">
        <f>IF(T101="","",SUMIFS(Analytics!$J$5:$J$154,Analytics!$D$5:$D$154,T101))</f>
        <v>0</v>
      </c>
      <c r="AF101" s="23">
        <f>IF(T101="","",SUMIFS(Analytics!$L$5:$L$154,Analytics!$D$5:$D$154,T101))</f>
        <v>0</v>
      </c>
      <c r="AG101" s="24">
        <f>IF(OR(AE101="",AE101=0),"",AF101/AE101)</f>
        <v>0</v>
      </c>
      <c r="AH101" s="23">
        <f>IF(T101="","",SUMIFS(Analytics!$X$5:$X$154,Analytics!$D$5:$D$154,T101))</f>
        <v>0</v>
      </c>
      <c r="AI101" s="32">
        <f>IF(T101="","",IF(AE101=0,"",AE101+ROW()/1000000))</f>
        <v>0</v>
      </c>
      <c r="AJ101" s="17">
        <f>IF('Content Pillars'!$B$101="","",'Content Pillars'!$B$101)</f>
        <v>0</v>
      </c>
      <c r="AK101" s="23">
        <f>IF(AJ101="","",COUNTIFS('Content Calendar'!$J$5:$J$604,AJ101,'Content Calendar'!$B$5:$B$604,"&gt;="&amp;DATE(PlanYear,1,1),'Content Calendar'!$B$5:$B$604,"&lt;="&amp;DATE(PlanYear,12,31)))</f>
        <v>0</v>
      </c>
      <c r="AL101" s="23">
        <f>IF(AJ101="","",SUMIFS(Performance!$O$5:$O$404,Performance!$H$5:$H$404,AJ101))</f>
        <v>0</v>
      </c>
      <c r="AM101" s="23">
        <f>IF(AJ101="","",SUMIFS(Performance!$Z$5:$Z$404,Performance!$H$5:$H$404,AJ101))</f>
        <v>0</v>
      </c>
      <c r="AN101" s="24">
        <f>IF(OR(AL101="",AL101=0),"",AM101/AL101)</f>
        <v>0</v>
      </c>
      <c r="AO101" s="32">
        <f>IF(AN101="","",AN101+ROW()/1000000)</f>
        <v>0</v>
      </c>
      <c r="AP101" s="17">
        <f>IF(Lists!$E101="","",Lists!$E101)</f>
        <v>0</v>
      </c>
      <c r="AQ101" s="23">
        <f>IF(AP101="","",COUNTIF(Performance!$G$5:$G$404,AP101))</f>
        <v>0</v>
      </c>
      <c r="AR101" s="23">
        <f>IF(AP101="","",SUMIFS(Performance!$O$5:$O$404,Performance!$G$5:$G$404,AP101))</f>
        <v>0</v>
      </c>
      <c r="AS101" s="23">
        <f>IF(AP101="","",SUMIFS(Performance!$Z$5:$Z$404,Performance!$G$5:$G$404,AP101))</f>
        <v>0</v>
      </c>
      <c r="AT101" s="24">
        <f>IF(OR(AR101="",AR101=0),"",AS101/AR101)</f>
        <v>0</v>
      </c>
      <c r="AU101" s="32">
        <f>IF(AQ101=0,"",IF(AT101="","",AT101+ROW()/1000000))</f>
        <v>0</v>
      </c>
      <c r="AV101" s="17">
        <f>IF(ROW()-4&gt;7,"",TEXT(DATE(2024,1,ROW()-4),"ddd"))</f>
        <v>0</v>
      </c>
      <c r="AW101" s="23">
        <f>IF(AV101="","",COUNTIF(Performance!$N$5:$N$404,AV101))</f>
        <v>0</v>
      </c>
      <c r="AX101" s="23">
        <f>IF(AV101="","",SUMIFS(Performance!$O$5:$O$404,Performance!$N$5:$N$404,AV101))</f>
        <v>0</v>
      </c>
      <c r="AY101" s="23">
        <f>IF(AV101="","",SUMIFS(Performance!$Z$5:$Z$404,Performance!$N$5:$N$404,AV101))</f>
        <v>0</v>
      </c>
      <c r="AZ101" s="24">
        <f>IF(OR(AX101="",AX101=0),"",AY101/AX101)</f>
        <v>0</v>
      </c>
      <c r="BA101" s="32">
        <f>IF(AW101=0,"",IF(AZ101="","",AZ101+ROW()/1000000))</f>
        <v>0</v>
      </c>
      <c r="BB101" s="17">
        <f>IF(Lists!$AL101="","",Lists!$AL101)</f>
        <v>0</v>
      </c>
      <c r="BC101" s="23">
        <f>IF(BB101="","",COUNTIF(Performance!$M$5:$M$404,BB101))</f>
        <v>0</v>
      </c>
      <c r="BD101" s="23">
        <f>IF(BB101="","",SUMIFS(Performance!$O$5:$O$404,Performance!$M$5:$M$404,BB101))</f>
        <v>0</v>
      </c>
      <c r="BE101" s="23">
        <f>IF(BB101="","",SUMIFS(Performance!$Z$5:$Z$404,Performance!$M$5:$M$404,BB101))</f>
        <v>0</v>
      </c>
      <c r="BF101" s="24">
        <f>IF(OR(BD101="",BD101=0),"",BE101/BD101)</f>
        <v>0</v>
      </c>
      <c r="BG101" s="32">
        <f>IF(BC101=0,"",IF(BF101="","",BF101+ROW()/1000000))</f>
        <v>0</v>
      </c>
      <c r="BH101" s="17">
        <f>IF(Performance!$C$101="","",Performance!$C$101)</f>
        <v>0</v>
      </c>
      <c r="BI101" s="17">
        <f>IF(Performance!$F$101="","",Performance!$F$101)</f>
        <v>0</v>
      </c>
      <c r="BJ101" s="17">
        <f>IF(Performance!$H$101="","",Performance!$H$101)</f>
        <v>0</v>
      </c>
      <c r="BK101" s="16">
        <f>IF(Performance!$D$101="","",Performance!$D$101)</f>
        <v>0</v>
      </c>
      <c r="BL101" s="17">
        <f>IF(Performance!$E$101="","",Performance!$E$101)</f>
        <v>0</v>
      </c>
      <c r="BM101" s="23">
        <f>IF(Performance!$O$101="","",Performance!$O$101)</f>
        <v>0</v>
      </c>
      <c r="BN101" s="24">
        <f>IF(Performance!$AA$101="","",Performance!$AA$101)</f>
        <v>0</v>
      </c>
      <c r="BO101" s="32">
        <f>IF(BH101="","",IF(BK101="","",IF(OR(BK101&lt;DashStart,BK101&gt;DashEnd),"",IF(BN101="","",BN101+ROW()/1000000))))</f>
        <v>0</v>
      </c>
      <c r="BP101" s="32">
        <f>IF(BM101="","",IF(BK101="","",IF(OR(BK101&lt;DashStart,BK101&gt;DashEnd),"",BM101+ROW()/1000000)))</f>
        <v>0</v>
      </c>
      <c r="BQ101" s="32">
        <f>IF(BH101="","",IF(BK101="","",IF(YEAR(BK101)&lt;&gt;PlanYear,"",IF(BN101="","",BN101+ROW()/1000000))))</f>
        <v>0</v>
      </c>
      <c r="BR101" s="32">
        <f>IF(BH101="","",IF(BK101="","",IF(OR(BK101&lt;RepFrom,BK101&gt;RepTo),"",IF(BN101="","",BN101+ROW()/1000000))))</f>
        <v>0</v>
      </c>
      <c r="BS101" s="32">
        <f>IF(BM101="","",IF(BK101="","",IF(YEAR(BK101)&lt;&gt;PlanYear,"",BM101+ROW()/1000000)))</f>
        <v>0</v>
      </c>
      <c r="BT101" s="17">
        <f>IF(Lists!$F101="","",Lists!$F101)</f>
        <v>0</v>
      </c>
      <c r="BU101" s="23">
        <f>IF(BT101="","",COUNTIF('Content Calendar'!$X$5:$X$604,BT101))</f>
        <v>0</v>
      </c>
      <c r="BV101" s="23">
        <f>IF(BT101="","",COUNTIFS('Content Calendar'!$X$5:$X$604,BT101,'Content Calendar'!$B$5:$B$604,"&gt;="&amp;DashStart,'Content Calendar'!$B$5:$B$604,"&lt;="&amp;DashEnd))</f>
        <v>0</v>
      </c>
      <c r="BW101" s="17">
        <f>IF(Team!$B$101="","",Team!$B$101)</f>
        <v>0</v>
      </c>
      <c r="BX101" s="23">
        <f>IF(BW101="","",COUNTIF('Content Calendar'!$W$5:$W$604,BW101))</f>
        <v>0</v>
      </c>
      <c r="BY101" s="23">
        <f>IF(BW101="","",COUNTIFS('Content Calendar'!$W$5:$W$604,BW101,'Content Calendar'!$X$5:$X$604,"&lt;&gt;Published"))</f>
        <v>0</v>
      </c>
      <c r="BZ101" s="23">
        <f>IF(BW101="","",COUNTIFS(Tasks!$C$5:$C$64,BW101,Tasks!$G$5:$G$64,"&lt;&gt;Complete"))</f>
        <v>0</v>
      </c>
      <c r="CA101" s="17">
        <f>IF(Campaigns!$B$101="","",Campaigns!$B$101)</f>
        <v>0</v>
      </c>
      <c r="CB101" s="25">
        <f>IF(Campaigns!$T$101="","",Campaigns!$T$101)</f>
        <v>0</v>
      </c>
      <c r="CC101" s="25">
        <f>IF(Campaigns!$Q$101="","",Campaigns!$Q$101)</f>
        <v>0</v>
      </c>
      <c r="CD101" s="23">
        <f>IF(Campaigns!$Y$101="","",Campaigns!$Y$101)</f>
        <v>0</v>
      </c>
      <c r="CE101" s="32">
        <f>IF(CA101="","",IF(N(CB101)&lt;=0,"",N(CB101)+ROW()/1000000))</f>
        <v>0</v>
      </c>
      <c r="CF101" s="17">
        <f>IF(Accounts!$C$101="","",Accounts!$C$101)</f>
        <v>0</v>
      </c>
      <c r="CG101" s="17">
        <f>IF(Accounts!$B$101="","",Accounts!$B$101)</f>
        <v>0</v>
      </c>
      <c r="CH101" s="23">
        <f>IF(Accounts!$J$101="","",Accounts!$J$101)</f>
        <v>0</v>
      </c>
      <c r="CI101" s="23">
        <f>IF(CF101="","",SUMIFS(Analytics!$X$5:$X$154,Analytics!$E$5:$E$154,CF101,Analytics!$B$5:$B$154,"&gt;="&amp;DashStart,Analytics!$B$5:$B$154,"&lt;="&amp;DashEnd))</f>
        <v>0</v>
      </c>
      <c r="CJ101" s="32">
        <f>IF(CH101="","",IF(CH101=0,"",CH101+ROW()/1000000))</f>
        <v>0</v>
      </c>
    </row>
    <row r="102" spans="1:88">
      <c r="A102" s="16">
        <f>IF(ROW()-4&gt;12,"",DATE(PlanYear,ROW()-4,1))</f>
        <v>0</v>
      </c>
      <c r="B102" s="16">
        <f>IF(A102="","",EOMONTH(A102,0))</f>
        <v>0</v>
      </c>
      <c r="C102" s="17">
        <f>IF(A102="","",TEXT(A102,"yyyy-mm"))</f>
        <v>0</v>
      </c>
      <c r="D102" s="17">
        <f>IF(A102="","",TEXT(A102,"mmm"))</f>
        <v>0</v>
      </c>
      <c r="E102" s="23">
        <f>IF(C102="","",COUNTIFS('Content Calendar'!$D$5:$D$604,C102))</f>
        <v>0</v>
      </c>
      <c r="F102" s="23">
        <f>IF(C102="","",COUNTIFS('Content Calendar'!$D$5:$D$604,C102,'Content Calendar'!$X$5:$X$604,"Published"))</f>
        <v>0</v>
      </c>
      <c r="G102" s="23">
        <f>IF(C102="","",SUMIFS(Analytics!$J$5:$J$154,Analytics!$C$5:$C$154,C102))</f>
        <v>0</v>
      </c>
      <c r="H102" s="23">
        <f>IF(C102="","",SUMIFS(Analytics!$K$5:$K$154,Analytics!$C$5:$C$154,C102))</f>
        <v>0</v>
      </c>
      <c r="I102" s="23">
        <f>IF(C102="","",SUMIFS(Analytics!$L$5:$L$154,Analytics!$C$5:$C$154,C102))</f>
        <v>0</v>
      </c>
      <c r="J102" s="24">
        <f>IF(OR(G102="",G102=0),"",I102/G102)</f>
        <v>0</v>
      </c>
      <c r="K102" s="23">
        <f>IF(C102="","",SUMIFS(Analytics!$G$5:$G$154,Analytics!$C$5:$C$154,C102))</f>
        <v>0</v>
      </c>
      <c r="L102" s="23">
        <f>IF(C102="","",SUMIFS(Analytics!$X$5:$X$154,Analytics!$C$5:$C$154,C102))</f>
        <v>0</v>
      </c>
      <c r="M102" s="23">
        <f>IF(C102="","",SUMIFS(Analytics!$R$5:$R$154,Analytics!$C$5:$C$154,C102))</f>
        <v>0</v>
      </c>
      <c r="N102" s="23">
        <f>IF(C102="","",SUMIFS(Analytics!$S$5:$S$154,Analytics!$C$5:$C$154,C102))</f>
        <v>0</v>
      </c>
      <c r="O102" s="23">
        <f>IF(C102="","",SUMIFS(Analytics!$T$5:$T$154,Analytics!$C$5:$C$154,C102))</f>
        <v>0</v>
      </c>
      <c r="P102" s="25">
        <f>IF(C102="","",SUMIFS(Analytics!$U$5:$U$154,Analytics!$C$5:$C$154,C102))</f>
        <v>0</v>
      </c>
      <c r="Q102" s="25">
        <f>IF(C102="","",SUMIFS(Budget!$H$5:$H$64,Budget!$C$5:$C$64,C102))</f>
        <v>0</v>
      </c>
      <c r="R102" s="25">
        <f>IF(C102="","",P102-Q102)</f>
        <v>0</v>
      </c>
      <c r="S102" s="23">
        <f>IF(C102="","",MonthlyPostTarget)</f>
        <v>0</v>
      </c>
      <c r="T102" s="17">
        <f>IF(Lists!$C102="","",Lists!$C102)</f>
        <v>0</v>
      </c>
      <c r="U102" s="23">
        <f>IF(T102="","",COUNTIFS('Content Calendar'!$G$5:$G$604,T102,'Content Calendar'!$B$5:$B$604,"&gt;="&amp;DashStart,'Content Calendar'!$B$5:$B$604,"&lt;="&amp;DashEnd))</f>
        <v>0</v>
      </c>
      <c r="V102" s="23">
        <f>IF(T102="","",COUNTIFS('Content Calendar'!$G$5:$G$604,T102,'Content Calendar'!$X$5:$X$604,"Published",'Content Calendar'!$B$5:$B$604,"&gt;="&amp;DashStart,'Content Calendar'!$B$5:$B$604,"&lt;="&amp;DashEnd))</f>
        <v>0</v>
      </c>
      <c r="W102" s="23">
        <f>IF(T102="","",SUMIFS(Analytics!$J$5:$J$154,Analytics!$D$5:$D$154,T102,Analytics!$B$5:$B$154,"&gt;="&amp;DashStart,Analytics!$B$5:$B$154,"&lt;="&amp;DashEnd))</f>
        <v>0</v>
      </c>
      <c r="X102" s="23">
        <f>IF(T102="","",SUMIFS(Analytics!$L$5:$L$154,Analytics!$D$5:$D$154,T102,Analytics!$B$5:$B$154,"&gt;="&amp;DashStart,Analytics!$B$5:$B$154,"&lt;="&amp;DashEnd))</f>
        <v>0</v>
      </c>
      <c r="Y102" s="24">
        <f>IF(OR(W102="",W102=0),"",X102/W102)</f>
        <v>0</v>
      </c>
      <c r="Z102" s="23">
        <f>IF(T102="","",SUMIFS(Analytics!$G$5:$G$154,Analytics!$D$5:$D$154,T102,Analytics!$B$5:$B$154,"&gt;="&amp;DashStart,Analytics!$B$5:$B$154,"&lt;="&amp;DashEnd))</f>
        <v>0</v>
      </c>
      <c r="AA102" s="23">
        <f>IF(T102="","",SUMIFS(Analytics!$X$5:$X$154,Analytics!$D$5:$D$154,T102,Analytics!$B$5:$B$154,"&gt;="&amp;DashStart,Analytics!$B$5:$B$154,"&lt;="&amp;DashEnd))</f>
        <v>0</v>
      </c>
      <c r="AB102" s="23">
        <f>IF(T102="","",SUMIFS(Analytics!$R$5:$R$154,Analytics!$D$5:$D$154,T102,Analytics!$B$5:$B$154,"&gt;="&amp;DashStart,Analytics!$B$5:$B$154,"&lt;="&amp;DashEnd))</f>
        <v>0</v>
      </c>
      <c r="AC102" s="25">
        <f>IF(T102="","",SUMIFS(Analytics!$U$5:$U$154,Analytics!$D$5:$D$154,T102,Analytics!$B$5:$B$154,"&gt;="&amp;DashStart,Analytics!$B$5:$B$154,"&lt;="&amp;DashEnd))</f>
        <v>0</v>
      </c>
      <c r="AD102" s="23">
        <f>IF(T102="","",COUNTIFS('Content Calendar'!$G$5:$G$604,T102,'Content Calendar'!$B$5:$B$604,"&gt;="&amp;DATE(PlanYear,1,1),'Content Calendar'!$B$5:$B$604,"&lt;="&amp;DATE(PlanYear,12,31)))</f>
        <v>0</v>
      </c>
      <c r="AE102" s="23">
        <f>IF(T102="","",SUMIFS(Analytics!$J$5:$J$154,Analytics!$D$5:$D$154,T102))</f>
        <v>0</v>
      </c>
      <c r="AF102" s="23">
        <f>IF(T102="","",SUMIFS(Analytics!$L$5:$L$154,Analytics!$D$5:$D$154,T102))</f>
        <v>0</v>
      </c>
      <c r="AG102" s="24">
        <f>IF(OR(AE102="",AE102=0),"",AF102/AE102)</f>
        <v>0</v>
      </c>
      <c r="AH102" s="23">
        <f>IF(T102="","",SUMIFS(Analytics!$X$5:$X$154,Analytics!$D$5:$D$154,T102))</f>
        <v>0</v>
      </c>
      <c r="AI102" s="32">
        <f>IF(T102="","",IF(AE102=0,"",AE102+ROW()/1000000))</f>
        <v>0</v>
      </c>
      <c r="AJ102" s="17">
        <f>IF('Content Pillars'!$B$102="","",'Content Pillars'!$B$102)</f>
        <v>0</v>
      </c>
      <c r="AK102" s="23">
        <f>IF(AJ102="","",COUNTIFS('Content Calendar'!$J$5:$J$604,AJ102,'Content Calendar'!$B$5:$B$604,"&gt;="&amp;DATE(PlanYear,1,1),'Content Calendar'!$B$5:$B$604,"&lt;="&amp;DATE(PlanYear,12,31)))</f>
        <v>0</v>
      </c>
      <c r="AL102" s="23">
        <f>IF(AJ102="","",SUMIFS(Performance!$O$5:$O$404,Performance!$H$5:$H$404,AJ102))</f>
        <v>0</v>
      </c>
      <c r="AM102" s="23">
        <f>IF(AJ102="","",SUMIFS(Performance!$Z$5:$Z$404,Performance!$H$5:$H$404,AJ102))</f>
        <v>0</v>
      </c>
      <c r="AN102" s="24">
        <f>IF(OR(AL102="",AL102=0),"",AM102/AL102)</f>
        <v>0</v>
      </c>
      <c r="AO102" s="32">
        <f>IF(AN102="","",AN102+ROW()/1000000)</f>
        <v>0</v>
      </c>
      <c r="AP102" s="17">
        <f>IF(Lists!$E102="","",Lists!$E102)</f>
        <v>0</v>
      </c>
      <c r="AQ102" s="23">
        <f>IF(AP102="","",COUNTIF(Performance!$G$5:$G$404,AP102))</f>
        <v>0</v>
      </c>
      <c r="AR102" s="23">
        <f>IF(AP102="","",SUMIFS(Performance!$O$5:$O$404,Performance!$G$5:$G$404,AP102))</f>
        <v>0</v>
      </c>
      <c r="AS102" s="23">
        <f>IF(AP102="","",SUMIFS(Performance!$Z$5:$Z$404,Performance!$G$5:$G$404,AP102))</f>
        <v>0</v>
      </c>
      <c r="AT102" s="24">
        <f>IF(OR(AR102="",AR102=0),"",AS102/AR102)</f>
        <v>0</v>
      </c>
      <c r="AU102" s="32">
        <f>IF(AQ102=0,"",IF(AT102="","",AT102+ROW()/1000000))</f>
        <v>0</v>
      </c>
      <c r="AV102" s="17">
        <f>IF(ROW()-4&gt;7,"",TEXT(DATE(2024,1,ROW()-4),"ddd"))</f>
        <v>0</v>
      </c>
      <c r="AW102" s="23">
        <f>IF(AV102="","",COUNTIF(Performance!$N$5:$N$404,AV102))</f>
        <v>0</v>
      </c>
      <c r="AX102" s="23">
        <f>IF(AV102="","",SUMIFS(Performance!$O$5:$O$404,Performance!$N$5:$N$404,AV102))</f>
        <v>0</v>
      </c>
      <c r="AY102" s="23">
        <f>IF(AV102="","",SUMIFS(Performance!$Z$5:$Z$404,Performance!$N$5:$N$404,AV102))</f>
        <v>0</v>
      </c>
      <c r="AZ102" s="24">
        <f>IF(OR(AX102="",AX102=0),"",AY102/AX102)</f>
        <v>0</v>
      </c>
      <c r="BA102" s="32">
        <f>IF(AW102=0,"",IF(AZ102="","",AZ102+ROW()/1000000))</f>
        <v>0</v>
      </c>
      <c r="BB102" s="17">
        <f>IF(Lists!$AL102="","",Lists!$AL102)</f>
        <v>0</v>
      </c>
      <c r="BC102" s="23">
        <f>IF(BB102="","",COUNTIF(Performance!$M$5:$M$404,BB102))</f>
        <v>0</v>
      </c>
      <c r="BD102" s="23">
        <f>IF(BB102="","",SUMIFS(Performance!$O$5:$O$404,Performance!$M$5:$M$404,BB102))</f>
        <v>0</v>
      </c>
      <c r="BE102" s="23">
        <f>IF(BB102="","",SUMIFS(Performance!$Z$5:$Z$404,Performance!$M$5:$M$404,BB102))</f>
        <v>0</v>
      </c>
      <c r="BF102" s="24">
        <f>IF(OR(BD102="",BD102=0),"",BE102/BD102)</f>
        <v>0</v>
      </c>
      <c r="BG102" s="32">
        <f>IF(BC102=0,"",IF(BF102="","",BF102+ROW()/1000000))</f>
        <v>0</v>
      </c>
      <c r="BH102" s="17">
        <f>IF(Performance!$C$102="","",Performance!$C$102)</f>
        <v>0</v>
      </c>
      <c r="BI102" s="17">
        <f>IF(Performance!$F$102="","",Performance!$F$102)</f>
        <v>0</v>
      </c>
      <c r="BJ102" s="17">
        <f>IF(Performance!$H$102="","",Performance!$H$102)</f>
        <v>0</v>
      </c>
      <c r="BK102" s="16">
        <f>IF(Performance!$D$102="","",Performance!$D$102)</f>
        <v>0</v>
      </c>
      <c r="BL102" s="17">
        <f>IF(Performance!$E$102="","",Performance!$E$102)</f>
        <v>0</v>
      </c>
      <c r="BM102" s="23">
        <f>IF(Performance!$O$102="","",Performance!$O$102)</f>
        <v>0</v>
      </c>
      <c r="BN102" s="24">
        <f>IF(Performance!$AA$102="","",Performance!$AA$102)</f>
        <v>0</v>
      </c>
      <c r="BO102" s="32">
        <f>IF(BH102="","",IF(BK102="","",IF(OR(BK102&lt;DashStart,BK102&gt;DashEnd),"",IF(BN102="","",BN102+ROW()/1000000))))</f>
        <v>0</v>
      </c>
      <c r="BP102" s="32">
        <f>IF(BM102="","",IF(BK102="","",IF(OR(BK102&lt;DashStart,BK102&gt;DashEnd),"",BM102+ROW()/1000000)))</f>
        <v>0</v>
      </c>
      <c r="BQ102" s="32">
        <f>IF(BH102="","",IF(BK102="","",IF(YEAR(BK102)&lt;&gt;PlanYear,"",IF(BN102="","",BN102+ROW()/1000000))))</f>
        <v>0</v>
      </c>
      <c r="BR102" s="32">
        <f>IF(BH102="","",IF(BK102="","",IF(OR(BK102&lt;RepFrom,BK102&gt;RepTo),"",IF(BN102="","",BN102+ROW()/1000000))))</f>
        <v>0</v>
      </c>
      <c r="BS102" s="32">
        <f>IF(BM102="","",IF(BK102="","",IF(YEAR(BK102)&lt;&gt;PlanYear,"",BM102+ROW()/1000000)))</f>
        <v>0</v>
      </c>
      <c r="BT102" s="17">
        <f>IF(Lists!$F102="","",Lists!$F102)</f>
        <v>0</v>
      </c>
      <c r="BU102" s="23">
        <f>IF(BT102="","",COUNTIF('Content Calendar'!$X$5:$X$604,BT102))</f>
        <v>0</v>
      </c>
      <c r="BV102" s="23">
        <f>IF(BT102="","",COUNTIFS('Content Calendar'!$X$5:$X$604,BT102,'Content Calendar'!$B$5:$B$604,"&gt;="&amp;DashStart,'Content Calendar'!$B$5:$B$604,"&lt;="&amp;DashEnd))</f>
        <v>0</v>
      </c>
      <c r="BW102" s="17">
        <f>IF(Team!$B$102="","",Team!$B$102)</f>
        <v>0</v>
      </c>
      <c r="BX102" s="23">
        <f>IF(BW102="","",COUNTIF('Content Calendar'!$W$5:$W$604,BW102))</f>
        <v>0</v>
      </c>
      <c r="BY102" s="23">
        <f>IF(BW102="","",COUNTIFS('Content Calendar'!$W$5:$W$604,BW102,'Content Calendar'!$X$5:$X$604,"&lt;&gt;Published"))</f>
        <v>0</v>
      </c>
      <c r="BZ102" s="23">
        <f>IF(BW102="","",COUNTIFS(Tasks!$C$5:$C$64,BW102,Tasks!$G$5:$G$64,"&lt;&gt;Complete"))</f>
        <v>0</v>
      </c>
      <c r="CA102" s="17">
        <f>IF(Campaigns!$B$102="","",Campaigns!$B$102)</f>
        <v>0</v>
      </c>
      <c r="CB102" s="25">
        <f>IF(Campaigns!$T$102="","",Campaigns!$T$102)</f>
        <v>0</v>
      </c>
      <c r="CC102" s="25">
        <f>IF(Campaigns!$Q$102="","",Campaigns!$Q$102)</f>
        <v>0</v>
      </c>
      <c r="CD102" s="23">
        <f>IF(Campaigns!$Y$102="","",Campaigns!$Y$102)</f>
        <v>0</v>
      </c>
      <c r="CE102" s="32">
        <f>IF(CA102="","",IF(N(CB102)&lt;=0,"",N(CB102)+ROW()/1000000))</f>
        <v>0</v>
      </c>
      <c r="CF102" s="17">
        <f>IF(Accounts!$C$102="","",Accounts!$C$102)</f>
        <v>0</v>
      </c>
      <c r="CG102" s="17">
        <f>IF(Accounts!$B$102="","",Accounts!$B$102)</f>
        <v>0</v>
      </c>
      <c r="CH102" s="23">
        <f>IF(Accounts!$J$102="","",Accounts!$J$102)</f>
        <v>0</v>
      </c>
      <c r="CI102" s="23">
        <f>IF(CF102="","",SUMIFS(Analytics!$X$5:$X$154,Analytics!$E$5:$E$154,CF102,Analytics!$B$5:$B$154,"&gt;="&amp;DashStart,Analytics!$B$5:$B$154,"&lt;="&amp;DashEnd))</f>
        <v>0</v>
      </c>
      <c r="CJ102" s="32">
        <f>IF(CH102="","",IF(CH102=0,"",CH102+ROW()/1000000))</f>
        <v>0</v>
      </c>
    </row>
    <row r="103" spans="1:88">
      <c r="A103" s="16">
        <f>IF(ROW()-4&gt;12,"",DATE(PlanYear,ROW()-4,1))</f>
        <v>0</v>
      </c>
      <c r="B103" s="16">
        <f>IF(A103="","",EOMONTH(A103,0))</f>
        <v>0</v>
      </c>
      <c r="C103" s="17">
        <f>IF(A103="","",TEXT(A103,"yyyy-mm"))</f>
        <v>0</v>
      </c>
      <c r="D103" s="17">
        <f>IF(A103="","",TEXT(A103,"mmm"))</f>
        <v>0</v>
      </c>
      <c r="E103" s="23">
        <f>IF(C103="","",COUNTIFS('Content Calendar'!$D$5:$D$604,C103))</f>
        <v>0</v>
      </c>
      <c r="F103" s="23">
        <f>IF(C103="","",COUNTIFS('Content Calendar'!$D$5:$D$604,C103,'Content Calendar'!$X$5:$X$604,"Published"))</f>
        <v>0</v>
      </c>
      <c r="G103" s="23">
        <f>IF(C103="","",SUMIFS(Analytics!$J$5:$J$154,Analytics!$C$5:$C$154,C103))</f>
        <v>0</v>
      </c>
      <c r="H103" s="23">
        <f>IF(C103="","",SUMIFS(Analytics!$K$5:$K$154,Analytics!$C$5:$C$154,C103))</f>
        <v>0</v>
      </c>
      <c r="I103" s="23">
        <f>IF(C103="","",SUMIFS(Analytics!$L$5:$L$154,Analytics!$C$5:$C$154,C103))</f>
        <v>0</v>
      </c>
      <c r="J103" s="24">
        <f>IF(OR(G103="",G103=0),"",I103/G103)</f>
        <v>0</v>
      </c>
      <c r="K103" s="23">
        <f>IF(C103="","",SUMIFS(Analytics!$G$5:$G$154,Analytics!$C$5:$C$154,C103))</f>
        <v>0</v>
      </c>
      <c r="L103" s="23">
        <f>IF(C103="","",SUMIFS(Analytics!$X$5:$X$154,Analytics!$C$5:$C$154,C103))</f>
        <v>0</v>
      </c>
      <c r="M103" s="23">
        <f>IF(C103="","",SUMIFS(Analytics!$R$5:$R$154,Analytics!$C$5:$C$154,C103))</f>
        <v>0</v>
      </c>
      <c r="N103" s="23">
        <f>IF(C103="","",SUMIFS(Analytics!$S$5:$S$154,Analytics!$C$5:$C$154,C103))</f>
        <v>0</v>
      </c>
      <c r="O103" s="23">
        <f>IF(C103="","",SUMIFS(Analytics!$T$5:$T$154,Analytics!$C$5:$C$154,C103))</f>
        <v>0</v>
      </c>
      <c r="P103" s="25">
        <f>IF(C103="","",SUMIFS(Analytics!$U$5:$U$154,Analytics!$C$5:$C$154,C103))</f>
        <v>0</v>
      </c>
      <c r="Q103" s="25">
        <f>IF(C103="","",SUMIFS(Budget!$H$5:$H$64,Budget!$C$5:$C$64,C103))</f>
        <v>0</v>
      </c>
      <c r="R103" s="25">
        <f>IF(C103="","",P103-Q103)</f>
        <v>0</v>
      </c>
      <c r="S103" s="23">
        <f>IF(C103="","",MonthlyPostTarget)</f>
        <v>0</v>
      </c>
      <c r="T103" s="17">
        <f>IF(Lists!$C103="","",Lists!$C103)</f>
        <v>0</v>
      </c>
      <c r="U103" s="23">
        <f>IF(T103="","",COUNTIFS('Content Calendar'!$G$5:$G$604,T103,'Content Calendar'!$B$5:$B$604,"&gt;="&amp;DashStart,'Content Calendar'!$B$5:$B$604,"&lt;="&amp;DashEnd))</f>
        <v>0</v>
      </c>
      <c r="V103" s="23">
        <f>IF(T103="","",COUNTIFS('Content Calendar'!$G$5:$G$604,T103,'Content Calendar'!$X$5:$X$604,"Published",'Content Calendar'!$B$5:$B$604,"&gt;="&amp;DashStart,'Content Calendar'!$B$5:$B$604,"&lt;="&amp;DashEnd))</f>
        <v>0</v>
      </c>
      <c r="W103" s="23">
        <f>IF(T103="","",SUMIFS(Analytics!$J$5:$J$154,Analytics!$D$5:$D$154,T103,Analytics!$B$5:$B$154,"&gt;="&amp;DashStart,Analytics!$B$5:$B$154,"&lt;="&amp;DashEnd))</f>
        <v>0</v>
      </c>
      <c r="X103" s="23">
        <f>IF(T103="","",SUMIFS(Analytics!$L$5:$L$154,Analytics!$D$5:$D$154,T103,Analytics!$B$5:$B$154,"&gt;="&amp;DashStart,Analytics!$B$5:$B$154,"&lt;="&amp;DashEnd))</f>
        <v>0</v>
      </c>
      <c r="Y103" s="24">
        <f>IF(OR(W103="",W103=0),"",X103/W103)</f>
        <v>0</v>
      </c>
      <c r="Z103" s="23">
        <f>IF(T103="","",SUMIFS(Analytics!$G$5:$G$154,Analytics!$D$5:$D$154,T103,Analytics!$B$5:$B$154,"&gt;="&amp;DashStart,Analytics!$B$5:$B$154,"&lt;="&amp;DashEnd))</f>
        <v>0</v>
      </c>
      <c r="AA103" s="23">
        <f>IF(T103="","",SUMIFS(Analytics!$X$5:$X$154,Analytics!$D$5:$D$154,T103,Analytics!$B$5:$B$154,"&gt;="&amp;DashStart,Analytics!$B$5:$B$154,"&lt;="&amp;DashEnd))</f>
        <v>0</v>
      </c>
      <c r="AB103" s="23">
        <f>IF(T103="","",SUMIFS(Analytics!$R$5:$R$154,Analytics!$D$5:$D$154,T103,Analytics!$B$5:$B$154,"&gt;="&amp;DashStart,Analytics!$B$5:$B$154,"&lt;="&amp;DashEnd))</f>
        <v>0</v>
      </c>
      <c r="AC103" s="25">
        <f>IF(T103="","",SUMIFS(Analytics!$U$5:$U$154,Analytics!$D$5:$D$154,T103,Analytics!$B$5:$B$154,"&gt;="&amp;DashStart,Analytics!$B$5:$B$154,"&lt;="&amp;DashEnd))</f>
        <v>0</v>
      </c>
      <c r="AD103" s="23">
        <f>IF(T103="","",COUNTIFS('Content Calendar'!$G$5:$G$604,T103,'Content Calendar'!$B$5:$B$604,"&gt;="&amp;DATE(PlanYear,1,1),'Content Calendar'!$B$5:$B$604,"&lt;="&amp;DATE(PlanYear,12,31)))</f>
        <v>0</v>
      </c>
      <c r="AE103" s="23">
        <f>IF(T103="","",SUMIFS(Analytics!$J$5:$J$154,Analytics!$D$5:$D$154,T103))</f>
        <v>0</v>
      </c>
      <c r="AF103" s="23">
        <f>IF(T103="","",SUMIFS(Analytics!$L$5:$L$154,Analytics!$D$5:$D$154,T103))</f>
        <v>0</v>
      </c>
      <c r="AG103" s="24">
        <f>IF(OR(AE103="",AE103=0),"",AF103/AE103)</f>
        <v>0</v>
      </c>
      <c r="AH103" s="23">
        <f>IF(T103="","",SUMIFS(Analytics!$X$5:$X$154,Analytics!$D$5:$D$154,T103))</f>
        <v>0</v>
      </c>
      <c r="AI103" s="32">
        <f>IF(T103="","",IF(AE103=0,"",AE103+ROW()/1000000))</f>
        <v>0</v>
      </c>
      <c r="AJ103" s="17">
        <f>IF('Content Pillars'!$B$103="","",'Content Pillars'!$B$103)</f>
        <v>0</v>
      </c>
      <c r="AK103" s="23">
        <f>IF(AJ103="","",COUNTIFS('Content Calendar'!$J$5:$J$604,AJ103,'Content Calendar'!$B$5:$B$604,"&gt;="&amp;DATE(PlanYear,1,1),'Content Calendar'!$B$5:$B$604,"&lt;="&amp;DATE(PlanYear,12,31)))</f>
        <v>0</v>
      </c>
      <c r="AL103" s="23">
        <f>IF(AJ103="","",SUMIFS(Performance!$O$5:$O$404,Performance!$H$5:$H$404,AJ103))</f>
        <v>0</v>
      </c>
      <c r="AM103" s="23">
        <f>IF(AJ103="","",SUMIFS(Performance!$Z$5:$Z$404,Performance!$H$5:$H$404,AJ103))</f>
        <v>0</v>
      </c>
      <c r="AN103" s="24">
        <f>IF(OR(AL103="",AL103=0),"",AM103/AL103)</f>
        <v>0</v>
      </c>
      <c r="AO103" s="32">
        <f>IF(AN103="","",AN103+ROW()/1000000)</f>
        <v>0</v>
      </c>
      <c r="AP103" s="17">
        <f>IF(Lists!$E103="","",Lists!$E103)</f>
        <v>0</v>
      </c>
      <c r="AQ103" s="23">
        <f>IF(AP103="","",COUNTIF(Performance!$G$5:$G$404,AP103))</f>
        <v>0</v>
      </c>
      <c r="AR103" s="23">
        <f>IF(AP103="","",SUMIFS(Performance!$O$5:$O$404,Performance!$G$5:$G$404,AP103))</f>
        <v>0</v>
      </c>
      <c r="AS103" s="23">
        <f>IF(AP103="","",SUMIFS(Performance!$Z$5:$Z$404,Performance!$G$5:$G$404,AP103))</f>
        <v>0</v>
      </c>
      <c r="AT103" s="24">
        <f>IF(OR(AR103="",AR103=0),"",AS103/AR103)</f>
        <v>0</v>
      </c>
      <c r="AU103" s="32">
        <f>IF(AQ103=0,"",IF(AT103="","",AT103+ROW()/1000000))</f>
        <v>0</v>
      </c>
      <c r="AV103" s="17">
        <f>IF(ROW()-4&gt;7,"",TEXT(DATE(2024,1,ROW()-4),"ddd"))</f>
        <v>0</v>
      </c>
      <c r="AW103" s="23">
        <f>IF(AV103="","",COUNTIF(Performance!$N$5:$N$404,AV103))</f>
        <v>0</v>
      </c>
      <c r="AX103" s="23">
        <f>IF(AV103="","",SUMIFS(Performance!$O$5:$O$404,Performance!$N$5:$N$404,AV103))</f>
        <v>0</v>
      </c>
      <c r="AY103" s="23">
        <f>IF(AV103="","",SUMIFS(Performance!$Z$5:$Z$404,Performance!$N$5:$N$404,AV103))</f>
        <v>0</v>
      </c>
      <c r="AZ103" s="24">
        <f>IF(OR(AX103="",AX103=0),"",AY103/AX103)</f>
        <v>0</v>
      </c>
      <c r="BA103" s="32">
        <f>IF(AW103=0,"",IF(AZ103="","",AZ103+ROW()/1000000))</f>
        <v>0</v>
      </c>
      <c r="BB103" s="17">
        <f>IF(Lists!$AL103="","",Lists!$AL103)</f>
        <v>0</v>
      </c>
      <c r="BC103" s="23">
        <f>IF(BB103="","",COUNTIF(Performance!$M$5:$M$404,BB103))</f>
        <v>0</v>
      </c>
      <c r="BD103" s="23">
        <f>IF(BB103="","",SUMIFS(Performance!$O$5:$O$404,Performance!$M$5:$M$404,BB103))</f>
        <v>0</v>
      </c>
      <c r="BE103" s="23">
        <f>IF(BB103="","",SUMIFS(Performance!$Z$5:$Z$404,Performance!$M$5:$M$404,BB103))</f>
        <v>0</v>
      </c>
      <c r="BF103" s="24">
        <f>IF(OR(BD103="",BD103=0),"",BE103/BD103)</f>
        <v>0</v>
      </c>
      <c r="BG103" s="32">
        <f>IF(BC103=0,"",IF(BF103="","",BF103+ROW()/1000000))</f>
        <v>0</v>
      </c>
      <c r="BH103" s="17">
        <f>IF(Performance!$C$103="","",Performance!$C$103)</f>
        <v>0</v>
      </c>
      <c r="BI103" s="17">
        <f>IF(Performance!$F$103="","",Performance!$F$103)</f>
        <v>0</v>
      </c>
      <c r="BJ103" s="17">
        <f>IF(Performance!$H$103="","",Performance!$H$103)</f>
        <v>0</v>
      </c>
      <c r="BK103" s="16">
        <f>IF(Performance!$D$103="","",Performance!$D$103)</f>
        <v>0</v>
      </c>
      <c r="BL103" s="17">
        <f>IF(Performance!$E$103="","",Performance!$E$103)</f>
        <v>0</v>
      </c>
      <c r="BM103" s="23">
        <f>IF(Performance!$O$103="","",Performance!$O$103)</f>
        <v>0</v>
      </c>
      <c r="BN103" s="24">
        <f>IF(Performance!$AA$103="","",Performance!$AA$103)</f>
        <v>0</v>
      </c>
      <c r="BO103" s="32">
        <f>IF(BH103="","",IF(BK103="","",IF(OR(BK103&lt;DashStart,BK103&gt;DashEnd),"",IF(BN103="","",BN103+ROW()/1000000))))</f>
        <v>0</v>
      </c>
      <c r="BP103" s="32">
        <f>IF(BM103="","",IF(BK103="","",IF(OR(BK103&lt;DashStart,BK103&gt;DashEnd),"",BM103+ROW()/1000000)))</f>
        <v>0</v>
      </c>
      <c r="BQ103" s="32">
        <f>IF(BH103="","",IF(BK103="","",IF(YEAR(BK103)&lt;&gt;PlanYear,"",IF(BN103="","",BN103+ROW()/1000000))))</f>
        <v>0</v>
      </c>
      <c r="BR103" s="32">
        <f>IF(BH103="","",IF(BK103="","",IF(OR(BK103&lt;RepFrom,BK103&gt;RepTo),"",IF(BN103="","",BN103+ROW()/1000000))))</f>
        <v>0</v>
      </c>
      <c r="BS103" s="32">
        <f>IF(BM103="","",IF(BK103="","",IF(YEAR(BK103)&lt;&gt;PlanYear,"",BM103+ROW()/1000000)))</f>
        <v>0</v>
      </c>
      <c r="BT103" s="17">
        <f>IF(Lists!$F103="","",Lists!$F103)</f>
        <v>0</v>
      </c>
      <c r="BU103" s="23">
        <f>IF(BT103="","",COUNTIF('Content Calendar'!$X$5:$X$604,BT103))</f>
        <v>0</v>
      </c>
      <c r="BV103" s="23">
        <f>IF(BT103="","",COUNTIFS('Content Calendar'!$X$5:$X$604,BT103,'Content Calendar'!$B$5:$B$604,"&gt;="&amp;DashStart,'Content Calendar'!$B$5:$B$604,"&lt;="&amp;DashEnd))</f>
        <v>0</v>
      </c>
      <c r="BW103" s="17">
        <f>IF(Team!$B$103="","",Team!$B$103)</f>
        <v>0</v>
      </c>
      <c r="BX103" s="23">
        <f>IF(BW103="","",COUNTIF('Content Calendar'!$W$5:$W$604,BW103))</f>
        <v>0</v>
      </c>
      <c r="BY103" s="23">
        <f>IF(BW103="","",COUNTIFS('Content Calendar'!$W$5:$W$604,BW103,'Content Calendar'!$X$5:$X$604,"&lt;&gt;Published"))</f>
        <v>0</v>
      </c>
      <c r="BZ103" s="23">
        <f>IF(BW103="","",COUNTIFS(Tasks!$C$5:$C$64,BW103,Tasks!$G$5:$G$64,"&lt;&gt;Complete"))</f>
        <v>0</v>
      </c>
      <c r="CA103" s="17">
        <f>IF(Campaigns!$B$103="","",Campaigns!$B$103)</f>
        <v>0</v>
      </c>
      <c r="CB103" s="25">
        <f>IF(Campaigns!$T$103="","",Campaigns!$T$103)</f>
        <v>0</v>
      </c>
      <c r="CC103" s="25">
        <f>IF(Campaigns!$Q$103="","",Campaigns!$Q$103)</f>
        <v>0</v>
      </c>
      <c r="CD103" s="23">
        <f>IF(Campaigns!$Y$103="","",Campaigns!$Y$103)</f>
        <v>0</v>
      </c>
      <c r="CE103" s="32">
        <f>IF(CA103="","",IF(N(CB103)&lt;=0,"",N(CB103)+ROW()/1000000))</f>
        <v>0</v>
      </c>
      <c r="CF103" s="17">
        <f>IF(Accounts!$C$103="","",Accounts!$C$103)</f>
        <v>0</v>
      </c>
      <c r="CG103" s="17">
        <f>IF(Accounts!$B$103="","",Accounts!$B$103)</f>
        <v>0</v>
      </c>
      <c r="CH103" s="23">
        <f>IF(Accounts!$J$103="","",Accounts!$J$103)</f>
        <v>0</v>
      </c>
      <c r="CI103" s="23">
        <f>IF(CF103="","",SUMIFS(Analytics!$X$5:$X$154,Analytics!$E$5:$E$154,CF103,Analytics!$B$5:$B$154,"&gt;="&amp;DashStart,Analytics!$B$5:$B$154,"&lt;="&amp;DashEnd))</f>
        <v>0</v>
      </c>
      <c r="CJ103" s="32">
        <f>IF(CH103="","",IF(CH103=0,"",CH103+ROW()/1000000))</f>
        <v>0</v>
      </c>
    </row>
    <row r="104" spans="1:88">
      <c r="A104" s="16">
        <f>IF(ROW()-4&gt;12,"",DATE(PlanYear,ROW()-4,1))</f>
        <v>0</v>
      </c>
      <c r="B104" s="16">
        <f>IF(A104="","",EOMONTH(A104,0))</f>
        <v>0</v>
      </c>
      <c r="C104" s="17">
        <f>IF(A104="","",TEXT(A104,"yyyy-mm"))</f>
        <v>0</v>
      </c>
      <c r="D104" s="17">
        <f>IF(A104="","",TEXT(A104,"mmm"))</f>
        <v>0</v>
      </c>
      <c r="E104" s="23">
        <f>IF(C104="","",COUNTIFS('Content Calendar'!$D$5:$D$604,C104))</f>
        <v>0</v>
      </c>
      <c r="F104" s="23">
        <f>IF(C104="","",COUNTIFS('Content Calendar'!$D$5:$D$604,C104,'Content Calendar'!$X$5:$X$604,"Published"))</f>
        <v>0</v>
      </c>
      <c r="G104" s="23">
        <f>IF(C104="","",SUMIFS(Analytics!$J$5:$J$154,Analytics!$C$5:$C$154,C104))</f>
        <v>0</v>
      </c>
      <c r="H104" s="23">
        <f>IF(C104="","",SUMIFS(Analytics!$K$5:$K$154,Analytics!$C$5:$C$154,C104))</f>
        <v>0</v>
      </c>
      <c r="I104" s="23">
        <f>IF(C104="","",SUMIFS(Analytics!$L$5:$L$154,Analytics!$C$5:$C$154,C104))</f>
        <v>0</v>
      </c>
      <c r="J104" s="24">
        <f>IF(OR(G104="",G104=0),"",I104/G104)</f>
        <v>0</v>
      </c>
      <c r="K104" s="23">
        <f>IF(C104="","",SUMIFS(Analytics!$G$5:$G$154,Analytics!$C$5:$C$154,C104))</f>
        <v>0</v>
      </c>
      <c r="L104" s="23">
        <f>IF(C104="","",SUMIFS(Analytics!$X$5:$X$154,Analytics!$C$5:$C$154,C104))</f>
        <v>0</v>
      </c>
      <c r="M104" s="23">
        <f>IF(C104="","",SUMIFS(Analytics!$R$5:$R$154,Analytics!$C$5:$C$154,C104))</f>
        <v>0</v>
      </c>
      <c r="N104" s="23">
        <f>IF(C104="","",SUMIFS(Analytics!$S$5:$S$154,Analytics!$C$5:$C$154,C104))</f>
        <v>0</v>
      </c>
      <c r="O104" s="23">
        <f>IF(C104="","",SUMIFS(Analytics!$T$5:$T$154,Analytics!$C$5:$C$154,C104))</f>
        <v>0</v>
      </c>
      <c r="P104" s="25">
        <f>IF(C104="","",SUMIFS(Analytics!$U$5:$U$154,Analytics!$C$5:$C$154,C104))</f>
        <v>0</v>
      </c>
      <c r="Q104" s="25">
        <f>IF(C104="","",SUMIFS(Budget!$H$5:$H$64,Budget!$C$5:$C$64,C104))</f>
        <v>0</v>
      </c>
      <c r="R104" s="25">
        <f>IF(C104="","",P104-Q104)</f>
        <v>0</v>
      </c>
      <c r="S104" s="23">
        <f>IF(C104="","",MonthlyPostTarget)</f>
        <v>0</v>
      </c>
      <c r="T104" s="17">
        <f>IF(Lists!$C104="","",Lists!$C104)</f>
        <v>0</v>
      </c>
      <c r="U104" s="23">
        <f>IF(T104="","",COUNTIFS('Content Calendar'!$G$5:$G$604,T104,'Content Calendar'!$B$5:$B$604,"&gt;="&amp;DashStart,'Content Calendar'!$B$5:$B$604,"&lt;="&amp;DashEnd))</f>
        <v>0</v>
      </c>
      <c r="V104" s="23">
        <f>IF(T104="","",COUNTIFS('Content Calendar'!$G$5:$G$604,T104,'Content Calendar'!$X$5:$X$604,"Published",'Content Calendar'!$B$5:$B$604,"&gt;="&amp;DashStart,'Content Calendar'!$B$5:$B$604,"&lt;="&amp;DashEnd))</f>
        <v>0</v>
      </c>
      <c r="W104" s="23">
        <f>IF(T104="","",SUMIFS(Analytics!$J$5:$J$154,Analytics!$D$5:$D$154,T104,Analytics!$B$5:$B$154,"&gt;="&amp;DashStart,Analytics!$B$5:$B$154,"&lt;="&amp;DashEnd))</f>
        <v>0</v>
      </c>
      <c r="X104" s="23">
        <f>IF(T104="","",SUMIFS(Analytics!$L$5:$L$154,Analytics!$D$5:$D$154,T104,Analytics!$B$5:$B$154,"&gt;="&amp;DashStart,Analytics!$B$5:$B$154,"&lt;="&amp;DashEnd))</f>
        <v>0</v>
      </c>
      <c r="Y104" s="24">
        <f>IF(OR(W104="",W104=0),"",X104/W104)</f>
        <v>0</v>
      </c>
      <c r="Z104" s="23">
        <f>IF(T104="","",SUMIFS(Analytics!$G$5:$G$154,Analytics!$D$5:$D$154,T104,Analytics!$B$5:$B$154,"&gt;="&amp;DashStart,Analytics!$B$5:$B$154,"&lt;="&amp;DashEnd))</f>
        <v>0</v>
      </c>
      <c r="AA104" s="23">
        <f>IF(T104="","",SUMIFS(Analytics!$X$5:$X$154,Analytics!$D$5:$D$154,T104,Analytics!$B$5:$B$154,"&gt;="&amp;DashStart,Analytics!$B$5:$B$154,"&lt;="&amp;DashEnd))</f>
        <v>0</v>
      </c>
      <c r="AB104" s="23">
        <f>IF(T104="","",SUMIFS(Analytics!$R$5:$R$154,Analytics!$D$5:$D$154,T104,Analytics!$B$5:$B$154,"&gt;="&amp;DashStart,Analytics!$B$5:$B$154,"&lt;="&amp;DashEnd))</f>
        <v>0</v>
      </c>
      <c r="AC104" s="25">
        <f>IF(T104="","",SUMIFS(Analytics!$U$5:$U$154,Analytics!$D$5:$D$154,T104,Analytics!$B$5:$B$154,"&gt;="&amp;DashStart,Analytics!$B$5:$B$154,"&lt;="&amp;DashEnd))</f>
        <v>0</v>
      </c>
      <c r="AD104" s="23">
        <f>IF(T104="","",COUNTIFS('Content Calendar'!$G$5:$G$604,T104,'Content Calendar'!$B$5:$B$604,"&gt;="&amp;DATE(PlanYear,1,1),'Content Calendar'!$B$5:$B$604,"&lt;="&amp;DATE(PlanYear,12,31)))</f>
        <v>0</v>
      </c>
      <c r="AE104" s="23">
        <f>IF(T104="","",SUMIFS(Analytics!$J$5:$J$154,Analytics!$D$5:$D$154,T104))</f>
        <v>0</v>
      </c>
      <c r="AF104" s="23">
        <f>IF(T104="","",SUMIFS(Analytics!$L$5:$L$154,Analytics!$D$5:$D$154,T104))</f>
        <v>0</v>
      </c>
      <c r="AG104" s="24">
        <f>IF(OR(AE104="",AE104=0),"",AF104/AE104)</f>
        <v>0</v>
      </c>
      <c r="AH104" s="23">
        <f>IF(T104="","",SUMIFS(Analytics!$X$5:$X$154,Analytics!$D$5:$D$154,T104))</f>
        <v>0</v>
      </c>
      <c r="AI104" s="32">
        <f>IF(T104="","",IF(AE104=0,"",AE104+ROW()/1000000))</f>
        <v>0</v>
      </c>
      <c r="AJ104" s="17">
        <f>IF('Content Pillars'!$B$104="","",'Content Pillars'!$B$104)</f>
        <v>0</v>
      </c>
      <c r="AK104" s="23">
        <f>IF(AJ104="","",COUNTIFS('Content Calendar'!$J$5:$J$604,AJ104,'Content Calendar'!$B$5:$B$604,"&gt;="&amp;DATE(PlanYear,1,1),'Content Calendar'!$B$5:$B$604,"&lt;="&amp;DATE(PlanYear,12,31)))</f>
        <v>0</v>
      </c>
      <c r="AL104" s="23">
        <f>IF(AJ104="","",SUMIFS(Performance!$O$5:$O$404,Performance!$H$5:$H$404,AJ104))</f>
        <v>0</v>
      </c>
      <c r="AM104" s="23">
        <f>IF(AJ104="","",SUMIFS(Performance!$Z$5:$Z$404,Performance!$H$5:$H$404,AJ104))</f>
        <v>0</v>
      </c>
      <c r="AN104" s="24">
        <f>IF(OR(AL104="",AL104=0),"",AM104/AL104)</f>
        <v>0</v>
      </c>
      <c r="AO104" s="32">
        <f>IF(AN104="","",AN104+ROW()/1000000)</f>
        <v>0</v>
      </c>
      <c r="AP104" s="17">
        <f>IF(Lists!$E104="","",Lists!$E104)</f>
        <v>0</v>
      </c>
      <c r="AQ104" s="23">
        <f>IF(AP104="","",COUNTIF(Performance!$G$5:$G$404,AP104))</f>
        <v>0</v>
      </c>
      <c r="AR104" s="23">
        <f>IF(AP104="","",SUMIFS(Performance!$O$5:$O$404,Performance!$G$5:$G$404,AP104))</f>
        <v>0</v>
      </c>
      <c r="AS104" s="23">
        <f>IF(AP104="","",SUMIFS(Performance!$Z$5:$Z$404,Performance!$G$5:$G$404,AP104))</f>
        <v>0</v>
      </c>
      <c r="AT104" s="24">
        <f>IF(OR(AR104="",AR104=0),"",AS104/AR104)</f>
        <v>0</v>
      </c>
      <c r="AU104" s="32">
        <f>IF(AQ104=0,"",IF(AT104="","",AT104+ROW()/1000000))</f>
        <v>0</v>
      </c>
      <c r="AV104" s="17">
        <f>IF(ROW()-4&gt;7,"",TEXT(DATE(2024,1,ROW()-4),"ddd"))</f>
        <v>0</v>
      </c>
      <c r="AW104" s="23">
        <f>IF(AV104="","",COUNTIF(Performance!$N$5:$N$404,AV104))</f>
        <v>0</v>
      </c>
      <c r="AX104" s="23">
        <f>IF(AV104="","",SUMIFS(Performance!$O$5:$O$404,Performance!$N$5:$N$404,AV104))</f>
        <v>0</v>
      </c>
      <c r="AY104" s="23">
        <f>IF(AV104="","",SUMIFS(Performance!$Z$5:$Z$404,Performance!$N$5:$N$404,AV104))</f>
        <v>0</v>
      </c>
      <c r="AZ104" s="24">
        <f>IF(OR(AX104="",AX104=0),"",AY104/AX104)</f>
        <v>0</v>
      </c>
      <c r="BA104" s="32">
        <f>IF(AW104=0,"",IF(AZ104="","",AZ104+ROW()/1000000))</f>
        <v>0</v>
      </c>
      <c r="BB104" s="17">
        <f>IF(Lists!$AL104="","",Lists!$AL104)</f>
        <v>0</v>
      </c>
      <c r="BC104" s="23">
        <f>IF(BB104="","",COUNTIF(Performance!$M$5:$M$404,BB104))</f>
        <v>0</v>
      </c>
      <c r="BD104" s="23">
        <f>IF(BB104="","",SUMIFS(Performance!$O$5:$O$404,Performance!$M$5:$M$404,BB104))</f>
        <v>0</v>
      </c>
      <c r="BE104" s="23">
        <f>IF(BB104="","",SUMIFS(Performance!$Z$5:$Z$404,Performance!$M$5:$M$404,BB104))</f>
        <v>0</v>
      </c>
      <c r="BF104" s="24">
        <f>IF(OR(BD104="",BD104=0),"",BE104/BD104)</f>
        <v>0</v>
      </c>
      <c r="BG104" s="32">
        <f>IF(BC104=0,"",IF(BF104="","",BF104+ROW()/1000000))</f>
        <v>0</v>
      </c>
      <c r="BH104" s="17">
        <f>IF(Performance!$C$104="","",Performance!$C$104)</f>
        <v>0</v>
      </c>
      <c r="BI104" s="17">
        <f>IF(Performance!$F$104="","",Performance!$F$104)</f>
        <v>0</v>
      </c>
      <c r="BJ104" s="17">
        <f>IF(Performance!$H$104="","",Performance!$H$104)</f>
        <v>0</v>
      </c>
      <c r="BK104" s="16">
        <f>IF(Performance!$D$104="","",Performance!$D$104)</f>
        <v>0</v>
      </c>
      <c r="BL104" s="17">
        <f>IF(Performance!$E$104="","",Performance!$E$104)</f>
        <v>0</v>
      </c>
      <c r="BM104" s="23">
        <f>IF(Performance!$O$104="","",Performance!$O$104)</f>
        <v>0</v>
      </c>
      <c r="BN104" s="24">
        <f>IF(Performance!$AA$104="","",Performance!$AA$104)</f>
        <v>0</v>
      </c>
      <c r="BO104" s="32">
        <f>IF(BH104="","",IF(BK104="","",IF(OR(BK104&lt;DashStart,BK104&gt;DashEnd),"",IF(BN104="","",BN104+ROW()/1000000))))</f>
        <v>0</v>
      </c>
      <c r="BP104" s="32">
        <f>IF(BM104="","",IF(BK104="","",IF(OR(BK104&lt;DashStart,BK104&gt;DashEnd),"",BM104+ROW()/1000000)))</f>
        <v>0</v>
      </c>
      <c r="BQ104" s="32">
        <f>IF(BH104="","",IF(BK104="","",IF(YEAR(BK104)&lt;&gt;PlanYear,"",IF(BN104="","",BN104+ROW()/1000000))))</f>
        <v>0</v>
      </c>
      <c r="BR104" s="32">
        <f>IF(BH104="","",IF(BK104="","",IF(OR(BK104&lt;RepFrom,BK104&gt;RepTo),"",IF(BN104="","",BN104+ROW()/1000000))))</f>
        <v>0</v>
      </c>
      <c r="BS104" s="32">
        <f>IF(BM104="","",IF(BK104="","",IF(YEAR(BK104)&lt;&gt;PlanYear,"",BM104+ROW()/1000000)))</f>
        <v>0</v>
      </c>
      <c r="BT104" s="17">
        <f>IF(Lists!$F104="","",Lists!$F104)</f>
        <v>0</v>
      </c>
      <c r="BU104" s="23">
        <f>IF(BT104="","",COUNTIF('Content Calendar'!$X$5:$X$604,BT104))</f>
        <v>0</v>
      </c>
      <c r="BV104" s="23">
        <f>IF(BT104="","",COUNTIFS('Content Calendar'!$X$5:$X$604,BT104,'Content Calendar'!$B$5:$B$604,"&gt;="&amp;DashStart,'Content Calendar'!$B$5:$B$604,"&lt;="&amp;DashEnd))</f>
        <v>0</v>
      </c>
      <c r="BW104" s="17">
        <f>IF(Team!$B$104="","",Team!$B$104)</f>
        <v>0</v>
      </c>
      <c r="BX104" s="23">
        <f>IF(BW104="","",COUNTIF('Content Calendar'!$W$5:$W$604,BW104))</f>
        <v>0</v>
      </c>
      <c r="BY104" s="23">
        <f>IF(BW104="","",COUNTIFS('Content Calendar'!$W$5:$W$604,BW104,'Content Calendar'!$X$5:$X$604,"&lt;&gt;Published"))</f>
        <v>0</v>
      </c>
      <c r="BZ104" s="23">
        <f>IF(BW104="","",COUNTIFS(Tasks!$C$5:$C$64,BW104,Tasks!$G$5:$G$64,"&lt;&gt;Complete"))</f>
        <v>0</v>
      </c>
      <c r="CA104" s="17">
        <f>IF(Campaigns!$B$104="","",Campaigns!$B$104)</f>
        <v>0</v>
      </c>
      <c r="CB104" s="25">
        <f>IF(Campaigns!$T$104="","",Campaigns!$T$104)</f>
        <v>0</v>
      </c>
      <c r="CC104" s="25">
        <f>IF(Campaigns!$Q$104="","",Campaigns!$Q$104)</f>
        <v>0</v>
      </c>
      <c r="CD104" s="23">
        <f>IF(Campaigns!$Y$104="","",Campaigns!$Y$104)</f>
        <v>0</v>
      </c>
      <c r="CE104" s="32">
        <f>IF(CA104="","",IF(N(CB104)&lt;=0,"",N(CB104)+ROW()/1000000))</f>
        <v>0</v>
      </c>
      <c r="CF104" s="17">
        <f>IF(Accounts!$C$104="","",Accounts!$C$104)</f>
        <v>0</v>
      </c>
      <c r="CG104" s="17">
        <f>IF(Accounts!$B$104="","",Accounts!$B$104)</f>
        <v>0</v>
      </c>
      <c r="CH104" s="23">
        <f>IF(Accounts!$J$104="","",Accounts!$J$104)</f>
        <v>0</v>
      </c>
      <c r="CI104" s="23">
        <f>IF(CF104="","",SUMIFS(Analytics!$X$5:$X$154,Analytics!$E$5:$E$154,CF104,Analytics!$B$5:$B$154,"&gt;="&amp;DashStart,Analytics!$B$5:$B$154,"&lt;="&amp;DashEnd))</f>
        <v>0</v>
      </c>
      <c r="CJ104" s="32">
        <f>IF(CH104="","",IF(CH104=0,"",CH104+ROW()/1000000))</f>
        <v>0</v>
      </c>
    </row>
    <row r="105" spans="1:88">
      <c r="A105" s="16">
        <f>IF(ROW()-4&gt;12,"",DATE(PlanYear,ROW()-4,1))</f>
        <v>0</v>
      </c>
      <c r="B105" s="16">
        <f>IF(A105="","",EOMONTH(A105,0))</f>
        <v>0</v>
      </c>
      <c r="C105" s="17">
        <f>IF(A105="","",TEXT(A105,"yyyy-mm"))</f>
        <v>0</v>
      </c>
      <c r="D105" s="17">
        <f>IF(A105="","",TEXT(A105,"mmm"))</f>
        <v>0</v>
      </c>
      <c r="E105" s="23">
        <f>IF(C105="","",COUNTIFS('Content Calendar'!$D$5:$D$604,C105))</f>
        <v>0</v>
      </c>
      <c r="F105" s="23">
        <f>IF(C105="","",COUNTIFS('Content Calendar'!$D$5:$D$604,C105,'Content Calendar'!$X$5:$X$604,"Published"))</f>
        <v>0</v>
      </c>
      <c r="G105" s="23">
        <f>IF(C105="","",SUMIFS(Analytics!$J$5:$J$154,Analytics!$C$5:$C$154,C105))</f>
        <v>0</v>
      </c>
      <c r="H105" s="23">
        <f>IF(C105="","",SUMIFS(Analytics!$K$5:$K$154,Analytics!$C$5:$C$154,C105))</f>
        <v>0</v>
      </c>
      <c r="I105" s="23">
        <f>IF(C105="","",SUMIFS(Analytics!$L$5:$L$154,Analytics!$C$5:$C$154,C105))</f>
        <v>0</v>
      </c>
      <c r="J105" s="24">
        <f>IF(OR(G105="",G105=0),"",I105/G105)</f>
        <v>0</v>
      </c>
      <c r="K105" s="23">
        <f>IF(C105="","",SUMIFS(Analytics!$G$5:$G$154,Analytics!$C$5:$C$154,C105))</f>
        <v>0</v>
      </c>
      <c r="L105" s="23">
        <f>IF(C105="","",SUMIFS(Analytics!$X$5:$X$154,Analytics!$C$5:$C$154,C105))</f>
        <v>0</v>
      </c>
      <c r="M105" s="23">
        <f>IF(C105="","",SUMIFS(Analytics!$R$5:$R$154,Analytics!$C$5:$C$154,C105))</f>
        <v>0</v>
      </c>
      <c r="N105" s="23">
        <f>IF(C105="","",SUMIFS(Analytics!$S$5:$S$154,Analytics!$C$5:$C$154,C105))</f>
        <v>0</v>
      </c>
      <c r="O105" s="23">
        <f>IF(C105="","",SUMIFS(Analytics!$T$5:$T$154,Analytics!$C$5:$C$154,C105))</f>
        <v>0</v>
      </c>
      <c r="P105" s="25">
        <f>IF(C105="","",SUMIFS(Analytics!$U$5:$U$154,Analytics!$C$5:$C$154,C105))</f>
        <v>0</v>
      </c>
      <c r="Q105" s="25">
        <f>IF(C105="","",SUMIFS(Budget!$H$5:$H$64,Budget!$C$5:$C$64,C105))</f>
        <v>0</v>
      </c>
      <c r="R105" s="25">
        <f>IF(C105="","",P105-Q105)</f>
        <v>0</v>
      </c>
      <c r="S105" s="23">
        <f>IF(C105="","",MonthlyPostTarget)</f>
        <v>0</v>
      </c>
      <c r="T105" s="17">
        <f>IF(Lists!$C105="","",Lists!$C105)</f>
        <v>0</v>
      </c>
      <c r="U105" s="23">
        <f>IF(T105="","",COUNTIFS('Content Calendar'!$G$5:$G$604,T105,'Content Calendar'!$B$5:$B$604,"&gt;="&amp;DashStart,'Content Calendar'!$B$5:$B$604,"&lt;="&amp;DashEnd))</f>
        <v>0</v>
      </c>
      <c r="V105" s="23">
        <f>IF(T105="","",COUNTIFS('Content Calendar'!$G$5:$G$604,T105,'Content Calendar'!$X$5:$X$604,"Published",'Content Calendar'!$B$5:$B$604,"&gt;="&amp;DashStart,'Content Calendar'!$B$5:$B$604,"&lt;="&amp;DashEnd))</f>
        <v>0</v>
      </c>
      <c r="W105" s="23">
        <f>IF(T105="","",SUMIFS(Analytics!$J$5:$J$154,Analytics!$D$5:$D$154,T105,Analytics!$B$5:$B$154,"&gt;="&amp;DashStart,Analytics!$B$5:$B$154,"&lt;="&amp;DashEnd))</f>
        <v>0</v>
      </c>
      <c r="X105" s="23">
        <f>IF(T105="","",SUMIFS(Analytics!$L$5:$L$154,Analytics!$D$5:$D$154,T105,Analytics!$B$5:$B$154,"&gt;="&amp;DashStart,Analytics!$B$5:$B$154,"&lt;="&amp;DashEnd))</f>
        <v>0</v>
      </c>
      <c r="Y105" s="24">
        <f>IF(OR(W105="",W105=0),"",X105/W105)</f>
        <v>0</v>
      </c>
      <c r="Z105" s="23">
        <f>IF(T105="","",SUMIFS(Analytics!$G$5:$G$154,Analytics!$D$5:$D$154,T105,Analytics!$B$5:$B$154,"&gt;="&amp;DashStart,Analytics!$B$5:$B$154,"&lt;="&amp;DashEnd))</f>
        <v>0</v>
      </c>
      <c r="AA105" s="23">
        <f>IF(T105="","",SUMIFS(Analytics!$X$5:$X$154,Analytics!$D$5:$D$154,T105,Analytics!$B$5:$B$154,"&gt;="&amp;DashStart,Analytics!$B$5:$B$154,"&lt;="&amp;DashEnd))</f>
        <v>0</v>
      </c>
      <c r="AB105" s="23">
        <f>IF(T105="","",SUMIFS(Analytics!$R$5:$R$154,Analytics!$D$5:$D$154,T105,Analytics!$B$5:$B$154,"&gt;="&amp;DashStart,Analytics!$B$5:$B$154,"&lt;="&amp;DashEnd))</f>
        <v>0</v>
      </c>
      <c r="AC105" s="25">
        <f>IF(T105="","",SUMIFS(Analytics!$U$5:$U$154,Analytics!$D$5:$D$154,T105,Analytics!$B$5:$B$154,"&gt;="&amp;DashStart,Analytics!$B$5:$B$154,"&lt;="&amp;DashEnd))</f>
        <v>0</v>
      </c>
      <c r="AD105" s="23">
        <f>IF(T105="","",COUNTIFS('Content Calendar'!$G$5:$G$604,T105,'Content Calendar'!$B$5:$B$604,"&gt;="&amp;DATE(PlanYear,1,1),'Content Calendar'!$B$5:$B$604,"&lt;="&amp;DATE(PlanYear,12,31)))</f>
        <v>0</v>
      </c>
      <c r="AE105" s="23">
        <f>IF(T105="","",SUMIFS(Analytics!$J$5:$J$154,Analytics!$D$5:$D$154,T105))</f>
        <v>0</v>
      </c>
      <c r="AF105" s="23">
        <f>IF(T105="","",SUMIFS(Analytics!$L$5:$L$154,Analytics!$D$5:$D$154,T105))</f>
        <v>0</v>
      </c>
      <c r="AG105" s="24">
        <f>IF(OR(AE105="",AE105=0),"",AF105/AE105)</f>
        <v>0</v>
      </c>
      <c r="AH105" s="23">
        <f>IF(T105="","",SUMIFS(Analytics!$X$5:$X$154,Analytics!$D$5:$D$154,T105))</f>
        <v>0</v>
      </c>
      <c r="AI105" s="32">
        <f>IF(T105="","",IF(AE105=0,"",AE105+ROW()/1000000))</f>
        <v>0</v>
      </c>
      <c r="AJ105" s="17">
        <f>IF('Content Pillars'!$B$105="","",'Content Pillars'!$B$105)</f>
        <v>0</v>
      </c>
      <c r="AK105" s="23">
        <f>IF(AJ105="","",COUNTIFS('Content Calendar'!$J$5:$J$604,AJ105,'Content Calendar'!$B$5:$B$604,"&gt;="&amp;DATE(PlanYear,1,1),'Content Calendar'!$B$5:$B$604,"&lt;="&amp;DATE(PlanYear,12,31)))</f>
        <v>0</v>
      </c>
      <c r="AL105" s="23">
        <f>IF(AJ105="","",SUMIFS(Performance!$O$5:$O$404,Performance!$H$5:$H$404,AJ105))</f>
        <v>0</v>
      </c>
      <c r="AM105" s="23">
        <f>IF(AJ105="","",SUMIFS(Performance!$Z$5:$Z$404,Performance!$H$5:$H$404,AJ105))</f>
        <v>0</v>
      </c>
      <c r="AN105" s="24">
        <f>IF(OR(AL105="",AL105=0),"",AM105/AL105)</f>
        <v>0</v>
      </c>
      <c r="AO105" s="32">
        <f>IF(AN105="","",AN105+ROW()/1000000)</f>
        <v>0</v>
      </c>
      <c r="AP105" s="17">
        <f>IF(Lists!$E105="","",Lists!$E105)</f>
        <v>0</v>
      </c>
      <c r="AQ105" s="23">
        <f>IF(AP105="","",COUNTIF(Performance!$G$5:$G$404,AP105))</f>
        <v>0</v>
      </c>
      <c r="AR105" s="23">
        <f>IF(AP105="","",SUMIFS(Performance!$O$5:$O$404,Performance!$G$5:$G$404,AP105))</f>
        <v>0</v>
      </c>
      <c r="AS105" s="23">
        <f>IF(AP105="","",SUMIFS(Performance!$Z$5:$Z$404,Performance!$G$5:$G$404,AP105))</f>
        <v>0</v>
      </c>
      <c r="AT105" s="24">
        <f>IF(OR(AR105="",AR105=0),"",AS105/AR105)</f>
        <v>0</v>
      </c>
      <c r="AU105" s="32">
        <f>IF(AQ105=0,"",IF(AT105="","",AT105+ROW()/1000000))</f>
        <v>0</v>
      </c>
      <c r="AV105" s="17">
        <f>IF(ROW()-4&gt;7,"",TEXT(DATE(2024,1,ROW()-4),"ddd"))</f>
        <v>0</v>
      </c>
      <c r="AW105" s="23">
        <f>IF(AV105="","",COUNTIF(Performance!$N$5:$N$404,AV105))</f>
        <v>0</v>
      </c>
      <c r="AX105" s="23">
        <f>IF(AV105="","",SUMIFS(Performance!$O$5:$O$404,Performance!$N$5:$N$404,AV105))</f>
        <v>0</v>
      </c>
      <c r="AY105" s="23">
        <f>IF(AV105="","",SUMIFS(Performance!$Z$5:$Z$404,Performance!$N$5:$N$404,AV105))</f>
        <v>0</v>
      </c>
      <c r="AZ105" s="24">
        <f>IF(OR(AX105="",AX105=0),"",AY105/AX105)</f>
        <v>0</v>
      </c>
      <c r="BA105" s="32">
        <f>IF(AW105=0,"",IF(AZ105="","",AZ105+ROW()/1000000))</f>
        <v>0</v>
      </c>
      <c r="BB105" s="17">
        <f>IF(Lists!$AL105="","",Lists!$AL105)</f>
        <v>0</v>
      </c>
      <c r="BC105" s="23">
        <f>IF(BB105="","",COUNTIF(Performance!$M$5:$M$404,BB105))</f>
        <v>0</v>
      </c>
      <c r="BD105" s="23">
        <f>IF(BB105="","",SUMIFS(Performance!$O$5:$O$404,Performance!$M$5:$M$404,BB105))</f>
        <v>0</v>
      </c>
      <c r="BE105" s="23">
        <f>IF(BB105="","",SUMIFS(Performance!$Z$5:$Z$404,Performance!$M$5:$M$404,BB105))</f>
        <v>0</v>
      </c>
      <c r="BF105" s="24">
        <f>IF(OR(BD105="",BD105=0),"",BE105/BD105)</f>
        <v>0</v>
      </c>
      <c r="BG105" s="32">
        <f>IF(BC105=0,"",IF(BF105="","",BF105+ROW()/1000000))</f>
        <v>0</v>
      </c>
      <c r="BH105" s="17">
        <f>IF(Performance!$C$105="","",Performance!$C$105)</f>
        <v>0</v>
      </c>
      <c r="BI105" s="17">
        <f>IF(Performance!$F$105="","",Performance!$F$105)</f>
        <v>0</v>
      </c>
      <c r="BJ105" s="17">
        <f>IF(Performance!$H$105="","",Performance!$H$105)</f>
        <v>0</v>
      </c>
      <c r="BK105" s="16">
        <f>IF(Performance!$D$105="","",Performance!$D$105)</f>
        <v>0</v>
      </c>
      <c r="BL105" s="17">
        <f>IF(Performance!$E$105="","",Performance!$E$105)</f>
        <v>0</v>
      </c>
      <c r="BM105" s="23">
        <f>IF(Performance!$O$105="","",Performance!$O$105)</f>
        <v>0</v>
      </c>
      <c r="BN105" s="24">
        <f>IF(Performance!$AA$105="","",Performance!$AA$105)</f>
        <v>0</v>
      </c>
      <c r="BO105" s="32">
        <f>IF(BH105="","",IF(BK105="","",IF(OR(BK105&lt;DashStart,BK105&gt;DashEnd),"",IF(BN105="","",BN105+ROW()/1000000))))</f>
        <v>0</v>
      </c>
      <c r="BP105" s="32">
        <f>IF(BM105="","",IF(BK105="","",IF(OR(BK105&lt;DashStart,BK105&gt;DashEnd),"",BM105+ROW()/1000000)))</f>
        <v>0</v>
      </c>
      <c r="BQ105" s="32">
        <f>IF(BH105="","",IF(BK105="","",IF(YEAR(BK105)&lt;&gt;PlanYear,"",IF(BN105="","",BN105+ROW()/1000000))))</f>
        <v>0</v>
      </c>
      <c r="BR105" s="32">
        <f>IF(BH105="","",IF(BK105="","",IF(OR(BK105&lt;RepFrom,BK105&gt;RepTo),"",IF(BN105="","",BN105+ROW()/1000000))))</f>
        <v>0</v>
      </c>
      <c r="BS105" s="32">
        <f>IF(BM105="","",IF(BK105="","",IF(YEAR(BK105)&lt;&gt;PlanYear,"",BM105+ROW()/1000000)))</f>
        <v>0</v>
      </c>
      <c r="BT105" s="17">
        <f>IF(Lists!$F105="","",Lists!$F105)</f>
        <v>0</v>
      </c>
      <c r="BU105" s="23">
        <f>IF(BT105="","",COUNTIF('Content Calendar'!$X$5:$X$604,BT105))</f>
        <v>0</v>
      </c>
      <c r="BV105" s="23">
        <f>IF(BT105="","",COUNTIFS('Content Calendar'!$X$5:$X$604,BT105,'Content Calendar'!$B$5:$B$604,"&gt;="&amp;DashStart,'Content Calendar'!$B$5:$B$604,"&lt;="&amp;DashEnd))</f>
        <v>0</v>
      </c>
      <c r="BW105" s="17">
        <f>IF(Team!$B$105="","",Team!$B$105)</f>
        <v>0</v>
      </c>
      <c r="BX105" s="23">
        <f>IF(BW105="","",COUNTIF('Content Calendar'!$W$5:$W$604,BW105))</f>
        <v>0</v>
      </c>
      <c r="BY105" s="23">
        <f>IF(BW105="","",COUNTIFS('Content Calendar'!$W$5:$W$604,BW105,'Content Calendar'!$X$5:$X$604,"&lt;&gt;Published"))</f>
        <v>0</v>
      </c>
      <c r="BZ105" s="23">
        <f>IF(BW105="","",COUNTIFS(Tasks!$C$5:$C$64,BW105,Tasks!$G$5:$G$64,"&lt;&gt;Complete"))</f>
        <v>0</v>
      </c>
      <c r="CA105" s="17">
        <f>IF(Campaigns!$B$105="","",Campaigns!$B$105)</f>
        <v>0</v>
      </c>
      <c r="CB105" s="25">
        <f>IF(Campaigns!$T$105="","",Campaigns!$T$105)</f>
        <v>0</v>
      </c>
      <c r="CC105" s="25">
        <f>IF(Campaigns!$Q$105="","",Campaigns!$Q$105)</f>
        <v>0</v>
      </c>
      <c r="CD105" s="23">
        <f>IF(Campaigns!$Y$105="","",Campaigns!$Y$105)</f>
        <v>0</v>
      </c>
      <c r="CE105" s="32">
        <f>IF(CA105="","",IF(N(CB105)&lt;=0,"",N(CB105)+ROW()/1000000))</f>
        <v>0</v>
      </c>
      <c r="CF105" s="17">
        <f>IF(Accounts!$C$105="","",Accounts!$C$105)</f>
        <v>0</v>
      </c>
      <c r="CG105" s="17">
        <f>IF(Accounts!$B$105="","",Accounts!$B$105)</f>
        <v>0</v>
      </c>
      <c r="CH105" s="23">
        <f>IF(Accounts!$J$105="","",Accounts!$J$105)</f>
        <v>0</v>
      </c>
      <c r="CI105" s="23">
        <f>IF(CF105="","",SUMIFS(Analytics!$X$5:$X$154,Analytics!$E$5:$E$154,CF105,Analytics!$B$5:$B$154,"&gt;="&amp;DashStart,Analytics!$B$5:$B$154,"&lt;="&amp;DashEnd))</f>
        <v>0</v>
      </c>
      <c r="CJ105" s="32">
        <f>IF(CH105="","",IF(CH105=0,"",CH105+ROW()/1000000))</f>
        <v>0</v>
      </c>
    </row>
    <row r="106" spans="1:88">
      <c r="A106" s="16">
        <f>IF(ROW()-4&gt;12,"",DATE(PlanYear,ROW()-4,1))</f>
        <v>0</v>
      </c>
      <c r="B106" s="16">
        <f>IF(A106="","",EOMONTH(A106,0))</f>
        <v>0</v>
      </c>
      <c r="C106" s="17">
        <f>IF(A106="","",TEXT(A106,"yyyy-mm"))</f>
        <v>0</v>
      </c>
      <c r="D106" s="17">
        <f>IF(A106="","",TEXT(A106,"mmm"))</f>
        <v>0</v>
      </c>
      <c r="E106" s="23">
        <f>IF(C106="","",COUNTIFS('Content Calendar'!$D$5:$D$604,C106))</f>
        <v>0</v>
      </c>
      <c r="F106" s="23">
        <f>IF(C106="","",COUNTIFS('Content Calendar'!$D$5:$D$604,C106,'Content Calendar'!$X$5:$X$604,"Published"))</f>
        <v>0</v>
      </c>
      <c r="G106" s="23">
        <f>IF(C106="","",SUMIFS(Analytics!$J$5:$J$154,Analytics!$C$5:$C$154,C106))</f>
        <v>0</v>
      </c>
      <c r="H106" s="23">
        <f>IF(C106="","",SUMIFS(Analytics!$K$5:$K$154,Analytics!$C$5:$C$154,C106))</f>
        <v>0</v>
      </c>
      <c r="I106" s="23">
        <f>IF(C106="","",SUMIFS(Analytics!$L$5:$L$154,Analytics!$C$5:$C$154,C106))</f>
        <v>0</v>
      </c>
      <c r="J106" s="24">
        <f>IF(OR(G106="",G106=0),"",I106/G106)</f>
        <v>0</v>
      </c>
      <c r="K106" s="23">
        <f>IF(C106="","",SUMIFS(Analytics!$G$5:$G$154,Analytics!$C$5:$C$154,C106))</f>
        <v>0</v>
      </c>
      <c r="L106" s="23">
        <f>IF(C106="","",SUMIFS(Analytics!$X$5:$X$154,Analytics!$C$5:$C$154,C106))</f>
        <v>0</v>
      </c>
      <c r="M106" s="23">
        <f>IF(C106="","",SUMIFS(Analytics!$R$5:$R$154,Analytics!$C$5:$C$154,C106))</f>
        <v>0</v>
      </c>
      <c r="N106" s="23">
        <f>IF(C106="","",SUMIFS(Analytics!$S$5:$S$154,Analytics!$C$5:$C$154,C106))</f>
        <v>0</v>
      </c>
      <c r="O106" s="23">
        <f>IF(C106="","",SUMIFS(Analytics!$T$5:$T$154,Analytics!$C$5:$C$154,C106))</f>
        <v>0</v>
      </c>
      <c r="P106" s="25">
        <f>IF(C106="","",SUMIFS(Analytics!$U$5:$U$154,Analytics!$C$5:$C$154,C106))</f>
        <v>0</v>
      </c>
      <c r="Q106" s="25">
        <f>IF(C106="","",SUMIFS(Budget!$H$5:$H$64,Budget!$C$5:$C$64,C106))</f>
        <v>0</v>
      </c>
      <c r="R106" s="25">
        <f>IF(C106="","",P106-Q106)</f>
        <v>0</v>
      </c>
      <c r="S106" s="23">
        <f>IF(C106="","",MonthlyPostTarget)</f>
        <v>0</v>
      </c>
      <c r="T106" s="17">
        <f>IF(Lists!$C106="","",Lists!$C106)</f>
        <v>0</v>
      </c>
      <c r="U106" s="23">
        <f>IF(T106="","",COUNTIFS('Content Calendar'!$G$5:$G$604,T106,'Content Calendar'!$B$5:$B$604,"&gt;="&amp;DashStart,'Content Calendar'!$B$5:$B$604,"&lt;="&amp;DashEnd))</f>
        <v>0</v>
      </c>
      <c r="V106" s="23">
        <f>IF(T106="","",COUNTIFS('Content Calendar'!$G$5:$G$604,T106,'Content Calendar'!$X$5:$X$604,"Published",'Content Calendar'!$B$5:$B$604,"&gt;="&amp;DashStart,'Content Calendar'!$B$5:$B$604,"&lt;="&amp;DashEnd))</f>
        <v>0</v>
      </c>
      <c r="W106" s="23">
        <f>IF(T106="","",SUMIFS(Analytics!$J$5:$J$154,Analytics!$D$5:$D$154,T106,Analytics!$B$5:$B$154,"&gt;="&amp;DashStart,Analytics!$B$5:$B$154,"&lt;="&amp;DashEnd))</f>
        <v>0</v>
      </c>
      <c r="X106" s="23">
        <f>IF(T106="","",SUMIFS(Analytics!$L$5:$L$154,Analytics!$D$5:$D$154,T106,Analytics!$B$5:$B$154,"&gt;="&amp;DashStart,Analytics!$B$5:$B$154,"&lt;="&amp;DashEnd))</f>
        <v>0</v>
      </c>
      <c r="Y106" s="24">
        <f>IF(OR(W106="",W106=0),"",X106/W106)</f>
        <v>0</v>
      </c>
      <c r="Z106" s="23">
        <f>IF(T106="","",SUMIFS(Analytics!$G$5:$G$154,Analytics!$D$5:$D$154,T106,Analytics!$B$5:$B$154,"&gt;="&amp;DashStart,Analytics!$B$5:$B$154,"&lt;="&amp;DashEnd))</f>
        <v>0</v>
      </c>
      <c r="AA106" s="23">
        <f>IF(T106="","",SUMIFS(Analytics!$X$5:$X$154,Analytics!$D$5:$D$154,T106,Analytics!$B$5:$B$154,"&gt;="&amp;DashStart,Analytics!$B$5:$B$154,"&lt;="&amp;DashEnd))</f>
        <v>0</v>
      </c>
      <c r="AB106" s="23">
        <f>IF(T106="","",SUMIFS(Analytics!$R$5:$R$154,Analytics!$D$5:$D$154,T106,Analytics!$B$5:$B$154,"&gt;="&amp;DashStart,Analytics!$B$5:$B$154,"&lt;="&amp;DashEnd))</f>
        <v>0</v>
      </c>
      <c r="AC106" s="25">
        <f>IF(T106="","",SUMIFS(Analytics!$U$5:$U$154,Analytics!$D$5:$D$154,T106,Analytics!$B$5:$B$154,"&gt;="&amp;DashStart,Analytics!$B$5:$B$154,"&lt;="&amp;DashEnd))</f>
        <v>0</v>
      </c>
      <c r="AD106" s="23">
        <f>IF(T106="","",COUNTIFS('Content Calendar'!$G$5:$G$604,T106,'Content Calendar'!$B$5:$B$604,"&gt;="&amp;DATE(PlanYear,1,1),'Content Calendar'!$B$5:$B$604,"&lt;="&amp;DATE(PlanYear,12,31)))</f>
        <v>0</v>
      </c>
      <c r="AE106" s="23">
        <f>IF(T106="","",SUMIFS(Analytics!$J$5:$J$154,Analytics!$D$5:$D$154,T106))</f>
        <v>0</v>
      </c>
      <c r="AF106" s="23">
        <f>IF(T106="","",SUMIFS(Analytics!$L$5:$L$154,Analytics!$D$5:$D$154,T106))</f>
        <v>0</v>
      </c>
      <c r="AG106" s="24">
        <f>IF(OR(AE106="",AE106=0),"",AF106/AE106)</f>
        <v>0</v>
      </c>
      <c r="AH106" s="23">
        <f>IF(T106="","",SUMIFS(Analytics!$X$5:$X$154,Analytics!$D$5:$D$154,T106))</f>
        <v>0</v>
      </c>
      <c r="AI106" s="32">
        <f>IF(T106="","",IF(AE106=0,"",AE106+ROW()/1000000))</f>
        <v>0</v>
      </c>
      <c r="AJ106" s="17">
        <f>IF('Content Pillars'!$B$106="","",'Content Pillars'!$B$106)</f>
        <v>0</v>
      </c>
      <c r="AK106" s="23">
        <f>IF(AJ106="","",COUNTIFS('Content Calendar'!$J$5:$J$604,AJ106,'Content Calendar'!$B$5:$B$604,"&gt;="&amp;DATE(PlanYear,1,1),'Content Calendar'!$B$5:$B$604,"&lt;="&amp;DATE(PlanYear,12,31)))</f>
        <v>0</v>
      </c>
      <c r="AL106" s="23">
        <f>IF(AJ106="","",SUMIFS(Performance!$O$5:$O$404,Performance!$H$5:$H$404,AJ106))</f>
        <v>0</v>
      </c>
      <c r="AM106" s="23">
        <f>IF(AJ106="","",SUMIFS(Performance!$Z$5:$Z$404,Performance!$H$5:$H$404,AJ106))</f>
        <v>0</v>
      </c>
      <c r="AN106" s="24">
        <f>IF(OR(AL106="",AL106=0),"",AM106/AL106)</f>
        <v>0</v>
      </c>
      <c r="AO106" s="32">
        <f>IF(AN106="","",AN106+ROW()/1000000)</f>
        <v>0</v>
      </c>
      <c r="AP106" s="17">
        <f>IF(Lists!$E106="","",Lists!$E106)</f>
        <v>0</v>
      </c>
      <c r="AQ106" s="23">
        <f>IF(AP106="","",COUNTIF(Performance!$G$5:$G$404,AP106))</f>
        <v>0</v>
      </c>
      <c r="AR106" s="23">
        <f>IF(AP106="","",SUMIFS(Performance!$O$5:$O$404,Performance!$G$5:$G$404,AP106))</f>
        <v>0</v>
      </c>
      <c r="AS106" s="23">
        <f>IF(AP106="","",SUMIFS(Performance!$Z$5:$Z$404,Performance!$G$5:$G$404,AP106))</f>
        <v>0</v>
      </c>
      <c r="AT106" s="24">
        <f>IF(OR(AR106="",AR106=0),"",AS106/AR106)</f>
        <v>0</v>
      </c>
      <c r="AU106" s="32">
        <f>IF(AQ106=0,"",IF(AT106="","",AT106+ROW()/1000000))</f>
        <v>0</v>
      </c>
      <c r="AV106" s="17">
        <f>IF(ROW()-4&gt;7,"",TEXT(DATE(2024,1,ROW()-4),"ddd"))</f>
        <v>0</v>
      </c>
      <c r="AW106" s="23">
        <f>IF(AV106="","",COUNTIF(Performance!$N$5:$N$404,AV106))</f>
        <v>0</v>
      </c>
      <c r="AX106" s="23">
        <f>IF(AV106="","",SUMIFS(Performance!$O$5:$O$404,Performance!$N$5:$N$404,AV106))</f>
        <v>0</v>
      </c>
      <c r="AY106" s="23">
        <f>IF(AV106="","",SUMIFS(Performance!$Z$5:$Z$404,Performance!$N$5:$N$404,AV106))</f>
        <v>0</v>
      </c>
      <c r="AZ106" s="24">
        <f>IF(OR(AX106="",AX106=0),"",AY106/AX106)</f>
        <v>0</v>
      </c>
      <c r="BA106" s="32">
        <f>IF(AW106=0,"",IF(AZ106="","",AZ106+ROW()/1000000))</f>
        <v>0</v>
      </c>
      <c r="BB106" s="17">
        <f>IF(Lists!$AL106="","",Lists!$AL106)</f>
        <v>0</v>
      </c>
      <c r="BC106" s="23">
        <f>IF(BB106="","",COUNTIF(Performance!$M$5:$M$404,BB106))</f>
        <v>0</v>
      </c>
      <c r="BD106" s="23">
        <f>IF(BB106="","",SUMIFS(Performance!$O$5:$O$404,Performance!$M$5:$M$404,BB106))</f>
        <v>0</v>
      </c>
      <c r="BE106" s="23">
        <f>IF(BB106="","",SUMIFS(Performance!$Z$5:$Z$404,Performance!$M$5:$M$404,BB106))</f>
        <v>0</v>
      </c>
      <c r="BF106" s="24">
        <f>IF(OR(BD106="",BD106=0),"",BE106/BD106)</f>
        <v>0</v>
      </c>
      <c r="BG106" s="32">
        <f>IF(BC106=0,"",IF(BF106="","",BF106+ROW()/1000000))</f>
        <v>0</v>
      </c>
      <c r="BH106" s="17">
        <f>IF(Performance!$C$106="","",Performance!$C$106)</f>
        <v>0</v>
      </c>
      <c r="BI106" s="17">
        <f>IF(Performance!$F$106="","",Performance!$F$106)</f>
        <v>0</v>
      </c>
      <c r="BJ106" s="17">
        <f>IF(Performance!$H$106="","",Performance!$H$106)</f>
        <v>0</v>
      </c>
      <c r="BK106" s="16">
        <f>IF(Performance!$D$106="","",Performance!$D$106)</f>
        <v>0</v>
      </c>
      <c r="BL106" s="17">
        <f>IF(Performance!$E$106="","",Performance!$E$106)</f>
        <v>0</v>
      </c>
      <c r="BM106" s="23">
        <f>IF(Performance!$O$106="","",Performance!$O$106)</f>
        <v>0</v>
      </c>
      <c r="BN106" s="24">
        <f>IF(Performance!$AA$106="","",Performance!$AA$106)</f>
        <v>0</v>
      </c>
      <c r="BO106" s="32">
        <f>IF(BH106="","",IF(BK106="","",IF(OR(BK106&lt;DashStart,BK106&gt;DashEnd),"",IF(BN106="","",BN106+ROW()/1000000))))</f>
        <v>0</v>
      </c>
      <c r="BP106" s="32">
        <f>IF(BM106="","",IF(BK106="","",IF(OR(BK106&lt;DashStart,BK106&gt;DashEnd),"",BM106+ROW()/1000000)))</f>
        <v>0</v>
      </c>
      <c r="BQ106" s="32">
        <f>IF(BH106="","",IF(BK106="","",IF(YEAR(BK106)&lt;&gt;PlanYear,"",IF(BN106="","",BN106+ROW()/1000000))))</f>
        <v>0</v>
      </c>
      <c r="BR106" s="32">
        <f>IF(BH106="","",IF(BK106="","",IF(OR(BK106&lt;RepFrom,BK106&gt;RepTo),"",IF(BN106="","",BN106+ROW()/1000000))))</f>
        <v>0</v>
      </c>
      <c r="BS106" s="32">
        <f>IF(BM106="","",IF(BK106="","",IF(YEAR(BK106)&lt;&gt;PlanYear,"",BM106+ROW()/1000000)))</f>
        <v>0</v>
      </c>
      <c r="BT106" s="17">
        <f>IF(Lists!$F106="","",Lists!$F106)</f>
        <v>0</v>
      </c>
      <c r="BU106" s="23">
        <f>IF(BT106="","",COUNTIF('Content Calendar'!$X$5:$X$604,BT106))</f>
        <v>0</v>
      </c>
      <c r="BV106" s="23">
        <f>IF(BT106="","",COUNTIFS('Content Calendar'!$X$5:$X$604,BT106,'Content Calendar'!$B$5:$B$604,"&gt;="&amp;DashStart,'Content Calendar'!$B$5:$B$604,"&lt;="&amp;DashEnd))</f>
        <v>0</v>
      </c>
      <c r="BW106" s="17">
        <f>IF(Team!$B$106="","",Team!$B$106)</f>
        <v>0</v>
      </c>
      <c r="BX106" s="23">
        <f>IF(BW106="","",COUNTIF('Content Calendar'!$W$5:$W$604,BW106))</f>
        <v>0</v>
      </c>
      <c r="BY106" s="23">
        <f>IF(BW106="","",COUNTIFS('Content Calendar'!$W$5:$W$604,BW106,'Content Calendar'!$X$5:$X$604,"&lt;&gt;Published"))</f>
        <v>0</v>
      </c>
      <c r="BZ106" s="23">
        <f>IF(BW106="","",COUNTIFS(Tasks!$C$5:$C$64,BW106,Tasks!$G$5:$G$64,"&lt;&gt;Complete"))</f>
        <v>0</v>
      </c>
      <c r="CA106" s="17">
        <f>IF(Campaigns!$B$106="","",Campaigns!$B$106)</f>
        <v>0</v>
      </c>
      <c r="CB106" s="25">
        <f>IF(Campaigns!$T$106="","",Campaigns!$T$106)</f>
        <v>0</v>
      </c>
      <c r="CC106" s="25">
        <f>IF(Campaigns!$Q$106="","",Campaigns!$Q$106)</f>
        <v>0</v>
      </c>
      <c r="CD106" s="23">
        <f>IF(Campaigns!$Y$106="","",Campaigns!$Y$106)</f>
        <v>0</v>
      </c>
      <c r="CE106" s="32">
        <f>IF(CA106="","",IF(N(CB106)&lt;=0,"",N(CB106)+ROW()/1000000))</f>
        <v>0</v>
      </c>
      <c r="CF106" s="17">
        <f>IF(Accounts!$C$106="","",Accounts!$C$106)</f>
        <v>0</v>
      </c>
      <c r="CG106" s="17">
        <f>IF(Accounts!$B$106="","",Accounts!$B$106)</f>
        <v>0</v>
      </c>
      <c r="CH106" s="23">
        <f>IF(Accounts!$J$106="","",Accounts!$J$106)</f>
        <v>0</v>
      </c>
      <c r="CI106" s="23">
        <f>IF(CF106="","",SUMIFS(Analytics!$X$5:$X$154,Analytics!$E$5:$E$154,CF106,Analytics!$B$5:$B$154,"&gt;="&amp;DashStart,Analytics!$B$5:$B$154,"&lt;="&amp;DashEnd))</f>
        <v>0</v>
      </c>
      <c r="CJ106" s="32">
        <f>IF(CH106="","",IF(CH106=0,"",CH106+ROW()/1000000))</f>
        <v>0</v>
      </c>
    </row>
    <row r="107" spans="1:88">
      <c r="A107" s="16">
        <f>IF(ROW()-4&gt;12,"",DATE(PlanYear,ROW()-4,1))</f>
        <v>0</v>
      </c>
      <c r="B107" s="16">
        <f>IF(A107="","",EOMONTH(A107,0))</f>
        <v>0</v>
      </c>
      <c r="C107" s="17">
        <f>IF(A107="","",TEXT(A107,"yyyy-mm"))</f>
        <v>0</v>
      </c>
      <c r="D107" s="17">
        <f>IF(A107="","",TEXT(A107,"mmm"))</f>
        <v>0</v>
      </c>
      <c r="E107" s="23">
        <f>IF(C107="","",COUNTIFS('Content Calendar'!$D$5:$D$604,C107))</f>
        <v>0</v>
      </c>
      <c r="F107" s="23">
        <f>IF(C107="","",COUNTIFS('Content Calendar'!$D$5:$D$604,C107,'Content Calendar'!$X$5:$X$604,"Published"))</f>
        <v>0</v>
      </c>
      <c r="G107" s="23">
        <f>IF(C107="","",SUMIFS(Analytics!$J$5:$J$154,Analytics!$C$5:$C$154,C107))</f>
        <v>0</v>
      </c>
      <c r="H107" s="23">
        <f>IF(C107="","",SUMIFS(Analytics!$K$5:$K$154,Analytics!$C$5:$C$154,C107))</f>
        <v>0</v>
      </c>
      <c r="I107" s="23">
        <f>IF(C107="","",SUMIFS(Analytics!$L$5:$L$154,Analytics!$C$5:$C$154,C107))</f>
        <v>0</v>
      </c>
      <c r="J107" s="24">
        <f>IF(OR(G107="",G107=0),"",I107/G107)</f>
        <v>0</v>
      </c>
      <c r="K107" s="23">
        <f>IF(C107="","",SUMIFS(Analytics!$G$5:$G$154,Analytics!$C$5:$C$154,C107))</f>
        <v>0</v>
      </c>
      <c r="L107" s="23">
        <f>IF(C107="","",SUMIFS(Analytics!$X$5:$X$154,Analytics!$C$5:$C$154,C107))</f>
        <v>0</v>
      </c>
      <c r="M107" s="23">
        <f>IF(C107="","",SUMIFS(Analytics!$R$5:$R$154,Analytics!$C$5:$C$154,C107))</f>
        <v>0</v>
      </c>
      <c r="N107" s="23">
        <f>IF(C107="","",SUMIFS(Analytics!$S$5:$S$154,Analytics!$C$5:$C$154,C107))</f>
        <v>0</v>
      </c>
      <c r="O107" s="23">
        <f>IF(C107="","",SUMIFS(Analytics!$T$5:$T$154,Analytics!$C$5:$C$154,C107))</f>
        <v>0</v>
      </c>
      <c r="P107" s="25">
        <f>IF(C107="","",SUMIFS(Analytics!$U$5:$U$154,Analytics!$C$5:$C$154,C107))</f>
        <v>0</v>
      </c>
      <c r="Q107" s="25">
        <f>IF(C107="","",SUMIFS(Budget!$H$5:$H$64,Budget!$C$5:$C$64,C107))</f>
        <v>0</v>
      </c>
      <c r="R107" s="25">
        <f>IF(C107="","",P107-Q107)</f>
        <v>0</v>
      </c>
      <c r="S107" s="23">
        <f>IF(C107="","",MonthlyPostTarget)</f>
        <v>0</v>
      </c>
      <c r="T107" s="17">
        <f>IF(Lists!$C107="","",Lists!$C107)</f>
        <v>0</v>
      </c>
      <c r="U107" s="23">
        <f>IF(T107="","",COUNTIFS('Content Calendar'!$G$5:$G$604,T107,'Content Calendar'!$B$5:$B$604,"&gt;="&amp;DashStart,'Content Calendar'!$B$5:$B$604,"&lt;="&amp;DashEnd))</f>
        <v>0</v>
      </c>
      <c r="V107" s="23">
        <f>IF(T107="","",COUNTIFS('Content Calendar'!$G$5:$G$604,T107,'Content Calendar'!$X$5:$X$604,"Published",'Content Calendar'!$B$5:$B$604,"&gt;="&amp;DashStart,'Content Calendar'!$B$5:$B$604,"&lt;="&amp;DashEnd))</f>
        <v>0</v>
      </c>
      <c r="W107" s="23">
        <f>IF(T107="","",SUMIFS(Analytics!$J$5:$J$154,Analytics!$D$5:$D$154,T107,Analytics!$B$5:$B$154,"&gt;="&amp;DashStart,Analytics!$B$5:$B$154,"&lt;="&amp;DashEnd))</f>
        <v>0</v>
      </c>
      <c r="X107" s="23">
        <f>IF(T107="","",SUMIFS(Analytics!$L$5:$L$154,Analytics!$D$5:$D$154,T107,Analytics!$B$5:$B$154,"&gt;="&amp;DashStart,Analytics!$B$5:$B$154,"&lt;="&amp;DashEnd))</f>
        <v>0</v>
      </c>
      <c r="Y107" s="24">
        <f>IF(OR(W107="",W107=0),"",X107/W107)</f>
        <v>0</v>
      </c>
      <c r="Z107" s="23">
        <f>IF(T107="","",SUMIFS(Analytics!$G$5:$G$154,Analytics!$D$5:$D$154,T107,Analytics!$B$5:$B$154,"&gt;="&amp;DashStart,Analytics!$B$5:$B$154,"&lt;="&amp;DashEnd))</f>
        <v>0</v>
      </c>
      <c r="AA107" s="23">
        <f>IF(T107="","",SUMIFS(Analytics!$X$5:$X$154,Analytics!$D$5:$D$154,T107,Analytics!$B$5:$B$154,"&gt;="&amp;DashStart,Analytics!$B$5:$B$154,"&lt;="&amp;DashEnd))</f>
        <v>0</v>
      </c>
      <c r="AB107" s="23">
        <f>IF(T107="","",SUMIFS(Analytics!$R$5:$R$154,Analytics!$D$5:$D$154,T107,Analytics!$B$5:$B$154,"&gt;="&amp;DashStart,Analytics!$B$5:$B$154,"&lt;="&amp;DashEnd))</f>
        <v>0</v>
      </c>
      <c r="AC107" s="25">
        <f>IF(T107="","",SUMIFS(Analytics!$U$5:$U$154,Analytics!$D$5:$D$154,T107,Analytics!$B$5:$B$154,"&gt;="&amp;DashStart,Analytics!$B$5:$B$154,"&lt;="&amp;DashEnd))</f>
        <v>0</v>
      </c>
      <c r="AD107" s="23">
        <f>IF(T107="","",COUNTIFS('Content Calendar'!$G$5:$G$604,T107,'Content Calendar'!$B$5:$B$604,"&gt;="&amp;DATE(PlanYear,1,1),'Content Calendar'!$B$5:$B$604,"&lt;="&amp;DATE(PlanYear,12,31)))</f>
        <v>0</v>
      </c>
      <c r="AE107" s="23">
        <f>IF(T107="","",SUMIFS(Analytics!$J$5:$J$154,Analytics!$D$5:$D$154,T107))</f>
        <v>0</v>
      </c>
      <c r="AF107" s="23">
        <f>IF(T107="","",SUMIFS(Analytics!$L$5:$L$154,Analytics!$D$5:$D$154,T107))</f>
        <v>0</v>
      </c>
      <c r="AG107" s="24">
        <f>IF(OR(AE107="",AE107=0),"",AF107/AE107)</f>
        <v>0</v>
      </c>
      <c r="AH107" s="23">
        <f>IF(T107="","",SUMIFS(Analytics!$X$5:$X$154,Analytics!$D$5:$D$154,T107))</f>
        <v>0</v>
      </c>
      <c r="AI107" s="32">
        <f>IF(T107="","",IF(AE107=0,"",AE107+ROW()/1000000))</f>
        <v>0</v>
      </c>
      <c r="AJ107" s="17">
        <f>IF('Content Pillars'!$B$107="","",'Content Pillars'!$B$107)</f>
        <v>0</v>
      </c>
      <c r="AK107" s="23">
        <f>IF(AJ107="","",COUNTIFS('Content Calendar'!$J$5:$J$604,AJ107,'Content Calendar'!$B$5:$B$604,"&gt;="&amp;DATE(PlanYear,1,1),'Content Calendar'!$B$5:$B$604,"&lt;="&amp;DATE(PlanYear,12,31)))</f>
        <v>0</v>
      </c>
      <c r="AL107" s="23">
        <f>IF(AJ107="","",SUMIFS(Performance!$O$5:$O$404,Performance!$H$5:$H$404,AJ107))</f>
        <v>0</v>
      </c>
      <c r="AM107" s="23">
        <f>IF(AJ107="","",SUMIFS(Performance!$Z$5:$Z$404,Performance!$H$5:$H$404,AJ107))</f>
        <v>0</v>
      </c>
      <c r="AN107" s="24">
        <f>IF(OR(AL107="",AL107=0),"",AM107/AL107)</f>
        <v>0</v>
      </c>
      <c r="AO107" s="32">
        <f>IF(AN107="","",AN107+ROW()/1000000)</f>
        <v>0</v>
      </c>
      <c r="AP107" s="17">
        <f>IF(Lists!$E107="","",Lists!$E107)</f>
        <v>0</v>
      </c>
      <c r="AQ107" s="23">
        <f>IF(AP107="","",COUNTIF(Performance!$G$5:$G$404,AP107))</f>
        <v>0</v>
      </c>
      <c r="AR107" s="23">
        <f>IF(AP107="","",SUMIFS(Performance!$O$5:$O$404,Performance!$G$5:$G$404,AP107))</f>
        <v>0</v>
      </c>
      <c r="AS107" s="23">
        <f>IF(AP107="","",SUMIFS(Performance!$Z$5:$Z$404,Performance!$G$5:$G$404,AP107))</f>
        <v>0</v>
      </c>
      <c r="AT107" s="24">
        <f>IF(OR(AR107="",AR107=0),"",AS107/AR107)</f>
        <v>0</v>
      </c>
      <c r="AU107" s="32">
        <f>IF(AQ107=0,"",IF(AT107="","",AT107+ROW()/1000000))</f>
        <v>0</v>
      </c>
      <c r="AV107" s="17">
        <f>IF(ROW()-4&gt;7,"",TEXT(DATE(2024,1,ROW()-4),"ddd"))</f>
        <v>0</v>
      </c>
      <c r="AW107" s="23">
        <f>IF(AV107="","",COUNTIF(Performance!$N$5:$N$404,AV107))</f>
        <v>0</v>
      </c>
      <c r="AX107" s="23">
        <f>IF(AV107="","",SUMIFS(Performance!$O$5:$O$404,Performance!$N$5:$N$404,AV107))</f>
        <v>0</v>
      </c>
      <c r="AY107" s="23">
        <f>IF(AV107="","",SUMIFS(Performance!$Z$5:$Z$404,Performance!$N$5:$N$404,AV107))</f>
        <v>0</v>
      </c>
      <c r="AZ107" s="24">
        <f>IF(OR(AX107="",AX107=0),"",AY107/AX107)</f>
        <v>0</v>
      </c>
      <c r="BA107" s="32">
        <f>IF(AW107=0,"",IF(AZ107="","",AZ107+ROW()/1000000))</f>
        <v>0</v>
      </c>
      <c r="BB107" s="17">
        <f>IF(Lists!$AL107="","",Lists!$AL107)</f>
        <v>0</v>
      </c>
      <c r="BC107" s="23">
        <f>IF(BB107="","",COUNTIF(Performance!$M$5:$M$404,BB107))</f>
        <v>0</v>
      </c>
      <c r="BD107" s="23">
        <f>IF(BB107="","",SUMIFS(Performance!$O$5:$O$404,Performance!$M$5:$M$404,BB107))</f>
        <v>0</v>
      </c>
      <c r="BE107" s="23">
        <f>IF(BB107="","",SUMIFS(Performance!$Z$5:$Z$404,Performance!$M$5:$M$404,BB107))</f>
        <v>0</v>
      </c>
      <c r="BF107" s="24">
        <f>IF(OR(BD107="",BD107=0),"",BE107/BD107)</f>
        <v>0</v>
      </c>
      <c r="BG107" s="32">
        <f>IF(BC107=0,"",IF(BF107="","",BF107+ROW()/1000000))</f>
        <v>0</v>
      </c>
      <c r="BH107" s="17">
        <f>IF(Performance!$C$107="","",Performance!$C$107)</f>
        <v>0</v>
      </c>
      <c r="BI107" s="17">
        <f>IF(Performance!$F$107="","",Performance!$F$107)</f>
        <v>0</v>
      </c>
      <c r="BJ107" s="17">
        <f>IF(Performance!$H$107="","",Performance!$H$107)</f>
        <v>0</v>
      </c>
      <c r="BK107" s="16">
        <f>IF(Performance!$D$107="","",Performance!$D$107)</f>
        <v>0</v>
      </c>
      <c r="BL107" s="17">
        <f>IF(Performance!$E$107="","",Performance!$E$107)</f>
        <v>0</v>
      </c>
      <c r="BM107" s="23">
        <f>IF(Performance!$O$107="","",Performance!$O$107)</f>
        <v>0</v>
      </c>
      <c r="BN107" s="24">
        <f>IF(Performance!$AA$107="","",Performance!$AA$107)</f>
        <v>0</v>
      </c>
      <c r="BO107" s="32">
        <f>IF(BH107="","",IF(BK107="","",IF(OR(BK107&lt;DashStart,BK107&gt;DashEnd),"",IF(BN107="","",BN107+ROW()/1000000))))</f>
        <v>0</v>
      </c>
      <c r="BP107" s="32">
        <f>IF(BM107="","",IF(BK107="","",IF(OR(BK107&lt;DashStart,BK107&gt;DashEnd),"",BM107+ROW()/1000000)))</f>
        <v>0</v>
      </c>
      <c r="BQ107" s="32">
        <f>IF(BH107="","",IF(BK107="","",IF(YEAR(BK107)&lt;&gt;PlanYear,"",IF(BN107="","",BN107+ROW()/1000000))))</f>
        <v>0</v>
      </c>
      <c r="BR107" s="32">
        <f>IF(BH107="","",IF(BK107="","",IF(OR(BK107&lt;RepFrom,BK107&gt;RepTo),"",IF(BN107="","",BN107+ROW()/1000000))))</f>
        <v>0</v>
      </c>
      <c r="BS107" s="32">
        <f>IF(BM107="","",IF(BK107="","",IF(YEAR(BK107)&lt;&gt;PlanYear,"",BM107+ROW()/1000000)))</f>
        <v>0</v>
      </c>
      <c r="BT107" s="17">
        <f>IF(Lists!$F107="","",Lists!$F107)</f>
        <v>0</v>
      </c>
      <c r="BU107" s="23">
        <f>IF(BT107="","",COUNTIF('Content Calendar'!$X$5:$X$604,BT107))</f>
        <v>0</v>
      </c>
      <c r="BV107" s="23">
        <f>IF(BT107="","",COUNTIFS('Content Calendar'!$X$5:$X$604,BT107,'Content Calendar'!$B$5:$B$604,"&gt;="&amp;DashStart,'Content Calendar'!$B$5:$B$604,"&lt;="&amp;DashEnd))</f>
        <v>0</v>
      </c>
      <c r="BW107" s="17">
        <f>IF(Team!$B$107="","",Team!$B$107)</f>
        <v>0</v>
      </c>
      <c r="BX107" s="23">
        <f>IF(BW107="","",COUNTIF('Content Calendar'!$W$5:$W$604,BW107))</f>
        <v>0</v>
      </c>
      <c r="BY107" s="23">
        <f>IF(BW107="","",COUNTIFS('Content Calendar'!$W$5:$W$604,BW107,'Content Calendar'!$X$5:$X$604,"&lt;&gt;Published"))</f>
        <v>0</v>
      </c>
      <c r="BZ107" s="23">
        <f>IF(BW107="","",COUNTIFS(Tasks!$C$5:$C$64,BW107,Tasks!$G$5:$G$64,"&lt;&gt;Complete"))</f>
        <v>0</v>
      </c>
      <c r="CA107" s="17">
        <f>IF(Campaigns!$B$107="","",Campaigns!$B$107)</f>
        <v>0</v>
      </c>
      <c r="CB107" s="25">
        <f>IF(Campaigns!$T$107="","",Campaigns!$T$107)</f>
        <v>0</v>
      </c>
      <c r="CC107" s="25">
        <f>IF(Campaigns!$Q$107="","",Campaigns!$Q$107)</f>
        <v>0</v>
      </c>
      <c r="CD107" s="23">
        <f>IF(Campaigns!$Y$107="","",Campaigns!$Y$107)</f>
        <v>0</v>
      </c>
      <c r="CE107" s="32">
        <f>IF(CA107="","",IF(N(CB107)&lt;=0,"",N(CB107)+ROW()/1000000))</f>
        <v>0</v>
      </c>
      <c r="CF107" s="17">
        <f>IF(Accounts!$C$107="","",Accounts!$C$107)</f>
        <v>0</v>
      </c>
      <c r="CG107" s="17">
        <f>IF(Accounts!$B$107="","",Accounts!$B$107)</f>
        <v>0</v>
      </c>
      <c r="CH107" s="23">
        <f>IF(Accounts!$J$107="","",Accounts!$J$107)</f>
        <v>0</v>
      </c>
      <c r="CI107" s="23">
        <f>IF(CF107="","",SUMIFS(Analytics!$X$5:$X$154,Analytics!$E$5:$E$154,CF107,Analytics!$B$5:$B$154,"&gt;="&amp;DashStart,Analytics!$B$5:$B$154,"&lt;="&amp;DashEnd))</f>
        <v>0</v>
      </c>
      <c r="CJ107" s="32">
        <f>IF(CH107="","",IF(CH107=0,"",CH107+ROW()/1000000))</f>
        <v>0</v>
      </c>
    </row>
    <row r="108" spans="1:88">
      <c r="A108" s="16">
        <f>IF(ROW()-4&gt;12,"",DATE(PlanYear,ROW()-4,1))</f>
        <v>0</v>
      </c>
      <c r="B108" s="16">
        <f>IF(A108="","",EOMONTH(A108,0))</f>
        <v>0</v>
      </c>
      <c r="C108" s="17">
        <f>IF(A108="","",TEXT(A108,"yyyy-mm"))</f>
        <v>0</v>
      </c>
      <c r="D108" s="17">
        <f>IF(A108="","",TEXT(A108,"mmm"))</f>
        <v>0</v>
      </c>
      <c r="E108" s="23">
        <f>IF(C108="","",COUNTIFS('Content Calendar'!$D$5:$D$604,C108))</f>
        <v>0</v>
      </c>
      <c r="F108" s="23">
        <f>IF(C108="","",COUNTIFS('Content Calendar'!$D$5:$D$604,C108,'Content Calendar'!$X$5:$X$604,"Published"))</f>
        <v>0</v>
      </c>
      <c r="G108" s="23">
        <f>IF(C108="","",SUMIFS(Analytics!$J$5:$J$154,Analytics!$C$5:$C$154,C108))</f>
        <v>0</v>
      </c>
      <c r="H108" s="23">
        <f>IF(C108="","",SUMIFS(Analytics!$K$5:$K$154,Analytics!$C$5:$C$154,C108))</f>
        <v>0</v>
      </c>
      <c r="I108" s="23">
        <f>IF(C108="","",SUMIFS(Analytics!$L$5:$L$154,Analytics!$C$5:$C$154,C108))</f>
        <v>0</v>
      </c>
      <c r="J108" s="24">
        <f>IF(OR(G108="",G108=0),"",I108/G108)</f>
        <v>0</v>
      </c>
      <c r="K108" s="23">
        <f>IF(C108="","",SUMIFS(Analytics!$G$5:$G$154,Analytics!$C$5:$C$154,C108))</f>
        <v>0</v>
      </c>
      <c r="L108" s="23">
        <f>IF(C108="","",SUMIFS(Analytics!$X$5:$X$154,Analytics!$C$5:$C$154,C108))</f>
        <v>0</v>
      </c>
      <c r="M108" s="23">
        <f>IF(C108="","",SUMIFS(Analytics!$R$5:$R$154,Analytics!$C$5:$C$154,C108))</f>
        <v>0</v>
      </c>
      <c r="N108" s="23">
        <f>IF(C108="","",SUMIFS(Analytics!$S$5:$S$154,Analytics!$C$5:$C$154,C108))</f>
        <v>0</v>
      </c>
      <c r="O108" s="23">
        <f>IF(C108="","",SUMIFS(Analytics!$T$5:$T$154,Analytics!$C$5:$C$154,C108))</f>
        <v>0</v>
      </c>
      <c r="P108" s="25">
        <f>IF(C108="","",SUMIFS(Analytics!$U$5:$U$154,Analytics!$C$5:$C$154,C108))</f>
        <v>0</v>
      </c>
      <c r="Q108" s="25">
        <f>IF(C108="","",SUMIFS(Budget!$H$5:$H$64,Budget!$C$5:$C$64,C108))</f>
        <v>0</v>
      </c>
      <c r="R108" s="25">
        <f>IF(C108="","",P108-Q108)</f>
        <v>0</v>
      </c>
      <c r="S108" s="23">
        <f>IF(C108="","",MonthlyPostTarget)</f>
        <v>0</v>
      </c>
      <c r="T108" s="17">
        <f>IF(Lists!$C108="","",Lists!$C108)</f>
        <v>0</v>
      </c>
      <c r="U108" s="23">
        <f>IF(T108="","",COUNTIFS('Content Calendar'!$G$5:$G$604,T108,'Content Calendar'!$B$5:$B$604,"&gt;="&amp;DashStart,'Content Calendar'!$B$5:$B$604,"&lt;="&amp;DashEnd))</f>
        <v>0</v>
      </c>
      <c r="V108" s="23">
        <f>IF(T108="","",COUNTIFS('Content Calendar'!$G$5:$G$604,T108,'Content Calendar'!$X$5:$X$604,"Published",'Content Calendar'!$B$5:$B$604,"&gt;="&amp;DashStart,'Content Calendar'!$B$5:$B$604,"&lt;="&amp;DashEnd))</f>
        <v>0</v>
      </c>
      <c r="W108" s="23">
        <f>IF(T108="","",SUMIFS(Analytics!$J$5:$J$154,Analytics!$D$5:$D$154,T108,Analytics!$B$5:$B$154,"&gt;="&amp;DashStart,Analytics!$B$5:$B$154,"&lt;="&amp;DashEnd))</f>
        <v>0</v>
      </c>
      <c r="X108" s="23">
        <f>IF(T108="","",SUMIFS(Analytics!$L$5:$L$154,Analytics!$D$5:$D$154,T108,Analytics!$B$5:$B$154,"&gt;="&amp;DashStart,Analytics!$B$5:$B$154,"&lt;="&amp;DashEnd))</f>
        <v>0</v>
      </c>
      <c r="Y108" s="24">
        <f>IF(OR(W108="",W108=0),"",X108/W108)</f>
        <v>0</v>
      </c>
      <c r="Z108" s="23">
        <f>IF(T108="","",SUMIFS(Analytics!$G$5:$G$154,Analytics!$D$5:$D$154,T108,Analytics!$B$5:$B$154,"&gt;="&amp;DashStart,Analytics!$B$5:$B$154,"&lt;="&amp;DashEnd))</f>
        <v>0</v>
      </c>
      <c r="AA108" s="23">
        <f>IF(T108="","",SUMIFS(Analytics!$X$5:$X$154,Analytics!$D$5:$D$154,T108,Analytics!$B$5:$B$154,"&gt;="&amp;DashStart,Analytics!$B$5:$B$154,"&lt;="&amp;DashEnd))</f>
        <v>0</v>
      </c>
      <c r="AB108" s="23">
        <f>IF(T108="","",SUMIFS(Analytics!$R$5:$R$154,Analytics!$D$5:$D$154,T108,Analytics!$B$5:$B$154,"&gt;="&amp;DashStart,Analytics!$B$5:$B$154,"&lt;="&amp;DashEnd))</f>
        <v>0</v>
      </c>
      <c r="AC108" s="25">
        <f>IF(T108="","",SUMIFS(Analytics!$U$5:$U$154,Analytics!$D$5:$D$154,T108,Analytics!$B$5:$B$154,"&gt;="&amp;DashStart,Analytics!$B$5:$B$154,"&lt;="&amp;DashEnd))</f>
        <v>0</v>
      </c>
      <c r="AD108" s="23">
        <f>IF(T108="","",COUNTIFS('Content Calendar'!$G$5:$G$604,T108,'Content Calendar'!$B$5:$B$604,"&gt;="&amp;DATE(PlanYear,1,1),'Content Calendar'!$B$5:$B$604,"&lt;="&amp;DATE(PlanYear,12,31)))</f>
        <v>0</v>
      </c>
      <c r="AE108" s="23">
        <f>IF(T108="","",SUMIFS(Analytics!$J$5:$J$154,Analytics!$D$5:$D$154,T108))</f>
        <v>0</v>
      </c>
      <c r="AF108" s="23">
        <f>IF(T108="","",SUMIFS(Analytics!$L$5:$L$154,Analytics!$D$5:$D$154,T108))</f>
        <v>0</v>
      </c>
      <c r="AG108" s="24">
        <f>IF(OR(AE108="",AE108=0),"",AF108/AE108)</f>
        <v>0</v>
      </c>
      <c r="AH108" s="23">
        <f>IF(T108="","",SUMIFS(Analytics!$X$5:$X$154,Analytics!$D$5:$D$154,T108))</f>
        <v>0</v>
      </c>
      <c r="AI108" s="32">
        <f>IF(T108="","",IF(AE108=0,"",AE108+ROW()/1000000))</f>
        <v>0</v>
      </c>
      <c r="AJ108" s="17">
        <f>IF('Content Pillars'!$B$108="","",'Content Pillars'!$B$108)</f>
        <v>0</v>
      </c>
      <c r="AK108" s="23">
        <f>IF(AJ108="","",COUNTIFS('Content Calendar'!$J$5:$J$604,AJ108,'Content Calendar'!$B$5:$B$604,"&gt;="&amp;DATE(PlanYear,1,1),'Content Calendar'!$B$5:$B$604,"&lt;="&amp;DATE(PlanYear,12,31)))</f>
        <v>0</v>
      </c>
      <c r="AL108" s="23">
        <f>IF(AJ108="","",SUMIFS(Performance!$O$5:$O$404,Performance!$H$5:$H$404,AJ108))</f>
        <v>0</v>
      </c>
      <c r="AM108" s="23">
        <f>IF(AJ108="","",SUMIFS(Performance!$Z$5:$Z$404,Performance!$H$5:$H$404,AJ108))</f>
        <v>0</v>
      </c>
      <c r="AN108" s="24">
        <f>IF(OR(AL108="",AL108=0),"",AM108/AL108)</f>
        <v>0</v>
      </c>
      <c r="AO108" s="32">
        <f>IF(AN108="","",AN108+ROW()/1000000)</f>
        <v>0</v>
      </c>
      <c r="AP108" s="17">
        <f>IF(Lists!$E108="","",Lists!$E108)</f>
        <v>0</v>
      </c>
      <c r="AQ108" s="23">
        <f>IF(AP108="","",COUNTIF(Performance!$G$5:$G$404,AP108))</f>
        <v>0</v>
      </c>
      <c r="AR108" s="23">
        <f>IF(AP108="","",SUMIFS(Performance!$O$5:$O$404,Performance!$G$5:$G$404,AP108))</f>
        <v>0</v>
      </c>
      <c r="AS108" s="23">
        <f>IF(AP108="","",SUMIFS(Performance!$Z$5:$Z$404,Performance!$G$5:$G$404,AP108))</f>
        <v>0</v>
      </c>
      <c r="AT108" s="24">
        <f>IF(OR(AR108="",AR108=0),"",AS108/AR108)</f>
        <v>0</v>
      </c>
      <c r="AU108" s="32">
        <f>IF(AQ108=0,"",IF(AT108="","",AT108+ROW()/1000000))</f>
        <v>0</v>
      </c>
      <c r="AV108" s="17">
        <f>IF(ROW()-4&gt;7,"",TEXT(DATE(2024,1,ROW()-4),"ddd"))</f>
        <v>0</v>
      </c>
      <c r="AW108" s="23">
        <f>IF(AV108="","",COUNTIF(Performance!$N$5:$N$404,AV108))</f>
        <v>0</v>
      </c>
      <c r="AX108" s="23">
        <f>IF(AV108="","",SUMIFS(Performance!$O$5:$O$404,Performance!$N$5:$N$404,AV108))</f>
        <v>0</v>
      </c>
      <c r="AY108" s="23">
        <f>IF(AV108="","",SUMIFS(Performance!$Z$5:$Z$404,Performance!$N$5:$N$404,AV108))</f>
        <v>0</v>
      </c>
      <c r="AZ108" s="24">
        <f>IF(OR(AX108="",AX108=0),"",AY108/AX108)</f>
        <v>0</v>
      </c>
      <c r="BA108" s="32">
        <f>IF(AW108=0,"",IF(AZ108="","",AZ108+ROW()/1000000))</f>
        <v>0</v>
      </c>
      <c r="BB108" s="17">
        <f>IF(Lists!$AL108="","",Lists!$AL108)</f>
        <v>0</v>
      </c>
      <c r="BC108" s="23">
        <f>IF(BB108="","",COUNTIF(Performance!$M$5:$M$404,BB108))</f>
        <v>0</v>
      </c>
      <c r="BD108" s="23">
        <f>IF(BB108="","",SUMIFS(Performance!$O$5:$O$404,Performance!$M$5:$M$404,BB108))</f>
        <v>0</v>
      </c>
      <c r="BE108" s="23">
        <f>IF(BB108="","",SUMIFS(Performance!$Z$5:$Z$404,Performance!$M$5:$M$404,BB108))</f>
        <v>0</v>
      </c>
      <c r="BF108" s="24">
        <f>IF(OR(BD108="",BD108=0),"",BE108/BD108)</f>
        <v>0</v>
      </c>
      <c r="BG108" s="32">
        <f>IF(BC108=0,"",IF(BF108="","",BF108+ROW()/1000000))</f>
        <v>0</v>
      </c>
      <c r="BH108" s="17">
        <f>IF(Performance!$C$108="","",Performance!$C$108)</f>
        <v>0</v>
      </c>
      <c r="BI108" s="17">
        <f>IF(Performance!$F$108="","",Performance!$F$108)</f>
        <v>0</v>
      </c>
      <c r="BJ108" s="17">
        <f>IF(Performance!$H$108="","",Performance!$H$108)</f>
        <v>0</v>
      </c>
      <c r="BK108" s="16">
        <f>IF(Performance!$D$108="","",Performance!$D$108)</f>
        <v>0</v>
      </c>
      <c r="BL108" s="17">
        <f>IF(Performance!$E$108="","",Performance!$E$108)</f>
        <v>0</v>
      </c>
      <c r="BM108" s="23">
        <f>IF(Performance!$O$108="","",Performance!$O$108)</f>
        <v>0</v>
      </c>
      <c r="BN108" s="24">
        <f>IF(Performance!$AA$108="","",Performance!$AA$108)</f>
        <v>0</v>
      </c>
      <c r="BO108" s="32">
        <f>IF(BH108="","",IF(BK108="","",IF(OR(BK108&lt;DashStart,BK108&gt;DashEnd),"",IF(BN108="","",BN108+ROW()/1000000))))</f>
        <v>0</v>
      </c>
      <c r="BP108" s="32">
        <f>IF(BM108="","",IF(BK108="","",IF(OR(BK108&lt;DashStart,BK108&gt;DashEnd),"",BM108+ROW()/1000000)))</f>
        <v>0</v>
      </c>
      <c r="BQ108" s="32">
        <f>IF(BH108="","",IF(BK108="","",IF(YEAR(BK108)&lt;&gt;PlanYear,"",IF(BN108="","",BN108+ROW()/1000000))))</f>
        <v>0</v>
      </c>
      <c r="BR108" s="32">
        <f>IF(BH108="","",IF(BK108="","",IF(OR(BK108&lt;RepFrom,BK108&gt;RepTo),"",IF(BN108="","",BN108+ROW()/1000000))))</f>
        <v>0</v>
      </c>
      <c r="BS108" s="32">
        <f>IF(BM108="","",IF(BK108="","",IF(YEAR(BK108)&lt;&gt;PlanYear,"",BM108+ROW()/1000000)))</f>
        <v>0</v>
      </c>
      <c r="BT108" s="17">
        <f>IF(Lists!$F108="","",Lists!$F108)</f>
        <v>0</v>
      </c>
      <c r="BU108" s="23">
        <f>IF(BT108="","",COUNTIF('Content Calendar'!$X$5:$X$604,BT108))</f>
        <v>0</v>
      </c>
      <c r="BV108" s="23">
        <f>IF(BT108="","",COUNTIFS('Content Calendar'!$X$5:$X$604,BT108,'Content Calendar'!$B$5:$B$604,"&gt;="&amp;DashStart,'Content Calendar'!$B$5:$B$604,"&lt;="&amp;DashEnd))</f>
        <v>0</v>
      </c>
      <c r="BW108" s="17">
        <f>IF(Team!$B$108="","",Team!$B$108)</f>
        <v>0</v>
      </c>
      <c r="BX108" s="23">
        <f>IF(BW108="","",COUNTIF('Content Calendar'!$W$5:$W$604,BW108))</f>
        <v>0</v>
      </c>
      <c r="BY108" s="23">
        <f>IF(BW108="","",COUNTIFS('Content Calendar'!$W$5:$W$604,BW108,'Content Calendar'!$X$5:$X$604,"&lt;&gt;Published"))</f>
        <v>0</v>
      </c>
      <c r="BZ108" s="23">
        <f>IF(BW108="","",COUNTIFS(Tasks!$C$5:$C$64,BW108,Tasks!$G$5:$G$64,"&lt;&gt;Complete"))</f>
        <v>0</v>
      </c>
      <c r="CA108" s="17">
        <f>IF(Campaigns!$B$108="","",Campaigns!$B$108)</f>
        <v>0</v>
      </c>
      <c r="CB108" s="25">
        <f>IF(Campaigns!$T$108="","",Campaigns!$T$108)</f>
        <v>0</v>
      </c>
      <c r="CC108" s="25">
        <f>IF(Campaigns!$Q$108="","",Campaigns!$Q$108)</f>
        <v>0</v>
      </c>
      <c r="CD108" s="23">
        <f>IF(Campaigns!$Y$108="","",Campaigns!$Y$108)</f>
        <v>0</v>
      </c>
      <c r="CE108" s="32">
        <f>IF(CA108="","",IF(N(CB108)&lt;=0,"",N(CB108)+ROW()/1000000))</f>
        <v>0</v>
      </c>
      <c r="CF108" s="17">
        <f>IF(Accounts!$C$108="","",Accounts!$C$108)</f>
        <v>0</v>
      </c>
      <c r="CG108" s="17">
        <f>IF(Accounts!$B$108="","",Accounts!$B$108)</f>
        <v>0</v>
      </c>
      <c r="CH108" s="23">
        <f>IF(Accounts!$J$108="","",Accounts!$J$108)</f>
        <v>0</v>
      </c>
      <c r="CI108" s="23">
        <f>IF(CF108="","",SUMIFS(Analytics!$X$5:$X$154,Analytics!$E$5:$E$154,CF108,Analytics!$B$5:$B$154,"&gt;="&amp;DashStart,Analytics!$B$5:$B$154,"&lt;="&amp;DashEnd))</f>
        <v>0</v>
      </c>
      <c r="CJ108" s="32">
        <f>IF(CH108="","",IF(CH108=0,"",CH108+ROW()/1000000))</f>
        <v>0</v>
      </c>
    </row>
    <row r="109" spans="1:88">
      <c r="A109" s="16">
        <f>IF(ROW()-4&gt;12,"",DATE(PlanYear,ROW()-4,1))</f>
        <v>0</v>
      </c>
      <c r="B109" s="16">
        <f>IF(A109="","",EOMONTH(A109,0))</f>
        <v>0</v>
      </c>
      <c r="C109" s="17">
        <f>IF(A109="","",TEXT(A109,"yyyy-mm"))</f>
        <v>0</v>
      </c>
      <c r="D109" s="17">
        <f>IF(A109="","",TEXT(A109,"mmm"))</f>
        <v>0</v>
      </c>
      <c r="E109" s="23">
        <f>IF(C109="","",COUNTIFS('Content Calendar'!$D$5:$D$604,C109))</f>
        <v>0</v>
      </c>
      <c r="F109" s="23">
        <f>IF(C109="","",COUNTIFS('Content Calendar'!$D$5:$D$604,C109,'Content Calendar'!$X$5:$X$604,"Published"))</f>
        <v>0</v>
      </c>
      <c r="G109" s="23">
        <f>IF(C109="","",SUMIFS(Analytics!$J$5:$J$154,Analytics!$C$5:$C$154,C109))</f>
        <v>0</v>
      </c>
      <c r="H109" s="23">
        <f>IF(C109="","",SUMIFS(Analytics!$K$5:$K$154,Analytics!$C$5:$C$154,C109))</f>
        <v>0</v>
      </c>
      <c r="I109" s="23">
        <f>IF(C109="","",SUMIFS(Analytics!$L$5:$L$154,Analytics!$C$5:$C$154,C109))</f>
        <v>0</v>
      </c>
      <c r="J109" s="24">
        <f>IF(OR(G109="",G109=0),"",I109/G109)</f>
        <v>0</v>
      </c>
      <c r="K109" s="23">
        <f>IF(C109="","",SUMIFS(Analytics!$G$5:$G$154,Analytics!$C$5:$C$154,C109))</f>
        <v>0</v>
      </c>
      <c r="L109" s="23">
        <f>IF(C109="","",SUMIFS(Analytics!$X$5:$X$154,Analytics!$C$5:$C$154,C109))</f>
        <v>0</v>
      </c>
      <c r="M109" s="23">
        <f>IF(C109="","",SUMIFS(Analytics!$R$5:$R$154,Analytics!$C$5:$C$154,C109))</f>
        <v>0</v>
      </c>
      <c r="N109" s="23">
        <f>IF(C109="","",SUMIFS(Analytics!$S$5:$S$154,Analytics!$C$5:$C$154,C109))</f>
        <v>0</v>
      </c>
      <c r="O109" s="23">
        <f>IF(C109="","",SUMIFS(Analytics!$T$5:$T$154,Analytics!$C$5:$C$154,C109))</f>
        <v>0</v>
      </c>
      <c r="P109" s="25">
        <f>IF(C109="","",SUMIFS(Analytics!$U$5:$U$154,Analytics!$C$5:$C$154,C109))</f>
        <v>0</v>
      </c>
      <c r="Q109" s="25">
        <f>IF(C109="","",SUMIFS(Budget!$H$5:$H$64,Budget!$C$5:$C$64,C109))</f>
        <v>0</v>
      </c>
      <c r="R109" s="25">
        <f>IF(C109="","",P109-Q109)</f>
        <v>0</v>
      </c>
      <c r="S109" s="23">
        <f>IF(C109="","",MonthlyPostTarget)</f>
        <v>0</v>
      </c>
      <c r="T109" s="17">
        <f>IF(Lists!$C109="","",Lists!$C109)</f>
        <v>0</v>
      </c>
      <c r="U109" s="23">
        <f>IF(T109="","",COUNTIFS('Content Calendar'!$G$5:$G$604,T109,'Content Calendar'!$B$5:$B$604,"&gt;="&amp;DashStart,'Content Calendar'!$B$5:$B$604,"&lt;="&amp;DashEnd))</f>
        <v>0</v>
      </c>
      <c r="V109" s="23">
        <f>IF(T109="","",COUNTIFS('Content Calendar'!$G$5:$G$604,T109,'Content Calendar'!$X$5:$X$604,"Published",'Content Calendar'!$B$5:$B$604,"&gt;="&amp;DashStart,'Content Calendar'!$B$5:$B$604,"&lt;="&amp;DashEnd))</f>
        <v>0</v>
      </c>
      <c r="W109" s="23">
        <f>IF(T109="","",SUMIFS(Analytics!$J$5:$J$154,Analytics!$D$5:$D$154,T109,Analytics!$B$5:$B$154,"&gt;="&amp;DashStart,Analytics!$B$5:$B$154,"&lt;="&amp;DashEnd))</f>
        <v>0</v>
      </c>
      <c r="X109" s="23">
        <f>IF(T109="","",SUMIFS(Analytics!$L$5:$L$154,Analytics!$D$5:$D$154,T109,Analytics!$B$5:$B$154,"&gt;="&amp;DashStart,Analytics!$B$5:$B$154,"&lt;="&amp;DashEnd))</f>
        <v>0</v>
      </c>
      <c r="Y109" s="24">
        <f>IF(OR(W109="",W109=0),"",X109/W109)</f>
        <v>0</v>
      </c>
      <c r="Z109" s="23">
        <f>IF(T109="","",SUMIFS(Analytics!$G$5:$G$154,Analytics!$D$5:$D$154,T109,Analytics!$B$5:$B$154,"&gt;="&amp;DashStart,Analytics!$B$5:$B$154,"&lt;="&amp;DashEnd))</f>
        <v>0</v>
      </c>
      <c r="AA109" s="23">
        <f>IF(T109="","",SUMIFS(Analytics!$X$5:$X$154,Analytics!$D$5:$D$154,T109,Analytics!$B$5:$B$154,"&gt;="&amp;DashStart,Analytics!$B$5:$B$154,"&lt;="&amp;DashEnd))</f>
        <v>0</v>
      </c>
      <c r="AB109" s="23">
        <f>IF(T109="","",SUMIFS(Analytics!$R$5:$R$154,Analytics!$D$5:$D$154,T109,Analytics!$B$5:$B$154,"&gt;="&amp;DashStart,Analytics!$B$5:$B$154,"&lt;="&amp;DashEnd))</f>
        <v>0</v>
      </c>
      <c r="AC109" s="25">
        <f>IF(T109="","",SUMIFS(Analytics!$U$5:$U$154,Analytics!$D$5:$D$154,T109,Analytics!$B$5:$B$154,"&gt;="&amp;DashStart,Analytics!$B$5:$B$154,"&lt;="&amp;DashEnd))</f>
        <v>0</v>
      </c>
      <c r="AD109" s="23">
        <f>IF(T109="","",COUNTIFS('Content Calendar'!$G$5:$G$604,T109,'Content Calendar'!$B$5:$B$604,"&gt;="&amp;DATE(PlanYear,1,1),'Content Calendar'!$B$5:$B$604,"&lt;="&amp;DATE(PlanYear,12,31)))</f>
        <v>0</v>
      </c>
      <c r="AE109" s="23">
        <f>IF(T109="","",SUMIFS(Analytics!$J$5:$J$154,Analytics!$D$5:$D$154,T109))</f>
        <v>0</v>
      </c>
      <c r="AF109" s="23">
        <f>IF(T109="","",SUMIFS(Analytics!$L$5:$L$154,Analytics!$D$5:$D$154,T109))</f>
        <v>0</v>
      </c>
      <c r="AG109" s="24">
        <f>IF(OR(AE109="",AE109=0),"",AF109/AE109)</f>
        <v>0</v>
      </c>
      <c r="AH109" s="23">
        <f>IF(T109="","",SUMIFS(Analytics!$X$5:$X$154,Analytics!$D$5:$D$154,T109))</f>
        <v>0</v>
      </c>
      <c r="AI109" s="32">
        <f>IF(T109="","",IF(AE109=0,"",AE109+ROW()/1000000))</f>
        <v>0</v>
      </c>
      <c r="AJ109" s="17">
        <f>IF('Content Pillars'!$B$109="","",'Content Pillars'!$B$109)</f>
        <v>0</v>
      </c>
      <c r="AK109" s="23">
        <f>IF(AJ109="","",COUNTIFS('Content Calendar'!$J$5:$J$604,AJ109,'Content Calendar'!$B$5:$B$604,"&gt;="&amp;DATE(PlanYear,1,1),'Content Calendar'!$B$5:$B$604,"&lt;="&amp;DATE(PlanYear,12,31)))</f>
        <v>0</v>
      </c>
      <c r="AL109" s="23">
        <f>IF(AJ109="","",SUMIFS(Performance!$O$5:$O$404,Performance!$H$5:$H$404,AJ109))</f>
        <v>0</v>
      </c>
      <c r="AM109" s="23">
        <f>IF(AJ109="","",SUMIFS(Performance!$Z$5:$Z$404,Performance!$H$5:$H$404,AJ109))</f>
        <v>0</v>
      </c>
      <c r="AN109" s="24">
        <f>IF(OR(AL109="",AL109=0),"",AM109/AL109)</f>
        <v>0</v>
      </c>
      <c r="AO109" s="32">
        <f>IF(AN109="","",AN109+ROW()/1000000)</f>
        <v>0</v>
      </c>
      <c r="AP109" s="17">
        <f>IF(Lists!$E109="","",Lists!$E109)</f>
        <v>0</v>
      </c>
      <c r="AQ109" s="23">
        <f>IF(AP109="","",COUNTIF(Performance!$G$5:$G$404,AP109))</f>
        <v>0</v>
      </c>
      <c r="AR109" s="23">
        <f>IF(AP109="","",SUMIFS(Performance!$O$5:$O$404,Performance!$G$5:$G$404,AP109))</f>
        <v>0</v>
      </c>
      <c r="AS109" s="23">
        <f>IF(AP109="","",SUMIFS(Performance!$Z$5:$Z$404,Performance!$G$5:$G$404,AP109))</f>
        <v>0</v>
      </c>
      <c r="AT109" s="24">
        <f>IF(OR(AR109="",AR109=0),"",AS109/AR109)</f>
        <v>0</v>
      </c>
      <c r="AU109" s="32">
        <f>IF(AQ109=0,"",IF(AT109="","",AT109+ROW()/1000000))</f>
        <v>0</v>
      </c>
      <c r="AV109" s="17">
        <f>IF(ROW()-4&gt;7,"",TEXT(DATE(2024,1,ROW()-4),"ddd"))</f>
        <v>0</v>
      </c>
      <c r="AW109" s="23">
        <f>IF(AV109="","",COUNTIF(Performance!$N$5:$N$404,AV109))</f>
        <v>0</v>
      </c>
      <c r="AX109" s="23">
        <f>IF(AV109="","",SUMIFS(Performance!$O$5:$O$404,Performance!$N$5:$N$404,AV109))</f>
        <v>0</v>
      </c>
      <c r="AY109" s="23">
        <f>IF(AV109="","",SUMIFS(Performance!$Z$5:$Z$404,Performance!$N$5:$N$404,AV109))</f>
        <v>0</v>
      </c>
      <c r="AZ109" s="24">
        <f>IF(OR(AX109="",AX109=0),"",AY109/AX109)</f>
        <v>0</v>
      </c>
      <c r="BA109" s="32">
        <f>IF(AW109=0,"",IF(AZ109="","",AZ109+ROW()/1000000))</f>
        <v>0</v>
      </c>
      <c r="BB109" s="17">
        <f>IF(Lists!$AL109="","",Lists!$AL109)</f>
        <v>0</v>
      </c>
      <c r="BC109" s="23">
        <f>IF(BB109="","",COUNTIF(Performance!$M$5:$M$404,BB109))</f>
        <v>0</v>
      </c>
      <c r="BD109" s="23">
        <f>IF(BB109="","",SUMIFS(Performance!$O$5:$O$404,Performance!$M$5:$M$404,BB109))</f>
        <v>0</v>
      </c>
      <c r="BE109" s="23">
        <f>IF(BB109="","",SUMIFS(Performance!$Z$5:$Z$404,Performance!$M$5:$M$404,BB109))</f>
        <v>0</v>
      </c>
      <c r="BF109" s="24">
        <f>IF(OR(BD109="",BD109=0),"",BE109/BD109)</f>
        <v>0</v>
      </c>
      <c r="BG109" s="32">
        <f>IF(BC109=0,"",IF(BF109="","",BF109+ROW()/1000000))</f>
        <v>0</v>
      </c>
      <c r="BH109" s="17">
        <f>IF(Performance!$C$109="","",Performance!$C$109)</f>
        <v>0</v>
      </c>
      <c r="BI109" s="17">
        <f>IF(Performance!$F$109="","",Performance!$F$109)</f>
        <v>0</v>
      </c>
      <c r="BJ109" s="17">
        <f>IF(Performance!$H$109="","",Performance!$H$109)</f>
        <v>0</v>
      </c>
      <c r="BK109" s="16">
        <f>IF(Performance!$D$109="","",Performance!$D$109)</f>
        <v>0</v>
      </c>
      <c r="BL109" s="17">
        <f>IF(Performance!$E$109="","",Performance!$E$109)</f>
        <v>0</v>
      </c>
      <c r="BM109" s="23">
        <f>IF(Performance!$O$109="","",Performance!$O$109)</f>
        <v>0</v>
      </c>
      <c r="BN109" s="24">
        <f>IF(Performance!$AA$109="","",Performance!$AA$109)</f>
        <v>0</v>
      </c>
      <c r="BO109" s="32">
        <f>IF(BH109="","",IF(BK109="","",IF(OR(BK109&lt;DashStart,BK109&gt;DashEnd),"",IF(BN109="","",BN109+ROW()/1000000))))</f>
        <v>0</v>
      </c>
      <c r="BP109" s="32">
        <f>IF(BM109="","",IF(BK109="","",IF(OR(BK109&lt;DashStart,BK109&gt;DashEnd),"",BM109+ROW()/1000000)))</f>
        <v>0</v>
      </c>
      <c r="BQ109" s="32">
        <f>IF(BH109="","",IF(BK109="","",IF(YEAR(BK109)&lt;&gt;PlanYear,"",IF(BN109="","",BN109+ROW()/1000000))))</f>
        <v>0</v>
      </c>
      <c r="BR109" s="32">
        <f>IF(BH109="","",IF(BK109="","",IF(OR(BK109&lt;RepFrom,BK109&gt;RepTo),"",IF(BN109="","",BN109+ROW()/1000000))))</f>
        <v>0</v>
      </c>
      <c r="BS109" s="32">
        <f>IF(BM109="","",IF(BK109="","",IF(YEAR(BK109)&lt;&gt;PlanYear,"",BM109+ROW()/1000000)))</f>
        <v>0</v>
      </c>
      <c r="BT109" s="17">
        <f>IF(Lists!$F109="","",Lists!$F109)</f>
        <v>0</v>
      </c>
      <c r="BU109" s="23">
        <f>IF(BT109="","",COUNTIF('Content Calendar'!$X$5:$X$604,BT109))</f>
        <v>0</v>
      </c>
      <c r="BV109" s="23">
        <f>IF(BT109="","",COUNTIFS('Content Calendar'!$X$5:$X$604,BT109,'Content Calendar'!$B$5:$B$604,"&gt;="&amp;DashStart,'Content Calendar'!$B$5:$B$604,"&lt;="&amp;DashEnd))</f>
        <v>0</v>
      </c>
      <c r="BW109" s="17">
        <f>IF(Team!$B$109="","",Team!$B$109)</f>
        <v>0</v>
      </c>
      <c r="BX109" s="23">
        <f>IF(BW109="","",COUNTIF('Content Calendar'!$W$5:$W$604,BW109))</f>
        <v>0</v>
      </c>
      <c r="BY109" s="23">
        <f>IF(BW109="","",COUNTIFS('Content Calendar'!$W$5:$W$604,BW109,'Content Calendar'!$X$5:$X$604,"&lt;&gt;Published"))</f>
        <v>0</v>
      </c>
      <c r="BZ109" s="23">
        <f>IF(BW109="","",COUNTIFS(Tasks!$C$5:$C$64,BW109,Tasks!$G$5:$G$64,"&lt;&gt;Complete"))</f>
        <v>0</v>
      </c>
      <c r="CA109" s="17">
        <f>IF(Campaigns!$B$109="","",Campaigns!$B$109)</f>
        <v>0</v>
      </c>
      <c r="CB109" s="25">
        <f>IF(Campaigns!$T$109="","",Campaigns!$T$109)</f>
        <v>0</v>
      </c>
      <c r="CC109" s="25">
        <f>IF(Campaigns!$Q$109="","",Campaigns!$Q$109)</f>
        <v>0</v>
      </c>
      <c r="CD109" s="23">
        <f>IF(Campaigns!$Y$109="","",Campaigns!$Y$109)</f>
        <v>0</v>
      </c>
      <c r="CE109" s="32">
        <f>IF(CA109="","",IF(N(CB109)&lt;=0,"",N(CB109)+ROW()/1000000))</f>
        <v>0</v>
      </c>
      <c r="CF109" s="17">
        <f>IF(Accounts!$C$109="","",Accounts!$C$109)</f>
        <v>0</v>
      </c>
      <c r="CG109" s="17">
        <f>IF(Accounts!$B$109="","",Accounts!$B$109)</f>
        <v>0</v>
      </c>
      <c r="CH109" s="23">
        <f>IF(Accounts!$J$109="","",Accounts!$J$109)</f>
        <v>0</v>
      </c>
      <c r="CI109" s="23">
        <f>IF(CF109="","",SUMIFS(Analytics!$X$5:$X$154,Analytics!$E$5:$E$154,CF109,Analytics!$B$5:$B$154,"&gt;="&amp;DashStart,Analytics!$B$5:$B$154,"&lt;="&amp;DashEnd))</f>
        <v>0</v>
      </c>
      <c r="CJ109" s="32">
        <f>IF(CH109="","",IF(CH109=0,"",CH109+ROW()/1000000))</f>
        <v>0</v>
      </c>
    </row>
    <row r="110" spans="1:88">
      <c r="A110" s="16">
        <f>IF(ROW()-4&gt;12,"",DATE(PlanYear,ROW()-4,1))</f>
        <v>0</v>
      </c>
      <c r="B110" s="16">
        <f>IF(A110="","",EOMONTH(A110,0))</f>
        <v>0</v>
      </c>
      <c r="C110" s="17">
        <f>IF(A110="","",TEXT(A110,"yyyy-mm"))</f>
        <v>0</v>
      </c>
      <c r="D110" s="17">
        <f>IF(A110="","",TEXT(A110,"mmm"))</f>
        <v>0</v>
      </c>
      <c r="E110" s="23">
        <f>IF(C110="","",COUNTIFS('Content Calendar'!$D$5:$D$604,C110))</f>
        <v>0</v>
      </c>
      <c r="F110" s="23">
        <f>IF(C110="","",COUNTIFS('Content Calendar'!$D$5:$D$604,C110,'Content Calendar'!$X$5:$X$604,"Published"))</f>
        <v>0</v>
      </c>
      <c r="G110" s="23">
        <f>IF(C110="","",SUMIFS(Analytics!$J$5:$J$154,Analytics!$C$5:$C$154,C110))</f>
        <v>0</v>
      </c>
      <c r="H110" s="23">
        <f>IF(C110="","",SUMIFS(Analytics!$K$5:$K$154,Analytics!$C$5:$C$154,C110))</f>
        <v>0</v>
      </c>
      <c r="I110" s="23">
        <f>IF(C110="","",SUMIFS(Analytics!$L$5:$L$154,Analytics!$C$5:$C$154,C110))</f>
        <v>0</v>
      </c>
      <c r="J110" s="24">
        <f>IF(OR(G110="",G110=0),"",I110/G110)</f>
        <v>0</v>
      </c>
      <c r="K110" s="23">
        <f>IF(C110="","",SUMIFS(Analytics!$G$5:$G$154,Analytics!$C$5:$C$154,C110))</f>
        <v>0</v>
      </c>
      <c r="L110" s="23">
        <f>IF(C110="","",SUMIFS(Analytics!$X$5:$X$154,Analytics!$C$5:$C$154,C110))</f>
        <v>0</v>
      </c>
      <c r="M110" s="23">
        <f>IF(C110="","",SUMIFS(Analytics!$R$5:$R$154,Analytics!$C$5:$C$154,C110))</f>
        <v>0</v>
      </c>
      <c r="N110" s="23">
        <f>IF(C110="","",SUMIFS(Analytics!$S$5:$S$154,Analytics!$C$5:$C$154,C110))</f>
        <v>0</v>
      </c>
      <c r="O110" s="23">
        <f>IF(C110="","",SUMIFS(Analytics!$T$5:$T$154,Analytics!$C$5:$C$154,C110))</f>
        <v>0</v>
      </c>
      <c r="P110" s="25">
        <f>IF(C110="","",SUMIFS(Analytics!$U$5:$U$154,Analytics!$C$5:$C$154,C110))</f>
        <v>0</v>
      </c>
      <c r="Q110" s="25">
        <f>IF(C110="","",SUMIFS(Budget!$H$5:$H$64,Budget!$C$5:$C$64,C110))</f>
        <v>0</v>
      </c>
      <c r="R110" s="25">
        <f>IF(C110="","",P110-Q110)</f>
        <v>0</v>
      </c>
      <c r="S110" s="23">
        <f>IF(C110="","",MonthlyPostTarget)</f>
        <v>0</v>
      </c>
      <c r="T110" s="17">
        <f>IF(Lists!$C110="","",Lists!$C110)</f>
        <v>0</v>
      </c>
      <c r="U110" s="23">
        <f>IF(T110="","",COUNTIFS('Content Calendar'!$G$5:$G$604,T110,'Content Calendar'!$B$5:$B$604,"&gt;="&amp;DashStart,'Content Calendar'!$B$5:$B$604,"&lt;="&amp;DashEnd))</f>
        <v>0</v>
      </c>
      <c r="V110" s="23">
        <f>IF(T110="","",COUNTIFS('Content Calendar'!$G$5:$G$604,T110,'Content Calendar'!$X$5:$X$604,"Published",'Content Calendar'!$B$5:$B$604,"&gt;="&amp;DashStart,'Content Calendar'!$B$5:$B$604,"&lt;="&amp;DashEnd))</f>
        <v>0</v>
      </c>
      <c r="W110" s="23">
        <f>IF(T110="","",SUMIFS(Analytics!$J$5:$J$154,Analytics!$D$5:$D$154,T110,Analytics!$B$5:$B$154,"&gt;="&amp;DashStart,Analytics!$B$5:$B$154,"&lt;="&amp;DashEnd))</f>
        <v>0</v>
      </c>
      <c r="X110" s="23">
        <f>IF(T110="","",SUMIFS(Analytics!$L$5:$L$154,Analytics!$D$5:$D$154,T110,Analytics!$B$5:$B$154,"&gt;="&amp;DashStart,Analytics!$B$5:$B$154,"&lt;="&amp;DashEnd))</f>
        <v>0</v>
      </c>
      <c r="Y110" s="24">
        <f>IF(OR(W110="",W110=0),"",X110/W110)</f>
        <v>0</v>
      </c>
      <c r="Z110" s="23">
        <f>IF(T110="","",SUMIFS(Analytics!$G$5:$G$154,Analytics!$D$5:$D$154,T110,Analytics!$B$5:$B$154,"&gt;="&amp;DashStart,Analytics!$B$5:$B$154,"&lt;="&amp;DashEnd))</f>
        <v>0</v>
      </c>
      <c r="AA110" s="23">
        <f>IF(T110="","",SUMIFS(Analytics!$X$5:$X$154,Analytics!$D$5:$D$154,T110,Analytics!$B$5:$B$154,"&gt;="&amp;DashStart,Analytics!$B$5:$B$154,"&lt;="&amp;DashEnd))</f>
        <v>0</v>
      </c>
      <c r="AB110" s="23">
        <f>IF(T110="","",SUMIFS(Analytics!$R$5:$R$154,Analytics!$D$5:$D$154,T110,Analytics!$B$5:$B$154,"&gt;="&amp;DashStart,Analytics!$B$5:$B$154,"&lt;="&amp;DashEnd))</f>
        <v>0</v>
      </c>
      <c r="AC110" s="25">
        <f>IF(T110="","",SUMIFS(Analytics!$U$5:$U$154,Analytics!$D$5:$D$154,T110,Analytics!$B$5:$B$154,"&gt;="&amp;DashStart,Analytics!$B$5:$B$154,"&lt;="&amp;DashEnd))</f>
        <v>0</v>
      </c>
      <c r="AD110" s="23">
        <f>IF(T110="","",COUNTIFS('Content Calendar'!$G$5:$G$604,T110,'Content Calendar'!$B$5:$B$604,"&gt;="&amp;DATE(PlanYear,1,1),'Content Calendar'!$B$5:$B$604,"&lt;="&amp;DATE(PlanYear,12,31)))</f>
        <v>0</v>
      </c>
      <c r="AE110" s="23">
        <f>IF(T110="","",SUMIFS(Analytics!$J$5:$J$154,Analytics!$D$5:$D$154,T110))</f>
        <v>0</v>
      </c>
      <c r="AF110" s="23">
        <f>IF(T110="","",SUMIFS(Analytics!$L$5:$L$154,Analytics!$D$5:$D$154,T110))</f>
        <v>0</v>
      </c>
      <c r="AG110" s="24">
        <f>IF(OR(AE110="",AE110=0),"",AF110/AE110)</f>
        <v>0</v>
      </c>
      <c r="AH110" s="23">
        <f>IF(T110="","",SUMIFS(Analytics!$X$5:$X$154,Analytics!$D$5:$D$154,T110))</f>
        <v>0</v>
      </c>
      <c r="AI110" s="32">
        <f>IF(T110="","",IF(AE110=0,"",AE110+ROW()/1000000))</f>
        <v>0</v>
      </c>
      <c r="AJ110" s="17">
        <f>IF('Content Pillars'!$B$110="","",'Content Pillars'!$B$110)</f>
        <v>0</v>
      </c>
      <c r="AK110" s="23">
        <f>IF(AJ110="","",COUNTIFS('Content Calendar'!$J$5:$J$604,AJ110,'Content Calendar'!$B$5:$B$604,"&gt;="&amp;DATE(PlanYear,1,1),'Content Calendar'!$B$5:$B$604,"&lt;="&amp;DATE(PlanYear,12,31)))</f>
        <v>0</v>
      </c>
      <c r="AL110" s="23">
        <f>IF(AJ110="","",SUMIFS(Performance!$O$5:$O$404,Performance!$H$5:$H$404,AJ110))</f>
        <v>0</v>
      </c>
      <c r="AM110" s="23">
        <f>IF(AJ110="","",SUMIFS(Performance!$Z$5:$Z$404,Performance!$H$5:$H$404,AJ110))</f>
        <v>0</v>
      </c>
      <c r="AN110" s="24">
        <f>IF(OR(AL110="",AL110=0),"",AM110/AL110)</f>
        <v>0</v>
      </c>
      <c r="AO110" s="32">
        <f>IF(AN110="","",AN110+ROW()/1000000)</f>
        <v>0</v>
      </c>
      <c r="AP110" s="17">
        <f>IF(Lists!$E110="","",Lists!$E110)</f>
        <v>0</v>
      </c>
      <c r="AQ110" s="23">
        <f>IF(AP110="","",COUNTIF(Performance!$G$5:$G$404,AP110))</f>
        <v>0</v>
      </c>
      <c r="AR110" s="23">
        <f>IF(AP110="","",SUMIFS(Performance!$O$5:$O$404,Performance!$G$5:$G$404,AP110))</f>
        <v>0</v>
      </c>
      <c r="AS110" s="23">
        <f>IF(AP110="","",SUMIFS(Performance!$Z$5:$Z$404,Performance!$G$5:$G$404,AP110))</f>
        <v>0</v>
      </c>
      <c r="AT110" s="24">
        <f>IF(OR(AR110="",AR110=0),"",AS110/AR110)</f>
        <v>0</v>
      </c>
      <c r="AU110" s="32">
        <f>IF(AQ110=0,"",IF(AT110="","",AT110+ROW()/1000000))</f>
        <v>0</v>
      </c>
      <c r="AV110" s="17">
        <f>IF(ROW()-4&gt;7,"",TEXT(DATE(2024,1,ROW()-4),"ddd"))</f>
        <v>0</v>
      </c>
      <c r="AW110" s="23">
        <f>IF(AV110="","",COUNTIF(Performance!$N$5:$N$404,AV110))</f>
        <v>0</v>
      </c>
      <c r="AX110" s="23">
        <f>IF(AV110="","",SUMIFS(Performance!$O$5:$O$404,Performance!$N$5:$N$404,AV110))</f>
        <v>0</v>
      </c>
      <c r="AY110" s="23">
        <f>IF(AV110="","",SUMIFS(Performance!$Z$5:$Z$404,Performance!$N$5:$N$404,AV110))</f>
        <v>0</v>
      </c>
      <c r="AZ110" s="24">
        <f>IF(OR(AX110="",AX110=0),"",AY110/AX110)</f>
        <v>0</v>
      </c>
      <c r="BA110" s="32">
        <f>IF(AW110=0,"",IF(AZ110="","",AZ110+ROW()/1000000))</f>
        <v>0</v>
      </c>
      <c r="BB110" s="17">
        <f>IF(Lists!$AL110="","",Lists!$AL110)</f>
        <v>0</v>
      </c>
      <c r="BC110" s="23">
        <f>IF(BB110="","",COUNTIF(Performance!$M$5:$M$404,BB110))</f>
        <v>0</v>
      </c>
      <c r="BD110" s="23">
        <f>IF(BB110="","",SUMIFS(Performance!$O$5:$O$404,Performance!$M$5:$M$404,BB110))</f>
        <v>0</v>
      </c>
      <c r="BE110" s="23">
        <f>IF(BB110="","",SUMIFS(Performance!$Z$5:$Z$404,Performance!$M$5:$M$404,BB110))</f>
        <v>0</v>
      </c>
      <c r="BF110" s="24">
        <f>IF(OR(BD110="",BD110=0),"",BE110/BD110)</f>
        <v>0</v>
      </c>
      <c r="BG110" s="32">
        <f>IF(BC110=0,"",IF(BF110="","",BF110+ROW()/1000000))</f>
        <v>0</v>
      </c>
      <c r="BH110" s="17">
        <f>IF(Performance!$C$110="","",Performance!$C$110)</f>
        <v>0</v>
      </c>
      <c r="BI110" s="17">
        <f>IF(Performance!$F$110="","",Performance!$F$110)</f>
        <v>0</v>
      </c>
      <c r="BJ110" s="17">
        <f>IF(Performance!$H$110="","",Performance!$H$110)</f>
        <v>0</v>
      </c>
      <c r="BK110" s="16">
        <f>IF(Performance!$D$110="","",Performance!$D$110)</f>
        <v>0</v>
      </c>
      <c r="BL110" s="17">
        <f>IF(Performance!$E$110="","",Performance!$E$110)</f>
        <v>0</v>
      </c>
      <c r="BM110" s="23">
        <f>IF(Performance!$O$110="","",Performance!$O$110)</f>
        <v>0</v>
      </c>
      <c r="BN110" s="24">
        <f>IF(Performance!$AA$110="","",Performance!$AA$110)</f>
        <v>0</v>
      </c>
      <c r="BO110" s="32">
        <f>IF(BH110="","",IF(BK110="","",IF(OR(BK110&lt;DashStart,BK110&gt;DashEnd),"",IF(BN110="","",BN110+ROW()/1000000))))</f>
        <v>0</v>
      </c>
      <c r="BP110" s="32">
        <f>IF(BM110="","",IF(BK110="","",IF(OR(BK110&lt;DashStart,BK110&gt;DashEnd),"",BM110+ROW()/1000000)))</f>
        <v>0</v>
      </c>
      <c r="BQ110" s="32">
        <f>IF(BH110="","",IF(BK110="","",IF(YEAR(BK110)&lt;&gt;PlanYear,"",IF(BN110="","",BN110+ROW()/1000000))))</f>
        <v>0</v>
      </c>
      <c r="BR110" s="32">
        <f>IF(BH110="","",IF(BK110="","",IF(OR(BK110&lt;RepFrom,BK110&gt;RepTo),"",IF(BN110="","",BN110+ROW()/1000000))))</f>
        <v>0</v>
      </c>
      <c r="BS110" s="32">
        <f>IF(BM110="","",IF(BK110="","",IF(YEAR(BK110)&lt;&gt;PlanYear,"",BM110+ROW()/1000000)))</f>
        <v>0</v>
      </c>
      <c r="BT110" s="17">
        <f>IF(Lists!$F110="","",Lists!$F110)</f>
        <v>0</v>
      </c>
      <c r="BU110" s="23">
        <f>IF(BT110="","",COUNTIF('Content Calendar'!$X$5:$X$604,BT110))</f>
        <v>0</v>
      </c>
      <c r="BV110" s="23">
        <f>IF(BT110="","",COUNTIFS('Content Calendar'!$X$5:$X$604,BT110,'Content Calendar'!$B$5:$B$604,"&gt;="&amp;DashStart,'Content Calendar'!$B$5:$B$604,"&lt;="&amp;DashEnd))</f>
        <v>0</v>
      </c>
      <c r="BW110" s="17">
        <f>IF(Team!$B$110="","",Team!$B$110)</f>
        <v>0</v>
      </c>
      <c r="BX110" s="23">
        <f>IF(BW110="","",COUNTIF('Content Calendar'!$W$5:$W$604,BW110))</f>
        <v>0</v>
      </c>
      <c r="BY110" s="23">
        <f>IF(BW110="","",COUNTIFS('Content Calendar'!$W$5:$W$604,BW110,'Content Calendar'!$X$5:$X$604,"&lt;&gt;Published"))</f>
        <v>0</v>
      </c>
      <c r="BZ110" s="23">
        <f>IF(BW110="","",COUNTIFS(Tasks!$C$5:$C$64,BW110,Tasks!$G$5:$G$64,"&lt;&gt;Complete"))</f>
        <v>0</v>
      </c>
      <c r="CA110" s="17">
        <f>IF(Campaigns!$B$110="","",Campaigns!$B$110)</f>
        <v>0</v>
      </c>
      <c r="CB110" s="25">
        <f>IF(Campaigns!$T$110="","",Campaigns!$T$110)</f>
        <v>0</v>
      </c>
      <c r="CC110" s="25">
        <f>IF(Campaigns!$Q$110="","",Campaigns!$Q$110)</f>
        <v>0</v>
      </c>
      <c r="CD110" s="23">
        <f>IF(Campaigns!$Y$110="","",Campaigns!$Y$110)</f>
        <v>0</v>
      </c>
      <c r="CE110" s="32">
        <f>IF(CA110="","",IF(N(CB110)&lt;=0,"",N(CB110)+ROW()/1000000))</f>
        <v>0</v>
      </c>
      <c r="CF110" s="17">
        <f>IF(Accounts!$C$110="","",Accounts!$C$110)</f>
        <v>0</v>
      </c>
      <c r="CG110" s="17">
        <f>IF(Accounts!$B$110="","",Accounts!$B$110)</f>
        <v>0</v>
      </c>
      <c r="CH110" s="23">
        <f>IF(Accounts!$J$110="","",Accounts!$J$110)</f>
        <v>0</v>
      </c>
      <c r="CI110" s="23">
        <f>IF(CF110="","",SUMIFS(Analytics!$X$5:$X$154,Analytics!$E$5:$E$154,CF110,Analytics!$B$5:$B$154,"&gt;="&amp;DashStart,Analytics!$B$5:$B$154,"&lt;="&amp;DashEnd))</f>
        <v>0</v>
      </c>
      <c r="CJ110" s="32">
        <f>IF(CH110="","",IF(CH110=0,"",CH110+ROW()/1000000))</f>
        <v>0</v>
      </c>
    </row>
    <row r="111" spans="1:88">
      <c r="A111" s="16">
        <f>IF(ROW()-4&gt;12,"",DATE(PlanYear,ROW()-4,1))</f>
        <v>0</v>
      </c>
      <c r="B111" s="16">
        <f>IF(A111="","",EOMONTH(A111,0))</f>
        <v>0</v>
      </c>
      <c r="C111" s="17">
        <f>IF(A111="","",TEXT(A111,"yyyy-mm"))</f>
        <v>0</v>
      </c>
      <c r="D111" s="17">
        <f>IF(A111="","",TEXT(A111,"mmm"))</f>
        <v>0</v>
      </c>
      <c r="E111" s="23">
        <f>IF(C111="","",COUNTIFS('Content Calendar'!$D$5:$D$604,C111))</f>
        <v>0</v>
      </c>
      <c r="F111" s="23">
        <f>IF(C111="","",COUNTIFS('Content Calendar'!$D$5:$D$604,C111,'Content Calendar'!$X$5:$X$604,"Published"))</f>
        <v>0</v>
      </c>
      <c r="G111" s="23">
        <f>IF(C111="","",SUMIFS(Analytics!$J$5:$J$154,Analytics!$C$5:$C$154,C111))</f>
        <v>0</v>
      </c>
      <c r="H111" s="23">
        <f>IF(C111="","",SUMIFS(Analytics!$K$5:$K$154,Analytics!$C$5:$C$154,C111))</f>
        <v>0</v>
      </c>
      <c r="I111" s="23">
        <f>IF(C111="","",SUMIFS(Analytics!$L$5:$L$154,Analytics!$C$5:$C$154,C111))</f>
        <v>0</v>
      </c>
      <c r="J111" s="24">
        <f>IF(OR(G111="",G111=0),"",I111/G111)</f>
        <v>0</v>
      </c>
      <c r="K111" s="23">
        <f>IF(C111="","",SUMIFS(Analytics!$G$5:$G$154,Analytics!$C$5:$C$154,C111))</f>
        <v>0</v>
      </c>
      <c r="L111" s="23">
        <f>IF(C111="","",SUMIFS(Analytics!$X$5:$X$154,Analytics!$C$5:$C$154,C111))</f>
        <v>0</v>
      </c>
      <c r="M111" s="23">
        <f>IF(C111="","",SUMIFS(Analytics!$R$5:$R$154,Analytics!$C$5:$C$154,C111))</f>
        <v>0</v>
      </c>
      <c r="N111" s="23">
        <f>IF(C111="","",SUMIFS(Analytics!$S$5:$S$154,Analytics!$C$5:$C$154,C111))</f>
        <v>0</v>
      </c>
      <c r="O111" s="23">
        <f>IF(C111="","",SUMIFS(Analytics!$T$5:$T$154,Analytics!$C$5:$C$154,C111))</f>
        <v>0</v>
      </c>
      <c r="P111" s="25">
        <f>IF(C111="","",SUMIFS(Analytics!$U$5:$U$154,Analytics!$C$5:$C$154,C111))</f>
        <v>0</v>
      </c>
      <c r="Q111" s="25">
        <f>IF(C111="","",SUMIFS(Budget!$H$5:$H$64,Budget!$C$5:$C$64,C111))</f>
        <v>0</v>
      </c>
      <c r="R111" s="25">
        <f>IF(C111="","",P111-Q111)</f>
        <v>0</v>
      </c>
      <c r="S111" s="23">
        <f>IF(C111="","",MonthlyPostTarget)</f>
        <v>0</v>
      </c>
      <c r="T111" s="17">
        <f>IF(Lists!$C111="","",Lists!$C111)</f>
        <v>0</v>
      </c>
      <c r="U111" s="23">
        <f>IF(T111="","",COUNTIFS('Content Calendar'!$G$5:$G$604,T111,'Content Calendar'!$B$5:$B$604,"&gt;="&amp;DashStart,'Content Calendar'!$B$5:$B$604,"&lt;="&amp;DashEnd))</f>
        <v>0</v>
      </c>
      <c r="V111" s="23">
        <f>IF(T111="","",COUNTIFS('Content Calendar'!$G$5:$G$604,T111,'Content Calendar'!$X$5:$X$604,"Published",'Content Calendar'!$B$5:$B$604,"&gt;="&amp;DashStart,'Content Calendar'!$B$5:$B$604,"&lt;="&amp;DashEnd))</f>
        <v>0</v>
      </c>
      <c r="W111" s="23">
        <f>IF(T111="","",SUMIFS(Analytics!$J$5:$J$154,Analytics!$D$5:$D$154,T111,Analytics!$B$5:$B$154,"&gt;="&amp;DashStart,Analytics!$B$5:$B$154,"&lt;="&amp;DashEnd))</f>
        <v>0</v>
      </c>
      <c r="X111" s="23">
        <f>IF(T111="","",SUMIFS(Analytics!$L$5:$L$154,Analytics!$D$5:$D$154,T111,Analytics!$B$5:$B$154,"&gt;="&amp;DashStart,Analytics!$B$5:$B$154,"&lt;="&amp;DashEnd))</f>
        <v>0</v>
      </c>
      <c r="Y111" s="24">
        <f>IF(OR(W111="",W111=0),"",X111/W111)</f>
        <v>0</v>
      </c>
      <c r="Z111" s="23">
        <f>IF(T111="","",SUMIFS(Analytics!$G$5:$G$154,Analytics!$D$5:$D$154,T111,Analytics!$B$5:$B$154,"&gt;="&amp;DashStart,Analytics!$B$5:$B$154,"&lt;="&amp;DashEnd))</f>
        <v>0</v>
      </c>
      <c r="AA111" s="23">
        <f>IF(T111="","",SUMIFS(Analytics!$X$5:$X$154,Analytics!$D$5:$D$154,T111,Analytics!$B$5:$B$154,"&gt;="&amp;DashStart,Analytics!$B$5:$B$154,"&lt;="&amp;DashEnd))</f>
        <v>0</v>
      </c>
      <c r="AB111" s="23">
        <f>IF(T111="","",SUMIFS(Analytics!$R$5:$R$154,Analytics!$D$5:$D$154,T111,Analytics!$B$5:$B$154,"&gt;="&amp;DashStart,Analytics!$B$5:$B$154,"&lt;="&amp;DashEnd))</f>
        <v>0</v>
      </c>
      <c r="AC111" s="25">
        <f>IF(T111="","",SUMIFS(Analytics!$U$5:$U$154,Analytics!$D$5:$D$154,T111,Analytics!$B$5:$B$154,"&gt;="&amp;DashStart,Analytics!$B$5:$B$154,"&lt;="&amp;DashEnd))</f>
        <v>0</v>
      </c>
      <c r="AD111" s="23">
        <f>IF(T111="","",COUNTIFS('Content Calendar'!$G$5:$G$604,T111,'Content Calendar'!$B$5:$B$604,"&gt;="&amp;DATE(PlanYear,1,1),'Content Calendar'!$B$5:$B$604,"&lt;="&amp;DATE(PlanYear,12,31)))</f>
        <v>0</v>
      </c>
      <c r="AE111" s="23">
        <f>IF(T111="","",SUMIFS(Analytics!$J$5:$J$154,Analytics!$D$5:$D$154,T111))</f>
        <v>0</v>
      </c>
      <c r="AF111" s="23">
        <f>IF(T111="","",SUMIFS(Analytics!$L$5:$L$154,Analytics!$D$5:$D$154,T111))</f>
        <v>0</v>
      </c>
      <c r="AG111" s="24">
        <f>IF(OR(AE111="",AE111=0),"",AF111/AE111)</f>
        <v>0</v>
      </c>
      <c r="AH111" s="23">
        <f>IF(T111="","",SUMIFS(Analytics!$X$5:$X$154,Analytics!$D$5:$D$154,T111))</f>
        <v>0</v>
      </c>
      <c r="AI111" s="32">
        <f>IF(T111="","",IF(AE111=0,"",AE111+ROW()/1000000))</f>
        <v>0</v>
      </c>
      <c r="AJ111" s="17">
        <f>IF('Content Pillars'!$B$111="","",'Content Pillars'!$B$111)</f>
        <v>0</v>
      </c>
      <c r="AK111" s="23">
        <f>IF(AJ111="","",COUNTIFS('Content Calendar'!$J$5:$J$604,AJ111,'Content Calendar'!$B$5:$B$604,"&gt;="&amp;DATE(PlanYear,1,1),'Content Calendar'!$B$5:$B$604,"&lt;="&amp;DATE(PlanYear,12,31)))</f>
        <v>0</v>
      </c>
      <c r="AL111" s="23">
        <f>IF(AJ111="","",SUMIFS(Performance!$O$5:$O$404,Performance!$H$5:$H$404,AJ111))</f>
        <v>0</v>
      </c>
      <c r="AM111" s="23">
        <f>IF(AJ111="","",SUMIFS(Performance!$Z$5:$Z$404,Performance!$H$5:$H$404,AJ111))</f>
        <v>0</v>
      </c>
      <c r="AN111" s="24">
        <f>IF(OR(AL111="",AL111=0),"",AM111/AL111)</f>
        <v>0</v>
      </c>
      <c r="AO111" s="32">
        <f>IF(AN111="","",AN111+ROW()/1000000)</f>
        <v>0</v>
      </c>
      <c r="AP111" s="17">
        <f>IF(Lists!$E111="","",Lists!$E111)</f>
        <v>0</v>
      </c>
      <c r="AQ111" s="23">
        <f>IF(AP111="","",COUNTIF(Performance!$G$5:$G$404,AP111))</f>
        <v>0</v>
      </c>
      <c r="AR111" s="23">
        <f>IF(AP111="","",SUMIFS(Performance!$O$5:$O$404,Performance!$G$5:$G$404,AP111))</f>
        <v>0</v>
      </c>
      <c r="AS111" s="23">
        <f>IF(AP111="","",SUMIFS(Performance!$Z$5:$Z$404,Performance!$G$5:$G$404,AP111))</f>
        <v>0</v>
      </c>
      <c r="AT111" s="24">
        <f>IF(OR(AR111="",AR111=0),"",AS111/AR111)</f>
        <v>0</v>
      </c>
      <c r="AU111" s="32">
        <f>IF(AQ111=0,"",IF(AT111="","",AT111+ROW()/1000000))</f>
        <v>0</v>
      </c>
      <c r="AV111" s="17">
        <f>IF(ROW()-4&gt;7,"",TEXT(DATE(2024,1,ROW()-4),"ddd"))</f>
        <v>0</v>
      </c>
      <c r="AW111" s="23">
        <f>IF(AV111="","",COUNTIF(Performance!$N$5:$N$404,AV111))</f>
        <v>0</v>
      </c>
      <c r="AX111" s="23">
        <f>IF(AV111="","",SUMIFS(Performance!$O$5:$O$404,Performance!$N$5:$N$404,AV111))</f>
        <v>0</v>
      </c>
      <c r="AY111" s="23">
        <f>IF(AV111="","",SUMIFS(Performance!$Z$5:$Z$404,Performance!$N$5:$N$404,AV111))</f>
        <v>0</v>
      </c>
      <c r="AZ111" s="24">
        <f>IF(OR(AX111="",AX111=0),"",AY111/AX111)</f>
        <v>0</v>
      </c>
      <c r="BA111" s="32">
        <f>IF(AW111=0,"",IF(AZ111="","",AZ111+ROW()/1000000))</f>
        <v>0</v>
      </c>
      <c r="BB111" s="17">
        <f>IF(Lists!$AL111="","",Lists!$AL111)</f>
        <v>0</v>
      </c>
      <c r="BC111" s="23">
        <f>IF(BB111="","",COUNTIF(Performance!$M$5:$M$404,BB111))</f>
        <v>0</v>
      </c>
      <c r="BD111" s="23">
        <f>IF(BB111="","",SUMIFS(Performance!$O$5:$O$404,Performance!$M$5:$M$404,BB111))</f>
        <v>0</v>
      </c>
      <c r="BE111" s="23">
        <f>IF(BB111="","",SUMIFS(Performance!$Z$5:$Z$404,Performance!$M$5:$M$404,BB111))</f>
        <v>0</v>
      </c>
      <c r="BF111" s="24">
        <f>IF(OR(BD111="",BD111=0),"",BE111/BD111)</f>
        <v>0</v>
      </c>
      <c r="BG111" s="32">
        <f>IF(BC111=0,"",IF(BF111="","",BF111+ROW()/1000000))</f>
        <v>0</v>
      </c>
      <c r="BH111" s="17">
        <f>IF(Performance!$C$111="","",Performance!$C$111)</f>
        <v>0</v>
      </c>
      <c r="BI111" s="17">
        <f>IF(Performance!$F$111="","",Performance!$F$111)</f>
        <v>0</v>
      </c>
      <c r="BJ111" s="17">
        <f>IF(Performance!$H$111="","",Performance!$H$111)</f>
        <v>0</v>
      </c>
      <c r="BK111" s="16">
        <f>IF(Performance!$D$111="","",Performance!$D$111)</f>
        <v>0</v>
      </c>
      <c r="BL111" s="17">
        <f>IF(Performance!$E$111="","",Performance!$E$111)</f>
        <v>0</v>
      </c>
      <c r="BM111" s="23">
        <f>IF(Performance!$O$111="","",Performance!$O$111)</f>
        <v>0</v>
      </c>
      <c r="BN111" s="24">
        <f>IF(Performance!$AA$111="","",Performance!$AA$111)</f>
        <v>0</v>
      </c>
      <c r="BO111" s="32">
        <f>IF(BH111="","",IF(BK111="","",IF(OR(BK111&lt;DashStart,BK111&gt;DashEnd),"",IF(BN111="","",BN111+ROW()/1000000))))</f>
        <v>0</v>
      </c>
      <c r="BP111" s="32">
        <f>IF(BM111="","",IF(BK111="","",IF(OR(BK111&lt;DashStart,BK111&gt;DashEnd),"",BM111+ROW()/1000000)))</f>
        <v>0</v>
      </c>
      <c r="BQ111" s="32">
        <f>IF(BH111="","",IF(BK111="","",IF(YEAR(BK111)&lt;&gt;PlanYear,"",IF(BN111="","",BN111+ROW()/1000000))))</f>
        <v>0</v>
      </c>
      <c r="BR111" s="32">
        <f>IF(BH111="","",IF(BK111="","",IF(OR(BK111&lt;RepFrom,BK111&gt;RepTo),"",IF(BN111="","",BN111+ROW()/1000000))))</f>
        <v>0</v>
      </c>
      <c r="BS111" s="32">
        <f>IF(BM111="","",IF(BK111="","",IF(YEAR(BK111)&lt;&gt;PlanYear,"",BM111+ROW()/1000000)))</f>
        <v>0</v>
      </c>
      <c r="BT111" s="17">
        <f>IF(Lists!$F111="","",Lists!$F111)</f>
        <v>0</v>
      </c>
      <c r="BU111" s="23">
        <f>IF(BT111="","",COUNTIF('Content Calendar'!$X$5:$X$604,BT111))</f>
        <v>0</v>
      </c>
      <c r="BV111" s="23">
        <f>IF(BT111="","",COUNTIFS('Content Calendar'!$X$5:$X$604,BT111,'Content Calendar'!$B$5:$B$604,"&gt;="&amp;DashStart,'Content Calendar'!$B$5:$B$604,"&lt;="&amp;DashEnd))</f>
        <v>0</v>
      </c>
      <c r="BW111" s="17">
        <f>IF(Team!$B$111="","",Team!$B$111)</f>
        <v>0</v>
      </c>
      <c r="BX111" s="23">
        <f>IF(BW111="","",COUNTIF('Content Calendar'!$W$5:$W$604,BW111))</f>
        <v>0</v>
      </c>
      <c r="BY111" s="23">
        <f>IF(BW111="","",COUNTIFS('Content Calendar'!$W$5:$W$604,BW111,'Content Calendar'!$X$5:$X$604,"&lt;&gt;Published"))</f>
        <v>0</v>
      </c>
      <c r="BZ111" s="23">
        <f>IF(BW111="","",COUNTIFS(Tasks!$C$5:$C$64,BW111,Tasks!$G$5:$G$64,"&lt;&gt;Complete"))</f>
        <v>0</v>
      </c>
      <c r="CA111" s="17">
        <f>IF(Campaigns!$B$111="","",Campaigns!$B$111)</f>
        <v>0</v>
      </c>
      <c r="CB111" s="25">
        <f>IF(Campaigns!$T$111="","",Campaigns!$T$111)</f>
        <v>0</v>
      </c>
      <c r="CC111" s="25">
        <f>IF(Campaigns!$Q$111="","",Campaigns!$Q$111)</f>
        <v>0</v>
      </c>
      <c r="CD111" s="23">
        <f>IF(Campaigns!$Y$111="","",Campaigns!$Y$111)</f>
        <v>0</v>
      </c>
      <c r="CE111" s="32">
        <f>IF(CA111="","",IF(N(CB111)&lt;=0,"",N(CB111)+ROW()/1000000))</f>
        <v>0</v>
      </c>
      <c r="CF111" s="17">
        <f>IF(Accounts!$C$111="","",Accounts!$C$111)</f>
        <v>0</v>
      </c>
      <c r="CG111" s="17">
        <f>IF(Accounts!$B$111="","",Accounts!$B$111)</f>
        <v>0</v>
      </c>
      <c r="CH111" s="23">
        <f>IF(Accounts!$J$111="","",Accounts!$J$111)</f>
        <v>0</v>
      </c>
      <c r="CI111" s="23">
        <f>IF(CF111="","",SUMIFS(Analytics!$X$5:$X$154,Analytics!$E$5:$E$154,CF111,Analytics!$B$5:$B$154,"&gt;="&amp;DashStart,Analytics!$B$5:$B$154,"&lt;="&amp;DashEnd))</f>
        <v>0</v>
      </c>
      <c r="CJ111" s="32">
        <f>IF(CH111="","",IF(CH111=0,"",CH111+ROW()/1000000))</f>
        <v>0</v>
      </c>
    </row>
    <row r="112" spans="1:88">
      <c r="A112" s="16">
        <f>IF(ROW()-4&gt;12,"",DATE(PlanYear,ROW()-4,1))</f>
        <v>0</v>
      </c>
      <c r="B112" s="16">
        <f>IF(A112="","",EOMONTH(A112,0))</f>
        <v>0</v>
      </c>
      <c r="C112" s="17">
        <f>IF(A112="","",TEXT(A112,"yyyy-mm"))</f>
        <v>0</v>
      </c>
      <c r="D112" s="17">
        <f>IF(A112="","",TEXT(A112,"mmm"))</f>
        <v>0</v>
      </c>
      <c r="E112" s="23">
        <f>IF(C112="","",COUNTIFS('Content Calendar'!$D$5:$D$604,C112))</f>
        <v>0</v>
      </c>
      <c r="F112" s="23">
        <f>IF(C112="","",COUNTIFS('Content Calendar'!$D$5:$D$604,C112,'Content Calendar'!$X$5:$X$604,"Published"))</f>
        <v>0</v>
      </c>
      <c r="G112" s="23">
        <f>IF(C112="","",SUMIFS(Analytics!$J$5:$J$154,Analytics!$C$5:$C$154,C112))</f>
        <v>0</v>
      </c>
      <c r="H112" s="23">
        <f>IF(C112="","",SUMIFS(Analytics!$K$5:$K$154,Analytics!$C$5:$C$154,C112))</f>
        <v>0</v>
      </c>
      <c r="I112" s="23">
        <f>IF(C112="","",SUMIFS(Analytics!$L$5:$L$154,Analytics!$C$5:$C$154,C112))</f>
        <v>0</v>
      </c>
      <c r="J112" s="24">
        <f>IF(OR(G112="",G112=0),"",I112/G112)</f>
        <v>0</v>
      </c>
      <c r="K112" s="23">
        <f>IF(C112="","",SUMIFS(Analytics!$G$5:$G$154,Analytics!$C$5:$C$154,C112))</f>
        <v>0</v>
      </c>
      <c r="L112" s="23">
        <f>IF(C112="","",SUMIFS(Analytics!$X$5:$X$154,Analytics!$C$5:$C$154,C112))</f>
        <v>0</v>
      </c>
      <c r="M112" s="23">
        <f>IF(C112="","",SUMIFS(Analytics!$R$5:$R$154,Analytics!$C$5:$C$154,C112))</f>
        <v>0</v>
      </c>
      <c r="N112" s="23">
        <f>IF(C112="","",SUMIFS(Analytics!$S$5:$S$154,Analytics!$C$5:$C$154,C112))</f>
        <v>0</v>
      </c>
      <c r="O112" s="23">
        <f>IF(C112="","",SUMIFS(Analytics!$T$5:$T$154,Analytics!$C$5:$C$154,C112))</f>
        <v>0</v>
      </c>
      <c r="P112" s="25">
        <f>IF(C112="","",SUMIFS(Analytics!$U$5:$U$154,Analytics!$C$5:$C$154,C112))</f>
        <v>0</v>
      </c>
      <c r="Q112" s="25">
        <f>IF(C112="","",SUMIFS(Budget!$H$5:$H$64,Budget!$C$5:$C$64,C112))</f>
        <v>0</v>
      </c>
      <c r="R112" s="25">
        <f>IF(C112="","",P112-Q112)</f>
        <v>0</v>
      </c>
      <c r="S112" s="23">
        <f>IF(C112="","",MonthlyPostTarget)</f>
        <v>0</v>
      </c>
      <c r="T112" s="17">
        <f>IF(Lists!$C112="","",Lists!$C112)</f>
        <v>0</v>
      </c>
      <c r="U112" s="23">
        <f>IF(T112="","",COUNTIFS('Content Calendar'!$G$5:$G$604,T112,'Content Calendar'!$B$5:$B$604,"&gt;="&amp;DashStart,'Content Calendar'!$B$5:$B$604,"&lt;="&amp;DashEnd))</f>
        <v>0</v>
      </c>
      <c r="V112" s="23">
        <f>IF(T112="","",COUNTIFS('Content Calendar'!$G$5:$G$604,T112,'Content Calendar'!$X$5:$X$604,"Published",'Content Calendar'!$B$5:$B$604,"&gt;="&amp;DashStart,'Content Calendar'!$B$5:$B$604,"&lt;="&amp;DashEnd))</f>
        <v>0</v>
      </c>
      <c r="W112" s="23">
        <f>IF(T112="","",SUMIFS(Analytics!$J$5:$J$154,Analytics!$D$5:$D$154,T112,Analytics!$B$5:$B$154,"&gt;="&amp;DashStart,Analytics!$B$5:$B$154,"&lt;="&amp;DashEnd))</f>
        <v>0</v>
      </c>
      <c r="X112" s="23">
        <f>IF(T112="","",SUMIFS(Analytics!$L$5:$L$154,Analytics!$D$5:$D$154,T112,Analytics!$B$5:$B$154,"&gt;="&amp;DashStart,Analytics!$B$5:$B$154,"&lt;="&amp;DashEnd))</f>
        <v>0</v>
      </c>
      <c r="Y112" s="24">
        <f>IF(OR(W112="",W112=0),"",X112/W112)</f>
        <v>0</v>
      </c>
      <c r="Z112" s="23">
        <f>IF(T112="","",SUMIFS(Analytics!$G$5:$G$154,Analytics!$D$5:$D$154,T112,Analytics!$B$5:$B$154,"&gt;="&amp;DashStart,Analytics!$B$5:$B$154,"&lt;="&amp;DashEnd))</f>
        <v>0</v>
      </c>
      <c r="AA112" s="23">
        <f>IF(T112="","",SUMIFS(Analytics!$X$5:$X$154,Analytics!$D$5:$D$154,T112,Analytics!$B$5:$B$154,"&gt;="&amp;DashStart,Analytics!$B$5:$B$154,"&lt;="&amp;DashEnd))</f>
        <v>0</v>
      </c>
      <c r="AB112" s="23">
        <f>IF(T112="","",SUMIFS(Analytics!$R$5:$R$154,Analytics!$D$5:$D$154,T112,Analytics!$B$5:$B$154,"&gt;="&amp;DashStart,Analytics!$B$5:$B$154,"&lt;="&amp;DashEnd))</f>
        <v>0</v>
      </c>
      <c r="AC112" s="25">
        <f>IF(T112="","",SUMIFS(Analytics!$U$5:$U$154,Analytics!$D$5:$D$154,T112,Analytics!$B$5:$B$154,"&gt;="&amp;DashStart,Analytics!$B$5:$B$154,"&lt;="&amp;DashEnd))</f>
        <v>0</v>
      </c>
      <c r="AD112" s="23">
        <f>IF(T112="","",COUNTIFS('Content Calendar'!$G$5:$G$604,T112,'Content Calendar'!$B$5:$B$604,"&gt;="&amp;DATE(PlanYear,1,1),'Content Calendar'!$B$5:$B$604,"&lt;="&amp;DATE(PlanYear,12,31)))</f>
        <v>0</v>
      </c>
      <c r="AE112" s="23">
        <f>IF(T112="","",SUMIFS(Analytics!$J$5:$J$154,Analytics!$D$5:$D$154,T112))</f>
        <v>0</v>
      </c>
      <c r="AF112" s="23">
        <f>IF(T112="","",SUMIFS(Analytics!$L$5:$L$154,Analytics!$D$5:$D$154,T112))</f>
        <v>0</v>
      </c>
      <c r="AG112" s="24">
        <f>IF(OR(AE112="",AE112=0),"",AF112/AE112)</f>
        <v>0</v>
      </c>
      <c r="AH112" s="23">
        <f>IF(T112="","",SUMIFS(Analytics!$X$5:$X$154,Analytics!$D$5:$D$154,T112))</f>
        <v>0</v>
      </c>
      <c r="AI112" s="32">
        <f>IF(T112="","",IF(AE112=0,"",AE112+ROW()/1000000))</f>
        <v>0</v>
      </c>
      <c r="AJ112" s="17">
        <f>IF('Content Pillars'!$B$112="","",'Content Pillars'!$B$112)</f>
        <v>0</v>
      </c>
      <c r="AK112" s="23">
        <f>IF(AJ112="","",COUNTIFS('Content Calendar'!$J$5:$J$604,AJ112,'Content Calendar'!$B$5:$B$604,"&gt;="&amp;DATE(PlanYear,1,1),'Content Calendar'!$B$5:$B$604,"&lt;="&amp;DATE(PlanYear,12,31)))</f>
        <v>0</v>
      </c>
      <c r="AL112" s="23">
        <f>IF(AJ112="","",SUMIFS(Performance!$O$5:$O$404,Performance!$H$5:$H$404,AJ112))</f>
        <v>0</v>
      </c>
      <c r="AM112" s="23">
        <f>IF(AJ112="","",SUMIFS(Performance!$Z$5:$Z$404,Performance!$H$5:$H$404,AJ112))</f>
        <v>0</v>
      </c>
      <c r="AN112" s="24">
        <f>IF(OR(AL112="",AL112=0),"",AM112/AL112)</f>
        <v>0</v>
      </c>
      <c r="AO112" s="32">
        <f>IF(AN112="","",AN112+ROW()/1000000)</f>
        <v>0</v>
      </c>
      <c r="AP112" s="17">
        <f>IF(Lists!$E112="","",Lists!$E112)</f>
        <v>0</v>
      </c>
      <c r="AQ112" s="23">
        <f>IF(AP112="","",COUNTIF(Performance!$G$5:$G$404,AP112))</f>
        <v>0</v>
      </c>
      <c r="AR112" s="23">
        <f>IF(AP112="","",SUMIFS(Performance!$O$5:$O$404,Performance!$G$5:$G$404,AP112))</f>
        <v>0</v>
      </c>
      <c r="AS112" s="23">
        <f>IF(AP112="","",SUMIFS(Performance!$Z$5:$Z$404,Performance!$G$5:$G$404,AP112))</f>
        <v>0</v>
      </c>
      <c r="AT112" s="24">
        <f>IF(OR(AR112="",AR112=0),"",AS112/AR112)</f>
        <v>0</v>
      </c>
      <c r="AU112" s="32">
        <f>IF(AQ112=0,"",IF(AT112="","",AT112+ROW()/1000000))</f>
        <v>0</v>
      </c>
      <c r="AV112" s="17">
        <f>IF(ROW()-4&gt;7,"",TEXT(DATE(2024,1,ROW()-4),"ddd"))</f>
        <v>0</v>
      </c>
      <c r="AW112" s="23">
        <f>IF(AV112="","",COUNTIF(Performance!$N$5:$N$404,AV112))</f>
        <v>0</v>
      </c>
      <c r="AX112" s="23">
        <f>IF(AV112="","",SUMIFS(Performance!$O$5:$O$404,Performance!$N$5:$N$404,AV112))</f>
        <v>0</v>
      </c>
      <c r="AY112" s="23">
        <f>IF(AV112="","",SUMIFS(Performance!$Z$5:$Z$404,Performance!$N$5:$N$404,AV112))</f>
        <v>0</v>
      </c>
      <c r="AZ112" s="24">
        <f>IF(OR(AX112="",AX112=0),"",AY112/AX112)</f>
        <v>0</v>
      </c>
      <c r="BA112" s="32">
        <f>IF(AW112=0,"",IF(AZ112="","",AZ112+ROW()/1000000))</f>
        <v>0</v>
      </c>
      <c r="BB112" s="17">
        <f>IF(Lists!$AL112="","",Lists!$AL112)</f>
        <v>0</v>
      </c>
      <c r="BC112" s="23">
        <f>IF(BB112="","",COUNTIF(Performance!$M$5:$M$404,BB112))</f>
        <v>0</v>
      </c>
      <c r="BD112" s="23">
        <f>IF(BB112="","",SUMIFS(Performance!$O$5:$O$404,Performance!$M$5:$M$404,BB112))</f>
        <v>0</v>
      </c>
      <c r="BE112" s="23">
        <f>IF(BB112="","",SUMIFS(Performance!$Z$5:$Z$404,Performance!$M$5:$M$404,BB112))</f>
        <v>0</v>
      </c>
      <c r="BF112" s="24">
        <f>IF(OR(BD112="",BD112=0),"",BE112/BD112)</f>
        <v>0</v>
      </c>
      <c r="BG112" s="32">
        <f>IF(BC112=0,"",IF(BF112="","",BF112+ROW()/1000000))</f>
        <v>0</v>
      </c>
      <c r="BH112" s="17">
        <f>IF(Performance!$C$112="","",Performance!$C$112)</f>
        <v>0</v>
      </c>
      <c r="BI112" s="17">
        <f>IF(Performance!$F$112="","",Performance!$F$112)</f>
        <v>0</v>
      </c>
      <c r="BJ112" s="17">
        <f>IF(Performance!$H$112="","",Performance!$H$112)</f>
        <v>0</v>
      </c>
      <c r="BK112" s="16">
        <f>IF(Performance!$D$112="","",Performance!$D$112)</f>
        <v>0</v>
      </c>
      <c r="BL112" s="17">
        <f>IF(Performance!$E$112="","",Performance!$E$112)</f>
        <v>0</v>
      </c>
      <c r="BM112" s="23">
        <f>IF(Performance!$O$112="","",Performance!$O$112)</f>
        <v>0</v>
      </c>
      <c r="BN112" s="24">
        <f>IF(Performance!$AA$112="","",Performance!$AA$112)</f>
        <v>0</v>
      </c>
      <c r="BO112" s="32">
        <f>IF(BH112="","",IF(BK112="","",IF(OR(BK112&lt;DashStart,BK112&gt;DashEnd),"",IF(BN112="","",BN112+ROW()/1000000))))</f>
        <v>0</v>
      </c>
      <c r="BP112" s="32">
        <f>IF(BM112="","",IF(BK112="","",IF(OR(BK112&lt;DashStart,BK112&gt;DashEnd),"",BM112+ROW()/1000000)))</f>
        <v>0</v>
      </c>
      <c r="BQ112" s="32">
        <f>IF(BH112="","",IF(BK112="","",IF(YEAR(BK112)&lt;&gt;PlanYear,"",IF(BN112="","",BN112+ROW()/1000000))))</f>
        <v>0</v>
      </c>
      <c r="BR112" s="32">
        <f>IF(BH112="","",IF(BK112="","",IF(OR(BK112&lt;RepFrom,BK112&gt;RepTo),"",IF(BN112="","",BN112+ROW()/1000000))))</f>
        <v>0</v>
      </c>
      <c r="BS112" s="32">
        <f>IF(BM112="","",IF(BK112="","",IF(YEAR(BK112)&lt;&gt;PlanYear,"",BM112+ROW()/1000000)))</f>
        <v>0</v>
      </c>
      <c r="BT112" s="17">
        <f>IF(Lists!$F112="","",Lists!$F112)</f>
        <v>0</v>
      </c>
      <c r="BU112" s="23">
        <f>IF(BT112="","",COUNTIF('Content Calendar'!$X$5:$X$604,BT112))</f>
        <v>0</v>
      </c>
      <c r="BV112" s="23">
        <f>IF(BT112="","",COUNTIFS('Content Calendar'!$X$5:$X$604,BT112,'Content Calendar'!$B$5:$B$604,"&gt;="&amp;DashStart,'Content Calendar'!$B$5:$B$604,"&lt;="&amp;DashEnd))</f>
        <v>0</v>
      </c>
      <c r="BW112" s="17">
        <f>IF(Team!$B$112="","",Team!$B$112)</f>
        <v>0</v>
      </c>
      <c r="BX112" s="23">
        <f>IF(BW112="","",COUNTIF('Content Calendar'!$W$5:$W$604,BW112))</f>
        <v>0</v>
      </c>
      <c r="BY112" s="23">
        <f>IF(BW112="","",COUNTIFS('Content Calendar'!$W$5:$W$604,BW112,'Content Calendar'!$X$5:$X$604,"&lt;&gt;Published"))</f>
        <v>0</v>
      </c>
      <c r="BZ112" s="23">
        <f>IF(BW112="","",COUNTIFS(Tasks!$C$5:$C$64,BW112,Tasks!$G$5:$G$64,"&lt;&gt;Complete"))</f>
        <v>0</v>
      </c>
      <c r="CA112" s="17">
        <f>IF(Campaigns!$B$112="","",Campaigns!$B$112)</f>
        <v>0</v>
      </c>
      <c r="CB112" s="25">
        <f>IF(Campaigns!$T$112="","",Campaigns!$T$112)</f>
        <v>0</v>
      </c>
      <c r="CC112" s="25">
        <f>IF(Campaigns!$Q$112="","",Campaigns!$Q$112)</f>
        <v>0</v>
      </c>
      <c r="CD112" s="23">
        <f>IF(Campaigns!$Y$112="","",Campaigns!$Y$112)</f>
        <v>0</v>
      </c>
      <c r="CE112" s="32">
        <f>IF(CA112="","",IF(N(CB112)&lt;=0,"",N(CB112)+ROW()/1000000))</f>
        <v>0</v>
      </c>
      <c r="CF112" s="17">
        <f>IF(Accounts!$C$112="","",Accounts!$C$112)</f>
        <v>0</v>
      </c>
      <c r="CG112" s="17">
        <f>IF(Accounts!$B$112="","",Accounts!$B$112)</f>
        <v>0</v>
      </c>
      <c r="CH112" s="23">
        <f>IF(Accounts!$J$112="","",Accounts!$J$112)</f>
        <v>0</v>
      </c>
      <c r="CI112" s="23">
        <f>IF(CF112="","",SUMIFS(Analytics!$X$5:$X$154,Analytics!$E$5:$E$154,CF112,Analytics!$B$5:$B$154,"&gt;="&amp;DashStart,Analytics!$B$5:$B$154,"&lt;="&amp;DashEnd))</f>
        <v>0</v>
      </c>
      <c r="CJ112" s="32">
        <f>IF(CH112="","",IF(CH112=0,"",CH112+ROW()/1000000))</f>
        <v>0</v>
      </c>
    </row>
    <row r="113" spans="1:88">
      <c r="A113" s="16">
        <f>IF(ROW()-4&gt;12,"",DATE(PlanYear,ROW()-4,1))</f>
        <v>0</v>
      </c>
      <c r="B113" s="16">
        <f>IF(A113="","",EOMONTH(A113,0))</f>
        <v>0</v>
      </c>
      <c r="C113" s="17">
        <f>IF(A113="","",TEXT(A113,"yyyy-mm"))</f>
        <v>0</v>
      </c>
      <c r="D113" s="17">
        <f>IF(A113="","",TEXT(A113,"mmm"))</f>
        <v>0</v>
      </c>
      <c r="E113" s="23">
        <f>IF(C113="","",COUNTIFS('Content Calendar'!$D$5:$D$604,C113))</f>
        <v>0</v>
      </c>
      <c r="F113" s="23">
        <f>IF(C113="","",COUNTIFS('Content Calendar'!$D$5:$D$604,C113,'Content Calendar'!$X$5:$X$604,"Published"))</f>
        <v>0</v>
      </c>
      <c r="G113" s="23">
        <f>IF(C113="","",SUMIFS(Analytics!$J$5:$J$154,Analytics!$C$5:$C$154,C113))</f>
        <v>0</v>
      </c>
      <c r="H113" s="23">
        <f>IF(C113="","",SUMIFS(Analytics!$K$5:$K$154,Analytics!$C$5:$C$154,C113))</f>
        <v>0</v>
      </c>
      <c r="I113" s="23">
        <f>IF(C113="","",SUMIFS(Analytics!$L$5:$L$154,Analytics!$C$5:$C$154,C113))</f>
        <v>0</v>
      </c>
      <c r="J113" s="24">
        <f>IF(OR(G113="",G113=0),"",I113/G113)</f>
        <v>0</v>
      </c>
      <c r="K113" s="23">
        <f>IF(C113="","",SUMIFS(Analytics!$G$5:$G$154,Analytics!$C$5:$C$154,C113))</f>
        <v>0</v>
      </c>
      <c r="L113" s="23">
        <f>IF(C113="","",SUMIFS(Analytics!$X$5:$X$154,Analytics!$C$5:$C$154,C113))</f>
        <v>0</v>
      </c>
      <c r="M113" s="23">
        <f>IF(C113="","",SUMIFS(Analytics!$R$5:$R$154,Analytics!$C$5:$C$154,C113))</f>
        <v>0</v>
      </c>
      <c r="N113" s="23">
        <f>IF(C113="","",SUMIFS(Analytics!$S$5:$S$154,Analytics!$C$5:$C$154,C113))</f>
        <v>0</v>
      </c>
      <c r="O113" s="23">
        <f>IF(C113="","",SUMIFS(Analytics!$T$5:$T$154,Analytics!$C$5:$C$154,C113))</f>
        <v>0</v>
      </c>
      <c r="P113" s="25">
        <f>IF(C113="","",SUMIFS(Analytics!$U$5:$U$154,Analytics!$C$5:$C$154,C113))</f>
        <v>0</v>
      </c>
      <c r="Q113" s="25">
        <f>IF(C113="","",SUMIFS(Budget!$H$5:$H$64,Budget!$C$5:$C$64,C113))</f>
        <v>0</v>
      </c>
      <c r="R113" s="25">
        <f>IF(C113="","",P113-Q113)</f>
        <v>0</v>
      </c>
      <c r="S113" s="23">
        <f>IF(C113="","",MonthlyPostTarget)</f>
        <v>0</v>
      </c>
      <c r="T113" s="17">
        <f>IF(Lists!$C113="","",Lists!$C113)</f>
        <v>0</v>
      </c>
      <c r="U113" s="23">
        <f>IF(T113="","",COUNTIFS('Content Calendar'!$G$5:$G$604,T113,'Content Calendar'!$B$5:$B$604,"&gt;="&amp;DashStart,'Content Calendar'!$B$5:$B$604,"&lt;="&amp;DashEnd))</f>
        <v>0</v>
      </c>
      <c r="V113" s="23">
        <f>IF(T113="","",COUNTIFS('Content Calendar'!$G$5:$G$604,T113,'Content Calendar'!$X$5:$X$604,"Published",'Content Calendar'!$B$5:$B$604,"&gt;="&amp;DashStart,'Content Calendar'!$B$5:$B$604,"&lt;="&amp;DashEnd))</f>
        <v>0</v>
      </c>
      <c r="W113" s="23">
        <f>IF(T113="","",SUMIFS(Analytics!$J$5:$J$154,Analytics!$D$5:$D$154,T113,Analytics!$B$5:$B$154,"&gt;="&amp;DashStart,Analytics!$B$5:$B$154,"&lt;="&amp;DashEnd))</f>
        <v>0</v>
      </c>
      <c r="X113" s="23">
        <f>IF(T113="","",SUMIFS(Analytics!$L$5:$L$154,Analytics!$D$5:$D$154,T113,Analytics!$B$5:$B$154,"&gt;="&amp;DashStart,Analytics!$B$5:$B$154,"&lt;="&amp;DashEnd))</f>
        <v>0</v>
      </c>
      <c r="Y113" s="24">
        <f>IF(OR(W113="",W113=0),"",X113/W113)</f>
        <v>0</v>
      </c>
      <c r="Z113" s="23">
        <f>IF(T113="","",SUMIFS(Analytics!$G$5:$G$154,Analytics!$D$5:$D$154,T113,Analytics!$B$5:$B$154,"&gt;="&amp;DashStart,Analytics!$B$5:$B$154,"&lt;="&amp;DashEnd))</f>
        <v>0</v>
      </c>
      <c r="AA113" s="23">
        <f>IF(T113="","",SUMIFS(Analytics!$X$5:$X$154,Analytics!$D$5:$D$154,T113,Analytics!$B$5:$B$154,"&gt;="&amp;DashStart,Analytics!$B$5:$B$154,"&lt;="&amp;DashEnd))</f>
        <v>0</v>
      </c>
      <c r="AB113" s="23">
        <f>IF(T113="","",SUMIFS(Analytics!$R$5:$R$154,Analytics!$D$5:$D$154,T113,Analytics!$B$5:$B$154,"&gt;="&amp;DashStart,Analytics!$B$5:$B$154,"&lt;="&amp;DashEnd))</f>
        <v>0</v>
      </c>
      <c r="AC113" s="25">
        <f>IF(T113="","",SUMIFS(Analytics!$U$5:$U$154,Analytics!$D$5:$D$154,T113,Analytics!$B$5:$B$154,"&gt;="&amp;DashStart,Analytics!$B$5:$B$154,"&lt;="&amp;DashEnd))</f>
        <v>0</v>
      </c>
      <c r="AD113" s="23">
        <f>IF(T113="","",COUNTIFS('Content Calendar'!$G$5:$G$604,T113,'Content Calendar'!$B$5:$B$604,"&gt;="&amp;DATE(PlanYear,1,1),'Content Calendar'!$B$5:$B$604,"&lt;="&amp;DATE(PlanYear,12,31)))</f>
        <v>0</v>
      </c>
      <c r="AE113" s="23">
        <f>IF(T113="","",SUMIFS(Analytics!$J$5:$J$154,Analytics!$D$5:$D$154,T113))</f>
        <v>0</v>
      </c>
      <c r="AF113" s="23">
        <f>IF(T113="","",SUMIFS(Analytics!$L$5:$L$154,Analytics!$D$5:$D$154,T113))</f>
        <v>0</v>
      </c>
      <c r="AG113" s="24">
        <f>IF(OR(AE113="",AE113=0),"",AF113/AE113)</f>
        <v>0</v>
      </c>
      <c r="AH113" s="23">
        <f>IF(T113="","",SUMIFS(Analytics!$X$5:$X$154,Analytics!$D$5:$D$154,T113))</f>
        <v>0</v>
      </c>
      <c r="AI113" s="32">
        <f>IF(T113="","",IF(AE113=0,"",AE113+ROW()/1000000))</f>
        <v>0</v>
      </c>
      <c r="AJ113" s="17">
        <f>IF('Content Pillars'!$B$113="","",'Content Pillars'!$B$113)</f>
        <v>0</v>
      </c>
      <c r="AK113" s="23">
        <f>IF(AJ113="","",COUNTIFS('Content Calendar'!$J$5:$J$604,AJ113,'Content Calendar'!$B$5:$B$604,"&gt;="&amp;DATE(PlanYear,1,1),'Content Calendar'!$B$5:$B$604,"&lt;="&amp;DATE(PlanYear,12,31)))</f>
        <v>0</v>
      </c>
      <c r="AL113" s="23">
        <f>IF(AJ113="","",SUMIFS(Performance!$O$5:$O$404,Performance!$H$5:$H$404,AJ113))</f>
        <v>0</v>
      </c>
      <c r="AM113" s="23">
        <f>IF(AJ113="","",SUMIFS(Performance!$Z$5:$Z$404,Performance!$H$5:$H$404,AJ113))</f>
        <v>0</v>
      </c>
      <c r="AN113" s="24">
        <f>IF(OR(AL113="",AL113=0),"",AM113/AL113)</f>
        <v>0</v>
      </c>
      <c r="AO113" s="32">
        <f>IF(AN113="","",AN113+ROW()/1000000)</f>
        <v>0</v>
      </c>
      <c r="AP113" s="17">
        <f>IF(Lists!$E113="","",Lists!$E113)</f>
        <v>0</v>
      </c>
      <c r="AQ113" s="23">
        <f>IF(AP113="","",COUNTIF(Performance!$G$5:$G$404,AP113))</f>
        <v>0</v>
      </c>
      <c r="AR113" s="23">
        <f>IF(AP113="","",SUMIFS(Performance!$O$5:$O$404,Performance!$G$5:$G$404,AP113))</f>
        <v>0</v>
      </c>
      <c r="AS113" s="23">
        <f>IF(AP113="","",SUMIFS(Performance!$Z$5:$Z$404,Performance!$G$5:$G$404,AP113))</f>
        <v>0</v>
      </c>
      <c r="AT113" s="24">
        <f>IF(OR(AR113="",AR113=0),"",AS113/AR113)</f>
        <v>0</v>
      </c>
      <c r="AU113" s="32">
        <f>IF(AQ113=0,"",IF(AT113="","",AT113+ROW()/1000000))</f>
        <v>0</v>
      </c>
      <c r="AV113" s="17">
        <f>IF(ROW()-4&gt;7,"",TEXT(DATE(2024,1,ROW()-4),"ddd"))</f>
        <v>0</v>
      </c>
      <c r="AW113" s="23">
        <f>IF(AV113="","",COUNTIF(Performance!$N$5:$N$404,AV113))</f>
        <v>0</v>
      </c>
      <c r="AX113" s="23">
        <f>IF(AV113="","",SUMIFS(Performance!$O$5:$O$404,Performance!$N$5:$N$404,AV113))</f>
        <v>0</v>
      </c>
      <c r="AY113" s="23">
        <f>IF(AV113="","",SUMIFS(Performance!$Z$5:$Z$404,Performance!$N$5:$N$404,AV113))</f>
        <v>0</v>
      </c>
      <c r="AZ113" s="24">
        <f>IF(OR(AX113="",AX113=0),"",AY113/AX113)</f>
        <v>0</v>
      </c>
      <c r="BA113" s="32">
        <f>IF(AW113=0,"",IF(AZ113="","",AZ113+ROW()/1000000))</f>
        <v>0</v>
      </c>
      <c r="BB113" s="17">
        <f>IF(Lists!$AL113="","",Lists!$AL113)</f>
        <v>0</v>
      </c>
      <c r="BC113" s="23">
        <f>IF(BB113="","",COUNTIF(Performance!$M$5:$M$404,BB113))</f>
        <v>0</v>
      </c>
      <c r="BD113" s="23">
        <f>IF(BB113="","",SUMIFS(Performance!$O$5:$O$404,Performance!$M$5:$M$404,BB113))</f>
        <v>0</v>
      </c>
      <c r="BE113" s="23">
        <f>IF(BB113="","",SUMIFS(Performance!$Z$5:$Z$404,Performance!$M$5:$M$404,BB113))</f>
        <v>0</v>
      </c>
      <c r="BF113" s="24">
        <f>IF(OR(BD113="",BD113=0),"",BE113/BD113)</f>
        <v>0</v>
      </c>
      <c r="BG113" s="32">
        <f>IF(BC113=0,"",IF(BF113="","",BF113+ROW()/1000000))</f>
        <v>0</v>
      </c>
      <c r="BH113" s="17">
        <f>IF(Performance!$C$113="","",Performance!$C$113)</f>
        <v>0</v>
      </c>
      <c r="BI113" s="17">
        <f>IF(Performance!$F$113="","",Performance!$F$113)</f>
        <v>0</v>
      </c>
      <c r="BJ113" s="17">
        <f>IF(Performance!$H$113="","",Performance!$H$113)</f>
        <v>0</v>
      </c>
      <c r="BK113" s="16">
        <f>IF(Performance!$D$113="","",Performance!$D$113)</f>
        <v>0</v>
      </c>
      <c r="BL113" s="17">
        <f>IF(Performance!$E$113="","",Performance!$E$113)</f>
        <v>0</v>
      </c>
      <c r="BM113" s="23">
        <f>IF(Performance!$O$113="","",Performance!$O$113)</f>
        <v>0</v>
      </c>
      <c r="BN113" s="24">
        <f>IF(Performance!$AA$113="","",Performance!$AA$113)</f>
        <v>0</v>
      </c>
      <c r="BO113" s="32">
        <f>IF(BH113="","",IF(BK113="","",IF(OR(BK113&lt;DashStart,BK113&gt;DashEnd),"",IF(BN113="","",BN113+ROW()/1000000))))</f>
        <v>0</v>
      </c>
      <c r="BP113" s="32">
        <f>IF(BM113="","",IF(BK113="","",IF(OR(BK113&lt;DashStart,BK113&gt;DashEnd),"",BM113+ROW()/1000000)))</f>
        <v>0</v>
      </c>
      <c r="BQ113" s="32">
        <f>IF(BH113="","",IF(BK113="","",IF(YEAR(BK113)&lt;&gt;PlanYear,"",IF(BN113="","",BN113+ROW()/1000000))))</f>
        <v>0</v>
      </c>
      <c r="BR113" s="32">
        <f>IF(BH113="","",IF(BK113="","",IF(OR(BK113&lt;RepFrom,BK113&gt;RepTo),"",IF(BN113="","",BN113+ROW()/1000000))))</f>
        <v>0</v>
      </c>
      <c r="BS113" s="32">
        <f>IF(BM113="","",IF(BK113="","",IF(YEAR(BK113)&lt;&gt;PlanYear,"",BM113+ROW()/1000000)))</f>
        <v>0</v>
      </c>
      <c r="BT113" s="17">
        <f>IF(Lists!$F113="","",Lists!$F113)</f>
        <v>0</v>
      </c>
      <c r="BU113" s="23">
        <f>IF(BT113="","",COUNTIF('Content Calendar'!$X$5:$X$604,BT113))</f>
        <v>0</v>
      </c>
      <c r="BV113" s="23">
        <f>IF(BT113="","",COUNTIFS('Content Calendar'!$X$5:$X$604,BT113,'Content Calendar'!$B$5:$B$604,"&gt;="&amp;DashStart,'Content Calendar'!$B$5:$B$604,"&lt;="&amp;DashEnd))</f>
        <v>0</v>
      </c>
      <c r="BW113" s="17">
        <f>IF(Team!$B$113="","",Team!$B$113)</f>
        <v>0</v>
      </c>
      <c r="BX113" s="23">
        <f>IF(BW113="","",COUNTIF('Content Calendar'!$W$5:$W$604,BW113))</f>
        <v>0</v>
      </c>
      <c r="BY113" s="23">
        <f>IF(BW113="","",COUNTIFS('Content Calendar'!$W$5:$W$604,BW113,'Content Calendar'!$X$5:$X$604,"&lt;&gt;Published"))</f>
        <v>0</v>
      </c>
      <c r="BZ113" s="23">
        <f>IF(BW113="","",COUNTIFS(Tasks!$C$5:$C$64,BW113,Tasks!$G$5:$G$64,"&lt;&gt;Complete"))</f>
        <v>0</v>
      </c>
      <c r="CA113" s="17">
        <f>IF(Campaigns!$B$113="","",Campaigns!$B$113)</f>
        <v>0</v>
      </c>
      <c r="CB113" s="25">
        <f>IF(Campaigns!$T$113="","",Campaigns!$T$113)</f>
        <v>0</v>
      </c>
      <c r="CC113" s="25">
        <f>IF(Campaigns!$Q$113="","",Campaigns!$Q$113)</f>
        <v>0</v>
      </c>
      <c r="CD113" s="23">
        <f>IF(Campaigns!$Y$113="","",Campaigns!$Y$113)</f>
        <v>0</v>
      </c>
      <c r="CE113" s="32">
        <f>IF(CA113="","",IF(N(CB113)&lt;=0,"",N(CB113)+ROW()/1000000))</f>
        <v>0</v>
      </c>
      <c r="CF113" s="17">
        <f>IF(Accounts!$C$113="","",Accounts!$C$113)</f>
        <v>0</v>
      </c>
      <c r="CG113" s="17">
        <f>IF(Accounts!$B$113="","",Accounts!$B$113)</f>
        <v>0</v>
      </c>
      <c r="CH113" s="23">
        <f>IF(Accounts!$J$113="","",Accounts!$J$113)</f>
        <v>0</v>
      </c>
      <c r="CI113" s="23">
        <f>IF(CF113="","",SUMIFS(Analytics!$X$5:$X$154,Analytics!$E$5:$E$154,CF113,Analytics!$B$5:$B$154,"&gt;="&amp;DashStart,Analytics!$B$5:$B$154,"&lt;="&amp;DashEnd))</f>
        <v>0</v>
      </c>
      <c r="CJ113" s="32">
        <f>IF(CH113="","",IF(CH113=0,"",CH113+ROW()/1000000))</f>
        <v>0</v>
      </c>
    </row>
    <row r="114" spans="1:88">
      <c r="A114" s="16">
        <f>IF(ROW()-4&gt;12,"",DATE(PlanYear,ROW()-4,1))</f>
        <v>0</v>
      </c>
      <c r="B114" s="16">
        <f>IF(A114="","",EOMONTH(A114,0))</f>
        <v>0</v>
      </c>
      <c r="C114" s="17">
        <f>IF(A114="","",TEXT(A114,"yyyy-mm"))</f>
        <v>0</v>
      </c>
      <c r="D114" s="17">
        <f>IF(A114="","",TEXT(A114,"mmm"))</f>
        <v>0</v>
      </c>
      <c r="E114" s="23">
        <f>IF(C114="","",COUNTIFS('Content Calendar'!$D$5:$D$604,C114))</f>
        <v>0</v>
      </c>
      <c r="F114" s="23">
        <f>IF(C114="","",COUNTIFS('Content Calendar'!$D$5:$D$604,C114,'Content Calendar'!$X$5:$X$604,"Published"))</f>
        <v>0</v>
      </c>
      <c r="G114" s="23">
        <f>IF(C114="","",SUMIFS(Analytics!$J$5:$J$154,Analytics!$C$5:$C$154,C114))</f>
        <v>0</v>
      </c>
      <c r="H114" s="23">
        <f>IF(C114="","",SUMIFS(Analytics!$K$5:$K$154,Analytics!$C$5:$C$154,C114))</f>
        <v>0</v>
      </c>
      <c r="I114" s="23">
        <f>IF(C114="","",SUMIFS(Analytics!$L$5:$L$154,Analytics!$C$5:$C$154,C114))</f>
        <v>0</v>
      </c>
      <c r="J114" s="24">
        <f>IF(OR(G114="",G114=0),"",I114/G114)</f>
        <v>0</v>
      </c>
      <c r="K114" s="23">
        <f>IF(C114="","",SUMIFS(Analytics!$G$5:$G$154,Analytics!$C$5:$C$154,C114))</f>
        <v>0</v>
      </c>
      <c r="L114" s="23">
        <f>IF(C114="","",SUMIFS(Analytics!$X$5:$X$154,Analytics!$C$5:$C$154,C114))</f>
        <v>0</v>
      </c>
      <c r="M114" s="23">
        <f>IF(C114="","",SUMIFS(Analytics!$R$5:$R$154,Analytics!$C$5:$C$154,C114))</f>
        <v>0</v>
      </c>
      <c r="N114" s="23">
        <f>IF(C114="","",SUMIFS(Analytics!$S$5:$S$154,Analytics!$C$5:$C$154,C114))</f>
        <v>0</v>
      </c>
      <c r="O114" s="23">
        <f>IF(C114="","",SUMIFS(Analytics!$T$5:$T$154,Analytics!$C$5:$C$154,C114))</f>
        <v>0</v>
      </c>
      <c r="P114" s="25">
        <f>IF(C114="","",SUMIFS(Analytics!$U$5:$U$154,Analytics!$C$5:$C$154,C114))</f>
        <v>0</v>
      </c>
      <c r="Q114" s="25">
        <f>IF(C114="","",SUMIFS(Budget!$H$5:$H$64,Budget!$C$5:$C$64,C114))</f>
        <v>0</v>
      </c>
      <c r="R114" s="25">
        <f>IF(C114="","",P114-Q114)</f>
        <v>0</v>
      </c>
      <c r="S114" s="23">
        <f>IF(C114="","",MonthlyPostTarget)</f>
        <v>0</v>
      </c>
      <c r="T114" s="17">
        <f>IF(Lists!$C114="","",Lists!$C114)</f>
        <v>0</v>
      </c>
      <c r="U114" s="23">
        <f>IF(T114="","",COUNTIFS('Content Calendar'!$G$5:$G$604,T114,'Content Calendar'!$B$5:$B$604,"&gt;="&amp;DashStart,'Content Calendar'!$B$5:$B$604,"&lt;="&amp;DashEnd))</f>
        <v>0</v>
      </c>
      <c r="V114" s="23">
        <f>IF(T114="","",COUNTIFS('Content Calendar'!$G$5:$G$604,T114,'Content Calendar'!$X$5:$X$604,"Published",'Content Calendar'!$B$5:$B$604,"&gt;="&amp;DashStart,'Content Calendar'!$B$5:$B$604,"&lt;="&amp;DashEnd))</f>
        <v>0</v>
      </c>
      <c r="W114" s="23">
        <f>IF(T114="","",SUMIFS(Analytics!$J$5:$J$154,Analytics!$D$5:$D$154,T114,Analytics!$B$5:$B$154,"&gt;="&amp;DashStart,Analytics!$B$5:$B$154,"&lt;="&amp;DashEnd))</f>
        <v>0</v>
      </c>
      <c r="X114" s="23">
        <f>IF(T114="","",SUMIFS(Analytics!$L$5:$L$154,Analytics!$D$5:$D$154,T114,Analytics!$B$5:$B$154,"&gt;="&amp;DashStart,Analytics!$B$5:$B$154,"&lt;="&amp;DashEnd))</f>
        <v>0</v>
      </c>
      <c r="Y114" s="24">
        <f>IF(OR(W114="",W114=0),"",X114/W114)</f>
        <v>0</v>
      </c>
      <c r="Z114" s="23">
        <f>IF(T114="","",SUMIFS(Analytics!$G$5:$G$154,Analytics!$D$5:$D$154,T114,Analytics!$B$5:$B$154,"&gt;="&amp;DashStart,Analytics!$B$5:$B$154,"&lt;="&amp;DashEnd))</f>
        <v>0</v>
      </c>
      <c r="AA114" s="23">
        <f>IF(T114="","",SUMIFS(Analytics!$X$5:$X$154,Analytics!$D$5:$D$154,T114,Analytics!$B$5:$B$154,"&gt;="&amp;DashStart,Analytics!$B$5:$B$154,"&lt;="&amp;DashEnd))</f>
        <v>0</v>
      </c>
      <c r="AB114" s="23">
        <f>IF(T114="","",SUMIFS(Analytics!$R$5:$R$154,Analytics!$D$5:$D$154,T114,Analytics!$B$5:$B$154,"&gt;="&amp;DashStart,Analytics!$B$5:$B$154,"&lt;="&amp;DashEnd))</f>
        <v>0</v>
      </c>
      <c r="AC114" s="25">
        <f>IF(T114="","",SUMIFS(Analytics!$U$5:$U$154,Analytics!$D$5:$D$154,T114,Analytics!$B$5:$B$154,"&gt;="&amp;DashStart,Analytics!$B$5:$B$154,"&lt;="&amp;DashEnd))</f>
        <v>0</v>
      </c>
      <c r="AD114" s="23">
        <f>IF(T114="","",COUNTIFS('Content Calendar'!$G$5:$G$604,T114,'Content Calendar'!$B$5:$B$604,"&gt;="&amp;DATE(PlanYear,1,1),'Content Calendar'!$B$5:$B$604,"&lt;="&amp;DATE(PlanYear,12,31)))</f>
        <v>0</v>
      </c>
      <c r="AE114" s="23">
        <f>IF(T114="","",SUMIFS(Analytics!$J$5:$J$154,Analytics!$D$5:$D$154,T114))</f>
        <v>0</v>
      </c>
      <c r="AF114" s="23">
        <f>IF(T114="","",SUMIFS(Analytics!$L$5:$L$154,Analytics!$D$5:$D$154,T114))</f>
        <v>0</v>
      </c>
      <c r="AG114" s="24">
        <f>IF(OR(AE114="",AE114=0),"",AF114/AE114)</f>
        <v>0</v>
      </c>
      <c r="AH114" s="23">
        <f>IF(T114="","",SUMIFS(Analytics!$X$5:$X$154,Analytics!$D$5:$D$154,T114))</f>
        <v>0</v>
      </c>
      <c r="AI114" s="32">
        <f>IF(T114="","",IF(AE114=0,"",AE114+ROW()/1000000))</f>
        <v>0</v>
      </c>
      <c r="AJ114" s="17">
        <f>IF('Content Pillars'!$B$114="","",'Content Pillars'!$B$114)</f>
        <v>0</v>
      </c>
      <c r="AK114" s="23">
        <f>IF(AJ114="","",COUNTIFS('Content Calendar'!$J$5:$J$604,AJ114,'Content Calendar'!$B$5:$B$604,"&gt;="&amp;DATE(PlanYear,1,1),'Content Calendar'!$B$5:$B$604,"&lt;="&amp;DATE(PlanYear,12,31)))</f>
        <v>0</v>
      </c>
      <c r="AL114" s="23">
        <f>IF(AJ114="","",SUMIFS(Performance!$O$5:$O$404,Performance!$H$5:$H$404,AJ114))</f>
        <v>0</v>
      </c>
      <c r="AM114" s="23">
        <f>IF(AJ114="","",SUMIFS(Performance!$Z$5:$Z$404,Performance!$H$5:$H$404,AJ114))</f>
        <v>0</v>
      </c>
      <c r="AN114" s="24">
        <f>IF(OR(AL114="",AL114=0),"",AM114/AL114)</f>
        <v>0</v>
      </c>
      <c r="AO114" s="32">
        <f>IF(AN114="","",AN114+ROW()/1000000)</f>
        <v>0</v>
      </c>
      <c r="AP114" s="17">
        <f>IF(Lists!$E114="","",Lists!$E114)</f>
        <v>0</v>
      </c>
      <c r="AQ114" s="23">
        <f>IF(AP114="","",COUNTIF(Performance!$G$5:$G$404,AP114))</f>
        <v>0</v>
      </c>
      <c r="AR114" s="23">
        <f>IF(AP114="","",SUMIFS(Performance!$O$5:$O$404,Performance!$G$5:$G$404,AP114))</f>
        <v>0</v>
      </c>
      <c r="AS114" s="23">
        <f>IF(AP114="","",SUMIFS(Performance!$Z$5:$Z$404,Performance!$G$5:$G$404,AP114))</f>
        <v>0</v>
      </c>
      <c r="AT114" s="24">
        <f>IF(OR(AR114="",AR114=0),"",AS114/AR114)</f>
        <v>0</v>
      </c>
      <c r="AU114" s="32">
        <f>IF(AQ114=0,"",IF(AT114="","",AT114+ROW()/1000000))</f>
        <v>0</v>
      </c>
      <c r="AV114" s="17">
        <f>IF(ROW()-4&gt;7,"",TEXT(DATE(2024,1,ROW()-4),"ddd"))</f>
        <v>0</v>
      </c>
      <c r="AW114" s="23">
        <f>IF(AV114="","",COUNTIF(Performance!$N$5:$N$404,AV114))</f>
        <v>0</v>
      </c>
      <c r="AX114" s="23">
        <f>IF(AV114="","",SUMIFS(Performance!$O$5:$O$404,Performance!$N$5:$N$404,AV114))</f>
        <v>0</v>
      </c>
      <c r="AY114" s="23">
        <f>IF(AV114="","",SUMIFS(Performance!$Z$5:$Z$404,Performance!$N$5:$N$404,AV114))</f>
        <v>0</v>
      </c>
      <c r="AZ114" s="24">
        <f>IF(OR(AX114="",AX114=0),"",AY114/AX114)</f>
        <v>0</v>
      </c>
      <c r="BA114" s="32">
        <f>IF(AW114=0,"",IF(AZ114="","",AZ114+ROW()/1000000))</f>
        <v>0</v>
      </c>
      <c r="BB114" s="17">
        <f>IF(Lists!$AL114="","",Lists!$AL114)</f>
        <v>0</v>
      </c>
      <c r="BC114" s="23">
        <f>IF(BB114="","",COUNTIF(Performance!$M$5:$M$404,BB114))</f>
        <v>0</v>
      </c>
      <c r="BD114" s="23">
        <f>IF(BB114="","",SUMIFS(Performance!$O$5:$O$404,Performance!$M$5:$M$404,BB114))</f>
        <v>0</v>
      </c>
      <c r="BE114" s="23">
        <f>IF(BB114="","",SUMIFS(Performance!$Z$5:$Z$404,Performance!$M$5:$M$404,BB114))</f>
        <v>0</v>
      </c>
      <c r="BF114" s="24">
        <f>IF(OR(BD114="",BD114=0),"",BE114/BD114)</f>
        <v>0</v>
      </c>
      <c r="BG114" s="32">
        <f>IF(BC114=0,"",IF(BF114="","",BF114+ROW()/1000000))</f>
        <v>0</v>
      </c>
      <c r="BH114" s="17">
        <f>IF(Performance!$C$114="","",Performance!$C$114)</f>
        <v>0</v>
      </c>
      <c r="BI114" s="17">
        <f>IF(Performance!$F$114="","",Performance!$F$114)</f>
        <v>0</v>
      </c>
      <c r="BJ114" s="17">
        <f>IF(Performance!$H$114="","",Performance!$H$114)</f>
        <v>0</v>
      </c>
      <c r="BK114" s="16">
        <f>IF(Performance!$D$114="","",Performance!$D$114)</f>
        <v>0</v>
      </c>
      <c r="BL114" s="17">
        <f>IF(Performance!$E$114="","",Performance!$E$114)</f>
        <v>0</v>
      </c>
      <c r="BM114" s="23">
        <f>IF(Performance!$O$114="","",Performance!$O$114)</f>
        <v>0</v>
      </c>
      <c r="BN114" s="24">
        <f>IF(Performance!$AA$114="","",Performance!$AA$114)</f>
        <v>0</v>
      </c>
      <c r="BO114" s="32">
        <f>IF(BH114="","",IF(BK114="","",IF(OR(BK114&lt;DashStart,BK114&gt;DashEnd),"",IF(BN114="","",BN114+ROW()/1000000))))</f>
        <v>0</v>
      </c>
      <c r="BP114" s="32">
        <f>IF(BM114="","",IF(BK114="","",IF(OR(BK114&lt;DashStart,BK114&gt;DashEnd),"",BM114+ROW()/1000000)))</f>
        <v>0</v>
      </c>
      <c r="BQ114" s="32">
        <f>IF(BH114="","",IF(BK114="","",IF(YEAR(BK114)&lt;&gt;PlanYear,"",IF(BN114="","",BN114+ROW()/1000000))))</f>
        <v>0</v>
      </c>
      <c r="BR114" s="32">
        <f>IF(BH114="","",IF(BK114="","",IF(OR(BK114&lt;RepFrom,BK114&gt;RepTo),"",IF(BN114="","",BN114+ROW()/1000000))))</f>
        <v>0</v>
      </c>
      <c r="BS114" s="32">
        <f>IF(BM114="","",IF(BK114="","",IF(YEAR(BK114)&lt;&gt;PlanYear,"",BM114+ROW()/1000000)))</f>
        <v>0</v>
      </c>
      <c r="BT114" s="17">
        <f>IF(Lists!$F114="","",Lists!$F114)</f>
        <v>0</v>
      </c>
      <c r="BU114" s="23">
        <f>IF(BT114="","",COUNTIF('Content Calendar'!$X$5:$X$604,BT114))</f>
        <v>0</v>
      </c>
      <c r="BV114" s="23">
        <f>IF(BT114="","",COUNTIFS('Content Calendar'!$X$5:$X$604,BT114,'Content Calendar'!$B$5:$B$604,"&gt;="&amp;DashStart,'Content Calendar'!$B$5:$B$604,"&lt;="&amp;DashEnd))</f>
        <v>0</v>
      </c>
      <c r="BW114" s="17">
        <f>IF(Team!$B$114="","",Team!$B$114)</f>
        <v>0</v>
      </c>
      <c r="BX114" s="23">
        <f>IF(BW114="","",COUNTIF('Content Calendar'!$W$5:$W$604,BW114))</f>
        <v>0</v>
      </c>
      <c r="BY114" s="23">
        <f>IF(BW114="","",COUNTIFS('Content Calendar'!$W$5:$W$604,BW114,'Content Calendar'!$X$5:$X$604,"&lt;&gt;Published"))</f>
        <v>0</v>
      </c>
      <c r="BZ114" s="23">
        <f>IF(BW114="","",COUNTIFS(Tasks!$C$5:$C$64,BW114,Tasks!$G$5:$G$64,"&lt;&gt;Complete"))</f>
        <v>0</v>
      </c>
      <c r="CA114" s="17">
        <f>IF(Campaigns!$B$114="","",Campaigns!$B$114)</f>
        <v>0</v>
      </c>
      <c r="CB114" s="25">
        <f>IF(Campaigns!$T$114="","",Campaigns!$T$114)</f>
        <v>0</v>
      </c>
      <c r="CC114" s="25">
        <f>IF(Campaigns!$Q$114="","",Campaigns!$Q$114)</f>
        <v>0</v>
      </c>
      <c r="CD114" s="23">
        <f>IF(Campaigns!$Y$114="","",Campaigns!$Y$114)</f>
        <v>0</v>
      </c>
      <c r="CE114" s="32">
        <f>IF(CA114="","",IF(N(CB114)&lt;=0,"",N(CB114)+ROW()/1000000))</f>
        <v>0</v>
      </c>
      <c r="CF114" s="17">
        <f>IF(Accounts!$C$114="","",Accounts!$C$114)</f>
        <v>0</v>
      </c>
      <c r="CG114" s="17">
        <f>IF(Accounts!$B$114="","",Accounts!$B$114)</f>
        <v>0</v>
      </c>
      <c r="CH114" s="23">
        <f>IF(Accounts!$J$114="","",Accounts!$J$114)</f>
        <v>0</v>
      </c>
      <c r="CI114" s="23">
        <f>IF(CF114="","",SUMIFS(Analytics!$X$5:$X$154,Analytics!$E$5:$E$154,CF114,Analytics!$B$5:$B$154,"&gt;="&amp;DashStart,Analytics!$B$5:$B$154,"&lt;="&amp;DashEnd))</f>
        <v>0</v>
      </c>
      <c r="CJ114" s="32">
        <f>IF(CH114="","",IF(CH114=0,"",CH114+ROW()/1000000))</f>
        <v>0</v>
      </c>
    </row>
    <row r="115" spans="1:88">
      <c r="A115" s="16">
        <f>IF(ROW()-4&gt;12,"",DATE(PlanYear,ROW()-4,1))</f>
        <v>0</v>
      </c>
      <c r="B115" s="16">
        <f>IF(A115="","",EOMONTH(A115,0))</f>
        <v>0</v>
      </c>
      <c r="C115" s="17">
        <f>IF(A115="","",TEXT(A115,"yyyy-mm"))</f>
        <v>0</v>
      </c>
      <c r="D115" s="17">
        <f>IF(A115="","",TEXT(A115,"mmm"))</f>
        <v>0</v>
      </c>
      <c r="E115" s="23">
        <f>IF(C115="","",COUNTIFS('Content Calendar'!$D$5:$D$604,C115))</f>
        <v>0</v>
      </c>
      <c r="F115" s="23">
        <f>IF(C115="","",COUNTIFS('Content Calendar'!$D$5:$D$604,C115,'Content Calendar'!$X$5:$X$604,"Published"))</f>
        <v>0</v>
      </c>
      <c r="G115" s="23">
        <f>IF(C115="","",SUMIFS(Analytics!$J$5:$J$154,Analytics!$C$5:$C$154,C115))</f>
        <v>0</v>
      </c>
      <c r="H115" s="23">
        <f>IF(C115="","",SUMIFS(Analytics!$K$5:$K$154,Analytics!$C$5:$C$154,C115))</f>
        <v>0</v>
      </c>
      <c r="I115" s="23">
        <f>IF(C115="","",SUMIFS(Analytics!$L$5:$L$154,Analytics!$C$5:$C$154,C115))</f>
        <v>0</v>
      </c>
      <c r="J115" s="24">
        <f>IF(OR(G115="",G115=0),"",I115/G115)</f>
        <v>0</v>
      </c>
      <c r="K115" s="23">
        <f>IF(C115="","",SUMIFS(Analytics!$G$5:$G$154,Analytics!$C$5:$C$154,C115))</f>
        <v>0</v>
      </c>
      <c r="L115" s="23">
        <f>IF(C115="","",SUMIFS(Analytics!$X$5:$X$154,Analytics!$C$5:$C$154,C115))</f>
        <v>0</v>
      </c>
      <c r="M115" s="23">
        <f>IF(C115="","",SUMIFS(Analytics!$R$5:$R$154,Analytics!$C$5:$C$154,C115))</f>
        <v>0</v>
      </c>
      <c r="N115" s="23">
        <f>IF(C115="","",SUMIFS(Analytics!$S$5:$S$154,Analytics!$C$5:$C$154,C115))</f>
        <v>0</v>
      </c>
      <c r="O115" s="23">
        <f>IF(C115="","",SUMIFS(Analytics!$T$5:$T$154,Analytics!$C$5:$C$154,C115))</f>
        <v>0</v>
      </c>
      <c r="P115" s="25">
        <f>IF(C115="","",SUMIFS(Analytics!$U$5:$U$154,Analytics!$C$5:$C$154,C115))</f>
        <v>0</v>
      </c>
      <c r="Q115" s="25">
        <f>IF(C115="","",SUMIFS(Budget!$H$5:$H$64,Budget!$C$5:$C$64,C115))</f>
        <v>0</v>
      </c>
      <c r="R115" s="25">
        <f>IF(C115="","",P115-Q115)</f>
        <v>0</v>
      </c>
      <c r="S115" s="23">
        <f>IF(C115="","",MonthlyPostTarget)</f>
        <v>0</v>
      </c>
      <c r="T115" s="17">
        <f>IF(Lists!$C115="","",Lists!$C115)</f>
        <v>0</v>
      </c>
      <c r="U115" s="23">
        <f>IF(T115="","",COUNTIFS('Content Calendar'!$G$5:$G$604,T115,'Content Calendar'!$B$5:$B$604,"&gt;="&amp;DashStart,'Content Calendar'!$B$5:$B$604,"&lt;="&amp;DashEnd))</f>
        <v>0</v>
      </c>
      <c r="V115" s="23">
        <f>IF(T115="","",COUNTIFS('Content Calendar'!$G$5:$G$604,T115,'Content Calendar'!$X$5:$X$604,"Published",'Content Calendar'!$B$5:$B$604,"&gt;="&amp;DashStart,'Content Calendar'!$B$5:$B$604,"&lt;="&amp;DashEnd))</f>
        <v>0</v>
      </c>
      <c r="W115" s="23">
        <f>IF(T115="","",SUMIFS(Analytics!$J$5:$J$154,Analytics!$D$5:$D$154,T115,Analytics!$B$5:$B$154,"&gt;="&amp;DashStart,Analytics!$B$5:$B$154,"&lt;="&amp;DashEnd))</f>
        <v>0</v>
      </c>
      <c r="X115" s="23">
        <f>IF(T115="","",SUMIFS(Analytics!$L$5:$L$154,Analytics!$D$5:$D$154,T115,Analytics!$B$5:$B$154,"&gt;="&amp;DashStart,Analytics!$B$5:$B$154,"&lt;="&amp;DashEnd))</f>
        <v>0</v>
      </c>
      <c r="Y115" s="24">
        <f>IF(OR(W115="",W115=0),"",X115/W115)</f>
        <v>0</v>
      </c>
      <c r="Z115" s="23">
        <f>IF(T115="","",SUMIFS(Analytics!$G$5:$G$154,Analytics!$D$5:$D$154,T115,Analytics!$B$5:$B$154,"&gt;="&amp;DashStart,Analytics!$B$5:$B$154,"&lt;="&amp;DashEnd))</f>
        <v>0</v>
      </c>
      <c r="AA115" s="23">
        <f>IF(T115="","",SUMIFS(Analytics!$X$5:$X$154,Analytics!$D$5:$D$154,T115,Analytics!$B$5:$B$154,"&gt;="&amp;DashStart,Analytics!$B$5:$B$154,"&lt;="&amp;DashEnd))</f>
        <v>0</v>
      </c>
      <c r="AB115" s="23">
        <f>IF(T115="","",SUMIFS(Analytics!$R$5:$R$154,Analytics!$D$5:$D$154,T115,Analytics!$B$5:$B$154,"&gt;="&amp;DashStart,Analytics!$B$5:$B$154,"&lt;="&amp;DashEnd))</f>
        <v>0</v>
      </c>
      <c r="AC115" s="25">
        <f>IF(T115="","",SUMIFS(Analytics!$U$5:$U$154,Analytics!$D$5:$D$154,T115,Analytics!$B$5:$B$154,"&gt;="&amp;DashStart,Analytics!$B$5:$B$154,"&lt;="&amp;DashEnd))</f>
        <v>0</v>
      </c>
      <c r="AD115" s="23">
        <f>IF(T115="","",COUNTIFS('Content Calendar'!$G$5:$G$604,T115,'Content Calendar'!$B$5:$B$604,"&gt;="&amp;DATE(PlanYear,1,1),'Content Calendar'!$B$5:$B$604,"&lt;="&amp;DATE(PlanYear,12,31)))</f>
        <v>0</v>
      </c>
      <c r="AE115" s="23">
        <f>IF(T115="","",SUMIFS(Analytics!$J$5:$J$154,Analytics!$D$5:$D$154,T115))</f>
        <v>0</v>
      </c>
      <c r="AF115" s="23">
        <f>IF(T115="","",SUMIFS(Analytics!$L$5:$L$154,Analytics!$D$5:$D$154,T115))</f>
        <v>0</v>
      </c>
      <c r="AG115" s="24">
        <f>IF(OR(AE115="",AE115=0),"",AF115/AE115)</f>
        <v>0</v>
      </c>
      <c r="AH115" s="23">
        <f>IF(T115="","",SUMIFS(Analytics!$X$5:$X$154,Analytics!$D$5:$D$154,T115))</f>
        <v>0</v>
      </c>
      <c r="AI115" s="32">
        <f>IF(T115="","",IF(AE115=0,"",AE115+ROW()/1000000))</f>
        <v>0</v>
      </c>
      <c r="AJ115" s="17">
        <f>IF('Content Pillars'!$B$115="","",'Content Pillars'!$B$115)</f>
        <v>0</v>
      </c>
      <c r="AK115" s="23">
        <f>IF(AJ115="","",COUNTIFS('Content Calendar'!$J$5:$J$604,AJ115,'Content Calendar'!$B$5:$B$604,"&gt;="&amp;DATE(PlanYear,1,1),'Content Calendar'!$B$5:$B$604,"&lt;="&amp;DATE(PlanYear,12,31)))</f>
        <v>0</v>
      </c>
      <c r="AL115" s="23">
        <f>IF(AJ115="","",SUMIFS(Performance!$O$5:$O$404,Performance!$H$5:$H$404,AJ115))</f>
        <v>0</v>
      </c>
      <c r="AM115" s="23">
        <f>IF(AJ115="","",SUMIFS(Performance!$Z$5:$Z$404,Performance!$H$5:$H$404,AJ115))</f>
        <v>0</v>
      </c>
      <c r="AN115" s="24">
        <f>IF(OR(AL115="",AL115=0),"",AM115/AL115)</f>
        <v>0</v>
      </c>
      <c r="AO115" s="32">
        <f>IF(AN115="","",AN115+ROW()/1000000)</f>
        <v>0</v>
      </c>
      <c r="AP115" s="17">
        <f>IF(Lists!$E115="","",Lists!$E115)</f>
        <v>0</v>
      </c>
      <c r="AQ115" s="23">
        <f>IF(AP115="","",COUNTIF(Performance!$G$5:$G$404,AP115))</f>
        <v>0</v>
      </c>
      <c r="AR115" s="23">
        <f>IF(AP115="","",SUMIFS(Performance!$O$5:$O$404,Performance!$G$5:$G$404,AP115))</f>
        <v>0</v>
      </c>
      <c r="AS115" s="23">
        <f>IF(AP115="","",SUMIFS(Performance!$Z$5:$Z$404,Performance!$G$5:$G$404,AP115))</f>
        <v>0</v>
      </c>
      <c r="AT115" s="24">
        <f>IF(OR(AR115="",AR115=0),"",AS115/AR115)</f>
        <v>0</v>
      </c>
      <c r="AU115" s="32">
        <f>IF(AQ115=0,"",IF(AT115="","",AT115+ROW()/1000000))</f>
        <v>0</v>
      </c>
      <c r="AV115" s="17">
        <f>IF(ROW()-4&gt;7,"",TEXT(DATE(2024,1,ROW()-4),"ddd"))</f>
        <v>0</v>
      </c>
      <c r="AW115" s="23">
        <f>IF(AV115="","",COUNTIF(Performance!$N$5:$N$404,AV115))</f>
        <v>0</v>
      </c>
      <c r="AX115" s="23">
        <f>IF(AV115="","",SUMIFS(Performance!$O$5:$O$404,Performance!$N$5:$N$404,AV115))</f>
        <v>0</v>
      </c>
      <c r="AY115" s="23">
        <f>IF(AV115="","",SUMIFS(Performance!$Z$5:$Z$404,Performance!$N$5:$N$404,AV115))</f>
        <v>0</v>
      </c>
      <c r="AZ115" s="24">
        <f>IF(OR(AX115="",AX115=0),"",AY115/AX115)</f>
        <v>0</v>
      </c>
      <c r="BA115" s="32">
        <f>IF(AW115=0,"",IF(AZ115="","",AZ115+ROW()/1000000))</f>
        <v>0</v>
      </c>
      <c r="BB115" s="17">
        <f>IF(Lists!$AL115="","",Lists!$AL115)</f>
        <v>0</v>
      </c>
      <c r="BC115" s="23">
        <f>IF(BB115="","",COUNTIF(Performance!$M$5:$M$404,BB115))</f>
        <v>0</v>
      </c>
      <c r="BD115" s="23">
        <f>IF(BB115="","",SUMIFS(Performance!$O$5:$O$404,Performance!$M$5:$M$404,BB115))</f>
        <v>0</v>
      </c>
      <c r="BE115" s="23">
        <f>IF(BB115="","",SUMIFS(Performance!$Z$5:$Z$404,Performance!$M$5:$M$404,BB115))</f>
        <v>0</v>
      </c>
      <c r="BF115" s="24">
        <f>IF(OR(BD115="",BD115=0),"",BE115/BD115)</f>
        <v>0</v>
      </c>
      <c r="BG115" s="32">
        <f>IF(BC115=0,"",IF(BF115="","",BF115+ROW()/1000000))</f>
        <v>0</v>
      </c>
      <c r="BH115" s="17">
        <f>IF(Performance!$C$115="","",Performance!$C$115)</f>
        <v>0</v>
      </c>
      <c r="BI115" s="17">
        <f>IF(Performance!$F$115="","",Performance!$F$115)</f>
        <v>0</v>
      </c>
      <c r="BJ115" s="17">
        <f>IF(Performance!$H$115="","",Performance!$H$115)</f>
        <v>0</v>
      </c>
      <c r="BK115" s="16">
        <f>IF(Performance!$D$115="","",Performance!$D$115)</f>
        <v>0</v>
      </c>
      <c r="BL115" s="17">
        <f>IF(Performance!$E$115="","",Performance!$E$115)</f>
        <v>0</v>
      </c>
      <c r="BM115" s="23">
        <f>IF(Performance!$O$115="","",Performance!$O$115)</f>
        <v>0</v>
      </c>
      <c r="BN115" s="24">
        <f>IF(Performance!$AA$115="","",Performance!$AA$115)</f>
        <v>0</v>
      </c>
      <c r="BO115" s="32">
        <f>IF(BH115="","",IF(BK115="","",IF(OR(BK115&lt;DashStart,BK115&gt;DashEnd),"",IF(BN115="","",BN115+ROW()/1000000))))</f>
        <v>0</v>
      </c>
      <c r="BP115" s="32">
        <f>IF(BM115="","",IF(BK115="","",IF(OR(BK115&lt;DashStart,BK115&gt;DashEnd),"",BM115+ROW()/1000000)))</f>
        <v>0</v>
      </c>
      <c r="BQ115" s="32">
        <f>IF(BH115="","",IF(BK115="","",IF(YEAR(BK115)&lt;&gt;PlanYear,"",IF(BN115="","",BN115+ROW()/1000000))))</f>
        <v>0</v>
      </c>
      <c r="BR115" s="32">
        <f>IF(BH115="","",IF(BK115="","",IF(OR(BK115&lt;RepFrom,BK115&gt;RepTo),"",IF(BN115="","",BN115+ROW()/1000000))))</f>
        <v>0</v>
      </c>
      <c r="BS115" s="32">
        <f>IF(BM115="","",IF(BK115="","",IF(YEAR(BK115)&lt;&gt;PlanYear,"",BM115+ROW()/1000000)))</f>
        <v>0</v>
      </c>
      <c r="BT115" s="17">
        <f>IF(Lists!$F115="","",Lists!$F115)</f>
        <v>0</v>
      </c>
      <c r="BU115" s="23">
        <f>IF(BT115="","",COUNTIF('Content Calendar'!$X$5:$X$604,BT115))</f>
        <v>0</v>
      </c>
      <c r="BV115" s="23">
        <f>IF(BT115="","",COUNTIFS('Content Calendar'!$X$5:$X$604,BT115,'Content Calendar'!$B$5:$B$604,"&gt;="&amp;DashStart,'Content Calendar'!$B$5:$B$604,"&lt;="&amp;DashEnd))</f>
        <v>0</v>
      </c>
      <c r="BW115" s="17">
        <f>IF(Team!$B$115="","",Team!$B$115)</f>
        <v>0</v>
      </c>
      <c r="BX115" s="23">
        <f>IF(BW115="","",COUNTIF('Content Calendar'!$W$5:$W$604,BW115))</f>
        <v>0</v>
      </c>
      <c r="BY115" s="23">
        <f>IF(BW115="","",COUNTIFS('Content Calendar'!$W$5:$W$604,BW115,'Content Calendar'!$X$5:$X$604,"&lt;&gt;Published"))</f>
        <v>0</v>
      </c>
      <c r="BZ115" s="23">
        <f>IF(BW115="","",COUNTIFS(Tasks!$C$5:$C$64,BW115,Tasks!$G$5:$G$64,"&lt;&gt;Complete"))</f>
        <v>0</v>
      </c>
      <c r="CA115" s="17">
        <f>IF(Campaigns!$B$115="","",Campaigns!$B$115)</f>
        <v>0</v>
      </c>
      <c r="CB115" s="25">
        <f>IF(Campaigns!$T$115="","",Campaigns!$T$115)</f>
        <v>0</v>
      </c>
      <c r="CC115" s="25">
        <f>IF(Campaigns!$Q$115="","",Campaigns!$Q$115)</f>
        <v>0</v>
      </c>
      <c r="CD115" s="23">
        <f>IF(Campaigns!$Y$115="","",Campaigns!$Y$115)</f>
        <v>0</v>
      </c>
      <c r="CE115" s="32">
        <f>IF(CA115="","",IF(N(CB115)&lt;=0,"",N(CB115)+ROW()/1000000))</f>
        <v>0</v>
      </c>
      <c r="CF115" s="17">
        <f>IF(Accounts!$C$115="","",Accounts!$C$115)</f>
        <v>0</v>
      </c>
      <c r="CG115" s="17">
        <f>IF(Accounts!$B$115="","",Accounts!$B$115)</f>
        <v>0</v>
      </c>
      <c r="CH115" s="23">
        <f>IF(Accounts!$J$115="","",Accounts!$J$115)</f>
        <v>0</v>
      </c>
      <c r="CI115" s="23">
        <f>IF(CF115="","",SUMIFS(Analytics!$X$5:$X$154,Analytics!$E$5:$E$154,CF115,Analytics!$B$5:$B$154,"&gt;="&amp;DashStart,Analytics!$B$5:$B$154,"&lt;="&amp;DashEnd))</f>
        <v>0</v>
      </c>
      <c r="CJ115" s="32">
        <f>IF(CH115="","",IF(CH115=0,"",CH115+ROW()/1000000))</f>
        <v>0</v>
      </c>
    </row>
    <row r="116" spans="1:88">
      <c r="A116" s="16">
        <f>IF(ROW()-4&gt;12,"",DATE(PlanYear,ROW()-4,1))</f>
        <v>0</v>
      </c>
      <c r="B116" s="16">
        <f>IF(A116="","",EOMONTH(A116,0))</f>
        <v>0</v>
      </c>
      <c r="C116" s="17">
        <f>IF(A116="","",TEXT(A116,"yyyy-mm"))</f>
        <v>0</v>
      </c>
      <c r="D116" s="17">
        <f>IF(A116="","",TEXT(A116,"mmm"))</f>
        <v>0</v>
      </c>
      <c r="E116" s="23">
        <f>IF(C116="","",COUNTIFS('Content Calendar'!$D$5:$D$604,C116))</f>
        <v>0</v>
      </c>
      <c r="F116" s="23">
        <f>IF(C116="","",COUNTIFS('Content Calendar'!$D$5:$D$604,C116,'Content Calendar'!$X$5:$X$604,"Published"))</f>
        <v>0</v>
      </c>
      <c r="G116" s="23">
        <f>IF(C116="","",SUMIFS(Analytics!$J$5:$J$154,Analytics!$C$5:$C$154,C116))</f>
        <v>0</v>
      </c>
      <c r="H116" s="23">
        <f>IF(C116="","",SUMIFS(Analytics!$K$5:$K$154,Analytics!$C$5:$C$154,C116))</f>
        <v>0</v>
      </c>
      <c r="I116" s="23">
        <f>IF(C116="","",SUMIFS(Analytics!$L$5:$L$154,Analytics!$C$5:$C$154,C116))</f>
        <v>0</v>
      </c>
      <c r="J116" s="24">
        <f>IF(OR(G116="",G116=0),"",I116/G116)</f>
        <v>0</v>
      </c>
      <c r="K116" s="23">
        <f>IF(C116="","",SUMIFS(Analytics!$G$5:$G$154,Analytics!$C$5:$C$154,C116))</f>
        <v>0</v>
      </c>
      <c r="L116" s="23">
        <f>IF(C116="","",SUMIFS(Analytics!$X$5:$X$154,Analytics!$C$5:$C$154,C116))</f>
        <v>0</v>
      </c>
      <c r="M116" s="23">
        <f>IF(C116="","",SUMIFS(Analytics!$R$5:$R$154,Analytics!$C$5:$C$154,C116))</f>
        <v>0</v>
      </c>
      <c r="N116" s="23">
        <f>IF(C116="","",SUMIFS(Analytics!$S$5:$S$154,Analytics!$C$5:$C$154,C116))</f>
        <v>0</v>
      </c>
      <c r="O116" s="23">
        <f>IF(C116="","",SUMIFS(Analytics!$T$5:$T$154,Analytics!$C$5:$C$154,C116))</f>
        <v>0</v>
      </c>
      <c r="P116" s="25">
        <f>IF(C116="","",SUMIFS(Analytics!$U$5:$U$154,Analytics!$C$5:$C$154,C116))</f>
        <v>0</v>
      </c>
      <c r="Q116" s="25">
        <f>IF(C116="","",SUMIFS(Budget!$H$5:$H$64,Budget!$C$5:$C$64,C116))</f>
        <v>0</v>
      </c>
      <c r="R116" s="25">
        <f>IF(C116="","",P116-Q116)</f>
        <v>0</v>
      </c>
      <c r="S116" s="23">
        <f>IF(C116="","",MonthlyPostTarget)</f>
        <v>0</v>
      </c>
      <c r="T116" s="17">
        <f>IF(Lists!$C116="","",Lists!$C116)</f>
        <v>0</v>
      </c>
      <c r="U116" s="23">
        <f>IF(T116="","",COUNTIFS('Content Calendar'!$G$5:$G$604,T116,'Content Calendar'!$B$5:$B$604,"&gt;="&amp;DashStart,'Content Calendar'!$B$5:$B$604,"&lt;="&amp;DashEnd))</f>
        <v>0</v>
      </c>
      <c r="V116" s="23">
        <f>IF(T116="","",COUNTIFS('Content Calendar'!$G$5:$G$604,T116,'Content Calendar'!$X$5:$X$604,"Published",'Content Calendar'!$B$5:$B$604,"&gt;="&amp;DashStart,'Content Calendar'!$B$5:$B$604,"&lt;="&amp;DashEnd))</f>
        <v>0</v>
      </c>
      <c r="W116" s="23">
        <f>IF(T116="","",SUMIFS(Analytics!$J$5:$J$154,Analytics!$D$5:$D$154,T116,Analytics!$B$5:$B$154,"&gt;="&amp;DashStart,Analytics!$B$5:$B$154,"&lt;="&amp;DashEnd))</f>
        <v>0</v>
      </c>
      <c r="X116" s="23">
        <f>IF(T116="","",SUMIFS(Analytics!$L$5:$L$154,Analytics!$D$5:$D$154,T116,Analytics!$B$5:$B$154,"&gt;="&amp;DashStart,Analytics!$B$5:$B$154,"&lt;="&amp;DashEnd))</f>
        <v>0</v>
      </c>
      <c r="Y116" s="24">
        <f>IF(OR(W116="",W116=0),"",X116/W116)</f>
        <v>0</v>
      </c>
      <c r="Z116" s="23">
        <f>IF(T116="","",SUMIFS(Analytics!$G$5:$G$154,Analytics!$D$5:$D$154,T116,Analytics!$B$5:$B$154,"&gt;="&amp;DashStart,Analytics!$B$5:$B$154,"&lt;="&amp;DashEnd))</f>
        <v>0</v>
      </c>
      <c r="AA116" s="23">
        <f>IF(T116="","",SUMIFS(Analytics!$X$5:$X$154,Analytics!$D$5:$D$154,T116,Analytics!$B$5:$B$154,"&gt;="&amp;DashStart,Analytics!$B$5:$B$154,"&lt;="&amp;DashEnd))</f>
        <v>0</v>
      </c>
      <c r="AB116" s="23">
        <f>IF(T116="","",SUMIFS(Analytics!$R$5:$R$154,Analytics!$D$5:$D$154,T116,Analytics!$B$5:$B$154,"&gt;="&amp;DashStart,Analytics!$B$5:$B$154,"&lt;="&amp;DashEnd))</f>
        <v>0</v>
      </c>
      <c r="AC116" s="25">
        <f>IF(T116="","",SUMIFS(Analytics!$U$5:$U$154,Analytics!$D$5:$D$154,T116,Analytics!$B$5:$B$154,"&gt;="&amp;DashStart,Analytics!$B$5:$B$154,"&lt;="&amp;DashEnd))</f>
        <v>0</v>
      </c>
      <c r="AD116" s="23">
        <f>IF(T116="","",COUNTIFS('Content Calendar'!$G$5:$G$604,T116,'Content Calendar'!$B$5:$B$604,"&gt;="&amp;DATE(PlanYear,1,1),'Content Calendar'!$B$5:$B$604,"&lt;="&amp;DATE(PlanYear,12,31)))</f>
        <v>0</v>
      </c>
      <c r="AE116" s="23">
        <f>IF(T116="","",SUMIFS(Analytics!$J$5:$J$154,Analytics!$D$5:$D$154,T116))</f>
        <v>0</v>
      </c>
      <c r="AF116" s="23">
        <f>IF(T116="","",SUMIFS(Analytics!$L$5:$L$154,Analytics!$D$5:$D$154,T116))</f>
        <v>0</v>
      </c>
      <c r="AG116" s="24">
        <f>IF(OR(AE116="",AE116=0),"",AF116/AE116)</f>
        <v>0</v>
      </c>
      <c r="AH116" s="23">
        <f>IF(T116="","",SUMIFS(Analytics!$X$5:$X$154,Analytics!$D$5:$D$154,T116))</f>
        <v>0</v>
      </c>
      <c r="AI116" s="32">
        <f>IF(T116="","",IF(AE116=0,"",AE116+ROW()/1000000))</f>
        <v>0</v>
      </c>
      <c r="AJ116" s="17">
        <f>IF('Content Pillars'!$B$116="","",'Content Pillars'!$B$116)</f>
        <v>0</v>
      </c>
      <c r="AK116" s="23">
        <f>IF(AJ116="","",COUNTIFS('Content Calendar'!$J$5:$J$604,AJ116,'Content Calendar'!$B$5:$B$604,"&gt;="&amp;DATE(PlanYear,1,1),'Content Calendar'!$B$5:$B$604,"&lt;="&amp;DATE(PlanYear,12,31)))</f>
        <v>0</v>
      </c>
      <c r="AL116" s="23">
        <f>IF(AJ116="","",SUMIFS(Performance!$O$5:$O$404,Performance!$H$5:$H$404,AJ116))</f>
        <v>0</v>
      </c>
      <c r="AM116" s="23">
        <f>IF(AJ116="","",SUMIFS(Performance!$Z$5:$Z$404,Performance!$H$5:$H$404,AJ116))</f>
        <v>0</v>
      </c>
      <c r="AN116" s="24">
        <f>IF(OR(AL116="",AL116=0),"",AM116/AL116)</f>
        <v>0</v>
      </c>
      <c r="AO116" s="32">
        <f>IF(AN116="","",AN116+ROW()/1000000)</f>
        <v>0</v>
      </c>
      <c r="AP116" s="17">
        <f>IF(Lists!$E116="","",Lists!$E116)</f>
        <v>0</v>
      </c>
      <c r="AQ116" s="23">
        <f>IF(AP116="","",COUNTIF(Performance!$G$5:$G$404,AP116))</f>
        <v>0</v>
      </c>
      <c r="AR116" s="23">
        <f>IF(AP116="","",SUMIFS(Performance!$O$5:$O$404,Performance!$G$5:$G$404,AP116))</f>
        <v>0</v>
      </c>
      <c r="AS116" s="23">
        <f>IF(AP116="","",SUMIFS(Performance!$Z$5:$Z$404,Performance!$G$5:$G$404,AP116))</f>
        <v>0</v>
      </c>
      <c r="AT116" s="24">
        <f>IF(OR(AR116="",AR116=0),"",AS116/AR116)</f>
        <v>0</v>
      </c>
      <c r="AU116" s="32">
        <f>IF(AQ116=0,"",IF(AT116="","",AT116+ROW()/1000000))</f>
        <v>0</v>
      </c>
      <c r="AV116" s="17">
        <f>IF(ROW()-4&gt;7,"",TEXT(DATE(2024,1,ROW()-4),"ddd"))</f>
        <v>0</v>
      </c>
      <c r="AW116" s="23">
        <f>IF(AV116="","",COUNTIF(Performance!$N$5:$N$404,AV116))</f>
        <v>0</v>
      </c>
      <c r="AX116" s="23">
        <f>IF(AV116="","",SUMIFS(Performance!$O$5:$O$404,Performance!$N$5:$N$404,AV116))</f>
        <v>0</v>
      </c>
      <c r="AY116" s="23">
        <f>IF(AV116="","",SUMIFS(Performance!$Z$5:$Z$404,Performance!$N$5:$N$404,AV116))</f>
        <v>0</v>
      </c>
      <c r="AZ116" s="24">
        <f>IF(OR(AX116="",AX116=0),"",AY116/AX116)</f>
        <v>0</v>
      </c>
      <c r="BA116" s="32">
        <f>IF(AW116=0,"",IF(AZ116="","",AZ116+ROW()/1000000))</f>
        <v>0</v>
      </c>
      <c r="BB116" s="17">
        <f>IF(Lists!$AL116="","",Lists!$AL116)</f>
        <v>0</v>
      </c>
      <c r="BC116" s="23">
        <f>IF(BB116="","",COUNTIF(Performance!$M$5:$M$404,BB116))</f>
        <v>0</v>
      </c>
      <c r="BD116" s="23">
        <f>IF(BB116="","",SUMIFS(Performance!$O$5:$O$404,Performance!$M$5:$M$404,BB116))</f>
        <v>0</v>
      </c>
      <c r="BE116" s="23">
        <f>IF(BB116="","",SUMIFS(Performance!$Z$5:$Z$404,Performance!$M$5:$M$404,BB116))</f>
        <v>0</v>
      </c>
      <c r="BF116" s="24">
        <f>IF(OR(BD116="",BD116=0),"",BE116/BD116)</f>
        <v>0</v>
      </c>
      <c r="BG116" s="32">
        <f>IF(BC116=0,"",IF(BF116="","",BF116+ROW()/1000000))</f>
        <v>0</v>
      </c>
      <c r="BH116" s="17">
        <f>IF(Performance!$C$116="","",Performance!$C$116)</f>
        <v>0</v>
      </c>
      <c r="BI116" s="17">
        <f>IF(Performance!$F$116="","",Performance!$F$116)</f>
        <v>0</v>
      </c>
      <c r="BJ116" s="17">
        <f>IF(Performance!$H$116="","",Performance!$H$116)</f>
        <v>0</v>
      </c>
      <c r="BK116" s="16">
        <f>IF(Performance!$D$116="","",Performance!$D$116)</f>
        <v>0</v>
      </c>
      <c r="BL116" s="17">
        <f>IF(Performance!$E$116="","",Performance!$E$116)</f>
        <v>0</v>
      </c>
      <c r="BM116" s="23">
        <f>IF(Performance!$O$116="","",Performance!$O$116)</f>
        <v>0</v>
      </c>
      <c r="BN116" s="24">
        <f>IF(Performance!$AA$116="","",Performance!$AA$116)</f>
        <v>0</v>
      </c>
      <c r="BO116" s="32">
        <f>IF(BH116="","",IF(BK116="","",IF(OR(BK116&lt;DashStart,BK116&gt;DashEnd),"",IF(BN116="","",BN116+ROW()/1000000))))</f>
        <v>0</v>
      </c>
      <c r="BP116" s="32">
        <f>IF(BM116="","",IF(BK116="","",IF(OR(BK116&lt;DashStart,BK116&gt;DashEnd),"",BM116+ROW()/1000000)))</f>
        <v>0</v>
      </c>
      <c r="BQ116" s="32">
        <f>IF(BH116="","",IF(BK116="","",IF(YEAR(BK116)&lt;&gt;PlanYear,"",IF(BN116="","",BN116+ROW()/1000000))))</f>
        <v>0</v>
      </c>
      <c r="BR116" s="32">
        <f>IF(BH116="","",IF(BK116="","",IF(OR(BK116&lt;RepFrom,BK116&gt;RepTo),"",IF(BN116="","",BN116+ROW()/1000000))))</f>
        <v>0</v>
      </c>
      <c r="BS116" s="32">
        <f>IF(BM116="","",IF(BK116="","",IF(YEAR(BK116)&lt;&gt;PlanYear,"",BM116+ROW()/1000000)))</f>
        <v>0</v>
      </c>
      <c r="BT116" s="17">
        <f>IF(Lists!$F116="","",Lists!$F116)</f>
        <v>0</v>
      </c>
      <c r="BU116" s="23">
        <f>IF(BT116="","",COUNTIF('Content Calendar'!$X$5:$X$604,BT116))</f>
        <v>0</v>
      </c>
      <c r="BV116" s="23">
        <f>IF(BT116="","",COUNTIFS('Content Calendar'!$X$5:$X$604,BT116,'Content Calendar'!$B$5:$B$604,"&gt;="&amp;DashStart,'Content Calendar'!$B$5:$B$604,"&lt;="&amp;DashEnd))</f>
        <v>0</v>
      </c>
      <c r="BW116" s="17">
        <f>IF(Team!$B$116="","",Team!$B$116)</f>
        <v>0</v>
      </c>
      <c r="BX116" s="23">
        <f>IF(BW116="","",COUNTIF('Content Calendar'!$W$5:$W$604,BW116))</f>
        <v>0</v>
      </c>
      <c r="BY116" s="23">
        <f>IF(BW116="","",COUNTIFS('Content Calendar'!$W$5:$W$604,BW116,'Content Calendar'!$X$5:$X$604,"&lt;&gt;Published"))</f>
        <v>0</v>
      </c>
      <c r="BZ116" s="23">
        <f>IF(BW116="","",COUNTIFS(Tasks!$C$5:$C$64,BW116,Tasks!$G$5:$G$64,"&lt;&gt;Complete"))</f>
        <v>0</v>
      </c>
      <c r="CA116" s="17">
        <f>IF(Campaigns!$B$116="","",Campaigns!$B$116)</f>
        <v>0</v>
      </c>
      <c r="CB116" s="25">
        <f>IF(Campaigns!$T$116="","",Campaigns!$T$116)</f>
        <v>0</v>
      </c>
      <c r="CC116" s="25">
        <f>IF(Campaigns!$Q$116="","",Campaigns!$Q$116)</f>
        <v>0</v>
      </c>
      <c r="CD116" s="23">
        <f>IF(Campaigns!$Y$116="","",Campaigns!$Y$116)</f>
        <v>0</v>
      </c>
      <c r="CE116" s="32">
        <f>IF(CA116="","",IF(N(CB116)&lt;=0,"",N(CB116)+ROW()/1000000))</f>
        <v>0</v>
      </c>
      <c r="CF116" s="17">
        <f>IF(Accounts!$C$116="","",Accounts!$C$116)</f>
        <v>0</v>
      </c>
      <c r="CG116" s="17">
        <f>IF(Accounts!$B$116="","",Accounts!$B$116)</f>
        <v>0</v>
      </c>
      <c r="CH116" s="23">
        <f>IF(Accounts!$J$116="","",Accounts!$J$116)</f>
        <v>0</v>
      </c>
      <c r="CI116" s="23">
        <f>IF(CF116="","",SUMIFS(Analytics!$X$5:$X$154,Analytics!$E$5:$E$154,CF116,Analytics!$B$5:$B$154,"&gt;="&amp;DashStart,Analytics!$B$5:$B$154,"&lt;="&amp;DashEnd))</f>
        <v>0</v>
      </c>
      <c r="CJ116" s="32">
        <f>IF(CH116="","",IF(CH116=0,"",CH116+ROW()/1000000))</f>
        <v>0</v>
      </c>
    </row>
    <row r="117" spans="1:88">
      <c r="A117" s="16">
        <f>IF(ROW()-4&gt;12,"",DATE(PlanYear,ROW()-4,1))</f>
        <v>0</v>
      </c>
      <c r="B117" s="16">
        <f>IF(A117="","",EOMONTH(A117,0))</f>
        <v>0</v>
      </c>
      <c r="C117" s="17">
        <f>IF(A117="","",TEXT(A117,"yyyy-mm"))</f>
        <v>0</v>
      </c>
      <c r="D117" s="17">
        <f>IF(A117="","",TEXT(A117,"mmm"))</f>
        <v>0</v>
      </c>
      <c r="E117" s="23">
        <f>IF(C117="","",COUNTIFS('Content Calendar'!$D$5:$D$604,C117))</f>
        <v>0</v>
      </c>
      <c r="F117" s="23">
        <f>IF(C117="","",COUNTIFS('Content Calendar'!$D$5:$D$604,C117,'Content Calendar'!$X$5:$X$604,"Published"))</f>
        <v>0</v>
      </c>
      <c r="G117" s="23">
        <f>IF(C117="","",SUMIFS(Analytics!$J$5:$J$154,Analytics!$C$5:$C$154,C117))</f>
        <v>0</v>
      </c>
      <c r="H117" s="23">
        <f>IF(C117="","",SUMIFS(Analytics!$K$5:$K$154,Analytics!$C$5:$C$154,C117))</f>
        <v>0</v>
      </c>
      <c r="I117" s="23">
        <f>IF(C117="","",SUMIFS(Analytics!$L$5:$L$154,Analytics!$C$5:$C$154,C117))</f>
        <v>0</v>
      </c>
      <c r="J117" s="24">
        <f>IF(OR(G117="",G117=0),"",I117/G117)</f>
        <v>0</v>
      </c>
      <c r="K117" s="23">
        <f>IF(C117="","",SUMIFS(Analytics!$G$5:$G$154,Analytics!$C$5:$C$154,C117))</f>
        <v>0</v>
      </c>
      <c r="L117" s="23">
        <f>IF(C117="","",SUMIFS(Analytics!$X$5:$X$154,Analytics!$C$5:$C$154,C117))</f>
        <v>0</v>
      </c>
      <c r="M117" s="23">
        <f>IF(C117="","",SUMIFS(Analytics!$R$5:$R$154,Analytics!$C$5:$C$154,C117))</f>
        <v>0</v>
      </c>
      <c r="N117" s="23">
        <f>IF(C117="","",SUMIFS(Analytics!$S$5:$S$154,Analytics!$C$5:$C$154,C117))</f>
        <v>0</v>
      </c>
      <c r="O117" s="23">
        <f>IF(C117="","",SUMIFS(Analytics!$T$5:$T$154,Analytics!$C$5:$C$154,C117))</f>
        <v>0</v>
      </c>
      <c r="P117" s="25">
        <f>IF(C117="","",SUMIFS(Analytics!$U$5:$U$154,Analytics!$C$5:$C$154,C117))</f>
        <v>0</v>
      </c>
      <c r="Q117" s="25">
        <f>IF(C117="","",SUMIFS(Budget!$H$5:$H$64,Budget!$C$5:$C$64,C117))</f>
        <v>0</v>
      </c>
      <c r="R117" s="25">
        <f>IF(C117="","",P117-Q117)</f>
        <v>0</v>
      </c>
      <c r="S117" s="23">
        <f>IF(C117="","",MonthlyPostTarget)</f>
        <v>0</v>
      </c>
      <c r="T117" s="17">
        <f>IF(Lists!$C117="","",Lists!$C117)</f>
        <v>0</v>
      </c>
      <c r="U117" s="23">
        <f>IF(T117="","",COUNTIFS('Content Calendar'!$G$5:$G$604,T117,'Content Calendar'!$B$5:$B$604,"&gt;="&amp;DashStart,'Content Calendar'!$B$5:$B$604,"&lt;="&amp;DashEnd))</f>
        <v>0</v>
      </c>
      <c r="V117" s="23">
        <f>IF(T117="","",COUNTIFS('Content Calendar'!$G$5:$G$604,T117,'Content Calendar'!$X$5:$X$604,"Published",'Content Calendar'!$B$5:$B$604,"&gt;="&amp;DashStart,'Content Calendar'!$B$5:$B$604,"&lt;="&amp;DashEnd))</f>
        <v>0</v>
      </c>
      <c r="W117" s="23">
        <f>IF(T117="","",SUMIFS(Analytics!$J$5:$J$154,Analytics!$D$5:$D$154,T117,Analytics!$B$5:$B$154,"&gt;="&amp;DashStart,Analytics!$B$5:$B$154,"&lt;="&amp;DashEnd))</f>
        <v>0</v>
      </c>
      <c r="X117" s="23">
        <f>IF(T117="","",SUMIFS(Analytics!$L$5:$L$154,Analytics!$D$5:$D$154,T117,Analytics!$B$5:$B$154,"&gt;="&amp;DashStart,Analytics!$B$5:$B$154,"&lt;="&amp;DashEnd))</f>
        <v>0</v>
      </c>
      <c r="Y117" s="24">
        <f>IF(OR(W117="",W117=0),"",X117/W117)</f>
        <v>0</v>
      </c>
      <c r="Z117" s="23">
        <f>IF(T117="","",SUMIFS(Analytics!$G$5:$G$154,Analytics!$D$5:$D$154,T117,Analytics!$B$5:$B$154,"&gt;="&amp;DashStart,Analytics!$B$5:$B$154,"&lt;="&amp;DashEnd))</f>
        <v>0</v>
      </c>
      <c r="AA117" s="23">
        <f>IF(T117="","",SUMIFS(Analytics!$X$5:$X$154,Analytics!$D$5:$D$154,T117,Analytics!$B$5:$B$154,"&gt;="&amp;DashStart,Analytics!$B$5:$B$154,"&lt;="&amp;DashEnd))</f>
        <v>0</v>
      </c>
      <c r="AB117" s="23">
        <f>IF(T117="","",SUMIFS(Analytics!$R$5:$R$154,Analytics!$D$5:$D$154,T117,Analytics!$B$5:$B$154,"&gt;="&amp;DashStart,Analytics!$B$5:$B$154,"&lt;="&amp;DashEnd))</f>
        <v>0</v>
      </c>
      <c r="AC117" s="25">
        <f>IF(T117="","",SUMIFS(Analytics!$U$5:$U$154,Analytics!$D$5:$D$154,T117,Analytics!$B$5:$B$154,"&gt;="&amp;DashStart,Analytics!$B$5:$B$154,"&lt;="&amp;DashEnd))</f>
        <v>0</v>
      </c>
      <c r="AD117" s="23">
        <f>IF(T117="","",COUNTIFS('Content Calendar'!$G$5:$G$604,T117,'Content Calendar'!$B$5:$B$604,"&gt;="&amp;DATE(PlanYear,1,1),'Content Calendar'!$B$5:$B$604,"&lt;="&amp;DATE(PlanYear,12,31)))</f>
        <v>0</v>
      </c>
      <c r="AE117" s="23">
        <f>IF(T117="","",SUMIFS(Analytics!$J$5:$J$154,Analytics!$D$5:$D$154,T117))</f>
        <v>0</v>
      </c>
      <c r="AF117" s="23">
        <f>IF(T117="","",SUMIFS(Analytics!$L$5:$L$154,Analytics!$D$5:$D$154,T117))</f>
        <v>0</v>
      </c>
      <c r="AG117" s="24">
        <f>IF(OR(AE117="",AE117=0),"",AF117/AE117)</f>
        <v>0</v>
      </c>
      <c r="AH117" s="23">
        <f>IF(T117="","",SUMIFS(Analytics!$X$5:$X$154,Analytics!$D$5:$D$154,T117))</f>
        <v>0</v>
      </c>
      <c r="AI117" s="32">
        <f>IF(T117="","",IF(AE117=0,"",AE117+ROW()/1000000))</f>
        <v>0</v>
      </c>
      <c r="AJ117" s="17">
        <f>IF('Content Pillars'!$B$117="","",'Content Pillars'!$B$117)</f>
        <v>0</v>
      </c>
      <c r="AK117" s="23">
        <f>IF(AJ117="","",COUNTIFS('Content Calendar'!$J$5:$J$604,AJ117,'Content Calendar'!$B$5:$B$604,"&gt;="&amp;DATE(PlanYear,1,1),'Content Calendar'!$B$5:$B$604,"&lt;="&amp;DATE(PlanYear,12,31)))</f>
        <v>0</v>
      </c>
      <c r="AL117" s="23">
        <f>IF(AJ117="","",SUMIFS(Performance!$O$5:$O$404,Performance!$H$5:$H$404,AJ117))</f>
        <v>0</v>
      </c>
      <c r="AM117" s="23">
        <f>IF(AJ117="","",SUMIFS(Performance!$Z$5:$Z$404,Performance!$H$5:$H$404,AJ117))</f>
        <v>0</v>
      </c>
      <c r="AN117" s="24">
        <f>IF(OR(AL117="",AL117=0),"",AM117/AL117)</f>
        <v>0</v>
      </c>
      <c r="AO117" s="32">
        <f>IF(AN117="","",AN117+ROW()/1000000)</f>
        <v>0</v>
      </c>
      <c r="AP117" s="17">
        <f>IF(Lists!$E117="","",Lists!$E117)</f>
        <v>0</v>
      </c>
      <c r="AQ117" s="23">
        <f>IF(AP117="","",COUNTIF(Performance!$G$5:$G$404,AP117))</f>
        <v>0</v>
      </c>
      <c r="AR117" s="23">
        <f>IF(AP117="","",SUMIFS(Performance!$O$5:$O$404,Performance!$G$5:$G$404,AP117))</f>
        <v>0</v>
      </c>
      <c r="AS117" s="23">
        <f>IF(AP117="","",SUMIFS(Performance!$Z$5:$Z$404,Performance!$G$5:$G$404,AP117))</f>
        <v>0</v>
      </c>
      <c r="AT117" s="24">
        <f>IF(OR(AR117="",AR117=0),"",AS117/AR117)</f>
        <v>0</v>
      </c>
      <c r="AU117" s="32">
        <f>IF(AQ117=0,"",IF(AT117="","",AT117+ROW()/1000000))</f>
        <v>0</v>
      </c>
      <c r="AV117" s="17">
        <f>IF(ROW()-4&gt;7,"",TEXT(DATE(2024,1,ROW()-4),"ddd"))</f>
        <v>0</v>
      </c>
      <c r="AW117" s="23">
        <f>IF(AV117="","",COUNTIF(Performance!$N$5:$N$404,AV117))</f>
        <v>0</v>
      </c>
      <c r="AX117" s="23">
        <f>IF(AV117="","",SUMIFS(Performance!$O$5:$O$404,Performance!$N$5:$N$404,AV117))</f>
        <v>0</v>
      </c>
      <c r="AY117" s="23">
        <f>IF(AV117="","",SUMIFS(Performance!$Z$5:$Z$404,Performance!$N$5:$N$404,AV117))</f>
        <v>0</v>
      </c>
      <c r="AZ117" s="24">
        <f>IF(OR(AX117="",AX117=0),"",AY117/AX117)</f>
        <v>0</v>
      </c>
      <c r="BA117" s="32">
        <f>IF(AW117=0,"",IF(AZ117="","",AZ117+ROW()/1000000))</f>
        <v>0</v>
      </c>
      <c r="BB117" s="17">
        <f>IF(Lists!$AL117="","",Lists!$AL117)</f>
        <v>0</v>
      </c>
      <c r="BC117" s="23">
        <f>IF(BB117="","",COUNTIF(Performance!$M$5:$M$404,BB117))</f>
        <v>0</v>
      </c>
      <c r="BD117" s="23">
        <f>IF(BB117="","",SUMIFS(Performance!$O$5:$O$404,Performance!$M$5:$M$404,BB117))</f>
        <v>0</v>
      </c>
      <c r="BE117" s="23">
        <f>IF(BB117="","",SUMIFS(Performance!$Z$5:$Z$404,Performance!$M$5:$M$404,BB117))</f>
        <v>0</v>
      </c>
      <c r="BF117" s="24">
        <f>IF(OR(BD117="",BD117=0),"",BE117/BD117)</f>
        <v>0</v>
      </c>
      <c r="BG117" s="32">
        <f>IF(BC117=0,"",IF(BF117="","",BF117+ROW()/1000000))</f>
        <v>0</v>
      </c>
      <c r="BH117" s="17">
        <f>IF(Performance!$C$117="","",Performance!$C$117)</f>
        <v>0</v>
      </c>
      <c r="BI117" s="17">
        <f>IF(Performance!$F$117="","",Performance!$F$117)</f>
        <v>0</v>
      </c>
      <c r="BJ117" s="17">
        <f>IF(Performance!$H$117="","",Performance!$H$117)</f>
        <v>0</v>
      </c>
      <c r="BK117" s="16">
        <f>IF(Performance!$D$117="","",Performance!$D$117)</f>
        <v>0</v>
      </c>
      <c r="BL117" s="17">
        <f>IF(Performance!$E$117="","",Performance!$E$117)</f>
        <v>0</v>
      </c>
      <c r="BM117" s="23">
        <f>IF(Performance!$O$117="","",Performance!$O$117)</f>
        <v>0</v>
      </c>
      <c r="BN117" s="24">
        <f>IF(Performance!$AA$117="","",Performance!$AA$117)</f>
        <v>0</v>
      </c>
      <c r="BO117" s="32">
        <f>IF(BH117="","",IF(BK117="","",IF(OR(BK117&lt;DashStart,BK117&gt;DashEnd),"",IF(BN117="","",BN117+ROW()/1000000))))</f>
        <v>0</v>
      </c>
      <c r="BP117" s="32">
        <f>IF(BM117="","",IF(BK117="","",IF(OR(BK117&lt;DashStart,BK117&gt;DashEnd),"",BM117+ROW()/1000000)))</f>
        <v>0</v>
      </c>
      <c r="BQ117" s="32">
        <f>IF(BH117="","",IF(BK117="","",IF(YEAR(BK117)&lt;&gt;PlanYear,"",IF(BN117="","",BN117+ROW()/1000000))))</f>
        <v>0</v>
      </c>
      <c r="BR117" s="32">
        <f>IF(BH117="","",IF(BK117="","",IF(OR(BK117&lt;RepFrom,BK117&gt;RepTo),"",IF(BN117="","",BN117+ROW()/1000000))))</f>
        <v>0</v>
      </c>
      <c r="BS117" s="32">
        <f>IF(BM117="","",IF(BK117="","",IF(YEAR(BK117)&lt;&gt;PlanYear,"",BM117+ROW()/1000000)))</f>
        <v>0</v>
      </c>
      <c r="BT117" s="17">
        <f>IF(Lists!$F117="","",Lists!$F117)</f>
        <v>0</v>
      </c>
      <c r="BU117" s="23">
        <f>IF(BT117="","",COUNTIF('Content Calendar'!$X$5:$X$604,BT117))</f>
        <v>0</v>
      </c>
      <c r="BV117" s="23">
        <f>IF(BT117="","",COUNTIFS('Content Calendar'!$X$5:$X$604,BT117,'Content Calendar'!$B$5:$B$604,"&gt;="&amp;DashStart,'Content Calendar'!$B$5:$B$604,"&lt;="&amp;DashEnd))</f>
        <v>0</v>
      </c>
      <c r="BW117" s="17">
        <f>IF(Team!$B$117="","",Team!$B$117)</f>
        <v>0</v>
      </c>
      <c r="BX117" s="23">
        <f>IF(BW117="","",COUNTIF('Content Calendar'!$W$5:$W$604,BW117))</f>
        <v>0</v>
      </c>
      <c r="BY117" s="23">
        <f>IF(BW117="","",COUNTIFS('Content Calendar'!$W$5:$W$604,BW117,'Content Calendar'!$X$5:$X$604,"&lt;&gt;Published"))</f>
        <v>0</v>
      </c>
      <c r="BZ117" s="23">
        <f>IF(BW117="","",COUNTIFS(Tasks!$C$5:$C$64,BW117,Tasks!$G$5:$G$64,"&lt;&gt;Complete"))</f>
        <v>0</v>
      </c>
      <c r="CA117" s="17">
        <f>IF(Campaigns!$B$117="","",Campaigns!$B$117)</f>
        <v>0</v>
      </c>
      <c r="CB117" s="25">
        <f>IF(Campaigns!$T$117="","",Campaigns!$T$117)</f>
        <v>0</v>
      </c>
      <c r="CC117" s="25">
        <f>IF(Campaigns!$Q$117="","",Campaigns!$Q$117)</f>
        <v>0</v>
      </c>
      <c r="CD117" s="23">
        <f>IF(Campaigns!$Y$117="","",Campaigns!$Y$117)</f>
        <v>0</v>
      </c>
      <c r="CE117" s="32">
        <f>IF(CA117="","",IF(N(CB117)&lt;=0,"",N(CB117)+ROW()/1000000))</f>
        <v>0</v>
      </c>
      <c r="CF117" s="17">
        <f>IF(Accounts!$C$117="","",Accounts!$C$117)</f>
        <v>0</v>
      </c>
      <c r="CG117" s="17">
        <f>IF(Accounts!$B$117="","",Accounts!$B$117)</f>
        <v>0</v>
      </c>
      <c r="CH117" s="23">
        <f>IF(Accounts!$J$117="","",Accounts!$J$117)</f>
        <v>0</v>
      </c>
      <c r="CI117" s="23">
        <f>IF(CF117="","",SUMIFS(Analytics!$X$5:$X$154,Analytics!$E$5:$E$154,CF117,Analytics!$B$5:$B$154,"&gt;="&amp;DashStart,Analytics!$B$5:$B$154,"&lt;="&amp;DashEnd))</f>
        <v>0</v>
      </c>
      <c r="CJ117" s="32">
        <f>IF(CH117="","",IF(CH117=0,"",CH117+ROW()/1000000))</f>
        <v>0</v>
      </c>
    </row>
    <row r="118" spans="1:88">
      <c r="A118" s="16">
        <f>IF(ROW()-4&gt;12,"",DATE(PlanYear,ROW()-4,1))</f>
        <v>0</v>
      </c>
      <c r="B118" s="16">
        <f>IF(A118="","",EOMONTH(A118,0))</f>
        <v>0</v>
      </c>
      <c r="C118" s="17">
        <f>IF(A118="","",TEXT(A118,"yyyy-mm"))</f>
        <v>0</v>
      </c>
      <c r="D118" s="17">
        <f>IF(A118="","",TEXT(A118,"mmm"))</f>
        <v>0</v>
      </c>
      <c r="E118" s="23">
        <f>IF(C118="","",COUNTIFS('Content Calendar'!$D$5:$D$604,C118))</f>
        <v>0</v>
      </c>
      <c r="F118" s="23">
        <f>IF(C118="","",COUNTIFS('Content Calendar'!$D$5:$D$604,C118,'Content Calendar'!$X$5:$X$604,"Published"))</f>
        <v>0</v>
      </c>
      <c r="G118" s="23">
        <f>IF(C118="","",SUMIFS(Analytics!$J$5:$J$154,Analytics!$C$5:$C$154,C118))</f>
        <v>0</v>
      </c>
      <c r="H118" s="23">
        <f>IF(C118="","",SUMIFS(Analytics!$K$5:$K$154,Analytics!$C$5:$C$154,C118))</f>
        <v>0</v>
      </c>
      <c r="I118" s="23">
        <f>IF(C118="","",SUMIFS(Analytics!$L$5:$L$154,Analytics!$C$5:$C$154,C118))</f>
        <v>0</v>
      </c>
      <c r="J118" s="24">
        <f>IF(OR(G118="",G118=0),"",I118/G118)</f>
        <v>0</v>
      </c>
      <c r="K118" s="23">
        <f>IF(C118="","",SUMIFS(Analytics!$G$5:$G$154,Analytics!$C$5:$C$154,C118))</f>
        <v>0</v>
      </c>
      <c r="L118" s="23">
        <f>IF(C118="","",SUMIFS(Analytics!$X$5:$X$154,Analytics!$C$5:$C$154,C118))</f>
        <v>0</v>
      </c>
      <c r="M118" s="23">
        <f>IF(C118="","",SUMIFS(Analytics!$R$5:$R$154,Analytics!$C$5:$C$154,C118))</f>
        <v>0</v>
      </c>
      <c r="N118" s="23">
        <f>IF(C118="","",SUMIFS(Analytics!$S$5:$S$154,Analytics!$C$5:$C$154,C118))</f>
        <v>0</v>
      </c>
      <c r="O118" s="23">
        <f>IF(C118="","",SUMIFS(Analytics!$T$5:$T$154,Analytics!$C$5:$C$154,C118))</f>
        <v>0</v>
      </c>
      <c r="P118" s="25">
        <f>IF(C118="","",SUMIFS(Analytics!$U$5:$U$154,Analytics!$C$5:$C$154,C118))</f>
        <v>0</v>
      </c>
      <c r="Q118" s="25">
        <f>IF(C118="","",SUMIFS(Budget!$H$5:$H$64,Budget!$C$5:$C$64,C118))</f>
        <v>0</v>
      </c>
      <c r="R118" s="25">
        <f>IF(C118="","",P118-Q118)</f>
        <v>0</v>
      </c>
      <c r="S118" s="23">
        <f>IF(C118="","",MonthlyPostTarget)</f>
        <v>0</v>
      </c>
      <c r="T118" s="17">
        <f>IF(Lists!$C118="","",Lists!$C118)</f>
        <v>0</v>
      </c>
      <c r="U118" s="23">
        <f>IF(T118="","",COUNTIFS('Content Calendar'!$G$5:$G$604,T118,'Content Calendar'!$B$5:$B$604,"&gt;="&amp;DashStart,'Content Calendar'!$B$5:$B$604,"&lt;="&amp;DashEnd))</f>
        <v>0</v>
      </c>
      <c r="V118" s="23">
        <f>IF(T118="","",COUNTIFS('Content Calendar'!$G$5:$G$604,T118,'Content Calendar'!$X$5:$X$604,"Published",'Content Calendar'!$B$5:$B$604,"&gt;="&amp;DashStart,'Content Calendar'!$B$5:$B$604,"&lt;="&amp;DashEnd))</f>
        <v>0</v>
      </c>
      <c r="W118" s="23">
        <f>IF(T118="","",SUMIFS(Analytics!$J$5:$J$154,Analytics!$D$5:$D$154,T118,Analytics!$B$5:$B$154,"&gt;="&amp;DashStart,Analytics!$B$5:$B$154,"&lt;="&amp;DashEnd))</f>
        <v>0</v>
      </c>
      <c r="X118" s="23">
        <f>IF(T118="","",SUMIFS(Analytics!$L$5:$L$154,Analytics!$D$5:$D$154,T118,Analytics!$B$5:$B$154,"&gt;="&amp;DashStart,Analytics!$B$5:$B$154,"&lt;="&amp;DashEnd))</f>
        <v>0</v>
      </c>
      <c r="Y118" s="24">
        <f>IF(OR(W118="",W118=0),"",X118/W118)</f>
        <v>0</v>
      </c>
      <c r="Z118" s="23">
        <f>IF(T118="","",SUMIFS(Analytics!$G$5:$G$154,Analytics!$D$5:$D$154,T118,Analytics!$B$5:$B$154,"&gt;="&amp;DashStart,Analytics!$B$5:$B$154,"&lt;="&amp;DashEnd))</f>
        <v>0</v>
      </c>
      <c r="AA118" s="23">
        <f>IF(T118="","",SUMIFS(Analytics!$X$5:$X$154,Analytics!$D$5:$D$154,T118,Analytics!$B$5:$B$154,"&gt;="&amp;DashStart,Analytics!$B$5:$B$154,"&lt;="&amp;DashEnd))</f>
        <v>0</v>
      </c>
      <c r="AB118" s="23">
        <f>IF(T118="","",SUMIFS(Analytics!$R$5:$R$154,Analytics!$D$5:$D$154,T118,Analytics!$B$5:$B$154,"&gt;="&amp;DashStart,Analytics!$B$5:$B$154,"&lt;="&amp;DashEnd))</f>
        <v>0</v>
      </c>
      <c r="AC118" s="25">
        <f>IF(T118="","",SUMIFS(Analytics!$U$5:$U$154,Analytics!$D$5:$D$154,T118,Analytics!$B$5:$B$154,"&gt;="&amp;DashStart,Analytics!$B$5:$B$154,"&lt;="&amp;DashEnd))</f>
        <v>0</v>
      </c>
      <c r="AD118" s="23">
        <f>IF(T118="","",COUNTIFS('Content Calendar'!$G$5:$G$604,T118,'Content Calendar'!$B$5:$B$604,"&gt;="&amp;DATE(PlanYear,1,1),'Content Calendar'!$B$5:$B$604,"&lt;="&amp;DATE(PlanYear,12,31)))</f>
        <v>0</v>
      </c>
      <c r="AE118" s="23">
        <f>IF(T118="","",SUMIFS(Analytics!$J$5:$J$154,Analytics!$D$5:$D$154,T118))</f>
        <v>0</v>
      </c>
      <c r="AF118" s="23">
        <f>IF(T118="","",SUMIFS(Analytics!$L$5:$L$154,Analytics!$D$5:$D$154,T118))</f>
        <v>0</v>
      </c>
      <c r="AG118" s="24">
        <f>IF(OR(AE118="",AE118=0),"",AF118/AE118)</f>
        <v>0</v>
      </c>
      <c r="AH118" s="23">
        <f>IF(T118="","",SUMIFS(Analytics!$X$5:$X$154,Analytics!$D$5:$D$154,T118))</f>
        <v>0</v>
      </c>
      <c r="AI118" s="32">
        <f>IF(T118="","",IF(AE118=0,"",AE118+ROW()/1000000))</f>
        <v>0</v>
      </c>
      <c r="AJ118" s="17">
        <f>IF('Content Pillars'!$B$118="","",'Content Pillars'!$B$118)</f>
        <v>0</v>
      </c>
      <c r="AK118" s="23">
        <f>IF(AJ118="","",COUNTIFS('Content Calendar'!$J$5:$J$604,AJ118,'Content Calendar'!$B$5:$B$604,"&gt;="&amp;DATE(PlanYear,1,1),'Content Calendar'!$B$5:$B$604,"&lt;="&amp;DATE(PlanYear,12,31)))</f>
        <v>0</v>
      </c>
      <c r="AL118" s="23">
        <f>IF(AJ118="","",SUMIFS(Performance!$O$5:$O$404,Performance!$H$5:$H$404,AJ118))</f>
        <v>0</v>
      </c>
      <c r="AM118" s="23">
        <f>IF(AJ118="","",SUMIFS(Performance!$Z$5:$Z$404,Performance!$H$5:$H$404,AJ118))</f>
        <v>0</v>
      </c>
      <c r="AN118" s="24">
        <f>IF(OR(AL118="",AL118=0),"",AM118/AL118)</f>
        <v>0</v>
      </c>
      <c r="AO118" s="32">
        <f>IF(AN118="","",AN118+ROW()/1000000)</f>
        <v>0</v>
      </c>
      <c r="AP118" s="17">
        <f>IF(Lists!$E118="","",Lists!$E118)</f>
        <v>0</v>
      </c>
      <c r="AQ118" s="23">
        <f>IF(AP118="","",COUNTIF(Performance!$G$5:$G$404,AP118))</f>
        <v>0</v>
      </c>
      <c r="AR118" s="23">
        <f>IF(AP118="","",SUMIFS(Performance!$O$5:$O$404,Performance!$G$5:$G$404,AP118))</f>
        <v>0</v>
      </c>
      <c r="AS118" s="23">
        <f>IF(AP118="","",SUMIFS(Performance!$Z$5:$Z$404,Performance!$G$5:$G$404,AP118))</f>
        <v>0</v>
      </c>
      <c r="AT118" s="24">
        <f>IF(OR(AR118="",AR118=0),"",AS118/AR118)</f>
        <v>0</v>
      </c>
      <c r="AU118" s="32">
        <f>IF(AQ118=0,"",IF(AT118="","",AT118+ROW()/1000000))</f>
        <v>0</v>
      </c>
      <c r="AV118" s="17">
        <f>IF(ROW()-4&gt;7,"",TEXT(DATE(2024,1,ROW()-4),"ddd"))</f>
        <v>0</v>
      </c>
      <c r="AW118" s="23">
        <f>IF(AV118="","",COUNTIF(Performance!$N$5:$N$404,AV118))</f>
        <v>0</v>
      </c>
      <c r="AX118" s="23">
        <f>IF(AV118="","",SUMIFS(Performance!$O$5:$O$404,Performance!$N$5:$N$404,AV118))</f>
        <v>0</v>
      </c>
      <c r="AY118" s="23">
        <f>IF(AV118="","",SUMIFS(Performance!$Z$5:$Z$404,Performance!$N$5:$N$404,AV118))</f>
        <v>0</v>
      </c>
      <c r="AZ118" s="24">
        <f>IF(OR(AX118="",AX118=0),"",AY118/AX118)</f>
        <v>0</v>
      </c>
      <c r="BA118" s="32">
        <f>IF(AW118=0,"",IF(AZ118="","",AZ118+ROW()/1000000))</f>
        <v>0</v>
      </c>
      <c r="BB118" s="17">
        <f>IF(Lists!$AL118="","",Lists!$AL118)</f>
        <v>0</v>
      </c>
      <c r="BC118" s="23">
        <f>IF(BB118="","",COUNTIF(Performance!$M$5:$M$404,BB118))</f>
        <v>0</v>
      </c>
      <c r="BD118" s="23">
        <f>IF(BB118="","",SUMIFS(Performance!$O$5:$O$404,Performance!$M$5:$M$404,BB118))</f>
        <v>0</v>
      </c>
      <c r="BE118" s="23">
        <f>IF(BB118="","",SUMIFS(Performance!$Z$5:$Z$404,Performance!$M$5:$M$404,BB118))</f>
        <v>0</v>
      </c>
      <c r="BF118" s="24">
        <f>IF(OR(BD118="",BD118=0),"",BE118/BD118)</f>
        <v>0</v>
      </c>
      <c r="BG118" s="32">
        <f>IF(BC118=0,"",IF(BF118="","",BF118+ROW()/1000000))</f>
        <v>0</v>
      </c>
      <c r="BH118" s="17">
        <f>IF(Performance!$C$118="","",Performance!$C$118)</f>
        <v>0</v>
      </c>
      <c r="BI118" s="17">
        <f>IF(Performance!$F$118="","",Performance!$F$118)</f>
        <v>0</v>
      </c>
      <c r="BJ118" s="17">
        <f>IF(Performance!$H$118="","",Performance!$H$118)</f>
        <v>0</v>
      </c>
      <c r="BK118" s="16">
        <f>IF(Performance!$D$118="","",Performance!$D$118)</f>
        <v>0</v>
      </c>
      <c r="BL118" s="17">
        <f>IF(Performance!$E$118="","",Performance!$E$118)</f>
        <v>0</v>
      </c>
      <c r="BM118" s="23">
        <f>IF(Performance!$O$118="","",Performance!$O$118)</f>
        <v>0</v>
      </c>
      <c r="BN118" s="24">
        <f>IF(Performance!$AA$118="","",Performance!$AA$118)</f>
        <v>0</v>
      </c>
      <c r="BO118" s="32">
        <f>IF(BH118="","",IF(BK118="","",IF(OR(BK118&lt;DashStart,BK118&gt;DashEnd),"",IF(BN118="","",BN118+ROW()/1000000))))</f>
        <v>0</v>
      </c>
      <c r="BP118" s="32">
        <f>IF(BM118="","",IF(BK118="","",IF(OR(BK118&lt;DashStart,BK118&gt;DashEnd),"",BM118+ROW()/1000000)))</f>
        <v>0</v>
      </c>
      <c r="BQ118" s="32">
        <f>IF(BH118="","",IF(BK118="","",IF(YEAR(BK118)&lt;&gt;PlanYear,"",IF(BN118="","",BN118+ROW()/1000000))))</f>
        <v>0</v>
      </c>
      <c r="BR118" s="32">
        <f>IF(BH118="","",IF(BK118="","",IF(OR(BK118&lt;RepFrom,BK118&gt;RepTo),"",IF(BN118="","",BN118+ROW()/1000000))))</f>
        <v>0</v>
      </c>
      <c r="BS118" s="32">
        <f>IF(BM118="","",IF(BK118="","",IF(YEAR(BK118)&lt;&gt;PlanYear,"",BM118+ROW()/1000000)))</f>
        <v>0</v>
      </c>
      <c r="BT118" s="17">
        <f>IF(Lists!$F118="","",Lists!$F118)</f>
        <v>0</v>
      </c>
      <c r="BU118" s="23">
        <f>IF(BT118="","",COUNTIF('Content Calendar'!$X$5:$X$604,BT118))</f>
        <v>0</v>
      </c>
      <c r="BV118" s="23">
        <f>IF(BT118="","",COUNTIFS('Content Calendar'!$X$5:$X$604,BT118,'Content Calendar'!$B$5:$B$604,"&gt;="&amp;DashStart,'Content Calendar'!$B$5:$B$604,"&lt;="&amp;DashEnd))</f>
        <v>0</v>
      </c>
      <c r="BW118" s="17">
        <f>IF(Team!$B$118="","",Team!$B$118)</f>
        <v>0</v>
      </c>
      <c r="BX118" s="23">
        <f>IF(BW118="","",COUNTIF('Content Calendar'!$W$5:$W$604,BW118))</f>
        <v>0</v>
      </c>
      <c r="BY118" s="23">
        <f>IF(BW118="","",COUNTIFS('Content Calendar'!$W$5:$W$604,BW118,'Content Calendar'!$X$5:$X$604,"&lt;&gt;Published"))</f>
        <v>0</v>
      </c>
      <c r="BZ118" s="23">
        <f>IF(BW118="","",COUNTIFS(Tasks!$C$5:$C$64,BW118,Tasks!$G$5:$G$64,"&lt;&gt;Complete"))</f>
        <v>0</v>
      </c>
      <c r="CA118" s="17">
        <f>IF(Campaigns!$B$118="","",Campaigns!$B$118)</f>
        <v>0</v>
      </c>
      <c r="CB118" s="25">
        <f>IF(Campaigns!$T$118="","",Campaigns!$T$118)</f>
        <v>0</v>
      </c>
      <c r="CC118" s="25">
        <f>IF(Campaigns!$Q$118="","",Campaigns!$Q$118)</f>
        <v>0</v>
      </c>
      <c r="CD118" s="23">
        <f>IF(Campaigns!$Y$118="","",Campaigns!$Y$118)</f>
        <v>0</v>
      </c>
      <c r="CE118" s="32">
        <f>IF(CA118="","",IF(N(CB118)&lt;=0,"",N(CB118)+ROW()/1000000))</f>
        <v>0</v>
      </c>
      <c r="CF118" s="17">
        <f>IF(Accounts!$C$118="","",Accounts!$C$118)</f>
        <v>0</v>
      </c>
      <c r="CG118" s="17">
        <f>IF(Accounts!$B$118="","",Accounts!$B$118)</f>
        <v>0</v>
      </c>
      <c r="CH118" s="23">
        <f>IF(Accounts!$J$118="","",Accounts!$J$118)</f>
        <v>0</v>
      </c>
      <c r="CI118" s="23">
        <f>IF(CF118="","",SUMIFS(Analytics!$X$5:$X$154,Analytics!$E$5:$E$154,CF118,Analytics!$B$5:$B$154,"&gt;="&amp;DashStart,Analytics!$B$5:$B$154,"&lt;="&amp;DashEnd))</f>
        <v>0</v>
      </c>
      <c r="CJ118" s="32">
        <f>IF(CH118="","",IF(CH118=0,"",CH118+ROW()/1000000))</f>
        <v>0</v>
      </c>
    </row>
    <row r="119" spans="1:88">
      <c r="A119" s="16">
        <f>IF(ROW()-4&gt;12,"",DATE(PlanYear,ROW()-4,1))</f>
        <v>0</v>
      </c>
      <c r="B119" s="16">
        <f>IF(A119="","",EOMONTH(A119,0))</f>
        <v>0</v>
      </c>
      <c r="C119" s="17">
        <f>IF(A119="","",TEXT(A119,"yyyy-mm"))</f>
        <v>0</v>
      </c>
      <c r="D119" s="17">
        <f>IF(A119="","",TEXT(A119,"mmm"))</f>
        <v>0</v>
      </c>
      <c r="E119" s="23">
        <f>IF(C119="","",COUNTIFS('Content Calendar'!$D$5:$D$604,C119))</f>
        <v>0</v>
      </c>
      <c r="F119" s="23">
        <f>IF(C119="","",COUNTIFS('Content Calendar'!$D$5:$D$604,C119,'Content Calendar'!$X$5:$X$604,"Published"))</f>
        <v>0</v>
      </c>
      <c r="G119" s="23">
        <f>IF(C119="","",SUMIFS(Analytics!$J$5:$J$154,Analytics!$C$5:$C$154,C119))</f>
        <v>0</v>
      </c>
      <c r="H119" s="23">
        <f>IF(C119="","",SUMIFS(Analytics!$K$5:$K$154,Analytics!$C$5:$C$154,C119))</f>
        <v>0</v>
      </c>
      <c r="I119" s="23">
        <f>IF(C119="","",SUMIFS(Analytics!$L$5:$L$154,Analytics!$C$5:$C$154,C119))</f>
        <v>0</v>
      </c>
      <c r="J119" s="24">
        <f>IF(OR(G119="",G119=0),"",I119/G119)</f>
        <v>0</v>
      </c>
      <c r="K119" s="23">
        <f>IF(C119="","",SUMIFS(Analytics!$G$5:$G$154,Analytics!$C$5:$C$154,C119))</f>
        <v>0</v>
      </c>
      <c r="L119" s="23">
        <f>IF(C119="","",SUMIFS(Analytics!$X$5:$X$154,Analytics!$C$5:$C$154,C119))</f>
        <v>0</v>
      </c>
      <c r="M119" s="23">
        <f>IF(C119="","",SUMIFS(Analytics!$R$5:$R$154,Analytics!$C$5:$C$154,C119))</f>
        <v>0</v>
      </c>
      <c r="N119" s="23">
        <f>IF(C119="","",SUMIFS(Analytics!$S$5:$S$154,Analytics!$C$5:$C$154,C119))</f>
        <v>0</v>
      </c>
      <c r="O119" s="23">
        <f>IF(C119="","",SUMIFS(Analytics!$T$5:$T$154,Analytics!$C$5:$C$154,C119))</f>
        <v>0</v>
      </c>
      <c r="P119" s="25">
        <f>IF(C119="","",SUMIFS(Analytics!$U$5:$U$154,Analytics!$C$5:$C$154,C119))</f>
        <v>0</v>
      </c>
      <c r="Q119" s="25">
        <f>IF(C119="","",SUMIFS(Budget!$H$5:$H$64,Budget!$C$5:$C$64,C119))</f>
        <v>0</v>
      </c>
      <c r="R119" s="25">
        <f>IF(C119="","",P119-Q119)</f>
        <v>0</v>
      </c>
      <c r="S119" s="23">
        <f>IF(C119="","",MonthlyPostTarget)</f>
        <v>0</v>
      </c>
      <c r="T119" s="17">
        <f>IF(Lists!$C119="","",Lists!$C119)</f>
        <v>0</v>
      </c>
      <c r="U119" s="23">
        <f>IF(T119="","",COUNTIFS('Content Calendar'!$G$5:$G$604,T119,'Content Calendar'!$B$5:$B$604,"&gt;="&amp;DashStart,'Content Calendar'!$B$5:$B$604,"&lt;="&amp;DashEnd))</f>
        <v>0</v>
      </c>
      <c r="V119" s="23">
        <f>IF(T119="","",COUNTIFS('Content Calendar'!$G$5:$G$604,T119,'Content Calendar'!$X$5:$X$604,"Published",'Content Calendar'!$B$5:$B$604,"&gt;="&amp;DashStart,'Content Calendar'!$B$5:$B$604,"&lt;="&amp;DashEnd))</f>
        <v>0</v>
      </c>
      <c r="W119" s="23">
        <f>IF(T119="","",SUMIFS(Analytics!$J$5:$J$154,Analytics!$D$5:$D$154,T119,Analytics!$B$5:$B$154,"&gt;="&amp;DashStart,Analytics!$B$5:$B$154,"&lt;="&amp;DashEnd))</f>
        <v>0</v>
      </c>
      <c r="X119" s="23">
        <f>IF(T119="","",SUMIFS(Analytics!$L$5:$L$154,Analytics!$D$5:$D$154,T119,Analytics!$B$5:$B$154,"&gt;="&amp;DashStart,Analytics!$B$5:$B$154,"&lt;="&amp;DashEnd))</f>
        <v>0</v>
      </c>
      <c r="Y119" s="24">
        <f>IF(OR(W119="",W119=0),"",X119/W119)</f>
        <v>0</v>
      </c>
      <c r="Z119" s="23">
        <f>IF(T119="","",SUMIFS(Analytics!$G$5:$G$154,Analytics!$D$5:$D$154,T119,Analytics!$B$5:$B$154,"&gt;="&amp;DashStart,Analytics!$B$5:$B$154,"&lt;="&amp;DashEnd))</f>
        <v>0</v>
      </c>
      <c r="AA119" s="23">
        <f>IF(T119="","",SUMIFS(Analytics!$X$5:$X$154,Analytics!$D$5:$D$154,T119,Analytics!$B$5:$B$154,"&gt;="&amp;DashStart,Analytics!$B$5:$B$154,"&lt;="&amp;DashEnd))</f>
        <v>0</v>
      </c>
      <c r="AB119" s="23">
        <f>IF(T119="","",SUMIFS(Analytics!$R$5:$R$154,Analytics!$D$5:$D$154,T119,Analytics!$B$5:$B$154,"&gt;="&amp;DashStart,Analytics!$B$5:$B$154,"&lt;="&amp;DashEnd))</f>
        <v>0</v>
      </c>
      <c r="AC119" s="25">
        <f>IF(T119="","",SUMIFS(Analytics!$U$5:$U$154,Analytics!$D$5:$D$154,T119,Analytics!$B$5:$B$154,"&gt;="&amp;DashStart,Analytics!$B$5:$B$154,"&lt;="&amp;DashEnd))</f>
        <v>0</v>
      </c>
      <c r="AD119" s="23">
        <f>IF(T119="","",COUNTIFS('Content Calendar'!$G$5:$G$604,T119,'Content Calendar'!$B$5:$B$604,"&gt;="&amp;DATE(PlanYear,1,1),'Content Calendar'!$B$5:$B$604,"&lt;="&amp;DATE(PlanYear,12,31)))</f>
        <v>0</v>
      </c>
      <c r="AE119" s="23">
        <f>IF(T119="","",SUMIFS(Analytics!$J$5:$J$154,Analytics!$D$5:$D$154,T119))</f>
        <v>0</v>
      </c>
      <c r="AF119" s="23">
        <f>IF(T119="","",SUMIFS(Analytics!$L$5:$L$154,Analytics!$D$5:$D$154,T119))</f>
        <v>0</v>
      </c>
      <c r="AG119" s="24">
        <f>IF(OR(AE119="",AE119=0),"",AF119/AE119)</f>
        <v>0</v>
      </c>
      <c r="AH119" s="23">
        <f>IF(T119="","",SUMIFS(Analytics!$X$5:$X$154,Analytics!$D$5:$D$154,T119))</f>
        <v>0</v>
      </c>
      <c r="AI119" s="32">
        <f>IF(T119="","",IF(AE119=0,"",AE119+ROW()/1000000))</f>
        <v>0</v>
      </c>
      <c r="AJ119" s="17">
        <f>IF('Content Pillars'!$B$119="","",'Content Pillars'!$B$119)</f>
        <v>0</v>
      </c>
      <c r="AK119" s="23">
        <f>IF(AJ119="","",COUNTIFS('Content Calendar'!$J$5:$J$604,AJ119,'Content Calendar'!$B$5:$B$604,"&gt;="&amp;DATE(PlanYear,1,1),'Content Calendar'!$B$5:$B$604,"&lt;="&amp;DATE(PlanYear,12,31)))</f>
        <v>0</v>
      </c>
      <c r="AL119" s="23">
        <f>IF(AJ119="","",SUMIFS(Performance!$O$5:$O$404,Performance!$H$5:$H$404,AJ119))</f>
        <v>0</v>
      </c>
      <c r="AM119" s="23">
        <f>IF(AJ119="","",SUMIFS(Performance!$Z$5:$Z$404,Performance!$H$5:$H$404,AJ119))</f>
        <v>0</v>
      </c>
      <c r="AN119" s="24">
        <f>IF(OR(AL119="",AL119=0),"",AM119/AL119)</f>
        <v>0</v>
      </c>
      <c r="AO119" s="32">
        <f>IF(AN119="","",AN119+ROW()/1000000)</f>
        <v>0</v>
      </c>
      <c r="AP119" s="17">
        <f>IF(Lists!$E119="","",Lists!$E119)</f>
        <v>0</v>
      </c>
      <c r="AQ119" s="23">
        <f>IF(AP119="","",COUNTIF(Performance!$G$5:$G$404,AP119))</f>
        <v>0</v>
      </c>
      <c r="AR119" s="23">
        <f>IF(AP119="","",SUMIFS(Performance!$O$5:$O$404,Performance!$G$5:$G$404,AP119))</f>
        <v>0</v>
      </c>
      <c r="AS119" s="23">
        <f>IF(AP119="","",SUMIFS(Performance!$Z$5:$Z$404,Performance!$G$5:$G$404,AP119))</f>
        <v>0</v>
      </c>
      <c r="AT119" s="24">
        <f>IF(OR(AR119="",AR119=0),"",AS119/AR119)</f>
        <v>0</v>
      </c>
      <c r="AU119" s="32">
        <f>IF(AQ119=0,"",IF(AT119="","",AT119+ROW()/1000000))</f>
        <v>0</v>
      </c>
      <c r="AV119" s="17">
        <f>IF(ROW()-4&gt;7,"",TEXT(DATE(2024,1,ROW()-4),"ddd"))</f>
        <v>0</v>
      </c>
      <c r="AW119" s="23">
        <f>IF(AV119="","",COUNTIF(Performance!$N$5:$N$404,AV119))</f>
        <v>0</v>
      </c>
      <c r="AX119" s="23">
        <f>IF(AV119="","",SUMIFS(Performance!$O$5:$O$404,Performance!$N$5:$N$404,AV119))</f>
        <v>0</v>
      </c>
      <c r="AY119" s="23">
        <f>IF(AV119="","",SUMIFS(Performance!$Z$5:$Z$404,Performance!$N$5:$N$404,AV119))</f>
        <v>0</v>
      </c>
      <c r="AZ119" s="24">
        <f>IF(OR(AX119="",AX119=0),"",AY119/AX119)</f>
        <v>0</v>
      </c>
      <c r="BA119" s="32">
        <f>IF(AW119=0,"",IF(AZ119="","",AZ119+ROW()/1000000))</f>
        <v>0</v>
      </c>
      <c r="BB119" s="17">
        <f>IF(Lists!$AL119="","",Lists!$AL119)</f>
        <v>0</v>
      </c>
      <c r="BC119" s="23">
        <f>IF(BB119="","",COUNTIF(Performance!$M$5:$M$404,BB119))</f>
        <v>0</v>
      </c>
      <c r="BD119" s="23">
        <f>IF(BB119="","",SUMIFS(Performance!$O$5:$O$404,Performance!$M$5:$M$404,BB119))</f>
        <v>0</v>
      </c>
      <c r="BE119" s="23">
        <f>IF(BB119="","",SUMIFS(Performance!$Z$5:$Z$404,Performance!$M$5:$M$404,BB119))</f>
        <v>0</v>
      </c>
      <c r="BF119" s="24">
        <f>IF(OR(BD119="",BD119=0),"",BE119/BD119)</f>
        <v>0</v>
      </c>
      <c r="BG119" s="32">
        <f>IF(BC119=0,"",IF(BF119="","",BF119+ROW()/1000000))</f>
        <v>0</v>
      </c>
      <c r="BH119" s="17">
        <f>IF(Performance!$C$119="","",Performance!$C$119)</f>
        <v>0</v>
      </c>
      <c r="BI119" s="17">
        <f>IF(Performance!$F$119="","",Performance!$F$119)</f>
        <v>0</v>
      </c>
      <c r="BJ119" s="17">
        <f>IF(Performance!$H$119="","",Performance!$H$119)</f>
        <v>0</v>
      </c>
      <c r="BK119" s="16">
        <f>IF(Performance!$D$119="","",Performance!$D$119)</f>
        <v>0</v>
      </c>
      <c r="BL119" s="17">
        <f>IF(Performance!$E$119="","",Performance!$E$119)</f>
        <v>0</v>
      </c>
      <c r="BM119" s="23">
        <f>IF(Performance!$O$119="","",Performance!$O$119)</f>
        <v>0</v>
      </c>
      <c r="BN119" s="24">
        <f>IF(Performance!$AA$119="","",Performance!$AA$119)</f>
        <v>0</v>
      </c>
      <c r="BO119" s="32">
        <f>IF(BH119="","",IF(BK119="","",IF(OR(BK119&lt;DashStart,BK119&gt;DashEnd),"",IF(BN119="","",BN119+ROW()/1000000))))</f>
        <v>0</v>
      </c>
      <c r="BP119" s="32">
        <f>IF(BM119="","",IF(BK119="","",IF(OR(BK119&lt;DashStart,BK119&gt;DashEnd),"",BM119+ROW()/1000000)))</f>
        <v>0</v>
      </c>
      <c r="BQ119" s="32">
        <f>IF(BH119="","",IF(BK119="","",IF(YEAR(BK119)&lt;&gt;PlanYear,"",IF(BN119="","",BN119+ROW()/1000000))))</f>
        <v>0</v>
      </c>
      <c r="BR119" s="32">
        <f>IF(BH119="","",IF(BK119="","",IF(OR(BK119&lt;RepFrom,BK119&gt;RepTo),"",IF(BN119="","",BN119+ROW()/1000000))))</f>
        <v>0</v>
      </c>
      <c r="BS119" s="32">
        <f>IF(BM119="","",IF(BK119="","",IF(YEAR(BK119)&lt;&gt;PlanYear,"",BM119+ROW()/1000000)))</f>
        <v>0</v>
      </c>
      <c r="BT119" s="17">
        <f>IF(Lists!$F119="","",Lists!$F119)</f>
        <v>0</v>
      </c>
      <c r="BU119" s="23">
        <f>IF(BT119="","",COUNTIF('Content Calendar'!$X$5:$X$604,BT119))</f>
        <v>0</v>
      </c>
      <c r="BV119" s="23">
        <f>IF(BT119="","",COUNTIFS('Content Calendar'!$X$5:$X$604,BT119,'Content Calendar'!$B$5:$B$604,"&gt;="&amp;DashStart,'Content Calendar'!$B$5:$B$604,"&lt;="&amp;DashEnd))</f>
        <v>0</v>
      </c>
      <c r="BW119" s="17">
        <f>IF(Team!$B$119="","",Team!$B$119)</f>
        <v>0</v>
      </c>
      <c r="BX119" s="23">
        <f>IF(BW119="","",COUNTIF('Content Calendar'!$W$5:$W$604,BW119))</f>
        <v>0</v>
      </c>
      <c r="BY119" s="23">
        <f>IF(BW119="","",COUNTIFS('Content Calendar'!$W$5:$W$604,BW119,'Content Calendar'!$X$5:$X$604,"&lt;&gt;Published"))</f>
        <v>0</v>
      </c>
      <c r="BZ119" s="23">
        <f>IF(BW119="","",COUNTIFS(Tasks!$C$5:$C$64,BW119,Tasks!$G$5:$G$64,"&lt;&gt;Complete"))</f>
        <v>0</v>
      </c>
      <c r="CA119" s="17">
        <f>IF(Campaigns!$B$119="","",Campaigns!$B$119)</f>
        <v>0</v>
      </c>
      <c r="CB119" s="25">
        <f>IF(Campaigns!$T$119="","",Campaigns!$T$119)</f>
        <v>0</v>
      </c>
      <c r="CC119" s="25">
        <f>IF(Campaigns!$Q$119="","",Campaigns!$Q$119)</f>
        <v>0</v>
      </c>
      <c r="CD119" s="23">
        <f>IF(Campaigns!$Y$119="","",Campaigns!$Y$119)</f>
        <v>0</v>
      </c>
      <c r="CE119" s="32">
        <f>IF(CA119="","",IF(N(CB119)&lt;=0,"",N(CB119)+ROW()/1000000))</f>
        <v>0</v>
      </c>
      <c r="CF119" s="17">
        <f>IF(Accounts!$C$119="","",Accounts!$C$119)</f>
        <v>0</v>
      </c>
      <c r="CG119" s="17">
        <f>IF(Accounts!$B$119="","",Accounts!$B$119)</f>
        <v>0</v>
      </c>
      <c r="CH119" s="23">
        <f>IF(Accounts!$J$119="","",Accounts!$J$119)</f>
        <v>0</v>
      </c>
      <c r="CI119" s="23">
        <f>IF(CF119="","",SUMIFS(Analytics!$X$5:$X$154,Analytics!$E$5:$E$154,CF119,Analytics!$B$5:$B$154,"&gt;="&amp;DashStart,Analytics!$B$5:$B$154,"&lt;="&amp;DashEnd))</f>
        <v>0</v>
      </c>
      <c r="CJ119" s="32">
        <f>IF(CH119="","",IF(CH119=0,"",CH119+ROW()/1000000))</f>
        <v>0</v>
      </c>
    </row>
    <row r="120" spans="1:88">
      <c r="A120" s="16">
        <f>IF(ROW()-4&gt;12,"",DATE(PlanYear,ROW()-4,1))</f>
        <v>0</v>
      </c>
      <c r="B120" s="16">
        <f>IF(A120="","",EOMONTH(A120,0))</f>
        <v>0</v>
      </c>
      <c r="C120" s="17">
        <f>IF(A120="","",TEXT(A120,"yyyy-mm"))</f>
        <v>0</v>
      </c>
      <c r="D120" s="17">
        <f>IF(A120="","",TEXT(A120,"mmm"))</f>
        <v>0</v>
      </c>
      <c r="E120" s="23">
        <f>IF(C120="","",COUNTIFS('Content Calendar'!$D$5:$D$604,C120))</f>
        <v>0</v>
      </c>
      <c r="F120" s="23">
        <f>IF(C120="","",COUNTIFS('Content Calendar'!$D$5:$D$604,C120,'Content Calendar'!$X$5:$X$604,"Published"))</f>
        <v>0</v>
      </c>
      <c r="G120" s="23">
        <f>IF(C120="","",SUMIFS(Analytics!$J$5:$J$154,Analytics!$C$5:$C$154,C120))</f>
        <v>0</v>
      </c>
      <c r="H120" s="23">
        <f>IF(C120="","",SUMIFS(Analytics!$K$5:$K$154,Analytics!$C$5:$C$154,C120))</f>
        <v>0</v>
      </c>
      <c r="I120" s="23">
        <f>IF(C120="","",SUMIFS(Analytics!$L$5:$L$154,Analytics!$C$5:$C$154,C120))</f>
        <v>0</v>
      </c>
      <c r="J120" s="24">
        <f>IF(OR(G120="",G120=0),"",I120/G120)</f>
        <v>0</v>
      </c>
      <c r="K120" s="23">
        <f>IF(C120="","",SUMIFS(Analytics!$G$5:$G$154,Analytics!$C$5:$C$154,C120))</f>
        <v>0</v>
      </c>
      <c r="L120" s="23">
        <f>IF(C120="","",SUMIFS(Analytics!$X$5:$X$154,Analytics!$C$5:$C$154,C120))</f>
        <v>0</v>
      </c>
      <c r="M120" s="23">
        <f>IF(C120="","",SUMIFS(Analytics!$R$5:$R$154,Analytics!$C$5:$C$154,C120))</f>
        <v>0</v>
      </c>
      <c r="N120" s="23">
        <f>IF(C120="","",SUMIFS(Analytics!$S$5:$S$154,Analytics!$C$5:$C$154,C120))</f>
        <v>0</v>
      </c>
      <c r="O120" s="23">
        <f>IF(C120="","",SUMIFS(Analytics!$T$5:$T$154,Analytics!$C$5:$C$154,C120))</f>
        <v>0</v>
      </c>
      <c r="P120" s="25">
        <f>IF(C120="","",SUMIFS(Analytics!$U$5:$U$154,Analytics!$C$5:$C$154,C120))</f>
        <v>0</v>
      </c>
      <c r="Q120" s="25">
        <f>IF(C120="","",SUMIFS(Budget!$H$5:$H$64,Budget!$C$5:$C$64,C120))</f>
        <v>0</v>
      </c>
      <c r="R120" s="25">
        <f>IF(C120="","",P120-Q120)</f>
        <v>0</v>
      </c>
      <c r="S120" s="23">
        <f>IF(C120="","",MonthlyPostTarget)</f>
        <v>0</v>
      </c>
      <c r="T120" s="17">
        <f>IF(Lists!$C120="","",Lists!$C120)</f>
        <v>0</v>
      </c>
      <c r="U120" s="23">
        <f>IF(T120="","",COUNTIFS('Content Calendar'!$G$5:$G$604,T120,'Content Calendar'!$B$5:$B$604,"&gt;="&amp;DashStart,'Content Calendar'!$B$5:$B$604,"&lt;="&amp;DashEnd))</f>
        <v>0</v>
      </c>
      <c r="V120" s="23">
        <f>IF(T120="","",COUNTIFS('Content Calendar'!$G$5:$G$604,T120,'Content Calendar'!$X$5:$X$604,"Published",'Content Calendar'!$B$5:$B$604,"&gt;="&amp;DashStart,'Content Calendar'!$B$5:$B$604,"&lt;="&amp;DashEnd))</f>
        <v>0</v>
      </c>
      <c r="W120" s="23">
        <f>IF(T120="","",SUMIFS(Analytics!$J$5:$J$154,Analytics!$D$5:$D$154,T120,Analytics!$B$5:$B$154,"&gt;="&amp;DashStart,Analytics!$B$5:$B$154,"&lt;="&amp;DashEnd))</f>
        <v>0</v>
      </c>
      <c r="X120" s="23">
        <f>IF(T120="","",SUMIFS(Analytics!$L$5:$L$154,Analytics!$D$5:$D$154,T120,Analytics!$B$5:$B$154,"&gt;="&amp;DashStart,Analytics!$B$5:$B$154,"&lt;="&amp;DashEnd))</f>
        <v>0</v>
      </c>
      <c r="Y120" s="24">
        <f>IF(OR(W120="",W120=0),"",X120/W120)</f>
        <v>0</v>
      </c>
      <c r="Z120" s="23">
        <f>IF(T120="","",SUMIFS(Analytics!$G$5:$G$154,Analytics!$D$5:$D$154,T120,Analytics!$B$5:$B$154,"&gt;="&amp;DashStart,Analytics!$B$5:$B$154,"&lt;="&amp;DashEnd))</f>
        <v>0</v>
      </c>
      <c r="AA120" s="23">
        <f>IF(T120="","",SUMIFS(Analytics!$X$5:$X$154,Analytics!$D$5:$D$154,T120,Analytics!$B$5:$B$154,"&gt;="&amp;DashStart,Analytics!$B$5:$B$154,"&lt;="&amp;DashEnd))</f>
        <v>0</v>
      </c>
      <c r="AB120" s="23">
        <f>IF(T120="","",SUMIFS(Analytics!$R$5:$R$154,Analytics!$D$5:$D$154,T120,Analytics!$B$5:$B$154,"&gt;="&amp;DashStart,Analytics!$B$5:$B$154,"&lt;="&amp;DashEnd))</f>
        <v>0</v>
      </c>
      <c r="AC120" s="25">
        <f>IF(T120="","",SUMIFS(Analytics!$U$5:$U$154,Analytics!$D$5:$D$154,T120,Analytics!$B$5:$B$154,"&gt;="&amp;DashStart,Analytics!$B$5:$B$154,"&lt;="&amp;DashEnd))</f>
        <v>0</v>
      </c>
      <c r="AD120" s="23">
        <f>IF(T120="","",COUNTIFS('Content Calendar'!$G$5:$G$604,T120,'Content Calendar'!$B$5:$B$604,"&gt;="&amp;DATE(PlanYear,1,1),'Content Calendar'!$B$5:$B$604,"&lt;="&amp;DATE(PlanYear,12,31)))</f>
        <v>0</v>
      </c>
      <c r="AE120" s="23">
        <f>IF(T120="","",SUMIFS(Analytics!$J$5:$J$154,Analytics!$D$5:$D$154,T120))</f>
        <v>0</v>
      </c>
      <c r="AF120" s="23">
        <f>IF(T120="","",SUMIFS(Analytics!$L$5:$L$154,Analytics!$D$5:$D$154,T120))</f>
        <v>0</v>
      </c>
      <c r="AG120" s="24">
        <f>IF(OR(AE120="",AE120=0),"",AF120/AE120)</f>
        <v>0</v>
      </c>
      <c r="AH120" s="23">
        <f>IF(T120="","",SUMIFS(Analytics!$X$5:$X$154,Analytics!$D$5:$D$154,T120))</f>
        <v>0</v>
      </c>
      <c r="AI120" s="32">
        <f>IF(T120="","",IF(AE120=0,"",AE120+ROW()/1000000))</f>
        <v>0</v>
      </c>
      <c r="AJ120" s="17">
        <f>IF('Content Pillars'!$B$120="","",'Content Pillars'!$B$120)</f>
        <v>0</v>
      </c>
      <c r="AK120" s="23">
        <f>IF(AJ120="","",COUNTIFS('Content Calendar'!$J$5:$J$604,AJ120,'Content Calendar'!$B$5:$B$604,"&gt;="&amp;DATE(PlanYear,1,1),'Content Calendar'!$B$5:$B$604,"&lt;="&amp;DATE(PlanYear,12,31)))</f>
        <v>0</v>
      </c>
      <c r="AL120" s="23">
        <f>IF(AJ120="","",SUMIFS(Performance!$O$5:$O$404,Performance!$H$5:$H$404,AJ120))</f>
        <v>0</v>
      </c>
      <c r="AM120" s="23">
        <f>IF(AJ120="","",SUMIFS(Performance!$Z$5:$Z$404,Performance!$H$5:$H$404,AJ120))</f>
        <v>0</v>
      </c>
      <c r="AN120" s="24">
        <f>IF(OR(AL120="",AL120=0),"",AM120/AL120)</f>
        <v>0</v>
      </c>
      <c r="AO120" s="32">
        <f>IF(AN120="","",AN120+ROW()/1000000)</f>
        <v>0</v>
      </c>
      <c r="AP120" s="17">
        <f>IF(Lists!$E120="","",Lists!$E120)</f>
        <v>0</v>
      </c>
      <c r="AQ120" s="23">
        <f>IF(AP120="","",COUNTIF(Performance!$G$5:$G$404,AP120))</f>
        <v>0</v>
      </c>
      <c r="AR120" s="23">
        <f>IF(AP120="","",SUMIFS(Performance!$O$5:$O$404,Performance!$G$5:$G$404,AP120))</f>
        <v>0</v>
      </c>
      <c r="AS120" s="23">
        <f>IF(AP120="","",SUMIFS(Performance!$Z$5:$Z$404,Performance!$G$5:$G$404,AP120))</f>
        <v>0</v>
      </c>
      <c r="AT120" s="24">
        <f>IF(OR(AR120="",AR120=0),"",AS120/AR120)</f>
        <v>0</v>
      </c>
      <c r="AU120" s="32">
        <f>IF(AQ120=0,"",IF(AT120="","",AT120+ROW()/1000000))</f>
        <v>0</v>
      </c>
      <c r="AV120" s="17">
        <f>IF(ROW()-4&gt;7,"",TEXT(DATE(2024,1,ROW()-4),"ddd"))</f>
        <v>0</v>
      </c>
      <c r="AW120" s="23">
        <f>IF(AV120="","",COUNTIF(Performance!$N$5:$N$404,AV120))</f>
        <v>0</v>
      </c>
      <c r="AX120" s="23">
        <f>IF(AV120="","",SUMIFS(Performance!$O$5:$O$404,Performance!$N$5:$N$404,AV120))</f>
        <v>0</v>
      </c>
      <c r="AY120" s="23">
        <f>IF(AV120="","",SUMIFS(Performance!$Z$5:$Z$404,Performance!$N$5:$N$404,AV120))</f>
        <v>0</v>
      </c>
      <c r="AZ120" s="24">
        <f>IF(OR(AX120="",AX120=0),"",AY120/AX120)</f>
        <v>0</v>
      </c>
      <c r="BA120" s="32">
        <f>IF(AW120=0,"",IF(AZ120="","",AZ120+ROW()/1000000))</f>
        <v>0</v>
      </c>
      <c r="BB120" s="17">
        <f>IF(Lists!$AL120="","",Lists!$AL120)</f>
        <v>0</v>
      </c>
      <c r="BC120" s="23">
        <f>IF(BB120="","",COUNTIF(Performance!$M$5:$M$404,BB120))</f>
        <v>0</v>
      </c>
      <c r="BD120" s="23">
        <f>IF(BB120="","",SUMIFS(Performance!$O$5:$O$404,Performance!$M$5:$M$404,BB120))</f>
        <v>0</v>
      </c>
      <c r="BE120" s="23">
        <f>IF(BB120="","",SUMIFS(Performance!$Z$5:$Z$404,Performance!$M$5:$M$404,BB120))</f>
        <v>0</v>
      </c>
      <c r="BF120" s="24">
        <f>IF(OR(BD120="",BD120=0),"",BE120/BD120)</f>
        <v>0</v>
      </c>
      <c r="BG120" s="32">
        <f>IF(BC120=0,"",IF(BF120="","",BF120+ROW()/1000000))</f>
        <v>0</v>
      </c>
      <c r="BH120" s="17">
        <f>IF(Performance!$C$120="","",Performance!$C$120)</f>
        <v>0</v>
      </c>
      <c r="BI120" s="17">
        <f>IF(Performance!$F$120="","",Performance!$F$120)</f>
        <v>0</v>
      </c>
      <c r="BJ120" s="17">
        <f>IF(Performance!$H$120="","",Performance!$H$120)</f>
        <v>0</v>
      </c>
      <c r="BK120" s="16">
        <f>IF(Performance!$D$120="","",Performance!$D$120)</f>
        <v>0</v>
      </c>
      <c r="BL120" s="17">
        <f>IF(Performance!$E$120="","",Performance!$E$120)</f>
        <v>0</v>
      </c>
      <c r="BM120" s="23">
        <f>IF(Performance!$O$120="","",Performance!$O$120)</f>
        <v>0</v>
      </c>
      <c r="BN120" s="24">
        <f>IF(Performance!$AA$120="","",Performance!$AA$120)</f>
        <v>0</v>
      </c>
      <c r="BO120" s="32">
        <f>IF(BH120="","",IF(BK120="","",IF(OR(BK120&lt;DashStart,BK120&gt;DashEnd),"",IF(BN120="","",BN120+ROW()/1000000))))</f>
        <v>0</v>
      </c>
      <c r="BP120" s="32">
        <f>IF(BM120="","",IF(BK120="","",IF(OR(BK120&lt;DashStart,BK120&gt;DashEnd),"",BM120+ROW()/1000000)))</f>
        <v>0</v>
      </c>
      <c r="BQ120" s="32">
        <f>IF(BH120="","",IF(BK120="","",IF(YEAR(BK120)&lt;&gt;PlanYear,"",IF(BN120="","",BN120+ROW()/1000000))))</f>
        <v>0</v>
      </c>
      <c r="BR120" s="32">
        <f>IF(BH120="","",IF(BK120="","",IF(OR(BK120&lt;RepFrom,BK120&gt;RepTo),"",IF(BN120="","",BN120+ROW()/1000000))))</f>
        <v>0</v>
      </c>
      <c r="BS120" s="32">
        <f>IF(BM120="","",IF(BK120="","",IF(YEAR(BK120)&lt;&gt;PlanYear,"",BM120+ROW()/1000000)))</f>
        <v>0</v>
      </c>
      <c r="BT120" s="17">
        <f>IF(Lists!$F120="","",Lists!$F120)</f>
        <v>0</v>
      </c>
      <c r="BU120" s="23">
        <f>IF(BT120="","",COUNTIF('Content Calendar'!$X$5:$X$604,BT120))</f>
        <v>0</v>
      </c>
      <c r="BV120" s="23">
        <f>IF(BT120="","",COUNTIFS('Content Calendar'!$X$5:$X$604,BT120,'Content Calendar'!$B$5:$B$604,"&gt;="&amp;DashStart,'Content Calendar'!$B$5:$B$604,"&lt;="&amp;DashEnd))</f>
        <v>0</v>
      </c>
      <c r="BW120" s="17">
        <f>IF(Team!$B$120="","",Team!$B$120)</f>
        <v>0</v>
      </c>
      <c r="BX120" s="23">
        <f>IF(BW120="","",COUNTIF('Content Calendar'!$W$5:$W$604,BW120))</f>
        <v>0</v>
      </c>
      <c r="BY120" s="23">
        <f>IF(BW120="","",COUNTIFS('Content Calendar'!$W$5:$W$604,BW120,'Content Calendar'!$X$5:$X$604,"&lt;&gt;Published"))</f>
        <v>0</v>
      </c>
      <c r="BZ120" s="23">
        <f>IF(BW120="","",COUNTIFS(Tasks!$C$5:$C$64,BW120,Tasks!$G$5:$G$64,"&lt;&gt;Complete"))</f>
        <v>0</v>
      </c>
      <c r="CA120" s="17">
        <f>IF(Campaigns!$B$120="","",Campaigns!$B$120)</f>
        <v>0</v>
      </c>
      <c r="CB120" s="25">
        <f>IF(Campaigns!$T$120="","",Campaigns!$T$120)</f>
        <v>0</v>
      </c>
      <c r="CC120" s="25">
        <f>IF(Campaigns!$Q$120="","",Campaigns!$Q$120)</f>
        <v>0</v>
      </c>
      <c r="CD120" s="23">
        <f>IF(Campaigns!$Y$120="","",Campaigns!$Y$120)</f>
        <v>0</v>
      </c>
      <c r="CE120" s="32">
        <f>IF(CA120="","",IF(N(CB120)&lt;=0,"",N(CB120)+ROW()/1000000))</f>
        <v>0</v>
      </c>
      <c r="CF120" s="17">
        <f>IF(Accounts!$C$120="","",Accounts!$C$120)</f>
        <v>0</v>
      </c>
      <c r="CG120" s="17">
        <f>IF(Accounts!$B$120="","",Accounts!$B$120)</f>
        <v>0</v>
      </c>
      <c r="CH120" s="23">
        <f>IF(Accounts!$J$120="","",Accounts!$J$120)</f>
        <v>0</v>
      </c>
      <c r="CI120" s="23">
        <f>IF(CF120="","",SUMIFS(Analytics!$X$5:$X$154,Analytics!$E$5:$E$154,CF120,Analytics!$B$5:$B$154,"&gt;="&amp;DashStart,Analytics!$B$5:$B$154,"&lt;="&amp;DashEnd))</f>
        <v>0</v>
      </c>
      <c r="CJ120" s="32">
        <f>IF(CH120="","",IF(CH120=0,"",CH120+ROW()/1000000))</f>
        <v>0</v>
      </c>
    </row>
    <row r="121" spans="1:88">
      <c r="A121" s="16">
        <f>IF(ROW()-4&gt;12,"",DATE(PlanYear,ROW()-4,1))</f>
        <v>0</v>
      </c>
      <c r="B121" s="16">
        <f>IF(A121="","",EOMONTH(A121,0))</f>
        <v>0</v>
      </c>
      <c r="C121" s="17">
        <f>IF(A121="","",TEXT(A121,"yyyy-mm"))</f>
        <v>0</v>
      </c>
      <c r="D121" s="17">
        <f>IF(A121="","",TEXT(A121,"mmm"))</f>
        <v>0</v>
      </c>
      <c r="E121" s="23">
        <f>IF(C121="","",COUNTIFS('Content Calendar'!$D$5:$D$604,C121))</f>
        <v>0</v>
      </c>
      <c r="F121" s="23">
        <f>IF(C121="","",COUNTIFS('Content Calendar'!$D$5:$D$604,C121,'Content Calendar'!$X$5:$X$604,"Published"))</f>
        <v>0</v>
      </c>
      <c r="G121" s="23">
        <f>IF(C121="","",SUMIFS(Analytics!$J$5:$J$154,Analytics!$C$5:$C$154,C121))</f>
        <v>0</v>
      </c>
      <c r="H121" s="23">
        <f>IF(C121="","",SUMIFS(Analytics!$K$5:$K$154,Analytics!$C$5:$C$154,C121))</f>
        <v>0</v>
      </c>
      <c r="I121" s="23">
        <f>IF(C121="","",SUMIFS(Analytics!$L$5:$L$154,Analytics!$C$5:$C$154,C121))</f>
        <v>0</v>
      </c>
      <c r="J121" s="24">
        <f>IF(OR(G121="",G121=0),"",I121/G121)</f>
        <v>0</v>
      </c>
      <c r="K121" s="23">
        <f>IF(C121="","",SUMIFS(Analytics!$G$5:$G$154,Analytics!$C$5:$C$154,C121))</f>
        <v>0</v>
      </c>
      <c r="L121" s="23">
        <f>IF(C121="","",SUMIFS(Analytics!$X$5:$X$154,Analytics!$C$5:$C$154,C121))</f>
        <v>0</v>
      </c>
      <c r="M121" s="23">
        <f>IF(C121="","",SUMIFS(Analytics!$R$5:$R$154,Analytics!$C$5:$C$154,C121))</f>
        <v>0</v>
      </c>
      <c r="N121" s="23">
        <f>IF(C121="","",SUMIFS(Analytics!$S$5:$S$154,Analytics!$C$5:$C$154,C121))</f>
        <v>0</v>
      </c>
      <c r="O121" s="23">
        <f>IF(C121="","",SUMIFS(Analytics!$T$5:$T$154,Analytics!$C$5:$C$154,C121))</f>
        <v>0</v>
      </c>
      <c r="P121" s="25">
        <f>IF(C121="","",SUMIFS(Analytics!$U$5:$U$154,Analytics!$C$5:$C$154,C121))</f>
        <v>0</v>
      </c>
      <c r="Q121" s="25">
        <f>IF(C121="","",SUMIFS(Budget!$H$5:$H$64,Budget!$C$5:$C$64,C121))</f>
        <v>0</v>
      </c>
      <c r="R121" s="25">
        <f>IF(C121="","",P121-Q121)</f>
        <v>0</v>
      </c>
      <c r="S121" s="23">
        <f>IF(C121="","",MonthlyPostTarget)</f>
        <v>0</v>
      </c>
      <c r="T121" s="17">
        <f>IF(Lists!$C121="","",Lists!$C121)</f>
        <v>0</v>
      </c>
      <c r="U121" s="23">
        <f>IF(T121="","",COUNTIFS('Content Calendar'!$G$5:$G$604,T121,'Content Calendar'!$B$5:$B$604,"&gt;="&amp;DashStart,'Content Calendar'!$B$5:$B$604,"&lt;="&amp;DashEnd))</f>
        <v>0</v>
      </c>
      <c r="V121" s="23">
        <f>IF(T121="","",COUNTIFS('Content Calendar'!$G$5:$G$604,T121,'Content Calendar'!$X$5:$X$604,"Published",'Content Calendar'!$B$5:$B$604,"&gt;="&amp;DashStart,'Content Calendar'!$B$5:$B$604,"&lt;="&amp;DashEnd))</f>
        <v>0</v>
      </c>
      <c r="W121" s="23">
        <f>IF(T121="","",SUMIFS(Analytics!$J$5:$J$154,Analytics!$D$5:$D$154,T121,Analytics!$B$5:$B$154,"&gt;="&amp;DashStart,Analytics!$B$5:$B$154,"&lt;="&amp;DashEnd))</f>
        <v>0</v>
      </c>
      <c r="X121" s="23">
        <f>IF(T121="","",SUMIFS(Analytics!$L$5:$L$154,Analytics!$D$5:$D$154,T121,Analytics!$B$5:$B$154,"&gt;="&amp;DashStart,Analytics!$B$5:$B$154,"&lt;="&amp;DashEnd))</f>
        <v>0</v>
      </c>
      <c r="Y121" s="24">
        <f>IF(OR(W121="",W121=0),"",X121/W121)</f>
        <v>0</v>
      </c>
      <c r="Z121" s="23">
        <f>IF(T121="","",SUMIFS(Analytics!$G$5:$G$154,Analytics!$D$5:$D$154,T121,Analytics!$B$5:$B$154,"&gt;="&amp;DashStart,Analytics!$B$5:$B$154,"&lt;="&amp;DashEnd))</f>
        <v>0</v>
      </c>
      <c r="AA121" s="23">
        <f>IF(T121="","",SUMIFS(Analytics!$X$5:$X$154,Analytics!$D$5:$D$154,T121,Analytics!$B$5:$B$154,"&gt;="&amp;DashStart,Analytics!$B$5:$B$154,"&lt;="&amp;DashEnd))</f>
        <v>0</v>
      </c>
      <c r="AB121" s="23">
        <f>IF(T121="","",SUMIFS(Analytics!$R$5:$R$154,Analytics!$D$5:$D$154,T121,Analytics!$B$5:$B$154,"&gt;="&amp;DashStart,Analytics!$B$5:$B$154,"&lt;="&amp;DashEnd))</f>
        <v>0</v>
      </c>
      <c r="AC121" s="25">
        <f>IF(T121="","",SUMIFS(Analytics!$U$5:$U$154,Analytics!$D$5:$D$154,T121,Analytics!$B$5:$B$154,"&gt;="&amp;DashStart,Analytics!$B$5:$B$154,"&lt;="&amp;DashEnd))</f>
        <v>0</v>
      </c>
      <c r="AD121" s="23">
        <f>IF(T121="","",COUNTIFS('Content Calendar'!$G$5:$G$604,T121,'Content Calendar'!$B$5:$B$604,"&gt;="&amp;DATE(PlanYear,1,1),'Content Calendar'!$B$5:$B$604,"&lt;="&amp;DATE(PlanYear,12,31)))</f>
        <v>0</v>
      </c>
      <c r="AE121" s="23">
        <f>IF(T121="","",SUMIFS(Analytics!$J$5:$J$154,Analytics!$D$5:$D$154,T121))</f>
        <v>0</v>
      </c>
      <c r="AF121" s="23">
        <f>IF(T121="","",SUMIFS(Analytics!$L$5:$L$154,Analytics!$D$5:$D$154,T121))</f>
        <v>0</v>
      </c>
      <c r="AG121" s="24">
        <f>IF(OR(AE121="",AE121=0),"",AF121/AE121)</f>
        <v>0</v>
      </c>
      <c r="AH121" s="23">
        <f>IF(T121="","",SUMIFS(Analytics!$X$5:$X$154,Analytics!$D$5:$D$154,T121))</f>
        <v>0</v>
      </c>
      <c r="AI121" s="32">
        <f>IF(T121="","",IF(AE121=0,"",AE121+ROW()/1000000))</f>
        <v>0</v>
      </c>
      <c r="AJ121" s="17">
        <f>IF('Content Pillars'!$B$121="","",'Content Pillars'!$B$121)</f>
        <v>0</v>
      </c>
      <c r="AK121" s="23">
        <f>IF(AJ121="","",COUNTIFS('Content Calendar'!$J$5:$J$604,AJ121,'Content Calendar'!$B$5:$B$604,"&gt;="&amp;DATE(PlanYear,1,1),'Content Calendar'!$B$5:$B$604,"&lt;="&amp;DATE(PlanYear,12,31)))</f>
        <v>0</v>
      </c>
      <c r="AL121" s="23">
        <f>IF(AJ121="","",SUMIFS(Performance!$O$5:$O$404,Performance!$H$5:$H$404,AJ121))</f>
        <v>0</v>
      </c>
      <c r="AM121" s="23">
        <f>IF(AJ121="","",SUMIFS(Performance!$Z$5:$Z$404,Performance!$H$5:$H$404,AJ121))</f>
        <v>0</v>
      </c>
      <c r="AN121" s="24">
        <f>IF(OR(AL121="",AL121=0),"",AM121/AL121)</f>
        <v>0</v>
      </c>
      <c r="AO121" s="32">
        <f>IF(AN121="","",AN121+ROW()/1000000)</f>
        <v>0</v>
      </c>
      <c r="AP121" s="17">
        <f>IF(Lists!$E121="","",Lists!$E121)</f>
        <v>0</v>
      </c>
      <c r="AQ121" s="23">
        <f>IF(AP121="","",COUNTIF(Performance!$G$5:$G$404,AP121))</f>
        <v>0</v>
      </c>
      <c r="AR121" s="23">
        <f>IF(AP121="","",SUMIFS(Performance!$O$5:$O$404,Performance!$G$5:$G$404,AP121))</f>
        <v>0</v>
      </c>
      <c r="AS121" s="23">
        <f>IF(AP121="","",SUMIFS(Performance!$Z$5:$Z$404,Performance!$G$5:$G$404,AP121))</f>
        <v>0</v>
      </c>
      <c r="AT121" s="24">
        <f>IF(OR(AR121="",AR121=0),"",AS121/AR121)</f>
        <v>0</v>
      </c>
      <c r="AU121" s="32">
        <f>IF(AQ121=0,"",IF(AT121="","",AT121+ROW()/1000000))</f>
        <v>0</v>
      </c>
      <c r="AV121" s="17">
        <f>IF(ROW()-4&gt;7,"",TEXT(DATE(2024,1,ROW()-4),"ddd"))</f>
        <v>0</v>
      </c>
      <c r="AW121" s="23">
        <f>IF(AV121="","",COUNTIF(Performance!$N$5:$N$404,AV121))</f>
        <v>0</v>
      </c>
      <c r="AX121" s="23">
        <f>IF(AV121="","",SUMIFS(Performance!$O$5:$O$404,Performance!$N$5:$N$404,AV121))</f>
        <v>0</v>
      </c>
      <c r="AY121" s="23">
        <f>IF(AV121="","",SUMIFS(Performance!$Z$5:$Z$404,Performance!$N$5:$N$404,AV121))</f>
        <v>0</v>
      </c>
      <c r="AZ121" s="24">
        <f>IF(OR(AX121="",AX121=0),"",AY121/AX121)</f>
        <v>0</v>
      </c>
      <c r="BA121" s="32">
        <f>IF(AW121=0,"",IF(AZ121="","",AZ121+ROW()/1000000))</f>
        <v>0</v>
      </c>
      <c r="BB121" s="17">
        <f>IF(Lists!$AL121="","",Lists!$AL121)</f>
        <v>0</v>
      </c>
      <c r="BC121" s="23">
        <f>IF(BB121="","",COUNTIF(Performance!$M$5:$M$404,BB121))</f>
        <v>0</v>
      </c>
      <c r="BD121" s="23">
        <f>IF(BB121="","",SUMIFS(Performance!$O$5:$O$404,Performance!$M$5:$M$404,BB121))</f>
        <v>0</v>
      </c>
      <c r="BE121" s="23">
        <f>IF(BB121="","",SUMIFS(Performance!$Z$5:$Z$404,Performance!$M$5:$M$404,BB121))</f>
        <v>0</v>
      </c>
      <c r="BF121" s="24">
        <f>IF(OR(BD121="",BD121=0),"",BE121/BD121)</f>
        <v>0</v>
      </c>
      <c r="BG121" s="32">
        <f>IF(BC121=0,"",IF(BF121="","",BF121+ROW()/1000000))</f>
        <v>0</v>
      </c>
      <c r="BH121" s="17">
        <f>IF(Performance!$C$121="","",Performance!$C$121)</f>
        <v>0</v>
      </c>
      <c r="BI121" s="17">
        <f>IF(Performance!$F$121="","",Performance!$F$121)</f>
        <v>0</v>
      </c>
      <c r="BJ121" s="17">
        <f>IF(Performance!$H$121="","",Performance!$H$121)</f>
        <v>0</v>
      </c>
      <c r="BK121" s="16">
        <f>IF(Performance!$D$121="","",Performance!$D$121)</f>
        <v>0</v>
      </c>
      <c r="BL121" s="17">
        <f>IF(Performance!$E$121="","",Performance!$E$121)</f>
        <v>0</v>
      </c>
      <c r="BM121" s="23">
        <f>IF(Performance!$O$121="","",Performance!$O$121)</f>
        <v>0</v>
      </c>
      <c r="BN121" s="24">
        <f>IF(Performance!$AA$121="","",Performance!$AA$121)</f>
        <v>0</v>
      </c>
      <c r="BO121" s="32">
        <f>IF(BH121="","",IF(BK121="","",IF(OR(BK121&lt;DashStart,BK121&gt;DashEnd),"",IF(BN121="","",BN121+ROW()/1000000))))</f>
        <v>0</v>
      </c>
      <c r="BP121" s="32">
        <f>IF(BM121="","",IF(BK121="","",IF(OR(BK121&lt;DashStart,BK121&gt;DashEnd),"",BM121+ROW()/1000000)))</f>
        <v>0</v>
      </c>
      <c r="BQ121" s="32">
        <f>IF(BH121="","",IF(BK121="","",IF(YEAR(BK121)&lt;&gt;PlanYear,"",IF(BN121="","",BN121+ROW()/1000000))))</f>
        <v>0</v>
      </c>
      <c r="BR121" s="32">
        <f>IF(BH121="","",IF(BK121="","",IF(OR(BK121&lt;RepFrom,BK121&gt;RepTo),"",IF(BN121="","",BN121+ROW()/1000000))))</f>
        <v>0</v>
      </c>
      <c r="BS121" s="32">
        <f>IF(BM121="","",IF(BK121="","",IF(YEAR(BK121)&lt;&gt;PlanYear,"",BM121+ROW()/1000000)))</f>
        <v>0</v>
      </c>
      <c r="BT121" s="17">
        <f>IF(Lists!$F121="","",Lists!$F121)</f>
        <v>0</v>
      </c>
      <c r="BU121" s="23">
        <f>IF(BT121="","",COUNTIF('Content Calendar'!$X$5:$X$604,BT121))</f>
        <v>0</v>
      </c>
      <c r="BV121" s="23">
        <f>IF(BT121="","",COUNTIFS('Content Calendar'!$X$5:$X$604,BT121,'Content Calendar'!$B$5:$B$604,"&gt;="&amp;DashStart,'Content Calendar'!$B$5:$B$604,"&lt;="&amp;DashEnd))</f>
        <v>0</v>
      </c>
      <c r="BW121" s="17">
        <f>IF(Team!$B$121="","",Team!$B$121)</f>
        <v>0</v>
      </c>
      <c r="BX121" s="23">
        <f>IF(BW121="","",COUNTIF('Content Calendar'!$W$5:$W$604,BW121))</f>
        <v>0</v>
      </c>
      <c r="BY121" s="23">
        <f>IF(BW121="","",COUNTIFS('Content Calendar'!$W$5:$W$604,BW121,'Content Calendar'!$X$5:$X$604,"&lt;&gt;Published"))</f>
        <v>0</v>
      </c>
      <c r="BZ121" s="23">
        <f>IF(BW121="","",COUNTIFS(Tasks!$C$5:$C$64,BW121,Tasks!$G$5:$G$64,"&lt;&gt;Complete"))</f>
        <v>0</v>
      </c>
      <c r="CA121" s="17">
        <f>IF(Campaigns!$B$121="","",Campaigns!$B$121)</f>
        <v>0</v>
      </c>
      <c r="CB121" s="25">
        <f>IF(Campaigns!$T$121="","",Campaigns!$T$121)</f>
        <v>0</v>
      </c>
      <c r="CC121" s="25">
        <f>IF(Campaigns!$Q$121="","",Campaigns!$Q$121)</f>
        <v>0</v>
      </c>
      <c r="CD121" s="23">
        <f>IF(Campaigns!$Y$121="","",Campaigns!$Y$121)</f>
        <v>0</v>
      </c>
      <c r="CE121" s="32">
        <f>IF(CA121="","",IF(N(CB121)&lt;=0,"",N(CB121)+ROW()/1000000))</f>
        <v>0</v>
      </c>
      <c r="CF121" s="17">
        <f>IF(Accounts!$C$121="","",Accounts!$C$121)</f>
        <v>0</v>
      </c>
      <c r="CG121" s="17">
        <f>IF(Accounts!$B$121="","",Accounts!$B$121)</f>
        <v>0</v>
      </c>
      <c r="CH121" s="23">
        <f>IF(Accounts!$J$121="","",Accounts!$J$121)</f>
        <v>0</v>
      </c>
      <c r="CI121" s="23">
        <f>IF(CF121="","",SUMIFS(Analytics!$X$5:$X$154,Analytics!$E$5:$E$154,CF121,Analytics!$B$5:$B$154,"&gt;="&amp;DashStart,Analytics!$B$5:$B$154,"&lt;="&amp;DashEnd))</f>
        <v>0</v>
      </c>
      <c r="CJ121" s="32">
        <f>IF(CH121="","",IF(CH121=0,"",CH121+ROW()/1000000))</f>
        <v>0</v>
      </c>
    </row>
    <row r="122" spans="1:88">
      <c r="A122" s="16">
        <f>IF(ROW()-4&gt;12,"",DATE(PlanYear,ROW()-4,1))</f>
        <v>0</v>
      </c>
      <c r="B122" s="16">
        <f>IF(A122="","",EOMONTH(A122,0))</f>
        <v>0</v>
      </c>
      <c r="C122" s="17">
        <f>IF(A122="","",TEXT(A122,"yyyy-mm"))</f>
        <v>0</v>
      </c>
      <c r="D122" s="17">
        <f>IF(A122="","",TEXT(A122,"mmm"))</f>
        <v>0</v>
      </c>
      <c r="E122" s="23">
        <f>IF(C122="","",COUNTIFS('Content Calendar'!$D$5:$D$604,C122))</f>
        <v>0</v>
      </c>
      <c r="F122" s="23">
        <f>IF(C122="","",COUNTIFS('Content Calendar'!$D$5:$D$604,C122,'Content Calendar'!$X$5:$X$604,"Published"))</f>
        <v>0</v>
      </c>
      <c r="G122" s="23">
        <f>IF(C122="","",SUMIFS(Analytics!$J$5:$J$154,Analytics!$C$5:$C$154,C122))</f>
        <v>0</v>
      </c>
      <c r="H122" s="23">
        <f>IF(C122="","",SUMIFS(Analytics!$K$5:$K$154,Analytics!$C$5:$C$154,C122))</f>
        <v>0</v>
      </c>
      <c r="I122" s="23">
        <f>IF(C122="","",SUMIFS(Analytics!$L$5:$L$154,Analytics!$C$5:$C$154,C122))</f>
        <v>0</v>
      </c>
      <c r="J122" s="24">
        <f>IF(OR(G122="",G122=0),"",I122/G122)</f>
        <v>0</v>
      </c>
      <c r="K122" s="23">
        <f>IF(C122="","",SUMIFS(Analytics!$G$5:$G$154,Analytics!$C$5:$C$154,C122))</f>
        <v>0</v>
      </c>
      <c r="L122" s="23">
        <f>IF(C122="","",SUMIFS(Analytics!$X$5:$X$154,Analytics!$C$5:$C$154,C122))</f>
        <v>0</v>
      </c>
      <c r="M122" s="23">
        <f>IF(C122="","",SUMIFS(Analytics!$R$5:$R$154,Analytics!$C$5:$C$154,C122))</f>
        <v>0</v>
      </c>
      <c r="N122" s="23">
        <f>IF(C122="","",SUMIFS(Analytics!$S$5:$S$154,Analytics!$C$5:$C$154,C122))</f>
        <v>0</v>
      </c>
      <c r="O122" s="23">
        <f>IF(C122="","",SUMIFS(Analytics!$T$5:$T$154,Analytics!$C$5:$C$154,C122))</f>
        <v>0</v>
      </c>
      <c r="P122" s="25">
        <f>IF(C122="","",SUMIFS(Analytics!$U$5:$U$154,Analytics!$C$5:$C$154,C122))</f>
        <v>0</v>
      </c>
      <c r="Q122" s="25">
        <f>IF(C122="","",SUMIFS(Budget!$H$5:$H$64,Budget!$C$5:$C$64,C122))</f>
        <v>0</v>
      </c>
      <c r="R122" s="25">
        <f>IF(C122="","",P122-Q122)</f>
        <v>0</v>
      </c>
      <c r="S122" s="23">
        <f>IF(C122="","",MonthlyPostTarget)</f>
        <v>0</v>
      </c>
      <c r="T122" s="17">
        <f>IF(Lists!$C122="","",Lists!$C122)</f>
        <v>0</v>
      </c>
      <c r="U122" s="23">
        <f>IF(T122="","",COUNTIFS('Content Calendar'!$G$5:$G$604,T122,'Content Calendar'!$B$5:$B$604,"&gt;="&amp;DashStart,'Content Calendar'!$B$5:$B$604,"&lt;="&amp;DashEnd))</f>
        <v>0</v>
      </c>
      <c r="V122" s="23">
        <f>IF(T122="","",COUNTIFS('Content Calendar'!$G$5:$G$604,T122,'Content Calendar'!$X$5:$X$604,"Published",'Content Calendar'!$B$5:$B$604,"&gt;="&amp;DashStart,'Content Calendar'!$B$5:$B$604,"&lt;="&amp;DashEnd))</f>
        <v>0</v>
      </c>
      <c r="W122" s="23">
        <f>IF(T122="","",SUMIFS(Analytics!$J$5:$J$154,Analytics!$D$5:$D$154,T122,Analytics!$B$5:$B$154,"&gt;="&amp;DashStart,Analytics!$B$5:$B$154,"&lt;="&amp;DashEnd))</f>
        <v>0</v>
      </c>
      <c r="X122" s="23">
        <f>IF(T122="","",SUMIFS(Analytics!$L$5:$L$154,Analytics!$D$5:$D$154,T122,Analytics!$B$5:$B$154,"&gt;="&amp;DashStart,Analytics!$B$5:$B$154,"&lt;="&amp;DashEnd))</f>
        <v>0</v>
      </c>
      <c r="Y122" s="24">
        <f>IF(OR(W122="",W122=0),"",X122/W122)</f>
        <v>0</v>
      </c>
      <c r="Z122" s="23">
        <f>IF(T122="","",SUMIFS(Analytics!$G$5:$G$154,Analytics!$D$5:$D$154,T122,Analytics!$B$5:$B$154,"&gt;="&amp;DashStart,Analytics!$B$5:$B$154,"&lt;="&amp;DashEnd))</f>
        <v>0</v>
      </c>
      <c r="AA122" s="23">
        <f>IF(T122="","",SUMIFS(Analytics!$X$5:$X$154,Analytics!$D$5:$D$154,T122,Analytics!$B$5:$B$154,"&gt;="&amp;DashStart,Analytics!$B$5:$B$154,"&lt;="&amp;DashEnd))</f>
        <v>0</v>
      </c>
      <c r="AB122" s="23">
        <f>IF(T122="","",SUMIFS(Analytics!$R$5:$R$154,Analytics!$D$5:$D$154,T122,Analytics!$B$5:$B$154,"&gt;="&amp;DashStart,Analytics!$B$5:$B$154,"&lt;="&amp;DashEnd))</f>
        <v>0</v>
      </c>
      <c r="AC122" s="25">
        <f>IF(T122="","",SUMIFS(Analytics!$U$5:$U$154,Analytics!$D$5:$D$154,T122,Analytics!$B$5:$B$154,"&gt;="&amp;DashStart,Analytics!$B$5:$B$154,"&lt;="&amp;DashEnd))</f>
        <v>0</v>
      </c>
      <c r="AD122" s="23">
        <f>IF(T122="","",COUNTIFS('Content Calendar'!$G$5:$G$604,T122,'Content Calendar'!$B$5:$B$604,"&gt;="&amp;DATE(PlanYear,1,1),'Content Calendar'!$B$5:$B$604,"&lt;="&amp;DATE(PlanYear,12,31)))</f>
        <v>0</v>
      </c>
      <c r="AE122" s="23">
        <f>IF(T122="","",SUMIFS(Analytics!$J$5:$J$154,Analytics!$D$5:$D$154,T122))</f>
        <v>0</v>
      </c>
      <c r="AF122" s="23">
        <f>IF(T122="","",SUMIFS(Analytics!$L$5:$L$154,Analytics!$D$5:$D$154,T122))</f>
        <v>0</v>
      </c>
      <c r="AG122" s="24">
        <f>IF(OR(AE122="",AE122=0),"",AF122/AE122)</f>
        <v>0</v>
      </c>
      <c r="AH122" s="23">
        <f>IF(T122="","",SUMIFS(Analytics!$X$5:$X$154,Analytics!$D$5:$D$154,T122))</f>
        <v>0</v>
      </c>
      <c r="AI122" s="32">
        <f>IF(T122="","",IF(AE122=0,"",AE122+ROW()/1000000))</f>
        <v>0</v>
      </c>
      <c r="AJ122" s="17">
        <f>IF('Content Pillars'!$B$122="","",'Content Pillars'!$B$122)</f>
        <v>0</v>
      </c>
      <c r="AK122" s="23">
        <f>IF(AJ122="","",COUNTIFS('Content Calendar'!$J$5:$J$604,AJ122,'Content Calendar'!$B$5:$B$604,"&gt;="&amp;DATE(PlanYear,1,1),'Content Calendar'!$B$5:$B$604,"&lt;="&amp;DATE(PlanYear,12,31)))</f>
        <v>0</v>
      </c>
      <c r="AL122" s="23">
        <f>IF(AJ122="","",SUMIFS(Performance!$O$5:$O$404,Performance!$H$5:$H$404,AJ122))</f>
        <v>0</v>
      </c>
      <c r="AM122" s="23">
        <f>IF(AJ122="","",SUMIFS(Performance!$Z$5:$Z$404,Performance!$H$5:$H$404,AJ122))</f>
        <v>0</v>
      </c>
      <c r="AN122" s="24">
        <f>IF(OR(AL122="",AL122=0),"",AM122/AL122)</f>
        <v>0</v>
      </c>
      <c r="AO122" s="32">
        <f>IF(AN122="","",AN122+ROW()/1000000)</f>
        <v>0</v>
      </c>
      <c r="AP122" s="17">
        <f>IF(Lists!$E122="","",Lists!$E122)</f>
        <v>0</v>
      </c>
      <c r="AQ122" s="23">
        <f>IF(AP122="","",COUNTIF(Performance!$G$5:$G$404,AP122))</f>
        <v>0</v>
      </c>
      <c r="AR122" s="23">
        <f>IF(AP122="","",SUMIFS(Performance!$O$5:$O$404,Performance!$G$5:$G$404,AP122))</f>
        <v>0</v>
      </c>
      <c r="AS122" s="23">
        <f>IF(AP122="","",SUMIFS(Performance!$Z$5:$Z$404,Performance!$G$5:$G$404,AP122))</f>
        <v>0</v>
      </c>
      <c r="AT122" s="24">
        <f>IF(OR(AR122="",AR122=0),"",AS122/AR122)</f>
        <v>0</v>
      </c>
      <c r="AU122" s="32">
        <f>IF(AQ122=0,"",IF(AT122="","",AT122+ROW()/1000000))</f>
        <v>0</v>
      </c>
      <c r="AV122" s="17">
        <f>IF(ROW()-4&gt;7,"",TEXT(DATE(2024,1,ROW()-4),"ddd"))</f>
        <v>0</v>
      </c>
      <c r="AW122" s="23">
        <f>IF(AV122="","",COUNTIF(Performance!$N$5:$N$404,AV122))</f>
        <v>0</v>
      </c>
      <c r="AX122" s="23">
        <f>IF(AV122="","",SUMIFS(Performance!$O$5:$O$404,Performance!$N$5:$N$404,AV122))</f>
        <v>0</v>
      </c>
      <c r="AY122" s="23">
        <f>IF(AV122="","",SUMIFS(Performance!$Z$5:$Z$404,Performance!$N$5:$N$404,AV122))</f>
        <v>0</v>
      </c>
      <c r="AZ122" s="24">
        <f>IF(OR(AX122="",AX122=0),"",AY122/AX122)</f>
        <v>0</v>
      </c>
      <c r="BA122" s="32">
        <f>IF(AW122=0,"",IF(AZ122="","",AZ122+ROW()/1000000))</f>
        <v>0</v>
      </c>
      <c r="BB122" s="17">
        <f>IF(Lists!$AL122="","",Lists!$AL122)</f>
        <v>0</v>
      </c>
      <c r="BC122" s="23">
        <f>IF(BB122="","",COUNTIF(Performance!$M$5:$M$404,BB122))</f>
        <v>0</v>
      </c>
      <c r="BD122" s="23">
        <f>IF(BB122="","",SUMIFS(Performance!$O$5:$O$404,Performance!$M$5:$M$404,BB122))</f>
        <v>0</v>
      </c>
      <c r="BE122" s="23">
        <f>IF(BB122="","",SUMIFS(Performance!$Z$5:$Z$404,Performance!$M$5:$M$404,BB122))</f>
        <v>0</v>
      </c>
      <c r="BF122" s="24">
        <f>IF(OR(BD122="",BD122=0),"",BE122/BD122)</f>
        <v>0</v>
      </c>
      <c r="BG122" s="32">
        <f>IF(BC122=0,"",IF(BF122="","",BF122+ROW()/1000000))</f>
        <v>0</v>
      </c>
      <c r="BH122" s="17">
        <f>IF(Performance!$C$122="","",Performance!$C$122)</f>
        <v>0</v>
      </c>
      <c r="BI122" s="17">
        <f>IF(Performance!$F$122="","",Performance!$F$122)</f>
        <v>0</v>
      </c>
      <c r="BJ122" s="17">
        <f>IF(Performance!$H$122="","",Performance!$H$122)</f>
        <v>0</v>
      </c>
      <c r="BK122" s="16">
        <f>IF(Performance!$D$122="","",Performance!$D$122)</f>
        <v>0</v>
      </c>
      <c r="BL122" s="17">
        <f>IF(Performance!$E$122="","",Performance!$E$122)</f>
        <v>0</v>
      </c>
      <c r="BM122" s="23">
        <f>IF(Performance!$O$122="","",Performance!$O$122)</f>
        <v>0</v>
      </c>
      <c r="BN122" s="24">
        <f>IF(Performance!$AA$122="","",Performance!$AA$122)</f>
        <v>0</v>
      </c>
      <c r="BO122" s="32">
        <f>IF(BH122="","",IF(BK122="","",IF(OR(BK122&lt;DashStart,BK122&gt;DashEnd),"",IF(BN122="","",BN122+ROW()/1000000))))</f>
        <v>0</v>
      </c>
      <c r="BP122" s="32">
        <f>IF(BM122="","",IF(BK122="","",IF(OR(BK122&lt;DashStart,BK122&gt;DashEnd),"",BM122+ROW()/1000000)))</f>
        <v>0</v>
      </c>
      <c r="BQ122" s="32">
        <f>IF(BH122="","",IF(BK122="","",IF(YEAR(BK122)&lt;&gt;PlanYear,"",IF(BN122="","",BN122+ROW()/1000000))))</f>
        <v>0</v>
      </c>
      <c r="BR122" s="32">
        <f>IF(BH122="","",IF(BK122="","",IF(OR(BK122&lt;RepFrom,BK122&gt;RepTo),"",IF(BN122="","",BN122+ROW()/1000000))))</f>
        <v>0</v>
      </c>
      <c r="BS122" s="32">
        <f>IF(BM122="","",IF(BK122="","",IF(YEAR(BK122)&lt;&gt;PlanYear,"",BM122+ROW()/1000000)))</f>
        <v>0</v>
      </c>
      <c r="BT122" s="17">
        <f>IF(Lists!$F122="","",Lists!$F122)</f>
        <v>0</v>
      </c>
      <c r="BU122" s="23">
        <f>IF(BT122="","",COUNTIF('Content Calendar'!$X$5:$X$604,BT122))</f>
        <v>0</v>
      </c>
      <c r="BV122" s="23">
        <f>IF(BT122="","",COUNTIFS('Content Calendar'!$X$5:$X$604,BT122,'Content Calendar'!$B$5:$B$604,"&gt;="&amp;DashStart,'Content Calendar'!$B$5:$B$604,"&lt;="&amp;DashEnd))</f>
        <v>0</v>
      </c>
      <c r="BW122" s="17">
        <f>IF(Team!$B$122="","",Team!$B$122)</f>
        <v>0</v>
      </c>
      <c r="BX122" s="23">
        <f>IF(BW122="","",COUNTIF('Content Calendar'!$W$5:$W$604,BW122))</f>
        <v>0</v>
      </c>
      <c r="BY122" s="23">
        <f>IF(BW122="","",COUNTIFS('Content Calendar'!$W$5:$W$604,BW122,'Content Calendar'!$X$5:$X$604,"&lt;&gt;Published"))</f>
        <v>0</v>
      </c>
      <c r="BZ122" s="23">
        <f>IF(BW122="","",COUNTIFS(Tasks!$C$5:$C$64,BW122,Tasks!$G$5:$G$64,"&lt;&gt;Complete"))</f>
        <v>0</v>
      </c>
      <c r="CA122" s="17">
        <f>IF(Campaigns!$B$122="","",Campaigns!$B$122)</f>
        <v>0</v>
      </c>
      <c r="CB122" s="25">
        <f>IF(Campaigns!$T$122="","",Campaigns!$T$122)</f>
        <v>0</v>
      </c>
      <c r="CC122" s="25">
        <f>IF(Campaigns!$Q$122="","",Campaigns!$Q$122)</f>
        <v>0</v>
      </c>
      <c r="CD122" s="23">
        <f>IF(Campaigns!$Y$122="","",Campaigns!$Y$122)</f>
        <v>0</v>
      </c>
      <c r="CE122" s="32">
        <f>IF(CA122="","",IF(N(CB122)&lt;=0,"",N(CB122)+ROW()/1000000))</f>
        <v>0</v>
      </c>
      <c r="CF122" s="17">
        <f>IF(Accounts!$C$122="","",Accounts!$C$122)</f>
        <v>0</v>
      </c>
      <c r="CG122" s="17">
        <f>IF(Accounts!$B$122="","",Accounts!$B$122)</f>
        <v>0</v>
      </c>
      <c r="CH122" s="23">
        <f>IF(Accounts!$J$122="","",Accounts!$J$122)</f>
        <v>0</v>
      </c>
      <c r="CI122" s="23">
        <f>IF(CF122="","",SUMIFS(Analytics!$X$5:$X$154,Analytics!$E$5:$E$154,CF122,Analytics!$B$5:$B$154,"&gt;="&amp;DashStart,Analytics!$B$5:$B$154,"&lt;="&amp;DashEnd))</f>
        <v>0</v>
      </c>
      <c r="CJ122" s="32">
        <f>IF(CH122="","",IF(CH122=0,"",CH122+ROW()/1000000))</f>
        <v>0</v>
      </c>
    </row>
    <row r="123" spans="1:88">
      <c r="A123" s="16">
        <f>IF(ROW()-4&gt;12,"",DATE(PlanYear,ROW()-4,1))</f>
        <v>0</v>
      </c>
      <c r="B123" s="16">
        <f>IF(A123="","",EOMONTH(A123,0))</f>
        <v>0</v>
      </c>
      <c r="C123" s="17">
        <f>IF(A123="","",TEXT(A123,"yyyy-mm"))</f>
        <v>0</v>
      </c>
      <c r="D123" s="17">
        <f>IF(A123="","",TEXT(A123,"mmm"))</f>
        <v>0</v>
      </c>
      <c r="E123" s="23">
        <f>IF(C123="","",COUNTIFS('Content Calendar'!$D$5:$D$604,C123))</f>
        <v>0</v>
      </c>
      <c r="F123" s="23">
        <f>IF(C123="","",COUNTIFS('Content Calendar'!$D$5:$D$604,C123,'Content Calendar'!$X$5:$X$604,"Published"))</f>
        <v>0</v>
      </c>
      <c r="G123" s="23">
        <f>IF(C123="","",SUMIFS(Analytics!$J$5:$J$154,Analytics!$C$5:$C$154,C123))</f>
        <v>0</v>
      </c>
      <c r="H123" s="23">
        <f>IF(C123="","",SUMIFS(Analytics!$K$5:$K$154,Analytics!$C$5:$C$154,C123))</f>
        <v>0</v>
      </c>
      <c r="I123" s="23">
        <f>IF(C123="","",SUMIFS(Analytics!$L$5:$L$154,Analytics!$C$5:$C$154,C123))</f>
        <v>0</v>
      </c>
      <c r="J123" s="24">
        <f>IF(OR(G123="",G123=0),"",I123/G123)</f>
        <v>0</v>
      </c>
      <c r="K123" s="23">
        <f>IF(C123="","",SUMIFS(Analytics!$G$5:$G$154,Analytics!$C$5:$C$154,C123))</f>
        <v>0</v>
      </c>
      <c r="L123" s="23">
        <f>IF(C123="","",SUMIFS(Analytics!$X$5:$X$154,Analytics!$C$5:$C$154,C123))</f>
        <v>0</v>
      </c>
      <c r="M123" s="23">
        <f>IF(C123="","",SUMIFS(Analytics!$R$5:$R$154,Analytics!$C$5:$C$154,C123))</f>
        <v>0</v>
      </c>
      <c r="N123" s="23">
        <f>IF(C123="","",SUMIFS(Analytics!$S$5:$S$154,Analytics!$C$5:$C$154,C123))</f>
        <v>0</v>
      </c>
      <c r="O123" s="23">
        <f>IF(C123="","",SUMIFS(Analytics!$T$5:$T$154,Analytics!$C$5:$C$154,C123))</f>
        <v>0</v>
      </c>
      <c r="P123" s="25">
        <f>IF(C123="","",SUMIFS(Analytics!$U$5:$U$154,Analytics!$C$5:$C$154,C123))</f>
        <v>0</v>
      </c>
      <c r="Q123" s="25">
        <f>IF(C123="","",SUMIFS(Budget!$H$5:$H$64,Budget!$C$5:$C$64,C123))</f>
        <v>0</v>
      </c>
      <c r="R123" s="25">
        <f>IF(C123="","",P123-Q123)</f>
        <v>0</v>
      </c>
      <c r="S123" s="23">
        <f>IF(C123="","",MonthlyPostTarget)</f>
        <v>0</v>
      </c>
      <c r="T123" s="17">
        <f>IF(Lists!$C123="","",Lists!$C123)</f>
        <v>0</v>
      </c>
      <c r="U123" s="23">
        <f>IF(T123="","",COUNTIFS('Content Calendar'!$G$5:$G$604,T123,'Content Calendar'!$B$5:$B$604,"&gt;="&amp;DashStart,'Content Calendar'!$B$5:$B$604,"&lt;="&amp;DashEnd))</f>
        <v>0</v>
      </c>
      <c r="V123" s="23">
        <f>IF(T123="","",COUNTIFS('Content Calendar'!$G$5:$G$604,T123,'Content Calendar'!$X$5:$X$604,"Published",'Content Calendar'!$B$5:$B$604,"&gt;="&amp;DashStart,'Content Calendar'!$B$5:$B$604,"&lt;="&amp;DashEnd))</f>
        <v>0</v>
      </c>
      <c r="W123" s="23">
        <f>IF(T123="","",SUMIFS(Analytics!$J$5:$J$154,Analytics!$D$5:$D$154,T123,Analytics!$B$5:$B$154,"&gt;="&amp;DashStart,Analytics!$B$5:$B$154,"&lt;="&amp;DashEnd))</f>
        <v>0</v>
      </c>
      <c r="X123" s="23">
        <f>IF(T123="","",SUMIFS(Analytics!$L$5:$L$154,Analytics!$D$5:$D$154,T123,Analytics!$B$5:$B$154,"&gt;="&amp;DashStart,Analytics!$B$5:$B$154,"&lt;="&amp;DashEnd))</f>
        <v>0</v>
      </c>
      <c r="Y123" s="24">
        <f>IF(OR(W123="",W123=0),"",X123/W123)</f>
        <v>0</v>
      </c>
      <c r="Z123" s="23">
        <f>IF(T123="","",SUMIFS(Analytics!$G$5:$G$154,Analytics!$D$5:$D$154,T123,Analytics!$B$5:$B$154,"&gt;="&amp;DashStart,Analytics!$B$5:$B$154,"&lt;="&amp;DashEnd))</f>
        <v>0</v>
      </c>
      <c r="AA123" s="23">
        <f>IF(T123="","",SUMIFS(Analytics!$X$5:$X$154,Analytics!$D$5:$D$154,T123,Analytics!$B$5:$B$154,"&gt;="&amp;DashStart,Analytics!$B$5:$B$154,"&lt;="&amp;DashEnd))</f>
        <v>0</v>
      </c>
      <c r="AB123" s="23">
        <f>IF(T123="","",SUMIFS(Analytics!$R$5:$R$154,Analytics!$D$5:$D$154,T123,Analytics!$B$5:$B$154,"&gt;="&amp;DashStart,Analytics!$B$5:$B$154,"&lt;="&amp;DashEnd))</f>
        <v>0</v>
      </c>
      <c r="AC123" s="25">
        <f>IF(T123="","",SUMIFS(Analytics!$U$5:$U$154,Analytics!$D$5:$D$154,T123,Analytics!$B$5:$B$154,"&gt;="&amp;DashStart,Analytics!$B$5:$B$154,"&lt;="&amp;DashEnd))</f>
        <v>0</v>
      </c>
      <c r="AD123" s="23">
        <f>IF(T123="","",COUNTIFS('Content Calendar'!$G$5:$G$604,T123,'Content Calendar'!$B$5:$B$604,"&gt;="&amp;DATE(PlanYear,1,1),'Content Calendar'!$B$5:$B$604,"&lt;="&amp;DATE(PlanYear,12,31)))</f>
        <v>0</v>
      </c>
      <c r="AE123" s="23">
        <f>IF(T123="","",SUMIFS(Analytics!$J$5:$J$154,Analytics!$D$5:$D$154,T123))</f>
        <v>0</v>
      </c>
      <c r="AF123" s="23">
        <f>IF(T123="","",SUMIFS(Analytics!$L$5:$L$154,Analytics!$D$5:$D$154,T123))</f>
        <v>0</v>
      </c>
      <c r="AG123" s="24">
        <f>IF(OR(AE123="",AE123=0),"",AF123/AE123)</f>
        <v>0</v>
      </c>
      <c r="AH123" s="23">
        <f>IF(T123="","",SUMIFS(Analytics!$X$5:$X$154,Analytics!$D$5:$D$154,T123))</f>
        <v>0</v>
      </c>
      <c r="AI123" s="32">
        <f>IF(T123="","",IF(AE123=0,"",AE123+ROW()/1000000))</f>
        <v>0</v>
      </c>
      <c r="AJ123" s="17">
        <f>IF('Content Pillars'!$B$123="","",'Content Pillars'!$B$123)</f>
        <v>0</v>
      </c>
      <c r="AK123" s="23">
        <f>IF(AJ123="","",COUNTIFS('Content Calendar'!$J$5:$J$604,AJ123,'Content Calendar'!$B$5:$B$604,"&gt;="&amp;DATE(PlanYear,1,1),'Content Calendar'!$B$5:$B$604,"&lt;="&amp;DATE(PlanYear,12,31)))</f>
        <v>0</v>
      </c>
      <c r="AL123" s="23">
        <f>IF(AJ123="","",SUMIFS(Performance!$O$5:$O$404,Performance!$H$5:$H$404,AJ123))</f>
        <v>0</v>
      </c>
      <c r="AM123" s="23">
        <f>IF(AJ123="","",SUMIFS(Performance!$Z$5:$Z$404,Performance!$H$5:$H$404,AJ123))</f>
        <v>0</v>
      </c>
      <c r="AN123" s="24">
        <f>IF(OR(AL123="",AL123=0),"",AM123/AL123)</f>
        <v>0</v>
      </c>
      <c r="AO123" s="32">
        <f>IF(AN123="","",AN123+ROW()/1000000)</f>
        <v>0</v>
      </c>
      <c r="AP123" s="17">
        <f>IF(Lists!$E123="","",Lists!$E123)</f>
        <v>0</v>
      </c>
      <c r="AQ123" s="23">
        <f>IF(AP123="","",COUNTIF(Performance!$G$5:$G$404,AP123))</f>
        <v>0</v>
      </c>
      <c r="AR123" s="23">
        <f>IF(AP123="","",SUMIFS(Performance!$O$5:$O$404,Performance!$G$5:$G$404,AP123))</f>
        <v>0</v>
      </c>
      <c r="AS123" s="23">
        <f>IF(AP123="","",SUMIFS(Performance!$Z$5:$Z$404,Performance!$G$5:$G$404,AP123))</f>
        <v>0</v>
      </c>
      <c r="AT123" s="24">
        <f>IF(OR(AR123="",AR123=0),"",AS123/AR123)</f>
        <v>0</v>
      </c>
      <c r="AU123" s="32">
        <f>IF(AQ123=0,"",IF(AT123="","",AT123+ROW()/1000000))</f>
        <v>0</v>
      </c>
      <c r="AV123" s="17">
        <f>IF(ROW()-4&gt;7,"",TEXT(DATE(2024,1,ROW()-4),"ddd"))</f>
        <v>0</v>
      </c>
      <c r="AW123" s="23">
        <f>IF(AV123="","",COUNTIF(Performance!$N$5:$N$404,AV123))</f>
        <v>0</v>
      </c>
      <c r="AX123" s="23">
        <f>IF(AV123="","",SUMIFS(Performance!$O$5:$O$404,Performance!$N$5:$N$404,AV123))</f>
        <v>0</v>
      </c>
      <c r="AY123" s="23">
        <f>IF(AV123="","",SUMIFS(Performance!$Z$5:$Z$404,Performance!$N$5:$N$404,AV123))</f>
        <v>0</v>
      </c>
      <c r="AZ123" s="24">
        <f>IF(OR(AX123="",AX123=0),"",AY123/AX123)</f>
        <v>0</v>
      </c>
      <c r="BA123" s="32">
        <f>IF(AW123=0,"",IF(AZ123="","",AZ123+ROW()/1000000))</f>
        <v>0</v>
      </c>
      <c r="BB123" s="17">
        <f>IF(Lists!$AL123="","",Lists!$AL123)</f>
        <v>0</v>
      </c>
      <c r="BC123" s="23">
        <f>IF(BB123="","",COUNTIF(Performance!$M$5:$M$404,BB123))</f>
        <v>0</v>
      </c>
      <c r="BD123" s="23">
        <f>IF(BB123="","",SUMIFS(Performance!$O$5:$O$404,Performance!$M$5:$M$404,BB123))</f>
        <v>0</v>
      </c>
      <c r="BE123" s="23">
        <f>IF(BB123="","",SUMIFS(Performance!$Z$5:$Z$404,Performance!$M$5:$M$404,BB123))</f>
        <v>0</v>
      </c>
      <c r="BF123" s="24">
        <f>IF(OR(BD123="",BD123=0),"",BE123/BD123)</f>
        <v>0</v>
      </c>
      <c r="BG123" s="32">
        <f>IF(BC123=0,"",IF(BF123="","",BF123+ROW()/1000000))</f>
        <v>0</v>
      </c>
      <c r="BH123" s="17">
        <f>IF(Performance!$C$123="","",Performance!$C$123)</f>
        <v>0</v>
      </c>
      <c r="BI123" s="17">
        <f>IF(Performance!$F$123="","",Performance!$F$123)</f>
        <v>0</v>
      </c>
      <c r="BJ123" s="17">
        <f>IF(Performance!$H$123="","",Performance!$H$123)</f>
        <v>0</v>
      </c>
      <c r="BK123" s="16">
        <f>IF(Performance!$D$123="","",Performance!$D$123)</f>
        <v>0</v>
      </c>
      <c r="BL123" s="17">
        <f>IF(Performance!$E$123="","",Performance!$E$123)</f>
        <v>0</v>
      </c>
      <c r="BM123" s="23">
        <f>IF(Performance!$O$123="","",Performance!$O$123)</f>
        <v>0</v>
      </c>
      <c r="BN123" s="24">
        <f>IF(Performance!$AA$123="","",Performance!$AA$123)</f>
        <v>0</v>
      </c>
      <c r="BO123" s="32">
        <f>IF(BH123="","",IF(BK123="","",IF(OR(BK123&lt;DashStart,BK123&gt;DashEnd),"",IF(BN123="","",BN123+ROW()/1000000))))</f>
        <v>0</v>
      </c>
      <c r="BP123" s="32">
        <f>IF(BM123="","",IF(BK123="","",IF(OR(BK123&lt;DashStart,BK123&gt;DashEnd),"",BM123+ROW()/1000000)))</f>
        <v>0</v>
      </c>
      <c r="BQ123" s="32">
        <f>IF(BH123="","",IF(BK123="","",IF(YEAR(BK123)&lt;&gt;PlanYear,"",IF(BN123="","",BN123+ROW()/1000000))))</f>
        <v>0</v>
      </c>
      <c r="BR123" s="32">
        <f>IF(BH123="","",IF(BK123="","",IF(OR(BK123&lt;RepFrom,BK123&gt;RepTo),"",IF(BN123="","",BN123+ROW()/1000000))))</f>
        <v>0</v>
      </c>
      <c r="BS123" s="32">
        <f>IF(BM123="","",IF(BK123="","",IF(YEAR(BK123)&lt;&gt;PlanYear,"",BM123+ROW()/1000000)))</f>
        <v>0</v>
      </c>
      <c r="BT123" s="17">
        <f>IF(Lists!$F123="","",Lists!$F123)</f>
        <v>0</v>
      </c>
      <c r="BU123" s="23">
        <f>IF(BT123="","",COUNTIF('Content Calendar'!$X$5:$X$604,BT123))</f>
        <v>0</v>
      </c>
      <c r="BV123" s="23">
        <f>IF(BT123="","",COUNTIFS('Content Calendar'!$X$5:$X$604,BT123,'Content Calendar'!$B$5:$B$604,"&gt;="&amp;DashStart,'Content Calendar'!$B$5:$B$604,"&lt;="&amp;DashEnd))</f>
        <v>0</v>
      </c>
      <c r="BW123" s="17">
        <f>IF(Team!$B$123="","",Team!$B$123)</f>
        <v>0</v>
      </c>
      <c r="BX123" s="23">
        <f>IF(BW123="","",COUNTIF('Content Calendar'!$W$5:$W$604,BW123))</f>
        <v>0</v>
      </c>
      <c r="BY123" s="23">
        <f>IF(BW123="","",COUNTIFS('Content Calendar'!$W$5:$W$604,BW123,'Content Calendar'!$X$5:$X$604,"&lt;&gt;Published"))</f>
        <v>0</v>
      </c>
      <c r="BZ123" s="23">
        <f>IF(BW123="","",COUNTIFS(Tasks!$C$5:$C$64,BW123,Tasks!$G$5:$G$64,"&lt;&gt;Complete"))</f>
        <v>0</v>
      </c>
      <c r="CA123" s="17">
        <f>IF(Campaigns!$B$123="","",Campaigns!$B$123)</f>
        <v>0</v>
      </c>
      <c r="CB123" s="25">
        <f>IF(Campaigns!$T$123="","",Campaigns!$T$123)</f>
        <v>0</v>
      </c>
      <c r="CC123" s="25">
        <f>IF(Campaigns!$Q$123="","",Campaigns!$Q$123)</f>
        <v>0</v>
      </c>
      <c r="CD123" s="23">
        <f>IF(Campaigns!$Y$123="","",Campaigns!$Y$123)</f>
        <v>0</v>
      </c>
      <c r="CE123" s="32">
        <f>IF(CA123="","",IF(N(CB123)&lt;=0,"",N(CB123)+ROW()/1000000))</f>
        <v>0</v>
      </c>
      <c r="CF123" s="17">
        <f>IF(Accounts!$C$123="","",Accounts!$C$123)</f>
        <v>0</v>
      </c>
      <c r="CG123" s="17">
        <f>IF(Accounts!$B$123="","",Accounts!$B$123)</f>
        <v>0</v>
      </c>
      <c r="CH123" s="23">
        <f>IF(Accounts!$J$123="","",Accounts!$J$123)</f>
        <v>0</v>
      </c>
      <c r="CI123" s="23">
        <f>IF(CF123="","",SUMIFS(Analytics!$X$5:$X$154,Analytics!$E$5:$E$154,CF123,Analytics!$B$5:$B$154,"&gt;="&amp;DashStart,Analytics!$B$5:$B$154,"&lt;="&amp;DashEnd))</f>
        <v>0</v>
      </c>
      <c r="CJ123" s="32">
        <f>IF(CH123="","",IF(CH123=0,"",CH123+ROW()/1000000))</f>
        <v>0</v>
      </c>
    </row>
    <row r="124" spans="1:88">
      <c r="A124" s="16">
        <f>IF(ROW()-4&gt;12,"",DATE(PlanYear,ROW()-4,1))</f>
        <v>0</v>
      </c>
      <c r="B124" s="16">
        <f>IF(A124="","",EOMONTH(A124,0))</f>
        <v>0</v>
      </c>
      <c r="C124" s="17">
        <f>IF(A124="","",TEXT(A124,"yyyy-mm"))</f>
        <v>0</v>
      </c>
      <c r="D124" s="17">
        <f>IF(A124="","",TEXT(A124,"mmm"))</f>
        <v>0</v>
      </c>
      <c r="E124" s="23">
        <f>IF(C124="","",COUNTIFS('Content Calendar'!$D$5:$D$604,C124))</f>
        <v>0</v>
      </c>
      <c r="F124" s="23">
        <f>IF(C124="","",COUNTIFS('Content Calendar'!$D$5:$D$604,C124,'Content Calendar'!$X$5:$X$604,"Published"))</f>
        <v>0</v>
      </c>
      <c r="G124" s="23">
        <f>IF(C124="","",SUMIFS(Analytics!$J$5:$J$154,Analytics!$C$5:$C$154,C124))</f>
        <v>0</v>
      </c>
      <c r="H124" s="23">
        <f>IF(C124="","",SUMIFS(Analytics!$K$5:$K$154,Analytics!$C$5:$C$154,C124))</f>
        <v>0</v>
      </c>
      <c r="I124" s="23">
        <f>IF(C124="","",SUMIFS(Analytics!$L$5:$L$154,Analytics!$C$5:$C$154,C124))</f>
        <v>0</v>
      </c>
      <c r="J124" s="24">
        <f>IF(OR(G124="",G124=0),"",I124/G124)</f>
        <v>0</v>
      </c>
      <c r="K124" s="23">
        <f>IF(C124="","",SUMIFS(Analytics!$G$5:$G$154,Analytics!$C$5:$C$154,C124))</f>
        <v>0</v>
      </c>
      <c r="L124" s="23">
        <f>IF(C124="","",SUMIFS(Analytics!$X$5:$X$154,Analytics!$C$5:$C$154,C124))</f>
        <v>0</v>
      </c>
      <c r="M124" s="23">
        <f>IF(C124="","",SUMIFS(Analytics!$R$5:$R$154,Analytics!$C$5:$C$154,C124))</f>
        <v>0</v>
      </c>
      <c r="N124" s="23">
        <f>IF(C124="","",SUMIFS(Analytics!$S$5:$S$154,Analytics!$C$5:$C$154,C124))</f>
        <v>0</v>
      </c>
      <c r="O124" s="23">
        <f>IF(C124="","",SUMIFS(Analytics!$T$5:$T$154,Analytics!$C$5:$C$154,C124))</f>
        <v>0</v>
      </c>
      <c r="P124" s="25">
        <f>IF(C124="","",SUMIFS(Analytics!$U$5:$U$154,Analytics!$C$5:$C$154,C124))</f>
        <v>0</v>
      </c>
      <c r="Q124" s="25">
        <f>IF(C124="","",SUMIFS(Budget!$H$5:$H$64,Budget!$C$5:$C$64,C124))</f>
        <v>0</v>
      </c>
      <c r="R124" s="25">
        <f>IF(C124="","",P124-Q124)</f>
        <v>0</v>
      </c>
      <c r="S124" s="23">
        <f>IF(C124="","",MonthlyPostTarget)</f>
        <v>0</v>
      </c>
      <c r="T124" s="17">
        <f>IF(Lists!$C124="","",Lists!$C124)</f>
        <v>0</v>
      </c>
      <c r="U124" s="23">
        <f>IF(T124="","",COUNTIFS('Content Calendar'!$G$5:$G$604,T124,'Content Calendar'!$B$5:$B$604,"&gt;="&amp;DashStart,'Content Calendar'!$B$5:$B$604,"&lt;="&amp;DashEnd))</f>
        <v>0</v>
      </c>
      <c r="V124" s="23">
        <f>IF(T124="","",COUNTIFS('Content Calendar'!$G$5:$G$604,T124,'Content Calendar'!$X$5:$X$604,"Published",'Content Calendar'!$B$5:$B$604,"&gt;="&amp;DashStart,'Content Calendar'!$B$5:$B$604,"&lt;="&amp;DashEnd))</f>
        <v>0</v>
      </c>
      <c r="W124" s="23">
        <f>IF(T124="","",SUMIFS(Analytics!$J$5:$J$154,Analytics!$D$5:$D$154,T124,Analytics!$B$5:$B$154,"&gt;="&amp;DashStart,Analytics!$B$5:$B$154,"&lt;="&amp;DashEnd))</f>
        <v>0</v>
      </c>
      <c r="X124" s="23">
        <f>IF(T124="","",SUMIFS(Analytics!$L$5:$L$154,Analytics!$D$5:$D$154,T124,Analytics!$B$5:$B$154,"&gt;="&amp;DashStart,Analytics!$B$5:$B$154,"&lt;="&amp;DashEnd))</f>
        <v>0</v>
      </c>
      <c r="Y124" s="24">
        <f>IF(OR(W124="",W124=0),"",X124/W124)</f>
        <v>0</v>
      </c>
      <c r="Z124" s="23">
        <f>IF(T124="","",SUMIFS(Analytics!$G$5:$G$154,Analytics!$D$5:$D$154,T124,Analytics!$B$5:$B$154,"&gt;="&amp;DashStart,Analytics!$B$5:$B$154,"&lt;="&amp;DashEnd))</f>
        <v>0</v>
      </c>
      <c r="AA124" s="23">
        <f>IF(T124="","",SUMIFS(Analytics!$X$5:$X$154,Analytics!$D$5:$D$154,T124,Analytics!$B$5:$B$154,"&gt;="&amp;DashStart,Analytics!$B$5:$B$154,"&lt;="&amp;DashEnd))</f>
        <v>0</v>
      </c>
      <c r="AB124" s="23">
        <f>IF(T124="","",SUMIFS(Analytics!$R$5:$R$154,Analytics!$D$5:$D$154,T124,Analytics!$B$5:$B$154,"&gt;="&amp;DashStart,Analytics!$B$5:$B$154,"&lt;="&amp;DashEnd))</f>
        <v>0</v>
      </c>
      <c r="AC124" s="25">
        <f>IF(T124="","",SUMIFS(Analytics!$U$5:$U$154,Analytics!$D$5:$D$154,T124,Analytics!$B$5:$B$154,"&gt;="&amp;DashStart,Analytics!$B$5:$B$154,"&lt;="&amp;DashEnd))</f>
        <v>0</v>
      </c>
      <c r="AD124" s="23">
        <f>IF(T124="","",COUNTIFS('Content Calendar'!$G$5:$G$604,T124,'Content Calendar'!$B$5:$B$604,"&gt;="&amp;DATE(PlanYear,1,1),'Content Calendar'!$B$5:$B$604,"&lt;="&amp;DATE(PlanYear,12,31)))</f>
        <v>0</v>
      </c>
      <c r="AE124" s="23">
        <f>IF(T124="","",SUMIFS(Analytics!$J$5:$J$154,Analytics!$D$5:$D$154,T124))</f>
        <v>0</v>
      </c>
      <c r="AF124" s="23">
        <f>IF(T124="","",SUMIFS(Analytics!$L$5:$L$154,Analytics!$D$5:$D$154,T124))</f>
        <v>0</v>
      </c>
      <c r="AG124" s="24">
        <f>IF(OR(AE124="",AE124=0),"",AF124/AE124)</f>
        <v>0</v>
      </c>
      <c r="AH124" s="23">
        <f>IF(T124="","",SUMIFS(Analytics!$X$5:$X$154,Analytics!$D$5:$D$154,T124))</f>
        <v>0</v>
      </c>
      <c r="AI124" s="32">
        <f>IF(T124="","",IF(AE124=0,"",AE124+ROW()/1000000))</f>
        <v>0</v>
      </c>
      <c r="AJ124" s="17">
        <f>IF('Content Pillars'!$B$124="","",'Content Pillars'!$B$124)</f>
        <v>0</v>
      </c>
      <c r="AK124" s="23">
        <f>IF(AJ124="","",COUNTIFS('Content Calendar'!$J$5:$J$604,AJ124,'Content Calendar'!$B$5:$B$604,"&gt;="&amp;DATE(PlanYear,1,1),'Content Calendar'!$B$5:$B$604,"&lt;="&amp;DATE(PlanYear,12,31)))</f>
        <v>0</v>
      </c>
      <c r="AL124" s="23">
        <f>IF(AJ124="","",SUMIFS(Performance!$O$5:$O$404,Performance!$H$5:$H$404,AJ124))</f>
        <v>0</v>
      </c>
      <c r="AM124" s="23">
        <f>IF(AJ124="","",SUMIFS(Performance!$Z$5:$Z$404,Performance!$H$5:$H$404,AJ124))</f>
        <v>0</v>
      </c>
      <c r="AN124" s="24">
        <f>IF(OR(AL124="",AL124=0),"",AM124/AL124)</f>
        <v>0</v>
      </c>
      <c r="AO124" s="32">
        <f>IF(AN124="","",AN124+ROW()/1000000)</f>
        <v>0</v>
      </c>
      <c r="AP124" s="17">
        <f>IF(Lists!$E124="","",Lists!$E124)</f>
        <v>0</v>
      </c>
      <c r="AQ124" s="23">
        <f>IF(AP124="","",COUNTIF(Performance!$G$5:$G$404,AP124))</f>
        <v>0</v>
      </c>
      <c r="AR124" s="23">
        <f>IF(AP124="","",SUMIFS(Performance!$O$5:$O$404,Performance!$G$5:$G$404,AP124))</f>
        <v>0</v>
      </c>
      <c r="AS124" s="23">
        <f>IF(AP124="","",SUMIFS(Performance!$Z$5:$Z$404,Performance!$G$5:$G$404,AP124))</f>
        <v>0</v>
      </c>
      <c r="AT124" s="24">
        <f>IF(OR(AR124="",AR124=0),"",AS124/AR124)</f>
        <v>0</v>
      </c>
      <c r="AU124" s="32">
        <f>IF(AQ124=0,"",IF(AT124="","",AT124+ROW()/1000000))</f>
        <v>0</v>
      </c>
      <c r="AV124" s="17">
        <f>IF(ROW()-4&gt;7,"",TEXT(DATE(2024,1,ROW()-4),"ddd"))</f>
        <v>0</v>
      </c>
      <c r="AW124" s="23">
        <f>IF(AV124="","",COUNTIF(Performance!$N$5:$N$404,AV124))</f>
        <v>0</v>
      </c>
      <c r="AX124" s="23">
        <f>IF(AV124="","",SUMIFS(Performance!$O$5:$O$404,Performance!$N$5:$N$404,AV124))</f>
        <v>0</v>
      </c>
      <c r="AY124" s="23">
        <f>IF(AV124="","",SUMIFS(Performance!$Z$5:$Z$404,Performance!$N$5:$N$404,AV124))</f>
        <v>0</v>
      </c>
      <c r="AZ124" s="24">
        <f>IF(OR(AX124="",AX124=0),"",AY124/AX124)</f>
        <v>0</v>
      </c>
      <c r="BA124" s="32">
        <f>IF(AW124=0,"",IF(AZ124="","",AZ124+ROW()/1000000))</f>
        <v>0</v>
      </c>
      <c r="BB124" s="17">
        <f>IF(Lists!$AL124="","",Lists!$AL124)</f>
        <v>0</v>
      </c>
      <c r="BC124" s="23">
        <f>IF(BB124="","",COUNTIF(Performance!$M$5:$M$404,BB124))</f>
        <v>0</v>
      </c>
      <c r="BD124" s="23">
        <f>IF(BB124="","",SUMIFS(Performance!$O$5:$O$404,Performance!$M$5:$M$404,BB124))</f>
        <v>0</v>
      </c>
      <c r="BE124" s="23">
        <f>IF(BB124="","",SUMIFS(Performance!$Z$5:$Z$404,Performance!$M$5:$M$404,BB124))</f>
        <v>0</v>
      </c>
      <c r="BF124" s="24">
        <f>IF(OR(BD124="",BD124=0),"",BE124/BD124)</f>
        <v>0</v>
      </c>
      <c r="BG124" s="32">
        <f>IF(BC124=0,"",IF(BF124="","",BF124+ROW()/1000000))</f>
        <v>0</v>
      </c>
      <c r="BH124" s="17">
        <f>IF(Performance!$C$124="","",Performance!$C$124)</f>
        <v>0</v>
      </c>
      <c r="BI124" s="17">
        <f>IF(Performance!$F$124="","",Performance!$F$124)</f>
        <v>0</v>
      </c>
      <c r="BJ124" s="17">
        <f>IF(Performance!$H$124="","",Performance!$H$124)</f>
        <v>0</v>
      </c>
      <c r="BK124" s="16">
        <f>IF(Performance!$D$124="","",Performance!$D$124)</f>
        <v>0</v>
      </c>
      <c r="BL124" s="17">
        <f>IF(Performance!$E$124="","",Performance!$E$124)</f>
        <v>0</v>
      </c>
      <c r="BM124" s="23">
        <f>IF(Performance!$O$124="","",Performance!$O$124)</f>
        <v>0</v>
      </c>
      <c r="BN124" s="24">
        <f>IF(Performance!$AA$124="","",Performance!$AA$124)</f>
        <v>0</v>
      </c>
      <c r="BO124" s="32">
        <f>IF(BH124="","",IF(BK124="","",IF(OR(BK124&lt;DashStart,BK124&gt;DashEnd),"",IF(BN124="","",BN124+ROW()/1000000))))</f>
        <v>0</v>
      </c>
      <c r="BP124" s="32">
        <f>IF(BM124="","",IF(BK124="","",IF(OR(BK124&lt;DashStart,BK124&gt;DashEnd),"",BM124+ROW()/1000000)))</f>
        <v>0</v>
      </c>
      <c r="BQ124" s="32">
        <f>IF(BH124="","",IF(BK124="","",IF(YEAR(BK124)&lt;&gt;PlanYear,"",IF(BN124="","",BN124+ROW()/1000000))))</f>
        <v>0</v>
      </c>
      <c r="BR124" s="32">
        <f>IF(BH124="","",IF(BK124="","",IF(OR(BK124&lt;RepFrom,BK124&gt;RepTo),"",IF(BN124="","",BN124+ROW()/1000000))))</f>
        <v>0</v>
      </c>
      <c r="BS124" s="32">
        <f>IF(BM124="","",IF(BK124="","",IF(YEAR(BK124)&lt;&gt;PlanYear,"",BM124+ROW()/1000000)))</f>
        <v>0</v>
      </c>
      <c r="BT124" s="17">
        <f>IF(Lists!$F124="","",Lists!$F124)</f>
        <v>0</v>
      </c>
      <c r="BU124" s="23">
        <f>IF(BT124="","",COUNTIF('Content Calendar'!$X$5:$X$604,BT124))</f>
        <v>0</v>
      </c>
      <c r="BV124" s="23">
        <f>IF(BT124="","",COUNTIFS('Content Calendar'!$X$5:$X$604,BT124,'Content Calendar'!$B$5:$B$604,"&gt;="&amp;DashStart,'Content Calendar'!$B$5:$B$604,"&lt;="&amp;DashEnd))</f>
        <v>0</v>
      </c>
      <c r="BW124" s="17">
        <f>IF(Team!$B$124="","",Team!$B$124)</f>
        <v>0</v>
      </c>
      <c r="BX124" s="23">
        <f>IF(BW124="","",COUNTIF('Content Calendar'!$W$5:$W$604,BW124))</f>
        <v>0</v>
      </c>
      <c r="BY124" s="23">
        <f>IF(BW124="","",COUNTIFS('Content Calendar'!$W$5:$W$604,BW124,'Content Calendar'!$X$5:$X$604,"&lt;&gt;Published"))</f>
        <v>0</v>
      </c>
      <c r="BZ124" s="23">
        <f>IF(BW124="","",COUNTIFS(Tasks!$C$5:$C$64,BW124,Tasks!$G$5:$G$64,"&lt;&gt;Complete"))</f>
        <v>0</v>
      </c>
      <c r="CA124" s="17">
        <f>IF(Campaigns!$B$124="","",Campaigns!$B$124)</f>
        <v>0</v>
      </c>
      <c r="CB124" s="25">
        <f>IF(Campaigns!$T$124="","",Campaigns!$T$124)</f>
        <v>0</v>
      </c>
      <c r="CC124" s="25">
        <f>IF(Campaigns!$Q$124="","",Campaigns!$Q$124)</f>
        <v>0</v>
      </c>
      <c r="CD124" s="23">
        <f>IF(Campaigns!$Y$124="","",Campaigns!$Y$124)</f>
        <v>0</v>
      </c>
      <c r="CE124" s="32">
        <f>IF(CA124="","",IF(N(CB124)&lt;=0,"",N(CB124)+ROW()/1000000))</f>
        <v>0</v>
      </c>
      <c r="CF124" s="17">
        <f>IF(Accounts!$C$124="","",Accounts!$C$124)</f>
        <v>0</v>
      </c>
      <c r="CG124" s="17">
        <f>IF(Accounts!$B$124="","",Accounts!$B$124)</f>
        <v>0</v>
      </c>
      <c r="CH124" s="23">
        <f>IF(Accounts!$J$124="","",Accounts!$J$124)</f>
        <v>0</v>
      </c>
      <c r="CI124" s="23">
        <f>IF(CF124="","",SUMIFS(Analytics!$X$5:$X$154,Analytics!$E$5:$E$154,CF124,Analytics!$B$5:$B$154,"&gt;="&amp;DashStart,Analytics!$B$5:$B$154,"&lt;="&amp;DashEnd))</f>
        <v>0</v>
      </c>
      <c r="CJ124" s="32">
        <f>IF(CH124="","",IF(CH124=0,"",CH124+ROW()/1000000))</f>
        <v>0</v>
      </c>
    </row>
    <row r="125" spans="1:88">
      <c r="A125" s="16">
        <f>IF(ROW()-4&gt;12,"",DATE(PlanYear,ROW()-4,1))</f>
        <v>0</v>
      </c>
      <c r="B125" s="16">
        <f>IF(A125="","",EOMONTH(A125,0))</f>
        <v>0</v>
      </c>
      <c r="C125" s="17">
        <f>IF(A125="","",TEXT(A125,"yyyy-mm"))</f>
        <v>0</v>
      </c>
      <c r="D125" s="17">
        <f>IF(A125="","",TEXT(A125,"mmm"))</f>
        <v>0</v>
      </c>
      <c r="E125" s="23">
        <f>IF(C125="","",COUNTIFS('Content Calendar'!$D$5:$D$604,C125))</f>
        <v>0</v>
      </c>
      <c r="F125" s="23">
        <f>IF(C125="","",COUNTIFS('Content Calendar'!$D$5:$D$604,C125,'Content Calendar'!$X$5:$X$604,"Published"))</f>
        <v>0</v>
      </c>
      <c r="G125" s="23">
        <f>IF(C125="","",SUMIFS(Analytics!$J$5:$J$154,Analytics!$C$5:$C$154,C125))</f>
        <v>0</v>
      </c>
      <c r="H125" s="23">
        <f>IF(C125="","",SUMIFS(Analytics!$K$5:$K$154,Analytics!$C$5:$C$154,C125))</f>
        <v>0</v>
      </c>
      <c r="I125" s="23">
        <f>IF(C125="","",SUMIFS(Analytics!$L$5:$L$154,Analytics!$C$5:$C$154,C125))</f>
        <v>0</v>
      </c>
      <c r="J125" s="24">
        <f>IF(OR(G125="",G125=0),"",I125/G125)</f>
        <v>0</v>
      </c>
      <c r="K125" s="23">
        <f>IF(C125="","",SUMIFS(Analytics!$G$5:$G$154,Analytics!$C$5:$C$154,C125))</f>
        <v>0</v>
      </c>
      <c r="L125" s="23">
        <f>IF(C125="","",SUMIFS(Analytics!$X$5:$X$154,Analytics!$C$5:$C$154,C125))</f>
        <v>0</v>
      </c>
      <c r="M125" s="23">
        <f>IF(C125="","",SUMIFS(Analytics!$R$5:$R$154,Analytics!$C$5:$C$154,C125))</f>
        <v>0</v>
      </c>
      <c r="N125" s="23">
        <f>IF(C125="","",SUMIFS(Analytics!$S$5:$S$154,Analytics!$C$5:$C$154,C125))</f>
        <v>0</v>
      </c>
      <c r="O125" s="23">
        <f>IF(C125="","",SUMIFS(Analytics!$T$5:$T$154,Analytics!$C$5:$C$154,C125))</f>
        <v>0</v>
      </c>
      <c r="P125" s="25">
        <f>IF(C125="","",SUMIFS(Analytics!$U$5:$U$154,Analytics!$C$5:$C$154,C125))</f>
        <v>0</v>
      </c>
      <c r="Q125" s="25">
        <f>IF(C125="","",SUMIFS(Budget!$H$5:$H$64,Budget!$C$5:$C$64,C125))</f>
        <v>0</v>
      </c>
      <c r="R125" s="25">
        <f>IF(C125="","",P125-Q125)</f>
        <v>0</v>
      </c>
      <c r="S125" s="23">
        <f>IF(C125="","",MonthlyPostTarget)</f>
        <v>0</v>
      </c>
      <c r="T125" s="17">
        <f>IF(Lists!$C125="","",Lists!$C125)</f>
        <v>0</v>
      </c>
      <c r="U125" s="23">
        <f>IF(T125="","",COUNTIFS('Content Calendar'!$G$5:$G$604,T125,'Content Calendar'!$B$5:$B$604,"&gt;="&amp;DashStart,'Content Calendar'!$B$5:$B$604,"&lt;="&amp;DashEnd))</f>
        <v>0</v>
      </c>
      <c r="V125" s="23">
        <f>IF(T125="","",COUNTIFS('Content Calendar'!$G$5:$G$604,T125,'Content Calendar'!$X$5:$X$604,"Published",'Content Calendar'!$B$5:$B$604,"&gt;="&amp;DashStart,'Content Calendar'!$B$5:$B$604,"&lt;="&amp;DashEnd))</f>
        <v>0</v>
      </c>
      <c r="W125" s="23">
        <f>IF(T125="","",SUMIFS(Analytics!$J$5:$J$154,Analytics!$D$5:$D$154,T125,Analytics!$B$5:$B$154,"&gt;="&amp;DashStart,Analytics!$B$5:$B$154,"&lt;="&amp;DashEnd))</f>
        <v>0</v>
      </c>
      <c r="X125" s="23">
        <f>IF(T125="","",SUMIFS(Analytics!$L$5:$L$154,Analytics!$D$5:$D$154,T125,Analytics!$B$5:$B$154,"&gt;="&amp;DashStart,Analytics!$B$5:$B$154,"&lt;="&amp;DashEnd))</f>
        <v>0</v>
      </c>
      <c r="Y125" s="24">
        <f>IF(OR(W125="",W125=0),"",X125/W125)</f>
        <v>0</v>
      </c>
      <c r="Z125" s="23">
        <f>IF(T125="","",SUMIFS(Analytics!$G$5:$G$154,Analytics!$D$5:$D$154,T125,Analytics!$B$5:$B$154,"&gt;="&amp;DashStart,Analytics!$B$5:$B$154,"&lt;="&amp;DashEnd))</f>
        <v>0</v>
      </c>
      <c r="AA125" s="23">
        <f>IF(T125="","",SUMIFS(Analytics!$X$5:$X$154,Analytics!$D$5:$D$154,T125,Analytics!$B$5:$B$154,"&gt;="&amp;DashStart,Analytics!$B$5:$B$154,"&lt;="&amp;DashEnd))</f>
        <v>0</v>
      </c>
      <c r="AB125" s="23">
        <f>IF(T125="","",SUMIFS(Analytics!$R$5:$R$154,Analytics!$D$5:$D$154,T125,Analytics!$B$5:$B$154,"&gt;="&amp;DashStart,Analytics!$B$5:$B$154,"&lt;="&amp;DashEnd))</f>
        <v>0</v>
      </c>
      <c r="AC125" s="25">
        <f>IF(T125="","",SUMIFS(Analytics!$U$5:$U$154,Analytics!$D$5:$D$154,T125,Analytics!$B$5:$B$154,"&gt;="&amp;DashStart,Analytics!$B$5:$B$154,"&lt;="&amp;DashEnd))</f>
        <v>0</v>
      </c>
      <c r="AD125" s="23">
        <f>IF(T125="","",COUNTIFS('Content Calendar'!$G$5:$G$604,T125,'Content Calendar'!$B$5:$B$604,"&gt;="&amp;DATE(PlanYear,1,1),'Content Calendar'!$B$5:$B$604,"&lt;="&amp;DATE(PlanYear,12,31)))</f>
        <v>0</v>
      </c>
      <c r="AE125" s="23">
        <f>IF(T125="","",SUMIFS(Analytics!$J$5:$J$154,Analytics!$D$5:$D$154,T125))</f>
        <v>0</v>
      </c>
      <c r="AF125" s="23">
        <f>IF(T125="","",SUMIFS(Analytics!$L$5:$L$154,Analytics!$D$5:$D$154,T125))</f>
        <v>0</v>
      </c>
      <c r="AG125" s="24">
        <f>IF(OR(AE125="",AE125=0),"",AF125/AE125)</f>
        <v>0</v>
      </c>
      <c r="AH125" s="23">
        <f>IF(T125="","",SUMIFS(Analytics!$X$5:$X$154,Analytics!$D$5:$D$154,T125))</f>
        <v>0</v>
      </c>
      <c r="AI125" s="32">
        <f>IF(T125="","",IF(AE125=0,"",AE125+ROW()/1000000))</f>
        <v>0</v>
      </c>
      <c r="AJ125" s="17">
        <f>IF('Content Pillars'!$B$125="","",'Content Pillars'!$B$125)</f>
        <v>0</v>
      </c>
      <c r="AK125" s="23">
        <f>IF(AJ125="","",COUNTIFS('Content Calendar'!$J$5:$J$604,AJ125,'Content Calendar'!$B$5:$B$604,"&gt;="&amp;DATE(PlanYear,1,1),'Content Calendar'!$B$5:$B$604,"&lt;="&amp;DATE(PlanYear,12,31)))</f>
        <v>0</v>
      </c>
      <c r="AL125" s="23">
        <f>IF(AJ125="","",SUMIFS(Performance!$O$5:$O$404,Performance!$H$5:$H$404,AJ125))</f>
        <v>0</v>
      </c>
      <c r="AM125" s="23">
        <f>IF(AJ125="","",SUMIFS(Performance!$Z$5:$Z$404,Performance!$H$5:$H$404,AJ125))</f>
        <v>0</v>
      </c>
      <c r="AN125" s="24">
        <f>IF(OR(AL125="",AL125=0),"",AM125/AL125)</f>
        <v>0</v>
      </c>
      <c r="AO125" s="32">
        <f>IF(AN125="","",AN125+ROW()/1000000)</f>
        <v>0</v>
      </c>
      <c r="AP125" s="17">
        <f>IF(Lists!$E125="","",Lists!$E125)</f>
        <v>0</v>
      </c>
      <c r="AQ125" s="23">
        <f>IF(AP125="","",COUNTIF(Performance!$G$5:$G$404,AP125))</f>
        <v>0</v>
      </c>
      <c r="AR125" s="23">
        <f>IF(AP125="","",SUMIFS(Performance!$O$5:$O$404,Performance!$G$5:$G$404,AP125))</f>
        <v>0</v>
      </c>
      <c r="AS125" s="23">
        <f>IF(AP125="","",SUMIFS(Performance!$Z$5:$Z$404,Performance!$G$5:$G$404,AP125))</f>
        <v>0</v>
      </c>
      <c r="AT125" s="24">
        <f>IF(OR(AR125="",AR125=0),"",AS125/AR125)</f>
        <v>0</v>
      </c>
      <c r="AU125" s="32">
        <f>IF(AQ125=0,"",IF(AT125="","",AT125+ROW()/1000000))</f>
        <v>0</v>
      </c>
      <c r="AV125" s="17">
        <f>IF(ROW()-4&gt;7,"",TEXT(DATE(2024,1,ROW()-4),"ddd"))</f>
        <v>0</v>
      </c>
      <c r="AW125" s="23">
        <f>IF(AV125="","",COUNTIF(Performance!$N$5:$N$404,AV125))</f>
        <v>0</v>
      </c>
      <c r="AX125" s="23">
        <f>IF(AV125="","",SUMIFS(Performance!$O$5:$O$404,Performance!$N$5:$N$404,AV125))</f>
        <v>0</v>
      </c>
      <c r="AY125" s="23">
        <f>IF(AV125="","",SUMIFS(Performance!$Z$5:$Z$404,Performance!$N$5:$N$404,AV125))</f>
        <v>0</v>
      </c>
      <c r="AZ125" s="24">
        <f>IF(OR(AX125="",AX125=0),"",AY125/AX125)</f>
        <v>0</v>
      </c>
      <c r="BA125" s="32">
        <f>IF(AW125=0,"",IF(AZ125="","",AZ125+ROW()/1000000))</f>
        <v>0</v>
      </c>
      <c r="BB125" s="17">
        <f>IF(Lists!$AL125="","",Lists!$AL125)</f>
        <v>0</v>
      </c>
      <c r="BC125" s="23">
        <f>IF(BB125="","",COUNTIF(Performance!$M$5:$M$404,BB125))</f>
        <v>0</v>
      </c>
      <c r="BD125" s="23">
        <f>IF(BB125="","",SUMIFS(Performance!$O$5:$O$404,Performance!$M$5:$M$404,BB125))</f>
        <v>0</v>
      </c>
      <c r="BE125" s="23">
        <f>IF(BB125="","",SUMIFS(Performance!$Z$5:$Z$404,Performance!$M$5:$M$404,BB125))</f>
        <v>0</v>
      </c>
      <c r="BF125" s="24">
        <f>IF(OR(BD125="",BD125=0),"",BE125/BD125)</f>
        <v>0</v>
      </c>
      <c r="BG125" s="32">
        <f>IF(BC125=0,"",IF(BF125="","",BF125+ROW()/1000000))</f>
        <v>0</v>
      </c>
      <c r="BH125" s="17">
        <f>IF(Performance!$C$125="","",Performance!$C$125)</f>
        <v>0</v>
      </c>
      <c r="BI125" s="17">
        <f>IF(Performance!$F$125="","",Performance!$F$125)</f>
        <v>0</v>
      </c>
      <c r="BJ125" s="17">
        <f>IF(Performance!$H$125="","",Performance!$H$125)</f>
        <v>0</v>
      </c>
      <c r="BK125" s="16">
        <f>IF(Performance!$D$125="","",Performance!$D$125)</f>
        <v>0</v>
      </c>
      <c r="BL125" s="17">
        <f>IF(Performance!$E$125="","",Performance!$E$125)</f>
        <v>0</v>
      </c>
      <c r="BM125" s="23">
        <f>IF(Performance!$O$125="","",Performance!$O$125)</f>
        <v>0</v>
      </c>
      <c r="BN125" s="24">
        <f>IF(Performance!$AA$125="","",Performance!$AA$125)</f>
        <v>0</v>
      </c>
      <c r="BO125" s="32">
        <f>IF(BH125="","",IF(BK125="","",IF(OR(BK125&lt;DashStart,BK125&gt;DashEnd),"",IF(BN125="","",BN125+ROW()/1000000))))</f>
        <v>0</v>
      </c>
      <c r="BP125" s="32">
        <f>IF(BM125="","",IF(BK125="","",IF(OR(BK125&lt;DashStart,BK125&gt;DashEnd),"",BM125+ROW()/1000000)))</f>
        <v>0</v>
      </c>
      <c r="BQ125" s="32">
        <f>IF(BH125="","",IF(BK125="","",IF(YEAR(BK125)&lt;&gt;PlanYear,"",IF(BN125="","",BN125+ROW()/1000000))))</f>
        <v>0</v>
      </c>
      <c r="BR125" s="32">
        <f>IF(BH125="","",IF(BK125="","",IF(OR(BK125&lt;RepFrom,BK125&gt;RepTo),"",IF(BN125="","",BN125+ROW()/1000000))))</f>
        <v>0</v>
      </c>
      <c r="BS125" s="32">
        <f>IF(BM125="","",IF(BK125="","",IF(YEAR(BK125)&lt;&gt;PlanYear,"",BM125+ROW()/1000000)))</f>
        <v>0</v>
      </c>
      <c r="BT125" s="17">
        <f>IF(Lists!$F125="","",Lists!$F125)</f>
        <v>0</v>
      </c>
      <c r="BU125" s="23">
        <f>IF(BT125="","",COUNTIF('Content Calendar'!$X$5:$X$604,BT125))</f>
        <v>0</v>
      </c>
      <c r="BV125" s="23">
        <f>IF(BT125="","",COUNTIFS('Content Calendar'!$X$5:$X$604,BT125,'Content Calendar'!$B$5:$B$604,"&gt;="&amp;DashStart,'Content Calendar'!$B$5:$B$604,"&lt;="&amp;DashEnd))</f>
        <v>0</v>
      </c>
      <c r="BW125" s="17">
        <f>IF(Team!$B$125="","",Team!$B$125)</f>
        <v>0</v>
      </c>
      <c r="BX125" s="23">
        <f>IF(BW125="","",COUNTIF('Content Calendar'!$W$5:$W$604,BW125))</f>
        <v>0</v>
      </c>
      <c r="BY125" s="23">
        <f>IF(BW125="","",COUNTIFS('Content Calendar'!$W$5:$W$604,BW125,'Content Calendar'!$X$5:$X$604,"&lt;&gt;Published"))</f>
        <v>0</v>
      </c>
      <c r="BZ125" s="23">
        <f>IF(BW125="","",COUNTIFS(Tasks!$C$5:$C$64,BW125,Tasks!$G$5:$G$64,"&lt;&gt;Complete"))</f>
        <v>0</v>
      </c>
      <c r="CA125" s="17">
        <f>IF(Campaigns!$B$125="","",Campaigns!$B$125)</f>
        <v>0</v>
      </c>
      <c r="CB125" s="25">
        <f>IF(Campaigns!$T$125="","",Campaigns!$T$125)</f>
        <v>0</v>
      </c>
      <c r="CC125" s="25">
        <f>IF(Campaigns!$Q$125="","",Campaigns!$Q$125)</f>
        <v>0</v>
      </c>
      <c r="CD125" s="23">
        <f>IF(Campaigns!$Y$125="","",Campaigns!$Y$125)</f>
        <v>0</v>
      </c>
      <c r="CE125" s="32">
        <f>IF(CA125="","",IF(N(CB125)&lt;=0,"",N(CB125)+ROW()/1000000))</f>
        <v>0</v>
      </c>
      <c r="CF125" s="17">
        <f>IF(Accounts!$C$125="","",Accounts!$C$125)</f>
        <v>0</v>
      </c>
      <c r="CG125" s="17">
        <f>IF(Accounts!$B$125="","",Accounts!$B$125)</f>
        <v>0</v>
      </c>
      <c r="CH125" s="23">
        <f>IF(Accounts!$J$125="","",Accounts!$J$125)</f>
        <v>0</v>
      </c>
      <c r="CI125" s="23">
        <f>IF(CF125="","",SUMIFS(Analytics!$X$5:$X$154,Analytics!$E$5:$E$154,CF125,Analytics!$B$5:$B$154,"&gt;="&amp;DashStart,Analytics!$B$5:$B$154,"&lt;="&amp;DashEnd))</f>
        <v>0</v>
      </c>
      <c r="CJ125" s="32">
        <f>IF(CH125="","",IF(CH125=0,"",CH125+ROW()/1000000))</f>
        <v>0</v>
      </c>
    </row>
    <row r="126" spans="1:88">
      <c r="A126" s="16">
        <f>IF(ROW()-4&gt;12,"",DATE(PlanYear,ROW()-4,1))</f>
        <v>0</v>
      </c>
      <c r="B126" s="16">
        <f>IF(A126="","",EOMONTH(A126,0))</f>
        <v>0</v>
      </c>
      <c r="C126" s="17">
        <f>IF(A126="","",TEXT(A126,"yyyy-mm"))</f>
        <v>0</v>
      </c>
      <c r="D126" s="17">
        <f>IF(A126="","",TEXT(A126,"mmm"))</f>
        <v>0</v>
      </c>
      <c r="E126" s="23">
        <f>IF(C126="","",COUNTIFS('Content Calendar'!$D$5:$D$604,C126))</f>
        <v>0</v>
      </c>
      <c r="F126" s="23">
        <f>IF(C126="","",COUNTIFS('Content Calendar'!$D$5:$D$604,C126,'Content Calendar'!$X$5:$X$604,"Published"))</f>
        <v>0</v>
      </c>
      <c r="G126" s="23">
        <f>IF(C126="","",SUMIFS(Analytics!$J$5:$J$154,Analytics!$C$5:$C$154,C126))</f>
        <v>0</v>
      </c>
      <c r="H126" s="23">
        <f>IF(C126="","",SUMIFS(Analytics!$K$5:$K$154,Analytics!$C$5:$C$154,C126))</f>
        <v>0</v>
      </c>
      <c r="I126" s="23">
        <f>IF(C126="","",SUMIFS(Analytics!$L$5:$L$154,Analytics!$C$5:$C$154,C126))</f>
        <v>0</v>
      </c>
      <c r="J126" s="24">
        <f>IF(OR(G126="",G126=0),"",I126/G126)</f>
        <v>0</v>
      </c>
      <c r="K126" s="23">
        <f>IF(C126="","",SUMIFS(Analytics!$G$5:$G$154,Analytics!$C$5:$C$154,C126))</f>
        <v>0</v>
      </c>
      <c r="L126" s="23">
        <f>IF(C126="","",SUMIFS(Analytics!$X$5:$X$154,Analytics!$C$5:$C$154,C126))</f>
        <v>0</v>
      </c>
      <c r="M126" s="23">
        <f>IF(C126="","",SUMIFS(Analytics!$R$5:$R$154,Analytics!$C$5:$C$154,C126))</f>
        <v>0</v>
      </c>
      <c r="N126" s="23">
        <f>IF(C126="","",SUMIFS(Analytics!$S$5:$S$154,Analytics!$C$5:$C$154,C126))</f>
        <v>0</v>
      </c>
      <c r="O126" s="23">
        <f>IF(C126="","",SUMIFS(Analytics!$T$5:$T$154,Analytics!$C$5:$C$154,C126))</f>
        <v>0</v>
      </c>
      <c r="P126" s="25">
        <f>IF(C126="","",SUMIFS(Analytics!$U$5:$U$154,Analytics!$C$5:$C$154,C126))</f>
        <v>0</v>
      </c>
      <c r="Q126" s="25">
        <f>IF(C126="","",SUMIFS(Budget!$H$5:$H$64,Budget!$C$5:$C$64,C126))</f>
        <v>0</v>
      </c>
      <c r="R126" s="25">
        <f>IF(C126="","",P126-Q126)</f>
        <v>0</v>
      </c>
      <c r="S126" s="23">
        <f>IF(C126="","",MonthlyPostTarget)</f>
        <v>0</v>
      </c>
      <c r="T126" s="17">
        <f>IF(Lists!$C126="","",Lists!$C126)</f>
        <v>0</v>
      </c>
      <c r="U126" s="23">
        <f>IF(T126="","",COUNTIFS('Content Calendar'!$G$5:$G$604,T126,'Content Calendar'!$B$5:$B$604,"&gt;="&amp;DashStart,'Content Calendar'!$B$5:$B$604,"&lt;="&amp;DashEnd))</f>
        <v>0</v>
      </c>
      <c r="V126" s="23">
        <f>IF(T126="","",COUNTIFS('Content Calendar'!$G$5:$G$604,T126,'Content Calendar'!$X$5:$X$604,"Published",'Content Calendar'!$B$5:$B$604,"&gt;="&amp;DashStart,'Content Calendar'!$B$5:$B$604,"&lt;="&amp;DashEnd))</f>
        <v>0</v>
      </c>
      <c r="W126" s="23">
        <f>IF(T126="","",SUMIFS(Analytics!$J$5:$J$154,Analytics!$D$5:$D$154,T126,Analytics!$B$5:$B$154,"&gt;="&amp;DashStart,Analytics!$B$5:$B$154,"&lt;="&amp;DashEnd))</f>
        <v>0</v>
      </c>
      <c r="X126" s="23">
        <f>IF(T126="","",SUMIFS(Analytics!$L$5:$L$154,Analytics!$D$5:$D$154,T126,Analytics!$B$5:$B$154,"&gt;="&amp;DashStart,Analytics!$B$5:$B$154,"&lt;="&amp;DashEnd))</f>
        <v>0</v>
      </c>
      <c r="Y126" s="24">
        <f>IF(OR(W126="",W126=0),"",X126/W126)</f>
        <v>0</v>
      </c>
      <c r="Z126" s="23">
        <f>IF(T126="","",SUMIFS(Analytics!$G$5:$G$154,Analytics!$D$5:$D$154,T126,Analytics!$B$5:$B$154,"&gt;="&amp;DashStart,Analytics!$B$5:$B$154,"&lt;="&amp;DashEnd))</f>
        <v>0</v>
      </c>
      <c r="AA126" s="23">
        <f>IF(T126="","",SUMIFS(Analytics!$X$5:$X$154,Analytics!$D$5:$D$154,T126,Analytics!$B$5:$B$154,"&gt;="&amp;DashStart,Analytics!$B$5:$B$154,"&lt;="&amp;DashEnd))</f>
        <v>0</v>
      </c>
      <c r="AB126" s="23">
        <f>IF(T126="","",SUMIFS(Analytics!$R$5:$R$154,Analytics!$D$5:$D$154,T126,Analytics!$B$5:$B$154,"&gt;="&amp;DashStart,Analytics!$B$5:$B$154,"&lt;="&amp;DashEnd))</f>
        <v>0</v>
      </c>
      <c r="AC126" s="25">
        <f>IF(T126="","",SUMIFS(Analytics!$U$5:$U$154,Analytics!$D$5:$D$154,T126,Analytics!$B$5:$B$154,"&gt;="&amp;DashStart,Analytics!$B$5:$B$154,"&lt;="&amp;DashEnd))</f>
        <v>0</v>
      </c>
      <c r="AD126" s="23">
        <f>IF(T126="","",COUNTIFS('Content Calendar'!$G$5:$G$604,T126,'Content Calendar'!$B$5:$B$604,"&gt;="&amp;DATE(PlanYear,1,1),'Content Calendar'!$B$5:$B$604,"&lt;="&amp;DATE(PlanYear,12,31)))</f>
        <v>0</v>
      </c>
      <c r="AE126" s="23">
        <f>IF(T126="","",SUMIFS(Analytics!$J$5:$J$154,Analytics!$D$5:$D$154,T126))</f>
        <v>0</v>
      </c>
      <c r="AF126" s="23">
        <f>IF(T126="","",SUMIFS(Analytics!$L$5:$L$154,Analytics!$D$5:$D$154,T126))</f>
        <v>0</v>
      </c>
      <c r="AG126" s="24">
        <f>IF(OR(AE126="",AE126=0),"",AF126/AE126)</f>
        <v>0</v>
      </c>
      <c r="AH126" s="23">
        <f>IF(T126="","",SUMIFS(Analytics!$X$5:$X$154,Analytics!$D$5:$D$154,T126))</f>
        <v>0</v>
      </c>
      <c r="AI126" s="32">
        <f>IF(T126="","",IF(AE126=0,"",AE126+ROW()/1000000))</f>
        <v>0</v>
      </c>
      <c r="AJ126" s="17">
        <f>IF('Content Pillars'!$B$126="","",'Content Pillars'!$B$126)</f>
        <v>0</v>
      </c>
      <c r="AK126" s="23">
        <f>IF(AJ126="","",COUNTIFS('Content Calendar'!$J$5:$J$604,AJ126,'Content Calendar'!$B$5:$B$604,"&gt;="&amp;DATE(PlanYear,1,1),'Content Calendar'!$B$5:$B$604,"&lt;="&amp;DATE(PlanYear,12,31)))</f>
        <v>0</v>
      </c>
      <c r="AL126" s="23">
        <f>IF(AJ126="","",SUMIFS(Performance!$O$5:$O$404,Performance!$H$5:$H$404,AJ126))</f>
        <v>0</v>
      </c>
      <c r="AM126" s="23">
        <f>IF(AJ126="","",SUMIFS(Performance!$Z$5:$Z$404,Performance!$H$5:$H$404,AJ126))</f>
        <v>0</v>
      </c>
      <c r="AN126" s="24">
        <f>IF(OR(AL126="",AL126=0),"",AM126/AL126)</f>
        <v>0</v>
      </c>
      <c r="AO126" s="32">
        <f>IF(AN126="","",AN126+ROW()/1000000)</f>
        <v>0</v>
      </c>
      <c r="AP126" s="17">
        <f>IF(Lists!$E126="","",Lists!$E126)</f>
        <v>0</v>
      </c>
      <c r="AQ126" s="23">
        <f>IF(AP126="","",COUNTIF(Performance!$G$5:$G$404,AP126))</f>
        <v>0</v>
      </c>
      <c r="AR126" s="23">
        <f>IF(AP126="","",SUMIFS(Performance!$O$5:$O$404,Performance!$G$5:$G$404,AP126))</f>
        <v>0</v>
      </c>
      <c r="AS126" s="23">
        <f>IF(AP126="","",SUMIFS(Performance!$Z$5:$Z$404,Performance!$G$5:$G$404,AP126))</f>
        <v>0</v>
      </c>
      <c r="AT126" s="24">
        <f>IF(OR(AR126="",AR126=0),"",AS126/AR126)</f>
        <v>0</v>
      </c>
      <c r="AU126" s="32">
        <f>IF(AQ126=0,"",IF(AT126="","",AT126+ROW()/1000000))</f>
        <v>0</v>
      </c>
      <c r="AV126" s="17">
        <f>IF(ROW()-4&gt;7,"",TEXT(DATE(2024,1,ROW()-4),"ddd"))</f>
        <v>0</v>
      </c>
      <c r="AW126" s="23">
        <f>IF(AV126="","",COUNTIF(Performance!$N$5:$N$404,AV126))</f>
        <v>0</v>
      </c>
      <c r="AX126" s="23">
        <f>IF(AV126="","",SUMIFS(Performance!$O$5:$O$404,Performance!$N$5:$N$404,AV126))</f>
        <v>0</v>
      </c>
      <c r="AY126" s="23">
        <f>IF(AV126="","",SUMIFS(Performance!$Z$5:$Z$404,Performance!$N$5:$N$404,AV126))</f>
        <v>0</v>
      </c>
      <c r="AZ126" s="24">
        <f>IF(OR(AX126="",AX126=0),"",AY126/AX126)</f>
        <v>0</v>
      </c>
      <c r="BA126" s="32">
        <f>IF(AW126=0,"",IF(AZ126="","",AZ126+ROW()/1000000))</f>
        <v>0</v>
      </c>
      <c r="BB126" s="17">
        <f>IF(Lists!$AL126="","",Lists!$AL126)</f>
        <v>0</v>
      </c>
      <c r="BC126" s="23">
        <f>IF(BB126="","",COUNTIF(Performance!$M$5:$M$404,BB126))</f>
        <v>0</v>
      </c>
      <c r="BD126" s="23">
        <f>IF(BB126="","",SUMIFS(Performance!$O$5:$O$404,Performance!$M$5:$M$404,BB126))</f>
        <v>0</v>
      </c>
      <c r="BE126" s="23">
        <f>IF(BB126="","",SUMIFS(Performance!$Z$5:$Z$404,Performance!$M$5:$M$404,BB126))</f>
        <v>0</v>
      </c>
      <c r="BF126" s="24">
        <f>IF(OR(BD126="",BD126=0),"",BE126/BD126)</f>
        <v>0</v>
      </c>
      <c r="BG126" s="32">
        <f>IF(BC126=0,"",IF(BF126="","",BF126+ROW()/1000000))</f>
        <v>0</v>
      </c>
      <c r="BH126" s="17">
        <f>IF(Performance!$C$126="","",Performance!$C$126)</f>
        <v>0</v>
      </c>
      <c r="BI126" s="17">
        <f>IF(Performance!$F$126="","",Performance!$F$126)</f>
        <v>0</v>
      </c>
      <c r="BJ126" s="17">
        <f>IF(Performance!$H$126="","",Performance!$H$126)</f>
        <v>0</v>
      </c>
      <c r="BK126" s="16">
        <f>IF(Performance!$D$126="","",Performance!$D$126)</f>
        <v>0</v>
      </c>
      <c r="BL126" s="17">
        <f>IF(Performance!$E$126="","",Performance!$E$126)</f>
        <v>0</v>
      </c>
      <c r="BM126" s="23">
        <f>IF(Performance!$O$126="","",Performance!$O$126)</f>
        <v>0</v>
      </c>
      <c r="BN126" s="24">
        <f>IF(Performance!$AA$126="","",Performance!$AA$126)</f>
        <v>0</v>
      </c>
      <c r="BO126" s="32">
        <f>IF(BH126="","",IF(BK126="","",IF(OR(BK126&lt;DashStart,BK126&gt;DashEnd),"",IF(BN126="","",BN126+ROW()/1000000))))</f>
        <v>0</v>
      </c>
      <c r="BP126" s="32">
        <f>IF(BM126="","",IF(BK126="","",IF(OR(BK126&lt;DashStart,BK126&gt;DashEnd),"",BM126+ROW()/1000000)))</f>
        <v>0</v>
      </c>
      <c r="BQ126" s="32">
        <f>IF(BH126="","",IF(BK126="","",IF(YEAR(BK126)&lt;&gt;PlanYear,"",IF(BN126="","",BN126+ROW()/1000000))))</f>
        <v>0</v>
      </c>
      <c r="BR126" s="32">
        <f>IF(BH126="","",IF(BK126="","",IF(OR(BK126&lt;RepFrom,BK126&gt;RepTo),"",IF(BN126="","",BN126+ROW()/1000000))))</f>
        <v>0</v>
      </c>
      <c r="BS126" s="32">
        <f>IF(BM126="","",IF(BK126="","",IF(YEAR(BK126)&lt;&gt;PlanYear,"",BM126+ROW()/1000000)))</f>
        <v>0</v>
      </c>
      <c r="BT126" s="17">
        <f>IF(Lists!$F126="","",Lists!$F126)</f>
        <v>0</v>
      </c>
      <c r="BU126" s="23">
        <f>IF(BT126="","",COUNTIF('Content Calendar'!$X$5:$X$604,BT126))</f>
        <v>0</v>
      </c>
      <c r="BV126" s="23">
        <f>IF(BT126="","",COUNTIFS('Content Calendar'!$X$5:$X$604,BT126,'Content Calendar'!$B$5:$B$604,"&gt;="&amp;DashStart,'Content Calendar'!$B$5:$B$604,"&lt;="&amp;DashEnd))</f>
        <v>0</v>
      </c>
      <c r="BW126" s="17">
        <f>IF(Team!$B$126="","",Team!$B$126)</f>
        <v>0</v>
      </c>
      <c r="BX126" s="23">
        <f>IF(BW126="","",COUNTIF('Content Calendar'!$W$5:$W$604,BW126))</f>
        <v>0</v>
      </c>
      <c r="BY126" s="23">
        <f>IF(BW126="","",COUNTIFS('Content Calendar'!$W$5:$W$604,BW126,'Content Calendar'!$X$5:$X$604,"&lt;&gt;Published"))</f>
        <v>0</v>
      </c>
      <c r="BZ126" s="23">
        <f>IF(BW126="","",COUNTIFS(Tasks!$C$5:$C$64,BW126,Tasks!$G$5:$G$64,"&lt;&gt;Complete"))</f>
        <v>0</v>
      </c>
      <c r="CA126" s="17">
        <f>IF(Campaigns!$B$126="","",Campaigns!$B$126)</f>
        <v>0</v>
      </c>
      <c r="CB126" s="25">
        <f>IF(Campaigns!$T$126="","",Campaigns!$T$126)</f>
        <v>0</v>
      </c>
      <c r="CC126" s="25">
        <f>IF(Campaigns!$Q$126="","",Campaigns!$Q$126)</f>
        <v>0</v>
      </c>
      <c r="CD126" s="23">
        <f>IF(Campaigns!$Y$126="","",Campaigns!$Y$126)</f>
        <v>0</v>
      </c>
      <c r="CE126" s="32">
        <f>IF(CA126="","",IF(N(CB126)&lt;=0,"",N(CB126)+ROW()/1000000))</f>
        <v>0</v>
      </c>
      <c r="CF126" s="17">
        <f>IF(Accounts!$C$126="","",Accounts!$C$126)</f>
        <v>0</v>
      </c>
      <c r="CG126" s="17">
        <f>IF(Accounts!$B$126="","",Accounts!$B$126)</f>
        <v>0</v>
      </c>
      <c r="CH126" s="23">
        <f>IF(Accounts!$J$126="","",Accounts!$J$126)</f>
        <v>0</v>
      </c>
      <c r="CI126" s="23">
        <f>IF(CF126="","",SUMIFS(Analytics!$X$5:$X$154,Analytics!$E$5:$E$154,CF126,Analytics!$B$5:$B$154,"&gt;="&amp;DashStart,Analytics!$B$5:$B$154,"&lt;="&amp;DashEnd))</f>
        <v>0</v>
      </c>
      <c r="CJ126" s="32">
        <f>IF(CH126="","",IF(CH126=0,"",CH126+ROW()/1000000))</f>
        <v>0</v>
      </c>
    </row>
    <row r="127" spans="1:88">
      <c r="A127" s="16">
        <f>IF(ROW()-4&gt;12,"",DATE(PlanYear,ROW()-4,1))</f>
        <v>0</v>
      </c>
      <c r="B127" s="16">
        <f>IF(A127="","",EOMONTH(A127,0))</f>
        <v>0</v>
      </c>
      <c r="C127" s="17">
        <f>IF(A127="","",TEXT(A127,"yyyy-mm"))</f>
        <v>0</v>
      </c>
      <c r="D127" s="17">
        <f>IF(A127="","",TEXT(A127,"mmm"))</f>
        <v>0</v>
      </c>
      <c r="E127" s="23">
        <f>IF(C127="","",COUNTIFS('Content Calendar'!$D$5:$D$604,C127))</f>
        <v>0</v>
      </c>
      <c r="F127" s="23">
        <f>IF(C127="","",COUNTIFS('Content Calendar'!$D$5:$D$604,C127,'Content Calendar'!$X$5:$X$604,"Published"))</f>
        <v>0</v>
      </c>
      <c r="G127" s="23">
        <f>IF(C127="","",SUMIFS(Analytics!$J$5:$J$154,Analytics!$C$5:$C$154,C127))</f>
        <v>0</v>
      </c>
      <c r="H127" s="23">
        <f>IF(C127="","",SUMIFS(Analytics!$K$5:$K$154,Analytics!$C$5:$C$154,C127))</f>
        <v>0</v>
      </c>
      <c r="I127" s="23">
        <f>IF(C127="","",SUMIFS(Analytics!$L$5:$L$154,Analytics!$C$5:$C$154,C127))</f>
        <v>0</v>
      </c>
      <c r="J127" s="24">
        <f>IF(OR(G127="",G127=0),"",I127/G127)</f>
        <v>0</v>
      </c>
      <c r="K127" s="23">
        <f>IF(C127="","",SUMIFS(Analytics!$G$5:$G$154,Analytics!$C$5:$C$154,C127))</f>
        <v>0</v>
      </c>
      <c r="L127" s="23">
        <f>IF(C127="","",SUMIFS(Analytics!$X$5:$X$154,Analytics!$C$5:$C$154,C127))</f>
        <v>0</v>
      </c>
      <c r="M127" s="23">
        <f>IF(C127="","",SUMIFS(Analytics!$R$5:$R$154,Analytics!$C$5:$C$154,C127))</f>
        <v>0</v>
      </c>
      <c r="N127" s="23">
        <f>IF(C127="","",SUMIFS(Analytics!$S$5:$S$154,Analytics!$C$5:$C$154,C127))</f>
        <v>0</v>
      </c>
      <c r="O127" s="23">
        <f>IF(C127="","",SUMIFS(Analytics!$T$5:$T$154,Analytics!$C$5:$C$154,C127))</f>
        <v>0</v>
      </c>
      <c r="P127" s="25">
        <f>IF(C127="","",SUMIFS(Analytics!$U$5:$U$154,Analytics!$C$5:$C$154,C127))</f>
        <v>0</v>
      </c>
      <c r="Q127" s="25">
        <f>IF(C127="","",SUMIFS(Budget!$H$5:$H$64,Budget!$C$5:$C$64,C127))</f>
        <v>0</v>
      </c>
      <c r="R127" s="25">
        <f>IF(C127="","",P127-Q127)</f>
        <v>0</v>
      </c>
      <c r="S127" s="23">
        <f>IF(C127="","",MonthlyPostTarget)</f>
        <v>0</v>
      </c>
      <c r="T127" s="17">
        <f>IF(Lists!$C127="","",Lists!$C127)</f>
        <v>0</v>
      </c>
      <c r="U127" s="23">
        <f>IF(T127="","",COUNTIFS('Content Calendar'!$G$5:$G$604,T127,'Content Calendar'!$B$5:$B$604,"&gt;="&amp;DashStart,'Content Calendar'!$B$5:$B$604,"&lt;="&amp;DashEnd))</f>
        <v>0</v>
      </c>
      <c r="V127" s="23">
        <f>IF(T127="","",COUNTIFS('Content Calendar'!$G$5:$G$604,T127,'Content Calendar'!$X$5:$X$604,"Published",'Content Calendar'!$B$5:$B$604,"&gt;="&amp;DashStart,'Content Calendar'!$B$5:$B$604,"&lt;="&amp;DashEnd))</f>
        <v>0</v>
      </c>
      <c r="W127" s="23">
        <f>IF(T127="","",SUMIFS(Analytics!$J$5:$J$154,Analytics!$D$5:$D$154,T127,Analytics!$B$5:$B$154,"&gt;="&amp;DashStart,Analytics!$B$5:$B$154,"&lt;="&amp;DashEnd))</f>
        <v>0</v>
      </c>
      <c r="X127" s="23">
        <f>IF(T127="","",SUMIFS(Analytics!$L$5:$L$154,Analytics!$D$5:$D$154,T127,Analytics!$B$5:$B$154,"&gt;="&amp;DashStart,Analytics!$B$5:$B$154,"&lt;="&amp;DashEnd))</f>
        <v>0</v>
      </c>
      <c r="Y127" s="24">
        <f>IF(OR(W127="",W127=0),"",X127/W127)</f>
        <v>0</v>
      </c>
      <c r="Z127" s="23">
        <f>IF(T127="","",SUMIFS(Analytics!$G$5:$G$154,Analytics!$D$5:$D$154,T127,Analytics!$B$5:$B$154,"&gt;="&amp;DashStart,Analytics!$B$5:$B$154,"&lt;="&amp;DashEnd))</f>
        <v>0</v>
      </c>
      <c r="AA127" s="23">
        <f>IF(T127="","",SUMIFS(Analytics!$X$5:$X$154,Analytics!$D$5:$D$154,T127,Analytics!$B$5:$B$154,"&gt;="&amp;DashStart,Analytics!$B$5:$B$154,"&lt;="&amp;DashEnd))</f>
        <v>0</v>
      </c>
      <c r="AB127" s="23">
        <f>IF(T127="","",SUMIFS(Analytics!$R$5:$R$154,Analytics!$D$5:$D$154,T127,Analytics!$B$5:$B$154,"&gt;="&amp;DashStart,Analytics!$B$5:$B$154,"&lt;="&amp;DashEnd))</f>
        <v>0</v>
      </c>
      <c r="AC127" s="25">
        <f>IF(T127="","",SUMIFS(Analytics!$U$5:$U$154,Analytics!$D$5:$D$154,T127,Analytics!$B$5:$B$154,"&gt;="&amp;DashStart,Analytics!$B$5:$B$154,"&lt;="&amp;DashEnd))</f>
        <v>0</v>
      </c>
      <c r="AD127" s="23">
        <f>IF(T127="","",COUNTIFS('Content Calendar'!$G$5:$G$604,T127,'Content Calendar'!$B$5:$B$604,"&gt;="&amp;DATE(PlanYear,1,1),'Content Calendar'!$B$5:$B$604,"&lt;="&amp;DATE(PlanYear,12,31)))</f>
        <v>0</v>
      </c>
      <c r="AE127" s="23">
        <f>IF(T127="","",SUMIFS(Analytics!$J$5:$J$154,Analytics!$D$5:$D$154,T127))</f>
        <v>0</v>
      </c>
      <c r="AF127" s="23">
        <f>IF(T127="","",SUMIFS(Analytics!$L$5:$L$154,Analytics!$D$5:$D$154,T127))</f>
        <v>0</v>
      </c>
      <c r="AG127" s="24">
        <f>IF(OR(AE127="",AE127=0),"",AF127/AE127)</f>
        <v>0</v>
      </c>
      <c r="AH127" s="23">
        <f>IF(T127="","",SUMIFS(Analytics!$X$5:$X$154,Analytics!$D$5:$D$154,T127))</f>
        <v>0</v>
      </c>
      <c r="AI127" s="32">
        <f>IF(T127="","",IF(AE127=0,"",AE127+ROW()/1000000))</f>
        <v>0</v>
      </c>
      <c r="AJ127" s="17">
        <f>IF('Content Pillars'!$B$127="","",'Content Pillars'!$B$127)</f>
        <v>0</v>
      </c>
      <c r="AK127" s="23">
        <f>IF(AJ127="","",COUNTIFS('Content Calendar'!$J$5:$J$604,AJ127,'Content Calendar'!$B$5:$B$604,"&gt;="&amp;DATE(PlanYear,1,1),'Content Calendar'!$B$5:$B$604,"&lt;="&amp;DATE(PlanYear,12,31)))</f>
        <v>0</v>
      </c>
      <c r="AL127" s="23">
        <f>IF(AJ127="","",SUMIFS(Performance!$O$5:$O$404,Performance!$H$5:$H$404,AJ127))</f>
        <v>0</v>
      </c>
      <c r="AM127" s="23">
        <f>IF(AJ127="","",SUMIFS(Performance!$Z$5:$Z$404,Performance!$H$5:$H$404,AJ127))</f>
        <v>0</v>
      </c>
      <c r="AN127" s="24">
        <f>IF(OR(AL127="",AL127=0),"",AM127/AL127)</f>
        <v>0</v>
      </c>
      <c r="AO127" s="32">
        <f>IF(AN127="","",AN127+ROW()/1000000)</f>
        <v>0</v>
      </c>
      <c r="AP127" s="17">
        <f>IF(Lists!$E127="","",Lists!$E127)</f>
        <v>0</v>
      </c>
      <c r="AQ127" s="23">
        <f>IF(AP127="","",COUNTIF(Performance!$G$5:$G$404,AP127))</f>
        <v>0</v>
      </c>
      <c r="AR127" s="23">
        <f>IF(AP127="","",SUMIFS(Performance!$O$5:$O$404,Performance!$G$5:$G$404,AP127))</f>
        <v>0</v>
      </c>
      <c r="AS127" s="23">
        <f>IF(AP127="","",SUMIFS(Performance!$Z$5:$Z$404,Performance!$G$5:$G$404,AP127))</f>
        <v>0</v>
      </c>
      <c r="AT127" s="24">
        <f>IF(OR(AR127="",AR127=0),"",AS127/AR127)</f>
        <v>0</v>
      </c>
      <c r="AU127" s="32">
        <f>IF(AQ127=0,"",IF(AT127="","",AT127+ROW()/1000000))</f>
        <v>0</v>
      </c>
      <c r="AV127" s="17">
        <f>IF(ROW()-4&gt;7,"",TEXT(DATE(2024,1,ROW()-4),"ddd"))</f>
        <v>0</v>
      </c>
      <c r="AW127" s="23">
        <f>IF(AV127="","",COUNTIF(Performance!$N$5:$N$404,AV127))</f>
        <v>0</v>
      </c>
      <c r="AX127" s="23">
        <f>IF(AV127="","",SUMIFS(Performance!$O$5:$O$404,Performance!$N$5:$N$404,AV127))</f>
        <v>0</v>
      </c>
      <c r="AY127" s="23">
        <f>IF(AV127="","",SUMIFS(Performance!$Z$5:$Z$404,Performance!$N$5:$N$404,AV127))</f>
        <v>0</v>
      </c>
      <c r="AZ127" s="24">
        <f>IF(OR(AX127="",AX127=0),"",AY127/AX127)</f>
        <v>0</v>
      </c>
      <c r="BA127" s="32">
        <f>IF(AW127=0,"",IF(AZ127="","",AZ127+ROW()/1000000))</f>
        <v>0</v>
      </c>
      <c r="BB127" s="17">
        <f>IF(Lists!$AL127="","",Lists!$AL127)</f>
        <v>0</v>
      </c>
      <c r="BC127" s="23">
        <f>IF(BB127="","",COUNTIF(Performance!$M$5:$M$404,BB127))</f>
        <v>0</v>
      </c>
      <c r="BD127" s="23">
        <f>IF(BB127="","",SUMIFS(Performance!$O$5:$O$404,Performance!$M$5:$M$404,BB127))</f>
        <v>0</v>
      </c>
      <c r="BE127" s="23">
        <f>IF(BB127="","",SUMIFS(Performance!$Z$5:$Z$404,Performance!$M$5:$M$404,BB127))</f>
        <v>0</v>
      </c>
      <c r="BF127" s="24">
        <f>IF(OR(BD127="",BD127=0),"",BE127/BD127)</f>
        <v>0</v>
      </c>
      <c r="BG127" s="32">
        <f>IF(BC127=0,"",IF(BF127="","",BF127+ROW()/1000000))</f>
        <v>0</v>
      </c>
      <c r="BH127" s="17">
        <f>IF(Performance!$C$127="","",Performance!$C$127)</f>
        <v>0</v>
      </c>
      <c r="BI127" s="17">
        <f>IF(Performance!$F$127="","",Performance!$F$127)</f>
        <v>0</v>
      </c>
      <c r="BJ127" s="17">
        <f>IF(Performance!$H$127="","",Performance!$H$127)</f>
        <v>0</v>
      </c>
      <c r="BK127" s="16">
        <f>IF(Performance!$D$127="","",Performance!$D$127)</f>
        <v>0</v>
      </c>
      <c r="BL127" s="17">
        <f>IF(Performance!$E$127="","",Performance!$E$127)</f>
        <v>0</v>
      </c>
      <c r="BM127" s="23">
        <f>IF(Performance!$O$127="","",Performance!$O$127)</f>
        <v>0</v>
      </c>
      <c r="BN127" s="24">
        <f>IF(Performance!$AA$127="","",Performance!$AA$127)</f>
        <v>0</v>
      </c>
      <c r="BO127" s="32">
        <f>IF(BH127="","",IF(BK127="","",IF(OR(BK127&lt;DashStart,BK127&gt;DashEnd),"",IF(BN127="","",BN127+ROW()/1000000))))</f>
        <v>0</v>
      </c>
      <c r="BP127" s="32">
        <f>IF(BM127="","",IF(BK127="","",IF(OR(BK127&lt;DashStart,BK127&gt;DashEnd),"",BM127+ROW()/1000000)))</f>
        <v>0</v>
      </c>
      <c r="BQ127" s="32">
        <f>IF(BH127="","",IF(BK127="","",IF(YEAR(BK127)&lt;&gt;PlanYear,"",IF(BN127="","",BN127+ROW()/1000000))))</f>
        <v>0</v>
      </c>
      <c r="BR127" s="32">
        <f>IF(BH127="","",IF(BK127="","",IF(OR(BK127&lt;RepFrom,BK127&gt;RepTo),"",IF(BN127="","",BN127+ROW()/1000000))))</f>
        <v>0</v>
      </c>
      <c r="BS127" s="32">
        <f>IF(BM127="","",IF(BK127="","",IF(YEAR(BK127)&lt;&gt;PlanYear,"",BM127+ROW()/1000000)))</f>
        <v>0</v>
      </c>
      <c r="BT127" s="17">
        <f>IF(Lists!$F127="","",Lists!$F127)</f>
        <v>0</v>
      </c>
      <c r="BU127" s="23">
        <f>IF(BT127="","",COUNTIF('Content Calendar'!$X$5:$X$604,BT127))</f>
        <v>0</v>
      </c>
      <c r="BV127" s="23">
        <f>IF(BT127="","",COUNTIFS('Content Calendar'!$X$5:$X$604,BT127,'Content Calendar'!$B$5:$B$604,"&gt;="&amp;DashStart,'Content Calendar'!$B$5:$B$604,"&lt;="&amp;DashEnd))</f>
        <v>0</v>
      </c>
      <c r="BW127" s="17">
        <f>IF(Team!$B$127="","",Team!$B$127)</f>
        <v>0</v>
      </c>
      <c r="BX127" s="23">
        <f>IF(BW127="","",COUNTIF('Content Calendar'!$W$5:$W$604,BW127))</f>
        <v>0</v>
      </c>
      <c r="BY127" s="23">
        <f>IF(BW127="","",COUNTIFS('Content Calendar'!$W$5:$W$604,BW127,'Content Calendar'!$X$5:$X$604,"&lt;&gt;Published"))</f>
        <v>0</v>
      </c>
      <c r="BZ127" s="23">
        <f>IF(BW127="","",COUNTIFS(Tasks!$C$5:$C$64,BW127,Tasks!$G$5:$G$64,"&lt;&gt;Complete"))</f>
        <v>0</v>
      </c>
      <c r="CA127" s="17">
        <f>IF(Campaigns!$B$127="","",Campaigns!$B$127)</f>
        <v>0</v>
      </c>
      <c r="CB127" s="25">
        <f>IF(Campaigns!$T$127="","",Campaigns!$T$127)</f>
        <v>0</v>
      </c>
      <c r="CC127" s="25">
        <f>IF(Campaigns!$Q$127="","",Campaigns!$Q$127)</f>
        <v>0</v>
      </c>
      <c r="CD127" s="23">
        <f>IF(Campaigns!$Y$127="","",Campaigns!$Y$127)</f>
        <v>0</v>
      </c>
      <c r="CE127" s="32">
        <f>IF(CA127="","",IF(N(CB127)&lt;=0,"",N(CB127)+ROW()/1000000))</f>
        <v>0</v>
      </c>
      <c r="CF127" s="17">
        <f>IF(Accounts!$C$127="","",Accounts!$C$127)</f>
        <v>0</v>
      </c>
      <c r="CG127" s="17">
        <f>IF(Accounts!$B$127="","",Accounts!$B$127)</f>
        <v>0</v>
      </c>
      <c r="CH127" s="23">
        <f>IF(Accounts!$J$127="","",Accounts!$J$127)</f>
        <v>0</v>
      </c>
      <c r="CI127" s="23">
        <f>IF(CF127="","",SUMIFS(Analytics!$X$5:$X$154,Analytics!$E$5:$E$154,CF127,Analytics!$B$5:$B$154,"&gt;="&amp;DashStart,Analytics!$B$5:$B$154,"&lt;="&amp;DashEnd))</f>
        <v>0</v>
      </c>
      <c r="CJ127" s="32">
        <f>IF(CH127="","",IF(CH127=0,"",CH127+ROW()/1000000))</f>
        <v>0</v>
      </c>
    </row>
    <row r="128" spans="1:88">
      <c r="A128" s="16">
        <f>IF(ROW()-4&gt;12,"",DATE(PlanYear,ROW()-4,1))</f>
        <v>0</v>
      </c>
      <c r="B128" s="16">
        <f>IF(A128="","",EOMONTH(A128,0))</f>
        <v>0</v>
      </c>
      <c r="C128" s="17">
        <f>IF(A128="","",TEXT(A128,"yyyy-mm"))</f>
        <v>0</v>
      </c>
      <c r="D128" s="17">
        <f>IF(A128="","",TEXT(A128,"mmm"))</f>
        <v>0</v>
      </c>
      <c r="E128" s="23">
        <f>IF(C128="","",COUNTIFS('Content Calendar'!$D$5:$D$604,C128))</f>
        <v>0</v>
      </c>
      <c r="F128" s="23">
        <f>IF(C128="","",COUNTIFS('Content Calendar'!$D$5:$D$604,C128,'Content Calendar'!$X$5:$X$604,"Published"))</f>
        <v>0</v>
      </c>
      <c r="G128" s="23">
        <f>IF(C128="","",SUMIFS(Analytics!$J$5:$J$154,Analytics!$C$5:$C$154,C128))</f>
        <v>0</v>
      </c>
      <c r="H128" s="23">
        <f>IF(C128="","",SUMIFS(Analytics!$K$5:$K$154,Analytics!$C$5:$C$154,C128))</f>
        <v>0</v>
      </c>
      <c r="I128" s="23">
        <f>IF(C128="","",SUMIFS(Analytics!$L$5:$L$154,Analytics!$C$5:$C$154,C128))</f>
        <v>0</v>
      </c>
      <c r="J128" s="24">
        <f>IF(OR(G128="",G128=0),"",I128/G128)</f>
        <v>0</v>
      </c>
      <c r="K128" s="23">
        <f>IF(C128="","",SUMIFS(Analytics!$G$5:$G$154,Analytics!$C$5:$C$154,C128))</f>
        <v>0</v>
      </c>
      <c r="L128" s="23">
        <f>IF(C128="","",SUMIFS(Analytics!$X$5:$X$154,Analytics!$C$5:$C$154,C128))</f>
        <v>0</v>
      </c>
      <c r="M128" s="23">
        <f>IF(C128="","",SUMIFS(Analytics!$R$5:$R$154,Analytics!$C$5:$C$154,C128))</f>
        <v>0</v>
      </c>
      <c r="N128" s="23">
        <f>IF(C128="","",SUMIFS(Analytics!$S$5:$S$154,Analytics!$C$5:$C$154,C128))</f>
        <v>0</v>
      </c>
      <c r="O128" s="23">
        <f>IF(C128="","",SUMIFS(Analytics!$T$5:$T$154,Analytics!$C$5:$C$154,C128))</f>
        <v>0</v>
      </c>
      <c r="P128" s="25">
        <f>IF(C128="","",SUMIFS(Analytics!$U$5:$U$154,Analytics!$C$5:$C$154,C128))</f>
        <v>0</v>
      </c>
      <c r="Q128" s="25">
        <f>IF(C128="","",SUMIFS(Budget!$H$5:$H$64,Budget!$C$5:$C$64,C128))</f>
        <v>0</v>
      </c>
      <c r="R128" s="25">
        <f>IF(C128="","",P128-Q128)</f>
        <v>0</v>
      </c>
      <c r="S128" s="23">
        <f>IF(C128="","",MonthlyPostTarget)</f>
        <v>0</v>
      </c>
      <c r="T128" s="17">
        <f>IF(Lists!$C128="","",Lists!$C128)</f>
        <v>0</v>
      </c>
      <c r="U128" s="23">
        <f>IF(T128="","",COUNTIFS('Content Calendar'!$G$5:$G$604,T128,'Content Calendar'!$B$5:$B$604,"&gt;="&amp;DashStart,'Content Calendar'!$B$5:$B$604,"&lt;="&amp;DashEnd))</f>
        <v>0</v>
      </c>
      <c r="V128" s="23">
        <f>IF(T128="","",COUNTIFS('Content Calendar'!$G$5:$G$604,T128,'Content Calendar'!$X$5:$X$604,"Published",'Content Calendar'!$B$5:$B$604,"&gt;="&amp;DashStart,'Content Calendar'!$B$5:$B$604,"&lt;="&amp;DashEnd))</f>
        <v>0</v>
      </c>
      <c r="W128" s="23">
        <f>IF(T128="","",SUMIFS(Analytics!$J$5:$J$154,Analytics!$D$5:$D$154,T128,Analytics!$B$5:$B$154,"&gt;="&amp;DashStart,Analytics!$B$5:$B$154,"&lt;="&amp;DashEnd))</f>
        <v>0</v>
      </c>
      <c r="X128" s="23">
        <f>IF(T128="","",SUMIFS(Analytics!$L$5:$L$154,Analytics!$D$5:$D$154,T128,Analytics!$B$5:$B$154,"&gt;="&amp;DashStart,Analytics!$B$5:$B$154,"&lt;="&amp;DashEnd))</f>
        <v>0</v>
      </c>
      <c r="Y128" s="24">
        <f>IF(OR(W128="",W128=0),"",X128/W128)</f>
        <v>0</v>
      </c>
      <c r="Z128" s="23">
        <f>IF(T128="","",SUMIFS(Analytics!$G$5:$G$154,Analytics!$D$5:$D$154,T128,Analytics!$B$5:$B$154,"&gt;="&amp;DashStart,Analytics!$B$5:$B$154,"&lt;="&amp;DashEnd))</f>
        <v>0</v>
      </c>
      <c r="AA128" s="23">
        <f>IF(T128="","",SUMIFS(Analytics!$X$5:$X$154,Analytics!$D$5:$D$154,T128,Analytics!$B$5:$B$154,"&gt;="&amp;DashStart,Analytics!$B$5:$B$154,"&lt;="&amp;DashEnd))</f>
        <v>0</v>
      </c>
      <c r="AB128" s="23">
        <f>IF(T128="","",SUMIFS(Analytics!$R$5:$R$154,Analytics!$D$5:$D$154,T128,Analytics!$B$5:$B$154,"&gt;="&amp;DashStart,Analytics!$B$5:$B$154,"&lt;="&amp;DashEnd))</f>
        <v>0</v>
      </c>
      <c r="AC128" s="25">
        <f>IF(T128="","",SUMIFS(Analytics!$U$5:$U$154,Analytics!$D$5:$D$154,T128,Analytics!$B$5:$B$154,"&gt;="&amp;DashStart,Analytics!$B$5:$B$154,"&lt;="&amp;DashEnd))</f>
        <v>0</v>
      </c>
      <c r="AD128" s="23">
        <f>IF(T128="","",COUNTIFS('Content Calendar'!$G$5:$G$604,T128,'Content Calendar'!$B$5:$B$604,"&gt;="&amp;DATE(PlanYear,1,1),'Content Calendar'!$B$5:$B$604,"&lt;="&amp;DATE(PlanYear,12,31)))</f>
        <v>0</v>
      </c>
      <c r="AE128" s="23">
        <f>IF(T128="","",SUMIFS(Analytics!$J$5:$J$154,Analytics!$D$5:$D$154,T128))</f>
        <v>0</v>
      </c>
      <c r="AF128" s="23">
        <f>IF(T128="","",SUMIFS(Analytics!$L$5:$L$154,Analytics!$D$5:$D$154,T128))</f>
        <v>0</v>
      </c>
      <c r="AG128" s="24">
        <f>IF(OR(AE128="",AE128=0),"",AF128/AE128)</f>
        <v>0</v>
      </c>
      <c r="AH128" s="23">
        <f>IF(T128="","",SUMIFS(Analytics!$X$5:$X$154,Analytics!$D$5:$D$154,T128))</f>
        <v>0</v>
      </c>
      <c r="AI128" s="32">
        <f>IF(T128="","",IF(AE128=0,"",AE128+ROW()/1000000))</f>
        <v>0</v>
      </c>
      <c r="AJ128" s="17">
        <f>IF('Content Pillars'!$B$128="","",'Content Pillars'!$B$128)</f>
        <v>0</v>
      </c>
      <c r="AK128" s="23">
        <f>IF(AJ128="","",COUNTIFS('Content Calendar'!$J$5:$J$604,AJ128,'Content Calendar'!$B$5:$B$604,"&gt;="&amp;DATE(PlanYear,1,1),'Content Calendar'!$B$5:$B$604,"&lt;="&amp;DATE(PlanYear,12,31)))</f>
        <v>0</v>
      </c>
      <c r="AL128" s="23">
        <f>IF(AJ128="","",SUMIFS(Performance!$O$5:$O$404,Performance!$H$5:$H$404,AJ128))</f>
        <v>0</v>
      </c>
      <c r="AM128" s="23">
        <f>IF(AJ128="","",SUMIFS(Performance!$Z$5:$Z$404,Performance!$H$5:$H$404,AJ128))</f>
        <v>0</v>
      </c>
      <c r="AN128" s="24">
        <f>IF(OR(AL128="",AL128=0),"",AM128/AL128)</f>
        <v>0</v>
      </c>
      <c r="AO128" s="32">
        <f>IF(AN128="","",AN128+ROW()/1000000)</f>
        <v>0</v>
      </c>
      <c r="AP128" s="17">
        <f>IF(Lists!$E128="","",Lists!$E128)</f>
        <v>0</v>
      </c>
      <c r="AQ128" s="23">
        <f>IF(AP128="","",COUNTIF(Performance!$G$5:$G$404,AP128))</f>
        <v>0</v>
      </c>
      <c r="AR128" s="23">
        <f>IF(AP128="","",SUMIFS(Performance!$O$5:$O$404,Performance!$G$5:$G$404,AP128))</f>
        <v>0</v>
      </c>
      <c r="AS128" s="23">
        <f>IF(AP128="","",SUMIFS(Performance!$Z$5:$Z$404,Performance!$G$5:$G$404,AP128))</f>
        <v>0</v>
      </c>
      <c r="AT128" s="24">
        <f>IF(OR(AR128="",AR128=0),"",AS128/AR128)</f>
        <v>0</v>
      </c>
      <c r="AU128" s="32">
        <f>IF(AQ128=0,"",IF(AT128="","",AT128+ROW()/1000000))</f>
        <v>0</v>
      </c>
      <c r="AV128" s="17">
        <f>IF(ROW()-4&gt;7,"",TEXT(DATE(2024,1,ROW()-4),"ddd"))</f>
        <v>0</v>
      </c>
      <c r="AW128" s="23">
        <f>IF(AV128="","",COUNTIF(Performance!$N$5:$N$404,AV128))</f>
        <v>0</v>
      </c>
      <c r="AX128" s="23">
        <f>IF(AV128="","",SUMIFS(Performance!$O$5:$O$404,Performance!$N$5:$N$404,AV128))</f>
        <v>0</v>
      </c>
      <c r="AY128" s="23">
        <f>IF(AV128="","",SUMIFS(Performance!$Z$5:$Z$404,Performance!$N$5:$N$404,AV128))</f>
        <v>0</v>
      </c>
      <c r="AZ128" s="24">
        <f>IF(OR(AX128="",AX128=0),"",AY128/AX128)</f>
        <v>0</v>
      </c>
      <c r="BA128" s="32">
        <f>IF(AW128=0,"",IF(AZ128="","",AZ128+ROW()/1000000))</f>
        <v>0</v>
      </c>
      <c r="BB128" s="17">
        <f>IF(Lists!$AL128="","",Lists!$AL128)</f>
        <v>0</v>
      </c>
      <c r="BC128" s="23">
        <f>IF(BB128="","",COUNTIF(Performance!$M$5:$M$404,BB128))</f>
        <v>0</v>
      </c>
      <c r="BD128" s="23">
        <f>IF(BB128="","",SUMIFS(Performance!$O$5:$O$404,Performance!$M$5:$M$404,BB128))</f>
        <v>0</v>
      </c>
      <c r="BE128" s="23">
        <f>IF(BB128="","",SUMIFS(Performance!$Z$5:$Z$404,Performance!$M$5:$M$404,BB128))</f>
        <v>0</v>
      </c>
      <c r="BF128" s="24">
        <f>IF(OR(BD128="",BD128=0),"",BE128/BD128)</f>
        <v>0</v>
      </c>
      <c r="BG128" s="32">
        <f>IF(BC128=0,"",IF(BF128="","",BF128+ROW()/1000000))</f>
        <v>0</v>
      </c>
      <c r="BH128" s="17">
        <f>IF(Performance!$C$128="","",Performance!$C$128)</f>
        <v>0</v>
      </c>
      <c r="BI128" s="17">
        <f>IF(Performance!$F$128="","",Performance!$F$128)</f>
        <v>0</v>
      </c>
      <c r="BJ128" s="17">
        <f>IF(Performance!$H$128="","",Performance!$H$128)</f>
        <v>0</v>
      </c>
      <c r="BK128" s="16">
        <f>IF(Performance!$D$128="","",Performance!$D$128)</f>
        <v>0</v>
      </c>
      <c r="BL128" s="17">
        <f>IF(Performance!$E$128="","",Performance!$E$128)</f>
        <v>0</v>
      </c>
      <c r="BM128" s="23">
        <f>IF(Performance!$O$128="","",Performance!$O$128)</f>
        <v>0</v>
      </c>
      <c r="BN128" s="24">
        <f>IF(Performance!$AA$128="","",Performance!$AA$128)</f>
        <v>0</v>
      </c>
      <c r="BO128" s="32">
        <f>IF(BH128="","",IF(BK128="","",IF(OR(BK128&lt;DashStart,BK128&gt;DashEnd),"",IF(BN128="","",BN128+ROW()/1000000))))</f>
        <v>0</v>
      </c>
      <c r="BP128" s="32">
        <f>IF(BM128="","",IF(BK128="","",IF(OR(BK128&lt;DashStart,BK128&gt;DashEnd),"",BM128+ROW()/1000000)))</f>
        <v>0</v>
      </c>
      <c r="BQ128" s="32">
        <f>IF(BH128="","",IF(BK128="","",IF(YEAR(BK128)&lt;&gt;PlanYear,"",IF(BN128="","",BN128+ROW()/1000000))))</f>
        <v>0</v>
      </c>
      <c r="BR128" s="32">
        <f>IF(BH128="","",IF(BK128="","",IF(OR(BK128&lt;RepFrom,BK128&gt;RepTo),"",IF(BN128="","",BN128+ROW()/1000000))))</f>
        <v>0</v>
      </c>
      <c r="BS128" s="32">
        <f>IF(BM128="","",IF(BK128="","",IF(YEAR(BK128)&lt;&gt;PlanYear,"",BM128+ROW()/1000000)))</f>
        <v>0</v>
      </c>
      <c r="BT128" s="17">
        <f>IF(Lists!$F128="","",Lists!$F128)</f>
        <v>0</v>
      </c>
      <c r="BU128" s="23">
        <f>IF(BT128="","",COUNTIF('Content Calendar'!$X$5:$X$604,BT128))</f>
        <v>0</v>
      </c>
      <c r="BV128" s="23">
        <f>IF(BT128="","",COUNTIFS('Content Calendar'!$X$5:$X$604,BT128,'Content Calendar'!$B$5:$B$604,"&gt;="&amp;DashStart,'Content Calendar'!$B$5:$B$604,"&lt;="&amp;DashEnd))</f>
        <v>0</v>
      </c>
      <c r="BW128" s="17">
        <f>IF(Team!$B$128="","",Team!$B$128)</f>
        <v>0</v>
      </c>
      <c r="BX128" s="23">
        <f>IF(BW128="","",COUNTIF('Content Calendar'!$W$5:$W$604,BW128))</f>
        <v>0</v>
      </c>
      <c r="BY128" s="23">
        <f>IF(BW128="","",COUNTIFS('Content Calendar'!$W$5:$W$604,BW128,'Content Calendar'!$X$5:$X$604,"&lt;&gt;Published"))</f>
        <v>0</v>
      </c>
      <c r="BZ128" s="23">
        <f>IF(BW128="","",COUNTIFS(Tasks!$C$5:$C$64,BW128,Tasks!$G$5:$G$64,"&lt;&gt;Complete"))</f>
        <v>0</v>
      </c>
      <c r="CA128" s="17">
        <f>IF(Campaigns!$B$128="","",Campaigns!$B$128)</f>
        <v>0</v>
      </c>
      <c r="CB128" s="25">
        <f>IF(Campaigns!$T$128="","",Campaigns!$T$128)</f>
        <v>0</v>
      </c>
      <c r="CC128" s="25">
        <f>IF(Campaigns!$Q$128="","",Campaigns!$Q$128)</f>
        <v>0</v>
      </c>
      <c r="CD128" s="23">
        <f>IF(Campaigns!$Y$128="","",Campaigns!$Y$128)</f>
        <v>0</v>
      </c>
      <c r="CE128" s="32">
        <f>IF(CA128="","",IF(N(CB128)&lt;=0,"",N(CB128)+ROW()/1000000))</f>
        <v>0</v>
      </c>
      <c r="CF128" s="17">
        <f>IF(Accounts!$C$128="","",Accounts!$C$128)</f>
        <v>0</v>
      </c>
      <c r="CG128" s="17">
        <f>IF(Accounts!$B$128="","",Accounts!$B$128)</f>
        <v>0</v>
      </c>
      <c r="CH128" s="23">
        <f>IF(Accounts!$J$128="","",Accounts!$J$128)</f>
        <v>0</v>
      </c>
      <c r="CI128" s="23">
        <f>IF(CF128="","",SUMIFS(Analytics!$X$5:$X$154,Analytics!$E$5:$E$154,CF128,Analytics!$B$5:$B$154,"&gt;="&amp;DashStart,Analytics!$B$5:$B$154,"&lt;="&amp;DashEnd))</f>
        <v>0</v>
      </c>
      <c r="CJ128" s="32">
        <f>IF(CH128="","",IF(CH128=0,"",CH128+ROW()/1000000))</f>
        <v>0</v>
      </c>
    </row>
    <row r="129" spans="1:88">
      <c r="A129" s="16">
        <f>IF(ROW()-4&gt;12,"",DATE(PlanYear,ROW()-4,1))</f>
        <v>0</v>
      </c>
      <c r="B129" s="16">
        <f>IF(A129="","",EOMONTH(A129,0))</f>
        <v>0</v>
      </c>
      <c r="C129" s="17">
        <f>IF(A129="","",TEXT(A129,"yyyy-mm"))</f>
        <v>0</v>
      </c>
      <c r="D129" s="17">
        <f>IF(A129="","",TEXT(A129,"mmm"))</f>
        <v>0</v>
      </c>
      <c r="E129" s="23">
        <f>IF(C129="","",COUNTIFS('Content Calendar'!$D$5:$D$604,C129))</f>
        <v>0</v>
      </c>
      <c r="F129" s="23">
        <f>IF(C129="","",COUNTIFS('Content Calendar'!$D$5:$D$604,C129,'Content Calendar'!$X$5:$X$604,"Published"))</f>
        <v>0</v>
      </c>
      <c r="G129" s="23">
        <f>IF(C129="","",SUMIFS(Analytics!$J$5:$J$154,Analytics!$C$5:$C$154,C129))</f>
        <v>0</v>
      </c>
      <c r="H129" s="23">
        <f>IF(C129="","",SUMIFS(Analytics!$K$5:$K$154,Analytics!$C$5:$C$154,C129))</f>
        <v>0</v>
      </c>
      <c r="I129" s="23">
        <f>IF(C129="","",SUMIFS(Analytics!$L$5:$L$154,Analytics!$C$5:$C$154,C129))</f>
        <v>0</v>
      </c>
      <c r="J129" s="24">
        <f>IF(OR(G129="",G129=0),"",I129/G129)</f>
        <v>0</v>
      </c>
      <c r="K129" s="23">
        <f>IF(C129="","",SUMIFS(Analytics!$G$5:$G$154,Analytics!$C$5:$C$154,C129))</f>
        <v>0</v>
      </c>
      <c r="L129" s="23">
        <f>IF(C129="","",SUMIFS(Analytics!$X$5:$X$154,Analytics!$C$5:$C$154,C129))</f>
        <v>0</v>
      </c>
      <c r="M129" s="23">
        <f>IF(C129="","",SUMIFS(Analytics!$R$5:$R$154,Analytics!$C$5:$C$154,C129))</f>
        <v>0</v>
      </c>
      <c r="N129" s="23">
        <f>IF(C129="","",SUMIFS(Analytics!$S$5:$S$154,Analytics!$C$5:$C$154,C129))</f>
        <v>0</v>
      </c>
      <c r="O129" s="23">
        <f>IF(C129="","",SUMIFS(Analytics!$T$5:$T$154,Analytics!$C$5:$C$154,C129))</f>
        <v>0</v>
      </c>
      <c r="P129" s="25">
        <f>IF(C129="","",SUMIFS(Analytics!$U$5:$U$154,Analytics!$C$5:$C$154,C129))</f>
        <v>0</v>
      </c>
      <c r="Q129" s="25">
        <f>IF(C129="","",SUMIFS(Budget!$H$5:$H$64,Budget!$C$5:$C$64,C129))</f>
        <v>0</v>
      </c>
      <c r="R129" s="25">
        <f>IF(C129="","",P129-Q129)</f>
        <v>0</v>
      </c>
      <c r="S129" s="23">
        <f>IF(C129="","",MonthlyPostTarget)</f>
        <v>0</v>
      </c>
      <c r="T129" s="17">
        <f>IF(Lists!$C129="","",Lists!$C129)</f>
        <v>0</v>
      </c>
      <c r="U129" s="23">
        <f>IF(T129="","",COUNTIFS('Content Calendar'!$G$5:$G$604,T129,'Content Calendar'!$B$5:$B$604,"&gt;="&amp;DashStart,'Content Calendar'!$B$5:$B$604,"&lt;="&amp;DashEnd))</f>
        <v>0</v>
      </c>
      <c r="V129" s="23">
        <f>IF(T129="","",COUNTIFS('Content Calendar'!$G$5:$G$604,T129,'Content Calendar'!$X$5:$X$604,"Published",'Content Calendar'!$B$5:$B$604,"&gt;="&amp;DashStart,'Content Calendar'!$B$5:$B$604,"&lt;="&amp;DashEnd))</f>
        <v>0</v>
      </c>
      <c r="W129" s="23">
        <f>IF(T129="","",SUMIFS(Analytics!$J$5:$J$154,Analytics!$D$5:$D$154,T129,Analytics!$B$5:$B$154,"&gt;="&amp;DashStart,Analytics!$B$5:$B$154,"&lt;="&amp;DashEnd))</f>
        <v>0</v>
      </c>
      <c r="X129" s="23">
        <f>IF(T129="","",SUMIFS(Analytics!$L$5:$L$154,Analytics!$D$5:$D$154,T129,Analytics!$B$5:$B$154,"&gt;="&amp;DashStart,Analytics!$B$5:$B$154,"&lt;="&amp;DashEnd))</f>
        <v>0</v>
      </c>
      <c r="Y129" s="24">
        <f>IF(OR(W129="",W129=0),"",X129/W129)</f>
        <v>0</v>
      </c>
      <c r="Z129" s="23">
        <f>IF(T129="","",SUMIFS(Analytics!$G$5:$G$154,Analytics!$D$5:$D$154,T129,Analytics!$B$5:$B$154,"&gt;="&amp;DashStart,Analytics!$B$5:$B$154,"&lt;="&amp;DashEnd))</f>
        <v>0</v>
      </c>
      <c r="AA129" s="23">
        <f>IF(T129="","",SUMIFS(Analytics!$X$5:$X$154,Analytics!$D$5:$D$154,T129,Analytics!$B$5:$B$154,"&gt;="&amp;DashStart,Analytics!$B$5:$B$154,"&lt;="&amp;DashEnd))</f>
        <v>0</v>
      </c>
      <c r="AB129" s="23">
        <f>IF(T129="","",SUMIFS(Analytics!$R$5:$R$154,Analytics!$D$5:$D$154,T129,Analytics!$B$5:$B$154,"&gt;="&amp;DashStart,Analytics!$B$5:$B$154,"&lt;="&amp;DashEnd))</f>
        <v>0</v>
      </c>
      <c r="AC129" s="25">
        <f>IF(T129="","",SUMIFS(Analytics!$U$5:$U$154,Analytics!$D$5:$D$154,T129,Analytics!$B$5:$B$154,"&gt;="&amp;DashStart,Analytics!$B$5:$B$154,"&lt;="&amp;DashEnd))</f>
        <v>0</v>
      </c>
      <c r="AD129" s="23">
        <f>IF(T129="","",COUNTIFS('Content Calendar'!$G$5:$G$604,T129,'Content Calendar'!$B$5:$B$604,"&gt;="&amp;DATE(PlanYear,1,1),'Content Calendar'!$B$5:$B$604,"&lt;="&amp;DATE(PlanYear,12,31)))</f>
        <v>0</v>
      </c>
      <c r="AE129" s="23">
        <f>IF(T129="","",SUMIFS(Analytics!$J$5:$J$154,Analytics!$D$5:$D$154,T129))</f>
        <v>0</v>
      </c>
      <c r="AF129" s="23">
        <f>IF(T129="","",SUMIFS(Analytics!$L$5:$L$154,Analytics!$D$5:$D$154,T129))</f>
        <v>0</v>
      </c>
      <c r="AG129" s="24">
        <f>IF(OR(AE129="",AE129=0),"",AF129/AE129)</f>
        <v>0</v>
      </c>
      <c r="AH129" s="23">
        <f>IF(T129="","",SUMIFS(Analytics!$X$5:$X$154,Analytics!$D$5:$D$154,T129))</f>
        <v>0</v>
      </c>
      <c r="AI129" s="32">
        <f>IF(T129="","",IF(AE129=0,"",AE129+ROW()/1000000))</f>
        <v>0</v>
      </c>
      <c r="AJ129" s="17">
        <f>IF('Content Pillars'!$B$129="","",'Content Pillars'!$B$129)</f>
        <v>0</v>
      </c>
      <c r="AK129" s="23">
        <f>IF(AJ129="","",COUNTIFS('Content Calendar'!$J$5:$J$604,AJ129,'Content Calendar'!$B$5:$B$604,"&gt;="&amp;DATE(PlanYear,1,1),'Content Calendar'!$B$5:$B$604,"&lt;="&amp;DATE(PlanYear,12,31)))</f>
        <v>0</v>
      </c>
      <c r="AL129" s="23">
        <f>IF(AJ129="","",SUMIFS(Performance!$O$5:$O$404,Performance!$H$5:$H$404,AJ129))</f>
        <v>0</v>
      </c>
      <c r="AM129" s="23">
        <f>IF(AJ129="","",SUMIFS(Performance!$Z$5:$Z$404,Performance!$H$5:$H$404,AJ129))</f>
        <v>0</v>
      </c>
      <c r="AN129" s="24">
        <f>IF(OR(AL129="",AL129=0),"",AM129/AL129)</f>
        <v>0</v>
      </c>
      <c r="AO129" s="32">
        <f>IF(AN129="","",AN129+ROW()/1000000)</f>
        <v>0</v>
      </c>
      <c r="AP129" s="17">
        <f>IF(Lists!$E129="","",Lists!$E129)</f>
        <v>0</v>
      </c>
      <c r="AQ129" s="23">
        <f>IF(AP129="","",COUNTIF(Performance!$G$5:$G$404,AP129))</f>
        <v>0</v>
      </c>
      <c r="AR129" s="23">
        <f>IF(AP129="","",SUMIFS(Performance!$O$5:$O$404,Performance!$G$5:$G$404,AP129))</f>
        <v>0</v>
      </c>
      <c r="AS129" s="23">
        <f>IF(AP129="","",SUMIFS(Performance!$Z$5:$Z$404,Performance!$G$5:$G$404,AP129))</f>
        <v>0</v>
      </c>
      <c r="AT129" s="24">
        <f>IF(OR(AR129="",AR129=0),"",AS129/AR129)</f>
        <v>0</v>
      </c>
      <c r="AU129" s="32">
        <f>IF(AQ129=0,"",IF(AT129="","",AT129+ROW()/1000000))</f>
        <v>0</v>
      </c>
      <c r="AV129" s="17">
        <f>IF(ROW()-4&gt;7,"",TEXT(DATE(2024,1,ROW()-4),"ddd"))</f>
        <v>0</v>
      </c>
      <c r="AW129" s="23">
        <f>IF(AV129="","",COUNTIF(Performance!$N$5:$N$404,AV129))</f>
        <v>0</v>
      </c>
      <c r="AX129" s="23">
        <f>IF(AV129="","",SUMIFS(Performance!$O$5:$O$404,Performance!$N$5:$N$404,AV129))</f>
        <v>0</v>
      </c>
      <c r="AY129" s="23">
        <f>IF(AV129="","",SUMIFS(Performance!$Z$5:$Z$404,Performance!$N$5:$N$404,AV129))</f>
        <v>0</v>
      </c>
      <c r="AZ129" s="24">
        <f>IF(OR(AX129="",AX129=0),"",AY129/AX129)</f>
        <v>0</v>
      </c>
      <c r="BA129" s="32">
        <f>IF(AW129=0,"",IF(AZ129="","",AZ129+ROW()/1000000))</f>
        <v>0</v>
      </c>
      <c r="BB129" s="17">
        <f>IF(Lists!$AL129="","",Lists!$AL129)</f>
        <v>0</v>
      </c>
      <c r="BC129" s="23">
        <f>IF(BB129="","",COUNTIF(Performance!$M$5:$M$404,BB129))</f>
        <v>0</v>
      </c>
      <c r="BD129" s="23">
        <f>IF(BB129="","",SUMIFS(Performance!$O$5:$O$404,Performance!$M$5:$M$404,BB129))</f>
        <v>0</v>
      </c>
      <c r="BE129" s="23">
        <f>IF(BB129="","",SUMIFS(Performance!$Z$5:$Z$404,Performance!$M$5:$M$404,BB129))</f>
        <v>0</v>
      </c>
      <c r="BF129" s="24">
        <f>IF(OR(BD129="",BD129=0),"",BE129/BD129)</f>
        <v>0</v>
      </c>
      <c r="BG129" s="32">
        <f>IF(BC129=0,"",IF(BF129="","",BF129+ROW()/1000000))</f>
        <v>0</v>
      </c>
      <c r="BH129" s="17">
        <f>IF(Performance!$C$129="","",Performance!$C$129)</f>
        <v>0</v>
      </c>
      <c r="BI129" s="17">
        <f>IF(Performance!$F$129="","",Performance!$F$129)</f>
        <v>0</v>
      </c>
      <c r="BJ129" s="17">
        <f>IF(Performance!$H$129="","",Performance!$H$129)</f>
        <v>0</v>
      </c>
      <c r="BK129" s="16">
        <f>IF(Performance!$D$129="","",Performance!$D$129)</f>
        <v>0</v>
      </c>
      <c r="BL129" s="17">
        <f>IF(Performance!$E$129="","",Performance!$E$129)</f>
        <v>0</v>
      </c>
      <c r="BM129" s="23">
        <f>IF(Performance!$O$129="","",Performance!$O$129)</f>
        <v>0</v>
      </c>
      <c r="BN129" s="24">
        <f>IF(Performance!$AA$129="","",Performance!$AA$129)</f>
        <v>0</v>
      </c>
      <c r="BO129" s="32">
        <f>IF(BH129="","",IF(BK129="","",IF(OR(BK129&lt;DashStart,BK129&gt;DashEnd),"",IF(BN129="","",BN129+ROW()/1000000))))</f>
        <v>0</v>
      </c>
      <c r="BP129" s="32">
        <f>IF(BM129="","",IF(BK129="","",IF(OR(BK129&lt;DashStart,BK129&gt;DashEnd),"",BM129+ROW()/1000000)))</f>
        <v>0</v>
      </c>
      <c r="BQ129" s="32">
        <f>IF(BH129="","",IF(BK129="","",IF(YEAR(BK129)&lt;&gt;PlanYear,"",IF(BN129="","",BN129+ROW()/1000000))))</f>
        <v>0</v>
      </c>
      <c r="BR129" s="32">
        <f>IF(BH129="","",IF(BK129="","",IF(OR(BK129&lt;RepFrom,BK129&gt;RepTo),"",IF(BN129="","",BN129+ROW()/1000000))))</f>
        <v>0</v>
      </c>
      <c r="BS129" s="32">
        <f>IF(BM129="","",IF(BK129="","",IF(YEAR(BK129)&lt;&gt;PlanYear,"",BM129+ROW()/1000000)))</f>
        <v>0</v>
      </c>
      <c r="BT129" s="17">
        <f>IF(Lists!$F129="","",Lists!$F129)</f>
        <v>0</v>
      </c>
      <c r="BU129" s="23">
        <f>IF(BT129="","",COUNTIF('Content Calendar'!$X$5:$X$604,BT129))</f>
        <v>0</v>
      </c>
      <c r="BV129" s="23">
        <f>IF(BT129="","",COUNTIFS('Content Calendar'!$X$5:$X$604,BT129,'Content Calendar'!$B$5:$B$604,"&gt;="&amp;DashStart,'Content Calendar'!$B$5:$B$604,"&lt;="&amp;DashEnd))</f>
        <v>0</v>
      </c>
      <c r="BW129" s="17">
        <f>IF(Team!$B$129="","",Team!$B$129)</f>
        <v>0</v>
      </c>
      <c r="BX129" s="23">
        <f>IF(BW129="","",COUNTIF('Content Calendar'!$W$5:$W$604,BW129))</f>
        <v>0</v>
      </c>
      <c r="BY129" s="23">
        <f>IF(BW129="","",COUNTIFS('Content Calendar'!$W$5:$W$604,BW129,'Content Calendar'!$X$5:$X$604,"&lt;&gt;Published"))</f>
        <v>0</v>
      </c>
      <c r="BZ129" s="23">
        <f>IF(BW129="","",COUNTIFS(Tasks!$C$5:$C$64,BW129,Tasks!$G$5:$G$64,"&lt;&gt;Complete"))</f>
        <v>0</v>
      </c>
      <c r="CA129" s="17">
        <f>IF(Campaigns!$B$129="","",Campaigns!$B$129)</f>
        <v>0</v>
      </c>
      <c r="CB129" s="25">
        <f>IF(Campaigns!$T$129="","",Campaigns!$T$129)</f>
        <v>0</v>
      </c>
      <c r="CC129" s="25">
        <f>IF(Campaigns!$Q$129="","",Campaigns!$Q$129)</f>
        <v>0</v>
      </c>
      <c r="CD129" s="23">
        <f>IF(Campaigns!$Y$129="","",Campaigns!$Y$129)</f>
        <v>0</v>
      </c>
      <c r="CE129" s="32">
        <f>IF(CA129="","",IF(N(CB129)&lt;=0,"",N(CB129)+ROW()/1000000))</f>
        <v>0</v>
      </c>
      <c r="CF129" s="17">
        <f>IF(Accounts!$C$129="","",Accounts!$C$129)</f>
        <v>0</v>
      </c>
      <c r="CG129" s="17">
        <f>IF(Accounts!$B$129="","",Accounts!$B$129)</f>
        <v>0</v>
      </c>
      <c r="CH129" s="23">
        <f>IF(Accounts!$J$129="","",Accounts!$J$129)</f>
        <v>0</v>
      </c>
      <c r="CI129" s="23">
        <f>IF(CF129="","",SUMIFS(Analytics!$X$5:$X$154,Analytics!$E$5:$E$154,CF129,Analytics!$B$5:$B$154,"&gt;="&amp;DashStart,Analytics!$B$5:$B$154,"&lt;="&amp;DashEnd))</f>
        <v>0</v>
      </c>
      <c r="CJ129" s="32">
        <f>IF(CH129="","",IF(CH129=0,"",CH129+ROW()/1000000))</f>
        <v>0</v>
      </c>
    </row>
    <row r="130" spans="1:88">
      <c r="A130" s="16">
        <f>IF(ROW()-4&gt;12,"",DATE(PlanYear,ROW()-4,1))</f>
        <v>0</v>
      </c>
      <c r="B130" s="16">
        <f>IF(A130="","",EOMONTH(A130,0))</f>
        <v>0</v>
      </c>
      <c r="C130" s="17">
        <f>IF(A130="","",TEXT(A130,"yyyy-mm"))</f>
        <v>0</v>
      </c>
      <c r="D130" s="17">
        <f>IF(A130="","",TEXT(A130,"mmm"))</f>
        <v>0</v>
      </c>
      <c r="E130" s="23">
        <f>IF(C130="","",COUNTIFS('Content Calendar'!$D$5:$D$604,C130))</f>
        <v>0</v>
      </c>
      <c r="F130" s="23">
        <f>IF(C130="","",COUNTIFS('Content Calendar'!$D$5:$D$604,C130,'Content Calendar'!$X$5:$X$604,"Published"))</f>
        <v>0</v>
      </c>
      <c r="G130" s="23">
        <f>IF(C130="","",SUMIFS(Analytics!$J$5:$J$154,Analytics!$C$5:$C$154,C130))</f>
        <v>0</v>
      </c>
      <c r="H130" s="23">
        <f>IF(C130="","",SUMIFS(Analytics!$K$5:$K$154,Analytics!$C$5:$C$154,C130))</f>
        <v>0</v>
      </c>
      <c r="I130" s="23">
        <f>IF(C130="","",SUMIFS(Analytics!$L$5:$L$154,Analytics!$C$5:$C$154,C130))</f>
        <v>0</v>
      </c>
      <c r="J130" s="24">
        <f>IF(OR(G130="",G130=0),"",I130/G130)</f>
        <v>0</v>
      </c>
      <c r="K130" s="23">
        <f>IF(C130="","",SUMIFS(Analytics!$G$5:$G$154,Analytics!$C$5:$C$154,C130))</f>
        <v>0</v>
      </c>
      <c r="L130" s="23">
        <f>IF(C130="","",SUMIFS(Analytics!$X$5:$X$154,Analytics!$C$5:$C$154,C130))</f>
        <v>0</v>
      </c>
      <c r="M130" s="23">
        <f>IF(C130="","",SUMIFS(Analytics!$R$5:$R$154,Analytics!$C$5:$C$154,C130))</f>
        <v>0</v>
      </c>
      <c r="N130" s="23">
        <f>IF(C130="","",SUMIFS(Analytics!$S$5:$S$154,Analytics!$C$5:$C$154,C130))</f>
        <v>0</v>
      </c>
      <c r="O130" s="23">
        <f>IF(C130="","",SUMIFS(Analytics!$T$5:$T$154,Analytics!$C$5:$C$154,C130))</f>
        <v>0</v>
      </c>
      <c r="P130" s="25">
        <f>IF(C130="","",SUMIFS(Analytics!$U$5:$U$154,Analytics!$C$5:$C$154,C130))</f>
        <v>0</v>
      </c>
      <c r="Q130" s="25">
        <f>IF(C130="","",SUMIFS(Budget!$H$5:$H$64,Budget!$C$5:$C$64,C130))</f>
        <v>0</v>
      </c>
      <c r="R130" s="25">
        <f>IF(C130="","",P130-Q130)</f>
        <v>0</v>
      </c>
      <c r="S130" s="23">
        <f>IF(C130="","",MonthlyPostTarget)</f>
        <v>0</v>
      </c>
      <c r="T130" s="17">
        <f>IF(Lists!$C130="","",Lists!$C130)</f>
        <v>0</v>
      </c>
      <c r="U130" s="23">
        <f>IF(T130="","",COUNTIFS('Content Calendar'!$G$5:$G$604,T130,'Content Calendar'!$B$5:$B$604,"&gt;="&amp;DashStart,'Content Calendar'!$B$5:$B$604,"&lt;="&amp;DashEnd))</f>
        <v>0</v>
      </c>
      <c r="V130" s="23">
        <f>IF(T130="","",COUNTIFS('Content Calendar'!$G$5:$G$604,T130,'Content Calendar'!$X$5:$X$604,"Published",'Content Calendar'!$B$5:$B$604,"&gt;="&amp;DashStart,'Content Calendar'!$B$5:$B$604,"&lt;="&amp;DashEnd))</f>
        <v>0</v>
      </c>
      <c r="W130" s="23">
        <f>IF(T130="","",SUMIFS(Analytics!$J$5:$J$154,Analytics!$D$5:$D$154,T130,Analytics!$B$5:$B$154,"&gt;="&amp;DashStart,Analytics!$B$5:$B$154,"&lt;="&amp;DashEnd))</f>
        <v>0</v>
      </c>
      <c r="X130" s="23">
        <f>IF(T130="","",SUMIFS(Analytics!$L$5:$L$154,Analytics!$D$5:$D$154,T130,Analytics!$B$5:$B$154,"&gt;="&amp;DashStart,Analytics!$B$5:$B$154,"&lt;="&amp;DashEnd))</f>
        <v>0</v>
      </c>
      <c r="Y130" s="24">
        <f>IF(OR(W130="",W130=0),"",X130/W130)</f>
        <v>0</v>
      </c>
      <c r="Z130" s="23">
        <f>IF(T130="","",SUMIFS(Analytics!$G$5:$G$154,Analytics!$D$5:$D$154,T130,Analytics!$B$5:$B$154,"&gt;="&amp;DashStart,Analytics!$B$5:$B$154,"&lt;="&amp;DashEnd))</f>
        <v>0</v>
      </c>
      <c r="AA130" s="23">
        <f>IF(T130="","",SUMIFS(Analytics!$X$5:$X$154,Analytics!$D$5:$D$154,T130,Analytics!$B$5:$B$154,"&gt;="&amp;DashStart,Analytics!$B$5:$B$154,"&lt;="&amp;DashEnd))</f>
        <v>0</v>
      </c>
      <c r="AB130" s="23">
        <f>IF(T130="","",SUMIFS(Analytics!$R$5:$R$154,Analytics!$D$5:$D$154,T130,Analytics!$B$5:$B$154,"&gt;="&amp;DashStart,Analytics!$B$5:$B$154,"&lt;="&amp;DashEnd))</f>
        <v>0</v>
      </c>
      <c r="AC130" s="25">
        <f>IF(T130="","",SUMIFS(Analytics!$U$5:$U$154,Analytics!$D$5:$D$154,T130,Analytics!$B$5:$B$154,"&gt;="&amp;DashStart,Analytics!$B$5:$B$154,"&lt;="&amp;DashEnd))</f>
        <v>0</v>
      </c>
      <c r="AD130" s="23">
        <f>IF(T130="","",COUNTIFS('Content Calendar'!$G$5:$G$604,T130,'Content Calendar'!$B$5:$B$604,"&gt;="&amp;DATE(PlanYear,1,1),'Content Calendar'!$B$5:$B$604,"&lt;="&amp;DATE(PlanYear,12,31)))</f>
        <v>0</v>
      </c>
      <c r="AE130" s="23">
        <f>IF(T130="","",SUMIFS(Analytics!$J$5:$J$154,Analytics!$D$5:$D$154,T130))</f>
        <v>0</v>
      </c>
      <c r="AF130" s="23">
        <f>IF(T130="","",SUMIFS(Analytics!$L$5:$L$154,Analytics!$D$5:$D$154,T130))</f>
        <v>0</v>
      </c>
      <c r="AG130" s="24">
        <f>IF(OR(AE130="",AE130=0),"",AF130/AE130)</f>
        <v>0</v>
      </c>
      <c r="AH130" s="23">
        <f>IF(T130="","",SUMIFS(Analytics!$X$5:$X$154,Analytics!$D$5:$D$154,T130))</f>
        <v>0</v>
      </c>
      <c r="AI130" s="32">
        <f>IF(T130="","",IF(AE130=0,"",AE130+ROW()/1000000))</f>
        <v>0</v>
      </c>
      <c r="AJ130" s="17">
        <f>IF('Content Pillars'!$B$130="","",'Content Pillars'!$B$130)</f>
        <v>0</v>
      </c>
      <c r="AK130" s="23">
        <f>IF(AJ130="","",COUNTIFS('Content Calendar'!$J$5:$J$604,AJ130,'Content Calendar'!$B$5:$B$604,"&gt;="&amp;DATE(PlanYear,1,1),'Content Calendar'!$B$5:$B$604,"&lt;="&amp;DATE(PlanYear,12,31)))</f>
        <v>0</v>
      </c>
      <c r="AL130" s="23">
        <f>IF(AJ130="","",SUMIFS(Performance!$O$5:$O$404,Performance!$H$5:$H$404,AJ130))</f>
        <v>0</v>
      </c>
      <c r="AM130" s="23">
        <f>IF(AJ130="","",SUMIFS(Performance!$Z$5:$Z$404,Performance!$H$5:$H$404,AJ130))</f>
        <v>0</v>
      </c>
      <c r="AN130" s="24">
        <f>IF(OR(AL130="",AL130=0),"",AM130/AL130)</f>
        <v>0</v>
      </c>
      <c r="AO130" s="32">
        <f>IF(AN130="","",AN130+ROW()/1000000)</f>
        <v>0</v>
      </c>
      <c r="AP130" s="17">
        <f>IF(Lists!$E130="","",Lists!$E130)</f>
        <v>0</v>
      </c>
      <c r="AQ130" s="23">
        <f>IF(AP130="","",COUNTIF(Performance!$G$5:$G$404,AP130))</f>
        <v>0</v>
      </c>
      <c r="AR130" s="23">
        <f>IF(AP130="","",SUMIFS(Performance!$O$5:$O$404,Performance!$G$5:$G$404,AP130))</f>
        <v>0</v>
      </c>
      <c r="AS130" s="23">
        <f>IF(AP130="","",SUMIFS(Performance!$Z$5:$Z$404,Performance!$G$5:$G$404,AP130))</f>
        <v>0</v>
      </c>
      <c r="AT130" s="24">
        <f>IF(OR(AR130="",AR130=0),"",AS130/AR130)</f>
        <v>0</v>
      </c>
      <c r="AU130" s="32">
        <f>IF(AQ130=0,"",IF(AT130="","",AT130+ROW()/1000000))</f>
        <v>0</v>
      </c>
      <c r="AV130" s="17">
        <f>IF(ROW()-4&gt;7,"",TEXT(DATE(2024,1,ROW()-4),"ddd"))</f>
        <v>0</v>
      </c>
      <c r="AW130" s="23">
        <f>IF(AV130="","",COUNTIF(Performance!$N$5:$N$404,AV130))</f>
        <v>0</v>
      </c>
      <c r="AX130" s="23">
        <f>IF(AV130="","",SUMIFS(Performance!$O$5:$O$404,Performance!$N$5:$N$404,AV130))</f>
        <v>0</v>
      </c>
      <c r="AY130" s="23">
        <f>IF(AV130="","",SUMIFS(Performance!$Z$5:$Z$404,Performance!$N$5:$N$404,AV130))</f>
        <v>0</v>
      </c>
      <c r="AZ130" s="24">
        <f>IF(OR(AX130="",AX130=0),"",AY130/AX130)</f>
        <v>0</v>
      </c>
      <c r="BA130" s="32">
        <f>IF(AW130=0,"",IF(AZ130="","",AZ130+ROW()/1000000))</f>
        <v>0</v>
      </c>
      <c r="BB130" s="17">
        <f>IF(Lists!$AL130="","",Lists!$AL130)</f>
        <v>0</v>
      </c>
      <c r="BC130" s="23">
        <f>IF(BB130="","",COUNTIF(Performance!$M$5:$M$404,BB130))</f>
        <v>0</v>
      </c>
      <c r="BD130" s="23">
        <f>IF(BB130="","",SUMIFS(Performance!$O$5:$O$404,Performance!$M$5:$M$404,BB130))</f>
        <v>0</v>
      </c>
      <c r="BE130" s="23">
        <f>IF(BB130="","",SUMIFS(Performance!$Z$5:$Z$404,Performance!$M$5:$M$404,BB130))</f>
        <v>0</v>
      </c>
      <c r="BF130" s="24">
        <f>IF(OR(BD130="",BD130=0),"",BE130/BD130)</f>
        <v>0</v>
      </c>
      <c r="BG130" s="32">
        <f>IF(BC130=0,"",IF(BF130="","",BF130+ROW()/1000000))</f>
        <v>0</v>
      </c>
      <c r="BH130" s="17">
        <f>IF(Performance!$C$130="","",Performance!$C$130)</f>
        <v>0</v>
      </c>
      <c r="BI130" s="17">
        <f>IF(Performance!$F$130="","",Performance!$F$130)</f>
        <v>0</v>
      </c>
      <c r="BJ130" s="17">
        <f>IF(Performance!$H$130="","",Performance!$H$130)</f>
        <v>0</v>
      </c>
      <c r="BK130" s="16">
        <f>IF(Performance!$D$130="","",Performance!$D$130)</f>
        <v>0</v>
      </c>
      <c r="BL130" s="17">
        <f>IF(Performance!$E$130="","",Performance!$E$130)</f>
        <v>0</v>
      </c>
      <c r="BM130" s="23">
        <f>IF(Performance!$O$130="","",Performance!$O$130)</f>
        <v>0</v>
      </c>
      <c r="BN130" s="24">
        <f>IF(Performance!$AA$130="","",Performance!$AA$130)</f>
        <v>0</v>
      </c>
      <c r="BO130" s="32">
        <f>IF(BH130="","",IF(BK130="","",IF(OR(BK130&lt;DashStart,BK130&gt;DashEnd),"",IF(BN130="","",BN130+ROW()/1000000))))</f>
        <v>0</v>
      </c>
      <c r="BP130" s="32">
        <f>IF(BM130="","",IF(BK130="","",IF(OR(BK130&lt;DashStart,BK130&gt;DashEnd),"",BM130+ROW()/1000000)))</f>
        <v>0</v>
      </c>
      <c r="BQ130" s="32">
        <f>IF(BH130="","",IF(BK130="","",IF(YEAR(BK130)&lt;&gt;PlanYear,"",IF(BN130="","",BN130+ROW()/1000000))))</f>
        <v>0</v>
      </c>
      <c r="BR130" s="32">
        <f>IF(BH130="","",IF(BK130="","",IF(OR(BK130&lt;RepFrom,BK130&gt;RepTo),"",IF(BN130="","",BN130+ROW()/1000000))))</f>
        <v>0</v>
      </c>
      <c r="BS130" s="32">
        <f>IF(BM130="","",IF(BK130="","",IF(YEAR(BK130)&lt;&gt;PlanYear,"",BM130+ROW()/1000000)))</f>
        <v>0</v>
      </c>
      <c r="BT130" s="17">
        <f>IF(Lists!$F130="","",Lists!$F130)</f>
        <v>0</v>
      </c>
      <c r="BU130" s="23">
        <f>IF(BT130="","",COUNTIF('Content Calendar'!$X$5:$X$604,BT130))</f>
        <v>0</v>
      </c>
      <c r="BV130" s="23">
        <f>IF(BT130="","",COUNTIFS('Content Calendar'!$X$5:$X$604,BT130,'Content Calendar'!$B$5:$B$604,"&gt;="&amp;DashStart,'Content Calendar'!$B$5:$B$604,"&lt;="&amp;DashEnd))</f>
        <v>0</v>
      </c>
      <c r="BW130" s="17">
        <f>IF(Team!$B$130="","",Team!$B$130)</f>
        <v>0</v>
      </c>
      <c r="BX130" s="23">
        <f>IF(BW130="","",COUNTIF('Content Calendar'!$W$5:$W$604,BW130))</f>
        <v>0</v>
      </c>
      <c r="BY130" s="23">
        <f>IF(BW130="","",COUNTIFS('Content Calendar'!$W$5:$W$604,BW130,'Content Calendar'!$X$5:$X$604,"&lt;&gt;Published"))</f>
        <v>0</v>
      </c>
      <c r="BZ130" s="23">
        <f>IF(BW130="","",COUNTIFS(Tasks!$C$5:$C$64,BW130,Tasks!$G$5:$G$64,"&lt;&gt;Complete"))</f>
        <v>0</v>
      </c>
      <c r="CA130" s="17">
        <f>IF(Campaigns!$B$130="","",Campaigns!$B$130)</f>
        <v>0</v>
      </c>
      <c r="CB130" s="25">
        <f>IF(Campaigns!$T$130="","",Campaigns!$T$130)</f>
        <v>0</v>
      </c>
      <c r="CC130" s="25">
        <f>IF(Campaigns!$Q$130="","",Campaigns!$Q$130)</f>
        <v>0</v>
      </c>
      <c r="CD130" s="23">
        <f>IF(Campaigns!$Y$130="","",Campaigns!$Y$130)</f>
        <v>0</v>
      </c>
      <c r="CE130" s="32">
        <f>IF(CA130="","",IF(N(CB130)&lt;=0,"",N(CB130)+ROW()/1000000))</f>
        <v>0</v>
      </c>
      <c r="CF130" s="17">
        <f>IF(Accounts!$C$130="","",Accounts!$C$130)</f>
        <v>0</v>
      </c>
      <c r="CG130" s="17">
        <f>IF(Accounts!$B$130="","",Accounts!$B$130)</f>
        <v>0</v>
      </c>
      <c r="CH130" s="23">
        <f>IF(Accounts!$J$130="","",Accounts!$J$130)</f>
        <v>0</v>
      </c>
      <c r="CI130" s="23">
        <f>IF(CF130="","",SUMIFS(Analytics!$X$5:$X$154,Analytics!$E$5:$E$154,CF130,Analytics!$B$5:$B$154,"&gt;="&amp;DashStart,Analytics!$B$5:$B$154,"&lt;="&amp;DashEnd))</f>
        <v>0</v>
      </c>
      <c r="CJ130" s="32">
        <f>IF(CH130="","",IF(CH130=0,"",CH130+ROW()/1000000))</f>
        <v>0</v>
      </c>
    </row>
    <row r="131" spans="1:88">
      <c r="A131" s="16">
        <f>IF(ROW()-4&gt;12,"",DATE(PlanYear,ROW()-4,1))</f>
        <v>0</v>
      </c>
      <c r="B131" s="16">
        <f>IF(A131="","",EOMONTH(A131,0))</f>
        <v>0</v>
      </c>
      <c r="C131" s="17">
        <f>IF(A131="","",TEXT(A131,"yyyy-mm"))</f>
        <v>0</v>
      </c>
      <c r="D131" s="17">
        <f>IF(A131="","",TEXT(A131,"mmm"))</f>
        <v>0</v>
      </c>
      <c r="E131" s="23">
        <f>IF(C131="","",COUNTIFS('Content Calendar'!$D$5:$D$604,C131))</f>
        <v>0</v>
      </c>
      <c r="F131" s="23">
        <f>IF(C131="","",COUNTIFS('Content Calendar'!$D$5:$D$604,C131,'Content Calendar'!$X$5:$X$604,"Published"))</f>
        <v>0</v>
      </c>
      <c r="G131" s="23">
        <f>IF(C131="","",SUMIFS(Analytics!$J$5:$J$154,Analytics!$C$5:$C$154,C131))</f>
        <v>0</v>
      </c>
      <c r="H131" s="23">
        <f>IF(C131="","",SUMIFS(Analytics!$K$5:$K$154,Analytics!$C$5:$C$154,C131))</f>
        <v>0</v>
      </c>
      <c r="I131" s="23">
        <f>IF(C131="","",SUMIFS(Analytics!$L$5:$L$154,Analytics!$C$5:$C$154,C131))</f>
        <v>0</v>
      </c>
      <c r="J131" s="24">
        <f>IF(OR(G131="",G131=0),"",I131/G131)</f>
        <v>0</v>
      </c>
      <c r="K131" s="23">
        <f>IF(C131="","",SUMIFS(Analytics!$G$5:$G$154,Analytics!$C$5:$C$154,C131))</f>
        <v>0</v>
      </c>
      <c r="L131" s="23">
        <f>IF(C131="","",SUMIFS(Analytics!$X$5:$X$154,Analytics!$C$5:$C$154,C131))</f>
        <v>0</v>
      </c>
      <c r="M131" s="23">
        <f>IF(C131="","",SUMIFS(Analytics!$R$5:$R$154,Analytics!$C$5:$C$154,C131))</f>
        <v>0</v>
      </c>
      <c r="N131" s="23">
        <f>IF(C131="","",SUMIFS(Analytics!$S$5:$S$154,Analytics!$C$5:$C$154,C131))</f>
        <v>0</v>
      </c>
      <c r="O131" s="23">
        <f>IF(C131="","",SUMIFS(Analytics!$T$5:$T$154,Analytics!$C$5:$C$154,C131))</f>
        <v>0</v>
      </c>
      <c r="P131" s="25">
        <f>IF(C131="","",SUMIFS(Analytics!$U$5:$U$154,Analytics!$C$5:$C$154,C131))</f>
        <v>0</v>
      </c>
      <c r="Q131" s="25">
        <f>IF(C131="","",SUMIFS(Budget!$H$5:$H$64,Budget!$C$5:$C$64,C131))</f>
        <v>0</v>
      </c>
      <c r="R131" s="25">
        <f>IF(C131="","",P131-Q131)</f>
        <v>0</v>
      </c>
      <c r="S131" s="23">
        <f>IF(C131="","",MonthlyPostTarget)</f>
        <v>0</v>
      </c>
      <c r="T131" s="17">
        <f>IF(Lists!$C131="","",Lists!$C131)</f>
        <v>0</v>
      </c>
      <c r="U131" s="23">
        <f>IF(T131="","",COUNTIFS('Content Calendar'!$G$5:$G$604,T131,'Content Calendar'!$B$5:$B$604,"&gt;="&amp;DashStart,'Content Calendar'!$B$5:$B$604,"&lt;="&amp;DashEnd))</f>
        <v>0</v>
      </c>
      <c r="V131" s="23">
        <f>IF(T131="","",COUNTIFS('Content Calendar'!$G$5:$G$604,T131,'Content Calendar'!$X$5:$X$604,"Published",'Content Calendar'!$B$5:$B$604,"&gt;="&amp;DashStart,'Content Calendar'!$B$5:$B$604,"&lt;="&amp;DashEnd))</f>
        <v>0</v>
      </c>
      <c r="W131" s="23">
        <f>IF(T131="","",SUMIFS(Analytics!$J$5:$J$154,Analytics!$D$5:$D$154,T131,Analytics!$B$5:$B$154,"&gt;="&amp;DashStart,Analytics!$B$5:$B$154,"&lt;="&amp;DashEnd))</f>
        <v>0</v>
      </c>
      <c r="X131" s="23">
        <f>IF(T131="","",SUMIFS(Analytics!$L$5:$L$154,Analytics!$D$5:$D$154,T131,Analytics!$B$5:$B$154,"&gt;="&amp;DashStart,Analytics!$B$5:$B$154,"&lt;="&amp;DashEnd))</f>
        <v>0</v>
      </c>
      <c r="Y131" s="24">
        <f>IF(OR(W131="",W131=0),"",X131/W131)</f>
        <v>0</v>
      </c>
      <c r="Z131" s="23">
        <f>IF(T131="","",SUMIFS(Analytics!$G$5:$G$154,Analytics!$D$5:$D$154,T131,Analytics!$B$5:$B$154,"&gt;="&amp;DashStart,Analytics!$B$5:$B$154,"&lt;="&amp;DashEnd))</f>
        <v>0</v>
      </c>
      <c r="AA131" s="23">
        <f>IF(T131="","",SUMIFS(Analytics!$X$5:$X$154,Analytics!$D$5:$D$154,T131,Analytics!$B$5:$B$154,"&gt;="&amp;DashStart,Analytics!$B$5:$B$154,"&lt;="&amp;DashEnd))</f>
        <v>0</v>
      </c>
      <c r="AB131" s="23">
        <f>IF(T131="","",SUMIFS(Analytics!$R$5:$R$154,Analytics!$D$5:$D$154,T131,Analytics!$B$5:$B$154,"&gt;="&amp;DashStart,Analytics!$B$5:$B$154,"&lt;="&amp;DashEnd))</f>
        <v>0</v>
      </c>
      <c r="AC131" s="25">
        <f>IF(T131="","",SUMIFS(Analytics!$U$5:$U$154,Analytics!$D$5:$D$154,T131,Analytics!$B$5:$B$154,"&gt;="&amp;DashStart,Analytics!$B$5:$B$154,"&lt;="&amp;DashEnd))</f>
        <v>0</v>
      </c>
      <c r="AD131" s="23">
        <f>IF(T131="","",COUNTIFS('Content Calendar'!$G$5:$G$604,T131,'Content Calendar'!$B$5:$B$604,"&gt;="&amp;DATE(PlanYear,1,1),'Content Calendar'!$B$5:$B$604,"&lt;="&amp;DATE(PlanYear,12,31)))</f>
        <v>0</v>
      </c>
      <c r="AE131" s="23">
        <f>IF(T131="","",SUMIFS(Analytics!$J$5:$J$154,Analytics!$D$5:$D$154,T131))</f>
        <v>0</v>
      </c>
      <c r="AF131" s="23">
        <f>IF(T131="","",SUMIFS(Analytics!$L$5:$L$154,Analytics!$D$5:$D$154,T131))</f>
        <v>0</v>
      </c>
      <c r="AG131" s="24">
        <f>IF(OR(AE131="",AE131=0),"",AF131/AE131)</f>
        <v>0</v>
      </c>
      <c r="AH131" s="23">
        <f>IF(T131="","",SUMIFS(Analytics!$X$5:$X$154,Analytics!$D$5:$D$154,T131))</f>
        <v>0</v>
      </c>
      <c r="AI131" s="32">
        <f>IF(T131="","",IF(AE131=0,"",AE131+ROW()/1000000))</f>
        <v>0</v>
      </c>
      <c r="AJ131" s="17">
        <f>IF('Content Pillars'!$B$131="","",'Content Pillars'!$B$131)</f>
        <v>0</v>
      </c>
      <c r="AK131" s="23">
        <f>IF(AJ131="","",COUNTIFS('Content Calendar'!$J$5:$J$604,AJ131,'Content Calendar'!$B$5:$B$604,"&gt;="&amp;DATE(PlanYear,1,1),'Content Calendar'!$B$5:$B$604,"&lt;="&amp;DATE(PlanYear,12,31)))</f>
        <v>0</v>
      </c>
      <c r="AL131" s="23">
        <f>IF(AJ131="","",SUMIFS(Performance!$O$5:$O$404,Performance!$H$5:$H$404,AJ131))</f>
        <v>0</v>
      </c>
      <c r="AM131" s="23">
        <f>IF(AJ131="","",SUMIFS(Performance!$Z$5:$Z$404,Performance!$H$5:$H$404,AJ131))</f>
        <v>0</v>
      </c>
      <c r="AN131" s="24">
        <f>IF(OR(AL131="",AL131=0),"",AM131/AL131)</f>
        <v>0</v>
      </c>
      <c r="AO131" s="32">
        <f>IF(AN131="","",AN131+ROW()/1000000)</f>
        <v>0</v>
      </c>
      <c r="AP131" s="17">
        <f>IF(Lists!$E131="","",Lists!$E131)</f>
        <v>0</v>
      </c>
      <c r="AQ131" s="23">
        <f>IF(AP131="","",COUNTIF(Performance!$G$5:$G$404,AP131))</f>
        <v>0</v>
      </c>
      <c r="AR131" s="23">
        <f>IF(AP131="","",SUMIFS(Performance!$O$5:$O$404,Performance!$G$5:$G$404,AP131))</f>
        <v>0</v>
      </c>
      <c r="AS131" s="23">
        <f>IF(AP131="","",SUMIFS(Performance!$Z$5:$Z$404,Performance!$G$5:$G$404,AP131))</f>
        <v>0</v>
      </c>
      <c r="AT131" s="24">
        <f>IF(OR(AR131="",AR131=0),"",AS131/AR131)</f>
        <v>0</v>
      </c>
      <c r="AU131" s="32">
        <f>IF(AQ131=0,"",IF(AT131="","",AT131+ROW()/1000000))</f>
        <v>0</v>
      </c>
      <c r="AV131" s="17">
        <f>IF(ROW()-4&gt;7,"",TEXT(DATE(2024,1,ROW()-4),"ddd"))</f>
        <v>0</v>
      </c>
      <c r="AW131" s="23">
        <f>IF(AV131="","",COUNTIF(Performance!$N$5:$N$404,AV131))</f>
        <v>0</v>
      </c>
      <c r="AX131" s="23">
        <f>IF(AV131="","",SUMIFS(Performance!$O$5:$O$404,Performance!$N$5:$N$404,AV131))</f>
        <v>0</v>
      </c>
      <c r="AY131" s="23">
        <f>IF(AV131="","",SUMIFS(Performance!$Z$5:$Z$404,Performance!$N$5:$N$404,AV131))</f>
        <v>0</v>
      </c>
      <c r="AZ131" s="24">
        <f>IF(OR(AX131="",AX131=0),"",AY131/AX131)</f>
        <v>0</v>
      </c>
      <c r="BA131" s="32">
        <f>IF(AW131=0,"",IF(AZ131="","",AZ131+ROW()/1000000))</f>
        <v>0</v>
      </c>
      <c r="BB131" s="17">
        <f>IF(Lists!$AL131="","",Lists!$AL131)</f>
        <v>0</v>
      </c>
      <c r="BC131" s="23">
        <f>IF(BB131="","",COUNTIF(Performance!$M$5:$M$404,BB131))</f>
        <v>0</v>
      </c>
      <c r="BD131" s="23">
        <f>IF(BB131="","",SUMIFS(Performance!$O$5:$O$404,Performance!$M$5:$M$404,BB131))</f>
        <v>0</v>
      </c>
      <c r="BE131" s="23">
        <f>IF(BB131="","",SUMIFS(Performance!$Z$5:$Z$404,Performance!$M$5:$M$404,BB131))</f>
        <v>0</v>
      </c>
      <c r="BF131" s="24">
        <f>IF(OR(BD131="",BD131=0),"",BE131/BD131)</f>
        <v>0</v>
      </c>
      <c r="BG131" s="32">
        <f>IF(BC131=0,"",IF(BF131="","",BF131+ROW()/1000000))</f>
        <v>0</v>
      </c>
      <c r="BH131" s="17">
        <f>IF(Performance!$C$131="","",Performance!$C$131)</f>
        <v>0</v>
      </c>
      <c r="BI131" s="17">
        <f>IF(Performance!$F$131="","",Performance!$F$131)</f>
        <v>0</v>
      </c>
      <c r="BJ131" s="17">
        <f>IF(Performance!$H$131="","",Performance!$H$131)</f>
        <v>0</v>
      </c>
      <c r="BK131" s="16">
        <f>IF(Performance!$D$131="","",Performance!$D$131)</f>
        <v>0</v>
      </c>
      <c r="BL131" s="17">
        <f>IF(Performance!$E$131="","",Performance!$E$131)</f>
        <v>0</v>
      </c>
      <c r="BM131" s="23">
        <f>IF(Performance!$O$131="","",Performance!$O$131)</f>
        <v>0</v>
      </c>
      <c r="BN131" s="24">
        <f>IF(Performance!$AA$131="","",Performance!$AA$131)</f>
        <v>0</v>
      </c>
      <c r="BO131" s="32">
        <f>IF(BH131="","",IF(BK131="","",IF(OR(BK131&lt;DashStart,BK131&gt;DashEnd),"",IF(BN131="","",BN131+ROW()/1000000))))</f>
        <v>0</v>
      </c>
      <c r="BP131" s="32">
        <f>IF(BM131="","",IF(BK131="","",IF(OR(BK131&lt;DashStart,BK131&gt;DashEnd),"",BM131+ROW()/1000000)))</f>
        <v>0</v>
      </c>
      <c r="BQ131" s="32">
        <f>IF(BH131="","",IF(BK131="","",IF(YEAR(BK131)&lt;&gt;PlanYear,"",IF(BN131="","",BN131+ROW()/1000000))))</f>
        <v>0</v>
      </c>
      <c r="BR131" s="32">
        <f>IF(BH131="","",IF(BK131="","",IF(OR(BK131&lt;RepFrom,BK131&gt;RepTo),"",IF(BN131="","",BN131+ROW()/1000000))))</f>
        <v>0</v>
      </c>
      <c r="BS131" s="32">
        <f>IF(BM131="","",IF(BK131="","",IF(YEAR(BK131)&lt;&gt;PlanYear,"",BM131+ROW()/1000000)))</f>
        <v>0</v>
      </c>
      <c r="BT131" s="17">
        <f>IF(Lists!$F131="","",Lists!$F131)</f>
        <v>0</v>
      </c>
      <c r="BU131" s="23">
        <f>IF(BT131="","",COUNTIF('Content Calendar'!$X$5:$X$604,BT131))</f>
        <v>0</v>
      </c>
      <c r="BV131" s="23">
        <f>IF(BT131="","",COUNTIFS('Content Calendar'!$X$5:$X$604,BT131,'Content Calendar'!$B$5:$B$604,"&gt;="&amp;DashStart,'Content Calendar'!$B$5:$B$604,"&lt;="&amp;DashEnd))</f>
        <v>0</v>
      </c>
      <c r="BW131" s="17">
        <f>IF(Team!$B$131="","",Team!$B$131)</f>
        <v>0</v>
      </c>
      <c r="BX131" s="23">
        <f>IF(BW131="","",COUNTIF('Content Calendar'!$W$5:$W$604,BW131))</f>
        <v>0</v>
      </c>
      <c r="BY131" s="23">
        <f>IF(BW131="","",COUNTIFS('Content Calendar'!$W$5:$W$604,BW131,'Content Calendar'!$X$5:$X$604,"&lt;&gt;Published"))</f>
        <v>0</v>
      </c>
      <c r="BZ131" s="23">
        <f>IF(BW131="","",COUNTIFS(Tasks!$C$5:$C$64,BW131,Tasks!$G$5:$G$64,"&lt;&gt;Complete"))</f>
        <v>0</v>
      </c>
      <c r="CA131" s="17">
        <f>IF(Campaigns!$B$131="","",Campaigns!$B$131)</f>
        <v>0</v>
      </c>
      <c r="CB131" s="25">
        <f>IF(Campaigns!$T$131="","",Campaigns!$T$131)</f>
        <v>0</v>
      </c>
      <c r="CC131" s="25">
        <f>IF(Campaigns!$Q$131="","",Campaigns!$Q$131)</f>
        <v>0</v>
      </c>
      <c r="CD131" s="23">
        <f>IF(Campaigns!$Y$131="","",Campaigns!$Y$131)</f>
        <v>0</v>
      </c>
      <c r="CE131" s="32">
        <f>IF(CA131="","",IF(N(CB131)&lt;=0,"",N(CB131)+ROW()/1000000))</f>
        <v>0</v>
      </c>
      <c r="CF131" s="17">
        <f>IF(Accounts!$C$131="","",Accounts!$C$131)</f>
        <v>0</v>
      </c>
      <c r="CG131" s="17">
        <f>IF(Accounts!$B$131="","",Accounts!$B$131)</f>
        <v>0</v>
      </c>
      <c r="CH131" s="23">
        <f>IF(Accounts!$J$131="","",Accounts!$J$131)</f>
        <v>0</v>
      </c>
      <c r="CI131" s="23">
        <f>IF(CF131="","",SUMIFS(Analytics!$X$5:$X$154,Analytics!$E$5:$E$154,CF131,Analytics!$B$5:$B$154,"&gt;="&amp;DashStart,Analytics!$B$5:$B$154,"&lt;="&amp;DashEnd))</f>
        <v>0</v>
      </c>
      <c r="CJ131" s="32">
        <f>IF(CH131="","",IF(CH131=0,"",CH131+ROW()/1000000))</f>
        <v>0</v>
      </c>
    </row>
    <row r="132" spans="1:88">
      <c r="A132" s="16">
        <f>IF(ROW()-4&gt;12,"",DATE(PlanYear,ROW()-4,1))</f>
        <v>0</v>
      </c>
      <c r="B132" s="16">
        <f>IF(A132="","",EOMONTH(A132,0))</f>
        <v>0</v>
      </c>
      <c r="C132" s="17">
        <f>IF(A132="","",TEXT(A132,"yyyy-mm"))</f>
        <v>0</v>
      </c>
      <c r="D132" s="17">
        <f>IF(A132="","",TEXT(A132,"mmm"))</f>
        <v>0</v>
      </c>
      <c r="E132" s="23">
        <f>IF(C132="","",COUNTIFS('Content Calendar'!$D$5:$D$604,C132))</f>
        <v>0</v>
      </c>
      <c r="F132" s="23">
        <f>IF(C132="","",COUNTIFS('Content Calendar'!$D$5:$D$604,C132,'Content Calendar'!$X$5:$X$604,"Published"))</f>
        <v>0</v>
      </c>
      <c r="G132" s="23">
        <f>IF(C132="","",SUMIFS(Analytics!$J$5:$J$154,Analytics!$C$5:$C$154,C132))</f>
        <v>0</v>
      </c>
      <c r="H132" s="23">
        <f>IF(C132="","",SUMIFS(Analytics!$K$5:$K$154,Analytics!$C$5:$C$154,C132))</f>
        <v>0</v>
      </c>
      <c r="I132" s="23">
        <f>IF(C132="","",SUMIFS(Analytics!$L$5:$L$154,Analytics!$C$5:$C$154,C132))</f>
        <v>0</v>
      </c>
      <c r="J132" s="24">
        <f>IF(OR(G132="",G132=0),"",I132/G132)</f>
        <v>0</v>
      </c>
      <c r="K132" s="23">
        <f>IF(C132="","",SUMIFS(Analytics!$G$5:$G$154,Analytics!$C$5:$C$154,C132))</f>
        <v>0</v>
      </c>
      <c r="L132" s="23">
        <f>IF(C132="","",SUMIFS(Analytics!$X$5:$X$154,Analytics!$C$5:$C$154,C132))</f>
        <v>0</v>
      </c>
      <c r="M132" s="23">
        <f>IF(C132="","",SUMIFS(Analytics!$R$5:$R$154,Analytics!$C$5:$C$154,C132))</f>
        <v>0</v>
      </c>
      <c r="N132" s="23">
        <f>IF(C132="","",SUMIFS(Analytics!$S$5:$S$154,Analytics!$C$5:$C$154,C132))</f>
        <v>0</v>
      </c>
      <c r="O132" s="23">
        <f>IF(C132="","",SUMIFS(Analytics!$T$5:$T$154,Analytics!$C$5:$C$154,C132))</f>
        <v>0</v>
      </c>
      <c r="P132" s="25">
        <f>IF(C132="","",SUMIFS(Analytics!$U$5:$U$154,Analytics!$C$5:$C$154,C132))</f>
        <v>0</v>
      </c>
      <c r="Q132" s="25">
        <f>IF(C132="","",SUMIFS(Budget!$H$5:$H$64,Budget!$C$5:$C$64,C132))</f>
        <v>0</v>
      </c>
      <c r="R132" s="25">
        <f>IF(C132="","",P132-Q132)</f>
        <v>0</v>
      </c>
      <c r="S132" s="23">
        <f>IF(C132="","",MonthlyPostTarget)</f>
        <v>0</v>
      </c>
      <c r="T132" s="17">
        <f>IF(Lists!$C132="","",Lists!$C132)</f>
        <v>0</v>
      </c>
      <c r="U132" s="23">
        <f>IF(T132="","",COUNTIFS('Content Calendar'!$G$5:$G$604,T132,'Content Calendar'!$B$5:$B$604,"&gt;="&amp;DashStart,'Content Calendar'!$B$5:$B$604,"&lt;="&amp;DashEnd))</f>
        <v>0</v>
      </c>
      <c r="V132" s="23">
        <f>IF(T132="","",COUNTIFS('Content Calendar'!$G$5:$G$604,T132,'Content Calendar'!$X$5:$X$604,"Published",'Content Calendar'!$B$5:$B$604,"&gt;="&amp;DashStart,'Content Calendar'!$B$5:$B$604,"&lt;="&amp;DashEnd))</f>
        <v>0</v>
      </c>
      <c r="W132" s="23">
        <f>IF(T132="","",SUMIFS(Analytics!$J$5:$J$154,Analytics!$D$5:$D$154,T132,Analytics!$B$5:$B$154,"&gt;="&amp;DashStart,Analytics!$B$5:$B$154,"&lt;="&amp;DashEnd))</f>
        <v>0</v>
      </c>
      <c r="X132" s="23">
        <f>IF(T132="","",SUMIFS(Analytics!$L$5:$L$154,Analytics!$D$5:$D$154,T132,Analytics!$B$5:$B$154,"&gt;="&amp;DashStart,Analytics!$B$5:$B$154,"&lt;="&amp;DashEnd))</f>
        <v>0</v>
      </c>
      <c r="Y132" s="24">
        <f>IF(OR(W132="",W132=0),"",X132/W132)</f>
        <v>0</v>
      </c>
      <c r="Z132" s="23">
        <f>IF(T132="","",SUMIFS(Analytics!$G$5:$G$154,Analytics!$D$5:$D$154,T132,Analytics!$B$5:$B$154,"&gt;="&amp;DashStart,Analytics!$B$5:$B$154,"&lt;="&amp;DashEnd))</f>
        <v>0</v>
      </c>
      <c r="AA132" s="23">
        <f>IF(T132="","",SUMIFS(Analytics!$X$5:$X$154,Analytics!$D$5:$D$154,T132,Analytics!$B$5:$B$154,"&gt;="&amp;DashStart,Analytics!$B$5:$B$154,"&lt;="&amp;DashEnd))</f>
        <v>0</v>
      </c>
      <c r="AB132" s="23">
        <f>IF(T132="","",SUMIFS(Analytics!$R$5:$R$154,Analytics!$D$5:$D$154,T132,Analytics!$B$5:$B$154,"&gt;="&amp;DashStart,Analytics!$B$5:$B$154,"&lt;="&amp;DashEnd))</f>
        <v>0</v>
      </c>
      <c r="AC132" s="25">
        <f>IF(T132="","",SUMIFS(Analytics!$U$5:$U$154,Analytics!$D$5:$D$154,T132,Analytics!$B$5:$B$154,"&gt;="&amp;DashStart,Analytics!$B$5:$B$154,"&lt;="&amp;DashEnd))</f>
        <v>0</v>
      </c>
      <c r="AD132" s="23">
        <f>IF(T132="","",COUNTIFS('Content Calendar'!$G$5:$G$604,T132,'Content Calendar'!$B$5:$B$604,"&gt;="&amp;DATE(PlanYear,1,1),'Content Calendar'!$B$5:$B$604,"&lt;="&amp;DATE(PlanYear,12,31)))</f>
        <v>0</v>
      </c>
      <c r="AE132" s="23">
        <f>IF(T132="","",SUMIFS(Analytics!$J$5:$J$154,Analytics!$D$5:$D$154,T132))</f>
        <v>0</v>
      </c>
      <c r="AF132" s="23">
        <f>IF(T132="","",SUMIFS(Analytics!$L$5:$L$154,Analytics!$D$5:$D$154,T132))</f>
        <v>0</v>
      </c>
      <c r="AG132" s="24">
        <f>IF(OR(AE132="",AE132=0),"",AF132/AE132)</f>
        <v>0</v>
      </c>
      <c r="AH132" s="23">
        <f>IF(T132="","",SUMIFS(Analytics!$X$5:$X$154,Analytics!$D$5:$D$154,T132))</f>
        <v>0</v>
      </c>
      <c r="AI132" s="32">
        <f>IF(T132="","",IF(AE132=0,"",AE132+ROW()/1000000))</f>
        <v>0</v>
      </c>
      <c r="AJ132" s="17">
        <f>IF('Content Pillars'!$B$132="","",'Content Pillars'!$B$132)</f>
        <v>0</v>
      </c>
      <c r="AK132" s="23">
        <f>IF(AJ132="","",COUNTIFS('Content Calendar'!$J$5:$J$604,AJ132,'Content Calendar'!$B$5:$B$604,"&gt;="&amp;DATE(PlanYear,1,1),'Content Calendar'!$B$5:$B$604,"&lt;="&amp;DATE(PlanYear,12,31)))</f>
        <v>0</v>
      </c>
      <c r="AL132" s="23">
        <f>IF(AJ132="","",SUMIFS(Performance!$O$5:$O$404,Performance!$H$5:$H$404,AJ132))</f>
        <v>0</v>
      </c>
      <c r="AM132" s="23">
        <f>IF(AJ132="","",SUMIFS(Performance!$Z$5:$Z$404,Performance!$H$5:$H$404,AJ132))</f>
        <v>0</v>
      </c>
      <c r="AN132" s="24">
        <f>IF(OR(AL132="",AL132=0),"",AM132/AL132)</f>
        <v>0</v>
      </c>
      <c r="AO132" s="32">
        <f>IF(AN132="","",AN132+ROW()/1000000)</f>
        <v>0</v>
      </c>
      <c r="AP132" s="17">
        <f>IF(Lists!$E132="","",Lists!$E132)</f>
        <v>0</v>
      </c>
      <c r="AQ132" s="23">
        <f>IF(AP132="","",COUNTIF(Performance!$G$5:$G$404,AP132))</f>
        <v>0</v>
      </c>
      <c r="AR132" s="23">
        <f>IF(AP132="","",SUMIFS(Performance!$O$5:$O$404,Performance!$G$5:$G$404,AP132))</f>
        <v>0</v>
      </c>
      <c r="AS132" s="23">
        <f>IF(AP132="","",SUMIFS(Performance!$Z$5:$Z$404,Performance!$G$5:$G$404,AP132))</f>
        <v>0</v>
      </c>
      <c r="AT132" s="24">
        <f>IF(OR(AR132="",AR132=0),"",AS132/AR132)</f>
        <v>0</v>
      </c>
      <c r="AU132" s="32">
        <f>IF(AQ132=0,"",IF(AT132="","",AT132+ROW()/1000000))</f>
        <v>0</v>
      </c>
      <c r="AV132" s="17">
        <f>IF(ROW()-4&gt;7,"",TEXT(DATE(2024,1,ROW()-4),"ddd"))</f>
        <v>0</v>
      </c>
      <c r="AW132" s="23">
        <f>IF(AV132="","",COUNTIF(Performance!$N$5:$N$404,AV132))</f>
        <v>0</v>
      </c>
      <c r="AX132" s="23">
        <f>IF(AV132="","",SUMIFS(Performance!$O$5:$O$404,Performance!$N$5:$N$404,AV132))</f>
        <v>0</v>
      </c>
      <c r="AY132" s="23">
        <f>IF(AV132="","",SUMIFS(Performance!$Z$5:$Z$404,Performance!$N$5:$N$404,AV132))</f>
        <v>0</v>
      </c>
      <c r="AZ132" s="24">
        <f>IF(OR(AX132="",AX132=0),"",AY132/AX132)</f>
        <v>0</v>
      </c>
      <c r="BA132" s="32">
        <f>IF(AW132=0,"",IF(AZ132="","",AZ132+ROW()/1000000))</f>
        <v>0</v>
      </c>
      <c r="BB132" s="17">
        <f>IF(Lists!$AL132="","",Lists!$AL132)</f>
        <v>0</v>
      </c>
      <c r="BC132" s="23">
        <f>IF(BB132="","",COUNTIF(Performance!$M$5:$M$404,BB132))</f>
        <v>0</v>
      </c>
      <c r="BD132" s="23">
        <f>IF(BB132="","",SUMIFS(Performance!$O$5:$O$404,Performance!$M$5:$M$404,BB132))</f>
        <v>0</v>
      </c>
      <c r="BE132" s="23">
        <f>IF(BB132="","",SUMIFS(Performance!$Z$5:$Z$404,Performance!$M$5:$M$404,BB132))</f>
        <v>0</v>
      </c>
      <c r="BF132" s="24">
        <f>IF(OR(BD132="",BD132=0),"",BE132/BD132)</f>
        <v>0</v>
      </c>
      <c r="BG132" s="32">
        <f>IF(BC132=0,"",IF(BF132="","",BF132+ROW()/1000000))</f>
        <v>0</v>
      </c>
      <c r="BH132" s="17">
        <f>IF(Performance!$C$132="","",Performance!$C$132)</f>
        <v>0</v>
      </c>
      <c r="BI132" s="17">
        <f>IF(Performance!$F$132="","",Performance!$F$132)</f>
        <v>0</v>
      </c>
      <c r="BJ132" s="17">
        <f>IF(Performance!$H$132="","",Performance!$H$132)</f>
        <v>0</v>
      </c>
      <c r="BK132" s="16">
        <f>IF(Performance!$D$132="","",Performance!$D$132)</f>
        <v>0</v>
      </c>
      <c r="BL132" s="17">
        <f>IF(Performance!$E$132="","",Performance!$E$132)</f>
        <v>0</v>
      </c>
      <c r="BM132" s="23">
        <f>IF(Performance!$O$132="","",Performance!$O$132)</f>
        <v>0</v>
      </c>
      <c r="BN132" s="24">
        <f>IF(Performance!$AA$132="","",Performance!$AA$132)</f>
        <v>0</v>
      </c>
      <c r="BO132" s="32">
        <f>IF(BH132="","",IF(BK132="","",IF(OR(BK132&lt;DashStart,BK132&gt;DashEnd),"",IF(BN132="","",BN132+ROW()/1000000))))</f>
        <v>0</v>
      </c>
      <c r="BP132" s="32">
        <f>IF(BM132="","",IF(BK132="","",IF(OR(BK132&lt;DashStart,BK132&gt;DashEnd),"",BM132+ROW()/1000000)))</f>
        <v>0</v>
      </c>
      <c r="BQ132" s="32">
        <f>IF(BH132="","",IF(BK132="","",IF(YEAR(BK132)&lt;&gt;PlanYear,"",IF(BN132="","",BN132+ROW()/1000000))))</f>
        <v>0</v>
      </c>
      <c r="BR132" s="32">
        <f>IF(BH132="","",IF(BK132="","",IF(OR(BK132&lt;RepFrom,BK132&gt;RepTo),"",IF(BN132="","",BN132+ROW()/1000000))))</f>
        <v>0</v>
      </c>
      <c r="BS132" s="32">
        <f>IF(BM132="","",IF(BK132="","",IF(YEAR(BK132)&lt;&gt;PlanYear,"",BM132+ROW()/1000000)))</f>
        <v>0</v>
      </c>
      <c r="BT132" s="17">
        <f>IF(Lists!$F132="","",Lists!$F132)</f>
        <v>0</v>
      </c>
      <c r="BU132" s="23">
        <f>IF(BT132="","",COUNTIF('Content Calendar'!$X$5:$X$604,BT132))</f>
        <v>0</v>
      </c>
      <c r="BV132" s="23">
        <f>IF(BT132="","",COUNTIFS('Content Calendar'!$X$5:$X$604,BT132,'Content Calendar'!$B$5:$B$604,"&gt;="&amp;DashStart,'Content Calendar'!$B$5:$B$604,"&lt;="&amp;DashEnd))</f>
        <v>0</v>
      </c>
      <c r="BW132" s="17">
        <f>IF(Team!$B$132="","",Team!$B$132)</f>
        <v>0</v>
      </c>
      <c r="BX132" s="23">
        <f>IF(BW132="","",COUNTIF('Content Calendar'!$W$5:$W$604,BW132))</f>
        <v>0</v>
      </c>
      <c r="BY132" s="23">
        <f>IF(BW132="","",COUNTIFS('Content Calendar'!$W$5:$W$604,BW132,'Content Calendar'!$X$5:$X$604,"&lt;&gt;Published"))</f>
        <v>0</v>
      </c>
      <c r="BZ132" s="23">
        <f>IF(BW132="","",COUNTIFS(Tasks!$C$5:$C$64,BW132,Tasks!$G$5:$G$64,"&lt;&gt;Complete"))</f>
        <v>0</v>
      </c>
      <c r="CA132" s="17">
        <f>IF(Campaigns!$B$132="","",Campaigns!$B$132)</f>
        <v>0</v>
      </c>
      <c r="CB132" s="25">
        <f>IF(Campaigns!$T$132="","",Campaigns!$T$132)</f>
        <v>0</v>
      </c>
      <c r="CC132" s="25">
        <f>IF(Campaigns!$Q$132="","",Campaigns!$Q$132)</f>
        <v>0</v>
      </c>
      <c r="CD132" s="23">
        <f>IF(Campaigns!$Y$132="","",Campaigns!$Y$132)</f>
        <v>0</v>
      </c>
      <c r="CE132" s="32">
        <f>IF(CA132="","",IF(N(CB132)&lt;=0,"",N(CB132)+ROW()/1000000))</f>
        <v>0</v>
      </c>
      <c r="CF132" s="17">
        <f>IF(Accounts!$C$132="","",Accounts!$C$132)</f>
        <v>0</v>
      </c>
      <c r="CG132" s="17">
        <f>IF(Accounts!$B$132="","",Accounts!$B$132)</f>
        <v>0</v>
      </c>
      <c r="CH132" s="23">
        <f>IF(Accounts!$J$132="","",Accounts!$J$132)</f>
        <v>0</v>
      </c>
      <c r="CI132" s="23">
        <f>IF(CF132="","",SUMIFS(Analytics!$X$5:$X$154,Analytics!$E$5:$E$154,CF132,Analytics!$B$5:$B$154,"&gt;="&amp;DashStart,Analytics!$B$5:$B$154,"&lt;="&amp;DashEnd))</f>
        <v>0</v>
      </c>
      <c r="CJ132" s="32">
        <f>IF(CH132="","",IF(CH132=0,"",CH132+ROW()/1000000))</f>
        <v>0</v>
      </c>
    </row>
    <row r="133" spans="1:88">
      <c r="A133" s="16">
        <f>IF(ROW()-4&gt;12,"",DATE(PlanYear,ROW()-4,1))</f>
        <v>0</v>
      </c>
      <c r="B133" s="16">
        <f>IF(A133="","",EOMONTH(A133,0))</f>
        <v>0</v>
      </c>
      <c r="C133" s="17">
        <f>IF(A133="","",TEXT(A133,"yyyy-mm"))</f>
        <v>0</v>
      </c>
      <c r="D133" s="17">
        <f>IF(A133="","",TEXT(A133,"mmm"))</f>
        <v>0</v>
      </c>
      <c r="E133" s="23">
        <f>IF(C133="","",COUNTIFS('Content Calendar'!$D$5:$D$604,C133))</f>
        <v>0</v>
      </c>
      <c r="F133" s="23">
        <f>IF(C133="","",COUNTIFS('Content Calendar'!$D$5:$D$604,C133,'Content Calendar'!$X$5:$X$604,"Published"))</f>
        <v>0</v>
      </c>
      <c r="G133" s="23">
        <f>IF(C133="","",SUMIFS(Analytics!$J$5:$J$154,Analytics!$C$5:$C$154,C133))</f>
        <v>0</v>
      </c>
      <c r="H133" s="23">
        <f>IF(C133="","",SUMIFS(Analytics!$K$5:$K$154,Analytics!$C$5:$C$154,C133))</f>
        <v>0</v>
      </c>
      <c r="I133" s="23">
        <f>IF(C133="","",SUMIFS(Analytics!$L$5:$L$154,Analytics!$C$5:$C$154,C133))</f>
        <v>0</v>
      </c>
      <c r="J133" s="24">
        <f>IF(OR(G133="",G133=0),"",I133/G133)</f>
        <v>0</v>
      </c>
      <c r="K133" s="23">
        <f>IF(C133="","",SUMIFS(Analytics!$G$5:$G$154,Analytics!$C$5:$C$154,C133))</f>
        <v>0</v>
      </c>
      <c r="L133" s="23">
        <f>IF(C133="","",SUMIFS(Analytics!$X$5:$X$154,Analytics!$C$5:$C$154,C133))</f>
        <v>0</v>
      </c>
      <c r="M133" s="23">
        <f>IF(C133="","",SUMIFS(Analytics!$R$5:$R$154,Analytics!$C$5:$C$154,C133))</f>
        <v>0</v>
      </c>
      <c r="N133" s="23">
        <f>IF(C133="","",SUMIFS(Analytics!$S$5:$S$154,Analytics!$C$5:$C$154,C133))</f>
        <v>0</v>
      </c>
      <c r="O133" s="23">
        <f>IF(C133="","",SUMIFS(Analytics!$T$5:$T$154,Analytics!$C$5:$C$154,C133))</f>
        <v>0</v>
      </c>
      <c r="P133" s="25">
        <f>IF(C133="","",SUMIFS(Analytics!$U$5:$U$154,Analytics!$C$5:$C$154,C133))</f>
        <v>0</v>
      </c>
      <c r="Q133" s="25">
        <f>IF(C133="","",SUMIFS(Budget!$H$5:$H$64,Budget!$C$5:$C$64,C133))</f>
        <v>0</v>
      </c>
      <c r="R133" s="25">
        <f>IF(C133="","",P133-Q133)</f>
        <v>0</v>
      </c>
      <c r="S133" s="23">
        <f>IF(C133="","",MonthlyPostTarget)</f>
        <v>0</v>
      </c>
      <c r="T133" s="17">
        <f>IF(Lists!$C133="","",Lists!$C133)</f>
        <v>0</v>
      </c>
      <c r="U133" s="23">
        <f>IF(T133="","",COUNTIFS('Content Calendar'!$G$5:$G$604,T133,'Content Calendar'!$B$5:$B$604,"&gt;="&amp;DashStart,'Content Calendar'!$B$5:$B$604,"&lt;="&amp;DashEnd))</f>
        <v>0</v>
      </c>
      <c r="V133" s="23">
        <f>IF(T133="","",COUNTIFS('Content Calendar'!$G$5:$G$604,T133,'Content Calendar'!$X$5:$X$604,"Published",'Content Calendar'!$B$5:$B$604,"&gt;="&amp;DashStart,'Content Calendar'!$B$5:$B$604,"&lt;="&amp;DashEnd))</f>
        <v>0</v>
      </c>
      <c r="W133" s="23">
        <f>IF(T133="","",SUMIFS(Analytics!$J$5:$J$154,Analytics!$D$5:$D$154,T133,Analytics!$B$5:$B$154,"&gt;="&amp;DashStart,Analytics!$B$5:$B$154,"&lt;="&amp;DashEnd))</f>
        <v>0</v>
      </c>
      <c r="X133" s="23">
        <f>IF(T133="","",SUMIFS(Analytics!$L$5:$L$154,Analytics!$D$5:$D$154,T133,Analytics!$B$5:$B$154,"&gt;="&amp;DashStart,Analytics!$B$5:$B$154,"&lt;="&amp;DashEnd))</f>
        <v>0</v>
      </c>
      <c r="Y133" s="24">
        <f>IF(OR(W133="",W133=0),"",X133/W133)</f>
        <v>0</v>
      </c>
      <c r="Z133" s="23">
        <f>IF(T133="","",SUMIFS(Analytics!$G$5:$G$154,Analytics!$D$5:$D$154,T133,Analytics!$B$5:$B$154,"&gt;="&amp;DashStart,Analytics!$B$5:$B$154,"&lt;="&amp;DashEnd))</f>
        <v>0</v>
      </c>
      <c r="AA133" s="23">
        <f>IF(T133="","",SUMIFS(Analytics!$X$5:$X$154,Analytics!$D$5:$D$154,T133,Analytics!$B$5:$B$154,"&gt;="&amp;DashStart,Analytics!$B$5:$B$154,"&lt;="&amp;DashEnd))</f>
        <v>0</v>
      </c>
      <c r="AB133" s="23">
        <f>IF(T133="","",SUMIFS(Analytics!$R$5:$R$154,Analytics!$D$5:$D$154,T133,Analytics!$B$5:$B$154,"&gt;="&amp;DashStart,Analytics!$B$5:$B$154,"&lt;="&amp;DashEnd))</f>
        <v>0</v>
      </c>
      <c r="AC133" s="25">
        <f>IF(T133="","",SUMIFS(Analytics!$U$5:$U$154,Analytics!$D$5:$D$154,T133,Analytics!$B$5:$B$154,"&gt;="&amp;DashStart,Analytics!$B$5:$B$154,"&lt;="&amp;DashEnd))</f>
        <v>0</v>
      </c>
      <c r="AD133" s="23">
        <f>IF(T133="","",COUNTIFS('Content Calendar'!$G$5:$G$604,T133,'Content Calendar'!$B$5:$B$604,"&gt;="&amp;DATE(PlanYear,1,1),'Content Calendar'!$B$5:$B$604,"&lt;="&amp;DATE(PlanYear,12,31)))</f>
        <v>0</v>
      </c>
      <c r="AE133" s="23">
        <f>IF(T133="","",SUMIFS(Analytics!$J$5:$J$154,Analytics!$D$5:$D$154,T133))</f>
        <v>0</v>
      </c>
      <c r="AF133" s="23">
        <f>IF(T133="","",SUMIFS(Analytics!$L$5:$L$154,Analytics!$D$5:$D$154,T133))</f>
        <v>0</v>
      </c>
      <c r="AG133" s="24">
        <f>IF(OR(AE133="",AE133=0),"",AF133/AE133)</f>
        <v>0</v>
      </c>
      <c r="AH133" s="23">
        <f>IF(T133="","",SUMIFS(Analytics!$X$5:$X$154,Analytics!$D$5:$D$154,T133))</f>
        <v>0</v>
      </c>
      <c r="AI133" s="32">
        <f>IF(T133="","",IF(AE133=0,"",AE133+ROW()/1000000))</f>
        <v>0</v>
      </c>
      <c r="AJ133" s="17">
        <f>IF('Content Pillars'!$B$133="","",'Content Pillars'!$B$133)</f>
        <v>0</v>
      </c>
      <c r="AK133" s="23">
        <f>IF(AJ133="","",COUNTIFS('Content Calendar'!$J$5:$J$604,AJ133,'Content Calendar'!$B$5:$B$604,"&gt;="&amp;DATE(PlanYear,1,1),'Content Calendar'!$B$5:$B$604,"&lt;="&amp;DATE(PlanYear,12,31)))</f>
        <v>0</v>
      </c>
      <c r="AL133" s="23">
        <f>IF(AJ133="","",SUMIFS(Performance!$O$5:$O$404,Performance!$H$5:$H$404,AJ133))</f>
        <v>0</v>
      </c>
      <c r="AM133" s="23">
        <f>IF(AJ133="","",SUMIFS(Performance!$Z$5:$Z$404,Performance!$H$5:$H$404,AJ133))</f>
        <v>0</v>
      </c>
      <c r="AN133" s="24">
        <f>IF(OR(AL133="",AL133=0),"",AM133/AL133)</f>
        <v>0</v>
      </c>
      <c r="AO133" s="32">
        <f>IF(AN133="","",AN133+ROW()/1000000)</f>
        <v>0</v>
      </c>
      <c r="AP133" s="17">
        <f>IF(Lists!$E133="","",Lists!$E133)</f>
        <v>0</v>
      </c>
      <c r="AQ133" s="23">
        <f>IF(AP133="","",COUNTIF(Performance!$G$5:$G$404,AP133))</f>
        <v>0</v>
      </c>
      <c r="AR133" s="23">
        <f>IF(AP133="","",SUMIFS(Performance!$O$5:$O$404,Performance!$G$5:$G$404,AP133))</f>
        <v>0</v>
      </c>
      <c r="AS133" s="23">
        <f>IF(AP133="","",SUMIFS(Performance!$Z$5:$Z$404,Performance!$G$5:$G$404,AP133))</f>
        <v>0</v>
      </c>
      <c r="AT133" s="24">
        <f>IF(OR(AR133="",AR133=0),"",AS133/AR133)</f>
        <v>0</v>
      </c>
      <c r="AU133" s="32">
        <f>IF(AQ133=0,"",IF(AT133="","",AT133+ROW()/1000000))</f>
        <v>0</v>
      </c>
      <c r="AV133" s="17">
        <f>IF(ROW()-4&gt;7,"",TEXT(DATE(2024,1,ROW()-4),"ddd"))</f>
        <v>0</v>
      </c>
      <c r="AW133" s="23">
        <f>IF(AV133="","",COUNTIF(Performance!$N$5:$N$404,AV133))</f>
        <v>0</v>
      </c>
      <c r="AX133" s="23">
        <f>IF(AV133="","",SUMIFS(Performance!$O$5:$O$404,Performance!$N$5:$N$404,AV133))</f>
        <v>0</v>
      </c>
      <c r="AY133" s="23">
        <f>IF(AV133="","",SUMIFS(Performance!$Z$5:$Z$404,Performance!$N$5:$N$404,AV133))</f>
        <v>0</v>
      </c>
      <c r="AZ133" s="24">
        <f>IF(OR(AX133="",AX133=0),"",AY133/AX133)</f>
        <v>0</v>
      </c>
      <c r="BA133" s="32">
        <f>IF(AW133=0,"",IF(AZ133="","",AZ133+ROW()/1000000))</f>
        <v>0</v>
      </c>
      <c r="BB133" s="17">
        <f>IF(Lists!$AL133="","",Lists!$AL133)</f>
        <v>0</v>
      </c>
      <c r="BC133" s="23">
        <f>IF(BB133="","",COUNTIF(Performance!$M$5:$M$404,BB133))</f>
        <v>0</v>
      </c>
      <c r="BD133" s="23">
        <f>IF(BB133="","",SUMIFS(Performance!$O$5:$O$404,Performance!$M$5:$M$404,BB133))</f>
        <v>0</v>
      </c>
      <c r="BE133" s="23">
        <f>IF(BB133="","",SUMIFS(Performance!$Z$5:$Z$404,Performance!$M$5:$M$404,BB133))</f>
        <v>0</v>
      </c>
      <c r="BF133" s="24">
        <f>IF(OR(BD133="",BD133=0),"",BE133/BD133)</f>
        <v>0</v>
      </c>
      <c r="BG133" s="32">
        <f>IF(BC133=0,"",IF(BF133="","",BF133+ROW()/1000000))</f>
        <v>0</v>
      </c>
      <c r="BH133" s="17">
        <f>IF(Performance!$C$133="","",Performance!$C$133)</f>
        <v>0</v>
      </c>
      <c r="BI133" s="17">
        <f>IF(Performance!$F$133="","",Performance!$F$133)</f>
        <v>0</v>
      </c>
      <c r="BJ133" s="17">
        <f>IF(Performance!$H$133="","",Performance!$H$133)</f>
        <v>0</v>
      </c>
      <c r="BK133" s="16">
        <f>IF(Performance!$D$133="","",Performance!$D$133)</f>
        <v>0</v>
      </c>
      <c r="BL133" s="17">
        <f>IF(Performance!$E$133="","",Performance!$E$133)</f>
        <v>0</v>
      </c>
      <c r="BM133" s="23">
        <f>IF(Performance!$O$133="","",Performance!$O$133)</f>
        <v>0</v>
      </c>
      <c r="BN133" s="24">
        <f>IF(Performance!$AA$133="","",Performance!$AA$133)</f>
        <v>0</v>
      </c>
      <c r="BO133" s="32">
        <f>IF(BH133="","",IF(BK133="","",IF(OR(BK133&lt;DashStart,BK133&gt;DashEnd),"",IF(BN133="","",BN133+ROW()/1000000))))</f>
        <v>0</v>
      </c>
      <c r="BP133" s="32">
        <f>IF(BM133="","",IF(BK133="","",IF(OR(BK133&lt;DashStart,BK133&gt;DashEnd),"",BM133+ROW()/1000000)))</f>
        <v>0</v>
      </c>
      <c r="BQ133" s="32">
        <f>IF(BH133="","",IF(BK133="","",IF(YEAR(BK133)&lt;&gt;PlanYear,"",IF(BN133="","",BN133+ROW()/1000000))))</f>
        <v>0</v>
      </c>
      <c r="BR133" s="32">
        <f>IF(BH133="","",IF(BK133="","",IF(OR(BK133&lt;RepFrom,BK133&gt;RepTo),"",IF(BN133="","",BN133+ROW()/1000000))))</f>
        <v>0</v>
      </c>
      <c r="BS133" s="32">
        <f>IF(BM133="","",IF(BK133="","",IF(YEAR(BK133)&lt;&gt;PlanYear,"",BM133+ROW()/1000000)))</f>
        <v>0</v>
      </c>
      <c r="BT133" s="17">
        <f>IF(Lists!$F133="","",Lists!$F133)</f>
        <v>0</v>
      </c>
      <c r="BU133" s="23">
        <f>IF(BT133="","",COUNTIF('Content Calendar'!$X$5:$X$604,BT133))</f>
        <v>0</v>
      </c>
      <c r="BV133" s="23">
        <f>IF(BT133="","",COUNTIFS('Content Calendar'!$X$5:$X$604,BT133,'Content Calendar'!$B$5:$B$604,"&gt;="&amp;DashStart,'Content Calendar'!$B$5:$B$604,"&lt;="&amp;DashEnd))</f>
        <v>0</v>
      </c>
      <c r="BW133" s="17">
        <f>IF(Team!$B$133="","",Team!$B$133)</f>
        <v>0</v>
      </c>
      <c r="BX133" s="23">
        <f>IF(BW133="","",COUNTIF('Content Calendar'!$W$5:$W$604,BW133))</f>
        <v>0</v>
      </c>
      <c r="BY133" s="23">
        <f>IF(BW133="","",COUNTIFS('Content Calendar'!$W$5:$W$604,BW133,'Content Calendar'!$X$5:$X$604,"&lt;&gt;Published"))</f>
        <v>0</v>
      </c>
      <c r="BZ133" s="23">
        <f>IF(BW133="","",COUNTIFS(Tasks!$C$5:$C$64,BW133,Tasks!$G$5:$G$64,"&lt;&gt;Complete"))</f>
        <v>0</v>
      </c>
      <c r="CA133" s="17">
        <f>IF(Campaigns!$B$133="","",Campaigns!$B$133)</f>
        <v>0</v>
      </c>
      <c r="CB133" s="25">
        <f>IF(Campaigns!$T$133="","",Campaigns!$T$133)</f>
        <v>0</v>
      </c>
      <c r="CC133" s="25">
        <f>IF(Campaigns!$Q$133="","",Campaigns!$Q$133)</f>
        <v>0</v>
      </c>
      <c r="CD133" s="23">
        <f>IF(Campaigns!$Y$133="","",Campaigns!$Y$133)</f>
        <v>0</v>
      </c>
      <c r="CE133" s="32">
        <f>IF(CA133="","",IF(N(CB133)&lt;=0,"",N(CB133)+ROW()/1000000))</f>
        <v>0</v>
      </c>
      <c r="CF133" s="17">
        <f>IF(Accounts!$C$133="","",Accounts!$C$133)</f>
        <v>0</v>
      </c>
      <c r="CG133" s="17">
        <f>IF(Accounts!$B$133="","",Accounts!$B$133)</f>
        <v>0</v>
      </c>
      <c r="CH133" s="23">
        <f>IF(Accounts!$J$133="","",Accounts!$J$133)</f>
        <v>0</v>
      </c>
      <c r="CI133" s="23">
        <f>IF(CF133="","",SUMIFS(Analytics!$X$5:$X$154,Analytics!$E$5:$E$154,CF133,Analytics!$B$5:$B$154,"&gt;="&amp;DashStart,Analytics!$B$5:$B$154,"&lt;="&amp;DashEnd))</f>
        <v>0</v>
      </c>
      <c r="CJ133" s="32">
        <f>IF(CH133="","",IF(CH133=0,"",CH133+ROW()/1000000))</f>
        <v>0</v>
      </c>
    </row>
    <row r="134" spans="1:88">
      <c r="A134" s="16">
        <f>IF(ROW()-4&gt;12,"",DATE(PlanYear,ROW()-4,1))</f>
        <v>0</v>
      </c>
      <c r="B134" s="16">
        <f>IF(A134="","",EOMONTH(A134,0))</f>
        <v>0</v>
      </c>
      <c r="C134" s="17">
        <f>IF(A134="","",TEXT(A134,"yyyy-mm"))</f>
        <v>0</v>
      </c>
      <c r="D134" s="17">
        <f>IF(A134="","",TEXT(A134,"mmm"))</f>
        <v>0</v>
      </c>
      <c r="E134" s="23">
        <f>IF(C134="","",COUNTIFS('Content Calendar'!$D$5:$D$604,C134))</f>
        <v>0</v>
      </c>
      <c r="F134" s="23">
        <f>IF(C134="","",COUNTIFS('Content Calendar'!$D$5:$D$604,C134,'Content Calendar'!$X$5:$X$604,"Published"))</f>
        <v>0</v>
      </c>
      <c r="G134" s="23">
        <f>IF(C134="","",SUMIFS(Analytics!$J$5:$J$154,Analytics!$C$5:$C$154,C134))</f>
        <v>0</v>
      </c>
      <c r="H134" s="23">
        <f>IF(C134="","",SUMIFS(Analytics!$K$5:$K$154,Analytics!$C$5:$C$154,C134))</f>
        <v>0</v>
      </c>
      <c r="I134" s="23">
        <f>IF(C134="","",SUMIFS(Analytics!$L$5:$L$154,Analytics!$C$5:$C$154,C134))</f>
        <v>0</v>
      </c>
      <c r="J134" s="24">
        <f>IF(OR(G134="",G134=0),"",I134/G134)</f>
        <v>0</v>
      </c>
      <c r="K134" s="23">
        <f>IF(C134="","",SUMIFS(Analytics!$G$5:$G$154,Analytics!$C$5:$C$154,C134))</f>
        <v>0</v>
      </c>
      <c r="L134" s="23">
        <f>IF(C134="","",SUMIFS(Analytics!$X$5:$X$154,Analytics!$C$5:$C$154,C134))</f>
        <v>0</v>
      </c>
      <c r="M134" s="23">
        <f>IF(C134="","",SUMIFS(Analytics!$R$5:$R$154,Analytics!$C$5:$C$154,C134))</f>
        <v>0</v>
      </c>
      <c r="N134" s="23">
        <f>IF(C134="","",SUMIFS(Analytics!$S$5:$S$154,Analytics!$C$5:$C$154,C134))</f>
        <v>0</v>
      </c>
      <c r="O134" s="23">
        <f>IF(C134="","",SUMIFS(Analytics!$T$5:$T$154,Analytics!$C$5:$C$154,C134))</f>
        <v>0</v>
      </c>
      <c r="P134" s="25">
        <f>IF(C134="","",SUMIFS(Analytics!$U$5:$U$154,Analytics!$C$5:$C$154,C134))</f>
        <v>0</v>
      </c>
      <c r="Q134" s="25">
        <f>IF(C134="","",SUMIFS(Budget!$H$5:$H$64,Budget!$C$5:$C$64,C134))</f>
        <v>0</v>
      </c>
      <c r="R134" s="25">
        <f>IF(C134="","",P134-Q134)</f>
        <v>0</v>
      </c>
      <c r="S134" s="23">
        <f>IF(C134="","",MonthlyPostTarget)</f>
        <v>0</v>
      </c>
      <c r="T134" s="17">
        <f>IF(Lists!$C134="","",Lists!$C134)</f>
        <v>0</v>
      </c>
      <c r="U134" s="23">
        <f>IF(T134="","",COUNTIFS('Content Calendar'!$G$5:$G$604,T134,'Content Calendar'!$B$5:$B$604,"&gt;="&amp;DashStart,'Content Calendar'!$B$5:$B$604,"&lt;="&amp;DashEnd))</f>
        <v>0</v>
      </c>
      <c r="V134" s="23">
        <f>IF(T134="","",COUNTIFS('Content Calendar'!$G$5:$G$604,T134,'Content Calendar'!$X$5:$X$604,"Published",'Content Calendar'!$B$5:$B$604,"&gt;="&amp;DashStart,'Content Calendar'!$B$5:$B$604,"&lt;="&amp;DashEnd))</f>
        <v>0</v>
      </c>
      <c r="W134" s="23">
        <f>IF(T134="","",SUMIFS(Analytics!$J$5:$J$154,Analytics!$D$5:$D$154,T134,Analytics!$B$5:$B$154,"&gt;="&amp;DashStart,Analytics!$B$5:$B$154,"&lt;="&amp;DashEnd))</f>
        <v>0</v>
      </c>
      <c r="X134" s="23">
        <f>IF(T134="","",SUMIFS(Analytics!$L$5:$L$154,Analytics!$D$5:$D$154,T134,Analytics!$B$5:$B$154,"&gt;="&amp;DashStart,Analytics!$B$5:$B$154,"&lt;="&amp;DashEnd))</f>
        <v>0</v>
      </c>
      <c r="Y134" s="24">
        <f>IF(OR(W134="",W134=0),"",X134/W134)</f>
        <v>0</v>
      </c>
      <c r="Z134" s="23">
        <f>IF(T134="","",SUMIFS(Analytics!$G$5:$G$154,Analytics!$D$5:$D$154,T134,Analytics!$B$5:$B$154,"&gt;="&amp;DashStart,Analytics!$B$5:$B$154,"&lt;="&amp;DashEnd))</f>
        <v>0</v>
      </c>
      <c r="AA134" s="23">
        <f>IF(T134="","",SUMIFS(Analytics!$X$5:$X$154,Analytics!$D$5:$D$154,T134,Analytics!$B$5:$B$154,"&gt;="&amp;DashStart,Analytics!$B$5:$B$154,"&lt;="&amp;DashEnd))</f>
        <v>0</v>
      </c>
      <c r="AB134" s="23">
        <f>IF(T134="","",SUMIFS(Analytics!$R$5:$R$154,Analytics!$D$5:$D$154,T134,Analytics!$B$5:$B$154,"&gt;="&amp;DashStart,Analytics!$B$5:$B$154,"&lt;="&amp;DashEnd))</f>
        <v>0</v>
      </c>
      <c r="AC134" s="25">
        <f>IF(T134="","",SUMIFS(Analytics!$U$5:$U$154,Analytics!$D$5:$D$154,T134,Analytics!$B$5:$B$154,"&gt;="&amp;DashStart,Analytics!$B$5:$B$154,"&lt;="&amp;DashEnd))</f>
        <v>0</v>
      </c>
      <c r="AD134" s="23">
        <f>IF(T134="","",COUNTIFS('Content Calendar'!$G$5:$G$604,T134,'Content Calendar'!$B$5:$B$604,"&gt;="&amp;DATE(PlanYear,1,1),'Content Calendar'!$B$5:$B$604,"&lt;="&amp;DATE(PlanYear,12,31)))</f>
        <v>0</v>
      </c>
      <c r="AE134" s="23">
        <f>IF(T134="","",SUMIFS(Analytics!$J$5:$J$154,Analytics!$D$5:$D$154,T134))</f>
        <v>0</v>
      </c>
      <c r="AF134" s="23">
        <f>IF(T134="","",SUMIFS(Analytics!$L$5:$L$154,Analytics!$D$5:$D$154,T134))</f>
        <v>0</v>
      </c>
      <c r="AG134" s="24">
        <f>IF(OR(AE134="",AE134=0),"",AF134/AE134)</f>
        <v>0</v>
      </c>
      <c r="AH134" s="23">
        <f>IF(T134="","",SUMIFS(Analytics!$X$5:$X$154,Analytics!$D$5:$D$154,T134))</f>
        <v>0</v>
      </c>
      <c r="AI134" s="32">
        <f>IF(T134="","",IF(AE134=0,"",AE134+ROW()/1000000))</f>
        <v>0</v>
      </c>
      <c r="AJ134" s="17">
        <f>IF('Content Pillars'!$B$134="","",'Content Pillars'!$B$134)</f>
        <v>0</v>
      </c>
      <c r="AK134" s="23">
        <f>IF(AJ134="","",COUNTIFS('Content Calendar'!$J$5:$J$604,AJ134,'Content Calendar'!$B$5:$B$604,"&gt;="&amp;DATE(PlanYear,1,1),'Content Calendar'!$B$5:$B$604,"&lt;="&amp;DATE(PlanYear,12,31)))</f>
        <v>0</v>
      </c>
      <c r="AL134" s="23">
        <f>IF(AJ134="","",SUMIFS(Performance!$O$5:$O$404,Performance!$H$5:$H$404,AJ134))</f>
        <v>0</v>
      </c>
      <c r="AM134" s="23">
        <f>IF(AJ134="","",SUMIFS(Performance!$Z$5:$Z$404,Performance!$H$5:$H$404,AJ134))</f>
        <v>0</v>
      </c>
      <c r="AN134" s="24">
        <f>IF(OR(AL134="",AL134=0),"",AM134/AL134)</f>
        <v>0</v>
      </c>
      <c r="AO134" s="32">
        <f>IF(AN134="","",AN134+ROW()/1000000)</f>
        <v>0</v>
      </c>
      <c r="AP134" s="17">
        <f>IF(Lists!$E134="","",Lists!$E134)</f>
        <v>0</v>
      </c>
      <c r="AQ134" s="23">
        <f>IF(AP134="","",COUNTIF(Performance!$G$5:$G$404,AP134))</f>
        <v>0</v>
      </c>
      <c r="AR134" s="23">
        <f>IF(AP134="","",SUMIFS(Performance!$O$5:$O$404,Performance!$G$5:$G$404,AP134))</f>
        <v>0</v>
      </c>
      <c r="AS134" s="23">
        <f>IF(AP134="","",SUMIFS(Performance!$Z$5:$Z$404,Performance!$G$5:$G$404,AP134))</f>
        <v>0</v>
      </c>
      <c r="AT134" s="24">
        <f>IF(OR(AR134="",AR134=0),"",AS134/AR134)</f>
        <v>0</v>
      </c>
      <c r="AU134" s="32">
        <f>IF(AQ134=0,"",IF(AT134="","",AT134+ROW()/1000000))</f>
        <v>0</v>
      </c>
      <c r="AV134" s="17">
        <f>IF(ROW()-4&gt;7,"",TEXT(DATE(2024,1,ROW()-4),"ddd"))</f>
        <v>0</v>
      </c>
      <c r="AW134" s="23">
        <f>IF(AV134="","",COUNTIF(Performance!$N$5:$N$404,AV134))</f>
        <v>0</v>
      </c>
      <c r="AX134" s="23">
        <f>IF(AV134="","",SUMIFS(Performance!$O$5:$O$404,Performance!$N$5:$N$404,AV134))</f>
        <v>0</v>
      </c>
      <c r="AY134" s="23">
        <f>IF(AV134="","",SUMIFS(Performance!$Z$5:$Z$404,Performance!$N$5:$N$404,AV134))</f>
        <v>0</v>
      </c>
      <c r="AZ134" s="24">
        <f>IF(OR(AX134="",AX134=0),"",AY134/AX134)</f>
        <v>0</v>
      </c>
      <c r="BA134" s="32">
        <f>IF(AW134=0,"",IF(AZ134="","",AZ134+ROW()/1000000))</f>
        <v>0</v>
      </c>
      <c r="BB134" s="17">
        <f>IF(Lists!$AL134="","",Lists!$AL134)</f>
        <v>0</v>
      </c>
      <c r="BC134" s="23">
        <f>IF(BB134="","",COUNTIF(Performance!$M$5:$M$404,BB134))</f>
        <v>0</v>
      </c>
      <c r="BD134" s="23">
        <f>IF(BB134="","",SUMIFS(Performance!$O$5:$O$404,Performance!$M$5:$M$404,BB134))</f>
        <v>0</v>
      </c>
      <c r="BE134" s="23">
        <f>IF(BB134="","",SUMIFS(Performance!$Z$5:$Z$404,Performance!$M$5:$M$404,BB134))</f>
        <v>0</v>
      </c>
      <c r="BF134" s="24">
        <f>IF(OR(BD134="",BD134=0),"",BE134/BD134)</f>
        <v>0</v>
      </c>
      <c r="BG134" s="32">
        <f>IF(BC134=0,"",IF(BF134="","",BF134+ROW()/1000000))</f>
        <v>0</v>
      </c>
      <c r="BH134" s="17">
        <f>IF(Performance!$C$134="","",Performance!$C$134)</f>
        <v>0</v>
      </c>
      <c r="BI134" s="17">
        <f>IF(Performance!$F$134="","",Performance!$F$134)</f>
        <v>0</v>
      </c>
      <c r="BJ134" s="17">
        <f>IF(Performance!$H$134="","",Performance!$H$134)</f>
        <v>0</v>
      </c>
      <c r="BK134" s="16">
        <f>IF(Performance!$D$134="","",Performance!$D$134)</f>
        <v>0</v>
      </c>
      <c r="BL134" s="17">
        <f>IF(Performance!$E$134="","",Performance!$E$134)</f>
        <v>0</v>
      </c>
      <c r="BM134" s="23">
        <f>IF(Performance!$O$134="","",Performance!$O$134)</f>
        <v>0</v>
      </c>
      <c r="BN134" s="24">
        <f>IF(Performance!$AA$134="","",Performance!$AA$134)</f>
        <v>0</v>
      </c>
      <c r="BO134" s="32">
        <f>IF(BH134="","",IF(BK134="","",IF(OR(BK134&lt;DashStart,BK134&gt;DashEnd),"",IF(BN134="","",BN134+ROW()/1000000))))</f>
        <v>0</v>
      </c>
      <c r="BP134" s="32">
        <f>IF(BM134="","",IF(BK134="","",IF(OR(BK134&lt;DashStart,BK134&gt;DashEnd),"",BM134+ROW()/1000000)))</f>
        <v>0</v>
      </c>
      <c r="BQ134" s="32">
        <f>IF(BH134="","",IF(BK134="","",IF(YEAR(BK134)&lt;&gt;PlanYear,"",IF(BN134="","",BN134+ROW()/1000000))))</f>
        <v>0</v>
      </c>
      <c r="BR134" s="32">
        <f>IF(BH134="","",IF(BK134="","",IF(OR(BK134&lt;RepFrom,BK134&gt;RepTo),"",IF(BN134="","",BN134+ROW()/1000000))))</f>
        <v>0</v>
      </c>
      <c r="BS134" s="32">
        <f>IF(BM134="","",IF(BK134="","",IF(YEAR(BK134)&lt;&gt;PlanYear,"",BM134+ROW()/1000000)))</f>
        <v>0</v>
      </c>
      <c r="BT134" s="17">
        <f>IF(Lists!$F134="","",Lists!$F134)</f>
        <v>0</v>
      </c>
      <c r="BU134" s="23">
        <f>IF(BT134="","",COUNTIF('Content Calendar'!$X$5:$X$604,BT134))</f>
        <v>0</v>
      </c>
      <c r="BV134" s="23">
        <f>IF(BT134="","",COUNTIFS('Content Calendar'!$X$5:$X$604,BT134,'Content Calendar'!$B$5:$B$604,"&gt;="&amp;DashStart,'Content Calendar'!$B$5:$B$604,"&lt;="&amp;DashEnd))</f>
        <v>0</v>
      </c>
      <c r="BW134" s="17">
        <f>IF(Team!$B$134="","",Team!$B$134)</f>
        <v>0</v>
      </c>
      <c r="BX134" s="23">
        <f>IF(BW134="","",COUNTIF('Content Calendar'!$W$5:$W$604,BW134))</f>
        <v>0</v>
      </c>
      <c r="BY134" s="23">
        <f>IF(BW134="","",COUNTIFS('Content Calendar'!$W$5:$W$604,BW134,'Content Calendar'!$X$5:$X$604,"&lt;&gt;Published"))</f>
        <v>0</v>
      </c>
      <c r="BZ134" s="23">
        <f>IF(BW134="","",COUNTIFS(Tasks!$C$5:$C$64,BW134,Tasks!$G$5:$G$64,"&lt;&gt;Complete"))</f>
        <v>0</v>
      </c>
      <c r="CA134" s="17">
        <f>IF(Campaigns!$B$134="","",Campaigns!$B$134)</f>
        <v>0</v>
      </c>
      <c r="CB134" s="25">
        <f>IF(Campaigns!$T$134="","",Campaigns!$T$134)</f>
        <v>0</v>
      </c>
      <c r="CC134" s="25">
        <f>IF(Campaigns!$Q$134="","",Campaigns!$Q$134)</f>
        <v>0</v>
      </c>
      <c r="CD134" s="23">
        <f>IF(Campaigns!$Y$134="","",Campaigns!$Y$134)</f>
        <v>0</v>
      </c>
      <c r="CE134" s="32">
        <f>IF(CA134="","",IF(N(CB134)&lt;=0,"",N(CB134)+ROW()/1000000))</f>
        <v>0</v>
      </c>
      <c r="CF134" s="17">
        <f>IF(Accounts!$C$134="","",Accounts!$C$134)</f>
        <v>0</v>
      </c>
      <c r="CG134" s="17">
        <f>IF(Accounts!$B$134="","",Accounts!$B$134)</f>
        <v>0</v>
      </c>
      <c r="CH134" s="23">
        <f>IF(Accounts!$J$134="","",Accounts!$J$134)</f>
        <v>0</v>
      </c>
      <c r="CI134" s="23">
        <f>IF(CF134="","",SUMIFS(Analytics!$X$5:$X$154,Analytics!$E$5:$E$154,CF134,Analytics!$B$5:$B$154,"&gt;="&amp;DashStart,Analytics!$B$5:$B$154,"&lt;="&amp;DashEnd))</f>
        <v>0</v>
      </c>
      <c r="CJ134" s="32">
        <f>IF(CH134="","",IF(CH134=0,"",CH134+ROW()/1000000))</f>
        <v>0</v>
      </c>
    </row>
    <row r="135" spans="1:88">
      <c r="A135" s="16">
        <f>IF(ROW()-4&gt;12,"",DATE(PlanYear,ROW()-4,1))</f>
        <v>0</v>
      </c>
      <c r="B135" s="16">
        <f>IF(A135="","",EOMONTH(A135,0))</f>
        <v>0</v>
      </c>
      <c r="C135" s="17">
        <f>IF(A135="","",TEXT(A135,"yyyy-mm"))</f>
        <v>0</v>
      </c>
      <c r="D135" s="17">
        <f>IF(A135="","",TEXT(A135,"mmm"))</f>
        <v>0</v>
      </c>
      <c r="E135" s="23">
        <f>IF(C135="","",COUNTIFS('Content Calendar'!$D$5:$D$604,C135))</f>
        <v>0</v>
      </c>
      <c r="F135" s="23">
        <f>IF(C135="","",COUNTIFS('Content Calendar'!$D$5:$D$604,C135,'Content Calendar'!$X$5:$X$604,"Published"))</f>
        <v>0</v>
      </c>
      <c r="G135" s="23">
        <f>IF(C135="","",SUMIFS(Analytics!$J$5:$J$154,Analytics!$C$5:$C$154,C135))</f>
        <v>0</v>
      </c>
      <c r="H135" s="23">
        <f>IF(C135="","",SUMIFS(Analytics!$K$5:$K$154,Analytics!$C$5:$C$154,C135))</f>
        <v>0</v>
      </c>
      <c r="I135" s="23">
        <f>IF(C135="","",SUMIFS(Analytics!$L$5:$L$154,Analytics!$C$5:$C$154,C135))</f>
        <v>0</v>
      </c>
      <c r="J135" s="24">
        <f>IF(OR(G135="",G135=0),"",I135/G135)</f>
        <v>0</v>
      </c>
      <c r="K135" s="23">
        <f>IF(C135="","",SUMIFS(Analytics!$G$5:$G$154,Analytics!$C$5:$C$154,C135))</f>
        <v>0</v>
      </c>
      <c r="L135" s="23">
        <f>IF(C135="","",SUMIFS(Analytics!$X$5:$X$154,Analytics!$C$5:$C$154,C135))</f>
        <v>0</v>
      </c>
      <c r="M135" s="23">
        <f>IF(C135="","",SUMIFS(Analytics!$R$5:$R$154,Analytics!$C$5:$C$154,C135))</f>
        <v>0</v>
      </c>
      <c r="N135" s="23">
        <f>IF(C135="","",SUMIFS(Analytics!$S$5:$S$154,Analytics!$C$5:$C$154,C135))</f>
        <v>0</v>
      </c>
      <c r="O135" s="23">
        <f>IF(C135="","",SUMIFS(Analytics!$T$5:$T$154,Analytics!$C$5:$C$154,C135))</f>
        <v>0</v>
      </c>
      <c r="P135" s="25">
        <f>IF(C135="","",SUMIFS(Analytics!$U$5:$U$154,Analytics!$C$5:$C$154,C135))</f>
        <v>0</v>
      </c>
      <c r="Q135" s="25">
        <f>IF(C135="","",SUMIFS(Budget!$H$5:$H$64,Budget!$C$5:$C$64,C135))</f>
        <v>0</v>
      </c>
      <c r="R135" s="25">
        <f>IF(C135="","",P135-Q135)</f>
        <v>0</v>
      </c>
      <c r="S135" s="23">
        <f>IF(C135="","",MonthlyPostTarget)</f>
        <v>0</v>
      </c>
      <c r="T135" s="17">
        <f>IF(Lists!$C135="","",Lists!$C135)</f>
        <v>0</v>
      </c>
      <c r="U135" s="23">
        <f>IF(T135="","",COUNTIFS('Content Calendar'!$G$5:$G$604,T135,'Content Calendar'!$B$5:$B$604,"&gt;="&amp;DashStart,'Content Calendar'!$B$5:$B$604,"&lt;="&amp;DashEnd))</f>
        <v>0</v>
      </c>
      <c r="V135" s="23">
        <f>IF(T135="","",COUNTIFS('Content Calendar'!$G$5:$G$604,T135,'Content Calendar'!$X$5:$X$604,"Published",'Content Calendar'!$B$5:$B$604,"&gt;="&amp;DashStart,'Content Calendar'!$B$5:$B$604,"&lt;="&amp;DashEnd))</f>
        <v>0</v>
      </c>
      <c r="W135" s="23">
        <f>IF(T135="","",SUMIFS(Analytics!$J$5:$J$154,Analytics!$D$5:$D$154,T135,Analytics!$B$5:$B$154,"&gt;="&amp;DashStart,Analytics!$B$5:$B$154,"&lt;="&amp;DashEnd))</f>
        <v>0</v>
      </c>
      <c r="X135" s="23">
        <f>IF(T135="","",SUMIFS(Analytics!$L$5:$L$154,Analytics!$D$5:$D$154,T135,Analytics!$B$5:$B$154,"&gt;="&amp;DashStart,Analytics!$B$5:$B$154,"&lt;="&amp;DashEnd))</f>
        <v>0</v>
      </c>
      <c r="Y135" s="24">
        <f>IF(OR(W135="",W135=0),"",X135/W135)</f>
        <v>0</v>
      </c>
      <c r="Z135" s="23">
        <f>IF(T135="","",SUMIFS(Analytics!$G$5:$G$154,Analytics!$D$5:$D$154,T135,Analytics!$B$5:$B$154,"&gt;="&amp;DashStart,Analytics!$B$5:$B$154,"&lt;="&amp;DashEnd))</f>
        <v>0</v>
      </c>
      <c r="AA135" s="23">
        <f>IF(T135="","",SUMIFS(Analytics!$X$5:$X$154,Analytics!$D$5:$D$154,T135,Analytics!$B$5:$B$154,"&gt;="&amp;DashStart,Analytics!$B$5:$B$154,"&lt;="&amp;DashEnd))</f>
        <v>0</v>
      </c>
      <c r="AB135" s="23">
        <f>IF(T135="","",SUMIFS(Analytics!$R$5:$R$154,Analytics!$D$5:$D$154,T135,Analytics!$B$5:$B$154,"&gt;="&amp;DashStart,Analytics!$B$5:$B$154,"&lt;="&amp;DashEnd))</f>
        <v>0</v>
      </c>
      <c r="AC135" s="25">
        <f>IF(T135="","",SUMIFS(Analytics!$U$5:$U$154,Analytics!$D$5:$D$154,T135,Analytics!$B$5:$B$154,"&gt;="&amp;DashStart,Analytics!$B$5:$B$154,"&lt;="&amp;DashEnd))</f>
        <v>0</v>
      </c>
      <c r="AD135" s="23">
        <f>IF(T135="","",COUNTIFS('Content Calendar'!$G$5:$G$604,T135,'Content Calendar'!$B$5:$B$604,"&gt;="&amp;DATE(PlanYear,1,1),'Content Calendar'!$B$5:$B$604,"&lt;="&amp;DATE(PlanYear,12,31)))</f>
        <v>0</v>
      </c>
      <c r="AE135" s="23">
        <f>IF(T135="","",SUMIFS(Analytics!$J$5:$J$154,Analytics!$D$5:$D$154,T135))</f>
        <v>0</v>
      </c>
      <c r="AF135" s="23">
        <f>IF(T135="","",SUMIFS(Analytics!$L$5:$L$154,Analytics!$D$5:$D$154,T135))</f>
        <v>0</v>
      </c>
      <c r="AG135" s="24">
        <f>IF(OR(AE135="",AE135=0),"",AF135/AE135)</f>
        <v>0</v>
      </c>
      <c r="AH135" s="23">
        <f>IF(T135="","",SUMIFS(Analytics!$X$5:$X$154,Analytics!$D$5:$D$154,T135))</f>
        <v>0</v>
      </c>
      <c r="AI135" s="32">
        <f>IF(T135="","",IF(AE135=0,"",AE135+ROW()/1000000))</f>
        <v>0</v>
      </c>
      <c r="AJ135" s="17">
        <f>IF('Content Pillars'!$B$135="","",'Content Pillars'!$B$135)</f>
        <v>0</v>
      </c>
      <c r="AK135" s="23">
        <f>IF(AJ135="","",COUNTIFS('Content Calendar'!$J$5:$J$604,AJ135,'Content Calendar'!$B$5:$B$604,"&gt;="&amp;DATE(PlanYear,1,1),'Content Calendar'!$B$5:$B$604,"&lt;="&amp;DATE(PlanYear,12,31)))</f>
        <v>0</v>
      </c>
      <c r="AL135" s="23">
        <f>IF(AJ135="","",SUMIFS(Performance!$O$5:$O$404,Performance!$H$5:$H$404,AJ135))</f>
        <v>0</v>
      </c>
      <c r="AM135" s="23">
        <f>IF(AJ135="","",SUMIFS(Performance!$Z$5:$Z$404,Performance!$H$5:$H$404,AJ135))</f>
        <v>0</v>
      </c>
      <c r="AN135" s="24">
        <f>IF(OR(AL135="",AL135=0),"",AM135/AL135)</f>
        <v>0</v>
      </c>
      <c r="AO135" s="32">
        <f>IF(AN135="","",AN135+ROW()/1000000)</f>
        <v>0</v>
      </c>
      <c r="AP135" s="17">
        <f>IF(Lists!$E135="","",Lists!$E135)</f>
        <v>0</v>
      </c>
      <c r="AQ135" s="23">
        <f>IF(AP135="","",COUNTIF(Performance!$G$5:$G$404,AP135))</f>
        <v>0</v>
      </c>
      <c r="AR135" s="23">
        <f>IF(AP135="","",SUMIFS(Performance!$O$5:$O$404,Performance!$G$5:$G$404,AP135))</f>
        <v>0</v>
      </c>
      <c r="AS135" s="23">
        <f>IF(AP135="","",SUMIFS(Performance!$Z$5:$Z$404,Performance!$G$5:$G$404,AP135))</f>
        <v>0</v>
      </c>
      <c r="AT135" s="24">
        <f>IF(OR(AR135="",AR135=0),"",AS135/AR135)</f>
        <v>0</v>
      </c>
      <c r="AU135" s="32">
        <f>IF(AQ135=0,"",IF(AT135="","",AT135+ROW()/1000000))</f>
        <v>0</v>
      </c>
      <c r="AV135" s="17">
        <f>IF(ROW()-4&gt;7,"",TEXT(DATE(2024,1,ROW()-4),"ddd"))</f>
        <v>0</v>
      </c>
      <c r="AW135" s="23">
        <f>IF(AV135="","",COUNTIF(Performance!$N$5:$N$404,AV135))</f>
        <v>0</v>
      </c>
      <c r="AX135" s="23">
        <f>IF(AV135="","",SUMIFS(Performance!$O$5:$O$404,Performance!$N$5:$N$404,AV135))</f>
        <v>0</v>
      </c>
      <c r="AY135" s="23">
        <f>IF(AV135="","",SUMIFS(Performance!$Z$5:$Z$404,Performance!$N$5:$N$404,AV135))</f>
        <v>0</v>
      </c>
      <c r="AZ135" s="24">
        <f>IF(OR(AX135="",AX135=0),"",AY135/AX135)</f>
        <v>0</v>
      </c>
      <c r="BA135" s="32">
        <f>IF(AW135=0,"",IF(AZ135="","",AZ135+ROW()/1000000))</f>
        <v>0</v>
      </c>
      <c r="BB135" s="17">
        <f>IF(Lists!$AL135="","",Lists!$AL135)</f>
        <v>0</v>
      </c>
      <c r="BC135" s="23">
        <f>IF(BB135="","",COUNTIF(Performance!$M$5:$M$404,BB135))</f>
        <v>0</v>
      </c>
      <c r="BD135" s="23">
        <f>IF(BB135="","",SUMIFS(Performance!$O$5:$O$404,Performance!$M$5:$M$404,BB135))</f>
        <v>0</v>
      </c>
      <c r="BE135" s="23">
        <f>IF(BB135="","",SUMIFS(Performance!$Z$5:$Z$404,Performance!$M$5:$M$404,BB135))</f>
        <v>0</v>
      </c>
      <c r="BF135" s="24">
        <f>IF(OR(BD135="",BD135=0),"",BE135/BD135)</f>
        <v>0</v>
      </c>
      <c r="BG135" s="32">
        <f>IF(BC135=0,"",IF(BF135="","",BF135+ROW()/1000000))</f>
        <v>0</v>
      </c>
      <c r="BH135" s="17">
        <f>IF(Performance!$C$135="","",Performance!$C$135)</f>
        <v>0</v>
      </c>
      <c r="BI135" s="17">
        <f>IF(Performance!$F$135="","",Performance!$F$135)</f>
        <v>0</v>
      </c>
      <c r="BJ135" s="17">
        <f>IF(Performance!$H$135="","",Performance!$H$135)</f>
        <v>0</v>
      </c>
      <c r="BK135" s="16">
        <f>IF(Performance!$D$135="","",Performance!$D$135)</f>
        <v>0</v>
      </c>
      <c r="BL135" s="17">
        <f>IF(Performance!$E$135="","",Performance!$E$135)</f>
        <v>0</v>
      </c>
      <c r="BM135" s="23">
        <f>IF(Performance!$O$135="","",Performance!$O$135)</f>
        <v>0</v>
      </c>
      <c r="BN135" s="24">
        <f>IF(Performance!$AA$135="","",Performance!$AA$135)</f>
        <v>0</v>
      </c>
      <c r="BO135" s="32">
        <f>IF(BH135="","",IF(BK135="","",IF(OR(BK135&lt;DashStart,BK135&gt;DashEnd),"",IF(BN135="","",BN135+ROW()/1000000))))</f>
        <v>0</v>
      </c>
      <c r="BP135" s="32">
        <f>IF(BM135="","",IF(BK135="","",IF(OR(BK135&lt;DashStart,BK135&gt;DashEnd),"",BM135+ROW()/1000000)))</f>
        <v>0</v>
      </c>
      <c r="BQ135" s="32">
        <f>IF(BH135="","",IF(BK135="","",IF(YEAR(BK135)&lt;&gt;PlanYear,"",IF(BN135="","",BN135+ROW()/1000000))))</f>
        <v>0</v>
      </c>
      <c r="BR135" s="32">
        <f>IF(BH135="","",IF(BK135="","",IF(OR(BK135&lt;RepFrom,BK135&gt;RepTo),"",IF(BN135="","",BN135+ROW()/1000000))))</f>
        <v>0</v>
      </c>
      <c r="BS135" s="32">
        <f>IF(BM135="","",IF(BK135="","",IF(YEAR(BK135)&lt;&gt;PlanYear,"",BM135+ROW()/1000000)))</f>
        <v>0</v>
      </c>
      <c r="BT135" s="17">
        <f>IF(Lists!$F135="","",Lists!$F135)</f>
        <v>0</v>
      </c>
      <c r="BU135" s="23">
        <f>IF(BT135="","",COUNTIF('Content Calendar'!$X$5:$X$604,BT135))</f>
        <v>0</v>
      </c>
      <c r="BV135" s="23">
        <f>IF(BT135="","",COUNTIFS('Content Calendar'!$X$5:$X$604,BT135,'Content Calendar'!$B$5:$B$604,"&gt;="&amp;DashStart,'Content Calendar'!$B$5:$B$604,"&lt;="&amp;DashEnd))</f>
        <v>0</v>
      </c>
      <c r="BW135" s="17">
        <f>IF(Team!$B$135="","",Team!$B$135)</f>
        <v>0</v>
      </c>
      <c r="BX135" s="23">
        <f>IF(BW135="","",COUNTIF('Content Calendar'!$W$5:$W$604,BW135))</f>
        <v>0</v>
      </c>
      <c r="BY135" s="23">
        <f>IF(BW135="","",COUNTIFS('Content Calendar'!$W$5:$W$604,BW135,'Content Calendar'!$X$5:$X$604,"&lt;&gt;Published"))</f>
        <v>0</v>
      </c>
      <c r="BZ135" s="23">
        <f>IF(BW135="","",COUNTIFS(Tasks!$C$5:$C$64,BW135,Tasks!$G$5:$G$64,"&lt;&gt;Complete"))</f>
        <v>0</v>
      </c>
      <c r="CA135" s="17">
        <f>IF(Campaigns!$B$135="","",Campaigns!$B$135)</f>
        <v>0</v>
      </c>
      <c r="CB135" s="25">
        <f>IF(Campaigns!$T$135="","",Campaigns!$T$135)</f>
        <v>0</v>
      </c>
      <c r="CC135" s="25">
        <f>IF(Campaigns!$Q$135="","",Campaigns!$Q$135)</f>
        <v>0</v>
      </c>
      <c r="CD135" s="23">
        <f>IF(Campaigns!$Y$135="","",Campaigns!$Y$135)</f>
        <v>0</v>
      </c>
      <c r="CE135" s="32">
        <f>IF(CA135="","",IF(N(CB135)&lt;=0,"",N(CB135)+ROW()/1000000))</f>
        <v>0</v>
      </c>
      <c r="CF135" s="17">
        <f>IF(Accounts!$C$135="","",Accounts!$C$135)</f>
        <v>0</v>
      </c>
      <c r="CG135" s="17">
        <f>IF(Accounts!$B$135="","",Accounts!$B$135)</f>
        <v>0</v>
      </c>
      <c r="CH135" s="23">
        <f>IF(Accounts!$J$135="","",Accounts!$J$135)</f>
        <v>0</v>
      </c>
      <c r="CI135" s="23">
        <f>IF(CF135="","",SUMIFS(Analytics!$X$5:$X$154,Analytics!$E$5:$E$154,CF135,Analytics!$B$5:$B$154,"&gt;="&amp;DashStart,Analytics!$B$5:$B$154,"&lt;="&amp;DashEnd))</f>
        <v>0</v>
      </c>
      <c r="CJ135" s="32">
        <f>IF(CH135="","",IF(CH135=0,"",CH135+ROW()/1000000))</f>
        <v>0</v>
      </c>
    </row>
    <row r="136" spans="1:88">
      <c r="A136" s="16">
        <f>IF(ROW()-4&gt;12,"",DATE(PlanYear,ROW()-4,1))</f>
        <v>0</v>
      </c>
      <c r="B136" s="16">
        <f>IF(A136="","",EOMONTH(A136,0))</f>
        <v>0</v>
      </c>
      <c r="C136" s="17">
        <f>IF(A136="","",TEXT(A136,"yyyy-mm"))</f>
        <v>0</v>
      </c>
      <c r="D136" s="17">
        <f>IF(A136="","",TEXT(A136,"mmm"))</f>
        <v>0</v>
      </c>
      <c r="E136" s="23">
        <f>IF(C136="","",COUNTIFS('Content Calendar'!$D$5:$D$604,C136))</f>
        <v>0</v>
      </c>
      <c r="F136" s="23">
        <f>IF(C136="","",COUNTIFS('Content Calendar'!$D$5:$D$604,C136,'Content Calendar'!$X$5:$X$604,"Published"))</f>
        <v>0</v>
      </c>
      <c r="G136" s="23">
        <f>IF(C136="","",SUMIFS(Analytics!$J$5:$J$154,Analytics!$C$5:$C$154,C136))</f>
        <v>0</v>
      </c>
      <c r="H136" s="23">
        <f>IF(C136="","",SUMIFS(Analytics!$K$5:$K$154,Analytics!$C$5:$C$154,C136))</f>
        <v>0</v>
      </c>
      <c r="I136" s="23">
        <f>IF(C136="","",SUMIFS(Analytics!$L$5:$L$154,Analytics!$C$5:$C$154,C136))</f>
        <v>0</v>
      </c>
      <c r="J136" s="24">
        <f>IF(OR(G136="",G136=0),"",I136/G136)</f>
        <v>0</v>
      </c>
      <c r="K136" s="23">
        <f>IF(C136="","",SUMIFS(Analytics!$G$5:$G$154,Analytics!$C$5:$C$154,C136))</f>
        <v>0</v>
      </c>
      <c r="L136" s="23">
        <f>IF(C136="","",SUMIFS(Analytics!$X$5:$X$154,Analytics!$C$5:$C$154,C136))</f>
        <v>0</v>
      </c>
      <c r="M136" s="23">
        <f>IF(C136="","",SUMIFS(Analytics!$R$5:$R$154,Analytics!$C$5:$C$154,C136))</f>
        <v>0</v>
      </c>
      <c r="N136" s="23">
        <f>IF(C136="","",SUMIFS(Analytics!$S$5:$S$154,Analytics!$C$5:$C$154,C136))</f>
        <v>0</v>
      </c>
      <c r="O136" s="23">
        <f>IF(C136="","",SUMIFS(Analytics!$T$5:$T$154,Analytics!$C$5:$C$154,C136))</f>
        <v>0</v>
      </c>
      <c r="P136" s="25">
        <f>IF(C136="","",SUMIFS(Analytics!$U$5:$U$154,Analytics!$C$5:$C$154,C136))</f>
        <v>0</v>
      </c>
      <c r="Q136" s="25">
        <f>IF(C136="","",SUMIFS(Budget!$H$5:$H$64,Budget!$C$5:$C$64,C136))</f>
        <v>0</v>
      </c>
      <c r="R136" s="25">
        <f>IF(C136="","",P136-Q136)</f>
        <v>0</v>
      </c>
      <c r="S136" s="23">
        <f>IF(C136="","",MonthlyPostTarget)</f>
        <v>0</v>
      </c>
      <c r="T136" s="17">
        <f>IF(Lists!$C136="","",Lists!$C136)</f>
        <v>0</v>
      </c>
      <c r="U136" s="23">
        <f>IF(T136="","",COUNTIFS('Content Calendar'!$G$5:$G$604,T136,'Content Calendar'!$B$5:$B$604,"&gt;="&amp;DashStart,'Content Calendar'!$B$5:$B$604,"&lt;="&amp;DashEnd))</f>
        <v>0</v>
      </c>
      <c r="V136" s="23">
        <f>IF(T136="","",COUNTIFS('Content Calendar'!$G$5:$G$604,T136,'Content Calendar'!$X$5:$X$604,"Published",'Content Calendar'!$B$5:$B$604,"&gt;="&amp;DashStart,'Content Calendar'!$B$5:$B$604,"&lt;="&amp;DashEnd))</f>
        <v>0</v>
      </c>
      <c r="W136" s="23">
        <f>IF(T136="","",SUMIFS(Analytics!$J$5:$J$154,Analytics!$D$5:$D$154,T136,Analytics!$B$5:$B$154,"&gt;="&amp;DashStart,Analytics!$B$5:$B$154,"&lt;="&amp;DashEnd))</f>
        <v>0</v>
      </c>
      <c r="X136" s="23">
        <f>IF(T136="","",SUMIFS(Analytics!$L$5:$L$154,Analytics!$D$5:$D$154,T136,Analytics!$B$5:$B$154,"&gt;="&amp;DashStart,Analytics!$B$5:$B$154,"&lt;="&amp;DashEnd))</f>
        <v>0</v>
      </c>
      <c r="Y136" s="24">
        <f>IF(OR(W136="",W136=0),"",X136/W136)</f>
        <v>0</v>
      </c>
      <c r="Z136" s="23">
        <f>IF(T136="","",SUMIFS(Analytics!$G$5:$G$154,Analytics!$D$5:$D$154,T136,Analytics!$B$5:$B$154,"&gt;="&amp;DashStart,Analytics!$B$5:$B$154,"&lt;="&amp;DashEnd))</f>
        <v>0</v>
      </c>
      <c r="AA136" s="23">
        <f>IF(T136="","",SUMIFS(Analytics!$X$5:$X$154,Analytics!$D$5:$D$154,T136,Analytics!$B$5:$B$154,"&gt;="&amp;DashStart,Analytics!$B$5:$B$154,"&lt;="&amp;DashEnd))</f>
        <v>0</v>
      </c>
      <c r="AB136" s="23">
        <f>IF(T136="","",SUMIFS(Analytics!$R$5:$R$154,Analytics!$D$5:$D$154,T136,Analytics!$B$5:$B$154,"&gt;="&amp;DashStart,Analytics!$B$5:$B$154,"&lt;="&amp;DashEnd))</f>
        <v>0</v>
      </c>
      <c r="AC136" s="25">
        <f>IF(T136="","",SUMIFS(Analytics!$U$5:$U$154,Analytics!$D$5:$D$154,T136,Analytics!$B$5:$B$154,"&gt;="&amp;DashStart,Analytics!$B$5:$B$154,"&lt;="&amp;DashEnd))</f>
        <v>0</v>
      </c>
      <c r="AD136" s="23">
        <f>IF(T136="","",COUNTIFS('Content Calendar'!$G$5:$G$604,T136,'Content Calendar'!$B$5:$B$604,"&gt;="&amp;DATE(PlanYear,1,1),'Content Calendar'!$B$5:$B$604,"&lt;="&amp;DATE(PlanYear,12,31)))</f>
        <v>0</v>
      </c>
      <c r="AE136" s="23">
        <f>IF(T136="","",SUMIFS(Analytics!$J$5:$J$154,Analytics!$D$5:$D$154,T136))</f>
        <v>0</v>
      </c>
      <c r="AF136" s="23">
        <f>IF(T136="","",SUMIFS(Analytics!$L$5:$L$154,Analytics!$D$5:$D$154,T136))</f>
        <v>0</v>
      </c>
      <c r="AG136" s="24">
        <f>IF(OR(AE136="",AE136=0),"",AF136/AE136)</f>
        <v>0</v>
      </c>
      <c r="AH136" s="23">
        <f>IF(T136="","",SUMIFS(Analytics!$X$5:$X$154,Analytics!$D$5:$D$154,T136))</f>
        <v>0</v>
      </c>
      <c r="AI136" s="32">
        <f>IF(T136="","",IF(AE136=0,"",AE136+ROW()/1000000))</f>
        <v>0</v>
      </c>
      <c r="AJ136" s="17">
        <f>IF('Content Pillars'!$B$136="","",'Content Pillars'!$B$136)</f>
        <v>0</v>
      </c>
      <c r="AK136" s="23">
        <f>IF(AJ136="","",COUNTIFS('Content Calendar'!$J$5:$J$604,AJ136,'Content Calendar'!$B$5:$B$604,"&gt;="&amp;DATE(PlanYear,1,1),'Content Calendar'!$B$5:$B$604,"&lt;="&amp;DATE(PlanYear,12,31)))</f>
        <v>0</v>
      </c>
      <c r="AL136" s="23">
        <f>IF(AJ136="","",SUMIFS(Performance!$O$5:$O$404,Performance!$H$5:$H$404,AJ136))</f>
        <v>0</v>
      </c>
      <c r="AM136" s="23">
        <f>IF(AJ136="","",SUMIFS(Performance!$Z$5:$Z$404,Performance!$H$5:$H$404,AJ136))</f>
        <v>0</v>
      </c>
      <c r="AN136" s="24">
        <f>IF(OR(AL136="",AL136=0),"",AM136/AL136)</f>
        <v>0</v>
      </c>
      <c r="AO136" s="32">
        <f>IF(AN136="","",AN136+ROW()/1000000)</f>
        <v>0</v>
      </c>
      <c r="AP136" s="17">
        <f>IF(Lists!$E136="","",Lists!$E136)</f>
        <v>0</v>
      </c>
      <c r="AQ136" s="23">
        <f>IF(AP136="","",COUNTIF(Performance!$G$5:$G$404,AP136))</f>
        <v>0</v>
      </c>
      <c r="AR136" s="23">
        <f>IF(AP136="","",SUMIFS(Performance!$O$5:$O$404,Performance!$G$5:$G$404,AP136))</f>
        <v>0</v>
      </c>
      <c r="AS136" s="23">
        <f>IF(AP136="","",SUMIFS(Performance!$Z$5:$Z$404,Performance!$G$5:$G$404,AP136))</f>
        <v>0</v>
      </c>
      <c r="AT136" s="24">
        <f>IF(OR(AR136="",AR136=0),"",AS136/AR136)</f>
        <v>0</v>
      </c>
      <c r="AU136" s="32">
        <f>IF(AQ136=0,"",IF(AT136="","",AT136+ROW()/1000000))</f>
        <v>0</v>
      </c>
      <c r="AV136" s="17">
        <f>IF(ROW()-4&gt;7,"",TEXT(DATE(2024,1,ROW()-4),"ddd"))</f>
        <v>0</v>
      </c>
      <c r="AW136" s="23">
        <f>IF(AV136="","",COUNTIF(Performance!$N$5:$N$404,AV136))</f>
        <v>0</v>
      </c>
      <c r="AX136" s="23">
        <f>IF(AV136="","",SUMIFS(Performance!$O$5:$O$404,Performance!$N$5:$N$404,AV136))</f>
        <v>0</v>
      </c>
      <c r="AY136" s="23">
        <f>IF(AV136="","",SUMIFS(Performance!$Z$5:$Z$404,Performance!$N$5:$N$404,AV136))</f>
        <v>0</v>
      </c>
      <c r="AZ136" s="24">
        <f>IF(OR(AX136="",AX136=0),"",AY136/AX136)</f>
        <v>0</v>
      </c>
      <c r="BA136" s="32">
        <f>IF(AW136=0,"",IF(AZ136="","",AZ136+ROW()/1000000))</f>
        <v>0</v>
      </c>
      <c r="BB136" s="17">
        <f>IF(Lists!$AL136="","",Lists!$AL136)</f>
        <v>0</v>
      </c>
      <c r="BC136" s="23">
        <f>IF(BB136="","",COUNTIF(Performance!$M$5:$M$404,BB136))</f>
        <v>0</v>
      </c>
      <c r="BD136" s="23">
        <f>IF(BB136="","",SUMIFS(Performance!$O$5:$O$404,Performance!$M$5:$M$404,BB136))</f>
        <v>0</v>
      </c>
      <c r="BE136" s="23">
        <f>IF(BB136="","",SUMIFS(Performance!$Z$5:$Z$404,Performance!$M$5:$M$404,BB136))</f>
        <v>0</v>
      </c>
      <c r="BF136" s="24">
        <f>IF(OR(BD136="",BD136=0),"",BE136/BD136)</f>
        <v>0</v>
      </c>
      <c r="BG136" s="32">
        <f>IF(BC136=0,"",IF(BF136="","",BF136+ROW()/1000000))</f>
        <v>0</v>
      </c>
      <c r="BH136" s="17">
        <f>IF(Performance!$C$136="","",Performance!$C$136)</f>
        <v>0</v>
      </c>
      <c r="BI136" s="17">
        <f>IF(Performance!$F$136="","",Performance!$F$136)</f>
        <v>0</v>
      </c>
      <c r="BJ136" s="17">
        <f>IF(Performance!$H$136="","",Performance!$H$136)</f>
        <v>0</v>
      </c>
      <c r="BK136" s="16">
        <f>IF(Performance!$D$136="","",Performance!$D$136)</f>
        <v>0</v>
      </c>
      <c r="BL136" s="17">
        <f>IF(Performance!$E$136="","",Performance!$E$136)</f>
        <v>0</v>
      </c>
      <c r="BM136" s="23">
        <f>IF(Performance!$O$136="","",Performance!$O$136)</f>
        <v>0</v>
      </c>
      <c r="BN136" s="24">
        <f>IF(Performance!$AA$136="","",Performance!$AA$136)</f>
        <v>0</v>
      </c>
      <c r="BO136" s="32">
        <f>IF(BH136="","",IF(BK136="","",IF(OR(BK136&lt;DashStart,BK136&gt;DashEnd),"",IF(BN136="","",BN136+ROW()/1000000))))</f>
        <v>0</v>
      </c>
      <c r="BP136" s="32">
        <f>IF(BM136="","",IF(BK136="","",IF(OR(BK136&lt;DashStart,BK136&gt;DashEnd),"",BM136+ROW()/1000000)))</f>
        <v>0</v>
      </c>
      <c r="BQ136" s="32">
        <f>IF(BH136="","",IF(BK136="","",IF(YEAR(BK136)&lt;&gt;PlanYear,"",IF(BN136="","",BN136+ROW()/1000000))))</f>
        <v>0</v>
      </c>
      <c r="BR136" s="32">
        <f>IF(BH136="","",IF(BK136="","",IF(OR(BK136&lt;RepFrom,BK136&gt;RepTo),"",IF(BN136="","",BN136+ROW()/1000000))))</f>
        <v>0</v>
      </c>
      <c r="BS136" s="32">
        <f>IF(BM136="","",IF(BK136="","",IF(YEAR(BK136)&lt;&gt;PlanYear,"",BM136+ROW()/1000000)))</f>
        <v>0</v>
      </c>
      <c r="BT136" s="17">
        <f>IF(Lists!$F136="","",Lists!$F136)</f>
        <v>0</v>
      </c>
      <c r="BU136" s="23">
        <f>IF(BT136="","",COUNTIF('Content Calendar'!$X$5:$X$604,BT136))</f>
        <v>0</v>
      </c>
      <c r="BV136" s="23">
        <f>IF(BT136="","",COUNTIFS('Content Calendar'!$X$5:$X$604,BT136,'Content Calendar'!$B$5:$B$604,"&gt;="&amp;DashStart,'Content Calendar'!$B$5:$B$604,"&lt;="&amp;DashEnd))</f>
        <v>0</v>
      </c>
      <c r="BW136" s="17">
        <f>IF(Team!$B$136="","",Team!$B$136)</f>
        <v>0</v>
      </c>
      <c r="BX136" s="23">
        <f>IF(BW136="","",COUNTIF('Content Calendar'!$W$5:$W$604,BW136))</f>
        <v>0</v>
      </c>
      <c r="BY136" s="23">
        <f>IF(BW136="","",COUNTIFS('Content Calendar'!$W$5:$W$604,BW136,'Content Calendar'!$X$5:$X$604,"&lt;&gt;Published"))</f>
        <v>0</v>
      </c>
      <c r="BZ136" s="23">
        <f>IF(BW136="","",COUNTIFS(Tasks!$C$5:$C$64,BW136,Tasks!$G$5:$G$64,"&lt;&gt;Complete"))</f>
        <v>0</v>
      </c>
      <c r="CA136" s="17">
        <f>IF(Campaigns!$B$136="","",Campaigns!$B$136)</f>
        <v>0</v>
      </c>
      <c r="CB136" s="25">
        <f>IF(Campaigns!$T$136="","",Campaigns!$T$136)</f>
        <v>0</v>
      </c>
      <c r="CC136" s="25">
        <f>IF(Campaigns!$Q$136="","",Campaigns!$Q$136)</f>
        <v>0</v>
      </c>
      <c r="CD136" s="23">
        <f>IF(Campaigns!$Y$136="","",Campaigns!$Y$136)</f>
        <v>0</v>
      </c>
      <c r="CE136" s="32">
        <f>IF(CA136="","",IF(N(CB136)&lt;=0,"",N(CB136)+ROW()/1000000))</f>
        <v>0</v>
      </c>
      <c r="CF136" s="17">
        <f>IF(Accounts!$C$136="","",Accounts!$C$136)</f>
        <v>0</v>
      </c>
      <c r="CG136" s="17">
        <f>IF(Accounts!$B$136="","",Accounts!$B$136)</f>
        <v>0</v>
      </c>
      <c r="CH136" s="23">
        <f>IF(Accounts!$J$136="","",Accounts!$J$136)</f>
        <v>0</v>
      </c>
      <c r="CI136" s="23">
        <f>IF(CF136="","",SUMIFS(Analytics!$X$5:$X$154,Analytics!$E$5:$E$154,CF136,Analytics!$B$5:$B$154,"&gt;="&amp;DashStart,Analytics!$B$5:$B$154,"&lt;="&amp;DashEnd))</f>
        <v>0</v>
      </c>
      <c r="CJ136" s="32">
        <f>IF(CH136="","",IF(CH136=0,"",CH136+ROW()/1000000))</f>
        <v>0</v>
      </c>
    </row>
    <row r="137" spans="1:88">
      <c r="A137" s="16">
        <f>IF(ROW()-4&gt;12,"",DATE(PlanYear,ROW()-4,1))</f>
        <v>0</v>
      </c>
      <c r="B137" s="16">
        <f>IF(A137="","",EOMONTH(A137,0))</f>
        <v>0</v>
      </c>
      <c r="C137" s="17">
        <f>IF(A137="","",TEXT(A137,"yyyy-mm"))</f>
        <v>0</v>
      </c>
      <c r="D137" s="17">
        <f>IF(A137="","",TEXT(A137,"mmm"))</f>
        <v>0</v>
      </c>
      <c r="E137" s="23">
        <f>IF(C137="","",COUNTIFS('Content Calendar'!$D$5:$D$604,C137))</f>
        <v>0</v>
      </c>
      <c r="F137" s="23">
        <f>IF(C137="","",COUNTIFS('Content Calendar'!$D$5:$D$604,C137,'Content Calendar'!$X$5:$X$604,"Published"))</f>
        <v>0</v>
      </c>
      <c r="G137" s="23">
        <f>IF(C137="","",SUMIFS(Analytics!$J$5:$J$154,Analytics!$C$5:$C$154,C137))</f>
        <v>0</v>
      </c>
      <c r="H137" s="23">
        <f>IF(C137="","",SUMIFS(Analytics!$K$5:$K$154,Analytics!$C$5:$C$154,C137))</f>
        <v>0</v>
      </c>
      <c r="I137" s="23">
        <f>IF(C137="","",SUMIFS(Analytics!$L$5:$L$154,Analytics!$C$5:$C$154,C137))</f>
        <v>0</v>
      </c>
      <c r="J137" s="24">
        <f>IF(OR(G137="",G137=0),"",I137/G137)</f>
        <v>0</v>
      </c>
      <c r="K137" s="23">
        <f>IF(C137="","",SUMIFS(Analytics!$G$5:$G$154,Analytics!$C$5:$C$154,C137))</f>
        <v>0</v>
      </c>
      <c r="L137" s="23">
        <f>IF(C137="","",SUMIFS(Analytics!$X$5:$X$154,Analytics!$C$5:$C$154,C137))</f>
        <v>0</v>
      </c>
      <c r="M137" s="23">
        <f>IF(C137="","",SUMIFS(Analytics!$R$5:$R$154,Analytics!$C$5:$C$154,C137))</f>
        <v>0</v>
      </c>
      <c r="N137" s="23">
        <f>IF(C137="","",SUMIFS(Analytics!$S$5:$S$154,Analytics!$C$5:$C$154,C137))</f>
        <v>0</v>
      </c>
      <c r="O137" s="23">
        <f>IF(C137="","",SUMIFS(Analytics!$T$5:$T$154,Analytics!$C$5:$C$154,C137))</f>
        <v>0</v>
      </c>
      <c r="P137" s="25">
        <f>IF(C137="","",SUMIFS(Analytics!$U$5:$U$154,Analytics!$C$5:$C$154,C137))</f>
        <v>0</v>
      </c>
      <c r="Q137" s="25">
        <f>IF(C137="","",SUMIFS(Budget!$H$5:$H$64,Budget!$C$5:$C$64,C137))</f>
        <v>0</v>
      </c>
      <c r="R137" s="25">
        <f>IF(C137="","",P137-Q137)</f>
        <v>0</v>
      </c>
      <c r="S137" s="23">
        <f>IF(C137="","",MonthlyPostTarget)</f>
        <v>0</v>
      </c>
      <c r="T137" s="17">
        <f>IF(Lists!$C137="","",Lists!$C137)</f>
        <v>0</v>
      </c>
      <c r="U137" s="23">
        <f>IF(T137="","",COUNTIFS('Content Calendar'!$G$5:$G$604,T137,'Content Calendar'!$B$5:$B$604,"&gt;="&amp;DashStart,'Content Calendar'!$B$5:$B$604,"&lt;="&amp;DashEnd))</f>
        <v>0</v>
      </c>
      <c r="V137" s="23">
        <f>IF(T137="","",COUNTIFS('Content Calendar'!$G$5:$G$604,T137,'Content Calendar'!$X$5:$X$604,"Published",'Content Calendar'!$B$5:$B$604,"&gt;="&amp;DashStart,'Content Calendar'!$B$5:$B$604,"&lt;="&amp;DashEnd))</f>
        <v>0</v>
      </c>
      <c r="W137" s="23">
        <f>IF(T137="","",SUMIFS(Analytics!$J$5:$J$154,Analytics!$D$5:$D$154,T137,Analytics!$B$5:$B$154,"&gt;="&amp;DashStart,Analytics!$B$5:$B$154,"&lt;="&amp;DashEnd))</f>
        <v>0</v>
      </c>
      <c r="X137" s="23">
        <f>IF(T137="","",SUMIFS(Analytics!$L$5:$L$154,Analytics!$D$5:$D$154,T137,Analytics!$B$5:$B$154,"&gt;="&amp;DashStart,Analytics!$B$5:$B$154,"&lt;="&amp;DashEnd))</f>
        <v>0</v>
      </c>
      <c r="Y137" s="24">
        <f>IF(OR(W137="",W137=0),"",X137/W137)</f>
        <v>0</v>
      </c>
      <c r="Z137" s="23">
        <f>IF(T137="","",SUMIFS(Analytics!$G$5:$G$154,Analytics!$D$5:$D$154,T137,Analytics!$B$5:$B$154,"&gt;="&amp;DashStart,Analytics!$B$5:$B$154,"&lt;="&amp;DashEnd))</f>
        <v>0</v>
      </c>
      <c r="AA137" s="23">
        <f>IF(T137="","",SUMIFS(Analytics!$X$5:$X$154,Analytics!$D$5:$D$154,T137,Analytics!$B$5:$B$154,"&gt;="&amp;DashStart,Analytics!$B$5:$B$154,"&lt;="&amp;DashEnd))</f>
        <v>0</v>
      </c>
      <c r="AB137" s="23">
        <f>IF(T137="","",SUMIFS(Analytics!$R$5:$R$154,Analytics!$D$5:$D$154,T137,Analytics!$B$5:$B$154,"&gt;="&amp;DashStart,Analytics!$B$5:$B$154,"&lt;="&amp;DashEnd))</f>
        <v>0</v>
      </c>
      <c r="AC137" s="25">
        <f>IF(T137="","",SUMIFS(Analytics!$U$5:$U$154,Analytics!$D$5:$D$154,T137,Analytics!$B$5:$B$154,"&gt;="&amp;DashStart,Analytics!$B$5:$B$154,"&lt;="&amp;DashEnd))</f>
        <v>0</v>
      </c>
      <c r="AD137" s="23">
        <f>IF(T137="","",COUNTIFS('Content Calendar'!$G$5:$G$604,T137,'Content Calendar'!$B$5:$B$604,"&gt;="&amp;DATE(PlanYear,1,1),'Content Calendar'!$B$5:$B$604,"&lt;="&amp;DATE(PlanYear,12,31)))</f>
        <v>0</v>
      </c>
      <c r="AE137" s="23">
        <f>IF(T137="","",SUMIFS(Analytics!$J$5:$J$154,Analytics!$D$5:$D$154,T137))</f>
        <v>0</v>
      </c>
      <c r="AF137" s="23">
        <f>IF(T137="","",SUMIFS(Analytics!$L$5:$L$154,Analytics!$D$5:$D$154,T137))</f>
        <v>0</v>
      </c>
      <c r="AG137" s="24">
        <f>IF(OR(AE137="",AE137=0),"",AF137/AE137)</f>
        <v>0</v>
      </c>
      <c r="AH137" s="23">
        <f>IF(T137="","",SUMIFS(Analytics!$X$5:$X$154,Analytics!$D$5:$D$154,T137))</f>
        <v>0</v>
      </c>
      <c r="AI137" s="32">
        <f>IF(T137="","",IF(AE137=0,"",AE137+ROW()/1000000))</f>
        <v>0</v>
      </c>
      <c r="AJ137" s="17">
        <f>IF('Content Pillars'!$B$137="","",'Content Pillars'!$B$137)</f>
        <v>0</v>
      </c>
      <c r="AK137" s="23">
        <f>IF(AJ137="","",COUNTIFS('Content Calendar'!$J$5:$J$604,AJ137,'Content Calendar'!$B$5:$B$604,"&gt;="&amp;DATE(PlanYear,1,1),'Content Calendar'!$B$5:$B$604,"&lt;="&amp;DATE(PlanYear,12,31)))</f>
        <v>0</v>
      </c>
      <c r="AL137" s="23">
        <f>IF(AJ137="","",SUMIFS(Performance!$O$5:$O$404,Performance!$H$5:$H$404,AJ137))</f>
        <v>0</v>
      </c>
      <c r="AM137" s="23">
        <f>IF(AJ137="","",SUMIFS(Performance!$Z$5:$Z$404,Performance!$H$5:$H$404,AJ137))</f>
        <v>0</v>
      </c>
      <c r="AN137" s="24">
        <f>IF(OR(AL137="",AL137=0),"",AM137/AL137)</f>
        <v>0</v>
      </c>
      <c r="AO137" s="32">
        <f>IF(AN137="","",AN137+ROW()/1000000)</f>
        <v>0</v>
      </c>
      <c r="AP137" s="17">
        <f>IF(Lists!$E137="","",Lists!$E137)</f>
        <v>0</v>
      </c>
      <c r="AQ137" s="23">
        <f>IF(AP137="","",COUNTIF(Performance!$G$5:$G$404,AP137))</f>
        <v>0</v>
      </c>
      <c r="AR137" s="23">
        <f>IF(AP137="","",SUMIFS(Performance!$O$5:$O$404,Performance!$G$5:$G$404,AP137))</f>
        <v>0</v>
      </c>
      <c r="AS137" s="23">
        <f>IF(AP137="","",SUMIFS(Performance!$Z$5:$Z$404,Performance!$G$5:$G$404,AP137))</f>
        <v>0</v>
      </c>
      <c r="AT137" s="24">
        <f>IF(OR(AR137="",AR137=0),"",AS137/AR137)</f>
        <v>0</v>
      </c>
      <c r="AU137" s="32">
        <f>IF(AQ137=0,"",IF(AT137="","",AT137+ROW()/1000000))</f>
        <v>0</v>
      </c>
      <c r="AV137" s="17">
        <f>IF(ROW()-4&gt;7,"",TEXT(DATE(2024,1,ROW()-4),"ddd"))</f>
        <v>0</v>
      </c>
      <c r="AW137" s="23">
        <f>IF(AV137="","",COUNTIF(Performance!$N$5:$N$404,AV137))</f>
        <v>0</v>
      </c>
      <c r="AX137" s="23">
        <f>IF(AV137="","",SUMIFS(Performance!$O$5:$O$404,Performance!$N$5:$N$404,AV137))</f>
        <v>0</v>
      </c>
      <c r="AY137" s="23">
        <f>IF(AV137="","",SUMIFS(Performance!$Z$5:$Z$404,Performance!$N$5:$N$404,AV137))</f>
        <v>0</v>
      </c>
      <c r="AZ137" s="24">
        <f>IF(OR(AX137="",AX137=0),"",AY137/AX137)</f>
        <v>0</v>
      </c>
      <c r="BA137" s="32">
        <f>IF(AW137=0,"",IF(AZ137="","",AZ137+ROW()/1000000))</f>
        <v>0</v>
      </c>
      <c r="BB137" s="17">
        <f>IF(Lists!$AL137="","",Lists!$AL137)</f>
        <v>0</v>
      </c>
      <c r="BC137" s="23">
        <f>IF(BB137="","",COUNTIF(Performance!$M$5:$M$404,BB137))</f>
        <v>0</v>
      </c>
      <c r="BD137" s="23">
        <f>IF(BB137="","",SUMIFS(Performance!$O$5:$O$404,Performance!$M$5:$M$404,BB137))</f>
        <v>0</v>
      </c>
      <c r="BE137" s="23">
        <f>IF(BB137="","",SUMIFS(Performance!$Z$5:$Z$404,Performance!$M$5:$M$404,BB137))</f>
        <v>0</v>
      </c>
      <c r="BF137" s="24">
        <f>IF(OR(BD137="",BD137=0),"",BE137/BD137)</f>
        <v>0</v>
      </c>
      <c r="BG137" s="32">
        <f>IF(BC137=0,"",IF(BF137="","",BF137+ROW()/1000000))</f>
        <v>0</v>
      </c>
      <c r="BH137" s="17">
        <f>IF(Performance!$C$137="","",Performance!$C$137)</f>
        <v>0</v>
      </c>
      <c r="BI137" s="17">
        <f>IF(Performance!$F$137="","",Performance!$F$137)</f>
        <v>0</v>
      </c>
      <c r="BJ137" s="17">
        <f>IF(Performance!$H$137="","",Performance!$H$137)</f>
        <v>0</v>
      </c>
      <c r="BK137" s="16">
        <f>IF(Performance!$D$137="","",Performance!$D$137)</f>
        <v>0</v>
      </c>
      <c r="BL137" s="17">
        <f>IF(Performance!$E$137="","",Performance!$E$137)</f>
        <v>0</v>
      </c>
      <c r="BM137" s="23">
        <f>IF(Performance!$O$137="","",Performance!$O$137)</f>
        <v>0</v>
      </c>
      <c r="BN137" s="24">
        <f>IF(Performance!$AA$137="","",Performance!$AA$137)</f>
        <v>0</v>
      </c>
      <c r="BO137" s="32">
        <f>IF(BH137="","",IF(BK137="","",IF(OR(BK137&lt;DashStart,BK137&gt;DashEnd),"",IF(BN137="","",BN137+ROW()/1000000))))</f>
        <v>0</v>
      </c>
      <c r="BP137" s="32">
        <f>IF(BM137="","",IF(BK137="","",IF(OR(BK137&lt;DashStart,BK137&gt;DashEnd),"",BM137+ROW()/1000000)))</f>
        <v>0</v>
      </c>
      <c r="BQ137" s="32">
        <f>IF(BH137="","",IF(BK137="","",IF(YEAR(BK137)&lt;&gt;PlanYear,"",IF(BN137="","",BN137+ROW()/1000000))))</f>
        <v>0</v>
      </c>
      <c r="BR137" s="32">
        <f>IF(BH137="","",IF(BK137="","",IF(OR(BK137&lt;RepFrom,BK137&gt;RepTo),"",IF(BN137="","",BN137+ROW()/1000000))))</f>
        <v>0</v>
      </c>
      <c r="BS137" s="32">
        <f>IF(BM137="","",IF(BK137="","",IF(YEAR(BK137)&lt;&gt;PlanYear,"",BM137+ROW()/1000000)))</f>
        <v>0</v>
      </c>
      <c r="BT137" s="17">
        <f>IF(Lists!$F137="","",Lists!$F137)</f>
        <v>0</v>
      </c>
      <c r="BU137" s="23">
        <f>IF(BT137="","",COUNTIF('Content Calendar'!$X$5:$X$604,BT137))</f>
        <v>0</v>
      </c>
      <c r="BV137" s="23">
        <f>IF(BT137="","",COUNTIFS('Content Calendar'!$X$5:$X$604,BT137,'Content Calendar'!$B$5:$B$604,"&gt;="&amp;DashStart,'Content Calendar'!$B$5:$B$604,"&lt;="&amp;DashEnd))</f>
        <v>0</v>
      </c>
      <c r="BW137" s="17">
        <f>IF(Team!$B$137="","",Team!$B$137)</f>
        <v>0</v>
      </c>
      <c r="BX137" s="23">
        <f>IF(BW137="","",COUNTIF('Content Calendar'!$W$5:$W$604,BW137))</f>
        <v>0</v>
      </c>
      <c r="BY137" s="23">
        <f>IF(BW137="","",COUNTIFS('Content Calendar'!$W$5:$W$604,BW137,'Content Calendar'!$X$5:$X$604,"&lt;&gt;Published"))</f>
        <v>0</v>
      </c>
      <c r="BZ137" s="23">
        <f>IF(BW137="","",COUNTIFS(Tasks!$C$5:$C$64,BW137,Tasks!$G$5:$G$64,"&lt;&gt;Complete"))</f>
        <v>0</v>
      </c>
      <c r="CA137" s="17">
        <f>IF(Campaigns!$B$137="","",Campaigns!$B$137)</f>
        <v>0</v>
      </c>
      <c r="CB137" s="25">
        <f>IF(Campaigns!$T$137="","",Campaigns!$T$137)</f>
        <v>0</v>
      </c>
      <c r="CC137" s="25">
        <f>IF(Campaigns!$Q$137="","",Campaigns!$Q$137)</f>
        <v>0</v>
      </c>
      <c r="CD137" s="23">
        <f>IF(Campaigns!$Y$137="","",Campaigns!$Y$137)</f>
        <v>0</v>
      </c>
      <c r="CE137" s="32">
        <f>IF(CA137="","",IF(N(CB137)&lt;=0,"",N(CB137)+ROW()/1000000))</f>
        <v>0</v>
      </c>
      <c r="CF137" s="17">
        <f>IF(Accounts!$C$137="","",Accounts!$C$137)</f>
        <v>0</v>
      </c>
      <c r="CG137" s="17">
        <f>IF(Accounts!$B$137="","",Accounts!$B$137)</f>
        <v>0</v>
      </c>
      <c r="CH137" s="23">
        <f>IF(Accounts!$J$137="","",Accounts!$J$137)</f>
        <v>0</v>
      </c>
      <c r="CI137" s="23">
        <f>IF(CF137="","",SUMIFS(Analytics!$X$5:$X$154,Analytics!$E$5:$E$154,CF137,Analytics!$B$5:$B$154,"&gt;="&amp;DashStart,Analytics!$B$5:$B$154,"&lt;="&amp;DashEnd))</f>
        <v>0</v>
      </c>
      <c r="CJ137" s="32">
        <f>IF(CH137="","",IF(CH137=0,"",CH137+ROW()/1000000))</f>
        <v>0</v>
      </c>
    </row>
    <row r="138" spans="1:88">
      <c r="A138" s="16">
        <f>IF(ROW()-4&gt;12,"",DATE(PlanYear,ROW()-4,1))</f>
        <v>0</v>
      </c>
      <c r="B138" s="16">
        <f>IF(A138="","",EOMONTH(A138,0))</f>
        <v>0</v>
      </c>
      <c r="C138" s="17">
        <f>IF(A138="","",TEXT(A138,"yyyy-mm"))</f>
        <v>0</v>
      </c>
      <c r="D138" s="17">
        <f>IF(A138="","",TEXT(A138,"mmm"))</f>
        <v>0</v>
      </c>
      <c r="E138" s="23">
        <f>IF(C138="","",COUNTIFS('Content Calendar'!$D$5:$D$604,C138))</f>
        <v>0</v>
      </c>
      <c r="F138" s="23">
        <f>IF(C138="","",COUNTIFS('Content Calendar'!$D$5:$D$604,C138,'Content Calendar'!$X$5:$X$604,"Published"))</f>
        <v>0</v>
      </c>
      <c r="G138" s="23">
        <f>IF(C138="","",SUMIFS(Analytics!$J$5:$J$154,Analytics!$C$5:$C$154,C138))</f>
        <v>0</v>
      </c>
      <c r="H138" s="23">
        <f>IF(C138="","",SUMIFS(Analytics!$K$5:$K$154,Analytics!$C$5:$C$154,C138))</f>
        <v>0</v>
      </c>
      <c r="I138" s="23">
        <f>IF(C138="","",SUMIFS(Analytics!$L$5:$L$154,Analytics!$C$5:$C$154,C138))</f>
        <v>0</v>
      </c>
      <c r="J138" s="24">
        <f>IF(OR(G138="",G138=0),"",I138/G138)</f>
        <v>0</v>
      </c>
      <c r="K138" s="23">
        <f>IF(C138="","",SUMIFS(Analytics!$G$5:$G$154,Analytics!$C$5:$C$154,C138))</f>
        <v>0</v>
      </c>
      <c r="L138" s="23">
        <f>IF(C138="","",SUMIFS(Analytics!$X$5:$X$154,Analytics!$C$5:$C$154,C138))</f>
        <v>0</v>
      </c>
      <c r="M138" s="23">
        <f>IF(C138="","",SUMIFS(Analytics!$R$5:$R$154,Analytics!$C$5:$C$154,C138))</f>
        <v>0</v>
      </c>
      <c r="N138" s="23">
        <f>IF(C138="","",SUMIFS(Analytics!$S$5:$S$154,Analytics!$C$5:$C$154,C138))</f>
        <v>0</v>
      </c>
      <c r="O138" s="23">
        <f>IF(C138="","",SUMIFS(Analytics!$T$5:$T$154,Analytics!$C$5:$C$154,C138))</f>
        <v>0</v>
      </c>
      <c r="P138" s="25">
        <f>IF(C138="","",SUMIFS(Analytics!$U$5:$U$154,Analytics!$C$5:$C$154,C138))</f>
        <v>0</v>
      </c>
      <c r="Q138" s="25">
        <f>IF(C138="","",SUMIFS(Budget!$H$5:$H$64,Budget!$C$5:$C$64,C138))</f>
        <v>0</v>
      </c>
      <c r="R138" s="25">
        <f>IF(C138="","",P138-Q138)</f>
        <v>0</v>
      </c>
      <c r="S138" s="23">
        <f>IF(C138="","",MonthlyPostTarget)</f>
        <v>0</v>
      </c>
      <c r="T138" s="17">
        <f>IF(Lists!$C138="","",Lists!$C138)</f>
        <v>0</v>
      </c>
      <c r="U138" s="23">
        <f>IF(T138="","",COUNTIFS('Content Calendar'!$G$5:$G$604,T138,'Content Calendar'!$B$5:$B$604,"&gt;="&amp;DashStart,'Content Calendar'!$B$5:$B$604,"&lt;="&amp;DashEnd))</f>
        <v>0</v>
      </c>
      <c r="V138" s="23">
        <f>IF(T138="","",COUNTIFS('Content Calendar'!$G$5:$G$604,T138,'Content Calendar'!$X$5:$X$604,"Published",'Content Calendar'!$B$5:$B$604,"&gt;="&amp;DashStart,'Content Calendar'!$B$5:$B$604,"&lt;="&amp;DashEnd))</f>
        <v>0</v>
      </c>
      <c r="W138" s="23">
        <f>IF(T138="","",SUMIFS(Analytics!$J$5:$J$154,Analytics!$D$5:$D$154,T138,Analytics!$B$5:$B$154,"&gt;="&amp;DashStart,Analytics!$B$5:$B$154,"&lt;="&amp;DashEnd))</f>
        <v>0</v>
      </c>
      <c r="X138" s="23">
        <f>IF(T138="","",SUMIFS(Analytics!$L$5:$L$154,Analytics!$D$5:$D$154,T138,Analytics!$B$5:$B$154,"&gt;="&amp;DashStart,Analytics!$B$5:$B$154,"&lt;="&amp;DashEnd))</f>
        <v>0</v>
      </c>
      <c r="Y138" s="24">
        <f>IF(OR(W138="",W138=0),"",X138/W138)</f>
        <v>0</v>
      </c>
      <c r="Z138" s="23">
        <f>IF(T138="","",SUMIFS(Analytics!$G$5:$G$154,Analytics!$D$5:$D$154,T138,Analytics!$B$5:$B$154,"&gt;="&amp;DashStart,Analytics!$B$5:$B$154,"&lt;="&amp;DashEnd))</f>
        <v>0</v>
      </c>
      <c r="AA138" s="23">
        <f>IF(T138="","",SUMIFS(Analytics!$X$5:$X$154,Analytics!$D$5:$D$154,T138,Analytics!$B$5:$B$154,"&gt;="&amp;DashStart,Analytics!$B$5:$B$154,"&lt;="&amp;DashEnd))</f>
        <v>0</v>
      </c>
      <c r="AB138" s="23">
        <f>IF(T138="","",SUMIFS(Analytics!$R$5:$R$154,Analytics!$D$5:$D$154,T138,Analytics!$B$5:$B$154,"&gt;="&amp;DashStart,Analytics!$B$5:$B$154,"&lt;="&amp;DashEnd))</f>
        <v>0</v>
      </c>
      <c r="AC138" s="25">
        <f>IF(T138="","",SUMIFS(Analytics!$U$5:$U$154,Analytics!$D$5:$D$154,T138,Analytics!$B$5:$B$154,"&gt;="&amp;DashStart,Analytics!$B$5:$B$154,"&lt;="&amp;DashEnd))</f>
        <v>0</v>
      </c>
      <c r="AD138" s="23">
        <f>IF(T138="","",COUNTIFS('Content Calendar'!$G$5:$G$604,T138,'Content Calendar'!$B$5:$B$604,"&gt;="&amp;DATE(PlanYear,1,1),'Content Calendar'!$B$5:$B$604,"&lt;="&amp;DATE(PlanYear,12,31)))</f>
        <v>0</v>
      </c>
      <c r="AE138" s="23">
        <f>IF(T138="","",SUMIFS(Analytics!$J$5:$J$154,Analytics!$D$5:$D$154,T138))</f>
        <v>0</v>
      </c>
      <c r="AF138" s="23">
        <f>IF(T138="","",SUMIFS(Analytics!$L$5:$L$154,Analytics!$D$5:$D$154,T138))</f>
        <v>0</v>
      </c>
      <c r="AG138" s="24">
        <f>IF(OR(AE138="",AE138=0),"",AF138/AE138)</f>
        <v>0</v>
      </c>
      <c r="AH138" s="23">
        <f>IF(T138="","",SUMIFS(Analytics!$X$5:$X$154,Analytics!$D$5:$D$154,T138))</f>
        <v>0</v>
      </c>
      <c r="AI138" s="32">
        <f>IF(T138="","",IF(AE138=0,"",AE138+ROW()/1000000))</f>
        <v>0</v>
      </c>
      <c r="AJ138" s="17">
        <f>IF('Content Pillars'!$B$138="","",'Content Pillars'!$B$138)</f>
        <v>0</v>
      </c>
      <c r="AK138" s="23">
        <f>IF(AJ138="","",COUNTIFS('Content Calendar'!$J$5:$J$604,AJ138,'Content Calendar'!$B$5:$B$604,"&gt;="&amp;DATE(PlanYear,1,1),'Content Calendar'!$B$5:$B$604,"&lt;="&amp;DATE(PlanYear,12,31)))</f>
        <v>0</v>
      </c>
      <c r="AL138" s="23">
        <f>IF(AJ138="","",SUMIFS(Performance!$O$5:$O$404,Performance!$H$5:$H$404,AJ138))</f>
        <v>0</v>
      </c>
      <c r="AM138" s="23">
        <f>IF(AJ138="","",SUMIFS(Performance!$Z$5:$Z$404,Performance!$H$5:$H$404,AJ138))</f>
        <v>0</v>
      </c>
      <c r="AN138" s="24">
        <f>IF(OR(AL138="",AL138=0),"",AM138/AL138)</f>
        <v>0</v>
      </c>
      <c r="AO138" s="32">
        <f>IF(AN138="","",AN138+ROW()/1000000)</f>
        <v>0</v>
      </c>
      <c r="AP138" s="17">
        <f>IF(Lists!$E138="","",Lists!$E138)</f>
        <v>0</v>
      </c>
      <c r="AQ138" s="23">
        <f>IF(AP138="","",COUNTIF(Performance!$G$5:$G$404,AP138))</f>
        <v>0</v>
      </c>
      <c r="AR138" s="23">
        <f>IF(AP138="","",SUMIFS(Performance!$O$5:$O$404,Performance!$G$5:$G$404,AP138))</f>
        <v>0</v>
      </c>
      <c r="AS138" s="23">
        <f>IF(AP138="","",SUMIFS(Performance!$Z$5:$Z$404,Performance!$G$5:$G$404,AP138))</f>
        <v>0</v>
      </c>
      <c r="AT138" s="24">
        <f>IF(OR(AR138="",AR138=0),"",AS138/AR138)</f>
        <v>0</v>
      </c>
      <c r="AU138" s="32">
        <f>IF(AQ138=0,"",IF(AT138="","",AT138+ROW()/1000000))</f>
        <v>0</v>
      </c>
      <c r="AV138" s="17">
        <f>IF(ROW()-4&gt;7,"",TEXT(DATE(2024,1,ROW()-4),"ddd"))</f>
        <v>0</v>
      </c>
      <c r="AW138" s="23">
        <f>IF(AV138="","",COUNTIF(Performance!$N$5:$N$404,AV138))</f>
        <v>0</v>
      </c>
      <c r="AX138" s="23">
        <f>IF(AV138="","",SUMIFS(Performance!$O$5:$O$404,Performance!$N$5:$N$404,AV138))</f>
        <v>0</v>
      </c>
      <c r="AY138" s="23">
        <f>IF(AV138="","",SUMIFS(Performance!$Z$5:$Z$404,Performance!$N$5:$N$404,AV138))</f>
        <v>0</v>
      </c>
      <c r="AZ138" s="24">
        <f>IF(OR(AX138="",AX138=0),"",AY138/AX138)</f>
        <v>0</v>
      </c>
      <c r="BA138" s="32">
        <f>IF(AW138=0,"",IF(AZ138="","",AZ138+ROW()/1000000))</f>
        <v>0</v>
      </c>
      <c r="BB138" s="17">
        <f>IF(Lists!$AL138="","",Lists!$AL138)</f>
        <v>0</v>
      </c>
      <c r="BC138" s="23">
        <f>IF(BB138="","",COUNTIF(Performance!$M$5:$M$404,BB138))</f>
        <v>0</v>
      </c>
      <c r="BD138" s="23">
        <f>IF(BB138="","",SUMIFS(Performance!$O$5:$O$404,Performance!$M$5:$M$404,BB138))</f>
        <v>0</v>
      </c>
      <c r="BE138" s="23">
        <f>IF(BB138="","",SUMIFS(Performance!$Z$5:$Z$404,Performance!$M$5:$M$404,BB138))</f>
        <v>0</v>
      </c>
      <c r="BF138" s="24">
        <f>IF(OR(BD138="",BD138=0),"",BE138/BD138)</f>
        <v>0</v>
      </c>
      <c r="BG138" s="32">
        <f>IF(BC138=0,"",IF(BF138="","",BF138+ROW()/1000000))</f>
        <v>0</v>
      </c>
      <c r="BH138" s="17">
        <f>IF(Performance!$C$138="","",Performance!$C$138)</f>
        <v>0</v>
      </c>
      <c r="BI138" s="17">
        <f>IF(Performance!$F$138="","",Performance!$F$138)</f>
        <v>0</v>
      </c>
      <c r="BJ138" s="17">
        <f>IF(Performance!$H$138="","",Performance!$H$138)</f>
        <v>0</v>
      </c>
      <c r="BK138" s="16">
        <f>IF(Performance!$D$138="","",Performance!$D$138)</f>
        <v>0</v>
      </c>
      <c r="BL138" s="17">
        <f>IF(Performance!$E$138="","",Performance!$E$138)</f>
        <v>0</v>
      </c>
      <c r="BM138" s="23">
        <f>IF(Performance!$O$138="","",Performance!$O$138)</f>
        <v>0</v>
      </c>
      <c r="BN138" s="24">
        <f>IF(Performance!$AA$138="","",Performance!$AA$138)</f>
        <v>0</v>
      </c>
      <c r="BO138" s="32">
        <f>IF(BH138="","",IF(BK138="","",IF(OR(BK138&lt;DashStart,BK138&gt;DashEnd),"",IF(BN138="","",BN138+ROW()/1000000))))</f>
        <v>0</v>
      </c>
      <c r="BP138" s="32">
        <f>IF(BM138="","",IF(BK138="","",IF(OR(BK138&lt;DashStart,BK138&gt;DashEnd),"",BM138+ROW()/1000000)))</f>
        <v>0</v>
      </c>
      <c r="BQ138" s="32">
        <f>IF(BH138="","",IF(BK138="","",IF(YEAR(BK138)&lt;&gt;PlanYear,"",IF(BN138="","",BN138+ROW()/1000000))))</f>
        <v>0</v>
      </c>
      <c r="BR138" s="32">
        <f>IF(BH138="","",IF(BK138="","",IF(OR(BK138&lt;RepFrom,BK138&gt;RepTo),"",IF(BN138="","",BN138+ROW()/1000000))))</f>
        <v>0</v>
      </c>
      <c r="BS138" s="32">
        <f>IF(BM138="","",IF(BK138="","",IF(YEAR(BK138)&lt;&gt;PlanYear,"",BM138+ROW()/1000000)))</f>
        <v>0</v>
      </c>
      <c r="BT138" s="17">
        <f>IF(Lists!$F138="","",Lists!$F138)</f>
        <v>0</v>
      </c>
      <c r="BU138" s="23">
        <f>IF(BT138="","",COUNTIF('Content Calendar'!$X$5:$X$604,BT138))</f>
        <v>0</v>
      </c>
      <c r="BV138" s="23">
        <f>IF(BT138="","",COUNTIFS('Content Calendar'!$X$5:$X$604,BT138,'Content Calendar'!$B$5:$B$604,"&gt;="&amp;DashStart,'Content Calendar'!$B$5:$B$604,"&lt;="&amp;DashEnd))</f>
        <v>0</v>
      </c>
      <c r="BW138" s="17">
        <f>IF(Team!$B$138="","",Team!$B$138)</f>
        <v>0</v>
      </c>
      <c r="BX138" s="23">
        <f>IF(BW138="","",COUNTIF('Content Calendar'!$W$5:$W$604,BW138))</f>
        <v>0</v>
      </c>
      <c r="BY138" s="23">
        <f>IF(BW138="","",COUNTIFS('Content Calendar'!$W$5:$W$604,BW138,'Content Calendar'!$X$5:$X$604,"&lt;&gt;Published"))</f>
        <v>0</v>
      </c>
      <c r="BZ138" s="23">
        <f>IF(BW138="","",COUNTIFS(Tasks!$C$5:$C$64,BW138,Tasks!$G$5:$G$64,"&lt;&gt;Complete"))</f>
        <v>0</v>
      </c>
      <c r="CA138" s="17">
        <f>IF(Campaigns!$B$138="","",Campaigns!$B$138)</f>
        <v>0</v>
      </c>
      <c r="CB138" s="25">
        <f>IF(Campaigns!$T$138="","",Campaigns!$T$138)</f>
        <v>0</v>
      </c>
      <c r="CC138" s="25">
        <f>IF(Campaigns!$Q$138="","",Campaigns!$Q$138)</f>
        <v>0</v>
      </c>
      <c r="CD138" s="23">
        <f>IF(Campaigns!$Y$138="","",Campaigns!$Y$138)</f>
        <v>0</v>
      </c>
      <c r="CE138" s="32">
        <f>IF(CA138="","",IF(N(CB138)&lt;=0,"",N(CB138)+ROW()/1000000))</f>
        <v>0</v>
      </c>
      <c r="CF138" s="17">
        <f>IF(Accounts!$C$138="","",Accounts!$C$138)</f>
        <v>0</v>
      </c>
      <c r="CG138" s="17">
        <f>IF(Accounts!$B$138="","",Accounts!$B$138)</f>
        <v>0</v>
      </c>
      <c r="CH138" s="23">
        <f>IF(Accounts!$J$138="","",Accounts!$J$138)</f>
        <v>0</v>
      </c>
      <c r="CI138" s="23">
        <f>IF(CF138="","",SUMIFS(Analytics!$X$5:$X$154,Analytics!$E$5:$E$154,CF138,Analytics!$B$5:$B$154,"&gt;="&amp;DashStart,Analytics!$B$5:$B$154,"&lt;="&amp;DashEnd))</f>
        <v>0</v>
      </c>
      <c r="CJ138" s="32">
        <f>IF(CH138="","",IF(CH138=0,"",CH138+ROW()/1000000))</f>
        <v>0</v>
      </c>
    </row>
    <row r="139" spans="1:88">
      <c r="A139" s="16">
        <f>IF(ROW()-4&gt;12,"",DATE(PlanYear,ROW()-4,1))</f>
        <v>0</v>
      </c>
      <c r="B139" s="16">
        <f>IF(A139="","",EOMONTH(A139,0))</f>
        <v>0</v>
      </c>
      <c r="C139" s="17">
        <f>IF(A139="","",TEXT(A139,"yyyy-mm"))</f>
        <v>0</v>
      </c>
      <c r="D139" s="17">
        <f>IF(A139="","",TEXT(A139,"mmm"))</f>
        <v>0</v>
      </c>
      <c r="E139" s="23">
        <f>IF(C139="","",COUNTIFS('Content Calendar'!$D$5:$D$604,C139))</f>
        <v>0</v>
      </c>
      <c r="F139" s="23">
        <f>IF(C139="","",COUNTIFS('Content Calendar'!$D$5:$D$604,C139,'Content Calendar'!$X$5:$X$604,"Published"))</f>
        <v>0</v>
      </c>
      <c r="G139" s="23">
        <f>IF(C139="","",SUMIFS(Analytics!$J$5:$J$154,Analytics!$C$5:$C$154,C139))</f>
        <v>0</v>
      </c>
      <c r="H139" s="23">
        <f>IF(C139="","",SUMIFS(Analytics!$K$5:$K$154,Analytics!$C$5:$C$154,C139))</f>
        <v>0</v>
      </c>
      <c r="I139" s="23">
        <f>IF(C139="","",SUMIFS(Analytics!$L$5:$L$154,Analytics!$C$5:$C$154,C139))</f>
        <v>0</v>
      </c>
      <c r="J139" s="24">
        <f>IF(OR(G139="",G139=0),"",I139/G139)</f>
        <v>0</v>
      </c>
      <c r="K139" s="23">
        <f>IF(C139="","",SUMIFS(Analytics!$G$5:$G$154,Analytics!$C$5:$C$154,C139))</f>
        <v>0</v>
      </c>
      <c r="L139" s="23">
        <f>IF(C139="","",SUMIFS(Analytics!$X$5:$X$154,Analytics!$C$5:$C$154,C139))</f>
        <v>0</v>
      </c>
      <c r="M139" s="23">
        <f>IF(C139="","",SUMIFS(Analytics!$R$5:$R$154,Analytics!$C$5:$C$154,C139))</f>
        <v>0</v>
      </c>
      <c r="N139" s="23">
        <f>IF(C139="","",SUMIFS(Analytics!$S$5:$S$154,Analytics!$C$5:$C$154,C139))</f>
        <v>0</v>
      </c>
      <c r="O139" s="23">
        <f>IF(C139="","",SUMIFS(Analytics!$T$5:$T$154,Analytics!$C$5:$C$154,C139))</f>
        <v>0</v>
      </c>
      <c r="P139" s="25">
        <f>IF(C139="","",SUMIFS(Analytics!$U$5:$U$154,Analytics!$C$5:$C$154,C139))</f>
        <v>0</v>
      </c>
      <c r="Q139" s="25">
        <f>IF(C139="","",SUMIFS(Budget!$H$5:$H$64,Budget!$C$5:$C$64,C139))</f>
        <v>0</v>
      </c>
      <c r="R139" s="25">
        <f>IF(C139="","",P139-Q139)</f>
        <v>0</v>
      </c>
      <c r="S139" s="23">
        <f>IF(C139="","",MonthlyPostTarget)</f>
        <v>0</v>
      </c>
      <c r="T139" s="17">
        <f>IF(Lists!$C139="","",Lists!$C139)</f>
        <v>0</v>
      </c>
      <c r="U139" s="23">
        <f>IF(T139="","",COUNTIFS('Content Calendar'!$G$5:$G$604,T139,'Content Calendar'!$B$5:$B$604,"&gt;="&amp;DashStart,'Content Calendar'!$B$5:$B$604,"&lt;="&amp;DashEnd))</f>
        <v>0</v>
      </c>
      <c r="V139" s="23">
        <f>IF(T139="","",COUNTIFS('Content Calendar'!$G$5:$G$604,T139,'Content Calendar'!$X$5:$X$604,"Published",'Content Calendar'!$B$5:$B$604,"&gt;="&amp;DashStart,'Content Calendar'!$B$5:$B$604,"&lt;="&amp;DashEnd))</f>
        <v>0</v>
      </c>
      <c r="W139" s="23">
        <f>IF(T139="","",SUMIFS(Analytics!$J$5:$J$154,Analytics!$D$5:$D$154,T139,Analytics!$B$5:$B$154,"&gt;="&amp;DashStart,Analytics!$B$5:$B$154,"&lt;="&amp;DashEnd))</f>
        <v>0</v>
      </c>
      <c r="X139" s="23">
        <f>IF(T139="","",SUMIFS(Analytics!$L$5:$L$154,Analytics!$D$5:$D$154,T139,Analytics!$B$5:$B$154,"&gt;="&amp;DashStart,Analytics!$B$5:$B$154,"&lt;="&amp;DashEnd))</f>
        <v>0</v>
      </c>
      <c r="Y139" s="24">
        <f>IF(OR(W139="",W139=0),"",X139/W139)</f>
        <v>0</v>
      </c>
      <c r="Z139" s="23">
        <f>IF(T139="","",SUMIFS(Analytics!$G$5:$G$154,Analytics!$D$5:$D$154,T139,Analytics!$B$5:$B$154,"&gt;="&amp;DashStart,Analytics!$B$5:$B$154,"&lt;="&amp;DashEnd))</f>
        <v>0</v>
      </c>
      <c r="AA139" s="23">
        <f>IF(T139="","",SUMIFS(Analytics!$X$5:$X$154,Analytics!$D$5:$D$154,T139,Analytics!$B$5:$B$154,"&gt;="&amp;DashStart,Analytics!$B$5:$B$154,"&lt;="&amp;DashEnd))</f>
        <v>0</v>
      </c>
      <c r="AB139" s="23">
        <f>IF(T139="","",SUMIFS(Analytics!$R$5:$R$154,Analytics!$D$5:$D$154,T139,Analytics!$B$5:$B$154,"&gt;="&amp;DashStart,Analytics!$B$5:$B$154,"&lt;="&amp;DashEnd))</f>
        <v>0</v>
      </c>
      <c r="AC139" s="25">
        <f>IF(T139="","",SUMIFS(Analytics!$U$5:$U$154,Analytics!$D$5:$D$154,T139,Analytics!$B$5:$B$154,"&gt;="&amp;DashStart,Analytics!$B$5:$B$154,"&lt;="&amp;DashEnd))</f>
        <v>0</v>
      </c>
      <c r="AD139" s="23">
        <f>IF(T139="","",COUNTIFS('Content Calendar'!$G$5:$G$604,T139,'Content Calendar'!$B$5:$B$604,"&gt;="&amp;DATE(PlanYear,1,1),'Content Calendar'!$B$5:$B$604,"&lt;="&amp;DATE(PlanYear,12,31)))</f>
        <v>0</v>
      </c>
      <c r="AE139" s="23">
        <f>IF(T139="","",SUMIFS(Analytics!$J$5:$J$154,Analytics!$D$5:$D$154,T139))</f>
        <v>0</v>
      </c>
      <c r="AF139" s="23">
        <f>IF(T139="","",SUMIFS(Analytics!$L$5:$L$154,Analytics!$D$5:$D$154,T139))</f>
        <v>0</v>
      </c>
      <c r="AG139" s="24">
        <f>IF(OR(AE139="",AE139=0),"",AF139/AE139)</f>
        <v>0</v>
      </c>
      <c r="AH139" s="23">
        <f>IF(T139="","",SUMIFS(Analytics!$X$5:$X$154,Analytics!$D$5:$D$154,T139))</f>
        <v>0</v>
      </c>
      <c r="AI139" s="32">
        <f>IF(T139="","",IF(AE139=0,"",AE139+ROW()/1000000))</f>
        <v>0</v>
      </c>
      <c r="AJ139" s="17">
        <f>IF('Content Pillars'!$B$139="","",'Content Pillars'!$B$139)</f>
        <v>0</v>
      </c>
      <c r="AK139" s="23">
        <f>IF(AJ139="","",COUNTIFS('Content Calendar'!$J$5:$J$604,AJ139,'Content Calendar'!$B$5:$B$604,"&gt;="&amp;DATE(PlanYear,1,1),'Content Calendar'!$B$5:$B$604,"&lt;="&amp;DATE(PlanYear,12,31)))</f>
        <v>0</v>
      </c>
      <c r="AL139" s="23">
        <f>IF(AJ139="","",SUMIFS(Performance!$O$5:$O$404,Performance!$H$5:$H$404,AJ139))</f>
        <v>0</v>
      </c>
      <c r="AM139" s="23">
        <f>IF(AJ139="","",SUMIFS(Performance!$Z$5:$Z$404,Performance!$H$5:$H$404,AJ139))</f>
        <v>0</v>
      </c>
      <c r="AN139" s="24">
        <f>IF(OR(AL139="",AL139=0),"",AM139/AL139)</f>
        <v>0</v>
      </c>
      <c r="AO139" s="32">
        <f>IF(AN139="","",AN139+ROW()/1000000)</f>
        <v>0</v>
      </c>
      <c r="AP139" s="17">
        <f>IF(Lists!$E139="","",Lists!$E139)</f>
        <v>0</v>
      </c>
      <c r="AQ139" s="23">
        <f>IF(AP139="","",COUNTIF(Performance!$G$5:$G$404,AP139))</f>
        <v>0</v>
      </c>
      <c r="AR139" s="23">
        <f>IF(AP139="","",SUMIFS(Performance!$O$5:$O$404,Performance!$G$5:$G$404,AP139))</f>
        <v>0</v>
      </c>
      <c r="AS139" s="23">
        <f>IF(AP139="","",SUMIFS(Performance!$Z$5:$Z$404,Performance!$G$5:$G$404,AP139))</f>
        <v>0</v>
      </c>
      <c r="AT139" s="24">
        <f>IF(OR(AR139="",AR139=0),"",AS139/AR139)</f>
        <v>0</v>
      </c>
      <c r="AU139" s="32">
        <f>IF(AQ139=0,"",IF(AT139="","",AT139+ROW()/1000000))</f>
        <v>0</v>
      </c>
      <c r="AV139" s="17">
        <f>IF(ROW()-4&gt;7,"",TEXT(DATE(2024,1,ROW()-4),"ddd"))</f>
        <v>0</v>
      </c>
      <c r="AW139" s="23">
        <f>IF(AV139="","",COUNTIF(Performance!$N$5:$N$404,AV139))</f>
        <v>0</v>
      </c>
      <c r="AX139" s="23">
        <f>IF(AV139="","",SUMIFS(Performance!$O$5:$O$404,Performance!$N$5:$N$404,AV139))</f>
        <v>0</v>
      </c>
      <c r="AY139" s="23">
        <f>IF(AV139="","",SUMIFS(Performance!$Z$5:$Z$404,Performance!$N$5:$N$404,AV139))</f>
        <v>0</v>
      </c>
      <c r="AZ139" s="24">
        <f>IF(OR(AX139="",AX139=0),"",AY139/AX139)</f>
        <v>0</v>
      </c>
      <c r="BA139" s="32">
        <f>IF(AW139=0,"",IF(AZ139="","",AZ139+ROW()/1000000))</f>
        <v>0</v>
      </c>
      <c r="BB139" s="17">
        <f>IF(Lists!$AL139="","",Lists!$AL139)</f>
        <v>0</v>
      </c>
      <c r="BC139" s="23">
        <f>IF(BB139="","",COUNTIF(Performance!$M$5:$M$404,BB139))</f>
        <v>0</v>
      </c>
      <c r="BD139" s="23">
        <f>IF(BB139="","",SUMIFS(Performance!$O$5:$O$404,Performance!$M$5:$M$404,BB139))</f>
        <v>0</v>
      </c>
      <c r="BE139" s="23">
        <f>IF(BB139="","",SUMIFS(Performance!$Z$5:$Z$404,Performance!$M$5:$M$404,BB139))</f>
        <v>0</v>
      </c>
      <c r="BF139" s="24">
        <f>IF(OR(BD139="",BD139=0),"",BE139/BD139)</f>
        <v>0</v>
      </c>
      <c r="BG139" s="32">
        <f>IF(BC139=0,"",IF(BF139="","",BF139+ROW()/1000000))</f>
        <v>0</v>
      </c>
      <c r="BH139" s="17">
        <f>IF(Performance!$C$139="","",Performance!$C$139)</f>
        <v>0</v>
      </c>
      <c r="BI139" s="17">
        <f>IF(Performance!$F$139="","",Performance!$F$139)</f>
        <v>0</v>
      </c>
      <c r="BJ139" s="17">
        <f>IF(Performance!$H$139="","",Performance!$H$139)</f>
        <v>0</v>
      </c>
      <c r="BK139" s="16">
        <f>IF(Performance!$D$139="","",Performance!$D$139)</f>
        <v>0</v>
      </c>
      <c r="BL139" s="17">
        <f>IF(Performance!$E$139="","",Performance!$E$139)</f>
        <v>0</v>
      </c>
      <c r="BM139" s="23">
        <f>IF(Performance!$O$139="","",Performance!$O$139)</f>
        <v>0</v>
      </c>
      <c r="BN139" s="24">
        <f>IF(Performance!$AA$139="","",Performance!$AA$139)</f>
        <v>0</v>
      </c>
      <c r="BO139" s="32">
        <f>IF(BH139="","",IF(BK139="","",IF(OR(BK139&lt;DashStart,BK139&gt;DashEnd),"",IF(BN139="","",BN139+ROW()/1000000))))</f>
        <v>0</v>
      </c>
      <c r="BP139" s="32">
        <f>IF(BM139="","",IF(BK139="","",IF(OR(BK139&lt;DashStart,BK139&gt;DashEnd),"",BM139+ROW()/1000000)))</f>
        <v>0</v>
      </c>
      <c r="BQ139" s="32">
        <f>IF(BH139="","",IF(BK139="","",IF(YEAR(BK139)&lt;&gt;PlanYear,"",IF(BN139="","",BN139+ROW()/1000000))))</f>
        <v>0</v>
      </c>
      <c r="BR139" s="32">
        <f>IF(BH139="","",IF(BK139="","",IF(OR(BK139&lt;RepFrom,BK139&gt;RepTo),"",IF(BN139="","",BN139+ROW()/1000000))))</f>
        <v>0</v>
      </c>
      <c r="BS139" s="32">
        <f>IF(BM139="","",IF(BK139="","",IF(YEAR(BK139)&lt;&gt;PlanYear,"",BM139+ROW()/1000000)))</f>
        <v>0</v>
      </c>
      <c r="BT139" s="17">
        <f>IF(Lists!$F139="","",Lists!$F139)</f>
        <v>0</v>
      </c>
      <c r="BU139" s="23">
        <f>IF(BT139="","",COUNTIF('Content Calendar'!$X$5:$X$604,BT139))</f>
        <v>0</v>
      </c>
      <c r="BV139" s="23">
        <f>IF(BT139="","",COUNTIFS('Content Calendar'!$X$5:$X$604,BT139,'Content Calendar'!$B$5:$B$604,"&gt;="&amp;DashStart,'Content Calendar'!$B$5:$B$604,"&lt;="&amp;DashEnd))</f>
        <v>0</v>
      </c>
      <c r="BW139" s="17">
        <f>IF(Team!$B$139="","",Team!$B$139)</f>
        <v>0</v>
      </c>
      <c r="BX139" s="23">
        <f>IF(BW139="","",COUNTIF('Content Calendar'!$W$5:$W$604,BW139))</f>
        <v>0</v>
      </c>
      <c r="BY139" s="23">
        <f>IF(BW139="","",COUNTIFS('Content Calendar'!$W$5:$W$604,BW139,'Content Calendar'!$X$5:$X$604,"&lt;&gt;Published"))</f>
        <v>0</v>
      </c>
      <c r="BZ139" s="23">
        <f>IF(BW139="","",COUNTIFS(Tasks!$C$5:$C$64,BW139,Tasks!$G$5:$G$64,"&lt;&gt;Complete"))</f>
        <v>0</v>
      </c>
      <c r="CA139" s="17">
        <f>IF(Campaigns!$B$139="","",Campaigns!$B$139)</f>
        <v>0</v>
      </c>
      <c r="CB139" s="25">
        <f>IF(Campaigns!$T$139="","",Campaigns!$T$139)</f>
        <v>0</v>
      </c>
      <c r="CC139" s="25">
        <f>IF(Campaigns!$Q$139="","",Campaigns!$Q$139)</f>
        <v>0</v>
      </c>
      <c r="CD139" s="23">
        <f>IF(Campaigns!$Y$139="","",Campaigns!$Y$139)</f>
        <v>0</v>
      </c>
      <c r="CE139" s="32">
        <f>IF(CA139="","",IF(N(CB139)&lt;=0,"",N(CB139)+ROW()/1000000))</f>
        <v>0</v>
      </c>
      <c r="CF139" s="17">
        <f>IF(Accounts!$C$139="","",Accounts!$C$139)</f>
        <v>0</v>
      </c>
      <c r="CG139" s="17">
        <f>IF(Accounts!$B$139="","",Accounts!$B$139)</f>
        <v>0</v>
      </c>
      <c r="CH139" s="23">
        <f>IF(Accounts!$J$139="","",Accounts!$J$139)</f>
        <v>0</v>
      </c>
      <c r="CI139" s="23">
        <f>IF(CF139="","",SUMIFS(Analytics!$X$5:$X$154,Analytics!$E$5:$E$154,CF139,Analytics!$B$5:$B$154,"&gt;="&amp;DashStart,Analytics!$B$5:$B$154,"&lt;="&amp;DashEnd))</f>
        <v>0</v>
      </c>
      <c r="CJ139" s="32">
        <f>IF(CH139="","",IF(CH139=0,"",CH139+ROW()/1000000))</f>
        <v>0</v>
      </c>
    </row>
    <row r="140" spans="1:88">
      <c r="A140" s="16">
        <f>IF(ROW()-4&gt;12,"",DATE(PlanYear,ROW()-4,1))</f>
        <v>0</v>
      </c>
      <c r="B140" s="16">
        <f>IF(A140="","",EOMONTH(A140,0))</f>
        <v>0</v>
      </c>
      <c r="C140" s="17">
        <f>IF(A140="","",TEXT(A140,"yyyy-mm"))</f>
        <v>0</v>
      </c>
      <c r="D140" s="17">
        <f>IF(A140="","",TEXT(A140,"mmm"))</f>
        <v>0</v>
      </c>
      <c r="E140" s="23">
        <f>IF(C140="","",COUNTIFS('Content Calendar'!$D$5:$D$604,C140))</f>
        <v>0</v>
      </c>
      <c r="F140" s="23">
        <f>IF(C140="","",COUNTIFS('Content Calendar'!$D$5:$D$604,C140,'Content Calendar'!$X$5:$X$604,"Published"))</f>
        <v>0</v>
      </c>
      <c r="G140" s="23">
        <f>IF(C140="","",SUMIFS(Analytics!$J$5:$J$154,Analytics!$C$5:$C$154,C140))</f>
        <v>0</v>
      </c>
      <c r="H140" s="23">
        <f>IF(C140="","",SUMIFS(Analytics!$K$5:$K$154,Analytics!$C$5:$C$154,C140))</f>
        <v>0</v>
      </c>
      <c r="I140" s="23">
        <f>IF(C140="","",SUMIFS(Analytics!$L$5:$L$154,Analytics!$C$5:$C$154,C140))</f>
        <v>0</v>
      </c>
      <c r="J140" s="24">
        <f>IF(OR(G140="",G140=0),"",I140/G140)</f>
        <v>0</v>
      </c>
      <c r="K140" s="23">
        <f>IF(C140="","",SUMIFS(Analytics!$G$5:$G$154,Analytics!$C$5:$C$154,C140))</f>
        <v>0</v>
      </c>
      <c r="L140" s="23">
        <f>IF(C140="","",SUMIFS(Analytics!$X$5:$X$154,Analytics!$C$5:$C$154,C140))</f>
        <v>0</v>
      </c>
      <c r="M140" s="23">
        <f>IF(C140="","",SUMIFS(Analytics!$R$5:$R$154,Analytics!$C$5:$C$154,C140))</f>
        <v>0</v>
      </c>
      <c r="N140" s="23">
        <f>IF(C140="","",SUMIFS(Analytics!$S$5:$S$154,Analytics!$C$5:$C$154,C140))</f>
        <v>0</v>
      </c>
      <c r="O140" s="23">
        <f>IF(C140="","",SUMIFS(Analytics!$T$5:$T$154,Analytics!$C$5:$C$154,C140))</f>
        <v>0</v>
      </c>
      <c r="P140" s="25">
        <f>IF(C140="","",SUMIFS(Analytics!$U$5:$U$154,Analytics!$C$5:$C$154,C140))</f>
        <v>0</v>
      </c>
      <c r="Q140" s="25">
        <f>IF(C140="","",SUMIFS(Budget!$H$5:$H$64,Budget!$C$5:$C$64,C140))</f>
        <v>0</v>
      </c>
      <c r="R140" s="25">
        <f>IF(C140="","",P140-Q140)</f>
        <v>0</v>
      </c>
      <c r="S140" s="23">
        <f>IF(C140="","",MonthlyPostTarget)</f>
        <v>0</v>
      </c>
      <c r="T140" s="17">
        <f>IF(Lists!$C140="","",Lists!$C140)</f>
        <v>0</v>
      </c>
      <c r="U140" s="23">
        <f>IF(T140="","",COUNTIFS('Content Calendar'!$G$5:$G$604,T140,'Content Calendar'!$B$5:$B$604,"&gt;="&amp;DashStart,'Content Calendar'!$B$5:$B$604,"&lt;="&amp;DashEnd))</f>
        <v>0</v>
      </c>
      <c r="V140" s="23">
        <f>IF(T140="","",COUNTIFS('Content Calendar'!$G$5:$G$604,T140,'Content Calendar'!$X$5:$X$604,"Published",'Content Calendar'!$B$5:$B$604,"&gt;="&amp;DashStart,'Content Calendar'!$B$5:$B$604,"&lt;="&amp;DashEnd))</f>
        <v>0</v>
      </c>
      <c r="W140" s="23">
        <f>IF(T140="","",SUMIFS(Analytics!$J$5:$J$154,Analytics!$D$5:$D$154,T140,Analytics!$B$5:$B$154,"&gt;="&amp;DashStart,Analytics!$B$5:$B$154,"&lt;="&amp;DashEnd))</f>
        <v>0</v>
      </c>
      <c r="X140" s="23">
        <f>IF(T140="","",SUMIFS(Analytics!$L$5:$L$154,Analytics!$D$5:$D$154,T140,Analytics!$B$5:$B$154,"&gt;="&amp;DashStart,Analytics!$B$5:$B$154,"&lt;="&amp;DashEnd))</f>
        <v>0</v>
      </c>
      <c r="Y140" s="24">
        <f>IF(OR(W140="",W140=0),"",X140/W140)</f>
        <v>0</v>
      </c>
      <c r="Z140" s="23">
        <f>IF(T140="","",SUMIFS(Analytics!$G$5:$G$154,Analytics!$D$5:$D$154,T140,Analytics!$B$5:$B$154,"&gt;="&amp;DashStart,Analytics!$B$5:$B$154,"&lt;="&amp;DashEnd))</f>
        <v>0</v>
      </c>
      <c r="AA140" s="23">
        <f>IF(T140="","",SUMIFS(Analytics!$X$5:$X$154,Analytics!$D$5:$D$154,T140,Analytics!$B$5:$B$154,"&gt;="&amp;DashStart,Analytics!$B$5:$B$154,"&lt;="&amp;DashEnd))</f>
        <v>0</v>
      </c>
      <c r="AB140" s="23">
        <f>IF(T140="","",SUMIFS(Analytics!$R$5:$R$154,Analytics!$D$5:$D$154,T140,Analytics!$B$5:$B$154,"&gt;="&amp;DashStart,Analytics!$B$5:$B$154,"&lt;="&amp;DashEnd))</f>
        <v>0</v>
      </c>
      <c r="AC140" s="25">
        <f>IF(T140="","",SUMIFS(Analytics!$U$5:$U$154,Analytics!$D$5:$D$154,T140,Analytics!$B$5:$B$154,"&gt;="&amp;DashStart,Analytics!$B$5:$B$154,"&lt;="&amp;DashEnd))</f>
        <v>0</v>
      </c>
      <c r="AD140" s="23">
        <f>IF(T140="","",COUNTIFS('Content Calendar'!$G$5:$G$604,T140,'Content Calendar'!$B$5:$B$604,"&gt;="&amp;DATE(PlanYear,1,1),'Content Calendar'!$B$5:$B$604,"&lt;="&amp;DATE(PlanYear,12,31)))</f>
        <v>0</v>
      </c>
      <c r="AE140" s="23">
        <f>IF(T140="","",SUMIFS(Analytics!$J$5:$J$154,Analytics!$D$5:$D$154,T140))</f>
        <v>0</v>
      </c>
      <c r="AF140" s="23">
        <f>IF(T140="","",SUMIFS(Analytics!$L$5:$L$154,Analytics!$D$5:$D$154,T140))</f>
        <v>0</v>
      </c>
      <c r="AG140" s="24">
        <f>IF(OR(AE140="",AE140=0),"",AF140/AE140)</f>
        <v>0</v>
      </c>
      <c r="AH140" s="23">
        <f>IF(T140="","",SUMIFS(Analytics!$X$5:$X$154,Analytics!$D$5:$D$154,T140))</f>
        <v>0</v>
      </c>
      <c r="AI140" s="32">
        <f>IF(T140="","",IF(AE140=0,"",AE140+ROW()/1000000))</f>
        <v>0</v>
      </c>
      <c r="AJ140" s="17">
        <f>IF('Content Pillars'!$B$140="","",'Content Pillars'!$B$140)</f>
        <v>0</v>
      </c>
      <c r="AK140" s="23">
        <f>IF(AJ140="","",COUNTIFS('Content Calendar'!$J$5:$J$604,AJ140,'Content Calendar'!$B$5:$B$604,"&gt;="&amp;DATE(PlanYear,1,1),'Content Calendar'!$B$5:$B$604,"&lt;="&amp;DATE(PlanYear,12,31)))</f>
        <v>0</v>
      </c>
      <c r="AL140" s="23">
        <f>IF(AJ140="","",SUMIFS(Performance!$O$5:$O$404,Performance!$H$5:$H$404,AJ140))</f>
        <v>0</v>
      </c>
      <c r="AM140" s="23">
        <f>IF(AJ140="","",SUMIFS(Performance!$Z$5:$Z$404,Performance!$H$5:$H$404,AJ140))</f>
        <v>0</v>
      </c>
      <c r="AN140" s="24">
        <f>IF(OR(AL140="",AL140=0),"",AM140/AL140)</f>
        <v>0</v>
      </c>
      <c r="AO140" s="32">
        <f>IF(AN140="","",AN140+ROW()/1000000)</f>
        <v>0</v>
      </c>
      <c r="AP140" s="17">
        <f>IF(Lists!$E140="","",Lists!$E140)</f>
        <v>0</v>
      </c>
      <c r="AQ140" s="23">
        <f>IF(AP140="","",COUNTIF(Performance!$G$5:$G$404,AP140))</f>
        <v>0</v>
      </c>
      <c r="AR140" s="23">
        <f>IF(AP140="","",SUMIFS(Performance!$O$5:$O$404,Performance!$G$5:$G$404,AP140))</f>
        <v>0</v>
      </c>
      <c r="AS140" s="23">
        <f>IF(AP140="","",SUMIFS(Performance!$Z$5:$Z$404,Performance!$G$5:$G$404,AP140))</f>
        <v>0</v>
      </c>
      <c r="AT140" s="24">
        <f>IF(OR(AR140="",AR140=0),"",AS140/AR140)</f>
        <v>0</v>
      </c>
      <c r="AU140" s="32">
        <f>IF(AQ140=0,"",IF(AT140="","",AT140+ROW()/1000000))</f>
        <v>0</v>
      </c>
      <c r="AV140" s="17">
        <f>IF(ROW()-4&gt;7,"",TEXT(DATE(2024,1,ROW()-4),"ddd"))</f>
        <v>0</v>
      </c>
      <c r="AW140" s="23">
        <f>IF(AV140="","",COUNTIF(Performance!$N$5:$N$404,AV140))</f>
        <v>0</v>
      </c>
      <c r="AX140" s="23">
        <f>IF(AV140="","",SUMIFS(Performance!$O$5:$O$404,Performance!$N$5:$N$404,AV140))</f>
        <v>0</v>
      </c>
      <c r="AY140" s="23">
        <f>IF(AV140="","",SUMIFS(Performance!$Z$5:$Z$404,Performance!$N$5:$N$404,AV140))</f>
        <v>0</v>
      </c>
      <c r="AZ140" s="24">
        <f>IF(OR(AX140="",AX140=0),"",AY140/AX140)</f>
        <v>0</v>
      </c>
      <c r="BA140" s="32">
        <f>IF(AW140=0,"",IF(AZ140="","",AZ140+ROW()/1000000))</f>
        <v>0</v>
      </c>
      <c r="BB140" s="17">
        <f>IF(Lists!$AL140="","",Lists!$AL140)</f>
        <v>0</v>
      </c>
      <c r="BC140" s="23">
        <f>IF(BB140="","",COUNTIF(Performance!$M$5:$M$404,BB140))</f>
        <v>0</v>
      </c>
      <c r="BD140" s="23">
        <f>IF(BB140="","",SUMIFS(Performance!$O$5:$O$404,Performance!$M$5:$M$404,BB140))</f>
        <v>0</v>
      </c>
      <c r="BE140" s="23">
        <f>IF(BB140="","",SUMIFS(Performance!$Z$5:$Z$404,Performance!$M$5:$M$404,BB140))</f>
        <v>0</v>
      </c>
      <c r="BF140" s="24">
        <f>IF(OR(BD140="",BD140=0),"",BE140/BD140)</f>
        <v>0</v>
      </c>
      <c r="BG140" s="32">
        <f>IF(BC140=0,"",IF(BF140="","",BF140+ROW()/1000000))</f>
        <v>0</v>
      </c>
      <c r="BH140" s="17">
        <f>IF(Performance!$C$140="","",Performance!$C$140)</f>
        <v>0</v>
      </c>
      <c r="BI140" s="17">
        <f>IF(Performance!$F$140="","",Performance!$F$140)</f>
        <v>0</v>
      </c>
      <c r="BJ140" s="17">
        <f>IF(Performance!$H$140="","",Performance!$H$140)</f>
        <v>0</v>
      </c>
      <c r="BK140" s="16">
        <f>IF(Performance!$D$140="","",Performance!$D$140)</f>
        <v>0</v>
      </c>
      <c r="BL140" s="17">
        <f>IF(Performance!$E$140="","",Performance!$E$140)</f>
        <v>0</v>
      </c>
      <c r="BM140" s="23">
        <f>IF(Performance!$O$140="","",Performance!$O$140)</f>
        <v>0</v>
      </c>
      <c r="BN140" s="24">
        <f>IF(Performance!$AA$140="","",Performance!$AA$140)</f>
        <v>0</v>
      </c>
      <c r="BO140" s="32">
        <f>IF(BH140="","",IF(BK140="","",IF(OR(BK140&lt;DashStart,BK140&gt;DashEnd),"",IF(BN140="","",BN140+ROW()/1000000))))</f>
        <v>0</v>
      </c>
      <c r="BP140" s="32">
        <f>IF(BM140="","",IF(BK140="","",IF(OR(BK140&lt;DashStart,BK140&gt;DashEnd),"",BM140+ROW()/1000000)))</f>
        <v>0</v>
      </c>
      <c r="BQ140" s="32">
        <f>IF(BH140="","",IF(BK140="","",IF(YEAR(BK140)&lt;&gt;PlanYear,"",IF(BN140="","",BN140+ROW()/1000000))))</f>
        <v>0</v>
      </c>
      <c r="BR140" s="32">
        <f>IF(BH140="","",IF(BK140="","",IF(OR(BK140&lt;RepFrom,BK140&gt;RepTo),"",IF(BN140="","",BN140+ROW()/1000000))))</f>
        <v>0</v>
      </c>
      <c r="BS140" s="32">
        <f>IF(BM140="","",IF(BK140="","",IF(YEAR(BK140)&lt;&gt;PlanYear,"",BM140+ROW()/1000000)))</f>
        <v>0</v>
      </c>
      <c r="BT140" s="17">
        <f>IF(Lists!$F140="","",Lists!$F140)</f>
        <v>0</v>
      </c>
      <c r="BU140" s="23">
        <f>IF(BT140="","",COUNTIF('Content Calendar'!$X$5:$X$604,BT140))</f>
        <v>0</v>
      </c>
      <c r="BV140" s="23">
        <f>IF(BT140="","",COUNTIFS('Content Calendar'!$X$5:$X$604,BT140,'Content Calendar'!$B$5:$B$604,"&gt;="&amp;DashStart,'Content Calendar'!$B$5:$B$604,"&lt;="&amp;DashEnd))</f>
        <v>0</v>
      </c>
      <c r="BW140" s="17">
        <f>IF(Team!$B$140="","",Team!$B$140)</f>
        <v>0</v>
      </c>
      <c r="BX140" s="23">
        <f>IF(BW140="","",COUNTIF('Content Calendar'!$W$5:$W$604,BW140))</f>
        <v>0</v>
      </c>
      <c r="BY140" s="23">
        <f>IF(BW140="","",COUNTIFS('Content Calendar'!$W$5:$W$604,BW140,'Content Calendar'!$X$5:$X$604,"&lt;&gt;Published"))</f>
        <v>0</v>
      </c>
      <c r="BZ140" s="23">
        <f>IF(BW140="","",COUNTIFS(Tasks!$C$5:$C$64,BW140,Tasks!$G$5:$G$64,"&lt;&gt;Complete"))</f>
        <v>0</v>
      </c>
      <c r="CA140" s="17">
        <f>IF(Campaigns!$B$140="","",Campaigns!$B$140)</f>
        <v>0</v>
      </c>
      <c r="CB140" s="25">
        <f>IF(Campaigns!$T$140="","",Campaigns!$T$140)</f>
        <v>0</v>
      </c>
      <c r="CC140" s="25">
        <f>IF(Campaigns!$Q$140="","",Campaigns!$Q$140)</f>
        <v>0</v>
      </c>
      <c r="CD140" s="23">
        <f>IF(Campaigns!$Y$140="","",Campaigns!$Y$140)</f>
        <v>0</v>
      </c>
      <c r="CE140" s="32">
        <f>IF(CA140="","",IF(N(CB140)&lt;=0,"",N(CB140)+ROW()/1000000))</f>
        <v>0</v>
      </c>
      <c r="CF140" s="17">
        <f>IF(Accounts!$C$140="","",Accounts!$C$140)</f>
        <v>0</v>
      </c>
      <c r="CG140" s="17">
        <f>IF(Accounts!$B$140="","",Accounts!$B$140)</f>
        <v>0</v>
      </c>
      <c r="CH140" s="23">
        <f>IF(Accounts!$J$140="","",Accounts!$J$140)</f>
        <v>0</v>
      </c>
      <c r="CI140" s="23">
        <f>IF(CF140="","",SUMIFS(Analytics!$X$5:$X$154,Analytics!$E$5:$E$154,CF140,Analytics!$B$5:$B$154,"&gt;="&amp;DashStart,Analytics!$B$5:$B$154,"&lt;="&amp;DashEnd))</f>
        <v>0</v>
      </c>
      <c r="CJ140" s="32">
        <f>IF(CH140="","",IF(CH140=0,"",CH140+ROW()/1000000))</f>
        <v>0</v>
      </c>
    </row>
    <row r="141" spans="1:88">
      <c r="A141" s="16">
        <f>IF(ROW()-4&gt;12,"",DATE(PlanYear,ROW()-4,1))</f>
        <v>0</v>
      </c>
      <c r="B141" s="16">
        <f>IF(A141="","",EOMONTH(A141,0))</f>
        <v>0</v>
      </c>
      <c r="C141" s="17">
        <f>IF(A141="","",TEXT(A141,"yyyy-mm"))</f>
        <v>0</v>
      </c>
      <c r="D141" s="17">
        <f>IF(A141="","",TEXT(A141,"mmm"))</f>
        <v>0</v>
      </c>
      <c r="E141" s="23">
        <f>IF(C141="","",COUNTIFS('Content Calendar'!$D$5:$D$604,C141))</f>
        <v>0</v>
      </c>
      <c r="F141" s="23">
        <f>IF(C141="","",COUNTIFS('Content Calendar'!$D$5:$D$604,C141,'Content Calendar'!$X$5:$X$604,"Published"))</f>
        <v>0</v>
      </c>
      <c r="G141" s="23">
        <f>IF(C141="","",SUMIFS(Analytics!$J$5:$J$154,Analytics!$C$5:$C$154,C141))</f>
        <v>0</v>
      </c>
      <c r="H141" s="23">
        <f>IF(C141="","",SUMIFS(Analytics!$K$5:$K$154,Analytics!$C$5:$C$154,C141))</f>
        <v>0</v>
      </c>
      <c r="I141" s="23">
        <f>IF(C141="","",SUMIFS(Analytics!$L$5:$L$154,Analytics!$C$5:$C$154,C141))</f>
        <v>0</v>
      </c>
      <c r="J141" s="24">
        <f>IF(OR(G141="",G141=0),"",I141/G141)</f>
        <v>0</v>
      </c>
      <c r="K141" s="23">
        <f>IF(C141="","",SUMIFS(Analytics!$G$5:$G$154,Analytics!$C$5:$C$154,C141))</f>
        <v>0</v>
      </c>
      <c r="L141" s="23">
        <f>IF(C141="","",SUMIFS(Analytics!$X$5:$X$154,Analytics!$C$5:$C$154,C141))</f>
        <v>0</v>
      </c>
      <c r="M141" s="23">
        <f>IF(C141="","",SUMIFS(Analytics!$R$5:$R$154,Analytics!$C$5:$C$154,C141))</f>
        <v>0</v>
      </c>
      <c r="N141" s="23">
        <f>IF(C141="","",SUMIFS(Analytics!$S$5:$S$154,Analytics!$C$5:$C$154,C141))</f>
        <v>0</v>
      </c>
      <c r="O141" s="23">
        <f>IF(C141="","",SUMIFS(Analytics!$T$5:$T$154,Analytics!$C$5:$C$154,C141))</f>
        <v>0</v>
      </c>
      <c r="P141" s="25">
        <f>IF(C141="","",SUMIFS(Analytics!$U$5:$U$154,Analytics!$C$5:$C$154,C141))</f>
        <v>0</v>
      </c>
      <c r="Q141" s="25">
        <f>IF(C141="","",SUMIFS(Budget!$H$5:$H$64,Budget!$C$5:$C$64,C141))</f>
        <v>0</v>
      </c>
      <c r="R141" s="25">
        <f>IF(C141="","",P141-Q141)</f>
        <v>0</v>
      </c>
      <c r="S141" s="23">
        <f>IF(C141="","",MonthlyPostTarget)</f>
        <v>0</v>
      </c>
      <c r="T141" s="17">
        <f>IF(Lists!$C141="","",Lists!$C141)</f>
        <v>0</v>
      </c>
      <c r="U141" s="23">
        <f>IF(T141="","",COUNTIFS('Content Calendar'!$G$5:$G$604,T141,'Content Calendar'!$B$5:$B$604,"&gt;="&amp;DashStart,'Content Calendar'!$B$5:$B$604,"&lt;="&amp;DashEnd))</f>
        <v>0</v>
      </c>
      <c r="V141" s="23">
        <f>IF(T141="","",COUNTIFS('Content Calendar'!$G$5:$G$604,T141,'Content Calendar'!$X$5:$X$604,"Published",'Content Calendar'!$B$5:$B$604,"&gt;="&amp;DashStart,'Content Calendar'!$B$5:$B$604,"&lt;="&amp;DashEnd))</f>
        <v>0</v>
      </c>
      <c r="W141" s="23">
        <f>IF(T141="","",SUMIFS(Analytics!$J$5:$J$154,Analytics!$D$5:$D$154,T141,Analytics!$B$5:$B$154,"&gt;="&amp;DashStart,Analytics!$B$5:$B$154,"&lt;="&amp;DashEnd))</f>
        <v>0</v>
      </c>
      <c r="X141" s="23">
        <f>IF(T141="","",SUMIFS(Analytics!$L$5:$L$154,Analytics!$D$5:$D$154,T141,Analytics!$B$5:$B$154,"&gt;="&amp;DashStart,Analytics!$B$5:$B$154,"&lt;="&amp;DashEnd))</f>
        <v>0</v>
      </c>
      <c r="Y141" s="24">
        <f>IF(OR(W141="",W141=0),"",X141/W141)</f>
        <v>0</v>
      </c>
      <c r="Z141" s="23">
        <f>IF(T141="","",SUMIFS(Analytics!$G$5:$G$154,Analytics!$D$5:$D$154,T141,Analytics!$B$5:$B$154,"&gt;="&amp;DashStart,Analytics!$B$5:$B$154,"&lt;="&amp;DashEnd))</f>
        <v>0</v>
      </c>
      <c r="AA141" s="23">
        <f>IF(T141="","",SUMIFS(Analytics!$X$5:$X$154,Analytics!$D$5:$D$154,T141,Analytics!$B$5:$B$154,"&gt;="&amp;DashStart,Analytics!$B$5:$B$154,"&lt;="&amp;DashEnd))</f>
        <v>0</v>
      </c>
      <c r="AB141" s="23">
        <f>IF(T141="","",SUMIFS(Analytics!$R$5:$R$154,Analytics!$D$5:$D$154,T141,Analytics!$B$5:$B$154,"&gt;="&amp;DashStart,Analytics!$B$5:$B$154,"&lt;="&amp;DashEnd))</f>
        <v>0</v>
      </c>
      <c r="AC141" s="25">
        <f>IF(T141="","",SUMIFS(Analytics!$U$5:$U$154,Analytics!$D$5:$D$154,T141,Analytics!$B$5:$B$154,"&gt;="&amp;DashStart,Analytics!$B$5:$B$154,"&lt;="&amp;DashEnd))</f>
        <v>0</v>
      </c>
      <c r="AD141" s="23">
        <f>IF(T141="","",COUNTIFS('Content Calendar'!$G$5:$G$604,T141,'Content Calendar'!$B$5:$B$604,"&gt;="&amp;DATE(PlanYear,1,1),'Content Calendar'!$B$5:$B$604,"&lt;="&amp;DATE(PlanYear,12,31)))</f>
        <v>0</v>
      </c>
      <c r="AE141" s="23">
        <f>IF(T141="","",SUMIFS(Analytics!$J$5:$J$154,Analytics!$D$5:$D$154,T141))</f>
        <v>0</v>
      </c>
      <c r="AF141" s="23">
        <f>IF(T141="","",SUMIFS(Analytics!$L$5:$L$154,Analytics!$D$5:$D$154,T141))</f>
        <v>0</v>
      </c>
      <c r="AG141" s="24">
        <f>IF(OR(AE141="",AE141=0),"",AF141/AE141)</f>
        <v>0</v>
      </c>
      <c r="AH141" s="23">
        <f>IF(T141="","",SUMIFS(Analytics!$X$5:$X$154,Analytics!$D$5:$D$154,T141))</f>
        <v>0</v>
      </c>
      <c r="AI141" s="32">
        <f>IF(T141="","",IF(AE141=0,"",AE141+ROW()/1000000))</f>
        <v>0</v>
      </c>
      <c r="AJ141" s="17">
        <f>IF('Content Pillars'!$B$141="","",'Content Pillars'!$B$141)</f>
        <v>0</v>
      </c>
      <c r="AK141" s="23">
        <f>IF(AJ141="","",COUNTIFS('Content Calendar'!$J$5:$J$604,AJ141,'Content Calendar'!$B$5:$B$604,"&gt;="&amp;DATE(PlanYear,1,1),'Content Calendar'!$B$5:$B$604,"&lt;="&amp;DATE(PlanYear,12,31)))</f>
        <v>0</v>
      </c>
      <c r="AL141" s="23">
        <f>IF(AJ141="","",SUMIFS(Performance!$O$5:$O$404,Performance!$H$5:$H$404,AJ141))</f>
        <v>0</v>
      </c>
      <c r="AM141" s="23">
        <f>IF(AJ141="","",SUMIFS(Performance!$Z$5:$Z$404,Performance!$H$5:$H$404,AJ141))</f>
        <v>0</v>
      </c>
      <c r="AN141" s="24">
        <f>IF(OR(AL141="",AL141=0),"",AM141/AL141)</f>
        <v>0</v>
      </c>
      <c r="AO141" s="32">
        <f>IF(AN141="","",AN141+ROW()/1000000)</f>
        <v>0</v>
      </c>
      <c r="AP141" s="17">
        <f>IF(Lists!$E141="","",Lists!$E141)</f>
        <v>0</v>
      </c>
      <c r="AQ141" s="23">
        <f>IF(AP141="","",COUNTIF(Performance!$G$5:$G$404,AP141))</f>
        <v>0</v>
      </c>
      <c r="AR141" s="23">
        <f>IF(AP141="","",SUMIFS(Performance!$O$5:$O$404,Performance!$G$5:$G$404,AP141))</f>
        <v>0</v>
      </c>
      <c r="AS141" s="23">
        <f>IF(AP141="","",SUMIFS(Performance!$Z$5:$Z$404,Performance!$G$5:$G$404,AP141))</f>
        <v>0</v>
      </c>
      <c r="AT141" s="24">
        <f>IF(OR(AR141="",AR141=0),"",AS141/AR141)</f>
        <v>0</v>
      </c>
      <c r="AU141" s="32">
        <f>IF(AQ141=0,"",IF(AT141="","",AT141+ROW()/1000000))</f>
        <v>0</v>
      </c>
      <c r="AV141" s="17">
        <f>IF(ROW()-4&gt;7,"",TEXT(DATE(2024,1,ROW()-4),"ddd"))</f>
        <v>0</v>
      </c>
      <c r="AW141" s="23">
        <f>IF(AV141="","",COUNTIF(Performance!$N$5:$N$404,AV141))</f>
        <v>0</v>
      </c>
      <c r="AX141" s="23">
        <f>IF(AV141="","",SUMIFS(Performance!$O$5:$O$404,Performance!$N$5:$N$404,AV141))</f>
        <v>0</v>
      </c>
      <c r="AY141" s="23">
        <f>IF(AV141="","",SUMIFS(Performance!$Z$5:$Z$404,Performance!$N$5:$N$404,AV141))</f>
        <v>0</v>
      </c>
      <c r="AZ141" s="24">
        <f>IF(OR(AX141="",AX141=0),"",AY141/AX141)</f>
        <v>0</v>
      </c>
      <c r="BA141" s="32">
        <f>IF(AW141=0,"",IF(AZ141="","",AZ141+ROW()/1000000))</f>
        <v>0</v>
      </c>
      <c r="BB141" s="17">
        <f>IF(Lists!$AL141="","",Lists!$AL141)</f>
        <v>0</v>
      </c>
      <c r="BC141" s="23">
        <f>IF(BB141="","",COUNTIF(Performance!$M$5:$M$404,BB141))</f>
        <v>0</v>
      </c>
      <c r="BD141" s="23">
        <f>IF(BB141="","",SUMIFS(Performance!$O$5:$O$404,Performance!$M$5:$M$404,BB141))</f>
        <v>0</v>
      </c>
      <c r="BE141" s="23">
        <f>IF(BB141="","",SUMIFS(Performance!$Z$5:$Z$404,Performance!$M$5:$M$404,BB141))</f>
        <v>0</v>
      </c>
      <c r="BF141" s="24">
        <f>IF(OR(BD141="",BD141=0),"",BE141/BD141)</f>
        <v>0</v>
      </c>
      <c r="BG141" s="32">
        <f>IF(BC141=0,"",IF(BF141="","",BF141+ROW()/1000000))</f>
        <v>0</v>
      </c>
      <c r="BH141" s="17">
        <f>IF(Performance!$C$141="","",Performance!$C$141)</f>
        <v>0</v>
      </c>
      <c r="BI141" s="17">
        <f>IF(Performance!$F$141="","",Performance!$F$141)</f>
        <v>0</v>
      </c>
      <c r="BJ141" s="17">
        <f>IF(Performance!$H$141="","",Performance!$H$141)</f>
        <v>0</v>
      </c>
      <c r="BK141" s="16">
        <f>IF(Performance!$D$141="","",Performance!$D$141)</f>
        <v>0</v>
      </c>
      <c r="BL141" s="17">
        <f>IF(Performance!$E$141="","",Performance!$E$141)</f>
        <v>0</v>
      </c>
      <c r="BM141" s="23">
        <f>IF(Performance!$O$141="","",Performance!$O$141)</f>
        <v>0</v>
      </c>
      <c r="BN141" s="24">
        <f>IF(Performance!$AA$141="","",Performance!$AA$141)</f>
        <v>0</v>
      </c>
      <c r="BO141" s="32">
        <f>IF(BH141="","",IF(BK141="","",IF(OR(BK141&lt;DashStart,BK141&gt;DashEnd),"",IF(BN141="","",BN141+ROW()/1000000))))</f>
        <v>0</v>
      </c>
      <c r="BP141" s="32">
        <f>IF(BM141="","",IF(BK141="","",IF(OR(BK141&lt;DashStart,BK141&gt;DashEnd),"",BM141+ROW()/1000000)))</f>
        <v>0</v>
      </c>
      <c r="BQ141" s="32">
        <f>IF(BH141="","",IF(BK141="","",IF(YEAR(BK141)&lt;&gt;PlanYear,"",IF(BN141="","",BN141+ROW()/1000000))))</f>
        <v>0</v>
      </c>
      <c r="BR141" s="32">
        <f>IF(BH141="","",IF(BK141="","",IF(OR(BK141&lt;RepFrom,BK141&gt;RepTo),"",IF(BN141="","",BN141+ROW()/1000000))))</f>
        <v>0</v>
      </c>
      <c r="BS141" s="32">
        <f>IF(BM141="","",IF(BK141="","",IF(YEAR(BK141)&lt;&gt;PlanYear,"",BM141+ROW()/1000000)))</f>
        <v>0</v>
      </c>
      <c r="BT141" s="17">
        <f>IF(Lists!$F141="","",Lists!$F141)</f>
        <v>0</v>
      </c>
      <c r="BU141" s="23">
        <f>IF(BT141="","",COUNTIF('Content Calendar'!$X$5:$X$604,BT141))</f>
        <v>0</v>
      </c>
      <c r="BV141" s="23">
        <f>IF(BT141="","",COUNTIFS('Content Calendar'!$X$5:$X$604,BT141,'Content Calendar'!$B$5:$B$604,"&gt;="&amp;DashStart,'Content Calendar'!$B$5:$B$604,"&lt;="&amp;DashEnd))</f>
        <v>0</v>
      </c>
      <c r="BW141" s="17">
        <f>IF(Team!$B$141="","",Team!$B$141)</f>
        <v>0</v>
      </c>
      <c r="BX141" s="23">
        <f>IF(BW141="","",COUNTIF('Content Calendar'!$W$5:$W$604,BW141))</f>
        <v>0</v>
      </c>
      <c r="BY141" s="23">
        <f>IF(BW141="","",COUNTIFS('Content Calendar'!$W$5:$W$604,BW141,'Content Calendar'!$X$5:$X$604,"&lt;&gt;Published"))</f>
        <v>0</v>
      </c>
      <c r="BZ141" s="23">
        <f>IF(BW141="","",COUNTIFS(Tasks!$C$5:$C$64,BW141,Tasks!$G$5:$G$64,"&lt;&gt;Complete"))</f>
        <v>0</v>
      </c>
      <c r="CA141" s="17">
        <f>IF(Campaigns!$B$141="","",Campaigns!$B$141)</f>
        <v>0</v>
      </c>
      <c r="CB141" s="25">
        <f>IF(Campaigns!$T$141="","",Campaigns!$T$141)</f>
        <v>0</v>
      </c>
      <c r="CC141" s="25">
        <f>IF(Campaigns!$Q$141="","",Campaigns!$Q$141)</f>
        <v>0</v>
      </c>
      <c r="CD141" s="23">
        <f>IF(Campaigns!$Y$141="","",Campaigns!$Y$141)</f>
        <v>0</v>
      </c>
      <c r="CE141" s="32">
        <f>IF(CA141="","",IF(N(CB141)&lt;=0,"",N(CB141)+ROW()/1000000))</f>
        <v>0</v>
      </c>
      <c r="CF141" s="17">
        <f>IF(Accounts!$C$141="","",Accounts!$C$141)</f>
        <v>0</v>
      </c>
      <c r="CG141" s="17">
        <f>IF(Accounts!$B$141="","",Accounts!$B$141)</f>
        <v>0</v>
      </c>
      <c r="CH141" s="23">
        <f>IF(Accounts!$J$141="","",Accounts!$J$141)</f>
        <v>0</v>
      </c>
      <c r="CI141" s="23">
        <f>IF(CF141="","",SUMIFS(Analytics!$X$5:$X$154,Analytics!$E$5:$E$154,CF141,Analytics!$B$5:$B$154,"&gt;="&amp;DashStart,Analytics!$B$5:$B$154,"&lt;="&amp;DashEnd))</f>
        <v>0</v>
      </c>
      <c r="CJ141" s="32">
        <f>IF(CH141="","",IF(CH141=0,"",CH141+ROW()/1000000))</f>
        <v>0</v>
      </c>
    </row>
    <row r="142" spans="1:88">
      <c r="A142" s="16">
        <f>IF(ROW()-4&gt;12,"",DATE(PlanYear,ROW()-4,1))</f>
        <v>0</v>
      </c>
      <c r="B142" s="16">
        <f>IF(A142="","",EOMONTH(A142,0))</f>
        <v>0</v>
      </c>
      <c r="C142" s="17">
        <f>IF(A142="","",TEXT(A142,"yyyy-mm"))</f>
        <v>0</v>
      </c>
      <c r="D142" s="17">
        <f>IF(A142="","",TEXT(A142,"mmm"))</f>
        <v>0</v>
      </c>
      <c r="E142" s="23">
        <f>IF(C142="","",COUNTIFS('Content Calendar'!$D$5:$D$604,C142))</f>
        <v>0</v>
      </c>
      <c r="F142" s="23">
        <f>IF(C142="","",COUNTIFS('Content Calendar'!$D$5:$D$604,C142,'Content Calendar'!$X$5:$X$604,"Published"))</f>
        <v>0</v>
      </c>
      <c r="G142" s="23">
        <f>IF(C142="","",SUMIFS(Analytics!$J$5:$J$154,Analytics!$C$5:$C$154,C142))</f>
        <v>0</v>
      </c>
      <c r="H142" s="23">
        <f>IF(C142="","",SUMIFS(Analytics!$K$5:$K$154,Analytics!$C$5:$C$154,C142))</f>
        <v>0</v>
      </c>
      <c r="I142" s="23">
        <f>IF(C142="","",SUMIFS(Analytics!$L$5:$L$154,Analytics!$C$5:$C$154,C142))</f>
        <v>0</v>
      </c>
      <c r="J142" s="24">
        <f>IF(OR(G142="",G142=0),"",I142/G142)</f>
        <v>0</v>
      </c>
      <c r="K142" s="23">
        <f>IF(C142="","",SUMIFS(Analytics!$G$5:$G$154,Analytics!$C$5:$C$154,C142))</f>
        <v>0</v>
      </c>
      <c r="L142" s="23">
        <f>IF(C142="","",SUMIFS(Analytics!$X$5:$X$154,Analytics!$C$5:$C$154,C142))</f>
        <v>0</v>
      </c>
      <c r="M142" s="23">
        <f>IF(C142="","",SUMIFS(Analytics!$R$5:$R$154,Analytics!$C$5:$C$154,C142))</f>
        <v>0</v>
      </c>
      <c r="N142" s="23">
        <f>IF(C142="","",SUMIFS(Analytics!$S$5:$S$154,Analytics!$C$5:$C$154,C142))</f>
        <v>0</v>
      </c>
      <c r="O142" s="23">
        <f>IF(C142="","",SUMIFS(Analytics!$T$5:$T$154,Analytics!$C$5:$C$154,C142))</f>
        <v>0</v>
      </c>
      <c r="P142" s="25">
        <f>IF(C142="","",SUMIFS(Analytics!$U$5:$U$154,Analytics!$C$5:$C$154,C142))</f>
        <v>0</v>
      </c>
      <c r="Q142" s="25">
        <f>IF(C142="","",SUMIFS(Budget!$H$5:$H$64,Budget!$C$5:$C$64,C142))</f>
        <v>0</v>
      </c>
      <c r="R142" s="25">
        <f>IF(C142="","",P142-Q142)</f>
        <v>0</v>
      </c>
      <c r="S142" s="23">
        <f>IF(C142="","",MonthlyPostTarget)</f>
        <v>0</v>
      </c>
      <c r="T142" s="17">
        <f>IF(Lists!$C142="","",Lists!$C142)</f>
        <v>0</v>
      </c>
      <c r="U142" s="23">
        <f>IF(T142="","",COUNTIFS('Content Calendar'!$G$5:$G$604,T142,'Content Calendar'!$B$5:$B$604,"&gt;="&amp;DashStart,'Content Calendar'!$B$5:$B$604,"&lt;="&amp;DashEnd))</f>
        <v>0</v>
      </c>
      <c r="V142" s="23">
        <f>IF(T142="","",COUNTIFS('Content Calendar'!$G$5:$G$604,T142,'Content Calendar'!$X$5:$X$604,"Published",'Content Calendar'!$B$5:$B$604,"&gt;="&amp;DashStart,'Content Calendar'!$B$5:$B$604,"&lt;="&amp;DashEnd))</f>
        <v>0</v>
      </c>
      <c r="W142" s="23">
        <f>IF(T142="","",SUMIFS(Analytics!$J$5:$J$154,Analytics!$D$5:$D$154,T142,Analytics!$B$5:$B$154,"&gt;="&amp;DashStart,Analytics!$B$5:$B$154,"&lt;="&amp;DashEnd))</f>
        <v>0</v>
      </c>
      <c r="X142" s="23">
        <f>IF(T142="","",SUMIFS(Analytics!$L$5:$L$154,Analytics!$D$5:$D$154,T142,Analytics!$B$5:$B$154,"&gt;="&amp;DashStart,Analytics!$B$5:$B$154,"&lt;="&amp;DashEnd))</f>
        <v>0</v>
      </c>
      <c r="Y142" s="24">
        <f>IF(OR(W142="",W142=0),"",X142/W142)</f>
        <v>0</v>
      </c>
      <c r="Z142" s="23">
        <f>IF(T142="","",SUMIFS(Analytics!$G$5:$G$154,Analytics!$D$5:$D$154,T142,Analytics!$B$5:$B$154,"&gt;="&amp;DashStart,Analytics!$B$5:$B$154,"&lt;="&amp;DashEnd))</f>
        <v>0</v>
      </c>
      <c r="AA142" s="23">
        <f>IF(T142="","",SUMIFS(Analytics!$X$5:$X$154,Analytics!$D$5:$D$154,T142,Analytics!$B$5:$B$154,"&gt;="&amp;DashStart,Analytics!$B$5:$B$154,"&lt;="&amp;DashEnd))</f>
        <v>0</v>
      </c>
      <c r="AB142" s="23">
        <f>IF(T142="","",SUMIFS(Analytics!$R$5:$R$154,Analytics!$D$5:$D$154,T142,Analytics!$B$5:$B$154,"&gt;="&amp;DashStart,Analytics!$B$5:$B$154,"&lt;="&amp;DashEnd))</f>
        <v>0</v>
      </c>
      <c r="AC142" s="25">
        <f>IF(T142="","",SUMIFS(Analytics!$U$5:$U$154,Analytics!$D$5:$D$154,T142,Analytics!$B$5:$B$154,"&gt;="&amp;DashStart,Analytics!$B$5:$B$154,"&lt;="&amp;DashEnd))</f>
        <v>0</v>
      </c>
      <c r="AD142" s="23">
        <f>IF(T142="","",COUNTIFS('Content Calendar'!$G$5:$G$604,T142,'Content Calendar'!$B$5:$B$604,"&gt;="&amp;DATE(PlanYear,1,1),'Content Calendar'!$B$5:$B$604,"&lt;="&amp;DATE(PlanYear,12,31)))</f>
        <v>0</v>
      </c>
      <c r="AE142" s="23">
        <f>IF(T142="","",SUMIFS(Analytics!$J$5:$J$154,Analytics!$D$5:$D$154,T142))</f>
        <v>0</v>
      </c>
      <c r="AF142" s="23">
        <f>IF(T142="","",SUMIFS(Analytics!$L$5:$L$154,Analytics!$D$5:$D$154,T142))</f>
        <v>0</v>
      </c>
      <c r="AG142" s="24">
        <f>IF(OR(AE142="",AE142=0),"",AF142/AE142)</f>
        <v>0</v>
      </c>
      <c r="AH142" s="23">
        <f>IF(T142="","",SUMIFS(Analytics!$X$5:$X$154,Analytics!$D$5:$D$154,T142))</f>
        <v>0</v>
      </c>
      <c r="AI142" s="32">
        <f>IF(T142="","",IF(AE142=0,"",AE142+ROW()/1000000))</f>
        <v>0</v>
      </c>
      <c r="AJ142" s="17">
        <f>IF('Content Pillars'!$B$142="","",'Content Pillars'!$B$142)</f>
        <v>0</v>
      </c>
      <c r="AK142" s="23">
        <f>IF(AJ142="","",COUNTIFS('Content Calendar'!$J$5:$J$604,AJ142,'Content Calendar'!$B$5:$B$604,"&gt;="&amp;DATE(PlanYear,1,1),'Content Calendar'!$B$5:$B$604,"&lt;="&amp;DATE(PlanYear,12,31)))</f>
        <v>0</v>
      </c>
      <c r="AL142" s="23">
        <f>IF(AJ142="","",SUMIFS(Performance!$O$5:$O$404,Performance!$H$5:$H$404,AJ142))</f>
        <v>0</v>
      </c>
      <c r="AM142" s="23">
        <f>IF(AJ142="","",SUMIFS(Performance!$Z$5:$Z$404,Performance!$H$5:$H$404,AJ142))</f>
        <v>0</v>
      </c>
      <c r="AN142" s="24">
        <f>IF(OR(AL142="",AL142=0),"",AM142/AL142)</f>
        <v>0</v>
      </c>
      <c r="AO142" s="32">
        <f>IF(AN142="","",AN142+ROW()/1000000)</f>
        <v>0</v>
      </c>
      <c r="AP142" s="17">
        <f>IF(Lists!$E142="","",Lists!$E142)</f>
        <v>0</v>
      </c>
      <c r="AQ142" s="23">
        <f>IF(AP142="","",COUNTIF(Performance!$G$5:$G$404,AP142))</f>
        <v>0</v>
      </c>
      <c r="AR142" s="23">
        <f>IF(AP142="","",SUMIFS(Performance!$O$5:$O$404,Performance!$G$5:$G$404,AP142))</f>
        <v>0</v>
      </c>
      <c r="AS142" s="23">
        <f>IF(AP142="","",SUMIFS(Performance!$Z$5:$Z$404,Performance!$G$5:$G$404,AP142))</f>
        <v>0</v>
      </c>
      <c r="AT142" s="24">
        <f>IF(OR(AR142="",AR142=0),"",AS142/AR142)</f>
        <v>0</v>
      </c>
      <c r="AU142" s="32">
        <f>IF(AQ142=0,"",IF(AT142="","",AT142+ROW()/1000000))</f>
        <v>0</v>
      </c>
      <c r="AV142" s="17">
        <f>IF(ROW()-4&gt;7,"",TEXT(DATE(2024,1,ROW()-4),"ddd"))</f>
        <v>0</v>
      </c>
      <c r="AW142" s="23">
        <f>IF(AV142="","",COUNTIF(Performance!$N$5:$N$404,AV142))</f>
        <v>0</v>
      </c>
      <c r="AX142" s="23">
        <f>IF(AV142="","",SUMIFS(Performance!$O$5:$O$404,Performance!$N$5:$N$404,AV142))</f>
        <v>0</v>
      </c>
      <c r="AY142" s="23">
        <f>IF(AV142="","",SUMIFS(Performance!$Z$5:$Z$404,Performance!$N$5:$N$404,AV142))</f>
        <v>0</v>
      </c>
      <c r="AZ142" s="24">
        <f>IF(OR(AX142="",AX142=0),"",AY142/AX142)</f>
        <v>0</v>
      </c>
      <c r="BA142" s="32">
        <f>IF(AW142=0,"",IF(AZ142="","",AZ142+ROW()/1000000))</f>
        <v>0</v>
      </c>
      <c r="BB142" s="17">
        <f>IF(Lists!$AL142="","",Lists!$AL142)</f>
        <v>0</v>
      </c>
      <c r="BC142" s="23">
        <f>IF(BB142="","",COUNTIF(Performance!$M$5:$M$404,BB142))</f>
        <v>0</v>
      </c>
      <c r="BD142" s="23">
        <f>IF(BB142="","",SUMIFS(Performance!$O$5:$O$404,Performance!$M$5:$M$404,BB142))</f>
        <v>0</v>
      </c>
      <c r="BE142" s="23">
        <f>IF(BB142="","",SUMIFS(Performance!$Z$5:$Z$404,Performance!$M$5:$M$404,BB142))</f>
        <v>0</v>
      </c>
      <c r="BF142" s="24">
        <f>IF(OR(BD142="",BD142=0),"",BE142/BD142)</f>
        <v>0</v>
      </c>
      <c r="BG142" s="32">
        <f>IF(BC142=0,"",IF(BF142="","",BF142+ROW()/1000000))</f>
        <v>0</v>
      </c>
      <c r="BH142" s="17">
        <f>IF(Performance!$C$142="","",Performance!$C$142)</f>
        <v>0</v>
      </c>
      <c r="BI142" s="17">
        <f>IF(Performance!$F$142="","",Performance!$F$142)</f>
        <v>0</v>
      </c>
      <c r="BJ142" s="17">
        <f>IF(Performance!$H$142="","",Performance!$H$142)</f>
        <v>0</v>
      </c>
      <c r="BK142" s="16">
        <f>IF(Performance!$D$142="","",Performance!$D$142)</f>
        <v>0</v>
      </c>
      <c r="BL142" s="17">
        <f>IF(Performance!$E$142="","",Performance!$E$142)</f>
        <v>0</v>
      </c>
      <c r="BM142" s="23">
        <f>IF(Performance!$O$142="","",Performance!$O$142)</f>
        <v>0</v>
      </c>
      <c r="BN142" s="24">
        <f>IF(Performance!$AA$142="","",Performance!$AA$142)</f>
        <v>0</v>
      </c>
      <c r="BO142" s="32">
        <f>IF(BH142="","",IF(BK142="","",IF(OR(BK142&lt;DashStart,BK142&gt;DashEnd),"",IF(BN142="","",BN142+ROW()/1000000))))</f>
        <v>0</v>
      </c>
      <c r="BP142" s="32">
        <f>IF(BM142="","",IF(BK142="","",IF(OR(BK142&lt;DashStart,BK142&gt;DashEnd),"",BM142+ROW()/1000000)))</f>
        <v>0</v>
      </c>
      <c r="BQ142" s="32">
        <f>IF(BH142="","",IF(BK142="","",IF(YEAR(BK142)&lt;&gt;PlanYear,"",IF(BN142="","",BN142+ROW()/1000000))))</f>
        <v>0</v>
      </c>
      <c r="BR142" s="32">
        <f>IF(BH142="","",IF(BK142="","",IF(OR(BK142&lt;RepFrom,BK142&gt;RepTo),"",IF(BN142="","",BN142+ROW()/1000000))))</f>
        <v>0</v>
      </c>
      <c r="BS142" s="32">
        <f>IF(BM142="","",IF(BK142="","",IF(YEAR(BK142)&lt;&gt;PlanYear,"",BM142+ROW()/1000000)))</f>
        <v>0</v>
      </c>
      <c r="BT142" s="17">
        <f>IF(Lists!$F142="","",Lists!$F142)</f>
        <v>0</v>
      </c>
      <c r="BU142" s="23">
        <f>IF(BT142="","",COUNTIF('Content Calendar'!$X$5:$X$604,BT142))</f>
        <v>0</v>
      </c>
      <c r="BV142" s="23">
        <f>IF(BT142="","",COUNTIFS('Content Calendar'!$X$5:$X$604,BT142,'Content Calendar'!$B$5:$B$604,"&gt;="&amp;DashStart,'Content Calendar'!$B$5:$B$604,"&lt;="&amp;DashEnd))</f>
        <v>0</v>
      </c>
      <c r="BW142" s="17">
        <f>IF(Team!$B$142="","",Team!$B$142)</f>
        <v>0</v>
      </c>
      <c r="BX142" s="23">
        <f>IF(BW142="","",COUNTIF('Content Calendar'!$W$5:$W$604,BW142))</f>
        <v>0</v>
      </c>
      <c r="BY142" s="23">
        <f>IF(BW142="","",COUNTIFS('Content Calendar'!$W$5:$W$604,BW142,'Content Calendar'!$X$5:$X$604,"&lt;&gt;Published"))</f>
        <v>0</v>
      </c>
      <c r="BZ142" s="23">
        <f>IF(BW142="","",COUNTIFS(Tasks!$C$5:$C$64,BW142,Tasks!$G$5:$G$64,"&lt;&gt;Complete"))</f>
        <v>0</v>
      </c>
      <c r="CA142" s="17">
        <f>IF(Campaigns!$B$142="","",Campaigns!$B$142)</f>
        <v>0</v>
      </c>
      <c r="CB142" s="25">
        <f>IF(Campaigns!$T$142="","",Campaigns!$T$142)</f>
        <v>0</v>
      </c>
      <c r="CC142" s="25">
        <f>IF(Campaigns!$Q$142="","",Campaigns!$Q$142)</f>
        <v>0</v>
      </c>
      <c r="CD142" s="23">
        <f>IF(Campaigns!$Y$142="","",Campaigns!$Y$142)</f>
        <v>0</v>
      </c>
      <c r="CE142" s="32">
        <f>IF(CA142="","",IF(N(CB142)&lt;=0,"",N(CB142)+ROW()/1000000))</f>
        <v>0</v>
      </c>
      <c r="CF142" s="17">
        <f>IF(Accounts!$C$142="","",Accounts!$C$142)</f>
        <v>0</v>
      </c>
      <c r="CG142" s="17">
        <f>IF(Accounts!$B$142="","",Accounts!$B$142)</f>
        <v>0</v>
      </c>
      <c r="CH142" s="23">
        <f>IF(Accounts!$J$142="","",Accounts!$J$142)</f>
        <v>0</v>
      </c>
      <c r="CI142" s="23">
        <f>IF(CF142="","",SUMIFS(Analytics!$X$5:$X$154,Analytics!$E$5:$E$154,CF142,Analytics!$B$5:$B$154,"&gt;="&amp;DashStart,Analytics!$B$5:$B$154,"&lt;="&amp;DashEnd))</f>
        <v>0</v>
      </c>
      <c r="CJ142" s="32">
        <f>IF(CH142="","",IF(CH142=0,"",CH142+ROW()/1000000))</f>
        <v>0</v>
      </c>
    </row>
    <row r="143" spans="1:88">
      <c r="A143" s="16">
        <f>IF(ROW()-4&gt;12,"",DATE(PlanYear,ROW()-4,1))</f>
        <v>0</v>
      </c>
      <c r="B143" s="16">
        <f>IF(A143="","",EOMONTH(A143,0))</f>
        <v>0</v>
      </c>
      <c r="C143" s="17">
        <f>IF(A143="","",TEXT(A143,"yyyy-mm"))</f>
        <v>0</v>
      </c>
      <c r="D143" s="17">
        <f>IF(A143="","",TEXT(A143,"mmm"))</f>
        <v>0</v>
      </c>
      <c r="E143" s="23">
        <f>IF(C143="","",COUNTIFS('Content Calendar'!$D$5:$D$604,C143))</f>
        <v>0</v>
      </c>
      <c r="F143" s="23">
        <f>IF(C143="","",COUNTIFS('Content Calendar'!$D$5:$D$604,C143,'Content Calendar'!$X$5:$X$604,"Published"))</f>
        <v>0</v>
      </c>
      <c r="G143" s="23">
        <f>IF(C143="","",SUMIFS(Analytics!$J$5:$J$154,Analytics!$C$5:$C$154,C143))</f>
        <v>0</v>
      </c>
      <c r="H143" s="23">
        <f>IF(C143="","",SUMIFS(Analytics!$K$5:$K$154,Analytics!$C$5:$C$154,C143))</f>
        <v>0</v>
      </c>
      <c r="I143" s="23">
        <f>IF(C143="","",SUMIFS(Analytics!$L$5:$L$154,Analytics!$C$5:$C$154,C143))</f>
        <v>0</v>
      </c>
      <c r="J143" s="24">
        <f>IF(OR(G143="",G143=0),"",I143/G143)</f>
        <v>0</v>
      </c>
      <c r="K143" s="23">
        <f>IF(C143="","",SUMIFS(Analytics!$G$5:$G$154,Analytics!$C$5:$C$154,C143))</f>
        <v>0</v>
      </c>
      <c r="L143" s="23">
        <f>IF(C143="","",SUMIFS(Analytics!$X$5:$X$154,Analytics!$C$5:$C$154,C143))</f>
        <v>0</v>
      </c>
      <c r="M143" s="23">
        <f>IF(C143="","",SUMIFS(Analytics!$R$5:$R$154,Analytics!$C$5:$C$154,C143))</f>
        <v>0</v>
      </c>
      <c r="N143" s="23">
        <f>IF(C143="","",SUMIFS(Analytics!$S$5:$S$154,Analytics!$C$5:$C$154,C143))</f>
        <v>0</v>
      </c>
      <c r="O143" s="23">
        <f>IF(C143="","",SUMIFS(Analytics!$T$5:$T$154,Analytics!$C$5:$C$154,C143))</f>
        <v>0</v>
      </c>
      <c r="P143" s="25">
        <f>IF(C143="","",SUMIFS(Analytics!$U$5:$U$154,Analytics!$C$5:$C$154,C143))</f>
        <v>0</v>
      </c>
      <c r="Q143" s="25">
        <f>IF(C143="","",SUMIFS(Budget!$H$5:$H$64,Budget!$C$5:$C$64,C143))</f>
        <v>0</v>
      </c>
      <c r="R143" s="25">
        <f>IF(C143="","",P143-Q143)</f>
        <v>0</v>
      </c>
      <c r="S143" s="23">
        <f>IF(C143="","",MonthlyPostTarget)</f>
        <v>0</v>
      </c>
      <c r="T143" s="17">
        <f>IF(Lists!$C143="","",Lists!$C143)</f>
        <v>0</v>
      </c>
      <c r="U143" s="23">
        <f>IF(T143="","",COUNTIFS('Content Calendar'!$G$5:$G$604,T143,'Content Calendar'!$B$5:$B$604,"&gt;="&amp;DashStart,'Content Calendar'!$B$5:$B$604,"&lt;="&amp;DashEnd))</f>
        <v>0</v>
      </c>
      <c r="V143" s="23">
        <f>IF(T143="","",COUNTIFS('Content Calendar'!$G$5:$G$604,T143,'Content Calendar'!$X$5:$X$604,"Published",'Content Calendar'!$B$5:$B$604,"&gt;="&amp;DashStart,'Content Calendar'!$B$5:$B$604,"&lt;="&amp;DashEnd))</f>
        <v>0</v>
      </c>
      <c r="W143" s="23">
        <f>IF(T143="","",SUMIFS(Analytics!$J$5:$J$154,Analytics!$D$5:$D$154,T143,Analytics!$B$5:$B$154,"&gt;="&amp;DashStart,Analytics!$B$5:$B$154,"&lt;="&amp;DashEnd))</f>
        <v>0</v>
      </c>
      <c r="X143" s="23">
        <f>IF(T143="","",SUMIFS(Analytics!$L$5:$L$154,Analytics!$D$5:$D$154,T143,Analytics!$B$5:$B$154,"&gt;="&amp;DashStart,Analytics!$B$5:$B$154,"&lt;="&amp;DashEnd))</f>
        <v>0</v>
      </c>
      <c r="Y143" s="24">
        <f>IF(OR(W143="",W143=0),"",X143/W143)</f>
        <v>0</v>
      </c>
      <c r="Z143" s="23">
        <f>IF(T143="","",SUMIFS(Analytics!$G$5:$G$154,Analytics!$D$5:$D$154,T143,Analytics!$B$5:$B$154,"&gt;="&amp;DashStart,Analytics!$B$5:$B$154,"&lt;="&amp;DashEnd))</f>
        <v>0</v>
      </c>
      <c r="AA143" s="23">
        <f>IF(T143="","",SUMIFS(Analytics!$X$5:$X$154,Analytics!$D$5:$D$154,T143,Analytics!$B$5:$B$154,"&gt;="&amp;DashStart,Analytics!$B$5:$B$154,"&lt;="&amp;DashEnd))</f>
        <v>0</v>
      </c>
      <c r="AB143" s="23">
        <f>IF(T143="","",SUMIFS(Analytics!$R$5:$R$154,Analytics!$D$5:$D$154,T143,Analytics!$B$5:$B$154,"&gt;="&amp;DashStart,Analytics!$B$5:$B$154,"&lt;="&amp;DashEnd))</f>
        <v>0</v>
      </c>
      <c r="AC143" s="25">
        <f>IF(T143="","",SUMIFS(Analytics!$U$5:$U$154,Analytics!$D$5:$D$154,T143,Analytics!$B$5:$B$154,"&gt;="&amp;DashStart,Analytics!$B$5:$B$154,"&lt;="&amp;DashEnd))</f>
        <v>0</v>
      </c>
      <c r="AD143" s="23">
        <f>IF(T143="","",COUNTIFS('Content Calendar'!$G$5:$G$604,T143,'Content Calendar'!$B$5:$B$604,"&gt;="&amp;DATE(PlanYear,1,1),'Content Calendar'!$B$5:$B$604,"&lt;="&amp;DATE(PlanYear,12,31)))</f>
        <v>0</v>
      </c>
      <c r="AE143" s="23">
        <f>IF(T143="","",SUMIFS(Analytics!$J$5:$J$154,Analytics!$D$5:$D$154,T143))</f>
        <v>0</v>
      </c>
      <c r="AF143" s="23">
        <f>IF(T143="","",SUMIFS(Analytics!$L$5:$L$154,Analytics!$D$5:$D$154,T143))</f>
        <v>0</v>
      </c>
      <c r="AG143" s="24">
        <f>IF(OR(AE143="",AE143=0),"",AF143/AE143)</f>
        <v>0</v>
      </c>
      <c r="AH143" s="23">
        <f>IF(T143="","",SUMIFS(Analytics!$X$5:$X$154,Analytics!$D$5:$D$154,T143))</f>
        <v>0</v>
      </c>
      <c r="AI143" s="32">
        <f>IF(T143="","",IF(AE143=0,"",AE143+ROW()/1000000))</f>
        <v>0</v>
      </c>
      <c r="AJ143" s="17">
        <f>IF('Content Pillars'!$B$143="","",'Content Pillars'!$B$143)</f>
        <v>0</v>
      </c>
      <c r="AK143" s="23">
        <f>IF(AJ143="","",COUNTIFS('Content Calendar'!$J$5:$J$604,AJ143,'Content Calendar'!$B$5:$B$604,"&gt;="&amp;DATE(PlanYear,1,1),'Content Calendar'!$B$5:$B$604,"&lt;="&amp;DATE(PlanYear,12,31)))</f>
        <v>0</v>
      </c>
      <c r="AL143" s="23">
        <f>IF(AJ143="","",SUMIFS(Performance!$O$5:$O$404,Performance!$H$5:$H$404,AJ143))</f>
        <v>0</v>
      </c>
      <c r="AM143" s="23">
        <f>IF(AJ143="","",SUMIFS(Performance!$Z$5:$Z$404,Performance!$H$5:$H$404,AJ143))</f>
        <v>0</v>
      </c>
      <c r="AN143" s="24">
        <f>IF(OR(AL143="",AL143=0),"",AM143/AL143)</f>
        <v>0</v>
      </c>
      <c r="AO143" s="32">
        <f>IF(AN143="","",AN143+ROW()/1000000)</f>
        <v>0</v>
      </c>
      <c r="AP143" s="17">
        <f>IF(Lists!$E143="","",Lists!$E143)</f>
        <v>0</v>
      </c>
      <c r="AQ143" s="23">
        <f>IF(AP143="","",COUNTIF(Performance!$G$5:$G$404,AP143))</f>
        <v>0</v>
      </c>
      <c r="AR143" s="23">
        <f>IF(AP143="","",SUMIFS(Performance!$O$5:$O$404,Performance!$G$5:$G$404,AP143))</f>
        <v>0</v>
      </c>
      <c r="AS143" s="23">
        <f>IF(AP143="","",SUMIFS(Performance!$Z$5:$Z$404,Performance!$G$5:$G$404,AP143))</f>
        <v>0</v>
      </c>
      <c r="AT143" s="24">
        <f>IF(OR(AR143="",AR143=0),"",AS143/AR143)</f>
        <v>0</v>
      </c>
      <c r="AU143" s="32">
        <f>IF(AQ143=0,"",IF(AT143="","",AT143+ROW()/1000000))</f>
        <v>0</v>
      </c>
      <c r="AV143" s="17">
        <f>IF(ROW()-4&gt;7,"",TEXT(DATE(2024,1,ROW()-4),"ddd"))</f>
        <v>0</v>
      </c>
      <c r="AW143" s="23">
        <f>IF(AV143="","",COUNTIF(Performance!$N$5:$N$404,AV143))</f>
        <v>0</v>
      </c>
      <c r="AX143" s="23">
        <f>IF(AV143="","",SUMIFS(Performance!$O$5:$O$404,Performance!$N$5:$N$404,AV143))</f>
        <v>0</v>
      </c>
      <c r="AY143" s="23">
        <f>IF(AV143="","",SUMIFS(Performance!$Z$5:$Z$404,Performance!$N$5:$N$404,AV143))</f>
        <v>0</v>
      </c>
      <c r="AZ143" s="24">
        <f>IF(OR(AX143="",AX143=0),"",AY143/AX143)</f>
        <v>0</v>
      </c>
      <c r="BA143" s="32">
        <f>IF(AW143=0,"",IF(AZ143="","",AZ143+ROW()/1000000))</f>
        <v>0</v>
      </c>
      <c r="BB143" s="17">
        <f>IF(Lists!$AL143="","",Lists!$AL143)</f>
        <v>0</v>
      </c>
      <c r="BC143" s="23">
        <f>IF(BB143="","",COUNTIF(Performance!$M$5:$M$404,BB143))</f>
        <v>0</v>
      </c>
      <c r="BD143" s="23">
        <f>IF(BB143="","",SUMIFS(Performance!$O$5:$O$404,Performance!$M$5:$M$404,BB143))</f>
        <v>0</v>
      </c>
      <c r="BE143" s="23">
        <f>IF(BB143="","",SUMIFS(Performance!$Z$5:$Z$404,Performance!$M$5:$M$404,BB143))</f>
        <v>0</v>
      </c>
      <c r="BF143" s="24">
        <f>IF(OR(BD143="",BD143=0),"",BE143/BD143)</f>
        <v>0</v>
      </c>
      <c r="BG143" s="32">
        <f>IF(BC143=0,"",IF(BF143="","",BF143+ROW()/1000000))</f>
        <v>0</v>
      </c>
      <c r="BH143" s="17">
        <f>IF(Performance!$C$143="","",Performance!$C$143)</f>
        <v>0</v>
      </c>
      <c r="BI143" s="17">
        <f>IF(Performance!$F$143="","",Performance!$F$143)</f>
        <v>0</v>
      </c>
      <c r="BJ143" s="17">
        <f>IF(Performance!$H$143="","",Performance!$H$143)</f>
        <v>0</v>
      </c>
      <c r="BK143" s="16">
        <f>IF(Performance!$D$143="","",Performance!$D$143)</f>
        <v>0</v>
      </c>
      <c r="BL143" s="17">
        <f>IF(Performance!$E$143="","",Performance!$E$143)</f>
        <v>0</v>
      </c>
      <c r="BM143" s="23">
        <f>IF(Performance!$O$143="","",Performance!$O$143)</f>
        <v>0</v>
      </c>
      <c r="BN143" s="24">
        <f>IF(Performance!$AA$143="","",Performance!$AA$143)</f>
        <v>0</v>
      </c>
      <c r="BO143" s="32">
        <f>IF(BH143="","",IF(BK143="","",IF(OR(BK143&lt;DashStart,BK143&gt;DashEnd),"",IF(BN143="","",BN143+ROW()/1000000))))</f>
        <v>0</v>
      </c>
      <c r="BP143" s="32">
        <f>IF(BM143="","",IF(BK143="","",IF(OR(BK143&lt;DashStart,BK143&gt;DashEnd),"",BM143+ROW()/1000000)))</f>
        <v>0</v>
      </c>
      <c r="BQ143" s="32">
        <f>IF(BH143="","",IF(BK143="","",IF(YEAR(BK143)&lt;&gt;PlanYear,"",IF(BN143="","",BN143+ROW()/1000000))))</f>
        <v>0</v>
      </c>
      <c r="BR143" s="32">
        <f>IF(BH143="","",IF(BK143="","",IF(OR(BK143&lt;RepFrom,BK143&gt;RepTo),"",IF(BN143="","",BN143+ROW()/1000000))))</f>
        <v>0</v>
      </c>
      <c r="BS143" s="32">
        <f>IF(BM143="","",IF(BK143="","",IF(YEAR(BK143)&lt;&gt;PlanYear,"",BM143+ROW()/1000000)))</f>
        <v>0</v>
      </c>
      <c r="BT143" s="17">
        <f>IF(Lists!$F143="","",Lists!$F143)</f>
        <v>0</v>
      </c>
      <c r="BU143" s="23">
        <f>IF(BT143="","",COUNTIF('Content Calendar'!$X$5:$X$604,BT143))</f>
        <v>0</v>
      </c>
      <c r="BV143" s="23">
        <f>IF(BT143="","",COUNTIFS('Content Calendar'!$X$5:$X$604,BT143,'Content Calendar'!$B$5:$B$604,"&gt;="&amp;DashStart,'Content Calendar'!$B$5:$B$604,"&lt;="&amp;DashEnd))</f>
        <v>0</v>
      </c>
      <c r="BW143" s="17">
        <f>IF(Team!$B$143="","",Team!$B$143)</f>
        <v>0</v>
      </c>
      <c r="BX143" s="23">
        <f>IF(BW143="","",COUNTIF('Content Calendar'!$W$5:$W$604,BW143))</f>
        <v>0</v>
      </c>
      <c r="BY143" s="23">
        <f>IF(BW143="","",COUNTIFS('Content Calendar'!$W$5:$W$604,BW143,'Content Calendar'!$X$5:$X$604,"&lt;&gt;Published"))</f>
        <v>0</v>
      </c>
      <c r="BZ143" s="23">
        <f>IF(BW143="","",COUNTIFS(Tasks!$C$5:$C$64,BW143,Tasks!$G$5:$G$64,"&lt;&gt;Complete"))</f>
        <v>0</v>
      </c>
      <c r="CA143" s="17">
        <f>IF(Campaigns!$B$143="","",Campaigns!$B$143)</f>
        <v>0</v>
      </c>
      <c r="CB143" s="25">
        <f>IF(Campaigns!$T$143="","",Campaigns!$T$143)</f>
        <v>0</v>
      </c>
      <c r="CC143" s="25">
        <f>IF(Campaigns!$Q$143="","",Campaigns!$Q$143)</f>
        <v>0</v>
      </c>
      <c r="CD143" s="23">
        <f>IF(Campaigns!$Y$143="","",Campaigns!$Y$143)</f>
        <v>0</v>
      </c>
      <c r="CE143" s="32">
        <f>IF(CA143="","",IF(N(CB143)&lt;=0,"",N(CB143)+ROW()/1000000))</f>
        <v>0</v>
      </c>
      <c r="CF143" s="17">
        <f>IF(Accounts!$C$143="","",Accounts!$C$143)</f>
        <v>0</v>
      </c>
      <c r="CG143" s="17">
        <f>IF(Accounts!$B$143="","",Accounts!$B$143)</f>
        <v>0</v>
      </c>
      <c r="CH143" s="23">
        <f>IF(Accounts!$J$143="","",Accounts!$J$143)</f>
        <v>0</v>
      </c>
      <c r="CI143" s="23">
        <f>IF(CF143="","",SUMIFS(Analytics!$X$5:$X$154,Analytics!$E$5:$E$154,CF143,Analytics!$B$5:$B$154,"&gt;="&amp;DashStart,Analytics!$B$5:$B$154,"&lt;="&amp;DashEnd))</f>
        <v>0</v>
      </c>
      <c r="CJ143" s="32">
        <f>IF(CH143="","",IF(CH143=0,"",CH143+ROW()/1000000))</f>
        <v>0</v>
      </c>
    </row>
    <row r="144" spans="1:88">
      <c r="A144" s="16">
        <f>IF(ROW()-4&gt;12,"",DATE(PlanYear,ROW()-4,1))</f>
        <v>0</v>
      </c>
      <c r="B144" s="16">
        <f>IF(A144="","",EOMONTH(A144,0))</f>
        <v>0</v>
      </c>
      <c r="C144" s="17">
        <f>IF(A144="","",TEXT(A144,"yyyy-mm"))</f>
        <v>0</v>
      </c>
      <c r="D144" s="17">
        <f>IF(A144="","",TEXT(A144,"mmm"))</f>
        <v>0</v>
      </c>
      <c r="E144" s="23">
        <f>IF(C144="","",COUNTIFS('Content Calendar'!$D$5:$D$604,C144))</f>
        <v>0</v>
      </c>
      <c r="F144" s="23">
        <f>IF(C144="","",COUNTIFS('Content Calendar'!$D$5:$D$604,C144,'Content Calendar'!$X$5:$X$604,"Published"))</f>
        <v>0</v>
      </c>
      <c r="G144" s="23">
        <f>IF(C144="","",SUMIFS(Analytics!$J$5:$J$154,Analytics!$C$5:$C$154,C144))</f>
        <v>0</v>
      </c>
      <c r="H144" s="23">
        <f>IF(C144="","",SUMIFS(Analytics!$K$5:$K$154,Analytics!$C$5:$C$154,C144))</f>
        <v>0</v>
      </c>
      <c r="I144" s="23">
        <f>IF(C144="","",SUMIFS(Analytics!$L$5:$L$154,Analytics!$C$5:$C$154,C144))</f>
        <v>0</v>
      </c>
      <c r="J144" s="24">
        <f>IF(OR(G144="",G144=0),"",I144/G144)</f>
        <v>0</v>
      </c>
      <c r="K144" s="23">
        <f>IF(C144="","",SUMIFS(Analytics!$G$5:$G$154,Analytics!$C$5:$C$154,C144))</f>
        <v>0</v>
      </c>
      <c r="L144" s="23">
        <f>IF(C144="","",SUMIFS(Analytics!$X$5:$X$154,Analytics!$C$5:$C$154,C144))</f>
        <v>0</v>
      </c>
      <c r="M144" s="23">
        <f>IF(C144="","",SUMIFS(Analytics!$R$5:$R$154,Analytics!$C$5:$C$154,C144))</f>
        <v>0</v>
      </c>
      <c r="N144" s="23">
        <f>IF(C144="","",SUMIFS(Analytics!$S$5:$S$154,Analytics!$C$5:$C$154,C144))</f>
        <v>0</v>
      </c>
      <c r="O144" s="23">
        <f>IF(C144="","",SUMIFS(Analytics!$T$5:$T$154,Analytics!$C$5:$C$154,C144))</f>
        <v>0</v>
      </c>
      <c r="P144" s="25">
        <f>IF(C144="","",SUMIFS(Analytics!$U$5:$U$154,Analytics!$C$5:$C$154,C144))</f>
        <v>0</v>
      </c>
      <c r="Q144" s="25">
        <f>IF(C144="","",SUMIFS(Budget!$H$5:$H$64,Budget!$C$5:$C$64,C144))</f>
        <v>0</v>
      </c>
      <c r="R144" s="25">
        <f>IF(C144="","",P144-Q144)</f>
        <v>0</v>
      </c>
      <c r="S144" s="23">
        <f>IF(C144="","",MonthlyPostTarget)</f>
        <v>0</v>
      </c>
      <c r="T144" s="17">
        <f>IF(Lists!$C144="","",Lists!$C144)</f>
        <v>0</v>
      </c>
      <c r="U144" s="23">
        <f>IF(T144="","",COUNTIFS('Content Calendar'!$G$5:$G$604,T144,'Content Calendar'!$B$5:$B$604,"&gt;="&amp;DashStart,'Content Calendar'!$B$5:$B$604,"&lt;="&amp;DashEnd))</f>
        <v>0</v>
      </c>
      <c r="V144" s="23">
        <f>IF(T144="","",COUNTIFS('Content Calendar'!$G$5:$G$604,T144,'Content Calendar'!$X$5:$X$604,"Published",'Content Calendar'!$B$5:$B$604,"&gt;="&amp;DashStart,'Content Calendar'!$B$5:$B$604,"&lt;="&amp;DashEnd))</f>
        <v>0</v>
      </c>
      <c r="W144" s="23">
        <f>IF(T144="","",SUMIFS(Analytics!$J$5:$J$154,Analytics!$D$5:$D$154,T144,Analytics!$B$5:$B$154,"&gt;="&amp;DashStart,Analytics!$B$5:$B$154,"&lt;="&amp;DashEnd))</f>
        <v>0</v>
      </c>
      <c r="X144" s="23">
        <f>IF(T144="","",SUMIFS(Analytics!$L$5:$L$154,Analytics!$D$5:$D$154,T144,Analytics!$B$5:$B$154,"&gt;="&amp;DashStart,Analytics!$B$5:$B$154,"&lt;="&amp;DashEnd))</f>
        <v>0</v>
      </c>
      <c r="Y144" s="24">
        <f>IF(OR(W144="",W144=0),"",X144/W144)</f>
        <v>0</v>
      </c>
      <c r="Z144" s="23">
        <f>IF(T144="","",SUMIFS(Analytics!$G$5:$G$154,Analytics!$D$5:$D$154,T144,Analytics!$B$5:$B$154,"&gt;="&amp;DashStart,Analytics!$B$5:$B$154,"&lt;="&amp;DashEnd))</f>
        <v>0</v>
      </c>
      <c r="AA144" s="23">
        <f>IF(T144="","",SUMIFS(Analytics!$X$5:$X$154,Analytics!$D$5:$D$154,T144,Analytics!$B$5:$B$154,"&gt;="&amp;DashStart,Analytics!$B$5:$B$154,"&lt;="&amp;DashEnd))</f>
        <v>0</v>
      </c>
      <c r="AB144" s="23">
        <f>IF(T144="","",SUMIFS(Analytics!$R$5:$R$154,Analytics!$D$5:$D$154,T144,Analytics!$B$5:$B$154,"&gt;="&amp;DashStart,Analytics!$B$5:$B$154,"&lt;="&amp;DashEnd))</f>
        <v>0</v>
      </c>
      <c r="AC144" s="25">
        <f>IF(T144="","",SUMIFS(Analytics!$U$5:$U$154,Analytics!$D$5:$D$154,T144,Analytics!$B$5:$B$154,"&gt;="&amp;DashStart,Analytics!$B$5:$B$154,"&lt;="&amp;DashEnd))</f>
        <v>0</v>
      </c>
      <c r="AD144" s="23">
        <f>IF(T144="","",COUNTIFS('Content Calendar'!$G$5:$G$604,T144,'Content Calendar'!$B$5:$B$604,"&gt;="&amp;DATE(PlanYear,1,1),'Content Calendar'!$B$5:$B$604,"&lt;="&amp;DATE(PlanYear,12,31)))</f>
        <v>0</v>
      </c>
      <c r="AE144" s="23">
        <f>IF(T144="","",SUMIFS(Analytics!$J$5:$J$154,Analytics!$D$5:$D$154,T144))</f>
        <v>0</v>
      </c>
      <c r="AF144" s="23">
        <f>IF(T144="","",SUMIFS(Analytics!$L$5:$L$154,Analytics!$D$5:$D$154,T144))</f>
        <v>0</v>
      </c>
      <c r="AG144" s="24">
        <f>IF(OR(AE144="",AE144=0),"",AF144/AE144)</f>
        <v>0</v>
      </c>
      <c r="AH144" s="23">
        <f>IF(T144="","",SUMIFS(Analytics!$X$5:$X$154,Analytics!$D$5:$D$154,T144))</f>
        <v>0</v>
      </c>
      <c r="AI144" s="32">
        <f>IF(T144="","",IF(AE144=0,"",AE144+ROW()/1000000))</f>
        <v>0</v>
      </c>
      <c r="AJ144" s="17">
        <f>IF('Content Pillars'!$B$144="","",'Content Pillars'!$B$144)</f>
        <v>0</v>
      </c>
      <c r="AK144" s="23">
        <f>IF(AJ144="","",COUNTIFS('Content Calendar'!$J$5:$J$604,AJ144,'Content Calendar'!$B$5:$B$604,"&gt;="&amp;DATE(PlanYear,1,1),'Content Calendar'!$B$5:$B$604,"&lt;="&amp;DATE(PlanYear,12,31)))</f>
        <v>0</v>
      </c>
      <c r="AL144" s="23">
        <f>IF(AJ144="","",SUMIFS(Performance!$O$5:$O$404,Performance!$H$5:$H$404,AJ144))</f>
        <v>0</v>
      </c>
      <c r="AM144" s="23">
        <f>IF(AJ144="","",SUMIFS(Performance!$Z$5:$Z$404,Performance!$H$5:$H$404,AJ144))</f>
        <v>0</v>
      </c>
      <c r="AN144" s="24">
        <f>IF(OR(AL144="",AL144=0),"",AM144/AL144)</f>
        <v>0</v>
      </c>
      <c r="AO144" s="32">
        <f>IF(AN144="","",AN144+ROW()/1000000)</f>
        <v>0</v>
      </c>
      <c r="AP144" s="17">
        <f>IF(Lists!$E144="","",Lists!$E144)</f>
        <v>0</v>
      </c>
      <c r="AQ144" s="23">
        <f>IF(AP144="","",COUNTIF(Performance!$G$5:$G$404,AP144))</f>
        <v>0</v>
      </c>
      <c r="AR144" s="23">
        <f>IF(AP144="","",SUMIFS(Performance!$O$5:$O$404,Performance!$G$5:$G$404,AP144))</f>
        <v>0</v>
      </c>
      <c r="AS144" s="23">
        <f>IF(AP144="","",SUMIFS(Performance!$Z$5:$Z$404,Performance!$G$5:$G$404,AP144))</f>
        <v>0</v>
      </c>
      <c r="AT144" s="24">
        <f>IF(OR(AR144="",AR144=0),"",AS144/AR144)</f>
        <v>0</v>
      </c>
      <c r="AU144" s="32">
        <f>IF(AQ144=0,"",IF(AT144="","",AT144+ROW()/1000000))</f>
        <v>0</v>
      </c>
      <c r="AV144" s="17">
        <f>IF(ROW()-4&gt;7,"",TEXT(DATE(2024,1,ROW()-4),"ddd"))</f>
        <v>0</v>
      </c>
      <c r="AW144" s="23">
        <f>IF(AV144="","",COUNTIF(Performance!$N$5:$N$404,AV144))</f>
        <v>0</v>
      </c>
      <c r="AX144" s="23">
        <f>IF(AV144="","",SUMIFS(Performance!$O$5:$O$404,Performance!$N$5:$N$404,AV144))</f>
        <v>0</v>
      </c>
      <c r="AY144" s="23">
        <f>IF(AV144="","",SUMIFS(Performance!$Z$5:$Z$404,Performance!$N$5:$N$404,AV144))</f>
        <v>0</v>
      </c>
      <c r="AZ144" s="24">
        <f>IF(OR(AX144="",AX144=0),"",AY144/AX144)</f>
        <v>0</v>
      </c>
      <c r="BA144" s="32">
        <f>IF(AW144=0,"",IF(AZ144="","",AZ144+ROW()/1000000))</f>
        <v>0</v>
      </c>
      <c r="BB144" s="17">
        <f>IF(Lists!$AL144="","",Lists!$AL144)</f>
        <v>0</v>
      </c>
      <c r="BC144" s="23">
        <f>IF(BB144="","",COUNTIF(Performance!$M$5:$M$404,BB144))</f>
        <v>0</v>
      </c>
      <c r="BD144" s="23">
        <f>IF(BB144="","",SUMIFS(Performance!$O$5:$O$404,Performance!$M$5:$M$404,BB144))</f>
        <v>0</v>
      </c>
      <c r="BE144" s="23">
        <f>IF(BB144="","",SUMIFS(Performance!$Z$5:$Z$404,Performance!$M$5:$M$404,BB144))</f>
        <v>0</v>
      </c>
      <c r="BF144" s="24">
        <f>IF(OR(BD144="",BD144=0),"",BE144/BD144)</f>
        <v>0</v>
      </c>
      <c r="BG144" s="32">
        <f>IF(BC144=0,"",IF(BF144="","",BF144+ROW()/1000000))</f>
        <v>0</v>
      </c>
      <c r="BH144" s="17">
        <f>IF(Performance!$C$144="","",Performance!$C$144)</f>
        <v>0</v>
      </c>
      <c r="BI144" s="17">
        <f>IF(Performance!$F$144="","",Performance!$F$144)</f>
        <v>0</v>
      </c>
      <c r="BJ144" s="17">
        <f>IF(Performance!$H$144="","",Performance!$H$144)</f>
        <v>0</v>
      </c>
      <c r="BK144" s="16">
        <f>IF(Performance!$D$144="","",Performance!$D$144)</f>
        <v>0</v>
      </c>
      <c r="BL144" s="17">
        <f>IF(Performance!$E$144="","",Performance!$E$144)</f>
        <v>0</v>
      </c>
      <c r="BM144" s="23">
        <f>IF(Performance!$O$144="","",Performance!$O$144)</f>
        <v>0</v>
      </c>
      <c r="BN144" s="24">
        <f>IF(Performance!$AA$144="","",Performance!$AA$144)</f>
        <v>0</v>
      </c>
      <c r="BO144" s="32">
        <f>IF(BH144="","",IF(BK144="","",IF(OR(BK144&lt;DashStart,BK144&gt;DashEnd),"",IF(BN144="","",BN144+ROW()/1000000))))</f>
        <v>0</v>
      </c>
      <c r="BP144" s="32">
        <f>IF(BM144="","",IF(BK144="","",IF(OR(BK144&lt;DashStart,BK144&gt;DashEnd),"",BM144+ROW()/1000000)))</f>
        <v>0</v>
      </c>
      <c r="BQ144" s="32">
        <f>IF(BH144="","",IF(BK144="","",IF(YEAR(BK144)&lt;&gt;PlanYear,"",IF(BN144="","",BN144+ROW()/1000000))))</f>
        <v>0</v>
      </c>
      <c r="BR144" s="32">
        <f>IF(BH144="","",IF(BK144="","",IF(OR(BK144&lt;RepFrom,BK144&gt;RepTo),"",IF(BN144="","",BN144+ROW()/1000000))))</f>
        <v>0</v>
      </c>
      <c r="BS144" s="32">
        <f>IF(BM144="","",IF(BK144="","",IF(YEAR(BK144)&lt;&gt;PlanYear,"",BM144+ROW()/1000000)))</f>
        <v>0</v>
      </c>
      <c r="BT144" s="17">
        <f>IF(Lists!$F144="","",Lists!$F144)</f>
        <v>0</v>
      </c>
      <c r="BU144" s="23">
        <f>IF(BT144="","",COUNTIF('Content Calendar'!$X$5:$X$604,BT144))</f>
        <v>0</v>
      </c>
      <c r="BV144" s="23">
        <f>IF(BT144="","",COUNTIFS('Content Calendar'!$X$5:$X$604,BT144,'Content Calendar'!$B$5:$B$604,"&gt;="&amp;DashStart,'Content Calendar'!$B$5:$B$604,"&lt;="&amp;DashEnd))</f>
        <v>0</v>
      </c>
      <c r="BW144" s="17">
        <f>IF(Team!$B$144="","",Team!$B$144)</f>
        <v>0</v>
      </c>
      <c r="BX144" s="23">
        <f>IF(BW144="","",COUNTIF('Content Calendar'!$W$5:$W$604,BW144))</f>
        <v>0</v>
      </c>
      <c r="BY144" s="23">
        <f>IF(BW144="","",COUNTIFS('Content Calendar'!$W$5:$W$604,BW144,'Content Calendar'!$X$5:$X$604,"&lt;&gt;Published"))</f>
        <v>0</v>
      </c>
      <c r="BZ144" s="23">
        <f>IF(BW144="","",COUNTIFS(Tasks!$C$5:$C$64,BW144,Tasks!$G$5:$G$64,"&lt;&gt;Complete"))</f>
        <v>0</v>
      </c>
      <c r="CA144" s="17">
        <f>IF(Campaigns!$B$144="","",Campaigns!$B$144)</f>
        <v>0</v>
      </c>
      <c r="CB144" s="25">
        <f>IF(Campaigns!$T$144="","",Campaigns!$T$144)</f>
        <v>0</v>
      </c>
      <c r="CC144" s="25">
        <f>IF(Campaigns!$Q$144="","",Campaigns!$Q$144)</f>
        <v>0</v>
      </c>
      <c r="CD144" s="23">
        <f>IF(Campaigns!$Y$144="","",Campaigns!$Y$144)</f>
        <v>0</v>
      </c>
      <c r="CE144" s="32">
        <f>IF(CA144="","",IF(N(CB144)&lt;=0,"",N(CB144)+ROW()/1000000))</f>
        <v>0</v>
      </c>
      <c r="CF144" s="17">
        <f>IF(Accounts!$C$144="","",Accounts!$C$144)</f>
        <v>0</v>
      </c>
      <c r="CG144" s="17">
        <f>IF(Accounts!$B$144="","",Accounts!$B$144)</f>
        <v>0</v>
      </c>
      <c r="CH144" s="23">
        <f>IF(Accounts!$J$144="","",Accounts!$J$144)</f>
        <v>0</v>
      </c>
      <c r="CI144" s="23">
        <f>IF(CF144="","",SUMIFS(Analytics!$X$5:$X$154,Analytics!$E$5:$E$154,CF144,Analytics!$B$5:$B$154,"&gt;="&amp;DashStart,Analytics!$B$5:$B$154,"&lt;="&amp;DashEnd))</f>
        <v>0</v>
      </c>
      <c r="CJ144" s="32">
        <f>IF(CH144="","",IF(CH144=0,"",CH144+ROW()/1000000))</f>
        <v>0</v>
      </c>
    </row>
    <row r="145" spans="1:88">
      <c r="A145" s="16">
        <f>IF(ROW()-4&gt;12,"",DATE(PlanYear,ROW()-4,1))</f>
        <v>0</v>
      </c>
      <c r="B145" s="16">
        <f>IF(A145="","",EOMONTH(A145,0))</f>
        <v>0</v>
      </c>
      <c r="C145" s="17">
        <f>IF(A145="","",TEXT(A145,"yyyy-mm"))</f>
        <v>0</v>
      </c>
      <c r="D145" s="17">
        <f>IF(A145="","",TEXT(A145,"mmm"))</f>
        <v>0</v>
      </c>
      <c r="E145" s="23">
        <f>IF(C145="","",COUNTIFS('Content Calendar'!$D$5:$D$604,C145))</f>
        <v>0</v>
      </c>
      <c r="F145" s="23">
        <f>IF(C145="","",COUNTIFS('Content Calendar'!$D$5:$D$604,C145,'Content Calendar'!$X$5:$X$604,"Published"))</f>
        <v>0</v>
      </c>
      <c r="G145" s="23">
        <f>IF(C145="","",SUMIFS(Analytics!$J$5:$J$154,Analytics!$C$5:$C$154,C145))</f>
        <v>0</v>
      </c>
      <c r="H145" s="23">
        <f>IF(C145="","",SUMIFS(Analytics!$K$5:$K$154,Analytics!$C$5:$C$154,C145))</f>
        <v>0</v>
      </c>
      <c r="I145" s="23">
        <f>IF(C145="","",SUMIFS(Analytics!$L$5:$L$154,Analytics!$C$5:$C$154,C145))</f>
        <v>0</v>
      </c>
      <c r="J145" s="24">
        <f>IF(OR(G145="",G145=0),"",I145/G145)</f>
        <v>0</v>
      </c>
      <c r="K145" s="23">
        <f>IF(C145="","",SUMIFS(Analytics!$G$5:$G$154,Analytics!$C$5:$C$154,C145))</f>
        <v>0</v>
      </c>
      <c r="L145" s="23">
        <f>IF(C145="","",SUMIFS(Analytics!$X$5:$X$154,Analytics!$C$5:$C$154,C145))</f>
        <v>0</v>
      </c>
      <c r="M145" s="23">
        <f>IF(C145="","",SUMIFS(Analytics!$R$5:$R$154,Analytics!$C$5:$C$154,C145))</f>
        <v>0</v>
      </c>
      <c r="N145" s="23">
        <f>IF(C145="","",SUMIFS(Analytics!$S$5:$S$154,Analytics!$C$5:$C$154,C145))</f>
        <v>0</v>
      </c>
      <c r="O145" s="23">
        <f>IF(C145="","",SUMIFS(Analytics!$T$5:$T$154,Analytics!$C$5:$C$154,C145))</f>
        <v>0</v>
      </c>
      <c r="P145" s="25">
        <f>IF(C145="","",SUMIFS(Analytics!$U$5:$U$154,Analytics!$C$5:$C$154,C145))</f>
        <v>0</v>
      </c>
      <c r="Q145" s="25">
        <f>IF(C145="","",SUMIFS(Budget!$H$5:$H$64,Budget!$C$5:$C$64,C145))</f>
        <v>0</v>
      </c>
      <c r="R145" s="25">
        <f>IF(C145="","",P145-Q145)</f>
        <v>0</v>
      </c>
      <c r="S145" s="23">
        <f>IF(C145="","",MonthlyPostTarget)</f>
        <v>0</v>
      </c>
      <c r="T145" s="17">
        <f>IF(Lists!$C145="","",Lists!$C145)</f>
        <v>0</v>
      </c>
      <c r="U145" s="23">
        <f>IF(T145="","",COUNTIFS('Content Calendar'!$G$5:$G$604,T145,'Content Calendar'!$B$5:$B$604,"&gt;="&amp;DashStart,'Content Calendar'!$B$5:$B$604,"&lt;="&amp;DashEnd))</f>
        <v>0</v>
      </c>
      <c r="V145" s="23">
        <f>IF(T145="","",COUNTIFS('Content Calendar'!$G$5:$G$604,T145,'Content Calendar'!$X$5:$X$604,"Published",'Content Calendar'!$B$5:$B$604,"&gt;="&amp;DashStart,'Content Calendar'!$B$5:$B$604,"&lt;="&amp;DashEnd))</f>
        <v>0</v>
      </c>
      <c r="W145" s="23">
        <f>IF(T145="","",SUMIFS(Analytics!$J$5:$J$154,Analytics!$D$5:$D$154,T145,Analytics!$B$5:$B$154,"&gt;="&amp;DashStart,Analytics!$B$5:$B$154,"&lt;="&amp;DashEnd))</f>
        <v>0</v>
      </c>
      <c r="X145" s="23">
        <f>IF(T145="","",SUMIFS(Analytics!$L$5:$L$154,Analytics!$D$5:$D$154,T145,Analytics!$B$5:$B$154,"&gt;="&amp;DashStart,Analytics!$B$5:$B$154,"&lt;="&amp;DashEnd))</f>
        <v>0</v>
      </c>
      <c r="Y145" s="24">
        <f>IF(OR(W145="",W145=0),"",X145/W145)</f>
        <v>0</v>
      </c>
      <c r="Z145" s="23">
        <f>IF(T145="","",SUMIFS(Analytics!$G$5:$G$154,Analytics!$D$5:$D$154,T145,Analytics!$B$5:$B$154,"&gt;="&amp;DashStart,Analytics!$B$5:$B$154,"&lt;="&amp;DashEnd))</f>
        <v>0</v>
      </c>
      <c r="AA145" s="23">
        <f>IF(T145="","",SUMIFS(Analytics!$X$5:$X$154,Analytics!$D$5:$D$154,T145,Analytics!$B$5:$B$154,"&gt;="&amp;DashStart,Analytics!$B$5:$B$154,"&lt;="&amp;DashEnd))</f>
        <v>0</v>
      </c>
      <c r="AB145" s="23">
        <f>IF(T145="","",SUMIFS(Analytics!$R$5:$R$154,Analytics!$D$5:$D$154,T145,Analytics!$B$5:$B$154,"&gt;="&amp;DashStart,Analytics!$B$5:$B$154,"&lt;="&amp;DashEnd))</f>
        <v>0</v>
      </c>
      <c r="AC145" s="25">
        <f>IF(T145="","",SUMIFS(Analytics!$U$5:$U$154,Analytics!$D$5:$D$154,T145,Analytics!$B$5:$B$154,"&gt;="&amp;DashStart,Analytics!$B$5:$B$154,"&lt;="&amp;DashEnd))</f>
        <v>0</v>
      </c>
      <c r="AD145" s="23">
        <f>IF(T145="","",COUNTIFS('Content Calendar'!$G$5:$G$604,T145,'Content Calendar'!$B$5:$B$604,"&gt;="&amp;DATE(PlanYear,1,1),'Content Calendar'!$B$5:$B$604,"&lt;="&amp;DATE(PlanYear,12,31)))</f>
        <v>0</v>
      </c>
      <c r="AE145" s="23">
        <f>IF(T145="","",SUMIFS(Analytics!$J$5:$J$154,Analytics!$D$5:$D$154,T145))</f>
        <v>0</v>
      </c>
      <c r="AF145" s="23">
        <f>IF(T145="","",SUMIFS(Analytics!$L$5:$L$154,Analytics!$D$5:$D$154,T145))</f>
        <v>0</v>
      </c>
      <c r="AG145" s="24">
        <f>IF(OR(AE145="",AE145=0),"",AF145/AE145)</f>
        <v>0</v>
      </c>
      <c r="AH145" s="23">
        <f>IF(T145="","",SUMIFS(Analytics!$X$5:$X$154,Analytics!$D$5:$D$154,T145))</f>
        <v>0</v>
      </c>
      <c r="AI145" s="32">
        <f>IF(T145="","",IF(AE145=0,"",AE145+ROW()/1000000))</f>
        <v>0</v>
      </c>
      <c r="AJ145" s="17">
        <f>IF('Content Pillars'!$B$145="","",'Content Pillars'!$B$145)</f>
        <v>0</v>
      </c>
      <c r="AK145" s="23">
        <f>IF(AJ145="","",COUNTIFS('Content Calendar'!$J$5:$J$604,AJ145,'Content Calendar'!$B$5:$B$604,"&gt;="&amp;DATE(PlanYear,1,1),'Content Calendar'!$B$5:$B$604,"&lt;="&amp;DATE(PlanYear,12,31)))</f>
        <v>0</v>
      </c>
      <c r="AL145" s="23">
        <f>IF(AJ145="","",SUMIFS(Performance!$O$5:$O$404,Performance!$H$5:$H$404,AJ145))</f>
        <v>0</v>
      </c>
      <c r="AM145" s="23">
        <f>IF(AJ145="","",SUMIFS(Performance!$Z$5:$Z$404,Performance!$H$5:$H$404,AJ145))</f>
        <v>0</v>
      </c>
      <c r="AN145" s="24">
        <f>IF(OR(AL145="",AL145=0),"",AM145/AL145)</f>
        <v>0</v>
      </c>
      <c r="AO145" s="32">
        <f>IF(AN145="","",AN145+ROW()/1000000)</f>
        <v>0</v>
      </c>
      <c r="AP145" s="17">
        <f>IF(Lists!$E145="","",Lists!$E145)</f>
        <v>0</v>
      </c>
      <c r="AQ145" s="23">
        <f>IF(AP145="","",COUNTIF(Performance!$G$5:$G$404,AP145))</f>
        <v>0</v>
      </c>
      <c r="AR145" s="23">
        <f>IF(AP145="","",SUMIFS(Performance!$O$5:$O$404,Performance!$G$5:$G$404,AP145))</f>
        <v>0</v>
      </c>
      <c r="AS145" s="23">
        <f>IF(AP145="","",SUMIFS(Performance!$Z$5:$Z$404,Performance!$G$5:$G$404,AP145))</f>
        <v>0</v>
      </c>
      <c r="AT145" s="24">
        <f>IF(OR(AR145="",AR145=0),"",AS145/AR145)</f>
        <v>0</v>
      </c>
      <c r="AU145" s="32">
        <f>IF(AQ145=0,"",IF(AT145="","",AT145+ROW()/1000000))</f>
        <v>0</v>
      </c>
      <c r="AV145" s="17">
        <f>IF(ROW()-4&gt;7,"",TEXT(DATE(2024,1,ROW()-4),"ddd"))</f>
        <v>0</v>
      </c>
      <c r="AW145" s="23">
        <f>IF(AV145="","",COUNTIF(Performance!$N$5:$N$404,AV145))</f>
        <v>0</v>
      </c>
      <c r="AX145" s="23">
        <f>IF(AV145="","",SUMIFS(Performance!$O$5:$O$404,Performance!$N$5:$N$404,AV145))</f>
        <v>0</v>
      </c>
      <c r="AY145" s="23">
        <f>IF(AV145="","",SUMIFS(Performance!$Z$5:$Z$404,Performance!$N$5:$N$404,AV145))</f>
        <v>0</v>
      </c>
      <c r="AZ145" s="24">
        <f>IF(OR(AX145="",AX145=0),"",AY145/AX145)</f>
        <v>0</v>
      </c>
      <c r="BA145" s="32">
        <f>IF(AW145=0,"",IF(AZ145="","",AZ145+ROW()/1000000))</f>
        <v>0</v>
      </c>
      <c r="BB145" s="17">
        <f>IF(Lists!$AL145="","",Lists!$AL145)</f>
        <v>0</v>
      </c>
      <c r="BC145" s="23">
        <f>IF(BB145="","",COUNTIF(Performance!$M$5:$M$404,BB145))</f>
        <v>0</v>
      </c>
      <c r="BD145" s="23">
        <f>IF(BB145="","",SUMIFS(Performance!$O$5:$O$404,Performance!$M$5:$M$404,BB145))</f>
        <v>0</v>
      </c>
      <c r="BE145" s="23">
        <f>IF(BB145="","",SUMIFS(Performance!$Z$5:$Z$404,Performance!$M$5:$M$404,BB145))</f>
        <v>0</v>
      </c>
      <c r="BF145" s="24">
        <f>IF(OR(BD145="",BD145=0),"",BE145/BD145)</f>
        <v>0</v>
      </c>
      <c r="BG145" s="32">
        <f>IF(BC145=0,"",IF(BF145="","",BF145+ROW()/1000000))</f>
        <v>0</v>
      </c>
      <c r="BH145" s="17">
        <f>IF(Performance!$C$145="","",Performance!$C$145)</f>
        <v>0</v>
      </c>
      <c r="BI145" s="17">
        <f>IF(Performance!$F$145="","",Performance!$F$145)</f>
        <v>0</v>
      </c>
      <c r="BJ145" s="17">
        <f>IF(Performance!$H$145="","",Performance!$H$145)</f>
        <v>0</v>
      </c>
      <c r="BK145" s="16">
        <f>IF(Performance!$D$145="","",Performance!$D$145)</f>
        <v>0</v>
      </c>
      <c r="BL145" s="17">
        <f>IF(Performance!$E$145="","",Performance!$E$145)</f>
        <v>0</v>
      </c>
      <c r="BM145" s="23">
        <f>IF(Performance!$O$145="","",Performance!$O$145)</f>
        <v>0</v>
      </c>
      <c r="BN145" s="24">
        <f>IF(Performance!$AA$145="","",Performance!$AA$145)</f>
        <v>0</v>
      </c>
      <c r="BO145" s="32">
        <f>IF(BH145="","",IF(BK145="","",IF(OR(BK145&lt;DashStart,BK145&gt;DashEnd),"",IF(BN145="","",BN145+ROW()/1000000))))</f>
        <v>0</v>
      </c>
      <c r="BP145" s="32">
        <f>IF(BM145="","",IF(BK145="","",IF(OR(BK145&lt;DashStart,BK145&gt;DashEnd),"",BM145+ROW()/1000000)))</f>
        <v>0</v>
      </c>
      <c r="BQ145" s="32">
        <f>IF(BH145="","",IF(BK145="","",IF(YEAR(BK145)&lt;&gt;PlanYear,"",IF(BN145="","",BN145+ROW()/1000000))))</f>
        <v>0</v>
      </c>
      <c r="BR145" s="32">
        <f>IF(BH145="","",IF(BK145="","",IF(OR(BK145&lt;RepFrom,BK145&gt;RepTo),"",IF(BN145="","",BN145+ROW()/1000000))))</f>
        <v>0</v>
      </c>
      <c r="BS145" s="32">
        <f>IF(BM145="","",IF(BK145="","",IF(YEAR(BK145)&lt;&gt;PlanYear,"",BM145+ROW()/1000000)))</f>
        <v>0</v>
      </c>
      <c r="BT145" s="17">
        <f>IF(Lists!$F145="","",Lists!$F145)</f>
        <v>0</v>
      </c>
      <c r="BU145" s="23">
        <f>IF(BT145="","",COUNTIF('Content Calendar'!$X$5:$X$604,BT145))</f>
        <v>0</v>
      </c>
      <c r="BV145" s="23">
        <f>IF(BT145="","",COUNTIFS('Content Calendar'!$X$5:$X$604,BT145,'Content Calendar'!$B$5:$B$604,"&gt;="&amp;DashStart,'Content Calendar'!$B$5:$B$604,"&lt;="&amp;DashEnd))</f>
        <v>0</v>
      </c>
      <c r="BW145" s="17">
        <f>IF(Team!$B$145="","",Team!$B$145)</f>
        <v>0</v>
      </c>
      <c r="BX145" s="23">
        <f>IF(BW145="","",COUNTIF('Content Calendar'!$W$5:$W$604,BW145))</f>
        <v>0</v>
      </c>
      <c r="BY145" s="23">
        <f>IF(BW145="","",COUNTIFS('Content Calendar'!$W$5:$W$604,BW145,'Content Calendar'!$X$5:$X$604,"&lt;&gt;Published"))</f>
        <v>0</v>
      </c>
      <c r="BZ145" s="23">
        <f>IF(BW145="","",COUNTIFS(Tasks!$C$5:$C$64,BW145,Tasks!$G$5:$G$64,"&lt;&gt;Complete"))</f>
        <v>0</v>
      </c>
      <c r="CA145" s="17">
        <f>IF(Campaigns!$B$145="","",Campaigns!$B$145)</f>
        <v>0</v>
      </c>
      <c r="CB145" s="25">
        <f>IF(Campaigns!$T$145="","",Campaigns!$T$145)</f>
        <v>0</v>
      </c>
      <c r="CC145" s="25">
        <f>IF(Campaigns!$Q$145="","",Campaigns!$Q$145)</f>
        <v>0</v>
      </c>
      <c r="CD145" s="23">
        <f>IF(Campaigns!$Y$145="","",Campaigns!$Y$145)</f>
        <v>0</v>
      </c>
      <c r="CE145" s="32">
        <f>IF(CA145="","",IF(N(CB145)&lt;=0,"",N(CB145)+ROW()/1000000))</f>
        <v>0</v>
      </c>
      <c r="CF145" s="17">
        <f>IF(Accounts!$C$145="","",Accounts!$C$145)</f>
        <v>0</v>
      </c>
      <c r="CG145" s="17">
        <f>IF(Accounts!$B$145="","",Accounts!$B$145)</f>
        <v>0</v>
      </c>
      <c r="CH145" s="23">
        <f>IF(Accounts!$J$145="","",Accounts!$J$145)</f>
        <v>0</v>
      </c>
      <c r="CI145" s="23">
        <f>IF(CF145="","",SUMIFS(Analytics!$X$5:$X$154,Analytics!$E$5:$E$154,CF145,Analytics!$B$5:$B$154,"&gt;="&amp;DashStart,Analytics!$B$5:$B$154,"&lt;="&amp;DashEnd))</f>
        <v>0</v>
      </c>
      <c r="CJ145" s="32">
        <f>IF(CH145="","",IF(CH145=0,"",CH145+ROW()/1000000))</f>
        <v>0</v>
      </c>
    </row>
    <row r="146" spans="1:88">
      <c r="A146" s="16">
        <f>IF(ROW()-4&gt;12,"",DATE(PlanYear,ROW()-4,1))</f>
        <v>0</v>
      </c>
      <c r="B146" s="16">
        <f>IF(A146="","",EOMONTH(A146,0))</f>
        <v>0</v>
      </c>
      <c r="C146" s="17">
        <f>IF(A146="","",TEXT(A146,"yyyy-mm"))</f>
        <v>0</v>
      </c>
      <c r="D146" s="17">
        <f>IF(A146="","",TEXT(A146,"mmm"))</f>
        <v>0</v>
      </c>
      <c r="E146" s="23">
        <f>IF(C146="","",COUNTIFS('Content Calendar'!$D$5:$D$604,C146))</f>
        <v>0</v>
      </c>
      <c r="F146" s="23">
        <f>IF(C146="","",COUNTIFS('Content Calendar'!$D$5:$D$604,C146,'Content Calendar'!$X$5:$X$604,"Published"))</f>
        <v>0</v>
      </c>
      <c r="G146" s="23">
        <f>IF(C146="","",SUMIFS(Analytics!$J$5:$J$154,Analytics!$C$5:$C$154,C146))</f>
        <v>0</v>
      </c>
      <c r="H146" s="23">
        <f>IF(C146="","",SUMIFS(Analytics!$K$5:$K$154,Analytics!$C$5:$C$154,C146))</f>
        <v>0</v>
      </c>
      <c r="I146" s="23">
        <f>IF(C146="","",SUMIFS(Analytics!$L$5:$L$154,Analytics!$C$5:$C$154,C146))</f>
        <v>0</v>
      </c>
      <c r="J146" s="24">
        <f>IF(OR(G146="",G146=0),"",I146/G146)</f>
        <v>0</v>
      </c>
      <c r="K146" s="23">
        <f>IF(C146="","",SUMIFS(Analytics!$G$5:$G$154,Analytics!$C$5:$C$154,C146))</f>
        <v>0</v>
      </c>
      <c r="L146" s="23">
        <f>IF(C146="","",SUMIFS(Analytics!$X$5:$X$154,Analytics!$C$5:$C$154,C146))</f>
        <v>0</v>
      </c>
      <c r="M146" s="23">
        <f>IF(C146="","",SUMIFS(Analytics!$R$5:$R$154,Analytics!$C$5:$C$154,C146))</f>
        <v>0</v>
      </c>
      <c r="N146" s="23">
        <f>IF(C146="","",SUMIFS(Analytics!$S$5:$S$154,Analytics!$C$5:$C$154,C146))</f>
        <v>0</v>
      </c>
      <c r="O146" s="23">
        <f>IF(C146="","",SUMIFS(Analytics!$T$5:$T$154,Analytics!$C$5:$C$154,C146))</f>
        <v>0</v>
      </c>
      <c r="P146" s="25">
        <f>IF(C146="","",SUMIFS(Analytics!$U$5:$U$154,Analytics!$C$5:$C$154,C146))</f>
        <v>0</v>
      </c>
      <c r="Q146" s="25">
        <f>IF(C146="","",SUMIFS(Budget!$H$5:$H$64,Budget!$C$5:$C$64,C146))</f>
        <v>0</v>
      </c>
      <c r="R146" s="25">
        <f>IF(C146="","",P146-Q146)</f>
        <v>0</v>
      </c>
      <c r="S146" s="23">
        <f>IF(C146="","",MonthlyPostTarget)</f>
        <v>0</v>
      </c>
      <c r="T146" s="17">
        <f>IF(Lists!$C146="","",Lists!$C146)</f>
        <v>0</v>
      </c>
      <c r="U146" s="23">
        <f>IF(T146="","",COUNTIFS('Content Calendar'!$G$5:$G$604,T146,'Content Calendar'!$B$5:$B$604,"&gt;="&amp;DashStart,'Content Calendar'!$B$5:$B$604,"&lt;="&amp;DashEnd))</f>
        <v>0</v>
      </c>
      <c r="V146" s="23">
        <f>IF(T146="","",COUNTIFS('Content Calendar'!$G$5:$G$604,T146,'Content Calendar'!$X$5:$X$604,"Published",'Content Calendar'!$B$5:$B$604,"&gt;="&amp;DashStart,'Content Calendar'!$B$5:$B$604,"&lt;="&amp;DashEnd))</f>
        <v>0</v>
      </c>
      <c r="W146" s="23">
        <f>IF(T146="","",SUMIFS(Analytics!$J$5:$J$154,Analytics!$D$5:$D$154,T146,Analytics!$B$5:$B$154,"&gt;="&amp;DashStart,Analytics!$B$5:$B$154,"&lt;="&amp;DashEnd))</f>
        <v>0</v>
      </c>
      <c r="X146" s="23">
        <f>IF(T146="","",SUMIFS(Analytics!$L$5:$L$154,Analytics!$D$5:$D$154,T146,Analytics!$B$5:$B$154,"&gt;="&amp;DashStart,Analytics!$B$5:$B$154,"&lt;="&amp;DashEnd))</f>
        <v>0</v>
      </c>
      <c r="Y146" s="24">
        <f>IF(OR(W146="",W146=0),"",X146/W146)</f>
        <v>0</v>
      </c>
      <c r="Z146" s="23">
        <f>IF(T146="","",SUMIFS(Analytics!$G$5:$G$154,Analytics!$D$5:$D$154,T146,Analytics!$B$5:$B$154,"&gt;="&amp;DashStart,Analytics!$B$5:$B$154,"&lt;="&amp;DashEnd))</f>
        <v>0</v>
      </c>
      <c r="AA146" s="23">
        <f>IF(T146="","",SUMIFS(Analytics!$X$5:$X$154,Analytics!$D$5:$D$154,T146,Analytics!$B$5:$B$154,"&gt;="&amp;DashStart,Analytics!$B$5:$B$154,"&lt;="&amp;DashEnd))</f>
        <v>0</v>
      </c>
      <c r="AB146" s="23">
        <f>IF(T146="","",SUMIFS(Analytics!$R$5:$R$154,Analytics!$D$5:$D$154,T146,Analytics!$B$5:$B$154,"&gt;="&amp;DashStart,Analytics!$B$5:$B$154,"&lt;="&amp;DashEnd))</f>
        <v>0</v>
      </c>
      <c r="AC146" s="25">
        <f>IF(T146="","",SUMIFS(Analytics!$U$5:$U$154,Analytics!$D$5:$D$154,T146,Analytics!$B$5:$B$154,"&gt;="&amp;DashStart,Analytics!$B$5:$B$154,"&lt;="&amp;DashEnd))</f>
        <v>0</v>
      </c>
      <c r="AD146" s="23">
        <f>IF(T146="","",COUNTIFS('Content Calendar'!$G$5:$G$604,T146,'Content Calendar'!$B$5:$B$604,"&gt;="&amp;DATE(PlanYear,1,1),'Content Calendar'!$B$5:$B$604,"&lt;="&amp;DATE(PlanYear,12,31)))</f>
        <v>0</v>
      </c>
      <c r="AE146" s="23">
        <f>IF(T146="","",SUMIFS(Analytics!$J$5:$J$154,Analytics!$D$5:$D$154,T146))</f>
        <v>0</v>
      </c>
      <c r="AF146" s="23">
        <f>IF(T146="","",SUMIFS(Analytics!$L$5:$L$154,Analytics!$D$5:$D$154,T146))</f>
        <v>0</v>
      </c>
      <c r="AG146" s="24">
        <f>IF(OR(AE146="",AE146=0),"",AF146/AE146)</f>
        <v>0</v>
      </c>
      <c r="AH146" s="23">
        <f>IF(T146="","",SUMIFS(Analytics!$X$5:$X$154,Analytics!$D$5:$D$154,T146))</f>
        <v>0</v>
      </c>
      <c r="AI146" s="32">
        <f>IF(T146="","",IF(AE146=0,"",AE146+ROW()/1000000))</f>
        <v>0</v>
      </c>
      <c r="AJ146" s="17">
        <f>IF('Content Pillars'!$B$146="","",'Content Pillars'!$B$146)</f>
        <v>0</v>
      </c>
      <c r="AK146" s="23">
        <f>IF(AJ146="","",COUNTIFS('Content Calendar'!$J$5:$J$604,AJ146,'Content Calendar'!$B$5:$B$604,"&gt;="&amp;DATE(PlanYear,1,1),'Content Calendar'!$B$5:$B$604,"&lt;="&amp;DATE(PlanYear,12,31)))</f>
        <v>0</v>
      </c>
      <c r="AL146" s="23">
        <f>IF(AJ146="","",SUMIFS(Performance!$O$5:$O$404,Performance!$H$5:$H$404,AJ146))</f>
        <v>0</v>
      </c>
      <c r="AM146" s="23">
        <f>IF(AJ146="","",SUMIFS(Performance!$Z$5:$Z$404,Performance!$H$5:$H$404,AJ146))</f>
        <v>0</v>
      </c>
      <c r="AN146" s="24">
        <f>IF(OR(AL146="",AL146=0),"",AM146/AL146)</f>
        <v>0</v>
      </c>
      <c r="AO146" s="32">
        <f>IF(AN146="","",AN146+ROW()/1000000)</f>
        <v>0</v>
      </c>
      <c r="AP146" s="17">
        <f>IF(Lists!$E146="","",Lists!$E146)</f>
        <v>0</v>
      </c>
      <c r="AQ146" s="23">
        <f>IF(AP146="","",COUNTIF(Performance!$G$5:$G$404,AP146))</f>
        <v>0</v>
      </c>
      <c r="AR146" s="23">
        <f>IF(AP146="","",SUMIFS(Performance!$O$5:$O$404,Performance!$G$5:$G$404,AP146))</f>
        <v>0</v>
      </c>
      <c r="AS146" s="23">
        <f>IF(AP146="","",SUMIFS(Performance!$Z$5:$Z$404,Performance!$G$5:$G$404,AP146))</f>
        <v>0</v>
      </c>
      <c r="AT146" s="24">
        <f>IF(OR(AR146="",AR146=0),"",AS146/AR146)</f>
        <v>0</v>
      </c>
      <c r="AU146" s="32">
        <f>IF(AQ146=0,"",IF(AT146="","",AT146+ROW()/1000000))</f>
        <v>0</v>
      </c>
      <c r="AV146" s="17">
        <f>IF(ROW()-4&gt;7,"",TEXT(DATE(2024,1,ROW()-4),"ddd"))</f>
        <v>0</v>
      </c>
      <c r="AW146" s="23">
        <f>IF(AV146="","",COUNTIF(Performance!$N$5:$N$404,AV146))</f>
        <v>0</v>
      </c>
      <c r="AX146" s="23">
        <f>IF(AV146="","",SUMIFS(Performance!$O$5:$O$404,Performance!$N$5:$N$404,AV146))</f>
        <v>0</v>
      </c>
      <c r="AY146" s="23">
        <f>IF(AV146="","",SUMIFS(Performance!$Z$5:$Z$404,Performance!$N$5:$N$404,AV146))</f>
        <v>0</v>
      </c>
      <c r="AZ146" s="24">
        <f>IF(OR(AX146="",AX146=0),"",AY146/AX146)</f>
        <v>0</v>
      </c>
      <c r="BA146" s="32">
        <f>IF(AW146=0,"",IF(AZ146="","",AZ146+ROW()/1000000))</f>
        <v>0</v>
      </c>
      <c r="BB146" s="17">
        <f>IF(Lists!$AL146="","",Lists!$AL146)</f>
        <v>0</v>
      </c>
      <c r="BC146" s="23">
        <f>IF(BB146="","",COUNTIF(Performance!$M$5:$M$404,BB146))</f>
        <v>0</v>
      </c>
      <c r="BD146" s="23">
        <f>IF(BB146="","",SUMIFS(Performance!$O$5:$O$404,Performance!$M$5:$M$404,BB146))</f>
        <v>0</v>
      </c>
      <c r="BE146" s="23">
        <f>IF(BB146="","",SUMIFS(Performance!$Z$5:$Z$404,Performance!$M$5:$M$404,BB146))</f>
        <v>0</v>
      </c>
      <c r="BF146" s="24">
        <f>IF(OR(BD146="",BD146=0),"",BE146/BD146)</f>
        <v>0</v>
      </c>
      <c r="BG146" s="32">
        <f>IF(BC146=0,"",IF(BF146="","",BF146+ROW()/1000000))</f>
        <v>0</v>
      </c>
      <c r="BH146" s="17">
        <f>IF(Performance!$C$146="","",Performance!$C$146)</f>
        <v>0</v>
      </c>
      <c r="BI146" s="17">
        <f>IF(Performance!$F$146="","",Performance!$F$146)</f>
        <v>0</v>
      </c>
      <c r="BJ146" s="17">
        <f>IF(Performance!$H$146="","",Performance!$H$146)</f>
        <v>0</v>
      </c>
      <c r="BK146" s="16">
        <f>IF(Performance!$D$146="","",Performance!$D$146)</f>
        <v>0</v>
      </c>
      <c r="BL146" s="17">
        <f>IF(Performance!$E$146="","",Performance!$E$146)</f>
        <v>0</v>
      </c>
      <c r="BM146" s="23">
        <f>IF(Performance!$O$146="","",Performance!$O$146)</f>
        <v>0</v>
      </c>
      <c r="BN146" s="24">
        <f>IF(Performance!$AA$146="","",Performance!$AA$146)</f>
        <v>0</v>
      </c>
      <c r="BO146" s="32">
        <f>IF(BH146="","",IF(BK146="","",IF(OR(BK146&lt;DashStart,BK146&gt;DashEnd),"",IF(BN146="","",BN146+ROW()/1000000))))</f>
        <v>0</v>
      </c>
      <c r="BP146" s="32">
        <f>IF(BM146="","",IF(BK146="","",IF(OR(BK146&lt;DashStart,BK146&gt;DashEnd),"",BM146+ROW()/1000000)))</f>
        <v>0</v>
      </c>
      <c r="BQ146" s="32">
        <f>IF(BH146="","",IF(BK146="","",IF(YEAR(BK146)&lt;&gt;PlanYear,"",IF(BN146="","",BN146+ROW()/1000000))))</f>
        <v>0</v>
      </c>
      <c r="BR146" s="32">
        <f>IF(BH146="","",IF(BK146="","",IF(OR(BK146&lt;RepFrom,BK146&gt;RepTo),"",IF(BN146="","",BN146+ROW()/1000000))))</f>
        <v>0</v>
      </c>
      <c r="BS146" s="32">
        <f>IF(BM146="","",IF(BK146="","",IF(YEAR(BK146)&lt;&gt;PlanYear,"",BM146+ROW()/1000000)))</f>
        <v>0</v>
      </c>
      <c r="BT146" s="17">
        <f>IF(Lists!$F146="","",Lists!$F146)</f>
        <v>0</v>
      </c>
      <c r="BU146" s="23">
        <f>IF(BT146="","",COUNTIF('Content Calendar'!$X$5:$X$604,BT146))</f>
        <v>0</v>
      </c>
      <c r="BV146" s="23">
        <f>IF(BT146="","",COUNTIFS('Content Calendar'!$X$5:$X$604,BT146,'Content Calendar'!$B$5:$B$604,"&gt;="&amp;DashStart,'Content Calendar'!$B$5:$B$604,"&lt;="&amp;DashEnd))</f>
        <v>0</v>
      </c>
      <c r="BW146" s="17">
        <f>IF(Team!$B$146="","",Team!$B$146)</f>
        <v>0</v>
      </c>
      <c r="BX146" s="23">
        <f>IF(BW146="","",COUNTIF('Content Calendar'!$W$5:$W$604,BW146))</f>
        <v>0</v>
      </c>
      <c r="BY146" s="23">
        <f>IF(BW146="","",COUNTIFS('Content Calendar'!$W$5:$W$604,BW146,'Content Calendar'!$X$5:$X$604,"&lt;&gt;Published"))</f>
        <v>0</v>
      </c>
      <c r="BZ146" s="23">
        <f>IF(BW146="","",COUNTIFS(Tasks!$C$5:$C$64,BW146,Tasks!$G$5:$G$64,"&lt;&gt;Complete"))</f>
        <v>0</v>
      </c>
      <c r="CA146" s="17">
        <f>IF(Campaigns!$B$146="","",Campaigns!$B$146)</f>
        <v>0</v>
      </c>
      <c r="CB146" s="25">
        <f>IF(Campaigns!$T$146="","",Campaigns!$T$146)</f>
        <v>0</v>
      </c>
      <c r="CC146" s="25">
        <f>IF(Campaigns!$Q$146="","",Campaigns!$Q$146)</f>
        <v>0</v>
      </c>
      <c r="CD146" s="23">
        <f>IF(Campaigns!$Y$146="","",Campaigns!$Y$146)</f>
        <v>0</v>
      </c>
      <c r="CE146" s="32">
        <f>IF(CA146="","",IF(N(CB146)&lt;=0,"",N(CB146)+ROW()/1000000))</f>
        <v>0</v>
      </c>
      <c r="CF146" s="17">
        <f>IF(Accounts!$C$146="","",Accounts!$C$146)</f>
        <v>0</v>
      </c>
      <c r="CG146" s="17">
        <f>IF(Accounts!$B$146="","",Accounts!$B$146)</f>
        <v>0</v>
      </c>
      <c r="CH146" s="23">
        <f>IF(Accounts!$J$146="","",Accounts!$J$146)</f>
        <v>0</v>
      </c>
      <c r="CI146" s="23">
        <f>IF(CF146="","",SUMIFS(Analytics!$X$5:$X$154,Analytics!$E$5:$E$154,CF146,Analytics!$B$5:$B$154,"&gt;="&amp;DashStart,Analytics!$B$5:$B$154,"&lt;="&amp;DashEnd))</f>
        <v>0</v>
      </c>
      <c r="CJ146" s="32">
        <f>IF(CH146="","",IF(CH146=0,"",CH146+ROW()/1000000))</f>
        <v>0</v>
      </c>
    </row>
    <row r="147" spans="1:88">
      <c r="A147" s="16">
        <f>IF(ROW()-4&gt;12,"",DATE(PlanYear,ROW()-4,1))</f>
        <v>0</v>
      </c>
      <c r="B147" s="16">
        <f>IF(A147="","",EOMONTH(A147,0))</f>
        <v>0</v>
      </c>
      <c r="C147" s="17">
        <f>IF(A147="","",TEXT(A147,"yyyy-mm"))</f>
        <v>0</v>
      </c>
      <c r="D147" s="17">
        <f>IF(A147="","",TEXT(A147,"mmm"))</f>
        <v>0</v>
      </c>
      <c r="E147" s="23">
        <f>IF(C147="","",COUNTIFS('Content Calendar'!$D$5:$D$604,C147))</f>
        <v>0</v>
      </c>
      <c r="F147" s="23">
        <f>IF(C147="","",COUNTIFS('Content Calendar'!$D$5:$D$604,C147,'Content Calendar'!$X$5:$X$604,"Published"))</f>
        <v>0</v>
      </c>
      <c r="G147" s="23">
        <f>IF(C147="","",SUMIFS(Analytics!$J$5:$J$154,Analytics!$C$5:$C$154,C147))</f>
        <v>0</v>
      </c>
      <c r="H147" s="23">
        <f>IF(C147="","",SUMIFS(Analytics!$K$5:$K$154,Analytics!$C$5:$C$154,C147))</f>
        <v>0</v>
      </c>
      <c r="I147" s="23">
        <f>IF(C147="","",SUMIFS(Analytics!$L$5:$L$154,Analytics!$C$5:$C$154,C147))</f>
        <v>0</v>
      </c>
      <c r="J147" s="24">
        <f>IF(OR(G147="",G147=0),"",I147/G147)</f>
        <v>0</v>
      </c>
      <c r="K147" s="23">
        <f>IF(C147="","",SUMIFS(Analytics!$G$5:$G$154,Analytics!$C$5:$C$154,C147))</f>
        <v>0</v>
      </c>
      <c r="L147" s="23">
        <f>IF(C147="","",SUMIFS(Analytics!$X$5:$X$154,Analytics!$C$5:$C$154,C147))</f>
        <v>0</v>
      </c>
      <c r="M147" s="23">
        <f>IF(C147="","",SUMIFS(Analytics!$R$5:$R$154,Analytics!$C$5:$C$154,C147))</f>
        <v>0</v>
      </c>
      <c r="N147" s="23">
        <f>IF(C147="","",SUMIFS(Analytics!$S$5:$S$154,Analytics!$C$5:$C$154,C147))</f>
        <v>0</v>
      </c>
      <c r="O147" s="23">
        <f>IF(C147="","",SUMIFS(Analytics!$T$5:$T$154,Analytics!$C$5:$C$154,C147))</f>
        <v>0</v>
      </c>
      <c r="P147" s="25">
        <f>IF(C147="","",SUMIFS(Analytics!$U$5:$U$154,Analytics!$C$5:$C$154,C147))</f>
        <v>0</v>
      </c>
      <c r="Q147" s="25">
        <f>IF(C147="","",SUMIFS(Budget!$H$5:$H$64,Budget!$C$5:$C$64,C147))</f>
        <v>0</v>
      </c>
      <c r="R147" s="25">
        <f>IF(C147="","",P147-Q147)</f>
        <v>0</v>
      </c>
      <c r="S147" s="23">
        <f>IF(C147="","",MonthlyPostTarget)</f>
        <v>0</v>
      </c>
      <c r="T147" s="17">
        <f>IF(Lists!$C147="","",Lists!$C147)</f>
        <v>0</v>
      </c>
      <c r="U147" s="23">
        <f>IF(T147="","",COUNTIFS('Content Calendar'!$G$5:$G$604,T147,'Content Calendar'!$B$5:$B$604,"&gt;="&amp;DashStart,'Content Calendar'!$B$5:$B$604,"&lt;="&amp;DashEnd))</f>
        <v>0</v>
      </c>
      <c r="V147" s="23">
        <f>IF(T147="","",COUNTIFS('Content Calendar'!$G$5:$G$604,T147,'Content Calendar'!$X$5:$X$604,"Published",'Content Calendar'!$B$5:$B$604,"&gt;="&amp;DashStart,'Content Calendar'!$B$5:$B$604,"&lt;="&amp;DashEnd))</f>
        <v>0</v>
      </c>
      <c r="W147" s="23">
        <f>IF(T147="","",SUMIFS(Analytics!$J$5:$J$154,Analytics!$D$5:$D$154,T147,Analytics!$B$5:$B$154,"&gt;="&amp;DashStart,Analytics!$B$5:$B$154,"&lt;="&amp;DashEnd))</f>
        <v>0</v>
      </c>
      <c r="X147" s="23">
        <f>IF(T147="","",SUMIFS(Analytics!$L$5:$L$154,Analytics!$D$5:$D$154,T147,Analytics!$B$5:$B$154,"&gt;="&amp;DashStart,Analytics!$B$5:$B$154,"&lt;="&amp;DashEnd))</f>
        <v>0</v>
      </c>
      <c r="Y147" s="24">
        <f>IF(OR(W147="",W147=0),"",X147/W147)</f>
        <v>0</v>
      </c>
      <c r="Z147" s="23">
        <f>IF(T147="","",SUMIFS(Analytics!$G$5:$G$154,Analytics!$D$5:$D$154,T147,Analytics!$B$5:$B$154,"&gt;="&amp;DashStart,Analytics!$B$5:$B$154,"&lt;="&amp;DashEnd))</f>
        <v>0</v>
      </c>
      <c r="AA147" s="23">
        <f>IF(T147="","",SUMIFS(Analytics!$X$5:$X$154,Analytics!$D$5:$D$154,T147,Analytics!$B$5:$B$154,"&gt;="&amp;DashStart,Analytics!$B$5:$B$154,"&lt;="&amp;DashEnd))</f>
        <v>0</v>
      </c>
      <c r="AB147" s="23">
        <f>IF(T147="","",SUMIFS(Analytics!$R$5:$R$154,Analytics!$D$5:$D$154,T147,Analytics!$B$5:$B$154,"&gt;="&amp;DashStart,Analytics!$B$5:$B$154,"&lt;="&amp;DashEnd))</f>
        <v>0</v>
      </c>
      <c r="AC147" s="25">
        <f>IF(T147="","",SUMIFS(Analytics!$U$5:$U$154,Analytics!$D$5:$D$154,T147,Analytics!$B$5:$B$154,"&gt;="&amp;DashStart,Analytics!$B$5:$B$154,"&lt;="&amp;DashEnd))</f>
        <v>0</v>
      </c>
      <c r="AD147" s="23">
        <f>IF(T147="","",COUNTIFS('Content Calendar'!$G$5:$G$604,T147,'Content Calendar'!$B$5:$B$604,"&gt;="&amp;DATE(PlanYear,1,1),'Content Calendar'!$B$5:$B$604,"&lt;="&amp;DATE(PlanYear,12,31)))</f>
        <v>0</v>
      </c>
      <c r="AE147" s="23">
        <f>IF(T147="","",SUMIFS(Analytics!$J$5:$J$154,Analytics!$D$5:$D$154,T147))</f>
        <v>0</v>
      </c>
      <c r="AF147" s="23">
        <f>IF(T147="","",SUMIFS(Analytics!$L$5:$L$154,Analytics!$D$5:$D$154,T147))</f>
        <v>0</v>
      </c>
      <c r="AG147" s="24">
        <f>IF(OR(AE147="",AE147=0),"",AF147/AE147)</f>
        <v>0</v>
      </c>
      <c r="AH147" s="23">
        <f>IF(T147="","",SUMIFS(Analytics!$X$5:$X$154,Analytics!$D$5:$D$154,T147))</f>
        <v>0</v>
      </c>
      <c r="AI147" s="32">
        <f>IF(T147="","",IF(AE147=0,"",AE147+ROW()/1000000))</f>
        <v>0</v>
      </c>
      <c r="AJ147" s="17">
        <f>IF('Content Pillars'!$B$147="","",'Content Pillars'!$B$147)</f>
        <v>0</v>
      </c>
      <c r="AK147" s="23">
        <f>IF(AJ147="","",COUNTIFS('Content Calendar'!$J$5:$J$604,AJ147,'Content Calendar'!$B$5:$B$604,"&gt;="&amp;DATE(PlanYear,1,1),'Content Calendar'!$B$5:$B$604,"&lt;="&amp;DATE(PlanYear,12,31)))</f>
        <v>0</v>
      </c>
      <c r="AL147" s="23">
        <f>IF(AJ147="","",SUMIFS(Performance!$O$5:$O$404,Performance!$H$5:$H$404,AJ147))</f>
        <v>0</v>
      </c>
      <c r="AM147" s="23">
        <f>IF(AJ147="","",SUMIFS(Performance!$Z$5:$Z$404,Performance!$H$5:$H$404,AJ147))</f>
        <v>0</v>
      </c>
      <c r="AN147" s="24">
        <f>IF(OR(AL147="",AL147=0),"",AM147/AL147)</f>
        <v>0</v>
      </c>
      <c r="AO147" s="32">
        <f>IF(AN147="","",AN147+ROW()/1000000)</f>
        <v>0</v>
      </c>
      <c r="AP147" s="17">
        <f>IF(Lists!$E147="","",Lists!$E147)</f>
        <v>0</v>
      </c>
      <c r="AQ147" s="23">
        <f>IF(AP147="","",COUNTIF(Performance!$G$5:$G$404,AP147))</f>
        <v>0</v>
      </c>
      <c r="AR147" s="23">
        <f>IF(AP147="","",SUMIFS(Performance!$O$5:$O$404,Performance!$G$5:$G$404,AP147))</f>
        <v>0</v>
      </c>
      <c r="AS147" s="23">
        <f>IF(AP147="","",SUMIFS(Performance!$Z$5:$Z$404,Performance!$G$5:$G$404,AP147))</f>
        <v>0</v>
      </c>
      <c r="AT147" s="24">
        <f>IF(OR(AR147="",AR147=0),"",AS147/AR147)</f>
        <v>0</v>
      </c>
      <c r="AU147" s="32">
        <f>IF(AQ147=0,"",IF(AT147="","",AT147+ROW()/1000000))</f>
        <v>0</v>
      </c>
      <c r="AV147" s="17">
        <f>IF(ROW()-4&gt;7,"",TEXT(DATE(2024,1,ROW()-4),"ddd"))</f>
        <v>0</v>
      </c>
      <c r="AW147" s="23">
        <f>IF(AV147="","",COUNTIF(Performance!$N$5:$N$404,AV147))</f>
        <v>0</v>
      </c>
      <c r="AX147" s="23">
        <f>IF(AV147="","",SUMIFS(Performance!$O$5:$O$404,Performance!$N$5:$N$404,AV147))</f>
        <v>0</v>
      </c>
      <c r="AY147" s="23">
        <f>IF(AV147="","",SUMIFS(Performance!$Z$5:$Z$404,Performance!$N$5:$N$404,AV147))</f>
        <v>0</v>
      </c>
      <c r="AZ147" s="24">
        <f>IF(OR(AX147="",AX147=0),"",AY147/AX147)</f>
        <v>0</v>
      </c>
      <c r="BA147" s="32">
        <f>IF(AW147=0,"",IF(AZ147="","",AZ147+ROW()/1000000))</f>
        <v>0</v>
      </c>
      <c r="BB147" s="17">
        <f>IF(Lists!$AL147="","",Lists!$AL147)</f>
        <v>0</v>
      </c>
      <c r="BC147" s="23">
        <f>IF(BB147="","",COUNTIF(Performance!$M$5:$M$404,BB147))</f>
        <v>0</v>
      </c>
      <c r="BD147" s="23">
        <f>IF(BB147="","",SUMIFS(Performance!$O$5:$O$404,Performance!$M$5:$M$404,BB147))</f>
        <v>0</v>
      </c>
      <c r="BE147" s="23">
        <f>IF(BB147="","",SUMIFS(Performance!$Z$5:$Z$404,Performance!$M$5:$M$404,BB147))</f>
        <v>0</v>
      </c>
      <c r="BF147" s="24">
        <f>IF(OR(BD147="",BD147=0),"",BE147/BD147)</f>
        <v>0</v>
      </c>
      <c r="BG147" s="32">
        <f>IF(BC147=0,"",IF(BF147="","",BF147+ROW()/1000000))</f>
        <v>0</v>
      </c>
      <c r="BH147" s="17">
        <f>IF(Performance!$C$147="","",Performance!$C$147)</f>
        <v>0</v>
      </c>
      <c r="BI147" s="17">
        <f>IF(Performance!$F$147="","",Performance!$F$147)</f>
        <v>0</v>
      </c>
      <c r="BJ147" s="17">
        <f>IF(Performance!$H$147="","",Performance!$H$147)</f>
        <v>0</v>
      </c>
      <c r="BK147" s="16">
        <f>IF(Performance!$D$147="","",Performance!$D$147)</f>
        <v>0</v>
      </c>
      <c r="BL147" s="17">
        <f>IF(Performance!$E$147="","",Performance!$E$147)</f>
        <v>0</v>
      </c>
      <c r="BM147" s="23">
        <f>IF(Performance!$O$147="","",Performance!$O$147)</f>
        <v>0</v>
      </c>
      <c r="BN147" s="24">
        <f>IF(Performance!$AA$147="","",Performance!$AA$147)</f>
        <v>0</v>
      </c>
      <c r="BO147" s="32">
        <f>IF(BH147="","",IF(BK147="","",IF(OR(BK147&lt;DashStart,BK147&gt;DashEnd),"",IF(BN147="","",BN147+ROW()/1000000))))</f>
        <v>0</v>
      </c>
      <c r="BP147" s="32">
        <f>IF(BM147="","",IF(BK147="","",IF(OR(BK147&lt;DashStart,BK147&gt;DashEnd),"",BM147+ROW()/1000000)))</f>
        <v>0</v>
      </c>
      <c r="BQ147" s="32">
        <f>IF(BH147="","",IF(BK147="","",IF(YEAR(BK147)&lt;&gt;PlanYear,"",IF(BN147="","",BN147+ROW()/1000000))))</f>
        <v>0</v>
      </c>
      <c r="BR147" s="32">
        <f>IF(BH147="","",IF(BK147="","",IF(OR(BK147&lt;RepFrom,BK147&gt;RepTo),"",IF(BN147="","",BN147+ROW()/1000000))))</f>
        <v>0</v>
      </c>
      <c r="BS147" s="32">
        <f>IF(BM147="","",IF(BK147="","",IF(YEAR(BK147)&lt;&gt;PlanYear,"",BM147+ROW()/1000000)))</f>
        <v>0</v>
      </c>
      <c r="BT147" s="17">
        <f>IF(Lists!$F147="","",Lists!$F147)</f>
        <v>0</v>
      </c>
      <c r="BU147" s="23">
        <f>IF(BT147="","",COUNTIF('Content Calendar'!$X$5:$X$604,BT147))</f>
        <v>0</v>
      </c>
      <c r="BV147" s="23">
        <f>IF(BT147="","",COUNTIFS('Content Calendar'!$X$5:$X$604,BT147,'Content Calendar'!$B$5:$B$604,"&gt;="&amp;DashStart,'Content Calendar'!$B$5:$B$604,"&lt;="&amp;DashEnd))</f>
        <v>0</v>
      </c>
      <c r="BW147" s="17">
        <f>IF(Team!$B$147="","",Team!$B$147)</f>
        <v>0</v>
      </c>
      <c r="BX147" s="23">
        <f>IF(BW147="","",COUNTIF('Content Calendar'!$W$5:$W$604,BW147))</f>
        <v>0</v>
      </c>
      <c r="BY147" s="23">
        <f>IF(BW147="","",COUNTIFS('Content Calendar'!$W$5:$W$604,BW147,'Content Calendar'!$X$5:$X$604,"&lt;&gt;Published"))</f>
        <v>0</v>
      </c>
      <c r="BZ147" s="23">
        <f>IF(BW147="","",COUNTIFS(Tasks!$C$5:$C$64,BW147,Tasks!$G$5:$G$64,"&lt;&gt;Complete"))</f>
        <v>0</v>
      </c>
      <c r="CA147" s="17">
        <f>IF(Campaigns!$B$147="","",Campaigns!$B$147)</f>
        <v>0</v>
      </c>
      <c r="CB147" s="25">
        <f>IF(Campaigns!$T$147="","",Campaigns!$T$147)</f>
        <v>0</v>
      </c>
      <c r="CC147" s="25">
        <f>IF(Campaigns!$Q$147="","",Campaigns!$Q$147)</f>
        <v>0</v>
      </c>
      <c r="CD147" s="23">
        <f>IF(Campaigns!$Y$147="","",Campaigns!$Y$147)</f>
        <v>0</v>
      </c>
      <c r="CE147" s="32">
        <f>IF(CA147="","",IF(N(CB147)&lt;=0,"",N(CB147)+ROW()/1000000))</f>
        <v>0</v>
      </c>
      <c r="CF147" s="17">
        <f>IF(Accounts!$C$147="","",Accounts!$C$147)</f>
        <v>0</v>
      </c>
      <c r="CG147" s="17">
        <f>IF(Accounts!$B$147="","",Accounts!$B$147)</f>
        <v>0</v>
      </c>
      <c r="CH147" s="23">
        <f>IF(Accounts!$J$147="","",Accounts!$J$147)</f>
        <v>0</v>
      </c>
      <c r="CI147" s="23">
        <f>IF(CF147="","",SUMIFS(Analytics!$X$5:$X$154,Analytics!$E$5:$E$154,CF147,Analytics!$B$5:$B$154,"&gt;="&amp;DashStart,Analytics!$B$5:$B$154,"&lt;="&amp;DashEnd))</f>
        <v>0</v>
      </c>
      <c r="CJ147" s="32">
        <f>IF(CH147="","",IF(CH147=0,"",CH147+ROW()/1000000))</f>
        <v>0</v>
      </c>
    </row>
    <row r="148" spans="1:88">
      <c r="A148" s="16">
        <f>IF(ROW()-4&gt;12,"",DATE(PlanYear,ROW()-4,1))</f>
        <v>0</v>
      </c>
      <c r="B148" s="16">
        <f>IF(A148="","",EOMONTH(A148,0))</f>
        <v>0</v>
      </c>
      <c r="C148" s="17">
        <f>IF(A148="","",TEXT(A148,"yyyy-mm"))</f>
        <v>0</v>
      </c>
      <c r="D148" s="17">
        <f>IF(A148="","",TEXT(A148,"mmm"))</f>
        <v>0</v>
      </c>
      <c r="E148" s="23">
        <f>IF(C148="","",COUNTIFS('Content Calendar'!$D$5:$D$604,C148))</f>
        <v>0</v>
      </c>
      <c r="F148" s="23">
        <f>IF(C148="","",COUNTIFS('Content Calendar'!$D$5:$D$604,C148,'Content Calendar'!$X$5:$X$604,"Published"))</f>
        <v>0</v>
      </c>
      <c r="G148" s="23">
        <f>IF(C148="","",SUMIFS(Analytics!$J$5:$J$154,Analytics!$C$5:$C$154,C148))</f>
        <v>0</v>
      </c>
      <c r="H148" s="23">
        <f>IF(C148="","",SUMIFS(Analytics!$K$5:$K$154,Analytics!$C$5:$C$154,C148))</f>
        <v>0</v>
      </c>
      <c r="I148" s="23">
        <f>IF(C148="","",SUMIFS(Analytics!$L$5:$L$154,Analytics!$C$5:$C$154,C148))</f>
        <v>0</v>
      </c>
      <c r="J148" s="24">
        <f>IF(OR(G148="",G148=0),"",I148/G148)</f>
        <v>0</v>
      </c>
      <c r="K148" s="23">
        <f>IF(C148="","",SUMIFS(Analytics!$G$5:$G$154,Analytics!$C$5:$C$154,C148))</f>
        <v>0</v>
      </c>
      <c r="L148" s="23">
        <f>IF(C148="","",SUMIFS(Analytics!$X$5:$X$154,Analytics!$C$5:$C$154,C148))</f>
        <v>0</v>
      </c>
      <c r="M148" s="23">
        <f>IF(C148="","",SUMIFS(Analytics!$R$5:$R$154,Analytics!$C$5:$C$154,C148))</f>
        <v>0</v>
      </c>
      <c r="N148" s="23">
        <f>IF(C148="","",SUMIFS(Analytics!$S$5:$S$154,Analytics!$C$5:$C$154,C148))</f>
        <v>0</v>
      </c>
      <c r="O148" s="23">
        <f>IF(C148="","",SUMIFS(Analytics!$T$5:$T$154,Analytics!$C$5:$C$154,C148))</f>
        <v>0</v>
      </c>
      <c r="P148" s="25">
        <f>IF(C148="","",SUMIFS(Analytics!$U$5:$U$154,Analytics!$C$5:$C$154,C148))</f>
        <v>0</v>
      </c>
      <c r="Q148" s="25">
        <f>IF(C148="","",SUMIFS(Budget!$H$5:$H$64,Budget!$C$5:$C$64,C148))</f>
        <v>0</v>
      </c>
      <c r="R148" s="25">
        <f>IF(C148="","",P148-Q148)</f>
        <v>0</v>
      </c>
      <c r="S148" s="23">
        <f>IF(C148="","",MonthlyPostTarget)</f>
        <v>0</v>
      </c>
      <c r="T148" s="17">
        <f>IF(Lists!$C148="","",Lists!$C148)</f>
        <v>0</v>
      </c>
      <c r="U148" s="23">
        <f>IF(T148="","",COUNTIFS('Content Calendar'!$G$5:$G$604,T148,'Content Calendar'!$B$5:$B$604,"&gt;="&amp;DashStart,'Content Calendar'!$B$5:$B$604,"&lt;="&amp;DashEnd))</f>
        <v>0</v>
      </c>
      <c r="V148" s="23">
        <f>IF(T148="","",COUNTIFS('Content Calendar'!$G$5:$G$604,T148,'Content Calendar'!$X$5:$X$604,"Published",'Content Calendar'!$B$5:$B$604,"&gt;="&amp;DashStart,'Content Calendar'!$B$5:$B$604,"&lt;="&amp;DashEnd))</f>
        <v>0</v>
      </c>
      <c r="W148" s="23">
        <f>IF(T148="","",SUMIFS(Analytics!$J$5:$J$154,Analytics!$D$5:$D$154,T148,Analytics!$B$5:$B$154,"&gt;="&amp;DashStart,Analytics!$B$5:$B$154,"&lt;="&amp;DashEnd))</f>
        <v>0</v>
      </c>
      <c r="X148" s="23">
        <f>IF(T148="","",SUMIFS(Analytics!$L$5:$L$154,Analytics!$D$5:$D$154,T148,Analytics!$B$5:$B$154,"&gt;="&amp;DashStart,Analytics!$B$5:$B$154,"&lt;="&amp;DashEnd))</f>
        <v>0</v>
      </c>
      <c r="Y148" s="24">
        <f>IF(OR(W148="",W148=0),"",X148/W148)</f>
        <v>0</v>
      </c>
      <c r="Z148" s="23">
        <f>IF(T148="","",SUMIFS(Analytics!$G$5:$G$154,Analytics!$D$5:$D$154,T148,Analytics!$B$5:$B$154,"&gt;="&amp;DashStart,Analytics!$B$5:$B$154,"&lt;="&amp;DashEnd))</f>
        <v>0</v>
      </c>
      <c r="AA148" s="23">
        <f>IF(T148="","",SUMIFS(Analytics!$X$5:$X$154,Analytics!$D$5:$D$154,T148,Analytics!$B$5:$B$154,"&gt;="&amp;DashStart,Analytics!$B$5:$B$154,"&lt;="&amp;DashEnd))</f>
        <v>0</v>
      </c>
      <c r="AB148" s="23">
        <f>IF(T148="","",SUMIFS(Analytics!$R$5:$R$154,Analytics!$D$5:$D$154,T148,Analytics!$B$5:$B$154,"&gt;="&amp;DashStart,Analytics!$B$5:$B$154,"&lt;="&amp;DashEnd))</f>
        <v>0</v>
      </c>
      <c r="AC148" s="25">
        <f>IF(T148="","",SUMIFS(Analytics!$U$5:$U$154,Analytics!$D$5:$D$154,T148,Analytics!$B$5:$B$154,"&gt;="&amp;DashStart,Analytics!$B$5:$B$154,"&lt;="&amp;DashEnd))</f>
        <v>0</v>
      </c>
      <c r="AD148" s="23">
        <f>IF(T148="","",COUNTIFS('Content Calendar'!$G$5:$G$604,T148,'Content Calendar'!$B$5:$B$604,"&gt;="&amp;DATE(PlanYear,1,1),'Content Calendar'!$B$5:$B$604,"&lt;="&amp;DATE(PlanYear,12,31)))</f>
        <v>0</v>
      </c>
      <c r="AE148" s="23">
        <f>IF(T148="","",SUMIFS(Analytics!$J$5:$J$154,Analytics!$D$5:$D$154,T148))</f>
        <v>0</v>
      </c>
      <c r="AF148" s="23">
        <f>IF(T148="","",SUMIFS(Analytics!$L$5:$L$154,Analytics!$D$5:$D$154,T148))</f>
        <v>0</v>
      </c>
      <c r="AG148" s="24">
        <f>IF(OR(AE148="",AE148=0),"",AF148/AE148)</f>
        <v>0</v>
      </c>
      <c r="AH148" s="23">
        <f>IF(T148="","",SUMIFS(Analytics!$X$5:$X$154,Analytics!$D$5:$D$154,T148))</f>
        <v>0</v>
      </c>
      <c r="AI148" s="32">
        <f>IF(T148="","",IF(AE148=0,"",AE148+ROW()/1000000))</f>
        <v>0</v>
      </c>
      <c r="AJ148" s="17">
        <f>IF('Content Pillars'!$B$148="","",'Content Pillars'!$B$148)</f>
        <v>0</v>
      </c>
      <c r="AK148" s="23">
        <f>IF(AJ148="","",COUNTIFS('Content Calendar'!$J$5:$J$604,AJ148,'Content Calendar'!$B$5:$B$604,"&gt;="&amp;DATE(PlanYear,1,1),'Content Calendar'!$B$5:$B$604,"&lt;="&amp;DATE(PlanYear,12,31)))</f>
        <v>0</v>
      </c>
      <c r="AL148" s="23">
        <f>IF(AJ148="","",SUMIFS(Performance!$O$5:$O$404,Performance!$H$5:$H$404,AJ148))</f>
        <v>0</v>
      </c>
      <c r="AM148" s="23">
        <f>IF(AJ148="","",SUMIFS(Performance!$Z$5:$Z$404,Performance!$H$5:$H$404,AJ148))</f>
        <v>0</v>
      </c>
      <c r="AN148" s="24">
        <f>IF(OR(AL148="",AL148=0),"",AM148/AL148)</f>
        <v>0</v>
      </c>
      <c r="AO148" s="32">
        <f>IF(AN148="","",AN148+ROW()/1000000)</f>
        <v>0</v>
      </c>
      <c r="AP148" s="17">
        <f>IF(Lists!$E148="","",Lists!$E148)</f>
        <v>0</v>
      </c>
      <c r="AQ148" s="23">
        <f>IF(AP148="","",COUNTIF(Performance!$G$5:$G$404,AP148))</f>
        <v>0</v>
      </c>
      <c r="AR148" s="23">
        <f>IF(AP148="","",SUMIFS(Performance!$O$5:$O$404,Performance!$G$5:$G$404,AP148))</f>
        <v>0</v>
      </c>
      <c r="AS148" s="23">
        <f>IF(AP148="","",SUMIFS(Performance!$Z$5:$Z$404,Performance!$G$5:$G$404,AP148))</f>
        <v>0</v>
      </c>
      <c r="AT148" s="24">
        <f>IF(OR(AR148="",AR148=0),"",AS148/AR148)</f>
        <v>0</v>
      </c>
      <c r="AU148" s="32">
        <f>IF(AQ148=0,"",IF(AT148="","",AT148+ROW()/1000000))</f>
        <v>0</v>
      </c>
      <c r="AV148" s="17">
        <f>IF(ROW()-4&gt;7,"",TEXT(DATE(2024,1,ROW()-4),"ddd"))</f>
        <v>0</v>
      </c>
      <c r="AW148" s="23">
        <f>IF(AV148="","",COUNTIF(Performance!$N$5:$N$404,AV148))</f>
        <v>0</v>
      </c>
      <c r="AX148" s="23">
        <f>IF(AV148="","",SUMIFS(Performance!$O$5:$O$404,Performance!$N$5:$N$404,AV148))</f>
        <v>0</v>
      </c>
      <c r="AY148" s="23">
        <f>IF(AV148="","",SUMIFS(Performance!$Z$5:$Z$404,Performance!$N$5:$N$404,AV148))</f>
        <v>0</v>
      </c>
      <c r="AZ148" s="24">
        <f>IF(OR(AX148="",AX148=0),"",AY148/AX148)</f>
        <v>0</v>
      </c>
      <c r="BA148" s="32">
        <f>IF(AW148=0,"",IF(AZ148="","",AZ148+ROW()/1000000))</f>
        <v>0</v>
      </c>
      <c r="BB148" s="17">
        <f>IF(Lists!$AL148="","",Lists!$AL148)</f>
        <v>0</v>
      </c>
      <c r="BC148" s="23">
        <f>IF(BB148="","",COUNTIF(Performance!$M$5:$M$404,BB148))</f>
        <v>0</v>
      </c>
      <c r="BD148" s="23">
        <f>IF(BB148="","",SUMIFS(Performance!$O$5:$O$404,Performance!$M$5:$M$404,BB148))</f>
        <v>0</v>
      </c>
      <c r="BE148" s="23">
        <f>IF(BB148="","",SUMIFS(Performance!$Z$5:$Z$404,Performance!$M$5:$M$404,BB148))</f>
        <v>0</v>
      </c>
      <c r="BF148" s="24">
        <f>IF(OR(BD148="",BD148=0),"",BE148/BD148)</f>
        <v>0</v>
      </c>
      <c r="BG148" s="32">
        <f>IF(BC148=0,"",IF(BF148="","",BF148+ROW()/1000000))</f>
        <v>0</v>
      </c>
      <c r="BH148" s="17">
        <f>IF(Performance!$C$148="","",Performance!$C$148)</f>
        <v>0</v>
      </c>
      <c r="BI148" s="17">
        <f>IF(Performance!$F$148="","",Performance!$F$148)</f>
        <v>0</v>
      </c>
      <c r="BJ148" s="17">
        <f>IF(Performance!$H$148="","",Performance!$H$148)</f>
        <v>0</v>
      </c>
      <c r="BK148" s="16">
        <f>IF(Performance!$D$148="","",Performance!$D$148)</f>
        <v>0</v>
      </c>
      <c r="BL148" s="17">
        <f>IF(Performance!$E$148="","",Performance!$E$148)</f>
        <v>0</v>
      </c>
      <c r="BM148" s="23">
        <f>IF(Performance!$O$148="","",Performance!$O$148)</f>
        <v>0</v>
      </c>
      <c r="BN148" s="24">
        <f>IF(Performance!$AA$148="","",Performance!$AA$148)</f>
        <v>0</v>
      </c>
      <c r="BO148" s="32">
        <f>IF(BH148="","",IF(BK148="","",IF(OR(BK148&lt;DashStart,BK148&gt;DashEnd),"",IF(BN148="","",BN148+ROW()/1000000))))</f>
        <v>0</v>
      </c>
      <c r="BP148" s="32">
        <f>IF(BM148="","",IF(BK148="","",IF(OR(BK148&lt;DashStart,BK148&gt;DashEnd),"",BM148+ROW()/1000000)))</f>
        <v>0</v>
      </c>
      <c r="BQ148" s="32">
        <f>IF(BH148="","",IF(BK148="","",IF(YEAR(BK148)&lt;&gt;PlanYear,"",IF(BN148="","",BN148+ROW()/1000000))))</f>
        <v>0</v>
      </c>
      <c r="BR148" s="32">
        <f>IF(BH148="","",IF(BK148="","",IF(OR(BK148&lt;RepFrom,BK148&gt;RepTo),"",IF(BN148="","",BN148+ROW()/1000000))))</f>
        <v>0</v>
      </c>
      <c r="BS148" s="32">
        <f>IF(BM148="","",IF(BK148="","",IF(YEAR(BK148)&lt;&gt;PlanYear,"",BM148+ROW()/1000000)))</f>
        <v>0</v>
      </c>
      <c r="BT148" s="17">
        <f>IF(Lists!$F148="","",Lists!$F148)</f>
        <v>0</v>
      </c>
      <c r="BU148" s="23">
        <f>IF(BT148="","",COUNTIF('Content Calendar'!$X$5:$X$604,BT148))</f>
        <v>0</v>
      </c>
      <c r="BV148" s="23">
        <f>IF(BT148="","",COUNTIFS('Content Calendar'!$X$5:$X$604,BT148,'Content Calendar'!$B$5:$B$604,"&gt;="&amp;DashStart,'Content Calendar'!$B$5:$B$604,"&lt;="&amp;DashEnd))</f>
        <v>0</v>
      </c>
      <c r="BW148" s="17">
        <f>IF(Team!$B$148="","",Team!$B$148)</f>
        <v>0</v>
      </c>
      <c r="BX148" s="23">
        <f>IF(BW148="","",COUNTIF('Content Calendar'!$W$5:$W$604,BW148))</f>
        <v>0</v>
      </c>
      <c r="BY148" s="23">
        <f>IF(BW148="","",COUNTIFS('Content Calendar'!$W$5:$W$604,BW148,'Content Calendar'!$X$5:$X$604,"&lt;&gt;Published"))</f>
        <v>0</v>
      </c>
      <c r="BZ148" s="23">
        <f>IF(BW148="","",COUNTIFS(Tasks!$C$5:$C$64,BW148,Tasks!$G$5:$G$64,"&lt;&gt;Complete"))</f>
        <v>0</v>
      </c>
      <c r="CA148" s="17">
        <f>IF(Campaigns!$B$148="","",Campaigns!$B$148)</f>
        <v>0</v>
      </c>
      <c r="CB148" s="25">
        <f>IF(Campaigns!$T$148="","",Campaigns!$T$148)</f>
        <v>0</v>
      </c>
      <c r="CC148" s="25">
        <f>IF(Campaigns!$Q$148="","",Campaigns!$Q$148)</f>
        <v>0</v>
      </c>
      <c r="CD148" s="23">
        <f>IF(Campaigns!$Y$148="","",Campaigns!$Y$148)</f>
        <v>0</v>
      </c>
      <c r="CE148" s="32">
        <f>IF(CA148="","",IF(N(CB148)&lt;=0,"",N(CB148)+ROW()/1000000))</f>
        <v>0</v>
      </c>
      <c r="CF148" s="17">
        <f>IF(Accounts!$C$148="","",Accounts!$C$148)</f>
        <v>0</v>
      </c>
      <c r="CG148" s="17">
        <f>IF(Accounts!$B$148="","",Accounts!$B$148)</f>
        <v>0</v>
      </c>
      <c r="CH148" s="23">
        <f>IF(Accounts!$J$148="","",Accounts!$J$148)</f>
        <v>0</v>
      </c>
      <c r="CI148" s="23">
        <f>IF(CF148="","",SUMIFS(Analytics!$X$5:$X$154,Analytics!$E$5:$E$154,CF148,Analytics!$B$5:$B$154,"&gt;="&amp;DashStart,Analytics!$B$5:$B$154,"&lt;="&amp;DashEnd))</f>
        <v>0</v>
      </c>
      <c r="CJ148" s="32">
        <f>IF(CH148="","",IF(CH148=0,"",CH148+ROW()/1000000))</f>
        <v>0</v>
      </c>
    </row>
    <row r="149" spans="1:88">
      <c r="A149" s="16">
        <f>IF(ROW()-4&gt;12,"",DATE(PlanYear,ROW()-4,1))</f>
        <v>0</v>
      </c>
      <c r="B149" s="16">
        <f>IF(A149="","",EOMONTH(A149,0))</f>
        <v>0</v>
      </c>
      <c r="C149" s="17">
        <f>IF(A149="","",TEXT(A149,"yyyy-mm"))</f>
        <v>0</v>
      </c>
      <c r="D149" s="17">
        <f>IF(A149="","",TEXT(A149,"mmm"))</f>
        <v>0</v>
      </c>
      <c r="E149" s="23">
        <f>IF(C149="","",COUNTIFS('Content Calendar'!$D$5:$D$604,C149))</f>
        <v>0</v>
      </c>
      <c r="F149" s="23">
        <f>IF(C149="","",COUNTIFS('Content Calendar'!$D$5:$D$604,C149,'Content Calendar'!$X$5:$X$604,"Published"))</f>
        <v>0</v>
      </c>
      <c r="G149" s="23">
        <f>IF(C149="","",SUMIFS(Analytics!$J$5:$J$154,Analytics!$C$5:$C$154,C149))</f>
        <v>0</v>
      </c>
      <c r="H149" s="23">
        <f>IF(C149="","",SUMIFS(Analytics!$K$5:$K$154,Analytics!$C$5:$C$154,C149))</f>
        <v>0</v>
      </c>
      <c r="I149" s="23">
        <f>IF(C149="","",SUMIFS(Analytics!$L$5:$L$154,Analytics!$C$5:$C$154,C149))</f>
        <v>0</v>
      </c>
      <c r="J149" s="24">
        <f>IF(OR(G149="",G149=0),"",I149/G149)</f>
        <v>0</v>
      </c>
      <c r="K149" s="23">
        <f>IF(C149="","",SUMIFS(Analytics!$G$5:$G$154,Analytics!$C$5:$C$154,C149))</f>
        <v>0</v>
      </c>
      <c r="L149" s="23">
        <f>IF(C149="","",SUMIFS(Analytics!$X$5:$X$154,Analytics!$C$5:$C$154,C149))</f>
        <v>0</v>
      </c>
      <c r="M149" s="23">
        <f>IF(C149="","",SUMIFS(Analytics!$R$5:$R$154,Analytics!$C$5:$C$154,C149))</f>
        <v>0</v>
      </c>
      <c r="N149" s="23">
        <f>IF(C149="","",SUMIFS(Analytics!$S$5:$S$154,Analytics!$C$5:$C$154,C149))</f>
        <v>0</v>
      </c>
      <c r="O149" s="23">
        <f>IF(C149="","",SUMIFS(Analytics!$T$5:$T$154,Analytics!$C$5:$C$154,C149))</f>
        <v>0</v>
      </c>
      <c r="P149" s="25">
        <f>IF(C149="","",SUMIFS(Analytics!$U$5:$U$154,Analytics!$C$5:$C$154,C149))</f>
        <v>0</v>
      </c>
      <c r="Q149" s="25">
        <f>IF(C149="","",SUMIFS(Budget!$H$5:$H$64,Budget!$C$5:$C$64,C149))</f>
        <v>0</v>
      </c>
      <c r="R149" s="25">
        <f>IF(C149="","",P149-Q149)</f>
        <v>0</v>
      </c>
      <c r="S149" s="23">
        <f>IF(C149="","",MonthlyPostTarget)</f>
        <v>0</v>
      </c>
      <c r="T149" s="17">
        <f>IF(Lists!$C149="","",Lists!$C149)</f>
        <v>0</v>
      </c>
      <c r="U149" s="23">
        <f>IF(T149="","",COUNTIFS('Content Calendar'!$G$5:$G$604,T149,'Content Calendar'!$B$5:$B$604,"&gt;="&amp;DashStart,'Content Calendar'!$B$5:$B$604,"&lt;="&amp;DashEnd))</f>
        <v>0</v>
      </c>
      <c r="V149" s="23">
        <f>IF(T149="","",COUNTIFS('Content Calendar'!$G$5:$G$604,T149,'Content Calendar'!$X$5:$X$604,"Published",'Content Calendar'!$B$5:$B$604,"&gt;="&amp;DashStart,'Content Calendar'!$B$5:$B$604,"&lt;="&amp;DashEnd))</f>
        <v>0</v>
      </c>
      <c r="W149" s="23">
        <f>IF(T149="","",SUMIFS(Analytics!$J$5:$J$154,Analytics!$D$5:$D$154,T149,Analytics!$B$5:$B$154,"&gt;="&amp;DashStart,Analytics!$B$5:$B$154,"&lt;="&amp;DashEnd))</f>
        <v>0</v>
      </c>
      <c r="X149" s="23">
        <f>IF(T149="","",SUMIFS(Analytics!$L$5:$L$154,Analytics!$D$5:$D$154,T149,Analytics!$B$5:$B$154,"&gt;="&amp;DashStart,Analytics!$B$5:$B$154,"&lt;="&amp;DashEnd))</f>
        <v>0</v>
      </c>
      <c r="Y149" s="24">
        <f>IF(OR(W149="",W149=0),"",X149/W149)</f>
        <v>0</v>
      </c>
      <c r="Z149" s="23">
        <f>IF(T149="","",SUMIFS(Analytics!$G$5:$G$154,Analytics!$D$5:$D$154,T149,Analytics!$B$5:$B$154,"&gt;="&amp;DashStart,Analytics!$B$5:$B$154,"&lt;="&amp;DashEnd))</f>
        <v>0</v>
      </c>
      <c r="AA149" s="23">
        <f>IF(T149="","",SUMIFS(Analytics!$X$5:$X$154,Analytics!$D$5:$D$154,T149,Analytics!$B$5:$B$154,"&gt;="&amp;DashStart,Analytics!$B$5:$B$154,"&lt;="&amp;DashEnd))</f>
        <v>0</v>
      </c>
      <c r="AB149" s="23">
        <f>IF(T149="","",SUMIFS(Analytics!$R$5:$R$154,Analytics!$D$5:$D$154,T149,Analytics!$B$5:$B$154,"&gt;="&amp;DashStart,Analytics!$B$5:$B$154,"&lt;="&amp;DashEnd))</f>
        <v>0</v>
      </c>
      <c r="AC149" s="25">
        <f>IF(T149="","",SUMIFS(Analytics!$U$5:$U$154,Analytics!$D$5:$D$154,T149,Analytics!$B$5:$B$154,"&gt;="&amp;DashStart,Analytics!$B$5:$B$154,"&lt;="&amp;DashEnd))</f>
        <v>0</v>
      </c>
      <c r="AD149" s="23">
        <f>IF(T149="","",COUNTIFS('Content Calendar'!$G$5:$G$604,T149,'Content Calendar'!$B$5:$B$604,"&gt;="&amp;DATE(PlanYear,1,1),'Content Calendar'!$B$5:$B$604,"&lt;="&amp;DATE(PlanYear,12,31)))</f>
        <v>0</v>
      </c>
      <c r="AE149" s="23">
        <f>IF(T149="","",SUMIFS(Analytics!$J$5:$J$154,Analytics!$D$5:$D$154,T149))</f>
        <v>0</v>
      </c>
      <c r="AF149" s="23">
        <f>IF(T149="","",SUMIFS(Analytics!$L$5:$L$154,Analytics!$D$5:$D$154,T149))</f>
        <v>0</v>
      </c>
      <c r="AG149" s="24">
        <f>IF(OR(AE149="",AE149=0),"",AF149/AE149)</f>
        <v>0</v>
      </c>
      <c r="AH149" s="23">
        <f>IF(T149="","",SUMIFS(Analytics!$X$5:$X$154,Analytics!$D$5:$D$154,T149))</f>
        <v>0</v>
      </c>
      <c r="AI149" s="32">
        <f>IF(T149="","",IF(AE149=0,"",AE149+ROW()/1000000))</f>
        <v>0</v>
      </c>
      <c r="AJ149" s="17">
        <f>IF('Content Pillars'!$B$149="","",'Content Pillars'!$B$149)</f>
        <v>0</v>
      </c>
      <c r="AK149" s="23">
        <f>IF(AJ149="","",COUNTIFS('Content Calendar'!$J$5:$J$604,AJ149,'Content Calendar'!$B$5:$B$604,"&gt;="&amp;DATE(PlanYear,1,1),'Content Calendar'!$B$5:$B$604,"&lt;="&amp;DATE(PlanYear,12,31)))</f>
        <v>0</v>
      </c>
      <c r="AL149" s="23">
        <f>IF(AJ149="","",SUMIFS(Performance!$O$5:$O$404,Performance!$H$5:$H$404,AJ149))</f>
        <v>0</v>
      </c>
      <c r="AM149" s="23">
        <f>IF(AJ149="","",SUMIFS(Performance!$Z$5:$Z$404,Performance!$H$5:$H$404,AJ149))</f>
        <v>0</v>
      </c>
      <c r="AN149" s="24">
        <f>IF(OR(AL149="",AL149=0),"",AM149/AL149)</f>
        <v>0</v>
      </c>
      <c r="AO149" s="32">
        <f>IF(AN149="","",AN149+ROW()/1000000)</f>
        <v>0</v>
      </c>
      <c r="AP149" s="17">
        <f>IF(Lists!$E149="","",Lists!$E149)</f>
        <v>0</v>
      </c>
      <c r="AQ149" s="23">
        <f>IF(AP149="","",COUNTIF(Performance!$G$5:$G$404,AP149))</f>
        <v>0</v>
      </c>
      <c r="AR149" s="23">
        <f>IF(AP149="","",SUMIFS(Performance!$O$5:$O$404,Performance!$G$5:$G$404,AP149))</f>
        <v>0</v>
      </c>
      <c r="AS149" s="23">
        <f>IF(AP149="","",SUMIFS(Performance!$Z$5:$Z$404,Performance!$G$5:$G$404,AP149))</f>
        <v>0</v>
      </c>
      <c r="AT149" s="24">
        <f>IF(OR(AR149="",AR149=0),"",AS149/AR149)</f>
        <v>0</v>
      </c>
      <c r="AU149" s="32">
        <f>IF(AQ149=0,"",IF(AT149="","",AT149+ROW()/1000000))</f>
        <v>0</v>
      </c>
      <c r="AV149" s="17">
        <f>IF(ROW()-4&gt;7,"",TEXT(DATE(2024,1,ROW()-4),"ddd"))</f>
        <v>0</v>
      </c>
      <c r="AW149" s="23">
        <f>IF(AV149="","",COUNTIF(Performance!$N$5:$N$404,AV149))</f>
        <v>0</v>
      </c>
      <c r="AX149" s="23">
        <f>IF(AV149="","",SUMIFS(Performance!$O$5:$O$404,Performance!$N$5:$N$404,AV149))</f>
        <v>0</v>
      </c>
      <c r="AY149" s="23">
        <f>IF(AV149="","",SUMIFS(Performance!$Z$5:$Z$404,Performance!$N$5:$N$404,AV149))</f>
        <v>0</v>
      </c>
      <c r="AZ149" s="24">
        <f>IF(OR(AX149="",AX149=0),"",AY149/AX149)</f>
        <v>0</v>
      </c>
      <c r="BA149" s="32">
        <f>IF(AW149=0,"",IF(AZ149="","",AZ149+ROW()/1000000))</f>
        <v>0</v>
      </c>
      <c r="BB149" s="17">
        <f>IF(Lists!$AL149="","",Lists!$AL149)</f>
        <v>0</v>
      </c>
      <c r="BC149" s="23">
        <f>IF(BB149="","",COUNTIF(Performance!$M$5:$M$404,BB149))</f>
        <v>0</v>
      </c>
      <c r="BD149" s="23">
        <f>IF(BB149="","",SUMIFS(Performance!$O$5:$O$404,Performance!$M$5:$M$404,BB149))</f>
        <v>0</v>
      </c>
      <c r="BE149" s="23">
        <f>IF(BB149="","",SUMIFS(Performance!$Z$5:$Z$404,Performance!$M$5:$M$404,BB149))</f>
        <v>0</v>
      </c>
      <c r="BF149" s="24">
        <f>IF(OR(BD149="",BD149=0),"",BE149/BD149)</f>
        <v>0</v>
      </c>
      <c r="BG149" s="32">
        <f>IF(BC149=0,"",IF(BF149="","",BF149+ROW()/1000000))</f>
        <v>0</v>
      </c>
      <c r="BH149" s="17">
        <f>IF(Performance!$C$149="","",Performance!$C$149)</f>
        <v>0</v>
      </c>
      <c r="BI149" s="17">
        <f>IF(Performance!$F$149="","",Performance!$F$149)</f>
        <v>0</v>
      </c>
      <c r="BJ149" s="17">
        <f>IF(Performance!$H$149="","",Performance!$H$149)</f>
        <v>0</v>
      </c>
      <c r="BK149" s="16">
        <f>IF(Performance!$D$149="","",Performance!$D$149)</f>
        <v>0</v>
      </c>
      <c r="BL149" s="17">
        <f>IF(Performance!$E$149="","",Performance!$E$149)</f>
        <v>0</v>
      </c>
      <c r="BM149" s="23">
        <f>IF(Performance!$O$149="","",Performance!$O$149)</f>
        <v>0</v>
      </c>
      <c r="BN149" s="24">
        <f>IF(Performance!$AA$149="","",Performance!$AA$149)</f>
        <v>0</v>
      </c>
      <c r="BO149" s="32">
        <f>IF(BH149="","",IF(BK149="","",IF(OR(BK149&lt;DashStart,BK149&gt;DashEnd),"",IF(BN149="","",BN149+ROW()/1000000))))</f>
        <v>0</v>
      </c>
      <c r="BP149" s="32">
        <f>IF(BM149="","",IF(BK149="","",IF(OR(BK149&lt;DashStart,BK149&gt;DashEnd),"",BM149+ROW()/1000000)))</f>
        <v>0</v>
      </c>
      <c r="BQ149" s="32">
        <f>IF(BH149="","",IF(BK149="","",IF(YEAR(BK149)&lt;&gt;PlanYear,"",IF(BN149="","",BN149+ROW()/1000000))))</f>
        <v>0</v>
      </c>
      <c r="BR149" s="32">
        <f>IF(BH149="","",IF(BK149="","",IF(OR(BK149&lt;RepFrom,BK149&gt;RepTo),"",IF(BN149="","",BN149+ROW()/1000000))))</f>
        <v>0</v>
      </c>
      <c r="BS149" s="32">
        <f>IF(BM149="","",IF(BK149="","",IF(YEAR(BK149)&lt;&gt;PlanYear,"",BM149+ROW()/1000000)))</f>
        <v>0</v>
      </c>
      <c r="BT149" s="17">
        <f>IF(Lists!$F149="","",Lists!$F149)</f>
        <v>0</v>
      </c>
      <c r="BU149" s="23">
        <f>IF(BT149="","",COUNTIF('Content Calendar'!$X$5:$X$604,BT149))</f>
        <v>0</v>
      </c>
      <c r="BV149" s="23">
        <f>IF(BT149="","",COUNTIFS('Content Calendar'!$X$5:$X$604,BT149,'Content Calendar'!$B$5:$B$604,"&gt;="&amp;DashStart,'Content Calendar'!$B$5:$B$604,"&lt;="&amp;DashEnd))</f>
        <v>0</v>
      </c>
      <c r="BW149" s="17">
        <f>IF(Team!$B$149="","",Team!$B$149)</f>
        <v>0</v>
      </c>
      <c r="BX149" s="23">
        <f>IF(BW149="","",COUNTIF('Content Calendar'!$W$5:$W$604,BW149))</f>
        <v>0</v>
      </c>
      <c r="BY149" s="23">
        <f>IF(BW149="","",COUNTIFS('Content Calendar'!$W$5:$W$604,BW149,'Content Calendar'!$X$5:$X$604,"&lt;&gt;Published"))</f>
        <v>0</v>
      </c>
      <c r="BZ149" s="23">
        <f>IF(BW149="","",COUNTIFS(Tasks!$C$5:$C$64,BW149,Tasks!$G$5:$G$64,"&lt;&gt;Complete"))</f>
        <v>0</v>
      </c>
      <c r="CA149" s="17">
        <f>IF(Campaigns!$B$149="","",Campaigns!$B$149)</f>
        <v>0</v>
      </c>
      <c r="CB149" s="25">
        <f>IF(Campaigns!$T$149="","",Campaigns!$T$149)</f>
        <v>0</v>
      </c>
      <c r="CC149" s="25">
        <f>IF(Campaigns!$Q$149="","",Campaigns!$Q$149)</f>
        <v>0</v>
      </c>
      <c r="CD149" s="23">
        <f>IF(Campaigns!$Y$149="","",Campaigns!$Y$149)</f>
        <v>0</v>
      </c>
      <c r="CE149" s="32">
        <f>IF(CA149="","",IF(N(CB149)&lt;=0,"",N(CB149)+ROW()/1000000))</f>
        <v>0</v>
      </c>
      <c r="CF149" s="17">
        <f>IF(Accounts!$C$149="","",Accounts!$C$149)</f>
        <v>0</v>
      </c>
      <c r="CG149" s="17">
        <f>IF(Accounts!$B$149="","",Accounts!$B$149)</f>
        <v>0</v>
      </c>
      <c r="CH149" s="23">
        <f>IF(Accounts!$J$149="","",Accounts!$J$149)</f>
        <v>0</v>
      </c>
      <c r="CI149" s="23">
        <f>IF(CF149="","",SUMIFS(Analytics!$X$5:$X$154,Analytics!$E$5:$E$154,CF149,Analytics!$B$5:$B$154,"&gt;="&amp;DashStart,Analytics!$B$5:$B$154,"&lt;="&amp;DashEnd))</f>
        <v>0</v>
      </c>
      <c r="CJ149" s="32">
        <f>IF(CH149="","",IF(CH149=0,"",CH149+ROW()/1000000))</f>
        <v>0</v>
      </c>
    </row>
    <row r="150" spans="1:88">
      <c r="A150" s="16">
        <f>IF(ROW()-4&gt;12,"",DATE(PlanYear,ROW()-4,1))</f>
        <v>0</v>
      </c>
      <c r="B150" s="16">
        <f>IF(A150="","",EOMONTH(A150,0))</f>
        <v>0</v>
      </c>
      <c r="C150" s="17">
        <f>IF(A150="","",TEXT(A150,"yyyy-mm"))</f>
        <v>0</v>
      </c>
      <c r="D150" s="17">
        <f>IF(A150="","",TEXT(A150,"mmm"))</f>
        <v>0</v>
      </c>
      <c r="E150" s="23">
        <f>IF(C150="","",COUNTIFS('Content Calendar'!$D$5:$D$604,C150))</f>
        <v>0</v>
      </c>
      <c r="F150" s="23">
        <f>IF(C150="","",COUNTIFS('Content Calendar'!$D$5:$D$604,C150,'Content Calendar'!$X$5:$X$604,"Published"))</f>
        <v>0</v>
      </c>
      <c r="G150" s="23">
        <f>IF(C150="","",SUMIFS(Analytics!$J$5:$J$154,Analytics!$C$5:$C$154,C150))</f>
        <v>0</v>
      </c>
      <c r="H150" s="23">
        <f>IF(C150="","",SUMIFS(Analytics!$K$5:$K$154,Analytics!$C$5:$C$154,C150))</f>
        <v>0</v>
      </c>
      <c r="I150" s="23">
        <f>IF(C150="","",SUMIFS(Analytics!$L$5:$L$154,Analytics!$C$5:$C$154,C150))</f>
        <v>0</v>
      </c>
      <c r="J150" s="24">
        <f>IF(OR(G150="",G150=0),"",I150/G150)</f>
        <v>0</v>
      </c>
      <c r="K150" s="23">
        <f>IF(C150="","",SUMIFS(Analytics!$G$5:$G$154,Analytics!$C$5:$C$154,C150))</f>
        <v>0</v>
      </c>
      <c r="L150" s="23">
        <f>IF(C150="","",SUMIFS(Analytics!$X$5:$X$154,Analytics!$C$5:$C$154,C150))</f>
        <v>0</v>
      </c>
      <c r="M150" s="23">
        <f>IF(C150="","",SUMIFS(Analytics!$R$5:$R$154,Analytics!$C$5:$C$154,C150))</f>
        <v>0</v>
      </c>
      <c r="N150" s="23">
        <f>IF(C150="","",SUMIFS(Analytics!$S$5:$S$154,Analytics!$C$5:$C$154,C150))</f>
        <v>0</v>
      </c>
      <c r="O150" s="23">
        <f>IF(C150="","",SUMIFS(Analytics!$T$5:$T$154,Analytics!$C$5:$C$154,C150))</f>
        <v>0</v>
      </c>
      <c r="P150" s="25">
        <f>IF(C150="","",SUMIFS(Analytics!$U$5:$U$154,Analytics!$C$5:$C$154,C150))</f>
        <v>0</v>
      </c>
      <c r="Q150" s="25">
        <f>IF(C150="","",SUMIFS(Budget!$H$5:$H$64,Budget!$C$5:$C$64,C150))</f>
        <v>0</v>
      </c>
      <c r="R150" s="25">
        <f>IF(C150="","",P150-Q150)</f>
        <v>0</v>
      </c>
      <c r="S150" s="23">
        <f>IF(C150="","",MonthlyPostTarget)</f>
        <v>0</v>
      </c>
      <c r="T150" s="17">
        <f>IF(Lists!$C150="","",Lists!$C150)</f>
        <v>0</v>
      </c>
      <c r="U150" s="23">
        <f>IF(T150="","",COUNTIFS('Content Calendar'!$G$5:$G$604,T150,'Content Calendar'!$B$5:$B$604,"&gt;="&amp;DashStart,'Content Calendar'!$B$5:$B$604,"&lt;="&amp;DashEnd))</f>
        <v>0</v>
      </c>
      <c r="V150" s="23">
        <f>IF(T150="","",COUNTIFS('Content Calendar'!$G$5:$G$604,T150,'Content Calendar'!$X$5:$X$604,"Published",'Content Calendar'!$B$5:$B$604,"&gt;="&amp;DashStart,'Content Calendar'!$B$5:$B$604,"&lt;="&amp;DashEnd))</f>
        <v>0</v>
      </c>
      <c r="W150" s="23">
        <f>IF(T150="","",SUMIFS(Analytics!$J$5:$J$154,Analytics!$D$5:$D$154,T150,Analytics!$B$5:$B$154,"&gt;="&amp;DashStart,Analytics!$B$5:$B$154,"&lt;="&amp;DashEnd))</f>
        <v>0</v>
      </c>
      <c r="X150" s="23">
        <f>IF(T150="","",SUMIFS(Analytics!$L$5:$L$154,Analytics!$D$5:$D$154,T150,Analytics!$B$5:$B$154,"&gt;="&amp;DashStart,Analytics!$B$5:$B$154,"&lt;="&amp;DashEnd))</f>
        <v>0</v>
      </c>
      <c r="Y150" s="24">
        <f>IF(OR(W150="",W150=0),"",X150/W150)</f>
        <v>0</v>
      </c>
      <c r="Z150" s="23">
        <f>IF(T150="","",SUMIFS(Analytics!$G$5:$G$154,Analytics!$D$5:$D$154,T150,Analytics!$B$5:$B$154,"&gt;="&amp;DashStart,Analytics!$B$5:$B$154,"&lt;="&amp;DashEnd))</f>
        <v>0</v>
      </c>
      <c r="AA150" s="23">
        <f>IF(T150="","",SUMIFS(Analytics!$X$5:$X$154,Analytics!$D$5:$D$154,T150,Analytics!$B$5:$B$154,"&gt;="&amp;DashStart,Analytics!$B$5:$B$154,"&lt;="&amp;DashEnd))</f>
        <v>0</v>
      </c>
      <c r="AB150" s="23">
        <f>IF(T150="","",SUMIFS(Analytics!$R$5:$R$154,Analytics!$D$5:$D$154,T150,Analytics!$B$5:$B$154,"&gt;="&amp;DashStart,Analytics!$B$5:$B$154,"&lt;="&amp;DashEnd))</f>
        <v>0</v>
      </c>
      <c r="AC150" s="25">
        <f>IF(T150="","",SUMIFS(Analytics!$U$5:$U$154,Analytics!$D$5:$D$154,T150,Analytics!$B$5:$B$154,"&gt;="&amp;DashStart,Analytics!$B$5:$B$154,"&lt;="&amp;DashEnd))</f>
        <v>0</v>
      </c>
      <c r="AD150" s="23">
        <f>IF(T150="","",COUNTIFS('Content Calendar'!$G$5:$G$604,T150,'Content Calendar'!$B$5:$B$604,"&gt;="&amp;DATE(PlanYear,1,1),'Content Calendar'!$B$5:$B$604,"&lt;="&amp;DATE(PlanYear,12,31)))</f>
        <v>0</v>
      </c>
      <c r="AE150" s="23">
        <f>IF(T150="","",SUMIFS(Analytics!$J$5:$J$154,Analytics!$D$5:$D$154,T150))</f>
        <v>0</v>
      </c>
      <c r="AF150" s="23">
        <f>IF(T150="","",SUMIFS(Analytics!$L$5:$L$154,Analytics!$D$5:$D$154,T150))</f>
        <v>0</v>
      </c>
      <c r="AG150" s="24">
        <f>IF(OR(AE150="",AE150=0),"",AF150/AE150)</f>
        <v>0</v>
      </c>
      <c r="AH150" s="23">
        <f>IF(T150="","",SUMIFS(Analytics!$X$5:$X$154,Analytics!$D$5:$D$154,T150))</f>
        <v>0</v>
      </c>
      <c r="AI150" s="32">
        <f>IF(T150="","",IF(AE150=0,"",AE150+ROW()/1000000))</f>
        <v>0</v>
      </c>
      <c r="AJ150" s="17">
        <f>IF('Content Pillars'!$B$150="","",'Content Pillars'!$B$150)</f>
        <v>0</v>
      </c>
      <c r="AK150" s="23">
        <f>IF(AJ150="","",COUNTIFS('Content Calendar'!$J$5:$J$604,AJ150,'Content Calendar'!$B$5:$B$604,"&gt;="&amp;DATE(PlanYear,1,1),'Content Calendar'!$B$5:$B$604,"&lt;="&amp;DATE(PlanYear,12,31)))</f>
        <v>0</v>
      </c>
      <c r="AL150" s="23">
        <f>IF(AJ150="","",SUMIFS(Performance!$O$5:$O$404,Performance!$H$5:$H$404,AJ150))</f>
        <v>0</v>
      </c>
      <c r="AM150" s="23">
        <f>IF(AJ150="","",SUMIFS(Performance!$Z$5:$Z$404,Performance!$H$5:$H$404,AJ150))</f>
        <v>0</v>
      </c>
      <c r="AN150" s="24">
        <f>IF(OR(AL150="",AL150=0),"",AM150/AL150)</f>
        <v>0</v>
      </c>
      <c r="AO150" s="32">
        <f>IF(AN150="","",AN150+ROW()/1000000)</f>
        <v>0</v>
      </c>
      <c r="AP150" s="17">
        <f>IF(Lists!$E150="","",Lists!$E150)</f>
        <v>0</v>
      </c>
      <c r="AQ150" s="23">
        <f>IF(AP150="","",COUNTIF(Performance!$G$5:$G$404,AP150))</f>
        <v>0</v>
      </c>
      <c r="AR150" s="23">
        <f>IF(AP150="","",SUMIFS(Performance!$O$5:$O$404,Performance!$G$5:$G$404,AP150))</f>
        <v>0</v>
      </c>
      <c r="AS150" s="23">
        <f>IF(AP150="","",SUMIFS(Performance!$Z$5:$Z$404,Performance!$G$5:$G$404,AP150))</f>
        <v>0</v>
      </c>
      <c r="AT150" s="24">
        <f>IF(OR(AR150="",AR150=0),"",AS150/AR150)</f>
        <v>0</v>
      </c>
      <c r="AU150" s="32">
        <f>IF(AQ150=0,"",IF(AT150="","",AT150+ROW()/1000000))</f>
        <v>0</v>
      </c>
      <c r="AV150" s="17">
        <f>IF(ROW()-4&gt;7,"",TEXT(DATE(2024,1,ROW()-4),"ddd"))</f>
        <v>0</v>
      </c>
      <c r="AW150" s="23">
        <f>IF(AV150="","",COUNTIF(Performance!$N$5:$N$404,AV150))</f>
        <v>0</v>
      </c>
      <c r="AX150" s="23">
        <f>IF(AV150="","",SUMIFS(Performance!$O$5:$O$404,Performance!$N$5:$N$404,AV150))</f>
        <v>0</v>
      </c>
      <c r="AY150" s="23">
        <f>IF(AV150="","",SUMIFS(Performance!$Z$5:$Z$404,Performance!$N$5:$N$404,AV150))</f>
        <v>0</v>
      </c>
      <c r="AZ150" s="24">
        <f>IF(OR(AX150="",AX150=0),"",AY150/AX150)</f>
        <v>0</v>
      </c>
      <c r="BA150" s="32">
        <f>IF(AW150=0,"",IF(AZ150="","",AZ150+ROW()/1000000))</f>
        <v>0</v>
      </c>
      <c r="BB150" s="17">
        <f>IF(Lists!$AL150="","",Lists!$AL150)</f>
        <v>0</v>
      </c>
      <c r="BC150" s="23">
        <f>IF(BB150="","",COUNTIF(Performance!$M$5:$M$404,BB150))</f>
        <v>0</v>
      </c>
      <c r="BD150" s="23">
        <f>IF(BB150="","",SUMIFS(Performance!$O$5:$O$404,Performance!$M$5:$M$404,BB150))</f>
        <v>0</v>
      </c>
      <c r="BE150" s="23">
        <f>IF(BB150="","",SUMIFS(Performance!$Z$5:$Z$404,Performance!$M$5:$M$404,BB150))</f>
        <v>0</v>
      </c>
      <c r="BF150" s="24">
        <f>IF(OR(BD150="",BD150=0),"",BE150/BD150)</f>
        <v>0</v>
      </c>
      <c r="BG150" s="32">
        <f>IF(BC150=0,"",IF(BF150="","",BF150+ROW()/1000000))</f>
        <v>0</v>
      </c>
      <c r="BH150" s="17">
        <f>IF(Performance!$C$150="","",Performance!$C$150)</f>
        <v>0</v>
      </c>
      <c r="BI150" s="17">
        <f>IF(Performance!$F$150="","",Performance!$F$150)</f>
        <v>0</v>
      </c>
      <c r="BJ150" s="17">
        <f>IF(Performance!$H$150="","",Performance!$H$150)</f>
        <v>0</v>
      </c>
      <c r="BK150" s="16">
        <f>IF(Performance!$D$150="","",Performance!$D$150)</f>
        <v>0</v>
      </c>
      <c r="BL150" s="17">
        <f>IF(Performance!$E$150="","",Performance!$E$150)</f>
        <v>0</v>
      </c>
      <c r="BM150" s="23">
        <f>IF(Performance!$O$150="","",Performance!$O$150)</f>
        <v>0</v>
      </c>
      <c r="BN150" s="24">
        <f>IF(Performance!$AA$150="","",Performance!$AA$150)</f>
        <v>0</v>
      </c>
      <c r="BO150" s="32">
        <f>IF(BH150="","",IF(BK150="","",IF(OR(BK150&lt;DashStart,BK150&gt;DashEnd),"",IF(BN150="","",BN150+ROW()/1000000))))</f>
        <v>0</v>
      </c>
      <c r="BP150" s="32">
        <f>IF(BM150="","",IF(BK150="","",IF(OR(BK150&lt;DashStart,BK150&gt;DashEnd),"",BM150+ROW()/1000000)))</f>
        <v>0</v>
      </c>
      <c r="BQ150" s="32">
        <f>IF(BH150="","",IF(BK150="","",IF(YEAR(BK150)&lt;&gt;PlanYear,"",IF(BN150="","",BN150+ROW()/1000000))))</f>
        <v>0</v>
      </c>
      <c r="BR150" s="32">
        <f>IF(BH150="","",IF(BK150="","",IF(OR(BK150&lt;RepFrom,BK150&gt;RepTo),"",IF(BN150="","",BN150+ROW()/1000000))))</f>
        <v>0</v>
      </c>
      <c r="BS150" s="32">
        <f>IF(BM150="","",IF(BK150="","",IF(YEAR(BK150)&lt;&gt;PlanYear,"",BM150+ROW()/1000000)))</f>
        <v>0</v>
      </c>
      <c r="BT150" s="17">
        <f>IF(Lists!$F150="","",Lists!$F150)</f>
        <v>0</v>
      </c>
      <c r="BU150" s="23">
        <f>IF(BT150="","",COUNTIF('Content Calendar'!$X$5:$X$604,BT150))</f>
        <v>0</v>
      </c>
      <c r="BV150" s="23">
        <f>IF(BT150="","",COUNTIFS('Content Calendar'!$X$5:$X$604,BT150,'Content Calendar'!$B$5:$B$604,"&gt;="&amp;DashStart,'Content Calendar'!$B$5:$B$604,"&lt;="&amp;DashEnd))</f>
        <v>0</v>
      </c>
      <c r="BW150" s="17">
        <f>IF(Team!$B$150="","",Team!$B$150)</f>
        <v>0</v>
      </c>
      <c r="BX150" s="23">
        <f>IF(BW150="","",COUNTIF('Content Calendar'!$W$5:$W$604,BW150))</f>
        <v>0</v>
      </c>
      <c r="BY150" s="23">
        <f>IF(BW150="","",COUNTIFS('Content Calendar'!$W$5:$W$604,BW150,'Content Calendar'!$X$5:$X$604,"&lt;&gt;Published"))</f>
        <v>0</v>
      </c>
      <c r="BZ150" s="23">
        <f>IF(BW150="","",COUNTIFS(Tasks!$C$5:$C$64,BW150,Tasks!$G$5:$G$64,"&lt;&gt;Complete"))</f>
        <v>0</v>
      </c>
      <c r="CA150" s="17">
        <f>IF(Campaigns!$B$150="","",Campaigns!$B$150)</f>
        <v>0</v>
      </c>
      <c r="CB150" s="25">
        <f>IF(Campaigns!$T$150="","",Campaigns!$T$150)</f>
        <v>0</v>
      </c>
      <c r="CC150" s="25">
        <f>IF(Campaigns!$Q$150="","",Campaigns!$Q$150)</f>
        <v>0</v>
      </c>
      <c r="CD150" s="23">
        <f>IF(Campaigns!$Y$150="","",Campaigns!$Y$150)</f>
        <v>0</v>
      </c>
      <c r="CE150" s="32">
        <f>IF(CA150="","",IF(N(CB150)&lt;=0,"",N(CB150)+ROW()/1000000))</f>
        <v>0</v>
      </c>
      <c r="CF150" s="17">
        <f>IF(Accounts!$C$150="","",Accounts!$C$150)</f>
        <v>0</v>
      </c>
      <c r="CG150" s="17">
        <f>IF(Accounts!$B$150="","",Accounts!$B$150)</f>
        <v>0</v>
      </c>
      <c r="CH150" s="23">
        <f>IF(Accounts!$J$150="","",Accounts!$J$150)</f>
        <v>0</v>
      </c>
      <c r="CI150" s="23">
        <f>IF(CF150="","",SUMIFS(Analytics!$X$5:$X$154,Analytics!$E$5:$E$154,CF150,Analytics!$B$5:$B$154,"&gt;="&amp;DashStart,Analytics!$B$5:$B$154,"&lt;="&amp;DashEnd))</f>
        <v>0</v>
      </c>
      <c r="CJ150" s="32">
        <f>IF(CH150="","",IF(CH150=0,"",CH150+ROW()/1000000))</f>
        <v>0</v>
      </c>
    </row>
    <row r="151" spans="1:88">
      <c r="A151" s="16">
        <f>IF(ROW()-4&gt;12,"",DATE(PlanYear,ROW()-4,1))</f>
        <v>0</v>
      </c>
      <c r="B151" s="16">
        <f>IF(A151="","",EOMONTH(A151,0))</f>
        <v>0</v>
      </c>
      <c r="C151" s="17">
        <f>IF(A151="","",TEXT(A151,"yyyy-mm"))</f>
        <v>0</v>
      </c>
      <c r="D151" s="17">
        <f>IF(A151="","",TEXT(A151,"mmm"))</f>
        <v>0</v>
      </c>
      <c r="E151" s="23">
        <f>IF(C151="","",COUNTIFS('Content Calendar'!$D$5:$D$604,C151))</f>
        <v>0</v>
      </c>
      <c r="F151" s="23">
        <f>IF(C151="","",COUNTIFS('Content Calendar'!$D$5:$D$604,C151,'Content Calendar'!$X$5:$X$604,"Published"))</f>
        <v>0</v>
      </c>
      <c r="G151" s="23">
        <f>IF(C151="","",SUMIFS(Analytics!$J$5:$J$154,Analytics!$C$5:$C$154,C151))</f>
        <v>0</v>
      </c>
      <c r="H151" s="23">
        <f>IF(C151="","",SUMIFS(Analytics!$K$5:$K$154,Analytics!$C$5:$C$154,C151))</f>
        <v>0</v>
      </c>
      <c r="I151" s="23">
        <f>IF(C151="","",SUMIFS(Analytics!$L$5:$L$154,Analytics!$C$5:$C$154,C151))</f>
        <v>0</v>
      </c>
      <c r="J151" s="24">
        <f>IF(OR(G151="",G151=0),"",I151/G151)</f>
        <v>0</v>
      </c>
      <c r="K151" s="23">
        <f>IF(C151="","",SUMIFS(Analytics!$G$5:$G$154,Analytics!$C$5:$C$154,C151))</f>
        <v>0</v>
      </c>
      <c r="L151" s="23">
        <f>IF(C151="","",SUMIFS(Analytics!$X$5:$X$154,Analytics!$C$5:$C$154,C151))</f>
        <v>0</v>
      </c>
      <c r="M151" s="23">
        <f>IF(C151="","",SUMIFS(Analytics!$R$5:$R$154,Analytics!$C$5:$C$154,C151))</f>
        <v>0</v>
      </c>
      <c r="N151" s="23">
        <f>IF(C151="","",SUMIFS(Analytics!$S$5:$S$154,Analytics!$C$5:$C$154,C151))</f>
        <v>0</v>
      </c>
      <c r="O151" s="23">
        <f>IF(C151="","",SUMIFS(Analytics!$T$5:$T$154,Analytics!$C$5:$C$154,C151))</f>
        <v>0</v>
      </c>
      <c r="P151" s="25">
        <f>IF(C151="","",SUMIFS(Analytics!$U$5:$U$154,Analytics!$C$5:$C$154,C151))</f>
        <v>0</v>
      </c>
      <c r="Q151" s="25">
        <f>IF(C151="","",SUMIFS(Budget!$H$5:$H$64,Budget!$C$5:$C$64,C151))</f>
        <v>0</v>
      </c>
      <c r="R151" s="25">
        <f>IF(C151="","",P151-Q151)</f>
        <v>0</v>
      </c>
      <c r="S151" s="23">
        <f>IF(C151="","",MonthlyPostTarget)</f>
        <v>0</v>
      </c>
      <c r="T151" s="17">
        <f>IF(Lists!$C151="","",Lists!$C151)</f>
        <v>0</v>
      </c>
      <c r="U151" s="23">
        <f>IF(T151="","",COUNTIFS('Content Calendar'!$G$5:$G$604,T151,'Content Calendar'!$B$5:$B$604,"&gt;="&amp;DashStart,'Content Calendar'!$B$5:$B$604,"&lt;="&amp;DashEnd))</f>
        <v>0</v>
      </c>
      <c r="V151" s="23">
        <f>IF(T151="","",COUNTIFS('Content Calendar'!$G$5:$G$604,T151,'Content Calendar'!$X$5:$X$604,"Published",'Content Calendar'!$B$5:$B$604,"&gt;="&amp;DashStart,'Content Calendar'!$B$5:$B$604,"&lt;="&amp;DashEnd))</f>
        <v>0</v>
      </c>
      <c r="W151" s="23">
        <f>IF(T151="","",SUMIFS(Analytics!$J$5:$J$154,Analytics!$D$5:$D$154,T151,Analytics!$B$5:$B$154,"&gt;="&amp;DashStart,Analytics!$B$5:$B$154,"&lt;="&amp;DashEnd))</f>
        <v>0</v>
      </c>
      <c r="X151" s="23">
        <f>IF(T151="","",SUMIFS(Analytics!$L$5:$L$154,Analytics!$D$5:$D$154,T151,Analytics!$B$5:$B$154,"&gt;="&amp;DashStart,Analytics!$B$5:$B$154,"&lt;="&amp;DashEnd))</f>
        <v>0</v>
      </c>
      <c r="Y151" s="24">
        <f>IF(OR(W151="",W151=0),"",X151/W151)</f>
        <v>0</v>
      </c>
      <c r="Z151" s="23">
        <f>IF(T151="","",SUMIFS(Analytics!$G$5:$G$154,Analytics!$D$5:$D$154,T151,Analytics!$B$5:$B$154,"&gt;="&amp;DashStart,Analytics!$B$5:$B$154,"&lt;="&amp;DashEnd))</f>
        <v>0</v>
      </c>
      <c r="AA151" s="23">
        <f>IF(T151="","",SUMIFS(Analytics!$X$5:$X$154,Analytics!$D$5:$D$154,T151,Analytics!$B$5:$B$154,"&gt;="&amp;DashStart,Analytics!$B$5:$B$154,"&lt;="&amp;DashEnd))</f>
        <v>0</v>
      </c>
      <c r="AB151" s="23">
        <f>IF(T151="","",SUMIFS(Analytics!$R$5:$R$154,Analytics!$D$5:$D$154,T151,Analytics!$B$5:$B$154,"&gt;="&amp;DashStart,Analytics!$B$5:$B$154,"&lt;="&amp;DashEnd))</f>
        <v>0</v>
      </c>
      <c r="AC151" s="25">
        <f>IF(T151="","",SUMIFS(Analytics!$U$5:$U$154,Analytics!$D$5:$D$154,T151,Analytics!$B$5:$B$154,"&gt;="&amp;DashStart,Analytics!$B$5:$B$154,"&lt;="&amp;DashEnd))</f>
        <v>0</v>
      </c>
      <c r="AD151" s="23">
        <f>IF(T151="","",COUNTIFS('Content Calendar'!$G$5:$G$604,T151,'Content Calendar'!$B$5:$B$604,"&gt;="&amp;DATE(PlanYear,1,1),'Content Calendar'!$B$5:$B$604,"&lt;="&amp;DATE(PlanYear,12,31)))</f>
        <v>0</v>
      </c>
      <c r="AE151" s="23">
        <f>IF(T151="","",SUMIFS(Analytics!$J$5:$J$154,Analytics!$D$5:$D$154,T151))</f>
        <v>0</v>
      </c>
      <c r="AF151" s="23">
        <f>IF(T151="","",SUMIFS(Analytics!$L$5:$L$154,Analytics!$D$5:$D$154,T151))</f>
        <v>0</v>
      </c>
      <c r="AG151" s="24">
        <f>IF(OR(AE151="",AE151=0),"",AF151/AE151)</f>
        <v>0</v>
      </c>
      <c r="AH151" s="23">
        <f>IF(T151="","",SUMIFS(Analytics!$X$5:$X$154,Analytics!$D$5:$D$154,T151))</f>
        <v>0</v>
      </c>
      <c r="AI151" s="32">
        <f>IF(T151="","",IF(AE151=0,"",AE151+ROW()/1000000))</f>
        <v>0</v>
      </c>
      <c r="AJ151" s="17">
        <f>IF('Content Pillars'!$B$151="","",'Content Pillars'!$B$151)</f>
        <v>0</v>
      </c>
      <c r="AK151" s="23">
        <f>IF(AJ151="","",COUNTIFS('Content Calendar'!$J$5:$J$604,AJ151,'Content Calendar'!$B$5:$B$604,"&gt;="&amp;DATE(PlanYear,1,1),'Content Calendar'!$B$5:$B$604,"&lt;="&amp;DATE(PlanYear,12,31)))</f>
        <v>0</v>
      </c>
      <c r="AL151" s="23">
        <f>IF(AJ151="","",SUMIFS(Performance!$O$5:$O$404,Performance!$H$5:$H$404,AJ151))</f>
        <v>0</v>
      </c>
      <c r="AM151" s="23">
        <f>IF(AJ151="","",SUMIFS(Performance!$Z$5:$Z$404,Performance!$H$5:$H$404,AJ151))</f>
        <v>0</v>
      </c>
      <c r="AN151" s="24">
        <f>IF(OR(AL151="",AL151=0),"",AM151/AL151)</f>
        <v>0</v>
      </c>
      <c r="AO151" s="32">
        <f>IF(AN151="","",AN151+ROW()/1000000)</f>
        <v>0</v>
      </c>
      <c r="AP151" s="17">
        <f>IF(Lists!$E151="","",Lists!$E151)</f>
        <v>0</v>
      </c>
      <c r="AQ151" s="23">
        <f>IF(AP151="","",COUNTIF(Performance!$G$5:$G$404,AP151))</f>
        <v>0</v>
      </c>
      <c r="AR151" s="23">
        <f>IF(AP151="","",SUMIFS(Performance!$O$5:$O$404,Performance!$G$5:$G$404,AP151))</f>
        <v>0</v>
      </c>
      <c r="AS151" s="23">
        <f>IF(AP151="","",SUMIFS(Performance!$Z$5:$Z$404,Performance!$G$5:$G$404,AP151))</f>
        <v>0</v>
      </c>
      <c r="AT151" s="24">
        <f>IF(OR(AR151="",AR151=0),"",AS151/AR151)</f>
        <v>0</v>
      </c>
      <c r="AU151" s="32">
        <f>IF(AQ151=0,"",IF(AT151="","",AT151+ROW()/1000000))</f>
        <v>0</v>
      </c>
      <c r="AV151" s="17">
        <f>IF(ROW()-4&gt;7,"",TEXT(DATE(2024,1,ROW()-4),"ddd"))</f>
        <v>0</v>
      </c>
      <c r="AW151" s="23">
        <f>IF(AV151="","",COUNTIF(Performance!$N$5:$N$404,AV151))</f>
        <v>0</v>
      </c>
      <c r="AX151" s="23">
        <f>IF(AV151="","",SUMIFS(Performance!$O$5:$O$404,Performance!$N$5:$N$404,AV151))</f>
        <v>0</v>
      </c>
      <c r="AY151" s="23">
        <f>IF(AV151="","",SUMIFS(Performance!$Z$5:$Z$404,Performance!$N$5:$N$404,AV151))</f>
        <v>0</v>
      </c>
      <c r="AZ151" s="24">
        <f>IF(OR(AX151="",AX151=0),"",AY151/AX151)</f>
        <v>0</v>
      </c>
      <c r="BA151" s="32">
        <f>IF(AW151=0,"",IF(AZ151="","",AZ151+ROW()/1000000))</f>
        <v>0</v>
      </c>
      <c r="BB151" s="17">
        <f>IF(Lists!$AL151="","",Lists!$AL151)</f>
        <v>0</v>
      </c>
      <c r="BC151" s="23">
        <f>IF(BB151="","",COUNTIF(Performance!$M$5:$M$404,BB151))</f>
        <v>0</v>
      </c>
      <c r="BD151" s="23">
        <f>IF(BB151="","",SUMIFS(Performance!$O$5:$O$404,Performance!$M$5:$M$404,BB151))</f>
        <v>0</v>
      </c>
      <c r="BE151" s="23">
        <f>IF(BB151="","",SUMIFS(Performance!$Z$5:$Z$404,Performance!$M$5:$M$404,BB151))</f>
        <v>0</v>
      </c>
      <c r="BF151" s="24">
        <f>IF(OR(BD151="",BD151=0),"",BE151/BD151)</f>
        <v>0</v>
      </c>
      <c r="BG151" s="32">
        <f>IF(BC151=0,"",IF(BF151="","",BF151+ROW()/1000000))</f>
        <v>0</v>
      </c>
      <c r="BH151" s="17">
        <f>IF(Performance!$C$151="","",Performance!$C$151)</f>
        <v>0</v>
      </c>
      <c r="BI151" s="17">
        <f>IF(Performance!$F$151="","",Performance!$F$151)</f>
        <v>0</v>
      </c>
      <c r="BJ151" s="17">
        <f>IF(Performance!$H$151="","",Performance!$H$151)</f>
        <v>0</v>
      </c>
      <c r="BK151" s="16">
        <f>IF(Performance!$D$151="","",Performance!$D$151)</f>
        <v>0</v>
      </c>
      <c r="BL151" s="17">
        <f>IF(Performance!$E$151="","",Performance!$E$151)</f>
        <v>0</v>
      </c>
      <c r="BM151" s="23">
        <f>IF(Performance!$O$151="","",Performance!$O$151)</f>
        <v>0</v>
      </c>
      <c r="BN151" s="24">
        <f>IF(Performance!$AA$151="","",Performance!$AA$151)</f>
        <v>0</v>
      </c>
      <c r="BO151" s="32">
        <f>IF(BH151="","",IF(BK151="","",IF(OR(BK151&lt;DashStart,BK151&gt;DashEnd),"",IF(BN151="","",BN151+ROW()/1000000))))</f>
        <v>0</v>
      </c>
      <c r="BP151" s="32">
        <f>IF(BM151="","",IF(BK151="","",IF(OR(BK151&lt;DashStart,BK151&gt;DashEnd),"",BM151+ROW()/1000000)))</f>
        <v>0</v>
      </c>
      <c r="BQ151" s="32">
        <f>IF(BH151="","",IF(BK151="","",IF(YEAR(BK151)&lt;&gt;PlanYear,"",IF(BN151="","",BN151+ROW()/1000000))))</f>
        <v>0</v>
      </c>
      <c r="BR151" s="32">
        <f>IF(BH151="","",IF(BK151="","",IF(OR(BK151&lt;RepFrom,BK151&gt;RepTo),"",IF(BN151="","",BN151+ROW()/1000000))))</f>
        <v>0</v>
      </c>
      <c r="BS151" s="32">
        <f>IF(BM151="","",IF(BK151="","",IF(YEAR(BK151)&lt;&gt;PlanYear,"",BM151+ROW()/1000000)))</f>
        <v>0</v>
      </c>
      <c r="BT151" s="17">
        <f>IF(Lists!$F151="","",Lists!$F151)</f>
        <v>0</v>
      </c>
      <c r="BU151" s="23">
        <f>IF(BT151="","",COUNTIF('Content Calendar'!$X$5:$X$604,BT151))</f>
        <v>0</v>
      </c>
      <c r="BV151" s="23">
        <f>IF(BT151="","",COUNTIFS('Content Calendar'!$X$5:$X$604,BT151,'Content Calendar'!$B$5:$B$604,"&gt;="&amp;DashStart,'Content Calendar'!$B$5:$B$604,"&lt;="&amp;DashEnd))</f>
        <v>0</v>
      </c>
      <c r="BW151" s="17">
        <f>IF(Team!$B$151="","",Team!$B$151)</f>
        <v>0</v>
      </c>
      <c r="BX151" s="23">
        <f>IF(BW151="","",COUNTIF('Content Calendar'!$W$5:$W$604,BW151))</f>
        <v>0</v>
      </c>
      <c r="BY151" s="23">
        <f>IF(BW151="","",COUNTIFS('Content Calendar'!$W$5:$W$604,BW151,'Content Calendar'!$X$5:$X$604,"&lt;&gt;Published"))</f>
        <v>0</v>
      </c>
      <c r="BZ151" s="23">
        <f>IF(BW151="","",COUNTIFS(Tasks!$C$5:$C$64,BW151,Tasks!$G$5:$G$64,"&lt;&gt;Complete"))</f>
        <v>0</v>
      </c>
      <c r="CA151" s="17">
        <f>IF(Campaigns!$B$151="","",Campaigns!$B$151)</f>
        <v>0</v>
      </c>
      <c r="CB151" s="25">
        <f>IF(Campaigns!$T$151="","",Campaigns!$T$151)</f>
        <v>0</v>
      </c>
      <c r="CC151" s="25">
        <f>IF(Campaigns!$Q$151="","",Campaigns!$Q$151)</f>
        <v>0</v>
      </c>
      <c r="CD151" s="23">
        <f>IF(Campaigns!$Y$151="","",Campaigns!$Y$151)</f>
        <v>0</v>
      </c>
      <c r="CE151" s="32">
        <f>IF(CA151="","",IF(N(CB151)&lt;=0,"",N(CB151)+ROW()/1000000))</f>
        <v>0</v>
      </c>
      <c r="CF151" s="17">
        <f>IF(Accounts!$C$151="","",Accounts!$C$151)</f>
        <v>0</v>
      </c>
      <c r="CG151" s="17">
        <f>IF(Accounts!$B$151="","",Accounts!$B$151)</f>
        <v>0</v>
      </c>
      <c r="CH151" s="23">
        <f>IF(Accounts!$J$151="","",Accounts!$J$151)</f>
        <v>0</v>
      </c>
      <c r="CI151" s="23">
        <f>IF(CF151="","",SUMIFS(Analytics!$X$5:$X$154,Analytics!$E$5:$E$154,CF151,Analytics!$B$5:$B$154,"&gt;="&amp;DashStart,Analytics!$B$5:$B$154,"&lt;="&amp;DashEnd))</f>
        <v>0</v>
      </c>
      <c r="CJ151" s="32">
        <f>IF(CH151="","",IF(CH151=0,"",CH151+ROW()/1000000))</f>
        <v>0</v>
      </c>
    </row>
    <row r="152" spans="1:88">
      <c r="A152" s="16">
        <f>IF(ROW()-4&gt;12,"",DATE(PlanYear,ROW()-4,1))</f>
        <v>0</v>
      </c>
      <c r="B152" s="16">
        <f>IF(A152="","",EOMONTH(A152,0))</f>
        <v>0</v>
      </c>
      <c r="C152" s="17">
        <f>IF(A152="","",TEXT(A152,"yyyy-mm"))</f>
        <v>0</v>
      </c>
      <c r="D152" s="17">
        <f>IF(A152="","",TEXT(A152,"mmm"))</f>
        <v>0</v>
      </c>
      <c r="E152" s="23">
        <f>IF(C152="","",COUNTIFS('Content Calendar'!$D$5:$D$604,C152))</f>
        <v>0</v>
      </c>
      <c r="F152" s="23">
        <f>IF(C152="","",COUNTIFS('Content Calendar'!$D$5:$D$604,C152,'Content Calendar'!$X$5:$X$604,"Published"))</f>
        <v>0</v>
      </c>
      <c r="G152" s="23">
        <f>IF(C152="","",SUMIFS(Analytics!$J$5:$J$154,Analytics!$C$5:$C$154,C152))</f>
        <v>0</v>
      </c>
      <c r="H152" s="23">
        <f>IF(C152="","",SUMIFS(Analytics!$K$5:$K$154,Analytics!$C$5:$C$154,C152))</f>
        <v>0</v>
      </c>
      <c r="I152" s="23">
        <f>IF(C152="","",SUMIFS(Analytics!$L$5:$L$154,Analytics!$C$5:$C$154,C152))</f>
        <v>0</v>
      </c>
      <c r="J152" s="24">
        <f>IF(OR(G152="",G152=0),"",I152/G152)</f>
        <v>0</v>
      </c>
      <c r="K152" s="23">
        <f>IF(C152="","",SUMIFS(Analytics!$G$5:$G$154,Analytics!$C$5:$C$154,C152))</f>
        <v>0</v>
      </c>
      <c r="L152" s="23">
        <f>IF(C152="","",SUMIFS(Analytics!$X$5:$X$154,Analytics!$C$5:$C$154,C152))</f>
        <v>0</v>
      </c>
      <c r="M152" s="23">
        <f>IF(C152="","",SUMIFS(Analytics!$R$5:$R$154,Analytics!$C$5:$C$154,C152))</f>
        <v>0</v>
      </c>
      <c r="N152" s="23">
        <f>IF(C152="","",SUMIFS(Analytics!$S$5:$S$154,Analytics!$C$5:$C$154,C152))</f>
        <v>0</v>
      </c>
      <c r="O152" s="23">
        <f>IF(C152="","",SUMIFS(Analytics!$T$5:$T$154,Analytics!$C$5:$C$154,C152))</f>
        <v>0</v>
      </c>
      <c r="P152" s="25">
        <f>IF(C152="","",SUMIFS(Analytics!$U$5:$U$154,Analytics!$C$5:$C$154,C152))</f>
        <v>0</v>
      </c>
      <c r="Q152" s="25">
        <f>IF(C152="","",SUMIFS(Budget!$H$5:$H$64,Budget!$C$5:$C$64,C152))</f>
        <v>0</v>
      </c>
      <c r="R152" s="25">
        <f>IF(C152="","",P152-Q152)</f>
        <v>0</v>
      </c>
      <c r="S152" s="23">
        <f>IF(C152="","",MonthlyPostTarget)</f>
        <v>0</v>
      </c>
      <c r="T152" s="17">
        <f>IF(Lists!$C152="","",Lists!$C152)</f>
        <v>0</v>
      </c>
      <c r="U152" s="23">
        <f>IF(T152="","",COUNTIFS('Content Calendar'!$G$5:$G$604,T152,'Content Calendar'!$B$5:$B$604,"&gt;="&amp;DashStart,'Content Calendar'!$B$5:$B$604,"&lt;="&amp;DashEnd))</f>
        <v>0</v>
      </c>
      <c r="V152" s="23">
        <f>IF(T152="","",COUNTIFS('Content Calendar'!$G$5:$G$604,T152,'Content Calendar'!$X$5:$X$604,"Published",'Content Calendar'!$B$5:$B$604,"&gt;="&amp;DashStart,'Content Calendar'!$B$5:$B$604,"&lt;="&amp;DashEnd))</f>
        <v>0</v>
      </c>
      <c r="W152" s="23">
        <f>IF(T152="","",SUMIFS(Analytics!$J$5:$J$154,Analytics!$D$5:$D$154,T152,Analytics!$B$5:$B$154,"&gt;="&amp;DashStart,Analytics!$B$5:$B$154,"&lt;="&amp;DashEnd))</f>
        <v>0</v>
      </c>
      <c r="X152" s="23">
        <f>IF(T152="","",SUMIFS(Analytics!$L$5:$L$154,Analytics!$D$5:$D$154,T152,Analytics!$B$5:$B$154,"&gt;="&amp;DashStart,Analytics!$B$5:$B$154,"&lt;="&amp;DashEnd))</f>
        <v>0</v>
      </c>
      <c r="Y152" s="24">
        <f>IF(OR(W152="",W152=0),"",X152/W152)</f>
        <v>0</v>
      </c>
      <c r="Z152" s="23">
        <f>IF(T152="","",SUMIFS(Analytics!$G$5:$G$154,Analytics!$D$5:$D$154,T152,Analytics!$B$5:$B$154,"&gt;="&amp;DashStart,Analytics!$B$5:$B$154,"&lt;="&amp;DashEnd))</f>
        <v>0</v>
      </c>
      <c r="AA152" s="23">
        <f>IF(T152="","",SUMIFS(Analytics!$X$5:$X$154,Analytics!$D$5:$D$154,T152,Analytics!$B$5:$B$154,"&gt;="&amp;DashStart,Analytics!$B$5:$B$154,"&lt;="&amp;DashEnd))</f>
        <v>0</v>
      </c>
      <c r="AB152" s="23">
        <f>IF(T152="","",SUMIFS(Analytics!$R$5:$R$154,Analytics!$D$5:$D$154,T152,Analytics!$B$5:$B$154,"&gt;="&amp;DashStart,Analytics!$B$5:$B$154,"&lt;="&amp;DashEnd))</f>
        <v>0</v>
      </c>
      <c r="AC152" s="25">
        <f>IF(T152="","",SUMIFS(Analytics!$U$5:$U$154,Analytics!$D$5:$D$154,T152,Analytics!$B$5:$B$154,"&gt;="&amp;DashStart,Analytics!$B$5:$B$154,"&lt;="&amp;DashEnd))</f>
        <v>0</v>
      </c>
      <c r="AD152" s="23">
        <f>IF(T152="","",COUNTIFS('Content Calendar'!$G$5:$G$604,T152,'Content Calendar'!$B$5:$B$604,"&gt;="&amp;DATE(PlanYear,1,1),'Content Calendar'!$B$5:$B$604,"&lt;="&amp;DATE(PlanYear,12,31)))</f>
        <v>0</v>
      </c>
      <c r="AE152" s="23">
        <f>IF(T152="","",SUMIFS(Analytics!$J$5:$J$154,Analytics!$D$5:$D$154,T152))</f>
        <v>0</v>
      </c>
      <c r="AF152" s="23">
        <f>IF(T152="","",SUMIFS(Analytics!$L$5:$L$154,Analytics!$D$5:$D$154,T152))</f>
        <v>0</v>
      </c>
      <c r="AG152" s="24">
        <f>IF(OR(AE152="",AE152=0),"",AF152/AE152)</f>
        <v>0</v>
      </c>
      <c r="AH152" s="23">
        <f>IF(T152="","",SUMIFS(Analytics!$X$5:$X$154,Analytics!$D$5:$D$154,T152))</f>
        <v>0</v>
      </c>
      <c r="AI152" s="32">
        <f>IF(T152="","",IF(AE152=0,"",AE152+ROW()/1000000))</f>
        <v>0</v>
      </c>
      <c r="AJ152" s="17">
        <f>IF('Content Pillars'!$B$152="","",'Content Pillars'!$B$152)</f>
        <v>0</v>
      </c>
      <c r="AK152" s="23">
        <f>IF(AJ152="","",COUNTIFS('Content Calendar'!$J$5:$J$604,AJ152,'Content Calendar'!$B$5:$B$604,"&gt;="&amp;DATE(PlanYear,1,1),'Content Calendar'!$B$5:$B$604,"&lt;="&amp;DATE(PlanYear,12,31)))</f>
        <v>0</v>
      </c>
      <c r="AL152" s="23">
        <f>IF(AJ152="","",SUMIFS(Performance!$O$5:$O$404,Performance!$H$5:$H$404,AJ152))</f>
        <v>0</v>
      </c>
      <c r="AM152" s="23">
        <f>IF(AJ152="","",SUMIFS(Performance!$Z$5:$Z$404,Performance!$H$5:$H$404,AJ152))</f>
        <v>0</v>
      </c>
      <c r="AN152" s="24">
        <f>IF(OR(AL152="",AL152=0),"",AM152/AL152)</f>
        <v>0</v>
      </c>
      <c r="AO152" s="32">
        <f>IF(AN152="","",AN152+ROW()/1000000)</f>
        <v>0</v>
      </c>
      <c r="AP152" s="17">
        <f>IF(Lists!$E152="","",Lists!$E152)</f>
        <v>0</v>
      </c>
      <c r="AQ152" s="23">
        <f>IF(AP152="","",COUNTIF(Performance!$G$5:$G$404,AP152))</f>
        <v>0</v>
      </c>
      <c r="AR152" s="23">
        <f>IF(AP152="","",SUMIFS(Performance!$O$5:$O$404,Performance!$G$5:$G$404,AP152))</f>
        <v>0</v>
      </c>
      <c r="AS152" s="23">
        <f>IF(AP152="","",SUMIFS(Performance!$Z$5:$Z$404,Performance!$G$5:$G$404,AP152))</f>
        <v>0</v>
      </c>
      <c r="AT152" s="24">
        <f>IF(OR(AR152="",AR152=0),"",AS152/AR152)</f>
        <v>0</v>
      </c>
      <c r="AU152" s="32">
        <f>IF(AQ152=0,"",IF(AT152="","",AT152+ROW()/1000000))</f>
        <v>0</v>
      </c>
      <c r="AV152" s="17">
        <f>IF(ROW()-4&gt;7,"",TEXT(DATE(2024,1,ROW()-4),"ddd"))</f>
        <v>0</v>
      </c>
      <c r="AW152" s="23">
        <f>IF(AV152="","",COUNTIF(Performance!$N$5:$N$404,AV152))</f>
        <v>0</v>
      </c>
      <c r="AX152" s="23">
        <f>IF(AV152="","",SUMIFS(Performance!$O$5:$O$404,Performance!$N$5:$N$404,AV152))</f>
        <v>0</v>
      </c>
      <c r="AY152" s="23">
        <f>IF(AV152="","",SUMIFS(Performance!$Z$5:$Z$404,Performance!$N$5:$N$404,AV152))</f>
        <v>0</v>
      </c>
      <c r="AZ152" s="24">
        <f>IF(OR(AX152="",AX152=0),"",AY152/AX152)</f>
        <v>0</v>
      </c>
      <c r="BA152" s="32">
        <f>IF(AW152=0,"",IF(AZ152="","",AZ152+ROW()/1000000))</f>
        <v>0</v>
      </c>
      <c r="BB152" s="17">
        <f>IF(Lists!$AL152="","",Lists!$AL152)</f>
        <v>0</v>
      </c>
      <c r="BC152" s="23">
        <f>IF(BB152="","",COUNTIF(Performance!$M$5:$M$404,BB152))</f>
        <v>0</v>
      </c>
      <c r="BD152" s="23">
        <f>IF(BB152="","",SUMIFS(Performance!$O$5:$O$404,Performance!$M$5:$M$404,BB152))</f>
        <v>0</v>
      </c>
      <c r="BE152" s="23">
        <f>IF(BB152="","",SUMIFS(Performance!$Z$5:$Z$404,Performance!$M$5:$M$404,BB152))</f>
        <v>0</v>
      </c>
      <c r="BF152" s="24">
        <f>IF(OR(BD152="",BD152=0),"",BE152/BD152)</f>
        <v>0</v>
      </c>
      <c r="BG152" s="32">
        <f>IF(BC152=0,"",IF(BF152="","",BF152+ROW()/1000000))</f>
        <v>0</v>
      </c>
      <c r="BH152" s="17">
        <f>IF(Performance!$C$152="","",Performance!$C$152)</f>
        <v>0</v>
      </c>
      <c r="BI152" s="17">
        <f>IF(Performance!$F$152="","",Performance!$F$152)</f>
        <v>0</v>
      </c>
      <c r="BJ152" s="17">
        <f>IF(Performance!$H$152="","",Performance!$H$152)</f>
        <v>0</v>
      </c>
      <c r="BK152" s="16">
        <f>IF(Performance!$D$152="","",Performance!$D$152)</f>
        <v>0</v>
      </c>
      <c r="BL152" s="17">
        <f>IF(Performance!$E$152="","",Performance!$E$152)</f>
        <v>0</v>
      </c>
      <c r="BM152" s="23">
        <f>IF(Performance!$O$152="","",Performance!$O$152)</f>
        <v>0</v>
      </c>
      <c r="BN152" s="24">
        <f>IF(Performance!$AA$152="","",Performance!$AA$152)</f>
        <v>0</v>
      </c>
      <c r="BO152" s="32">
        <f>IF(BH152="","",IF(BK152="","",IF(OR(BK152&lt;DashStart,BK152&gt;DashEnd),"",IF(BN152="","",BN152+ROW()/1000000))))</f>
        <v>0</v>
      </c>
      <c r="BP152" s="32">
        <f>IF(BM152="","",IF(BK152="","",IF(OR(BK152&lt;DashStart,BK152&gt;DashEnd),"",BM152+ROW()/1000000)))</f>
        <v>0</v>
      </c>
      <c r="BQ152" s="32">
        <f>IF(BH152="","",IF(BK152="","",IF(YEAR(BK152)&lt;&gt;PlanYear,"",IF(BN152="","",BN152+ROW()/1000000))))</f>
        <v>0</v>
      </c>
      <c r="BR152" s="32">
        <f>IF(BH152="","",IF(BK152="","",IF(OR(BK152&lt;RepFrom,BK152&gt;RepTo),"",IF(BN152="","",BN152+ROW()/1000000))))</f>
        <v>0</v>
      </c>
      <c r="BS152" s="32">
        <f>IF(BM152="","",IF(BK152="","",IF(YEAR(BK152)&lt;&gt;PlanYear,"",BM152+ROW()/1000000)))</f>
        <v>0</v>
      </c>
      <c r="BT152" s="17">
        <f>IF(Lists!$F152="","",Lists!$F152)</f>
        <v>0</v>
      </c>
      <c r="BU152" s="23">
        <f>IF(BT152="","",COUNTIF('Content Calendar'!$X$5:$X$604,BT152))</f>
        <v>0</v>
      </c>
      <c r="BV152" s="23">
        <f>IF(BT152="","",COUNTIFS('Content Calendar'!$X$5:$X$604,BT152,'Content Calendar'!$B$5:$B$604,"&gt;="&amp;DashStart,'Content Calendar'!$B$5:$B$604,"&lt;="&amp;DashEnd))</f>
        <v>0</v>
      </c>
      <c r="BW152" s="17">
        <f>IF(Team!$B$152="","",Team!$B$152)</f>
        <v>0</v>
      </c>
      <c r="BX152" s="23">
        <f>IF(BW152="","",COUNTIF('Content Calendar'!$W$5:$W$604,BW152))</f>
        <v>0</v>
      </c>
      <c r="BY152" s="23">
        <f>IF(BW152="","",COUNTIFS('Content Calendar'!$W$5:$W$604,BW152,'Content Calendar'!$X$5:$X$604,"&lt;&gt;Published"))</f>
        <v>0</v>
      </c>
      <c r="BZ152" s="23">
        <f>IF(BW152="","",COUNTIFS(Tasks!$C$5:$C$64,BW152,Tasks!$G$5:$G$64,"&lt;&gt;Complete"))</f>
        <v>0</v>
      </c>
      <c r="CA152" s="17">
        <f>IF(Campaigns!$B$152="","",Campaigns!$B$152)</f>
        <v>0</v>
      </c>
      <c r="CB152" s="25">
        <f>IF(Campaigns!$T$152="","",Campaigns!$T$152)</f>
        <v>0</v>
      </c>
      <c r="CC152" s="25">
        <f>IF(Campaigns!$Q$152="","",Campaigns!$Q$152)</f>
        <v>0</v>
      </c>
      <c r="CD152" s="23">
        <f>IF(Campaigns!$Y$152="","",Campaigns!$Y$152)</f>
        <v>0</v>
      </c>
      <c r="CE152" s="32">
        <f>IF(CA152="","",IF(N(CB152)&lt;=0,"",N(CB152)+ROW()/1000000))</f>
        <v>0</v>
      </c>
      <c r="CF152" s="17">
        <f>IF(Accounts!$C$152="","",Accounts!$C$152)</f>
        <v>0</v>
      </c>
      <c r="CG152" s="17">
        <f>IF(Accounts!$B$152="","",Accounts!$B$152)</f>
        <v>0</v>
      </c>
      <c r="CH152" s="23">
        <f>IF(Accounts!$J$152="","",Accounts!$J$152)</f>
        <v>0</v>
      </c>
      <c r="CI152" s="23">
        <f>IF(CF152="","",SUMIFS(Analytics!$X$5:$X$154,Analytics!$E$5:$E$154,CF152,Analytics!$B$5:$B$154,"&gt;="&amp;DashStart,Analytics!$B$5:$B$154,"&lt;="&amp;DashEnd))</f>
        <v>0</v>
      </c>
      <c r="CJ152" s="32">
        <f>IF(CH152="","",IF(CH152=0,"",CH152+ROW()/1000000))</f>
        <v>0</v>
      </c>
    </row>
    <row r="153" spans="1:88">
      <c r="A153" s="16">
        <f>IF(ROW()-4&gt;12,"",DATE(PlanYear,ROW()-4,1))</f>
        <v>0</v>
      </c>
      <c r="B153" s="16">
        <f>IF(A153="","",EOMONTH(A153,0))</f>
        <v>0</v>
      </c>
      <c r="C153" s="17">
        <f>IF(A153="","",TEXT(A153,"yyyy-mm"))</f>
        <v>0</v>
      </c>
      <c r="D153" s="17">
        <f>IF(A153="","",TEXT(A153,"mmm"))</f>
        <v>0</v>
      </c>
      <c r="E153" s="23">
        <f>IF(C153="","",COUNTIFS('Content Calendar'!$D$5:$D$604,C153))</f>
        <v>0</v>
      </c>
      <c r="F153" s="23">
        <f>IF(C153="","",COUNTIFS('Content Calendar'!$D$5:$D$604,C153,'Content Calendar'!$X$5:$X$604,"Published"))</f>
        <v>0</v>
      </c>
      <c r="G153" s="23">
        <f>IF(C153="","",SUMIFS(Analytics!$J$5:$J$154,Analytics!$C$5:$C$154,C153))</f>
        <v>0</v>
      </c>
      <c r="H153" s="23">
        <f>IF(C153="","",SUMIFS(Analytics!$K$5:$K$154,Analytics!$C$5:$C$154,C153))</f>
        <v>0</v>
      </c>
      <c r="I153" s="23">
        <f>IF(C153="","",SUMIFS(Analytics!$L$5:$L$154,Analytics!$C$5:$C$154,C153))</f>
        <v>0</v>
      </c>
      <c r="J153" s="24">
        <f>IF(OR(G153="",G153=0),"",I153/G153)</f>
        <v>0</v>
      </c>
      <c r="K153" s="23">
        <f>IF(C153="","",SUMIFS(Analytics!$G$5:$G$154,Analytics!$C$5:$C$154,C153))</f>
        <v>0</v>
      </c>
      <c r="L153" s="23">
        <f>IF(C153="","",SUMIFS(Analytics!$X$5:$X$154,Analytics!$C$5:$C$154,C153))</f>
        <v>0</v>
      </c>
      <c r="M153" s="23">
        <f>IF(C153="","",SUMIFS(Analytics!$R$5:$R$154,Analytics!$C$5:$C$154,C153))</f>
        <v>0</v>
      </c>
      <c r="N153" s="23">
        <f>IF(C153="","",SUMIFS(Analytics!$S$5:$S$154,Analytics!$C$5:$C$154,C153))</f>
        <v>0</v>
      </c>
      <c r="O153" s="23">
        <f>IF(C153="","",SUMIFS(Analytics!$T$5:$T$154,Analytics!$C$5:$C$154,C153))</f>
        <v>0</v>
      </c>
      <c r="P153" s="25">
        <f>IF(C153="","",SUMIFS(Analytics!$U$5:$U$154,Analytics!$C$5:$C$154,C153))</f>
        <v>0</v>
      </c>
      <c r="Q153" s="25">
        <f>IF(C153="","",SUMIFS(Budget!$H$5:$H$64,Budget!$C$5:$C$64,C153))</f>
        <v>0</v>
      </c>
      <c r="R153" s="25">
        <f>IF(C153="","",P153-Q153)</f>
        <v>0</v>
      </c>
      <c r="S153" s="23">
        <f>IF(C153="","",MonthlyPostTarget)</f>
        <v>0</v>
      </c>
      <c r="T153" s="17">
        <f>IF(Lists!$C153="","",Lists!$C153)</f>
        <v>0</v>
      </c>
      <c r="U153" s="23">
        <f>IF(T153="","",COUNTIFS('Content Calendar'!$G$5:$G$604,T153,'Content Calendar'!$B$5:$B$604,"&gt;="&amp;DashStart,'Content Calendar'!$B$5:$B$604,"&lt;="&amp;DashEnd))</f>
        <v>0</v>
      </c>
      <c r="V153" s="23">
        <f>IF(T153="","",COUNTIFS('Content Calendar'!$G$5:$G$604,T153,'Content Calendar'!$X$5:$X$604,"Published",'Content Calendar'!$B$5:$B$604,"&gt;="&amp;DashStart,'Content Calendar'!$B$5:$B$604,"&lt;="&amp;DashEnd))</f>
        <v>0</v>
      </c>
      <c r="W153" s="23">
        <f>IF(T153="","",SUMIFS(Analytics!$J$5:$J$154,Analytics!$D$5:$D$154,T153,Analytics!$B$5:$B$154,"&gt;="&amp;DashStart,Analytics!$B$5:$B$154,"&lt;="&amp;DashEnd))</f>
        <v>0</v>
      </c>
      <c r="X153" s="23">
        <f>IF(T153="","",SUMIFS(Analytics!$L$5:$L$154,Analytics!$D$5:$D$154,T153,Analytics!$B$5:$B$154,"&gt;="&amp;DashStart,Analytics!$B$5:$B$154,"&lt;="&amp;DashEnd))</f>
        <v>0</v>
      </c>
      <c r="Y153" s="24">
        <f>IF(OR(W153="",W153=0),"",X153/W153)</f>
        <v>0</v>
      </c>
      <c r="Z153" s="23">
        <f>IF(T153="","",SUMIFS(Analytics!$G$5:$G$154,Analytics!$D$5:$D$154,T153,Analytics!$B$5:$B$154,"&gt;="&amp;DashStart,Analytics!$B$5:$B$154,"&lt;="&amp;DashEnd))</f>
        <v>0</v>
      </c>
      <c r="AA153" s="23">
        <f>IF(T153="","",SUMIFS(Analytics!$X$5:$X$154,Analytics!$D$5:$D$154,T153,Analytics!$B$5:$B$154,"&gt;="&amp;DashStart,Analytics!$B$5:$B$154,"&lt;="&amp;DashEnd))</f>
        <v>0</v>
      </c>
      <c r="AB153" s="23">
        <f>IF(T153="","",SUMIFS(Analytics!$R$5:$R$154,Analytics!$D$5:$D$154,T153,Analytics!$B$5:$B$154,"&gt;="&amp;DashStart,Analytics!$B$5:$B$154,"&lt;="&amp;DashEnd))</f>
        <v>0</v>
      </c>
      <c r="AC153" s="25">
        <f>IF(T153="","",SUMIFS(Analytics!$U$5:$U$154,Analytics!$D$5:$D$154,T153,Analytics!$B$5:$B$154,"&gt;="&amp;DashStart,Analytics!$B$5:$B$154,"&lt;="&amp;DashEnd))</f>
        <v>0</v>
      </c>
      <c r="AD153" s="23">
        <f>IF(T153="","",COUNTIFS('Content Calendar'!$G$5:$G$604,T153,'Content Calendar'!$B$5:$B$604,"&gt;="&amp;DATE(PlanYear,1,1),'Content Calendar'!$B$5:$B$604,"&lt;="&amp;DATE(PlanYear,12,31)))</f>
        <v>0</v>
      </c>
      <c r="AE153" s="23">
        <f>IF(T153="","",SUMIFS(Analytics!$J$5:$J$154,Analytics!$D$5:$D$154,T153))</f>
        <v>0</v>
      </c>
      <c r="AF153" s="23">
        <f>IF(T153="","",SUMIFS(Analytics!$L$5:$L$154,Analytics!$D$5:$D$154,T153))</f>
        <v>0</v>
      </c>
      <c r="AG153" s="24">
        <f>IF(OR(AE153="",AE153=0),"",AF153/AE153)</f>
        <v>0</v>
      </c>
      <c r="AH153" s="23">
        <f>IF(T153="","",SUMIFS(Analytics!$X$5:$X$154,Analytics!$D$5:$D$154,T153))</f>
        <v>0</v>
      </c>
      <c r="AI153" s="32">
        <f>IF(T153="","",IF(AE153=0,"",AE153+ROW()/1000000))</f>
        <v>0</v>
      </c>
      <c r="AJ153" s="17">
        <f>IF('Content Pillars'!$B$153="","",'Content Pillars'!$B$153)</f>
        <v>0</v>
      </c>
      <c r="AK153" s="23">
        <f>IF(AJ153="","",COUNTIFS('Content Calendar'!$J$5:$J$604,AJ153,'Content Calendar'!$B$5:$B$604,"&gt;="&amp;DATE(PlanYear,1,1),'Content Calendar'!$B$5:$B$604,"&lt;="&amp;DATE(PlanYear,12,31)))</f>
        <v>0</v>
      </c>
      <c r="AL153" s="23">
        <f>IF(AJ153="","",SUMIFS(Performance!$O$5:$O$404,Performance!$H$5:$H$404,AJ153))</f>
        <v>0</v>
      </c>
      <c r="AM153" s="23">
        <f>IF(AJ153="","",SUMIFS(Performance!$Z$5:$Z$404,Performance!$H$5:$H$404,AJ153))</f>
        <v>0</v>
      </c>
      <c r="AN153" s="24">
        <f>IF(OR(AL153="",AL153=0),"",AM153/AL153)</f>
        <v>0</v>
      </c>
      <c r="AO153" s="32">
        <f>IF(AN153="","",AN153+ROW()/1000000)</f>
        <v>0</v>
      </c>
      <c r="AP153" s="17">
        <f>IF(Lists!$E153="","",Lists!$E153)</f>
        <v>0</v>
      </c>
      <c r="AQ153" s="23">
        <f>IF(AP153="","",COUNTIF(Performance!$G$5:$G$404,AP153))</f>
        <v>0</v>
      </c>
      <c r="AR153" s="23">
        <f>IF(AP153="","",SUMIFS(Performance!$O$5:$O$404,Performance!$G$5:$G$404,AP153))</f>
        <v>0</v>
      </c>
      <c r="AS153" s="23">
        <f>IF(AP153="","",SUMIFS(Performance!$Z$5:$Z$404,Performance!$G$5:$G$404,AP153))</f>
        <v>0</v>
      </c>
      <c r="AT153" s="24">
        <f>IF(OR(AR153="",AR153=0),"",AS153/AR153)</f>
        <v>0</v>
      </c>
      <c r="AU153" s="32">
        <f>IF(AQ153=0,"",IF(AT153="","",AT153+ROW()/1000000))</f>
        <v>0</v>
      </c>
      <c r="AV153" s="17">
        <f>IF(ROW()-4&gt;7,"",TEXT(DATE(2024,1,ROW()-4),"ddd"))</f>
        <v>0</v>
      </c>
      <c r="AW153" s="23">
        <f>IF(AV153="","",COUNTIF(Performance!$N$5:$N$404,AV153))</f>
        <v>0</v>
      </c>
      <c r="AX153" s="23">
        <f>IF(AV153="","",SUMIFS(Performance!$O$5:$O$404,Performance!$N$5:$N$404,AV153))</f>
        <v>0</v>
      </c>
      <c r="AY153" s="23">
        <f>IF(AV153="","",SUMIFS(Performance!$Z$5:$Z$404,Performance!$N$5:$N$404,AV153))</f>
        <v>0</v>
      </c>
      <c r="AZ153" s="24">
        <f>IF(OR(AX153="",AX153=0),"",AY153/AX153)</f>
        <v>0</v>
      </c>
      <c r="BA153" s="32">
        <f>IF(AW153=0,"",IF(AZ153="","",AZ153+ROW()/1000000))</f>
        <v>0</v>
      </c>
      <c r="BB153" s="17">
        <f>IF(Lists!$AL153="","",Lists!$AL153)</f>
        <v>0</v>
      </c>
      <c r="BC153" s="23">
        <f>IF(BB153="","",COUNTIF(Performance!$M$5:$M$404,BB153))</f>
        <v>0</v>
      </c>
      <c r="BD153" s="23">
        <f>IF(BB153="","",SUMIFS(Performance!$O$5:$O$404,Performance!$M$5:$M$404,BB153))</f>
        <v>0</v>
      </c>
      <c r="BE153" s="23">
        <f>IF(BB153="","",SUMIFS(Performance!$Z$5:$Z$404,Performance!$M$5:$M$404,BB153))</f>
        <v>0</v>
      </c>
      <c r="BF153" s="24">
        <f>IF(OR(BD153="",BD153=0),"",BE153/BD153)</f>
        <v>0</v>
      </c>
      <c r="BG153" s="32">
        <f>IF(BC153=0,"",IF(BF153="","",BF153+ROW()/1000000))</f>
        <v>0</v>
      </c>
      <c r="BH153" s="17">
        <f>IF(Performance!$C$153="","",Performance!$C$153)</f>
        <v>0</v>
      </c>
      <c r="BI153" s="17">
        <f>IF(Performance!$F$153="","",Performance!$F$153)</f>
        <v>0</v>
      </c>
      <c r="BJ153" s="17">
        <f>IF(Performance!$H$153="","",Performance!$H$153)</f>
        <v>0</v>
      </c>
      <c r="BK153" s="16">
        <f>IF(Performance!$D$153="","",Performance!$D$153)</f>
        <v>0</v>
      </c>
      <c r="BL153" s="17">
        <f>IF(Performance!$E$153="","",Performance!$E$153)</f>
        <v>0</v>
      </c>
      <c r="BM153" s="23">
        <f>IF(Performance!$O$153="","",Performance!$O$153)</f>
        <v>0</v>
      </c>
      <c r="BN153" s="24">
        <f>IF(Performance!$AA$153="","",Performance!$AA$153)</f>
        <v>0</v>
      </c>
      <c r="BO153" s="32">
        <f>IF(BH153="","",IF(BK153="","",IF(OR(BK153&lt;DashStart,BK153&gt;DashEnd),"",IF(BN153="","",BN153+ROW()/1000000))))</f>
        <v>0</v>
      </c>
      <c r="BP153" s="32">
        <f>IF(BM153="","",IF(BK153="","",IF(OR(BK153&lt;DashStart,BK153&gt;DashEnd),"",BM153+ROW()/1000000)))</f>
        <v>0</v>
      </c>
      <c r="BQ153" s="32">
        <f>IF(BH153="","",IF(BK153="","",IF(YEAR(BK153)&lt;&gt;PlanYear,"",IF(BN153="","",BN153+ROW()/1000000))))</f>
        <v>0</v>
      </c>
      <c r="BR153" s="32">
        <f>IF(BH153="","",IF(BK153="","",IF(OR(BK153&lt;RepFrom,BK153&gt;RepTo),"",IF(BN153="","",BN153+ROW()/1000000))))</f>
        <v>0</v>
      </c>
      <c r="BS153" s="32">
        <f>IF(BM153="","",IF(BK153="","",IF(YEAR(BK153)&lt;&gt;PlanYear,"",BM153+ROW()/1000000)))</f>
        <v>0</v>
      </c>
      <c r="BT153" s="17">
        <f>IF(Lists!$F153="","",Lists!$F153)</f>
        <v>0</v>
      </c>
      <c r="BU153" s="23">
        <f>IF(BT153="","",COUNTIF('Content Calendar'!$X$5:$X$604,BT153))</f>
        <v>0</v>
      </c>
      <c r="BV153" s="23">
        <f>IF(BT153="","",COUNTIFS('Content Calendar'!$X$5:$X$604,BT153,'Content Calendar'!$B$5:$B$604,"&gt;="&amp;DashStart,'Content Calendar'!$B$5:$B$604,"&lt;="&amp;DashEnd))</f>
        <v>0</v>
      </c>
      <c r="BW153" s="17">
        <f>IF(Team!$B$153="","",Team!$B$153)</f>
        <v>0</v>
      </c>
      <c r="BX153" s="23">
        <f>IF(BW153="","",COUNTIF('Content Calendar'!$W$5:$W$604,BW153))</f>
        <v>0</v>
      </c>
      <c r="BY153" s="23">
        <f>IF(BW153="","",COUNTIFS('Content Calendar'!$W$5:$W$604,BW153,'Content Calendar'!$X$5:$X$604,"&lt;&gt;Published"))</f>
        <v>0</v>
      </c>
      <c r="BZ153" s="23">
        <f>IF(BW153="","",COUNTIFS(Tasks!$C$5:$C$64,BW153,Tasks!$G$5:$G$64,"&lt;&gt;Complete"))</f>
        <v>0</v>
      </c>
      <c r="CA153" s="17">
        <f>IF(Campaigns!$B$153="","",Campaigns!$B$153)</f>
        <v>0</v>
      </c>
      <c r="CB153" s="25">
        <f>IF(Campaigns!$T$153="","",Campaigns!$T$153)</f>
        <v>0</v>
      </c>
      <c r="CC153" s="25">
        <f>IF(Campaigns!$Q$153="","",Campaigns!$Q$153)</f>
        <v>0</v>
      </c>
      <c r="CD153" s="23">
        <f>IF(Campaigns!$Y$153="","",Campaigns!$Y$153)</f>
        <v>0</v>
      </c>
      <c r="CE153" s="32">
        <f>IF(CA153="","",IF(N(CB153)&lt;=0,"",N(CB153)+ROW()/1000000))</f>
        <v>0</v>
      </c>
      <c r="CF153" s="17">
        <f>IF(Accounts!$C$153="","",Accounts!$C$153)</f>
        <v>0</v>
      </c>
      <c r="CG153" s="17">
        <f>IF(Accounts!$B$153="","",Accounts!$B$153)</f>
        <v>0</v>
      </c>
      <c r="CH153" s="23">
        <f>IF(Accounts!$J$153="","",Accounts!$J$153)</f>
        <v>0</v>
      </c>
      <c r="CI153" s="23">
        <f>IF(CF153="","",SUMIFS(Analytics!$X$5:$X$154,Analytics!$E$5:$E$154,CF153,Analytics!$B$5:$B$154,"&gt;="&amp;DashStart,Analytics!$B$5:$B$154,"&lt;="&amp;DashEnd))</f>
        <v>0</v>
      </c>
      <c r="CJ153" s="32">
        <f>IF(CH153="","",IF(CH153=0,"",CH153+ROW()/1000000))</f>
        <v>0</v>
      </c>
    </row>
    <row r="154" spans="1:88">
      <c r="A154" s="16">
        <f>IF(ROW()-4&gt;12,"",DATE(PlanYear,ROW()-4,1))</f>
        <v>0</v>
      </c>
      <c r="B154" s="16">
        <f>IF(A154="","",EOMONTH(A154,0))</f>
        <v>0</v>
      </c>
      <c r="C154" s="17">
        <f>IF(A154="","",TEXT(A154,"yyyy-mm"))</f>
        <v>0</v>
      </c>
      <c r="D154" s="17">
        <f>IF(A154="","",TEXT(A154,"mmm"))</f>
        <v>0</v>
      </c>
      <c r="E154" s="23">
        <f>IF(C154="","",COUNTIFS('Content Calendar'!$D$5:$D$604,C154))</f>
        <v>0</v>
      </c>
      <c r="F154" s="23">
        <f>IF(C154="","",COUNTIFS('Content Calendar'!$D$5:$D$604,C154,'Content Calendar'!$X$5:$X$604,"Published"))</f>
        <v>0</v>
      </c>
      <c r="G154" s="23">
        <f>IF(C154="","",SUMIFS(Analytics!$J$5:$J$154,Analytics!$C$5:$C$154,C154))</f>
        <v>0</v>
      </c>
      <c r="H154" s="23">
        <f>IF(C154="","",SUMIFS(Analytics!$K$5:$K$154,Analytics!$C$5:$C$154,C154))</f>
        <v>0</v>
      </c>
      <c r="I154" s="23">
        <f>IF(C154="","",SUMIFS(Analytics!$L$5:$L$154,Analytics!$C$5:$C$154,C154))</f>
        <v>0</v>
      </c>
      <c r="J154" s="24">
        <f>IF(OR(G154="",G154=0),"",I154/G154)</f>
        <v>0</v>
      </c>
      <c r="K154" s="23">
        <f>IF(C154="","",SUMIFS(Analytics!$G$5:$G$154,Analytics!$C$5:$C$154,C154))</f>
        <v>0</v>
      </c>
      <c r="L154" s="23">
        <f>IF(C154="","",SUMIFS(Analytics!$X$5:$X$154,Analytics!$C$5:$C$154,C154))</f>
        <v>0</v>
      </c>
      <c r="M154" s="23">
        <f>IF(C154="","",SUMIFS(Analytics!$R$5:$R$154,Analytics!$C$5:$C$154,C154))</f>
        <v>0</v>
      </c>
      <c r="N154" s="23">
        <f>IF(C154="","",SUMIFS(Analytics!$S$5:$S$154,Analytics!$C$5:$C$154,C154))</f>
        <v>0</v>
      </c>
      <c r="O154" s="23">
        <f>IF(C154="","",SUMIFS(Analytics!$T$5:$T$154,Analytics!$C$5:$C$154,C154))</f>
        <v>0</v>
      </c>
      <c r="P154" s="25">
        <f>IF(C154="","",SUMIFS(Analytics!$U$5:$U$154,Analytics!$C$5:$C$154,C154))</f>
        <v>0</v>
      </c>
      <c r="Q154" s="25">
        <f>IF(C154="","",SUMIFS(Budget!$H$5:$H$64,Budget!$C$5:$C$64,C154))</f>
        <v>0</v>
      </c>
      <c r="R154" s="25">
        <f>IF(C154="","",P154-Q154)</f>
        <v>0</v>
      </c>
      <c r="S154" s="23">
        <f>IF(C154="","",MonthlyPostTarget)</f>
        <v>0</v>
      </c>
      <c r="T154" s="17">
        <f>IF(Lists!$C154="","",Lists!$C154)</f>
        <v>0</v>
      </c>
      <c r="U154" s="23">
        <f>IF(T154="","",COUNTIFS('Content Calendar'!$G$5:$G$604,T154,'Content Calendar'!$B$5:$B$604,"&gt;="&amp;DashStart,'Content Calendar'!$B$5:$B$604,"&lt;="&amp;DashEnd))</f>
        <v>0</v>
      </c>
      <c r="V154" s="23">
        <f>IF(T154="","",COUNTIFS('Content Calendar'!$G$5:$G$604,T154,'Content Calendar'!$X$5:$X$604,"Published",'Content Calendar'!$B$5:$B$604,"&gt;="&amp;DashStart,'Content Calendar'!$B$5:$B$604,"&lt;="&amp;DashEnd))</f>
        <v>0</v>
      </c>
      <c r="W154" s="23">
        <f>IF(T154="","",SUMIFS(Analytics!$J$5:$J$154,Analytics!$D$5:$D$154,T154,Analytics!$B$5:$B$154,"&gt;="&amp;DashStart,Analytics!$B$5:$B$154,"&lt;="&amp;DashEnd))</f>
        <v>0</v>
      </c>
      <c r="X154" s="23">
        <f>IF(T154="","",SUMIFS(Analytics!$L$5:$L$154,Analytics!$D$5:$D$154,T154,Analytics!$B$5:$B$154,"&gt;="&amp;DashStart,Analytics!$B$5:$B$154,"&lt;="&amp;DashEnd))</f>
        <v>0</v>
      </c>
      <c r="Y154" s="24">
        <f>IF(OR(W154="",W154=0),"",X154/W154)</f>
        <v>0</v>
      </c>
      <c r="Z154" s="23">
        <f>IF(T154="","",SUMIFS(Analytics!$G$5:$G$154,Analytics!$D$5:$D$154,T154,Analytics!$B$5:$B$154,"&gt;="&amp;DashStart,Analytics!$B$5:$B$154,"&lt;="&amp;DashEnd))</f>
        <v>0</v>
      </c>
      <c r="AA154" s="23">
        <f>IF(T154="","",SUMIFS(Analytics!$X$5:$X$154,Analytics!$D$5:$D$154,T154,Analytics!$B$5:$B$154,"&gt;="&amp;DashStart,Analytics!$B$5:$B$154,"&lt;="&amp;DashEnd))</f>
        <v>0</v>
      </c>
      <c r="AB154" s="23">
        <f>IF(T154="","",SUMIFS(Analytics!$R$5:$R$154,Analytics!$D$5:$D$154,T154,Analytics!$B$5:$B$154,"&gt;="&amp;DashStart,Analytics!$B$5:$B$154,"&lt;="&amp;DashEnd))</f>
        <v>0</v>
      </c>
      <c r="AC154" s="25">
        <f>IF(T154="","",SUMIFS(Analytics!$U$5:$U$154,Analytics!$D$5:$D$154,T154,Analytics!$B$5:$B$154,"&gt;="&amp;DashStart,Analytics!$B$5:$B$154,"&lt;="&amp;DashEnd))</f>
        <v>0</v>
      </c>
      <c r="AD154" s="23">
        <f>IF(T154="","",COUNTIFS('Content Calendar'!$G$5:$G$604,T154,'Content Calendar'!$B$5:$B$604,"&gt;="&amp;DATE(PlanYear,1,1),'Content Calendar'!$B$5:$B$604,"&lt;="&amp;DATE(PlanYear,12,31)))</f>
        <v>0</v>
      </c>
      <c r="AE154" s="23">
        <f>IF(T154="","",SUMIFS(Analytics!$J$5:$J$154,Analytics!$D$5:$D$154,T154))</f>
        <v>0</v>
      </c>
      <c r="AF154" s="23">
        <f>IF(T154="","",SUMIFS(Analytics!$L$5:$L$154,Analytics!$D$5:$D$154,T154))</f>
        <v>0</v>
      </c>
      <c r="AG154" s="24">
        <f>IF(OR(AE154="",AE154=0),"",AF154/AE154)</f>
        <v>0</v>
      </c>
      <c r="AH154" s="23">
        <f>IF(T154="","",SUMIFS(Analytics!$X$5:$X$154,Analytics!$D$5:$D$154,T154))</f>
        <v>0</v>
      </c>
      <c r="AI154" s="32">
        <f>IF(T154="","",IF(AE154=0,"",AE154+ROW()/1000000))</f>
        <v>0</v>
      </c>
      <c r="AJ154" s="17">
        <f>IF('Content Pillars'!$B$154="","",'Content Pillars'!$B$154)</f>
        <v>0</v>
      </c>
      <c r="AK154" s="23">
        <f>IF(AJ154="","",COUNTIFS('Content Calendar'!$J$5:$J$604,AJ154,'Content Calendar'!$B$5:$B$604,"&gt;="&amp;DATE(PlanYear,1,1),'Content Calendar'!$B$5:$B$604,"&lt;="&amp;DATE(PlanYear,12,31)))</f>
        <v>0</v>
      </c>
      <c r="AL154" s="23">
        <f>IF(AJ154="","",SUMIFS(Performance!$O$5:$O$404,Performance!$H$5:$H$404,AJ154))</f>
        <v>0</v>
      </c>
      <c r="AM154" s="23">
        <f>IF(AJ154="","",SUMIFS(Performance!$Z$5:$Z$404,Performance!$H$5:$H$404,AJ154))</f>
        <v>0</v>
      </c>
      <c r="AN154" s="24">
        <f>IF(OR(AL154="",AL154=0),"",AM154/AL154)</f>
        <v>0</v>
      </c>
      <c r="AO154" s="32">
        <f>IF(AN154="","",AN154+ROW()/1000000)</f>
        <v>0</v>
      </c>
      <c r="AP154" s="17">
        <f>IF(Lists!$E154="","",Lists!$E154)</f>
        <v>0</v>
      </c>
      <c r="AQ154" s="23">
        <f>IF(AP154="","",COUNTIF(Performance!$G$5:$G$404,AP154))</f>
        <v>0</v>
      </c>
      <c r="AR154" s="23">
        <f>IF(AP154="","",SUMIFS(Performance!$O$5:$O$404,Performance!$G$5:$G$404,AP154))</f>
        <v>0</v>
      </c>
      <c r="AS154" s="23">
        <f>IF(AP154="","",SUMIFS(Performance!$Z$5:$Z$404,Performance!$G$5:$G$404,AP154))</f>
        <v>0</v>
      </c>
      <c r="AT154" s="24">
        <f>IF(OR(AR154="",AR154=0),"",AS154/AR154)</f>
        <v>0</v>
      </c>
      <c r="AU154" s="32">
        <f>IF(AQ154=0,"",IF(AT154="","",AT154+ROW()/1000000))</f>
        <v>0</v>
      </c>
      <c r="AV154" s="17">
        <f>IF(ROW()-4&gt;7,"",TEXT(DATE(2024,1,ROW()-4),"ddd"))</f>
        <v>0</v>
      </c>
      <c r="AW154" s="23">
        <f>IF(AV154="","",COUNTIF(Performance!$N$5:$N$404,AV154))</f>
        <v>0</v>
      </c>
      <c r="AX154" s="23">
        <f>IF(AV154="","",SUMIFS(Performance!$O$5:$O$404,Performance!$N$5:$N$404,AV154))</f>
        <v>0</v>
      </c>
      <c r="AY154" s="23">
        <f>IF(AV154="","",SUMIFS(Performance!$Z$5:$Z$404,Performance!$N$5:$N$404,AV154))</f>
        <v>0</v>
      </c>
      <c r="AZ154" s="24">
        <f>IF(OR(AX154="",AX154=0),"",AY154/AX154)</f>
        <v>0</v>
      </c>
      <c r="BA154" s="32">
        <f>IF(AW154=0,"",IF(AZ154="","",AZ154+ROW()/1000000))</f>
        <v>0</v>
      </c>
      <c r="BB154" s="17">
        <f>IF(Lists!$AL154="","",Lists!$AL154)</f>
        <v>0</v>
      </c>
      <c r="BC154" s="23">
        <f>IF(BB154="","",COUNTIF(Performance!$M$5:$M$404,BB154))</f>
        <v>0</v>
      </c>
      <c r="BD154" s="23">
        <f>IF(BB154="","",SUMIFS(Performance!$O$5:$O$404,Performance!$M$5:$M$404,BB154))</f>
        <v>0</v>
      </c>
      <c r="BE154" s="23">
        <f>IF(BB154="","",SUMIFS(Performance!$Z$5:$Z$404,Performance!$M$5:$M$404,BB154))</f>
        <v>0</v>
      </c>
      <c r="BF154" s="24">
        <f>IF(OR(BD154="",BD154=0),"",BE154/BD154)</f>
        <v>0</v>
      </c>
      <c r="BG154" s="32">
        <f>IF(BC154=0,"",IF(BF154="","",BF154+ROW()/1000000))</f>
        <v>0</v>
      </c>
      <c r="BH154" s="17">
        <f>IF(Performance!$C$154="","",Performance!$C$154)</f>
        <v>0</v>
      </c>
      <c r="BI154" s="17">
        <f>IF(Performance!$F$154="","",Performance!$F$154)</f>
        <v>0</v>
      </c>
      <c r="BJ154" s="17">
        <f>IF(Performance!$H$154="","",Performance!$H$154)</f>
        <v>0</v>
      </c>
      <c r="BK154" s="16">
        <f>IF(Performance!$D$154="","",Performance!$D$154)</f>
        <v>0</v>
      </c>
      <c r="BL154" s="17">
        <f>IF(Performance!$E$154="","",Performance!$E$154)</f>
        <v>0</v>
      </c>
      <c r="BM154" s="23">
        <f>IF(Performance!$O$154="","",Performance!$O$154)</f>
        <v>0</v>
      </c>
      <c r="BN154" s="24">
        <f>IF(Performance!$AA$154="","",Performance!$AA$154)</f>
        <v>0</v>
      </c>
      <c r="BO154" s="32">
        <f>IF(BH154="","",IF(BK154="","",IF(OR(BK154&lt;DashStart,BK154&gt;DashEnd),"",IF(BN154="","",BN154+ROW()/1000000))))</f>
        <v>0</v>
      </c>
      <c r="BP154" s="32">
        <f>IF(BM154="","",IF(BK154="","",IF(OR(BK154&lt;DashStart,BK154&gt;DashEnd),"",BM154+ROW()/1000000)))</f>
        <v>0</v>
      </c>
      <c r="BQ154" s="32">
        <f>IF(BH154="","",IF(BK154="","",IF(YEAR(BK154)&lt;&gt;PlanYear,"",IF(BN154="","",BN154+ROW()/1000000))))</f>
        <v>0</v>
      </c>
      <c r="BR154" s="32">
        <f>IF(BH154="","",IF(BK154="","",IF(OR(BK154&lt;RepFrom,BK154&gt;RepTo),"",IF(BN154="","",BN154+ROW()/1000000))))</f>
        <v>0</v>
      </c>
      <c r="BS154" s="32">
        <f>IF(BM154="","",IF(BK154="","",IF(YEAR(BK154)&lt;&gt;PlanYear,"",BM154+ROW()/1000000)))</f>
        <v>0</v>
      </c>
      <c r="BT154" s="17">
        <f>IF(Lists!$F154="","",Lists!$F154)</f>
        <v>0</v>
      </c>
      <c r="BU154" s="23">
        <f>IF(BT154="","",COUNTIF('Content Calendar'!$X$5:$X$604,BT154))</f>
        <v>0</v>
      </c>
      <c r="BV154" s="23">
        <f>IF(BT154="","",COUNTIFS('Content Calendar'!$X$5:$X$604,BT154,'Content Calendar'!$B$5:$B$604,"&gt;="&amp;DashStart,'Content Calendar'!$B$5:$B$604,"&lt;="&amp;DashEnd))</f>
        <v>0</v>
      </c>
      <c r="BW154" s="17">
        <f>IF(Team!$B$154="","",Team!$B$154)</f>
        <v>0</v>
      </c>
      <c r="BX154" s="23">
        <f>IF(BW154="","",COUNTIF('Content Calendar'!$W$5:$W$604,BW154))</f>
        <v>0</v>
      </c>
      <c r="BY154" s="23">
        <f>IF(BW154="","",COUNTIFS('Content Calendar'!$W$5:$W$604,BW154,'Content Calendar'!$X$5:$X$604,"&lt;&gt;Published"))</f>
        <v>0</v>
      </c>
      <c r="BZ154" s="23">
        <f>IF(BW154="","",COUNTIFS(Tasks!$C$5:$C$64,BW154,Tasks!$G$5:$G$64,"&lt;&gt;Complete"))</f>
        <v>0</v>
      </c>
      <c r="CA154" s="17">
        <f>IF(Campaigns!$B$154="","",Campaigns!$B$154)</f>
        <v>0</v>
      </c>
      <c r="CB154" s="25">
        <f>IF(Campaigns!$T$154="","",Campaigns!$T$154)</f>
        <v>0</v>
      </c>
      <c r="CC154" s="25">
        <f>IF(Campaigns!$Q$154="","",Campaigns!$Q$154)</f>
        <v>0</v>
      </c>
      <c r="CD154" s="23">
        <f>IF(Campaigns!$Y$154="","",Campaigns!$Y$154)</f>
        <v>0</v>
      </c>
      <c r="CE154" s="32">
        <f>IF(CA154="","",IF(N(CB154)&lt;=0,"",N(CB154)+ROW()/1000000))</f>
        <v>0</v>
      </c>
      <c r="CF154" s="17">
        <f>IF(Accounts!$C$154="","",Accounts!$C$154)</f>
        <v>0</v>
      </c>
      <c r="CG154" s="17">
        <f>IF(Accounts!$B$154="","",Accounts!$B$154)</f>
        <v>0</v>
      </c>
      <c r="CH154" s="23">
        <f>IF(Accounts!$J$154="","",Accounts!$J$154)</f>
        <v>0</v>
      </c>
      <c r="CI154" s="23">
        <f>IF(CF154="","",SUMIFS(Analytics!$X$5:$X$154,Analytics!$E$5:$E$154,CF154,Analytics!$B$5:$B$154,"&gt;="&amp;DashStart,Analytics!$B$5:$B$154,"&lt;="&amp;DashEnd))</f>
        <v>0</v>
      </c>
      <c r="CJ154" s="32">
        <f>IF(CH154="","",IF(CH154=0,"",CH154+ROW()/1000000))</f>
        <v>0</v>
      </c>
    </row>
    <row r="155" spans="1:88">
      <c r="A155" s="16">
        <f>IF(ROW()-4&gt;12,"",DATE(PlanYear,ROW()-4,1))</f>
        <v>0</v>
      </c>
      <c r="B155" s="16">
        <f>IF(A155="","",EOMONTH(A155,0))</f>
        <v>0</v>
      </c>
      <c r="C155" s="17">
        <f>IF(A155="","",TEXT(A155,"yyyy-mm"))</f>
        <v>0</v>
      </c>
      <c r="D155" s="17">
        <f>IF(A155="","",TEXT(A155,"mmm"))</f>
        <v>0</v>
      </c>
      <c r="E155" s="23">
        <f>IF(C155="","",COUNTIFS('Content Calendar'!$D$5:$D$604,C155))</f>
        <v>0</v>
      </c>
      <c r="F155" s="23">
        <f>IF(C155="","",COUNTIFS('Content Calendar'!$D$5:$D$604,C155,'Content Calendar'!$X$5:$X$604,"Published"))</f>
        <v>0</v>
      </c>
      <c r="G155" s="23">
        <f>IF(C155="","",SUMIFS(Analytics!$J$5:$J$154,Analytics!$C$5:$C$154,C155))</f>
        <v>0</v>
      </c>
      <c r="H155" s="23">
        <f>IF(C155="","",SUMIFS(Analytics!$K$5:$K$154,Analytics!$C$5:$C$154,C155))</f>
        <v>0</v>
      </c>
      <c r="I155" s="23">
        <f>IF(C155="","",SUMIFS(Analytics!$L$5:$L$154,Analytics!$C$5:$C$154,C155))</f>
        <v>0</v>
      </c>
      <c r="J155" s="24">
        <f>IF(OR(G155="",G155=0),"",I155/G155)</f>
        <v>0</v>
      </c>
      <c r="K155" s="23">
        <f>IF(C155="","",SUMIFS(Analytics!$G$5:$G$154,Analytics!$C$5:$C$154,C155))</f>
        <v>0</v>
      </c>
      <c r="L155" s="23">
        <f>IF(C155="","",SUMIFS(Analytics!$X$5:$X$154,Analytics!$C$5:$C$154,C155))</f>
        <v>0</v>
      </c>
      <c r="M155" s="23">
        <f>IF(C155="","",SUMIFS(Analytics!$R$5:$R$154,Analytics!$C$5:$C$154,C155))</f>
        <v>0</v>
      </c>
      <c r="N155" s="23">
        <f>IF(C155="","",SUMIFS(Analytics!$S$5:$S$154,Analytics!$C$5:$C$154,C155))</f>
        <v>0</v>
      </c>
      <c r="O155" s="23">
        <f>IF(C155="","",SUMIFS(Analytics!$T$5:$T$154,Analytics!$C$5:$C$154,C155))</f>
        <v>0</v>
      </c>
      <c r="P155" s="25">
        <f>IF(C155="","",SUMIFS(Analytics!$U$5:$U$154,Analytics!$C$5:$C$154,C155))</f>
        <v>0</v>
      </c>
      <c r="Q155" s="25">
        <f>IF(C155="","",SUMIFS(Budget!$H$5:$H$64,Budget!$C$5:$C$64,C155))</f>
        <v>0</v>
      </c>
      <c r="R155" s="25">
        <f>IF(C155="","",P155-Q155)</f>
        <v>0</v>
      </c>
      <c r="S155" s="23">
        <f>IF(C155="","",MonthlyPostTarget)</f>
        <v>0</v>
      </c>
      <c r="T155" s="17">
        <f>IF(Lists!$C155="","",Lists!$C155)</f>
        <v>0</v>
      </c>
      <c r="U155" s="23">
        <f>IF(T155="","",COUNTIFS('Content Calendar'!$G$5:$G$604,T155,'Content Calendar'!$B$5:$B$604,"&gt;="&amp;DashStart,'Content Calendar'!$B$5:$B$604,"&lt;="&amp;DashEnd))</f>
        <v>0</v>
      </c>
      <c r="V155" s="23">
        <f>IF(T155="","",COUNTIFS('Content Calendar'!$G$5:$G$604,T155,'Content Calendar'!$X$5:$X$604,"Published",'Content Calendar'!$B$5:$B$604,"&gt;="&amp;DashStart,'Content Calendar'!$B$5:$B$604,"&lt;="&amp;DashEnd))</f>
        <v>0</v>
      </c>
      <c r="W155" s="23">
        <f>IF(T155="","",SUMIFS(Analytics!$J$5:$J$154,Analytics!$D$5:$D$154,T155,Analytics!$B$5:$B$154,"&gt;="&amp;DashStart,Analytics!$B$5:$B$154,"&lt;="&amp;DashEnd))</f>
        <v>0</v>
      </c>
      <c r="X155" s="23">
        <f>IF(T155="","",SUMIFS(Analytics!$L$5:$L$154,Analytics!$D$5:$D$154,T155,Analytics!$B$5:$B$154,"&gt;="&amp;DashStart,Analytics!$B$5:$B$154,"&lt;="&amp;DashEnd))</f>
        <v>0</v>
      </c>
      <c r="Y155" s="24">
        <f>IF(OR(W155="",W155=0),"",X155/W155)</f>
        <v>0</v>
      </c>
      <c r="Z155" s="23">
        <f>IF(T155="","",SUMIFS(Analytics!$G$5:$G$154,Analytics!$D$5:$D$154,T155,Analytics!$B$5:$B$154,"&gt;="&amp;DashStart,Analytics!$B$5:$B$154,"&lt;="&amp;DashEnd))</f>
        <v>0</v>
      </c>
      <c r="AA155" s="23">
        <f>IF(T155="","",SUMIFS(Analytics!$X$5:$X$154,Analytics!$D$5:$D$154,T155,Analytics!$B$5:$B$154,"&gt;="&amp;DashStart,Analytics!$B$5:$B$154,"&lt;="&amp;DashEnd))</f>
        <v>0</v>
      </c>
      <c r="AB155" s="23">
        <f>IF(T155="","",SUMIFS(Analytics!$R$5:$R$154,Analytics!$D$5:$D$154,T155,Analytics!$B$5:$B$154,"&gt;="&amp;DashStart,Analytics!$B$5:$B$154,"&lt;="&amp;DashEnd))</f>
        <v>0</v>
      </c>
      <c r="AC155" s="25">
        <f>IF(T155="","",SUMIFS(Analytics!$U$5:$U$154,Analytics!$D$5:$D$154,T155,Analytics!$B$5:$B$154,"&gt;="&amp;DashStart,Analytics!$B$5:$B$154,"&lt;="&amp;DashEnd))</f>
        <v>0</v>
      </c>
      <c r="AD155" s="23">
        <f>IF(T155="","",COUNTIFS('Content Calendar'!$G$5:$G$604,T155,'Content Calendar'!$B$5:$B$604,"&gt;="&amp;DATE(PlanYear,1,1),'Content Calendar'!$B$5:$B$604,"&lt;="&amp;DATE(PlanYear,12,31)))</f>
        <v>0</v>
      </c>
      <c r="AE155" s="23">
        <f>IF(T155="","",SUMIFS(Analytics!$J$5:$J$154,Analytics!$D$5:$D$154,T155))</f>
        <v>0</v>
      </c>
      <c r="AF155" s="23">
        <f>IF(T155="","",SUMIFS(Analytics!$L$5:$L$154,Analytics!$D$5:$D$154,T155))</f>
        <v>0</v>
      </c>
      <c r="AG155" s="24">
        <f>IF(OR(AE155="",AE155=0),"",AF155/AE155)</f>
        <v>0</v>
      </c>
      <c r="AH155" s="23">
        <f>IF(T155="","",SUMIFS(Analytics!$X$5:$X$154,Analytics!$D$5:$D$154,T155))</f>
        <v>0</v>
      </c>
      <c r="AI155" s="32">
        <f>IF(T155="","",IF(AE155=0,"",AE155+ROW()/1000000))</f>
        <v>0</v>
      </c>
      <c r="AJ155" s="17">
        <f>IF('Content Pillars'!$B$155="","",'Content Pillars'!$B$155)</f>
        <v>0</v>
      </c>
      <c r="AK155" s="23">
        <f>IF(AJ155="","",COUNTIFS('Content Calendar'!$J$5:$J$604,AJ155,'Content Calendar'!$B$5:$B$604,"&gt;="&amp;DATE(PlanYear,1,1),'Content Calendar'!$B$5:$B$604,"&lt;="&amp;DATE(PlanYear,12,31)))</f>
        <v>0</v>
      </c>
      <c r="AL155" s="23">
        <f>IF(AJ155="","",SUMIFS(Performance!$O$5:$O$404,Performance!$H$5:$H$404,AJ155))</f>
        <v>0</v>
      </c>
      <c r="AM155" s="23">
        <f>IF(AJ155="","",SUMIFS(Performance!$Z$5:$Z$404,Performance!$H$5:$H$404,AJ155))</f>
        <v>0</v>
      </c>
      <c r="AN155" s="24">
        <f>IF(OR(AL155="",AL155=0),"",AM155/AL155)</f>
        <v>0</v>
      </c>
      <c r="AO155" s="32">
        <f>IF(AN155="","",AN155+ROW()/1000000)</f>
        <v>0</v>
      </c>
      <c r="AP155" s="17">
        <f>IF(Lists!$E155="","",Lists!$E155)</f>
        <v>0</v>
      </c>
      <c r="AQ155" s="23">
        <f>IF(AP155="","",COUNTIF(Performance!$G$5:$G$404,AP155))</f>
        <v>0</v>
      </c>
      <c r="AR155" s="23">
        <f>IF(AP155="","",SUMIFS(Performance!$O$5:$O$404,Performance!$G$5:$G$404,AP155))</f>
        <v>0</v>
      </c>
      <c r="AS155" s="23">
        <f>IF(AP155="","",SUMIFS(Performance!$Z$5:$Z$404,Performance!$G$5:$G$404,AP155))</f>
        <v>0</v>
      </c>
      <c r="AT155" s="24">
        <f>IF(OR(AR155="",AR155=0),"",AS155/AR155)</f>
        <v>0</v>
      </c>
      <c r="AU155" s="32">
        <f>IF(AQ155=0,"",IF(AT155="","",AT155+ROW()/1000000))</f>
        <v>0</v>
      </c>
      <c r="AV155" s="17">
        <f>IF(ROW()-4&gt;7,"",TEXT(DATE(2024,1,ROW()-4),"ddd"))</f>
        <v>0</v>
      </c>
      <c r="AW155" s="23">
        <f>IF(AV155="","",COUNTIF(Performance!$N$5:$N$404,AV155))</f>
        <v>0</v>
      </c>
      <c r="AX155" s="23">
        <f>IF(AV155="","",SUMIFS(Performance!$O$5:$O$404,Performance!$N$5:$N$404,AV155))</f>
        <v>0</v>
      </c>
      <c r="AY155" s="23">
        <f>IF(AV155="","",SUMIFS(Performance!$Z$5:$Z$404,Performance!$N$5:$N$404,AV155))</f>
        <v>0</v>
      </c>
      <c r="AZ155" s="24">
        <f>IF(OR(AX155="",AX155=0),"",AY155/AX155)</f>
        <v>0</v>
      </c>
      <c r="BA155" s="32">
        <f>IF(AW155=0,"",IF(AZ155="","",AZ155+ROW()/1000000))</f>
        <v>0</v>
      </c>
      <c r="BB155" s="17">
        <f>IF(Lists!$AL155="","",Lists!$AL155)</f>
        <v>0</v>
      </c>
      <c r="BC155" s="23">
        <f>IF(BB155="","",COUNTIF(Performance!$M$5:$M$404,BB155))</f>
        <v>0</v>
      </c>
      <c r="BD155" s="23">
        <f>IF(BB155="","",SUMIFS(Performance!$O$5:$O$404,Performance!$M$5:$M$404,BB155))</f>
        <v>0</v>
      </c>
      <c r="BE155" s="23">
        <f>IF(BB155="","",SUMIFS(Performance!$Z$5:$Z$404,Performance!$M$5:$M$404,BB155))</f>
        <v>0</v>
      </c>
      <c r="BF155" s="24">
        <f>IF(OR(BD155="",BD155=0),"",BE155/BD155)</f>
        <v>0</v>
      </c>
      <c r="BG155" s="32">
        <f>IF(BC155=0,"",IF(BF155="","",BF155+ROW()/1000000))</f>
        <v>0</v>
      </c>
      <c r="BH155" s="17">
        <f>IF(Performance!$C$155="","",Performance!$C$155)</f>
        <v>0</v>
      </c>
      <c r="BI155" s="17">
        <f>IF(Performance!$F$155="","",Performance!$F$155)</f>
        <v>0</v>
      </c>
      <c r="BJ155" s="17">
        <f>IF(Performance!$H$155="","",Performance!$H$155)</f>
        <v>0</v>
      </c>
      <c r="BK155" s="16">
        <f>IF(Performance!$D$155="","",Performance!$D$155)</f>
        <v>0</v>
      </c>
      <c r="BL155" s="17">
        <f>IF(Performance!$E$155="","",Performance!$E$155)</f>
        <v>0</v>
      </c>
      <c r="BM155" s="23">
        <f>IF(Performance!$O$155="","",Performance!$O$155)</f>
        <v>0</v>
      </c>
      <c r="BN155" s="24">
        <f>IF(Performance!$AA$155="","",Performance!$AA$155)</f>
        <v>0</v>
      </c>
      <c r="BO155" s="32">
        <f>IF(BH155="","",IF(BK155="","",IF(OR(BK155&lt;DashStart,BK155&gt;DashEnd),"",IF(BN155="","",BN155+ROW()/1000000))))</f>
        <v>0</v>
      </c>
      <c r="BP155" s="32">
        <f>IF(BM155="","",IF(BK155="","",IF(OR(BK155&lt;DashStart,BK155&gt;DashEnd),"",BM155+ROW()/1000000)))</f>
        <v>0</v>
      </c>
      <c r="BQ155" s="32">
        <f>IF(BH155="","",IF(BK155="","",IF(YEAR(BK155)&lt;&gt;PlanYear,"",IF(BN155="","",BN155+ROW()/1000000))))</f>
        <v>0</v>
      </c>
      <c r="BR155" s="32">
        <f>IF(BH155="","",IF(BK155="","",IF(OR(BK155&lt;RepFrom,BK155&gt;RepTo),"",IF(BN155="","",BN155+ROW()/1000000))))</f>
        <v>0</v>
      </c>
      <c r="BS155" s="32">
        <f>IF(BM155="","",IF(BK155="","",IF(YEAR(BK155)&lt;&gt;PlanYear,"",BM155+ROW()/1000000)))</f>
        <v>0</v>
      </c>
      <c r="BT155" s="17">
        <f>IF(Lists!$F155="","",Lists!$F155)</f>
        <v>0</v>
      </c>
      <c r="BU155" s="23">
        <f>IF(BT155="","",COUNTIF('Content Calendar'!$X$5:$X$604,BT155))</f>
        <v>0</v>
      </c>
      <c r="BV155" s="23">
        <f>IF(BT155="","",COUNTIFS('Content Calendar'!$X$5:$X$604,BT155,'Content Calendar'!$B$5:$B$604,"&gt;="&amp;DashStart,'Content Calendar'!$B$5:$B$604,"&lt;="&amp;DashEnd))</f>
        <v>0</v>
      </c>
      <c r="BW155" s="17">
        <f>IF(Team!$B$155="","",Team!$B$155)</f>
        <v>0</v>
      </c>
      <c r="BX155" s="23">
        <f>IF(BW155="","",COUNTIF('Content Calendar'!$W$5:$W$604,BW155))</f>
        <v>0</v>
      </c>
      <c r="BY155" s="23">
        <f>IF(BW155="","",COUNTIFS('Content Calendar'!$W$5:$W$604,BW155,'Content Calendar'!$X$5:$X$604,"&lt;&gt;Published"))</f>
        <v>0</v>
      </c>
      <c r="BZ155" s="23">
        <f>IF(BW155="","",COUNTIFS(Tasks!$C$5:$C$64,BW155,Tasks!$G$5:$G$64,"&lt;&gt;Complete"))</f>
        <v>0</v>
      </c>
      <c r="CA155" s="17">
        <f>IF(Campaigns!$B$155="","",Campaigns!$B$155)</f>
        <v>0</v>
      </c>
      <c r="CB155" s="25">
        <f>IF(Campaigns!$T$155="","",Campaigns!$T$155)</f>
        <v>0</v>
      </c>
      <c r="CC155" s="25">
        <f>IF(Campaigns!$Q$155="","",Campaigns!$Q$155)</f>
        <v>0</v>
      </c>
      <c r="CD155" s="23">
        <f>IF(Campaigns!$Y$155="","",Campaigns!$Y$155)</f>
        <v>0</v>
      </c>
      <c r="CE155" s="32">
        <f>IF(CA155="","",IF(N(CB155)&lt;=0,"",N(CB155)+ROW()/1000000))</f>
        <v>0</v>
      </c>
      <c r="CF155" s="17">
        <f>IF(Accounts!$C$155="","",Accounts!$C$155)</f>
        <v>0</v>
      </c>
      <c r="CG155" s="17">
        <f>IF(Accounts!$B$155="","",Accounts!$B$155)</f>
        <v>0</v>
      </c>
      <c r="CH155" s="23">
        <f>IF(Accounts!$J$155="","",Accounts!$J$155)</f>
        <v>0</v>
      </c>
      <c r="CI155" s="23">
        <f>IF(CF155="","",SUMIFS(Analytics!$X$5:$X$154,Analytics!$E$5:$E$154,CF155,Analytics!$B$5:$B$154,"&gt;="&amp;DashStart,Analytics!$B$5:$B$154,"&lt;="&amp;DashEnd))</f>
        <v>0</v>
      </c>
      <c r="CJ155" s="32">
        <f>IF(CH155="","",IF(CH155=0,"",CH155+ROW()/1000000))</f>
        <v>0</v>
      </c>
    </row>
    <row r="156" spans="1:88">
      <c r="A156" s="16">
        <f>IF(ROW()-4&gt;12,"",DATE(PlanYear,ROW()-4,1))</f>
        <v>0</v>
      </c>
      <c r="B156" s="16">
        <f>IF(A156="","",EOMONTH(A156,0))</f>
        <v>0</v>
      </c>
      <c r="C156" s="17">
        <f>IF(A156="","",TEXT(A156,"yyyy-mm"))</f>
        <v>0</v>
      </c>
      <c r="D156" s="17">
        <f>IF(A156="","",TEXT(A156,"mmm"))</f>
        <v>0</v>
      </c>
      <c r="E156" s="23">
        <f>IF(C156="","",COUNTIFS('Content Calendar'!$D$5:$D$604,C156))</f>
        <v>0</v>
      </c>
      <c r="F156" s="23">
        <f>IF(C156="","",COUNTIFS('Content Calendar'!$D$5:$D$604,C156,'Content Calendar'!$X$5:$X$604,"Published"))</f>
        <v>0</v>
      </c>
      <c r="G156" s="23">
        <f>IF(C156="","",SUMIFS(Analytics!$J$5:$J$154,Analytics!$C$5:$C$154,C156))</f>
        <v>0</v>
      </c>
      <c r="H156" s="23">
        <f>IF(C156="","",SUMIFS(Analytics!$K$5:$K$154,Analytics!$C$5:$C$154,C156))</f>
        <v>0</v>
      </c>
      <c r="I156" s="23">
        <f>IF(C156="","",SUMIFS(Analytics!$L$5:$L$154,Analytics!$C$5:$C$154,C156))</f>
        <v>0</v>
      </c>
      <c r="J156" s="24">
        <f>IF(OR(G156="",G156=0),"",I156/G156)</f>
        <v>0</v>
      </c>
      <c r="K156" s="23">
        <f>IF(C156="","",SUMIFS(Analytics!$G$5:$G$154,Analytics!$C$5:$C$154,C156))</f>
        <v>0</v>
      </c>
      <c r="L156" s="23">
        <f>IF(C156="","",SUMIFS(Analytics!$X$5:$X$154,Analytics!$C$5:$C$154,C156))</f>
        <v>0</v>
      </c>
      <c r="M156" s="23">
        <f>IF(C156="","",SUMIFS(Analytics!$R$5:$R$154,Analytics!$C$5:$C$154,C156))</f>
        <v>0</v>
      </c>
      <c r="N156" s="23">
        <f>IF(C156="","",SUMIFS(Analytics!$S$5:$S$154,Analytics!$C$5:$C$154,C156))</f>
        <v>0</v>
      </c>
      <c r="O156" s="23">
        <f>IF(C156="","",SUMIFS(Analytics!$T$5:$T$154,Analytics!$C$5:$C$154,C156))</f>
        <v>0</v>
      </c>
      <c r="P156" s="25">
        <f>IF(C156="","",SUMIFS(Analytics!$U$5:$U$154,Analytics!$C$5:$C$154,C156))</f>
        <v>0</v>
      </c>
      <c r="Q156" s="25">
        <f>IF(C156="","",SUMIFS(Budget!$H$5:$H$64,Budget!$C$5:$C$64,C156))</f>
        <v>0</v>
      </c>
      <c r="R156" s="25">
        <f>IF(C156="","",P156-Q156)</f>
        <v>0</v>
      </c>
      <c r="S156" s="23">
        <f>IF(C156="","",MonthlyPostTarget)</f>
        <v>0</v>
      </c>
      <c r="T156" s="17">
        <f>IF(Lists!$C156="","",Lists!$C156)</f>
        <v>0</v>
      </c>
      <c r="U156" s="23">
        <f>IF(T156="","",COUNTIFS('Content Calendar'!$G$5:$G$604,T156,'Content Calendar'!$B$5:$B$604,"&gt;="&amp;DashStart,'Content Calendar'!$B$5:$B$604,"&lt;="&amp;DashEnd))</f>
        <v>0</v>
      </c>
      <c r="V156" s="23">
        <f>IF(T156="","",COUNTIFS('Content Calendar'!$G$5:$G$604,T156,'Content Calendar'!$X$5:$X$604,"Published",'Content Calendar'!$B$5:$B$604,"&gt;="&amp;DashStart,'Content Calendar'!$B$5:$B$604,"&lt;="&amp;DashEnd))</f>
        <v>0</v>
      </c>
      <c r="W156" s="23">
        <f>IF(T156="","",SUMIFS(Analytics!$J$5:$J$154,Analytics!$D$5:$D$154,T156,Analytics!$B$5:$B$154,"&gt;="&amp;DashStart,Analytics!$B$5:$B$154,"&lt;="&amp;DashEnd))</f>
        <v>0</v>
      </c>
      <c r="X156" s="23">
        <f>IF(T156="","",SUMIFS(Analytics!$L$5:$L$154,Analytics!$D$5:$D$154,T156,Analytics!$B$5:$B$154,"&gt;="&amp;DashStart,Analytics!$B$5:$B$154,"&lt;="&amp;DashEnd))</f>
        <v>0</v>
      </c>
      <c r="Y156" s="24">
        <f>IF(OR(W156="",W156=0),"",X156/W156)</f>
        <v>0</v>
      </c>
      <c r="Z156" s="23">
        <f>IF(T156="","",SUMIFS(Analytics!$G$5:$G$154,Analytics!$D$5:$D$154,T156,Analytics!$B$5:$B$154,"&gt;="&amp;DashStart,Analytics!$B$5:$B$154,"&lt;="&amp;DashEnd))</f>
        <v>0</v>
      </c>
      <c r="AA156" s="23">
        <f>IF(T156="","",SUMIFS(Analytics!$X$5:$X$154,Analytics!$D$5:$D$154,T156,Analytics!$B$5:$B$154,"&gt;="&amp;DashStart,Analytics!$B$5:$B$154,"&lt;="&amp;DashEnd))</f>
        <v>0</v>
      </c>
      <c r="AB156" s="23">
        <f>IF(T156="","",SUMIFS(Analytics!$R$5:$R$154,Analytics!$D$5:$D$154,T156,Analytics!$B$5:$B$154,"&gt;="&amp;DashStart,Analytics!$B$5:$B$154,"&lt;="&amp;DashEnd))</f>
        <v>0</v>
      </c>
      <c r="AC156" s="25">
        <f>IF(T156="","",SUMIFS(Analytics!$U$5:$U$154,Analytics!$D$5:$D$154,T156,Analytics!$B$5:$B$154,"&gt;="&amp;DashStart,Analytics!$B$5:$B$154,"&lt;="&amp;DashEnd))</f>
        <v>0</v>
      </c>
      <c r="AD156" s="23">
        <f>IF(T156="","",COUNTIFS('Content Calendar'!$G$5:$G$604,T156,'Content Calendar'!$B$5:$B$604,"&gt;="&amp;DATE(PlanYear,1,1),'Content Calendar'!$B$5:$B$604,"&lt;="&amp;DATE(PlanYear,12,31)))</f>
        <v>0</v>
      </c>
      <c r="AE156" s="23">
        <f>IF(T156="","",SUMIFS(Analytics!$J$5:$J$154,Analytics!$D$5:$D$154,T156))</f>
        <v>0</v>
      </c>
      <c r="AF156" s="23">
        <f>IF(T156="","",SUMIFS(Analytics!$L$5:$L$154,Analytics!$D$5:$D$154,T156))</f>
        <v>0</v>
      </c>
      <c r="AG156" s="24">
        <f>IF(OR(AE156="",AE156=0),"",AF156/AE156)</f>
        <v>0</v>
      </c>
      <c r="AH156" s="23">
        <f>IF(T156="","",SUMIFS(Analytics!$X$5:$X$154,Analytics!$D$5:$D$154,T156))</f>
        <v>0</v>
      </c>
      <c r="AI156" s="32">
        <f>IF(T156="","",IF(AE156=0,"",AE156+ROW()/1000000))</f>
        <v>0</v>
      </c>
      <c r="AJ156" s="17">
        <f>IF('Content Pillars'!$B$156="","",'Content Pillars'!$B$156)</f>
        <v>0</v>
      </c>
      <c r="AK156" s="23">
        <f>IF(AJ156="","",COUNTIFS('Content Calendar'!$J$5:$J$604,AJ156,'Content Calendar'!$B$5:$B$604,"&gt;="&amp;DATE(PlanYear,1,1),'Content Calendar'!$B$5:$B$604,"&lt;="&amp;DATE(PlanYear,12,31)))</f>
        <v>0</v>
      </c>
      <c r="AL156" s="23">
        <f>IF(AJ156="","",SUMIFS(Performance!$O$5:$O$404,Performance!$H$5:$H$404,AJ156))</f>
        <v>0</v>
      </c>
      <c r="AM156" s="23">
        <f>IF(AJ156="","",SUMIFS(Performance!$Z$5:$Z$404,Performance!$H$5:$H$404,AJ156))</f>
        <v>0</v>
      </c>
      <c r="AN156" s="24">
        <f>IF(OR(AL156="",AL156=0),"",AM156/AL156)</f>
        <v>0</v>
      </c>
      <c r="AO156" s="32">
        <f>IF(AN156="","",AN156+ROW()/1000000)</f>
        <v>0</v>
      </c>
      <c r="AP156" s="17">
        <f>IF(Lists!$E156="","",Lists!$E156)</f>
        <v>0</v>
      </c>
      <c r="AQ156" s="23">
        <f>IF(AP156="","",COUNTIF(Performance!$G$5:$G$404,AP156))</f>
        <v>0</v>
      </c>
      <c r="AR156" s="23">
        <f>IF(AP156="","",SUMIFS(Performance!$O$5:$O$404,Performance!$G$5:$G$404,AP156))</f>
        <v>0</v>
      </c>
      <c r="AS156" s="23">
        <f>IF(AP156="","",SUMIFS(Performance!$Z$5:$Z$404,Performance!$G$5:$G$404,AP156))</f>
        <v>0</v>
      </c>
      <c r="AT156" s="24">
        <f>IF(OR(AR156="",AR156=0),"",AS156/AR156)</f>
        <v>0</v>
      </c>
      <c r="AU156" s="32">
        <f>IF(AQ156=0,"",IF(AT156="","",AT156+ROW()/1000000))</f>
        <v>0</v>
      </c>
      <c r="AV156" s="17">
        <f>IF(ROW()-4&gt;7,"",TEXT(DATE(2024,1,ROW()-4),"ddd"))</f>
        <v>0</v>
      </c>
      <c r="AW156" s="23">
        <f>IF(AV156="","",COUNTIF(Performance!$N$5:$N$404,AV156))</f>
        <v>0</v>
      </c>
      <c r="AX156" s="23">
        <f>IF(AV156="","",SUMIFS(Performance!$O$5:$O$404,Performance!$N$5:$N$404,AV156))</f>
        <v>0</v>
      </c>
      <c r="AY156" s="23">
        <f>IF(AV156="","",SUMIFS(Performance!$Z$5:$Z$404,Performance!$N$5:$N$404,AV156))</f>
        <v>0</v>
      </c>
      <c r="AZ156" s="24">
        <f>IF(OR(AX156="",AX156=0),"",AY156/AX156)</f>
        <v>0</v>
      </c>
      <c r="BA156" s="32">
        <f>IF(AW156=0,"",IF(AZ156="","",AZ156+ROW()/1000000))</f>
        <v>0</v>
      </c>
      <c r="BB156" s="17">
        <f>IF(Lists!$AL156="","",Lists!$AL156)</f>
        <v>0</v>
      </c>
      <c r="BC156" s="23">
        <f>IF(BB156="","",COUNTIF(Performance!$M$5:$M$404,BB156))</f>
        <v>0</v>
      </c>
      <c r="BD156" s="23">
        <f>IF(BB156="","",SUMIFS(Performance!$O$5:$O$404,Performance!$M$5:$M$404,BB156))</f>
        <v>0</v>
      </c>
      <c r="BE156" s="23">
        <f>IF(BB156="","",SUMIFS(Performance!$Z$5:$Z$404,Performance!$M$5:$M$404,BB156))</f>
        <v>0</v>
      </c>
      <c r="BF156" s="24">
        <f>IF(OR(BD156="",BD156=0),"",BE156/BD156)</f>
        <v>0</v>
      </c>
      <c r="BG156" s="32">
        <f>IF(BC156=0,"",IF(BF156="","",BF156+ROW()/1000000))</f>
        <v>0</v>
      </c>
      <c r="BH156" s="17">
        <f>IF(Performance!$C$156="","",Performance!$C$156)</f>
        <v>0</v>
      </c>
      <c r="BI156" s="17">
        <f>IF(Performance!$F$156="","",Performance!$F$156)</f>
        <v>0</v>
      </c>
      <c r="BJ156" s="17">
        <f>IF(Performance!$H$156="","",Performance!$H$156)</f>
        <v>0</v>
      </c>
      <c r="BK156" s="16">
        <f>IF(Performance!$D$156="","",Performance!$D$156)</f>
        <v>0</v>
      </c>
      <c r="BL156" s="17">
        <f>IF(Performance!$E$156="","",Performance!$E$156)</f>
        <v>0</v>
      </c>
      <c r="BM156" s="23">
        <f>IF(Performance!$O$156="","",Performance!$O$156)</f>
        <v>0</v>
      </c>
      <c r="BN156" s="24">
        <f>IF(Performance!$AA$156="","",Performance!$AA$156)</f>
        <v>0</v>
      </c>
      <c r="BO156" s="32">
        <f>IF(BH156="","",IF(BK156="","",IF(OR(BK156&lt;DashStart,BK156&gt;DashEnd),"",IF(BN156="","",BN156+ROW()/1000000))))</f>
        <v>0</v>
      </c>
      <c r="BP156" s="32">
        <f>IF(BM156="","",IF(BK156="","",IF(OR(BK156&lt;DashStart,BK156&gt;DashEnd),"",BM156+ROW()/1000000)))</f>
        <v>0</v>
      </c>
      <c r="BQ156" s="32">
        <f>IF(BH156="","",IF(BK156="","",IF(YEAR(BK156)&lt;&gt;PlanYear,"",IF(BN156="","",BN156+ROW()/1000000))))</f>
        <v>0</v>
      </c>
      <c r="BR156" s="32">
        <f>IF(BH156="","",IF(BK156="","",IF(OR(BK156&lt;RepFrom,BK156&gt;RepTo),"",IF(BN156="","",BN156+ROW()/1000000))))</f>
        <v>0</v>
      </c>
      <c r="BS156" s="32">
        <f>IF(BM156="","",IF(BK156="","",IF(YEAR(BK156)&lt;&gt;PlanYear,"",BM156+ROW()/1000000)))</f>
        <v>0</v>
      </c>
      <c r="BT156" s="17">
        <f>IF(Lists!$F156="","",Lists!$F156)</f>
        <v>0</v>
      </c>
      <c r="BU156" s="23">
        <f>IF(BT156="","",COUNTIF('Content Calendar'!$X$5:$X$604,BT156))</f>
        <v>0</v>
      </c>
      <c r="BV156" s="23">
        <f>IF(BT156="","",COUNTIFS('Content Calendar'!$X$5:$X$604,BT156,'Content Calendar'!$B$5:$B$604,"&gt;="&amp;DashStart,'Content Calendar'!$B$5:$B$604,"&lt;="&amp;DashEnd))</f>
        <v>0</v>
      </c>
      <c r="BW156" s="17">
        <f>IF(Team!$B$156="","",Team!$B$156)</f>
        <v>0</v>
      </c>
      <c r="BX156" s="23">
        <f>IF(BW156="","",COUNTIF('Content Calendar'!$W$5:$W$604,BW156))</f>
        <v>0</v>
      </c>
      <c r="BY156" s="23">
        <f>IF(BW156="","",COUNTIFS('Content Calendar'!$W$5:$W$604,BW156,'Content Calendar'!$X$5:$X$604,"&lt;&gt;Published"))</f>
        <v>0</v>
      </c>
      <c r="BZ156" s="23">
        <f>IF(BW156="","",COUNTIFS(Tasks!$C$5:$C$64,BW156,Tasks!$G$5:$G$64,"&lt;&gt;Complete"))</f>
        <v>0</v>
      </c>
      <c r="CA156" s="17">
        <f>IF(Campaigns!$B$156="","",Campaigns!$B$156)</f>
        <v>0</v>
      </c>
      <c r="CB156" s="25">
        <f>IF(Campaigns!$T$156="","",Campaigns!$T$156)</f>
        <v>0</v>
      </c>
      <c r="CC156" s="25">
        <f>IF(Campaigns!$Q$156="","",Campaigns!$Q$156)</f>
        <v>0</v>
      </c>
      <c r="CD156" s="23">
        <f>IF(Campaigns!$Y$156="","",Campaigns!$Y$156)</f>
        <v>0</v>
      </c>
      <c r="CE156" s="32">
        <f>IF(CA156="","",IF(N(CB156)&lt;=0,"",N(CB156)+ROW()/1000000))</f>
        <v>0</v>
      </c>
      <c r="CF156" s="17">
        <f>IF(Accounts!$C$156="","",Accounts!$C$156)</f>
        <v>0</v>
      </c>
      <c r="CG156" s="17">
        <f>IF(Accounts!$B$156="","",Accounts!$B$156)</f>
        <v>0</v>
      </c>
      <c r="CH156" s="23">
        <f>IF(Accounts!$J$156="","",Accounts!$J$156)</f>
        <v>0</v>
      </c>
      <c r="CI156" s="23">
        <f>IF(CF156="","",SUMIFS(Analytics!$X$5:$X$154,Analytics!$E$5:$E$154,CF156,Analytics!$B$5:$B$154,"&gt;="&amp;DashStart,Analytics!$B$5:$B$154,"&lt;="&amp;DashEnd))</f>
        <v>0</v>
      </c>
      <c r="CJ156" s="32">
        <f>IF(CH156="","",IF(CH156=0,"",CH156+ROW()/1000000))</f>
        <v>0</v>
      </c>
    </row>
    <row r="157" spans="1:88">
      <c r="A157" s="16">
        <f>IF(ROW()-4&gt;12,"",DATE(PlanYear,ROW()-4,1))</f>
        <v>0</v>
      </c>
      <c r="B157" s="16">
        <f>IF(A157="","",EOMONTH(A157,0))</f>
        <v>0</v>
      </c>
      <c r="C157" s="17">
        <f>IF(A157="","",TEXT(A157,"yyyy-mm"))</f>
        <v>0</v>
      </c>
      <c r="D157" s="17">
        <f>IF(A157="","",TEXT(A157,"mmm"))</f>
        <v>0</v>
      </c>
      <c r="E157" s="23">
        <f>IF(C157="","",COUNTIFS('Content Calendar'!$D$5:$D$604,C157))</f>
        <v>0</v>
      </c>
      <c r="F157" s="23">
        <f>IF(C157="","",COUNTIFS('Content Calendar'!$D$5:$D$604,C157,'Content Calendar'!$X$5:$X$604,"Published"))</f>
        <v>0</v>
      </c>
      <c r="G157" s="23">
        <f>IF(C157="","",SUMIFS(Analytics!$J$5:$J$154,Analytics!$C$5:$C$154,C157))</f>
        <v>0</v>
      </c>
      <c r="H157" s="23">
        <f>IF(C157="","",SUMIFS(Analytics!$K$5:$K$154,Analytics!$C$5:$C$154,C157))</f>
        <v>0</v>
      </c>
      <c r="I157" s="23">
        <f>IF(C157="","",SUMIFS(Analytics!$L$5:$L$154,Analytics!$C$5:$C$154,C157))</f>
        <v>0</v>
      </c>
      <c r="J157" s="24">
        <f>IF(OR(G157="",G157=0),"",I157/G157)</f>
        <v>0</v>
      </c>
      <c r="K157" s="23">
        <f>IF(C157="","",SUMIFS(Analytics!$G$5:$G$154,Analytics!$C$5:$C$154,C157))</f>
        <v>0</v>
      </c>
      <c r="L157" s="23">
        <f>IF(C157="","",SUMIFS(Analytics!$X$5:$X$154,Analytics!$C$5:$C$154,C157))</f>
        <v>0</v>
      </c>
      <c r="M157" s="23">
        <f>IF(C157="","",SUMIFS(Analytics!$R$5:$R$154,Analytics!$C$5:$C$154,C157))</f>
        <v>0</v>
      </c>
      <c r="N157" s="23">
        <f>IF(C157="","",SUMIFS(Analytics!$S$5:$S$154,Analytics!$C$5:$C$154,C157))</f>
        <v>0</v>
      </c>
      <c r="O157" s="23">
        <f>IF(C157="","",SUMIFS(Analytics!$T$5:$T$154,Analytics!$C$5:$C$154,C157))</f>
        <v>0</v>
      </c>
      <c r="P157" s="25">
        <f>IF(C157="","",SUMIFS(Analytics!$U$5:$U$154,Analytics!$C$5:$C$154,C157))</f>
        <v>0</v>
      </c>
      <c r="Q157" s="25">
        <f>IF(C157="","",SUMIFS(Budget!$H$5:$H$64,Budget!$C$5:$C$64,C157))</f>
        <v>0</v>
      </c>
      <c r="R157" s="25">
        <f>IF(C157="","",P157-Q157)</f>
        <v>0</v>
      </c>
      <c r="S157" s="23">
        <f>IF(C157="","",MonthlyPostTarget)</f>
        <v>0</v>
      </c>
      <c r="T157" s="17">
        <f>IF(Lists!$C157="","",Lists!$C157)</f>
        <v>0</v>
      </c>
      <c r="U157" s="23">
        <f>IF(T157="","",COUNTIFS('Content Calendar'!$G$5:$G$604,T157,'Content Calendar'!$B$5:$B$604,"&gt;="&amp;DashStart,'Content Calendar'!$B$5:$B$604,"&lt;="&amp;DashEnd))</f>
        <v>0</v>
      </c>
      <c r="V157" s="23">
        <f>IF(T157="","",COUNTIFS('Content Calendar'!$G$5:$G$604,T157,'Content Calendar'!$X$5:$X$604,"Published",'Content Calendar'!$B$5:$B$604,"&gt;="&amp;DashStart,'Content Calendar'!$B$5:$B$604,"&lt;="&amp;DashEnd))</f>
        <v>0</v>
      </c>
      <c r="W157" s="23">
        <f>IF(T157="","",SUMIFS(Analytics!$J$5:$J$154,Analytics!$D$5:$D$154,T157,Analytics!$B$5:$B$154,"&gt;="&amp;DashStart,Analytics!$B$5:$B$154,"&lt;="&amp;DashEnd))</f>
        <v>0</v>
      </c>
      <c r="X157" s="23">
        <f>IF(T157="","",SUMIFS(Analytics!$L$5:$L$154,Analytics!$D$5:$D$154,T157,Analytics!$B$5:$B$154,"&gt;="&amp;DashStart,Analytics!$B$5:$B$154,"&lt;="&amp;DashEnd))</f>
        <v>0</v>
      </c>
      <c r="Y157" s="24">
        <f>IF(OR(W157="",W157=0),"",X157/W157)</f>
        <v>0</v>
      </c>
      <c r="Z157" s="23">
        <f>IF(T157="","",SUMIFS(Analytics!$G$5:$G$154,Analytics!$D$5:$D$154,T157,Analytics!$B$5:$B$154,"&gt;="&amp;DashStart,Analytics!$B$5:$B$154,"&lt;="&amp;DashEnd))</f>
        <v>0</v>
      </c>
      <c r="AA157" s="23">
        <f>IF(T157="","",SUMIFS(Analytics!$X$5:$X$154,Analytics!$D$5:$D$154,T157,Analytics!$B$5:$B$154,"&gt;="&amp;DashStart,Analytics!$B$5:$B$154,"&lt;="&amp;DashEnd))</f>
        <v>0</v>
      </c>
      <c r="AB157" s="23">
        <f>IF(T157="","",SUMIFS(Analytics!$R$5:$R$154,Analytics!$D$5:$D$154,T157,Analytics!$B$5:$B$154,"&gt;="&amp;DashStart,Analytics!$B$5:$B$154,"&lt;="&amp;DashEnd))</f>
        <v>0</v>
      </c>
      <c r="AC157" s="25">
        <f>IF(T157="","",SUMIFS(Analytics!$U$5:$U$154,Analytics!$D$5:$D$154,T157,Analytics!$B$5:$B$154,"&gt;="&amp;DashStart,Analytics!$B$5:$B$154,"&lt;="&amp;DashEnd))</f>
        <v>0</v>
      </c>
      <c r="AD157" s="23">
        <f>IF(T157="","",COUNTIFS('Content Calendar'!$G$5:$G$604,T157,'Content Calendar'!$B$5:$B$604,"&gt;="&amp;DATE(PlanYear,1,1),'Content Calendar'!$B$5:$B$604,"&lt;="&amp;DATE(PlanYear,12,31)))</f>
        <v>0</v>
      </c>
      <c r="AE157" s="23">
        <f>IF(T157="","",SUMIFS(Analytics!$J$5:$J$154,Analytics!$D$5:$D$154,T157))</f>
        <v>0</v>
      </c>
      <c r="AF157" s="23">
        <f>IF(T157="","",SUMIFS(Analytics!$L$5:$L$154,Analytics!$D$5:$D$154,T157))</f>
        <v>0</v>
      </c>
      <c r="AG157" s="24">
        <f>IF(OR(AE157="",AE157=0),"",AF157/AE157)</f>
        <v>0</v>
      </c>
      <c r="AH157" s="23">
        <f>IF(T157="","",SUMIFS(Analytics!$X$5:$X$154,Analytics!$D$5:$D$154,T157))</f>
        <v>0</v>
      </c>
      <c r="AI157" s="32">
        <f>IF(T157="","",IF(AE157=0,"",AE157+ROW()/1000000))</f>
        <v>0</v>
      </c>
      <c r="AJ157" s="17">
        <f>IF('Content Pillars'!$B$157="","",'Content Pillars'!$B$157)</f>
        <v>0</v>
      </c>
      <c r="AK157" s="23">
        <f>IF(AJ157="","",COUNTIFS('Content Calendar'!$J$5:$J$604,AJ157,'Content Calendar'!$B$5:$B$604,"&gt;="&amp;DATE(PlanYear,1,1),'Content Calendar'!$B$5:$B$604,"&lt;="&amp;DATE(PlanYear,12,31)))</f>
        <v>0</v>
      </c>
      <c r="AL157" s="23">
        <f>IF(AJ157="","",SUMIFS(Performance!$O$5:$O$404,Performance!$H$5:$H$404,AJ157))</f>
        <v>0</v>
      </c>
      <c r="AM157" s="23">
        <f>IF(AJ157="","",SUMIFS(Performance!$Z$5:$Z$404,Performance!$H$5:$H$404,AJ157))</f>
        <v>0</v>
      </c>
      <c r="AN157" s="24">
        <f>IF(OR(AL157="",AL157=0),"",AM157/AL157)</f>
        <v>0</v>
      </c>
      <c r="AO157" s="32">
        <f>IF(AN157="","",AN157+ROW()/1000000)</f>
        <v>0</v>
      </c>
      <c r="AP157" s="17">
        <f>IF(Lists!$E157="","",Lists!$E157)</f>
        <v>0</v>
      </c>
      <c r="AQ157" s="23">
        <f>IF(AP157="","",COUNTIF(Performance!$G$5:$G$404,AP157))</f>
        <v>0</v>
      </c>
      <c r="AR157" s="23">
        <f>IF(AP157="","",SUMIFS(Performance!$O$5:$O$404,Performance!$G$5:$G$404,AP157))</f>
        <v>0</v>
      </c>
      <c r="AS157" s="23">
        <f>IF(AP157="","",SUMIFS(Performance!$Z$5:$Z$404,Performance!$G$5:$G$404,AP157))</f>
        <v>0</v>
      </c>
      <c r="AT157" s="24">
        <f>IF(OR(AR157="",AR157=0),"",AS157/AR157)</f>
        <v>0</v>
      </c>
      <c r="AU157" s="32">
        <f>IF(AQ157=0,"",IF(AT157="","",AT157+ROW()/1000000))</f>
        <v>0</v>
      </c>
      <c r="AV157" s="17">
        <f>IF(ROW()-4&gt;7,"",TEXT(DATE(2024,1,ROW()-4),"ddd"))</f>
        <v>0</v>
      </c>
      <c r="AW157" s="23">
        <f>IF(AV157="","",COUNTIF(Performance!$N$5:$N$404,AV157))</f>
        <v>0</v>
      </c>
      <c r="AX157" s="23">
        <f>IF(AV157="","",SUMIFS(Performance!$O$5:$O$404,Performance!$N$5:$N$404,AV157))</f>
        <v>0</v>
      </c>
      <c r="AY157" s="23">
        <f>IF(AV157="","",SUMIFS(Performance!$Z$5:$Z$404,Performance!$N$5:$N$404,AV157))</f>
        <v>0</v>
      </c>
      <c r="AZ157" s="24">
        <f>IF(OR(AX157="",AX157=0),"",AY157/AX157)</f>
        <v>0</v>
      </c>
      <c r="BA157" s="32">
        <f>IF(AW157=0,"",IF(AZ157="","",AZ157+ROW()/1000000))</f>
        <v>0</v>
      </c>
      <c r="BB157" s="17">
        <f>IF(Lists!$AL157="","",Lists!$AL157)</f>
        <v>0</v>
      </c>
      <c r="BC157" s="23">
        <f>IF(BB157="","",COUNTIF(Performance!$M$5:$M$404,BB157))</f>
        <v>0</v>
      </c>
      <c r="BD157" s="23">
        <f>IF(BB157="","",SUMIFS(Performance!$O$5:$O$404,Performance!$M$5:$M$404,BB157))</f>
        <v>0</v>
      </c>
      <c r="BE157" s="23">
        <f>IF(BB157="","",SUMIFS(Performance!$Z$5:$Z$404,Performance!$M$5:$M$404,BB157))</f>
        <v>0</v>
      </c>
      <c r="BF157" s="24">
        <f>IF(OR(BD157="",BD157=0),"",BE157/BD157)</f>
        <v>0</v>
      </c>
      <c r="BG157" s="32">
        <f>IF(BC157=0,"",IF(BF157="","",BF157+ROW()/1000000))</f>
        <v>0</v>
      </c>
      <c r="BH157" s="17">
        <f>IF(Performance!$C$157="","",Performance!$C$157)</f>
        <v>0</v>
      </c>
      <c r="BI157" s="17">
        <f>IF(Performance!$F$157="","",Performance!$F$157)</f>
        <v>0</v>
      </c>
      <c r="BJ157" s="17">
        <f>IF(Performance!$H$157="","",Performance!$H$157)</f>
        <v>0</v>
      </c>
      <c r="BK157" s="16">
        <f>IF(Performance!$D$157="","",Performance!$D$157)</f>
        <v>0</v>
      </c>
      <c r="BL157" s="17">
        <f>IF(Performance!$E$157="","",Performance!$E$157)</f>
        <v>0</v>
      </c>
      <c r="BM157" s="23">
        <f>IF(Performance!$O$157="","",Performance!$O$157)</f>
        <v>0</v>
      </c>
      <c r="BN157" s="24">
        <f>IF(Performance!$AA$157="","",Performance!$AA$157)</f>
        <v>0</v>
      </c>
      <c r="BO157" s="32">
        <f>IF(BH157="","",IF(BK157="","",IF(OR(BK157&lt;DashStart,BK157&gt;DashEnd),"",IF(BN157="","",BN157+ROW()/1000000))))</f>
        <v>0</v>
      </c>
      <c r="BP157" s="32">
        <f>IF(BM157="","",IF(BK157="","",IF(OR(BK157&lt;DashStart,BK157&gt;DashEnd),"",BM157+ROW()/1000000)))</f>
        <v>0</v>
      </c>
      <c r="BQ157" s="32">
        <f>IF(BH157="","",IF(BK157="","",IF(YEAR(BK157)&lt;&gt;PlanYear,"",IF(BN157="","",BN157+ROW()/1000000))))</f>
        <v>0</v>
      </c>
      <c r="BR157" s="32">
        <f>IF(BH157="","",IF(BK157="","",IF(OR(BK157&lt;RepFrom,BK157&gt;RepTo),"",IF(BN157="","",BN157+ROW()/1000000))))</f>
        <v>0</v>
      </c>
      <c r="BS157" s="32">
        <f>IF(BM157="","",IF(BK157="","",IF(YEAR(BK157)&lt;&gt;PlanYear,"",BM157+ROW()/1000000)))</f>
        <v>0</v>
      </c>
      <c r="BT157" s="17">
        <f>IF(Lists!$F157="","",Lists!$F157)</f>
        <v>0</v>
      </c>
      <c r="BU157" s="23">
        <f>IF(BT157="","",COUNTIF('Content Calendar'!$X$5:$X$604,BT157))</f>
        <v>0</v>
      </c>
      <c r="BV157" s="23">
        <f>IF(BT157="","",COUNTIFS('Content Calendar'!$X$5:$X$604,BT157,'Content Calendar'!$B$5:$B$604,"&gt;="&amp;DashStart,'Content Calendar'!$B$5:$B$604,"&lt;="&amp;DashEnd))</f>
        <v>0</v>
      </c>
      <c r="BW157" s="17">
        <f>IF(Team!$B$157="","",Team!$B$157)</f>
        <v>0</v>
      </c>
      <c r="BX157" s="23">
        <f>IF(BW157="","",COUNTIF('Content Calendar'!$W$5:$W$604,BW157))</f>
        <v>0</v>
      </c>
      <c r="BY157" s="23">
        <f>IF(BW157="","",COUNTIFS('Content Calendar'!$W$5:$W$604,BW157,'Content Calendar'!$X$5:$X$604,"&lt;&gt;Published"))</f>
        <v>0</v>
      </c>
      <c r="BZ157" s="23">
        <f>IF(BW157="","",COUNTIFS(Tasks!$C$5:$C$64,BW157,Tasks!$G$5:$G$64,"&lt;&gt;Complete"))</f>
        <v>0</v>
      </c>
      <c r="CA157" s="17">
        <f>IF(Campaigns!$B$157="","",Campaigns!$B$157)</f>
        <v>0</v>
      </c>
      <c r="CB157" s="25">
        <f>IF(Campaigns!$T$157="","",Campaigns!$T$157)</f>
        <v>0</v>
      </c>
      <c r="CC157" s="25">
        <f>IF(Campaigns!$Q$157="","",Campaigns!$Q$157)</f>
        <v>0</v>
      </c>
      <c r="CD157" s="23">
        <f>IF(Campaigns!$Y$157="","",Campaigns!$Y$157)</f>
        <v>0</v>
      </c>
      <c r="CE157" s="32">
        <f>IF(CA157="","",IF(N(CB157)&lt;=0,"",N(CB157)+ROW()/1000000))</f>
        <v>0</v>
      </c>
      <c r="CF157" s="17">
        <f>IF(Accounts!$C$157="","",Accounts!$C$157)</f>
        <v>0</v>
      </c>
      <c r="CG157" s="17">
        <f>IF(Accounts!$B$157="","",Accounts!$B$157)</f>
        <v>0</v>
      </c>
      <c r="CH157" s="23">
        <f>IF(Accounts!$J$157="","",Accounts!$J$157)</f>
        <v>0</v>
      </c>
      <c r="CI157" s="23">
        <f>IF(CF157="","",SUMIFS(Analytics!$X$5:$X$154,Analytics!$E$5:$E$154,CF157,Analytics!$B$5:$B$154,"&gt;="&amp;DashStart,Analytics!$B$5:$B$154,"&lt;="&amp;DashEnd))</f>
        <v>0</v>
      </c>
      <c r="CJ157" s="32">
        <f>IF(CH157="","",IF(CH157=0,"",CH157+ROW()/1000000))</f>
        <v>0</v>
      </c>
    </row>
    <row r="158" spans="1:88">
      <c r="A158" s="16">
        <f>IF(ROW()-4&gt;12,"",DATE(PlanYear,ROW()-4,1))</f>
        <v>0</v>
      </c>
      <c r="B158" s="16">
        <f>IF(A158="","",EOMONTH(A158,0))</f>
        <v>0</v>
      </c>
      <c r="C158" s="17">
        <f>IF(A158="","",TEXT(A158,"yyyy-mm"))</f>
        <v>0</v>
      </c>
      <c r="D158" s="17">
        <f>IF(A158="","",TEXT(A158,"mmm"))</f>
        <v>0</v>
      </c>
      <c r="E158" s="23">
        <f>IF(C158="","",COUNTIFS('Content Calendar'!$D$5:$D$604,C158))</f>
        <v>0</v>
      </c>
      <c r="F158" s="23">
        <f>IF(C158="","",COUNTIFS('Content Calendar'!$D$5:$D$604,C158,'Content Calendar'!$X$5:$X$604,"Published"))</f>
        <v>0</v>
      </c>
      <c r="G158" s="23">
        <f>IF(C158="","",SUMIFS(Analytics!$J$5:$J$154,Analytics!$C$5:$C$154,C158))</f>
        <v>0</v>
      </c>
      <c r="H158" s="23">
        <f>IF(C158="","",SUMIFS(Analytics!$K$5:$K$154,Analytics!$C$5:$C$154,C158))</f>
        <v>0</v>
      </c>
      <c r="I158" s="23">
        <f>IF(C158="","",SUMIFS(Analytics!$L$5:$L$154,Analytics!$C$5:$C$154,C158))</f>
        <v>0</v>
      </c>
      <c r="J158" s="24">
        <f>IF(OR(G158="",G158=0),"",I158/G158)</f>
        <v>0</v>
      </c>
      <c r="K158" s="23">
        <f>IF(C158="","",SUMIFS(Analytics!$G$5:$G$154,Analytics!$C$5:$C$154,C158))</f>
        <v>0</v>
      </c>
      <c r="L158" s="23">
        <f>IF(C158="","",SUMIFS(Analytics!$X$5:$X$154,Analytics!$C$5:$C$154,C158))</f>
        <v>0</v>
      </c>
      <c r="M158" s="23">
        <f>IF(C158="","",SUMIFS(Analytics!$R$5:$R$154,Analytics!$C$5:$C$154,C158))</f>
        <v>0</v>
      </c>
      <c r="N158" s="23">
        <f>IF(C158="","",SUMIFS(Analytics!$S$5:$S$154,Analytics!$C$5:$C$154,C158))</f>
        <v>0</v>
      </c>
      <c r="O158" s="23">
        <f>IF(C158="","",SUMIFS(Analytics!$T$5:$T$154,Analytics!$C$5:$C$154,C158))</f>
        <v>0</v>
      </c>
      <c r="P158" s="25">
        <f>IF(C158="","",SUMIFS(Analytics!$U$5:$U$154,Analytics!$C$5:$C$154,C158))</f>
        <v>0</v>
      </c>
      <c r="Q158" s="25">
        <f>IF(C158="","",SUMIFS(Budget!$H$5:$H$64,Budget!$C$5:$C$64,C158))</f>
        <v>0</v>
      </c>
      <c r="R158" s="25">
        <f>IF(C158="","",P158-Q158)</f>
        <v>0</v>
      </c>
      <c r="S158" s="23">
        <f>IF(C158="","",MonthlyPostTarget)</f>
        <v>0</v>
      </c>
      <c r="T158" s="17">
        <f>IF(Lists!$C158="","",Lists!$C158)</f>
        <v>0</v>
      </c>
      <c r="U158" s="23">
        <f>IF(T158="","",COUNTIFS('Content Calendar'!$G$5:$G$604,T158,'Content Calendar'!$B$5:$B$604,"&gt;="&amp;DashStart,'Content Calendar'!$B$5:$B$604,"&lt;="&amp;DashEnd))</f>
        <v>0</v>
      </c>
      <c r="V158" s="23">
        <f>IF(T158="","",COUNTIFS('Content Calendar'!$G$5:$G$604,T158,'Content Calendar'!$X$5:$X$604,"Published",'Content Calendar'!$B$5:$B$604,"&gt;="&amp;DashStart,'Content Calendar'!$B$5:$B$604,"&lt;="&amp;DashEnd))</f>
        <v>0</v>
      </c>
      <c r="W158" s="23">
        <f>IF(T158="","",SUMIFS(Analytics!$J$5:$J$154,Analytics!$D$5:$D$154,T158,Analytics!$B$5:$B$154,"&gt;="&amp;DashStart,Analytics!$B$5:$B$154,"&lt;="&amp;DashEnd))</f>
        <v>0</v>
      </c>
      <c r="X158" s="23">
        <f>IF(T158="","",SUMIFS(Analytics!$L$5:$L$154,Analytics!$D$5:$D$154,T158,Analytics!$B$5:$B$154,"&gt;="&amp;DashStart,Analytics!$B$5:$B$154,"&lt;="&amp;DashEnd))</f>
        <v>0</v>
      </c>
      <c r="Y158" s="24">
        <f>IF(OR(W158="",W158=0),"",X158/W158)</f>
        <v>0</v>
      </c>
      <c r="Z158" s="23">
        <f>IF(T158="","",SUMIFS(Analytics!$G$5:$G$154,Analytics!$D$5:$D$154,T158,Analytics!$B$5:$B$154,"&gt;="&amp;DashStart,Analytics!$B$5:$B$154,"&lt;="&amp;DashEnd))</f>
        <v>0</v>
      </c>
      <c r="AA158" s="23">
        <f>IF(T158="","",SUMIFS(Analytics!$X$5:$X$154,Analytics!$D$5:$D$154,T158,Analytics!$B$5:$B$154,"&gt;="&amp;DashStart,Analytics!$B$5:$B$154,"&lt;="&amp;DashEnd))</f>
        <v>0</v>
      </c>
      <c r="AB158" s="23">
        <f>IF(T158="","",SUMIFS(Analytics!$R$5:$R$154,Analytics!$D$5:$D$154,T158,Analytics!$B$5:$B$154,"&gt;="&amp;DashStart,Analytics!$B$5:$B$154,"&lt;="&amp;DashEnd))</f>
        <v>0</v>
      </c>
      <c r="AC158" s="25">
        <f>IF(T158="","",SUMIFS(Analytics!$U$5:$U$154,Analytics!$D$5:$D$154,T158,Analytics!$B$5:$B$154,"&gt;="&amp;DashStart,Analytics!$B$5:$B$154,"&lt;="&amp;DashEnd))</f>
        <v>0</v>
      </c>
      <c r="AD158" s="23">
        <f>IF(T158="","",COUNTIFS('Content Calendar'!$G$5:$G$604,T158,'Content Calendar'!$B$5:$B$604,"&gt;="&amp;DATE(PlanYear,1,1),'Content Calendar'!$B$5:$B$604,"&lt;="&amp;DATE(PlanYear,12,31)))</f>
        <v>0</v>
      </c>
      <c r="AE158" s="23">
        <f>IF(T158="","",SUMIFS(Analytics!$J$5:$J$154,Analytics!$D$5:$D$154,T158))</f>
        <v>0</v>
      </c>
      <c r="AF158" s="23">
        <f>IF(T158="","",SUMIFS(Analytics!$L$5:$L$154,Analytics!$D$5:$D$154,T158))</f>
        <v>0</v>
      </c>
      <c r="AG158" s="24">
        <f>IF(OR(AE158="",AE158=0),"",AF158/AE158)</f>
        <v>0</v>
      </c>
      <c r="AH158" s="23">
        <f>IF(T158="","",SUMIFS(Analytics!$X$5:$X$154,Analytics!$D$5:$D$154,T158))</f>
        <v>0</v>
      </c>
      <c r="AI158" s="32">
        <f>IF(T158="","",IF(AE158=0,"",AE158+ROW()/1000000))</f>
        <v>0</v>
      </c>
      <c r="AJ158" s="17">
        <f>IF('Content Pillars'!$B$158="","",'Content Pillars'!$B$158)</f>
        <v>0</v>
      </c>
      <c r="AK158" s="23">
        <f>IF(AJ158="","",COUNTIFS('Content Calendar'!$J$5:$J$604,AJ158,'Content Calendar'!$B$5:$B$604,"&gt;="&amp;DATE(PlanYear,1,1),'Content Calendar'!$B$5:$B$604,"&lt;="&amp;DATE(PlanYear,12,31)))</f>
        <v>0</v>
      </c>
      <c r="AL158" s="23">
        <f>IF(AJ158="","",SUMIFS(Performance!$O$5:$O$404,Performance!$H$5:$H$404,AJ158))</f>
        <v>0</v>
      </c>
      <c r="AM158" s="23">
        <f>IF(AJ158="","",SUMIFS(Performance!$Z$5:$Z$404,Performance!$H$5:$H$404,AJ158))</f>
        <v>0</v>
      </c>
      <c r="AN158" s="24">
        <f>IF(OR(AL158="",AL158=0),"",AM158/AL158)</f>
        <v>0</v>
      </c>
      <c r="AO158" s="32">
        <f>IF(AN158="","",AN158+ROW()/1000000)</f>
        <v>0</v>
      </c>
      <c r="AP158" s="17">
        <f>IF(Lists!$E158="","",Lists!$E158)</f>
        <v>0</v>
      </c>
      <c r="AQ158" s="23">
        <f>IF(AP158="","",COUNTIF(Performance!$G$5:$G$404,AP158))</f>
        <v>0</v>
      </c>
      <c r="AR158" s="23">
        <f>IF(AP158="","",SUMIFS(Performance!$O$5:$O$404,Performance!$G$5:$G$404,AP158))</f>
        <v>0</v>
      </c>
      <c r="AS158" s="23">
        <f>IF(AP158="","",SUMIFS(Performance!$Z$5:$Z$404,Performance!$G$5:$G$404,AP158))</f>
        <v>0</v>
      </c>
      <c r="AT158" s="24">
        <f>IF(OR(AR158="",AR158=0),"",AS158/AR158)</f>
        <v>0</v>
      </c>
      <c r="AU158" s="32">
        <f>IF(AQ158=0,"",IF(AT158="","",AT158+ROW()/1000000))</f>
        <v>0</v>
      </c>
      <c r="AV158" s="17">
        <f>IF(ROW()-4&gt;7,"",TEXT(DATE(2024,1,ROW()-4),"ddd"))</f>
        <v>0</v>
      </c>
      <c r="AW158" s="23">
        <f>IF(AV158="","",COUNTIF(Performance!$N$5:$N$404,AV158))</f>
        <v>0</v>
      </c>
      <c r="AX158" s="23">
        <f>IF(AV158="","",SUMIFS(Performance!$O$5:$O$404,Performance!$N$5:$N$404,AV158))</f>
        <v>0</v>
      </c>
      <c r="AY158" s="23">
        <f>IF(AV158="","",SUMIFS(Performance!$Z$5:$Z$404,Performance!$N$5:$N$404,AV158))</f>
        <v>0</v>
      </c>
      <c r="AZ158" s="24">
        <f>IF(OR(AX158="",AX158=0),"",AY158/AX158)</f>
        <v>0</v>
      </c>
      <c r="BA158" s="32">
        <f>IF(AW158=0,"",IF(AZ158="","",AZ158+ROW()/1000000))</f>
        <v>0</v>
      </c>
      <c r="BB158" s="17">
        <f>IF(Lists!$AL158="","",Lists!$AL158)</f>
        <v>0</v>
      </c>
      <c r="BC158" s="23">
        <f>IF(BB158="","",COUNTIF(Performance!$M$5:$M$404,BB158))</f>
        <v>0</v>
      </c>
      <c r="BD158" s="23">
        <f>IF(BB158="","",SUMIFS(Performance!$O$5:$O$404,Performance!$M$5:$M$404,BB158))</f>
        <v>0</v>
      </c>
      <c r="BE158" s="23">
        <f>IF(BB158="","",SUMIFS(Performance!$Z$5:$Z$404,Performance!$M$5:$M$404,BB158))</f>
        <v>0</v>
      </c>
      <c r="BF158" s="24">
        <f>IF(OR(BD158="",BD158=0),"",BE158/BD158)</f>
        <v>0</v>
      </c>
      <c r="BG158" s="32">
        <f>IF(BC158=0,"",IF(BF158="","",BF158+ROW()/1000000))</f>
        <v>0</v>
      </c>
      <c r="BH158" s="17">
        <f>IF(Performance!$C$158="","",Performance!$C$158)</f>
        <v>0</v>
      </c>
      <c r="BI158" s="17">
        <f>IF(Performance!$F$158="","",Performance!$F$158)</f>
        <v>0</v>
      </c>
      <c r="BJ158" s="17">
        <f>IF(Performance!$H$158="","",Performance!$H$158)</f>
        <v>0</v>
      </c>
      <c r="BK158" s="16">
        <f>IF(Performance!$D$158="","",Performance!$D$158)</f>
        <v>0</v>
      </c>
      <c r="BL158" s="17">
        <f>IF(Performance!$E$158="","",Performance!$E$158)</f>
        <v>0</v>
      </c>
      <c r="BM158" s="23">
        <f>IF(Performance!$O$158="","",Performance!$O$158)</f>
        <v>0</v>
      </c>
      <c r="BN158" s="24">
        <f>IF(Performance!$AA$158="","",Performance!$AA$158)</f>
        <v>0</v>
      </c>
      <c r="BO158" s="32">
        <f>IF(BH158="","",IF(BK158="","",IF(OR(BK158&lt;DashStart,BK158&gt;DashEnd),"",IF(BN158="","",BN158+ROW()/1000000))))</f>
        <v>0</v>
      </c>
      <c r="BP158" s="32">
        <f>IF(BM158="","",IF(BK158="","",IF(OR(BK158&lt;DashStart,BK158&gt;DashEnd),"",BM158+ROW()/1000000)))</f>
        <v>0</v>
      </c>
      <c r="BQ158" s="32">
        <f>IF(BH158="","",IF(BK158="","",IF(YEAR(BK158)&lt;&gt;PlanYear,"",IF(BN158="","",BN158+ROW()/1000000))))</f>
        <v>0</v>
      </c>
      <c r="BR158" s="32">
        <f>IF(BH158="","",IF(BK158="","",IF(OR(BK158&lt;RepFrom,BK158&gt;RepTo),"",IF(BN158="","",BN158+ROW()/1000000))))</f>
        <v>0</v>
      </c>
      <c r="BS158" s="32">
        <f>IF(BM158="","",IF(BK158="","",IF(YEAR(BK158)&lt;&gt;PlanYear,"",BM158+ROW()/1000000)))</f>
        <v>0</v>
      </c>
      <c r="BT158" s="17">
        <f>IF(Lists!$F158="","",Lists!$F158)</f>
        <v>0</v>
      </c>
      <c r="BU158" s="23">
        <f>IF(BT158="","",COUNTIF('Content Calendar'!$X$5:$X$604,BT158))</f>
        <v>0</v>
      </c>
      <c r="BV158" s="23">
        <f>IF(BT158="","",COUNTIFS('Content Calendar'!$X$5:$X$604,BT158,'Content Calendar'!$B$5:$B$604,"&gt;="&amp;DashStart,'Content Calendar'!$B$5:$B$604,"&lt;="&amp;DashEnd))</f>
        <v>0</v>
      </c>
      <c r="BW158" s="17">
        <f>IF(Team!$B$158="","",Team!$B$158)</f>
        <v>0</v>
      </c>
      <c r="BX158" s="23">
        <f>IF(BW158="","",COUNTIF('Content Calendar'!$W$5:$W$604,BW158))</f>
        <v>0</v>
      </c>
      <c r="BY158" s="23">
        <f>IF(BW158="","",COUNTIFS('Content Calendar'!$W$5:$W$604,BW158,'Content Calendar'!$X$5:$X$604,"&lt;&gt;Published"))</f>
        <v>0</v>
      </c>
      <c r="BZ158" s="23">
        <f>IF(BW158="","",COUNTIFS(Tasks!$C$5:$C$64,BW158,Tasks!$G$5:$G$64,"&lt;&gt;Complete"))</f>
        <v>0</v>
      </c>
      <c r="CA158" s="17">
        <f>IF(Campaigns!$B$158="","",Campaigns!$B$158)</f>
        <v>0</v>
      </c>
      <c r="CB158" s="25">
        <f>IF(Campaigns!$T$158="","",Campaigns!$T$158)</f>
        <v>0</v>
      </c>
      <c r="CC158" s="25">
        <f>IF(Campaigns!$Q$158="","",Campaigns!$Q$158)</f>
        <v>0</v>
      </c>
      <c r="CD158" s="23">
        <f>IF(Campaigns!$Y$158="","",Campaigns!$Y$158)</f>
        <v>0</v>
      </c>
      <c r="CE158" s="32">
        <f>IF(CA158="","",IF(N(CB158)&lt;=0,"",N(CB158)+ROW()/1000000))</f>
        <v>0</v>
      </c>
      <c r="CF158" s="17">
        <f>IF(Accounts!$C$158="","",Accounts!$C$158)</f>
        <v>0</v>
      </c>
      <c r="CG158" s="17">
        <f>IF(Accounts!$B$158="","",Accounts!$B$158)</f>
        <v>0</v>
      </c>
      <c r="CH158" s="23">
        <f>IF(Accounts!$J$158="","",Accounts!$J$158)</f>
        <v>0</v>
      </c>
      <c r="CI158" s="23">
        <f>IF(CF158="","",SUMIFS(Analytics!$X$5:$X$154,Analytics!$E$5:$E$154,CF158,Analytics!$B$5:$B$154,"&gt;="&amp;DashStart,Analytics!$B$5:$B$154,"&lt;="&amp;DashEnd))</f>
        <v>0</v>
      </c>
      <c r="CJ158" s="32">
        <f>IF(CH158="","",IF(CH158=0,"",CH158+ROW()/1000000))</f>
        <v>0</v>
      </c>
    </row>
    <row r="159" spans="1:88">
      <c r="A159" s="16">
        <f>IF(ROW()-4&gt;12,"",DATE(PlanYear,ROW()-4,1))</f>
        <v>0</v>
      </c>
      <c r="B159" s="16">
        <f>IF(A159="","",EOMONTH(A159,0))</f>
        <v>0</v>
      </c>
      <c r="C159" s="17">
        <f>IF(A159="","",TEXT(A159,"yyyy-mm"))</f>
        <v>0</v>
      </c>
      <c r="D159" s="17">
        <f>IF(A159="","",TEXT(A159,"mmm"))</f>
        <v>0</v>
      </c>
      <c r="E159" s="23">
        <f>IF(C159="","",COUNTIFS('Content Calendar'!$D$5:$D$604,C159))</f>
        <v>0</v>
      </c>
      <c r="F159" s="23">
        <f>IF(C159="","",COUNTIFS('Content Calendar'!$D$5:$D$604,C159,'Content Calendar'!$X$5:$X$604,"Published"))</f>
        <v>0</v>
      </c>
      <c r="G159" s="23">
        <f>IF(C159="","",SUMIFS(Analytics!$J$5:$J$154,Analytics!$C$5:$C$154,C159))</f>
        <v>0</v>
      </c>
      <c r="H159" s="23">
        <f>IF(C159="","",SUMIFS(Analytics!$K$5:$K$154,Analytics!$C$5:$C$154,C159))</f>
        <v>0</v>
      </c>
      <c r="I159" s="23">
        <f>IF(C159="","",SUMIFS(Analytics!$L$5:$L$154,Analytics!$C$5:$C$154,C159))</f>
        <v>0</v>
      </c>
      <c r="J159" s="24">
        <f>IF(OR(G159="",G159=0),"",I159/G159)</f>
        <v>0</v>
      </c>
      <c r="K159" s="23">
        <f>IF(C159="","",SUMIFS(Analytics!$G$5:$G$154,Analytics!$C$5:$C$154,C159))</f>
        <v>0</v>
      </c>
      <c r="L159" s="23">
        <f>IF(C159="","",SUMIFS(Analytics!$X$5:$X$154,Analytics!$C$5:$C$154,C159))</f>
        <v>0</v>
      </c>
      <c r="M159" s="23">
        <f>IF(C159="","",SUMIFS(Analytics!$R$5:$R$154,Analytics!$C$5:$C$154,C159))</f>
        <v>0</v>
      </c>
      <c r="N159" s="23">
        <f>IF(C159="","",SUMIFS(Analytics!$S$5:$S$154,Analytics!$C$5:$C$154,C159))</f>
        <v>0</v>
      </c>
      <c r="O159" s="23">
        <f>IF(C159="","",SUMIFS(Analytics!$T$5:$T$154,Analytics!$C$5:$C$154,C159))</f>
        <v>0</v>
      </c>
      <c r="P159" s="25">
        <f>IF(C159="","",SUMIFS(Analytics!$U$5:$U$154,Analytics!$C$5:$C$154,C159))</f>
        <v>0</v>
      </c>
      <c r="Q159" s="25">
        <f>IF(C159="","",SUMIFS(Budget!$H$5:$H$64,Budget!$C$5:$C$64,C159))</f>
        <v>0</v>
      </c>
      <c r="R159" s="25">
        <f>IF(C159="","",P159-Q159)</f>
        <v>0</v>
      </c>
      <c r="S159" s="23">
        <f>IF(C159="","",MonthlyPostTarget)</f>
        <v>0</v>
      </c>
      <c r="T159" s="17">
        <f>IF(Lists!$C159="","",Lists!$C159)</f>
        <v>0</v>
      </c>
      <c r="U159" s="23">
        <f>IF(T159="","",COUNTIFS('Content Calendar'!$G$5:$G$604,T159,'Content Calendar'!$B$5:$B$604,"&gt;="&amp;DashStart,'Content Calendar'!$B$5:$B$604,"&lt;="&amp;DashEnd))</f>
        <v>0</v>
      </c>
      <c r="V159" s="23">
        <f>IF(T159="","",COUNTIFS('Content Calendar'!$G$5:$G$604,T159,'Content Calendar'!$X$5:$X$604,"Published",'Content Calendar'!$B$5:$B$604,"&gt;="&amp;DashStart,'Content Calendar'!$B$5:$B$604,"&lt;="&amp;DashEnd))</f>
        <v>0</v>
      </c>
      <c r="W159" s="23">
        <f>IF(T159="","",SUMIFS(Analytics!$J$5:$J$154,Analytics!$D$5:$D$154,T159,Analytics!$B$5:$B$154,"&gt;="&amp;DashStart,Analytics!$B$5:$B$154,"&lt;="&amp;DashEnd))</f>
        <v>0</v>
      </c>
      <c r="X159" s="23">
        <f>IF(T159="","",SUMIFS(Analytics!$L$5:$L$154,Analytics!$D$5:$D$154,T159,Analytics!$B$5:$B$154,"&gt;="&amp;DashStart,Analytics!$B$5:$B$154,"&lt;="&amp;DashEnd))</f>
        <v>0</v>
      </c>
      <c r="Y159" s="24">
        <f>IF(OR(W159="",W159=0),"",X159/W159)</f>
        <v>0</v>
      </c>
      <c r="Z159" s="23">
        <f>IF(T159="","",SUMIFS(Analytics!$G$5:$G$154,Analytics!$D$5:$D$154,T159,Analytics!$B$5:$B$154,"&gt;="&amp;DashStart,Analytics!$B$5:$B$154,"&lt;="&amp;DashEnd))</f>
        <v>0</v>
      </c>
      <c r="AA159" s="23">
        <f>IF(T159="","",SUMIFS(Analytics!$X$5:$X$154,Analytics!$D$5:$D$154,T159,Analytics!$B$5:$B$154,"&gt;="&amp;DashStart,Analytics!$B$5:$B$154,"&lt;="&amp;DashEnd))</f>
        <v>0</v>
      </c>
      <c r="AB159" s="23">
        <f>IF(T159="","",SUMIFS(Analytics!$R$5:$R$154,Analytics!$D$5:$D$154,T159,Analytics!$B$5:$B$154,"&gt;="&amp;DashStart,Analytics!$B$5:$B$154,"&lt;="&amp;DashEnd))</f>
        <v>0</v>
      </c>
      <c r="AC159" s="25">
        <f>IF(T159="","",SUMIFS(Analytics!$U$5:$U$154,Analytics!$D$5:$D$154,T159,Analytics!$B$5:$B$154,"&gt;="&amp;DashStart,Analytics!$B$5:$B$154,"&lt;="&amp;DashEnd))</f>
        <v>0</v>
      </c>
      <c r="AD159" s="23">
        <f>IF(T159="","",COUNTIFS('Content Calendar'!$G$5:$G$604,T159,'Content Calendar'!$B$5:$B$604,"&gt;="&amp;DATE(PlanYear,1,1),'Content Calendar'!$B$5:$B$604,"&lt;="&amp;DATE(PlanYear,12,31)))</f>
        <v>0</v>
      </c>
      <c r="AE159" s="23">
        <f>IF(T159="","",SUMIFS(Analytics!$J$5:$J$154,Analytics!$D$5:$D$154,T159))</f>
        <v>0</v>
      </c>
      <c r="AF159" s="23">
        <f>IF(T159="","",SUMIFS(Analytics!$L$5:$L$154,Analytics!$D$5:$D$154,T159))</f>
        <v>0</v>
      </c>
      <c r="AG159" s="24">
        <f>IF(OR(AE159="",AE159=0),"",AF159/AE159)</f>
        <v>0</v>
      </c>
      <c r="AH159" s="23">
        <f>IF(T159="","",SUMIFS(Analytics!$X$5:$X$154,Analytics!$D$5:$D$154,T159))</f>
        <v>0</v>
      </c>
      <c r="AI159" s="32">
        <f>IF(T159="","",IF(AE159=0,"",AE159+ROW()/1000000))</f>
        <v>0</v>
      </c>
      <c r="AJ159" s="17">
        <f>IF('Content Pillars'!$B$159="","",'Content Pillars'!$B$159)</f>
        <v>0</v>
      </c>
      <c r="AK159" s="23">
        <f>IF(AJ159="","",COUNTIFS('Content Calendar'!$J$5:$J$604,AJ159,'Content Calendar'!$B$5:$B$604,"&gt;="&amp;DATE(PlanYear,1,1),'Content Calendar'!$B$5:$B$604,"&lt;="&amp;DATE(PlanYear,12,31)))</f>
        <v>0</v>
      </c>
      <c r="AL159" s="23">
        <f>IF(AJ159="","",SUMIFS(Performance!$O$5:$O$404,Performance!$H$5:$H$404,AJ159))</f>
        <v>0</v>
      </c>
      <c r="AM159" s="23">
        <f>IF(AJ159="","",SUMIFS(Performance!$Z$5:$Z$404,Performance!$H$5:$H$404,AJ159))</f>
        <v>0</v>
      </c>
      <c r="AN159" s="24">
        <f>IF(OR(AL159="",AL159=0),"",AM159/AL159)</f>
        <v>0</v>
      </c>
      <c r="AO159" s="32">
        <f>IF(AN159="","",AN159+ROW()/1000000)</f>
        <v>0</v>
      </c>
      <c r="AP159" s="17">
        <f>IF(Lists!$E159="","",Lists!$E159)</f>
        <v>0</v>
      </c>
      <c r="AQ159" s="23">
        <f>IF(AP159="","",COUNTIF(Performance!$G$5:$G$404,AP159))</f>
        <v>0</v>
      </c>
      <c r="AR159" s="23">
        <f>IF(AP159="","",SUMIFS(Performance!$O$5:$O$404,Performance!$G$5:$G$404,AP159))</f>
        <v>0</v>
      </c>
      <c r="AS159" s="23">
        <f>IF(AP159="","",SUMIFS(Performance!$Z$5:$Z$404,Performance!$G$5:$G$404,AP159))</f>
        <v>0</v>
      </c>
      <c r="AT159" s="24">
        <f>IF(OR(AR159="",AR159=0),"",AS159/AR159)</f>
        <v>0</v>
      </c>
      <c r="AU159" s="32">
        <f>IF(AQ159=0,"",IF(AT159="","",AT159+ROW()/1000000))</f>
        <v>0</v>
      </c>
      <c r="AV159" s="17">
        <f>IF(ROW()-4&gt;7,"",TEXT(DATE(2024,1,ROW()-4),"ddd"))</f>
        <v>0</v>
      </c>
      <c r="AW159" s="23">
        <f>IF(AV159="","",COUNTIF(Performance!$N$5:$N$404,AV159))</f>
        <v>0</v>
      </c>
      <c r="AX159" s="23">
        <f>IF(AV159="","",SUMIFS(Performance!$O$5:$O$404,Performance!$N$5:$N$404,AV159))</f>
        <v>0</v>
      </c>
      <c r="AY159" s="23">
        <f>IF(AV159="","",SUMIFS(Performance!$Z$5:$Z$404,Performance!$N$5:$N$404,AV159))</f>
        <v>0</v>
      </c>
      <c r="AZ159" s="24">
        <f>IF(OR(AX159="",AX159=0),"",AY159/AX159)</f>
        <v>0</v>
      </c>
      <c r="BA159" s="32">
        <f>IF(AW159=0,"",IF(AZ159="","",AZ159+ROW()/1000000))</f>
        <v>0</v>
      </c>
      <c r="BB159" s="17">
        <f>IF(Lists!$AL159="","",Lists!$AL159)</f>
        <v>0</v>
      </c>
      <c r="BC159" s="23">
        <f>IF(BB159="","",COUNTIF(Performance!$M$5:$M$404,BB159))</f>
        <v>0</v>
      </c>
      <c r="BD159" s="23">
        <f>IF(BB159="","",SUMIFS(Performance!$O$5:$O$404,Performance!$M$5:$M$404,BB159))</f>
        <v>0</v>
      </c>
      <c r="BE159" s="23">
        <f>IF(BB159="","",SUMIFS(Performance!$Z$5:$Z$404,Performance!$M$5:$M$404,BB159))</f>
        <v>0</v>
      </c>
      <c r="BF159" s="24">
        <f>IF(OR(BD159="",BD159=0),"",BE159/BD159)</f>
        <v>0</v>
      </c>
      <c r="BG159" s="32">
        <f>IF(BC159=0,"",IF(BF159="","",BF159+ROW()/1000000))</f>
        <v>0</v>
      </c>
      <c r="BH159" s="17">
        <f>IF(Performance!$C$159="","",Performance!$C$159)</f>
        <v>0</v>
      </c>
      <c r="BI159" s="17">
        <f>IF(Performance!$F$159="","",Performance!$F$159)</f>
        <v>0</v>
      </c>
      <c r="BJ159" s="17">
        <f>IF(Performance!$H$159="","",Performance!$H$159)</f>
        <v>0</v>
      </c>
      <c r="BK159" s="16">
        <f>IF(Performance!$D$159="","",Performance!$D$159)</f>
        <v>0</v>
      </c>
      <c r="BL159" s="17">
        <f>IF(Performance!$E$159="","",Performance!$E$159)</f>
        <v>0</v>
      </c>
      <c r="BM159" s="23">
        <f>IF(Performance!$O$159="","",Performance!$O$159)</f>
        <v>0</v>
      </c>
      <c r="BN159" s="24">
        <f>IF(Performance!$AA$159="","",Performance!$AA$159)</f>
        <v>0</v>
      </c>
      <c r="BO159" s="32">
        <f>IF(BH159="","",IF(BK159="","",IF(OR(BK159&lt;DashStart,BK159&gt;DashEnd),"",IF(BN159="","",BN159+ROW()/1000000))))</f>
        <v>0</v>
      </c>
      <c r="BP159" s="32">
        <f>IF(BM159="","",IF(BK159="","",IF(OR(BK159&lt;DashStart,BK159&gt;DashEnd),"",BM159+ROW()/1000000)))</f>
        <v>0</v>
      </c>
      <c r="BQ159" s="32">
        <f>IF(BH159="","",IF(BK159="","",IF(YEAR(BK159)&lt;&gt;PlanYear,"",IF(BN159="","",BN159+ROW()/1000000))))</f>
        <v>0</v>
      </c>
      <c r="BR159" s="32">
        <f>IF(BH159="","",IF(BK159="","",IF(OR(BK159&lt;RepFrom,BK159&gt;RepTo),"",IF(BN159="","",BN159+ROW()/1000000))))</f>
        <v>0</v>
      </c>
      <c r="BS159" s="32">
        <f>IF(BM159="","",IF(BK159="","",IF(YEAR(BK159)&lt;&gt;PlanYear,"",BM159+ROW()/1000000)))</f>
        <v>0</v>
      </c>
      <c r="BT159" s="17">
        <f>IF(Lists!$F159="","",Lists!$F159)</f>
        <v>0</v>
      </c>
      <c r="BU159" s="23">
        <f>IF(BT159="","",COUNTIF('Content Calendar'!$X$5:$X$604,BT159))</f>
        <v>0</v>
      </c>
      <c r="BV159" s="23">
        <f>IF(BT159="","",COUNTIFS('Content Calendar'!$X$5:$X$604,BT159,'Content Calendar'!$B$5:$B$604,"&gt;="&amp;DashStart,'Content Calendar'!$B$5:$B$604,"&lt;="&amp;DashEnd))</f>
        <v>0</v>
      </c>
      <c r="BW159" s="17">
        <f>IF(Team!$B$159="","",Team!$B$159)</f>
        <v>0</v>
      </c>
      <c r="BX159" s="23">
        <f>IF(BW159="","",COUNTIF('Content Calendar'!$W$5:$W$604,BW159))</f>
        <v>0</v>
      </c>
      <c r="BY159" s="23">
        <f>IF(BW159="","",COUNTIFS('Content Calendar'!$W$5:$W$604,BW159,'Content Calendar'!$X$5:$X$604,"&lt;&gt;Published"))</f>
        <v>0</v>
      </c>
      <c r="BZ159" s="23">
        <f>IF(BW159="","",COUNTIFS(Tasks!$C$5:$C$64,BW159,Tasks!$G$5:$G$64,"&lt;&gt;Complete"))</f>
        <v>0</v>
      </c>
      <c r="CA159" s="17">
        <f>IF(Campaigns!$B$159="","",Campaigns!$B$159)</f>
        <v>0</v>
      </c>
      <c r="CB159" s="25">
        <f>IF(Campaigns!$T$159="","",Campaigns!$T$159)</f>
        <v>0</v>
      </c>
      <c r="CC159" s="25">
        <f>IF(Campaigns!$Q$159="","",Campaigns!$Q$159)</f>
        <v>0</v>
      </c>
      <c r="CD159" s="23">
        <f>IF(Campaigns!$Y$159="","",Campaigns!$Y$159)</f>
        <v>0</v>
      </c>
      <c r="CE159" s="32">
        <f>IF(CA159="","",IF(N(CB159)&lt;=0,"",N(CB159)+ROW()/1000000))</f>
        <v>0</v>
      </c>
      <c r="CF159" s="17">
        <f>IF(Accounts!$C$159="","",Accounts!$C$159)</f>
        <v>0</v>
      </c>
      <c r="CG159" s="17">
        <f>IF(Accounts!$B$159="","",Accounts!$B$159)</f>
        <v>0</v>
      </c>
      <c r="CH159" s="23">
        <f>IF(Accounts!$J$159="","",Accounts!$J$159)</f>
        <v>0</v>
      </c>
      <c r="CI159" s="23">
        <f>IF(CF159="","",SUMIFS(Analytics!$X$5:$X$154,Analytics!$E$5:$E$154,CF159,Analytics!$B$5:$B$154,"&gt;="&amp;DashStart,Analytics!$B$5:$B$154,"&lt;="&amp;DashEnd))</f>
        <v>0</v>
      </c>
      <c r="CJ159" s="32">
        <f>IF(CH159="","",IF(CH159=0,"",CH159+ROW()/1000000))</f>
        <v>0</v>
      </c>
    </row>
    <row r="160" spans="1:88">
      <c r="A160" s="16">
        <f>IF(ROW()-4&gt;12,"",DATE(PlanYear,ROW()-4,1))</f>
        <v>0</v>
      </c>
      <c r="B160" s="16">
        <f>IF(A160="","",EOMONTH(A160,0))</f>
        <v>0</v>
      </c>
      <c r="C160" s="17">
        <f>IF(A160="","",TEXT(A160,"yyyy-mm"))</f>
        <v>0</v>
      </c>
      <c r="D160" s="17">
        <f>IF(A160="","",TEXT(A160,"mmm"))</f>
        <v>0</v>
      </c>
      <c r="E160" s="23">
        <f>IF(C160="","",COUNTIFS('Content Calendar'!$D$5:$D$604,C160))</f>
        <v>0</v>
      </c>
      <c r="F160" s="23">
        <f>IF(C160="","",COUNTIFS('Content Calendar'!$D$5:$D$604,C160,'Content Calendar'!$X$5:$X$604,"Published"))</f>
        <v>0</v>
      </c>
      <c r="G160" s="23">
        <f>IF(C160="","",SUMIFS(Analytics!$J$5:$J$154,Analytics!$C$5:$C$154,C160))</f>
        <v>0</v>
      </c>
      <c r="H160" s="23">
        <f>IF(C160="","",SUMIFS(Analytics!$K$5:$K$154,Analytics!$C$5:$C$154,C160))</f>
        <v>0</v>
      </c>
      <c r="I160" s="23">
        <f>IF(C160="","",SUMIFS(Analytics!$L$5:$L$154,Analytics!$C$5:$C$154,C160))</f>
        <v>0</v>
      </c>
      <c r="J160" s="24">
        <f>IF(OR(G160="",G160=0),"",I160/G160)</f>
        <v>0</v>
      </c>
      <c r="K160" s="23">
        <f>IF(C160="","",SUMIFS(Analytics!$G$5:$G$154,Analytics!$C$5:$C$154,C160))</f>
        <v>0</v>
      </c>
      <c r="L160" s="23">
        <f>IF(C160="","",SUMIFS(Analytics!$X$5:$X$154,Analytics!$C$5:$C$154,C160))</f>
        <v>0</v>
      </c>
      <c r="M160" s="23">
        <f>IF(C160="","",SUMIFS(Analytics!$R$5:$R$154,Analytics!$C$5:$C$154,C160))</f>
        <v>0</v>
      </c>
      <c r="N160" s="23">
        <f>IF(C160="","",SUMIFS(Analytics!$S$5:$S$154,Analytics!$C$5:$C$154,C160))</f>
        <v>0</v>
      </c>
      <c r="O160" s="23">
        <f>IF(C160="","",SUMIFS(Analytics!$T$5:$T$154,Analytics!$C$5:$C$154,C160))</f>
        <v>0</v>
      </c>
      <c r="P160" s="25">
        <f>IF(C160="","",SUMIFS(Analytics!$U$5:$U$154,Analytics!$C$5:$C$154,C160))</f>
        <v>0</v>
      </c>
      <c r="Q160" s="25">
        <f>IF(C160="","",SUMIFS(Budget!$H$5:$H$64,Budget!$C$5:$C$64,C160))</f>
        <v>0</v>
      </c>
      <c r="R160" s="25">
        <f>IF(C160="","",P160-Q160)</f>
        <v>0</v>
      </c>
      <c r="S160" s="23">
        <f>IF(C160="","",MonthlyPostTarget)</f>
        <v>0</v>
      </c>
      <c r="T160" s="17">
        <f>IF(Lists!$C160="","",Lists!$C160)</f>
        <v>0</v>
      </c>
      <c r="U160" s="23">
        <f>IF(T160="","",COUNTIFS('Content Calendar'!$G$5:$G$604,T160,'Content Calendar'!$B$5:$B$604,"&gt;="&amp;DashStart,'Content Calendar'!$B$5:$B$604,"&lt;="&amp;DashEnd))</f>
        <v>0</v>
      </c>
      <c r="V160" s="23">
        <f>IF(T160="","",COUNTIFS('Content Calendar'!$G$5:$G$604,T160,'Content Calendar'!$X$5:$X$604,"Published",'Content Calendar'!$B$5:$B$604,"&gt;="&amp;DashStart,'Content Calendar'!$B$5:$B$604,"&lt;="&amp;DashEnd))</f>
        <v>0</v>
      </c>
      <c r="W160" s="23">
        <f>IF(T160="","",SUMIFS(Analytics!$J$5:$J$154,Analytics!$D$5:$D$154,T160,Analytics!$B$5:$B$154,"&gt;="&amp;DashStart,Analytics!$B$5:$B$154,"&lt;="&amp;DashEnd))</f>
        <v>0</v>
      </c>
      <c r="X160" s="23">
        <f>IF(T160="","",SUMIFS(Analytics!$L$5:$L$154,Analytics!$D$5:$D$154,T160,Analytics!$B$5:$B$154,"&gt;="&amp;DashStart,Analytics!$B$5:$B$154,"&lt;="&amp;DashEnd))</f>
        <v>0</v>
      </c>
      <c r="Y160" s="24">
        <f>IF(OR(W160="",W160=0),"",X160/W160)</f>
        <v>0</v>
      </c>
      <c r="Z160" s="23">
        <f>IF(T160="","",SUMIFS(Analytics!$G$5:$G$154,Analytics!$D$5:$D$154,T160,Analytics!$B$5:$B$154,"&gt;="&amp;DashStart,Analytics!$B$5:$B$154,"&lt;="&amp;DashEnd))</f>
        <v>0</v>
      </c>
      <c r="AA160" s="23">
        <f>IF(T160="","",SUMIFS(Analytics!$X$5:$X$154,Analytics!$D$5:$D$154,T160,Analytics!$B$5:$B$154,"&gt;="&amp;DashStart,Analytics!$B$5:$B$154,"&lt;="&amp;DashEnd))</f>
        <v>0</v>
      </c>
      <c r="AB160" s="23">
        <f>IF(T160="","",SUMIFS(Analytics!$R$5:$R$154,Analytics!$D$5:$D$154,T160,Analytics!$B$5:$B$154,"&gt;="&amp;DashStart,Analytics!$B$5:$B$154,"&lt;="&amp;DashEnd))</f>
        <v>0</v>
      </c>
      <c r="AC160" s="25">
        <f>IF(T160="","",SUMIFS(Analytics!$U$5:$U$154,Analytics!$D$5:$D$154,T160,Analytics!$B$5:$B$154,"&gt;="&amp;DashStart,Analytics!$B$5:$B$154,"&lt;="&amp;DashEnd))</f>
        <v>0</v>
      </c>
      <c r="AD160" s="23">
        <f>IF(T160="","",COUNTIFS('Content Calendar'!$G$5:$G$604,T160,'Content Calendar'!$B$5:$B$604,"&gt;="&amp;DATE(PlanYear,1,1),'Content Calendar'!$B$5:$B$604,"&lt;="&amp;DATE(PlanYear,12,31)))</f>
        <v>0</v>
      </c>
      <c r="AE160" s="23">
        <f>IF(T160="","",SUMIFS(Analytics!$J$5:$J$154,Analytics!$D$5:$D$154,T160))</f>
        <v>0</v>
      </c>
      <c r="AF160" s="23">
        <f>IF(T160="","",SUMIFS(Analytics!$L$5:$L$154,Analytics!$D$5:$D$154,T160))</f>
        <v>0</v>
      </c>
      <c r="AG160" s="24">
        <f>IF(OR(AE160="",AE160=0),"",AF160/AE160)</f>
        <v>0</v>
      </c>
      <c r="AH160" s="23">
        <f>IF(T160="","",SUMIFS(Analytics!$X$5:$X$154,Analytics!$D$5:$D$154,T160))</f>
        <v>0</v>
      </c>
      <c r="AI160" s="32">
        <f>IF(T160="","",IF(AE160=0,"",AE160+ROW()/1000000))</f>
        <v>0</v>
      </c>
      <c r="AJ160" s="17">
        <f>IF('Content Pillars'!$B$160="","",'Content Pillars'!$B$160)</f>
        <v>0</v>
      </c>
      <c r="AK160" s="23">
        <f>IF(AJ160="","",COUNTIFS('Content Calendar'!$J$5:$J$604,AJ160,'Content Calendar'!$B$5:$B$604,"&gt;="&amp;DATE(PlanYear,1,1),'Content Calendar'!$B$5:$B$604,"&lt;="&amp;DATE(PlanYear,12,31)))</f>
        <v>0</v>
      </c>
      <c r="AL160" s="23">
        <f>IF(AJ160="","",SUMIFS(Performance!$O$5:$O$404,Performance!$H$5:$H$404,AJ160))</f>
        <v>0</v>
      </c>
      <c r="AM160" s="23">
        <f>IF(AJ160="","",SUMIFS(Performance!$Z$5:$Z$404,Performance!$H$5:$H$404,AJ160))</f>
        <v>0</v>
      </c>
      <c r="AN160" s="24">
        <f>IF(OR(AL160="",AL160=0),"",AM160/AL160)</f>
        <v>0</v>
      </c>
      <c r="AO160" s="32">
        <f>IF(AN160="","",AN160+ROW()/1000000)</f>
        <v>0</v>
      </c>
      <c r="AP160" s="17">
        <f>IF(Lists!$E160="","",Lists!$E160)</f>
        <v>0</v>
      </c>
      <c r="AQ160" s="23">
        <f>IF(AP160="","",COUNTIF(Performance!$G$5:$G$404,AP160))</f>
        <v>0</v>
      </c>
      <c r="AR160" s="23">
        <f>IF(AP160="","",SUMIFS(Performance!$O$5:$O$404,Performance!$G$5:$G$404,AP160))</f>
        <v>0</v>
      </c>
      <c r="AS160" s="23">
        <f>IF(AP160="","",SUMIFS(Performance!$Z$5:$Z$404,Performance!$G$5:$G$404,AP160))</f>
        <v>0</v>
      </c>
      <c r="AT160" s="24">
        <f>IF(OR(AR160="",AR160=0),"",AS160/AR160)</f>
        <v>0</v>
      </c>
      <c r="AU160" s="32">
        <f>IF(AQ160=0,"",IF(AT160="","",AT160+ROW()/1000000))</f>
        <v>0</v>
      </c>
      <c r="AV160" s="17">
        <f>IF(ROW()-4&gt;7,"",TEXT(DATE(2024,1,ROW()-4),"ddd"))</f>
        <v>0</v>
      </c>
      <c r="AW160" s="23">
        <f>IF(AV160="","",COUNTIF(Performance!$N$5:$N$404,AV160))</f>
        <v>0</v>
      </c>
      <c r="AX160" s="23">
        <f>IF(AV160="","",SUMIFS(Performance!$O$5:$O$404,Performance!$N$5:$N$404,AV160))</f>
        <v>0</v>
      </c>
      <c r="AY160" s="23">
        <f>IF(AV160="","",SUMIFS(Performance!$Z$5:$Z$404,Performance!$N$5:$N$404,AV160))</f>
        <v>0</v>
      </c>
      <c r="AZ160" s="24">
        <f>IF(OR(AX160="",AX160=0),"",AY160/AX160)</f>
        <v>0</v>
      </c>
      <c r="BA160" s="32">
        <f>IF(AW160=0,"",IF(AZ160="","",AZ160+ROW()/1000000))</f>
        <v>0</v>
      </c>
      <c r="BB160" s="17">
        <f>IF(Lists!$AL160="","",Lists!$AL160)</f>
        <v>0</v>
      </c>
      <c r="BC160" s="23">
        <f>IF(BB160="","",COUNTIF(Performance!$M$5:$M$404,BB160))</f>
        <v>0</v>
      </c>
      <c r="BD160" s="23">
        <f>IF(BB160="","",SUMIFS(Performance!$O$5:$O$404,Performance!$M$5:$M$404,BB160))</f>
        <v>0</v>
      </c>
      <c r="BE160" s="23">
        <f>IF(BB160="","",SUMIFS(Performance!$Z$5:$Z$404,Performance!$M$5:$M$404,BB160))</f>
        <v>0</v>
      </c>
      <c r="BF160" s="24">
        <f>IF(OR(BD160="",BD160=0),"",BE160/BD160)</f>
        <v>0</v>
      </c>
      <c r="BG160" s="32">
        <f>IF(BC160=0,"",IF(BF160="","",BF160+ROW()/1000000))</f>
        <v>0</v>
      </c>
      <c r="BH160" s="17">
        <f>IF(Performance!$C$160="","",Performance!$C$160)</f>
        <v>0</v>
      </c>
      <c r="BI160" s="17">
        <f>IF(Performance!$F$160="","",Performance!$F$160)</f>
        <v>0</v>
      </c>
      <c r="BJ160" s="17">
        <f>IF(Performance!$H$160="","",Performance!$H$160)</f>
        <v>0</v>
      </c>
      <c r="BK160" s="16">
        <f>IF(Performance!$D$160="","",Performance!$D$160)</f>
        <v>0</v>
      </c>
      <c r="BL160" s="17">
        <f>IF(Performance!$E$160="","",Performance!$E$160)</f>
        <v>0</v>
      </c>
      <c r="BM160" s="23">
        <f>IF(Performance!$O$160="","",Performance!$O$160)</f>
        <v>0</v>
      </c>
      <c r="BN160" s="24">
        <f>IF(Performance!$AA$160="","",Performance!$AA$160)</f>
        <v>0</v>
      </c>
      <c r="BO160" s="32">
        <f>IF(BH160="","",IF(BK160="","",IF(OR(BK160&lt;DashStart,BK160&gt;DashEnd),"",IF(BN160="","",BN160+ROW()/1000000))))</f>
        <v>0</v>
      </c>
      <c r="BP160" s="32">
        <f>IF(BM160="","",IF(BK160="","",IF(OR(BK160&lt;DashStart,BK160&gt;DashEnd),"",BM160+ROW()/1000000)))</f>
        <v>0</v>
      </c>
      <c r="BQ160" s="32">
        <f>IF(BH160="","",IF(BK160="","",IF(YEAR(BK160)&lt;&gt;PlanYear,"",IF(BN160="","",BN160+ROW()/1000000))))</f>
        <v>0</v>
      </c>
      <c r="BR160" s="32">
        <f>IF(BH160="","",IF(BK160="","",IF(OR(BK160&lt;RepFrom,BK160&gt;RepTo),"",IF(BN160="","",BN160+ROW()/1000000))))</f>
        <v>0</v>
      </c>
      <c r="BS160" s="32">
        <f>IF(BM160="","",IF(BK160="","",IF(YEAR(BK160)&lt;&gt;PlanYear,"",BM160+ROW()/1000000)))</f>
        <v>0</v>
      </c>
      <c r="BT160" s="17">
        <f>IF(Lists!$F160="","",Lists!$F160)</f>
        <v>0</v>
      </c>
      <c r="BU160" s="23">
        <f>IF(BT160="","",COUNTIF('Content Calendar'!$X$5:$X$604,BT160))</f>
        <v>0</v>
      </c>
      <c r="BV160" s="23">
        <f>IF(BT160="","",COUNTIFS('Content Calendar'!$X$5:$X$604,BT160,'Content Calendar'!$B$5:$B$604,"&gt;="&amp;DashStart,'Content Calendar'!$B$5:$B$604,"&lt;="&amp;DashEnd))</f>
        <v>0</v>
      </c>
      <c r="BW160" s="17">
        <f>IF(Team!$B$160="","",Team!$B$160)</f>
        <v>0</v>
      </c>
      <c r="BX160" s="23">
        <f>IF(BW160="","",COUNTIF('Content Calendar'!$W$5:$W$604,BW160))</f>
        <v>0</v>
      </c>
      <c r="BY160" s="23">
        <f>IF(BW160="","",COUNTIFS('Content Calendar'!$W$5:$W$604,BW160,'Content Calendar'!$X$5:$X$604,"&lt;&gt;Published"))</f>
        <v>0</v>
      </c>
      <c r="BZ160" s="23">
        <f>IF(BW160="","",COUNTIFS(Tasks!$C$5:$C$64,BW160,Tasks!$G$5:$G$64,"&lt;&gt;Complete"))</f>
        <v>0</v>
      </c>
      <c r="CA160" s="17">
        <f>IF(Campaigns!$B$160="","",Campaigns!$B$160)</f>
        <v>0</v>
      </c>
      <c r="CB160" s="25">
        <f>IF(Campaigns!$T$160="","",Campaigns!$T$160)</f>
        <v>0</v>
      </c>
      <c r="CC160" s="25">
        <f>IF(Campaigns!$Q$160="","",Campaigns!$Q$160)</f>
        <v>0</v>
      </c>
      <c r="CD160" s="23">
        <f>IF(Campaigns!$Y$160="","",Campaigns!$Y$160)</f>
        <v>0</v>
      </c>
      <c r="CE160" s="32">
        <f>IF(CA160="","",IF(N(CB160)&lt;=0,"",N(CB160)+ROW()/1000000))</f>
        <v>0</v>
      </c>
      <c r="CF160" s="17">
        <f>IF(Accounts!$C$160="","",Accounts!$C$160)</f>
        <v>0</v>
      </c>
      <c r="CG160" s="17">
        <f>IF(Accounts!$B$160="","",Accounts!$B$160)</f>
        <v>0</v>
      </c>
      <c r="CH160" s="23">
        <f>IF(Accounts!$J$160="","",Accounts!$J$160)</f>
        <v>0</v>
      </c>
      <c r="CI160" s="23">
        <f>IF(CF160="","",SUMIFS(Analytics!$X$5:$X$154,Analytics!$E$5:$E$154,CF160,Analytics!$B$5:$B$154,"&gt;="&amp;DashStart,Analytics!$B$5:$B$154,"&lt;="&amp;DashEnd))</f>
        <v>0</v>
      </c>
      <c r="CJ160" s="32">
        <f>IF(CH160="","",IF(CH160=0,"",CH160+ROW()/1000000))</f>
        <v>0</v>
      </c>
    </row>
    <row r="161" spans="1:88">
      <c r="A161" s="16">
        <f>IF(ROW()-4&gt;12,"",DATE(PlanYear,ROW()-4,1))</f>
        <v>0</v>
      </c>
      <c r="B161" s="16">
        <f>IF(A161="","",EOMONTH(A161,0))</f>
        <v>0</v>
      </c>
      <c r="C161" s="17">
        <f>IF(A161="","",TEXT(A161,"yyyy-mm"))</f>
        <v>0</v>
      </c>
      <c r="D161" s="17">
        <f>IF(A161="","",TEXT(A161,"mmm"))</f>
        <v>0</v>
      </c>
      <c r="E161" s="23">
        <f>IF(C161="","",COUNTIFS('Content Calendar'!$D$5:$D$604,C161))</f>
        <v>0</v>
      </c>
      <c r="F161" s="23">
        <f>IF(C161="","",COUNTIFS('Content Calendar'!$D$5:$D$604,C161,'Content Calendar'!$X$5:$X$604,"Published"))</f>
        <v>0</v>
      </c>
      <c r="G161" s="23">
        <f>IF(C161="","",SUMIFS(Analytics!$J$5:$J$154,Analytics!$C$5:$C$154,C161))</f>
        <v>0</v>
      </c>
      <c r="H161" s="23">
        <f>IF(C161="","",SUMIFS(Analytics!$K$5:$K$154,Analytics!$C$5:$C$154,C161))</f>
        <v>0</v>
      </c>
      <c r="I161" s="23">
        <f>IF(C161="","",SUMIFS(Analytics!$L$5:$L$154,Analytics!$C$5:$C$154,C161))</f>
        <v>0</v>
      </c>
      <c r="J161" s="24">
        <f>IF(OR(G161="",G161=0),"",I161/G161)</f>
        <v>0</v>
      </c>
      <c r="K161" s="23">
        <f>IF(C161="","",SUMIFS(Analytics!$G$5:$G$154,Analytics!$C$5:$C$154,C161))</f>
        <v>0</v>
      </c>
      <c r="L161" s="23">
        <f>IF(C161="","",SUMIFS(Analytics!$X$5:$X$154,Analytics!$C$5:$C$154,C161))</f>
        <v>0</v>
      </c>
      <c r="M161" s="23">
        <f>IF(C161="","",SUMIFS(Analytics!$R$5:$R$154,Analytics!$C$5:$C$154,C161))</f>
        <v>0</v>
      </c>
      <c r="N161" s="23">
        <f>IF(C161="","",SUMIFS(Analytics!$S$5:$S$154,Analytics!$C$5:$C$154,C161))</f>
        <v>0</v>
      </c>
      <c r="O161" s="23">
        <f>IF(C161="","",SUMIFS(Analytics!$T$5:$T$154,Analytics!$C$5:$C$154,C161))</f>
        <v>0</v>
      </c>
      <c r="P161" s="25">
        <f>IF(C161="","",SUMIFS(Analytics!$U$5:$U$154,Analytics!$C$5:$C$154,C161))</f>
        <v>0</v>
      </c>
      <c r="Q161" s="25">
        <f>IF(C161="","",SUMIFS(Budget!$H$5:$H$64,Budget!$C$5:$C$64,C161))</f>
        <v>0</v>
      </c>
      <c r="R161" s="25">
        <f>IF(C161="","",P161-Q161)</f>
        <v>0</v>
      </c>
      <c r="S161" s="23">
        <f>IF(C161="","",MonthlyPostTarget)</f>
        <v>0</v>
      </c>
      <c r="T161" s="17">
        <f>IF(Lists!$C161="","",Lists!$C161)</f>
        <v>0</v>
      </c>
      <c r="U161" s="23">
        <f>IF(T161="","",COUNTIFS('Content Calendar'!$G$5:$G$604,T161,'Content Calendar'!$B$5:$B$604,"&gt;="&amp;DashStart,'Content Calendar'!$B$5:$B$604,"&lt;="&amp;DashEnd))</f>
        <v>0</v>
      </c>
      <c r="V161" s="23">
        <f>IF(T161="","",COUNTIFS('Content Calendar'!$G$5:$G$604,T161,'Content Calendar'!$X$5:$X$604,"Published",'Content Calendar'!$B$5:$B$604,"&gt;="&amp;DashStart,'Content Calendar'!$B$5:$B$604,"&lt;="&amp;DashEnd))</f>
        <v>0</v>
      </c>
      <c r="W161" s="23">
        <f>IF(T161="","",SUMIFS(Analytics!$J$5:$J$154,Analytics!$D$5:$D$154,T161,Analytics!$B$5:$B$154,"&gt;="&amp;DashStart,Analytics!$B$5:$B$154,"&lt;="&amp;DashEnd))</f>
        <v>0</v>
      </c>
      <c r="X161" s="23">
        <f>IF(T161="","",SUMIFS(Analytics!$L$5:$L$154,Analytics!$D$5:$D$154,T161,Analytics!$B$5:$B$154,"&gt;="&amp;DashStart,Analytics!$B$5:$B$154,"&lt;="&amp;DashEnd))</f>
        <v>0</v>
      </c>
      <c r="Y161" s="24">
        <f>IF(OR(W161="",W161=0),"",X161/W161)</f>
        <v>0</v>
      </c>
      <c r="Z161" s="23">
        <f>IF(T161="","",SUMIFS(Analytics!$G$5:$G$154,Analytics!$D$5:$D$154,T161,Analytics!$B$5:$B$154,"&gt;="&amp;DashStart,Analytics!$B$5:$B$154,"&lt;="&amp;DashEnd))</f>
        <v>0</v>
      </c>
      <c r="AA161" s="23">
        <f>IF(T161="","",SUMIFS(Analytics!$X$5:$X$154,Analytics!$D$5:$D$154,T161,Analytics!$B$5:$B$154,"&gt;="&amp;DashStart,Analytics!$B$5:$B$154,"&lt;="&amp;DashEnd))</f>
        <v>0</v>
      </c>
      <c r="AB161" s="23">
        <f>IF(T161="","",SUMIFS(Analytics!$R$5:$R$154,Analytics!$D$5:$D$154,T161,Analytics!$B$5:$B$154,"&gt;="&amp;DashStart,Analytics!$B$5:$B$154,"&lt;="&amp;DashEnd))</f>
        <v>0</v>
      </c>
      <c r="AC161" s="25">
        <f>IF(T161="","",SUMIFS(Analytics!$U$5:$U$154,Analytics!$D$5:$D$154,T161,Analytics!$B$5:$B$154,"&gt;="&amp;DashStart,Analytics!$B$5:$B$154,"&lt;="&amp;DashEnd))</f>
        <v>0</v>
      </c>
      <c r="AD161" s="23">
        <f>IF(T161="","",COUNTIFS('Content Calendar'!$G$5:$G$604,T161,'Content Calendar'!$B$5:$B$604,"&gt;="&amp;DATE(PlanYear,1,1),'Content Calendar'!$B$5:$B$604,"&lt;="&amp;DATE(PlanYear,12,31)))</f>
        <v>0</v>
      </c>
      <c r="AE161" s="23">
        <f>IF(T161="","",SUMIFS(Analytics!$J$5:$J$154,Analytics!$D$5:$D$154,T161))</f>
        <v>0</v>
      </c>
      <c r="AF161" s="23">
        <f>IF(T161="","",SUMIFS(Analytics!$L$5:$L$154,Analytics!$D$5:$D$154,T161))</f>
        <v>0</v>
      </c>
      <c r="AG161" s="24">
        <f>IF(OR(AE161="",AE161=0),"",AF161/AE161)</f>
        <v>0</v>
      </c>
      <c r="AH161" s="23">
        <f>IF(T161="","",SUMIFS(Analytics!$X$5:$X$154,Analytics!$D$5:$D$154,T161))</f>
        <v>0</v>
      </c>
      <c r="AI161" s="32">
        <f>IF(T161="","",IF(AE161=0,"",AE161+ROW()/1000000))</f>
        <v>0</v>
      </c>
      <c r="AJ161" s="17">
        <f>IF('Content Pillars'!$B$161="","",'Content Pillars'!$B$161)</f>
        <v>0</v>
      </c>
      <c r="AK161" s="23">
        <f>IF(AJ161="","",COUNTIFS('Content Calendar'!$J$5:$J$604,AJ161,'Content Calendar'!$B$5:$B$604,"&gt;="&amp;DATE(PlanYear,1,1),'Content Calendar'!$B$5:$B$604,"&lt;="&amp;DATE(PlanYear,12,31)))</f>
        <v>0</v>
      </c>
      <c r="AL161" s="23">
        <f>IF(AJ161="","",SUMIFS(Performance!$O$5:$O$404,Performance!$H$5:$H$404,AJ161))</f>
        <v>0</v>
      </c>
      <c r="AM161" s="23">
        <f>IF(AJ161="","",SUMIFS(Performance!$Z$5:$Z$404,Performance!$H$5:$H$404,AJ161))</f>
        <v>0</v>
      </c>
      <c r="AN161" s="24">
        <f>IF(OR(AL161="",AL161=0),"",AM161/AL161)</f>
        <v>0</v>
      </c>
      <c r="AO161" s="32">
        <f>IF(AN161="","",AN161+ROW()/1000000)</f>
        <v>0</v>
      </c>
      <c r="AP161" s="17">
        <f>IF(Lists!$E161="","",Lists!$E161)</f>
        <v>0</v>
      </c>
      <c r="AQ161" s="23">
        <f>IF(AP161="","",COUNTIF(Performance!$G$5:$G$404,AP161))</f>
        <v>0</v>
      </c>
      <c r="AR161" s="23">
        <f>IF(AP161="","",SUMIFS(Performance!$O$5:$O$404,Performance!$G$5:$G$404,AP161))</f>
        <v>0</v>
      </c>
      <c r="AS161" s="23">
        <f>IF(AP161="","",SUMIFS(Performance!$Z$5:$Z$404,Performance!$G$5:$G$404,AP161))</f>
        <v>0</v>
      </c>
      <c r="AT161" s="24">
        <f>IF(OR(AR161="",AR161=0),"",AS161/AR161)</f>
        <v>0</v>
      </c>
      <c r="AU161" s="32">
        <f>IF(AQ161=0,"",IF(AT161="","",AT161+ROW()/1000000))</f>
        <v>0</v>
      </c>
      <c r="AV161" s="17">
        <f>IF(ROW()-4&gt;7,"",TEXT(DATE(2024,1,ROW()-4),"ddd"))</f>
        <v>0</v>
      </c>
      <c r="AW161" s="23">
        <f>IF(AV161="","",COUNTIF(Performance!$N$5:$N$404,AV161))</f>
        <v>0</v>
      </c>
      <c r="AX161" s="23">
        <f>IF(AV161="","",SUMIFS(Performance!$O$5:$O$404,Performance!$N$5:$N$404,AV161))</f>
        <v>0</v>
      </c>
      <c r="AY161" s="23">
        <f>IF(AV161="","",SUMIFS(Performance!$Z$5:$Z$404,Performance!$N$5:$N$404,AV161))</f>
        <v>0</v>
      </c>
      <c r="AZ161" s="24">
        <f>IF(OR(AX161="",AX161=0),"",AY161/AX161)</f>
        <v>0</v>
      </c>
      <c r="BA161" s="32">
        <f>IF(AW161=0,"",IF(AZ161="","",AZ161+ROW()/1000000))</f>
        <v>0</v>
      </c>
      <c r="BB161" s="17">
        <f>IF(Lists!$AL161="","",Lists!$AL161)</f>
        <v>0</v>
      </c>
      <c r="BC161" s="23">
        <f>IF(BB161="","",COUNTIF(Performance!$M$5:$M$404,BB161))</f>
        <v>0</v>
      </c>
      <c r="BD161" s="23">
        <f>IF(BB161="","",SUMIFS(Performance!$O$5:$O$404,Performance!$M$5:$M$404,BB161))</f>
        <v>0</v>
      </c>
      <c r="BE161" s="23">
        <f>IF(BB161="","",SUMIFS(Performance!$Z$5:$Z$404,Performance!$M$5:$M$404,BB161))</f>
        <v>0</v>
      </c>
      <c r="BF161" s="24">
        <f>IF(OR(BD161="",BD161=0),"",BE161/BD161)</f>
        <v>0</v>
      </c>
      <c r="BG161" s="32">
        <f>IF(BC161=0,"",IF(BF161="","",BF161+ROW()/1000000))</f>
        <v>0</v>
      </c>
      <c r="BH161" s="17">
        <f>IF(Performance!$C$161="","",Performance!$C$161)</f>
        <v>0</v>
      </c>
      <c r="BI161" s="17">
        <f>IF(Performance!$F$161="","",Performance!$F$161)</f>
        <v>0</v>
      </c>
      <c r="BJ161" s="17">
        <f>IF(Performance!$H$161="","",Performance!$H$161)</f>
        <v>0</v>
      </c>
      <c r="BK161" s="16">
        <f>IF(Performance!$D$161="","",Performance!$D$161)</f>
        <v>0</v>
      </c>
      <c r="BL161" s="17">
        <f>IF(Performance!$E$161="","",Performance!$E$161)</f>
        <v>0</v>
      </c>
      <c r="BM161" s="23">
        <f>IF(Performance!$O$161="","",Performance!$O$161)</f>
        <v>0</v>
      </c>
      <c r="BN161" s="24">
        <f>IF(Performance!$AA$161="","",Performance!$AA$161)</f>
        <v>0</v>
      </c>
      <c r="BO161" s="32">
        <f>IF(BH161="","",IF(BK161="","",IF(OR(BK161&lt;DashStart,BK161&gt;DashEnd),"",IF(BN161="","",BN161+ROW()/1000000))))</f>
        <v>0</v>
      </c>
      <c r="BP161" s="32">
        <f>IF(BM161="","",IF(BK161="","",IF(OR(BK161&lt;DashStart,BK161&gt;DashEnd),"",BM161+ROW()/1000000)))</f>
        <v>0</v>
      </c>
      <c r="BQ161" s="32">
        <f>IF(BH161="","",IF(BK161="","",IF(YEAR(BK161)&lt;&gt;PlanYear,"",IF(BN161="","",BN161+ROW()/1000000))))</f>
        <v>0</v>
      </c>
      <c r="BR161" s="32">
        <f>IF(BH161="","",IF(BK161="","",IF(OR(BK161&lt;RepFrom,BK161&gt;RepTo),"",IF(BN161="","",BN161+ROW()/1000000))))</f>
        <v>0</v>
      </c>
      <c r="BS161" s="32">
        <f>IF(BM161="","",IF(BK161="","",IF(YEAR(BK161)&lt;&gt;PlanYear,"",BM161+ROW()/1000000)))</f>
        <v>0</v>
      </c>
      <c r="BT161" s="17">
        <f>IF(Lists!$F161="","",Lists!$F161)</f>
        <v>0</v>
      </c>
      <c r="BU161" s="23">
        <f>IF(BT161="","",COUNTIF('Content Calendar'!$X$5:$X$604,BT161))</f>
        <v>0</v>
      </c>
      <c r="BV161" s="23">
        <f>IF(BT161="","",COUNTIFS('Content Calendar'!$X$5:$X$604,BT161,'Content Calendar'!$B$5:$B$604,"&gt;="&amp;DashStart,'Content Calendar'!$B$5:$B$604,"&lt;="&amp;DashEnd))</f>
        <v>0</v>
      </c>
      <c r="BW161" s="17">
        <f>IF(Team!$B$161="","",Team!$B$161)</f>
        <v>0</v>
      </c>
      <c r="BX161" s="23">
        <f>IF(BW161="","",COUNTIF('Content Calendar'!$W$5:$W$604,BW161))</f>
        <v>0</v>
      </c>
      <c r="BY161" s="23">
        <f>IF(BW161="","",COUNTIFS('Content Calendar'!$W$5:$W$604,BW161,'Content Calendar'!$X$5:$X$604,"&lt;&gt;Published"))</f>
        <v>0</v>
      </c>
      <c r="BZ161" s="23">
        <f>IF(BW161="","",COUNTIFS(Tasks!$C$5:$C$64,BW161,Tasks!$G$5:$G$64,"&lt;&gt;Complete"))</f>
        <v>0</v>
      </c>
      <c r="CA161" s="17">
        <f>IF(Campaigns!$B$161="","",Campaigns!$B$161)</f>
        <v>0</v>
      </c>
      <c r="CB161" s="25">
        <f>IF(Campaigns!$T$161="","",Campaigns!$T$161)</f>
        <v>0</v>
      </c>
      <c r="CC161" s="25">
        <f>IF(Campaigns!$Q$161="","",Campaigns!$Q$161)</f>
        <v>0</v>
      </c>
      <c r="CD161" s="23">
        <f>IF(Campaigns!$Y$161="","",Campaigns!$Y$161)</f>
        <v>0</v>
      </c>
      <c r="CE161" s="32">
        <f>IF(CA161="","",IF(N(CB161)&lt;=0,"",N(CB161)+ROW()/1000000))</f>
        <v>0</v>
      </c>
      <c r="CF161" s="17">
        <f>IF(Accounts!$C$161="","",Accounts!$C$161)</f>
        <v>0</v>
      </c>
      <c r="CG161" s="17">
        <f>IF(Accounts!$B$161="","",Accounts!$B$161)</f>
        <v>0</v>
      </c>
      <c r="CH161" s="23">
        <f>IF(Accounts!$J$161="","",Accounts!$J$161)</f>
        <v>0</v>
      </c>
      <c r="CI161" s="23">
        <f>IF(CF161="","",SUMIFS(Analytics!$X$5:$X$154,Analytics!$E$5:$E$154,CF161,Analytics!$B$5:$B$154,"&gt;="&amp;DashStart,Analytics!$B$5:$B$154,"&lt;="&amp;DashEnd))</f>
        <v>0</v>
      </c>
      <c r="CJ161" s="32">
        <f>IF(CH161="","",IF(CH161=0,"",CH161+ROW()/1000000))</f>
        <v>0</v>
      </c>
    </row>
    <row r="162" spans="1:88">
      <c r="A162" s="16">
        <f>IF(ROW()-4&gt;12,"",DATE(PlanYear,ROW()-4,1))</f>
        <v>0</v>
      </c>
      <c r="B162" s="16">
        <f>IF(A162="","",EOMONTH(A162,0))</f>
        <v>0</v>
      </c>
      <c r="C162" s="17">
        <f>IF(A162="","",TEXT(A162,"yyyy-mm"))</f>
        <v>0</v>
      </c>
      <c r="D162" s="17">
        <f>IF(A162="","",TEXT(A162,"mmm"))</f>
        <v>0</v>
      </c>
      <c r="E162" s="23">
        <f>IF(C162="","",COUNTIFS('Content Calendar'!$D$5:$D$604,C162))</f>
        <v>0</v>
      </c>
      <c r="F162" s="23">
        <f>IF(C162="","",COUNTIFS('Content Calendar'!$D$5:$D$604,C162,'Content Calendar'!$X$5:$X$604,"Published"))</f>
        <v>0</v>
      </c>
      <c r="G162" s="23">
        <f>IF(C162="","",SUMIFS(Analytics!$J$5:$J$154,Analytics!$C$5:$C$154,C162))</f>
        <v>0</v>
      </c>
      <c r="H162" s="23">
        <f>IF(C162="","",SUMIFS(Analytics!$K$5:$K$154,Analytics!$C$5:$C$154,C162))</f>
        <v>0</v>
      </c>
      <c r="I162" s="23">
        <f>IF(C162="","",SUMIFS(Analytics!$L$5:$L$154,Analytics!$C$5:$C$154,C162))</f>
        <v>0</v>
      </c>
      <c r="J162" s="24">
        <f>IF(OR(G162="",G162=0),"",I162/G162)</f>
        <v>0</v>
      </c>
      <c r="K162" s="23">
        <f>IF(C162="","",SUMIFS(Analytics!$G$5:$G$154,Analytics!$C$5:$C$154,C162))</f>
        <v>0</v>
      </c>
      <c r="L162" s="23">
        <f>IF(C162="","",SUMIFS(Analytics!$X$5:$X$154,Analytics!$C$5:$C$154,C162))</f>
        <v>0</v>
      </c>
      <c r="M162" s="23">
        <f>IF(C162="","",SUMIFS(Analytics!$R$5:$R$154,Analytics!$C$5:$C$154,C162))</f>
        <v>0</v>
      </c>
      <c r="N162" s="23">
        <f>IF(C162="","",SUMIFS(Analytics!$S$5:$S$154,Analytics!$C$5:$C$154,C162))</f>
        <v>0</v>
      </c>
      <c r="O162" s="23">
        <f>IF(C162="","",SUMIFS(Analytics!$T$5:$T$154,Analytics!$C$5:$C$154,C162))</f>
        <v>0</v>
      </c>
      <c r="P162" s="25">
        <f>IF(C162="","",SUMIFS(Analytics!$U$5:$U$154,Analytics!$C$5:$C$154,C162))</f>
        <v>0</v>
      </c>
      <c r="Q162" s="25">
        <f>IF(C162="","",SUMIFS(Budget!$H$5:$H$64,Budget!$C$5:$C$64,C162))</f>
        <v>0</v>
      </c>
      <c r="R162" s="25">
        <f>IF(C162="","",P162-Q162)</f>
        <v>0</v>
      </c>
      <c r="S162" s="23">
        <f>IF(C162="","",MonthlyPostTarget)</f>
        <v>0</v>
      </c>
      <c r="T162" s="17">
        <f>IF(Lists!$C162="","",Lists!$C162)</f>
        <v>0</v>
      </c>
      <c r="U162" s="23">
        <f>IF(T162="","",COUNTIFS('Content Calendar'!$G$5:$G$604,T162,'Content Calendar'!$B$5:$B$604,"&gt;="&amp;DashStart,'Content Calendar'!$B$5:$B$604,"&lt;="&amp;DashEnd))</f>
        <v>0</v>
      </c>
      <c r="V162" s="23">
        <f>IF(T162="","",COUNTIFS('Content Calendar'!$G$5:$G$604,T162,'Content Calendar'!$X$5:$X$604,"Published",'Content Calendar'!$B$5:$B$604,"&gt;="&amp;DashStart,'Content Calendar'!$B$5:$B$604,"&lt;="&amp;DashEnd))</f>
        <v>0</v>
      </c>
      <c r="W162" s="23">
        <f>IF(T162="","",SUMIFS(Analytics!$J$5:$J$154,Analytics!$D$5:$D$154,T162,Analytics!$B$5:$B$154,"&gt;="&amp;DashStart,Analytics!$B$5:$B$154,"&lt;="&amp;DashEnd))</f>
        <v>0</v>
      </c>
      <c r="X162" s="23">
        <f>IF(T162="","",SUMIFS(Analytics!$L$5:$L$154,Analytics!$D$5:$D$154,T162,Analytics!$B$5:$B$154,"&gt;="&amp;DashStart,Analytics!$B$5:$B$154,"&lt;="&amp;DashEnd))</f>
        <v>0</v>
      </c>
      <c r="Y162" s="24">
        <f>IF(OR(W162="",W162=0),"",X162/W162)</f>
        <v>0</v>
      </c>
      <c r="Z162" s="23">
        <f>IF(T162="","",SUMIFS(Analytics!$G$5:$G$154,Analytics!$D$5:$D$154,T162,Analytics!$B$5:$B$154,"&gt;="&amp;DashStart,Analytics!$B$5:$B$154,"&lt;="&amp;DashEnd))</f>
        <v>0</v>
      </c>
      <c r="AA162" s="23">
        <f>IF(T162="","",SUMIFS(Analytics!$X$5:$X$154,Analytics!$D$5:$D$154,T162,Analytics!$B$5:$B$154,"&gt;="&amp;DashStart,Analytics!$B$5:$B$154,"&lt;="&amp;DashEnd))</f>
        <v>0</v>
      </c>
      <c r="AB162" s="23">
        <f>IF(T162="","",SUMIFS(Analytics!$R$5:$R$154,Analytics!$D$5:$D$154,T162,Analytics!$B$5:$B$154,"&gt;="&amp;DashStart,Analytics!$B$5:$B$154,"&lt;="&amp;DashEnd))</f>
        <v>0</v>
      </c>
      <c r="AC162" s="25">
        <f>IF(T162="","",SUMIFS(Analytics!$U$5:$U$154,Analytics!$D$5:$D$154,T162,Analytics!$B$5:$B$154,"&gt;="&amp;DashStart,Analytics!$B$5:$B$154,"&lt;="&amp;DashEnd))</f>
        <v>0</v>
      </c>
      <c r="AD162" s="23">
        <f>IF(T162="","",COUNTIFS('Content Calendar'!$G$5:$G$604,T162,'Content Calendar'!$B$5:$B$604,"&gt;="&amp;DATE(PlanYear,1,1),'Content Calendar'!$B$5:$B$604,"&lt;="&amp;DATE(PlanYear,12,31)))</f>
        <v>0</v>
      </c>
      <c r="AE162" s="23">
        <f>IF(T162="","",SUMIFS(Analytics!$J$5:$J$154,Analytics!$D$5:$D$154,T162))</f>
        <v>0</v>
      </c>
      <c r="AF162" s="23">
        <f>IF(T162="","",SUMIFS(Analytics!$L$5:$L$154,Analytics!$D$5:$D$154,T162))</f>
        <v>0</v>
      </c>
      <c r="AG162" s="24">
        <f>IF(OR(AE162="",AE162=0),"",AF162/AE162)</f>
        <v>0</v>
      </c>
      <c r="AH162" s="23">
        <f>IF(T162="","",SUMIFS(Analytics!$X$5:$X$154,Analytics!$D$5:$D$154,T162))</f>
        <v>0</v>
      </c>
      <c r="AI162" s="32">
        <f>IF(T162="","",IF(AE162=0,"",AE162+ROW()/1000000))</f>
        <v>0</v>
      </c>
      <c r="AJ162" s="17">
        <f>IF('Content Pillars'!$B$162="","",'Content Pillars'!$B$162)</f>
        <v>0</v>
      </c>
      <c r="AK162" s="23">
        <f>IF(AJ162="","",COUNTIFS('Content Calendar'!$J$5:$J$604,AJ162,'Content Calendar'!$B$5:$B$604,"&gt;="&amp;DATE(PlanYear,1,1),'Content Calendar'!$B$5:$B$604,"&lt;="&amp;DATE(PlanYear,12,31)))</f>
        <v>0</v>
      </c>
      <c r="AL162" s="23">
        <f>IF(AJ162="","",SUMIFS(Performance!$O$5:$O$404,Performance!$H$5:$H$404,AJ162))</f>
        <v>0</v>
      </c>
      <c r="AM162" s="23">
        <f>IF(AJ162="","",SUMIFS(Performance!$Z$5:$Z$404,Performance!$H$5:$H$404,AJ162))</f>
        <v>0</v>
      </c>
      <c r="AN162" s="24">
        <f>IF(OR(AL162="",AL162=0),"",AM162/AL162)</f>
        <v>0</v>
      </c>
      <c r="AO162" s="32">
        <f>IF(AN162="","",AN162+ROW()/1000000)</f>
        <v>0</v>
      </c>
      <c r="AP162" s="17">
        <f>IF(Lists!$E162="","",Lists!$E162)</f>
        <v>0</v>
      </c>
      <c r="AQ162" s="23">
        <f>IF(AP162="","",COUNTIF(Performance!$G$5:$G$404,AP162))</f>
        <v>0</v>
      </c>
      <c r="AR162" s="23">
        <f>IF(AP162="","",SUMIFS(Performance!$O$5:$O$404,Performance!$G$5:$G$404,AP162))</f>
        <v>0</v>
      </c>
      <c r="AS162" s="23">
        <f>IF(AP162="","",SUMIFS(Performance!$Z$5:$Z$404,Performance!$G$5:$G$404,AP162))</f>
        <v>0</v>
      </c>
      <c r="AT162" s="24">
        <f>IF(OR(AR162="",AR162=0),"",AS162/AR162)</f>
        <v>0</v>
      </c>
      <c r="AU162" s="32">
        <f>IF(AQ162=0,"",IF(AT162="","",AT162+ROW()/1000000))</f>
        <v>0</v>
      </c>
      <c r="AV162" s="17">
        <f>IF(ROW()-4&gt;7,"",TEXT(DATE(2024,1,ROW()-4),"ddd"))</f>
        <v>0</v>
      </c>
      <c r="AW162" s="23">
        <f>IF(AV162="","",COUNTIF(Performance!$N$5:$N$404,AV162))</f>
        <v>0</v>
      </c>
      <c r="AX162" s="23">
        <f>IF(AV162="","",SUMIFS(Performance!$O$5:$O$404,Performance!$N$5:$N$404,AV162))</f>
        <v>0</v>
      </c>
      <c r="AY162" s="23">
        <f>IF(AV162="","",SUMIFS(Performance!$Z$5:$Z$404,Performance!$N$5:$N$404,AV162))</f>
        <v>0</v>
      </c>
      <c r="AZ162" s="24">
        <f>IF(OR(AX162="",AX162=0),"",AY162/AX162)</f>
        <v>0</v>
      </c>
      <c r="BA162" s="32">
        <f>IF(AW162=0,"",IF(AZ162="","",AZ162+ROW()/1000000))</f>
        <v>0</v>
      </c>
      <c r="BB162" s="17">
        <f>IF(Lists!$AL162="","",Lists!$AL162)</f>
        <v>0</v>
      </c>
      <c r="BC162" s="23">
        <f>IF(BB162="","",COUNTIF(Performance!$M$5:$M$404,BB162))</f>
        <v>0</v>
      </c>
      <c r="BD162" s="23">
        <f>IF(BB162="","",SUMIFS(Performance!$O$5:$O$404,Performance!$M$5:$M$404,BB162))</f>
        <v>0</v>
      </c>
      <c r="BE162" s="23">
        <f>IF(BB162="","",SUMIFS(Performance!$Z$5:$Z$404,Performance!$M$5:$M$404,BB162))</f>
        <v>0</v>
      </c>
      <c r="BF162" s="24">
        <f>IF(OR(BD162="",BD162=0),"",BE162/BD162)</f>
        <v>0</v>
      </c>
      <c r="BG162" s="32">
        <f>IF(BC162=0,"",IF(BF162="","",BF162+ROW()/1000000))</f>
        <v>0</v>
      </c>
      <c r="BH162" s="17">
        <f>IF(Performance!$C$162="","",Performance!$C$162)</f>
        <v>0</v>
      </c>
      <c r="BI162" s="17">
        <f>IF(Performance!$F$162="","",Performance!$F$162)</f>
        <v>0</v>
      </c>
      <c r="BJ162" s="17">
        <f>IF(Performance!$H$162="","",Performance!$H$162)</f>
        <v>0</v>
      </c>
      <c r="BK162" s="16">
        <f>IF(Performance!$D$162="","",Performance!$D$162)</f>
        <v>0</v>
      </c>
      <c r="BL162" s="17">
        <f>IF(Performance!$E$162="","",Performance!$E$162)</f>
        <v>0</v>
      </c>
      <c r="BM162" s="23">
        <f>IF(Performance!$O$162="","",Performance!$O$162)</f>
        <v>0</v>
      </c>
      <c r="BN162" s="24">
        <f>IF(Performance!$AA$162="","",Performance!$AA$162)</f>
        <v>0</v>
      </c>
      <c r="BO162" s="32">
        <f>IF(BH162="","",IF(BK162="","",IF(OR(BK162&lt;DashStart,BK162&gt;DashEnd),"",IF(BN162="","",BN162+ROW()/1000000))))</f>
        <v>0</v>
      </c>
      <c r="BP162" s="32">
        <f>IF(BM162="","",IF(BK162="","",IF(OR(BK162&lt;DashStart,BK162&gt;DashEnd),"",BM162+ROW()/1000000)))</f>
        <v>0</v>
      </c>
      <c r="BQ162" s="32">
        <f>IF(BH162="","",IF(BK162="","",IF(YEAR(BK162)&lt;&gt;PlanYear,"",IF(BN162="","",BN162+ROW()/1000000))))</f>
        <v>0</v>
      </c>
      <c r="BR162" s="32">
        <f>IF(BH162="","",IF(BK162="","",IF(OR(BK162&lt;RepFrom,BK162&gt;RepTo),"",IF(BN162="","",BN162+ROW()/1000000))))</f>
        <v>0</v>
      </c>
      <c r="BS162" s="32">
        <f>IF(BM162="","",IF(BK162="","",IF(YEAR(BK162)&lt;&gt;PlanYear,"",BM162+ROW()/1000000)))</f>
        <v>0</v>
      </c>
      <c r="BT162" s="17">
        <f>IF(Lists!$F162="","",Lists!$F162)</f>
        <v>0</v>
      </c>
      <c r="BU162" s="23">
        <f>IF(BT162="","",COUNTIF('Content Calendar'!$X$5:$X$604,BT162))</f>
        <v>0</v>
      </c>
      <c r="BV162" s="23">
        <f>IF(BT162="","",COUNTIFS('Content Calendar'!$X$5:$X$604,BT162,'Content Calendar'!$B$5:$B$604,"&gt;="&amp;DashStart,'Content Calendar'!$B$5:$B$604,"&lt;="&amp;DashEnd))</f>
        <v>0</v>
      </c>
      <c r="BW162" s="17">
        <f>IF(Team!$B$162="","",Team!$B$162)</f>
        <v>0</v>
      </c>
      <c r="BX162" s="23">
        <f>IF(BW162="","",COUNTIF('Content Calendar'!$W$5:$W$604,BW162))</f>
        <v>0</v>
      </c>
      <c r="BY162" s="23">
        <f>IF(BW162="","",COUNTIFS('Content Calendar'!$W$5:$W$604,BW162,'Content Calendar'!$X$5:$X$604,"&lt;&gt;Published"))</f>
        <v>0</v>
      </c>
      <c r="BZ162" s="23">
        <f>IF(BW162="","",COUNTIFS(Tasks!$C$5:$C$64,BW162,Tasks!$G$5:$G$64,"&lt;&gt;Complete"))</f>
        <v>0</v>
      </c>
      <c r="CA162" s="17">
        <f>IF(Campaigns!$B$162="","",Campaigns!$B$162)</f>
        <v>0</v>
      </c>
      <c r="CB162" s="25">
        <f>IF(Campaigns!$T$162="","",Campaigns!$T$162)</f>
        <v>0</v>
      </c>
      <c r="CC162" s="25">
        <f>IF(Campaigns!$Q$162="","",Campaigns!$Q$162)</f>
        <v>0</v>
      </c>
      <c r="CD162" s="23">
        <f>IF(Campaigns!$Y$162="","",Campaigns!$Y$162)</f>
        <v>0</v>
      </c>
      <c r="CE162" s="32">
        <f>IF(CA162="","",IF(N(CB162)&lt;=0,"",N(CB162)+ROW()/1000000))</f>
        <v>0</v>
      </c>
      <c r="CF162" s="17">
        <f>IF(Accounts!$C$162="","",Accounts!$C$162)</f>
        <v>0</v>
      </c>
      <c r="CG162" s="17">
        <f>IF(Accounts!$B$162="","",Accounts!$B$162)</f>
        <v>0</v>
      </c>
      <c r="CH162" s="23">
        <f>IF(Accounts!$J$162="","",Accounts!$J$162)</f>
        <v>0</v>
      </c>
      <c r="CI162" s="23">
        <f>IF(CF162="","",SUMIFS(Analytics!$X$5:$X$154,Analytics!$E$5:$E$154,CF162,Analytics!$B$5:$B$154,"&gt;="&amp;DashStart,Analytics!$B$5:$B$154,"&lt;="&amp;DashEnd))</f>
        <v>0</v>
      </c>
      <c r="CJ162" s="32">
        <f>IF(CH162="","",IF(CH162=0,"",CH162+ROW()/1000000))</f>
        <v>0</v>
      </c>
    </row>
    <row r="163" spans="1:88">
      <c r="A163" s="16">
        <f>IF(ROW()-4&gt;12,"",DATE(PlanYear,ROW()-4,1))</f>
        <v>0</v>
      </c>
      <c r="B163" s="16">
        <f>IF(A163="","",EOMONTH(A163,0))</f>
        <v>0</v>
      </c>
      <c r="C163" s="17">
        <f>IF(A163="","",TEXT(A163,"yyyy-mm"))</f>
        <v>0</v>
      </c>
      <c r="D163" s="17">
        <f>IF(A163="","",TEXT(A163,"mmm"))</f>
        <v>0</v>
      </c>
      <c r="E163" s="23">
        <f>IF(C163="","",COUNTIFS('Content Calendar'!$D$5:$D$604,C163))</f>
        <v>0</v>
      </c>
      <c r="F163" s="23">
        <f>IF(C163="","",COUNTIFS('Content Calendar'!$D$5:$D$604,C163,'Content Calendar'!$X$5:$X$604,"Published"))</f>
        <v>0</v>
      </c>
      <c r="G163" s="23">
        <f>IF(C163="","",SUMIFS(Analytics!$J$5:$J$154,Analytics!$C$5:$C$154,C163))</f>
        <v>0</v>
      </c>
      <c r="H163" s="23">
        <f>IF(C163="","",SUMIFS(Analytics!$K$5:$K$154,Analytics!$C$5:$C$154,C163))</f>
        <v>0</v>
      </c>
      <c r="I163" s="23">
        <f>IF(C163="","",SUMIFS(Analytics!$L$5:$L$154,Analytics!$C$5:$C$154,C163))</f>
        <v>0</v>
      </c>
      <c r="J163" s="24">
        <f>IF(OR(G163="",G163=0),"",I163/G163)</f>
        <v>0</v>
      </c>
      <c r="K163" s="23">
        <f>IF(C163="","",SUMIFS(Analytics!$G$5:$G$154,Analytics!$C$5:$C$154,C163))</f>
        <v>0</v>
      </c>
      <c r="L163" s="23">
        <f>IF(C163="","",SUMIFS(Analytics!$X$5:$X$154,Analytics!$C$5:$C$154,C163))</f>
        <v>0</v>
      </c>
      <c r="M163" s="23">
        <f>IF(C163="","",SUMIFS(Analytics!$R$5:$R$154,Analytics!$C$5:$C$154,C163))</f>
        <v>0</v>
      </c>
      <c r="N163" s="23">
        <f>IF(C163="","",SUMIFS(Analytics!$S$5:$S$154,Analytics!$C$5:$C$154,C163))</f>
        <v>0</v>
      </c>
      <c r="O163" s="23">
        <f>IF(C163="","",SUMIFS(Analytics!$T$5:$T$154,Analytics!$C$5:$C$154,C163))</f>
        <v>0</v>
      </c>
      <c r="P163" s="25">
        <f>IF(C163="","",SUMIFS(Analytics!$U$5:$U$154,Analytics!$C$5:$C$154,C163))</f>
        <v>0</v>
      </c>
      <c r="Q163" s="25">
        <f>IF(C163="","",SUMIFS(Budget!$H$5:$H$64,Budget!$C$5:$C$64,C163))</f>
        <v>0</v>
      </c>
      <c r="R163" s="25">
        <f>IF(C163="","",P163-Q163)</f>
        <v>0</v>
      </c>
      <c r="S163" s="23">
        <f>IF(C163="","",MonthlyPostTarget)</f>
        <v>0</v>
      </c>
      <c r="T163" s="17">
        <f>IF(Lists!$C163="","",Lists!$C163)</f>
        <v>0</v>
      </c>
      <c r="U163" s="23">
        <f>IF(T163="","",COUNTIFS('Content Calendar'!$G$5:$G$604,T163,'Content Calendar'!$B$5:$B$604,"&gt;="&amp;DashStart,'Content Calendar'!$B$5:$B$604,"&lt;="&amp;DashEnd))</f>
        <v>0</v>
      </c>
      <c r="V163" s="23">
        <f>IF(T163="","",COUNTIFS('Content Calendar'!$G$5:$G$604,T163,'Content Calendar'!$X$5:$X$604,"Published",'Content Calendar'!$B$5:$B$604,"&gt;="&amp;DashStart,'Content Calendar'!$B$5:$B$604,"&lt;="&amp;DashEnd))</f>
        <v>0</v>
      </c>
      <c r="W163" s="23">
        <f>IF(T163="","",SUMIFS(Analytics!$J$5:$J$154,Analytics!$D$5:$D$154,T163,Analytics!$B$5:$B$154,"&gt;="&amp;DashStart,Analytics!$B$5:$B$154,"&lt;="&amp;DashEnd))</f>
        <v>0</v>
      </c>
      <c r="X163" s="23">
        <f>IF(T163="","",SUMIFS(Analytics!$L$5:$L$154,Analytics!$D$5:$D$154,T163,Analytics!$B$5:$B$154,"&gt;="&amp;DashStart,Analytics!$B$5:$B$154,"&lt;="&amp;DashEnd))</f>
        <v>0</v>
      </c>
      <c r="Y163" s="24">
        <f>IF(OR(W163="",W163=0),"",X163/W163)</f>
        <v>0</v>
      </c>
      <c r="Z163" s="23">
        <f>IF(T163="","",SUMIFS(Analytics!$G$5:$G$154,Analytics!$D$5:$D$154,T163,Analytics!$B$5:$B$154,"&gt;="&amp;DashStart,Analytics!$B$5:$B$154,"&lt;="&amp;DashEnd))</f>
        <v>0</v>
      </c>
      <c r="AA163" s="23">
        <f>IF(T163="","",SUMIFS(Analytics!$X$5:$X$154,Analytics!$D$5:$D$154,T163,Analytics!$B$5:$B$154,"&gt;="&amp;DashStart,Analytics!$B$5:$B$154,"&lt;="&amp;DashEnd))</f>
        <v>0</v>
      </c>
      <c r="AB163" s="23">
        <f>IF(T163="","",SUMIFS(Analytics!$R$5:$R$154,Analytics!$D$5:$D$154,T163,Analytics!$B$5:$B$154,"&gt;="&amp;DashStart,Analytics!$B$5:$B$154,"&lt;="&amp;DashEnd))</f>
        <v>0</v>
      </c>
      <c r="AC163" s="25">
        <f>IF(T163="","",SUMIFS(Analytics!$U$5:$U$154,Analytics!$D$5:$D$154,T163,Analytics!$B$5:$B$154,"&gt;="&amp;DashStart,Analytics!$B$5:$B$154,"&lt;="&amp;DashEnd))</f>
        <v>0</v>
      </c>
      <c r="AD163" s="23">
        <f>IF(T163="","",COUNTIFS('Content Calendar'!$G$5:$G$604,T163,'Content Calendar'!$B$5:$B$604,"&gt;="&amp;DATE(PlanYear,1,1),'Content Calendar'!$B$5:$B$604,"&lt;="&amp;DATE(PlanYear,12,31)))</f>
        <v>0</v>
      </c>
      <c r="AE163" s="23">
        <f>IF(T163="","",SUMIFS(Analytics!$J$5:$J$154,Analytics!$D$5:$D$154,T163))</f>
        <v>0</v>
      </c>
      <c r="AF163" s="23">
        <f>IF(T163="","",SUMIFS(Analytics!$L$5:$L$154,Analytics!$D$5:$D$154,T163))</f>
        <v>0</v>
      </c>
      <c r="AG163" s="24">
        <f>IF(OR(AE163="",AE163=0),"",AF163/AE163)</f>
        <v>0</v>
      </c>
      <c r="AH163" s="23">
        <f>IF(T163="","",SUMIFS(Analytics!$X$5:$X$154,Analytics!$D$5:$D$154,T163))</f>
        <v>0</v>
      </c>
      <c r="AI163" s="32">
        <f>IF(T163="","",IF(AE163=0,"",AE163+ROW()/1000000))</f>
        <v>0</v>
      </c>
      <c r="AJ163" s="17">
        <f>IF('Content Pillars'!$B$163="","",'Content Pillars'!$B$163)</f>
        <v>0</v>
      </c>
      <c r="AK163" s="23">
        <f>IF(AJ163="","",COUNTIFS('Content Calendar'!$J$5:$J$604,AJ163,'Content Calendar'!$B$5:$B$604,"&gt;="&amp;DATE(PlanYear,1,1),'Content Calendar'!$B$5:$B$604,"&lt;="&amp;DATE(PlanYear,12,31)))</f>
        <v>0</v>
      </c>
      <c r="AL163" s="23">
        <f>IF(AJ163="","",SUMIFS(Performance!$O$5:$O$404,Performance!$H$5:$H$404,AJ163))</f>
        <v>0</v>
      </c>
      <c r="AM163" s="23">
        <f>IF(AJ163="","",SUMIFS(Performance!$Z$5:$Z$404,Performance!$H$5:$H$404,AJ163))</f>
        <v>0</v>
      </c>
      <c r="AN163" s="24">
        <f>IF(OR(AL163="",AL163=0),"",AM163/AL163)</f>
        <v>0</v>
      </c>
      <c r="AO163" s="32">
        <f>IF(AN163="","",AN163+ROW()/1000000)</f>
        <v>0</v>
      </c>
      <c r="AP163" s="17">
        <f>IF(Lists!$E163="","",Lists!$E163)</f>
        <v>0</v>
      </c>
      <c r="AQ163" s="23">
        <f>IF(AP163="","",COUNTIF(Performance!$G$5:$G$404,AP163))</f>
        <v>0</v>
      </c>
      <c r="AR163" s="23">
        <f>IF(AP163="","",SUMIFS(Performance!$O$5:$O$404,Performance!$G$5:$G$404,AP163))</f>
        <v>0</v>
      </c>
      <c r="AS163" s="23">
        <f>IF(AP163="","",SUMIFS(Performance!$Z$5:$Z$404,Performance!$G$5:$G$404,AP163))</f>
        <v>0</v>
      </c>
      <c r="AT163" s="24">
        <f>IF(OR(AR163="",AR163=0),"",AS163/AR163)</f>
        <v>0</v>
      </c>
      <c r="AU163" s="32">
        <f>IF(AQ163=0,"",IF(AT163="","",AT163+ROW()/1000000))</f>
        <v>0</v>
      </c>
      <c r="AV163" s="17">
        <f>IF(ROW()-4&gt;7,"",TEXT(DATE(2024,1,ROW()-4),"ddd"))</f>
        <v>0</v>
      </c>
      <c r="AW163" s="23">
        <f>IF(AV163="","",COUNTIF(Performance!$N$5:$N$404,AV163))</f>
        <v>0</v>
      </c>
      <c r="AX163" s="23">
        <f>IF(AV163="","",SUMIFS(Performance!$O$5:$O$404,Performance!$N$5:$N$404,AV163))</f>
        <v>0</v>
      </c>
      <c r="AY163" s="23">
        <f>IF(AV163="","",SUMIFS(Performance!$Z$5:$Z$404,Performance!$N$5:$N$404,AV163))</f>
        <v>0</v>
      </c>
      <c r="AZ163" s="24">
        <f>IF(OR(AX163="",AX163=0),"",AY163/AX163)</f>
        <v>0</v>
      </c>
      <c r="BA163" s="32">
        <f>IF(AW163=0,"",IF(AZ163="","",AZ163+ROW()/1000000))</f>
        <v>0</v>
      </c>
      <c r="BB163" s="17">
        <f>IF(Lists!$AL163="","",Lists!$AL163)</f>
        <v>0</v>
      </c>
      <c r="BC163" s="23">
        <f>IF(BB163="","",COUNTIF(Performance!$M$5:$M$404,BB163))</f>
        <v>0</v>
      </c>
      <c r="BD163" s="23">
        <f>IF(BB163="","",SUMIFS(Performance!$O$5:$O$404,Performance!$M$5:$M$404,BB163))</f>
        <v>0</v>
      </c>
      <c r="BE163" s="23">
        <f>IF(BB163="","",SUMIFS(Performance!$Z$5:$Z$404,Performance!$M$5:$M$404,BB163))</f>
        <v>0</v>
      </c>
      <c r="BF163" s="24">
        <f>IF(OR(BD163="",BD163=0),"",BE163/BD163)</f>
        <v>0</v>
      </c>
      <c r="BG163" s="32">
        <f>IF(BC163=0,"",IF(BF163="","",BF163+ROW()/1000000))</f>
        <v>0</v>
      </c>
      <c r="BH163" s="17">
        <f>IF(Performance!$C$163="","",Performance!$C$163)</f>
        <v>0</v>
      </c>
      <c r="BI163" s="17">
        <f>IF(Performance!$F$163="","",Performance!$F$163)</f>
        <v>0</v>
      </c>
      <c r="BJ163" s="17">
        <f>IF(Performance!$H$163="","",Performance!$H$163)</f>
        <v>0</v>
      </c>
      <c r="BK163" s="16">
        <f>IF(Performance!$D$163="","",Performance!$D$163)</f>
        <v>0</v>
      </c>
      <c r="BL163" s="17">
        <f>IF(Performance!$E$163="","",Performance!$E$163)</f>
        <v>0</v>
      </c>
      <c r="BM163" s="23">
        <f>IF(Performance!$O$163="","",Performance!$O$163)</f>
        <v>0</v>
      </c>
      <c r="BN163" s="24">
        <f>IF(Performance!$AA$163="","",Performance!$AA$163)</f>
        <v>0</v>
      </c>
      <c r="BO163" s="32">
        <f>IF(BH163="","",IF(BK163="","",IF(OR(BK163&lt;DashStart,BK163&gt;DashEnd),"",IF(BN163="","",BN163+ROW()/1000000))))</f>
        <v>0</v>
      </c>
      <c r="BP163" s="32">
        <f>IF(BM163="","",IF(BK163="","",IF(OR(BK163&lt;DashStart,BK163&gt;DashEnd),"",BM163+ROW()/1000000)))</f>
        <v>0</v>
      </c>
      <c r="BQ163" s="32">
        <f>IF(BH163="","",IF(BK163="","",IF(YEAR(BK163)&lt;&gt;PlanYear,"",IF(BN163="","",BN163+ROW()/1000000))))</f>
        <v>0</v>
      </c>
      <c r="BR163" s="32">
        <f>IF(BH163="","",IF(BK163="","",IF(OR(BK163&lt;RepFrom,BK163&gt;RepTo),"",IF(BN163="","",BN163+ROW()/1000000))))</f>
        <v>0</v>
      </c>
      <c r="BS163" s="32">
        <f>IF(BM163="","",IF(BK163="","",IF(YEAR(BK163)&lt;&gt;PlanYear,"",BM163+ROW()/1000000)))</f>
        <v>0</v>
      </c>
      <c r="BT163" s="17">
        <f>IF(Lists!$F163="","",Lists!$F163)</f>
        <v>0</v>
      </c>
      <c r="BU163" s="23">
        <f>IF(BT163="","",COUNTIF('Content Calendar'!$X$5:$X$604,BT163))</f>
        <v>0</v>
      </c>
      <c r="BV163" s="23">
        <f>IF(BT163="","",COUNTIFS('Content Calendar'!$X$5:$X$604,BT163,'Content Calendar'!$B$5:$B$604,"&gt;="&amp;DashStart,'Content Calendar'!$B$5:$B$604,"&lt;="&amp;DashEnd))</f>
        <v>0</v>
      </c>
      <c r="BW163" s="17">
        <f>IF(Team!$B$163="","",Team!$B$163)</f>
        <v>0</v>
      </c>
      <c r="BX163" s="23">
        <f>IF(BW163="","",COUNTIF('Content Calendar'!$W$5:$W$604,BW163))</f>
        <v>0</v>
      </c>
      <c r="BY163" s="23">
        <f>IF(BW163="","",COUNTIFS('Content Calendar'!$W$5:$W$604,BW163,'Content Calendar'!$X$5:$X$604,"&lt;&gt;Published"))</f>
        <v>0</v>
      </c>
      <c r="BZ163" s="23">
        <f>IF(BW163="","",COUNTIFS(Tasks!$C$5:$C$64,BW163,Tasks!$G$5:$G$64,"&lt;&gt;Complete"))</f>
        <v>0</v>
      </c>
      <c r="CA163" s="17">
        <f>IF(Campaigns!$B$163="","",Campaigns!$B$163)</f>
        <v>0</v>
      </c>
      <c r="CB163" s="25">
        <f>IF(Campaigns!$T$163="","",Campaigns!$T$163)</f>
        <v>0</v>
      </c>
      <c r="CC163" s="25">
        <f>IF(Campaigns!$Q$163="","",Campaigns!$Q$163)</f>
        <v>0</v>
      </c>
      <c r="CD163" s="23">
        <f>IF(Campaigns!$Y$163="","",Campaigns!$Y$163)</f>
        <v>0</v>
      </c>
      <c r="CE163" s="32">
        <f>IF(CA163="","",IF(N(CB163)&lt;=0,"",N(CB163)+ROW()/1000000))</f>
        <v>0</v>
      </c>
      <c r="CF163" s="17">
        <f>IF(Accounts!$C$163="","",Accounts!$C$163)</f>
        <v>0</v>
      </c>
      <c r="CG163" s="17">
        <f>IF(Accounts!$B$163="","",Accounts!$B$163)</f>
        <v>0</v>
      </c>
      <c r="CH163" s="23">
        <f>IF(Accounts!$J$163="","",Accounts!$J$163)</f>
        <v>0</v>
      </c>
      <c r="CI163" s="23">
        <f>IF(CF163="","",SUMIFS(Analytics!$X$5:$X$154,Analytics!$E$5:$E$154,CF163,Analytics!$B$5:$B$154,"&gt;="&amp;DashStart,Analytics!$B$5:$B$154,"&lt;="&amp;DashEnd))</f>
        <v>0</v>
      </c>
      <c r="CJ163" s="32">
        <f>IF(CH163="","",IF(CH163=0,"",CH163+ROW()/1000000))</f>
        <v>0</v>
      </c>
    </row>
    <row r="164" spans="1:88">
      <c r="A164" s="16">
        <f>IF(ROW()-4&gt;12,"",DATE(PlanYear,ROW()-4,1))</f>
        <v>0</v>
      </c>
      <c r="B164" s="16">
        <f>IF(A164="","",EOMONTH(A164,0))</f>
        <v>0</v>
      </c>
      <c r="C164" s="17">
        <f>IF(A164="","",TEXT(A164,"yyyy-mm"))</f>
        <v>0</v>
      </c>
      <c r="D164" s="17">
        <f>IF(A164="","",TEXT(A164,"mmm"))</f>
        <v>0</v>
      </c>
      <c r="E164" s="23">
        <f>IF(C164="","",COUNTIFS('Content Calendar'!$D$5:$D$604,C164))</f>
        <v>0</v>
      </c>
      <c r="F164" s="23">
        <f>IF(C164="","",COUNTIFS('Content Calendar'!$D$5:$D$604,C164,'Content Calendar'!$X$5:$X$604,"Published"))</f>
        <v>0</v>
      </c>
      <c r="G164" s="23">
        <f>IF(C164="","",SUMIFS(Analytics!$J$5:$J$154,Analytics!$C$5:$C$154,C164))</f>
        <v>0</v>
      </c>
      <c r="H164" s="23">
        <f>IF(C164="","",SUMIFS(Analytics!$K$5:$K$154,Analytics!$C$5:$C$154,C164))</f>
        <v>0</v>
      </c>
      <c r="I164" s="23">
        <f>IF(C164="","",SUMIFS(Analytics!$L$5:$L$154,Analytics!$C$5:$C$154,C164))</f>
        <v>0</v>
      </c>
      <c r="J164" s="24">
        <f>IF(OR(G164="",G164=0),"",I164/G164)</f>
        <v>0</v>
      </c>
      <c r="K164" s="23">
        <f>IF(C164="","",SUMIFS(Analytics!$G$5:$G$154,Analytics!$C$5:$C$154,C164))</f>
        <v>0</v>
      </c>
      <c r="L164" s="23">
        <f>IF(C164="","",SUMIFS(Analytics!$X$5:$X$154,Analytics!$C$5:$C$154,C164))</f>
        <v>0</v>
      </c>
      <c r="M164" s="23">
        <f>IF(C164="","",SUMIFS(Analytics!$R$5:$R$154,Analytics!$C$5:$C$154,C164))</f>
        <v>0</v>
      </c>
      <c r="N164" s="23">
        <f>IF(C164="","",SUMIFS(Analytics!$S$5:$S$154,Analytics!$C$5:$C$154,C164))</f>
        <v>0</v>
      </c>
      <c r="O164" s="23">
        <f>IF(C164="","",SUMIFS(Analytics!$T$5:$T$154,Analytics!$C$5:$C$154,C164))</f>
        <v>0</v>
      </c>
      <c r="P164" s="25">
        <f>IF(C164="","",SUMIFS(Analytics!$U$5:$U$154,Analytics!$C$5:$C$154,C164))</f>
        <v>0</v>
      </c>
      <c r="Q164" s="25">
        <f>IF(C164="","",SUMIFS(Budget!$H$5:$H$64,Budget!$C$5:$C$64,C164))</f>
        <v>0</v>
      </c>
      <c r="R164" s="25">
        <f>IF(C164="","",P164-Q164)</f>
        <v>0</v>
      </c>
      <c r="S164" s="23">
        <f>IF(C164="","",MonthlyPostTarget)</f>
        <v>0</v>
      </c>
      <c r="T164" s="17">
        <f>IF(Lists!$C164="","",Lists!$C164)</f>
        <v>0</v>
      </c>
      <c r="U164" s="23">
        <f>IF(T164="","",COUNTIFS('Content Calendar'!$G$5:$G$604,T164,'Content Calendar'!$B$5:$B$604,"&gt;="&amp;DashStart,'Content Calendar'!$B$5:$B$604,"&lt;="&amp;DashEnd))</f>
        <v>0</v>
      </c>
      <c r="V164" s="23">
        <f>IF(T164="","",COUNTIFS('Content Calendar'!$G$5:$G$604,T164,'Content Calendar'!$X$5:$X$604,"Published",'Content Calendar'!$B$5:$B$604,"&gt;="&amp;DashStart,'Content Calendar'!$B$5:$B$604,"&lt;="&amp;DashEnd))</f>
        <v>0</v>
      </c>
      <c r="W164" s="23">
        <f>IF(T164="","",SUMIFS(Analytics!$J$5:$J$154,Analytics!$D$5:$D$154,T164,Analytics!$B$5:$B$154,"&gt;="&amp;DashStart,Analytics!$B$5:$B$154,"&lt;="&amp;DashEnd))</f>
        <v>0</v>
      </c>
      <c r="X164" s="23">
        <f>IF(T164="","",SUMIFS(Analytics!$L$5:$L$154,Analytics!$D$5:$D$154,T164,Analytics!$B$5:$B$154,"&gt;="&amp;DashStart,Analytics!$B$5:$B$154,"&lt;="&amp;DashEnd))</f>
        <v>0</v>
      </c>
      <c r="Y164" s="24">
        <f>IF(OR(W164="",W164=0),"",X164/W164)</f>
        <v>0</v>
      </c>
      <c r="Z164" s="23">
        <f>IF(T164="","",SUMIFS(Analytics!$G$5:$G$154,Analytics!$D$5:$D$154,T164,Analytics!$B$5:$B$154,"&gt;="&amp;DashStart,Analytics!$B$5:$B$154,"&lt;="&amp;DashEnd))</f>
        <v>0</v>
      </c>
      <c r="AA164" s="23">
        <f>IF(T164="","",SUMIFS(Analytics!$X$5:$X$154,Analytics!$D$5:$D$154,T164,Analytics!$B$5:$B$154,"&gt;="&amp;DashStart,Analytics!$B$5:$B$154,"&lt;="&amp;DashEnd))</f>
        <v>0</v>
      </c>
      <c r="AB164" s="23">
        <f>IF(T164="","",SUMIFS(Analytics!$R$5:$R$154,Analytics!$D$5:$D$154,T164,Analytics!$B$5:$B$154,"&gt;="&amp;DashStart,Analytics!$B$5:$B$154,"&lt;="&amp;DashEnd))</f>
        <v>0</v>
      </c>
      <c r="AC164" s="25">
        <f>IF(T164="","",SUMIFS(Analytics!$U$5:$U$154,Analytics!$D$5:$D$154,T164,Analytics!$B$5:$B$154,"&gt;="&amp;DashStart,Analytics!$B$5:$B$154,"&lt;="&amp;DashEnd))</f>
        <v>0</v>
      </c>
      <c r="AD164" s="23">
        <f>IF(T164="","",COUNTIFS('Content Calendar'!$G$5:$G$604,T164,'Content Calendar'!$B$5:$B$604,"&gt;="&amp;DATE(PlanYear,1,1),'Content Calendar'!$B$5:$B$604,"&lt;="&amp;DATE(PlanYear,12,31)))</f>
        <v>0</v>
      </c>
      <c r="AE164" s="23">
        <f>IF(T164="","",SUMIFS(Analytics!$J$5:$J$154,Analytics!$D$5:$D$154,T164))</f>
        <v>0</v>
      </c>
      <c r="AF164" s="23">
        <f>IF(T164="","",SUMIFS(Analytics!$L$5:$L$154,Analytics!$D$5:$D$154,T164))</f>
        <v>0</v>
      </c>
      <c r="AG164" s="24">
        <f>IF(OR(AE164="",AE164=0),"",AF164/AE164)</f>
        <v>0</v>
      </c>
      <c r="AH164" s="23">
        <f>IF(T164="","",SUMIFS(Analytics!$X$5:$X$154,Analytics!$D$5:$D$154,T164))</f>
        <v>0</v>
      </c>
      <c r="AI164" s="32">
        <f>IF(T164="","",IF(AE164=0,"",AE164+ROW()/1000000))</f>
        <v>0</v>
      </c>
      <c r="AJ164" s="17">
        <f>IF('Content Pillars'!$B$164="","",'Content Pillars'!$B$164)</f>
        <v>0</v>
      </c>
      <c r="AK164" s="23">
        <f>IF(AJ164="","",COUNTIFS('Content Calendar'!$J$5:$J$604,AJ164,'Content Calendar'!$B$5:$B$604,"&gt;="&amp;DATE(PlanYear,1,1),'Content Calendar'!$B$5:$B$604,"&lt;="&amp;DATE(PlanYear,12,31)))</f>
        <v>0</v>
      </c>
      <c r="AL164" s="23">
        <f>IF(AJ164="","",SUMIFS(Performance!$O$5:$O$404,Performance!$H$5:$H$404,AJ164))</f>
        <v>0</v>
      </c>
      <c r="AM164" s="23">
        <f>IF(AJ164="","",SUMIFS(Performance!$Z$5:$Z$404,Performance!$H$5:$H$404,AJ164))</f>
        <v>0</v>
      </c>
      <c r="AN164" s="24">
        <f>IF(OR(AL164="",AL164=0),"",AM164/AL164)</f>
        <v>0</v>
      </c>
      <c r="AO164" s="32">
        <f>IF(AN164="","",AN164+ROW()/1000000)</f>
        <v>0</v>
      </c>
      <c r="AP164" s="17">
        <f>IF(Lists!$E164="","",Lists!$E164)</f>
        <v>0</v>
      </c>
      <c r="AQ164" s="23">
        <f>IF(AP164="","",COUNTIF(Performance!$G$5:$G$404,AP164))</f>
        <v>0</v>
      </c>
      <c r="AR164" s="23">
        <f>IF(AP164="","",SUMIFS(Performance!$O$5:$O$404,Performance!$G$5:$G$404,AP164))</f>
        <v>0</v>
      </c>
      <c r="AS164" s="23">
        <f>IF(AP164="","",SUMIFS(Performance!$Z$5:$Z$404,Performance!$G$5:$G$404,AP164))</f>
        <v>0</v>
      </c>
      <c r="AT164" s="24">
        <f>IF(OR(AR164="",AR164=0),"",AS164/AR164)</f>
        <v>0</v>
      </c>
      <c r="AU164" s="32">
        <f>IF(AQ164=0,"",IF(AT164="","",AT164+ROW()/1000000))</f>
        <v>0</v>
      </c>
      <c r="AV164" s="17">
        <f>IF(ROW()-4&gt;7,"",TEXT(DATE(2024,1,ROW()-4),"ddd"))</f>
        <v>0</v>
      </c>
      <c r="AW164" s="23">
        <f>IF(AV164="","",COUNTIF(Performance!$N$5:$N$404,AV164))</f>
        <v>0</v>
      </c>
      <c r="AX164" s="23">
        <f>IF(AV164="","",SUMIFS(Performance!$O$5:$O$404,Performance!$N$5:$N$404,AV164))</f>
        <v>0</v>
      </c>
      <c r="AY164" s="23">
        <f>IF(AV164="","",SUMIFS(Performance!$Z$5:$Z$404,Performance!$N$5:$N$404,AV164))</f>
        <v>0</v>
      </c>
      <c r="AZ164" s="24">
        <f>IF(OR(AX164="",AX164=0),"",AY164/AX164)</f>
        <v>0</v>
      </c>
      <c r="BA164" s="32">
        <f>IF(AW164=0,"",IF(AZ164="","",AZ164+ROW()/1000000))</f>
        <v>0</v>
      </c>
      <c r="BB164" s="17">
        <f>IF(Lists!$AL164="","",Lists!$AL164)</f>
        <v>0</v>
      </c>
      <c r="BC164" s="23">
        <f>IF(BB164="","",COUNTIF(Performance!$M$5:$M$404,BB164))</f>
        <v>0</v>
      </c>
      <c r="BD164" s="23">
        <f>IF(BB164="","",SUMIFS(Performance!$O$5:$O$404,Performance!$M$5:$M$404,BB164))</f>
        <v>0</v>
      </c>
      <c r="BE164" s="23">
        <f>IF(BB164="","",SUMIFS(Performance!$Z$5:$Z$404,Performance!$M$5:$M$404,BB164))</f>
        <v>0</v>
      </c>
      <c r="BF164" s="24">
        <f>IF(OR(BD164="",BD164=0),"",BE164/BD164)</f>
        <v>0</v>
      </c>
      <c r="BG164" s="32">
        <f>IF(BC164=0,"",IF(BF164="","",BF164+ROW()/1000000))</f>
        <v>0</v>
      </c>
      <c r="BH164" s="17">
        <f>IF(Performance!$C$164="","",Performance!$C$164)</f>
        <v>0</v>
      </c>
      <c r="BI164" s="17">
        <f>IF(Performance!$F$164="","",Performance!$F$164)</f>
        <v>0</v>
      </c>
      <c r="BJ164" s="17">
        <f>IF(Performance!$H$164="","",Performance!$H$164)</f>
        <v>0</v>
      </c>
      <c r="BK164" s="16">
        <f>IF(Performance!$D$164="","",Performance!$D$164)</f>
        <v>0</v>
      </c>
      <c r="BL164" s="17">
        <f>IF(Performance!$E$164="","",Performance!$E$164)</f>
        <v>0</v>
      </c>
      <c r="BM164" s="23">
        <f>IF(Performance!$O$164="","",Performance!$O$164)</f>
        <v>0</v>
      </c>
      <c r="BN164" s="24">
        <f>IF(Performance!$AA$164="","",Performance!$AA$164)</f>
        <v>0</v>
      </c>
      <c r="BO164" s="32">
        <f>IF(BH164="","",IF(BK164="","",IF(OR(BK164&lt;DashStart,BK164&gt;DashEnd),"",IF(BN164="","",BN164+ROW()/1000000))))</f>
        <v>0</v>
      </c>
      <c r="BP164" s="32">
        <f>IF(BM164="","",IF(BK164="","",IF(OR(BK164&lt;DashStart,BK164&gt;DashEnd),"",BM164+ROW()/1000000)))</f>
        <v>0</v>
      </c>
      <c r="BQ164" s="32">
        <f>IF(BH164="","",IF(BK164="","",IF(YEAR(BK164)&lt;&gt;PlanYear,"",IF(BN164="","",BN164+ROW()/1000000))))</f>
        <v>0</v>
      </c>
      <c r="BR164" s="32">
        <f>IF(BH164="","",IF(BK164="","",IF(OR(BK164&lt;RepFrom,BK164&gt;RepTo),"",IF(BN164="","",BN164+ROW()/1000000))))</f>
        <v>0</v>
      </c>
      <c r="BS164" s="32">
        <f>IF(BM164="","",IF(BK164="","",IF(YEAR(BK164)&lt;&gt;PlanYear,"",BM164+ROW()/1000000)))</f>
        <v>0</v>
      </c>
      <c r="BT164" s="17">
        <f>IF(Lists!$F164="","",Lists!$F164)</f>
        <v>0</v>
      </c>
      <c r="BU164" s="23">
        <f>IF(BT164="","",COUNTIF('Content Calendar'!$X$5:$X$604,BT164))</f>
        <v>0</v>
      </c>
      <c r="BV164" s="23">
        <f>IF(BT164="","",COUNTIFS('Content Calendar'!$X$5:$X$604,BT164,'Content Calendar'!$B$5:$B$604,"&gt;="&amp;DashStart,'Content Calendar'!$B$5:$B$604,"&lt;="&amp;DashEnd))</f>
        <v>0</v>
      </c>
      <c r="BW164" s="17">
        <f>IF(Team!$B$164="","",Team!$B$164)</f>
        <v>0</v>
      </c>
      <c r="BX164" s="23">
        <f>IF(BW164="","",COUNTIF('Content Calendar'!$W$5:$W$604,BW164))</f>
        <v>0</v>
      </c>
      <c r="BY164" s="23">
        <f>IF(BW164="","",COUNTIFS('Content Calendar'!$W$5:$W$604,BW164,'Content Calendar'!$X$5:$X$604,"&lt;&gt;Published"))</f>
        <v>0</v>
      </c>
      <c r="BZ164" s="23">
        <f>IF(BW164="","",COUNTIFS(Tasks!$C$5:$C$64,BW164,Tasks!$G$5:$G$64,"&lt;&gt;Complete"))</f>
        <v>0</v>
      </c>
      <c r="CA164" s="17">
        <f>IF(Campaigns!$B$164="","",Campaigns!$B$164)</f>
        <v>0</v>
      </c>
      <c r="CB164" s="25">
        <f>IF(Campaigns!$T$164="","",Campaigns!$T$164)</f>
        <v>0</v>
      </c>
      <c r="CC164" s="25">
        <f>IF(Campaigns!$Q$164="","",Campaigns!$Q$164)</f>
        <v>0</v>
      </c>
      <c r="CD164" s="23">
        <f>IF(Campaigns!$Y$164="","",Campaigns!$Y$164)</f>
        <v>0</v>
      </c>
      <c r="CE164" s="32">
        <f>IF(CA164="","",IF(N(CB164)&lt;=0,"",N(CB164)+ROW()/1000000))</f>
        <v>0</v>
      </c>
      <c r="CF164" s="17">
        <f>IF(Accounts!$C$164="","",Accounts!$C$164)</f>
        <v>0</v>
      </c>
      <c r="CG164" s="17">
        <f>IF(Accounts!$B$164="","",Accounts!$B$164)</f>
        <v>0</v>
      </c>
      <c r="CH164" s="23">
        <f>IF(Accounts!$J$164="","",Accounts!$J$164)</f>
        <v>0</v>
      </c>
      <c r="CI164" s="23">
        <f>IF(CF164="","",SUMIFS(Analytics!$X$5:$X$154,Analytics!$E$5:$E$154,CF164,Analytics!$B$5:$B$154,"&gt;="&amp;DashStart,Analytics!$B$5:$B$154,"&lt;="&amp;DashEnd))</f>
        <v>0</v>
      </c>
      <c r="CJ164" s="32">
        <f>IF(CH164="","",IF(CH164=0,"",CH164+ROW()/1000000))</f>
        <v>0</v>
      </c>
    </row>
    <row r="165" spans="1:88">
      <c r="A165" s="16">
        <f>IF(ROW()-4&gt;12,"",DATE(PlanYear,ROW()-4,1))</f>
        <v>0</v>
      </c>
      <c r="B165" s="16">
        <f>IF(A165="","",EOMONTH(A165,0))</f>
        <v>0</v>
      </c>
      <c r="C165" s="17">
        <f>IF(A165="","",TEXT(A165,"yyyy-mm"))</f>
        <v>0</v>
      </c>
      <c r="D165" s="17">
        <f>IF(A165="","",TEXT(A165,"mmm"))</f>
        <v>0</v>
      </c>
      <c r="E165" s="23">
        <f>IF(C165="","",COUNTIFS('Content Calendar'!$D$5:$D$604,C165))</f>
        <v>0</v>
      </c>
      <c r="F165" s="23">
        <f>IF(C165="","",COUNTIFS('Content Calendar'!$D$5:$D$604,C165,'Content Calendar'!$X$5:$X$604,"Published"))</f>
        <v>0</v>
      </c>
      <c r="G165" s="23">
        <f>IF(C165="","",SUMIFS(Analytics!$J$5:$J$154,Analytics!$C$5:$C$154,C165))</f>
        <v>0</v>
      </c>
      <c r="H165" s="23">
        <f>IF(C165="","",SUMIFS(Analytics!$K$5:$K$154,Analytics!$C$5:$C$154,C165))</f>
        <v>0</v>
      </c>
      <c r="I165" s="23">
        <f>IF(C165="","",SUMIFS(Analytics!$L$5:$L$154,Analytics!$C$5:$C$154,C165))</f>
        <v>0</v>
      </c>
      <c r="J165" s="24">
        <f>IF(OR(G165="",G165=0),"",I165/G165)</f>
        <v>0</v>
      </c>
      <c r="K165" s="23">
        <f>IF(C165="","",SUMIFS(Analytics!$G$5:$G$154,Analytics!$C$5:$C$154,C165))</f>
        <v>0</v>
      </c>
      <c r="L165" s="23">
        <f>IF(C165="","",SUMIFS(Analytics!$X$5:$X$154,Analytics!$C$5:$C$154,C165))</f>
        <v>0</v>
      </c>
      <c r="M165" s="23">
        <f>IF(C165="","",SUMIFS(Analytics!$R$5:$R$154,Analytics!$C$5:$C$154,C165))</f>
        <v>0</v>
      </c>
      <c r="N165" s="23">
        <f>IF(C165="","",SUMIFS(Analytics!$S$5:$S$154,Analytics!$C$5:$C$154,C165))</f>
        <v>0</v>
      </c>
      <c r="O165" s="23">
        <f>IF(C165="","",SUMIFS(Analytics!$T$5:$T$154,Analytics!$C$5:$C$154,C165))</f>
        <v>0</v>
      </c>
      <c r="P165" s="25">
        <f>IF(C165="","",SUMIFS(Analytics!$U$5:$U$154,Analytics!$C$5:$C$154,C165))</f>
        <v>0</v>
      </c>
      <c r="Q165" s="25">
        <f>IF(C165="","",SUMIFS(Budget!$H$5:$H$64,Budget!$C$5:$C$64,C165))</f>
        <v>0</v>
      </c>
      <c r="R165" s="25">
        <f>IF(C165="","",P165-Q165)</f>
        <v>0</v>
      </c>
      <c r="S165" s="23">
        <f>IF(C165="","",MonthlyPostTarget)</f>
        <v>0</v>
      </c>
      <c r="T165" s="17">
        <f>IF(Lists!$C165="","",Lists!$C165)</f>
        <v>0</v>
      </c>
      <c r="U165" s="23">
        <f>IF(T165="","",COUNTIFS('Content Calendar'!$G$5:$G$604,T165,'Content Calendar'!$B$5:$B$604,"&gt;="&amp;DashStart,'Content Calendar'!$B$5:$B$604,"&lt;="&amp;DashEnd))</f>
        <v>0</v>
      </c>
      <c r="V165" s="23">
        <f>IF(T165="","",COUNTIFS('Content Calendar'!$G$5:$G$604,T165,'Content Calendar'!$X$5:$X$604,"Published",'Content Calendar'!$B$5:$B$604,"&gt;="&amp;DashStart,'Content Calendar'!$B$5:$B$604,"&lt;="&amp;DashEnd))</f>
        <v>0</v>
      </c>
      <c r="W165" s="23">
        <f>IF(T165="","",SUMIFS(Analytics!$J$5:$J$154,Analytics!$D$5:$D$154,T165,Analytics!$B$5:$B$154,"&gt;="&amp;DashStart,Analytics!$B$5:$B$154,"&lt;="&amp;DashEnd))</f>
        <v>0</v>
      </c>
      <c r="X165" s="23">
        <f>IF(T165="","",SUMIFS(Analytics!$L$5:$L$154,Analytics!$D$5:$D$154,T165,Analytics!$B$5:$B$154,"&gt;="&amp;DashStart,Analytics!$B$5:$B$154,"&lt;="&amp;DashEnd))</f>
        <v>0</v>
      </c>
      <c r="Y165" s="24">
        <f>IF(OR(W165="",W165=0),"",X165/W165)</f>
        <v>0</v>
      </c>
      <c r="Z165" s="23">
        <f>IF(T165="","",SUMIFS(Analytics!$G$5:$G$154,Analytics!$D$5:$D$154,T165,Analytics!$B$5:$B$154,"&gt;="&amp;DashStart,Analytics!$B$5:$B$154,"&lt;="&amp;DashEnd))</f>
        <v>0</v>
      </c>
      <c r="AA165" s="23">
        <f>IF(T165="","",SUMIFS(Analytics!$X$5:$X$154,Analytics!$D$5:$D$154,T165,Analytics!$B$5:$B$154,"&gt;="&amp;DashStart,Analytics!$B$5:$B$154,"&lt;="&amp;DashEnd))</f>
        <v>0</v>
      </c>
      <c r="AB165" s="23">
        <f>IF(T165="","",SUMIFS(Analytics!$R$5:$R$154,Analytics!$D$5:$D$154,T165,Analytics!$B$5:$B$154,"&gt;="&amp;DashStart,Analytics!$B$5:$B$154,"&lt;="&amp;DashEnd))</f>
        <v>0</v>
      </c>
      <c r="AC165" s="25">
        <f>IF(T165="","",SUMIFS(Analytics!$U$5:$U$154,Analytics!$D$5:$D$154,T165,Analytics!$B$5:$B$154,"&gt;="&amp;DashStart,Analytics!$B$5:$B$154,"&lt;="&amp;DashEnd))</f>
        <v>0</v>
      </c>
      <c r="AD165" s="23">
        <f>IF(T165="","",COUNTIFS('Content Calendar'!$G$5:$G$604,T165,'Content Calendar'!$B$5:$B$604,"&gt;="&amp;DATE(PlanYear,1,1),'Content Calendar'!$B$5:$B$604,"&lt;="&amp;DATE(PlanYear,12,31)))</f>
        <v>0</v>
      </c>
      <c r="AE165" s="23">
        <f>IF(T165="","",SUMIFS(Analytics!$J$5:$J$154,Analytics!$D$5:$D$154,T165))</f>
        <v>0</v>
      </c>
      <c r="AF165" s="23">
        <f>IF(T165="","",SUMIFS(Analytics!$L$5:$L$154,Analytics!$D$5:$D$154,T165))</f>
        <v>0</v>
      </c>
      <c r="AG165" s="24">
        <f>IF(OR(AE165="",AE165=0),"",AF165/AE165)</f>
        <v>0</v>
      </c>
      <c r="AH165" s="23">
        <f>IF(T165="","",SUMIFS(Analytics!$X$5:$X$154,Analytics!$D$5:$D$154,T165))</f>
        <v>0</v>
      </c>
      <c r="AI165" s="32">
        <f>IF(T165="","",IF(AE165=0,"",AE165+ROW()/1000000))</f>
        <v>0</v>
      </c>
      <c r="AJ165" s="17">
        <f>IF('Content Pillars'!$B$165="","",'Content Pillars'!$B$165)</f>
        <v>0</v>
      </c>
      <c r="AK165" s="23">
        <f>IF(AJ165="","",COUNTIFS('Content Calendar'!$J$5:$J$604,AJ165,'Content Calendar'!$B$5:$B$604,"&gt;="&amp;DATE(PlanYear,1,1),'Content Calendar'!$B$5:$B$604,"&lt;="&amp;DATE(PlanYear,12,31)))</f>
        <v>0</v>
      </c>
      <c r="AL165" s="23">
        <f>IF(AJ165="","",SUMIFS(Performance!$O$5:$O$404,Performance!$H$5:$H$404,AJ165))</f>
        <v>0</v>
      </c>
      <c r="AM165" s="23">
        <f>IF(AJ165="","",SUMIFS(Performance!$Z$5:$Z$404,Performance!$H$5:$H$404,AJ165))</f>
        <v>0</v>
      </c>
      <c r="AN165" s="24">
        <f>IF(OR(AL165="",AL165=0),"",AM165/AL165)</f>
        <v>0</v>
      </c>
      <c r="AO165" s="32">
        <f>IF(AN165="","",AN165+ROW()/1000000)</f>
        <v>0</v>
      </c>
      <c r="AP165" s="17">
        <f>IF(Lists!$E165="","",Lists!$E165)</f>
        <v>0</v>
      </c>
      <c r="AQ165" s="23">
        <f>IF(AP165="","",COUNTIF(Performance!$G$5:$G$404,AP165))</f>
        <v>0</v>
      </c>
      <c r="AR165" s="23">
        <f>IF(AP165="","",SUMIFS(Performance!$O$5:$O$404,Performance!$G$5:$G$404,AP165))</f>
        <v>0</v>
      </c>
      <c r="AS165" s="23">
        <f>IF(AP165="","",SUMIFS(Performance!$Z$5:$Z$404,Performance!$G$5:$G$404,AP165))</f>
        <v>0</v>
      </c>
      <c r="AT165" s="24">
        <f>IF(OR(AR165="",AR165=0),"",AS165/AR165)</f>
        <v>0</v>
      </c>
      <c r="AU165" s="32">
        <f>IF(AQ165=0,"",IF(AT165="","",AT165+ROW()/1000000))</f>
        <v>0</v>
      </c>
      <c r="AV165" s="17">
        <f>IF(ROW()-4&gt;7,"",TEXT(DATE(2024,1,ROW()-4),"ddd"))</f>
        <v>0</v>
      </c>
      <c r="AW165" s="23">
        <f>IF(AV165="","",COUNTIF(Performance!$N$5:$N$404,AV165))</f>
        <v>0</v>
      </c>
      <c r="AX165" s="23">
        <f>IF(AV165="","",SUMIFS(Performance!$O$5:$O$404,Performance!$N$5:$N$404,AV165))</f>
        <v>0</v>
      </c>
      <c r="AY165" s="23">
        <f>IF(AV165="","",SUMIFS(Performance!$Z$5:$Z$404,Performance!$N$5:$N$404,AV165))</f>
        <v>0</v>
      </c>
      <c r="AZ165" s="24">
        <f>IF(OR(AX165="",AX165=0),"",AY165/AX165)</f>
        <v>0</v>
      </c>
      <c r="BA165" s="32">
        <f>IF(AW165=0,"",IF(AZ165="","",AZ165+ROW()/1000000))</f>
        <v>0</v>
      </c>
      <c r="BB165" s="17">
        <f>IF(Lists!$AL165="","",Lists!$AL165)</f>
        <v>0</v>
      </c>
      <c r="BC165" s="23">
        <f>IF(BB165="","",COUNTIF(Performance!$M$5:$M$404,BB165))</f>
        <v>0</v>
      </c>
      <c r="BD165" s="23">
        <f>IF(BB165="","",SUMIFS(Performance!$O$5:$O$404,Performance!$M$5:$M$404,BB165))</f>
        <v>0</v>
      </c>
      <c r="BE165" s="23">
        <f>IF(BB165="","",SUMIFS(Performance!$Z$5:$Z$404,Performance!$M$5:$M$404,BB165))</f>
        <v>0</v>
      </c>
      <c r="BF165" s="24">
        <f>IF(OR(BD165="",BD165=0),"",BE165/BD165)</f>
        <v>0</v>
      </c>
      <c r="BG165" s="32">
        <f>IF(BC165=0,"",IF(BF165="","",BF165+ROW()/1000000))</f>
        <v>0</v>
      </c>
      <c r="BH165" s="17">
        <f>IF(Performance!$C$165="","",Performance!$C$165)</f>
        <v>0</v>
      </c>
      <c r="BI165" s="17">
        <f>IF(Performance!$F$165="","",Performance!$F$165)</f>
        <v>0</v>
      </c>
      <c r="BJ165" s="17">
        <f>IF(Performance!$H$165="","",Performance!$H$165)</f>
        <v>0</v>
      </c>
      <c r="BK165" s="16">
        <f>IF(Performance!$D$165="","",Performance!$D$165)</f>
        <v>0</v>
      </c>
      <c r="BL165" s="17">
        <f>IF(Performance!$E$165="","",Performance!$E$165)</f>
        <v>0</v>
      </c>
      <c r="BM165" s="23">
        <f>IF(Performance!$O$165="","",Performance!$O$165)</f>
        <v>0</v>
      </c>
      <c r="BN165" s="24">
        <f>IF(Performance!$AA$165="","",Performance!$AA$165)</f>
        <v>0</v>
      </c>
      <c r="BO165" s="32">
        <f>IF(BH165="","",IF(BK165="","",IF(OR(BK165&lt;DashStart,BK165&gt;DashEnd),"",IF(BN165="","",BN165+ROW()/1000000))))</f>
        <v>0</v>
      </c>
      <c r="BP165" s="32">
        <f>IF(BM165="","",IF(BK165="","",IF(OR(BK165&lt;DashStart,BK165&gt;DashEnd),"",BM165+ROW()/1000000)))</f>
        <v>0</v>
      </c>
      <c r="BQ165" s="32">
        <f>IF(BH165="","",IF(BK165="","",IF(YEAR(BK165)&lt;&gt;PlanYear,"",IF(BN165="","",BN165+ROW()/1000000))))</f>
        <v>0</v>
      </c>
      <c r="BR165" s="32">
        <f>IF(BH165="","",IF(BK165="","",IF(OR(BK165&lt;RepFrom,BK165&gt;RepTo),"",IF(BN165="","",BN165+ROW()/1000000))))</f>
        <v>0</v>
      </c>
      <c r="BS165" s="32">
        <f>IF(BM165="","",IF(BK165="","",IF(YEAR(BK165)&lt;&gt;PlanYear,"",BM165+ROW()/1000000)))</f>
        <v>0</v>
      </c>
      <c r="BT165" s="17">
        <f>IF(Lists!$F165="","",Lists!$F165)</f>
        <v>0</v>
      </c>
      <c r="BU165" s="23">
        <f>IF(BT165="","",COUNTIF('Content Calendar'!$X$5:$X$604,BT165))</f>
        <v>0</v>
      </c>
      <c r="BV165" s="23">
        <f>IF(BT165="","",COUNTIFS('Content Calendar'!$X$5:$X$604,BT165,'Content Calendar'!$B$5:$B$604,"&gt;="&amp;DashStart,'Content Calendar'!$B$5:$B$604,"&lt;="&amp;DashEnd))</f>
        <v>0</v>
      </c>
      <c r="BW165" s="17">
        <f>IF(Team!$B$165="","",Team!$B$165)</f>
        <v>0</v>
      </c>
      <c r="BX165" s="23">
        <f>IF(BW165="","",COUNTIF('Content Calendar'!$W$5:$W$604,BW165))</f>
        <v>0</v>
      </c>
      <c r="BY165" s="23">
        <f>IF(BW165="","",COUNTIFS('Content Calendar'!$W$5:$W$604,BW165,'Content Calendar'!$X$5:$X$604,"&lt;&gt;Published"))</f>
        <v>0</v>
      </c>
      <c r="BZ165" s="23">
        <f>IF(BW165="","",COUNTIFS(Tasks!$C$5:$C$64,BW165,Tasks!$G$5:$G$64,"&lt;&gt;Complete"))</f>
        <v>0</v>
      </c>
      <c r="CA165" s="17">
        <f>IF(Campaigns!$B$165="","",Campaigns!$B$165)</f>
        <v>0</v>
      </c>
      <c r="CB165" s="25">
        <f>IF(Campaigns!$T$165="","",Campaigns!$T$165)</f>
        <v>0</v>
      </c>
      <c r="CC165" s="25">
        <f>IF(Campaigns!$Q$165="","",Campaigns!$Q$165)</f>
        <v>0</v>
      </c>
      <c r="CD165" s="23">
        <f>IF(Campaigns!$Y$165="","",Campaigns!$Y$165)</f>
        <v>0</v>
      </c>
      <c r="CE165" s="32">
        <f>IF(CA165="","",IF(N(CB165)&lt;=0,"",N(CB165)+ROW()/1000000))</f>
        <v>0</v>
      </c>
      <c r="CF165" s="17">
        <f>IF(Accounts!$C$165="","",Accounts!$C$165)</f>
        <v>0</v>
      </c>
      <c r="CG165" s="17">
        <f>IF(Accounts!$B$165="","",Accounts!$B$165)</f>
        <v>0</v>
      </c>
      <c r="CH165" s="23">
        <f>IF(Accounts!$J$165="","",Accounts!$J$165)</f>
        <v>0</v>
      </c>
      <c r="CI165" s="23">
        <f>IF(CF165="","",SUMIFS(Analytics!$X$5:$X$154,Analytics!$E$5:$E$154,CF165,Analytics!$B$5:$B$154,"&gt;="&amp;DashStart,Analytics!$B$5:$B$154,"&lt;="&amp;DashEnd))</f>
        <v>0</v>
      </c>
      <c r="CJ165" s="32">
        <f>IF(CH165="","",IF(CH165=0,"",CH165+ROW()/1000000))</f>
        <v>0</v>
      </c>
    </row>
    <row r="166" spans="1:88">
      <c r="A166" s="16">
        <f>IF(ROW()-4&gt;12,"",DATE(PlanYear,ROW()-4,1))</f>
        <v>0</v>
      </c>
      <c r="B166" s="16">
        <f>IF(A166="","",EOMONTH(A166,0))</f>
        <v>0</v>
      </c>
      <c r="C166" s="17">
        <f>IF(A166="","",TEXT(A166,"yyyy-mm"))</f>
        <v>0</v>
      </c>
      <c r="D166" s="17">
        <f>IF(A166="","",TEXT(A166,"mmm"))</f>
        <v>0</v>
      </c>
      <c r="E166" s="23">
        <f>IF(C166="","",COUNTIFS('Content Calendar'!$D$5:$D$604,C166))</f>
        <v>0</v>
      </c>
      <c r="F166" s="23">
        <f>IF(C166="","",COUNTIFS('Content Calendar'!$D$5:$D$604,C166,'Content Calendar'!$X$5:$X$604,"Published"))</f>
        <v>0</v>
      </c>
      <c r="G166" s="23">
        <f>IF(C166="","",SUMIFS(Analytics!$J$5:$J$154,Analytics!$C$5:$C$154,C166))</f>
        <v>0</v>
      </c>
      <c r="H166" s="23">
        <f>IF(C166="","",SUMIFS(Analytics!$K$5:$K$154,Analytics!$C$5:$C$154,C166))</f>
        <v>0</v>
      </c>
      <c r="I166" s="23">
        <f>IF(C166="","",SUMIFS(Analytics!$L$5:$L$154,Analytics!$C$5:$C$154,C166))</f>
        <v>0</v>
      </c>
      <c r="J166" s="24">
        <f>IF(OR(G166="",G166=0),"",I166/G166)</f>
        <v>0</v>
      </c>
      <c r="K166" s="23">
        <f>IF(C166="","",SUMIFS(Analytics!$G$5:$G$154,Analytics!$C$5:$C$154,C166))</f>
        <v>0</v>
      </c>
      <c r="L166" s="23">
        <f>IF(C166="","",SUMIFS(Analytics!$X$5:$X$154,Analytics!$C$5:$C$154,C166))</f>
        <v>0</v>
      </c>
      <c r="M166" s="23">
        <f>IF(C166="","",SUMIFS(Analytics!$R$5:$R$154,Analytics!$C$5:$C$154,C166))</f>
        <v>0</v>
      </c>
      <c r="N166" s="23">
        <f>IF(C166="","",SUMIFS(Analytics!$S$5:$S$154,Analytics!$C$5:$C$154,C166))</f>
        <v>0</v>
      </c>
      <c r="O166" s="23">
        <f>IF(C166="","",SUMIFS(Analytics!$T$5:$T$154,Analytics!$C$5:$C$154,C166))</f>
        <v>0</v>
      </c>
      <c r="P166" s="25">
        <f>IF(C166="","",SUMIFS(Analytics!$U$5:$U$154,Analytics!$C$5:$C$154,C166))</f>
        <v>0</v>
      </c>
      <c r="Q166" s="25">
        <f>IF(C166="","",SUMIFS(Budget!$H$5:$H$64,Budget!$C$5:$C$64,C166))</f>
        <v>0</v>
      </c>
      <c r="R166" s="25">
        <f>IF(C166="","",P166-Q166)</f>
        <v>0</v>
      </c>
      <c r="S166" s="23">
        <f>IF(C166="","",MonthlyPostTarget)</f>
        <v>0</v>
      </c>
      <c r="T166" s="17">
        <f>IF(Lists!$C166="","",Lists!$C166)</f>
        <v>0</v>
      </c>
      <c r="U166" s="23">
        <f>IF(T166="","",COUNTIFS('Content Calendar'!$G$5:$G$604,T166,'Content Calendar'!$B$5:$B$604,"&gt;="&amp;DashStart,'Content Calendar'!$B$5:$B$604,"&lt;="&amp;DashEnd))</f>
        <v>0</v>
      </c>
      <c r="V166" s="23">
        <f>IF(T166="","",COUNTIFS('Content Calendar'!$G$5:$G$604,T166,'Content Calendar'!$X$5:$X$604,"Published",'Content Calendar'!$B$5:$B$604,"&gt;="&amp;DashStart,'Content Calendar'!$B$5:$B$604,"&lt;="&amp;DashEnd))</f>
        <v>0</v>
      </c>
      <c r="W166" s="23">
        <f>IF(T166="","",SUMIFS(Analytics!$J$5:$J$154,Analytics!$D$5:$D$154,T166,Analytics!$B$5:$B$154,"&gt;="&amp;DashStart,Analytics!$B$5:$B$154,"&lt;="&amp;DashEnd))</f>
        <v>0</v>
      </c>
      <c r="X166" s="23">
        <f>IF(T166="","",SUMIFS(Analytics!$L$5:$L$154,Analytics!$D$5:$D$154,T166,Analytics!$B$5:$B$154,"&gt;="&amp;DashStart,Analytics!$B$5:$B$154,"&lt;="&amp;DashEnd))</f>
        <v>0</v>
      </c>
      <c r="Y166" s="24">
        <f>IF(OR(W166="",W166=0),"",X166/W166)</f>
        <v>0</v>
      </c>
      <c r="Z166" s="23">
        <f>IF(T166="","",SUMIFS(Analytics!$G$5:$G$154,Analytics!$D$5:$D$154,T166,Analytics!$B$5:$B$154,"&gt;="&amp;DashStart,Analytics!$B$5:$B$154,"&lt;="&amp;DashEnd))</f>
        <v>0</v>
      </c>
      <c r="AA166" s="23">
        <f>IF(T166="","",SUMIFS(Analytics!$X$5:$X$154,Analytics!$D$5:$D$154,T166,Analytics!$B$5:$B$154,"&gt;="&amp;DashStart,Analytics!$B$5:$B$154,"&lt;="&amp;DashEnd))</f>
        <v>0</v>
      </c>
      <c r="AB166" s="23">
        <f>IF(T166="","",SUMIFS(Analytics!$R$5:$R$154,Analytics!$D$5:$D$154,T166,Analytics!$B$5:$B$154,"&gt;="&amp;DashStart,Analytics!$B$5:$B$154,"&lt;="&amp;DashEnd))</f>
        <v>0</v>
      </c>
      <c r="AC166" s="25">
        <f>IF(T166="","",SUMIFS(Analytics!$U$5:$U$154,Analytics!$D$5:$D$154,T166,Analytics!$B$5:$B$154,"&gt;="&amp;DashStart,Analytics!$B$5:$B$154,"&lt;="&amp;DashEnd))</f>
        <v>0</v>
      </c>
      <c r="AD166" s="23">
        <f>IF(T166="","",COUNTIFS('Content Calendar'!$G$5:$G$604,T166,'Content Calendar'!$B$5:$B$604,"&gt;="&amp;DATE(PlanYear,1,1),'Content Calendar'!$B$5:$B$604,"&lt;="&amp;DATE(PlanYear,12,31)))</f>
        <v>0</v>
      </c>
      <c r="AE166" s="23">
        <f>IF(T166="","",SUMIFS(Analytics!$J$5:$J$154,Analytics!$D$5:$D$154,T166))</f>
        <v>0</v>
      </c>
      <c r="AF166" s="23">
        <f>IF(T166="","",SUMIFS(Analytics!$L$5:$L$154,Analytics!$D$5:$D$154,T166))</f>
        <v>0</v>
      </c>
      <c r="AG166" s="24">
        <f>IF(OR(AE166="",AE166=0),"",AF166/AE166)</f>
        <v>0</v>
      </c>
      <c r="AH166" s="23">
        <f>IF(T166="","",SUMIFS(Analytics!$X$5:$X$154,Analytics!$D$5:$D$154,T166))</f>
        <v>0</v>
      </c>
      <c r="AI166" s="32">
        <f>IF(T166="","",IF(AE166=0,"",AE166+ROW()/1000000))</f>
        <v>0</v>
      </c>
      <c r="AJ166" s="17">
        <f>IF('Content Pillars'!$B$166="","",'Content Pillars'!$B$166)</f>
        <v>0</v>
      </c>
      <c r="AK166" s="23">
        <f>IF(AJ166="","",COUNTIFS('Content Calendar'!$J$5:$J$604,AJ166,'Content Calendar'!$B$5:$B$604,"&gt;="&amp;DATE(PlanYear,1,1),'Content Calendar'!$B$5:$B$604,"&lt;="&amp;DATE(PlanYear,12,31)))</f>
        <v>0</v>
      </c>
      <c r="AL166" s="23">
        <f>IF(AJ166="","",SUMIFS(Performance!$O$5:$O$404,Performance!$H$5:$H$404,AJ166))</f>
        <v>0</v>
      </c>
      <c r="AM166" s="23">
        <f>IF(AJ166="","",SUMIFS(Performance!$Z$5:$Z$404,Performance!$H$5:$H$404,AJ166))</f>
        <v>0</v>
      </c>
      <c r="AN166" s="24">
        <f>IF(OR(AL166="",AL166=0),"",AM166/AL166)</f>
        <v>0</v>
      </c>
      <c r="AO166" s="32">
        <f>IF(AN166="","",AN166+ROW()/1000000)</f>
        <v>0</v>
      </c>
      <c r="AP166" s="17">
        <f>IF(Lists!$E166="","",Lists!$E166)</f>
        <v>0</v>
      </c>
      <c r="AQ166" s="23">
        <f>IF(AP166="","",COUNTIF(Performance!$G$5:$G$404,AP166))</f>
        <v>0</v>
      </c>
      <c r="AR166" s="23">
        <f>IF(AP166="","",SUMIFS(Performance!$O$5:$O$404,Performance!$G$5:$G$404,AP166))</f>
        <v>0</v>
      </c>
      <c r="AS166" s="23">
        <f>IF(AP166="","",SUMIFS(Performance!$Z$5:$Z$404,Performance!$G$5:$G$404,AP166))</f>
        <v>0</v>
      </c>
      <c r="AT166" s="24">
        <f>IF(OR(AR166="",AR166=0),"",AS166/AR166)</f>
        <v>0</v>
      </c>
      <c r="AU166" s="32">
        <f>IF(AQ166=0,"",IF(AT166="","",AT166+ROW()/1000000))</f>
        <v>0</v>
      </c>
      <c r="AV166" s="17">
        <f>IF(ROW()-4&gt;7,"",TEXT(DATE(2024,1,ROW()-4),"ddd"))</f>
        <v>0</v>
      </c>
      <c r="AW166" s="23">
        <f>IF(AV166="","",COUNTIF(Performance!$N$5:$N$404,AV166))</f>
        <v>0</v>
      </c>
      <c r="AX166" s="23">
        <f>IF(AV166="","",SUMIFS(Performance!$O$5:$O$404,Performance!$N$5:$N$404,AV166))</f>
        <v>0</v>
      </c>
      <c r="AY166" s="23">
        <f>IF(AV166="","",SUMIFS(Performance!$Z$5:$Z$404,Performance!$N$5:$N$404,AV166))</f>
        <v>0</v>
      </c>
      <c r="AZ166" s="24">
        <f>IF(OR(AX166="",AX166=0),"",AY166/AX166)</f>
        <v>0</v>
      </c>
      <c r="BA166" s="32">
        <f>IF(AW166=0,"",IF(AZ166="","",AZ166+ROW()/1000000))</f>
        <v>0</v>
      </c>
      <c r="BB166" s="17">
        <f>IF(Lists!$AL166="","",Lists!$AL166)</f>
        <v>0</v>
      </c>
      <c r="BC166" s="23">
        <f>IF(BB166="","",COUNTIF(Performance!$M$5:$M$404,BB166))</f>
        <v>0</v>
      </c>
      <c r="BD166" s="23">
        <f>IF(BB166="","",SUMIFS(Performance!$O$5:$O$404,Performance!$M$5:$M$404,BB166))</f>
        <v>0</v>
      </c>
      <c r="BE166" s="23">
        <f>IF(BB166="","",SUMIFS(Performance!$Z$5:$Z$404,Performance!$M$5:$M$404,BB166))</f>
        <v>0</v>
      </c>
      <c r="BF166" s="24">
        <f>IF(OR(BD166="",BD166=0),"",BE166/BD166)</f>
        <v>0</v>
      </c>
      <c r="BG166" s="32">
        <f>IF(BC166=0,"",IF(BF166="","",BF166+ROW()/1000000))</f>
        <v>0</v>
      </c>
      <c r="BH166" s="17">
        <f>IF(Performance!$C$166="","",Performance!$C$166)</f>
        <v>0</v>
      </c>
      <c r="BI166" s="17">
        <f>IF(Performance!$F$166="","",Performance!$F$166)</f>
        <v>0</v>
      </c>
      <c r="BJ166" s="17">
        <f>IF(Performance!$H$166="","",Performance!$H$166)</f>
        <v>0</v>
      </c>
      <c r="BK166" s="16">
        <f>IF(Performance!$D$166="","",Performance!$D$166)</f>
        <v>0</v>
      </c>
      <c r="BL166" s="17">
        <f>IF(Performance!$E$166="","",Performance!$E$166)</f>
        <v>0</v>
      </c>
      <c r="BM166" s="23">
        <f>IF(Performance!$O$166="","",Performance!$O$166)</f>
        <v>0</v>
      </c>
      <c r="BN166" s="24">
        <f>IF(Performance!$AA$166="","",Performance!$AA$166)</f>
        <v>0</v>
      </c>
      <c r="BO166" s="32">
        <f>IF(BH166="","",IF(BK166="","",IF(OR(BK166&lt;DashStart,BK166&gt;DashEnd),"",IF(BN166="","",BN166+ROW()/1000000))))</f>
        <v>0</v>
      </c>
      <c r="BP166" s="32">
        <f>IF(BM166="","",IF(BK166="","",IF(OR(BK166&lt;DashStart,BK166&gt;DashEnd),"",BM166+ROW()/1000000)))</f>
        <v>0</v>
      </c>
      <c r="BQ166" s="32">
        <f>IF(BH166="","",IF(BK166="","",IF(YEAR(BK166)&lt;&gt;PlanYear,"",IF(BN166="","",BN166+ROW()/1000000))))</f>
        <v>0</v>
      </c>
      <c r="BR166" s="32">
        <f>IF(BH166="","",IF(BK166="","",IF(OR(BK166&lt;RepFrom,BK166&gt;RepTo),"",IF(BN166="","",BN166+ROW()/1000000))))</f>
        <v>0</v>
      </c>
      <c r="BS166" s="32">
        <f>IF(BM166="","",IF(BK166="","",IF(YEAR(BK166)&lt;&gt;PlanYear,"",BM166+ROW()/1000000)))</f>
        <v>0</v>
      </c>
      <c r="BT166" s="17">
        <f>IF(Lists!$F166="","",Lists!$F166)</f>
        <v>0</v>
      </c>
      <c r="BU166" s="23">
        <f>IF(BT166="","",COUNTIF('Content Calendar'!$X$5:$X$604,BT166))</f>
        <v>0</v>
      </c>
      <c r="BV166" s="23">
        <f>IF(BT166="","",COUNTIFS('Content Calendar'!$X$5:$X$604,BT166,'Content Calendar'!$B$5:$B$604,"&gt;="&amp;DashStart,'Content Calendar'!$B$5:$B$604,"&lt;="&amp;DashEnd))</f>
        <v>0</v>
      </c>
      <c r="BW166" s="17">
        <f>IF(Team!$B$166="","",Team!$B$166)</f>
        <v>0</v>
      </c>
      <c r="BX166" s="23">
        <f>IF(BW166="","",COUNTIF('Content Calendar'!$W$5:$W$604,BW166))</f>
        <v>0</v>
      </c>
      <c r="BY166" s="23">
        <f>IF(BW166="","",COUNTIFS('Content Calendar'!$W$5:$W$604,BW166,'Content Calendar'!$X$5:$X$604,"&lt;&gt;Published"))</f>
        <v>0</v>
      </c>
      <c r="BZ166" s="23">
        <f>IF(BW166="","",COUNTIFS(Tasks!$C$5:$C$64,BW166,Tasks!$G$5:$G$64,"&lt;&gt;Complete"))</f>
        <v>0</v>
      </c>
      <c r="CA166" s="17">
        <f>IF(Campaigns!$B$166="","",Campaigns!$B$166)</f>
        <v>0</v>
      </c>
      <c r="CB166" s="25">
        <f>IF(Campaigns!$T$166="","",Campaigns!$T$166)</f>
        <v>0</v>
      </c>
      <c r="CC166" s="25">
        <f>IF(Campaigns!$Q$166="","",Campaigns!$Q$166)</f>
        <v>0</v>
      </c>
      <c r="CD166" s="23">
        <f>IF(Campaigns!$Y$166="","",Campaigns!$Y$166)</f>
        <v>0</v>
      </c>
      <c r="CE166" s="32">
        <f>IF(CA166="","",IF(N(CB166)&lt;=0,"",N(CB166)+ROW()/1000000))</f>
        <v>0</v>
      </c>
      <c r="CF166" s="17">
        <f>IF(Accounts!$C$166="","",Accounts!$C$166)</f>
        <v>0</v>
      </c>
      <c r="CG166" s="17">
        <f>IF(Accounts!$B$166="","",Accounts!$B$166)</f>
        <v>0</v>
      </c>
      <c r="CH166" s="23">
        <f>IF(Accounts!$J$166="","",Accounts!$J$166)</f>
        <v>0</v>
      </c>
      <c r="CI166" s="23">
        <f>IF(CF166="","",SUMIFS(Analytics!$X$5:$X$154,Analytics!$E$5:$E$154,CF166,Analytics!$B$5:$B$154,"&gt;="&amp;DashStart,Analytics!$B$5:$B$154,"&lt;="&amp;DashEnd))</f>
        <v>0</v>
      </c>
      <c r="CJ166" s="32">
        <f>IF(CH166="","",IF(CH166=0,"",CH166+ROW()/1000000))</f>
        <v>0</v>
      </c>
    </row>
    <row r="167" spans="1:88">
      <c r="A167" s="16">
        <f>IF(ROW()-4&gt;12,"",DATE(PlanYear,ROW()-4,1))</f>
        <v>0</v>
      </c>
      <c r="B167" s="16">
        <f>IF(A167="","",EOMONTH(A167,0))</f>
        <v>0</v>
      </c>
      <c r="C167" s="17">
        <f>IF(A167="","",TEXT(A167,"yyyy-mm"))</f>
        <v>0</v>
      </c>
      <c r="D167" s="17">
        <f>IF(A167="","",TEXT(A167,"mmm"))</f>
        <v>0</v>
      </c>
      <c r="E167" s="23">
        <f>IF(C167="","",COUNTIFS('Content Calendar'!$D$5:$D$604,C167))</f>
        <v>0</v>
      </c>
      <c r="F167" s="23">
        <f>IF(C167="","",COUNTIFS('Content Calendar'!$D$5:$D$604,C167,'Content Calendar'!$X$5:$X$604,"Published"))</f>
        <v>0</v>
      </c>
      <c r="G167" s="23">
        <f>IF(C167="","",SUMIFS(Analytics!$J$5:$J$154,Analytics!$C$5:$C$154,C167))</f>
        <v>0</v>
      </c>
      <c r="H167" s="23">
        <f>IF(C167="","",SUMIFS(Analytics!$K$5:$K$154,Analytics!$C$5:$C$154,C167))</f>
        <v>0</v>
      </c>
      <c r="I167" s="23">
        <f>IF(C167="","",SUMIFS(Analytics!$L$5:$L$154,Analytics!$C$5:$C$154,C167))</f>
        <v>0</v>
      </c>
      <c r="J167" s="24">
        <f>IF(OR(G167="",G167=0),"",I167/G167)</f>
        <v>0</v>
      </c>
      <c r="K167" s="23">
        <f>IF(C167="","",SUMIFS(Analytics!$G$5:$G$154,Analytics!$C$5:$C$154,C167))</f>
        <v>0</v>
      </c>
      <c r="L167" s="23">
        <f>IF(C167="","",SUMIFS(Analytics!$X$5:$X$154,Analytics!$C$5:$C$154,C167))</f>
        <v>0</v>
      </c>
      <c r="M167" s="23">
        <f>IF(C167="","",SUMIFS(Analytics!$R$5:$R$154,Analytics!$C$5:$C$154,C167))</f>
        <v>0</v>
      </c>
      <c r="N167" s="23">
        <f>IF(C167="","",SUMIFS(Analytics!$S$5:$S$154,Analytics!$C$5:$C$154,C167))</f>
        <v>0</v>
      </c>
      <c r="O167" s="23">
        <f>IF(C167="","",SUMIFS(Analytics!$T$5:$T$154,Analytics!$C$5:$C$154,C167))</f>
        <v>0</v>
      </c>
      <c r="P167" s="25">
        <f>IF(C167="","",SUMIFS(Analytics!$U$5:$U$154,Analytics!$C$5:$C$154,C167))</f>
        <v>0</v>
      </c>
      <c r="Q167" s="25">
        <f>IF(C167="","",SUMIFS(Budget!$H$5:$H$64,Budget!$C$5:$C$64,C167))</f>
        <v>0</v>
      </c>
      <c r="R167" s="25">
        <f>IF(C167="","",P167-Q167)</f>
        <v>0</v>
      </c>
      <c r="S167" s="23">
        <f>IF(C167="","",MonthlyPostTarget)</f>
        <v>0</v>
      </c>
      <c r="T167" s="17">
        <f>IF(Lists!$C167="","",Lists!$C167)</f>
        <v>0</v>
      </c>
      <c r="U167" s="23">
        <f>IF(T167="","",COUNTIFS('Content Calendar'!$G$5:$G$604,T167,'Content Calendar'!$B$5:$B$604,"&gt;="&amp;DashStart,'Content Calendar'!$B$5:$B$604,"&lt;="&amp;DashEnd))</f>
        <v>0</v>
      </c>
      <c r="V167" s="23">
        <f>IF(T167="","",COUNTIFS('Content Calendar'!$G$5:$G$604,T167,'Content Calendar'!$X$5:$X$604,"Published",'Content Calendar'!$B$5:$B$604,"&gt;="&amp;DashStart,'Content Calendar'!$B$5:$B$604,"&lt;="&amp;DashEnd))</f>
        <v>0</v>
      </c>
      <c r="W167" s="23">
        <f>IF(T167="","",SUMIFS(Analytics!$J$5:$J$154,Analytics!$D$5:$D$154,T167,Analytics!$B$5:$B$154,"&gt;="&amp;DashStart,Analytics!$B$5:$B$154,"&lt;="&amp;DashEnd))</f>
        <v>0</v>
      </c>
      <c r="X167" s="23">
        <f>IF(T167="","",SUMIFS(Analytics!$L$5:$L$154,Analytics!$D$5:$D$154,T167,Analytics!$B$5:$B$154,"&gt;="&amp;DashStart,Analytics!$B$5:$B$154,"&lt;="&amp;DashEnd))</f>
        <v>0</v>
      </c>
      <c r="Y167" s="24">
        <f>IF(OR(W167="",W167=0),"",X167/W167)</f>
        <v>0</v>
      </c>
      <c r="Z167" s="23">
        <f>IF(T167="","",SUMIFS(Analytics!$G$5:$G$154,Analytics!$D$5:$D$154,T167,Analytics!$B$5:$B$154,"&gt;="&amp;DashStart,Analytics!$B$5:$B$154,"&lt;="&amp;DashEnd))</f>
        <v>0</v>
      </c>
      <c r="AA167" s="23">
        <f>IF(T167="","",SUMIFS(Analytics!$X$5:$X$154,Analytics!$D$5:$D$154,T167,Analytics!$B$5:$B$154,"&gt;="&amp;DashStart,Analytics!$B$5:$B$154,"&lt;="&amp;DashEnd))</f>
        <v>0</v>
      </c>
      <c r="AB167" s="23">
        <f>IF(T167="","",SUMIFS(Analytics!$R$5:$R$154,Analytics!$D$5:$D$154,T167,Analytics!$B$5:$B$154,"&gt;="&amp;DashStart,Analytics!$B$5:$B$154,"&lt;="&amp;DashEnd))</f>
        <v>0</v>
      </c>
      <c r="AC167" s="25">
        <f>IF(T167="","",SUMIFS(Analytics!$U$5:$U$154,Analytics!$D$5:$D$154,T167,Analytics!$B$5:$B$154,"&gt;="&amp;DashStart,Analytics!$B$5:$B$154,"&lt;="&amp;DashEnd))</f>
        <v>0</v>
      </c>
      <c r="AD167" s="23">
        <f>IF(T167="","",COUNTIFS('Content Calendar'!$G$5:$G$604,T167,'Content Calendar'!$B$5:$B$604,"&gt;="&amp;DATE(PlanYear,1,1),'Content Calendar'!$B$5:$B$604,"&lt;="&amp;DATE(PlanYear,12,31)))</f>
        <v>0</v>
      </c>
      <c r="AE167" s="23">
        <f>IF(T167="","",SUMIFS(Analytics!$J$5:$J$154,Analytics!$D$5:$D$154,T167))</f>
        <v>0</v>
      </c>
      <c r="AF167" s="23">
        <f>IF(T167="","",SUMIFS(Analytics!$L$5:$L$154,Analytics!$D$5:$D$154,T167))</f>
        <v>0</v>
      </c>
      <c r="AG167" s="24">
        <f>IF(OR(AE167="",AE167=0),"",AF167/AE167)</f>
        <v>0</v>
      </c>
      <c r="AH167" s="23">
        <f>IF(T167="","",SUMIFS(Analytics!$X$5:$X$154,Analytics!$D$5:$D$154,T167))</f>
        <v>0</v>
      </c>
      <c r="AI167" s="32">
        <f>IF(T167="","",IF(AE167=0,"",AE167+ROW()/1000000))</f>
        <v>0</v>
      </c>
      <c r="AJ167" s="17">
        <f>IF('Content Pillars'!$B$167="","",'Content Pillars'!$B$167)</f>
        <v>0</v>
      </c>
      <c r="AK167" s="23">
        <f>IF(AJ167="","",COUNTIFS('Content Calendar'!$J$5:$J$604,AJ167,'Content Calendar'!$B$5:$B$604,"&gt;="&amp;DATE(PlanYear,1,1),'Content Calendar'!$B$5:$B$604,"&lt;="&amp;DATE(PlanYear,12,31)))</f>
        <v>0</v>
      </c>
      <c r="AL167" s="23">
        <f>IF(AJ167="","",SUMIFS(Performance!$O$5:$O$404,Performance!$H$5:$H$404,AJ167))</f>
        <v>0</v>
      </c>
      <c r="AM167" s="23">
        <f>IF(AJ167="","",SUMIFS(Performance!$Z$5:$Z$404,Performance!$H$5:$H$404,AJ167))</f>
        <v>0</v>
      </c>
      <c r="AN167" s="24">
        <f>IF(OR(AL167="",AL167=0),"",AM167/AL167)</f>
        <v>0</v>
      </c>
      <c r="AO167" s="32">
        <f>IF(AN167="","",AN167+ROW()/1000000)</f>
        <v>0</v>
      </c>
      <c r="AP167" s="17">
        <f>IF(Lists!$E167="","",Lists!$E167)</f>
        <v>0</v>
      </c>
      <c r="AQ167" s="23">
        <f>IF(AP167="","",COUNTIF(Performance!$G$5:$G$404,AP167))</f>
        <v>0</v>
      </c>
      <c r="AR167" s="23">
        <f>IF(AP167="","",SUMIFS(Performance!$O$5:$O$404,Performance!$G$5:$G$404,AP167))</f>
        <v>0</v>
      </c>
      <c r="AS167" s="23">
        <f>IF(AP167="","",SUMIFS(Performance!$Z$5:$Z$404,Performance!$G$5:$G$404,AP167))</f>
        <v>0</v>
      </c>
      <c r="AT167" s="24">
        <f>IF(OR(AR167="",AR167=0),"",AS167/AR167)</f>
        <v>0</v>
      </c>
      <c r="AU167" s="32">
        <f>IF(AQ167=0,"",IF(AT167="","",AT167+ROW()/1000000))</f>
        <v>0</v>
      </c>
      <c r="AV167" s="17">
        <f>IF(ROW()-4&gt;7,"",TEXT(DATE(2024,1,ROW()-4),"ddd"))</f>
        <v>0</v>
      </c>
      <c r="AW167" s="23">
        <f>IF(AV167="","",COUNTIF(Performance!$N$5:$N$404,AV167))</f>
        <v>0</v>
      </c>
      <c r="AX167" s="23">
        <f>IF(AV167="","",SUMIFS(Performance!$O$5:$O$404,Performance!$N$5:$N$404,AV167))</f>
        <v>0</v>
      </c>
      <c r="AY167" s="23">
        <f>IF(AV167="","",SUMIFS(Performance!$Z$5:$Z$404,Performance!$N$5:$N$404,AV167))</f>
        <v>0</v>
      </c>
      <c r="AZ167" s="24">
        <f>IF(OR(AX167="",AX167=0),"",AY167/AX167)</f>
        <v>0</v>
      </c>
      <c r="BA167" s="32">
        <f>IF(AW167=0,"",IF(AZ167="","",AZ167+ROW()/1000000))</f>
        <v>0</v>
      </c>
      <c r="BB167" s="17">
        <f>IF(Lists!$AL167="","",Lists!$AL167)</f>
        <v>0</v>
      </c>
      <c r="BC167" s="23">
        <f>IF(BB167="","",COUNTIF(Performance!$M$5:$M$404,BB167))</f>
        <v>0</v>
      </c>
      <c r="BD167" s="23">
        <f>IF(BB167="","",SUMIFS(Performance!$O$5:$O$404,Performance!$M$5:$M$404,BB167))</f>
        <v>0</v>
      </c>
      <c r="BE167" s="23">
        <f>IF(BB167="","",SUMIFS(Performance!$Z$5:$Z$404,Performance!$M$5:$M$404,BB167))</f>
        <v>0</v>
      </c>
      <c r="BF167" s="24">
        <f>IF(OR(BD167="",BD167=0),"",BE167/BD167)</f>
        <v>0</v>
      </c>
      <c r="BG167" s="32">
        <f>IF(BC167=0,"",IF(BF167="","",BF167+ROW()/1000000))</f>
        <v>0</v>
      </c>
      <c r="BH167" s="17">
        <f>IF(Performance!$C$167="","",Performance!$C$167)</f>
        <v>0</v>
      </c>
      <c r="BI167" s="17">
        <f>IF(Performance!$F$167="","",Performance!$F$167)</f>
        <v>0</v>
      </c>
      <c r="BJ167" s="17">
        <f>IF(Performance!$H$167="","",Performance!$H$167)</f>
        <v>0</v>
      </c>
      <c r="BK167" s="16">
        <f>IF(Performance!$D$167="","",Performance!$D$167)</f>
        <v>0</v>
      </c>
      <c r="BL167" s="17">
        <f>IF(Performance!$E$167="","",Performance!$E$167)</f>
        <v>0</v>
      </c>
      <c r="BM167" s="23">
        <f>IF(Performance!$O$167="","",Performance!$O$167)</f>
        <v>0</v>
      </c>
      <c r="BN167" s="24">
        <f>IF(Performance!$AA$167="","",Performance!$AA$167)</f>
        <v>0</v>
      </c>
      <c r="BO167" s="32">
        <f>IF(BH167="","",IF(BK167="","",IF(OR(BK167&lt;DashStart,BK167&gt;DashEnd),"",IF(BN167="","",BN167+ROW()/1000000))))</f>
        <v>0</v>
      </c>
      <c r="BP167" s="32">
        <f>IF(BM167="","",IF(BK167="","",IF(OR(BK167&lt;DashStart,BK167&gt;DashEnd),"",BM167+ROW()/1000000)))</f>
        <v>0</v>
      </c>
      <c r="BQ167" s="32">
        <f>IF(BH167="","",IF(BK167="","",IF(YEAR(BK167)&lt;&gt;PlanYear,"",IF(BN167="","",BN167+ROW()/1000000))))</f>
        <v>0</v>
      </c>
      <c r="BR167" s="32">
        <f>IF(BH167="","",IF(BK167="","",IF(OR(BK167&lt;RepFrom,BK167&gt;RepTo),"",IF(BN167="","",BN167+ROW()/1000000))))</f>
        <v>0</v>
      </c>
      <c r="BS167" s="32">
        <f>IF(BM167="","",IF(BK167="","",IF(YEAR(BK167)&lt;&gt;PlanYear,"",BM167+ROW()/1000000)))</f>
        <v>0</v>
      </c>
      <c r="BT167" s="17">
        <f>IF(Lists!$F167="","",Lists!$F167)</f>
        <v>0</v>
      </c>
      <c r="BU167" s="23">
        <f>IF(BT167="","",COUNTIF('Content Calendar'!$X$5:$X$604,BT167))</f>
        <v>0</v>
      </c>
      <c r="BV167" s="23">
        <f>IF(BT167="","",COUNTIFS('Content Calendar'!$X$5:$X$604,BT167,'Content Calendar'!$B$5:$B$604,"&gt;="&amp;DashStart,'Content Calendar'!$B$5:$B$604,"&lt;="&amp;DashEnd))</f>
        <v>0</v>
      </c>
      <c r="BW167" s="17">
        <f>IF(Team!$B$167="","",Team!$B$167)</f>
        <v>0</v>
      </c>
      <c r="BX167" s="23">
        <f>IF(BW167="","",COUNTIF('Content Calendar'!$W$5:$W$604,BW167))</f>
        <v>0</v>
      </c>
      <c r="BY167" s="23">
        <f>IF(BW167="","",COUNTIFS('Content Calendar'!$W$5:$W$604,BW167,'Content Calendar'!$X$5:$X$604,"&lt;&gt;Published"))</f>
        <v>0</v>
      </c>
      <c r="BZ167" s="23">
        <f>IF(BW167="","",COUNTIFS(Tasks!$C$5:$C$64,BW167,Tasks!$G$5:$G$64,"&lt;&gt;Complete"))</f>
        <v>0</v>
      </c>
      <c r="CA167" s="17">
        <f>IF(Campaigns!$B$167="","",Campaigns!$B$167)</f>
        <v>0</v>
      </c>
      <c r="CB167" s="25">
        <f>IF(Campaigns!$T$167="","",Campaigns!$T$167)</f>
        <v>0</v>
      </c>
      <c r="CC167" s="25">
        <f>IF(Campaigns!$Q$167="","",Campaigns!$Q$167)</f>
        <v>0</v>
      </c>
      <c r="CD167" s="23">
        <f>IF(Campaigns!$Y$167="","",Campaigns!$Y$167)</f>
        <v>0</v>
      </c>
      <c r="CE167" s="32">
        <f>IF(CA167="","",IF(N(CB167)&lt;=0,"",N(CB167)+ROW()/1000000))</f>
        <v>0</v>
      </c>
      <c r="CF167" s="17">
        <f>IF(Accounts!$C$167="","",Accounts!$C$167)</f>
        <v>0</v>
      </c>
      <c r="CG167" s="17">
        <f>IF(Accounts!$B$167="","",Accounts!$B$167)</f>
        <v>0</v>
      </c>
      <c r="CH167" s="23">
        <f>IF(Accounts!$J$167="","",Accounts!$J$167)</f>
        <v>0</v>
      </c>
      <c r="CI167" s="23">
        <f>IF(CF167="","",SUMIFS(Analytics!$X$5:$X$154,Analytics!$E$5:$E$154,CF167,Analytics!$B$5:$B$154,"&gt;="&amp;DashStart,Analytics!$B$5:$B$154,"&lt;="&amp;DashEnd))</f>
        <v>0</v>
      </c>
      <c r="CJ167" s="32">
        <f>IF(CH167="","",IF(CH167=0,"",CH167+ROW()/1000000))</f>
        <v>0</v>
      </c>
    </row>
    <row r="168" spans="1:88">
      <c r="A168" s="16">
        <f>IF(ROW()-4&gt;12,"",DATE(PlanYear,ROW()-4,1))</f>
        <v>0</v>
      </c>
      <c r="B168" s="16">
        <f>IF(A168="","",EOMONTH(A168,0))</f>
        <v>0</v>
      </c>
      <c r="C168" s="17">
        <f>IF(A168="","",TEXT(A168,"yyyy-mm"))</f>
        <v>0</v>
      </c>
      <c r="D168" s="17">
        <f>IF(A168="","",TEXT(A168,"mmm"))</f>
        <v>0</v>
      </c>
      <c r="E168" s="23">
        <f>IF(C168="","",COUNTIFS('Content Calendar'!$D$5:$D$604,C168))</f>
        <v>0</v>
      </c>
      <c r="F168" s="23">
        <f>IF(C168="","",COUNTIFS('Content Calendar'!$D$5:$D$604,C168,'Content Calendar'!$X$5:$X$604,"Published"))</f>
        <v>0</v>
      </c>
      <c r="G168" s="23">
        <f>IF(C168="","",SUMIFS(Analytics!$J$5:$J$154,Analytics!$C$5:$C$154,C168))</f>
        <v>0</v>
      </c>
      <c r="H168" s="23">
        <f>IF(C168="","",SUMIFS(Analytics!$K$5:$K$154,Analytics!$C$5:$C$154,C168))</f>
        <v>0</v>
      </c>
      <c r="I168" s="23">
        <f>IF(C168="","",SUMIFS(Analytics!$L$5:$L$154,Analytics!$C$5:$C$154,C168))</f>
        <v>0</v>
      </c>
      <c r="J168" s="24">
        <f>IF(OR(G168="",G168=0),"",I168/G168)</f>
        <v>0</v>
      </c>
      <c r="K168" s="23">
        <f>IF(C168="","",SUMIFS(Analytics!$G$5:$G$154,Analytics!$C$5:$C$154,C168))</f>
        <v>0</v>
      </c>
      <c r="L168" s="23">
        <f>IF(C168="","",SUMIFS(Analytics!$X$5:$X$154,Analytics!$C$5:$C$154,C168))</f>
        <v>0</v>
      </c>
      <c r="M168" s="23">
        <f>IF(C168="","",SUMIFS(Analytics!$R$5:$R$154,Analytics!$C$5:$C$154,C168))</f>
        <v>0</v>
      </c>
      <c r="N168" s="23">
        <f>IF(C168="","",SUMIFS(Analytics!$S$5:$S$154,Analytics!$C$5:$C$154,C168))</f>
        <v>0</v>
      </c>
      <c r="O168" s="23">
        <f>IF(C168="","",SUMIFS(Analytics!$T$5:$T$154,Analytics!$C$5:$C$154,C168))</f>
        <v>0</v>
      </c>
      <c r="P168" s="25">
        <f>IF(C168="","",SUMIFS(Analytics!$U$5:$U$154,Analytics!$C$5:$C$154,C168))</f>
        <v>0</v>
      </c>
      <c r="Q168" s="25">
        <f>IF(C168="","",SUMIFS(Budget!$H$5:$H$64,Budget!$C$5:$C$64,C168))</f>
        <v>0</v>
      </c>
      <c r="R168" s="25">
        <f>IF(C168="","",P168-Q168)</f>
        <v>0</v>
      </c>
      <c r="S168" s="23">
        <f>IF(C168="","",MonthlyPostTarget)</f>
        <v>0</v>
      </c>
      <c r="T168" s="17">
        <f>IF(Lists!$C168="","",Lists!$C168)</f>
        <v>0</v>
      </c>
      <c r="U168" s="23">
        <f>IF(T168="","",COUNTIFS('Content Calendar'!$G$5:$G$604,T168,'Content Calendar'!$B$5:$B$604,"&gt;="&amp;DashStart,'Content Calendar'!$B$5:$B$604,"&lt;="&amp;DashEnd))</f>
        <v>0</v>
      </c>
      <c r="V168" s="23">
        <f>IF(T168="","",COUNTIFS('Content Calendar'!$G$5:$G$604,T168,'Content Calendar'!$X$5:$X$604,"Published",'Content Calendar'!$B$5:$B$604,"&gt;="&amp;DashStart,'Content Calendar'!$B$5:$B$604,"&lt;="&amp;DashEnd))</f>
        <v>0</v>
      </c>
      <c r="W168" s="23">
        <f>IF(T168="","",SUMIFS(Analytics!$J$5:$J$154,Analytics!$D$5:$D$154,T168,Analytics!$B$5:$B$154,"&gt;="&amp;DashStart,Analytics!$B$5:$B$154,"&lt;="&amp;DashEnd))</f>
        <v>0</v>
      </c>
      <c r="X168" s="23">
        <f>IF(T168="","",SUMIFS(Analytics!$L$5:$L$154,Analytics!$D$5:$D$154,T168,Analytics!$B$5:$B$154,"&gt;="&amp;DashStart,Analytics!$B$5:$B$154,"&lt;="&amp;DashEnd))</f>
        <v>0</v>
      </c>
      <c r="Y168" s="24">
        <f>IF(OR(W168="",W168=0),"",X168/W168)</f>
        <v>0</v>
      </c>
      <c r="Z168" s="23">
        <f>IF(T168="","",SUMIFS(Analytics!$G$5:$G$154,Analytics!$D$5:$D$154,T168,Analytics!$B$5:$B$154,"&gt;="&amp;DashStart,Analytics!$B$5:$B$154,"&lt;="&amp;DashEnd))</f>
        <v>0</v>
      </c>
      <c r="AA168" s="23">
        <f>IF(T168="","",SUMIFS(Analytics!$X$5:$X$154,Analytics!$D$5:$D$154,T168,Analytics!$B$5:$B$154,"&gt;="&amp;DashStart,Analytics!$B$5:$B$154,"&lt;="&amp;DashEnd))</f>
        <v>0</v>
      </c>
      <c r="AB168" s="23">
        <f>IF(T168="","",SUMIFS(Analytics!$R$5:$R$154,Analytics!$D$5:$D$154,T168,Analytics!$B$5:$B$154,"&gt;="&amp;DashStart,Analytics!$B$5:$B$154,"&lt;="&amp;DashEnd))</f>
        <v>0</v>
      </c>
      <c r="AC168" s="25">
        <f>IF(T168="","",SUMIFS(Analytics!$U$5:$U$154,Analytics!$D$5:$D$154,T168,Analytics!$B$5:$B$154,"&gt;="&amp;DashStart,Analytics!$B$5:$B$154,"&lt;="&amp;DashEnd))</f>
        <v>0</v>
      </c>
      <c r="AD168" s="23">
        <f>IF(T168="","",COUNTIFS('Content Calendar'!$G$5:$G$604,T168,'Content Calendar'!$B$5:$B$604,"&gt;="&amp;DATE(PlanYear,1,1),'Content Calendar'!$B$5:$B$604,"&lt;="&amp;DATE(PlanYear,12,31)))</f>
        <v>0</v>
      </c>
      <c r="AE168" s="23">
        <f>IF(T168="","",SUMIFS(Analytics!$J$5:$J$154,Analytics!$D$5:$D$154,T168))</f>
        <v>0</v>
      </c>
      <c r="AF168" s="23">
        <f>IF(T168="","",SUMIFS(Analytics!$L$5:$L$154,Analytics!$D$5:$D$154,T168))</f>
        <v>0</v>
      </c>
      <c r="AG168" s="24">
        <f>IF(OR(AE168="",AE168=0),"",AF168/AE168)</f>
        <v>0</v>
      </c>
      <c r="AH168" s="23">
        <f>IF(T168="","",SUMIFS(Analytics!$X$5:$X$154,Analytics!$D$5:$D$154,T168))</f>
        <v>0</v>
      </c>
      <c r="AI168" s="32">
        <f>IF(T168="","",IF(AE168=0,"",AE168+ROW()/1000000))</f>
        <v>0</v>
      </c>
      <c r="AJ168" s="17">
        <f>IF('Content Pillars'!$B$168="","",'Content Pillars'!$B$168)</f>
        <v>0</v>
      </c>
      <c r="AK168" s="23">
        <f>IF(AJ168="","",COUNTIFS('Content Calendar'!$J$5:$J$604,AJ168,'Content Calendar'!$B$5:$B$604,"&gt;="&amp;DATE(PlanYear,1,1),'Content Calendar'!$B$5:$B$604,"&lt;="&amp;DATE(PlanYear,12,31)))</f>
        <v>0</v>
      </c>
      <c r="AL168" s="23">
        <f>IF(AJ168="","",SUMIFS(Performance!$O$5:$O$404,Performance!$H$5:$H$404,AJ168))</f>
        <v>0</v>
      </c>
      <c r="AM168" s="23">
        <f>IF(AJ168="","",SUMIFS(Performance!$Z$5:$Z$404,Performance!$H$5:$H$404,AJ168))</f>
        <v>0</v>
      </c>
      <c r="AN168" s="24">
        <f>IF(OR(AL168="",AL168=0),"",AM168/AL168)</f>
        <v>0</v>
      </c>
      <c r="AO168" s="32">
        <f>IF(AN168="","",AN168+ROW()/1000000)</f>
        <v>0</v>
      </c>
      <c r="AP168" s="17">
        <f>IF(Lists!$E168="","",Lists!$E168)</f>
        <v>0</v>
      </c>
      <c r="AQ168" s="23">
        <f>IF(AP168="","",COUNTIF(Performance!$G$5:$G$404,AP168))</f>
        <v>0</v>
      </c>
      <c r="AR168" s="23">
        <f>IF(AP168="","",SUMIFS(Performance!$O$5:$O$404,Performance!$G$5:$G$404,AP168))</f>
        <v>0</v>
      </c>
      <c r="AS168" s="23">
        <f>IF(AP168="","",SUMIFS(Performance!$Z$5:$Z$404,Performance!$G$5:$G$404,AP168))</f>
        <v>0</v>
      </c>
      <c r="AT168" s="24">
        <f>IF(OR(AR168="",AR168=0),"",AS168/AR168)</f>
        <v>0</v>
      </c>
      <c r="AU168" s="32">
        <f>IF(AQ168=0,"",IF(AT168="","",AT168+ROW()/1000000))</f>
        <v>0</v>
      </c>
      <c r="AV168" s="17">
        <f>IF(ROW()-4&gt;7,"",TEXT(DATE(2024,1,ROW()-4),"ddd"))</f>
        <v>0</v>
      </c>
      <c r="AW168" s="23">
        <f>IF(AV168="","",COUNTIF(Performance!$N$5:$N$404,AV168))</f>
        <v>0</v>
      </c>
      <c r="AX168" s="23">
        <f>IF(AV168="","",SUMIFS(Performance!$O$5:$O$404,Performance!$N$5:$N$404,AV168))</f>
        <v>0</v>
      </c>
      <c r="AY168" s="23">
        <f>IF(AV168="","",SUMIFS(Performance!$Z$5:$Z$404,Performance!$N$5:$N$404,AV168))</f>
        <v>0</v>
      </c>
      <c r="AZ168" s="24">
        <f>IF(OR(AX168="",AX168=0),"",AY168/AX168)</f>
        <v>0</v>
      </c>
      <c r="BA168" s="32">
        <f>IF(AW168=0,"",IF(AZ168="","",AZ168+ROW()/1000000))</f>
        <v>0</v>
      </c>
      <c r="BB168" s="17">
        <f>IF(Lists!$AL168="","",Lists!$AL168)</f>
        <v>0</v>
      </c>
      <c r="BC168" s="23">
        <f>IF(BB168="","",COUNTIF(Performance!$M$5:$M$404,BB168))</f>
        <v>0</v>
      </c>
      <c r="BD168" s="23">
        <f>IF(BB168="","",SUMIFS(Performance!$O$5:$O$404,Performance!$M$5:$M$404,BB168))</f>
        <v>0</v>
      </c>
      <c r="BE168" s="23">
        <f>IF(BB168="","",SUMIFS(Performance!$Z$5:$Z$404,Performance!$M$5:$M$404,BB168))</f>
        <v>0</v>
      </c>
      <c r="BF168" s="24">
        <f>IF(OR(BD168="",BD168=0),"",BE168/BD168)</f>
        <v>0</v>
      </c>
      <c r="BG168" s="32">
        <f>IF(BC168=0,"",IF(BF168="","",BF168+ROW()/1000000))</f>
        <v>0</v>
      </c>
      <c r="BH168" s="17">
        <f>IF(Performance!$C$168="","",Performance!$C$168)</f>
        <v>0</v>
      </c>
      <c r="BI168" s="17">
        <f>IF(Performance!$F$168="","",Performance!$F$168)</f>
        <v>0</v>
      </c>
      <c r="BJ168" s="17">
        <f>IF(Performance!$H$168="","",Performance!$H$168)</f>
        <v>0</v>
      </c>
      <c r="BK168" s="16">
        <f>IF(Performance!$D$168="","",Performance!$D$168)</f>
        <v>0</v>
      </c>
      <c r="BL168" s="17">
        <f>IF(Performance!$E$168="","",Performance!$E$168)</f>
        <v>0</v>
      </c>
      <c r="BM168" s="23">
        <f>IF(Performance!$O$168="","",Performance!$O$168)</f>
        <v>0</v>
      </c>
      <c r="BN168" s="24">
        <f>IF(Performance!$AA$168="","",Performance!$AA$168)</f>
        <v>0</v>
      </c>
      <c r="BO168" s="32">
        <f>IF(BH168="","",IF(BK168="","",IF(OR(BK168&lt;DashStart,BK168&gt;DashEnd),"",IF(BN168="","",BN168+ROW()/1000000))))</f>
        <v>0</v>
      </c>
      <c r="BP168" s="32">
        <f>IF(BM168="","",IF(BK168="","",IF(OR(BK168&lt;DashStart,BK168&gt;DashEnd),"",BM168+ROW()/1000000)))</f>
        <v>0</v>
      </c>
      <c r="BQ168" s="32">
        <f>IF(BH168="","",IF(BK168="","",IF(YEAR(BK168)&lt;&gt;PlanYear,"",IF(BN168="","",BN168+ROW()/1000000))))</f>
        <v>0</v>
      </c>
      <c r="BR168" s="32">
        <f>IF(BH168="","",IF(BK168="","",IF(OR(BK168&lt;RepFrom,BK168&gt;RepTo),"",IF(BN168="","",BN168+ROW()/1000000))))</f>
        <v>0</v>
      </c>
      <c r="BS168" s="32">
        <f>IF(BM168="","",IF(BK168="","",IF(YEAR(BK168)&lt;&gt;PlanYear,"",BM168+ROW()/1000000)))</f>
        <v>0</v>
      </c>
      <c r="BT168" s="17">
        <f>IF(Lists!$F168="","",Lists!$F168)</f>
        <v>0</v>
      </c>
      <c r="BU168" s="23">
        <f>IF(BT168="","",COUNTIF('Content Calendar'!$X$5:$X$604,BT168))</f>
        <v>0</v>
      </c>
      <c r="BV168" s="23">
        <f>IF(BT168="","",COUNTIFS('Content Calendar'!$X$5:$X$604,BT168,'Content Calendar'!$B$5:$B$604,"&gt;="&amp;DashStart,'Content Calendar'!$B$5:$B$604,"&lt;="&amp;DashEnd))</f>
        <v>0</v>
      </c>
      <c r="BW168" s="17">
        <f>IF(Team!$B$168="","",Team!$B$168)</f>
        <v>0</v>
      </c>
      <c r="BX168" s="23">
        <f>IF(BW168="","",COUNTIF('Content Calendar'!$W$5:$W$604,BW168))</f>
        <v>0</v>
      </c>
      <c r="BY168" s="23">
        <f>IF(BW168="","",COUNTIFS('Content Calendar'!$W$5:$W$604,BW168,'Content Calendar'!$X$5:$X$604,"&lt;&gt;Published"))</f>
        <v>0</v>
      </c>
      <c r="BZ168" s="23">
        <f>IF(BW168="","",COUNTIFS(Tasks!$C$5:$C$64,BW168,Tasks!$G$5:$G$64,"&lt;&gt;Complete"))</f>
        <v>0</v>
      </c>
      <c r="CA168" s="17">
        <f>IF(Campaigns!$B$168="","",Campaigns!$B$168)</f>
        <v>0</v>
      </c>
      <c r="CB168" s="25">
        <f>IF(Campaigns!$T$168="","",Campaigns!$T$168)</f>
        <v>0</v>
      </c>
      <c r="CC168" s="25">
        <f>IF(Campaigns!$Q$168="","",Campaigns!$Q$168)</f>
        <v>0</v>
      </c>
      <c r="CD168" s="23">
        <f>IF(Campaigns!$Y$168="","",Campaigns!$Y$168)</f>
        <v>0</v>
      </c>
      <c r="CE168" s="32">
        <f>IF(CA168="","",IF(N(CB168)&lt;=0,"",N(CB168)+ROW()/1000000))</f>
        <v>0</v>
      </c>
      <c r="CF168" s="17">
        <f>IF(Accounts!$C$168="","",Accounts!$C$168)</f>
        <v>0</v>
      </c>
      <c r="CG168" s="17">
        <f>IF(Accounts!$B$168="","",Accounts!$B$168)</f>
        <v>0</v>
      </c>
      <c r="CH168" s="23">
        <f>IF(Accounts!$J$168="","",Accounts!$J$168)</f>
        <v>0</v>
      </c>
      <c r="CI168" s="23">
        <f>IF(CF168="","",SUMIFS(Analytics!$X$5:$X$154,Analytics!$E$5:$E$154,CF168,Analytics!$B$5:$B$154,"&gt;="&amp;DashStart,Analytics!$B$5:$B$154,"&lt;="&amp;DashEnd))</f>
        <v>0</v>
      </c>
      <c r="CJ168" s="32">
        <f>IF(CH168="","",IF(CH168=0,"",CH168+ROW()/1000000))</f>
        <v>0</v>
      </c>
    </row>
    <row r="169" spans="1:88">
      <c r="A169" s="16">
        <f>IF(ROW()-4&gt;12,"",DATE(PlanYear,ROW()-4,1))</f>
        <v>0</v>
      </c>
      <c r="B169" s="16">
        <f>IF(A169="","",EOMONTH(A169,0))</f>
        <v>0</v>
      </c>
      <c r="C169" s="17">
        <f>IF(A169="","",TEXT(A169,"yyyy-mm"))</f>
        <v>0</v>
      </c>
      <c r="D169" s="17">
        <f>IF(A169="","",TEXT(A169,"mmm"))</f>
        <v>0</v>
      </c>
      <c r="E169" s="23">
        <f>IF(C169="","",COUNTIFS('Content Calendar'!$D$5:$D$604,C169))</f>
        <v>0</v>
      </c>
      <c r="F169" s="23">
        <f>IF(C169="","",COUNTIFS('Content Calendar'!$D$5:$D$604,C169,'Content Calendar'!$X$5:$X$604,"Published"))</f>
        <v>0</v>
      </c>
      <c r="G169" s="23">
        <f>IF(C169="","",SUMIFS(Analytics!$J$5:$J$154,Analytics!$C$5:$C$154,C169))</f>
        <v>0</v>
      </c>
      <c r="H169" s="23">
        <f>IF(C169="","",SUMIFS(Analytics!$K$5:$K$154,Analytics!$C$5:$C$154,C169))</f>
        <v>0</v>
      </c>
      <c r="I169" s="23">
        <f>IF(C169="","",SUMIFS(Analytics!$L$5:$L$154,Analytics!$C$5:$C$154,C169))</f>
        <v>0</v>
      </c>
      <c r="J169" s="24">
        <f>IF(OR(G169="",G169=0),"",I169/G169)</f>
        <v>0</v>
      </c>
      <c r="K169" s="23">
        <f>IF(C169="","",SUMIFS(Analytics!$G$5:$G$154,Analytics!$C$5:$C$154,C169))</f>
        <v>0</v>
      </c>
      <c r="L169" s="23">
        <f>IF(C169="","",SUMIFS(Analytics!$X$5:$X$154,Analytics!$C$5:$C$154,C169))</f>
        <v>0</v>
      </c>
      <c r="M169" s="23">
        <f>IF(C169="","",SUMIFS(Analytics!$R$5:$R$154,Analytics!$C$5:$C$154,C169))</f>
        <v>0</v>
      </c>
      <c r="N169" s="23">
        <f>IF(C169="","",SUMIFS(Analytics!$S$5:$S$154,Analytics!$C$5:$C$154,C169))</f>
        <v>0</v>
      </c>
      <c r="O169" s="23">
        <f>IF(C169="","",SUMIFS(Analytics!$T$5:$T$154,Analytics!$C$5:$C$154,C169))</f>
        <v>0</v>
      </c>
      <c r="P169" s="25">
        <f>IF(C169="","",SUMIFS(Analytics!$U$5:$U$154,Analytics!$C$5:$C$154,C169))</f>
        <v>0</v>
      </c>
      <c r="Q169" s="25">
        <f>IF(C169="","",SUMIFS(Budget!$H$5:$H$64,Budget!$C$5:$C$64,C169))</f>
        <v>0</v>
      </c>
      <c r="R169" s="25">
        <f>IF(C169="","",P169-Q169)</f>
        <v>0</v>
      </c>
      <c r="S169" s="23">
        <f>IF(C169="","",MonthlyPostTarget)</f>
        <v>0</v>
      </c>
      <c r="T169" s="17">
        <f>IF(Lists!$C169="","",Lists!$C169)</f>
        <v>0</v>
      </c>
      <c r="U169" s="23">
        <f>IF(T169="","",COUNTIFS('Content Calendar'!$G$5:$G$604,T169,'Content Calendar'!$B$5:$B$604,"&gt;="&amp;DashStart,'Content Calendar'!$B$5:$B$604,"&lt;="&amp;DashEnd))</f>
        <v>0</v>
      </c>
      <c r="V169" s="23">
        <f>IF(T169="","",COUNTIFS('Content Calendar'!$G$5:$G$604,T169,'Content Calendar'!$X$5:$X$604,"Published",'Content Calendar'!$B$5:$B$604,"&gt;="&amp;DashStart,'Content Calendar'!$B$5:$B$604,"&lt;="&amp;DashEnd))</f>
        <v>0</v>
      </c>
      <c r="W169" s="23">
        <f>IF(T169="","",SUMIFS(Analytics!$J$5:$J$154,Analytics!$D$5:$D$154,T169,Analytics!$B$5:$B$154,"&gt;="&amp;DashStart,Analytics!$B$5:$B$154,"&lt;="&amp;DashEnd))</f>
        <v>0</v>
      </c>
      <c r="X169" s="23">
        <f>IF(T169="","",SUMIFS(Analytics!$L$5:$L$154,Analytics!$D$5:$D$154,T169,Analytics!$B$5:$B$154,"&gt;="&amp;DashStart,Analytics!$B$5:$B$154,"&lt;="&amp;DashEnd))</f>
        <v>0</v>
      </c>
      <c r="Y169" s="24">
        <f>IF(OR(W169="",W169=0),"",X169/W169)</f>
        <v>0</v>
      </c>
      <c r="Z169" s="23">
        <f>IF(T169="","",SUMIFS(Analytics!$G$5:$G$154,Analytics!$D$5:$D$154,T169,Analytics!$B$5:$B$154,"&gt;="&amp;DashStart,Analytics!$B$5:$B$154,"&lt;="&amp;DashEnd))</f>
        <v>0</v>
      </c>
      <c r="AA169" s="23">
        <f>IF(T169="","",SUMIFS(Analytics!$X$5:$X$154,Analytics!$D$5:$D$154,T169,Analytics!$B$5:$B$154,"&gt;="&amp;DashStart,Analytics!$B$5:$B$154,"&lt;="&amp;DashEnd))</f>
        <v>0</v>
      </c>
      <c r="AB169" s="23">
        <f>IF(T169="","",SUMIFS(Analytics!$R$5:$R$154,Analytics!$D$5:$D$154,T169,Analytics!$B$5:$B$154,"&gt;="&amp;DashStart,Analytics!$B$5:$B$154,"&lt;="&amp;DashEnd))</f>
        <v>0</v>
      </c>
      <c r="AC169" s="25">
        <f>IF(T169="","",SUMIFS(Analytics!$U$5:$U$154,Analytics!$D$5:$D$154,T169,Analytics!$B$5:$B$154,"&gt;="&amp;DashStart,Analytics!$B$5:$B$154,"&lt;="&amp;DashEnd))</f>
        <v>0</v>
      </c>
      <c r="AD169" s="23">
        <f>IF(T169="","",COUNTIFS('Content Calendar'!$G$5:$G$604,T169,'Content Calendar'!$B$5:$B$604,"&gt;="&amp;DATE(PlanYear,1,1),'Content Calendar'!$B$5:$B$604,"&lt;="&amp;DATE(PlanYear,12,31)))</f>
        <v>0</v>
      </c>
      <c r="AE169" s="23">
        <f>IF(T169="","",SUMIFS(Analytics!$J$5:$J$154,Analytics!$D$5:$D$154,T169))</f>
        <v>0</v>
      </c>
      <c r="AF169" s="23">
        <f>IF(T169="","",SUMIFS(Analytics!$L$5:$L$154,Analytics!$D$5:$D$154,T169))</f>
        <v>0</v>
      </c>
      <c r="AG169" s="24">
        <f>IF(OR(AE169="",AE169=0),"",AF169/AE169)</f>
        <v>0</v>
      </c>
      <c r="AH169" s="23">
        <f>IF(T169="","",SUMIFS(Analytics!$X$5:$X$154,Analytics!$D$5:$D$154,T169))</f>
        <v>0</v>
      </c>
      <c r="AI169" s="32">
        <f>IF(T169="","",IF(AE169=0,"",AE169+ROW()/1000000))</f>
        <v>0</v>
      </c>
      <c r="AJ169" s="17">
        <f>IF('Content Pillars'!$B$169="","",'Content Pillars'!$B$169)</f>
        <v>0</v>
      </c>
      <c r="AK169" s="23">
        <f>IF(AJ169="","",COUNTIFS('Content Calendar'!$J$5:$J$604,AJ169,'Content Calendar'!$B$5:$B$604,"&gt;="&amp;DATE(PlanYear,1,1),'Content Calendar'!$B$5:$B$604,"&lt;="&amp;DATE(PlanYear,12,31)))</f>
        <v>0</v>
      </c>
      <c r="AL169" s="23">
        <f>IF(AJ169="","",SUMIFS(Performance!$O$5:$O$404,Performance!$H$5:$H$404,AJ169))</f>
        <v>0</v>
      </c>
      <c r="AM169" s="23">
        <f>IF(AJ169="","",SUMIFS(Performance!$Z$5:$Z$404,Performance!$H$5:$H$404,AJ169))</f>
        <v>0</v>
      </c>
      <c r="AN169" s="24">
        <f>IF(OR(AL169="",AL169=0),"",AM169/AL169)</f>
        <v>0</v>
      </c>
      <c r="AO169" s="32">
        <f>IF(AN169="","",AN169+ROW()/1000000)</f>
        <v>0</v>
      </c>
      <c r="AP169" s="17">
        <f>IF(Lists!$E169="","",Lists!$E169)</f>
        <v>0</v>
      </c>
      <c r="AQ169" s="23">
        <f>IF(AP169="","",COUNTIF(Performance!$G$5:$G$404,AP169))</f>
        <v>0</v>
      </c>
      <c r="AR169" s="23">
        <f>IF(AP169="","",SUMIFS(Performance!$O$5:$O$404,Performance!$G$5:$G$404,AP169))</f>
        <v>0</v>
      </c>
      <c r="AS169" s="23">
        <f>IF(AP169="","",SUMIFS(Performance!$Z$5:$Z$404,Performance!$G$5:$G$404,AP169))</f>
        <v>0</v>
      </c>
      <c r="AT169" s="24">
        <f>IF(OR(AR169="",AR169=0),"",AS169/AR169)</f>
        <v>0</v>
      </c>
      <c r="AU169" s="32">
        <f>IF(AQ169=0,"",IF(AT169="","",AT169+ROW()/1000000))</f>
        <v>0</v>
      </c>
      <c r="AV169" s="17">
        <f>IF(ROW()-4&gt;7,"",TEXT(DATE(2024,1,ROW()-4),"ddd"))</f>
        <v>0</v>
      </c>
      <c r="AW169" s="23">
        <f>IF(AV169="","",COUNTIF(Performance!$N$5:$N$404,AV169))</f>
        <v>0</v>
      </c>
      <c r="AX169" s="23">
        <f>IF(AV169="","",SUMIFS(Performance!$O$5:$O$404,Performance!$N$5:$N$404,AV169))</f>
        <v>0</v>
      </c>
      <c r="AY169" s="23">
        <f>IF(AV169="","",SUMIFS(Performance!$Z$5:$Z$404,Performance!$N$5:$N$404,AV169))</f>
        <v>0</v>
      </c>
      <c r="AZ169" s="24">
        <f>IF(OR(AX169="",AX169=0),"",AY169/AX169)</f>
        <v>0</v>
      </c>
      <c r="BA169" s="32">
        <f>IF(AW169=0,"",IF(AZ169="","",AZ169+ROW()/1000000))</f>
        <v>0</v>
      </c>
      <c r="BB169" s="17">
        <f>IF(Lists!$AL169="","",Lists!$AL169)</f>
        <v>0</v>
      </c>
      <c r="BC169" s="23">
        <f>IF(BB169="","",COUNTIF(Performance!$M$5:$M$404,BB169))</f>
        <v>0</v>
      </c>
      <c r="BD169" s="23">
        <f>IF(BB169="","",SUMIFS(Performance!$O$5:$O$404,Performance!$M$5:$M$404,BB169))</f>
        <v>0</v>
      </c>
      <c r="BE169" s="23">
        <f>IF(BB169="","",SUMIFS(Performance!$Z$5:$Z$404,Performance!$M$5:$M$404,BB169))</f>
        <v>0</v>
      </c>
      <c r="BF169" s="24">
        <f>IF(OR(BD169="",BD169=0),"",BE169/BD169)</f>
        <v>0</v>
      </c>
      <c r="BG169" s="32">
        <f>IF(BC169=0,"",IF(BF169="","",BF169+ROW()/1000000))</f>
        <v>0</v>
      </c>
      <c r="BH169" s="17">
        <f>IF(Performance!$C$169="","",Performance!$C$169)</f>
        <v>0</v>
      </c>
      <c r="BI169" s="17">
        <f>IF(Performance!$F$169="","",Performance!$F$169)</f>
        <v>0</v>
      </c>
      <c r="BJ169" s="17">
        <f>IF(Performance!$H$169="","",Performance!$H$169)</f>
        <v>0</v>
      </c>
      <c r="BK169" s="16">
        <f>IF(Performance!$D$169="","",Performance!$D$169)</f>
        <v>0</v>
      </c>
      <c r="BL169" s="17">
        <f>IF(Performance!$E$169="","",Performance!$E$169)</f>
        <v>0</v>
      </c>
      <c r="BM169" s="23">
        <f>IF(Performance!$O$169="","",Performance!$O$169)</f>
        <v>0</v>
      </c>
      <c r="BN169" s="24">
        <f>IF(Performance!$AA$169="","",Performance!$AA$169)</f>
        <v>0</v>
      </c>
      <c r="BO169" s="32">
        <f>IF(BH169="","",IF(BK169="","",IF(OR(BK169&lt;DashStart,BK169&gt;DashEnd),"",IF(BN169="","",BN169+ROW()/1000000))))</f>
        <v>0</v>
      </c>
      <c r="BP169" s="32">
        <f>IF(BM169="","",IF(BK169="","",IF(OR(BK169&lt;DashStart,BK169&gt;DashEnd),"",BM169+ROW()/1000000)))</f>
        <v>0</v>
      </c>
      <c r="BQ169" s="32">
        <f>IF(BH169="","",IF(BK169="","",IF(YEAR(BK169)&lt;&gt;PlanYear,"",IF(BN169="","",BN169+ROW()/1000000))))</f>
        <v>0</v>
      </c>
      <c r="BR169" s="32">
        <f>IF(BH169="","",IF(BK169="","",IF(OR(BK169&lt;RepFrom,BK169&gt;RepTo),"",IF(BN169="","",BN169+ROW()/1000000))))</f>
        <v>0</v>
      </c>
      <c r="BS169" s="32">
        <f>IF(BM169="","",IF(BK169="","",IF(YEAR(BK169)&lt;&gt;PlanYear,"",BM169+ROW()/1000000)))</f>
        <v>0</v>
      </c>
      <c r="BT169" s="17">
        <f>IF(Lists!$F169="","",Lists!$F169)</f>
        <v>0</v>
      </c>
      <c r="BU169" s="23">
        <f>IF(BT169="","",COUNTIF('Content Calendar'!$X$5:$X$604,BT169))</f>
        <v>0</v>
      </c>
      <c r="BV169" s="23">
        <f>IF(BT169="","",COUNTIFS('Content Calendar'!$X$5:$X$604,BT169,'Content Calendar'!$B$5:$B$604,"&gt;="&amp;DashStart,'Content Calendar'!$B$5:$B$604,"&lt;="&amp;DashEnd))</f>
        <v>0</v>
      </c>
      <c r="BW169" s="17">
        <f>IF(Team!$B$169="","",Team!$B$169)</f>
        <v>0</v>
      </c>
      <c r="BX169" s="23">
        <f>IF(BW169="","",COUNTIF('Content Calendar'!$W$5:$W$604,BW169))</f>
        <v>0</v>
      </c>
      <c r="BY169" s="23">
        <f>IF(BW169="","",COUNTIFS('Content Calendar'!$W$5:$W$604,BW169,'Content Calendar'!$X$5:$X$604,"&lt;&gt;Published"))</f>
        <v>0</v>
      </c>
      <c r="BZ169" s="23">
        <f>IF(BW169="","",COUNTIFS(Tasks!$C$5:$C$64,BW169,Tasks!$G$5:$G$64,"&lt;&gt;Complete"))</f>
        <v>0</v>
      </c>
      <c r="CA169" s="17">
        <f>IF(Campaigns!$B$169="","",Campaigns!$B$169)</f>
        <v>0</v>
      </c>
      <c r="CB169" s="25">
        <f>IF(Campaigns!$T$169="","",Campaigns!$T$169)</f>
        <v>0</v>
      </c>
      <c r="CC169" s="25">
        <f>IF(Campaigns!$Q$169="","",Campaigns!$Q$169)</f>
        <v>0</v>
      </c>
      <c r="CD169" s="23">
        <f>IF(Campaigns!$Y$169="","",Campaigns!$Y$169)</f>
        <v>0</v>
      </c>
      <c r="CE169" s="32">
        <f>IF(CA169="","",IF(N(CB169)&lt;=0,"",N(CB169)+ROW()/1000000))</f>
        <v>0</v>
      </c>
      <c r="CF169" s="17">
        <f>IF(Accounts!$C$169="","",Accounts!$C$169)</f>
        <v>0</v>
      </c>
      <c r="CG169" s="17">
        <f>IF(Accounts!$B$169="","",Accounts!$B$169)</f>
        <v>0</v>
      </c>
      <c r="CH169" s="23">
        <f>IF(Accounts!$J$169="","",Accounts!$J$169)</f>
        <v>0</v>
      </c>
      <c r="CI169" s="23">
        <f>IF(CF169="","",SUMIFS(Analytics!$X$5:$X$154,Analytics!$E$5:$E$154,CF169,Analytics!$B$5:$B$154,"&gt;="&amp;DashStart,Analytics!$B$5:$B$154,"&lt;="&amp;DashEnd))</f>
        <v>0</v>
      </c>
      <c r="CJ169" s="32">
        <f>IF(CH169="","",IF(CH169=0,"",CH169+ROW()/1000000))</f>
        <v>0</v>
      </c>
    </row>
    <row r="170" spans="1:88">
      <c r="A170" s="16">
        <f>IF(ROW()-4&gt;12,"",DATE(PlanYear,ROW()-4,1))</f>
        <v>0</v>
      </c>
      <c r="B170" s="16">
        <f>IF(A170="","",EOMONTH(A170,0))</f>
        <v>0</v>
      </c>
      <c r="C170" s="17">
        <f>IF(A170="","",TEXT(A170,"yyyy-mm"))</f>
        <v>0</v>
      </c>
      <c r="D170" s="17">
        <f>IF(A170="","",TEXT(A170,"mmm"))</f>
        <v>0</v>
      </c>
      <c r="E170" s="23">
        <f>IF(C170="","",COUNTIFS('Content Calendar'!$D$5:$D$604,C170))</f>
        <v>0</v>
      </c>
      <c r="F170" s="23">
        <f>IF(C170="","",COUNTIFS('Content Calendar'!$D$5:$D$604,C170,'Content Calendar'!$X$5:$X$604,"Published"))</f>
        <v>0</v>
      </c>
      <c r="G170" s="23">
        <f>IF(C170="","",SUMIFS(Analytics!$J$5:$J$154,Analytics!$C$5:$C$154,C170))</f>
        <v>0</v>
      </c>
      <c r="H170" s="23">
        <f>IF(C170="","",SUMIFS(Analytics!$K$5:$K$154,Analytics!$C$5:$C$154,C170))</f>
        <v>0</v>
      </c>
      <c r="I170" s="23">
        <f>IF(C170="","",SUMIFS(Analytics!$L$5:$L$154,Analytics!$C$5:$C$154,C170))</f>
        <v>0</v>
      </c>
      <c r="J170" s="24">
        <f>IF(OR(G170="",G170=0),"",I170/G170)</f>
        <v>0</v>
      </c>
      <c r="K170" s="23">
        <f>IF(C170="","",SUMIFS(Analytics!$G$5:$G$154,Analytics!$C$5:$C$154,C170))</f>
        <v>0</v>
      </c>
      <c r="L170" s="23">
        <f>IF(C170="","",SUMIFS(Analytics!$X$5:$X$154,Analytics!$C$5:$C$154,C170))</f>
        <v>0</v>
      </c>
      <c r="M170" s="23">
        <f>IF(C170="","",SUMIFS(Analytics!$R$5:$R$154,Analytics!$C$5:$C$154,C170))</f>
        <v>0</v>
      </c>
      <c r="N170" s="23">
        <f>IF(C170="","",SUMIFS(Analytics!$S$5:$S$154,Analytics!$C$5:$C$154,C170))</f>
        <v>0</v>
      </c>
      <c r="O170" s="23">
        <f>IF(C170="","",SUMIFS(Analytics!$T$5:$T$154,Analytics!$C$5:$C$154,C170))</f>
        <v>0</v>
      </c>
      <c r="P170" s="25">
        <f>IF(C170="","",SUMIFS(Analytics!$U$5:$U$154,Analytics!$C$5:$C$154,C170))</f>
        <v>0</v>
      </c>
      <c r="Q170" s="25">
        <f>IF(C170="","",SUMIFS(Budget!$H$5:$H$64,Budget!$C$5:$C$64,C170))</f>
        <v>0</v>
      </c>
      <c r="R170" s="25">
        <f>IF(C170="","",P170-Q170)</f>
        <v>0</v>
      </c>
      <c r="S170" s="23">
        <f>IF(C170="","",MonthlyPostTarget)</f>
        <v>0</v>
      </c>
      <c r="T170" s="17">
        <f>IF(Lists!$C170="","",Lists!$C170)</f>
        <v>0</v>
      </c>
      <c r="U170" s="23">
        <f>IF(T170="","",COUNTIFS('Content Calendar'!$G$5:$G$604,T170,'Content Calendar'!$B$5:$B$604,"&gt;="&amp;DashStart,'Content Calendar'!$B$5:$B$604,"&lt;="&amp;DashEnd))</f>
        <v>0</v>
      </c>
      <c r="V170" s="23">
        <f>IF(T170="","",COUNTIFS('Content Calendar'!$G$5:$G$604,T170,'Content Calendar'!$X$5:$X$604,"Published",'Content Calendar'!$B$5:$B$604,"&gt;="&amp;DashStart,'Content Calendar'!$B$5:$B$604,"&lt;="&amp;DashEnd))</f>
        <v>0</v>
      </c>
      <c r="W170" s="23">
        <f>IF(T170="","",SUMIFS(Analytics!$J$5:$J$154,Analytics!$D$5:$D$154,T170,Analytics!$B$5:$B$154,"&gt;="&amp;DashStart,Analytics!$B$5:$B$154,"&lt;="&amp;DashEnd))</f>
        <v>0</v>
      </c>
      <c r="X170" s="23">
        <f>IF(T170="","",SUMIFS(Analytics!$L$5:$L$154,Analytics!$D$5:$D$154,T170,Analytics!$B$5:$B$154,"&gt;="&amp;DashStart,Analytics!$B$5:$B$154,"&lt;="&amp;DashEnd))</f>
        <v>0</v>
      </c>
      <c r="Y170" s="24">
        <f>IF(OR(W170="",W170=0),"",X170/W170)</f>
        <v>0</v>
      </c>
      <c r="Z170" s="23">
        <f>IF(T170="","",SUMIFS(Analytics!$G$5:$G$154,Analytics!$D$5:$D$154,T170,Analytics!$B$5:$B$154,"&gt;="&amp;DashStart,Analytics!$B$5:$B$154,"&lt;="&amp;DashEnd))</f>
        <v>0</v>
      </c>
      <c r="AA170" s="23">
        <f>IF(T170="","",SUMIFS(Analytics!$X$5:$X$154,Analytics!$D$5:$D$154,T170,Analytics!$B$5:$B$154,"&gt;="&amp;DashStart,Analytics!$B$5:$B$154,"&lt;="&amp;DashEnd))</f>
        <v>0</v>
      </c>
      <c r="AB170" s="23">
        <f>IF(T170="","",SUMIFS(Analytics!$R$5:$R$154,Analytics!$D$5:$D$154,T170,Analytics!$B$5:$B$154,"&gt;="&amp;DashStart,Analytics!$B$5:$B$154,"&lt;="&amp;DashEnd))</f>
        <v>0</v>
      </c>
      <c r="AC170" s="25">
        <f>IF(T170="","",SUMIFS(Analytics!$U$5:$U$154,Analytics!$D$5:$D$154,T170,Analytics!$B$5:$B$154,"&gt;="&amp;DashStart,Analytics!$B$5:$B$154,"&lt;="&amp;DashEnd))</f>
        <v>0</v>
      </c>
      <c r="AD170" s="23">
        <f>IF(T170="","",COUNTIFS('Content Calendar'!$G$5:$G$604,T170,'Content Calendar'!$B$5:$B$604,"&gt;="&amp;DATE(PlanYear,1,1),'Content Calendar'!$B$5:$B$604,"&lt;="&amp;DATE(PlanYear,12,31)))</f>
        <v>0</v>
      </c>
      <c r="AE170" s="23">
        <f>IF(T170="","",SUMIFS(Analytics!$J$5:$J$154,Analytics!$D$5:$D$154,T170))</f>
        <v>0</v>
      </c>
      <c r="AF170" s="23">
        <f>IF(T170="","",SUMIFS(Analytics!$L$5:$L$154,Analytics!$D$5:$D$154,T170))</f>
        <v>0</v>
      </c>
      <c r="AG170" s="24">
        <f>IF(OR(AE170="",AE170=0),"",AF170/AE170)</f>
        <v>0</v>
      </c>
      <c r="AH170" s="23">
        <f>IF(T170="","",SUMIFS(Analytics!$X$5:$X$154,Analytics!$D$5:$D$154,T170))</f>
        <v>0</v>
      </c>
      <c r="AI170" s="32">
        <f>IF(T170="","",IF(AE170=0,"",AE170+ROW()/1000000))</f>
        <v>0</v>
      </c>
      <c r="AJ170" s="17">
        <f>IF('Content Pillars'!$B$170="","",'Content Pillars'!$B$170)</f>
        <v>0</v>
      </c>
      <c r="AK170" s="23">
        <f>IF(AJ170="","",COUNTIFS('Content Calendar'!$J$5:$J$604,AJ170,'Content Calendar'!$B$5:$B$604,"&gt;="&amp;DATE(PlanYear,1,1),'Content Calendar'!$B$5:$B$604,"&lt;="&amp;DATE(PlanYear,12,31)))</f>
        <v>0</v>
      </c>
      <c r="AL170" s="23">
        <f>IF(AJ170="","",SUMIFS(Performance!$O$5:$O$404,Performance!$H$5:$H$404,AJ170))</f>
        <v>0</v>
      </c>
      <c r="AM170" s="23">
        <f>IF(AJ170="","",SUMIFS(Performance!$Z$5:$Z$404,Performance!$H$5:$H$404,AJ170))</f>
        <v>0</v>
      </c>
      <c r="AN170" s="24">
        <f>IF(OR(AL170="",AL170=0),"",AM170/AL170)</f>
        <v>0</v>
      </c>
      <c r="AO170" s="32">
        <f>IF(AN170="","",AN170+ROW()/1000000)</f>
        <v>0</v>
      </c>
      <c r="AP170" s="17">
        <f>IF(Lists!$E170="","",Lists!$E170)</f>
        <v>0</v>
      </c>
      <c r="AQ170" s="23">
        <f>IF(AP170="","",COUNTIF(Performance!$G$5:$G$404,AP170))</f>
        <v>0</v>
      </c>
      <c r="AR170" s="23">
        <f>IF(AP170="","",SUMIFS(Performance!$O$5:$O$404,Performance!$G$5:$G$404,AP170))</f>
        <v>0</v>
      </c>
      <c r="AS170" s="23">
        <f>IF(AP170="","",SUMIFS(Performance!$Z$5:$Z$404,Performance!$G$5:$G$404,AP170))</f>
        <v>0</v>
      </c>
      <c r="AT170" s="24">
        <f>IF(OR(AR170="",AR170=0),"",AS170/AR170)</f>
        <v>0</v>
      </c>
      <c r="AU170" s="32">
        <f>IF(AQ170=0,"",IF(AT170="","",AT170+ROW()/1000000))</f>
        <v>0</v>
      </c>
      <c r="AV170" s="17">
        <f>IF(ROW()-4&gt;7,"",TEXT(DATE(2024,1,ROW()-4),"ddd"))</f>
        <v>0</v>
      </c>
      <c r="AW170" s="23">
        <f>IF(AV170="","",COUNTIF(Performance!$N$5:$N$404,AV170))</f>
        <v>0</v>
      </c>
      <c r="AX170" s="23">
        <f>IF(AV170="","",SUMIFS(Performance!$O$5:$O$404,Performance!$N$5:$N$404,AV170))</f>
        <v>0</v>
      </c>
      <c r="AY170" s="23">
        <f>IF(AV170="","",SUMIFS(Performance!$Z$5:$Z$404,Performance!$N$5:$N$404,AV170))</f>
        <v>0</v>
      </c>
      <c r="AZ170" s="24">
        <f>IF(OR(AX170="",AX170=0),"",AY170/AX170)</f>
        <v>0</v>
      </c>
      <c r="BA170" s="32">
        <f>IF(AW170=0,"",IF(AZ170="","",AZ170+ROW()/1000000))</f>
        <v>0</v>
      </c>
      <c r="BB170" s="17">
        <f>IF(Lists!$AL170="","",Lists!$AL170)</f>
        <v>0</v>
      </c>
      <c r="BC170" s="23">
        <f>IF(BB170="","",COUNTIF(Performance!$M$5:$M$404,BB170))</f>
        <v>0</v>
      </c>
      <c r="BD170" s="23">
        <f>IF(BB170="","",SUMIFS(Performance!$O$5:$O$404,Performance!$M$5:$M$404,BB170))</f>
        <v>0</v>
      </c>
      <c r="BE170" s="23">
        <f>IF(BB170="","",SUMIFS(Performance!$Z$5:$Z$404,Performance!$M$5:$M$404,BB170))</f>
        <v>0</v>
      </c>
      <c r="BF170" s="24">
        <f>IF(OR(BD170="",BD170=0),"",BE170/BD170)</f>
        <v>0</v>
      </c>
      <c r="BG170" s="32">
        <f>IF(BC170=0,"",IF(BF170="","",BF170+ROW()/1000000))</f>
        <v>0</v>
      </c>
      <c r="BH170" s="17">
        <f>IF(Performance!$C$170="","",Performance!$C$170)</f>
        <v>0</v>
      </c>
      <c r="BI170" s="17">
        <f>IF(Performance!$F$170="","",Performance!$F$170)</f>
        <v>0</v>
      </c>
      <c r="BJ170" s="17">
        <f>IF(Performance!$H$170="","",Performance!$H$170)</f>
        <v>0</v>
      </c>
      <c r="BK170" s="16">
        <f>IF(Performance!$D$170="","",Performance!$D$170)</f>
        <v>0</v>
      </c>
      <c r="BL170" s="17">
        <f>IF(Performance!$E$170="","",Performance!$E$170)</f>
        <v>0</v>
      </c>
      <c r="BM170" s="23">
        <f>IF(Performance!$O$170="","",Performance!$O$170)</f>
        <v>0</v>
      </c>
      <c r="BN170" s="24">
        <f>IF(Performance!$AA$170="","",Performance!$AA$170)</f>
        <v>0</v>
      </c>
      <c r="BO170" s="32">
        <f>IF(BH170="","",IF(BK170="","",IF(OR(BK170&lt;DashStart,BK170&gt;DashEnd),"",IF(BN170="","",BN170+ROW()/1000000))))</f>
        <v>0</v>
      </c>
      <c r="BP170" s="32">
        <f>IF(BM170="","",IF(BK170="","",IF(OR(BK170&lt;DashStart,BK170&gt;DashEnd),"",BM170+ROW()/1000000)))</f>
        <v>0</v>
      </c>
      <c r="BQ170" s="32">
        <f>IF(BH170="","",IF(BK170="","",IF(YEAR(BK170)&lt;&gt;PlanYear,"",IF(BN170="","",BN170+ROW()/1000000))))</f>
        <v>0</v>
      </c>
      <c r="BR170" s="32">
        <f>IF(BH170="","",IF(BK170="","",IF(OR(BK170&lt;RepFrom,BK170&gt;RepTo),"",IF(BN170="","",BN170+ROW()/1000000))))</f>
        <v>0</v>
      </c>
      <c r="BS170" s="32">
        <f>IF(BM170="","",IF(BK170="","",IF(YEAR(BK170)&lt;&gt;PlanYear,"",BM170+ROW()/1000000)))</f>
        <v>0</v>
      </c>
      <c r="BT170" s="17">
        <f>IF(Lists!$F170="","",Lists!$F170)</f>
        <v>0</v>
      </c>
      <c r="BU170" s="23">
        <f>IF(BT170="","",COUNTIF('Content Calendar'!$X$5:$X$604,BT170))</f>
        <v>0</v>
      </c>
      <c r="BV170" s="23">
        <f>IF(BT170="","",COUNTIFS('Content Calendar'!$X$5:$X$604,BT170,'Content Calendar'!$B$5:$B$604,"&gt;="&amp;DashStart,'Content Calendar'!$B$5:$B$604,"&lt;="&amp;DashEnd))</f>
        <v>0</v>
      </c>
      <c r="BW170" s="17">
        <f>IF(Team!$B$170="","",Team!$B$170)</f>
        <v>0</v>
      </c>
      <c r="BX170" s="23">
        <f>IF(BW170="","",COUNTIF('Content Calendar'!$W$5:$W$604,BW170))</f>
        <v>0</v>
      </c>
      <c r="BY170" s="23">
        <f>IF(BW170="","",COUNTIFS('Content Calendar'!$W$5:$W$604,BW170,'Content Calendar'!$X$5:$X$604,"&lt;&gt;Published"))</f>
        <v>0</v>
      </c>
      <c r="BZ170" s="23">
        <f>IF(BW170="","",COUNTIFS(Tasks!$C$5:$C$64,BW170,Tasks!$G$5:$G$64,"&lt;&gt;Complete"))</f>
        <v>0</v>
      </c>
      <c r="CA170" s="17">
        <f>IF(Campaigns!$B$170="","",Campaigns!$B$170)</f>
        <v>0</v>
      </c>
      <c r="CB170" s="25">
        <f>IF(Campaigns!$T$170="","",Campaigns!$T$170)</f>
        <v>0</v>
      </c>
      <c r="CC170" s="25">
        <f>IF(Campaigns!$Q$170="","",Campaigns!$Q$170)</f>
        <v>0</v>
      </c>
      <c r="CD170" s="23">
        <f>IF(Campaigns!$Y$170="","",Campaigns!$Y$170)</f>
        <v>0</v>
      </c>
      <c r="CE170" s="32">
        <f>IF(CA170="","",IF(N(CB170)&lt;=0,"",N(CB170)+ROW()/1000000))</f>
        <v>0</v>
      </c>
      <c r="CF170" s="17">
        <f>IF(Accounts!$C$170="","",Accounts!$C$170)</f>
        <v>0</v>
      </c>
      <c r="CG170" s="17">
        <f>IF(Accounts!$B$170="","",Accounts!$B$170)</f>
        <v>0</v>
      </c>
      <c r="CH170" s="23">
        <f>IF(Accounts!$J$170="","",Accounts!$J$170)</f>
        <v>0</v>
      </c>
      <c r="CI170" s="23">
        <f>IF(CF170="","",SUMIFS(Analytics!$X$5:$X$154,Analytics!$E$5:$E$154,CF170,Analytics!$B$5:$B$154,"&gt;="&amp;DashStart,Analytics!$B$5:$B$154,"&lt;="&amp;DashEnd))</f>
        <v>0</v>
      </c>
      <c r="CJ170" s="32">
        <f>IF(CH170="","",IF(CH170=0,"",CH170+ROW()/1000000))</f>
        <v>0</v>
      </c>
    </row>
    <row r="171" spans="1:88">
      <c r="A171" s="16">
        <f>IF(ROW()-4&gt;12,"",DATE(PlanYear,ROW()-4,1))</f>
        <v>0</v>
      </c>
      <c r="B171" s="16">
        <f>IF(A171="","",EOMONTH(A171,0))</f>
        <v>0</v>
      </c>
      <c r="C171" s="17">
        <f>IF(A171="","",TEXT(A171,"yyyy-mm"))</f>
        <v>0</v>
      </c>
      <c r="D171" s="17">
        <f>IF(A171="","",TEXT(A171,"mmm"))</f>
        <v>0</v>
      </c>
      <c r="E171" s="23">
        <f>IF(C171="","",COUNTIFS('Content Calendar'!$D$5:$D$604,C171))</f>
        <v>0</v>
      </c>
      <c r="F171" s="23">
        <f>IF(C171="","",COUNTIFS('Content Calendar'!$D$5:$D$604,C171,'Content Calendar'!$X$5:$X$604,"Published"))</f>
        <v>0</v>
      </c>
      <c r="G171" s="23">
        <f>IF(C171="","",SUMIFS(Analytics!$J$5:$J$154,Analytics!$C$5:$C$154,C171))</f>
        <v>0</v>
      </c>
      <c r="H171" s="23">
        <f>IF(C171="","",SUMIFS(Analytics!$K$5:$K$154,Analytics!$C$5:$C$154,C171))</f>
        <v>0</v>
      </c>
      <c r="I171" s="23">
        <f>IF(C171="","",SUMIFS(Analytics!$L$5:$L$154,Analytics!$C$5:$C$154,C171))</f>
        <v>0</v>
      </c>
      <c r="J171" s="24">
        <f>IF(OR(G171="",G171=0),"",I171/G171)</f>
        <v>0</v>
      </c>
      <c r="K171" s="23">
        <f>IF(C171="","",SUMIFS(Analytics!$G$5:$G$154,Analytics!$C$5:$C$154,C171))</f>
        <v>0</v>
      </c>
      <c r="L171" s="23">
        <f>IF(C171="","",SUMIFS(Analytics!$X$5:$X$154,Analytics!$C$5:$C$154,C171))</f>
        <v>0</v>
      </c>
      <c r="M171" s="23">
        <f>IF(C171="","",SUMIFS(Analytics!$R$5:$R$154,Analytics!$C$5:$C$154,C171))</f>
        <v>0</v>
      </c>
      <c r="N171" s="23">
        <f>IF(C171="","",SUMIFS(Analytics!$S$5:$S$154,Analytics!$C$5:$C$154,C171))</f>
        <v>0</v>
      </c>
      <c r="O171" s="23">
        <f>IF(C171="","",SUMIFS(Analytics!$T$5:$T$154,Analytics!$C$5:$C$154,C171))</f>
        <v>0</v>
      </c>
      <c r="P171" s="25">
        <f>IF(C171="","",SUMIFS(Analytics!$U$5:$U$154,Analytics!$C$5:$C$154,C171))</f>
        <v>0</v>
      </c>
      <c r="Q171" s="25">
        <f>IF(C171="","",SUMIFS(Budget!$H$5:$H$64,Budget!$C$5:$C$64,C171))</f>
        <v>0</v>
      </c>
      <c r="R171" s="25">
        <f>IF(C171="","",P171-Q171)</f>
        <v>0</v>
      </c>
      <c r="S171" s="23">
        <f>IF(C171="","",MonthlyPostTarget)</f>
        <v>0</v>
      </c>
      <c r="T171" s="17">
        <f>IF(Lists!$C171="","",Lists!$C171)</f>
        <v>0</v>
      </c>
      <c r="U171" s="23">
        <f>IF(T171="","",COUNTIFS('Content Calendar'!$G$5:$G$604,T171,'Content Calendar'!$B$5:$B$604,"&gt;="&amp;DashStart,'Content Calendar'!$B$5:$B$604,"&lt;="&amp;DashEnd))</f>
        <v>0</v>
      </c>
      <c r="V171" s="23">
        <f>IF(T171="","",COUNTIFS('Content Calendar'!$G$5:$G$604,T171,'Content Calendar'!$X$5:$X$604,"Published",'Content Calendar'!$B$5:$B$604,"&gt;="&amp;DashStart,'Content Calendar'!$B$5:$B$604,"&lt;="&amp;DashEnd))</f>
        <v>0</v>
      </c>
      <c r="W171" s="23">
        <f>IF(T171="","",SUMIFS(Analytics!$J$5:$J$154,Analytics!$D$5:$D$154,T171,Analytics!$B$5:$B$154,"&gt;="&amp;DashStart,Analytics!$B$5:$B$154,"&lt;="&amp;DashEnd))</f>
        <v>0</v>
      </c>
      <c r="X171" s="23">
        <f>IF(T171="","",SUMIFS(Analytics!$L$5:$L$154,Analytics!$D$5:$D$154,T171,Analytics!$B$5:$B$154,"&gt;="&amp;DashStart,Analytics!$B$5:$B$154,"&lt;="&amp;DashEnd))</f>
        <v>0</v>
      </c>
      <c r="Y171" s="24">
        <f>IF(OR(W171="",W171=0),"",X171/W171)</f>
        <v>0</v>
      </c>
      <c r="Z171" s="23">
        <f>IF(T171="","",SUMIFS(Analytics!$G$5:$G$154,Analytics!$D$5:$D$154,T171,Analytics!$B$5:$B$154,"&gt;="&amp;DashStart,Analytics!$B$5:$B$154,"&lt;="&amp;DashEnd))</f>
        <v>0</v>
      </c>
      <c r="AA171" s="23">
        <f>IF(T171="","",SUMIFS(Analytics!$X$5:$X$154,Analytics!$D$5:$D$154,T171,Analytics!$B$5:$B$154,"&gt;="&amp;DashStart,Analytics!$B$5:$B$154,"&lt;="&amp;DashEnd))</f>
        <v>0</v>
      </c>
      <c r="AB171" s="23">
        <f>IF(T171="","",SUMIFS(Analytics!$R$5:$R$154,Analytics!$D$5:$D$154,T171,Analytics!$B$5:$B$154,"&gt;="&amp;DashStart,Analytics!$B$5:$B$154,"&lt;="&amp;DashEnd))</f>
        <v>0</v>
      </c>
      <c r="AC171" s="25">
        <f>IF(T171="","",SUMIFS(Analytics!$U$5:$U$154,Analytics!$D$5:$D$154,T171,Analytics!$B$5:$B$154,"&gt;="&amp;DashStart,Analytics!$B$5:$B$154,"&lt;="&amp;DashEnd))</f>
        <v>0</v>
      </c>
      <c r="AD171" s="23">
        <f>IF(T171="","",COUNTIFS('Content Calendar'!$G$5:$G$604,T171,'Content Calendar'!$B$5:$B$604,"&gt;="&amp;DATE(PlanYear,1,1),'Content Calendar'!$B$5:$B$604,"&lt;="&amp;DATE(PlanYear,12,31)))</f>
        <v>0</v>
      </c>
      <c r="AE171" s="23">
        <f>IF(T171="","",SUMIFS(Analytics!$J$5:$J$154,Analytics!$D$5:$D$154,T171))</f>
        <v>0</v>
      </c>
      <c r="AF171" s="23">
        <f>IF(T171="","",SUMIFS(Analytics!$L$5:$L$154,Analytics!$D$5:$D$154,T171))</f>
        <v>0</v>
      </c>
      <c r="AG171" s="24">
        <f>IF(OR(AE171="",AE171=0),"",AF171/AE171)</f>
        <v>0</v>
      </c>
      <c r="AH171" s="23">
        <f>IF(T171="","",SUMIFS(Analytics!$X$5:$X$154,Analytics!$D$5:$D$154,T171))</f>
        <v>0</v>
      </c>
      <c r="AI171" s="32">
        <f>IF(T171="","",IF(AE171=0,"",AE171+ROW()/1000000))</f>
        <v>0</v>
      </c>
      <c r="AJ171" s="17">
        <f>IF('Content Pillars'!$B$171="","",'Content Pillars'!$B$171)</f>
        <v>0</v>
      </c>
      <c r="AK171" s="23">
        <f>IF(AJ171="","",COUNTIFS('Content Calendar'!$J$5:$J$604,AJ171,'Content Calendar'!$B$5:$B$604,"&gt;="&amp;DATE(PlanYear,1,1),'Content Calendar'!$B$5:$B$604,"&lt;="&amp;DATE(PlanYear,12,31)))</f>
        <v>0</v>
      </c>
      <c r="AL171" s="23">
        <f>IF(AJ171="","",SUMIFS(Performance!$O$5:$O$404,Performance!$H$5:$H$404,AJ171))</f>
        <v>0</v>
      </c>
      <c r="AM171" s="23">
        <f>IF(AJ171="","",SUMIFS(Performance!$Z$5:$Z$404,Performance!$H$5:$H$404,AJ171))</f>
        <v>0</v>
      </c>
      <c r="AN171" s="24">
        <f>IF(OR(AL171="",AL171=0),"",AM171/AL171)</f>
        <v>0</v>
      </c>
      <c r="AO171" s="32">
        <f>IF(AN171="","",AN171+ROW()/1000000)</f>
        <v>0</v>
      </c>
      <c r="AP171" s="17">
        <f>IF(Lists!$E171="","",Lists!$E171)</f>
        <v>0</v>
      </c>
      <c r="AQ171" s="23">
        <f>IF(AP171="","",COUNTIF(Performance!$G$5:$G$404,AP171))</f>
        <v>0</v>
      </c>
      <c r="AR171" s="23">
        <f>IF(AP171="","",SUMIFS(Performance!$O$5:$O$404,Performance!$G$5:$G$404,AP171))</f>
        <v>0</v>
      </c>
      <c r="AS171" s="23">
        <f>IF(AP171="","",SUMIFS(Performance!$Z$5:$Z$404,Performance!$G$5:$G$404,AP171))</f>
        <v>0</v>
      </c>
      <c r="AT171" s="24">
        <f>IF(OR(AR171="",AR171=0),"",AS171/AR171)</f>
        <v>0</v>
      </c>
      <c r="AU171" s="32">
        <f>IF(AQ171=0,"",IF(AT171="","",AT171+ROW()/1000000))</f>
        <v>0</v>
      </c>
      <c r="AV171" s="17">
        <f>IF(ROW()-4&gt;7,"",TEXT(DATE(2024,1,ROW()-4),"ddd"))</f>
        <v>0</v>
      </c>
      <c r="AW171" s="23">
        <f>IF(AV171="","",COUNTIF(Performance!$N$5:$N$404,AV171))</f>
        <v>0</v>
      </c>
      <c r="AX171" s="23">
        <f>IF(AV171="","",SUMIFS(Performance!$O$5:$O$404,Performance!$N$5:$N$404,AV171))</f>
        <v>0</v>
      </c>
      <c r="AY171" s="23">
        <f>IF(AV171="","",SUMIFS(Performance!$Z$5:$Z$404,Performance!$N$5:$N$404,AV171))</f>
        <v>0</v>
      </c>
      <c r="AZ171" s="24">
        <f>IF(OR(AX171="",AX171=0),"",AY171/AX171)</f>
        <v>0</v>
      </c>
      <c r="BA171" s="32">
        <f>IF(AW171=0,"",IF(AZ171="","",AZ171+ROW()/1000000))</f>
        <v>0</v>
      </c>
      <c r="BB171" s="17">
        <f>IF(Lists!$AL171="","",Lists!$AL171)</f>
        <v>0</v>
      </c>
      <c r="BC171" s="23">
        <f>IF(BB171="","",COUNTIF(Performance!$M$5:$M$404,BB171))</f>
        <v>0</v>
      </c>
      <c r="BD171" s="23">
        <f>IF(BB171="","",SUMIFS(Performance!$O$5:$O$404,Performance!$M$5:$M$404,BB171))</f>
        <v>0</v>
      </c>
      <c r="BE171" s="23">
        <f>IF(BB171="","",SUMIFS(Performance!$Z$5:$Z$404,Performance!$M$5:$M$404,BB171))</f>
        <v>0</v>
      </c>
      <c r="BF171" s="24">
        <f>IF(OR(BD171="",BD171=0),"",BE171/BD171)</f>
        <v>0</v>
      </c>
      <c r="BG171" s="32">
        <f>IF(BC171=0,"",IF(BF171="","",BF171+ROW()/1000000))</f>
        <v>0</v>
      </c>
      <c r="BH171" s="17">
        <f>IF(Performance!$C$171="","",Performance!$C$171)</f>
        <v>0</v>
      </c>
      <c r="BI171" s="17">
        <f>IF(Performance!$F$171="","",Performance!$F$171)</f>
        <v>0</v>
      </c>
      <c r="BJ171" s="17">
        <f>IF(Performance!$H$171="","",Performance!$H$171)</f>
        <v>0</v>
      </c>
      <c r="BK171" s="16">
        <f>IF(Performance!$D$171="","",Performance!$D$171)</f>
        <v>0</v>
      </c>
      <c r="BL171" s="17">
        <f>IF(Performance!$E$171="","",Performance!$E$171)</f>
        <v>0</v>
      </c>
      <c r="BM171" s="23">
        <f>IF(Performance!$O$171="","",Performance!$O$171)</f>
        <v>0</v>
      </c>
      <c r="BN171" s="24">
        <f>IF(Performance!$AA$171="","",Performance!$AA$171)</f>
        <v>0</v>
      </c>
      <c r="BO171" s="32">
        <f>IF(BH171="","",IF(BK171="","",IF(OR(BK171&lt;DashStart,BK171&gt;DashEnd),"",IF(BN171="","",BN171+ROW()/1000000))))</f>
        <v>0</v>
      </c>
      <c r="BP171" s="32">
        <f>IF(BM171="","",IF(BK171="","",IF(OR(BK171&lt;DashStart,BK171&gt;DashEnd),"",BM171+ROW()/1000000)))</f>
        <v>0</v>
      </c>
      <c r="BQ171" s="32">
        <f>IF(BH171="","",IF(BK171="","",IF(YEAR(BK171)&lt;&gt;PlanYear,"",IF(BN171="","",BN171+ROW()/1000000))))</f>
        <v>0</v>
      </c>
      <c r="BR171" s="32">
        <f>IF(BH171="","",IF(BK171="","",IF(OR(BK171&lt;RepFrom,BK171&gt;RepTo),"",IF(BN171="","",BN171+ROW()/1000000))))</f>
        <v>0</v>
      </c>
      <c r="BS171" s="32">
        <f>IF(BM171="","",IF(BK171="","",IF(YEAR(BK171)&lt;&gt;PlanYear,"",BM171+ROW()/1000000)))</f>
        <v>0</v>
      </c>
      <c r="BT171" s="17">
        <f>IF(Lists!$F171="","",Lists!$F171)</f>
        <v>0</v>
      </c>
      <c r="BU171" s="23">
        <f>IF(BT171="","",COUNTIF('Content Calendar'!$X$5:$X$604,BT171))</f>
        <v>0</v>
      </c>
      <c r="BV171" s="23">
        <f>IF(BT171="","",COUNTIFS('Content Calendar'!$X$5:$X$604,BT171,'Content Calendar'!$B$5:$B$604,"&gt;="&amp;DashStart,'Content Calendar'!$B$5:$B$604,"&lt;="&amp;DashEnd))</f>
        <v>0</v>
      </c>
      <c r="BW171" s="17">
        <f>IF(Team!$B$171="","",Team!$B$171)</f>
        <v>0</v>
      </c>
      <c r="BX171" s="23">
        <f>IF(BW171="","",COUNTIF('Content Calendar'!$W$5:$W$604,BW171))</f>
        <v>0</v>
      </c>
      <c r="BY171" s="23">
        <f>IF(BW171="","",COUNTIFS('Content Calendar'!$W$5:$W$604,BW171,'Content Calendar'!$X$5:$X$604,"&lt;&gt;Published"))</f>
        <v>0</v>
      </c>
      <c r="BZ171" s="23">
        <f>IF(BW171="","",COUNTIFS(Tasks!$C$5:$C$64,BW171,Tasks!$G$5:$G$64,"&lt;&gt;Complete"))</f>
        <v>0</v>
      </c>
      <c r="CA171" s="17">
        <f>IF(Campaigns!$B$171="","",Campaigns!$B$171)</f>
        <v>0</v>
      </c>
      <c r="CB171" s="25">
        <f>IF(Campaigns!$T$171="","",Campaigns!$T$171)</f>
        <v>0</v>
      </c>
      <c r="CC171" s="25">
        <f>IF(Campaigns!$Q$171="","",Campaigns!$Q$171)</f>
        <v>0</v>
      </c>
      <c r="CD171" s="23">
        <f>IF(Campaigns!$Y$171="","",Campaigns!$Y$171)</f>
        <v>0</v>
      </c>
      <c r="CE171" s="32">
        <f>IF(CA171="","",IF(N(CB171)&lt;=0,"",N(CB171)+ROW()/1000000))</f>
        <v>0</v>
      </c>
      <c r="CF171" s="17">
        <f>IF(Accounts!$C$171="","",Accounts!$C$171)</f>
        <v>0</v>
      </c>
      <c r="CG171" s="17">
        <f>IF(Accounts!$B$171="","",Accounts!$B$171)</f>
        <v>0</v>
      </c>
      <c r="CH171" s="23">
        <f>IF(Accounts!$J$171="","",Accounts!$J$171)</f>
        <v>0</v>
      </c>
      <c r="CI171" s="23">
        <f>IF(CF171="","",SUMIFS(Analytics!$X$5:$X$154,Analytics!$E$5:$E$154,CF171,Analytics!$B$5:$B$154,"&gt;="&amp;DashStart,Analytics!$B$5:$B$154,"&lt;="&amp;DashEnd))</f>
        <v>0</v>
      </c>
      <c r="CJ171" s="32">
        <f>IF(CH171="","",IF(CH171=0,"",CH171+ROW()/1000000))</f>
        <v>0</v>
      </c>
    </row>
    <row r="172" spans="1:88">
      <c r="A172" s="16">
        <f>IF(ROW()-4&gt;12,"",DATE(PlanYear,ROW()-4,1))</f>
        <v>0</v>
      </c>
      <c r="B172" s="16">
        <f>IF(A172="","",EOMONTH(A172,0))</f>
        <v>0</v>
      </c>
      <c r="C172" s="17">
        <f>IF(A172="","",TEXT(A172,"yyyy-mm"))</f>
        <v>0</v>
      </c>
      <c r="D172" s="17">
        <f>IF(A172="","",TEXT(A172,"mmm"))</f>
        <v>0</v>
      </c>
      <c r="E172" s="23">
        <f>IF(C172="","",COUNTIFS('Content Calendar'!$D$5:$D$604,C172))</f>
        <v>0</v>
      </c>
      <c r="F172" s="23">
        <f>IF(C172="","",COUNTIFS('Content Calendar'!$D$5:$D$604,C172,'Content Calendar'!$X$5:$X$604,"Published"))</f>
        <v>0</v>
      </c>
      <c r="G172" s="23">
        <f>IF(C172="","",SUMIFS(Analytics!$J$5:$J$154,Analytics!$C$5:$C$154,C172))</f>
        <v>0</v>
      </c>
      <c r="H172" s="23">
        <f>IF(C172="","",SUMIFS(Analytics!$K$5:$K$154,Analytics!$C$5:$C$154,C172))</f>
        <v>0</v>
      </c>
      <c r="I172" s="23">
        <f>IF(C172="","",SUMIFS(Analytics!$L$5:$L$154,Analytics!$C$5:$C$154,C172))</f>
        <v>0</v>
      </c>
      <c r="J172" s="24">
        <f>IF(OR(G172="",G172=0),"",I172/G172)</f>
        <v>0</v>
      </c>
      <c r="K172" s="23">
        <f>IF(C172="","",SUMIFS(Analytics!$G$5:$G$154,Analytics!$C$5:$C$154,C172))</f>
        <v>0</v>
      </c>
      <c r="L172" s="23">
        <f>IF(C172="","",SUMIFS(Analytics!$X$5:$X$154,Analytics!$C$5:$C$154,C172))</f>
        <v>0</v>
      </c>
      <c r="M172" s="23">
        <f>IF(C172="","",SUMIFS(Analytics!$R$5:$R$154,Analytics!$C$5:$C$154,C172))</f>
        <v>0</v>
      </c>
      <c r="N172" s="23">
        <f>IF(C172="","",SUMIFS(Analytics!$S$5:$S$154,Analytics!$C$5:$C$154,C172))</f>
        <v>0</v>
      </c>
      <c r="O172" s="23">
        <f>IF(C172="","",SUMIFS(Analytics!$T$5:$T$154,Analytics!$C$5:$C$154,C172))</f>
        <v>0</v>
      </c>
      <c r="P172" s="25">
        <f>IF(C172="","",SUMIFS(Analytics!$U$5:$U$154,Analytics!$C$5:$C$154,C172))</f>
        <v>0</v>
      </c>
      <c r="Q172" s="25">
        <f>IF(C172="","",SUMIFS(Budget!$H$5:$H$64,Budget!$C$5:$C$64,C172))</f>
        <v>0</v>
      </c>
      <c r="R172" s="25">
        <f>IF(C172="","",P172-Q172)</f>
        <v>0</v>
      </c>
      <c r="S172" s="23">
        <f>IF(C172="","",MonthlyPostTarget)</f>
        <v>0</v>
      </c>
      <c r="T172" s="17">
        <f>IF(Lists!$C172="","",Lists!$C172)</f>
        <v>0</v>
      </c>
      <c r="U172" s="23">
        <f>IF(T172="","",COUNTIFS('Content Calendar'!$G$5:$G$604,T172,'Content Calendar'!$B$5:$B$604,"&gt;="&amp;DashStart,'Content Calendar'!$B$5:$B$604,"&lt;="&amp;DashEnd))</f>
        <v>0</v>
      </c>
      <c r="V172" s="23">
        <f>IF(T172="","",COUNTIFS('Content Calendar'!$G$5:$G$604,T172,'Content Calendar'!$X$5:$X$604,"Published",'Content Calendar'!$B$5:$B$604,"&gt;="&amp;DashStart,'Content Calendar'!$B$5:$B$604,"&lt;="&amp;DashEnd))</f>
        <v>0</v>
      </c>
      <c r="W172" s="23">
        <f>IF(T172="","",SUMIFS(Analytics!$J$5:$J$154,Analytics!$D$5:$D$154,T172,Analytics!$B$5:$B$154,"&gt;="&amp;DashStart,Analytics!$B$5:$B$154,"&lt;="&amp;DashEnd))</f>
        <v>0</v>
      </c>
      <c r="X172" s="23">
        <f>IF(T172="","",SUMIFS(Analytics!$L$5:$L$154,Analytics!$D$5:$D$154,T172,Analytics!$B$5:$B$154,"&gt;="&amp;DashStart,Analytics!$B$5:$B$154,"&lt;="&amp;DashEnd))</f>
        <v>0</v>
      </c>
      <c r="Y172" s="24">
        <f>IF(OR(W172="",W172=0),"",X172/W172)</f>
        <v>0</v>
      </c>
      <c r="Z172" s="23">
        <f>IF(T172="","",SUMIFS(Analytics!$G$5:$G$154,Analytics!$D$5:$D$154,T172,Analytics!$B$5:$B$154,"&gt;="&amp;DashStart,Analytics!$B$5:$B$154,"&lt;="&amp;DashEnd))</f>
        <v>0</v>
      </c>
      <c r="AA172" s="23">
        <f>IF(T172="","",SUMIFS(Analytics!$X$5:$X$154,Analytics!$D$5:$D$154,T172,Analytics!$B$5:$B$154,"&gt;="&amp;DashStart,Analytics!$B$5:$B$154,"&lt;="&amp;DashEnd))</f>
        <v>0</v>
      </c>
      <c r="AB172" s="23">
        <f>IF(T172="","",SUMIFS(Analytics!$R$5:$R$154,Analytics!$D$5:$D$154,T172,Analytics!$B$5:$B$154,"&gt;="&amp;DashStart,Analytics!$B$5:$B$154,"&lt;="&amp;DashEnd))</f>
        <v>0</v>
      </c>
      <c r="AC172" s="25">
        <f>IF(T172="","",SUMIFS(Analytics!$U$5:$U$154,Analytics!$D$5:$D$154,T172,Analytics!$B$5:$B$154,"&gt;="&amp;DashStart,Analytics!$B$5:$B$154,"&lt;="&amp;DashEnd))</f>
        <v>0</v>
      </c>
      <c r="AD172" s="23">
        <f>IF(T172="","",COUNTIFS('Content Calendar'!$G$5:$G$604,T172,'Content Calendar'!$B$5:$B$604,"&gt;="&amp;DATE(PlanYear,1,1),'Content Calendar'!$B$5:$B$604,"&lt;="&amp;DATE(PlanYear,12,31)))</f>
        <v>0</v>
      </c>
      <c r="AE172" s="23">
        <f>IF(T172="","",SUMIFS(Analytics!$J$5:$J$154,Analytics!$D$5:$D$154,T172))</f>
        <v>0</v>
      </c>
      <c r="AF172" s="23">
        <f>IF(T172="","",SUMIFS(Analytics!$L$5:$L$154,Analytics!$D$5:$D$154,T172))</f>
        <v>0</v>
      </c>
      <c r="AG172" s="24">
        <f>IF(OR(AE172="",AE172=0),"",AF172/AE172)</f>
        <v>0</v>
      </c>
      <c r="AH172" s="23">
        <f>IF(T172="","",SUMIFS(Analytics!$X$5:$X$154,Analytics!$D$5:$D$154,T172))</f>
        <v>0</v>
      </c>
      <c r="AI172" s="32">
        <f>IF(T172="","",IF(AE172=0,"",AE172+ROW()/1000000))</f>
        <v>0</v>
      </c>
      <c r="AJ172" s="17">
        <f>IF('Content Pillars'!$B$172="","",'Content Pillars'!$B$172)</f>
        <v>0</v>
      </c>
      <c r="AK172" s="23">
        <f>IF(AJ172="","",COUNTIFS('Content Calendar'!$J$5:$J$604,AJ172,'Content Calendar'!$B$5:$B$604,"&gt;="&amp;DATE(PlanYear,1,1),'Content Calendar'!$B$5:$B$604,"&lt;="&amp;DATE(PlanYear,12,31)))</f>
        <v>0</v>
      </c>
      <c r="AL172" s="23">
        <f>IF(AJ172="","",SUMIFS(Performance!$O$5:$O$404,Performance!$H$5:$H$404,AJ172))</f>
        <v>0</v>
      </c>
      <c r="AM172" s="23">
        <f>IF(AJ172="","",SUMIFS(Performance!$Z$5:$Z$404,Performance!$H$5:$H$404,AJ172))</f>
        <v>0</v>
      </c>
      <c r="AN172" s="24">
        <f>IF(OR(AL172="",AL172=0),"",AM172/AL172)</f>
        <v>0</v>
      </c>
      <c r="AO172" s="32">
        <f>IF(AN172="","",AN172+ROW()/1000000)</f>
        <v>0</v>
      </c>
      <c r="AP172" s="17">
        <f>IF(Lists!$E172="","",Lists!$E172)</f>
        <v>0</v>
      </c>
      <c r="AQ172" s="23">
        <f>IF(AP172="","",COUNTIF(Performance!$G$5:$G$404,AP172))</f>
        <v>0</v>
      </c>
      <c r="AR172" s="23">
        <f>IF(AP172="","",SUMIFS(Performance!$O$5:$O$404,Performance!$G$5:$G$404,AP172))</f>
        <v>0</v>
      </c>
      <c r="AS172" s="23">
        <f>IF(AP172="","",SUMIFS(Performance!$Z$5:$Z$404,Performance!$G$5:$G$404,AP172))</f>
        <v>0</v>
      </c>
      <c r="AT172" s="24">
        <f>IF(OR(AR172="",AR172=0),"",AS172/AR172)</f>
        <v>0</v>
      </c>
      <c r="AU172" s="32">
        <f>IF(AQ172=0,"",IF(AT172="","",AT172+ROW()/1000000))</f>
        <v>0</v>
      </c>
      <c r="AV172" s="17">
        <f>IF(ROW()-4&gt;7,"",TEXT(DATE(2024,1,ROW()-4),"ddd"))</f>
        <v>0</v>
      </c>
      <c r="AW172" s="23">
        <f>IF(AV172="","",COUNTIF(Performance!$N$5:$N$404,AV172))</f>
        <v>0</v>
      </c>
      <c r="AX172" s="23">
        <f>IF(AV172="","",SUMIFS(Performance!$O$5:$O$404,Performance!$N$5:$N$404,AV172))</f>
        <v>0</v>
      </c>
      <c r="AY172" s="23">
        <f>IF(AV172="","",SUMIFS(Performance!$Z$5:$Z$404,Performance!$N$5:$N$404,AV172))</f>
        <v>0</v>
      </c>
      <c r="AZ172" s="24">
        <f>IF(OR(AX172="",AX172=0),"",AY172/AX172)</f>
        <v>0</v>
      </c>
      <c r="BA172" s="32">
        <f>IF(AW172=0,"",IF(AZ172="","",AZ172+ROW()/1000000))</f>
        <v>0</v>
      </c>
      <c r="BB172" s="17">
        <f>IF(Lists!$AL172="","",Lists!$AL172)</f>
        <v>0</v>
      </c>
      <c r="BC172" s="23">
        <f>IF(BB172="","",COUNTIF(Performance!$M$5:$M$404,BB172))</f>
        <v>0</v>
      </c>
      <c r="BD172" s="23">
        <f>IF(BB172="","",SUMIFS(Performance!$O$5:$O$404,Performance!$M$5:$M$404,BB172))</f>
        <v>0</v>
      </c>
      <c r="BE172" s="23">
        <f>IF(BB172="","",SUMIFS(Performance!$Z$5:$Z$404,Performance!$M$5:$M$404,BB172))</f>
        <v>0</v>
      </c>
      <c r="BF172" s="24">
        <f>IF(OR(BD172="",BD172=0),"",BE172/BD172)</f>
        <v>0</v>
      </c>
      <c r="BG172" s="32">
        <f>IF(BC172=0,"",IF(BF172="","",BF172+ROW()/1000000))</f>
        <v>0</v>
      </c>
      <c r="BH172" s="17">
        <f>IF(Performance!$C$172="","",Performance!$C$172)</f>
        <v>0</v>
      </c>
      <c r="BI172" s="17">
        <f>IF(Performance!$F$172="","",Performance!$F$172)</f>
        <v>0</v>
      </c>
      <c r="BJ172" s="17">
        <f>IF(Performance!$H$172="","",Performance!$H$172)</f>
        <v>0</v>
      </c>
      <c r="BK172" s="16">
        <f>IF(Performance!$D$172="","",Performance!$D$172)</f>
        <v>0</v>
      </c>
      <c r="BL172" s="17">
        <f>IF(Performance!$E$172="","",Performance!$E$172)</f>
        <v>0</v>
      </c>
      <c r="BM172" s="23">
        <f>IF(Performance!$O$172="","",Performance!$O$172)</f>
        <v>0</v>
      </c>
      <c r="BN172" s="24">
        <f>IF(Performance!$AA$172="","",Performance!$AA$172)</f>
        <v>0</v>
      </c>
      <c r="BO172" s="32">
        <f>IF(BH172="","",IF(BK172="","",IF(OR(BK172&lt;DashStart,BK172&gt;DashEnd),"",IF(BN172="","",BN172+ROW()/1000000))))</f>
        <v>0</v>
      </c>
      <c r="BP172" s="32">
        <f>IF(BM172="","",IF(BK172="","",IF(OR(BK172&lt;DashStart,BK172&gt;DashEnd),"",BM172+ROW()/1000000)))</f>
        <v>0</v>
      </c>
      <c r="BQ172" s="32">
        <f>IF(BH172="","",IF(BK172="","",IF(YEAR(BK172)&lt;&gt;PlanYear,"",IF(BN172="","",BN172+ROW()/1000000))))</f>
        <v>0</v>
      </c>
      <c r="BR172" s="32">
        <f>IF(BH172="","",IF(BK172="","",IF(OR(BK172&lt;RepFrom,BK172&gt;RepTo),"",IF(BN172="","",BN172+ROW()/1000000))))</f>
        <v>0</v>
      </c>
      <c r="BS172" s="32">
        <f>IF(BM172="","",IF(BK172="","",IF(YEAR(BK172)&lt;&gt;PlanYear,"",BM172+ROW()/1000000)))</f>
        <v>0</v>
      </c>
      <c r="BT172" s="17">
        <f>IF(Lists!$F172="","",Lists!$F172)</f>
        <v>0</v>
      </c>
      <c r="BU172" s="23">
        <f>IF(BT172="","",COUNTIF('Content Calendar'!$X$5:$X$604,BT172))</f>
        <v>0</v>
      </c>
      <c r="BV172" s="23">
        <f>IF(BT172="","",COUNTIFS('Content Calendar'!$X$5:$X$604,BT172,'Content Calendar'!$B$5:$B$604,"&gt;="&amp;DashStart,'Content Calendar'!$B$5:$B$604,"&lt;="&amp;DashEnd))</f>
        <v>0</v>
      </c>
      <c r="BW172" s="17">
        <f>IF(Team!$B$172="","",Team!$B$172)</f>
        <v>0</v>
      </c>
      <c r="BX172" s="23">
        <f>IF(BW172="","",COUNTIF('Content Calendar'!$W$5:$W$604,BW172))</f>
        <v>0</v>
      </c>
      <c r="BY172" s="23">
        <f>IF(BW172="","",COUNTIFS('Content Calendar'!$W$5:$W$604,BW172,'Content Calendar'!$X$5:$X$604,"&lt;&gt;Published"))</f>
        <v>0</v>
      </c>
      <c r="BZ172" s="23">
        <f>IF(BW172="","",COUNTIFS(Tasks!$C$5:$C$64,BW172,Tasks!$G$5:$G$64,"&lt;&gt;Complete"))</f>
        <v>0</v>
      </c>
      <c r="CA172" s="17">
        <f>IF(Campaigns!$B$172="","",Campaigns!$B$172)</f>
        <v>0</v>
      </c>
      <c r="CB172" s="25">
        <f>IF(Campaigns!$T$172="","",Campaigns!$T$172)</f>
        <v>0</v>
      </c>
      <c r="CC172" s="25">
        <f>IF(Campaigns!$Q$172="","",Campaigns!$Q$172)</f>
        <v>0</v>
      </c>
      <c r="CD172" s="23">
        <f>IF(Campaigns!$Y$172="","",Campaigns!$Y$172)</f>
        <v>0</v>
      </c>
      <c r="CE172" s="32">
        <f>IF(CA172="","",IF(N(CB172)&lt;=0,"",N(CB172)+ROW()/1000000))</f>
        <v>0</v>
      </c>
      <c r="CF172" s="17">
        <f>IF(Accounts!$C$172="","",Accounts!$C$172)</f>
        <v>0</v>
      </c>
      <c r="CG172" s="17">
        <f>IF(Accounts!$B$172="","",Accounts!$B$172)</f>
        <v>0</v>
      </c>
      <c r="CH172" s="23">
        <f>IF(Accounts!$J$172="","",Accounts!$J$172)</f>
        <v>0</v>
      </c>
      <c r="CI172" s="23">
        <f>IF(CF172="","",SUMIFS(Analytics!$X$5:$X$154,Analytics!$E$5:$E$154,CF172,Analytics!$B$5:$B$154,"&gt;="&amp;DashStart,Analytics!$B$5:$B$154,"&lt;="&amp;DashEnd))</f>
        <v>0</v>
      </c>
      <c r="CJ172" s="32">
        <f>IF(CH172="","",IF(CH172=0,"",CH172+ROW()/1000000))</f>
        <v>0</v>
      </c>
    </row>
    <row r="173" spans="1:88">
      <c r="A173" s="16">
        <f>IF(ROW()-4&gt;12,"",DATE(PlanYear,ROW()-4,1))</f>
        <v>0</v>
      </c>
      <c r="B173" s="16">
        <f>IF(A173="","",EOMONTH(A173,0))</f>
        <v>0</v>
      </c>
      <c r="C173" s="17">
        <f>IF(A173="","",TEXT(A173,"yyyy-mm"))</f>
        <v>0</v>
      </c>
      <c r="D173" s="17">
        <f>IF(A173="","",TEXT(A173,"mmm"))</f>
        <v>0</v>
      </c>
      <c r="E173" s="23">
        <f>IF(C173="","",COUNTIFS('Content Calendar'!$D$5:$D$604,C173))</f>
        <v>0</v>
      </c>
      <c r="F173" s="23">
        <f>IF(C173="","",COUNTIFS('Content Calendar'!$D$5:$D$604,C173,'Content Calendar'!$X$5:$X$604,"Published"))</f>
        <v>0</v>
      </c>
      <c r="G173" s="23">
        <f>IF(C173="","",SUMIFS(Analytics!$J$5:$J$154,Analytics!$C$5:$C$154,C173))</f>
        <v>0</v>
      </c>
      <c r="H173" s="23">
        <f>IF(C173="","",SUMIFS(Analytics!$K$5:$K$154,Analytics!$C$5:$C$154,C173))</f>
        <v>0</v>
      </c>
      <c r="I173" s="23">
        <f>IF(C173="","",SUMIFS(Analytics!$L$5:$L$154,Analytics!$C$5:$C$154,C173))</f>
        <v>0</v>
      </c>
      <c r="J173" s="24">
        <f>IF(OR(G173="",G173=0),"",I173/G173)</f>
        <v>0</v>
      </c>
      <c r="K173" s="23">
        <f>IF(C173="","",SUMIFS(Analytics!$G$5:$G$154,Analytics!$C$5:$C$154,C173))</f>
        <v>0</v>
      </c>
      <c r="L173" s="23">
        <f>IF(C173="","",SUMIFS(Analytics!$X$5:$X$154,Analytics!$C$5:$C$154,C173))</f>
        <v>0</v>
      </c>
      <c r="M173" s="23">
        <f>IF(C173="","",SUMIFS(Analytics!$R$5:$R$154,Analytics!$C$5:$C$154,C173))</f>
        <v>0</v>
      </c>
      <c r="N173" s="23">
        <f>IF(C173="","",SUMIFS(Analytics!$S$5:$S$154,Analytics!$C$5:$C$154,C173))</f>
        <v>0</v>
      </c>
      <c r="O173" s="23">
        <f>IF(C173="","",SUMIFS(Analytics!$T$5:$T$154,Analytics!$C$5:$C$154,C173))</f>
        <v>0</v>
      </c>
      <c r="P173" s="25">
        <f>IF(C173="","",SUMIFS(Analytics!$U$5:$U$154,Analytics!$C$5:$C$154,C173))</f>
        <v>0</v>
      </c>
      <c r="Q173" s="25">
        <f>IF(C173="","",SUMIFS(Budget!$H$5:$H$64,Budget!$C$5:$C$64,C173))</f>
        <v>0</v>
      </c>
      <c r="R173" s="25">
        <f>IF(C173="","",P173-Q173)</f>
        <v>0</v>
      </c>
      <c r="S173" s="23">
        <f>IF(C173="","",MonthlyPostTarget)</f>
        <v>0</v>
      </c>
      <c r="T173" s="17">
        <f>IF(Lists!$C173="","",Lists!$C173)</f>
        <v>0</v>
      </c>
      <c r="U173" s="23">
        <f>IF(T173="","",COUNTIFS('Content Calendar'!$G$5:$G$604,T173,'Content Calendar'!$B$5:$B$604,"&gt;="&amp;DashStart,'Content Calendar'!$B$5:$B$604,"&lt;="&amp;DashEnd))</f>
        <v>0</v>
      </c>
      <c r="V173" s="23">
        <f>IF(T173="","",COUNTIFS('Content Calendar'!$G$5:$G$604,T173,'Content Calendar'!$X$5:$X$604,"Published",'Content Calendar'!$B$5:$B$604,"&gt;="&amp;DashStart,'Content Calendar'!$B$5:$B$604,"&lt;="&amp;DashEnd))</f>
        <v>0</v>
      </c>
      <c r="W173" s="23">
        <f>IF(T173="","",SUMIFS(Analytics!$J$5:$J$154,Analytics!$D$5:$D$154,T173,Analytics!$B$5:$B$154,"&gt;="&amp;DashStart,Analytics!$B$5:$B$154,"&lt;="&amp;DashEnd))</f>
        <v>0</v>
      </c>
      <c r="X173" s="23">
        <f>IF(T173="","",SUMIFS(Analytics!$L$5:$L$154,Analytics!$D$5:$D$154,T173,Analytics!$B$5:$B$154,"&gt;="&amp;DashStart,Analytics!$B$5:$B$154,"&lt;="&amp;DashEnd))</f>
        <v>0</v>
      </c>
      <c r="Y173" s="24">
        <f>IF(OR(W173="",W173=0),"",X173/W173)</f>
        <v>0</v>
      </c>
      <c r="Z173" s="23">
        <f>IF(T173="","",SUMIFS(Analytics!$G$5:$G$154,Analytics!$D$5:$D$154,T173,Analytics!$B$5:$B$154,"&gt;="&amp;DashStart,Analytics!$B$5:$B$154,"&lt;="&amp;DashEnd))</f>
        <v>0</v>
      </c>
      <c r="AA173" s="23">
        <f>IF(T173="","",SUMIFS(Analytics!$X$5:$X$154,Analytics!$D$5:$D$154,T173,Analytics!$B$5:$B$154,"&gt;="&amp;DashStart,Analytics!$B$5:$B$154,"&lt;="&amp;DashEnd))</f>
        <v>0</v>
      </c>
      <c r="AB173" s="23">
        <f>IF(T173="","",SUMIFS(Analytics!$R$5:$R$154,Analytics!$D$5:$D$154,T173,Analytics!$B$5:$B$154,"&gt;="&amp;DashStart,Analytics!$B$5:$B$154,"&lt;="&amp;DashEnd))</f>
        <v>0</v>
      </c>
      <c r="AC173" s="25">
        <f>IF(T173="","",SUMIFS(Analytics!$U$5:$U$154,Analytics!$D$5:$D$154,T173,Analytics!$B$5:$B$154,"&gt;="&amp;DashStart,Analytics!$B$5:$B$154,"&lt;="&amp;DashEnd))</f>
        <v>0</v>
      </c>
      <c r="AD173" s="23">
        <f>IF(T173="","",COUNTIFS('Content Calendar'!$G$5:$G$604,T173,'Content Calendar'!$B$5:$B$604,"&gt;="&amp;DATE(PlanYear,1,1),'Content Calendar'!$B$5:$B$604,"&lt;="&amp;DATE(PlanYear,12,31)))</f>
        <v>0</v>
      </c>
      <c r="AE173" s="23">
        <f>IF(T173="","",SUMIFS(Analytics!$J$5:$J$154,Analytics!$D$5:$D$154,T173))</f>
        <v>0</v>
      </c>
      <c r="AF173" s="23">
        <f>IF(T173="","",SUMIFS(Analytics!$L$5:$L$154,Analytics!$D$5:$D$154,T173))</f>
        <v>0</v>
      </c>
      <c r="AG173" s="24">
        <f>IF(OR(AE173="",AE173=0),"",AF173/AE173)</f>
        <v>0</v>
      </c>
      <c r="AH173" s="23">
        <f>IF(T173="","",SUMIFS(Analytics!$X$5:$X$154,Analytics!$D$5:$D$154,T173))</f>
        <v>0</v>
      </c>
      <c r="AI173" s="32">
        <f>IF(T173="","",IF(AE173=0,"",AE173+ROW()/1000000))</f>
        <v>0</v>
      </c>
      <c r="AJ173" s="17">
        <f>IF('Content Pillars'!$B$173="","",'Content Pillars'!$B$173)</f>
        <v>0</v>
      </c>
      <c r="AK173" s="23">
        <f>IF(AJ173="","",COUNTIFS('Content Calendar'!$J$5:$J$604,AJ173,'Content Calendar'!$B$5:$B$604,"&gt;="&amp;DATE(PlanYear,1,1),'Content Calendar'!$B$5:$B$604,"&lt;="&amp;DATE(PlanYear,12,31)))</f>
        <v>0</v>
      </c>
      <c r="AL173" s="23">
        <f>IF(AJ173="","",SUMIFS(Performance!$O$5:$O$404,Performance!$H$5:$H$404,AJ173))</f>
        <v>0</v>
      </c>
      <c r="AM173" s="23">
        <f>IF(AJ173="","",SUMIFS(Performance!$Z$5:$Z$404,Performance!$H$5:$H$404,AJ173))</f>
        <v>0</v>
      </c>
      <c r="AN173" s="24">
        <f>IF(OR(AL173="",AL173=0),"",AM173/AL173)</f>
        <v>0</v>
      </c>
      <c r="AO173" s="32">
        <f>IF(AN173="","",AN173+ROW()/1000000)</f>
        <v>0</v>
      </c>
      <c r="AP173" s="17">
        <f>IF(Lists!$E173="","",Lists!$E173)</f>
        <v>0</v>
      </c>
      <c r="AQ173" s="23">
        <f>IF(AP173="","",COUNTIF(Performance!$G$5:$G$404,AP173))</f>
        <v>0</v>
      </c>
      <c r="AR173" s="23">
        <f>IF(AP173="","",SUMIFS(Performance!$O$5:$O$404,Performance!$G$5:$G$404,AP173))</f>
        <v>0</v>
      </c>
      <c r="AS173" s="23">
        <f>IF(AP173="","",SUMIFS(Performance!$Z$5:$Z$404,Performance!$G$5:$G$404,AP173))</f>
        <v>0</v>
      </c>
      <c r="AT173" s="24">
        <f>IF(OR(AR173="",AR173=0),"",AS173/AR173)</f>
        <v>0</v>
      </c>
      <c r="AU173" s="32">
        <f>IF(AQ173=0,"",IF(AT173="","",AT173+ROW()/1000000))</f>
        <v>0</v>
      </c>
      <c r="AV173" s="17">
        <f>IF(ROW()-4&gt;7,"",TEXT(DATE(2024,1,ROW()-4),"ddd"))</f>
        <v>0</v>
      </c>
      <c r="AW173" s="23">
        <f>IF(AV173="","",COUNTIF(Performance!$N$5:$N$404,AV173))</f>
        <v>0</v>
      </c>
      <c r="AX173" s="23">
        <f>IF(AV173="","",SUMIFS(Performance!$O$5:$O$404,Performance!$N$5:$N$404,AV173))</f>
        <v>0</v>
      </c>
      <c r="AY173" s="23">
        <f>IF(AV173="","",SUMIFS(Performance!$Z$5:$Z$404,Performance!$N$5:$N$404,AV173))</f>
        <v>0</v>
      </c>
      <c r="AZ173" s="24">
        <f>IF(OR(AX173="",AX173=0),"",AY173/AX173)</f>
        <v>0</v>
      </c>
      <c r="BA173" s="32">
        <f>IF(AW173=0,"",IF(AZ173="","",AZ173+ROW()/1000000))</f>
        <v>0</v>
      </c>
      <c r="BB173" s="17">
        <f>IF(Lists!$AL173="","",Lists!$AL173)</f>
        <v>0</v>
      </c>
      <c r="BC173" s="23">
        <f>IF(BB173="","",COUNTIF(Performance!$M$5:$M$404,BB173))</f>
        <v>0</v>
      </c>
      <c r="BD173" s="23">
        <f>IF(BB173="","",SUMIFS(Performance!$O$5:$O$404,Performance!$M$5:$M$404,BB173))</f>
        <v>0</v>
      </c>
      <c r="BE173" s="23">
        <f>IF(BB173="","",SUMIFS(Performance!$Z$5:$Z$404,Performance!$M$5:$M$404,BB173))</f>
        <v>0</v>
      </c>
      <c r="BF173" s="24">
        <f>IF(OR(BD173="",BD173=0),"",BE173/BD173)</f>
        <v>0</v>
      </c>
      <c r="BG173" s="32">
        <f>IF(BC173=0,"",IF(BF173="","",BF173+ROW()/1000000))</f>
        <v>0</v>
      </c>
      <c r="BH173" s="17">
        <f>IF(Performance!$C$173="","",Performance!$C$173)</f>
        <v>0</v>
      </c>
      <c r="BI173" s="17">
        <f>IF(Performance!$F$173="","",Performance!$F$173)</f>
        <v>0</v>
      </c>
      <c r="BJ173" s="17">
        <f>IF(Performance!$H$173="","",Performance!$H$173)</f>
        <v>0</v>
      </c>
      <c r="BK173" s="16">
        <f>IF(Performance!$D$173="","",Performance!$D$173)</f>
        <v>0</v>
      </c>
      <c r="BL173" s="17">
        <f>IF(Performance!$E$173="","",Performance!$E$173)</f>
        <v>0</v>
      </c>
      <c r="BM173" s="23">
        <f>IF(Performance!$O$173="","",Performance!$O$173)</f>
        <v>0</v>
      </c>
      <c r="BN173" s="24">
        <f>IF(Performance!$AA$173="","",Performance!$AA$173)</f>
        <v>0</v>
      </c>
      <c r="BO173" s="32">
        <f>IF(BH173="","",IF(BK173="","",IF(OR(BK173&lt;DashStart,BK173&gt;DashEnd),"",IF(BN173="","",BN173+ROW()/1000000))))</f>
        <v>0</v>
      </c>
      <c r="BP173" s="32">
        <f>IF(BM173="","",IF(BK173="","",IF(OR(BK173&lt;DashStart,BK173&gt;DashEnd),"",BM173+ROW()/1000000)))</f>
        <v>0</v>
      </c>
      <c r="BQ173" s="32">
        <f>IF(BH173="","",IF(BK173="","",IF(YEAR(BK173)&lt;&gt;PlanYear,"",IF(BN173="","",BN173+ROW()/1000000))))</f>
        <v>0</v>
      </c>
      <c r="BR173" s="32">
        <f>IF(BH173="","",IF(BK173="","",IF(OR(BK173&lt;RepFrom,BK173&gt;RepTo),"",IF(BN173="","",BN173+ROW()/1000000))))</f>
        <v>0</v>
      </c>
      <c r="BS173" s="32">
        <f>IF(BM173="","",IF(BK173="","",IF(YEAR(BK173)&lt;&gt;PlanYear,"",BM173+ROW()/1000000)))</f>
        <v>0</v>
      </c>
      <c r="BT173" s="17">
        <f>IF(Lists!$F173="","",Lists!$F173)</f>
        <v>0</v>
      </c>
      <c r="BU173" s="23">
        <f>IF(BT173="","",COUNTIF('Content Calendar'!$X$5:$X$604,BT173))</f>
        <v>0</v>
      </c>
      <c r="BV173" s="23">
        <f>IF(BT173="","",COUNTIFS('Content Calendar'!$X$5:$X$604,BT173,'Content Calendar'!$B$5:$B$604,"&gt;="&amp;DashStart,'Content Calendar'!$B$5:$B$604,"&lt;="&amp;DashEnd))</f>
        <v>0</v>
      </c>
      <c r="BW173" s="17">
        <f>IF(Team!$B$173="","",Team!$B$173)</f>
        <v>0</v>
      </c>
      <c r="BX173" s="23">
        <f>IF(BW173="","",COUNTIF('Content Calendar'!$W$5:$W$604,BW173))</f>
        <v>0</v>
      </c>
      <c r="BY173" s="23">
        <f>IF(BW173="","",COUNTIFS('Content Calendar'!$W$5:$W$604,BW173,'Content Calendar'!$X$5:$X$604,"&lt;&gt;Published"))</f>
        <v>0</v>
      </c>
      <c r="BZ173" s="23">
        <f>IF(BW173="","",COUNTIFS(Tasks!$C$5:$C$64,BW173,Tasks!$G$5:$G$64,"&lt;&gt;Complete"))</f>
        <v>0</v>
      </c>
      <c r="CA173" s="17">
        <f>IF(Campaigns!$B$173="","",Campaigns!$B$173)</f>
        <v>0</v>
      </c>
      <c r="CB173" s="25">
        <f>IF(Campaigns!$T$173="","",Campaigns!$T$173)</f>
        <v>0</v>
      </c>
      <c r="CC173" s="25">
        <f>IF(Campaigns!$Q$173="","",Campaigns!$Q$173)</f>
        <v>0</v>
      </c>
      <c r="CD173" s="23">
        <f>IF(Campaigns!$Y$173="","",Campaigns!$Y$173)</f>
        <v>0</v>
      </c>
      <c r="CE173" s="32">
        <f>IF(CA173="","",IF(N(CB173)&lt;=0,"",N(CB173)+ROW()/1000000))</f>
        <v>0</v>
      </c>
      <c r="CF173" s="17">
        <f>IF(Accounts!$C$173="","",Accounts!$C$173)</f>
        <v>0</v>
      </c>
      <c r="CG173" s="17">
        <f>IF(Accounts!$B$173="","",Accounts!$B$173)</f>
        <v>0</v>
      </c>
      <c r="CH173" s="23">
        <f>IF(Accounts!$J$173="","",Accounts!$J$173)</f>
        <v>0</v>
      </c>
      <c r="CI173" s="23">
        <f>IF(CF173="","",SUMIFS(Analytics!$X$5:$X$154,Analytics!$E$5:$E$154,CF173,Analytics!$B$5:$B$154,"&gt;="&amp;DashStart,Analytics!$B$5:$B$154,"&lt;="&amp;DashEnd))</f>
        <v>0</v>
      </c>
      <c r="CJ173" s="32">
        <f>IF(CH173="","",IF(CH173=0,"",CH173+ROW()/1000000))</f>
        <v>0</v>
      </c>
    </row>
    <row r="174" spans="1:88">
      <c r="A174" s="16">
        <f>IF(ROW()-4&gt;12,"",DATE(PlanYear,ROW()-4,1))</f>
        <v>0</v>
      </c>
      <c r="B174" s="16">
        <f>IF(A174="","",EOMONTH(A174,0))</f>
        <v>0</v>
      </c>
      <c r="C174" s="17">
        <f>IF(A174="","",TEXT(A174,"yyyy-mm"))</f>
        <v>0</v>
      </c>
      <c r="D174" s="17">
        <f>IF(A174="","",TEXT(A174,"mmm"))</f>
        <v>0</v>
      </c>
      <c r="E174" s="23">
        <f>IF(C174="","",COUNTIFS('Content Calendar'!$D$5:$D$604,C174))</f>
        <v>0</v>
      </c>
      <c r="F174" s="23">
        <f>IF(C174="","",COUNTIFS('Content Calendar'!$D$5:$D$604,C174,'Content Calendar'!$X$5:$X$604,"Published"))</f>
        <v>0</v>
      </c>
      <c r="G174" s="23">
        <f>IF(C174="","",SUMIFS(Analytics!$J$5:$J$154,Analytics!$C$5:$C$154,C174))</f>
        <v>0</v>
      </c>
      <c r="H174" s="23">
        <f>IF(C174="","",SUMIFS(Analytics!$K$5:$K$154,Analytics!$C$5:$C$154,C174))</f>
        <v>0</v>
      </c>
      <c r="I174" s="23">
        <f>IF(C174="","",SUMIFS(Analytics!$L$5:$L$154,Analytics!$C$5:$C$154,C174))</f>
        <v>0</v>
      </c>
      <c r="J174" s="24">
        <f>IF(OR(G174="",G174=0),"",I174/G174)</f>
        <v>0</v>
      </c>
      <c r="K174" s="23">
        <f>IF(C174="","",SUMIFS(Analytics!$G$5:$G$154,Analytics!$C$5:$C$154,C174))</f>
        <v>0</v>
      </c>
      <c r="L174" s="23">
        <f>IF(C174="","",SUMIFS(Analytics!$X$5:$X$154,Analytics!$C$5:$C$154,C174))</f>
        <v>0</v>
      </c>
      <c r="M174" s="23">
        <f>IF(C174="","",SUMIFS(Analytics!$R$5:$R$154,Analytics!$C$5:$C$154,C174))</f>
        <v>0</v>
      </c>
      <c r="N174" s="23">
        <f>IF(C174="","",SUMIFS(Analytics!$S$5:$S$154,Analytics!$C$5:$C$154,C174))</f>
        <v>0</v>
      </c>
      <c r="O174" s="23">
        <f>IF(C174="","",SUMIFS(Analytics!$T$5:$T$154,Analytics!$C$5:$C$154,C174))</f>
        <v>0</v>
      </c>
      <c r="P174" s="25">
        <f>IF(C174="","",SUMIFS(Analytics!$U$5:$U$154,Analytics!$C$5:$C$154,C174))</f>
        <v>0</v>
      </c>
      <c r="Q174" s="25">
        <f>IF(C174="","",SUMIFS(Budget!$H$5:$H$64,Budget!$C$5:$C$64,C174))</f>
        <v>0</v>
      </c>
      <c r="R174" s="25">
        <f>IF(C174="","",P174-Q174)</f>
        <v>0</v>
      </c>
      <c r="S174" s="23">
        <f>IF(C174="","",MonthlyPostTarget)</f>
        <v>0</v>
      </c>
      <c r="T174" s="17">
        <f>IF(Lists!$C174="","",Lists!$C174)</f>
        <v>0</v>
      </c>
      <c r="U174" s="23">
        <f>IF(T174="","",COUNTIFS('Content Calendar'!$G$5:$G$604,T174,'Content Calendar'!$B$5:$B$604,"&gt;="&amp;DashStart,'Content Calendar'!$B$5:$B$604,"&lt;="&amp;DashEnd))</f>
        <v>0</v>
      </c>
      <c r="V174" s="23">
        <f>IF(T174="","",COUNTIFS('Content Calendar'!$G$5:$G$604,T174,'Content Calendar'!$X$5:$X$604,"Published",'Content Calendar'!$B$5:$B$604,"&gt;="&amp;DashStart,'Content Calendar'!$B$5:$B$604,"&lt;="&amp;DashEnd))</f>
        <v>0</v>
      </c>
      <c r="W174" s="23">
        <f>IF(T174="","",SUMIFS(Analytics!$J$5:$J$154,Analytics!$D$5:$D$154,T174,Analytics!$B$5:$B$154,"&gt;="&amp;DashStart,Analytics!$B$5:$B$154,"&lt;="&amp;DashEnd))</f>
        <v>0</v>
      </c>
      <c r="X174" s="23">
        <f>IF(T174="","",SUMIFS(Analytics!$L$5:$L$154,Analytics!$D$5:$D$154,T174,Analytics!$B$5:$B$154,"&gt;="&amp;DashStart,Analytics!$B$5:$B$154,"&lt;="&amp;DashEnd))</f>
        <v>0</v>
      </c>
      <c r="Y174" s="24">
        <f>IF(OR(W174="",W174=0),"",X174/W174)</f>
        <v>0</v>
      </c>
      <c r="Z174" s="23">
        <f>IF(T174="","",SUMIFS(Analytics!$G$5:$G$154,Analytics!$D$5:$D$154,T174,Analytics!$B$5:$B$154,"&gt;="&amp;DashStart,Analytics!$B$5:$B$154,"&lt;="&amp;DashEnd))</f>
        <v>0</v>
      </c>
      <c r="AA174" s="23">
        <f>IF(T174="","",SUMIFS(Analytics!$X$5:$X$154,Analytics!$D$5:$D$154,T174,Analytics!$B$5:$B$154,"&gt;="&amp;DashStart,Analytics!$B$5:$B$154,"&lt;="&amp;DashEnd))</f>
        <v>0</v>
      </c>
      <c r="AB174" s="23">
        <f>IF(T174="","",SUMIFS(Analytics!$R$5:$R$154,Analytics!$D$5:$D$154,T174,Analytics!$B$5:$B$154,"&gt;="&amp;DashStart,Analytics!$B$5:$B$154,"&lt;="&amp;DashEnd))</f>
        <v>0</v>
      </c>
      <c r="AC174" s="25">
        <f>IF(T174="","",SUMIFS(Analytics!$U$5:$U$154,Analytics!$D$5:$D$154,T174,Analytics!$B$5:$B$154,"&gt;="&amp;DashStart,Analytics!$B$5:$B$154,"&lt;="&amp;DashEnd))</f>
        <v>0</v>
      </c>
      <c r="AD174" s="23">
        <f>IF(T174="","",COUNTIFS('Content Calendar'!$G$5:$G$604,T174,'Content Calendar'!$B$5:$B$604,"&gt;="&amp;DATE(PlanYear,1,1),'Content Calendar'!$B$5:$B$604,"&lt;="&amp;DATE(PlanYear,12,31)))</f>
        <v>0</v>
      </c>
      <c r="AE174" s="23">
        <f>IF(T174="","",SUMIFS(Analytics!$J$5:$J$154,Analytics!$D$5:$D$154,T174))</f>
        <v>0</v>
      </c>
      <c r="AF174" s="23">
        <f>IF(T174="","",SUMIFS(Analytics!$L$5:$L$154,Analytics!$D$5:$D$154,T174))</f>
        <v>0</v>
      </c>
      <c r="AG174" s="24">
        <f>IF(OR(AE174="",AE174=0),"",AF174/AE174)</f>
        <v>0</v>
      </c>
      <c r="AH174" s="23">
        <f>IF(T174="","",SUMIFS(Analytics!$X$5:$X$154,Analytics!$D$5:$D$154,T174))</f>
        <v>0</v>
      </c>
      <c r="AI174" s="32">
        <f>IF(T174="","",IF(AE174=0,"",AE174+ROW()/1000000))</f>
        <v>0</v>
      </c>
      <c r="AJ174" s="17">
        <f>IF('Content Pillars'!$B$174="","",'Content Pillars'!$B$174)</f>
        <v>0</v>
      </c>
      <c r="AK174" s="23">
        <f>IF(AJ174="","",COUNTIFS('Content Calendar'!$J$5:$J$604,AJ174,'Content Calendar'!$B$5:$B$604,"&gt;="&amp;DATE(PlanYear,1,1),'Content Calendar'!$B$5:$B$604,"&lt;="&amp;DATE(PlanYear,12,31)))</f>
        <v>0</v>
      </c>
      <c r="AL174" s="23">
        <f>IF(AJ174="","",SUMIFS(Performance!$O$5:$O$404,Performance!$H$5:$H$404,AJ174))</f>
        <v>0</v>
      </c>
      <c r="AM174" s="23">
        <f>IF(AJ174="","",SUMIFS(Performance!$Z$5:$Z$404,Performance!$H$5:$H$404,AJ174))</f>
        <v>0</v>
      </c>
      <c r="AN174" s="24">
        <f>IF(OR(AL174="",AL174=0),"",AM174/AL174)</f>
        <v>0</v>
      </c>
      <c r="AO174" s="32">
        <f>IF(AN174="","",AN174+ROW()/1000000)</f>
        <v>0</v>
      </c>
      <c r="AP174" s="17">
        <f>IF(Lists!$E174="","",Lists!$E174)</f>
        <v>0</v>
      </c>
      <c r="AQ174" s="23">
        <f>IF(AP174="","",COUNTIF(Performance!$G$5:$G$404,AP174))</f>
        <v>0</v>
      </c>
      <c r="AR174" s="23">
        <f>IF(AP174="","",SUMIFS(Performance!$O$5:$O$404,Performance!$G$5:$G$404,AP174))</f>
        <v>0</v>
      </c>
      <c r="AS174" s="23">
        <f>IF(AP174="","",SUMIFS(Performance!$Z$5:$Z$404,Performance!$G$5:$G$404,AP174))</f>
        <v>0</v>
      </c>
      <c r="AT174" s="24">
        <f>IF(OR(AR174="",AR174=0),"",AS174/AR174)</f>
        <v>0</v>
      </c>
      <c r="AU174" s="32">
        <f>IF(AQ174=0,"",IF(AT174="","",AT174+ROW()/1000000))</f>
        <v>0</v>
      </c>
      <c r="AV174" s="17">
        <f>IF(ROW()-4&gt;7,"",TEXT(DATE(2024,1,ROW()-4),"ddd"))</f>
        <v>0</v>
      </c>
      <c r="AW174" s="23">
        <f>IF(AV174="","",COUNTIF(Performance!$N$5:$N$404,AV174))</f>
        <v>0</v>
      </c>
      <c r="AX174" s="23">
        <f>IF(AV174="","",SUMIFS(Performance!$O$5:$O$404,Performance!$N$5:$N$404,AV174))</f>
        <v>0</v>
      </c>
      <c r="AY174" s="23">
        <f>IF(AV174="","",SUMIFS(Performance!$Z$5:$Z$404,Performance!$N$5:$N$404,AV174))</f>
        <v>0</v>
      </c>
      <c r="AZ174" s="24">
        <f>IF(OR(AX174="",AX174=0),"",AY174/AX174)</f>
        <v>0</v>
      </c>
      <c r="BA174" s="32">
        <f>IF(AW174=0,"",IF(AZ174="","",AZ174+ROW()/1000000))</f>
        <v>0</v>
      </c>
      <c r="BB174" s="17">
        <f>IF(Lists!$AL174="","",Lists!$AL174)</f>
        <v>0</v>
      </c>
      <c r="BC174" s="23">
        <f>IF(BB174="","",COUNTIF(Performance!$M$5:$M$404,BB174))</f>
        <v>0</v>
      </c>
      <c r="BD174" s="23">
        <f>IF(BB174="","",SUMIFS(Performance!$O$5:$O$404,Performance!$M$5:$M$404,BB174))</f>
        <v>0</v>
      </c>
      <c r="BE174" s="23">
        <f>IF(BB174="","",SUMIFS(Performance!$Z$5:$Z$404,Performance!$M$5:$M$404,BB174))</f>
        <v>0</v>
      </c>
      <c r="BF174" s="24">
        <f>IF(OR(BD174="",BD174=0),"",BE174/BD174)</f>
        <v>0</v>
      </c>
      <c r="BG174" s="32">
        <f>IF(BC174=0,"",IF(BF174="","",BF174+ROW()/1000000))</f>
        <v>0</v>
      </c>
      <c r="BH174" s="17">
        <f>IF(Performance!$C$174="","",Performance!$C$174)</f>
        <v>0</v>
      </c>
      <c r="BI174" s="17">
        <f>IF(Performance!$F$174="","",Performance!$F$174)</f>
        <v>0</v>
      </c>
      <c r="BJ174" s="17">
        <f>IF(Performance!$H$174="","",Performance!$H$174)</f>
        <v>0</v>
      </c>
      <c r="BK174" s="16">
        <f>IF(Performance!$D$174="","",Performance!$D$174)</f>
        <v>0</v>
      </c>
      <c r="BL174" s="17">
        <f>IF(Performance!$E$174="","",Performance!$E$174)</f>
        <v>0</v>
      </c>
      <c r="BM174" s="23">
        <f>IF(Performance!$O$174="","",Performance!$O$174)</f>
        <v>0</v>
      </c>
      <c r="BN174" s="24">
        <f>IF(Performance!$AA$174="","",Performance!$AA$174)</f>
        <v>0</v>
      </c>
      <c r="BO174" s="32">
        <f>IF(BH174="","",IF(BK174="","",IF(OR(BK174&lt;DashStart,BK174&gt;DashEnd),"",IF(BN174="","",BN174+ROW()/1000000))))</f>
        <v>0</v>
      </c>
      <c r="BP174" s="32">
        <f>IF(BM174="","",IF(BK174="","",IF(OR(BK174&lt;DashStart,BK174&gt;DashEnd),"",BM174+ROW()/1000000)))</f>
        <v>0</v>
      </c>
      <c r="BQ174" s="32">
        <f>IF(BH174="","",IF(BK174="","",IF(YEAR(BK174)&lt;&gt;PlanYear,"",IF(BN174="","",BN174+ROW()/1000000))))</f>
        <v>0</v>
      </c>
      <c r="BR174" s="32">
        <f>IF(BH174="","",IF(BK174="","",IF(OR(BK174&lt;RepFrom,BK174&gt;RepTo),"",IF(BN174="","",BN174+ROW()/1000000))))</f>
        <v>0</v>
      </c>
      <c r="BS174" s="32">
        <f>IF(BM174="","",IF(BK174="","",IF(YEAR(BK174)&lt;&gt;PlanYear,"",BM174+ROW()/1000000)))</f>
        <v>0</v>
      </c>
      <c r="BT174" s="17">
        <f>IF(Lists!$F174="","",Lists!$F174)</f>
        <v>0</v>
      </c>
      <c r="BU174" s="23">
        <f>IF(BT174="","",COUNTIF('Content Calendar'!$X$5:$X$604,BT174))</f>
        <v>0</v>
      </c>
      <c r="BV174" s="23">
        <f>IF(BT174="","",COUNTIFS('Content Calendar'!$X$5:$X$604,BT174,'Content Calendar'!$B$5:$B$604,"&gt;="&amp;DashStart,'Content Calendar'!$B$5:$B$604,"&lt;="&amp;DashEnd))</f>
        <v>0</v>
      </c>
      <c r="BW174" s="17">
        <f>IF(Team!$B$174="","",Team!$B$174)</f>
        <v>0</v>
      </c>
      <c r="BX174" s="23">
        <f>IF(BW174="","",COUNTIF('Content Calendar'!$W$5:$W$604,BW174))</f>
        <v>0</v>
      </c>
      <c r="BY174" s="23">
        <f>IF(BW174="","",COUNTIFS('Content Calendar'!$W$5:$W$604,BW174,'Content Calendar'!$X$5:$X$604,"&lt;&gt;Published"))</f>
        <v>0</v>
      </c>
      <c r="BZ174" s="23">
        <f>IF(BW174="","",COUNTIFS(Tasks!$C$5:$C$64,BW174,Tasks!$G$5:$G$64,"&lt;&gt;Complete"))</f>
        <v>0</v>
      </c>
      <c r="CA174" s="17">
        <f>IF(Campaigns!$B$174="","",Campaigns!$B$174)</f>
        <v>0</v>
      </c>
      <c r="CB174" s="25">
        <f>IF(Campaigns!$T$174="","",Campaigns!$T$174)</f>
        <v>0</v>
      </c>
      <c r="CC174" s="25">
        <f>IF(Campaigns!$Q$174="","",Campaigns!$Q$174)</f>
        <v>0</v>
      </c>
      <c r="CD174" s="23">
        <f>IF(Campaigns!$Y$174="","",Campaigns!$Y$174)</f>
        <v>0</v>
      </c>
      <c r="CE174" s="32">
        <f>IF(CA174="","",IF(N(CB174)&lt;=0,"",N(CB174)+ROW()/1000000))</f>
        <v>0</v>
      </c>
      <c r="CF174" s="17">
        <f>IF(Accounts!$C$174="","",Accounts!$C$174)</f>
        <v>0</v>
      </c>
      <c r="CG174" s="17">
        <f>IF(Accounts!$B$174="","",Accounts!$B$174)</f>
        <v>0</v>
      </c>
      <c r="CH174" s="23">
        <f>IF(Accounts!$J$174="","",Accounts!$J$174)</f>
        <v>0</v>
      </c>
      <c r="CI174" s="23">
        <f>IF(CF174="","",SUMIFS(Analytics!$X$5:$X$154,Analytics!$E$5:$E$154,CF174,Analytics!$B$5:$B$154,"&gt;="&amp;DashStart,Analytics!$B$5:$B$154,"&lt;="&amp;DashEnd))</f>
        <v>0</v>
      </c>
      <c r="CJ174" s="32">
        <f>IF(CH174="","",IF(CH174=0,"",CH174+ROW()/1000000))</f>
        <v>0</v>
      </c>
    </row>
    <row r="175" spans="1:88">
      <c r="A175" s="16">
        <f>IF(ROW()-4&gt;12,"",DATE(PlanYear,ROW()-4,1))</f>
        <v>0</v>
      </c>
      <c r="B175" s="16">
        <f>IF(A175="","",EOMONTH(A175,0))</f>
        <v>0</v>
      </c>
      <c r="C175" s="17">
        <f>IF(A175="","",TEXT(A175,"yyyy-mm"))</f>
        <v>0</v>
      </c>
      <c r="D175" s="17">
        <f>IF(A175="","",TEXT(A175,"mmm"))</f>
        <v>0</v>
      </c>
      <c r="E175" s="23">
        <f>IF(C175="","",COUNTIFS('Content Calendar'!$D$5:$D$604,C175))</f>
        <v>0</v>
      </c>
      <c r="F175" s="23">
        <f>IF(C175="","",COUNTIFS('Content Calendar'!$D$5:$D$604,C175,'Content Calendar'!$X$5:$X$604,"Published"))</f>
        <v>0</v>
      </c>
      <c r="G175" s="23">
        <f>IF(C175="","",SUMIFS(Analytics!$J$5:$J$154,Analytics!$C$5:$C$154,C175))</f>
        <v>0</v>
      </c>
      <c r="H175" s="23">
        <f>IF(C175="","",SUMIFS(Analytics!$K$5:$K$154,Analytics!$C$5:$C$154,C175))</f>
        <v>0</v>
      </c>
      <c r="I175" s="23">
        <f>IF(C175="","",SUMIFS(Analytics!$L$5:$L$154,Analytics!$C$5:$C$154,C175))</f>
        <v>0</v>
      </c>
      <c r="J175" s="24">
        <f>IF(OR(G175="",G175=0),"",I175/G175)</f>
        <v>0</v>
      </c>
      <c r="K175" s="23">
        <f>IF(C175="","",SUMIFS(Analytics!$G$5:$G$154,Analytics!$C$5:$C$154,C175))</f>
        <v>0</v>
      </c>
      <c r="L175" s="23">
        <f>IF(C175="","",SUMIFS(Analytics!$X$5:$X$154,Analytics!$C$5:$C$154,C175))</f>
        <v>0</v>
      </c>
      <c r="M175" s="23">
        <f>IF(C175="","",SUMIFS(Analytics!$R$5:$R$154,Analytics!$C$5:$C$154,C175))</f>
        <v>0</v>
      </c>
      <c r="N175" s="23">
        <f>IF(C175="","",SUMIFS(Analytics!$S$5:$S$154,Analytics!$C$5:$C$154,C175))</f>
        <v>0</v>
      </c>
      <c r="O175" s="23">
        <f>IF(C175="","",SUMIFS(Analytics!$T$5:$T$154,Analytics!$C$5:$C$154,C175))</f>
        <v>0</v>
      </c>
      <c r="P175" s="25">
        <f>IF(C175="","",SUMIFS(Analytics!$U$5:$U$154,Analytics!$C$5:$C$154,C175))</f>
        <v>0</v>
      </c>
      <c r="Q175" s="25">
        <f>IF(C175="","",SUMIFS(Budget!$H$5:$H$64,Budget!$C$5:$C$64,C175))</f>
        <v>0</v>
      </c>
      <c r="R175" s="25">
        <f>IF(C175="","",P175-Q175)</f>
        <v>0</v>
      </c>
      <c r="S175" s="23">
        <f>IF(C175="","",MonthlyPostTarget)</f>
        <v>0</v>
      </c>
      <c r="T175" s="17">
        <f>IF(Lists!$C175="","",Lists!$C175)</f>
        <v>0</v>
      </c>
      <c r="U175" s="23">
        <f>IF(T175="","",COUNTIFS('Content Calendar'!$G$5:$G$604,T175,'Content Calendar'!$B$5:$B$604,"&gt;="&amp;DashStart,'Content Calendar'!$B$5:$B$604,"&lt;="&amp;DashEnd))</f>
        <v>0</v>
      </c>
      <c r="V175" s="23">
        <f>IF(T175="","",COUNTIFS('Content Calendar'!$G$5:$G$604,T175,'Content Calendar'!$X$5:$X$604,"Published",'Content Calendar'!$B$5:$B$604,"&gt;="&amp;DashStart,'Content Calendar'!$B$5:$B$604,"&lt;="&amp;DashEnd))</f>
        <v>0</v>
      </c>
      <c r="W175" s="23">
        <f>IF(T175="","",SUMIFS(Analytics!$J$5:$J$154,Analytics!$D$5:$D$154,T175,Analytics!$B$5:$B$154,"&gt;="&amp;DashStart,Analytics!$B$5:$B$154,"&lt;="&amp;DashEnd))</f>
        <v>0</v>
      </c>
      <c r="X175" s="23">
        <f>IF(T175="","",SUMIFS(Analytics!$L$5:$L$154,Analytics!$D$5:$D$154,T175,Analytics!$B$5:$B$154,"&gt;="&amp;DashStart,Analytics!$B$5:$B$154,"&lt;="&amp;DashEnd))</f>
        <v>0</v>
      </c>
      <c r="Y175" s="24">
        <f>IF(OR(W175="",W175=0),"",X175/W175)</f>
        <v>0</v>
      </c>
      <c r="Z175" s="23">
        <f>IF(T175="","",SUMIFS(Analytics!$G$5:$G$154,Analytics!$D$5:$D$154,T175,Analytics!$B$5:$B$154,"&gt;="&amp;DashStart,Analytics!$B$5:$B$154,"&lt;="&amp;DashEnd))</f>
        <v>0</v>
      </c>
      <c r="AA175" s="23">
        <f>IF(T175="","",SUMIFS(Analytics!$X$5:$X$154,Analytics!$D$5:$D$154,T175,Analytics!$B$5:$B$154,"&gt;="&amp;DashStart,Analytics!$B$5:$B$154,"&lt;="&amp;DashEnd))</f>
        <v>0</v>
      </c>
      <c r="AB175" s="23">
        <f>IF(T175="","",SUMIFS(Analytics!$R$5:$R$154,Analytics!$D$5:$D$154,T175,Analytics!$B$5:$B$154,"&gt;="&amp;DashStart,Analytics!$B$5:$B$154,"&lt;="&amp;DashEnd))</f>
        <v>0</v>
      </c>
      <c r="AC175" s="25">
        <f>IF(T175="","",SUMIFS(Analytics!$U$5:$U$154,Analytics!$D$5:$D$154,T175,Analytics!$B$5:$B$154,"&gt;="&amp;DashStart,Analytics!$B$5:$B$154,"&lt;="&amp;DashEnd))</f>
        <v>0</v>
      </c>
      <c r="AD175" s="23">
        <f>IF(T175="","",COUNTIFS('Content Calendar'!$G$5:$G$604,T175,'Content Calendar'!$B$5:$B$604,"&gt;="&amp;DATE(PlanYear,1,1),'Content Calendar'!$B$5:$B$604,"&lt;="&amp;DATE(PlanYear,12,31)))</f>
        <v>0</v>
      </c>
      <c r="AE175" s="23">
        <f>IF(T175="","",SUMIFS(Analytics!$J$5:$J$154,Analytics!$D$5:$D$154,T175))</f>
        <v>0</v>
      </c>
      <c r="AF175" s="23">
        <f>IF(T175="","",SUMIFS(Analytics!$L$5:$L$154,Analytics!$D$5:$D$154,T175))</f>
        <v>0</v>
      </c>
      <c r="AG175" s="24">
        <f>IF(OR(AE175="",AE175=0),"",AF175/AE175)</f>
        <v>0</v>
      </c>
      <c r="AH175" s="23">
        <f>IF(T175="","",SUMIFS(Analytics!$X$5:$X$154,Analytics!$D$5:$D$154,T175))</f>
        <v>0</v>
      </c>
      <c r="AI175" s="32">
        <f>IF(T175="","",IF(AE175=0,"",AE175+ROW()/1000000))</f>
        <v>0</v>
      </c>
      <c r="AJ175" s="17">
        <f>IF('Content Pillars'!$B$175="","",'Content Pillars'!$B$175)</f>
        <v>0</v>
      </c>
      <c r="AK175" s="23">
        <f>IF(AJ175="","",COUNTIFS('Content Calendar'!$J$5:$J$604,AJ175,'Content Calendar'!$B$5:$B$604,"&gt;="&amp;DATE(PlanYear,1,1),'Content Calendar'!$B$5:$B$604,"&lt;="&amp;DATE(PlanYear,12,31)))</f>
        <v>0</v>
      </c>
      <c r="AL175" s="23">
        <f>IF(AJ175="","",SUMIFS(Performance!$O$5:$O$404,Performance!$H$5:$H$404,AJ175))</f>
        <v>0</v>
      </c>
      <c r="AM175" s="23">
        <f>IF(AJ175="","",SUMIFS(Performance!$Z$5:$Z$404,Performance!$H$5:$H$404,AJ175))</f>
        <v>0</v>
      </c>
      <c r="AN175" s="24">
        <f>IF(OR(AL175="",AL175=0),"",AM175/AL175)</f>
        <v>0</v>
      </c>
      <c r="AO175" s="32">
        <f>IF(AN175="","",AN175+ROW()/1000000)</f>
        <v>0</v>
      </c>
      <c r="AP175" s="17">
        <f>IF(Lists!$E175="","",Lists!$E175)</f>
        <v>0</v>
      </c>
      <c r="AQ175" s="23">
        <f>IF(AP175="","",COUNTIF(Performance!$G$5:$G$404,AP175))</f>
        <v>0</v>
      </c>
      <c r="AR175" s="23">
        <f>IF(AP175="","",SUMIFS(Performance!$O$5:$O$404,Performance!$G$5:$G$404,AP175))</f>
        <v>0</v>
      </c>
      <c r="AS175" s="23">
        <f>IF(AP175="","",SUMIFS(Performance!$Z$5:$Z$404,Performance!$G$5:$G$404,AP175))</f>
        <v>0</v>
      </c>
      <c r="AT175" s="24">
        <f>IF(OR(AR175="",AR175=0),"",AS175/AR175)</f>
        <v>0</v>
      </c>
      <c r="AU175" s="32">
        <f>IF(AQ175=0,"",IF(AT175="","",AT175+ROW()/1000000))</f>
        <v>0</v>
      </c>
      <c r="AV175" s="17">
        <f>IF(ROW()-4&gt;7,"",TEXT(DATE(2024,1,ROW()-4),"ddd"))</f>
        <v>0</v>
      </c>
      <c r="AW175" s="23">
        <f>IF(AV175="","",COUNTIF(Performance!$N$5:$N$404,AV175))</f>
        <v>0</v>
      </c>
      <c r="AX175" s="23">
        <f>IF(AV175="","",SUMIFS(Performance!$O$5:$O$404,Performance!$N$5:$N$404,AV175))</f>
        <v>0</v>
      </c>
      <c r="AY175" s="23">
        <f>IF(AV175="","",SUMIFS(Performance!$Z$5:$Z$404,Performance!$N$5:$N$404,AV175))</f>
        <v>0</v>
      </c>
      <c r="AZ175" s="24">
        <f>IF(OR(AX175="",AX175=0),"",AY175/AX175)</f>
        <v>0</v>
      </c>
      <c r="BA175" s="32">
        <f>IF(AW175=0,"",IF(AZ175="","",AZ175+ROW()/1000000))</f>
        <v>0</v>
      </c>
      <c r="BB175" s="17">
        <f>IF(Lists!$AL175="","",Lists!$AL175)</f>
        <v>0</v>
      </c>
      <c r="BC175" s="23">
        <f>IF(BB175="","",COUNTIF(Performance!$M$5:$M$404,BB175))</f>
        <v>0</v>
      </c>
      <c r="BD175" s="23">
        <f>IF(BB175="","",SUMIFS(Performance!$O$5:$O$404,Performance!$M$5:$M$404,BB175))</f>
        <v>0</v>
      </c>
      <c r="BE175" s="23">
        <f>IF(BB175="","",SUMIFS(Performance!$Z$5:$Z$404,Performance!$M$5:$M$404,BB175))</f>
        <v>0</v>
      </c>
      <c r="BF175" s="24">
        <f>IF(OR(BD175="",BD175=0),"",BE175/BD175)</f>
        <v>0</v>
      </c>
      <c r="BG175" s="32">
        <f>IF(BC175=0,"",IF(BF175="","",BF175+ROW()/1000000))</f>
        <v>0</v>
      </c>
      <c r="BH175" s="17">
        <f>IF(Performance!$C$175="","",Performance!$C$175)</f>
        <v>0</v>
      </c>
      <c r="BI175" s="17">
        <f>IF(Performance!$F$175="","",Performance!$F$175)</f>
        <v>0</v>
      </c>
      <c r="BJ175" s="17">
        <f>IF(Performance!$H$175="","",Performance!$H$175)</f>
        <v>0</v>
      </c>
      <c r="BK175" s="16">
        <f>IF(Performance!$D$175="","",Performance!$D$175)</f>
        <v>0</v>
      </c>
      <c r="BL175" s="17">
        <f>IF(Performance!$E$175="","",Performance!$E$175)</f>
        <v>0</v>
      </c>
      <c r="BM175" s="23">
        <f>IF(Performance!$O$175="","",Performance!$O$175)</f>
        <v>0</v>
      </c>
      <c r="BN175" s="24">
        <f>IF(Performance!$AA$175="","",Performance!$AA$175)</f>
        <v>0</v>
      </c>
      <c r="BO175" s="32">
        <f>IF(BH175="","",IF(BK175="","",IF(OR(BK175&lt;DashStart,BK175&gt;DashEnd),"",IF(BN175="","",BN175+ROW()/1000000))))</f>
        <v>0</v>
      </c>
      <c r="BP175" s="32">
        <f>IF(BM175="","",IF(BK175="","",IF(OR(BK175&lt;DashStart,BK175&gt;DashEnd),"",BM175+ROW()/1000000)))</f>
        <v>0</v>
      </c>
      <c r="BQ175" s="32">
        <f>IF(BH175="","",IF(BK175="","",IF(YEAR(BK175)&lt;&gt;PlanYear,"",IF(BN175="","",BN175+ROW()/1000000))))</f>
        <v>0</v>
      </c>
      <c r="BR175" s="32">
        <f>IF(BH175="","",IF(BK175="","",IF(OR(BK175&lt;RepFrom,BK175&gt;RepTo),"",IF(BN175="","",BN175+ROW()/1000000))))</f>
        <v>0</v>
      </c>
      <c r="BS175" s="32">
        <f>IF(BM175="","",IF(BK175="","",IF(YEAR(BK175)&lt;&gt;PlanYear,"",BM175+ROW()/1000000)))</f>
        <v>0</v>
      </c>
      <c r="BT175" s="17">
        <f>IF(Lists!$F175="","",Lists!$F175)</f>
        <v>0</v>
      </c>
      <c r="BU175" s="23">
        <f>IF(BT175="","",COUNTIF('Content Calendar'!$X$5:$X$604,BT175))</f>
        <v>0</v>
      </c>
      <c r="BV175" s="23">
        <f>IF(BT175="","",COUNTIFS('Content Calendar'!$X$5:$X$604,BT175,'Content Calendar'!$B$5:$B$604,"&gt;="&amp;DashStart,'Content Calendar'!$B$5:$B$604,"&lt;="&amp;DashEnd))</f>
        <v>0</v>
      </c>
      <c r="BW175" s="17">
        <f>IF(Team!$B$175="","",Team!$B$175)</f>
        <v>0</v>
      </c>
      <c r="BX175" s="23">
        <f>IF(BW175="","",COUNTIF('Content Calendar'!$W$5:$W$604,BW175))</f>
        <v>0</v>
      </c>
      <c r="BY175" s="23">
        <f>IF(BW175="","",COUNTIFS('Content Calendar'!$W$5:$W$604,BW175,'Content Calendar'!$X$5:$X$604,"&lt;&gt;Published"))</f>
        <v>0</v>
      </c>
      <c r="BZ175" s="23">
        <f>IF(BW175="","",COUNTIFS(Tasks!$C$5:$C$64,BW175,Tasks!$G$5:$G$64,"&lt;&gt;Complete"))</f>
        <v>0</v>
      </c>
      <c r="CA175" s="17">
        <f>IF(Campaigns!$B$175="","",Campaigns!$B$175)</f>
        <v>0</v>
      </c>
      <c r="CB175" s="25">
        <f>IF(Campaigns!$T$175="","",Campaigns!$T$175)</f>
        <v>0</v>
      </c>
      <c r="CC175" s="25">
        <f>IF(Campaigns!$Q$175="","",Campaigns!$Q$175)</f>
        <v>0</v>
      </c>
      <c r="CD175" s="23">
        <f>IF(Campaigns!$Y$175="","",Campaigns!$Y$175)</f>
        <v>0</v>
      </c>
      <c r="CE175" s="32">
        <f>IF(CA175="","",IF(N(CB175)&lt;=0,"",N(CB175)+ROW()/1000000))</f>
        <v>0</v>
      </c>
      <c r="CF175" s="17">
        <f>IF(Accounts!$C$175="","",Accounts!$C$175)</f>
        <v>0</v>
      </c>
      <c r="CG175" s="17">
        <f>IF(Accounts!$B$175="","",Accounts!$B$175)</f>
        <v>0</v>
      </c>
      <c r="CH175" s="23">
        <f>IF(Accounts!$J$175="","",Accounts!$J$175)</f>
        <v>0</v>
      </c>
      <c r="CI175" s="23">
        <f>IF(CF175="","",SUMIFS(Analytics!$X$5:$X$154,Analytics!$E$5:$E$154,CF175,Analytics!$B$5:$B$154,"&gt;="&amp;DashStart,Analytics!$B$5:$B$154,"&lt;="&amp;DashEnd))</f>
        <v>0</v>
      </c>
      <c r="CJ175" s="32">
        <f>IF(CH175="","",IF(CH175=0,"",CH175+ROW()/1000000))</f>
        <v>0</v>
      </c>
    </row>
    <row r="176" spans="1:88">
      <c r="A176" s="16">
        <f>IF(ROW()-4&gt;12,"",DATE(PlanYear,ROW()-4,1))</f>
        <v>0</v>
      </c>
      <c r="B176" s="16">
        <f>IF(A176="","",EOMONTH(A176,0))</f>
        <v>0</v>
      </c>
      <c r="C176" s="17">
        <f>IF(A176="","",TEXT(A176,"yyyy-mm"))</f>
        <v>0</v>
      </c>
      <c r="D176" s="17">
        <f>IF(A176="","",TEXT(A176,"mmm"))</f>
        <v>0</v>
      </c>
      <c r="E176" s="23">
        <f>IF(C176="","",COUNTIFS('Content Calendar'!$D$5:$D$604,C176))</f>
        <v>0</v>
      </c>
      <c r="F176" s="23">
        <f>IF(C176="","",COUNTIFS('Content Calendar'!$D$5:$D$604,C176,'Content Calendar'!$X$5:$X$604,"Published"))</f>
        <v>0</v>
      </c>
      <c r="G176" s="23">
        <f>IF(C176="","",SUMIFS(Analytics!$J$5:$J$154,Analytics!$C$5:$C$154,C176))</f>
        <v>0</v>
      </c>
      <c r="H176" s="23">
        <f>IF(C176="","",SUMIFS(Analytics!$K$5:$K$154,Analytics!$C$5:$C$154,C176))</f>
        <v>0</v>
      </c>
      <c r="I176" s="23">
        <f>IF(C176="","",SUMIFS(Analytics!$L$5:$L$154,Analytics!$C$5:$C$154,C176))</f>
        <v>0</v>
      </c>
      <c r="J176" s="24">
        <f>IF(OR(G176="",G176=0),"",I176/G176)</f>
        <v>0</v>
      </c>
      <c r="K176" s="23">
        <f>IF(C176="","",SUMIFS(Analytics!$G$5:$G$154,Analytics!$C$5:$C$154,C176))</f>
        <v>0</v>
      </c>
      <c r="L176" s="23">
        <f>IF(C176="","",SUMIFS(Analytics!$X$5:$X$154,Analytics!$C$5:$C$154,C176))</f>
        <v>0</v>
      </c>
      <c r="M176" s="23">
        <f>IF(C176="","",SUMIFS(Analytics!$R$5:$R$154,Analytics!$C$5:$C$154,C176))</f>
        <v>0</v>
      </c>
      <c r="N176" s="23">
        <f>IF(C176="","",SUMIFS(Analytics!$S$5:$S$154,Analytics!$C$5:$C$154,C176))</f>
        <v>0</v>
      </c>
      <c r="O176" s="23">
        <f>IF(C176="","",SUMIFS(Analytics!$T$5:$T$154,Analytics!$C$5:$C$154,C176))</f>
        <v>0</v>
      </c>
      <c r="P176" s="25">
        <f>IF(C176="","",SUMIFS(Analytics!$U$5:$U$154,Analytics!$C$5:$C$154,C176))</f>
        <v>0</v>
      </c>
      <c r="Q176" s="25">
        <f>IF(C176="","",SUMIFS(Budget!$H$5:$H$64,Budget!$C$5:$C$64,C176))</f>
        <v>0</v>
      </c>
      <c r="R176" s="25">
        <f>IF(C176="","",P176-Q176)</f>
        <v>0</v>
      </c>
      <c r="S176" s="23">
        <f>IF(C176="","",MonthlyPostTarget)</f>
        <v>0</v>
      </c>
      <c r="T176" s="17">
        <f>IF(Lists!$C176="","",Lists!$C176)</f>
        <v>0</v>
      </c>
      <c r="U176" s="23">
        <f>IF(T176="","",COUNTIFS('Content Calendar'!$G$5:$G$604,T176,'Content Calendar'!$B$5:$B$604,"&gt;="&amp;DashStart,'Content Calendar'!$B$5:$B$604,"&lt;="&amp;DashEnd))</f>
        <v>0</v>
      </c>
      <c r="V176" s="23">
        <f>IF(T176="","",COUNTIFS('Content Calendar'!$G$5:$G$604,T176,'Content Calendar'!$X$5:$X$604,"Published",'Content Calendar'!$B$5:$B$604,"&gt;="&amp;DashStart,'Content Calendar'!$B$5:$B$604,"&lt;="&amp;DashEnd))</f>
        <v>0</v>
      </c>
      <c r="W176" s="23">
        <f>IF(T176="","",SUMIFS(Analytics!$J$5:$J$154,Analytics!$D$5:$D$154,T176,Analytics!$B$5:$B$154,"&gt;="&amp;DashStart,Analytics!$B$5:$B$154,"&lt;="&amp;DashEnd))</f>
        <v>0</v>
      </c>
      <c r="X176" s="23">
        <f>IF(T176="","",SUMIFS(Analytics!$L$5:$L$154,Analytics!$D$5:$D$154,T176,Analytics!$B$5:$B$154,"&gt;="&amp;DashStart,Analytics!$B$5:$B$154,"&lt;="&amp;DashEnd))</f>
        <v>0</v>
      </c>
      <c r="Y176" s="24">
        <f>IF(OR(W176="",W176=0),"",X176/W176)</f>
        <v>0</v>
      </c>
      <c r="Z176" s="23">
        <f>IF(T176="","",SUMIFS(Analytics!$G$5:$G$154,Analytics!$D$5:$D$154,T176,Analytics!$B$5:$B$154,"&gt;="&amp;DashStart,Analytics!$B$5:$B$154,"&lt;="&amp;DashEnd))</f>
        <v>0</v>
      </c>
      <c r="AA176" s="23">
        <f>IF(T176="","",SUMIFS(Analytics!$X$5:$X$154,Analytics!$D$5:$D$154,T176,Analytics!$B$5:$B$154,"&gt;="&amp;DashStart,Analytics!$B$5:$B$154,"&lt;="&amp;DashEnd))</f>
        <v>0</v>
      </c>
      <c r="AB176" s="23">
        <f>IF(T176="","",SUMIFS(Analytics!$R$5:$R$154,Analytics!$D$5:$D$154,T176,Analytics!$B$5:$B$154,"&gt;="&amp;DashStart,Analytics!$B$5:$B$154,"&lt;="&amp;DashEnd))</f>
        <v>0</v>
      </c>
      <c r="AC176" s="25">
        <f>IF(T176="","",SUMIFS(Analytics!$U$5:$U$154,Analytics!$D$5:$D$154,T176,Analytics!$B$5:$B$154,"&gt;="&amp;DashStart,Analytics!$B$5:$B$154,"&lt;="&amp;DashEnd))</f>
        <v>0</v>
      </c>
      <c r="AD176" s="23">
        <f>IF(T176="","",COUNTIFS('Content Calendar'!$G$5:$G$604,T176,'Content Calendar'!$B$5:$B$604,"&gt;="&amp;DATE(PlanYear,1,1),'Content Calendar'!$B$5:$B$604,"&lt;="&amp;DATE(PlanYear,12,31)))</f>
        <v>0</v>
      </c>
      <c r="AE176" s="23">
        <f>IF(T176="","",SUMIFS(Analytics!$J$5:$J$154,Analytics!$D$5:$D$154,T176))</f>
        <v>0</v>
      </c>
      <c r="AF176" s="23">
        <f>IF(T176="","",SUMIFS(Analytics!$L$5:$L$154,Analytics!$D$5:$D$154,T176))</f>
        <v>0</v>
      </c>
      <c r="AG176" s="24">
        <f>IF(OR(AE176="",AE176=0),"",AF176/AE176)</f>
        <v>0</v>
      </c>
      <c r="AH176" s="23">
        <f>IF(T176="","",SUMIFS(Analytics!$X$5:$X$154,Analytics!$D$5:$D$154,T176))</f>
        <v>0</v>
      </c>
      <c r="AI176" s="32">
        <f>IF(T176="","",IF(AE176=0,"",AE176+ROW()/1000000))</f>
        <v>0</v>
      </c>
      <c r="AJ176" s="17">
        <f>IF('Content Pillars'!$B$176="","",'Content Pillars'!$B$176)</f>
        <v>0</v>
      </c>
      <c r="AK176" s="23">
        <f>IF(AJ176="","",COUNTIFS('Content Calendar'!$J$5:$J$604,AJ176,'Content Calendar'!$B$5:$B$604,"&gt;="&amp;DATE(PlanYear,1,1),'Content Calendar'!$B$5:$B$604,"&lt;="&amp;DATE(PlanYear,12,31)))</f>
        <v>0</v>
      </c>
      <c r="AL176" s="23">
        <f>IF(AJ176="","",SUMIFS(Performance!$O$5:$O$404,Performance!$H$5:$H$404,AJ176))</f>
        <v>0</v>
      </c>
      <c r="AM176" s="23">
        <f>IF(AJ176="","",SUMIFS(Performance!$Z$5:$Z$404,Performance!$H$5:$H$404,AJ176))</f>
        <v>0</v>
      </c>
      <c r="AN176" s="24">
        <f>IF(OR(AL176="",AL176=0),"",AM176/AL176)</f>
        <v>0</v>
      </c>
      <c r="AO176" s="32">
        <f>IF(AN176="","",AN176+ROW()/1000000)</f>
        <v>0</v>
      </c>
      <c r="AP176" s="17">
        <f>IF(Lists!$E176="","",Lists!$E176)</f>
        <v>0</v>
      </c>
      <c r="AQ176" s="23">
        <f>IF(AP176="","",COUNTIF(Performance!$G$5:$G$404,AP176))</f>
        <v>0</v>
      </c>
      <c r="AR176" s="23">
        <f>IF(AP176="","",SUMIFS(Performance!$O$5:$O$404,Performance!$G$5:$G$404,AP176))</f>
        <v>0</v>
      </c>
      <c r="AS176" s="23">
        <f>IF(AP176="","",SUMIFS(Performance!$Z$5:$Z$404,Performance!$G$5:$G$404,AP176))</f>
        <v>0</v>
      </c>
      <c r="AT176" s="24">
        <f>IF(OR(AR176="",AR176=0),"",AS176/AR176)</f>
        <v>0</v>
      </c>
      <c r="AU176" s="32">
        <f>IF(AQ176=0,"",IF(AT176="","",AT176+ROW()/1000000))</f>
        <v>0</v>
      </c>
      <c r="AV176" s="17">
        <f>IF(ROW()-4&gt;7,"",TEXT(DATE(2024,1,ROW()-4),"ddd"))</f>
        <v>0</v>
      </c>
      <c r="AW176" s="23">
        <f>IF(AV176="","",COUNTIF(Performance!$N$5:$N$404,AV176))</f>
        <v>0</v>
      </c>
      <c r="AX176" s="23">
        <f>IF(AV176="","",SUMIFS(Performance!$O$5:$O$404,Performance!$N$5:$N$404,AV176))</f>
        <v>0</v>
      </c>
      <c r="AY176" s="23">
        <f>IF(AV176="","",SUMIFS(Performance!$Z$5:$Z$404,Performance!$N$5:$N$404,AV176))</f>
        <v>0</v>
      </c>
      <c r="AZ176" s="24">
        <f>IF(OR(AX176="",AX176=0),"",AY176/AX176)</f>
        <v>0</v>
      </c>
      <c r="BA176" s="32">
        <f>IF(AW176=0,"",IF(AZ176="","",AZ176+ROW()/1000000))</f>
        <v>0</v>
      </c>
      <c r="BB176" s="17">
        <f>IF(Lists!$AL176="","",Lists!$AL176)</f>
        <v>0</v>
      </c>
      <c r="BC176" s="23">
        <f>IF(BB176="","",COUNTIF(Performance!$M$5:$M$404,BB176))</f>
        <v>0</v>
      </c>
      <c r="BD176" s="23">
        <f>IF(BB176="","",SUMIFS(Performance!$O$5:$O$404,Performance!$M$5:$M$404,BB176))</f>
        <v>0</v>
      </c>
      <c r="BE176" s="23">
        <f>IF(BB176="","",SUMIFS(Performance!$Z$5:$Z$404,Performance!$M$5:$M$404,BB176))</f>
        <v>0</v>
      </c>
      <c r="BF176" s="24">
        <f>IF(OR(BD176="",BD176=0),"",BE176/BD176)</f>
        <v>0</v>
      </c>
      <c r="BG176" s="32">
        <f>IF(BC176=0,"",IF(BF176="","",BF176+ROW()/1000000))</f>
        <v>0</v>
      </c>
      <c r="BH176" s="17">
        <f>IF(Performance!$C$176="","",Performance!$C$176)</f>
        <v>0</v>
      </c>
      <c r="BI176" s="17">
        <f>IF(Performance!$F$176="","",Performance!$F$176)</f>
        <v>0</v>
      </c>
      <c r="BJ176" s="17">
        <f>IF(Performance!$H$176="","",Performance!$H$176)</f>
        <v>0</v>
      </c>
      <c r="BK176" s="16">
        <f>IF(Performance!$D$176="","",Performance!$D$176)</f>
        <v>0</v>
      </c>
      <c r="BL176" s="17">
        <f>IF(Performance!$E$176="","",Performance!$E$176)</f>
        <v>0</v>
      </c>
      <c r="BM176" s="23">
        <f>IF(Performance!$O$176="","",Performance!$O$176)</f>
        <v>0</v>
      </c>
      <c r="BN176" s="24">
        <f>IF(Performance!$AA$176="","",Performance!$AA$176)</f>
        <v>0</v>
      </c>
      <c r="BO176" s="32">
        <f>IF(BH176="","",IF(BK176="","",IF(OR(BK176&lt;DashStart,BK176&gt;DashEnd),"",IF(BN176="","",BN176+ROW()/1000000))))</f>
        <v>0</v>
      </c>
      <c r="BP176" s="32">
        <f>IF(BM176="","",IF(BK176="","",IF(OR(BK176&lt;DashStart,BK176&gt;DashEnd),"",BM176+ROW()/1000000)))</f>
        <v>0</v>
      </c>
      <c r="BQ176" s="32">
        <f>IF(BH176="","",IF(BK176="","",IF(YEAR(BK176)&lt;&gt;PlanYear,"",IF(BN176="","",BN176+ROW()/1000000))))</f>
        <v>0</v>
      </c>
      <c r="BR176" s="32">
        <f>IF(BH176="","",IF(BK176="","",IF(OR(BK176&lt;RepFrom,BK176&gt;RepTo),"",IF(BN176="","",BN176+ROW()/1000000))))</f>
        <v>0</v>
      </c>
      <c r="BS176" s="32">
        <f>IF(BM176="","",IF(BK176="","",IF(YEAR(BK176)&lt;&gt;PlanYear,"",BM176+ROW()/1000000)))</f>
        <v>0</v>
      </c>
      <c r="BT176" s="17">
        <f>IF(Lists!$F176="","",Lists!$F176)</f>
        <v>0</v>
      </c>
      <c r="BU176" s="23">
        <f>IF(BT176="","",COUNTIF('Content Calendar'!$X$5:$X$604,BT176))</f>
        <v>0</v>
      </c>
      <c r="BV176" s="23">
        <f>IF(BT176="","",COUNTIFS('Content Calendar'!$X$5:$X$604,BT176,'Content Calendar'!$B$5:$B$604,"&gt;="&amp;DashStart,'Content Calendar'!$B$5:$B$604,"&lt;="&amp;DashEnd))</f>
        <v>0</v>
      </c>
      <c r="BW176" s="17">
        <f>IF(Team!$B$176="","",Team!$B$176)</f>
        <v>0</v>
      </c>
      <c r="BX176" s="23">
        <f>IF(BW176="","",COUNTIF('Content Calendar'!$W$5:$W$604,BW176))</f>
        <v>0</v>
      </c>
      <c r="BY176" s="23">
        <f>IF(BW176="","",COUNTIFS('Content Calendar'!$W$5:$W$604,BW176,'Content Calendar'!$X$5:$X$604,"&lt;&gt;Published"))</f>
        <v>0</v>
      </c>
      <c r="BZ176" s="23">
        <f>IF(BW176="","",COUNTIFS(Tasks!$C$5:$C$64,BW176,Tasks!$G$5:$G$64,"&lt;&gt;Complete"))</f>
        <v>0</v>
      </c>
      <c r="CA176" s="17">
        <f>IF(Campaigns!$B$176="","",Campaigns!$B$176)</f>
        <v>0</v>
      </c>
      <c r="CB176" s="25">
        <f>IF(Campaigns!$T$176="","",Campaigns!$T$176)</f>
        <v>0</v>
      </c>
      <c r="CC176" s="25">
        <f>IF(Campaigns!$Q$176="","",Campaigns!$Q$176)</f>
        <v>0</v>
      </c>
      <c r="CD176" s="23">
        <f>IF(Campaigns!$Y$176="","",Campaigns!$Y$176)</f>
        <v>0</v>
      </c>
      <c r="CE176" s="32">
        <f>IF(CA176="","",IF(N(CB176)&lt;=0,"",N(CB176)+ROW()/1000000))</f>
        <v>0</v>
      </c>
      <c r="CF176" s="17">
        <f>IF(Accounts!$C$176="","",Accounts!$C$176)</f>
        <v>0</v>
      </c>
      <c r="CG176" s="17">
        <f>IF(Accounts!$B$176="","",Accounts!$B$176)</f>
        <v>0</v>
      </c>
      <c r="CH176" s="23">
        <f>IF(Accounts!$J$176="","",Accounts!$J$176)</f>
        <v>0</v>
      </c>
      <c r="CI176" s="23">
        <f>IF(CF176="","",SUMIFS(Analytics!$X$5:$X$154,Analytics!$E$5:$E$154,CF176,Analytics!$B$5:$B$154,"&gt;="&amp;DashStart,Analytics!$B$5:$B$154,"&lt;="&amp;DashEnd))</f>
        <v>0</v>
      </c>
      <c r="CJ176" s="32">
        <f>IF(CH176="","",IF(CH176=0,"",CH176+ROW()/1000000))</f>
        <v>0</v>
      </c>
    </row>
    <row r="177" spans="1:88">
      <c r="A177" s="16">
        <f>IF(ROW()-4&gt;12,"",DATE(PlanYear,ROW()-4,1))</f>
        <v>0</v>
      </c>
      <c r="B177" s="16">
        <f>IF(A177="","",EOMONTH(A177,0))</f>
        <v>0</v>
      </c>
      <c r="C177" s="17">
        <f>IF(A177="","",TEXT(A177,"yyyy-mm"))</f>
        <v>0</v>
      </c>
      <c r="D177" s="17">
        <f>IF(A177="","",TEXT(A177,"mmm"))</f>
        <v>0</v>
      </c>
      <c r="E177" s="23">
        <f>IF(C177="","",COUNTIFS('Content Calendar'!$D$5:$D$604,C177))</f>
        <v>0</v>
      </c>
      <c r="F177" s="23">
        <f>IF(C177="","",COUNTIFS('Content Calendar'!$D$5:$D$604,C177,'Content Calendar'!$X$5:$X$604,"Published"))</f>
        <v>0</v>
      </c>
      <c r="G177" s="23">
        <f>IF(C177="","",SUMIFS(Analytics!$J$5:$J$154,Analytics!$C$5:$C$154,C177))</f>
        <v>0</v>
      </c>
      <c r="H177" s="23">
        <f>IF(C177="","",SUMIFS(Analytics!$K$5:$K$154,Analytics!$C$5:$C$154,C177))</f>
        <v>0</v>
      </c>
      <c r="I177" s="23">
        <f>IF(C177="","",SUMIFS(Analytics!$L$5:$L$154,Analytics!$C$5:$C$154,C177))</f>
        <v>0</v>
      </c>
      <c r="J177" s="24">
        <f>IF(OR(G177="",G177=0),"",I177/G177)</f>
        <v>0</v>
      </c>
      <c r="K177" s="23">
        <f>IF(C177="","",SUMIFS(Analytics!$G$5:$G$154,Analytics!$C$5:$C$154,C177))</f>
        <v>0</v>
      </c>
      <c r="L177" s="23">
        <f>IF(C177="","",SUMIFS(Analytics!$X$5:$X$154,Analytics!$C$5:$C$154,C177))</f>
        <v>0</v>
      </c>
      <c r="M177" s="23">
        <f>IF(C177="","",SUMIFS(Analytics!$R$5:$R$154,Analytics!$C$5:$C$154,C177))</f>
        <v>0</v>
      </c>
      <c r="N177" s="23">
        <f>IF(C177="","",SUMIFS(Analytics!$S$5:$S$154,Analytics!$C$5:$C$154,C177))</f>
        <v>0</v>
      </c>
      <c r="O177" s="23">
        <f>IF(C177="","",SUMIFS(Analytics!$T$5:$T$154,Analytics!$C$5:$C$154,C177))</f>
        <v>0</v>
      </c>
      <c r="P177" s="25">
        <f>IF(C177="","",SUMIFS(Analytics!$U$5:$U$154,Analytics!$C$5:$C$154,C177))</f>
        <v>0</v>
      </c>
      <c r="Q177" s="25">
        <f>IF(C177="","",SUMIFS(Budget!$H$5:$H$64,Budget!$C$5:$C$64,C177))</f>
        <v>0</v>
      </c>
      <c r="R177" s="25">
        <f>IF(C177="","",P177-Q177)</f>
        <v>0</v>
      </c>
      <c r="S177" s="23">
        <f>IF(C177="","",MonthlyPostTarget)</f>
        <v>0</v>
      </c>
      <c r="T177" s="17">
        <f>IF(Lists!$C177="","",Lists!$C177)</f>
        <v>0</v>
      </c>
      <c r="U177" s="23">
        <f>IF(T177="","",COUNTIFS('Content Calendar'!$G$5:$G$604,T177,'Content Calendar'!$B$5:$B$604,"&gt;="&amp;DashStart,'Content Calendar'!$B$5:$B$604,"&lt;="&amp;DashEnd))</f>
        <v>0</v>
      </c>
      <c r="V177" s="23">
        <f>IF(T177="","",COUNTIFS('Content Calendar'!$G$5:$G$604,T177,'Content Calendar'!$X$5:$X$604,"Published",'Content Calendar'!$B$5:$B$604,"&gt;="&amp;DashStart,'Content Calendar'!$B$5:$B$604,"&lt;="&amp;DashEnd))</f>
        <v>0</v>
      </c>
      <c r="W177" s="23">
        <f>IF(T177="","",SUMIFS(Analytics!$J$5:$J$154,Analytics!$D$5:$D$154,T177,Analytics!$B$5:$B$154,"&gt;="&amp;DashStart,Analytics!$B$5:$B$154,"&lt;="&amp;DashEnd))</f>
        <v>0</v>
      </c>
      <c r="X177" s="23">
        <f>IF(T177="","",SUMIFS(Analytics!$L$5:$L$154,Analytics!$D$5:$D$154,T177,Analytics!$B$5:$B$154,"&gt;="&amp;DashStart,Analytics!$B$5:$B$154,"&lt;="&amp;DashEnd))</f>
        <v>0</v>
      </c>
      <c r="Y177" s="24">
        <f>IF(OR(W177="",W177=0),"",X177/W177)</f>
        <v>0</v>
      </c>
      <c r="Z177" s="23">
        <f>IF(T177="","",SUMIFS(Analytics!$G$5:$G$154,Analytics!$D$5:$D$154,T177,Analytics!$B$5:$B$154,"&gt;="&amp;DashStart,Analytics!$B$5:$B$154,"&lt;="&amp;DashEnd))</f>
        <v>0</v>
      </c>
      <c r="AA177" s="23">
        <f>IF(T177="","",SUMIFS(Analytics!$X$5:$X$154,Analytics!$D$5:$D$154,T177,Analytics!$B$5:$B$154,"&gt;="&amp;DashStart,Analytics!$B$5:$B$154,"&lt;="&amp;DashEnd))</f>
        <v>0</v>
      </c>
      <c r="AB177" s="23">
        <f>IF(T177="","",SUMIFS(Analytics!$R$5:$R$154,Analytics!$D$5:$D$154,T177,Analytics!$B$5:$B$154,"&gt;="&amp;DashStart,Analytics!$B$5:$B$154,"&lt;="&amp;DashEnd))</f>
        <v>0</v>
      </c>
      <c r="AC177" s="25">
        <f>IF(T177="","",SUMIFS(Analytics!$U$5:$U$154,Analytics!$D$5:$D$154,T177,Analytics!$B$5:$B$154,"&gt;="&amp;DashStart,Analytics!$B$5:$B$154,"&lt;="&amp;DashEnd))</f>
        <v>0</v>
      </c>
      <c r="AD177" s="23">
        <f>IF(T177="","",COUNTIFS('Content Calendar'!$G$5:$G$604,T177,'Content Calendar'!$B$5:$B$604,"&gt;="&amp;DATE(PlanYear,1,1),'Content Calendar'!$B$5:$B$604,"&lt;="&amp;DATE(PlanYear,12,31)))</f>
        <v>0</v>
      </c>
      <c r="AE177" s="23">
        <f>IF(T177="","",SUMIFS(Analytics!$J$5:$J$154,Analytics!$D$5:$D$154,T177))</f>
        <v>0</v>
      </c>
      <c r="AF177" s="23">
        <f>IF(T177="","",SUMIFS(Analytics!$L$5:$L$154,Analytics!$D$5:$D$154,T177))</f>
        <v>0</v>
      </c>
      <c r="AG177" s="24">
        <f>IF(OR(AE177="",AE177=0),"",AF177/AE177)</f>
        <v>0</v>
      </c>
      <c r="AH177" s="23">
        <f>IF(T177="","",SUMIFS(Analytics!$X$5:$X$154,Analytics!$D$5:$D$154,T177))</f>
        <v>0</v>
      </c>
      <c r="AI177" s="32">
        <f>IF(T177="","",IF(AE177=0,"",AE177+ROW()/1000000))</f>
        <v>0</v>
      </c>
      <c r="AJ177" s="17">
        <f>IF('Content Pillars'!$B$177="","",'Content Pillars'!$B$177)</f>
        <v>0</v>
      </c>
      <c r="AK177" s="23">
        <f>IF(AJ177="","",COUNTIFS('Content Calendar'!$J$5:$J$604,AJ177,'Content Calendar'!$B$5:$B$604,"&gt;="&amp;DATE(PlanYear,1,1),'Content Calendar'!$B$5:$B$604,"&lt;="&amp;DATE(PlanYear,12,31)))</f>
        <v>0</v>
      </c>
      <c r="AL177" s="23">
        <f>IF(AJ177="","",SUMIFS(Performance!$O$5:$O$404,Performance!$H$5:$H$404,AJ177))</f>
        <v>0</v>
      </c>
      <c r="AM177" s="23">
        <f>IF(AJ177="","",SUMIFS(Performance!$Z$5:$Z$404,Performance!$H$5:$H$404,AJ177))</f>
        <v>0</v>
      </c>
      <c r="AN177" s="24">
        <f>IF(OR(AL177="",AL177=0),"",AM177/AL177)</f>
        <v>0</v>
      </c>
      <c r="AO177" s="32">
        <f>IF(AN177="","",AN177+ROW()/1000000)</f>
        <v>0</v>
      </c>
      <c r="AP177" s="17">
        <f>IF(Lists!$E177="","",Lists!$E177)</f>
        <v>0</v>
      </c>
      <c r="AQ177" s="23">
        <f>IF(AP177="","",COUNTIF(Performance!$G$5:$G$404,AP177))</f>
        <v>0</v>
      </c>
      <c r="AR177" s="23">
        <f>IF(AP177="","",SUMIFS(Performance!$O$5:$O$404,Performance!$G$5:$G$404,AP177))</f>
        <v>0</v>
      </c>
      <c r="AS177" s="23">
        <f>IF(AP177="","",SUMIFS(Performance!$Z$5:$Z$404,Performance!$G$5:$G$404,AP177))</f>
        <v>0</v>
      </c>
      <c r="AT177" s="24">
        <f>IF(OR(AR177="",AR177=0),"",AS177/AR177)</f>
        <v>0</v>
      </c>
      <c r="AU177" s="32">
        <f>IF(AQ177=0,"",IF(AT177="","",AT177+ROW()/1000000))</f>
        <v>0</v>
      </c>
      <c r="AV177" s="17">
        <f>IF(ROW()-4&gt;7,"",TEXT(DATE(2024,1,ROW()-4),"ddd"))</f>
        <v>0</v>
      </c>
      <c r="AW177" s="23">
        <f>IF(AV177="","",COUNTIF(Performance!$N$5:$N$404,AV177))</f>
        <v>0</v>
      </c>
      <c r="AX177" s="23">
        <f>IF(AV177="","",SUMIFS(Performance!$O$5:$O$404,Performance!$N$5:$N$404,AV177))</f>
        <v>0</v>
      </c>
      <c r="AY177" s="23">
        <f>IF(AV177="","",SUMIFS(Performance!$Z$5:$Z$404,Performance!$N$5:$N$404,AV177))</f>
        <v>0</v>
      </c>
      <c r="AZ177" s="24">
        <f>IF(OR(AX177="",AX177=0),"",AY177/AX177)</f>
        <v>0</v>
      </c>
      <c r="BA177" s="32">
        <f>IF(AW177=0,"",IF(AZ177="","",AZ177+ROW()/1000000))</f>
        <v>0</v>
      </c>
      <c r="BB177" s="17">
        <f>IF(Lists!$AL177="","",Lists!$AL177)</f>
        <v>0</v>
      </c>
      <c r="BC177" s="23">
        <f>IF(BB177="","",COUNTIF(Performance!$M$5:$M$404,BB177))</f>
        <v>0</v>
      </c>
      <c r="BD177" s="23">
        <f>IF(BB177="","",SUMIFS(Performance!$O$5:$O$404,Performance!$M$5:$M$404,BB177))</f>
        <v>0</v>
      </c>
      <c r="BE177" s="23">
        <f>IF(BB177="","",SUMIFS(Performance!$Z$5:$Z$404,Performance!$M$5:$M$404,BB177))</f>
        <v>0</v>
      </c>
      <c r="BF177" s="24">
        <f>IF(OR(BD177="",BD177=0),"",BE177/BD177)</f>
        <v>0</v>
      </c>
      <c r="BG177" s="32">
        <f>IF(BC177=0,"",IF(BF177="","",BF177+ROW()/1000000))</f>
        <v>0</v>
      </c>
      <c r="BH177" s="17">
        <f>IF(Performance!$C$177="","",Performance!$C$177)</f>
        <v>0</v>
      </c>
      <c r="BI177" s="17">
        <f>IF(Performance!$F$177="","",Performance!$F$177)</f>
        <v>0</v>
      </c>
      <c r="BJ177" s="17">
        <f>IF(Performance!$H$177="","",Performance!$H$177)</f>
        <v>0</v>
      </c>
      <c r="BK177" s="16">
        <f>IF(Performance!$D$177="","",Performance!$D$177)</f>
        <v>0</v>
      </c>
      <c r="BL177" s="17">
        <f>IF(Performance!$E$177="","",Performance!$E$177)</f>
        <v>0</v>
      </c>
      <c r="BM177" s="23">
        <f>IF(Performance!$O$177="","",Performance!$O$177)</f>
        <v>0</v>
      </c>
      <c r="BN177" s="24">
        <f>IF(Performance!$AA$177="","",Performance!$AA$177)</f>
        <v>0</v>
      </c>
      <c r="BO177" s="32">
        <f>IF(BH177="","",IF(BK177="","",IF(OR(BK177&lt;DashStart,BK177&gt;DashEnd),"",IF(BN177="","",BN177+ROW()/1000000))))</f>
        <v>0</v>
      </c>
      <c r="BP177" s="32">
        <f>IF(BM177="","",IF(BK177="","",IF(OR(BK177&lt;DashStart,BK177&gt;DashEnd),"",BM177+ROW()/1000000)))</f>
        <v>0</v>
      </c>
      <c r="BQ177" s="32">
        <f>IF(BH177="","",IF(BK177="","",IF(YEAR(BK177)&lt;&gt;PlanYear,"",IF(BN177="","",BN177+ROW()/1000000))))</f>
        <v>0</v>
      </c>
      <c r="BR177" s="32">
        <f>IF(BH177="","",IF(BK177="","",IF(OR(BK177&lt;RepFrom,BK177&gt;RepTo),"",IF(BN177="","",BN177+ROW()/1000000))))</f>
        <v>0</v>
      </c>
      <c r="BS177" s="32">
        <f>IF(BM177="","",IF(BK177="","",IF(YEAR(BK177)&lt;&gt;PlanYear,"",BM177+ROW()/1000000)))</f>
        <v>0</v>
      </c>
      <c r="BT177" s="17">
        <f>IF(Lists!$F177="","",Lists!$F177)</f>
        <v>0</v>
      </c>
      <c r="BU177" s="23">
        <f>IF(BT177="","",COUNTIF('Content Calendar'!$X$5:$X$604,BT177))</f>
        <v>0</v>
      </c>
      <c r="BV177" s="23">
        <f>IF(BT177="","",COUNTIFS('Content Calendar'!$X$5:$X$604,BT177,'Content Calendar'!$B$5:$B$604,"&gt;="&amp;DashStart,'Content Calendar'!$B$5:$B$604,"&lt;="&amp;DashEnd))</f>
        <v>0</v>
      </c>
      <c r="BW177" s="17">
        <f>IF(Team!$B$177="","",Team!$B$177)</f>
        <v>0</v>
      </c>
      <c r="BX177" s="23">
        <f>IF(BW177="","",COUNTIF('Content Calendar'!$W$5:$W$604,BW177))</f>
        <v>0</v>
      </c>
      <c r="BY177" s="23">
        <f>IF(BW177="","",COUNTIFS('Content Calendar'!$W$5:$W$604,BW177,'Content Calendar'!$X$5:$X$604,"&lt;&gt;Published"))</f>
        <v>0</v>
      </c>
      <c r="BZ177" s="23">
        <f>IF(BW177="","",COUNTIFS(Tasks!$C$5:$C$64,BW177,Tasks!$G$5:$G$64,"&lt;&gt;Complete"))</f>
        <v>0</v>
      </c>
      <c r="CA177" s="17">
        <f>IF(Campaigns!$B$177="","",Campaigns!$B$177)</f>
        <v>0</v>
      </c>
      <c r="CB177" s="25">
        <f>IF(Campaigns!$T$177="","",Campaigns!$T$177)</f>
        <v>0</v>
      </c>
      <c r="CC177" s="25">
        <f>IF(Campaigns!$Q$177="","",Campaigns!$Q$177)</f>
        <v>0</v>
      </c>
      <c r="CD177" s="23">
        <f>IF(Campaigns!$Y$177="","",Campaigns!$Y$177)</f>
        <v>0</v>
      </c>
      <c r="CE177" s="32">
        <f>IF(CA177="","",IF(N(CB177)&lt;=0,"",N(CB177)+ROW()/1000000))</f>
        <v>0</v>
      </c>
      <c r="CF177" s="17">
        <f>IF(Accounts!$C$177="","",Accounts!$C$177)</f>
        <v>0</v>
      </c>
      <c r="CG177" s="17">
        <f>IF(Accounts!$B$177="","",Accounts!$B$177)</f>
        <v>0</v>
      </c>
      <c r="CH177" s="23">
        <f>IF(Accounts!$J$177="","",Accounts!$J$177)</f>
        <v>0</v>
      </c>
      <c r="CI177" s="23">
        <f>IF(CF177="","",SUMIFS(Analytics!$X$5:$X$154,Analytics!$E$5:$E$154,CF177,Analytics!$B$5:$B$154,"&gt;="&amp;DashStart,Analytics!$B$5:$B$154,"&lt;="&amp;DashEnd))</f>
        <v>0</v>
      </c>
      <c r="CJ177" s="32">
        <f>IF(CH177="","",IF(CH177=0,"",CH177+ROW()/1000000))</f>
        <v>0</v>
      </c>
    </row>
    <row r="178" spans="1:88">
      <c r="A178" s="16">
        <f>IF(ROW()-4&gt;12,"",DATE(PlanYear,ROW()-4,1))</f>
        <v>0</v>
      </c>
      <c r="B178" s="16">
        <f>IF(A178="","",EOMONTH(A178,0))</f>
        <v>0</v>
      </c>
      <c r="C178" s="17">
        <f>IF(A178="","",TEXT(A178,"yyyy-mm"))</f>
        <v>0</v>
      </c>
      <c r="D178" s="17">
        <f>IF(A178="","",TEXT(A178,"mmm"))</f>
        <v>0</v>
      </c>
      <c r="E178" s="23">
        <f>IF(C178="","",COUNTIFS('Content Calendar'!$D$5:$D$604,C178))</f>
        <v>0</v>
      </c>
      <c r="F178" s="23">
        <f>IF(C178="","",COUNTIFS('Content Calendar'!$D$5:$D$604,C178,'Content Calendar'!$X$5:$X$604,"Published"))</f>
        <v>0</v>
      </c>
      <c r="G178" s="23">
        <f>IF(C178="","",SUMIFS(Analytics!$J$5:$J$154,Analytics!$C$5:$C$154,C178))</f>
        <v>0</v>
      </c>
      <c r="H178" s="23">
        <f>IF(C178="","",SUMIFS(Analytics!$K$5:$K$154,Analytics!$C$5:$C$154,C178))</f>
        <v>0</v>
      </c>
      <c r="I178" s="23">
        <f>IF(C178="","",SUMIFS(Analytics!$L$5:$L$154,Analytics!$C$5:$C$154,C178))</f>
        <v>0</v>
      </c>
      <c r="J178" s="24">
        <f>IF(OR(G178="",G178=0),"",I178/G178)</f>
        <v>0</v>
      </c>
      <c r="K178" s="23">
        <f>IF(C178="","",SUMIFS(Analytics!$G$5:$G$154,Analytics!$C$5:$C$154,C178))</f>
        <v>0</v>
      </c>
      <c r="L178" s="23">
        <f>IF(C178="","",SUMIFS(Analytics!$X$5:$X$154,Analytics!$C$5:$C$154,C178))</f>
        <v>0</v>
      </c>
      <c r="M178" s="23">
        <f>IF(C178="","",SUMIFS(Analytics!$R$5:$R$154,Analytics!$C$5:$C$154,C178))</f>
        <v>0</v>
      </c>
      <c r="N178" s="23">
        <f>IF(C178="","",SUMIFS(Analytics!$S$5:$S$154,Analytics!$C$5:$C$154,C178))</f>
        <v>0</v>
      </c>
      <c r="O178" s="23">
        <f>IF(C178="","",SUMIFS(Analytics!$T$5:$T$154,Analytics!$C$5:$C$154,C178))</f>
        <v>0</v>
      </c>
      <c r="P178" s="25">
        <f>IF(C178="","",SUMIFS(Analytics!$U$5:$U$154,Analytics!$C$5:$C$154,C178))</f>
        <v>0</v>
      </c>
      <c r="Q178" s="25">
        <f>IF(C178="","",SUMIFS(Budget!$H$5:$H$64,Budget!$C$5:$C$64,C178))</f>
        <v>0</v>
      </c>
      <c r="R178" s="25">
        <f>IF(C178="","",P178-Q178)</f>
        <v>0</v>
      </c>
      <c r="S178" s="23">
        <f>IF(C178="","",MonthlyPostTarget)</f>
        <v>0</v>
      </c>
      <c r="T178" s="17">
        <f>IF(Lists!$C178="","",Lists!$C178)</f>
        <v>0</v>
      </c>
      <c r="U178" s="23">
        <f>IF(T178="","",COUNTIFS('Content Calendar'!$G$5:$G$604,T178,'Content Calendar'!$B$5:$B$604,"&gt;="&amp;DashStart,'Content Calendar'!$B$5:$B$604,"&lt;="&amp;DashEnd))</f>
        <v>0</v>
      </c>
      <c r="V178" s="23">
        <f>IF(T178="","",COUNTIFS('Content Calendar'!$G$5:$G$604,T178,'Content Calendar'!$X$5:$X$604,"Published",'Content Calendar'!$B$5:$B$604,"&gt;="&amp;DashStart,'Content Calendar'!$B$5:$B$604,"&lt;="&amp;DashEnd))</f>
        <v>0</v>
      </c>
      <c r="W178" s="23">
        <f>IF(T178="","",SUMIFS(Analytics!$J$5:$J$154,Analytics!$D$5:$D$154,T178,Analytics!$B$5:$B$154,"&gt;="&amp;DashStart,Analytics!$B$5:$B$154,"&lt;="&amp;DashEnd))</f>
        <v>0</v>
      </c>
      <c r="X178" s="23">
        <f>IF(T178="","",SUMIFS(Analytics!$L$5:$L$154,Analytics!$D$5:$D$154,T178,Analytics!$B$5:$B$154,"&gt;="&amp;DashStart,Analytics!$B$5:$B$154,"&lt;="&amp;DashEnd))</f>
        <v>0</v>
      </c>
      <c r="Y178" s="24">
        <f>IF(OR(W178="",W178=0),"",X178/W178)</f>
        <v>0</v>
      </c>
      <c r="Z178" s="23">
        <f>IF(T178="","",SUMIFS(Analytics!$G$5:$G$154,Analytics!$D$5:$D$154,T178,Analytics!$B$5:$B$154,"&gt;="&amp;DashStart,Analytics!$B$5:$B$154,"&lt;="&amp;DashEnd))</f>
        <v>0</v>
      </c>
      <c r="AA178" s="23">
        <f>IF(T178="","",SUMIFS(Analytics!$X$5:$X$154,Analytics!$D$5:$D$154,T178,Analytics!$B$5:$B$154,"&gt;="&amp;DashStart,Analytics!$B$5:$B$154,"&lt;="&amp;DashEnd))</f>
        <v>0</v>
      </c>
      <c r="AB178" s="23">
        <f>IF(T178="","",SUMIFS(Analytics!$R$5:$R$154,Analytics!$D$5:$D$154,T178,Analytics!$B$5:$B$154,"&gt;="&amp;DashStart,Analytics!$B$5:$B$154,"&lt;="&amp;DashEnd))</f>
        <v>0</v>
      </c>
      <c r="AC178" s="25">
        <f>IF(T178="","",SUMIFS(Analytics!$U$5:$U$154,Analytics!$D$5:$D$154,T178,Analytics!$B$5:$B$154,"&gt;="&amp;DashStart,Analytics!$B$5:$B$154,"&lt;="&amp;DashEnd))</f>
        <v>0</v>
      </c>
      <c r="AD178" s="23">
        <f>IF(T178="","",COUNTIFS('Content Calendar'!$G$5:$G$604,T178,'Content Calendar'!$B$5:$B$604,"&gt;="&amp;DATE(PlanYear,1,1),'Content Calendar'!$B$5:$B$604,"&lt;="&amp;DATE(PlanYear,12,31)))</f>
        <v>0</v>
      </c>
      <c r="AE178" s="23">
        <f>IF(T178="","",SUMIFS(Analytics!$J$5:$J$154,Analytics!$D$5:$D$154,T178))</f>
        <v>0</v>
      </c>
      <c r="AF178" s="23">
        <f>IF(T178="","",SUMIFS(Analytics!$L$5:$L$154,Analytics!$D$5:$D$154,T178))</f>
        <v>0</v>
      </c>
      <c r="AG178" s="24">
        <f>IF(OR(AE178="",AE178=0),"",AF178/AE178)</f>
        <v>0</v>
      </c>
      <c r="AH178" s="23">
        <f>IF(T178="","",SUMIFS(Analytics!$X$5:$X$154,Analytics!$D$5:$D$154,T178))</f>
        <v>0</v>
      </c>
      <c r="AI178" s="32">
        <f>IF(T178="","",IF(AE178=0,"",AE178+ROW()/1000000))</f>
        <v>0</v>
      </c>
      <c r="AJ178" s="17">
        <f>IF('Content Pillars'!$B$178="","",'Content Pillars'!$B$178)</f>
        <v>0</v>
      </c>
      <c r="AK178" s="23">
        <f>IF(AJ178="","",COUNTIFS('Content Calendar'!$J$5:$J$604,AJ178,'Content Calendar'!$B$5:$B$604,"&gt;="&amp;DATE(PlanYear,1,1),'Content Calendar'!$B$5:$B$604,"&lt;="&amp;DATE(PlanYear,12,31)))</f>
        <v>0</v>
      </c>
      <c r="AL178" s="23">
        <f>IF(AJ178="","",SUMIFS(Performance!$O$5:$O$404,Performance!$H$5:$H$404,AJ178))</f>
        <v>0</v>
      </c>
      <c r="AM178" s="23">
        <f>IF(AJ178="","",SUMIFS(Performance!$Z$5:$Z$404,Performance!$H$5:$H$404,AJ178))</f>
        <v>0</v>
      </c>
      <c r="AN178" s="24">
        <f>IF(OR(AL178="",AL178=0),"",AM178/AL178)</f>
        <v>0</v>
      </c>
      <c r="AO178" s="32">
        <f>IF(AN178="","",AN178+ROW()/1000000)</f>
        <v>0</v>
      </c>
      <c r="AP178" s="17">
        <f>IF(Lists!$E178="","",Lists!$E178)</f>
        <v>0</v>
      </c>
      <c r="AQ178" s="23">
        <f>IF(AP178="","",COUNTIF(Performance!$G$5:$G$404,AP178))</f>
        <v>0</v>
      </c>
      <c r="AR178" s="23">
        <f>IF(AP178="","",SUMIFS(Performance!$O$5:$O$404,Performance!$G$5:$G$404,AP178))</f>
        <v>0</v>
      </c>
      <c r="AS178" s="23">
        <f>IF(AP178="","",SUMIFS(Performance!$Z$5:$Z$404,Performance!$G$5:$G$404,AP178))</f>
        <v>0</v>
      </c>
      <c r="AT178" s="24">
        <f>IF(OR(AR178="",AR178=0),"",AS178/AR178)</f>
        <v>0</v>
      </c>
      <c r="AU178" s="32">
        <f>IF(AQ178=0,"",IF(AT178="","",AT178+ROW()/1000000))</f>
        <v>0</v>
      </c>
      <c r="AV178" s="17">
        <f>IF(ROW()-4&gt;7,"",TEXT(DATE(2024,1,ROW()-4),"ddd"))</f>
        <v>0</v>
      </c>
      <c r="AW178" s="23">
        <f>IF(AV178="","",COUNTIF(Performance!$N$5:$N$404,AV178))</f>
        <v>0</v>
      </c>
      <c r="AX178" s="23">
        <f>IF(AV178="","",SUMIFS(Performance!$O$5:$O$404,Performance!$N$5:$N$404,AV178))</f>
        <v>0</v>
      </c>
      <c r="AY178" s="23">
        <f>IF(AV178="","",SUMIFS(Performance!$Z$5:$Z$404,Performance!$N$5:$N$404,AV178))</f>
        <v>0</v>
      </c>
      <c r="AZ178" s="24">
        <f>IF(OR(AX178="",AX178=0),"",AY178/AX178)</f>
        <v>0</v>
      </c>
      <c r="BA178" s="32">
        <f>IF(AW178=0,"",IF(AZ178="","",AZ178+ROW()/1000000))</f>
        <v>0</v>
      </c>
      <c r="BB178" s="17">
        <f>IF(Lists!$AL178="","",Lists!$AL178)</f>
        <v>0</v>
      </c>
      <c r="BC178" s="23">
        <f>IF(BB178="","",COUNTIF(Performance!$M$5:$M$404,BB178))</f>
        <v>0</v>
      </c>
      <c r="BD178" s="23">
        <f>IF(BB178="","",SUMIFS(Performance!$O$5:$O$404,Performance!$M$5:$M$404,BB178))</f>
        <v>0</v>
      </c>
      <c r="BE178" s="23">
        <f>IF(BB178="","",SUMIFS(Performance!$Z$5:$Z$404,Performance!$M$5:$M$404,BB178))</f>
        <v>0</v>
      </c>
      <c r="BF178" s="24">
        <f>IF(OR(BD178="",BD178=0),"",BE178/BD178)</f>
        <v>0</v>
      </c>
      <c r="BG178" s="32">
        <f>IF(BC178=0,"",IF(BF178="","",BF178+ROW()/1000000))</f>
        <v>0</v>
      </c>
      <c r="BH178" s="17">
        <f>IF(Performance!$C$178="","",Performance!$C$178)</f>
        <v>0</v>
      </c>
      <c r="BI178" s="17">
        <f>IF(Performance!$F$178="","",Performance!$F$178)</f>
        <v>0</v>
      </c>
      <c r="BJ178" s="17">
        <f>IF(Performance!$H$178="","",Performance!$H$178)</f>
        <v>0</v>
      </c>
      <c r="BK178" s="16">
        <f>IF(Performance!$D$178="","",Performance!$D$178)</f>
        <v>0</v>
      </c>
      <c r="BL178" s="17">
        <f>IF(Performance!$E$178="","",Performance!$E$178)</f>
        <v>0</v>
      </c>
      <c r="BM178" s="23">
        <f>IF(Performance!$O$178="","",Performance!$O$178)</f>
        <v>0</v>
      </c>
      <c r="BN178" s="24">
        <f>IF(Performance!$AA$178="","",Performance!$AA$178)</f>
        <v>0</v>
      </c>
      <c r="BO178" s="32">
        <f>IF(BH178="","",IF(BK178="","",IF(OR(BK178&lt;DashStart,BK178&gt;DashEnd),"",IF(BN178="","",BN178+ROW()/1000000))))</f>
        <v>0</v>
      </c>
      <c r="BP178" s="32">
        <f>IF(BM178="","",IF(BK178="","",IF(OR(BK178&lt;DashStart,BK178&gt;DashEnd),"",BM178+ROW()/1000000)))</f>
        <v>0</v>
      </c>
      <c r="BQ178" s="32">
        <f>IF(BH178="","",IF(BK178="","",IF(YEAR(BK178)&lt;&gt;PlanYear,"",IF(BN178="","",BN178+ROW()/1000000))))</f>
        <v>0</v>
      </c>
      <c r="BR178" s="32">
        <f>IF(BH178="","",IF(BK178="","",IF(OR(BK178&lt;RepFrom,BK178&gt;RepTo),"",IF(BN178="","",BN178+ROW()/1000000))))</f>
        <v>0</v>
      </c>
      <c r="BS178" s="32">
        <f>IF(BM178="","",IF(BK178="","",IF(YEAR(BK178)&lt;&gt;PlanYear,"",BM178+ROW()/1000000)))</f>
        <v>0</v>
      </c>
      <c r="BT178" s="17">
        <f>IF(Lists!$F178="","",Lists!$F178)</f>
        <v>0</v>
      </c>
      <c r="BU178" s="23">
        <f>IF(BT178="","",COUNTIF('Content Calendar'!$X$5:$X$604,BT178))</f>
        <v>0</v>
      </c>
      <c r="BV178" s="23">
        <f>IF(BT178="","",COUNTIFS('Content Calendar'!$X$5:$X$604,BT178,'Content Calendar'!$B$5:$B$604,"&gt;="&amp;DashStart,'Content Calendar'!$B$5:$B$604,"&lt;="&amp;DashEnd))</f>
        <v>0</v>
      </c>
      <c r="BW178" s="17">
        <f>IF(Team!$B$178="","",Team!$B$178)</f>
        <v>0</v>
      </c>
      <c r="BX178" s="23">
        <f>IF(BW178="","",COUNTIF('Content Calendar'!$W$5:$W$604,BW178))</f>
        <v>0</v>
      </c>
      <c r="BY178" s="23">
        <f>IF(BW178="","",COUNTIFS('Content Calendar'!$W$5:$W$604,BW178,'Content Calendar'!$X$5:$X$604,"&lt;&gt;Published"))</f>
        <v>0</v>
      </c>
      <c r="BZ178" s="23">
        <f>IF(BW178="","",COUNTIFS(Tasks!$C$5:$C$64,BW178,Tasks!$G$5:$G$64,"&lt;&gt;Complete"))</f>
        <v>0</v>
      </c>
      <c r="CA178" s="17">
        <f>IF(Campaigns!$B$178="","",Campaigns!$B$178)</f>
        <v>0</v>
      </c>
      <c r="CB178" s="25">
        <f>IF(Campaigns!$T$178="","",Campaigns!$T$178)</f>
        <v>0</v>
      </c>
      <c r="CC178" s="25">
        <f>IF(Campaigns!$Q$178="","",Campaigns!$Q$178)</f>
        <v>0</v>
      </c>
      <c r="CD178" s="23">
        <f>IF(Campaigns!$Y$178="","",Campaigns!$Y$178)</f>
        <v>0</v>
      </c>
      <c r="CE178" s="32">
        <f>IF(CA178="","",IF(N(CB178)&lt;=0,"",N(CB178)+ROW()/1000000))</f>
        <v>0</v>
      </c>
      <c r="CF178" s="17">
        <f>IF(Accounts!$C$178="","",Accounts!$C$178)</f>
        <v>0</v>
      </c>
      <c r="CG178" s="17">
        <f>IF(Accounts!$B$178="","",Accounts!$B$178)</f>
        <v>0</v>
      </c>
      <c r="CH178" s="23">
        <f>IF(Accounts!$J$178="","",Accounts!$J$178)</f>
        <v>0</v>
      </c>
      <c r="CI178" s="23">
        <f>IF(CF178="","",SUMIFS(Analytics!$X$5:$X$154,Analytics!$E$5:$E$154,CF178,Analytics!$B$5:$B$154,"&gt;="&amp;DashStart,Analytics!$B$5:$B$154,"&lt;="&amp;DashEnd))</f>
        <v>0</v>
      </c>
      <c r="CJ178" s="32">
        <f>IF(CH178="","",IF(CH178=0,"",CH178+ROW()/1000000))</f>
        <v>0</v>
      </c>
    </row>
    <row r="179" spans="1:88">
      <c r="A179" s="16">
        <f>IF(ROW()-4&gt;12,"",DATE(PlanYear,ROW()-4,1))</f>
        <v>0</v>
      </c>
      <c r="B179" s="16">
        <f>IF(A179="","",EOMONTH(A179,0))</f>
        <v>0</v>
      </c>
      <c r="C179" s="17">
        <f>IF(A179="","",TEXT(A179,"yyyy-mm"))</f>
        <v>0</v>
      </c>
      <c r="D179" s="17">
        <f>IF(A179="","",TEXT(A179,"mmm"))</f>
        <v>0</v>
      </c>
      <c r="E179" s="23">
        <f>IF(C179="","",COUNTIFS('Content Calendar'!$D$5:$D$604,C179))</f>
        <v>0</v>
      </c>
      <c r="F179" s="23">
        <f>IF(C179="","",COUNTIFS('Content Calendar'!$D$5:$D$604,C179,'Content Calendar'!$X$5:$X$604,"Published"))</f>
        <v>0</v>
      </c>
      <c r="G179" s="23">
        <f>IF(C179="","",SUMIFS(Analytics!$J$5:$J$154,Analytics!$C$5:$C$154,C179))</f>
        <v>0</v>
      </c>
      <c r="H179" s="23">
        <f>IF(C179="","",SUMIFS(Analytics!$K$5:$K$154,Analytics!$C$5:$C$154,C179))</f>
        <v>0</v>
      </c>
      <c r="I179" s="23">
        <f>IF(C179="","",SUMIFS(Analytics!$L$5:$L$154,Analytics!$C$5:$C$154,C179))</f>
        <v>0</v>
      </c>
      <c r="J179" s="24">
        <f>IF(OR(G179="",G179=0),"",I179/G179)</f>
        <v>0</v>
      </c>
      <c r="K179" s="23">
        <f>IF(C179="","",SUMIFS(Analytics!$G$5:$G$154,Analytics!$C$5:$C$154,C179))</f>
        <v>0</v>
      </c>
      <c r="L179" s="23">
        <f>IF(C179="","",SUMIFS(Analytics!$X$5:$X$154,Analytics!$C$5:$C$154,C179))</f>
        <v>0</v>
      </c>
      <c r="M179" s="23">
        <f>IF(C179="","",SUMIFS(Analytics!$R$5:$R$154,Analytics!$C$5:$C$154,C179))</f>
        <v>0</v>
      </c>
      <c r="N179" s="23">
        <f>IF(C179="","",SUMIFS(Analytics!$S$5:$S$154,Analytics!$C$5:$C$154,C179))</f>
        <v>0</v>
      </c>
      <c r="O179" s="23">
        <f>IF(C179="","",SUMIFS(Analytics!$T$5:$T$154,Analytics!$C$5:$C$154,C179))</f>
        <v>0</v>
      </c>
      <c r="P179" s="25">
        <f>IF(C179="","",SUMIFS(Analytics!$U$5:$U$154,Analytics!$C$5:$C$154,C179))</f>
        <v>0</v>
      </c>
      <c r="Q179" s="25">
        <f>IF(C179="","",SUMIFS(Budget!$H$5:$H$64,Budget!$C$5:$C$64,C179))</f>
        <v>0</v>
      </c>
      <c r="R179" s="25">
        <f>IF(C179="","",P179-Q179)</f>
        <v>0</v>
      </c>
      <c r="S179" s="23">
        <f>IF(C179="","",MonthlyPostTarget)</f>
        <v>0</v>
      </c>
      <c r="T179" s="17">
        <f>IF(Lists!$C179="","",Lists!$C179)</f>
        <v>0</v>
      </c>
      <c r="U179" s="23">
        <f>IF(T179="","",COUNTIFS('Content Calendar'!$G$5:$G$604,T179,'Content Calendar'!$B$5:$B$604,"&gt;="&amp;DashStart,'Content Calendar'!$B$5:$B$604,"&lt;="&amp;DashEnd))</f>
        <v>0</v>
      </c>
      <c r="V179" s="23">
        <f>IF(T179="","",COUNTIFS('Content Calendar'!$G$5:$G$604,T179,'Content Calendar'!$X$5:$X$604,"Published",'Content Calendar'!$B$5:$B$604,"&gt;="&amp;DashStart,'Content Calendar'!$B$5:$B$604,"&lt;="&amp;DashEnd))</f>
        <v>0</v>
      </c>
      <c r="W179" s="23">
        <f>IF(T179="","",SUMIFS(Analytics!$J$5:$J$154,Analytics!$D$5:$D$154,T179,Analytics!$B$5:$B$154,"&gt;="&amp;DashStart,Analytics!$B$5:$B$154,"&lt;="&amp;DashEnd))</f>
        <v>0</v>
      </c>
      <c r="X179" s="23">
        <f>IF(T179="","",SUMIFS(Analytics!$L$5:$L$154,Analytics!$D$5:$D$154,T179,Analytics!$B$5:$B$154,"&gt;="&amp;DashStart,Analytics!$B$5:$B$154,"&lt;="&amp;DashEnd))</f>
        <v>0</v>
      </c>
      <c r="Y179" s="24">
        <f>IF(OR(W179="",W179=0),"",X179/W179)</f>
        <v>0</v>
      </c>
      <c r="Z179" s="23">
        <f>IF(T179="","",SUMIFS(Analytics!$G$5:$G$154,Analytics!$D$5:$D$154,T179,Analytics!$B$5:$B$154,"&gt;="&amp;DashStart,Analytics!$B$5:$B$154,"&lt;="&amp;DashEnd))</f>
        <v>0</v>
      </c>
      <c r="AA179" s="23">
        <f>IF(T179="","",SUMIFS(Analytics!$X$5:$X$154,Analytics!$D$5:$D$154,T179,Analytics!$B$5:$B$154,"&gt;="&amp;DashStart,Analytics!$B$5:$B$154,"&lt;="&amp;DashEnd))</f>
        <v>0</v>
      </c>
      <c r="AB179" s="23">
        <f>IF(T179="","",SUMIFS(Analytics!$R$5:$R$154,Analytics!$D$5:$D$154,T179,Analytics!$B$5:$B$154,"&gt;="&amp;DashStart,Analytics!$B$5:$B$154,"&lt;="&amp;DashEnd))</f>
        <v>0</v>
      </c>
      <c r="AC179" s="25">
        <f>IF(T179="","",SUMIFS(Analytics!$U$5:$U$154,Analytics!$D$5:$D$154,T179,Analytics!$B$5:$B$154,"&gt;="&amp;DashStart,Analytics!$B$5:$B$154,"&lt;="&amp;DashEnd))</f>
        <v>0</v>
      </c>
      <c r="AD179" s="23">
        <f>IF(T179="","",COUNTIFS('Content Calendar'!$G$5:$G$604,T179,'Content Calendar'!$B$5:$B$604,"&gt;="&amp;DATE(PlanYear,1,1),'Content Calendar'!$B$5:$B$604,"&lt;="&amp;DATE(PlanYear,12,31)))</f>
        <v>0</v>
      </c>
      <c r="AE179" s="23">
        <f>IF(T179="","",SUMIFS(Analytics!$J$5:$J$154,Analytics!$D$5:$D$154,T179))</f>
        <v>0</v>
      </c>
      <c r="AF179" s="23">
        <f>IF(T179="","",SUMIFS(Analytics!$L$5:$L$154,Analytics!$D$5:$D$154,T179))</f>
        <v>0</v>
      </c>
      <c r="AG179" s="24">
        <f>IF(OR(AE179="",AE179=0),"",AF179/AE179)</f>
        <v>0</v>
      </c>
      <c r="AH179" s="23">
        <f>IF(T179="","",SUMIFS(Analytics!$X$5:$X$154,Analytics!$D$5:$D$154,T179))</f>
        <v>0</v>
      </c>
      <c r="AI179" s="32">
        <f>IF(T179="","",IF(AE179=0,"",AE179+ROW()/1000000))</f>
        <v>0</v>
      </c>
      <c r="AJ179" s="17">
        <f>IF('Content Pillars'!$B$179="","",'Content Pillars'!$B$179)</f>
        <v>0</v>
      </c>
      <c r="AK179" s="23">
        <f>IF(AJ179="","",COUNTIFS('Content Calendar'!$J$5:$J$604,AJ179,'Content Calendar'!$B$5:$B$604,"&gt;="&amp;DATE(PlanYear,1,1),'Content Calendar'!$B$5:$B$604,"&lt;="&amp;DATE(PlanYear,12,31)))</f>
        <v>0</v>
      </c>
      <c r="AL179" s="23">
        <f>IF(AJ179="","",SUMIFS(Performance!$O$5:$O$404,Performance!$H$5:$H$404,AJ179))</f>
        <v>0</v>
      </c>
      <c r="AM179" s="23">
        <f>IF(AJ179="","",SUMIFS(Performance!$Z$5:$Z$404,Performance!$H$5:$H$404,AJ179))</f>
        <v>0</v>
      </c>
      <c r="AN179" s="24">
        <f>IF(OR(AL179="",AL179=0),"",AM179/AL179)</f>
        <v>0</v>
      </c>
      <c r="AO179" s="32">
        <f>IF(AN179="","",AN179+ROW()/1000000)</f>
        <v>0</v>
      </c>
      <c r="AP179" s="17">
        <f>IF(Lists!$E179="","",Lists!$E179)</f>
        <v>0</v>
      </c>
      <c r="AQ179" s="23">
        <f>IF(AP179="","",COUNTIF(Performance!$G$5:$G$404,AP179))</f>
        <v>0</v>
      </c>
      <c r="AR179" s="23">
        <f>IF(AP179="","",SUMIFS(Performance!$O$5:$O$404,Performance!$G$5:$G$404,AP179))</f>
        <v>0</v>
      </c>
      <c r="AS179" s="23">
        <f>IF(AP179="","",SUMIFS(Performance!$Z$5:$Z$404,Performance!$G$5:$G$404,AP179))</f>
        <v>0</v>
      </c>
      <c r="AT179" s="24">
        <f>IF(OR(AR179="",AR179=0),"",AS179/AR179)</f>
        <v>0</v>
      </c>
      <c r="AU179" s="32">
        <f>IF(AQ179=0,"",IF(AT179="","",AT179+ROW()/1000000))</f>
        <v>0</v>
      </c>
      <c r="AV179" s="17">
        <f>IF(ROW()-4&gt;7,"",TEXT(DATE(2024,1,ROW()-4),"ddd"))</f>
        <v>0</v>
      </c>
      <c r="AW179" s="23">
        <f>IF(AV179="","",COUNTIF(Performance!$N$5:$N$404,AV179))</f>
        <v>0</v>
      </c>
      <c r="AX179" s="23">
        <f>IF(AV179="","",SUMIFS(Performance!$O$5:$O$404,Performance!$N$5:$N$404,AV179))</f>
        <v>0</v>
      </c>
      <c r="AY179" s="23">
        <f>IF(AV179="","",SUMIFS(Performance!$Z$5:$Z$404,Performance!$N$5:$N$404,AV179))</f>
        <v>0</v>
      </c>
      <c r="AZ179" s="24">
        <f>IF(OR(AX179="",AX179=0),"",AY179/AX179)</f>
        <v>0</v>
      </c>
      <c r="BA179" s="32">
        <f>IF(AW179=0,"",IF(AZ179="","",AZ179+ROW()/1000000))</f>
        <v>0</v>
      </c>
      <c r="BB179" s="17">
        <f>IF(Lists!$AL179="","",Lists!$AL179)</f>
        <v>0</v>
      </c>
      <c r="BC179" s="23">
        <f>IF(BB179="","",COUNTIF(Performance!$M$5:$M$404,BB179))</f>
        <v>0</v>
      </c>
      <c r="BD179" s="23">
        <f>IF(BB179="","",SUMIFS(Performance!$O$5:$O$404,Performance!$M$5:$M$404,BB179))</f>
        <v>0</v>
      </c>
      <c r="BE179" s="23">
        <f>IF(BB179="","",SUMIFS(Performance!$Z$5:$Z$404,Performance!$M$5:$M$404,BB179))</f>
        <v>0</v>
      </c>
      <c r="BF179" s="24">
        <f>IF(OR(BD179="",BD179=0),"",BE179/BD179)</f>
        <v>0</v>
      </c>
      <c r="BG179" s="32">
        <f>IF(BC179=0,"",IF(BF179="","",BF179+ROW()/1000000))</f>
        <v>0</v>
      </c>
      <c r="BH179" s="17">
        <f>IF(Performance!$C$179="","",Performance!$C$179)</f>
        <v>0</v>
      </c>
      <c r="BI179" s="17">
        <f>IF(Performance!$F$179="","",Performance!$F$179)</f>
        <v>0</v>
      </c>
      <c r="BJ179" s="17">
        <f>IF(Performance!$H$179="","",Performance!$H$179)</f>
        <v>0</v>
      </c>
      <c r="BK179" s="16">
        <f>IF(Performance!$D$179="","",Performance!$D$179)</f>
        <v>0</v>
      </c>
      <c r="BL179" s="17">
        <f>IF(Performance!$E$179="","",Performance!$E$179)</f>
        <v>0</v>
      </c>
      <c r="BM179" s="23">
        <f>IF(Performance!$O$179="","",Performance!$O$179)</f>
        <v>0</v>
      </c>
      <c r="BN179" s="24">
        <f>IF(Performance!$AA$179="","",Performance!$AA$179)</f>
        <v>0</v>
      </c>
      <c r="BO179" s="32">
        <f>IF(BH179="","",IF(BK179="","",IF(OR(BK179&lt;DashStart,BK179&gt;DashEnd),"",IF(BN179="","",BN179+ROW()/1000000))))</f>
        <v>0</v>
      </c>
      <c r="BP179" s="32">
        <f>IF(BM179="","",IF(BK179="","",IF(OR(BK179&lt;DashStart,BK179&gt;DashEnd),"",BM179+ROW()/1000000)))</f>
        <v>0</v>
      </c>
      <c r="BQ179" s="32">
        <f>IF(BH179="","",IF(BK179="","",IF(YEAR(BK179)&lt;&gt;PlanYear,"",IF(BN179="","",BN179+ROW()/1000000))))</f>
        <v>0</v>
      </c>
      <c r="BR179" s="32">
        <f>IF(BH179="","",IF(BK179="","",IF(OR(BK179&lt;RepFrom,BK179&gt;RepTo),"",IF(BN179="","",BN179+ROW()/1000000))))</f>
        <v>0</v>
      </c>
      <c r="BS179" s="32">
        <f>IF(BM179="","",IF(BK179="","",IF(YEAR(BK179)&lt;&gt;PlanYear,"",BM179+ROW()/1000000)))</f>
        <v>0</v>
      </c>
      <c r="BT179" s="17">
        <f>IF(Lists!$F179="","",Lists!$F179)</f>
        <v>0</v>
      </c>
      <c r="BU179" s="23">
        <f>IF(BT179="","",COUNTIF('Content Calendar'!$X$5:$X$604,BT179))</f>
        <v>0</v>
      </c>
      <c r="BV179" s="23">
        <f>IF(BT179="","",COUNTIFS('Content Calendar'!$X$5:$X$604,BT179,'Content Calendar'!$B$5:$B$604,"&gt;="&amp;DashStart,'Content Calendar'!$B$5:$B$604,"&lt;="&amp;DashEnd))</f>
        <v>0</v>
      </c>
      <c r="BW179" s="17">
        <f>IF(Team!$B$179="","",Team!$B$179)</f>
        <v>0</v>
      </c>
      <c r="BX179" s="23">
        <f>IF(BW179="","",COUNTIF('Content Calendar'!$W$5:$W$604,BW179))</f>
        <v>0</v>
      </c>
      <c r="BY179" s="23">
        <f>IF(BW179="","",COUNTIFS('Content Calendar'!$W$5:$W$604,BW179,'Content Calendar'!$X$5:$X$604,"&lt;&gt;Published"))</f>
        <v>0</v>
      </c>
      <c r="BZ179" s="23">
        <f>IF(BW179="","",COUNTIFS(Tasks!$C$5:$C$64,BW179,Tasks!$G$5:$G$64,"&lt;&gt;Complete"))</f>
        <v>0</v>
      </c>
      <c r="CA179" s="17">
        <f>IF(Campaigns!$B$179="","",Campaigns!$B$179)</f>
        <v>0</v>
      </c>
      <c r="CB179" s="25">
        <f>IF(Campaigns!$T$179="","",Campaigns!$T$179)</f>
        <v>0</v>
      </c>
      <c r="CC179" s="25">
        <f>IF(Campaigns!$Q$179="","",Campaigns!$Q$179)</f>
        <v>0</v>
      </c>
      <c r="CD179" s="23">
        <f>IF(Campaigns!$Y$179="","",Campaigns!$Y$179)</f>
        <v>0</v>
      </c>
      <c r="CE179" s="32">
        <f>IF(CA179="","",IF(N(CB179)&lt;=0,"",N(CB179)+ROW()/1000000))</f>
        <v>0</v>
      </c>
      <c r="CF179" s="17">
        <f>IF(Accounts!$C$179="","",Accounts!$C$179)</f>
        <v>0</v>
      </c>
      <c r="CG179" s="17">
        <f>IF(Accounts!$B$179="","",Accounts!$B$179)</f>
        <v>0</v>
      </c>
      <c r="CH179" s="23">
        <f>IF(Accounts!$J$179="","",Accounts!$J$179)</f>
        <v>0</v>
      </c>
      <c r="CI179" s="23">
        <f>IF(CF179="","",SUMIFS(Analytics!$X$5:$X$154,Analytics!$E$5:$E$154,CF179,Analytics!$B$5:$B$154,"&gt;="&amp;DashStart,Analytics!$B$5:$B$154,"&lt;="&amp;DashEnd))</f>
        <v>0</v>
      </c>
      <c r="CJ179" s="32">
        <f>IF(CH179="","",IF(CH179=0,"",CH179+ROW()/1000000))</f>
        <v>0</v>
      </c>
    </row>
    <row r="180" spans="1:88">
      <c r="A180" s="16">
        <f>IF(ROW()-4&gt;12,"",DATE(PlanYear,ROW()-4,1))</f>
        <v>0</v>
      </c>
      <c r="B180" s="16">
        <f>IF(A180="","",EOMONTH(A180,0))</f>
        <v>0</v>
      </c>
      <c r="C180" s="17">
        <f>IF(A180="","",TEXT(A180,"yyyy-mm"))</f>
        <v>0</v>
      </c>
      <c r="D180" s="17">
        <f>IF(A180="","",TEXT(A180,"mmm"))</f>
        <v>0</v>
      </c>
      <c r="E180" s="23">
        <f>IF(C180="","",COUNTIFS('Content Calendar'!$D$5:$D$604,C180))</f>
        <v>0</v>
      </c>
      <c r="F180" s="23">
        <f>IF(C180="","",COUNTIFS('Content Calendar'!$D$5:$D$604,C180,'Content Calendar'!$X$5:$X$604,"Published"))</f>
        <v>0</v>
      </c>
      <c r="G180" s="23">
        <f>IF(C180="","",SUMIFS(Analytics!$J$5:$J$154,Analytics!$C$5:$C$154,C180))</f>
        <v>0</v>
      </c>
      <c r="H180" s="23">
        <f>IF(C180="","",SUMIFS(Analytics!$K$5:$K$154,Analytics!$C$5:$C$154,C180))</f>
        <v>0</v>
      </c>
      <c r="I180" s="23">
        <f>IF(C180="","",SUMIFS(Analytics!$L$5:$L$154,Analytics!$C$5:$C$154,C180))</f>
        <v>0</v>
      </c>
      <c r="J180" s="24">
        <f>IF(OR(G180="",G180=0),"",I180/G180)</f>
        <v>0</v>
      </c>
      <c r="K180" s="23">
        <f>IF(C180="","",SUMIFS(Analytics!$G$5:$G$154,Analytics!$C$5:$C$154,C180))</f>
        <v>0</v>
      </c>
      <c r="L180" s="23">
        <f>IF(C180="","",SUMIFS(Analytics!$X$5:$X$154,Analytics!$C$5:$C$154,C180))</f>
        <v>0</v>
      </c>
      <c r="M180" s="23">
        <f>IF(C180="","",SUMIFS(Analytics!$R$5:$R$154,Analytics!$C$5:$C$154,C180))</f>
        <v>0</v>
      </c>
      <c r="N180" s="23">
        <f>IF(C180="","",SUMIFS(Analytics!$S$5:$S$154,Analytics!$C$5:$C$154,C180))</f>
        <v>0</v>
      </c>
      <c r="O180" s="23">
        <f>IF(C180="","",SUMIFS(Analytics!$T$5:$T$154,Analytics!$C$5:$C$154,C180))</f>
        <v>0</v>
      </c>
      <c r="P180" s="25">
        <f>IF(C180="","",SUMIFS(Analytics!$U$5:$U$154,Analytics!$C$5:$C$154,C180))</f>
        <v>0</v>
      </c>
      <c r="Q180" s="25">
        <f>IF(C180="","",SUMIFS(Budget!$H$5:$H$64,Budget!$C$5:$C$64,C180))</f>
        <v>0</v>
      </c>
      <c r="R180" s="25">
        <f>IF(C180="","",P180-Q180)</f>
        <v>0</v>
      </c>
      <c r="S180" s="23">
        <f>IF(C180="","",MonthlyPostTarget)</f>
        <v>0</v>
      </c>
      <c r="T180" s="17">
        <f>IF(Lists!$C180="","",Lists!$C180)</f>
        <v>0</v>
      </c>
      <c r="U180" s="23">
        <f>IF(T180="","",COUNTIFS('Content Calendar'!$G$5:$G$604,T180,'Content Calendar'!$B$5:$B$604,"&gt;="&amp;DashStart,'Content Calendar'!$B$5:$B$604,"&lt;="&amp;DashEnd))</f>
        <v>0</v>
      </c>
      <c r="V180" s="23">
        <f>IF(T180="","",COUNTIFS('Content Calendar'!$G$5:$G$604,T180,'Content Calendar'!$X$5:$X$604,"Published",'Content Calendar'!$B$5:$B$604,"&gt;="&amp;DashStart,'Content Calendar'!$B$5:$B$604,"&lt;="&amp;DashEnd))</f>
        <v>0</v>
      </c>
      <c r="W180" s="23">
        <f>IF(T180="","",SUMIFS(Analytics!$J$5:$J$154,Analytics!$D$5:$D$154,T180,Analytics!$B$5:$B$154,"&gt;="&amp;DashStart,Analytics!$B$5:$B$154,"&lt;="&amp;DashEnd))</f>
        <v>0</v>
      </c>
      <c r="X180" s="23">
        <f>IF(T180="","",SUMIFS(Analytics!$L$5:$L$154,Analytics!$D$5:$D$154,T180,Analytics!$B$5:$B$154,"&gt;="&amp;DashStart,Analytics!$B$5:$B$154,"&lt;="&amp;DashEnd))</f>
        <v>0</v>
      </c>
      <c r="Y180" s="24">
        <f>IF(OR(W180="",W180=0),"",X180/W180)</f>
        <v>0</v>
      </c>
      <c r="Z180" s="23">
        <f>IF(T180="","",SUMIFS(Analytics!$G$5:$G$154,Analytics!$D$5:$D$154,T180,Analytics!$B$5:$B$154,"&gt;="&amp;DashStart,Analytics!$B$5:$B$154,"&lt;="&amp;DashEnd))</f>
        <v>0</v>
      </c>
      <c r="AA180" s="23">
        <f>IF(T180="","",SUMIFS(Analytics!$X$5:$X$154,Analytics!$D$5:$D$154,T180,Analytics!$B$5:$B$154,"&gt;="&amp;DashStart,Analytics!$B$5:$B$154,"&lt;="&amp;DashEnd))</f>
        <v>0</v>
      </c>
      <c r="AB180" s="23">
        <f>IF(T180="","",SUMIFS(Analytics!$R$5:$R$154,Analytics!$D$5:$D$154,T180,Analytics!$B$5:$B$154,"&gt;="&amp;DashStart,Analytics!$B$5:$B$154,"&lt;="&amp;DashEnd))</f>
        <v>0</v>
      </c>
      <c r="AC180" s="25">
        <f>IF(T180="","",SUMIFS(Analytics!$U$5:$U$154,Analytics!$D$5:$D$154,T180,Analytics!$B$5:$B$154,"&gt;="&amp;DashStart,Analytics!$B$5:$B$154,"&lt;="&amp;DashEnd))</f>
        <v>0</v>
      </c>
      <c r="AD180" s="23">
        <f>IF(T180="","",COUNTIFS('Content Calendar'!$G$5:$G$604,T180,'Content Calendar'!$B$5:$B$604,"&gt;="&amp;DATE(PlanYear,1,1),'Content Calendar'!$B$5:$B$604,"&lt;="&amp;DATE(PlanYear,12,31)))</f>
        <v>0</v>
      </c>
      <c r="AE180" s="23">
        <f>IF(T180="","",SUMIFS(Analytics!$J$5:$J$154,Analytics!$D$5:$D$154,T180))</f>
        <v>0</v>
      </c>
      <c r="AF180" s="23">
        <f>IF(T180="","",SUMIFS(Analytics!$L$5:$L$154,Analytics!$D$5:$D$154,T180))</f>
        <v>0</v>
      </c>
      <c r="AG180" s="24">
        <f>IF(OR(AE180="",AE180=0),"",AF180/AE180)</f>
        <v>0</v>
      </c>
      <c r="AH180" s="23">
        <f>IF(T180="","",SUMIFS(Analytics!$X$5:$X$154,Analytics!$D$5:$D$154,T180))</f>
        <v>0</v>
      </c>
      <c r="AI180" s="32">
        <f>IF(T180="","",IF(AE180=0,"",AE180+ROW()/1000000))</f>
        <v>0</v>
      </c>
      <c r="AJ180" s="17">
        <f>IF('Content Pillars'!$B$180="","",'Content Pillars'!$B$180)</f>
        <v>0</v>
      </c>
      <c r="AK180" s="23">
        <f>IF(AJ180="","",COUNTIFS('Content Calendar'!$J$5:$J$604,AJ180,'Content Calendar'!$B$5:$B$604,"&gt;="&amp;DATE(PlanYear,1,1),'Content Calendar'!$B$5:$B$604,"&lt;="&amp;DATE(PlanYear,12,31)))</f>
        <v>0</v>
      </c>
      <c r="AL180" s="23">
        <f>IF(AJ180="","",SUMIFS(Performance!$O$5:$O$404,Performance!$H$5:$H$404,AJ180))</f>
        <v>0</v>
      </c>
      <c r="AM180" s="23">
        <f>IF(AJ180="","",SUMIFS(Performance!$Z$5:$Z$404,Performance!$H$5:$H$404,AJ180))</f>
        <v>0</v>
      </c>
      <c r="AN180" s="24">
        <f>IF(OR(AL180="",AL180=0),"",AM180/AL180)</f>
        <v>0</v>
      </c>
      <c r="AO180" s="32">
        <f>IF(AN180="","",AN180+ROW()/1000000)</f>
        <v>0</v>
      </c>
      <c r="AP180" s="17">
        <f>IF(Lists!$E180="","",Lists!$E180)</f>
        <v>0</v>
      </c>
      <c r="AQ180" s="23">
        <f>IF(AP180="","",COUNTIF(Performance!$G$5:$G$404,AP180))</f>
        <v>0</v>
      </c>
      <c r="AR180" s="23">
        <f>IF(AP180="","",SUMIFS(Performance!$O$5:$O$404,Performance!$G$5:$G$404,AP180))</f>
        <v>0</v>
      </c>
      <c r="AS180" s="23">
        <f>IF(AP180="","",SUMIFS(Performance!$Z$5:$Z$404,Performance!$G$5:$G$404,AP180))</f>
        <v>0</v>
      </c>
      <c r="AT180" s="24">
        <f>IF(OR(AR180="",AR180=0),"",AS180/AR180)</f>
        <v>0</v>
      </c>
      <c r="AU180" s="32">
        <f>IF(AQ180=0,"",IF(AT180="","",AT180+ROW()/1000000))</f>
        <v>0</v>
      </c>
      <c r="AV180" s="17">
        <f>IF(ROW()-4&gt;7,"",TEXT(DATE(2024,1,ROW()-4),"ddd"))</f>
        <v>0</v>
      </c>
      <c r="AW180" s="23">
        <f>IF(AV180="","",COUNTIF(Performance!$N$5:$N$404,AV180))</f>
        <v>0</v>
      </c>
      <c r="AX180" s="23">
        <f>IF(AV180="","",SUMIFS(Performance!$O$5:$O$404,Performance!$N$5:$N$404,AV180))</f>
        <v>0</v>
      </c>
      <c r="AY180" s="23">
        <f>IF(AV180="","",SUMIFS(Performance!$Z$5:$Z$404,Performance!$N$5:$N$404,AV180))</f>
        <v>0</v>
      </c>
      <c r="AZ180" s="24">
        <f>IF(OR(AX180="",AX180=0),"",AY180/AX180)</f>
        <v>0</v>
      </c>
      <c r="BA180" s="32">
        <f>IF(AW180=0,"",IF(AZ180="","",AZ180+ROW()/1000000))</f>
        <v>0</v>
      </c>
      <c r="BB180" s="17">
        <f>IF(Lists!$AL180="","",Lists!$AL180)</f>
        <v>0</v>
      </c>
      <c r="BC180" s="23">
        <f>IF(BB180="","",COUNTIF(Performance!$M$5:$M$404,BB180))</f>
        <v>0</v>
      </c>
      <c r="BD180" s="23">
        <f>IF(BB180="","",SUMIFS(Performance!$O$5:$O$404,Performance!$M$5:$M$404,BB180))</f>
        <v>0</v>
      </c>
      <c r="BE180" s="23">
        <f>IF(BB180="","",SUMIFS(Performance!$Z$5:$Z$404,Performance!$M$5:$M$404,BB180))</f>
        <v>0</v>
      </c>
      <c r="BF180" s="24">
        <f>IF(OR(BD180="",BD180=0),"",BE180/BD180)</f>
        <v>0</v>
      </c>
      <c r="BG180" s="32">
        <f>IF(BC180=0,"",IF(BF180="","",BF180+ROW()/1000000))</f>
        <v>0</v>
      </c>
      <c r="BH180" s="17">
        <f>IF(Performance!$C$180="","",Performance!$C$180)</f>
        <v>0</v>
      </c>
      <c r="BI180" s="17">
        <f>IF(Performance!$F$180="","",Performance!$F$180)</f>
        <v>0</v>
      </c>
      <c r="BJ180" s="17">
        <f>IF(Performance!$H$180="","",Performance!$H$180)</f>
        <v>0</v>
      </c>
      <c r="BK180" s="16">
        <f>IF(Performance!$D$180="","",Performance!$D$180)</f>
        <v>0</v>
      </c>
      <c r="BL180" s="17">
        <f>IF(Performance!$E$180="","",Performance!$E$180)</f>
        <v>0</v>
      </c>
      <c r="BM180" s="23">
        <f>IF(Performance!$O$180="","",Performance!$O$180)</f>
        <v>0</v>
      </c>
      <c r="BN180" s="24">
        <f>IF(Performance!$AA$180="","",Performance!$AA$180)</f>
        <v>0</v>
      </c>
      <c r="BO180" s="32">
        <f>IF(BH180="","",IF(BK180="","",IF(OR(BK180&lt;DashStart,BK180&gt;DashEnd),"",IF(BN180="","",BN180+ROW()/1000000))))</f>
        <v>0</v>
      </c>
      <c r="BP180" s="32">
        <f>IF(BM180="","",IF(BK180="","",IF(OR(BK180&lt;DashStart,BK180&gt;DashEnd),"",BM180+ROW()/1000000)))</f>
        <v>0</v>
      </c>
      <c r="BQ180" s="32">
        <f>IF(BH180="","",IF(BK180="","",IF(YEAR(BK180)&lt;&gt;PlanYear,"",IF(BN180="","",BN180+ROW()/1000000))))</f>
        <v>0</v>
      </c>
      <c r="BR180" s="32">
        <f>IF(BH180="","",IF(BK180="","",IF(OR(BK180&lt;RepFrom,BK180&gt;RepTo),"",IF(BN180="","",BN180+ROW()/1000000))))</f>
        <v>0</v>
      </c>
      <c r="BS180" s="32">
        <f>IF(BM180="","",IF(BK180="","",IF(YEAR(BK180)&lt;&gt;PlanYear,"",BM180+ROW()/1000000)))</f>
        <v>0</v>
      </c>
      <c r="BT180" s="17">
        <f>IF(Lists!$F180="","",Lists!$F180)</f>
        <v>0</v>
      </c>
      <c r="BU180" s="23">
        <f>IF(BT180="","",COUNTIF('Content Calendar'!$X$5:$X$604,BT180))</f>
        <v>0</v>
      </c>
      <c r="BV180" s="23">
        <f>IF(BT180="","",COUNTIFS('Content Calendar'!$X$5:$X$604,BT180,'Content Calendar'!$B$5:$B$604,"&gt;="&amp;DashStart,'Content Calendar'!$B$5:$B$604,"&lt;="&amp;DashEnd))</f>
        <v>0</v>
      </c>
      <c r="BW180" s="17">
        <f>IF(Team!$B$180="","",Team!$B$180)</f>
        <v>0</v>
      </c>
      <c r="BX180" s="23">
        <f>IF(BW180="","",COUNTIF('Content Calendar'!$W$5:$W$604,BW180))</f>
        <v>0</v>
      </c>
      <c r="BY180" s="23">
        <f>IF(BW180="","",COUNTIFS('Content Calendar'!$W$5:$W$604,BW180,'Content Calendar'!$X$5:$X$604,"&lt;&gt;Published"))</f>
        <v>0</v>
      </c>
      <c r="BZ180" s="23">
        <f>IF(BW180="","",COUNTIFS(Tasks!$C$5:$C$64,BW180,Tasks!$G$5:$G$64,"&lt;&gt;Complete"))</f>
        <v>0</v>
      </c>
      <c r="CA180" s="17">
        <f>IF(Campaigns!$B$180="","",Campaigns!$B$180)</f>
        <v>0</v>
      </c>
      <c r="CB180" s="25">
        <f>IF(Campaigns!$T$180="","",Campaigns!$T$180)</f>
        <v>0</v>
      </c>
      <c r="CC180" s="25">
        <f>IF(Campaigns!$Q$180="","",Campaigns!$Q$180)</f>
        <v>0</v>
      </c>
      <c r="CD180" s="23">
        <f>IF(Campaigns!$Y$180="","",Campaigns!$Y$180)</f>
        <v>0</v>
      </c>
      <c r="CE180" s="32">
        <f>IF(CA180="","",IF(N(CB180)&lt;=0,"",N(CB180)+ROW()/1000000))</f>
        <v>0</v>
      </c>
      <c r="CF180" s="17">
        <f>IF(Accounts!$C$180="","",Accounts!$C$180)</f>
        <v>0</v>
      </c>
      <c r="CG180" s="17">
        <f>IF(Accounts!$B$180="","",Accounts!$B$180)</f>
        <v>0</v>
      </c>
      <c r="CH180" s="23">
        <f>IF(Accounts!$J$180="","",Accounts!$J$180)</f>
        <v>0</v>
      </c>
      <c r="CI180" s="23">
        <f>IF(CF180="","",SUMIFS(Analytics!$X$5:$X$154,Analytics!$E$5:$E$154,CF180,Analytics!$B$5:$B$154,"&gt;="&amp;DashStart,Analytics!$B$5:$B$154,"&lt;="&amp;DashEnd))</f>
        <v>0</v>
      </c>
      <c r="CJ180" s="32">
        <f>IF(CH180="","",IF(CH180=0,"",CH180+ROW()/1000000))</f>
        <v>0</v>
      </c>
    </row>
    <row r="181" spans="1:88">
      <c r="A181" s="16">
        <f>IF(ROW()-4&gt;12,"",DATE(PlanYear,ROW()-4,1))</f>
        <v>0</v>
      </c>
      <c r="B181" s="16">
        <f>IF(A181="","",EOMONTH(A181,0))</f>
        <v>0</v>
      </c>
      <c r="C181" s="17">
        <f>IF(A181="","",TEXT(A181,"yyyy-mm"))</f>
        <v>0</v>
      </c>
      <c r="D181" s="17">
        <f>IF(A181="","",TEXT(A181,"mmm"))</f>
        <v>0</v>
      </c>
      <c r="E181" s="23">
        <f>IF(C181="","",COUNTIFS('Content Calendar'!$D$5:$D$604,C181))</f>
        <v>0</v>
      </c>
      <c r="F181" s="23">
        <f>IF(C181="","",COUNTIFS('Content Calendar'!$D$5:$D$604,C181,'Content Calendar'!$X$5:$X$604,"Published"))</f>
        <v>0</v>
      </c>
      <c r="G181" s="23">
        <f>IF(C181="","",SUMIFS(Analytics!$J$5:$J$154,Analytics!$C$5:$C$154,C181))</f>
        <v>0</v>
      </c>
      <c r="H181" s="23">
        <f>IF(C181="","",SUMIFS(Analytics!$K$5:$K$154,Analytics!$C$5:$C$154,C181))</f>
        <v>0</v>
      </c>
      <c r="I181" s="23">
        <f>IF(C181="","",SUMIFS(Analytics!$L$5:$L$154,Analytics!$C$5:$C$154,C181))</f>
        <v>0</v>
      </c>
      <c r="J181" s="24">
        <f>IF(OR(G181="",G181=0),"",I181/G181)</f>
        <v>0</v>
      </c>
      <c r="K181" s="23">
        <f>IF(C181="","",SUMIFS(Analytics!$G$5:$G$154,Analytics!$C$5:$C$154,C181))</f>
        <v>0</v>
      </c>
      <c r="L181" s="23">
        <f>IF(C181="","",SUMIFS(Analytics!$X$5:$X$154,Analytics!$C$5:$C$154,C181))</f>
        <v>0</v>
      </c>
      <c r="M181" s="23">
        <f>IF(C181="","",SUMIFS(Analytics!$R$5:$R$154,Analytics!$C$5:$C$154,C181))</f>
        <v>0</v>
      </c>
      <c r="N181" s="23">
        <f>IF(C181="","",SUMIFS(Analytics!$S$5:$S$154,Analytics!$C$5:$C$154,C181))</f>
        <v>0</v>
      </c>
      <c r="O181" s="23">
        <f>IF(C181="","",SUMIFS(Analytics!$T$5:$T$154,Analytics!$C$5:$C$154,C181))</f>
        <v>0</v>
      </c>
      <c r="P181" s="25">
        <f>IF(C181="","",SUMIFS(Analytics!$U$5:$U$154,Analytics!$C$5:$C$154,C181))</f>
        <v>0</v>
      </c>
      <c r="Q181" s="25">
        <f>IF(C181="","",SUMIFS(Budget!$H$5:$H$64,Budget!$C$5:$C$64,C181))</f>
        <v>0</v>
      </c>
      <c r="R181" s="25">
        <f>IF(C181="","",P181-Q181)</f>
        <v>0</v>
      </c>
      <c r="S181" s="23">
        <f>IF(C181="","",MonthlyPostTarget)</f>
        <v>0</v>
      </c>
      <c r="T181" s="17">
        <f>IF(Lists!$C181="","",Lists!$C181)</f>
        <v>0</v>
      </c>
      <c r="U181" s="23">
        <f>IF(T181="","",COUNTIFS('Content Calendar'!$G$5:$G$604,T181,'Content Calendar'!$B$5:$B$604,"&gt;="&amp;DashStart,'Content Calendar'!$B$5:$B$604,"&lt;="&amp;DashEnd))</f>
        <v>0</v>
      </c>
      <c r="V181" s="23">
        <f>IF(T181="","",COUNTIFS('Content Calendar'!$G$5:$G$604,T181,'Content Calendar'!$X$5:$X$604,"Published",'Content Calendar'!$B$5:$B$604,"&gt;="&amp;DashStart,'Content Calendar'!$B$5:$B$604,"&lt;="&amp;DashEnd))</f>
        <v>0</v>
      </c>
      <c r="W181" s="23">
        <f>IF(T181="","",SUMIFS(Analytics!$J$5:$J$154,Analytics!$D$5:$D$154,T181,Analytics!$B$5:$B$154,"&gt;="&amp;DashStart,Analytics!$B$5:$B$154,"&lt;="&amp;DashEnd))</f>
        <v>0</v>
      </c>
      <c r="X181" s="23">
        <f>IF(T181="","",SUMIFS(Analytics!$L$5:$L$154,Analytics!$D$5:$D$154,T181,Analytics!$B$5:$B$154,"&gt;="&amp;DashStart,Analytics!$B$5:$B$154,"&lt;="&amp;DashEnd))</f>
        <v>0</v>
      </c>
      <c r="Y181" s="24">
        <f>IF(OR(W181="",W181=0),"",X181/W181)</f>
        <v>0</v>
      </c>
      <c r="Z181" s="23">
        <f>IF(T181="","",SUMIFS(Analytics!$G$5:$G$154,Analytics!$D$5:$D$154,T181,Analytics!$B$5:$B$154,"&gt;="&amp;DashStart,Analytics!$B$5:$B$154,"&lt;="&amp;DashEnd))</f>
        <v>0</v>
      </c>
      <c r="AA181" s="23">
        <f>IF(T181="","",SUMIFS(Analytics!$X$5:$X$154,Analytics!$D$5:$D$154,T181,Analytics!$B$5:$B$154,"&gt;="&amp;DashStart,Analytics!$B$5:$B$154,"&lt;="&amp;DashEnd))</f>
        <v>0</v>
      </c>
      <c r="AB181" s="23">
        <f>IF(T181="","",SUMIFS(Analytics!$R$5:$R$154,Analytics!$D$5:$D$154,T181,Analytics!$B$5:$B$154,"&gt;="&amp;DashStart,Analytics!$B$5:$B$154,"&lt;="&amp;DashEnd))</f>
        <v>0</v>
      </c>
      <c r="AC181" s="25">
        <f>IF(T181="","",SUMIFS(Analytics!$U$5:$U$154,Analytics!$D$5:$D$154,T181,Analytics!$B$5:$B$154,"&gt;="&amp;DashStart,Analytics!$B$5:$B$154,"&lt;="&amp;DashEnd))</f>
        <v>0</v>
      </c>
      <c r="AD181" s="23">
        <f>IF(T181="","",COUNTIFS('Content Calendar'!$G$5:$G$604,T181,'Content Calendar'!$B$5:$B$604,"&gt;="&amp;DATE(PlanYear,1,1),'Content Calendar'!$B$5:$B$604,"&lt;="&amp;DATE(PlanYear,12,31)))</f>
        <v>0</v>
      </c>
      <c r="AE181" s="23">
        <f>IF(T181="","",SUMIFS(Analytics!$J$5:$J$154,Analytics!$D$5:$D$154,T181))</f>
        <v>0</v>
      </c>
      <c r="AF181" s="23">
        <f>IF(T181="","",SUMIFS(Analytics!$L$5:$L$154,Analytics!$D$5:$D$154,T181))</f>
        <v>0</v>
      </c>
      <c r="AG181" s="24">
        <f>IF(OR(AE181="",AE181=0),"",AF181/AE181)</f>
        <v>0</v>
      </c>
      <c r="AH181" s="23">
        <f>IF(T181="","",SUMIFS(Analytics!$X$5:$X$154,Analytics!$D$5:$D$154,T181))</f>
        <v>0</v>
      </c>
      <c r="AI181" s="32">
        <f>IF(T181="","",IF(AE181=0,"",AE181+ROW()/1000000))</f>
        <v>0</v>
      </c>
      <c r="AJ181" s="17">
        <f>IF('Content Pillars'!$B$181="","",'Content Pillars'!$B$181)</f>
        <v>0</v>
      </c>
      <c r="AK181" s="23">
        <f>IF(AJ181="","",COUNTIFS('Content Calendar'!$J$5:$J$604,AJ181,'Content Calendar'!$B$5:$B$604,"&gt;="&amp;DATE(PlanYear,1,1),'Content Calendar'!$B$5:$B$604,"&lt;="&amp;DATE(PlanYear,12,31)))</f>
        <v>0</v>
      </c>
      <c r="AL181" s="23">
        <f>IF(AJ181="","",SUMIFS(Performance!$O$5:$O$404,Performance!$H$5:$H$404,AJ181))</f>
        <v>0</v>
      </c>
      <c r="AM181" s="23">
        <f>IF(AJ181="","",SUMIFS(Performance!$Z$5:$Z$404,Performance!$H$5:$H$404,AJ181))</f>
        <v>0</v>
      </c>
      <c r="AN181" s="24">
        <f>IF(OR(AL181="",AL181=0),"",AM181/AL181)</f>
        <v>0</v>
      </c>
      <c r="AO181" s="32">
        <f>IF(AN181="","",AN181+ROW()/1000000)</f>
        <v>0</v>
      </c>
      <c r="AP181" s="17">
        <f>IF(Lists!$E181="","",Lists!$E181)</f>
        <v>0</v>
      </c>
      <c r="AQ181" s="23">
        <f>IF(AP181="","",COUNTIF(Performance!$G$5:$G$404,AP181))</f>
        <v>0</v>
      </c>
      <c r="AR181" s="23">
        <f>IF(AP181="","",SUMIFS(Performance!$O$5:$O$404,Performance!$G$5:$G$404,AP181))</f>
        <v>0</v>
      </c>
      <c r="AS181" s="23">
        <f>IF(AP181="","",SUMIFS(Performance!$Z$5:$Z$404,Performance!$G$5:$G$404,AP181))</f>
        <v>0</v>
      </c>
      <c r="AT181" s="24">
        <f>IF(OR(AR181="",AR181=0),"",AS181/AR181)</f>
        <v>0</v>
      </c>
      <c r="AU181" s="32">
        <f>IF(AQ181=0,"",IF(AT181="","",AT181+ROW()/1000000))</f>
        <v>0</v>
      </c>
      <c r="AV181" s="17">
        <f>IF(ROW()-4&gt;7,"",TEXT(DATE(2024,1,ROW()-4),"ddd"))</f>
        <v>0</v>
      </c>
      <c r="AW181" s="23">
        <f>IF(AV181="","",COUNTIF(Performance!$N$5:$N$404,AV181))</f>
        <v>0</v>
      </c>
      <c r="AX181" s="23">
        <f>IF(AV181="","",SUMIFS(Performance!$O$5:$O$404,Performance!$N$5:$N$404,AV181))</f>
        <v>0</v>
      </c>
      <c r="AY181" s="23">
        <f>IF(AV181="","",SUMIFS(Performance!$Z$5:$Z$404,Performance!$N$5:$N$404,AV181))</f>
        <v>0</v>
      </c>
      <c r="AZ181" s="24">
        <f>IF(OR(AX181="",AX181=0),"",AY181/AX181)</f>
        <v>0</v>
      </c>
      <c r="BA181" s="32">
        <f>IF(AW181=0,"",IF(AZ181="","",AZ181+ROW()/1000000))</f>
        <v>0</v>
      </c>
      <c r="BB181" s="17">
        <f>IF(Lists!$AL181="","",Lists!$AL181)</f>
        <v>0</v>
      </c>
      <c r="BC181" s="23">
        <f>IF(BB181="","",COUNTIF(Performance!$M$5:$M$404,BB181))</f>
        <v>0</v>
      </c>
      <c r="BD181" s="23">
        <f>IF(BB181="","",SUMIFS(Performance!$O$5:$O$404,Performance!$M$5:$M$404,BB181))</f>
        <v>0</v>
      </c>
      <c r="BE181" s="23">
        <f>IF(BB181="","",SUMIFS(Performance!$Z$5:$Z$404,Performance!$M$5:$M$404,BB181))</f>
        <v>0</v>
      </c>
      <c r="BF181" s="24">
        <f>IF(OR(BD181="",BD181=0),"",BE181/BD181)</f>
        <v>0</v>
      </c>
      <c r="BG181" s="32">
        <f>IF(BC181=0,"",IF(BF181="","",BF181+ROW()/1000000))</f>
        <v>0</v>
      </c>
      <c r="BH181" s="17">
        <f>IF(Performance!$C$181="","",Performance!$C$181)</f>
        <v>0</v>
      </c>
      <c r="BI181" s="17">
        <f>IF(Performance!$F$181="","",Performance!$F$181)</f>
        <v>0</v>
      </c>
      <c r="BJ181" s="17">
        <f>IF(Performance!$H$181="","",Performance!$H$181)</f>
        <v>0</v>
      </c>
      <c r="BK181" s="16">
        <f>IF(Performance!$D$181="","",Performance!$D$181)</f>
        <v>0</v>
      </c>
      <c r="BL181" s="17">
        <f>IF(Performance!$E$181="","",Performance!$E$181)</f>
        <v>0</v>
      </c>
      <c r="BM181" s="23">
        <f>IF(Performance!$O$181="","",Performance!$O$181)</f>
        <v>0</v>
      </c>
      <c r="BN181" s="24">
        <f>IF(Performance!$AA$181="","",Performance!$AA$181)</f>
        <v>0</v>
      </c>
      <c r="BO181" s="32">
        <f>IF(BH181="","",IF(BK181="","",IF(OR(BK181&lt;DashStart,BK181&gt;DashEnd),"",IF(BN181="","",BN181+ROW()/1000000))))</f>
        <v>0</v>
      </c>
      <c r="BP181" s="32">
        <f>IF(BM181="","",IF(BK181="","",IF(OR(BK181&lt;DashStart,BK181&gt;DashEnd),"",BM181+ROW()/1000000)))</f>
        <v>0</v>
      </c>
      <c r="BQ181" s="32">
        <f>IF(BH181="","",IF(BK181="","",IF(YEAR(BK181)&lt;&gt;PlanYear,"",IF(BN181="","",BN181+ROW()/1000000))))</f>
        <v>0</v>
      </c>
      <c r="BR181" s="32">
        <f>IF(BH181="","",IF(BK181="","",IF(OR(BK181&lt;RepFrom,BK181&gt;RepTo),"",IF(BN181="","",BN181+ROW()/1000000))))</f>
        <v>0</v>
      </c>
      <c r="BS181" s="32">
        <f>IF(BM181="","",IF(BK181="","",IF(YEAR(BK181)&lt;&gt;PlanYear,"",BM181+ROW()/1000000)))</f>
        <v>0</v>
      </c>
      <c r="BT181" s="17">
        <f>IF(Lists!$F181="","",Lists!$F181)</f>
        <v>0</v>
      </c>
      <c r="BU181" s="23">
        <f>IF(BT181="","",COUNTIF('Content Calendar'!$X$5:$X$604,BT181))</f>
        <v>0</v>
      </c>
      <c r="BV181" s="23">
        <f>IF(BT181="","",COUNTIFS('Content Calendar'!$X$5:$X$604,BT181,'Content Calendar'!$B$5:$B$604,"&gt;="&amp;DashStart,'Content Calendar'!$B$5:$B$604,"&lt;="&amp;DashEnd))</f>
        <v>0</v>
      </c>
      <c r="BW181" s="17">
        <f>IF(Team!$B$181="","",Team!$B$181)</f>
        <v>0</v>
      </c>
      <c r="BX181" s="23">
        <f>IF(BW181="","",COUNTIF('Content Calendar'!$W$5:$W$604,BW181))</f>
        <v>0</v>
      </c>
      <c r="BY181" s="23">
        <f>IF(BW181="","",COUNTIFS('Content Calendar'!$W$5:$W$604,BW181,'Content Calendar'!$X$5:$X$604,"&lt;&gt;Published"))</f>
        <v>0</v>
      </c>
      <c r="BZ181" s="23">
        <f>IF(BW181="","",COUNTIFS(Tasks!$C$5:$C$64,BW181,Tasks!$G$5:$G$64,"&lt;&gt;Complete"))</f>
        <v>0</v>
      </c>
      <c r="CA181" s="17">
        <f>IF(Campaigns!$B$181="","",Campaigns!$B$181)</f>
        <v>0</v>
      </c>
      <c r="CB181" s="25">
        <f>IF(Campaigns!$T$181="","",Campaigns!$T$181)</f>
        <v>0</v>
      </c>
      <c r="CC181" s="25">
        <f>IF(Campaigns!$Q$181="","",Campaigns!$Q$181)</f>
        <v>0</v>
      </c>
      <c r="CD181" s="23">
        <f>IF(Campaigns!$Y$181="","",Campaigns!$Y$181)</f>
        <v>0</v>
      </c>
      <c r="CE181" s="32">
        <f>IF(CA181="","",IF(N(CB181)&lt;=0,"",N(CB181)+ROW()/1000000))</f>
        <v>0</v>
      </c>
      <c r="CF181" s="17">
        <f>IF(Accounts!$C$181="","",Accounts!$C$181)</f>
        <v>0</v>
      </c>
      <c r="CG181" s="17">
        <f>IF(Accounts!$B$181="","",Accounts!$B$181)</f>
        <v>0</v>
      </c>
      <c r="CH181" s="23">
        <f>IF(Accounts!$J$181="","",Accounts!$J$181)</f>
        <v>0</v>
      </c>
      <c r="CI181" s="23">
        <f>IF(CF181="","",SUMIFS(Analytics!$X$5:$X$154,Analytics!$E$5:$E$154,CF181,Analytics!$B$5:$B$154,"&gt;="&amp;DashStart,Analytics!$B$5:$B$154,"&lt;="&amp;DashEnd))</f>
        <v>0</v>
      </c>
      <c r="CJ181" s="32">
        <f>IF(CH181="","",IF(CH181=0,"",CH181+ROW()/1000000))</f>
        <v>0</v>
      </c>
    </row>
    <row r="182" spans="1:88">
      <c r="A182" s="16">
        <f>IF(ROW()-4&gt;12,"",DATE(PlanYear,ROW()-4,1))</f>
        <v>0</v>
      </c>
      <c r="B182" s="16">
        <f>IF(A182="","",EOMONTH(A182,0))</f>
        <v>0</v>
      </c>
      <c r="C182" s="17">
        <f>IF(A182="","",TEXT(A182,"yyyy-mm"))</f>
        <v>0</v>
      </c>
      <c r="D182" s="17">
        <f>IF(A182="","",TEXT(A182,"mmm"))</f>
        <v>0</v>
      </c>
      <c r="E182" s="23">
        <f>IF(C182="","",COUNTIFS('Content Calendar'!$D$5:$D$604,C182))</f>
        <v>0</v>
      </c>
      <c r="F182" s="23">
        <f>IF(C182="","",COUNTIFS('Content Calendar'!$D$5:$D$604,C182,'Content Calendar'!$X$5:$X$604,"Published"))</f>
        <v>0</v>
      </c>
      <c r="G182" s="23">
        <f>IF(C182="","",SUMIFS(Analytics!$J$5:$J$154,Analytics!$C$5:$C$154,C182))</f>
        <v>0</v>
      </c>
      <c r="H182" s="23">
        <f>IF(C182="","",SUMIFS(Analytics!$K$5:$K$154,Analytics!$C$5:$C$154,C182))</f>
        <v>0</v>
      </c>
      <c r="I182" s="23">
        <f>IF(C182="","",SUMIFS(Analytics!$L$5:$L$154,Analytics!$C$5:$C$154,C182))</f>
        <v>0</v>
      </c>
      <c r="J182" s="24">
        <f>IF(OR(G182="",G182=0),"",I182/G182)</f>
        <v>0</v>
      </c>
      <c r="K182" s="23">
        <f>IF(C182="","",SUMIFS(Analytics!$G$5:$G$154,Analytics!$C$5:$C$154,C182))</f>
        <v>0</v>
      </c>
      <c r="L182" s="23">
        <f>IF(C182="","",SUMIFS(Analytics!$X$5:$X$154,Analytics!$C$5:$C$154,C182))</f>
        <v>0</v>
      </c>
      <c r="M182" s="23">
        <f>IF(C182="","",SUMIFS(Analytics!$R$5:$R$154,Analytics!$C$5:$C$154,C182))</f>
        <v>0</v>
      </c>
      <c r="N182" s="23">
        <f>IF(C182="","",SUMIFS(Analytics!$S$5:$S$154,Analytics!$C$5:$C$154,C182))</f>
        <v>0</v>
      </c>
      <c r="O182" s="23">
        <f>IF(C182="","",SUMIFS(Analytics!$T$5:$T$154,Analytics!$C$5:$C$154,C182))</f>
        <v>0</v>
      </c>
      <c r="P182" s="25">
        <f>IF(C182="","",SUMIFS(Analytics!$U$5:$U$154,Analytics!$C$5:$C$154,C182))</f>
        <v>0</v>
      </c>
      <c r="Q182" s="25">
        <f>IF(C182="","",SUMIFS(Budget!$H$5:$H$64,Budget!$C$5:$C$64,C182))</f>
        <v>0</v>
      </c>
      <c r="R182" s="25">
        <f>IF(C182="","",P182-Q182)</f>
        <v>0</v>
      </c>
      <c r="S182" s="23">
        <f>IF(C182="","",MonthlyPostTarget)</f>
        <v>0</v>
      </c>
      <c r="T182" s="17">
        <f>IF(Lists!$C182="","",Lists!$C182)</f>
        <v>0</v>
      </c>
      <c r="U182" s="23">
        <f>IF(T182="","",COUNTIFS('Content Calendar'!$G$5:$G$604,T182,'Content Calendar'!$B$5:$B$604,"&gt;="&amp;DashStart,'Content Calendar'!$B$5:$B$604,"&lt;="&amp;DashEnd))</f>
        <v>0</v>
      </c>
      <c r="V182" s="23">
        <f>IF(T182="","",COUNTIFS('Content Calendar'!$G$5:$G$604,T182,'Content Calendar'!$X$5:$X$604,"Published",'Content Calendar'!$B$5:$B$604,"&gt;="&amp;DashStart,'Content Calendar'!$B$5:$B$604,"&lt;="&amp;DashEnd))</f>
        <v>0</v>
      </c>
      <c r="W182" s="23">
        <f>IF(T182="","",SUMIFS(Analytics!$J$5:$J$154,Analytics!$D$5:$D$154,T182,Analytics!$B$5:$B$154,"&gt;="&amp;DashStart,Analytics!$B$5:$B$154,"&lt;="&amp;DashEnd))</f>
        <v>0</v>
      </c>
      <c r="X182" s="23">
        <f>IF(T182="","",SUMIFS(Analytics!$L$5:$L$154,Analytics!$D$5:$D$154,T182,Analytics!$B$5:$B$154,"&gt;="&amp;DashStart,Analytics!$B$5:$B$154,"&lt;="&amp;DashEnd))</f>
        <v>0</v>
      </c>
      <c r="Y182" s="24">
        <f>IF(OR(W182="",W182=0),"",X182/W182)</f>
        <v>0</v>
      </c>
      <c r="Z182" s="23">
        <f>IF(T182="","",SUMIFS(Analytics!$G$5:$G$154,Analytics!$D$5:$D$154,T182,Analytics!$B$5:$B$154,"&gt;="&amp;DashStart,Analytics!$B$5:$B$154,"&lt;="&amp;DashEnd))</f>
        <v>0</v>
      </c>
      <c r="AA182" s="23">
        <f>IF(T182="","",SUMIFS(Analytics!$X$5:$X$154,Analytics!$D$5:$D$154,T182,Analytics!$B$5:$B$154,"&gt;="&amp;DashStart,Analytics!$B$5:$B$154,"&lt;="&amp;DashEnd))</f>
        <v>0</v>
      </c>
      <c r="AB182" s="23">
        <f>IF(T182="","",SUMIFS(Analytics!$R$5:$R$154,Analytics!$D$5:$D$154,T182,Analytics!$B$5:$B$154,"&gt;="&amp;DashStart,Analytics!$B$5:$B$154,"&lt;="&amp;DashEnd))</f>
        <v>0</v>
      </c>
      <c r="AC182" s="25">
        <f>IF(T182="","",SUMIFS(Analytics!$U$5:$U$154,Analytics!$D$5:$D$154,T182,Analytics!$B$5:$B$154,"&gt;="&amp;DashStart,Analytics!$B$5:$B$154,"&lt;="&amp;DashEnd))</f>
        <v>0</v>
      </c>
      <c r="AD182" s="23">
        <f>IF(T182="","",COUNTIFS('Content Calendar'!$G$5:$G$604,T182,'Content Calendar'!$B$5:$B$604,"&gt;="&amp;DATE(PlanYear,1,1),'Content Calendar'!$B$5:$B$604,"&lt;="&amp;DATE(PlanYear,12,31)))</f>
        <v>0</v>
      </c>
      <c r="AE182" s="23">
        <f>IF(T182="","",SUMIFS(Analytics!$J$5:$J$154,Analytics!$D$5:$D$154,T182))</f>
        <v>0</v>
      </c>
      <c r="AF182" s="23">
        <f>IF(T182="","",SUMIFS(Analytics!$L$5:$L$154,Analytics!$D$5:$D$154,T182))</f>
        <v>0</v>
      </c>
      <c r="AG182" s="24">
        <f>IF(OR(AE182="",AE182=0),"",AF182/AE182)</f>
        <v>0</v>
      </c>
      <c r="AH182" s="23">
        <f>IF(T182="","",SUMIFS(Analytics!$X$5:$X$154,Analytics!$D$5:$D$154,T182))</f>
        <v>0</v>
      </c>
      <c r="AI182" s="32">
        <f>IF(T182="","",IF(AE182=0,"",AE182+ROW()/1000000))</f>
        <v>0</v>
      </c>
      <c r="AJ182" s="17">
        <f>IF('Content Pillars'!$B$182="","",'Content Pillars'!$B$182)</f>
        <v>0</v>
      </c>
      <c r="AK182" s="23">
        <f>IF(AJ182="","",COUNTIFS('Content Calendar'!$J$5:$J$604,AJ182,'Content Calendar'!$B$5:$B$604,"&gt;="&amp;DATE(PlanYear,1,1),'Content Calendar'!$B$5:$B$604,"&lt;="&amp;DATE(PlanYear,12,31)))</f>
        <v>0</v>
      </c>
      <c r="AL182" s="23">
        <f>IF(AJ182="","",SUMIFS(Performance!$O$5:$O$404,Performance!$H$5:$H$404,AJ182))</f>
        <v>0</v>
      </c>
      <c r="AM182" s="23">
        <f>IF(AJ182="","",SUMIFS(Performance!$Z$5:$Z$404,Performance!$H$5:$H$404,AJ182))</f>
        <v>0</v>
      </c>
      <c r="AN182" s="24">
        <f>IF(OR(AL182="",AL182=0),"",AM182/AL182)</f>
        <v>0</v>
      </c>
      <c r="AO182" s="32">
        <f>IF(AN182="","",AN182+ROW()/1000000)</f>
        <v>0</v>
      </c>
      <c r="AP182" s="17">
        <f>IF(Lists!$E182="","",Lists!$E182)</f>
        <v>0</v>
      </c>
      <c r="AQ182" s="23">
        <f>IF(AP182="","",COUNTIF(Performance!$G$5:$G$404,AP182))</f>
        <v>0</v>
      </c>
      <c r="AR182" s="23">
        <f>IF(AP182="","",SUMIFS(Performance!$O$5:$O$404,Performance!$G$5:$G$404,AP182))</f>
        <v>0</v>
      </c>
      <c r="AS182" s="23">
        <f>IF(AP182="","",SUMIFS(Performance!$Z$5:$Z$404,Performance!$G$5:$G$404,AP182))</f>
        <v>0</v>
      </c>
      <c r="AT182" s="24">
        <f>IF(OR(AR182="",AR182=0),"",AS182/AR182)</f>
        <v>0</v>
      </c>
      <c r="AU182" s="32">
        <f>IF(AQ182=0,"",IF(AT182="","",AT182+ROW()/1000000))</f>
        <v>0</v>
      </c>
      <c r="AV182" s="17">
        <f>IF(ROW()-4&gt;7,"",TEXT(DATE(2024,1,ROW()-4),"ddd"))</f>
        <v>0</v>
      </c>
      <c r="AW182" s="23">
        <f>IF(AV182="","",COUNTIF(Performance!$N$5:$N$404,AV182))</f>
        <v>0</v>
      </c>
      <c r="AX182" s="23">
        <f>IF(AV182="","",SUMIFS(Performance!$O$5:$O$404,Performance!$N$5:$N$404,AV182))</f>
        <v>0</v>
      </c>
      <c r="AY182" s="23">
        <f>IF(AV182="","",SUMIFS(Performance!$Z$5:$Z$404,Performance!$N$5:$N$404,AV182))</f>
        <v>0</v>
      </c>
      <c r="AZ182" s="24">
        <f>IF(OR(AX182="",AX182=0),"",AY182/AX182)</f>
        <v>0</v>
      </c>
      <c r="BA182" s="32">
        <f>IF(AW182=0,"",IF(AZ182="","",AZ182+ROW()/1000000))</f>
        <v>0</v>
      </c>
      <c r="BB182" s="17">
        <f>IF(Lists!$AL182="","",Lists!$AL182)</f>
        <v>0</v>
      </c>
      <c r="BC182" s="23">
        <f>IF(BB182="","",COUNTIF(Performance!$M$5:$M$404,BB182))</f>
        <v>0</v>
      </c>
      <c r="BD182" s="23">
        <f>IF(BB182="","",SUMIFS(Performance!$O$5:$O$404,Performance!$M$5:$M$404,BB182))</f>
        <v>0</v>
      </c>
      <c r="BE182" s="23">
        <f>IF(BB182="","",SUMIFS(Performance!$Z$5:$Z$404,Performance!$M$5:$M$404,BB182))</f>
        <v>0</v>
      </c>
      <c r="BF182" s="24">
        <f>IF(OR(BD182="",BD182=0),"",BE182/BD182)</f>
        <v>0</v>
      </c>
      <c r="BG182" s="32">
        <f>IF(BC182=0,"",IF(BF182="","",BF182+ROW()/1000000))</f>
        <v>0</v>
      </c>
      <c r="BH182" s="17">
        <f>IF(Performance!$C$182="","",Performance!$C$182)</f>
        <v>0</v>
      </c>
      <c r="BI182" s="17">
        <f>IF(Performance!$F$182="","",Performance!$F$182)</f>
        <v>0</v>
      </c>
      <c r="BJ182" s="17">
        <f>IF(Performance!$H$182="","",Performance!$H$182)</f>
        <v>0</v>
      </c>
      <c r="BK182" s="16">
        <f>IF(Performance!$D$182="","",Performance!$D$182)</f>
        <v>0</v>
      </c>
      <c r="BL182" s="17">
        <f>IF(Performance!$E$182="","",Performance!$E$182)</f>
        <v>0</v>
      </c>
      <c r="BM182" s="23">
        <f>IF(Performance!$O$182="","",Performance!$O$182)</f>
        <v>0</v>
      </c>
      <c r="BN182" s="24">
        <f>IF(Performance!$AA$182="","",Performance!$AA$182)</f>
        <v>0</v>
      </c>
      <c r="BO182" s="32">
        <f>IF(BH182="","",IF(BK182="","",IF(OR(BK182&lt;DashStart,BK182&gt;DashEnd),"",IF(BN182="","",BN182+ROW()/1000000))))</f>
        <v>0</v>
      </c>
      <c r="BP182" s="32">
        <f>IF(BM182="","",IF(BK182="","",IF(OR(BK182&lt;DashStart,BK182&gt;DashEnd),"",BM182+ROW()/1000000)))</f>
        <v>0</v>
      </c>
      <c r="BQ182" s="32">
        <f>IF(BH182="","",IF(BK182="","",IF(YEAR(BK182)&lt;&gt;PlanYear,"",IF(BN182="","",BN182+ROW()/1000000))))</f>
        <v>0</v>
      </c>
      <c r="BR182" s="32">
        <f>IF(BH182="","",IF(BK182="","",IF(OR(BK182&lt;RepFrom,BK182&gt;RepTo),"",IF(BN182="","",BN182+ROW()/1000000))))</f>
        <v>0</v>
      </c>
      <c r="BS182" s="32">
        <f>IF(BM182="","",IF(BK182="","",IF(YEAR(BK182)&lt;&gt;PlanYear,"",BM182+ROW()/1000000)))</f>
        <v>0</v>
      </c>
      <c r="BT182" s="17">
        <f>IF(Lists!$F182="","",Lists!$F182)</f>
        <v>0</v>
      </c>
      <c r="BU182" s="23">
        <f>IF(BT182="","",COUNTIF('Content Calendar'!$X$5:$X$604,BT182))</f>
        <v>0</v>
      </c>
      <c r="BV182" s="23">
        <f>IF(BT182="","",COUNTIFS('Content Calendar'!$X$5:$X$604,BT182,'Content Calendar'!$B$5:$B$604,"&gt;="&amp;DashStart,'Content Calendar'!$B$5:$B$604,"&lt;="&amp;DashEnd))</f>
        <v>0</v>
      </c>
      <c r="BW182" s="17">
        <f>IF(Team!$B$182="","",Team!$B$182)</f>
        <v>0</v>
      </c>
      <c r="BX182" s="23">
        <f>IF(BW182="","",COUNTIF('Content Calendar'!$W$5:$W$604,BW182))</f>
        <v>0</v>
      </c>
      <c r="BY182" s="23">
        <f>IF(BW182="","",COUNTIFS('Content Calendar'!$W$5:$W$604,BW182,'Content Calendar'!$X$5:$X$604,"&lt;&gt;Published"))</f>
        <v>0</v>
      </c>
      <c r="BZ182" s="23">
        <f>IF(BW182="","",COUNTIFS(Tasks!$C$5:$C$64,BW182,Tasks!$G$5:$G$64,"&lt;&gt;Complete"))</f>
        <v>0</v>
      </c>
      <c r="CA182" s="17">
        <f>IF(Campaigns!$B$182="","",Campaigns!$B$182)</f>
        <v>0</v>
      </c>
      <c r="CB182" s="25">
        <f>IF(Campaigns!$T$182="","",Campaigns!$T$182)</f>
        <v>0</v>
      </c>
      <c r="CC182" s="25">
        <f>IF(Campaigns!$Q$182="","",Campaigns!$Q$182)</f>
        <v>0</v>
      </c>
      <c r="CD182" s="23">
        <f>IF(Campaigns!$Y$182="","",Campaigns!$Y$182)</f>
        <v>0</v>
      </c>
      <c r="CE182" s="32">
        <f>IF(CA182="","",IF(N(CB182)&lt;=0,"",N(CB182)+ROW()/1000000))</f>
        <v>0</v>
      </c>
      <c r="CF182" s="17">
        <f>IF(Accounts!$C$182="","",Accounts!$C$182)</f>
        <v>0</v>
      </c>
      <c r="CG182" s="17">
        <f>IF(Accounts!$B$182="","",Accounts!$B$182)</f>
        <v>0</v>
      </c>
      <c r="CH182" s="23">
        <f>IF(Accounts!$J$182="","",Accounts!$J$182)</f>
        <v>0</v>
      </c>
      <c r="CI182" s="23">
        <f>IF(CF182="","",SUMIFS(Analytics!$X$5:$X$154,Analytics!$E$5:$E$154,CF182,Analytics!$B$5:$B$154,"&gt;="&amp;DashStart,Analytics!$B$5:$B$154,"&lt;="&amp;DashEnd))</f>
        <v>0</v>
      </c>
      <c r="CJ182" s="32">
        <f>IF(CH182="","",IF(CH182=0,"",CH182+ROW()/1000000))</f>
        <v>0</v>
      </c>
    </row>
    <row r="183" spans="1:88">
      <c r="A183" s="16">
        <f>IF(ROW()-4&gt;12,"",DATE(PlanYear,ROW()-4,1))</f>
        <v>0</v>
      </c>
      <c r="B183" s="16">
        <f>IF(A183="","",EOMONTH(A183,0))</f>
        <v>0</v>
      </c>
      <c r="C183" s="17">
        <f>IF(A183="","",TEXT(A183,"yyyy-mm"))</f>
        <v>0</v>
      </c>
      <c r="D183" s="17">
        <f>IF(A183="","",TEXT(A183,"mmm"))</f>
        <v>0</v>
      </c>
      <c r="E183" s="23">
        <f>IF(C183="","",COUNTIFS('Content Calendar'!$D$5:$D$604,C183))</f>
        <v>0</v>
      </c>
      <c r="F183" s="23">
        <f>IF(C183="","",COUNTIFS('Content Calendar'!$D$5:$D$604,C183,'Content Calendar'!$X$5:$X$604,"Published"))</f>
        <v>0</v>
      </c>
      <c r="G183" s="23">
        <f>IF(C183="","",SUMIFS(Analytics!$J$5:$J$154,Analytics!$C$5:$C$154,C183))</f>
        <v>0</v>
      </c>
      <c r="H183" s="23">
        <f>IF(C183="","",SUMIFS(Analytics!$K$5:$K$154,Analytics!$C$5:$C$154,C183))</f>
        <v>0</v>
      </c>
      <c r="I183" s="23">
        <f>IF(C183="","",SUMIFS(Analytics!$L$5:$L$154,Analytics!$C$5:$C$154,C183))</f>
        <v>0</v>
      </c>
      <c r="J183" s="24">
        <f>IF(OR(G183="",G183=0),"",I183/G183)</f>
        <v>0</v>
      </c>
      <c r="K183" s="23">
        <f>IF(C183="","",SUMIFS(Analytics!$G$5:$G$154,Analytics!$C$5:$C$154,C183))</f>
        <v>0</v>
      </c>
      <c r="L183" s="23">
        <f>IF(C183="","",SUMIFS(Analytics!$X$5:$X$154,Analytics!$C$5:$C$154,C183))</f>
        <v>0</v>
      </c>
      <c r="M183" s="23">
        <f>IF(C183="","",SUMIFS(Analytics!$R$5:$R$154,Analytics!$C$5:$C$154,C183))</f>
        <v>0</v>
      </c>
      <c r="N183" s="23">
        <f>IF(C183="","",SUMIFS(Analytics!$S$5:$S$154,Analytics!$C$5:$C$154,C183))</f>
        <v>0</v>
      </c>
      <c r="O183" s="23">
        <f>IF(C183="","",SUMIFS(Analytics!$T$5:$T$154,Analytics!$C$5:$C$154,C183))</f>
        <v>0</v>
      </c>
      <c r="P183" s="25">
        <f>IF(C183="","",SUMIFS(Analytics!$U$5:$U$154,Analytics!$C$5:$C$154,C183))</f>
        <v>0</v>
      </c>
      <c r="Q183" s="25">
        <f>IF(C183="","",SUMIFS(Budget!$H$5:$H$64,Budget!$C$5:$C$64,C183))</f>
        <v>0</v>
      </c>
      <c r="R183" s="25">
        <f>IF(C183="","",P183-Q183)</f>
        <v>0</v>
      </c>
      <c r="S183" s="23">
        <f>IF(C183="","",MonthlyPostTarget)</f>
        <v>0</v>
      </c>
      <c r="T183" s="17">
        <f>IF(Lists!$C183="","",Lists!$C183)</f>
        <v>0</v>
      </c>
      <c r="U183" s="23">
        <f>IF(T183="","",COUNTIFS('Content Calendar'!$G$5:$G$604,T183,'Content Calendar'!$B$5:$B$604,"&gt;="&amp;DashStart,'Content Calendar'!$B$5:$B$604,"&lt;="&amp;DashEnd))</f>
        <v>0</v>
      </c>
      <c r="V183" s="23">
        <f>IF(T183="","",COUNTIFS('Content Calendar'!$G$5:$G$604,T183,'Content Calendar'!$X$5:$X$604,"Published",'Content Calendar'!$B$5:$B$604,"&gt;="&amp;DashStart,'Content Calendar'!$B$5:$B$604,"&lt;="&amp;DashEnd))</f>
        <v>0</v>
      </c>
      <c r="W183" s="23">
        <f>IF(T183="","",SUMIFS(Analytics!$J$5:$J$154,Analytics!$D$5:$D$154,T183,Analytics!$B$5:$B$154,"&gt;="&amp;DashStart,Analytics!$B$5:$B$154,"&lt;="&amp;DashEnd))</f>
        <v>0</v>
      </c>
      <c r="X183" s="23">
        <f>IF(T183="","",SUMIFS(Analytics!$L$5:$L$154,Analytics!$D$5:$D$154,T183,Analytics!$B$5:$B$154,"&gt;="&amp;DashStart,Analytics!$B$5:$B$154,"&lt;="&amp;DashEnd))</f>
        <v>0</v>
      </c>
      <c r="Y183" s="24">
        <f>IF(OR(W183="",W183=0),"",X183/W183)</f>
        <v>0</v>
      </c>
      <c r="Z183" s="23">
        <f>IF(T183="","",SUMIFS(Analytics!$G$5:$G$154,Analytics!$D$5:$D$154,T183,Analytics!$B$5:$B$154,"&gt;="&amp;DashStart,Analytics!$B$5:$B$154,"&lt;="&amp;DashEnd))</f>
        <v>0</v>
      </c>
      <c r="AA183" s="23">
        <f>IF(T183="","",SUMIFS(Analytics!$X$5:$X$154,Analytics!$D$5:$D$154,T183,Analytics!$B$5:$B$154,"&gt;="&amp;DashStart,Analytics!$B$5:$B$154,"&lt;="&amp;DashEnd))</f>
        <v>0</v>
      </c>
      <c r="AB183" s="23">
        <f>IF(T183="","",SUMIFS(Analytics!$R$5:$R$154,Analytics!$D$5:$D$154,T183,Analytics!$B$5:$B$154,"&gt;="&amp;DashStart,Analytics!$B$5:$B$154,"&lt;="&amp;DashEnd))</f>
        <v>0</v>
      </c>
      <c r="AC183" s="25">
        <f>IF(T183="","",SUMIFS(Analytics!$U$5:$U$154,Analytics!$D$5:$D$154,T183,Analytics!$B$5:$B$154,"&gt;="&amp;DashStart,Analytics!$B$5:$B$154,"&lt;="&amp;DashEnd))</f>
        <v>0</v>
      </c>
      <c r="AD183" s="23">
        <f>IF(T183="","",COUNTIFS('Content Calendar'!$G$5:$G$604,T183,'Content Calendar'!$B$5:$B$604,"&gt;="&amp;DATE(PlanYear,1,1),'Content Calendar'!$B$5:$B$604,"&lt;="&amp;DATE(PlanYear,12,31)))</f>
        <v>0</v>
      </c>
      <c r="AE183" s="23">
        <f>IF(T183="","",SUMIFS(Analytics!$J$5:$J$154,Analytics!$D$5:$D$154,T183))</f>
        <v>0</v>
      </c>
      <c r="AF183" s="23">
        <f>IF(T183="","",SUMIFS(Analytics!$L$5:$L$154,Analytics!$D$5:$D$154,T183))</f>
        <v>0</v>
      </c>
      <c r="AG183" s="24">
        <f>IF(OR(AE183="",AE183=0),"",AF183/AE183)</f>
        <v>0</v>
      </c>
      <c r="AH183" s="23">
        <f>IF(T183="","",SUMIFS(Analytics!$X$5:$X$154,Analytics!$D$5:$D$154,T183))</f>
        <v>0</v>
      </c>
      <c r="AI183" s="32">
        <f>IF(T183="","",IF(AE183=0,"",AE183+ROW()/1000000))</f>
        <v>0</v>
      </c>
      <c r="AJ183" s="17">
        <f>IF('Content Pillars'!$B$183="","",'Content Pillars'!$B$183)</f>
        <v>0</v>
      </c>
      <c r="AK183" s="23">
        <f>IF(AJ183="","",COUNTIFS('Content Calendar'!$J$5:$J$604,AJ183,'Content Calendar'!$B$5:$B$604,"&gt;="&amp;DATE(PlanYear,1,1),'Content Calendar'!$B$5:$B$604,"&lt;="&amp;DATE(PlanYear,12,31)))</f>
        <v>0</v>
      </c>
      <c r="AL183" s="23">
        <f>IF(AJ183="","",SUMIFS(Performance!$O$5:$O$404,Performance!$H$5:$H$404,AJ183))</f>
        <v>0</v>
      </c>
      <c r="AM183" s="23">
        <f>IF(AJ183="","",SUMIFS(Performance!$Z$5:$Z$404,Performance!$H$5:$H$404,AJ183))</f>
        <v>0</v>
      </c>
      <c r="AN183" s="24">
        <f>IF(OR(AL183="",AL183=0),"",AM183/AL183)</f>
        <v>0</v>
      </c>
      <c r="AO183" s="32">
        <f>IF(AN183="","",AN183+ROW()/1000000)</f>
        <v>0</v>
      </c>
      <c r="AP183" s="17">
        <f>IF(Lists!$E183="","",Lists!$E183)</f>
        <v>0</v>
      </c>
      <c r="AQ183" s="23">
        <f>IF(AP183="","",COUNTIF(Performance!$G$5:$G$404,AP183))</f>
        <v>0</v>
      </c>
      <c r="AR183" s="23">
        <f>IF(AP183="","",SUMIFS(Performance!$O$5:$O$404,Performance!$G$5:$G$404,AP183))</f>
        <v>0</v>
      </c>
      <c r="AS183" s="23">
        <f>IF(AP183="","",SUMIFS(Performance!$Z$5:$Z$404,Performance!$G$5:$G$404,AP183))</f>
        <v>0</v>
      </c>
      <c r="AT183" s="24">
        <f>IF(OR(AR183="",AR183=0),"",AS183/AR183)</f>
        <v>0</v>
      </c>
      <c r="AU183" s="32">
        <f>IF(AQ183=0,"",IF(AT183="","",AT183+ROW()/1000000))</f>
        <v>0</v>
      </c>
      <c r="AV183" s="17">
        <f>IF(ROW()-4&gt;7,"",TEXT(DATE(2024,1,ROW()-4),"ddd"))</f>
        <v>0</v>
      </c>
      <c r="AW183" s="23">
        <f>IF(AV183="","",COUNTIF(Performance!$N$5:$N$404,AV183))</f>
        <v>0</v>
      </c>
      <c r="AX183" s="23">
        <f>IF(AV183="","",SUMIFS(Performance!$O$5:$O$404,Performance!$N$5:$N$404,AV183))</f>
        <v>0</v>
      </c>
      <c r="AY183" s="23">
        <f>IF(AV183="","",SUMIFS(Performance!$Z$5:$Z$404,Performance!$N$5:$N$404,AV183))</f>
        <v>0</v>
      </c>
      <c r="AZ183" s="24">
        <f>IF(OR(AX183="",AX183=0),"",AY183/AX183)</f>
        <v>0</v>
      </c>
      <c r="BA183" s="32">
        <f>IF(AW183=0,"",IF(AZ183="","",AZ183+ROW()/1000000))</f>
        <v>0</v>
      </c>
      <c r="BB183" s="17">
        <f>IF(Lists!$AL183="","",Lists!$AL183)</f>
        <v>0</v>
      </c>
      <c r="BC183" s="23">
        <f>IF(BB183="","",COUNTIF(Performance!$M$5:$M$404,BB183))</f>
        <v>0</v>
      </c>
      <c r="BD183" s="23">
        <f>IF(BB183="","",SUMIFS(Performance!$O$5:$O$404,Performance!$M$5:$M$404,BB183))</f>
        <v>0</v>
      </c>
      <c r="BE183" s="23">
        <f>IF(BB183="","",SUMIFS(Performance!$Z$5:$Z$404,Performance!$M$5:$M$404,BB183))</f>
        <v>0</v>
      </c>
      <c r="BF183" s="24">
        <f>IF(OR(BD183="",BD183=0),"",BE183/BD183)</f>
        <v>0</v>
      </c>
      <c r="BG183" s="32">
        <f>IF(BC183=0,"",IF(BF183="","",BF183+ROW()/1000000))</f>
        <v>0</v>
      </c>
      <c r="BH183" s="17">
        <f>IF(Performance!$C$183="","",Performance!$C$183)</f>
        <v>0</v>
      </c>
      <c r="BI183" s="17">
        <f>IF(Performance!$F$183="","",Performance!$F$183)</f>
        <v>0</v>
      </c>
      <c r="BJ183" s="17">
        <f>IF(Performance!$H$183="","",Performance!$H$183)</f>
        <v>0</v>
      </c>
      <c r="BK183" s="16">
        <f>IF(Performance!$D$183="","",Performance!$D$183)</f>
        <v>0</v>
      </c>
      <c r="BL183" s="17">
        <f>IF(Performance!$E$183="","",Performance!$E$183)</f>
        <v>0</v>
      </c>
      <c r="BM183" s="23">
        <f>IF(Performance!$O$183="","",Performance!$O$183)</f>
        <v>0</v>
      </c>
      <c r="BN183" s="24">
        <f>IF(Performance!$AA$183="","",Performance!$AA$183)</f>
        <v>0</v>
      </c>
      <c r="BO183" s="32">
        <f>IF(BH183="","",IF(BK183="","",IF(OR(BK183&lt;DashStart,BK183&gt;DashEnd),"",IF(BN183="","",BN183+ROW()/1000000))))</f>
        <v>0</v>
      </c>
      <c r="BP183" s="32">
        <f>IF(BM183="","",IF(BK183="","",IF(OR(BK183&lt;DashStart,BK183&gt;DashEnd),"",BM183+ROW()/1000000)))</f>
        <v>0</v>
      </c>
      <c r="BQ183" s="32">
        <f>IF(BH183="","",IF(BK183="","",IF(YEAR(BK183)&lt;&gt;PlanYear,"",IF(BN183="","",BN183+ROW()/1000000))))</f>
        <v>0</v>
      </c>
      <c r="BR183" s="32">
        <f>IF(BH183="","",IF(BK183="","",IF(OR(BK183&lt;RepFrom,BK183&gt;RepTo),"",IF(BN183="","",BN183+ROW()/1000000))))</f>
        <v>0</v>
      </c>
      <c r="BS183" s="32">
        <f>IF(BM183="","",IF(BK183="","",IF(YEAR(BK183)&lt;&gt;PlanYear,"",BM183+ROW()/1000000)))</f>
        <v>0</v>
      </c>
      <c r="BT183" s="17">
        <f>IF(Lists!$F183="","",Lists!$F183)</f>
        <v>0</v>
      </c>
      <c r="BU183" s="23">
        <f>IF(BT183="","",COUNTIF('Content Calendar'!$X$5:$X$604,BT183))</f>
        <v>0</v>
      </c>
      <c r="BV183" s="23">
        <f>IF(BT183="","",COUNTIFS('Content Calendar'!$X$5:$X$604,BT183,'Content Calendar'!$B$5:$B$604,"&gt;="&amp;DashStart,'Content Calendar'!$B$5:$B$604,"&lt;="&amp;DashEnd))</f>
        <v>0</v>
      </c>
      <c r="BW183" s="17">
        <f>IF(Team!$B$183="","",Team!$B$183)</f>
        <v>0</v>
      </c>
      <c r="BX183" s="23">
        <f>IF(BW183="","",COUNTIF('Content Calendar'!$W$5:$W$604,BW183))</f>
        <v>0</v>
      </c>
      <c r="BY183" s="23">
        <f>IF(BW183="","",COUNTIFS('Content Calendar'!$W$5:$W$604,BW183,'Content Calendar'!$X$5:$X$604,"&lt;&gt;Published"))</f>
        <v>0</v>
      </c>
      <c r="BZ183" s="23">
        <f>IF(BW183="","",COUNTIFS(Tasks!$C$5:$C$64,BW183,Tasks!$G$5:$G$64,"&lt;&gt;Complete"))</f>
        <v>0</v>
      </c>
      <c r="CA183" s="17">
        <f>IF(Campaigns!$B$183="","",Campaigns!$B$183)</f>
        <v>0</v>
      </c>
      <c r="CB183" s="25">
        <f>IF(Campaigns!$T$183="","",Campaigns!$T$183)</f>
        <v>0</v>
      </c>
      <c r="CC183" s="25">
        <f>IF(Campaigns!$Q$183="","",Campaigns!$Q$183)</f>
        <v>0</v>
      </c>
      <c r="CD183" s="23">
        <f>IF(Campaigns!$Y$183="","",Campaigns!$Y$183)</f>
        <v>0</v>
      </c>
      <c r="CE183" s="32">
        <f>IF(CA183="","",IF(N(CB183)&lt;=0,"",N(CB183)+ROW()/1000000))</f>
        <v>0</v>
      </c>
      <c r="CF183" s="17">
        <f>IF(Accounts!$C$183="","",Accounts!$C$183)</f>
        <v>0</v>
      </c>
      <c r="CG183" s="17">
        <f>IF(Accounts!$B$183="","",Accounts!$B$183)</f>
        <v>0</v>
      </c>
      <c r="CH183" s="23">
        <f>IF(Accounts!$J$183="","",Accounts!$J$183)</f>
        <v>0</v>
      </c>
      <c r="CI183" s="23">
        <f>IF(CF183="","",SUMIFS(Analytics!$X$5:$X$154,Analytics!$E$5:$E$154,CF183,Analytics!$B$5:$B$154,"&gt;="&amp;DashStart,Analytics!$B$5:$B$154,"&lt;="&amp;DashEnd))</f>
        <v>0</v>
      </c>
      <c r="CJ183" s="32">
        <f>IF(CH183="","",IF(CH183=0,"",CH183+ROW()/1000000))</f>
        <v>0</v>
      </c>
    </row>
    <row r="184" spans="1:88">
      <c r="A184" s="16">
        <f>IF(ROW()-4&gt;12,"",DATE(PlanYear,ROW()-4,1))</f>
        <v>0</v>
      </c>
      <c r="B184" s="16">
        <f>IF(A184="","",EOMONTH(A184,0))</f>
        <v>0</v>
      </c>
      <c r="C184" s="17">
        <f>IF(A184="","",TEXT(A184,"yyyy-mm"))</f>
        <v>0</v>
      </c>
      <c r="D184" s="17">
        <f>IF(A184="","",TEXT(A184,"mmm"))</f>
        <v>0</v>
      </c>
      <c r="E184" s="23">
        <f>IF(C184="","",COUNTIFS('Content Calendar'!$D$5:$D$604,C184))</f>
        <v>0</v>
      </c>
      <c r="F184" s="23">
        <f>IF(C184="","",COUNTIFS('Content Calendar'!$D$5:$D$604,C184,'Content Calendar'!$X$5:$X$604,"Published"))</f>
        <v>0</v>
      </c>
      <c r="G184" s="23">
        <f>IF(C184="","",SUMIFS(Analytics!$J$5:$J$154,Analytics!$C$5:$C$154,C184))</f>
        <v>0</v>
      </c>
      <c r="H184" s="23">
        <f>IF(C184="","",SUMIFS(Analytics!$K$5:$K$154,Analytics!$C$5:$C$154,C184))</f>
        <v>0</v>
      </c>
      <c r="I184" s="23">
        <f>IF(C184="","",SUMIFS(Analytics!$L$5:$L$154,Analytics!$C$5:$C$154,C184))</f>
        <v>0</v>
      </c>
      <c r="J184" s="24">
        <f>IF(OR(G184="",G184=0),"",I184/G184)</f>
        <v>0</v>
      </c>
      <c r="K184" s="23">
        <f>IF(C184="","",SUMIFS(Analytics!$G$5:$G$154,Analytics!$C$5:$C$154,C184))</f>
        <v>0</v>
      </c>
      <c r="L184" s="23">
        <f>IF(C184="","",SUMIFS(Analytics!$X$5:$X$154,Analytics!$C$5:$C$154,C184))</f>
        <v>0</v>
      </c>
      <c r="M184" s="23">
        <f>IF(C184="","",SUMIFS(Analytics!$R$5:$R$154,Analytics!$C$5:$C$154,C184))</f>
        <v>0</v>
      </c>
      <c r="N184" s="23">
        <f>IF(C184="","",SUMIFS(Analytics!$S$5:$S$154,Analytics!$C$5:$C$154,C184))</f>
        <v>0</v>
      </c>
      <c r="O184" s="23">
        <f>IF(C184="","",SUMIFS(Analytics!$T$5:$T$154,Analytics!$C$5:$C$154,C184))</f>
        <v>0</v>
      </c>
      <c r="P184" s="25">
        <f>IF(C184="","",SUMIFS(Analytics!$U$5:$U$154,Analytics!$C$5:$C$154,C184))</f>
        <v>0</v>
      </c>
      <c r="Q184" s="25">
        <f>IF(C184="","",SUMIFS(Budget!$H$5:$H$64,Budget!$C$5:$C$64,C184))</f>
        <v>0</v>
      </c>
      <c r="R184" s="25">
        <f>IF(C184="","",P184-Q184)</f>
        <v>0</v>
      </c>
      <c r="S184" s="23">
        <f>IF(C184="","",MonthlyPostTarget)</f>
        <v>0</v>
      </c>
      <c r="T184" s="17">
        <f>IF(Lists!$C184="","",Lists!$C184)</f>
        <v>0</v>
      </c>
      <c r="U184" s="23">
        <f>IF(T184="","",COUNTIFS('Content Calendar'!$G$5:$G$604,T184,'Content Calendar'!$B$5:$B$604,"&gt;="&amp;DashStart,'Content Calendar'!$B$5:$B$604,"&lt;="&amp;DashEnd))</f>
        <v>0</v>
      </c>
      <c r="V184" s="23">
        <f>IF(T184="","",COUNTIFS('Content Calendar'!$G$5:$G$604,T184,'Content Calendar'!$X$5:$X$604,"Published",'Content Calendar'!$B$5:$B$604,"&gt;="&amp;DashStart,'Content Calendar'!$B$5:$B$604,"&lt;="&amp;DashEnd))</f>
        <v>0</v>
      </c>
      <c r="W184" s="23">
        <f>IF(T184="","",SUMIFS(Analytics!$J$5:$J$154,Analytics!$D$5:$D$154,T184,Analytics!$B$5:$B$154,"&gt;="&amp;DashStart,Analytics!$B$5:$B$154,"&lt;="&amp;DashEnd))</f>
        <v>0</v>
      </c>
      <c r="X184" s="23">
        <f>IF(T184="","",SUMIFS(Analytics!$L$5:$L$154,Analytics!$D$5:$D$154,T184,Analytics!$B$5:$B$154,"&gt;="&amp;DashStart,Analytics!$B$5:$B$154,"&lt;="&amp;DashEnd))</f>
        <v>0</v>
      </c>
      <c r="Y184" s="24">
        <f>IF(OR(W184="",W184=0),"",X184/W184)</f>
        <v>0</v>
      </c>
      <c r="Z184" s="23">
        <f>IF(T184="","",SUMIFS(Analytics!$G$5:$G$154,Analytics!$D$5:$D$154,T184,Analytics!$B$5:$B$154,"&gt;="&amp;DashStart,Analytics!$B$5:$B$154,"&lt;="&amp;DashEnd))</f>
        <v>0</v>
      </c>
      <c r="AA184" s="23">
        <f>IF(T184="","",SUMIFS(Analytics!$X$5:$X$154,Analytics!$D$5:$D$154,T184,Analytics!$B$5:$B$154,"&gt;="&amp;DashStart,Analytics!$B$5:$B$154,"&lt;="&amp;DashEnd))</f>
        <v>0</v>
      </c>
      <c r="AB184" s="23">
        <f>IF(T184="","",SUMIFS(Analytics!$R$5:$R$154,Analytics!$D$5:$D$154,T184,Analytics!$B$5:$B$154,"&gt;="&amp;DashStart,Analytics!$B$5:$B$154,"&lt;="&amp;DashEnd))</f>
        <v>0</v>
      </c>
      <c r="AC184" s="25">
        <f>IF(T184="","",SUMIFS(Analytics!$U$5:$U$154,Analytics!$D$5:$D$154,T184,Analytics!$B$5:$B$154,"&gt;="&amp;DashStart,Analytics!$B$5:$B$154,"&lt;="&amp;DashEnd))</f>
        <v>0</v>
      </c>
      <c r="AD184" s="23">
        <f>IF(T184="","",COUNTIFS('Content Calendar'!$G$5:$G$604,T184,'Content Calendar'!$B$5:$B$604,"&gt;="&amp;DATE(PlanYear,1,1),'Content Calendar'!$B$5:$B$604,"&lt;="&amp;DATE(PlanYear,12,31)))</f>
        <v>0</v>
      </c>
      <c r="AE184" s="23">
        <f>IF(T184="","",SUMIFS(Analytics!$J$5:$J$154,Analytics!$D$5:$D$154,T184))</f>
        <v>0</v>
      </c>
      <c r="AF184" s="23">
        <f>IF(T184="","",SUMIFS(Analytics!$L$5:$L$154,Analytics!$D$5:$D$154,T184))</f>
        <v>0</v>
      </c>
      <c r="AG184" s="24">
        <f>IF(OR(AE184="",AE184=0),"",AF184/AE184)</f>
        <v>0</v>
      </c>
      <c r="AH184" s="23">
        <f>IF(T184="","",SUMIFS(Analytics!$X$5:$X$154,Analytics!$D$5:$D$154,T184))</f>
        <v>0</v>
      </c>
      <c r="AI184" s="32">
        <f>IF(T184="","",IF(AE184=0,"",AE184+ROW()/1000000))</f>
        <v>0</v>
      </c>
      <c r="AJ184" s="17">
        <f>IF('Content Pillars'!$B$184="","",'Content Pillars'!$B$184)</f>
        <v>0</v>
      </c>
      <c r="AK184" s="23">
        <f>IF(AJ184="","",COUNTIFS('Content Calendar'!$J$5:$J$604,AJ184,'Content Calendar'!$B$5:$B$604,"&gt;="&amp;DATE(PlanYear,1,1),'Content Calendar'!$B$5:$B$604,"&lt;="&amp;DATE(PlanYear,12,31)))</f>
        <v>0</v>
      </c>
      <c r="AL184" s="23">
        <f>IF(AJ184="","",SUMIFS(Performance!$O$5:$O$404,Performance!$H$5:$H$404,AJ184))</f>
        <v>0</v>
      </c>
      <c r="AM184" s="23">
        <f>IF(AJ184="","",SUMIFS(Performance!$Z$5:$Z$404,Performance!$H$5:$H$404,AJ184))</f>
        <v>0</v>
      </c>
      <c r="AN184" s="24">
        <f>IF(OR(AL184="",AL184=0),"",AM184/AL184)</f>
        <v>0</v>
      </c>
      <c r="AO184" s="32">
        <f>IF(AN184="","",AN184+ROW()/1000000)</f>
        <v>0</v>
      </c>
      <c r="AP184" s="17">
        <f>IF(Lists!$E184="","",Lists!$E184)</f>
        <v>0</v>
      </c>
      <c r="AQ184" s="23">
        <f>IF(AP184="","",COUNTIF(Performance!$G$5:$G$404,AP184))</f>
        <v>0</v>
      </c>
      <c r="AR184" s="23">
        <f>IF(AP184="","",SUMIFS(Performance!$O$5:$O$404,Performance!$G$5:$G$404,AP184))</f>
        <v>0</v>
      </c>
      <c r="AS184" s="23">
        <f>IF(AP184="","",SUMIFS(Performance!$Z$5:$Z$404,Performance!$G$5:$G$404,AP184))</f>
        <v>0</v>
      </c>
      <c r="AT184" s="24">
        <f>IF(OR(AR184="",AR184=0),"",AS184/AR184)</f>
        <v>0</v>
      </c>
      <c r="AU184" s="32">
        <f>IF(AQ184=0,"",IF(AT184="","",AT184+ROW()/1000000))</f>
        <v>0</v>
      </c>
      <c r="AV184" s="17">
        <f>IF(ROW()-4&gt;7,"",TEXT(DATE(2024,1,ROW()-4),"ddd"))</f>
        <v>0</v>
      </c>
      <c r="AW184" s="23">
        <f>IF(AV184="","",COUNTIF(Performance!$N$5:$N$404,AV184))</f>
        <v>0</v>
      </c>
      <c r="AX184" s="23">
        <f>IF(AV184="","",SUMIFS(Performance!$O$5:$O$404,Performance!$N$5:$N$404,AV184))</f>
        <v>0</v>
      </c>
      <c r="AY184" s="23">
        <f>IF(AV184="","",SUMIFS(Performance!$Z$5:$Z$404,Performance!$N$5:$N$404,AV184))</f>
        <v>0</v>
      </c>
      <c r="AZ184" s="24">
        <f>IF(OR(AX184="",AX184=0),"",AY184/AX184)</f>
        <v>0</v>
      </c>
      <c r="BA184" s="32">
        <f>IF(AW184=0,"",IF(AZ184="","",AZ184+ROW()/1000000))</f>
        <v>0</v>
      </c>
      <c r="BB184" s="17">
        <f>IF(Lists!$AL184="","",Lists!$AL184)</f>
        <v>0</v>
      </c>
      <c r="BC184" s="23">
        <f>IF(BB184="","",COUNTIF(Performance!$M$5:$M$404,BB184))</f>
        <v>0</v>
      </c>
      <c r="BD184" s="23">
        <f>IF(BB184="","",SUMIFS(Performance!$O$5:$O$404,Performance!$M$5:$M$404,BB184))</f>
        <v>0</v>
      </c>
      <c r="BE184" s="23">
        <f>IF(BB184="","",SUMIFS(Performance!$Z$5:$Z$404,Performance!$M$5:$M$404,BB184))</f>
        <v>0</v>
      </c>
      <c r="BF184" s="24">
        <f>IF(OR(BD184="",BD184=0),"",BE184/BD184)</f>
        <v>0</v>
      </c>
      <c r="BG184" s="32">
        <f>IF(BC184=0,"",IF(BF184="","",BF184+ROW()/1000000))</f>
        <v>0</v>
      </c>
      <c r="BH184" s="17">
        <f>IF(Performance!$C$184="","",Performance!$C$184)</f>
        <v>0</v>
      </c>
      <c r="BI184" s="17">
        <f>IF(Performance!$F$184="","",Performance!$F$184)</f>
        <v>0</v>
      </c>
      <c r="BJ184" s="17">
        <f>IF(Performance!$H$184="","",Performance!$H$184)</f>
        <v>0</v>
      </c>
      <c r="BK184" s="16">
        <f>IF(Performance!$D$184="","",Performance!$D$184)</f>
        <v>0</v>
      </c>
      <c r="BL184" s="17">
        <f>IF(Performance!$E$184="","",Performance!$E$184)</f>
        <v>0</v>
      </c>
      <c r="BM184" s="23">
        <f>IF(Performance!$O$184="","",Performance!$O$184)</f>
        <v>0</v>
      </c>
      <c r="BN184" s="24">
        <f>IF(Performance!$AA$184="","",Performance!$AA$184)</f>
        <v>0</v>
      </c>
      <c r="BO184" s="32">
        <f>IF(BH184="","",IF(BK184="","",IF(OR(BK184&lt;DashStart,BK184&gt;DashEnd),"",IF(BN184="","",BN184+ROW()/1000000))))</f>
        <v>0</v>
      </c>
      <c r="BP184" s="32">
        <f>IF(BM184="","",IF(BK184="","",IF(OR(BK184&lt;DashStart,BK184&gt;DashEnd),"",BM184+ROW()/1000000)))</f>
        <v>0</v>
      </c>
      <c r="BQ184" s="32">
        <f>IF(BH184="","",IF(BK184="","",IF(YEAR(BK184)&lt;&gt;PlanYear,"",IF(BN184="","",BN184+ROW()/1000000))))</f>
        <v>0</v>
      </c>
      <c r="BR184" s="32">
        <f>IF(BH184="","",IF(BK184="","",IF(OR(BK184&lt;RepFrom,BK184&gt;RepTo),"",IF(BN184="","",BN184+ROW()/1000000))))</f>
        <v>0</v>
      </c>
      <c r="BS184" s="32">
        <f>IF(BM184="","",IF(BK184="","",IF(YEAR(BK184)&lt;&gt;PlanYear,"",BM184+ROW()/1000000)))</f>
        <v>0</v>
      </c>
      <c r="BT184" s="17">
        <f>IF(Lists!$F184="","",Lists!$F184)</f>
        <v>0</v>
      </c>
      <c r="BU184" s="23">
        <f>IF(BT184="","",COUNTIF('Content Calendar'!$X$5:$X$604,BT184))</f>
        <v>0</v>
      </c>
      <c r="BV184" s="23">
        <f>IF(BT184="","",COUNTIFS('Content Calendar'!$X$5:$X$604,BT184,'Content Calendar'!$B$5:$B$604,"&gt;="&amp;DashStart,'Content Calendar'!$B$5:$B$604,"&lt;="&amp;DashEnd))</f>
        <v>0</v>
      </c>
      <c r="BW184" s="17">
        <f>IF(Team!$B$184="","",Team!$B$184)</f>
        <v>0</v>
      </c>
      <c r="BX184" s="23">
        <f>IF(BW184="","",COUNTIF('Content Calendar'!$W$5:$W$604,BW184))</f>
        <v>0</v>
      </c>
      <c r="BY184" s="23">
        <f>IF(BW184="","",COUNTIFS('Content Calendar'!$W$5:$W$604,BW184,'Content Calendar'!$X$5:$X$604,"&lt;&gt;Published"))</f>
        <v>0</v>
      </c>
      <c r="BZ184" s="23">
        <f>IF(BW184="","",COUNTIFS(Tasks!$C$5:$C$64,BW184,Tasks!$G$5:$G$64,"&lt;&gt;Complete"))</f>
        <v>0</v>
      </c>
      <c r="CA184" s="17">
        <f>IF(Campaigns!$B$184="","",Campaigns!$B$184)</f>
        <v>0</v>
      </c>
      <c r="CB184" s="25">
        <f>IF(Campaigns!$T$184="","",Campaigns!$T$184)</f>
        <v>0</v>
      </c>
      <c r="CC184" s="25">
        <f>IF(Campaigns!$Q$184="","",Campaigns!$Q$184)</f>
        <v>0</v>
      </c>
      <c r="CD184" s="23">
        <f>IF(Campaigns!$Y$184="","",Campaigns!$Y$184)</f>
        <v>0</v>
      </c>
      <c r="CE184" s="32">
        <f>IF(CA184="","",IF(N(CB184)&lt;=0,"",N(CB184)+ROW()/1000000))</f>
        <v>0</v>
      </c>
      <c r="CF184" s="17">
        <f>IF(Accounts!$C$184="","",Accounts!$C$184)</f>
        <v>0</v>
      </c>
      <c r="CG184" s="17">
        <f>IF(Accounts!$B$184="","",Accounts!$B$184)</f>
        <v>0</v>
      </c>
      <c r="CH184" s="23">
        <f>IF(Accounts!$J$184="","",Accounts!$J$184)</f>
        <v>0</v>
      </c>
      <c r="CI184" s="23">
        <f>IF(CF184="","",SUMIFS(Analytics!$X$5:$X$154,Analytics!$E$5:$E$154,CF184,Analytics!$B$5:$B$154,"&gt;="&amp;DashStart,Analytics!$B$5:$B$154,"&lt;="&amp;DashEnd))</f>
        <v>0</v>
      </c>
      <c r="CJ184" s="32">
        <f>IF(CH184="","",IF(CH184=0,"",CH184+ROW()/1000000))</f>
        <v>0</v>
      </c>
    </row>
    <row r="185" spans="1:88">
      <c r="A185" s="16">
        <f>IF(ROW()-4&gt;12,"",DATE(PlanYear,ROW()-4,1))</f>
        <v>0</v>
      </c>
      <c r="B185" s="16">
        <f>IF(A185="","",EOMONTH(A185,0))</f>
        <v>0</v>
      </c>
      <c r="C185" s="17">
        <f>IF(A185="","",TEXT(A185,"yyyy-mm"))</f>
        <v>0</v>
      </c>
      <c r="D185" s="17">
        <f>IF(A185="","",TEXT(A185,"mmm"))</f>
        <v>0</v>
      </c>
      <c r="E185" s="23">
        <f>IF(C185="","",COUNTIFS('Content Calendar'!$D$5:$D$604,C185))</f>
        <v>0</v>
      </c>
      <c r="F185" s="23">
        <f>IF(C185="","",COUNTIFS('Content Calendar'!$D$5:$D$604,C185,'Content Calendar'!$X$5:$X$604,"Published"))</f>
        <v>0</v>
      </c>
      <c r="G185" s="23">
        <f>IF(C185="","",SUMIFS(Analytics!$J$5:$J$154,Analytics!$C$5:$C$154,C185))</f>
        <v>0</v>
      </c>
      <c r="H185" s="23">
        <f>IF(C185="","",SUMIFS(Analytics!$K$5:$K$154,Analytics!$C$5:$C$154,C185))</f>
        <v>0</v>
      </c>
      <c r="I185" s="23">
        <f>IF(C185="","",SUMIFS(Analytics!$L$5:$L$154,Analytics!$C$5:$C$154,C185))</f>
        <v>0</v>
      </c>
      <c r="J185" s="24">
        <f>IF(OR(G185="",G185=0),"",I185/G185)</f>
        <v>0</v>
      </c>
      <c r="K185" s="23">
        <f>IF(C185="","",SUMIFS(Analytics!$G$5:$G$154,Analytics!$C$5:$C$154,C185))</f>
        <v>0</v>
      </c>
      <c r="L185" s="23">
        <f>IF(C185="","",SUMIFS(Analytics!$X$5:$X$154,Analytics!$C$5:$C$154,C185))</f>
        <v>0</v>
      </c>
      <c r="M185" s="23">
        <f>IF(C185="","",SUMIFS(Analytics!$R$5:$R$154,Analytics!$C$5:$C$154,C185))</f>
        <v>0</v>
      </c>
      <c r="N185" s="23">
        <f>IF(C185="","",SUMIFS(Analytics!$S$5:$S$154,Analytics!$C$5:$C$154,C185))</f>
        <v>0</v>
      </c>
      <c r="O185" s="23">
        <f>IF(C185="","",SUMIFS(Analytics!$T$5:$T$154,Analytics!$C$5:$C$154,C185))</f>
        <v>0</v>
      </c>
      <c r="P185" s="25">
        <f>IF(C185="","",SUMIFS(Analytics!$U$5:$U$154,Analytics!$C$5:$C$154,C185))</f>
        <v>0</v>
      </c>
      <c r="Q185" s="25">
        <f>IF(C185="","",SUMIFS(Budget!$H$5:$H$64,Budget!$C$5:$C$64,C185))</f>
        <v>0</v>
      </c>
      <c r="R185" s="25">
        <f>IF(C185="","",P185-Q185)</f>
        <v>0</v>
      </c>
      <c r="S185" s="23">
        <f>IF(C185="","",MonthlyPostTarget)</f>
        <v>0</v>
      </c>
      <c r="T185" s="17">
        <f>IF(Lists!$C185="","",Lists!$C185)</f>
        <v>0</v>
      </c>
      <c r="U185" s="23">
        <f>IF(T185="","",COUNTIFS('Content Calendar'!$G$5:$G$604,T185,'Content Calendar'!$B$5:$B$604,"&gt;="&amp;DashStart,'Content Calendar'!$B$5:$B$604,"&lt;="&amp;DashEnd))</f>
        <v>0</v>
      </c>
      <c r="V185" s="23">
        <f>IF(T185="","",COUNTIFS('Content Calendar'!$G$5:$G$604,T185,'Content Calendar'!$X$5:$X$604,"Published",'Content Calendar'!$B$5:$B$604,"&gt;="&amp;DashStart,'Content Calendar'!$B$5:$B$604,"&lt;="&amp;DashEnd))</f>
        <v>0</v>
      </c>
      <c r="W185" s="23">
        <f>IF(T185="","",SUMIFS(Analytics!$J$5:$J$154,Analytics!$D$5:$D$154,T185,Analytics!$B$5:$B$154,"&gt;="&amp;DashStart,Analytics!$B$5:$B$154,"&lt;="&amp;DashEnd))</f>
        <v>0</v>
      </c>
      <c r="X185" s="23">
        <f>IF(T185="","",SUMIFS(Analytics!$L$5:$L$154,Analytics!$D$5:$D$154,T185,Analytics!$B$5:$B$154,"&gt;="&amp;DashStart,Analytics!$B$5:$B$154,"&lt;="&amp;DashEnd))</f>
        <v>0</v>
      </c>
      <c r="Y185" s="24">
        <f>IF(OR(W185="",W185=0),"",X185/W185)</f>
        <v>0</v>
      </c>
      <c r="Z185" s="23">
        <f>IF(T185="","",SUMIFS(Analytics!$G$5:$G$154,Analytics!$D$5:$D$154,T185,Analytics!$B$5:$B$154,"&gt;="&amp;DashStart,Analytics!$B$5:$B$154,"&lt;="&amp;DashEnd))</f>
        <v>0</v>
      </c>
      <c r="AA185" s="23">
        <f>IF(T185="","",SUMIFS(Analytics!$X$5:$X$154,Analytics!$D$5:$D$154,T185,Analytics!$B$5:$B$154,"&gt;="&amp;DashStart,Analytics!$B$5:$B$154,"&lt;="&amp;DashEnd))</f>
        <v>0</v>
      </c>
      <c r="AB185" s="23">
        <f>IF(T185="","",SUMIFS(Analytics!$R$5:$R$154,Analytics!$D$5:$D$154,T185,Analytics!$B$5:$B$154,"&gt;="&amp;DashStart,Analytics!$B$5:$B$154,"&lt;="&amp;DashEnd))</f>
        <v>0</v>
      </c>
      <c r="AC185" s="25">
        <f>IF(T185="","",SUMIFS(Analytics!$U$5:$U$154,Analytics!$D$5:$D$154,T185,Analytics!$B$5:$B$154,"&gt;="&amp;DashStart,Analytics!$B$5:$B$154,"&lt;="&amp;DashEnd))</f>
        <v>0</v>
      </c>
      <c r="AD185" s="23">
        <f>IF(T185="","",COUNTIFS('Content Calendar'!$G$5:$G$604,T185,'Content Calendar'!$B$5:$B$604,"&gt;="&amp;DATE(PlanYear,1,1),'Content Calendar'!$B$5:$B$604,"&lt;="&amp;DATE(PlanYear,12,31)))</f>
        <v>0</v>
      </c>
      <c r="AE185" s="23">
        <f>IF(T185="","",SUMIFS(Analytics!$J$5:$J$154,Analytics!$D$5:$D$154,T185))</f>
        <v>0</v>
      </c>
      <c r="AF185" s="23">
        <f>IF(T185="","",SUMIFS(Analytics!$L$5:$L$154,Analytics!$D$5:$D$154,T185))</f>
        <v>0</v>
      </c>
      <c r="AG185" s="24">
        <f>IF(OR(AE185="",AE185=0),"",AF185/AE185)</f>
        <v>0</v>
      </c>
      <c r="AH185" s="23">
        <f>IF(T185="","",SUMIFS(Analytics!$X$5:$X$154,Analytics!$D$5:$D$154,T185))</f>
        <v>0</v>
      </c>
      <c r="AI185" s="32">
        <f>IF(T185="","",IF(AE185=0,"",AE185+ROW()/1000000))</f>
        <v>0</v>
      </c>
      <c r="AJ185" s="17">
        <f>IF('Content Pillars'!$B$185="","",'Content Pillars'!$B$185)</f>
        <v>0</v>
      </c>
      <c r="AK185" s="23">
        <f>IF(AJ185="","",COUNTIFS('Content Calendar'!$J$5:$J$604,AJ185,'Content Calendar'!$B$5:$B$604,"&gt;="&amp;DATE(PlanYear,1,1),'Content Calendar'!$B$5:$B$604,"&lt;="&amp;DATE(PlanYear,12,31)))</f>
        <v>0</v>
      </c>
      <c r="AL185" s="23">
        <f>IF(AJ185="","",SUMIFS(Performance!$O$5:$O$404,Performance!$H$5:$H$404,AJ185))</f>
        <v>0</v>
      </c>
      <c r="AM185" s="23">
        <f>IF(AJ185="","",SUMIFS(Performance!$Z$5:$Z$404,Performance!$H$5:$H$404,AJ185))</f>
        <v>0</v>
      </c>
      <c r="AN185" s="24">
        <f>IF(OR(AL185="",AL185=0),"",AM185/AL185)</f>
        <v>0</v>
      </c>
      <c r="AO185" s="32">
        <f>IF(AN185="","",AN185+ROW()/1000000)</f>
        <v>0</v>
      </c>
      <c r="AP185" s="17">
        <f>IF(Lists!$E185="","",Lists!$E185)</f>
        <v>0</v>
      </c>
      <c r="AQ185" s="23">
        <f>IF(AP185="","",COUNTIF(Performance!$G$5:$G$404,AP185))</f>
        <v>0</v>
      </c>
      <c r="AR185" s="23">
        <f>IF(AP185="","",SUMIFS(Performance!$O$5:$O$404,Performance!$G$5:$G$404,AP185))</f>
        <v>0</v>
      </c>
      <c r="AS185" s="23">
        <f>IF(AP185="","",SUMIFS(Performance!$Z$5:$Z$404,Performance!$G$5:$G$404,AP185))</f>
        <v>0</v>
      </c>
      <c r="AT185" s="24">
        <f>IF(OR(AR185="",AR185=0),"",AS185/AR185)</f>
        <v>0</v>
      </c>
      <c r="AU185" s="32">
        <f>IF(AQ185=0,"",IF(AT185="","",AT185+ROW()/1000000))</f>
        <v>0</v>
      </c>
      <c r="AV185" s="17">
        <f>IF(ROW()-4&gt;7,"",TEXT(DATE(2024,1,ROW()-4),"ddd"))</f>
        <v>0</v>
      </c>
      <c r="AW185" s="23">
        <f>IF(AV185="","",COUNTIF(Performance!$N$5:$N$404,AV185))</f>
        <v>0</v>
      </c>
      <c r="AX185" s="23">
        <f>IF(AV185="","",SUMIFS(Performance!$O$5:$O$404,Performance!$N$5:$N$404,AV185))</f>
        <v>0</v>
      </c>
      <c r="AY185" s="23">
        <f>IF(AV185="","",SUMIFS(Performance!$Z$5:$Z$404,Performance!$N$5:$N$404,AV185))</f>
        <v>0</v>
      </c>
      <c r="AZ185" s="24">
        <f>IF(OR(AX185="",AX185=0),"",AY185/AX185)</f>
        <v>0</v>
      </c>
      <c r="BA185" s="32">
        <f>IF(AW185=0,"",IF(AZ185="","",AZ185+ROW()/1000000))</f>
        <v>0</v>
      </c>
      <c r="BB185" s="17">
        <f>IF(Lists!$AL185="","",Lists!$AL185)</f>
        <v>0</v>
      </c>
      <c r="BC185" s="23">
        <f>IF(BB185="","",COUNTIF(Performance!$M$5:$M$404,BB185))</f>
        <v>0</v>
      </c>
      <c r="BD185" s="23">
        <f>IF(BB185="","",SUMIFS(Performance!$O$5:$O$404,Performance!$M$5:$M$404,BB185))</f>
        <v>0</v>
      </c>
      <c r="BE185" s="23">
        <f>IF(BB185="","",SUMIFS(Performance!$Z$5:$Z$404,Performance!$M$5:$M$404,BB185))</f>
        <v>0</v>
      </c>
      <c r="BF185" s="24">
        <f>IF(OR(BD185="",BD185=0),"",BE185/BD185)</f>
        <v>0</v>
      </c>
      <c r="BG185" s="32">
        <f>IF(BC185=0,"",IF(BF185="","",BF185+ROW()/1000000))</f>
        <v>0</v>
      </c>
      <c r="BH185" s="17">
        <f>IF(Performance!$C$185="","",Performance!$C$185)</f>
        <v>0</v>
      </c>
      <c r="BI185" s="17">
        <f>IF(Performance!$F$185="","",Performance!$F$185)</f>
        <v>0</v>
      </c>
      <c r="BJ185" s="17">
        <f>IF(Performance!$H$185="","",Performance!$H$185)</f>
        <v>0</v>
      </c>
      <c r="BK185" s="16">
        <f>IF(Performance!$D$185="","",Performance!$D$185)</f>
        <v>0</v>
      </c>
      <c r="BL185" s="17">
        <f>IF(Performance!$E$185="","",Performance!$E$185)</f>
        <v>0</v>
      </c>
      <c r="BM185" s="23">
        <f>IF(Performance!$O$185="","",Performance!$O$185)</f>
        <v>0</v>
      </c>
      <c r="BN185" s="24">
        <f>IF(Performance!$AA$185="","",Performance!$AA$185)</f>
        <v>0</v>
      </c>
      <c r="BO185" s="32">
        <f>IF(BH185="","",IF(BK185="","",IF(OR(BK185&lt;DashStart,BK185&gt;DashEnd),"",IF(BN185="","",BN185+ROW()/1000000))))</f>
        <v>0</v>
      </c>
      <c r="BP185" s="32">
        <f>IF(BM185="","",IF(BK185="","",IF(OR(BK185&lt;DashStart,BK185&gt;DashEnd),"",BM185+ROW()/1000000)))</f>
        <v>0</v>
      </c>
      <c r="BQ185" s="32">
        <f>IF(BH185="","",IF(BK185="","",IF(YEAR(BK185)&lt;&gt;PlanYear,"",IF(BN185="","",BN185+ROW()/1000000))))</f>
        <v>0</v>
      </c>
      <c r="BR185" s="32">
        <f>IF(BH185="","",IF(BK185="","",IF(OR(BK185&lt;RepFrom,BK185&gt;RepTo),"",IF(BN185="","",BN185+ROW()/1000000))))</f>
        <v>0</v>
      </c>
      <c r="BS185" s="32">
        <f>IF(BM185="","",IF(BK185="","",IF(YEAR(BK185)&lt;&gt;PlanYear,"",BM185+ROW()/1000000)))</f>
        <v>0</v>
      </c>
      <c r="BT185" s="17">
        <f>IF(Lists!$F185="","",Lists!$F185)</f>
        <v>0</v>
      </c>
      <c r="BU185" s="23">
        <f>IF(BT185="","",COUNTIF('Content Calendar'!$X$5:$X$604,BT185))</f>
        <v>0</v>
      </c>
      <c r="BV185" s="23">
        <f>IF(BT185="","",COUNTIFS('Content Calendar'!$X$5:$X$604,BT185,'Content Calendar'!$B$5:$B$604,"&gt;="&amp;DashStart,'Content Calendar'!$B$5:$B$604,"&lt;="&amp;DashEnd))</f>
        <v>0</v>
      </c>
      <c r="BW185" s="17">
        <f>IF(Team!$B$185="","",Team!$B$185)</f>
        <v>0</v>
      </c>
      <c r="BX185" s="23">
        <f>IF(BW185="","",COUNTIF('Content Calendar'!$W$5:$W$604,BW185))</f>
        <v>0</v>
      </c>
      <c r="BY185" s="23">
        <f>IF(BW185="","",COUNTIFS('Content Calendar'!$W$5:$W$604,BW185,'Content Calendar'!$X$5:$X$604,"&lt;&gt;Published"))</f>
        <v>0</v>
      </c>
      <c r="BZ185" s="23">
        <f>IF(BW185="","",COUNTIFS(Tasks!$C$5:$C$64,BW185,Tasks!$G$5:$G$64,"&lt;&gt;Complete"))</f>
        <v>0</v>
      </c>
      <c r="CA185" s="17">
        <f>IF(Campaigns!$B$185="","",Campaigns!$B$185)</f>
        <v>0</v>
      </c>
      <c r="CB185" s="25">
        <f>IF(Campaigns!$T$185="","",Campaigns!$T$185)</f>
        <v>0</v>
      </c>
      <c r="CC185" s="25">
        <f>IF(Campaigns!$Q$185="","",Campaigns!$Q$185)</f>
        <v>0</v>
      </c>
      <c r="CD185" s="23">
        <f>IF(Campaigns!$Y$185="","",Campaigns!$Y$185)</f>
        <v>0</v>
      </c>
      <c r="CE185" s="32">
        <f>IF(CA185="","",IF(N(CB185)&lt;=0,"",N(CB185)+ROW()/1000000))</f>
        <v>0</v>
      </c>
      <c r="CF185" s="17">
        <f>IF(Accounts!$C$185="","",Accounts!$C$185)</f>
        <v>0</v>
      </c>
      <c r="CG185" s="17">
        <f>IF(Accounts!$B$185="","",Accounts!$B$185)</f>
        <v>0</v>
      </c>
      <c r="CH185" s="23">
        <f>IF(Accounts!$J$185="","",Accounts!$J$185)</f>
        <v>0</v>
      </c>
      <c r="CI185" s="23">
        <f>IF(CF185="","",SUMIFS(Analytics!$X$5:$X$154,Analytics!$E$5:$E$154,CF185,Analytics!$B$5:$B$154,"&gt;="&amp;DashStart,Analytics!$B$5:$B$154,"&lt;="&amp;DashEnd))</f>
        <v>0</v>
      </c>
      <c r="CJ185" s="32">
        <f>IF(CH185="","",IF(CH185=0,"",CH185+ROW()/1000000))</f>
        <v>0</v>
      </c>
    </row>
    <row r="186" spans="1:88">
      <c r="A186" s="16">
        <f>IF(ROW()-4&gt;12,"",DATE(PlanYear,ROW()-4,1))</f>
        <v>0</v>
      </c>
      <c r="B186" s="16">
        <f>IF(A186="","",EOMONTH(A186,0))</f>
        <v>0</v>
      </c>
      <c r="C186" s="17">
        <f>IF(A186="","",TEXT(A186,"yyyy-mm"))</f>
        <v>0</v>
      </c>
      <c r="D186" s="17">
        <f>IF(A186="","",TEXT(A186,"mmm"))</f>
        <v>0</v>
      </c>
      <c r="E186" s="23">
        <f>IF(C186="","",COUNTIFS('Content Calendar'!$D$5:$D$604,C186))</f>
        <v>0</v>
      </c>
      <c r="F186" s="23">
        <f>IF(C186="","",COUNTIFS('Content Calendar'!$D$5:$D$604,C186,'Content Calendar'!$X$5:$X$604,"Published"))</f>
        <v>0</v>
      </c>
      <c r="G186" s="23">
        <f>IF(C186="","",SUMIFS(Analytics!$J$5:$J$154,Analytics!$C$5:$C$154,C186))</f>
        <v>0</v>
      </c>
      <c r="H186" s="23">
        <f>IF(C186="","",SUMIFS(Analytics!$K$5:$K$154,Analytics!$C$5:$C$154,C186))</f>
        <v>0</v>
      </c>
      <c r="I186" s="23">
        <f>IF(C186="","",SUMIFS(Analytics!$L$5:$L$154,Analytics!$C$5:$C$154,C186))</f>
        <v>0</v>
      </c>
      <c r="J186" s="24">
        <f>IF(OR(G186="",G186=0),"",I186/G186)</f>
        <v>0</v>
      </c>
      <c r="K186" s="23">
        <f>IF(C186="","",SUMIFS(Analytics!$G$5:$G$154,Analytics!$C$5:$C$154,C186))</f>
        <v>0</v>
      </c>
      <c r="L186" s="23">
        <f>IF(C186="","",SUMIFS(Analytics!$X$5:$X$154,Analytics!$C$5:$C$154,C186))</f>
        <v>0</v>
      </c>
      <c r="M186" s="23">
        <f>IF(C186="","",SUMIFS(Analytics!$R$5:$R$154,Analytics!$C$5:$C$154,C186))</f>
        <v>0</v>
      </c>
      <c r="N186" s="23">
        <f>IF(C186="","",SUMIFS(Analytics!$S$5:$S$154,Analytics!$C$5:$C$154,C186))</f>
        <v>0</v>
      </c>
      <c r="O186" s="23">
        <f>IF(C186="","",SUMIFS(Analytics!$T$5:$T$154,Analytics!$C$5:$C$154,C186))</f>
        <v>0</v>
      </c>
      <c r="P186" s="25">
        <f>IF(C186="","",SUMIFS(Analytics!$U$5:$U$154,Analytics!$C$5:$C$154,C186))</f>
        <v>0</v>
      </c>
      <c r="Q186" s="25">
        <f>IF(C186="","",SUMIFS(Budget!$H$5:$H$64,Budget!$C$5:$C$64,C186))</f>
        <v>0</v>
      </c>
      <c r="R186" s="25">
        <f>IF(C186="","",P186-Q186)</f>
        <v>0</v>
      </c>
      <c r="S186" s="23">
        <f>IF(C186="","",MonthlyPostTarget)</f>
        <v>0</v>
      </c>
      <c r="T186" s="17">
        <f>IF(Lists!$C186="","",Lists!$C186)</f>
        <v>0</v>
      </c>
      <c r="U186" s="23">
        <f>IF(T186="","",COUNTIFS('Content Calendar'!$G$5:$G$604,T186,'Content Calendar'!$B$5:$B$604,"&gt;="&amp;DashStart,'Content Calendar'!$B$5:$B$604,"&lt;="&amp;DashEnd))</f>
        <v>0</v>
      </c>
      <c r="V186" s="23">
        <f>IF(T186="","",COUNTIFS('Content Calendar'!$G$5:$G$604,T186,'Content Calendar'!$X$5:$X$604,"Published",'Content Calendar'!$B$5:$B$604,"&gt;="&amp;DashStart,'Content Calendar'!$B$5:$B$604,"&lt;="&amp;DashEnd))</f>
        <v>0</v>
      </c>
      <c r="W186" s="23">
        <f>IF(T186="","",SUMIFS(Analytics!$J$5:$J$154,Analytics!$D$5:$D$154,T186,Analytics!$B$5:$B$154,"&gt;="&amp;DashStart,Analytics!$B$5:$B$154,"&lt;="&amp;DashEnd))</f>
        <v>0</v>
      </c>
      <c r="X186" s="23">
        <f>IF(T186="","",SUMIFS(Analytics!$L$5:$L$154,Analytics!$D$5:$D$154,T186,Analytics!$B$5:$B$154,"&gt;="&amp;DashStart,Analytics!$B$5:$B$154,"&lt;="&amp;DashEnd))</f>
        <v>0</v>
      </c>
      <c r="Y186" s="24">
        <f>IF(OR(W186="",W186=0),"",X186/W186)</f>
        <v>0</v>
      </c>
      <c r="Z186" s="23">
        <f>IF(T186="","",SUMIFS(Analytics!$G$5:$G$154,Analytics!$D$5:$D$154,T186,Analytics!$B$5:$B$154,"&gt;="&amp;DashStart,Analytics!$B$5:$B$154,"&lt;="&amp;DashEnd))</f>
        <v>0</v>
      </c>
      <c r="AA186" s="23">
        <f>IF(T186="","",SUMIFS(Analytics!$X$5:$X$154,Analytics!$D$5:$D$154,T186,Analytics!$B$5:$B$154,"&gt;="&amp;DashStart,Analytics!$B$5:$B$154,"&lt;="&amp;DashEnd))</f>
        <v>0</v>
      </c>
      <c r="AB186" s="23">
        <f>IF(T186="","",SUMIFS(Analytics!$R$5:$R$154,Analytics!$D$5:$D$154,T186,Analytics!$B$5:$B$154,"&gt;="&amp;DashStart,Analytics!$B$5:$B$154,"&lt;="&amp;DashEnd))</f>
        <v>0</v>
      </c>
      <c r="AC186" s="25">
        <f>IF(T186="","",SUMIFS(Analytics!$U$5:$U$154,Analytics!$D$5:$D$154,T186,Analytics!$B$5:$B$154,"&gt;="&amp;DashStart,Analytics!$B$5:$B$154,"&lt;="&amp;DashEnd))</f>
        <v>0</v>
      </c>
      <c r="AD186" s="23">
        <f>IF(T186="","",COUNTIFS('Content Calendar'!$G$5:$G$604,T186,'Content Calendar'!$B$5:$B$604,"&gt;="&amp;DATE(PlanYear,1,1),'Content Calendar'!$B$5:$B$604,"&lt;="&amp;DATE(PlanYear,12,31)))</f>
        <v>0</v>
      </c>
      <c r="AE186" s="23">
        <f>IF(T186="","",SUMIFS(Analytics!$J$5:$J$154,Analytics!$D$5:$D$154,T186))</f>
        <v>0</v>
      </c>
      <c r="AF186" s="23">
        <f>IF(T186="","",SUMIFS(Analytics!$L$5:$L$154,Analytics!$D$5:$D$154,T186))</f>
        <v>0</v>
      </c>
      <c r="AG186" s="24">
        <f>IF(OR(AE186="",AE186=0),"",AF186/AE186)</f>
        <v>0</v>
      </c>
      <c r="AH186" s="23">
        <f>IF(T186="","",SUMIFS(Analytics!$X$5:$X$154,Analytics!$D$5:$D$154,T186))</f>
        <v>0</v>
      </c>
      <c r="AI186" s="32">
        <f>IF(T186="","",IF(AE186=0,"",AE186+ROW()/1000000))</f>
        <v>0</v>
      </c>
      <c r="AJ186" s="17">
        <f>IF('Content Pillars'!$B$186="","",'Content Pillars'!$B$186)</f>
        <v>0</v>
      </c>
      <c r="AK186" s="23">
        <f>IF(AJ186="","",COUNTIFS('Content Calendar'!$J$5:$J$604,AJ186,'Content Calendar'!$B$5:$B$604,"&gt;="&amp;DATE(PlanYear,1,1),'Content Calendar'!$B$5:$B$604,"&lt;="&amp;DATE(PlanYear,12,31)))</f>
        <v>0</v>
      </c>
      <c r="AL186" s="23">
        <f>IF(AJ186="","",SUMIFS(Performance!$O$5:$O$404,Performance!$H$5:$H$404,AJ186))</f>
        <v>0</v>
      </c>
      <c r="AM186" s="23">
        <f>IF(AJ186="","",SUMIFS(Performance!$Z$5:$Z$404,Performance!$H$5:$H$404,AJ186))</f>
        <v>0</v>
      </c>
      <c r="AN186" s="24">
        <f>IF(OR(AL186="",AL186=0),"",AM186/AL186)</f>
        <v>0</v>
      </c>
      <c r="AO186" s="32">
        <f>IF(AN186="","",AN186+ROW()/1000000)</f>
        <v>0</v>
      </c>
      <c r="AP186" s="17">
        <f>IF(Lists!$E186="","",Lists!$E186)</f>
        <v>0</v>
      </c>
      <c r="AQ186" s="23">
        <f>IF(AP186="","",COUNTIF(Performance!$G$5:$G$404,AP186))</f>
        <v>0</v>
      </c>
      <c r="AR186" s="23">
        <f>IF(AP186="","",SUMIFS(Performance!$O$5:$O$404,Performance!$G$5:$G$404,AP186))</f>
        <v>0</v>
      </c>
      <c r="AS186" s="23">
        <f>IF(AP186="","",SUMIFS(Performance!$Z$5:$Z$404,Performance!$G$5:$G$404,AP186))</f>
        <v>0</v>
      </c>
      <c r="AT186" s="24">
        <f>IF(OR(AR186="",AR186=0),"",AS186/AR186)</f>
        <v>0</v>
      </c>
      <c r="AU186" s="32">
        <f>IF(AQ186=0,"",IF(AT186="","",AT186+ROW()/1000000))</f>
        <v>0</v>
      </c>
      <c r="AV186" s="17">
        <f>IF(ROW()-4&gt;7,"",TEXT(DATE(2024,1,ROW()-4),"ddd"))</f>
        <v>0</v>
      </c>
      <c r="AW186" s="23">
        <f>IF(AV186="","",COUNTIF(Performance!$N$5:$N$404,AV186))</f>
        <v>0</v>
      </c>
      <c r="AX186" s="23">
        <f>IF(AV186="","",SUMIFS(Performance!$O$5:$O$404,Performance!$N$5:$N$404,AV186))</f>
        <v>0</v>
      </c>
      <c r="AY186" s="23">
        <f>IF(AV186="","",SUMIFS(Performance!$Z$5:$Z$404,Performance!$N$5:$N$404,AV186))</f>
        <v>0</v>
      </c>
      <c r="AZ186" s="24">
        <f>IF(OR(AX186="",AX186=0),"",AY186/AX186)</f>
        <v>0</v>
      </c>
      <c r="BA186" s="32">
        <f>IF(AW186=0,"",IF(AZ186="","",AZ186+ROW()/1000000))</f>
        <v>0</v>
      </c>
      <c r="BB186" s="17">
        <f>IF(Lists!$AL186="","",Lists!$AL186)</f>
        <v>0</v>
      </c>
      <c r="BC186" s="23">
        <f>IF(BB186="","",COUNTIF(Performance!$M$5:$M$404,BB186))</f>
        <v>0</v>
      </c>
      <c r="BD186" s="23">
        <f>IF(BB186="","",SUMIFS(Performance!$O$5:$O$404,Performance!$M$5:$M$404,BB186))</f>
        <v>0</v>
      </c>
      <c r="BE186" s="23">
        <f>IF(BB186="","",SUMIFS(Performance!$Z$5:$Z$404,Performance!$M$5:$M$404,BB186))</f>
        <v>0</v>
      </c>
      <c r="BF186" s="24">
        <f>IF(OR(BD186="",BD186=0),"",BE186/BD186)</f>
        <v>0</v>
      </c>
      <c r="BG186" s="32">
        <f>IF(BC186=0,"",IF(BF186="","",BF186+ROW()/1000000))</f>
        <v>0</v>
      </c>
      <c r="BH186" s="17">
        <f>IF(Performance!$C$186="","",Performance!$C$186)</f>
        <v>0</v>
      </c>
      <c r="BI186" s="17">
        <f>IF(Performance!$F$186="","",Performance!$F$186)</f>
        <v>0</v>
      </c>
      <c r="BJ186" s="17">
        <f>IF(Performance!$H$186="","",Performance!$H$186)</f>
        <v>0</v>
      </c>
      <c r="BK186" s="16">
        <f>IF(Performance!$D$186="","",Performance!$D$186)</f>
        <v>0</v>
      </c>
      <c r="BL186" s="17">
        <f>IF(Performance!$E$186="","",Performance!$E$186)</f>
        <v>0</v>
      </c>
      <c r="BM186" s="23">
        <f>IF(Performance!$O$186="","",Performance!$O$186)</f>
        <v>0</v>
      </c>
      <c r="BN186" s="24">
        <f>IF(Performance!$AA$186="","",Performance!$AA$186)</f>
        <v>0</v>
      </c>
      <c r="BO186" s="32">
        <f>IF(BH186="","",IF(BK186="","",IF(OR(BK186&lt;DashStart,BK186&gt;DashEnd),"",IF(BN186="","",BN186+ROW()/1000000))))</f>
        <v>0</v>
      </c>
      <c r="BP186" s="32">
        <f>IF(BM186="","",IF(BK186="","",IF(OR(BK186&lt;DashStart,BK186&gt;DashEnd),"",BM186+ROW()/1000000)))</f>
        <v>0</v>
      </c>
      <c r="BQ186" s="32">
        <f>IF(BH186="","",IF(BK186="","",IF(YEAR(BK186)&lt;&gt;PlanYear,"",IF(BN186="","",BN186+ROW()/1000000))))</f>
        <v>0</v>
      </c>
      <c r="BR186" s="32">
        <f>IF(BH186="","",IF(BK186="","",IF(OR(BK186&lt;RepFrom,BK186&gt;RepTo),"",IF(BN186="","",BN186+ROW()/1000000))))</f>
        <v>0</v>
      </c>
      <c r="BS186" s="32">
        <f>IF(BM186="","",IF(BK186="","",IF(YEAR(BK186)&lt;&gt;PlanYear,"",BM186+ROW()/1000000)))</f>
        <v>0</v>
      </c>
      <c r="BT186" s="17">
        <f>IF(Lists!$F186="","",Lists!$F186)</f>
        <v>0</v>
      </c>
      <c r="BU186" s="23">
        <f>IF(BT186="","",COUNTIF('Content Calendar'!$X$5:$X$604,BT186))</f>
        <v>0</v>
      </c>
      <c r="BV186" s="23">
        <f>IF(BT186="","",COUNTIFS('Content Calendar'!$X$5:$X$604,BT186,'Content Calendar'!$B$5:$B$604,"&gt;="&amp;DashStart,'Content Calendar'!$B$5:$B$604,"&lt;="&amp;DashEnd))</f>
        <v>0</v>
      </c>
      <c r="BW186" s="17">
        <f>IF(Team!$B$186="","",Team!$B$186)</f>
        <v>0</v>
      </c>
      <c r="BX186" s="23">
        <f>IF(BW186="","",COUNTIF('Content Calendar'!$W$5:$W$604,BW186))</f>
        <v>0</v>
      </c>
      <c r="BY186" s="23">
        <f>IF(BW186="","",COUNTIFS('Content Calendar'!$W$5:$W$604,BW186,'Content Calendar'!$X$5:$X$604,"&lt;&gt;Published"))</f>
        <v>0</v>
      </c>
      <c r="BZ186" s="23">
        <f>IF(BW186="","",COUNTIFS(Tasks!$C$5:$C$64,BW186,Tasks!$G$5:$G$64,"&lt;&gt;Complete"))</f>
        <v>0</v>
      </c>
      <c r="CA186" s="17">
        <f>IF(Campaigns!$B$186="","",Campaigns!$B$186)</f>
        <v>0</v>
      </c>
      <c r="CB186" s="25">
        <f>IF(Campaigns!$T$186="","",Campaigns!$T$186)</f>
        <v>0</v>
      </c>
      <c r="CC186" s="25">
        <f>IF(Campaigns!$Q$186="","",Campaigns!$Q$186)</f>
        <v>0</v>
      </c>
      <c r="CD186" s="23">
        <f>IF(Campaigns!$Y$186="","",Campaigns!$Y$186)</f>
        <v>0</v>
      </c>
      <c r="CE186" s="32">
        <f>IF(CA186="","",IF(N(CB186)&lt;=0,"",N(CB186)+ROW()/1000000))</f>
        <v>0</v>
      </c>
      <c r="CF186" s="17">
        <f>IF(Accounts!$C$186="","",Accounts!$C$186)</f>
        <v>0</v>
      </c>
      <c r="CG186" s="17">
        <f>IF(Accounts!$B$186="","",Accounts!$B$186)</f>
        <v>0</v>
      </c>
      <c r="CH186" s="23">
        <f>IF(Accounts!$J$186="","",Accounts!$J$186)</f>
        <v>0</v>
      </c>
      <c r="CI186" s="23">
        <f>IF(CF186="","",SUMIFS(Analytics!$X$5:$X$154,Analytics!$E$5:$E$154,CF186,Analytics!$B$5:$B$154,"&gt;="&amp;DashStart,Analytics!$B$5:$B$154,"&lt;="&amp;DashEnd))</f>
        <v>0</v>
      </c>
      <c r="CJ186" s="32">
        <f>IF(CH186="","",IF(CH186=0,"",CH186+ROW()/1000000))</f>
        <v>0</v>
      </c>
    </row>
    <row r="187" spans="1:88">
      <c r="A187" s="16">
        <f>IF(ROW()-4&gt;12,"",DATE(PlanYear,ROW()-4,1))</f>
        <v>0</v>
      </c>
      <c r="B187" s="16">
        <f>IF(A187="","",EOMONTH(A187,0))</f>
        <v>0</v>
      </c>
      <c r="C187" s="17">
        <f>IF(A187="","",TEXT(A187,"yyyy-mm"))</f>
        <v>0</v>
      </c>
      <c r="D187" s="17">
        <f>IF(A187="","",TEXT(A187,"mmm"))</f>
        <v>0</v>
      </c>
      <c r="E187" s="23">
        <f>IF(C187="","",COUNTIFS('Content Calendar'!$D$5:$D$604,C187))</f>
        <v>0</v>
      </c>
      <c r="F187" s="23">
        <f>IF(C187="","",COUNTIFS('Content Calendar'!$D$5:$D$604,C187,'Content Calendar'!$X$5:$X$604,"Published"))</f>
        <v>0</v>
      </c>
      <c r="G187" s="23">
        <f>IF(C187="","",SUMIFS(Analytics!$J$5:$J$154,Analytics!$C$5:$C$154,C187))</f>
        <v>0</v>
      </c>
      <c r="H187" s="23">
        <f>IF(C187="","",SUMIFS(Analytics!$K$5:$K$154,Analytics!$C$5:$C$154,C187))</f>
        <v>0</v>
      </c>
      <c r="I187" s="23">
        <f>IF(C187="","",SUMIFS(Analytics!$L$5:$L$154,Analytics!$C$5:$C$154,C187))</f>
        <v>0</v>
      </c>
      <c r="J187" s="24">
        <f>IF(OR(G187="",G187=0),"",I187/G187)</f>
        <v>0</v>
      </c>
      <c r="K187" s="23">
        <f>IF(C187="","",SUMIFS(Analytics!$G$5:$G$154,Analytics!$C$5:$C$154,C187))</f>
        <v>0</v>
      </c>
      <c r="L187" s="23">
        <f>IF(C187="","",SUMIFS(Analytics!$X$5:$X$154,Analytics!$C$5:$C$154,C187))</f>
        <v>0</v>
      </c>
      <c r="M187" s="23">
        <f>IF(C187="","",SUMIFS(Analytics!$R$5:$R$154,Analytics!$C$5:$C$154,C187))</f>
        <v>0</v>
      </c>
      <c r="N187" s="23">
        <f>IF(C187="","",SUMIFS(Analytics!$S$5:$S$154,Analytics!$C$5:$C$154,C187))</f>
        <v>0</v>
      </c>
      <c r="O187" s="23">
        <f>IF(C187="","",SUMIFS(Analytics!$T$5:$T$154,Analytics!$C$5:$C$154,C187))</f>
        <v>0</v>
      </c>
      <c r="P187" s="25">
        <f>IF(C187="","",SUMIFS(Analytics!$U$5:$U$154,Analytics!$C$5:$C$154,C187))</f>
        <v>0</v>
      </c>
      <c r="Q187" s="25">
        <f>IF(C187="","",SUMIFS(Budget!$H$5:$H$64,Budget!$C$5:$C$64,C187))</f>
        <v>0</v>
      </c>
      <c r="R187" s="25">
        <f>IF(C187="","",P187-Q187)</f>
        <v>0</v>
      </c>
      <c r="S187" s="23">
        <f>IF(C187="","",MonthlyPostTarget)</f>
        <v>0</v>
      </c>
      <c r="T187" s="17">
        <f>IF(Lists!$C187="","",Lists!$C187)</f>
        <v>0</v>
      </c>
      <c r="U187" s="23">
        <f>IF(T187="","",COUNTIFS('Content Calendar'!$G$5:$G$604,T187,'Content Calendar'!$B$5:$B$604,"&gt;="&amp;DashStart,'Content Calendar'!$B$5:$B$604,"&lt;="&amp;DashEnd))</f>
        <v>0</v>
      </c>
      <c r="V187" s="23">
        <f>IF(T187="","",COUNTIFS('Content Calendar'!$G$5:$G$604,T187,'Content Calendar'!$X$5:$X$604,"Published",'Content Calendar'!$B$5:$B$604,"&gt;="&amp;DashStart,'Content Calendar'!$B$5:$B$604,"&lt;="&amp;DashEnd))</f>
        <v>0</v>
      </c>
      <c r="W187" s="23">
        <f>IF(T187="","",SUMIFS(Analytics!$J$5:$J$154,Analytics!$D$5:$D$154,T187,Analytics!$B$5:$B$154,"&gt;="&amp;DashStart,Analytics!$B$5:$B$154,"&lt;="&amp;DashEnd))</f>
        <v>0</v>
      </c>
      <c r="X187" s="23">
        <f>IF(T187="","",SUMIFS(Analytics!$L$5:$L$154,Analytics!$D$5:$D$154,T187,Analytics!$B$5:$B$154,"&gt;="&amp;DashStart,Analytics!$B$5:$B$154,"&lt;="&amp;DashEnd))</f>
        <v>0</v>
      </c>
      <c r="Y187" s="24">
        <f>IF(OR(W187="",W187=0),"",X187/W187)</f>
        <v>0</v>
      </c>
      <c r="Z187" s="23">
        <f>IF(T187="","",SUMIFS(Analytics!$G$5:$G$154,Analytics!$D$5:$D$154,T187,Analytics!$B$5:$B$154,"&gt;="&amp;DashStart,Analytics!$B$5:$B$154,"&lt;="&amp;DashEnd))</f>
        <v>0</v>
      </c>
      <c r="AA187" s="23">
        <f>IF(T187="","",SUMIFS(Analytics!$X$5:$X$154,Analytics!$D$5:$D$154,T187,Analytics!$B$5:$B$154,"&gt;="&amp;DashStart,Analytics!$B$5:$B$154,"&lt;="&amp;DashEnd))</f>
        <v>0</v>
      </c>
      <c r="AB187" s="23">
        <f>IF(T187="","",SUMIFS(Analytics!$R$5:$R$154,Analytics!$D$5:$D$154,T187,Analytics!$B$5:$B$154,"&gt;="&amp;DashStart,Analytics!$B$5:$B$154,"&lt;="&amp;DashEnd))</f>
        <v>0</v>
      </c>
      <c r="AC187" s="25">
        <f>IF(T187="","",SUMIFS(Analytics!$U$5:$U$154,Analytics!$D$5:$D$154,T187,Analytics!$B$5:$B$154,"&gt;="&amp;DashStart,Analytics!$B$5:$B$154,"&lt;="&amp;DashEnd))</f>
        <v>0</v>
      </c>
      <c r="AD187" s="23">
        <f>IF(T187="","",COUNTIFS('Content Calendar'!$G$5:$G$604,T187,'Content Calendar'!$B$5:$B$604,"&gt;="&amp;DATE(PlanYear,1,1),'Content Calendar'!$B$5:$B$604,"&lt;="&amp;DATE(PlanYear,12,31)))</f>
        <v>0</v>
      </c>
      <c r="AE187" s="23">
        <f>IF(T187="","",SUMIFS(Analytics!$J$5:$J$154,Analytics!$D$5:$D$154,T187))</f>
        <v>0</v>
      </c>
      <c r="AF187" s="23">
        <f>IF(T187="","",SUMIFS(Analytics!$L$5:$L$154,Analytics!$D$5:$D$154,T187))</f>
        <v>0</v>
      </c>
      <c r="AG187" s="24">
        <f>IF(OR(AE187="",AE187=0),"",AF187/AE187)</f>
        <v>0</v>
      </c>
      <c r="AH187" s="23">
        <f>IF(T187="","",SUMIFS(Analytics!$X$5:$X$154,Analytics!$D$5:$D$154,T187))</f>
        <v>0</v>
      </c>
      <c r="AI187" s="32">
        <f>IF(T187="","",IF(AE187=0,"",AE187+ROW()/1000000))</f>
        <v>0</v>
      </c>
      <c r="AJ187" s="17">
        <f>IF('Content Pillars'!$B$187="","",'Content Pillars'!$B$187)</f>
        <v>0</v>
      </c>
      <c r="AK187" s="23">
        <f>IF(AJ187="","",COUNTIFS('Content Calendar'!$J$5:$J$604,AJ187,'Content Calendar'!$B$5:$B$604,"&gt;="&amp;DATE(PlanYear,1,1),'Content Calendar'!$B$5:$B$604,"&lt;="&amp;DATE(PlanYear,12,31)))</f>
        <v>0</v>
      </c>
      <c r="AL187" s="23">
        <f>IF(AJ187="","",SUMIFS(Performance!$O$5:$O$404,Performance!$H$5:$H$404,AJ187))</f>
        <v>0</v>
      </c>
      <c r="AM187" s="23">
        <f>IF(AJ187="","",SUMIFS(Performance!$Z$5:$Z$404,Performance!$H$5:$H$404,AJ187))</f>
        <v>0</v>
      </c>
      <c r="AN187" s="24">
        <f>IF(OR(AL187="",AL187=0),"",AM187/AL187)</f>
        <v>0</v>
      </c>
      <c r="AO187" s="32">
        <f>IF(AN187="","",AN187+ROW()/1000000)</f>
        <v>0</v>
      </c>
      <c r="AP187" s="17">
        <f>IF(Lists!$E187="","",Lists!$E187)</f>
        <v>0</v>
      </c>
      <c r="AQ187" s="23">
        <f>IF(AP187="","",COUNTIF(Performance!$G$5:$G$404,AP187))</f>
        <v>0</v>
      </c>
      <c r="AR187" s="23">
        <f>IF(AP187="","",SUMIFS(Performance!$O$5:$O$404,Performance!$G$5:$G$404,AP187))</f>
        <v>0</v>
      </c>
      <c r="AS187" s="23">
        <f>IF(AP187="","",SUMIFS(Performance!$Z$5:$Z$404,Performance!$G$5:$G$404,AP187))</f>
        <v>0</v>
      </c>
      <c r="AT187" s="24">
        <f>IF(OR(AR187="",AR187=0),"",AS187/AR187)</f>
        <v>0</v>
      </c>
      <c r="AU187" s="32">
        <f>IF(AQ187=0,"",IF(AT187="","",AT187+ROW()/1000000))</f>
        <v>0</v>
      </c>
      <c r="AV187" s="17">
        <f>IF(ROW()-4&gt;7,"",TEXT(DATE(2024,1,ROW()-4),"ddd"))</f>
        <v>0</v>
      </c>
      <c r="AW187" s="23">
        <f>IF(AV187="","",COUNTIF(Performance!$N$5:$N$404,AV187))</f>
        <v>0</v>
      </c>
      <c r="AX187" s="23">
        <f>IF(AV187="","",SUMIFS(Performance!$O$5:$O$404,Performance!$N$5:$N$404,AV187))</f>
        <v>0</v>
      </c>
      <c r="AY187" s="23">
        <f>IF(AV187="","",SUMIFS(Performance!$Z$5:$Z$404,Performance!$N$5:$N$404,AV187))</f>
        <v>0</v>
      </c>
      <c r="AZ187" s="24">
        <f>IF(OR(AX187="",AX187=0),"",AY187/AX187)</f>
        <v>0</v>
      </c>
      <c r="BA187" s="32">
        <f>IF(AW187=0,"",IF(AZ187="","",AZ187+ROW()/1000000))</f>
        <v>0</v>
      </c>
      <c r="BB187" s="17">
        <f>IF(Lists!$AL187="","",Lists!$AL187)</f>
        <v>0</v>
      </c>
      <c r="BC187" s="23">
        <f>IF(BB187="","",COUNTIF(Performance!$M$5:$M$404,BB187))</f>
        <v>0</v>
      </c>
      <c r="BD187" s="23">
        <f>IF(BB187="","",SUMIFS(Performance!$O$5:$O$404,Performance!$M$5:$M$404,BB187))</f>
        <v>0</v>
      </c>
      <c r="BE187" s="23">
        <f>IF(BB187="","",SUMIFS(Performance!$Z$5:$Z$404,Performance!$M$5:$M$404,BB187))</f>
        <v>0</v>
      </c>
      <c r="BF187" s="24">
        <f>IF(OR(BD187="",BD187=0),"",BE187/BD187)</f>
        <v>0</v>
      </c>
      <c r="BG187" s="32">
        <f>IF(BC187=0,"",IF(BF187="","",BF187+ROW()/1000000))</f>
        <v>0</v>
      </c>
      <c r="BH187" s="17">
        <f>IF(Performance!$C$187="","",Performance!$C$187)</f>
        <v>0</v>
      </c>
      <c r="BI187" s="17">
        <f>IF(Performance!$F$187="","",Performance!$F$187)</f>
        <v>0</v>
      </c>
      <c r="BJ187" s="17">
        <f>IF(Performance!$H$187="","",Performance!$H$187)</f>
        <v>0</v>
      </c>
      <c r="BK187" s="16">
        <f>IF(Performance!$D$187="","",Performance!$D$187)</f>
        <v>0</v>
      </c>
      <c r="BL187" s="17">
        <f>IF(Performance!$E$187="","",Performance!$E$187)</f>
        <v>0</v>
      </c>
      <c r="BM187" s="23">
        <f>IF(Performance!$O$187="","",Performance!$O$187)</f>
        <v>0</v>
      </c>
      <c r="BN187" s="24">
        <f>IF(Performance!$AA$187="","",Performance!$AA$187)</f>
        <v>0</v>
      </c>
      <c r="BO187" s="32">
        <f>IF(BH187="","",IF(BK187="","",IF(OR(BK187&lt;DashStart,BK187&gt;DashEnd),"",IF(BN187="","",BN187+ROW()/1000000))))</f>
        <v>0</v>
      </c>
      <c r="BP187" s="32">
        <f>IF(BM187="","",IF(BK187="","",IF(OR(BK187&lt;DashStart,BK187&gt;DashEnd),"",BM187+ROW()/1000000)))</f>
        <v>0</v>
      </c>
      <c r="BQ187" s="32">
        <f>IF(BH187="","",IF(BK187="","",IF(YEAR(BK187)&lt;&gt;PlanYear,"",IF(BN187="","",BN187+ROW()/1000000))))</f>
        <v>0</v>
      </c>
      <c r="BR187" s="32">
        <f>IF(BH187="","",IF(BK187="","",IF(OR(BK187&lt;RepFrom,BK187&gt;RepTo),"",IF(BN187="","",BN187+ROW()/1000000))))</f>
        <v>0</v>
      </c>
      <c r="BS187" s="32">
        <f>IF(BM187="","",IF(BK187="","",IF(YEAR(BK187)&lt;&gt;PlanYear,"",BM187+ROW()/1000000)))</f>
        <v>0</v>
      </c>
      <c r="BT187" s="17">
        <f>IF(Lists!$F187="","",Lists!$F187)</f>
        <v>0</v>
      </c>
      <c r="BU187" s="23">
        <f>IF(BT187="","",COUNTIF('Content Calendar'!$X$5:$X$604,BT187))</f>
        <v>0</v>
      </c>
      <c r="BV187" s="23">
        <f>IF(BT187="","",COUNTIFS('Content Calendar'!$X$5:$X$604,BT187,'Content Calendar'!$B$5:$B$604,"&gt;="&amp;DashStart,'Content Calendar'!$B$5:$B$604,"&lt;="&amp;DashEnd))</f>
        <v>0</v>
      </c>
      <c r="BW187" s="17">
        <f>IF(Team!$B$187="","",Team!$B$187)</f>
        <v>0</v>
      </c>
      <c r="BX187" s="23">
        <f>IF(BW187="","",COUNTIF('Content Calendar'!$W$5:$W$604,BW187))</f>
        <v>0</v>
      </c>
      <c r="BY187" s="23">
        <f>IF(BW187="","",COUNTIFS('Content Calendar'!$W$5:$W$604,BW187,'Content Calendar'!$X$5:$X$604,"&lt;&gt;Published"))</f>
        <v>0</v>
      </c>
      <c r="BZ187" s="23">
        <f>IF(BW187="","",COUNTIFS(Tasks!$C$5:$C$64,BW187,Tasks!$G$5:$G$64,"&lt;&gt;Complete"))</f>
        <v>0</v>
      </c>
      <c r="CA187" s="17">
        <f>IF(Campaigns!$B$187="","",Campaigns!$B$187)</f>
        <v>0</v>
      </c>
      <c r="CB187" s="25">
        <f>IF(Campaigns!$T$187="","",Campaigns!$T$187)</f>
        <v>0</v>
      </c>
      <c r="CC187" s="25">
        <f>IF(Campaigns!$Q$187="","",Campaigns!$Q$187)</f>
        <v>0</v>
      </c>
      <c r="CD187" s="23">
        <f>IF(Campaigns!$Y$187="","",Campaigns!$Y$187)</f>
        <v>0</v>
      </c>
      <c r="CE187" s="32">
        <f>IF(CA187="","",IF(N(CB187)&lt;=0,"",N(CB187)+ROW()/1000000))</f>
        <v>0</v>
      </c>
      <c r="CF187" s="17">
        <f>IF(Accounts!$C$187="","",Accounts!$C$187)</f>
        <v>0</v>
      </c>
      <c r="CG187" s="17">
        <f>IF(Accounts!$B$187="","",Accounts!$B$187)</f>
        <v>0</v>
      </c>
      <c r="CH187" s="23">
        <f>IF(Accounts!$J$187="","",Accounts!$J$187)</f>
        <v>0</v>
      </c>
      <c r="CI187" s="23">
        <f>IF(CF187="","",SUMIFS(Analytics!$X$5:$X$154,Analytics!$E$5:$E$154,CF187,Analytics!$B$5:$B$154,"&gt;="&amp;DashStart,Analytics!$B$5:$B$154,"&lt;="&amp;DashEnd))</f>
        <v>0</v>
      </c>
      <c r="CJ187" s="32">
        <f>IF(CH187="","",IF(CH187=0,"",CH187+ROW()/1000000))</f>
        <v>0</v>
      </c>
    </row>
    <row r="188" spans="1:88">
      <c r="A188" s="16">
        <f>IF(ROW()-4&gt;12,"",DATE(PlanYear,ROW()-4,1))</f>
        <v>0</v>
      </c>
      <c r="B188" s="16">
        <f>IF(A188="","",EOMONTH(A188,0))</f>
        <v>0</v>
      </c>
      <c r="C188" s="17">
        <f>IF(A188="","",TEXT(A188,"yyyy-mm"))</f>
        <v>0</v>
      </c>
      <c r="D188" s="17">
        <f>IF(A188="","",TEXT(A188,"mmm"))</f>
        <v>0</v>
      </c>
      <c r="E188" s="23">
        <f>IF(C188="","",COUNTIFS('Content Calendar'!$D$5:$D$604,C188))</f>
        <v>0</v>
      </c>
      <c r="F188" s="23">
        <f>IF(C188="","",COUNTIFS('Content Calendar'!$D$5:$D$604,C188,'Content Calendar'!$X$5:$X$604,"Published"))</f>
        <v>0</v>
      </c>
      <c r="G188" s="23">
        <f>IF(C188="","",SUMIFS(Analytics!$J$5:$J$154,Analytics!$C$5:$C$154,C188))</f>
        <v>0</v>
      </c>
      <c r="H188" s="23">
        <f>IF(C188="","",SUMIFS(Analytics!$K$5:$K$154,Analytics!$C$5:$C$154,C188))</f>
        <v>0</v>
      </c>
      <c r="I188" s="23">
        <f>IF(C188="","",SUMIFS(Analytics!$L$5:$L$154,Analytics!$C$5:$C$154,C188))</f>
        <v>0</v>
      </c>
      <c r="J188" s="24">
        <f>IF(OR(G188="",G188=0),"",I188/G188)</f>
        <v>0</v>
      </c>
      <c r="K188" s="23">
        <f>IF(C188="","",SUMIFS(Analytics!$G$5:$G$154,Analytics!$C$5:$C$154,C188))</f>
        <v>0</v>
      </c>
      <c r="L188" s="23">
        <f>IF(C188="","",SUMIFS(Analytics!$X$5:$X$154,Analytics!$C$5:$C$154,C188))</f>
        <v>0</v>
      </c>
      <c r="M188" s="23">
        <f>IF(C188="","",SUMIFS(Analytics!$R$5:$R$154,Analytics!$C$5:$C$154,C188))</f>
        <v>0</v>
      </c>
      <c r="N188" s="23">
        <f>IF(C188="","",SUMIFS(Analytics!$S$5:$S$154,Analytics!$C$5:$C$154,C188))</f>
        <v>0</v>
      </c>
      <c r="O188" s="23">
        <f>IF(C188="","",SUMIFS(Analytics!$T$5:$T$154,Analytics!$C$5:$C$154,C188))</f>
        <v>0</v>
      </c>
      <c r="P188" s="25">
        <f>IF(C188="","",SUMIFS(Analytics!$U$5:$U$154,Analytics!$C$5:$C$154,C188))</f>
        <v>0</v>
      </c>
      <c r="Q188" s="25">
        <f>IF(C188="","",SUMIFS(Budget!$H$5:$H$64,Budget!$C$5:$C$64,C188))</f>
        <v>0</v>
      </c>
      <c r="R188" s="25">
        <f>IF(C188="","",P188-Q188)</f>
        <v>0</v>
      </c>
      <c r="S188" s="23">
        <f>IF(C188="","",MonthlyPostTarget)</f>
        <v>0</v>
      </c>
      <c r="T188" s="17">
        <f>IF(Lists!$C188="","",Lists!$C188)</f>
        <v>0</v>
      </c>
      <c r="U188" s="23">
        <f>IF(T188="","",COUNTIFS('Content Calendar'!$G$5:$G$604,T188,'Content Calendar'!$B$5:$B$604,"&gt;="&amp;DashStart,'Content Calendar'!$B$5:$B$604,"&lt;="&amp;DashEnd))</f>
        <v>0</v>
      </c>
      <c r="V188" s="23">
        <f>IF(T188="","",COUNTIFS('Content Calendar'!$G$5:$G$604,T188,'Content Calendar'!$X$5:$X$604,"Published",'Content Calendar'!$B$5:$B$604,"&gt;="&amp;DashStart,'Content Calendar'!$B$5:$B$604,"&lt;="&amp;DashEnd))</f>
        <v>0</v>
      </c>
      <c r="W188" s="23">
        <f>IF(T188="","",SUMIFS(Analytics!$J$5:$J$154,Analytics!$D$5:$D$154,T188,Analytics!$B$5:$B$154,"&gt;="&amp;DashStart,Analytics!$B$5:$B$154,"&lt;="&amp;DashEnd))</f>
        <v>0</v>
      </c>
      <c r="X188" s="23">
        <f>IF(T188="","",SUMIFS(Analytics!$L$5:$L$154,Analytics!$D$5:$D$154,T188,Analytics!$B$5:$B$154,"&gt;="&amp;DashStart,Analytics!$B$5:$B$154,"&lt;="&amp;DashEnd))</f>
        <v>0</v>
      </c>
      <c r="Y188" s="24">
        <f>IF(OR(W188="",W188=0),"",X188/W188)</f>
        <v>0</v>
      </c>
      <c r="Z188" s="23">
        <f>IF(T188="","",SUMIFS(Analytics!$G$5:$G$154,Analytics!$D$5:$D$154,T188,Analytics!$B$5:$B$154,"&gt;="&amp;DashStart,Analytics!$B$5:$B$154,"&lt;="&amp;DashEnd))</f>
        <v>0</v>
      </c>
      <c r="AA188" s="23">
        <f>IF(T188="","",SUMIFS(Analytics!$X$5:$X$154,Analytics!$D$5:$D$154,T188,Analytics!$B$5:$B$154,"&gt;="&amp;DashStart,Analytics!$B$5:$B$154,"&lt;="&amp;DashEnd))</f>
        <v>0</v>
      </c>
      <c r="AB188" s="23">
        <f>IF(T188="","",SUMIFS(Analytics!$R$5:$R$154,Analytics!$D$5:$D$154,T188,Analytics!$B$5:$B$154,"&gt;="&amp;DashStart,Analytics!$B$5:$B$154,"&lt;="&amp;DashEnd))</f>
        <v>0</v>
      </c>
      <c r="AC188" s="25">
        <f>IF(T188="","",SUMIFS(Analytics!$U$5:$U$154,Analytics!$D$5:$D$154,T188,Analytics!$B$5:$B$154,"&gt;="&amp;DashStart,Analytics!$B$5:$B$154,"&lt;="&amp;DashEnd))</f>
        <v>0</v>
      </c>
      <c r="AD188" s="23">
        <f>IF(T188="","",COUNTIFS('Content Calendar'!$G$5:$G$604,T188,'Content Calendar'!$B$5:$B$604,"&gt;="&amp;DATE(PlanYear,1,1),'Content Calendar'!$B$5:$B$604,"&lt;="&amp;DATE(PlanYear,12,31)))</f>
        <v>0</v>
      </c>
      <c r="AE188" s="23">
        <f>IF(T188="","",SUMIFS(Analytics!$J$5:$J$154,Analytics!$D$5:$D$154,T188))</f>
        <v>0</v>
      </c>
      <c r="AF188" s="23">
        <f>IF(T188="","",SUMIFS(Analytics!$L$5:$L$154,Analytics!$D$5:$D$154,T188))</f>
        <v>0</v>
      </c>
      <c r="AG188" s="24">
        <f>IF(OR(AE188="",AE188=0),"",AF188/AE188)</f>
        <v>0</v>
      </c>
      <c r="AH188" s="23">
        <f>IF(T188="","",SUMIFS(Analytics!$X$5:$X$154,Analytics!$D$5:$D$154,T188))</f>
        <v>0</v>
      </c>
      <c r="AI188" s="32">
        <f>IF(T188="","",IF(AE188=0,"",AE188+ROW()/1000000))</f>
        <v>0</v>
      </c>
      <c r="AJ188" s="17">
        <f>IF('Content Pillars'!$B$188="","",'Content Pillars'!$B$188)</f>
        <v>0</v>
      </c>
      <c r="AK188" s="23">
        <f>IF(AJ188="","",COUNTIFS('Content Calendar'!$J$5:$J$604,AJ188,'Content Calendar'!$B$5:$B$604,"&gt;="&amp;DATE(PlanYear,1,1),'Content Calendar'!$B$5:$B$604,"&lt;="&amp;DATE(PlanYear,12,31)))</f>
        <v>0</v>
      </c>
      <c r="AL188" s="23">
        <f>IF(AJ188="","",SUMIFS(Performance!$O$5:$O$404,Performance!$H$5:$H$404,AJ188))</f>
        <v>0</v>
      </c>
      <c r="AM188" s="23">
        <f>IF(AJ188="","",SUMIFS(Performance!$Z$5:$Z$404,Performance!$H$5:$H$404,AJ188))</f>
        <v>0</v>
      </c>
      <c r="AN188" s="24">
        <f>IF(OR(AL188="",AL188=0),"",AM188/AL188)</f>
        <v>0</v>
      </c>
      <c r="AO188" s="32">
        <f>IF(AN188="","",AN188+ROW()/1000000)</f>
        <v>0</v>
      </c>
      <c r="AP188" s="17">
        <f>IF(Lists!$E188="","",Lists!$E188)</f>
        <v>0</v>
      </c>
      <c r="AQ188" s="23">
        <f>IF(AP188="","",COUNTIF(Performance!$G$5:$G$404,AP188))</f>
        <v>0</v>
      </c>
      <c r="AR188" s="23">
        <f>IF(AP188="","",SUMIFS(Performance!$O$5:$O$404,Performance!$G$5:$G$404,AP188))</f>
        <v>0</v>
      </c>
      <c r="AS188" s="23">
        <f>IF(AP188="","",SUMIFS(Performance!$Z$5:$Z$404,Performance!$G$5:$G$404,AP188))</f>
        <v>0</v>
      </c>
      <c r="AT188" s="24">
        <f>IF(OR(AR188="",AR188=0),"",AS188/AR188)</f>
        <v>0</v>
      </c>
      <c r="AU188" s="32">
        <f>IF(AQ188=0,"",IF(AT188="","",AT188+ROW()/1000000))</f>
        <v>0</v>
      </c>
      <c r="AV188" s="17">
        <f>IF(ROW()-4&gt;7,"",TEXT(DATE(2024,1,ROW()-4),"ddd"))</f>
        <v>0</v>
      </c>
      <c r="AW188" s="23">
        <f>IF(AV188="","",COUNTIF(Performance!$N$5:$N$404,AV188))</f>
        <v>0</v>
      </c>
      <c r="AX188" s="23">
        <f>IF(AV188="","",SUMIFS(Performance!$O$5:$O$404,Performance!$N$5:$N$404,AV188))</f>
        <v>0</v>
      </c>
      <c r="AY188" s="23">
        <f>IF(AV188="","",SUMIFS(Performance!$Z$5:$Z$404,Performance!$N$5:$N$404,AV188))</f>
        <v>0</v>
      </c>
      <c r="AZ188" s="24">
        <f>IF(OR(AX188="",AX188=0),"",AY188/AX188)</f>
        <v>0</v>
      </c>
      <c r="BA188" s="32">
        <f>IF(AW188=0,"",IF(AZ188="","",AZ188+ROW()/1000000))</f>
        <v>0</v>
      </c>
      <c r="BB188" s="17">
        <f>IF(Lists!$AL188="","",Lists!$AL188)</f>
        <v>0</v>
      </c>
      <c r="BC188" s="23">
        <f>IF(BB188="","",COUNTIF(Performance!$M$5:$M$404,BB188))</f>
        <v>0</v>
      </c>
      <c r="BD188" s="23">
        <f>IF(BB188="","",SUMIFS(Performance!$O$5:$O$404,Performance!$M$5:$M$404,BB188))</f>
        <v>0</v>
      </c>
      <c r="BE188" s="23">
        <f>IF(BB188="","",SUMIFS(Performance!$Z$5:$Z$404,Performance!$M$5:$M$404,BB188))</f>
        <v>0</v>
      </c>
      <c r="BF188" s="24">
        <f>IF(OR(BD188="",BD188=0),"",BE188/BD188)</f>
        <v>0</v>
      </c>
      <c r="BG188" s="32">
        <f>IF(BC188=0,"",IF(BF188="","",BF188+ROW()/1000000))</f>
        <v>0</v>
      </c>
      <c r="BH188" s="17">
        <f>IF(Performance!$C$188="","",Performance!$C$188)</f>
        <v>0</v>
      </c>
      <c r="BI188" s="17">
        <f>IF(Performance!$F$188="","",Performance!$F$188)</f>
        <v>0</v>
      </c>
      <c r="BJ188" s="17">
        <f>IF(Performance!$H$188="","",Performance!$H$188)</f>
        <v>0</v>
      </c>
      <c r="BK188" s="16">
        <f>IF(Performance!$D$188="","",Performance!$D$188)</f>
        <v>0</v>
      </c>
      <c r="BL188" s="17">
        <f>IF(Performance!$E$188="","",Performance!$E$188)</f>
        <v>0</v>
      </c>
      <c r="BM188" s="23">
        <f>IF(Performance!$O$188="","",Performance!$O$188)</f>
        <v>0</v>
      </c>
      <c r="BN188" s="24">
        <f>IF(Performance!$AA$188="","",Performance!$AA$188)</f>
        <v>0</v>
      </c>
      <c r="BO188" s="32">
        <f>IF(BH188="","",IF(BK188="","",IF(OR(BK188&lt;DashStart,BK188&gt;DashEnd),"",IF(BN188="","",BN188+ROW()/1000000))))</f>
        <v>0</v>
      </c>
      <c r="BP188" s="32">
        <f>IF(BM188="","",IF(BK188="","",IF(OR(BK188&lt;DashStart,BK188&gt;DashEnd),"",BM188+ROW()/1000000)))</f>
        <v>0</v>
      </c>
      <c r="BQ188" s="32">
        <f>IF(BH188="","",IF(BK188="","",IF(YEAR(BK188)&lt;&gt;PlanYear,"",IF(BN188="","",BN188+ROW()/1000000))))</f>
        <v>0</v>
      </c>
      <c r="BR188" s="32">
        <f>IF(BH188="","",IF(BK188="","",IF(OR(BK188&lt;RepFrom,BK188&gt;RepTo),"",IF(BN188="","",BN188+ROW()/1000000))))</f>
        <v>0</v>
      </c>
      <c r="BS188" s="32">
        <f>IF(BM188="","",IF(BK188="","",IF(YEAR(BK188)&lt;&gt;PlanYear,"",BM188+ROW()/1000000)))</f>
        <v>0</v>
      </c>
      <c r="BT188" s="17">
        <f>IF(Lists!$F188="","",Lists!$F188)</f>
        <v>0</v>
      </c>
      <c r="BU188" s="23">
        <f>IF(BT188="","",COUNTIF('Content Calendar'!$X$5:$X$604,BT188))</f>
        <v>0</v>
      </c>
      <c r="BV188" s="23">
        <f>IF(BT188="","",COUNTIFS('Content Calendar'!$X$5:$X$604,BT188,'Content Calendar'!$B$5:$B$604,"&gt;="&amp;DashStart,'Content Calendar'!$B$5:$B$604,"&lt;="&amp;DashEnd))</f>
        <v>0</v>
      </c>
      <c r="BW188" s="17">
        <f>IF(Team!$B$188="","",Team!$B$188)</f>
        <v>0</v>
      </c>
      <c r="BX188" s="23">
        <f>IF(BW188="","",COUNTIF('Content Calendar'!$W$5:$W$604,BW188))</f>
        <v>0</v>
      </c>
      <c r="BY188" s="23">
        <f>IF(BW188="","",COUNTIFS('Content Calendar'!$W$5:$W$604,BW188,'Content Calendar'!$X$5:$X$604,"&lt;&gt;Published"))</f>
        <v>0</v>
      </c>
      <c r="BZ188" s="23">
        <f>IF(BW188="","",COUNTIFS(Tasks!$C$5:$C$64,BW188,Tasks!$G$5:$G$64,"&lt;&gt;Complete"))</f>
        <v>0</v>
      </c>
      <c r="CA188" s="17">
        <f>IF(Campaigns!$B$188="","",Campaigns!$B$188)</f>
        <v>0</v>
      </c>
      <c r="CB188" s="25">
        <f>IF(Campaigns!$T$188="","",Campaigns!$T$188)</f>
        <v>0</v>
      </c>
      <c r="CC188" s="25">
        <f>IF(Campaigns!$Q$188="","",Campaigns!$Q$188)</f>
        <v>0</v>
      </c>
      <c r="CD188" s="23">
        <f>IF(Campaigns!$Y$188="","",Campaigns!$Y$188)</f>
        <v>0</v>
      </c>
      <c r="CE188" s="32">
        <f>IF(CA188="","",IF(N(CB188)&lt;=0,"",N(CB188)+ROW()/1000000))</f>
        <v>0</v>
      </c>
      <c r="CF188" s="17">
        <f>IF(Accounts!$C$188="","",Accounts!$C$188)</f>
        <v>0</v>
      </c>
      <c r="CG188" s="17">
        <f>IF(Accounts!$B$188="","",Accounts!$B$188)</f>
        <v>0</v>
      </c>
      <c r="CH188" s="23">
        <f>IF(Accounts!$J$188="","",Accounts!$J$188)</f>
        <v>0</v>
      </c>
      <c r="CI188" s="23">
        <f>IF(CF188="","",SUMIFS(Analytics!$X$5:$X$154,Analytics!$E$5:$E$154,CF188,Analytics!$B$5:$B$154,"&gt;="&amp;DashStart,Analytics!$B$5:$B$154,"&lt;="&amp;DashEnd))</f>
        <v>0</v>
      </c>
      <c r="CJ188" s="32">
        <f>IF(CH188="","",IF(CH188=0,"",CH188+ROW()/1000000))</f>
        <v>0</v>
      </c>
    </row>
    <row r="189" spans="1:88">
      <c r="A189" s="16">
        <f>IF(ROW()-4&gt;12,"",DATE(PlanYear,ROW()-4,1))</f>
        <v>0</v>
      </c>
      <c r="B189" s="16">
        <f>IF(A189="","",EOMONTH(A189,0))</f>
        <v>0</v>
      </c>
      <c r="C189" s="17">
        <f>IF(A189="","",TEXT(A189,"yyyy-mm"))</f>
        <v>0</v>
      </c>
      <c r="D189" s="17">
        <f>IF(A189="","",TEXT(A189,"mmm"))</f>
        <v>0</v>
      </c>
      <c r="E189" s="23">
        <f>IF(C189="","",COUNTIFS('Content Calendar'!$D$5:$D$604,C189))</f>
        <v>0</v>
      </c>
      <c r="F189" s="23">
        <f>IF(C189="","",COUNTIFS('Content Calendar'!$D$5:$D$604,C189,'Content Calendar'!$X$5:$X$604,"Published"))</f>
        <v>0</v>
      </c>
      <c r="G189" s="23">
        <f>IF(C189="","",SUMIFS(Analytics!$J$5:$J$154,Analytics!$C$5:$C$154,C189))</f>
        <v>0</v>
      </c>
      <c r="H189" s="23">
        <f>IF(C189="","",SUMIFS(Analytics!$K$5:$K$154,Analytics!$C$5:$C$154,C189))</f>
        <v>0</v>
      </c>
      <c r="I189" s="23">
        <f>IF(C189="","",SUMIFS(Analytics!$L$5:$L$154,Analytics!$C$5:$C$154,C189))</f>
        <v>0</v>
      </c>
      <c r="J189" s="24">
        <f>IF(OR(G189="",G189=0),"",I189/G189)</f>
        <v>0</v>
      </c>
      <c r="K189" s="23">
        <f>IF(C189="","",SUMIFS(Analytics!$G$5:$G$154,Analytics!$C$5:$C$154,C189))</f>
        <v>0</v>
      </c>
      <c r="L189" s="23">
        <f>IF(C189="","",SUMIFS(Analytics!$X$5:$X$154,Analytics!$C$5:$C$154,C189))</f>
        <v>0</v>
      </c>
      <c r="M189" s="23">
        <f>IF(C189="","",SUMIFS(Analytics!$R$5:$R$154,Analytics!$C$5:$C$154,C189))</f>
        <v>0</v>
      </c>
      <c r="N189" s="23">
        <f>IF(C189="","",SUMIFS(Analytics!$S$5:$S$154,Analytics!$C$5:$C$154,C189))</f>
        <v>0</v>
      </c>
      <c r="O189" s="23">
        <f>IF(C189="","",SUMIFS(Analytics!$T$5:$T$154,Analytics!$C$5:$C$154,C189))</f>
        <v>0</v>
      </c>
      <c r="P189" s="25">
        <f>IF(C189="","",SUMIFS(Analytics!$U$5:$U$154,Analytics!$C$5:$C$154,C189))</f>
        <v>0</v>
      </c>
      <c r="Q189" s="25">
        <f>IF(C189="","",SUMIFS(Budget!$H$5:$H$64,Budget!$C$5:$C$64,C189))</f>
        <v>0</v>
      </c>
      <c r="R189" s="25">
        <f>IF(C189="","",P189-Q189)</f>
        <v>0</v>
      </c>
      <c r="S189" s="23">
        <f>IF(C189="","",MonthlyPostTarget)</f>
        <v>0</v>
      </c>
      <c r="T189" s="17">
        <f>IF(Lists!$C189="","",Lists!$C189)</f>
        <v>0</v>
      </c>
      <c r="U189" s="23">
        <f>IF(T189="","",COUNTIFS('Content Calendar'!$G$5:$G$604,T189,'Content Calendar'!$B$5:$B$604,"&gt;="&amp;DashStart,'Content Calendar'!$B$5:$B$604,"&lt;="&amp;DashEnd))</f>
        <v>0</v>
      </c>
      <c r="V189" s="23">
        <f>IF(T189="","",COUNTIFS('Content Calendar'!$G$5:$G$604,T189,'Content Calendar'!$X$5:$X$604,"Published",'Content Calendar'!$B$5:$B$604,"&gt;="&amp;DashStart,'Content Calendar'!$B$5:$B$604,"&lt;="&amp;DashEnd))</f>
        <v>0</v>
      </c>
      <c r="W189" s="23">
        <f>IF(T189="","",SUMIFS(Analytics!$J$5:$J$154,Analytics!$D$5:$D$154,T189,Analytics!$B$5:$B$154,"&gt;="&amp;DashStart,Analytics!$B$5:$B$154,"&lt;="&amp;DashEnd))</f>
        <v>0</v>
      </c>
      <c r="X189" s="23">
        <f>IF(T189="","",SUMIFS(Analytics!$L$5:$L$154,Analytics!$D$5:$D$154,T189,Analytics!$B$5:$B$154,"&gt;="&amp;DashStart,Analytics!$B$5:$B$154,"&lt;="&amp;DashEnd))</f>
        <v>0</v>
      </c>
      <c r="Y189" s="24">
        <f>IF(OR(W189="",W189=0),"",X189/W189)</f>
        <v>0</v>
      </c>
      <c r="Z189" s="23">
        <f>IF(T189="","",SUMIFS(Analytics!$G$5:$G$154,Analytics!$D$5:$D$154,T189,Analytics!$B$5:$B$154,"&gt;="&amp;DashStart,Analytics!$B$5:$B$154,"&lt;="&amp;DashEnd))</f>
        <v>0</v>
      </c>
      <c r="AA189" s="23">
        <f>IF(T189="","",SUMIFS(Analytics!$X$5:$X$154,Analytics!$D$5:$D$154,T189,Analytics!$B$5:$B$154,"&gt;="&amp;DashStart,Analytics!$B$5:$B$154,"&lt;="&amp;DashEnd))</f>
        <v>0</v>
      </c>
      <c r="AB189" s="23">
        <f>IF(T189="","",SUMIFS(Analytics!$R$5:$R$154,Analytics!$D$5:$D$154,T189,Analytics!$B$5:$B$154,"&gt;="&amp;DashStart,Analytics!$B$5:$B$154,"&lt;="&amp;DashEnd))</f>
        <v>0</v>
      </c>
      <c r="AC189" s="25">
        <f>IF(T189="","",SUMIFS(Analytics!$U$5:$U$154,Analytics!$D$5:$D$154,T189,Analytics!$B$5:$B$154,"&gt;="&amp;DashStart,Analytics!$B$5:$B$154,"&lt;="&amp;DashEnd))</f>
        <v>0</v>
      </c>
      <c r="AD189" s="23">
        <f>IF(T189="","",COUNTIFS('Content Calendar'!$G$5:$G$604,T189,'Content Calendar'!$B$5:$B$604,"&gt;="&amp;DATE(PlanYear,1,1),'Content Calendar'!$B$5:$B$604,"&lt;="&amp;DATE(PlanYear,12,31)))</f>
        <v>0</v>
      </c>
      <c r="AE189" s="23">
        <f>IF(T189="","",SUMIFS(Analytics!$J$5:$J$154,Analytics!$D$5:$D$154,T189))</f>
        <v>0</v>
      </c>
      <c r="AF189" s="23">
        <f>IF(T189="","",SUMIFS(Analytics!$L$5:$L$154,Analytics!$D$5:$D$154,T189))</f>
        <v>0</v>
      </c>
      <c r="AG189" s="24">
        <f>IF(OR(AE189="",AE189=0),"",AF189/AE189)</f>
        <v>0</v>
      </c>
      <c r="AH189" s="23">
        <f>IF(T189="","",SUMIFS(Analytics!$X$5:$X$154,Analytics!$D$5:$D$154,T189))</f>
        <v>0</v>
      </c>
      <c r="AI189" s="32">
        <f>IF(T189="","",IF(AE189=0,"",AE189+ROW()/1000000))</f>
        <v>0</v>
      </c>
      <c r="AJ189" s="17">
        <f>IF('Content Pillars'!$B$189="","",'Content Pillars'!$B$189)</f>
        <v>0</v>
      </c>
      <c r="AK189" s="23">
        <f>IF(AJ189="","",COUNTIFS('Content Calendar'!$J$5:$J$604,AJ189,'Content Calendar'!$B$5:$B$604,"&gt;="&amp;DATE(PlanYear,1,1),'Content Calendar'!$B$5:$B$604,"&lt;="&amp;DATE(PlanYear,12,31)))</f>
        <v>0</v>
      </c>
      <c r="AL189" s="23">
        <f>IF(AJ189="","",SUMIFS(Performance!$O$5:$O$404,Performance!$H$5:$H$404,AJ189))</f>
        <v>0</v>
      </c>
      <c r="AM189" s="23">
        <f>IF(AJ189="","",SUMIFS(Performance!$Z$5:$Z$404,Performance!$H$5:$H$404,AJ189))</f>
        <v>0</v>
      </c>
      <c r="AN189" s="24">
        <f>IF(OR(AL189="",AL189=0),"",AM189/AL189)</f>
        <v>0</v>
      </c>
      <c r="AO189" s="32">
        <f>IF(AN189="","",AN189+ROW()/1000000)</f>
        <v>0</v>
      </c>
      <c r="AP189" s="17">
        <f>IF(Lists!$E189="","",Lists!$E189)</f>
        <v>0</v>
      </c>
      <c r="AQ189" s="23">
        <f>IF(AP189="","",COUNTIF(Performance!$G$5:$G$404,AP189))</f>
        <v>0</v>
      </c>
      <c r="AR189" s="23">
        <f>IF(AP189="","",SUMIFS(Performance!$O$5:$O$404,Performance!$G$5:$G$404,AP189))</f>
        <v>0</v>
      </c>
      <c r="AS189" s="23">
        <f>IF(AP189="","",SUMIFS(Performance!$Z$5:$Z$404,Performance!$G$5:$G$404,AP189))</f>
        <v>0</v>
      </c>
      <c r="AT189" s="24">
        <f>IF(OR(AR189="",AR189=0),"",AS189/AR189)</f>
        <v>0</v>
      </c>
      <c r="AU189" s="32">
        <f>IF(AQ189=0,"",IF(AT189="","",AT189+ROW()/1000000))</f>
        <v>0</v>
      </c>
      <c r="AV189" s="17">
        <f>IF(ROW()-4&gt;7,"",TEXT(DATE(2024,1,ROW()-4),"ddd"))</f>
        <v>0</v>
      </c>
      <c r="AW189" s="23">
        <f>IF(AV189="","",COUNTIF(Performance!$N$5:$N$404,AV189))</f>
        <v>0</v>
      </c>
      <c r="AX189" s="23">
        <f>IF(AV189="","",SUMIFS(Performance!$O$5:$O$404,Performance!$N$5:$N$404,AV189))</f>
        <v>0</v>
      </c>
      <c r="AY189" s="23">
        <f>IF(AV189="","",SUMIFS(Performance!$Z$5:$Z$404,Performance!$N$5:$N$404,AV189))</f>
        <v>0</v>
      </c>
      <c r="AZ189" s="24">
        <f>IF(OR(AX189="",AX189=0),"",AY189/AX189)</f>
        <v>0</v>
      </c>
      <c r="BA189" s="32">
        <f>IF(AW189=0,"",IF(AZ189="","",AZ189+ROW()/1000000))</f>
        <v>0</v>
      </c>
      <c r="BB189" s="17">
        <f>IF(Lists!$AL189="","",Lists!$AL189)</f>
        <v>0</v>
      </c>
      <c r="BC189" s="23">
        <f>IF(BB189="","",COUNTIF(Performance!$M$5:$M$404,BB189))</f>
        <v>0</v>
      </c>
      <c r="BD189" s="23">
        <f>IF(BB189="","",SUMIFS(Performance!$O$5:$O$404,Performance!$M$5:$M$404,BB189))</f>
        <v>0</v>
      </c>
      <c r="BE189" s="23">
        <f>IF(BB189="","",SUMIFS(Performance!$Z$5:$Z$404,Performance!$M$5:$M$404,BB189))</f>
        <v>0</v>
      </c>
      <c r="BF189" s="24">
        <f>IF(OR(BD189="",BD189=0),"",BE189/BD189)</f>
        <v>0</v>
      </c>
      <c r="BG189" s="32">
        <f>IF(BC189=0,"",IF(BF189="","",BF189+ROW()/1000000))</f>
        <v>0</v>
      </c>
      <c r="BH189" s="17">
        <f>IF(Performance!$C$189="","",Performance!$C$189)</f>
        <v>0</v>
      </c>
      <c r="BI189" s="17">
        <f>IF(Performance!$F$189="","",Performance!$F$189)</f>
        <v>0</v>
      </c>
      <c r="BJ189" s="17">
        <f>IF(Performance!$H$189="","",Performance!$H$189)</f>
        <v>0</v>
      </c>
      <c r="BK189" s="16">
        <f>IF(Performance!$D$189="","",Performance!$D$189)</f>
        <v>0</v>
      </c>
      <c r="BL189" s="17">
        <f>IF(Performance!$E$189="","",Performance!$E$189)</f>
        <v>0</v>
      </c>
      <c r="BM189" s="23">
        <f>IF(Performance!$O$189="","",Performance!$O$189)</f>
        <v>0</v>
      </c>
      <c r="BN189" s="24">
        <f>IF(Performance!$AA$189="","",Performance!$AA$189)</f>
        <v>0</v>
      </c>
      <c r="BO189" s="32">
        <f>IF(BH189="","",IF(BK189="","",IF(OR(BK189&lt;DashStart,BK189&gt;DashEnd),"",IF(BN189="","",BN189+ROW()/1000000))))</f>
        <v>0</v>
      </c>
      <c r="BP189" s="32">
        <f>IF(BM189="","",IF(BK189="","",IF(OR(BK189&lt;DashStart,BK189&gt;DashEnd),"",BM189+ROW()/1000000)))</f>
        <v>0</v>
      </c>
      <c r="BQ189" s="32">
        <f>IF(BH189="","",IF(BK189="","",IF(YEAR(BK189)&lt;&gt;PlanYear,"",IF(BN189="","",BN189+ROW()/1000000))))</f>
        <v>0</v>
      </c>
      <c r="BR189" s="32">
        <f>IF(BH189="","",IF(BK189="","",IF(OR(BK189&lt;RepFrom,BK189&gt;RepTo),"",IF(BN189="","",BN189+ROW()/1000000))))</f>
        <v>0</v>
      </c>
      <c r="BS189" s="32">
        <f>IF(BM189="","",IF(BK189="","",IF(YEAR(BK189)&lt;&gt;PlanYear,"",BM189+ROW()/1000000)))</f>
        <v>0</v>
      </c>
      <c r="BT189" s="17">
        <f>IF(Lists!$F189="","",Lists!$F189)</f>
        <v>0</v>
      </c>
      <c r="BU189" s="23">
        <f>IF(BT189="","",COUNTIF('Content Calendar'!$X$5:$X$604,BT189))</f>
        <v>0</v>
      </c>
      <c r="BV189" s="23">
        <f>IF(BT189="","",COUNTIFS('Content Calendar'!$X$5:$X$604,BT189,'Content Calendar'!$B$5:$B$604,"&gt;="&amp;DashStart,'Content Calendar'!$B$5:$B$604,"&lt;="&amp;DashEnd))</f>
        <v>0</v>
      </c>
      <c r="BW189" s="17">
        <f>IF(Team!$B$189="","",Team!$B$189)</f>
        <v>0</v>
      </c>
      <c r="BX189" s="23">
        <f>IF(BW189="","",COUNTIF('Content Calendar'!$W$5:$W$604,BW189))</f>
        <v>0</v>
      </c>
      <c r="BY189" s="23">
        <f>IF(BW189="","",COUNTIFS('Content Calendar'!$W$5:$W$604,BW189,'Content Calendar'!$X$5:$X$604,"&lt;&gt;Published"))</f>
        <v>0</v>
      </c>
      <c r="BZ189" s="23">
        <f>IF(BW189="","",COUNTIFS(Tasks!$C$5:$C$64,BW189,Tasks!$G$5:$G$64,"&lt;&gt;Complete"))</f>
        <v>0</v>
      </c>
      <c r="CA189" s="17">
        <f>IF(Campaigns!$B$189="","",Campaigns!$B$189)</f>
        <v>0</v>
      </c>
      <c r="CB189" s="25">
        <f>IF(Campaigns!$T$189="","",Campaigns!$T$189)</f>
        <v>0</v>
      </c>
      <c r="CC189" s="25">
        <f>IF(Campaigns!$Q$189="","",Campaigns!$Q$189)</f>
        <v>0</v>
      </c>
      <c r="CD189" s="23">
        <f>IF(Campaigns!$Y$189="","",Campaigns!$Y$189)</f>
        <v>0</v>
      </c>
      <c r="CE189" s="32">
        <f>IF(CA189="","",IF(N(CB189)&lt;=0,"",N(CB189)+ROW()/1000000))</f>
        <v>0</v>
      </c>
      <c r="CF189" s="17">
        <f>IF(Accounts!$C$189="","",Accounts!$C$189)</f>
        <v>0</v>
      </c>
      <c r="CG189" s="17">
        <f>IF(Accounts!$B$189="","",Accounts!$B$189)</f>
        <v>0</v>
      </c>
      <c r="CH189" s="23">
        <f>IF(Accounts!$J$189="","",Accounts!$J$189)</f>
        <v>0</v>
      </c>
      <c r="CI189" s="23">
        <f>IF(CF189="","",SUMIFS(Analytics!$X$5:$X$154,Analytics!$E$5:$E$154,CF189,Analytics!$B$5:$B$154,"&gt;="&amp;DashStart,Analytics!$B$5:$B$154,"&lt;="&amp;DashEnd))</f>
        <v>0</v>
      </c>
      <c r="CJ189" s="32">
        <f>IF(CH189="","",IF(CH189=0,"",CH189+ROW()/1000000))</f>
        <v>0</v>
      </c>
    </row>
    <row r="190" spans="1:88">
      <c r="A190" s="16">
        <f>IF(ROW()-4&gt;12,"",DATE(PlanYear,ROW()-4,1))</f>
        <v>0</v>
      </c>
      <c r="B190" s="16">
        <f>IF(A190="","",EOMONTH(A190,0))</f>
        <v>0</v>
      </c>
      <c r="C190" s="17">
        <f>IF(A190="","",TEXT(A190,"yyyy-mm"))</f>
        <v>0</v>
      </c>
      <c r="D190" s="17">
        <f>IF(A190="","",TEXT(A190,"mmm"))</f>
        <v>0</v>
      </c>
      <c r="E190" s="23">
        <f>IF(C190="","",COUNTIFS('Content Calendar'!$D$5:$D$604,C190))</f>
        <v>0</v>
      </c>
      <c r="F190" s="23">
        <f>IF(C190="","",COUNTIFS('Content Calendar'!$D$5:$D$604,C190,'Content Calendar'!$X$5:$X$604,"Published"))</f>
        <v>0</v>
      </c>
      <c r="G190" s="23">
        <f>IF(C190="","",SUMIFS(Analytics!$J$5:$J$154,Analytics!$C$5:$C$154,C190))</f>
        <v>0</v>
      </c>
      <c r="H190" s="23">
        <f>IF(C190="","",SUMIFS(Analytics!$K$5:$K$154,Analytics!$C$5:$C$154,C190))</f>
        <v>0</v>
      </c>
      <c r="I190" s="23">
        <f>IF(C190="","",SUMIFS(Analytics!$L$5:$L$154,Analytics!$C$5:$C$154,C190))</f>
        <v>0</v>
      </c>
      <c r="J190" s="24">
        <f>IF(OR(G190="",G190=0),"",I190/G190)</f>
        <v>0</v>
      </c>
      <c r="K190" s="23">
        <f>IF(C190="","",SUMIFS(Analytics!$G$5:$G$154,Analytics!$C$5:$C$154,C190))</f>
        <v>0</v>
      </c>
      <c r="L190" s="23">
        <f>IF(C190="","",SUMIFS(Analytics!$X$5:$X$154,Analytics!$C$5:$C$154,C190))</f>
        <v>0</v>
      </c>
      <c r="M190" s="23">
        <f>IF(C190="","",SUMIFS(Analytics!$R$5:$R$154,Analytics!$C$5:$C$154,C190))</f>
        <v>0</v>
      </c>
      <c r="N190" s="23">
        <f>IF(C190="","",SUMIFS(Analytics!$S$5:$S$154,Analytics!$C$5:$C$154,C190))</f>
        <v>0</v>
      </c>
      <c r="O190" s="23">
        <f>IF(C190="","",SUMIFS(Analytics!$T$5:$T$154,Analytics!$C$5:$C$154,C190))</f>
        <v>0</v>
      </c>
      <c r="P190" s="25">
        <f>IF(C190="","",SUMIFS(Analytics!$U$5:$U$154,Analytics!$C$5:$C$154,C190))</f>
        <v>0</v>
      </c>
      <c r="Q190" s="25">
        <f>IF(C190="","",SUMIFS(Budget!$H$5:$H$64,Budget!$C$5:$C$64,C190))</f>
        <v>0</v>
      </c>
      <c r="R190" s="25">
        <f>IF(C190="","",P190-Q190)</f>
        <v>0</v>
      </c>
      <c r="S190" s="23">
        <f>IF(C190="","",MonthlyPostTarget)</f>
        <v>0</v>
      </c>
      <c r="T190" s="17">
        <f>IF(Lists!$C190="","",Lists!$C190)</f>
        <v>0</v>
      </c>
      <c r="U190" s="23">
        <f>IF(T190="","",COUNTIFS('Content Calendar'!$G$5:$G$604,T190,'Content Calendar'!$B$5:$B$604,"&gt;="&amp;DashStart,'Content Calendar'!$B$5:$B$604,"&lt;="&amp;DashEnd))</f>
        <v>0</v>
      </c>
      <c r="V190" s="23">
        <f>IF(T190="","",COUNTIFS('Content Calendar'!$G$5:$G$604,T190,'Content Calendar'!$X$5:$X$604,"Published",'Content Calendar'!$B$5:$B$604,"&gt;="&amp;DashStart,'Content Calendar'!$B$5:$B$604,"&lt;="&amp;DashEnd))</f>
        <v>0</v>
      </c>
      <c r="W190" s="23">
        <f>IF(T190="","",SUMIFS(Analytics!$J$5:$J$154,Analytics!$D$5:$D$154,T190,Analytics!$B$5:$B$154,"&gt;="&amp;DashStart,Analytics!$B$5:$B$154,"&lt;="&amp;DashEnd))</f>
        <v>0</v>
      </c>
      <c r="X190" s="23">
        <f>IF(T190="","",SUMIFS(Analytics!$L$5:$L$154,Analytics!$D$5:$D$154,T190,Analytics!$B$5:$B$154,"&gt;="&amp;DashStart,Analytics!$B$5:$B$154,"&lt;="&amp;DashEnd))</f>
        <v>0</v>
      </c>
      <c r="Y190" s="24">
        <f>IF(OR(W190="",W190=0),"",X190/W190)</f>
        <v>0</v>
      </c>
      <c r="Z190" s="23">
        <f>IF(T190="","",SUMIFS(Analytics!$G$5:$G$154,Analytics!$D$5:$D$154,T190,Analytics!$B$5:$B$154,"&gt;="&amp;DashStart,Analytics!$B$5:$B$154,"&lt;="&amp;DashEnd))</f>
        <v>0</v>
      </c>
      <c r="AA190" s="23">
        <f>IF(T190="","",SUMIFS(Analytics!$X$5:$X$154,Analytics!$D$5:$D$154,T190,Analytics!$B$5:$B$154,"&gt;="&amp;DashStart,Analytics!$B$5:$B$154,"&lt;="&amp;DashEnd))</f>
        <v>0</v>
      </c>
      <c r="AB190" s="23">
        <f>IF(T190="","",SUMIFS(Analytics!$R$5:$R$154,Analytics!$D$5:$D$154,T190,Analytics!$B$5:$B$154,"&gt;="&amp;DashStart,Analytics!$B$5:$B$154,"&lt;="&amp;DashEnd))</f>
        <v>0</v>
      </c>
      <c r="AC190" s="25">
        <f>IF(T190="","",SUMIFS(Analytics!$U$5:$U$154,Analytics!$D$5:$D$154,T190,Analytics!$B$5:$B$154,"&gt;="&amp;DashStart,Analytics!$B$5:$B$154,"&lt;="&amp;DashEnd))</f>
        <v>0</v>
      </c>
      <c r="AD190" s="23">
        <f>IF(T190="","",COUNTIFS('Content Calendar'!$G$5:$G$604,T190,'Content Calendar'!$B$5:$B$604,"&gt;="&amp;DATE(PlanYear,1,1),'Content Calendar'!$B$5:$B$604,"&lt;="&amp;DATE(PlanYear,12,31)))</f>
        <v>0</v>
      </c>
      <c r="AE190" s="23">
        <f>IF(T190="","",SUMIFS(Analytics!$J$5:$J$154,Analytics!$D$5:$D$154,T190))</f>
        <v>0</v>
      </c>
      <c r="AF190" s="23">
        <f>IF(T190="","",SUMIFS(Analytics!$L$5:$L$154,Analytics!$D$5:$D$154,T190))</f>
        <v>0</v>
      </c>
      <c r="AG190" s="24">
        <f>IF(OR(AE190="",AE190=0),"",AF190/AE190)</f>
        <v>0</v>
      </c>
      <c r="AH190" s="23">
        <f>IF(T190="","",SUMIFS(Analytics!$X$5:$X$154,Analytics!$D$5:$D$154,T190))</f>
        <v>0</v>
      </c>
      <c r="AI190" s="32">
        <f>IF(T190="","",IF(AE190=0,"",AE190+ROW()/1000000))</f>
        <v>0</v>
      </c>
      <c r="AJ190" s="17">
        <f>IF('Content Pillars'!$B$190="","",'Content Pillars'!$B$190)</f>
        <v>0</v>
      </c>
      <c r="AK190" s="23">
        <f>IF(AJ190="","",COUNTIFS('Content Calendar'!$J$5:$J$604,AJ190,'Content Calendar'!$B$5:$B$604,"&gt;="&amp;DATE(PlanYear,1,1),'Content Calendar'!$B$5:$B$604,"&lt;="&amp;DATE(PlanYear,12,31)))</f>
        <v>0</v>
      </c>
      <c r="AL190" s="23">
        <f>IF(AJ190="","",SUMIFS(Performance!$O$5:$O$404,Performance!$H$5:$H$404,AJ190))</f>
        <v>0</v>
      </c>
      <c r="AM190" s="23">
        <f>IF(AJ190="","",SUMIFS(Performance!$Z$5:$Z$404,Performance!$H$5:$H$404,AJ190))</f>
        <v>0</v>
      </c>
      <c r="AN190" s="24">
        <f>IF(OR(AL190="",AL190=0),"",AM190/AL190)</f>
        <v>0</v>
      </c>
      <c r="AO190" s="32">
        <f>IF(AN190="","",AN190+ROW()/1000000)</f>
        <v>0</v>
      </c>
      <c r="AP190" s="17">
        <f>IF(Lists!$E190="","",Lists!$E190)</f>
        <v>0</v>
      </c>
      <c r="AQ190" s="23">
        <f>IF(AP190="","",COUNTIF(Performance!$G$5:$G$404,AP190))</f>
        <v>0</v>
      </c>
      <c r="AR190" s="23">
        <f>IF(AP190="","",SUMIFS(Performance!$O$5:$O$404,Performance!$G$5:$G$404,AP190))</f>
        <v>0</v>
      </c>
      <c r="AS190" s="23">
        <f>IF(AP190="","",SUMIFS(Performance!$Z$5:$Z$404,Performance!$G$5:$G$404,AP190))</f>
        <v>0</v>
      </c>
      <c r="AT190" s="24">
        <f>IF(OR(AR190="",AR190=0),"",AS190/AR190)</f>
        <v>0</v>
      </c>
      <c r="AU190" s="32">
        <f>IF(AQ190=0,"",IF(AT190="","",AT190+ROW()/1000000))</f>
        <v>0</v>
      </c>
      <c r="AV190" s="17">
        <f>IF(ROW()-4&gt;7,"",TEXT(DATE(2024,1,ROW()-4),"ddd"))</f>
        <v>0</v>
      </c>
      <c r="AW190" s="23">
        <f>IF(AV190="","",COUNTIF(Performance!$N$5:$N$404,AV190))</f>
        <v>0</v>
      </c>
      <c r="AX190" s="23">
        <f>IF(AV190="","",SUMIFS(Performance!$O$5:$O$404,Performance!$N$5:$N$404,AV190))</f>
        <v>0</v>
      </c>
      <c r="AY190" s="23">
        <f>IF(AV190="","",SUMIFS(Performance!$Z$5:$Z$404,Performance!$N$5:$N$404,AV190))</f>
        <v>0</v>
      </c>
      <c r="AZ190" s="24">
        <f>IF(OR(AX190="",AX190=0),"",AY190/AX190)</f>
        <v>0</v>
      </c>
      <c r="BA190" s="32">
        <f>IF(AW190=0,"",IF(AZ190="","",AZ190+ROW()/1000000))</f>
        <v>0</v>
      </c>
      <c r="BB190" s="17">
        <f>IF(Lists!$AL190="","",Lists!$AL190)</f>
        <v>0</v>
      </c>
      <c r="BC190" s="23">
        <f>IF(BB190="","",COUNTIF(Performance!$M$5:$M$404,BB190))</f>
        <v>0</v>
      </c>
      <c r="BD190" s="23">
        <f>IF(BB190="","",SUMIFS(Performance!$O$5:$O$404,Performance!$M$5:$M$404,BB190))</f>
        <v>0</v>
      </c>
      <c r="BE190" s="23">
        <f>IF(BB190="","",SUMIFS(Performance!$Z$5:$Z$404,Performance!$M$5:$M$404,BB190))</f>
        <v>0</v>
      </c>
      <c r="BF190" s="24">
        <f>IF(OR(BD190="",BD190=0),"",BE190/BD190)</f>
        <v>0</v>
      </c>
      <c r="BG190" s="32">
        <f>IF(BC190=0,"",IF(BF190="","",BF190+ROW()/1000000))</f>
        <v>0</v>
      </c>
      <c r="BH190" s="17">
        <f>IF(Performance!$C$190="","",Performance!$C$190)</f>
        <v>0</v>
      </c>
      <c r="BI190" s="17">
        <f>IF(Performance!$F$190="","",Performance!$F$190)</f>
        <v>0</v>
      </c>
      <c r="BJ190" s="17">
        <f>IF(Performance!$H$190="","",Performance!$H$190)</f>
        <v>0</v>
      </c>
      <c r="BK190" s="16">
        <f>IF(Performance!$D$190="","",Performance!$D$190)</f>
        <v>0</v>
      </c>
      <c r="BL190" s="17">
        <f>IF(Performance!$E$190="","",Performance!$E$190)</f>
        <v>0</v>
      </c>
      <c r="BM190" s="23">
        <f>IF(Performance!$O$190="","",Performance!$O$190)</f>
        <v>0</v>
      </c>
      <c r="BN190" s="24">
        <f>IF(Performance!$AA$190="","",Performance!$AA$190)</f>
        <v>0</v>
      </c>
      <c r="BO190" s="32">
        <f>IF(BH190="","",IF(BK190="","",IF(OR(BK190&lt;DashStart,BK190&gt;DashEnd),"",IF(BN190="","",BN190+ROW()/1000000))))</f>
        <v>0</v>
      </c>
      <c r="BP190" s="32">
        <f>IF(BM190="","",IF(BK190="","",IF(OR(BK190&lt;DashStart,BK190&gt;DashEnd),"",BM190+ROW()/1000000)))</f>
        <v>0</v>
      </c>
      <c r="BQ190" s="32">
        <f>IF(BH190="","",IF(BK190="","",IF(YEAR(BK190)&lt;&gt;PlanYear,"",IF(BN190="","",BN190+ROW()/1000000))))</f>
        <v>0</v>
      </c>
      <c r="BR190" s="32">
        <f>IF(BH190="","",IF(BK190="","",IF(OR(BK190&lt;RepFrom,BK190&gt;RepTo),"",IF(BN190="","",BN190+ROW()/1000000))))</f>
        <v>0</v>
      </c>
      <c r="BS190" s="32">
        <f>IF(BM190="","",IF(BK190="","",IF(YEAR(BK190)&lt;&gt;PlanYear,"",BM190+ROW()/1000000)))</f>
        <v>0</v>
      </c>
      <c r="BT190" s="17">
        <f>IF(Lists!$F190="","",Lists!$F190)</f>
        <v>0</v>
      </c>
      <c r="BU190" s="23">
        <f>IF(BT190="","",COUNTIF('Content Calendar'!$X$5:$X$604,BT190))</f>
        <v>0</v>
      </c>
      <c r="BV190" s="23">
        <f>IF(BT190="","",COUNTIFS('Content Calendar'!$X$5:$X$604,BT190,'Content Calendar'!$B$5:$B$604,"&gt;="&amp;DashStart,'Content Calendar'!$B$5:$B$604,"&lt;="&amp;DashEnd))</f>
        <v>0</v>
      </c>
      <c r="BW190" s="17">
        <f>IF(Team!$B$190="","",Team!$B$190)</f>
        <v>0</v>
      </c>
      <c r="BX190" s="23">
        <f>IF(BW190="","",COUNTIF('Content Calendar'!$W$5:$W$604,BW190))</f>
        <v>0</v>
      </c>
      <c r="BY190" s="23">
        <f>IF(BW190="","",COUNTIFS('Content Calendar'!$W$5:$W$604,BW190,'Content Calendar'!$X$5:$X$604,"&lt;&gt;Published"))</f>
        <v>0</v>
      </c>
      <c r="BZ190" s="23">
        <f>IF(BW190="","",COUNTIFS(Tasks!$C$5:$C$64,BW190,Tasks!$G$5:$G$64,"&lt;&gt;Complete"))</f>
        <v>0</v>
      </c>
      <c r="CA190" s="17">
        <f>IF(Campaigns!$B$190="","",Campaigns!$B$190)</f>
        <v>0</v>
      </c>
      <c r="CB190" s="25">
        <f>IF(Campaigns!$T$190="","",Campaigns!$T$190)</f>
        <v>0</v>
      </c>
      <c r="CC190" s="25">
        <f>IF(Campaigns!$Q$190="","",Campaigns!$Q$190)</f>
        <v>0</v>
      </c>
      <c r="CD190" s="23">
        <f>IF(Campaigns!$Y$190="","",Campaigns!$Y$190)</f>
        <v>0</v>
      </c>
      <c r="CE190" s="32">
        <f>IF(CA190="","",IF(N(CB190)&lt;=0,"",N(CB190)+ROW()/1000000))</f>
        <v>0</v>
      </c>
      <c r="CF190" s="17">
        <f>IF(Accounts!$C$190="","",Accounts!$C$190)</f>
        <v>0</v>
      </c>
      <c r="CG190" s="17">
        <f>IF(Accounts!$B$190="","",Accounts!$B$190)</f>
        <v>0</v>
      </c>
      <c r="CH190" s="23">
        <f>IF(Accounts!$J$190="","",Accounts!$J$190)</f>
        <v>0</v>
      </c>
      <c r="CI190" s="23">
        <f>IF(CF190="","",SUMIFS(Analytics!$X$5:$X$154,Analytics!$E$5:$E$154,CF190,Analytics!$B$5:$B$154,"&gt;="&amp;DashStart,Analytics!$B$5:$B$154,"&lt;="&amp;DashEnd))</f>
        <v>0</v>
      </c>
      <c r="CJ190" s="32">
        <f>IF(CH190="","",IF(CH190=0,"",CH190+ROW()/1000000))</f>
        <v>0</v>
      </c>
    </row>
    <row r="191" spans="1:88">
      <c r="A191" s="16">
        <f>IF(ROW()-4&gt;12,"",DATE(PlanYear,ROW()-4,1))</f>
        <v>0</v>
      </c>
      <c r="B191" s="16">
        <f>IF(A191="","",EOMONTH(A191,0))</f>
        <v>0</v>
      </c>
      <c r="C191" s="17">
        <f>IF(A191="","",TEXT(A191,"yyyy-mm"))</f>
        <v>0</v>
      </c>
      <c r="D191" s="17">
        <f>IF(A191="","",TEXT(A191,"mmm"))</f>
        <v>0</v>
      </c>
      <c r="E191" s="23">
        <f>IF(C191="","",COUNTIFS('Content Calendar'!$D$5:$D$604,C191))</f>
        <v>0</v>
      </c>
      <c r="F191" s="23">
        <f>IF(C191="","",COUNTIFS('Content Calendar'!$D$5:$D$604,C191,'Content Calendar'!$X$5:$X$604,"Published"))</f>
        <v>0</v>
      </c>
      <c r="G191" s="23">
        <f>IF(C191="","",SUMIFS(Analytics!$J$5:$J$154,Analytics!$C$5:$C$154,C191))</f>
        <v>0</v>
      </c>
      <c r="H191" s="23">
        <f>IF(C191="","",SUMIFS(Analytics!$K$5:$K$154,Analytics!$C$5:$C$154,C191))</f>
        <v>0</v>
      </c>
      <c r="I191" s="23">
        <f>IF(C191="","",SUMIFS(Analytics!$L$5:$L$154,Analytics!$C$5:$C$154,C191))</f>
        <v>0</v>
      </c>
      <c r="J191" s="24">
        <f>IF(OR(G191="",G191=0),"",I191/G191)</f>
        <v>0</v>
      </c>
      <c r="K191" s="23">
        <f>IF(C191="","",SUMIFS(Analytics!$G$5:$G$154,Analytics!$C$5:$C$154,C191))</f>
        <v>0</v>
      </c>
      <c r="L191" s="23">
        <f>IF(C191="","",SUMIFS(Analytics!$X$5:$X$154,Analytics!$C$5:$C$154,C191))</f>
        <v>0</v>
      </c>
      <c r="M191" s="23">
        <f>IF(C191="","",SUMIFS(Analytics!$R$5:$R$154,Analytics!$C$5:$C$154,C191))</f>
        <v>0</v>
      </c>
      <c r="N191" s="23">
        <f>IF(C191="","",SUMIFS(Analytics!$S$5:$S$154,Analytics!$C$5:$C$154,C191))</f>
        <v>0</v>
      </c>
      <c r="O191" s="23">
        <f>IF(C191="","",SUMIFS(Analytics!$T$5:$T$154,Analytics!$C$5:$C$154,C191))</f>
        <v>0</v>
      </c>
      <c r="P191" s="25">
        <f>IF(C191="","",SUMIFS(Analytics!$U$5:$U$154,Analytics!$C$5:$C$154,C191))</f>
        <v>0</v>
      </c>
      <c r="Q191" s="25">
        <f>IF(C191="","",SUMIFS(Budget!$H$5:$H$64,Budget!$C$5:$C$64,C191))</f>
        <v>0</v>
      </c>
      <c r="R191" s="25">
        <f>IF(C191="","",P191-Q191)</f>
        <v>0</v>
      </c>
      <c r="S191" s="23">
        <f>IF(C191="","",MonthlyPostTarget)</f>
        <v>0</v>
      </c>
      <c r="T191" s="17">
        <f>IF(Lists!$C191="","",Lists!$C191)</f>
        <v>0</v>
      </c>
      <c r="U191" s="23">
        <f>IF(T191="","",COUNTIFS('Content Calendar'!$G$5:$G$604,T191,'Content Calendar'!$B$5:$B$604,"&gt;="&amp;DashStart,'Content Calendar'!$B$5:$B$604,"&lt;="&amp;DashEnd))</f>
        <v>0</v>
      </c>
      <c r="V191" s="23">
        <f>IF(T191="","",COUNTIFS('Content Calendar'!$G$5:$G$604,T191,'Content Calendar'!$X$5:$X$604,"Published",'Content Calendar'!$B$5:$B$604,"&gt;="&amp;DashStart,'Content Calendar'!$B$5:$B$604,"&lt;="&amp;DashEnd))</f>
        <v>0</v>
      </c>
      <c r="W191" s="23">
        <f>IF(T191="","",SUMIFS(Analytics!$J$5:$J$154,Analytics!$D$5:$D$154,T191,Analytics!$B$5:$B$154,"&gt;="&amp;DashStart,Analytics!$B$5:$B$154,"&lt;="&amp;DashEnd))</f>
        <v>0</v>
      </c>
      <c r="X191" s="23">
        <f>IF(T191="","",SUMIFS(Analytics!$L$5:$L$154,Analytics!$D$5:$D$154,T191,Analytics!$B$5:$B$154,"&gt;="&amp;DashStart,Analytics!$B$5:$B$154,"&lt;="&amp;DashEnd))</f>
        <v>0</v>
      </c>
      <c r="Y191" s="24">
        <f>IF(OR(W191="",W191=0),"",X191/W191)</f>
        <v>0</v>
      </c>
      <c r="Z191" s="23">
        <f>IF(T191="","",SUMIFS(Analytics!$G$5:$G$154,Analytics!$D$5:$D$154,T191,Analytics!$B$5:$B$154,"&gt;="&amp;DashStart,Analytics!$B$5:$B$154,"&lt;="&amp;DashEnd))</f>
        <v>0</v>
      </c>
      <c r="AA191" s="23">
        <f>IF(T191="","",SUMIFS(Analytics!$X$5:$X$154,Analytics!$D$5:$D$154,T191,Analytics!$B$5:$B$154,"&gt;="&amp;DashStart,Analytics!$B$5:$B$154,"&lt;="&amp;DashEnd))</f>
        <v>0</v>
      </c>
      <c r="AB191" s="23">
        <f>IF(T191="","",SUMIFS(Analytics!$R$5:$R$154,Analytics!$D$5:$D$154,T191,Analytics!$B$5:$B$154,"&gt;="&amp;DashStart,Analytics!$B$5:$B$154,"&lt;="&amp;DashEnd))</f>
        <v>0</v>
      </c>
      <c r="AC191" s="25">
        <f>IF(T191="","",SUMIFS(Analytics!$U$5:$U$154,Analytics!$D$5:$D$154,T191,Analytics!$B$5:$B$154,"&gt;="&amp;DashStart,Analytics!$B$5:$B$154,"&lt;="&amp;DashEnd))</f>
        <v>0</v>
      </c>
      <c r="AD191" s="23">
        <f>IF(T191="","",COUNTIFS('Content Calendar'!$G$5:$G$604,T191,'Content Calendar'!$B$5:$B$604,"&gt;="&amp;DATE(PlanYear,1,1),'Content Calendar'!$B$5:$B$604,"&lt;="&amp;DATE(PlanYear,12,31)))</f>
        <v>0</v>
      </c>
      <c r="AE191" s="23">
        <f>IF(T191="","",SUMIFS(Analytics!$J$5:$J$154,Analytics!$D$5:$D$154,T191))</f>
        <v>0</v>
      </c>
      <c r="AF191" s="23">
        <f>IF(T191="","",SUMIFS(Analytics!$L$5:$L$154,Analytics!$D$5:$D$154,T191))</f>
        <v>0</v>
      </c>
      <c r="AG191" s="24">
        <f>IF(OR(AE191="",AE191=0),"",AF191/AE191)</f>
        <v>0</v>
      </c>
      <c r="AH191" s="23">
        <f>IF(T191="","",SUMIFS(Analytics!$X$5:$X$154,Analytics!$D$5:$D$154,T191))</f>
        <v>0</v>
      </c>
      <c r="AI191" s="32">
        <f>IF(T191="","",IF(AE191=0,"",AE191+ROW()/1000000))</f>
        <v>0</v>
      </c>
      <c r="AJ191" s="17">
        <f>IF('Content Pillars'!$B$191="","",'Content Pillars'!$B$191)</f>
        <v>0</v>
      </c>
      <c r="AK191" s="23">
        <f>IF(AJ191="","",COUNTIFS('Content Calendar'!$J$5:$J$604,AJ191,'Content Calendar'!$B$5:$B$604,"&gt;="&amp;DATE(PlanYear,1,1),'Content Calendar'!$B$5:$B$604,"&lt;="&amp;DATE(PlanYear,12,31)))</f>
        <v>0</v>
      </c>
      <c r="AL191" s="23">
        <f>IF(AJ191="","",SUMIFS(Performance!$O$5:$O$404,Performance!$H$5:$H$404,AJ191))</f>
        <v>0</v>
      </c>
      <c r="AM191" s="23">
        <f>IF(AJ191="","",SUMIFS(Performance!$Z$5:$Z$404,Performance!$H$5:$H$404,AJ191))</f>
        <v>0</v>
      </c>
      <c r="AN191" s="24">
        <f>IF(OR(AL191="",AL191=0),"",AM191/AL191)</f>
        <v>0</v>
      </c>
      <c r="AO191" s="32">
        <f>IF(AN191="","",AN191+ROW()/1000000)</f>
        <v>0</v>
      </c>
      <c r="AP191" s="17">
        <f>IF(Lists!$E191="","",Lists!$E191)</f>
        <v>0</v>
      </c>
      <c r="AQ191" s="23">
        <f>IF(AP191="","",COUNTIF(Performance!$G$5:$G$404,AP191))</f>
        <v>0</v>
      </c>
      <c r="AR191" s="23">
        <f>IF(AP191="","",SUMIFS(Performance!$O$5:$O$404,Performance!$G$5:$G$404,AP191))</f>
        <v>0</v>
      </c>
      <c r="AS191" s="23">
        <f>IF(AP191="","",SUMIFS(Performance!$Z$5:$Z$404,Performance!$G$5:$G$404,AP191))</f>
        <v>0</v>
      </c>
      <c r="AT191" s="24">
        <f>IF(OR(AR191="",AR191=0),"",AS191/AR191)</f>
        <v>0</v>
      </c>
      <c r="AU191" s="32">
        <f>IF(AQ191=0,"",IF(AT191="","",AT191+ROW()/1000000))</f>
        <v>0</v>
      </c>
      <c r="AV191" s="17">
        <f>IF(ROW()-4&gt;7,"",TEXT(DATE(2024,1,ROW()-4),"ddd"))</f>
        <v>0</v>
      </c>
      <c r="AW191" s="23">
        <f>IF(AV191="","",COUNTIF(Performance!$N$5:$N$404,AV191))</f>
        <v>0</v>
      </c>
      <c r="AX191" s="23">
        <f>IF(AV191="","",SUMIFS(Performance!$O$5:$O$404,Performance!$N$5:$N$404,AV191))</f>
        <v>0</v>
      </c>
      <c r="AY191" s="23">
        <f>IF(AV191="","",SUMIFS(Performance!$Z$5:$Z$404,Performance!$N$5:$N$404,AV191))</f>
        <v>0</v>
      </c>
      <c r="AZ191" s="24">
        <f>IF(OR(AX191="",AX191=0),"",AY191/AX191)</f>
        <v>0</v>
      </c>
      <c r="BA191" s="32">
        <f>IF(AW191=0,"",IF(AZ191="","",AZ191+ROW()/1000000))</f>
        <v>0</v>
      </c>
      <c r="BB191" s="17">
        <f>IF(Lists!$AL191="","",Lists!$AL191)</f>
        <v>0</v>
      </c>
      <c r="BC191" s="23">
        <f>IF(BB191="","",COUNTIF(Performance!$M$5:$M$404,BB191))</f>
        <v>0</v>
      </c>
      <c r="BD191" s="23">
        <f>IF(BB191="","",SUMIFS(Performance!$O$5:$O$404,Performance!$M$5:$M$404,BB191))</f>
        <v>0</v>
      </c>
      <c r="BE191" s="23">
        <f>IF(BB191="","",SUMIFS(Performance!$Z$5:$Z$404,Performance!$M$5:$M$404,BB191))</f>
        <v>0</v>
      </c>
      <c r="BF191" s="24">
        <f>IF(OR(BD191="",BD191=0),"",BE191/BD191)</f>
        <v>0</v>
      </c>
      <c r="BG191" s="32">
        <f>IF(BC191=0,"",IF(BF191="","",BF191+ROW()/1000000))</f>
        <v>0</v>
      </c>
      <c r="BH191" s="17">
        <f>IF(Performance!$C$191="","",Performance!$C$191)</f>
        <v>0</v>
      </c>
      <c r="BI191" s="17">
        <f>IF(Performance!$F$191="","",Performance!$F$191)</f>
        <v>0</v>
      </c>
      <c r="BJ191" s="17">
        <f>IF(Performance!$H$191="","",Performance!$H$191)</f>
        <v>0</v>
      </c>
      <c r="BK191" s="16">
        <f>IF(Performance!$D$191="","",Performance!$D$191)</f>
        <v>0</v>
      </c>
      <c r="BL191" s="17">
        <f>IF(Performance!$E$191="","",Performance!$E$191)</f>
        <v>0</v>
      </c>
      <c r="BM191" s="23">
        <f>IF(Performance!$O$191="","",Performance!$O$191)</f>
        <v>0</v>
      </c>
      <c r="BN191" s="24">
        <f>IF(Performance!$AA$191="","",Performance!$AA$191)</f>
        <v>0</v>
      </c>
      <c r="BO191" s="32">
        <f>IF(BH191="","",IF(BK191="","",IF(OR(BK191&lt;DashStart,BK191&gt;DashEnd),"",IF(BN191="","",BN191+ROW()/1000000))))</f>
        <v>0</v>
      </c>
      <c r="BP191" s="32">
        <f>IF(BM191="","",IF(BK191="","",IF(OR(BK191&lt;DashStart,BK191&gt;DashEnd),"",BM191+ROW()/1000000)))</f>
        <v>0</v>
      </c>
      <c r="BQ191" s="32">
        <f>IF(BH191="","",IF(BK191="","",IF(YEAR(BK191)&lt;&gt;PlanYear,"",IF(BN191="","",BN191+ROW()/1000000))))</f>
        <v>0</v>
      </c>
      <c r="BR191" s="32">
        <f>IF(BH191="","",IF(BK191="","",IF(OR(BK191&lt;RepFrom,BK191&gt;RepTo),"",IF(BN191="","",BN191+ROW()/1000000))))</f>
        <v>0</v>
      </c>
      <c r="BS191" s="32">
        <f>IF(BM191="","",IF(BK191="","",IF(YEAR(BK191)&lt;&gt;PlanYear,"",BM191+ROW()/1000000)))</f>
        <v>0</v>
      </c>
      <c r="BT191" s="17">
        <f>IF(Lists!$F191="","",Lists!$F191)</f>
        <v>0</v>
      </c>
      <c r="BU191" s="23">
        <f>IF(BT191="","",COUNTIF('Content Calendar'!$X$5:$X$604,BT191))</f>
        <v>0</v>
      </c>
      <c r="BV191" s="23">
        <f>IF(BT191="","",COUNTIFS('Content Calendar'!$X$5:$X$604,BT191,'Content Calendar'!$B$5:$B$604,"&gt;="&amp;DashStart,'Content Calendar'!$B$5:$B$604,"&lt;="&amp;DashEnd))</f>
        <v>0</v>
      </c>
      <c r="BW191" s="17">
        <f>IF(Team!$B$191="","",Team!$B$191)</f>
        <v>0</v>
      </c>
      <c r="BX191" s="23">
        <f>IF(BW191="","",COUNTIF('Content Calendar'!$W$5:$W$604,BW191))</f>
        <v>0</v>
      </c>
      <c r="BY191" s="23">
        <f>IF(BW191="","",COUNTIFS('Content Calendar'!$W$5:$W$604,BW191,'Content Calendar'!$X$5:$X$604,"&lt;&gt;Published"))</f>
        <v>0</v>
      </c>
      <c r="BZ191" s="23">
        <f>IF(BW191="","",COUNTIFS(Tasks!$C$5:$C$64,BW191,Tasks!$G$5:$G$64,"&lt;&gt;Complete"))</f>
        <v>0</v>
      </c>
      <c r="CA191" s="17">
        <f>IF(Campaigns!$B$191="","",Campaigns!$B$191)</f>
        <v>0</v>
      </c>
      <c r="CB191" s="25">
        <f>IF(Campaigns!$T$191="","",Campaigns!$T$191)</f>
        <v>0</v>
      </c>
      <c r="CC191" s="25">
        <f>IF(Campaigns!$Q$191="","",Campaigns!$Q$191)</f>
        <v>0</v>
      </c>
      <c r="CD191" s="23">
        <f>IF(Campaigns!$Y$191="","",Campaigns!$Y$191)</f>
        <v>0</v>
      </c>
      <c r="CE191" s="32">
        <f>IF(CA191="","",IF(N(CB191)&lt;=0,"",N(CB191)+ROW()/1000000))</f>
        <v>0</v>
      </c>
      <c r="CF191" s="17">
        <f>IF(Accounts!$C$191="","",Accounts!$C$191)</f>
        <v>0</v>
      </c>
      <c r="CG191" s="17">
        <f>IF(Accounts!$B$191="","",Accounts!$B$191)</f>
        <v>0</v>
      </c>
      <c r="CH191" s="23">
        <f>IF(Accounts!$J$191="","",Accounts!$J$191)</f>
        <v>0</v>
      </c>
      <c r="CI191" s="23">
        <f>IF(CF191="","",SUMIFS(Analytics!$X$5:$X$154,Analytics!$E$5:$E$154,CF191,Analytics!$B$5:$B$154,"&gt;="&amp;DashStart,Analytics!$B$5:$B$154,"&lt;="&amp;DashEnd))</f>
        <v>0</v>
      </c>
      <c r="CJ191" s="32">
        <f>IF(CH191="","",IF(CH191=0,"",CH191+ROW()/1000000))</f>
        <v>0</v>
      </c>
    </row>
    <row r="192" spans="1:88">
      <c r="A192" s="16">
        <f>IF(ROW()-4&gt;12,"",DATE(PlanYear,ROW()-4,1))</f>
        <v>0</v>
      </c>
      <c r="B192" s="16">
        <f>IF(A192="","",EOMONTH(A192,0))</f>
        <v>0</v>
      </c>
      <c r="C192" s="17">
        <f>IF(A192="","",TEXT(A192,"yyyy-mm"))</f>
        <v>0</v>
      </c>
      <c r="D192" s="17">
        <f>IF(A192="","",TEXT(A192,"mmm"))</f>
        <v>0</v>
      </c>
      <c r="E192" s="23">
        <f>IF(C192="","",COUNTIFS('Content Calendar'!$D$5:$D$604,C192))</f>
        <v>0</v>
      </c>
      <c r="F192" s="23">
        <f>IF(C192="","",COUNTIFS('Content Calendar'!$D$5:$D$604,C192,'Content Calendar'!$X$5:$X$604,"Published"))</f>
        <v>0</v>
      </c>
      <c r="G192" s="23">
        <f>IF(C192="","",SUMIFS(Analytics!$J$5:$J$154,Analytics!$C$5:$C$154,C192))</f>
        <v>0</v>
      </c>
      <c r="H192" s="23">
        <f>IF(C192="","",SUMIFS(Analytics!$K$5:$K$154,Analytics!$C$5:$C$154,C192))</f>
        <v>0</v>
      </c>
      <c r="I192" s="23">
        <f>IF(C192="","",SUMIFS(Analytics!$L$5:$L$154,Analytics!$C$5:$C$154,C192))</f>
        <v>0</v>
      </c>
      <c r="J192" s="24">
        <f>IF(OR(G192="",G192=0),"",I192/G192)</f>
        <v>0</v>
      </c>
      <c r="K192" s="23">
        <f>IF(C192="","",SUMIFS(Analytics!$G$5:$G$154,Analytics!$C$5:$C$154,C192))</f>
        <v>0</v>
      </c>
      <c r="L192" s="23">
        <f>IF(C192="","",SUMIFS(Analytics!$X$5:$X$154,Analytics!$C$5:$C$154,C192))</f>
        <v>0</v>
      </c>
      <c r="M192" s="23">
        <f>IF(C192="","",SUMIFS(Analytics!$R$5:$R$154,Analytics!$C$5:$C$154,C192))</f>
        <v>0</v>
      </c>
      <c r="N192" s="23">
        <f>IF(C192="","",SUMIFS(Analytics!$S$5:$S$154,Analytics!$C$5:$C$154,C192))</f>
        <v>0</v>
      </c>
      <c r="O192" s="23">
        <f>IF(C192="","",SUMIFS(Analytics!$T$5:$T$154,Analytics!$C$5:$C$154,C192))</f>
        <v>0</v>
      </c>
      <c r="P192" s="25">
        <f>IF(C192="","",SUMIFS(Analytics!$U$5:$U$154,Analytics!$C$5:$C$154,C192))</f>
        <v>0</v>
      </c>
      <c r="Q192" s="25">
        <f>IF(C192="","",SUMIFS(Budget!$H$5:$H$64,Budget!$C$5:$C$64,C192))</f>
        <v>0</v>
      </c>
      <c r="R192" s="25">
        <f>IF(C192="","",P192-Q192)</f>
        <v>0</v>
      </c>
      <c r="S192" s="23">
        <f>IF(C192="","",MonthlyPostTarget)</f>
        <v>0</v>
      </c>
      <c r="T192" s="17">
        <f>IF(Lists!$C192="","",Lists!$C192)</f>
        <v>0</v>
      </c>
      <c r="U192" s="23">
        <f>IF(T192="","",COUNTIFS('Content Calendar'!$G$5:$G$604,T192,'Content Calendar'!$B$5:$B$604,"&gt;="&amp;DashStart,'Content Calendar'!$B$5:$B$604,"&lt;="&amp;DashEnd))</f>
        <v>0</v>
      </c>
      <c r="V192" s="23">
        <f>IF(T192="","",COUNTIFS('Content Calendar'!$G$5:$G$604,T192,'Content Calendar'!$X$5:$X$604,"Published",'Content Calendar'!$B$5:$B$604,"&gt;="&amp;DashStart,'Content Calendar'!$B$5:$B$604,"&lt;="&amp;DashEnd))</f>
        <v>0</v>
      </c>
      <c r="W192" s="23">
        <f>IF(T192="","",SUMIFS(Analytics!$J$5:$J$154,Analytics!$D$5:$D$154,T192,Analytics!$B$5:$B$154,"&gt;="&amp;DashStart,Analytics!$B$5:$B$154,"&lt;="&amp;DashEnd))</f>
        <v>0</v>
      </c>
      <c r="X192" s="23">
        <f>IF(T192="","",SUMIFS(Analytics!$L$5:$L$154,Analytics!$D$5:$D$154,T192,Analytics!$B$5:$B$154,"&gt;="&amp;DashStart,Analytics!$B$5:$B$154,"&lt;="&amp;DashEnd))</f>
        <v>0</v>
      </c>
      <c r="Y192" s="24">
        <f>IF(OR(W192="",W192=0),"",X192/W192)</f>
        <v>0</v>
      </c>
      <c r="Z192" s="23">
        <f>IF(T192="","",SUMIFS(Analytics!$G$5:$G$154,Analytics!$D$5:$D$154,T192,Analytics!$B$5:$B$154,"&gt;="&amp;DashStart,Analytics!$B$5:$B$154,"&lt;="&amp;DashEnd))</f>
        <v>0</v>
      </c>
      <c r="AA192" s="23">
        <f>IF(T192="","",SUMIFS(Analytics!$X$5:$X$154,Analytics!$D$5:$D$154,T192,Analytics!$B$5:$B$154,"&gt;="&amp;DashStart,Analytics!$B$5:$B$154,"&lt;="&amp;DashEnd))</f>
        <v>0</v>
      </c>
      <c r="AB192" s="23">
        <f>IF(T192="","",SUMIFS(Analytics!$R$5:$R$154,Analytics!$D$5:$D$154,T192,Analytics!$B$5:$B$154,"&gt;="&amp;DashStart,Analytics!$B$5:$B$154,"&lt;="&amp;DashEnd))</f>
        <v>0</v>
      </c>
      <c r="AC192" s="25">
        <f>IF(T192="","",SUMIFS(Analytics!$U$5:$U$154,Analytics!$D$5:$D$154,T192,Analytics!$B$5:$B$154,"&gt;="&amp;DashStart,Analytics!$B$5:$B$154,"&lt;="&amp;DashEnd))</f>
        <v>0</v>
      </c>
      <c r="AD192" s="23">
        <f>IF(T192="","",COUNTIFS('Content Calendar'!$G$5:$G$604,T192,'Content Calendar'!$B$5:$B$604,"&gt;="&amp;DATE(PlanYear,1,1),'Content Calendar'!$B$5:$B$604,"&lt;="&amp;DATE(PlanYear,12,31)))</f>
        <v>0</v>
      </c>
      <c r="AE192" s="23">
        <f>IF(T192="","",SUMIFS(Analytics!$J$5:$J$154,Analytics!$D$5:$D$154,T192))</f>
        <v>0</v>
      </c>
      <c r="AF192" s="23">
        <f>IF(T192="","",SUMIFS(Analytics!$L$5:$L$154,Analytics!$D$5:$D$154,T192))</f>
        <v>0</v>
      </c>
      <c r="AG192" s="24">
        <f>IF(OR(AE192="",AE192=0),"",AF192/AE192)</f>
        <v>0</v>
      </c>
      <c r="AH192" s="23">
        <f>IF(T192="","",SUMIFS(Analytics!$X$5:$X$154,Analytics!$D$5:$D$154,T192))</f>
        <v>0</v>
      </c>
      <c r="AI192" s="32">
        <f>IF(T192="","",IF(AE192=0,"",AE192+ROW()/1000000))</f>
        <v>0</v>
      </c>
      <c r="AJ192" s="17">
        <f>IF('Content Pillars'!$B$192="","",'Content Pillars'!$B$192)</f>
        <v>0</v>
      </c>
      <c r="AK192" s="23">
        <f>IF(AJ192="","",COUNTIFS('Content Calendar'!$J$5:$J$604,AJ192,'Content Calendar'!$B$5:$B$604,"&gt;="&amp;DATE(PlanYear,1,1),'Content Calendar'!$B$5:$B$604,"&lt;="&amp;DATE(PlanYear,12,31)))</f>
        <v>0</v>
      </c>
      <c r="AL192" s="23">
        <f>IF(AJ192="","",SUMIFS(Performance!$O$5:$O$404,Performance!$H$5:$H$404,AJ192))</f>
        <v>0</v>
      </c>
      <c r="AM192" s="23">
        <f>IF(AJ192="","",SUMIFS(Performance!$Z$5:$Z$404,Performance!$H$5:$H$404,AJ192))</f>
        <v>0</v>
      </c>
      <c r="AN192" s="24">
        <f>IF(OR(AL192="",AL192=0),"",AM192/AL192)</f>
        <v>0</v>
      </c>
      <c r="AO192" s="32">
        <f>IF(AN192="","",AN192+ROW()/1000000)</f>
        <v>0</v>
      </c>
      <c r="AP192" s="17">
        <f>IF(Lists!$E192="","",Lists!$E192)</f>
        <v>0</v>
      </c>
      <c r="AQ192" s="23">
        <f>IF(AP192="","",COUNTIF(Performance!$G$5:$G$404,AP192))</f>
        <v>0</v>
      </c>
      <c r="AR192" s="23">
        <f>IF(AP192="","",SUMIFS(Performance!$O$5:$O$404,Performance!$G$5:$G$404,AP192))</f>
        <v>0</v>
      </c>
      <c r="AS192" s="23">
        <f>IF(AP192="","",SUMIFS(Performance!$Z$5:$Z$404,Performance!$G$5:$G$404,AP192))</f>
        <v>0</v>
      </c>
      <c r="AT192" s="24">
        <f>IF(OR(AR192="",AR192=0),"",AS192/AR192)</f>
        <v>0</v>
      </c>
      <c r="AU192" s="32">
        <f>IF(AQ192=0,"",IF(AT192="","",AT192+ROW()/1000000))</f>
        <v>0</v>
      </c>
      <c r="AV192" s="17">
        <f>IF(ROW()-4&gt;7,"",TEXT(DATE(2024,1,ROW()-4),"ddd"))</f>
        <v>0</v>
      </c>
      <c r="AW192" s="23">
        <f>IF(AV192="","",COUNTIF(Performance!$N$5:$N$404,AV192))</f>
        <v>0</v>
      </c>
      <c r="AX192" s="23">
        <f>IF(AV192="","",SUMIFS(Performance!$O$5:$O$404,Performance!$N$5:$N$404,AV192))</f>
        <v>0</v>
      </c>
      <c r="AY192" s="23">
        <f>IF(AV192="","",SUMIFS(Performance!$Z$5:$Z$404,Performance!$N$5:$N$404,AV192))</f>
        <v>0</v>
      </c>
      <c r="AZ192" s="24">
        <f>IF(OR(AX192="",AX192=0),"",AY192/AX192)</f>
        <v>0</v>
      </c>
      <c r="BA192" s="32">
        <f>IF(AW192=0,"",IF(AZ192="","",AZ192+ROW()/1000000))</f>
        <v>0</v>
      </c>
      <c r="BB192" s="17">
        <f>IF(Lists!$AL192="","",Lists!$AL192)</f>
        <v>0</v>
      </c>
      <c r="BC192" s="23">
        <f>IF(BB192="","",COUNTIF(Performance!$M$5:$M$404,BB192))</f>
        <v>0</v>
      </c>
      <c r="BD192" s="23">
        <f>IF(BB192="","",SUMIFS(Performance!$O$5:$O$404,Performance!$M$5:$M$404,BB192))</f>
        <v>0</v>
      </c>
      <c r="BE192" s="23">
        <f>IF(BB192="","",SUMIFS(Performance!$Z$5:$Z$404,Performance!$M$5:$M$404,BB192))</f>
        <v>0</v>
      </c>
      <c r="BF192" s="24">
        <f>IF(OR(BD192="",BD192=0),"",BE192/BD192)</f>
        <v>0</v>
      </c>
      <c r="BG192" s="32">
        <f>IF(BC192=0,"",IF(BF192="","",BF192+ROW()/1000000))</f>
        <v>0</v>
      </c>
      <c r="BH192" s="17">
        <f>IF(Performance!$C$192="","",Performance!$C$192)</f>
        <v>0</v>
      </c>
      <c r="BI192" s="17">
        <f>IF(Performance!$F$192="","",Performance!$F$192)</f>
        <v>0</v>
      </c>
      <c r="BJ192" s="17">
        <f>IF(Performance!$H$192="","",Performance!$H$192)</f>
        <v>0</v>
      </c>
      <c r="BK192" s="16">
        <f>IF(Performance!$D$192="","",Performance!$D$192)</f>
        <v>0</v>
      </c>
      <c r="BL192" s="17">
        <f>IF(Performance!$E$192="","",Performance!$E$192)</f>
        <v>0</v>
      </c>
      <c r="BM192" s="23">
        <f>IF(Performance!$O$192="","",Performance!$O$192)</f>
        <v>0</v>
      </c>
      <c r="BN192" s="24">
        <f>IF(Performance!$AA$192="","",Performance!$AA$192)</f>
        <v>0</v>
      </c>
      <c r="BO192" s="32">
        <f>IF(BH192="","",IF(BK192="","",IF(OR(BK192&lt;DashStart,BK192&gt;DashEnd),"",IF(BN192="","",BN192+ROW()/1000000))))</f>
        <v>0</v>
      </c>
      <c r="BP192" s="32">
        <f>IF(BM192="","",IF(BK192="","",IF(OR(BK192&lt;DashStart,BK192&gt;DashEnd),"",BM192+ROW()/1000000)))</f>
        <v>0</v>
      </c>
      <c r="BQ192" s="32">
        <f>IF(BH192="","",IF(BK192="","",IF(YEAR(BK192)&lt;&gt;PlanYear,"",IF(BN192="","",BN192+ROW()/1000000))))</f>
        <v>0</v>
      </c>
      <c r="BR192" s="32">
        <f>IF(BH192="","",IF(BK192="","",IF(OR(BK192&lt;RepFrom,BK192&gt;RepTo),"",IF(BN192="","",BN192+ROW()/1000000))))</f>
        <v>0</v>
      </c>
      <c r="BS192" s="32">
        <f>IF(BM192="","",IF(BK192="","",IF(YEAR(BK192)&lt;&gt;PlanYear,"",BM192+ROW()/1000000)))</f>
        <v>0</v>
      </c>
      <c r="BT192" s="17">
        <f>IF(Lists!$F192="","",Lists!$F192)</f>
        <v>0</v>
      </c>
      <c r="BU192" s="23">
        <f>IF(BT192="","",COUNTIF('Content Calendar'!$X$5:$X$604,BT192))</f>
        <v>0</v>
      </c>
      <c r="BV192" s="23">
        <f>IF(BT192="","",COUNTIFS('Content Calendar'!$X$5:$X$604,BT192,'Content Calendar'!$B$5:$B$604,"&gt;="&amp;DashStart,'Content Calendar'!$B$5:$B$604,"&lt;="&amp;DashEnd))</f>
        <v>0</v>
      </c>
      <c r="BW192" s="17">
        <f>IF(Team!$B$192="","",Team!$B$192)</f>
        <v>0</v>
      </c>
      <c r="BX192" s="23">
        <f>IF(BW192="","",COUNTIF('Content Calendar'!$W$5:$W$604,BW192))</f>
        <v>0</v>
      </c>
      <c r="BY192" s="23">
        <f>IF(BW192="","",COUNTIFS('Content Calendar'!$W$5:$W$604,BW192,'Content Calendar'!$X$5:$X$604,"&lt;&gt;Published"))</f>
        <v>0</v>
      </c>
      <c r="BZ192" s="23">
        <f>IF(BW192="","",COUNTIFS(Tasks!$C$5:$C$64,BW192,Tasks!$G$5:$G$64,"&lt;&gt;Complete"))</f>
        <v>0</v>
      </c>
      <c r="CA192" s="17">
        <f>IF(Campaigns!$B$192="","",Campaigns!$B$192)</f>
        <v>0</v>
      </c>
      <c r="CB192" s="25">
        <f>IF(Campaigns!$T$192="","",Campaigns!$T$192)</f>
        <v>0</v>
      </c>
      <c r="CC192" s="25">
        <f>IF(Campaigns!$Q$192="","",Campaigns!$Q$192)</f>
        <v>0</v>
      </c>
      <c r="CD192" s="23">
        <f>IF(Campaigns!$Y$192="","",Campaigns!$Y$192)</f>
        <v>0</v>
      </c>
      <c r="CE192" s="32">
        <f>IF(CA192="","",IF(N(CB192)&lt;=0,"",N(CB192)+ROW()/1000000))</f>
        <v>0</v>
      </c>
      <c r="CF192" s="17">
        <f>IF(Accounts!$C$192="","",Accounts!$C$192)</f>
        <v>0</v>
      </c>
      <c r="CG192" s="17">
        <f>IF(Accounts!$B$192="","",Accounts!$B$192)</f>
        <v>0</v>
      </c>
      <c r="CH192" s="23">
        <f>IF(Accounts!$J$192="","",Accounts!$J$192)</f>
        <v>0</v>
      </c>
      <c r="CI192" s="23">
        <f>IF(CF192="","",SUMIFS(Analytics!$X$5:$X$154,Analytics!$E$5:$E$154,CF192,Analytics!$B$5:$B$154,"&gt;="&amp;DashStart,Analytics!$B$5:$B$154,"&lt;="&amp;DashEnd))</f>
        <v>0</v>
      </c>
      <c r="CJ192" s="32">
        <f>IF(CH192="","",IF(CH192=0,"",CH192+ROW()/1000000))</f>
        <v>0</v>
      </c>
    </row>
    <row r="193" spans="1:88">
      <c r="A193" s="16">
        <f>IF(ROW()-4&gt;12,"",DATE(PlanYear,ROW()-4,1))</f>
        <v>0</v>
      </c>
      <c r="B193" s="16">
        <f>IF(A193="","",EOMONTH(A193,0))</f>
        <v>0</v>
      </c>
      <c r="C193" s="17">
        <f>IF(A193="","",TEXT(A193,"yyyy-mm"))</f>
        <v>0</v>
      </c>
      <c r="D193" s="17">
        <f>IF(A193="","",TEXT(A193,"mmm"))</f>
        <v>0</v>
      </c>
      <c r="E193" s="23">
        <f>IF(C193="","",COUNTIFS('Content Calendar'!$D$5:$D$604,C193))</f>
        <v>0</v>
      </c>
      <c r="F193" s="23">
        <f>IF(C193="","",COUNTIFS('Content Calendar'!$D$5:$D$604,C193,'Content Calendar'!$X$5:$X$604,"Published"))</f>
        <v>0</v>
      </c>
      <c r="G193" s="23">
        <f>IF(C193="","",SUMIFS(Analytics!$J$5:$J$154,Analytics!$C$5:$C$154,C193))</f>
        <v>0</v>
      </c>
      <c r="H193" s="23">
        <f>IF(C193="","",SUMIFS(Analytics!$K$5:$K$154,Analytics!$C$5:$C$154,C193))</f>
        <v>0</v>
      </c>
      <c r="I193" s="23">
        <f>IF(C193="","",SUMIFS(Analytics!$L$5:$L$154,Analytics!$C$5:$C$154,C193))</f>
        <v>0</v>
      </c>
      <c r="J193" s="24">
        <f>IF(OR(G193="",G193=0),"",I193/G193)</f>
        <v>0</v>
      </c>
      <c r="K193" s="23">
        <f>IF(C193="","",SUMIFS(Analytics!$G$5:$G$154,Analytics!$C$5:$C$154,C193))</f>
        <v>0</v>
      </c>
      <c r="L193" s="23">
        <f>IF(C193="","",SUMIFS(Analytics!$X$5:$X$154,Analytics!$C$5:$C$154,C193))</f>
        <v>0</v>
      </c>
      <c r="M193" s="23">
        <f>IF(C193="","",SUMIFS(Analytics!$R$5:$R$154,Analytics!$C$5:$C$154,C193))</f>
        <v>0</v>
      </c>
      <c r="N193" s="23">
        <f>IF(C193="","",SUMIFS(Analytics!$S$5:$S$154,Analytics!$C$5:$C$154,C193))</f>
        <v>0</v>
      </c>
      <c r="O193" s="23">
        <f>IF(C193="","",SUMIFS(Analytics!$T$5:$T$154,Analytics!$C$5:$C$154,C193))</f>
        <v>0</v>
      </c>
      <c r="P193" s="25">
        <f>IF(C193="","",SUMIFS(Analytics!$U$5:$U$154,Analytics!$C$5:$C$154,C193))</f>
        <v>0</v>
      </c>
      <c r="Q193" s="25">
        <f>IF(C193="","",SUMIFS(Budget!$H$5:$H$64,Budget!$C$5:$C$64,C193))</f>
        <v>0</v>
      </c>
      <c r="R193" s="25">
        <f>IF(C193="","",P193-Q193)</f>
        <v>0</v>
      </c>
      <c r="S193" s="23">
        <f>IF(C193="","",MonthlyPostTarget)</f>
        <v>0</v>
      </c>
      <c r="T193" s="17">
        <f>IF(Lists!$C193="","",Lists!$C193)</f>
        <v>0</v>
      </c>
      <c r="U193" s="23">
        <f>IF(T193="","",COUNTIFS('Content Calendar'!$G$5:$G$604,T193,'Content Calendar'!$B$5:$B$604,"&gt;="&amp;DashStart,'Content Calendar'!$B$5:$B$604,"&lt;="&amp;DashEnd))</f>
        <v>0</v>
      </c>
      <c r="V193" s="23">
        <f>IF(T193="","",COUNTIFS('Content Calendar'!$G$5:$G$604,T193,'Content Calendar'!$X$5:$X$604,"Published",'Content Calendar'!$B$5:$B$604,"&gt;="&amp;DashStart,'Content Calendar'!$B$5:$B$604,"&lt;="&amp;DashEnd))</f>
        <v>0</v>
      </c>
      <c r="W193" s="23">
        <f>IF(T193="","",SUMIFS(Analytics!$J$5:$J$154,Analytics!$D$5:$D$154,T193,Analytics!$B$5:$B$154,"&gt;="&amp;DashStart,Analytics!$B$5:$B$154,"&lt;="&amp;DashEnd))</f>
        <v>0</v>
      </c>
      <c r="X193" s="23">
        <f>IF(T193="","",SUMIFS(Analytics!$L$5:$L$154,Analytics!$D$5:$D$154,T193,Analytics!$B$5:$B$154,"&gt;="&amp;DashStart,Analytics!$B$5:$B$154,"&lt;="&amp;DashEnd))</f>
        <v>0</v>
      </c>
      <c r="Y193" s="24">
        <f>IF(OR(W193="",W193=0),"",X193/W193)</f>
        <v>0</v>
      </c>
      <c r="Z193" s="23">
        <f>IF(T193="","",SUMIFS(Analytics!$G$5:$G$154,Analytics!$D$5:$D$154,T193,Analytics!$B$5:$B$154,"&gt;="&amp;DashStart,Analytics!$B$5:$B$154,"&lt;="&amp;DashEnd))</f>
        <v>0</v>
      </c>
      <c r="AA193" s="23">
        <f>IF(T193="","",SUMIFS(Analytics!$X$5:$X$154,Analytics!$D$5:$D$154,T193,Analytics!$B$5:$B$154,"&gt;="&amp;DashStart,Analytics!$B$5:$B$154,"&lt;="&amp;DashEnd))</f>
        <v>0</v>
      </c>
      <c r="AB193" s="23">
        <f>IF(T193="","",SUMIFS(Analytics!$R$5:$R$154,Analytics!$D$5:$D$154,T193,Analytics!$B$5:$B$154,"&gt;="&amp;DashStart,Analytics!$B$5:$B$154,"&lt;="&amp;DashEnd))</f>
        <v>0</v>
      </c>
      <c r="AC193" s="25">
        <f>IF(T193="","",SUMIFS(Analytics!$U$5:$U$154,Analytics!$D$5:$D$154,T193,Analytics!$B$5:$B$154,"&gt;="&amp;DashStart,Analytics!$B$5:$B$154,"&lt;="&amp;DashEnd))</f>
        <v>0</v>
      </c>
      <c r="AD193" s="23">
        <f>IF(T193="","",COUNTIFS('Content Calendar'!$G$5:$G$604,T193,'Content Calendar'!$B$5:$B$604,"&gt;="&amp;DATE(PlanYear,1,1),'Content Calendar'!$B$5:$B$604,"&lt;="&amp;DATE(PlanYear,12,31)))</f>
        <v>0</v>
      </c>
      <c r="AE193" s="23">
        <f>IF(T193="","",SUMIFS(Analytics!$J$5:$J$154,Analytics!$D$5:$D$154,T193))</f>
        <v>0</v>
      </c>
      <c r="AF193" s="23">
        <f>IF(T193="","",SUMIFS(Analytics!$L$5:$L$154,Analytics!$D$5:$D$154,T193))</f>
        <v>0</v>
      </c>
      <c r="AG193" s="24">
        <f>IF(OR(AE193="",AE193=0),"",AF193/AE193)</f>
        <v>0</v>
      </c>
      <c r="AH193" s="23">
        <f>IF(T193="","",SUMIFS(Analytics!$X$5:$X$154,Analytics!$D$5:$D$154,T193))</f>
        <v>0</v>
      </c>
      <c r="AI193" s="32">
        <f>IF(T193="","",IF(AE193=0,"",AE193+ROW()/1000000))</f>
        <v>0</v>
      </c>
      <c r="AJ193" s="17">
        <f>IF('Content Pillars'!$B$193="","",'Content Pillars'!$B$193)</f>
        <v>0</v>
      </c>
      <c r="AK193" s="23">
        <f>IF(AJ193="","",COUNTIFS('Content Calendar'!$J$5:$J$604,AJ193,'Content Calendar'!$B$5:$B$604,"&gt;="&amp;DATE(PlanYear,1,1),'Content Calendar'!$B$5:$B$604,"&lt;="&amp;DATE(PlanYear,12,31)))</f>
        <v>0</v>
      </c>
      <c r="AL193" s="23">
        <f>IF(AJ193="","",SUMIFS(Performance!$O$5:$O$404,Performance!$H$5:$H$404,AJ193))</f>
        <v>0</v>
      </c>
      <c r="AM193" s="23">
        <f>IF(AJ193="","",SUMIFS(Performance!$Z$5:$Z$404,Performance!$H$5:$H$404,AJ193))</f>
        <v>0</v>
      </c>
      <c r="AN193" s="24">
        <f>IF(OR(AL193="",AL193=0),"",AM193/AL193)</f>
        <v>0</v>
      </c>
      <c r="AO193" s="32">
        <f>IF(AN193="","",AN193+ROW()/1000000)</f>
        <v>0</v>
      </c>
      <c r="AP193" s="17">
        <f>IF(Lists!$E193="","",Lists!$E193)</f>
        <v>0</v>
      </c>
      <c r="AQ193" s="23">
        <f>IF(AP193="","",COUNTIF(Performance!$G$5:$G$404,AP193))</f>
        <v>0</v>
      </c>
      <c r="AR193" s="23">
        <f>IF(AP193="","",SUMIFS(Performance!$O$5:$O$404,Performance!$G$5:$G$404,AP193))</f>
        <v>0</v>
      </c>
      <c r="AS193" s="23">
        <f>IF(AP193="","",SUMIFS(Performance!$Z$5:$Z$404,Performance!$G$5:$G$404,AP193))</f>
        <v>0</v>
      </c>
      <c r="AT193" s="24">
        <f>IF(OR(AR193="",AR193=0),"",AS193/AR193)</f>
        <v>0</v>
      </c>
      <c r="AU193" s="32">
        <f>IF(AQ193=0,"",IF(AT193="","",AT193+ROW()/1000000))</f>
        <v>0</v>
      </c>
      <c r="AV193" s="17">
        <f>IF(ROW()-4&gt;7,"",TEXT(DATE(2024,1,ROW()-4),"ddd"))</f>
        <v>0</v>
      </c>
      <c r="AW193" s="23">
        <f>IF(AV193="","",COUNTIF(Performance!$N$5:$N$404,AV193))</f>
        <v>0</v>
      </c>
      <c r="AX193" s="23">
        <f>IF(AV193="","",SUMIFS(Performance!$O$5:$O$404,Performance!$N$5:$N$404,AV193))</f>
        <v>0</v>
      </c>
      <c r="AY193" s="23">
        <f>IF(AV193="","",SUMIFS(Performance!$Z$5:$Z$404,Performance!$N$5:$N$404,AV193))</f>
        <v>0</v>
      </c>
      <c r="AZ193" s="24">
        <f>IF(OR(AX193="",AX193=0),"",AY193/AX193)</f>
        <v>0</v>
      </c>
      <c r="BA193" s="32">
        <f>IF(AW193=0,"",IF(AZ193="","",AZ193+ROW()/1000000))</f>
        <v>0</v>
      </c>
      <c r="BB193" s="17">
        <f>IF(Lists!$AL193="","",Lists!$AL193)</f>
        <v>0</v>
      </c>
      <c r="BC193" s="23">
        <f>IF(BB193="","",COUNTIF(Performance!$M$5:$M$404,BB193))</f>
        <v>0</v>
      </c>
      <c r="BD193" s="23">
        <f>IF(BB193="","",SUMIFS(Performance!$O$5:$O$404,Performance!$M$5:$M$404,BB193))</f>
        <v>0</v>
      </c>
      <c r="BE193" s="23">
        <f>IF(BB193="","",SUMIFS(Performance!$Z$5:$Z$404,Performance!$M$5:$M$404,BB193))</f>
        <v>0</v>
      </c>
      <c r="BF193" s="24">
        <f>IF(OR(BD193="",BD193=0),"",BE193/BD193)</f>
        <v>0</v>
      </c>
      <c r="BG193" s="32">
        <f>IF(BC193=0,"",IF(BF193="","",BF193+ROW()/1000000))</f>
        <v>0</v>
      </c>
      <c r="BH193" s="17">
        <f>IF(Performance!$C$193="","",Performance!$C$193)</f>
        <v>0</v>
      </c>
      <c r="BI193" s="17">
        <f>IF(Performance!$F$193="","",Performance!$F$193)</f>
        <v>0</v>
      </c>
      <c r="BJ193" s="17">
        <f>IF(Performance!$H$193="","",Performance!$H$193)</f>
        <v>0</v>
      </c>
      <c r="BK193" s="16">
        <f>IF(Performance!$D$193="","",Performance!$D$193)</f>
        <v>0</v>
      </c>
      <c r="BL193" s="17">
        <f>IF(Performance!$E$193="","",Performance!$E$193)</f>
        <v>0</v>
      </c>
      <c r="BM193" s="23">
        <f>IF(Performance!$O$193="","",Performance!$O$193)</f>
        <v>0</v>
      </c>
      <c r="BN193" s="24">
        <f>IF(Performance!$AA$193="","",Performance!$AA$193)</f>
        <v>0</v>
      </c>
      <c r="BO193" s="32">
        <f>IF(BH193="","",IF(BK193="","",IF(OR(BK193&lt;DashStart,BK193&gt;DashEnd),"",IF(BN193="","",BN193+ROW()/1000000))))</f>
        <v>0</v>
      </c>
      <c r="BP193" s="32">
        <f>IF(BM193="","",IF(BK193="","",IF(OR(BK193&lt;DashStart,BK193&gt;DashEnd),"",BM193+ROW()/1000000)))</f>
        <v>0</v>
      </c>
      <c r="BQ193" s="32">
        <f>IF(BH193="","",IF(BK193="","",IF(YEAR(BK193)&lt;&gt;PlanYear,"",IF(BN193="","",BN193+ROW()/1000000))))</f>
        <v>0</v>
      </c>
      <c r="BR193" s="32">
        <f>IF(BH193="","",IF(BK193="","",IF(OR(BK193&lt;RepFrom,BK193&gt;RepTo),"",IF(BN193="","",BN193+ROW()/1000000))))</f>
        <v>0</v>
      </c>
      <c r="BS193" s="32">
        <f>IF(BM193="","",IF(BK193="","",IF(YEAR(BK193)&lt;&gt;PlanYear,"",BM193+ROW()/1000000)))</f>
        <v>0</v>
      </c>
      <c r="BT193" s="17">
        <f>IF(Lists!$F193="","",Lists!$F193)</f>
        <v>0</v>
      </c>
      <c r="BU193" s="23">
        <f>IF(BT193="","",COUNTIF('Content Calendar'!$X$5:$X$604,BT193))</f>
        <v>0</v>
      </c>
      <c r="BV193" s="23">
        <f>IF(BT193="","",COUNTIFS('Content Calendar'!$X$5:$X$604,BT193,'Content Calendar'!$B$5:$B$604,"&gt;="&amp;DashStart,'Content Calendar'!$B$5:$B$604,"&lt;="&amp;DashEnd))</f>
        <v>0</v>
      </c>
      <c r="BW193" s="17">
        <f>IF(Team!$B$193="","",Team!$B$193)</f>
        <v>0</v>
      </c>
      <c r="BX193" s="23">
        <f>IF(BW193="","",COUNTIF('Content Calendar'!$W$5:$W$604,BW193))</f>
        <v>0</v>
      </c>
      <c r="BY193" s="23">
        <f>IF(BW193="","",COUNTIFS('Content Calendar'!$W$5:$W$604,BW193,'Content Calendar'!$X$5:$X$604,"&lt;&gt;Published"))</f>
        <v>0</v>
      </c>
      <c r="BZ193" s="23">
        <f>IF(BW193="","",COUNTIFS(Tasks!$C$5:$C$64,BW193,Tasks!$G$5:$G$64,"&lt;&gt;Complete"))</f>
        <v>0</v>
      </c>
      <c r="CA193" s="17">
        <f>IF(Campaigns!$B$193="","",Campaigns!$B$193)</f>
        <v>0</v>
      </c>
      <c r="CB193" s="25">
        <f>IF(Campaigns!$T$193="","",Campaigns!$T$193)</f>
        <v>0</v>
      </c>
      <c r="CC193" s="25">
        <f>IF(Campaigns!$Q$193="","",Campaigns!$Q$193)</f>
        <v>0</v>
      </c>
      <c r="CD193" s="23">
        <f>IF(Campaigns!$Y$193="","",Campaigns!$Y$193)</f>
        <v>0</v>
      </c>
      <c r="CE193" s="32">
        <f>IF(CA193="","",IF(N(CB193)&lt;=0,"",N(CB193)+ROW()/1000000))</f>
        <v>0</v>
      </c>
      <c r="CF193" s="17">
        <f>IF(Accounts!$C$193="","",Accounts!$C$193)</f>
        <v>0</v>
      </c>
      <c r="CG193" s="17">
        <f>IF(Accounts!$B$193="","",Accounts!$B$193)</f>
        <v>0</v>
      </c>
      <c r="CH193" s="23">
        <f>IF(Accounts!$J$193="","",Accounts!$J$193)</f>
        <v>0</v>
      </c>
      <c r="CI193" s="23">
        <f>IF(CF193="","",SUMIFS(Analytics!$X$5:$X$154,Analytics!$E$5:$E$154,CF193,Analytics!$B$5:$B$154,"&gt;="&amp;DashStart,Analytics!$B$5:$B$154,"&lt;="&amp;DashEnd))</f>
        <v>0</v>
      </c>
      <c r="CJ193" s="32">
        <f>IF(CH193="","",IF(CH193=0,"",CH193+ROW()/1000000))</f>
        <v>0</v>
      </c>
    </row>
    <row r="194" spans="1:88">
      <c r="A194" s="16">
        <f>IF(ROW()-4&gt;12,"",DATE(PlanYear,ROW()-4,1))</f>
        <v>0</v>
      </c>
      <c r="B194" s="16">
        <f>IF(A194="","",EOMONTH(A194,0))</f>
        <v>0</v>
      </c>
      <c r="C194" s="17">
        <f>IF(A194="","",TEXT(A194,"yyyy-mm"))</f>
        <v>0</v>
      </c>
      <c r="D194" s="17">
        <f>IF(A194="","",TEXT(A194,"mmm"))</f>
        <v>0</v>
      </c>
      <c r="E194" s="23">
        <f>IF(C194="","",COUNTIFS('Content Calendar'!$D$5:$D$604,C194))</f>
        <v>0</v>
      </c>
      <c r="F194" s="23">
        <f>IF(C194="","",COUNTIFS('Content Calendar'!$D$5:$D$604,C194,'Content Calendar'!$X$5:$X$604,"Published"))</f>
        <v>0</v>
      </c>
      <c r="G194" s="23">
        <f>IF(C194="","",SUMIFS(Analytics!$J$5:$J$154,Analytics!$C$5:$C$154,C194))</f>
        <v>0</v>
      </c>
      <c r="H194" s="23">
        <f>IF(C194="","",SUMIFS(Analytics!$K$5:$K$154,Analytics!$C$5:$C$154,C194))</f>
        <v>0</v>
      </c>
      <c r="I194" s="23">
        <f>IF(C194="","",SUMIFS(Analytics!$L$5:$L$154,Analytics!$C$5:$C$154,C194))</f>
        <v>0</v>
      </c>
      <c r="J194" s="24">
        <f>IF(OR(G194="",G194=0),"",I194/G194)</f>
        <v>0</v>
      </c>
      <c r="K194" s="23">
        <f>IF(C194="","",SUMIFS(Analytics!$G$5:$G$154,Analytics!$C$5:$C$154,C194))</f>
        <v>0</v>
      </c>
      <c r="L194" s="23">
        <f>IF(C194="","",SUMIFS(Analytics!$X$5:$X$154,Analytics!$C$5:$C$154,C194))</f>
        <v>0</v>
      </c>
      <c r="M194" s="23">
        <f>IF(C194="","",SUMIFS(Analytics!$R$5:$R$154,Analytics!$C$5:$C$154,C194))</f>
        <v>0</v>
      </c>
      <c r="N194" s="23">
        <f>IF(C194="","",SUMIFS(Analytics!$S$5:$S$154,Analytics!$C$5:$C$154,C194))</f>
        <v>0</v>
      </c>
      <c r="O194" s="23">
        <f>IF(C194="","",SUMIFS(Analytics!$T$5:$T$154,Analytics!$C$5:$C$154,C194))</f>
        <v>0</v>
      </c>
      <c r="P194" s="25">
        <f>IF(C194="","",SUMIFS(Analytics!$U$5:$U$154,Analytics!$C$5:$C$154,C194))</f>
        <v>0</v>
      </c>
      <c r="Q194" s="25">
        <f>IF(C194="","",SUMIFS(Budget!$H$5:$H$64,Budget!$C$5:$C$64,C194))</f>
        <v>0</v>
      </c>
      <c r="R194" s="25">
        <f>IF(C194="","",P194-Q194)</f>
        <v>0</v>
      </c>
      <c r="S194" s="23">
        <f>IF(C194="","",MonthlyPostTarget)</f>
        <v>0</v>
      </c>
      <c r="T194" s="17">
        <f>IF(Lists!$C194="","",Lists!$C194)</f>
        <v>0</v>
      </c>
      <c r="U194" s="23">
        <f>IF(T194="","",COUNTIFS('Content Calendar'!$G$5:$G$604,T194,'Content Calendar'!$B$5:$B$604,"&gt;="&amp;DashStart,'Content Calendar'!$B$5:$B$604,"&lt;="&amp;DashEnd))</f>
        <v>0</v>
      </c>
      <c r="V194" s="23">
        <f>IF(T194="","",COUNTIFS('Content Calendar'!$G$5:$G$604,T194,'Content Calendar'!$X$5:$X$604,"Published",'Content Calendar'!$B$5:$B$604,"&gt;="&amp;DashStart,'Content Calendar'!$B$5:$B$604,"&lt;="&amp;DashEnd))</f>
        <v>0</v>
      </c>
      <c r="W194" s="23">
        <f>IF(T194="","",SUMIFS(Analytics!$J$5:$J$154,Analytics!$D$5:$D$154,T194,Analytics!$B$5:$B$154,"&gt;="&amp;DashStart,Analytics!$B$5:$B$154,"&lt;="&amp;DashEnd))</f>
        <v>0</v>
      </c>
      <c r="X194" s="23">
        <f>IF(T194="","",SUMIFS(Analytics!$L$5:$L$154,Analytics!$D$5:$D$154,T194,Analytics!$B$5:$B$154,"&gt;="&amp;DashStart,Analytics!$B$5:$B$154,"&lt;="&amp;DashEnd))</f>
        <v>0</v>
      </c>
      <c r="Y194" s="24">
        <f>IF(OR(W194="",W194=0),"",X194/W194)</f>
        <v>0</v>
      </c>
      <c r="Z194" s="23">
        <f>IF(T194="","",SUMIFS(Analytics!$G$5:$G$154,Analytics!$D$5:$D$154,T194,Analytics!$B$5:$B$154,"&gt;="&amp;DashStart,Analytics!$B$5:$B$154,"&lt;="&amp;DashEnd))</f>
        <v>0</v>
      </c>
      <c r="AA194" s="23">
        <f>IF(T194="","",SUMIFS(Analytics!$X$5:$X$154,Analytics!$D$5:$D$154,T194,Analytics!$B$5:$B$154,"&gt;="&amp;DashStart,Analytics!$B$5:$B$154,"&lt;="&amp;DashEnd))</f>
        <v>0</v>
      </c>
      <c r="AB194" s="23">
        <f>IF(T194="","",SUMIFS(Analytics!$R$5:$R$154,Analytics!$D$5:$D$154,T194,Analytics!$B$5:$B$154,"&gt;="&amp;DashStart,Analytics!$B$5:$B$154,"&lt;="&amp;DashEnd))</f>
        <v>0</v>
      </c>
      <c r="AC194" s="25">
        <f>IF(T194="","",SUMIFS(Analytics!$U$5:$U$154,Analytics!$D$5:$D$154,T194,Analytics!$B$5:$B$154,"&gt;="&amp;DashStart,Analytics!$B$5:$B$154,"&lt;="&amp;DashEnd))</f>
        <v>0</v>
      </c>
      <c r="AD194" s="23">
        <f>IF(T194="","",COUNTIFS('Content Calendar'!$G$5:$G$604,T194,'Content Calendar'!$B$5:$B$604,"&gt;="&amp;DATE(PlanYear,1,1),'Content Calendar'!$B$5:$B$604,"&lt;="&amp;DATE(PlanYear,12,31)))</f>
        <v>0</v>
      </c>
      <c r="AE194" s="23">
        <f>IF(T194="","",SUMIFS(Analytics!$J$5:$J$154,Analytics!$D$5:$D$154,T194))</f>
        <v>0</v>
      </c>
      <c r="AF194" s="23">
        <f>IF(T194="","",SUMIFS(Analytics!$L$5:$L$154,Analytics!$D$5:$D$154,T194))</f>
        <v>0</v>
      </c>
      <c r="AG194" s="24">
        <f>IF(OR(AE194="",AE194=0),"",AF194/AE194)</f>
        <v>0</v>
      </c>
      <c r="AH194" s="23">
        <f>IF(T194="","",SUMIFS(Analytics!$X$5:$X$154,Analytics!$D$5:$D$154,T194))</f>
        <v>0</v>
      </c>
      <c r="AI194" s="32">
        <f>IF(T194="","",IF(AE194=0,"",AE194+ROW()/1000000))</f>
        <v>0</v>
      </c>
      <c r="AJ194" s="17">
        <f>IF('Content Pillars'!$B$194="","",'Content Pillars'!$B$194)</f>
        <v>0</v>
      </c>
      <c r="AK194" s="23">
        <f>IF(AJ194="","",COUNTIFS('Content Calendar'!$J$5:$J$604,AJ194,'Content Calendar'!$B$5:$B$604,"&gt;="&amp;DATE(PlanYear,1,1),'Content Calendar'!$B$5:$B$604,"&lt;="&amp;DATE(PlanYear,12,31)))</f>
        <v>0</v>
      </c>
      <c r="AL194" s="23">
        <f>IF(AJ194="","",SUMIFS(Performance!$O$5:$O$404,Performance!$H$5:$H$404,AJ194))</f>
        <v>0</v>
      </c>
      <c r="AM194" s="23">
        <f>IF(AJ194="","",SUMIFS(Performance!$Z$5:$Z$404,Performance!$H$5:$H$404,AJ194))</f>
        <v>0</v>
      </c>
      <c r="AN194" s="24">
        <f>IF(OR(AL194="",AL194=0),"",AM194/AL194)</f>
        <v>0</v>
      </c>
      <c r="AO194" s="32">
        <f>IF(AN194="","",AN194+ROW()/1000000)</f>
        <v>0</v>
      </c>
      <c r="AP194" s="17">
        <f>IF(Lists!$E194="","",Lists!$E194)</f>
        <v>0</v>
      </c>
      <c r="AQ194" s="23">
        <f>IF(AP194="","",COUNTIF(Performance!$G$5:$G$404,AP194))</f>
        <v>0</v>
      </c>
      <c r="AR194" s="23">
        <f>IF(AP194="","",SUMIFS(Performance!$O$5:$O$404,Performance!$G$5:$G$404,AP194))</f>
        <v>0</v>
      </c>
      <c r="AS194" s="23">
        <f>IF(AP194="","",SUMIFS(Performance!$Z$5:$Z$404,Performance!$G$5:$G$404,AP194))</f>
        <v>0</v>
      </c>
      <c r="AT194" s="24">
        <f>IF(OR(AR194="",AR194=0),"",AS194/AR194)</f>
        <v>0</v>
      </c>
      <c r="AU194" s="32">
        <f>IF(AQ194=0,"",IF(AT194="","",AT194+ROW()/1000000))</f>
        <v>0</v>
      </c>
      <c r="AV194" s="17">
        <f>IF(ROW()-4&gt;7,"",TEXT(DATE(2024,1,ROW()-4),"ddd"))</f>
        <v>0</v>
      </c>
      <c r="AW194" s="23">
        <f>IF(AV194="","",COUNTIF(Performance!$N$5:$N$404,AV194))</f>
        <v>0</v>
      </c>
      <c r="AX194" s="23">
        <f>IF(AV194="","",SUMIFS(Performance!$O$5:$O$404,Performance!$N$5:$N$404,AV194))</f>
        <v>0</v>
      </c>
      <c r="AY194" s="23">
        <f>IF(AV194="","",SUMIFS(Performance!$Z$5:$Z$404,Performance!$N$5:$N$404,AV194))</f>
        <v>0</v>
      </c>
      <c r="AZ194" s="24">
        <f>IF(OR(AX194="",AX194=0),"",AY194/AX194)</f>
        <v>0</v>
      </c>
      <c r="BA194" s="32">
        <f>IF(AW194=0,"",IF(AZ194="","",AZ194+ROW()/1000000))</f>
        <v>0</v>
      </c>
      <c r="BB194" s="17">
        <f>IF(Lists!$AL194="","",Lists!$AL194)</f>
        <v>0</v>
      </c>
      <c r="BC194" s="23">
        <f>IF(BB194="","",COUNTIF(Performance!$M$5:$M$404,BB194))</f>
        <v>0</v>
      </c>
      <c r="BD194" s="23">
        <f>IF(BB194="","",SUMIFS(Performance!$O$5:$O$404,Performance!$M$5:$M$404,BB194))</f>
        <v>0</v>
      </c>
      <c r="BE194" s="23">
        <f>IF(BB194="","",SUMIFS(Performance!$Z$5:$Z$404,Performance!$M$5:$M$404,BB194))</f>
        <v>0</v>
      </c>
      <c r="BF194" s="24">
        <f>IF(OR(BD194="",BD194=0),"",BE194/BD194)</f>
        <v>0</v>
      </c>
      <c r="BG194" s="32">
        <f>IF(BC194=0,"",IF(BF194="","",BF194+ROW()/1000000))</f>
        <v>0</v>
      </c>
      <c r="BH194" s="17">
        <f>IF(Performance!$C$194="","",Performance!$C$194)</f>
        <v>0</v>
      </c>
      <c r="BI194" s="17">
        <f>IF(Performance!$F$194="","",Performance!$F$194)</f>
        <v>0</v>
      </c>
      <c r="BJ194" s="17">
        <f>IF(Performance!$H$194="","",Performance!$H$194)</f>
        <v>0</v>
      </c>
      <c r="BK194" s="16">
        <f>IF(Performance!$D$194="","",Performance!$D$194)</f>
        <v>0</v>
      </c>
      <c r="BL194" s="17">
        <f>IF(Performance!$E$194="","",Performance!$E$194)</f>
        <v>0</v>
      </c>
      <c r="BM194" s="23">
        <f>IF(Performance!$O$194="","",Performance!$O$194)</f>
        <v>0</v>
      </c>
      <c r="BN194" s="24">
        <f>IF(Performance!$AA$194="","",Performance!$AA$194)</f>
        <v>0</v>
      </c>
      <c r="BO194" s="32">
        <f>IF(BH194="","",IF(BK194="","",IF(OR(BK194&lt;DashStart,BK194&gt;DashEnd),"",IF(BN194="","",BN194+ROW()/1000000))))</f>
        <v>0</v>
      </c>
      <c r="BP194" s="32">
        <f>IF(BM194="","",IF(BK194="","",IF(OR(BK194&lt;DashStart,BK194&gt;DashEnd),"",BM194+ROW()/1000000)))</f>
        <v>0</v>
      </c>
      <c r="BQ194" s="32">
        <f>IF(BH194="","",IF(BK194="","",IF(YEAR(BK194)&lt;&gt;PlanYear,"",IF(BN194="","",BN194+ROW()/1000000))))</f>
        <v>0</v>
      </c>
      <c r="BR194" s="32">
        <f>IF(BH194="","",IF(BK194="","",IF(OR(BK194&lt;RepFrom,BK194&gt;RepTo),"",IF(BN194="","",BN194+ROW()/1000000))))</f>
        <v>0</v>
      </c>
      <c r="BS194" s="32">
        <f>IF(BM194="","",IF(BK194="","",IF(YEAR(BK194)&lt;&gt;PlanYear,"",BM194+ROW()/1000000)))</f>
        <v>0</v>
      </c>
      <c r="BT194" s="17">
        <f>IF(Lists!$F194="","",Lists!$F194)</f>
        <v>0</v>
      </c>
      <c r="BU194" s="23">
        <f>IF(BT194="","",COUNTIF('Content Calendar'!$X$5:$X$604,BT194))</f>
        <v>0</v>
      </c>
      <c r="BV194" s="23">
        <f>IF(BT194="","",COUNTIFS('Content Calendar'!$X$5:$X$604,BT194,'Content Calendar'!$B$5:$B$604,"&gt;="&amp;DashStart,'Content Calendar'!$B$5:$B$604,"&lt;="&amp;DashEnd))</f>
        <v>0</v>
      </c>
      <c r="BW194" s="17">
        <f>IF(Team!$B$194="","",Team!$B$194)</f>
        <v>0</v>
      </c>
      <c r="BX194" s="23">
        <f>IF(BW194="","",COUNTIF('Content Calendar'!$W$5:$W$604,BW194))</f>
        <v>0</v>
      </c>
      <c r="BY194" s="23">
        <f>IF(BW194="","",COUNTIFS('Content Calendar'!$W$5:$W$604,BW194,'Content Calendar'!$X$5:$X$604,"&lt;&gt;Published"))</f>
        <v>0</v>
      </c>
      <c r="BZ194" s="23">
        <f>IF(BW194="","",COUNTIFS(Tasks!$C$5:$C$64,BW194,Tasks!$G$5:$G$64,"&lt;&gt;Complete"))</f>
        <v>0</v>
      </c>
      <c r="CA194" s="17">
        <f>IF(Campaigns!$B$194="","",Campaigns!$B$194)</f>
        <v>0</v>
      </c>
      <c r="CB194" s="25">
        <f>IF(Campaigns!$T$194="","",Campaigns!$T$194)</f>
        <v>0</v>
      </c>
      <c r="CC194" s="25">
        <f>IF(Campaigns!$Q$194="","",Campaigns!$Q$194)</f>
        <v>0</v>
      </c>
      <c r="CD194" s="23">
        <f>IF(Campaigns!$Y$194="","",Campaigns!$Y$194)</f>
        <v>0</v>
      </c>
      <c r="CE194" s="32">
        <f>IF(CA194="","",IF(N(CB194)&lt;=0,"",N(CB194)+ROW()/1000000))</f>
        <v>0</v>
      </c>
      <c r="CF194" s="17">
        <f>IF(Accounts!$C$194="","",Accounts!$C$194)</f>
        <v>0</v>
      </c>
      <c r="CG194" s="17">
        <f>IF(Accounts!$B$194="","",Accounts!$B$194)</f>
        <v>0</v>
      </c>
      <c r="CH194" s="23">
        <f>IF(Accounts!$J$194="","",Accounts!$J$194)</f>
        <v>0</v>
      </c>
      <c r="CI194" s="23">
        <f>IF(CF194="","",SUMIFS(Analytics!$X$5:$X$154,Analytics!$E$5:$E$154,CF194,Analytics!$B$5:$B$154,"&gt;="&amp;DashStart,Analytics!$B$5:$B$154,"&lt;="&amp;DashEnd))</f>
        <v>0</v>
      </c>
      <c r="CJ194" s="32">
        <f>IF(CH194="","",IF(CH194=0,"",CH194+ROW()/1000000))</f>
        <v>0</v>
      </c>
    </row>
    <row r="195" spans="1:88">
      <c r="A195" s="16">
        <f>IF(ROW()-4&gt;12,"",DATE(PlanYear,ROW()-4,1))</f>
        <v>0</v>
      </c>
      <c r="B195" s="16">
        <f>IF(A195="","",EOMONTH(A195,0))</f>
        <v>0</v>
      </c>
      <c r="C195" s="17">
        <f>IF(A195="","",TEXT(A195,"yyyy-mm"))</f>
        <v>0</v>
      </c>
      <c r="D195" s="17">
        <f>IF(A195="","",TEXT(A195,"mmm"))</f>
        <v>0</v>
      </c>
      <c r="E195" s="23">
        <f>IF(C195="","",COUNTIFS('Content Calendar'!$D$5:$D$604,C195))</f>
        <v>0</v>
      </c>
      <c r="F195" s="23">
        <f>IF(C195="","",COUNTIFS('Content Calendar'!$D$5:$D$604,C195,'Content Calendar'!$X$5:$X$604,"Published"))</f>
        <v>0</v>
      </c>
      <c r="G195" s="23">
        <f>IF(C195="","",SUMIFS(Analytics!$J$5:$J$154,Analytics!$C$5:$C$154,C195))</f>
        <v>0</v>
      </c>
      <c r="H195" s="23">
        <f>IF(C195="","",SUMIFS(Analytics!$K$5:$K$154,Analytics!$C$5:$C$154,C195))</f>
        <v>0</v>
      </c>
      <c r="I195" s="23">
        <f>IF(C195="","",SUMIFS(Analytics!$L$5:$L$154,Analytics!$C$5:$C$154,C195))</f>
        <v>0</v>
      </c>
      <c r="J195" s="24">
        <f>IF(OR(G195="",G195=0),"",I195/G195)</f>
        <v>0</v>
      </c>
      <c r="K195" s="23">
        <f>IF(C195="","",SUMIFS(Analytics!$G$5:$G$154,Analytics!$C$5:$C$154,C195))</f>
        <v>0</v>
      </c>
      <c r="L195" s="23">
        <f>IF(C195="","",SUMIFS(Analytics!$X$5:$X$154,Analytics!$C$5:$C$154,C195))</f>
        <v>0</v>
      </c>
      <c r="M195" s="23">
        <f>IF(C195="","",SUMIFS(Analytics!$R$5:$R$154,Analytics!$C$5:$C$154,C195))</f>
        <v>0</v>
      </c>
      <c r="N195" s="23">
        <f>IF(C195="","",SUMIFS(Analytics!$S$5:$S$154,Analytics!$C$5:$C$154,C195))</f>
        <v>0</v>
      </c>
      <c r="O195" s="23">
        <f>IF(C195="","",SUMIFS(Analytics!$T$5:$T$154,Analytics!$C$5:$C$154,C195))</f>
        <v>0</v>
      </c>
      <c r="P195" s="25">
        <f>IF(C195="","",SUMIFS(Analytics!$U$5:$U$154,Analytics!$C$5:$C$154,C195))</f>
        <v>0</v>
      </c>
      <c r="Q195" s="25">
        <f>IF(C195="","",SUMIFS(Budget!$H$5:$H$64,Budget!$C$5:$C$64,C195))</f>
        <v>0</v>
      </c>
      <c r="R195" s="25">
        <f>IF(C195="","",P195-Q195)</f>
        <v>0</v>
      </c>
      <c r="S195" s="23">
        <f>IF(C195="","",MonthlyPostTarget)</f>
        <v>0</v>
      </c>
      <c r="T195" s="17">
        <f>IF(Lists!$C195="","",Lists!$C195)</f>
        <v>0</v>
      </c>
      <c r="U195" s="23">
        <f>IF(T195="","",COUNTIFS('Content Calendar'!$G$5:$G$604,T195,'Content Calendar'!$B$5:$B$604,"&gt;="&amp;DashStart,'Content Calendar'!$B$5:$B$604,"&lt;="&amp;DashEnd))</f>
        <v>0</v>
      </c>
      <c r="V195" s="23">
        <f>IF(T195="","",COUNTIFS('Content Calendar'!$G$5:$G$604,T195,'Content Calendar'!$X$5:$X$604,"Published",'Content Calendar'!$B$5:$B$604,"&gt;="&amp;DashStart,'Content Calendar'!$B$5:$B$604,"&lt;="&amp;DashEnd))</f>
        <v>0</v>
      </c>
      <c r="W195" s="23">
        <f>IF(T195="","",SUMIFS(Analytics!$J$5:$J$154,Analytics!$D$5:$D$154,T195,Analytics!$B$5:$B$154,"&gt;="&amp;DashStart,Analytics!$B$5:$B$154,"&lt;="&amp;DashEnd))</f>
        <v>0</v>
      </c>
      <c r="X195" s="23">
        <f>IF(T195="","",SUMIFS(Analytics!$L$5:$L$154,Analytics!$D$5:$D$154,T195,Analytics!$B$5:$B$154,"&gt;="&amp;DashStart,Analytics!$B$5:$B$154,"&lt;="&amp;DashEnd))</f>
        <v>0</v>
      </c>
      <c r="Y195" s="24">
        <f>IF(OR(W195="",W195=0),"",X195/W195)</f>
        <v>0</v>
      </c>
      <c r="Z195" s="23">
        <f>IF(T195="","",SUMIFS(Analytics!$G$5:$G$154,Analytics!$D$5:$D$154,T195,Analytics!$B$5:$B$154,"&gt;="&amp;DashStart,Analytics!$B$5:$B$154,"&lt;="&amp;DashEnd))</f>
        <v>0</v>
      </c>
      <c r="AA195" s="23">
        <f>IF(T195="","",SUMIFS(Analytics!$X$5:$X$154,Analytics!$D$5:$D$154,T195,Analytics!$B$5:$B$154,"&gt;="&amp;DashStart,Analytics!$B$5:$B$154,"&lt;="&amp;DashEnd))</f>
        <v>0</v>
      </c>
      <c r="AB195" s="23">
        <f>IF(T195="","",SUMIFS(Analytics!$R$5:$R$154,Analytics!$D$5:$D$154,T195,Analytics!$B$5:$B$154,"&gt;="&amp;DashStart,Analytics!$B$5:$B$154,"&lt;="&amp;DashEnd))</f>
        <v>0</v>
      </c>
      <c r="AC195" s="25">
        <f>IF(T195="","",SUMIFS(Analytics!$U$5:$U$154,Analytics!$D$5:$D$154,T195,Analytics!$B$5:$B$154,"&gt;="&amp;DashStart,Analytics!$B$5:$B$154,"&lt;="&amp;DashEnd))</f>
        <v>0</v>
      </c>
      <c r="AD195" s="23">
        <f>IF(T195="","",COUNTIFS('Content Calendar'!$G$5:$G$604,T195,'Content Calendar'!$B$5:$B$604,"&gt;="&amp;DATE(PlanYear,1,1),'Content Calendar'!$B$5:$B$604,"&lt;="&amp;DATE(PlanYear,12,31)))</f>
        <v>0</v>
      </c>
      <c r="AE195" s="23">
        <f>IF(T195="","",SUMIFS(Analytics!$J$5:$J$154,Analytics!$D$5:$D$154,T195))</f>
        <v>0</v>
      </c>
      <c r="AF195" s="23">
        <f>IF(T195="","",SUMIFS(Analytics!$L$5:$L$154,Analytics!$D$5:$D$154,T195))</f>
        <v>0</v>
      </c>
      <c r="AG195" s="24">
        <f>IF(OR(AE195="",AE195=0),"",AF195/AE195)</f>
        <v>0</v>
      </c>
      <c r="AH195" s="23">
        <f>IF(T195="","",SUMIFS(Analytics!$X$5:$X$154,Analytics!$D$5:$D$154,T195))</f>
        <v>0</v>
      </c>
      <c r="AI195" s="32">
        <f>IF(T195="","",IF(AE195=0,"",AE195+ROW()/1000000))</f>
        <v>0</v>
      </c>
      <c r="AJ195" s="17">
        <f>IF('Content Pillars'!$B$195="","",'Content Pillars'!$B$195)</f>
        <v>0</v>
      </c>
      <c r="AK195" s="23">
        <f>IF(AJ195="","",COUNTIFS('Content Calendar'!$J$5:$J$604,AJ195,'Content Calendar'!$B$5:$B$604,"&gt;="&amp;DATE(PlanYear,1,1),'Content Calendar'!$B$5:$B$604,"&lt;="&amp;DATE(PlanYear,12,31)))</f>
        <v>0</v>
      </c>
      <c r="AL195" s="23">
        <f>IF(AJ195="","",SUMIFS(Performance!$O$5:$O$404,Performance!$H$5:$H$404,AJ195))</f>
        <v>0</v>
      </c>
      <c r="AM195" s="23">
        <f>IF(AJ195="","",SUMIFS(Performance!$Z$5:$Z$404,Performance!$H$5:$H$404,AJ195))</f>
        <v>0</v>
      </c>
      <c r="AN195" s="24">
        <f>IF(OR(AL195="",AL195=0),"",AM195/AL195)</f>
        <v>0</v>
      </c>
      <c r="AO195" s="32">
        <f>IF(AN195="","",AN195+ROW()/1000000)</f>
        <v>0</v>
      </c>
      <c r="AP195" s="17">
        <f>IF(Lists!$E195="","",Lists!$E195)</f>
        <v>0</v>
      </c>
      <c r="AQ195" s="23">
        <f>IF(AP195="","",COUNTIF(Performance!$G$5:$G$404,AP195))</f>
        <v>0</v>
      </c>
      <c r="AR195" s="23">
        <f>IF(AP195="","",SUMIFS(Performance!$O$5:$O$404,Performance!$G$5:$G$404,AP195))</f>
        <v>0</v>
      </c>
      <c r="AS195" s="23">
        <f>IF(AP195="","",SUMIFS(Performance!$Z$5:$Z$404,Performance!$G$5:$G$404,AP195))</f>
        <v>0</v>
      </c>
      <c r="AT195" s="24">
        <f>IF(OR(AR195="",AR195=0),"",AS195/AR195)</f>
        <v>0</v>
      </c>
      <c r="AU195" s="32">
        <f>IF(AQ195=0,"",IF(AT195="","",AT195+ROW()/1000000))</f>
        <v>0</v>
      </c>
      <c r="AV195" s="17">
        <f>IF(ROW()-4&gt;7,"",TEXT(DATE(2024,1,ROW()-4),"ddd"))</f>
        <v>0</v>
      </c>
      <c r="AW195" s="23">
        <f>IF(AV195="","",COUNTIF(Performance!$N$5:$N$404,AV195))</f>
        <v>0</v>
      </c>
      <c r="AX195" s="23">
        <f>IF(AV195="","",SUMIFS(Performance!$O$5:$O$404,Performance!$N$5:$N$404,AV195))</f>
        <v>0</v>
      </c>
      <c r="AY195" s="23">
        <f>IF(AV195="","",SUMIFS(Performance!$Z$5:$Z$404,Performance!$N$5:$N$404,AV195))</f>
        <v>0</v>
      </c>
      <c r="AZ195" s="24">
        <f>IF(OR(AX195="",AX195=0),"",AY195/AX195)</f>
        <v>0</v>
      </c>
      <c r="BA195" s="32">
        <f>IF(AW195=0,"",IF(AZ195="","",AZ195+ROW()/1000000))</f>
        <v>0</v>
      </c>
      <c r="BB195" s="17">
        <f>IF(Lists!$AL195="","",Lists!$AL195)</f>
        <v>0</v>
      </c>
      <c r="BC195" s="23">
        <f>IF(BB195="","",COUNTIF(Performance!$M$5:$M$404,BB195))</f>
        <v>0</v>
      </c>
      <c r="BD195" s="23">
        <f>IF(BB195="","",SUMIFS(Performance!$O$5:$O$404,Performance!$M$5:$M$404,BB195))</f>
        <v>0</v>
      </c>
      <c r="BE195" s="23">
        <f>IF(BB195="","",SUMIFS(Performance!$Z$5:$Z$404,Performance!$M$5:$M$404,BB195))</f>
        <v>0</v>
      </c>
      <c r="BF195" s="24">
        <f>IF(OR(BD195="",BD195=0),"",BE195/BD195)</f>
        <v>0</v>
      </c>
      <c r="BG195" s="32">
        <f>IF(BC195=0,"",IF(BF195="","",BF195+ROW()/1000000))</f>
        <v>0</v>
      </c>
      <c r="BH195" s="17">
        <f>IF(Performance!$C$195="","",Performance!$C$195)</f>
        <v>0</v>
      </c>
      <c r="BI195" s="17">
        <f>IF(Performance!$F$195="","",Performance!$F$195)</f>
        <v>0</v>
      </c>
      <c r="BJ195" s="17">
        <f>IF(Performance!$H$195="","",Performance!$H$195)</f>
        <v>0</v>
      </c>
      <c r="BK195" s="16">
        <f>IF(Performance!$D$195="","",Performance!$D$195)</f>
        <v>0</v>
      </c>
      <c r="BL195" s="17">
        <f>IF(Performance!$E$195="","",Performance!$E$195)</f>
        <v>0</v>
      </c>
      <c r="BM195" s="23">
        <f>IF(Performance!$O$195="","",Performance!$O$195)</f>
        <v>0</v>
      </c>
      <c r="BN195" s="24">
        <f>IF(Performance!$AA$195="","",Performance!$AA$195)</f>
        <v>0</v>
      </c>
      <c r="BO195" s="32">
        <f>IF(BH195="","",IF(BK195="","",IF(OR(BK195&lt;DashStart,BK195&gt;DashEnd),"",IF(BN195="","",BN195+ROW()/1000000))))</f>
        <v>0</v>
      </c>
      <c r="BP195" s="32">
        <f>IF(BM195="","",IF(BK195="","",IF(OR(BK195&lt;DashStart,BK195&gt;DashEnd),"",BM195+ROW()/1000000)))</f>
        <v>0</v>
      </c>
      <c r="BQ195" s="32">
        <f>IF(BH195="","",IF(BK195="","",IF(YEAR(BK195)&lt;&gt;PlanYear,"",IF(BN195="","",BN195+ROW()/1000000))))</f>
        <v>0</v>
      </c>
      <c r="BR195" s="32">
        <f>IF(BH195="","",IF(BK195="","",IF(OR(BK195&lt;RepFrom,BK195&gt;RepTo),"",IF(BN195="","",BN195+ROW()/1000000))))</f>
        <v>0</v>
      </c>
      <c r="BS195" s="32">
        <f>IF(BM195="","",IF(BK195="","",IF(YEAR(BK195)&lt;&gt;PlanYear,"",BM195+ROW()/1000000)))</f>
        <v>0</v>
      </c>
      <c r="BT195" s="17">
        <f>IF(Lists!$F195="","",Lists!$F195)</f>
        <v>0</v>
      </c>
      <c r="BU195" s="23">
        <f>IF(BT195="","",COUNTIF('Content Calendar'!$X$5:$X$604,BT195))</f>
        <v>0</v>
      </c>
      <c r="BV195" s="23">
        <f>IF(BT195="","",COUNTIFS('Content Calendar'!$X$5:$X$604,BT195,'Content Calendar'!$B$5:$B$604,"&gt;="&amp;DashStart,'Content Calendar'!$B$5:$B$604,"&lt;="&amp;DashEnd))</f>
        <v>0</v>
      </c>
      <c r="BW195" s="17">
        <f>IF(Team!$B$195="","",Team!$B$195)</f>
        <v>0</v>
      </c>
      <c r="BX195" s="23">
        <f>IF(BW195="","",COUNTIF('Content Calendar'!$W$5:$W$604,BW195))</f>
        <v>0</v>
      </c>
      <c r="BY195" s="23">
        <f>IF(BW195="","",COUNTIFS('Content Calendar'!$W$5:$W$604,BW195,'Content Calendar'!$X$5:$X$604,"&lt;&gt;Published"))</f>
        <v>0</v>
      </c>
      <c r="BZ195" s="23">
        <f>IF(BW195="","",COUNTIFS(Tasks!$C$5:$C$64,BW195,Tasks!$G$5:$G$64,"&lt;&gt;Complete"))</f>
        <v>0</v>
      </c>
      <c r="CA195" s="17">
        <f>IF(Campaigns!$B$195="","",Campaigns!$B$195)</f>
        <v>0</v>
      </c>
      <c r="CB195" s="25">
        <f>IF(Campaigns!$T$195="","",Campaigns!$T$195)</f>
        <v>0</v>
      </c>
      <c r="CC195" s="25">
        <f>IF(Campaigns!$Q$195="","",Campaigns!$Q$195)</f>
        <v>0</v>
      </c>
      <c r="CD195" s="23">
        <f>IF(Campaigns!$Y$195="","",Campaigns!$Y$195)</f>
        <v>0</v>
      </c>
      <c r="CE195" s="32">
        <f>IF(CA195="","",IF(N(CB195)&lt;=0,"",N(CB195)+ROW()/1000000))</f>
        <v>0</v>
      </c>
      <c r="CF195" s="17">
        <f>IF(Accounts!$C$195="","",Accounts!$C$195)</f>
        <v>0</v>
      </c>
      <c r="CG195" s="17">
        <f>IF(Accounts!$B$195="","",Accounts!$B$195)</f>
        <v>0</v>
      </c>
      <c r="CH195" s="23">
        <f>IF(Accounts!$J$195="","",Accounts!$J$195)</f>
        <v>0</v>
      </c>
      <c r="CI195" s="23">
        <f>IF(CF195="","",SUMIFS(Analytics!$X$5:$X$154,Analytics!$E$5:$E$154,CF195,Analytics!$B$5:$B$154,"&gt;="&amp;DashStart,Analytics!$B$5:$B$154,"&lt;="&amp;DashEnd))</f>
        <v>0</v>
      </c>
      <c r="CJ195" s="32">
        <f>IF(CH195="","",IF(CH195=0,"",CH195+ROW()/1000000))</f>
        <v>0</v>
      </c>
    </row>
    <row r="196" spans="1:88">
      <c r="A196" s="16">
        <f>IF(ROW()-4&gt;12,"",DATE(PlanYear,ROW()-4,1))</f>
        <v>0</v>
      </c>
      <c r="B196" s="16">
        <f>IF(A196="","",EOMONTH(A196,0))</f>
        <v>0</v>
      </c>
      <c r="C196" s="17">
        <f>IF(A196="","",TEXT(A196,"yyyy-mm"))</f>
        <v>0</v>
      </c>
      <c r="D196" s="17">
        <f>IF(A196="","",TEXT(A196,"mmm"))</f>
        <v>0</v>
      </c>
      <c r="E196" s="23">
        <f>IF(C196="","",COUNTIFS('Content Calendar'!$D$5:$D$604,C196))</f>
        <v>0</v>
      </c>
      <c r="F196" s="23">
        <f>IF(C196="","",COUNTIFS('Content Calendar'!$D$5:$D$604,C196,'Content Calendar'!$X$5:$X$604,"Published"))</f>
        <v>0</v>
      </c>
      <c r="G196" s="23">
        <f>IF(C196="","",SUMIFS(Analytics!$J$5:$J$154,Analytics!$C$5:$C$154,C196))</f>
        <v>0</v>
      </c>
      <c r="H196" s="23">
        <f>IF(C196="","",SUMIFS(Analytics!$K$5:$K$154,Analytics!$C$5:$C$154,C196))</f>
        <v>0</v>
      </c>
      <c r="I196" s="23">
        <f>IF(C196="","",SUMIFS(Analytics!$L$5:$L$154,Analytics!$C$5:$C$154,C196))</f>
        <v>0</v>
      </c>
      <c r="J196" s="24">
        <f>IF(OR(G196="",G196=0),"",I196/G196)</f>
        <v>0</v>
      </c>
      <c r="K196" s="23">
        <f>IF(C196="","",SUMIFS(Analytics!$G$5:$G$154,Analytics!$C$5:$C$154,C196))</f>
        <v>0</v>
      </c>
      <c r="L196" s="23">
        <f>IF(C196="","",SUMIFS(Analytics!$X$5:$X$154,Analytics!$C$5:$C$154,C196))</f>
        <v>0</v>
      </c>
      <c r="M196" s="23">
        <f>IF(C196="","",SUMIFS(Analytics!$R$5:$R$154,Analytics!$C$5:$C$154,C196))</f>
        <v>0</v>
      </c>
      <c r="N196" s="23">
        <f>IF(C196="","",SUMIFS(Analytics!$S$5:$S$154,Analytics!$C$5:$C$154,C196))</f>
        <v>0</v>
      </c>
      <c r="O196" s="23">
        <f>IF(C196="","",SUMIFS(Analytics!$T$5:$T$154,Analytics!$C$5:$C$154,C196))</f>
        <v>0</v>
      </c>
      <c r="P196" s="25">
        <f>IF(C196="","",SUMIFS(Analytics!$U$5:$U$154,Analytics!$C$5:$C$154,C196))</f>
        <v>0</v>
      </c>
      <c r="Q196" s="25">
        <f>IF(C196="","",SUMIFS(Budget!$H$5:$H$64,Budget!$C$5:$C$64,C196))</f>
        <v>0</v>
      </c>
      <c r="R196" s="25">
        <f>IF(C196="","",P196-Q196)</f>
        <v>0</v>
      </c>
      <c r="S196" s="23">
        <f>IF(C196="","",MonthlyPostTarget)</f>
        <v>0</v>
      </c>
      <c r="T196" s="17">
        <f>IF(Lists!$C196="","",Lists!$C196)</f>
        <v>0</v>
      </c>
      <c r="U196" s="23">
        <f>IF(T196="","",COUNTIFS('Content Calendar'!$G$5:$G$604,T196,'Content Calendar'!$B$5:$B$604,"&gt;="&amp;DashStart,'Content Calendar'!$B$5:$B$604,"&lt;="&amp;DashEnd))</f>
        <v>0</v>
      </c>
      <c r="V196" s="23">
        <f>IF(T196="","",COUNTIFS('Content Calendar'!$G$5:$G$604,T196,'Content Calendar'!$X$5:$X$604,"Published",'Content Calendar'!$B$5:$B$604,"&gt;="&amp;DashStart,'Content Calendar'!$B$5:$B$604,"&lt;="&amp;DashEnd))</f>
        <v>0</v>
      </c>
      <c r="W196" s="23">
        <f>IF(T196="","",SUMIFS(Analytics!$J$5:$J$154,Analytics!$D$5:$D$154,T196,Analytics!$B$5:$B$154,"&gt;="&amp;DashStart,Analytics!$B$5:$B$154,"&lt;="&amp;DashEnd))</f>
        <v>0</v>
      </c>
      <c r="X196" s="23">
        <f>IF(T196="","",SUMIFS(Analytics!$L$5:$L$154,Analytics!$D$5:$D$154,T196,Analytics!$B$5:$B$154,"&gt;="&amp;DashStart,Analytics!$B$5:$B$154,"&lt;="&amp;DashEnd))</f>
        <v>0</v>
      </c>
      <c r="Y196" s="24">
        <f>IF(OR(W196="",W196=0),"",X196/W196)</f>
        <v>0</v>
      </c>
      <c r="Z196" s="23">
        <f>IF(T196="","",SUMIFS(Analytics!$G$5:$G$154,Analytics!$D$5:$D$154,T196,Analytics!$B$5:$B$154,"&gt;="&amp;DashStart,Analytics!$B$5:$B$154,"&lt;="&amp;DashEnd))</f>
        <v>0</v>
      </c>
      <c r="AA196" s="23">
        <f>IF(T196="","",SUMIFS(Analytics!$X$5:$X$154,Analytics!$D$5:$D$154,T196,Analytics!$B$5:$B$154,"&gt;="&amp;DashStart,Analytics!$B$5:$B$154,"&lt;="&amp;DashEnd))</f>
        <v>0</v>
      </c>
      <c r="AB196" s="23">
        <f>IF(T196="","",SUMIFS(Analytics!$R$5:$R$154,Analytics!$D$5:$D$154,T196,Analytics!$B$5:$B$154,"&gt;="&amp;DashStart,Analytics!$B$5:$B$154,"&lt;="&amp;DashEnd))</f>
        <v>0</v>
      </c>
      <c r="AC196" s="25">
        <f>IF(T196="","",SUMIFS(Analytics!$U$5:$U$154,Analytics!$D$5:$D$154,T196,Analytics!$B$5:$B$154,"&gt;="&amp;DashStart,Analytics!$B$5:$B$154,"&lt;="&amp;DashEnd))</f>
        <v>0</v>
      </c>
      <c r="AD196" s="23">
        <f>IF(T196="","",COUNTIFS('Content Calendar'!$G$5:$G$604,T196,'Content Calendar'!$B$5:$B$604,"&gt;="&amp;DATE(PlanYear,1,1),'Content Calendar'!$B$5:$B$604,"&lt;="&amp;DATE(PlanYear,12,31)))</f>
        <v>0</v>
      </c>
      <c r="AE196" s="23">
        <f>IF(T196="","",SUMIFS(Analytics!$J$5:$J$154,Analytics!$D$5:$D$154,T196))</f>
        <v>0</v>
      </c>
      <c r="AF196" s="23">
        <f>IF(T196="","",SUMIFS(Analytics!$L$5:$L$154,Analytics!$D$5:$D$154,T196))</f>
        <v>0</v>
      </c>
      <c r="AG196" s="24">
        <f>IF(OR(AE196="",AE196=0),"",AF196/AE196)</f>
        <v>0</v>
      </c>
      <c r="AH196" s="23">
        <f>IF(T196="","",SUMIFS(Analytics!$X$5:$X$154,Analytics!$D$5:$D$154,T196))</f>
        <v>0</v>
      </c>
      <c r="AI196" s="32">
        <f>IF(T196="","",IF(AE196=0,"",AE196+ROW()/1000000))</f>
        <v>0</v>
      </c>
      <c r="AJ196" s="17">
        <f>IF('Content Pillars'!$B$196="","",'Content Pillars'!$B$196)</f>
        <v>0</v>
      </c>
      <c r="AK196" s="23">
        <f>IF(AJ196="","",COUNTIFS('Content Calendar'!$J$5:$J$604,AJ196,'Content Calendar'!$B$5:$B$604,"&gt;="&amp;DATE(PlanYear,1,1),'Content Calendar'!$B$5:$B$604,"&lt;="&amp;DATE(PlanYear,12,31)))</f>
        <v>0</v>
      </c>
      <c r="AL196" s="23">
        <f>IF(AJ196="","",SUMIFS(Performance!$O$5:$O$404,Performance!$H$5:$H$404,AJ196))</f>
        <v>0</v>
      </c>
      <c r="AM196" s="23">
        <f>IF(AJ196="","",SUMIFS(Performance!$Z$5:$Z$404,Performance!$H$5:$H$404,AJ196))</f>
        <v>0</v>
      </c>
      <c r="AN196" s="24">
        <f>IF(OR(AL196="",AL196=0),"",AM196/AL196)</f>
        <v>0</v>
      </c>
      <c r="AO196" s="32">
        <f>IF(AN196="","",AN196+ROW()/1000000)</f>
        <v>0</v>
      </c>
      <c r="AP196" s="17">
        <f>IF(Lists!$E196="","",Lists!$E196)</f>
        <v>0</v>
      </c>
      <c r="AQ196" s="23">
        <f>IF(AP196="","",COUNTIF(Performance!$G$5:$G$404,AP196))</f>
        <v>0</v>
      </c>
      <c r="AR196" s="23">
        <f>IF(AP196="","",SUMIFS(Performance!$O$5:$O$404,Performance!$G$5:$G$404,AP196))</f>
        <v>0</v>
      </c>
      <c r="AS196" s="23">
        <f>IF(AP196="","",SUMIFS(Performance!$Z$5:$Z$404,Performance!$G$5:$G$404,AP196))</f>
        <v>0</v>
      </c>
      <c r="AT196" s="24">
        <f>IF(OR(AR196="",AR196=0),"",AS196/AR196)</f>
        <v>0</v>
      </c>
      <c r="AU196" s="32">
        <f>IF(AQ196=0,"",IF(AT196="","",AT196+ROW()/1000000))</f>
        <v>0</v>
      </c>
      <c r="AV196" s="17">
        <f>IF(ROW()-4&gt;7,"",TEXT(DATE(2024,1,ROW()-4),"ddd"))</f>
        <v>0</v>
      </c>
      <c r="AW196" s="23">
        <f>IF(AV196="","",COUNTIF(Performance!$N$5:$N$404,AV196))</f>
        <v>0</v>
      </c>
      <c r="AX196" s="23">
        <f>IF(AV196="","",SUMIFS(Performance!$O$5:$O$404,Performance!$N$5:$N$404,AV196))</f>
        <v>0</v>
      </c>
      <c r="AY196" s="23">
        <f>IF(AV196="","",SUMIFS(Performance!$Z$5:$Z$404,Performance!$N$5:$N$404,AV196))</f>
        <v>0</v>
      </c>
      <c r="AZ196" s="24">
        <f>IF(OR(AX196="",AX196=0),"",AY196/AX196)</f>
        <v>0</v>
      </c>
      <c r="BA196" s="32">
        <f>IF(AW196=0,"",IF(AZ196="","",AZ196+ROW()/1000000))</f>
        <v>0</v>
      </c>
      <c r="BB196" s="17">
        <f>IF(Lists!$AL196="","",Lists!$AL196)</f>
        <v>0</v>
      </c>
      <c r="BC196" s="23">
        <f>IF(BB196="","",COUNTIF(Performance!$M$5:$M$404,BB196))</f>
        <v>0</v>
      </c>
      <c r="BD196" s="23">
        <f>IF(BB196="","",SUMIFS(Performance!$O$5:$O$404,Performance!$M$5:$M$404,BB196))</f>
        <v>0</v>
      </c>
      <c r="BE196" s="23">
        <f>IF(BB196="","",SUMIFS(Performance!$Z$5:$Z$404,Performance!$M$5:$M$404,BB196))</f>
        <v>0</v>
      </c>
      <c r="BF196" s="24">
        <f>IF(OR(BD196="",BD196=0),"",BE196/BD196)</f>
        <v>0</v>
      </c>
      <c r="BG196" s="32">
        <f>IF(BC196=0,"",IF(BF196="","",BF196+ROW()/1000000))</f>
        <v>0</v>
      </c>
      <c r="BH196" s="17">
        <f>IF(Performance!$C$196="","",Performance!$C$196)</f>
        <v>0</v>
      </c>
      <c r="BI196" s="17">
        <f>IF(Performance!$F$196="","",Performance!$F$196)</f>
        <v>0</v>
      </c>
      <c r="BJ196" s="17">
        <f>IF(Performance!$H$196="","",Performance!$H$196)</f>
        <v>0</v>
      </c>
      <c r="BK196" s="16">
        <f>IF(Performance!$D$196="","",Performance!$D$196)</f>
        <v>0</v>
      </c>
      <c r="BL196" s="17">
        <f>IF(Performance!$E$196="","",Performance!$E$196)</f>
        <v>0</v>
      </c>
      <c r="BM196" s="23">
        <f>IF(Performance!$O$196="","",Performance!$O$196)</f>
        <v>0</v>
      </c>
      <c r="BN196" s="24">
        <f>IF(Performance!$AA$196="","",Performance!$AA$196)</f>
        <v>0</v>
      </c>
      <c r="BO196" s="32">
        <f>IF(BH196="","",IF(BK196="","",IF(OR(BK196&lt;DashStart,BK196&gt;DashEnd),"",IF(BN196="","",BN196+ROW()/1000000))))</f>
        <v>0</v>
      </c>
      <c r="BP196" s="32">
        <f>IF(BM196="","",IF(BK196="","",IF(OR(BK196&lt;DashStart,BK196&gt;DashEnd),"",BM196+ROW()/1000000)))</f>
        <v>0</v>
      </c>
      <c r="BQ196" s="32">
        <f>IF(BH196="","",IF(BK196="","",IF(YEAR(BK196)&lt;&gt;PlanYear,"",IF(BN196="","",BN196+ROW()/1000000))))</f>
        <v>0</v>
      </c>
      <c r="BR196" s="32">
        <f>IF(BH196="","",IF(BK196="","",IF(OR(BK196&lt;RepFrom,BK196&gt;RepTo),"",IF(BN196="","",BN196+ROW()/1000000))))</f>
        <v>0</v>
      </c>
      <c r="BS196" s="32">
        <f>IF(BM196="","",IF(BK196="","",IF(YEAR(BK196)&lt;&gt;PlanYear,"",BM196+ROW()/1000000)))</f>
        <v>0</v>
      </c>
      <c r="BT196" s="17">
        <f>IF(Lists!$F196="","",Lists!$F196)</f>
        <v>0</v>
      </c>
      <c r="BU196" s="23">
        <f>IF(BT196="","",COUNTIF('Content Calendar'!$X$5:$X$604,BT196))</f>
        <v>0</v>
      </c>
      <c r="BV196" s="23">
        <f>IF(BT196="","",COUNTIFS('Content Calendar'!$X$5:$X$604,BT196,'Content Calendar'!$B$5:$B$604,"&gt;="&amp;DashStart,'Content Calendar'!$B$5:$B$604,"&lt;="&amp;DashEnd))</f>
        <v>0</v>
      </c>
      <c r="BW196" s="17">
        <f>IF(Team!$B$196="","",Team!$B$196)</f>
        <v>0</v>
      </c>
      <c r="BX196" s="23">
        <f>IF(BW196="","",COUNTIF('Content Calendar'!$W$5:$W$604,BW196))</f>
        <v>0</v>
      </c>
      <c r="BY196" s="23">
        <f>IF(BW196="","",COUNTIFS('Content Calendar'!$W$5:$W$604,BW196,'Content Calendar'!$X$5:$X$604,"&lt;&gt;Published"))</f>
        <v>0</v>
      </c>
      <c r="BZ196" s="23">
        <f>IF(BW196="","",COUNTIFS(Tasks!$C$5:$C$64,BW196,Tasks!$G$5:$G$64,"&lt;&gt;Complete"))</f>
        <v>0</v>
      </c>
      <c r="CA196" s="17">
        <f>IF(Campaigns!$B$196="","",Campaigns!$B$196)</f>
        <v>0</v>
      </c>
      <c r="CB196" s="25">
        <f>IF(Campaigns!$T$196="","",Campaigns!$T$196)</f>
        <v>0</v>
      </c>
      <c r="CC196" s="25">
        <f>IF(Campaigns!$Q$196="","",Campaigns!$Q$196)</f>
        <v>0</v>
      </c>
      <c r="CD196" s="23">
        <f>IF(Campaigns!$Y$196="","",Campaigns!$Y$196)</f>
        <v>0</v>
      </c>
      <c r="CE196" s="32">
        <f>IF(CA196="","",IF(N(CB196)&lt;=0,"",N(CB196)+ROW()/1000000))</f>
        <v>0</v>
      </c>
      <c r="CF196" s="17">
        <f>IF(Accounts!$C$196="","",Accounts!$C$196)</f>
        <v>0</v>
      </c>
      <c r="CG196" s="17">
        <f>IF(Accounts!$B$196="","",Accounts!$B$196)</f>
        <v>0</v>
      </c>
      <c r="CH196" s="23">
        <f>IF(Accounts!$J$196="","",Accounts!$J$196)</f>
        <v>0</v>
      </c>
      <c r="CI196" s="23">
        <f>IF(CF196="","",SUMIFS(Analytics!$X$5:$X$154,Analytics!$E$5:$E$154,CF196,Analytics!$B$5:$B$154,"&gt;="&amp;DashStart,Analytics!$B$5:$B$154,"&lt;="&amp;DashEnd))</f>
        <v>0</v>
      </c>
      <c r="CJ196" s="32">
        <f>IF(CH196="","",IF(CH196=0,"",CH196+ROW()/1000000))</f>
        <v>0</v>
      </c>
    </row>
    <row r="197" spans="1:88">
      <c r="A197" s="16">
        <f>IF(ROW()-4&gt;12,"",DATE(PlanYear,ROW()-4,1))</f>
        <v>0</v>
      </c>
      <c r="B197" s="16">
        <f>IF(A197="","",EOMONTH(A197,0))</f>
        <v>0</v>
      </c>
      <c r="C197" s="17">
        <f>IF(A197="","",TEXT(A197,"yyyy-mm"))</f>
        <v>0</v>
      </c>
      <c r="D197" s="17">
        <f>IF(A197="","",TEXT(A197,"mmm"))</f>
        <v>0</v>
      </c>
      <c r="E197" s="23">
        <f>IF(C197="","",COUNTIFS('Content Calendar'!$D$5:$D$604,C197))</f>
        <v>0</v>
      </c>
      <c r="F197" s="23">
        <f>IF(C197="","",COUNTIFS('Content Calendar'!$D$5:$D$604,C197,'Content Calendar'!$X$5:$X$604,"Published"))</f>
        <v>0</v>
      </c>
      <c r="G197" s="23">
        <f>IF(C197="","",SUMIFS(Analytics!$J$5:$J$154,Analytics!$C$5:$C$154,C197))</f>
        <v>0</v>
      </c>
      <c r="H197" s="23">
        <f>IF(C197="","",SUMIFS(Analytics!$K$5:$K$154,Analytics!$C$5:$C$154,C197))</f>
        <v>0</v>
      </c>
      <c r="I197" s="23">
        <f>IF(C197="","",SUMIFS(Analytics!$L$5:$L$154,Analytics!$C$5:$C$154,C197))</f>
        <v>0</v>
      </c>
      <c r="J197" s="24">
        <f>IF(OR(G197="",G197=0),"",I197/G197)</f>
        <v>0</v>
      </c>
      <c r="K197" s="23">
        <f>IF(C197="","",SUMIFS(Analytics!$G$5:$G$154,Analytics!$C$5:$C$154,C197))</f>
        <v>0</v>
      </c>
      <c r="L197" s="23">
        <f>IF(C197="","",SUMIFS(Analytics!$X$5:$X$154,Analytics!$C$5:$C$154,C197))</f>
        <v>0</v>
      </c>
      <c r="M197" s="23">
        <f>IF(C197="","",SUMIFS(Analytics!$R$5:$R$154,Analytics!$C$5:$C$154,C197))</f>
        <v>0</v>
      </c>
      <c r="N197" s="23">
        <f>IF(C197="","",SUMIFS(Analytics!$S$5:$S$154,Analytics!$C$5:$C$154,C197))</f>
        <v>0</v>
      </c>
      <c r="O197" s="23">
        <f>IF(C197="","",SUMIFS(Analytics!$T$5:$T$154,Analytics!$C$5:$C$154,C197))</f>
        <v>0</v>
      </c>
      <c r="P197" s="25">
        <f>IF(C197="","",SUMIFS(Analytics!$U$5:$U$154,Analytics!$C$5:$C$154,C197))</f>
        <v>0</v>
      </c>
      <c r="Q197" s="25">
        <f>IF(C197="","",SUMIFS(Budget!$H$5:$H$64,Budget!$C$5:$C$64,C197))</f>
        <v>0</v>
      </c>
      <c r="R197" s="25">
        <f>IF(C197="","",P197-Q197)</f>
        <v>0</v>
      </c>
      <c r="S197" s="23">
        <f>IF(C197="","",MonthlyPostTarget)</f>
        <v>0</v>
      </c>
      <c r="T197" s="17">
        <f>IF(Lists!$C197="","",Lists!$C197)</f>
        <v>0</v>
      </c>
      <c r="U197" s="23">
        <f>IF(T197="","",COUNTIFS('Content Calendar'!$G$5:$G$604,T197,'Content Calendar'!$B$5:$B$604,"&gt;="&amp;DashStart,'Content Calendar'!$B$5:$B$604,"&lt;="&amp;DashEnd))</f>
        <v>0</v>
      </c>
      <c r="V197" s="23">
        <f>IF(T197="","",COUNTIFS('Content Calendar'!$G$5:$G$604,T197,'Content Calendar'!$X$5:$X$604,"Published",'Content Calendar'!$B$5:$B$604,"&gt;="&amp;DashStart,'Content Calendar'!$B$5:$B$604,"&lt;="&amp;DashEnd))</f>
        <v>0</v>
      </c>
      <c r="W197" s="23">
        <f>IF(T197="","",SUMIFS(Analytics!$J$5:$J$154,Analytics!$D$5:$D$154,T197,Analytics!$B$5:$B$154,"&gt;="&amp;DashStart,Analytics!$B$5:$B$154,"&lt;="&amp;DashEnd))</f>
        <v>0</v>
      </c>
      <c r="X197" s="23">
        <f>IF(T197="","",SUMIFS(Analytics!$L$5:$L$154,Analytics!$D$5:$D$154,T197,Analytics!$B$5:$B$154,"&gt;="&amp;DashStart,Analytics!$B$5:$B$154,"&lt;="&amp;DashEnd))</f>
        <v>0</v>
      </c>
      <c r="Y197" s="24">
        <f>IF(OR(W197="",W197=0),"",X197/W197)</f>
        <v>0</v>
      </c>
      <c r="Z197" s="23">
        <f>IF(T197="","",SUMIFS(Analytics!$G$5:$G$154,Analytics!$D$5:$D$154,T197,Analytics!$B$5:$B$154,"&gt;="&amp;DashStart,Analytics!$B$5:$B$154,"&lt;="&amp;DashEnd))</f>
        <v>0</v>
      </c>
      <c r="AA197" s="23">
        <f>IF(T197="","",SUMIFS(Analytics!$X$5:$X$154,Analytics!$D$5:$D$154,T197,Analytics!$B$5:$B$154,"&gt;="&amp;DashStart,Analytics!$B$5:$B$154,"&lt;="&amp;DashEnd))</f>
        <v>0</v>
      </c>
      <c r="AB197" s="23">
        <f>IF(T197="","",SUMIFS(Analytics!$R$5:$R$154,Analytics!$D$5:$D$154,T197,Analytics!$B$5:$B$154,"&gt;="&amp;DashStart,Analytics!$B$5:$B$154,"&lt;="&amp;DashEnd))</f>
        <v>0</v>
      </c>
      <c r="AC197" s="25">
        <f>IF(T197="","",SUMIFS(Analytics!$U$5:$U$154,Analytics!$D$5:$D$154,T197,Analytics!$B$5:$B$154,"&gt;="&amp;DashStart,Analytics!$B$5:$B$154,"&lt;="&amp;DashEnd))</f>
        <v>0</v>
      </c>
      <c r="AD197" s="23">
        <f>IF(T197="","",COUNTIFS('Content Calendar'!$G$5:$G$604,T197,'Content Calendar'!$B$5:$B$604,"&gt;="&amp;DATE(PlanYear,1,1),'Content Calendar'!$B$5:$B$604,"&lt;="&amp;DATE(PlanYear,12,31)))</f>
        <v>0</v>
      </c>
      <c r="AE197" s="23">
        <f>IF(T197="","",SUMIFS(Analytics!$J$5:$J$154,Analytics!$D$5:$D$154,T197))</f>
        <v>0</v>
      </c>
      <c r="AF197" s="23">
        <f>IF(T197="","",SUMIFS(Analytics!$L$5:$L$154,Analytics!$D$5:$D$154,T197))</f>
        <v>0</v>
      </c>
      <c r="AG197" s="24">
        <f>IF(OR(AE197="",AE197=0),"",AF197/AE197)</f>
        <v>0</v>
      </c>
      <c r="AH197" s="23">
        <f>IF(T197="","",SUMIFS(Analytics!$X$5:$X$154,Analytics!$D$5:$D$154,T197))</f>
        <v>0</v>
      </c>
      <c r="AI197" s="32">
        <f>IF(T197="","",IF(AE197=0,"",AE197+ROW()/1000000))</f>
        <v>0</v>
      </c>
      <c r="AJ197" s="17">
        <f>IF('Content Pillars'!$B$197="","",'Content Pillars'!$B$197)</f>
        <v>0</v>
      </c>
      <c r="AK197" s="23">
        <f>IF(AJ197="","",COUNTIFS('Content Calendar'!$J$5:$J$604,AJ197,'Content Calendar'!$B$5:$B$604,"&gt;="&amp;DATE(PlanYear,1,1),'Content Calendar'!$B$5:$B$604,"&lt;="&amp;DATE(PlanYear,12,31)))</f>
        <v>0</v>
      </c>
      <c r="AL197" s="23">
        <f>IF(AJ197="","",SUMIFS(Performance!$O$5:$O$404,Performance!$H$5:$H$404,AJ197))</f>
        <v>0</v>
      </c>
      <c r="AM197" s="23">
        <f>IF(AJ197="","",SUMIFS(Performance!$Z$5:$Z$404,Performance!$H$5:$H$404,AJ197))</f>
        <v>0</v>
      </c>
      <c r="AN197" s="24">
        <f>IF(OR(AL197="",AL197=0),"",AM197/AL197)</f>
        <v>0</v>
      </c>
      <c r="AO197" s="32">
        <f>IF(AN197="","",AN197+ROW()/1000000)</f>
        <v>0</v>
      </c>
      <c r="AP197" s="17">
        <f>IF(Lists!$E197="","",Lists!$E197)</f>
        <v>0</v>
      </c>
      <c r="AQ197" s="23">
        <f>IF(AP197="","",COUNTIF(Performance!$G$5:$G$404,AP197))</f>
        <v>0</v>
      </c>
      <c r="AR197" s="23">
        <f>IF(AP197="","",SUMIFS(Performance!$O$5:$O$404,Performance!$G$5:$G$404,AP197))</f>
        <v>0</v>
      </c>
      <c r="AS197" s="23">
        <f>IF(AP197="","",SUMIFS(Performance!$Z$5:$Z$404,Performance!$G$5:$G$404,AP197))</f>
        <v>0</v>
      </c>
      <c r="AT197" s="24">
        <f>IF(OR(AR197="",AR197=0),"",AS197/AR197)</f>
        <v>0</v>
      </c>
      <c r="AU197" s="32">
        <f>IF(AQ197=0,"",IF(AT197="","",AT197+ROW()/1000000))</f>
        <v>0</v>
      </c>
      <c r="AV197" s="17">
        <f>IF(ROW()-4&gt;7,"",TEXT(DATE(2024,1,ROW()-4),"ddd"))</f>
        <v>0</v>
      </c>
      <c r="AW197" s="23">
        <f>IF(AV197="","",COUNTIF(Performance!$N$5:$N$404,AV197))</f>
        <v>0</v>
      </c>
      <c r="AX197" s="23">
        <f>IF(AV197="","",SUMIFS(Performance!$O$5:$O$404,Performance!$N$5:$N$404,AV197))</f>
        <v>0</v>
      </c>
      <c r="AY197" s="23">
        <f>IF(AV197="","",SUMIFS(Performance!$Z$5:$Z$404,Performance!$N$5:$N$404,AV197))</f>
        <v>0</v>
      </c>
      <c r="AZ197" s="24">
        <f>IF(OR(AX197="",AX197=0),"",AY197/AX197)</f>
        <v>0</v>
      </c>
      <c r="BA197" s="32">
        <f>IF(AW197=0,"",IF(AZ197="","",AZ197+ROW()/1000000))</f>
        <v>0</v>
      </c>
      <c r="BB197" s="17">
        <f>IF(Lists!$AL197="","",Lists!$AL197)</f>
        <v>0</v>
      </c>
      <c r="BC197" s="23">
        <f>IF(BB197="","",COUNTIF(Performance!$M$5:$M$404,BB197))</f>
        <v>0</v>
      </c>
      <c r="BD197" s="23">
        <f>IF(BB197="","",SUMIFS(Performance!$O$5:$O$404,Performance!$M$5:$M$404,BB197))</f>
        <v>0</v>
      </c>
      <c r="BE197" s="23">
        <f>IF(BB197="","",SUMIFS(Performance!$Z$5:$Z$404,Performance!$M$5:$M$404,BB197))</f>
        <v>0</v>
      </c>
      <c r="BF197" s="24">
        <f>IF(OR(BD197="",BD197=0),"",BE197/BD197)</f>
        <v>0</v>
      </c>
      <c r="BG197" s="32">
        <f>IF(BC197=0,"",IF(BF197="","",BF197+ROW()/1000000))</f>
        <v>0</v>
      </c>
      <c r="BH197" s="17">
        <f>IF(Performance!$C$197="","",Performance!$C$197)</f>
        <v>0</v>
      </c>
      <c r="BI197" s="17">
        <f>IF(Performance!$F$197="","",Performance!$F$197)</f>
        <v>0</v>
      </c>
      <c r="BJ197" s="17">
        <f>IF(Performance!$H$197="","",Performance!$H$197)</f>
        <v>0</v>
      </c>
      <c r="BK197" s="16">
        <f>IF(Performance!$D$197="","",Performance!$D$197)</f>
        <v>0</v>
      </c>
      <c r="BL197" s="17">
        <f>IF(Performance!$E$197="","",Performance!$E$197)</f>
        <v>0</v>
      </c>
      <c r="BM197" s="23">
        <f>IF(Performance!$O$197="","",Performance!$O$197)</f>
        <v>0</v>
      </c>
      <c r="BN197" s="24">
        <f>IF(Performance!$AA$197="","",Performance!$AA$197)</f>
        <v>0</v>
      </c>
      <c r="BO197" s="32">
        <f>IF(BH197="","",IF(BK197="","",IF(OR(BK197&lt;DashStart,BK197&gt;DashEnd),"",IF(BN197="","",BN197+ROW()/1000000))))</f>
        <v>0</v>
      </c>
      <c r="BP197" s="32">
        <f>IF(BM197="","",IF(BK197="","",IF(OR(BK197&lt;DashStart,BK197&gt;DashEnd),"",BM197+ROW()/1000000)))</f>
        <v>0</v>
      </c>
      <c r="BQ197" s="32">
        <f>IF(BH197="","",IF(BK197="","",IF(YEAR(BK197)&lt;&gt;PlanYear,"",IF(BN197="","",BN197+ROW()/1000000))))</f>
        <v>0</v>
      </c>
      <c r="BR197" s="32">
        <f>IF(BH197="","",IF(BK197="","",IF(OR(BK197&lt;RepFrom,BK197&gt;RepTo),"",IF(BN197="","",BN197+ROW()/1000000))))</f>
        <v>0</v>
      </c>
      <c r="BS197" s="32">
        <f>IF(BM197="","",IF(BK197="","",IF(YEAR(BK197)&lt;&gt;PlanYear,"",BM197+ROW()/1000000)))</f>
        <v>0</v>
      </c>
      <c r="BT197" s="17">
        <f>IF(Lists!$F197="","",Lists!$F197)</f>
        <v>0</v>
      </c>
      <c r="BU197" s="23">
        <f>IF(BT197="","",COUNTIF('Content Calendar'!$X$5:$X$604,BT197))</f>
        <v>0</v>
      </c>
      <c r="BV197" s="23">
        <f>IF(BT197="","",COUNTIFS('Content Calendar'!$X$5:$X$604,BT197,'Content Calendar'!$B$5:$B$604,"&gt;="&amp;DashStart,'Content Calendar'!$B$5:$B$604,"&lt;="&amp;DashEnd))</f>
        <v>0</v>
      </c>
      <c r="BW197" s="17">
        <f>IF(Team!$B$197="","",Team!$B$197)</f>
        <v>0</v>
      </c>
      <c r="BX197" s="23">
        <f>IF(BW197="","",COUNTIF('Content Calendar'!$W$5:$W$604,BW197))</f>
        <v>0</v>
      </c>
      <c r="BY197" s="23">
        <f>IF(BW197="","",COUNTIFS('Content Calendar'!$W$5:$W$604,BW197,'Content Calendar'!$X$5:$X$604,"&lt;&gt;Published"))</f>
        <v>0</v>
      </c>
      <c r="BZ197" s="23">
        <f>IF(BW197="","",COUNTIFS(Tasks!$C$5:$C$64,BW197,Tasks!$G$5:$G$64,"&lt;&gt;Complete"))</f>
        <v>0</v>
      </c>
      <c r="CA197" s="17">
        <f>IF(Campaigns!$B$197="","",Campaigns!$B$197)</f>
        <v>0</v>
      </c>
      <c r="CB197" s="25">
        <f>IF(Campaigns!$T$197="","",Campaigns!$T$197)</f>
        <v>0</v>
      </c>
      <c r="CC197" s="25">
        <f>IF(Campaigns!$Q$197="","",Campaigns!$Q$197)</f>
        <v>0</v>
      </c>
      <c r="CD197" s="23">
        <f>IF(Campaigns!$Y$197="","",Campaigns!$Y$197)</f>
        <v>0</v>
      </c>
      <c r="CE197" s="32">
        <f>IF(CA197="","",IF(N(CB197)&lt;=0,"",N(CB197)+ROW()/1000000))</f>
        <v>0</v>
      </c>
      <c r="CF197" s="17">
        <f>IF(Accounts!$C$197="","",Accounts!$C$197)</f>
        <v>0</v>
      </c>
      <c r="CG197" s="17">
        <f>IF(Accounts!$B$197="","",Accounts!$B$197)</f>
        <v>0</v>
      </c>
      <c r="CH197" s="23">
        <f>IF(Accounts!$J$197="","",Accounts!$J$197)</f>
        <v>0</v>
      </c>
      <c r="CI197" s="23">
        <f>IF(CF197="","",SUMIFS(Analytics!$X$5:$X$154,Analytics!$E$5:$E$154,CF197,Analytics!$B$5:$B$154,"&gt;="&amp;DashStart,Analytics!$B$5:$B$154,"&lt;="&amp;DashEnd))</f>
        <v>0</v>
      </c>
      <c r="CJ197" s="32">
        <f>IF(CH197="","",IF(CH197=0,"",CH197+ROW()/1000000))</f>
        <v>0</v>
      </c>
    </row>
    <row r="198" spans="1:88">
      <c r="A198" s="16">
        <f>IF(ROW()-4&gt;12,"",DATE(PlanYear,ROW()-4,1))</f>
        <v>0</v>
      </c>
      <c r="B198" s="16">
        <f>IF(A198="","",EOMONTH(A198,0))</f>
        <v>0</v>
      </c>
      <c r="C198" s="17">
        <f>IF(A198="","",TEXT(A198,"yyyy-mm"))</f>
        <v>0</v>
      </c>
      <c r="D198" s="17">
        <f>IF(A198="","",TEXT(A198,"mmm"))</f>
        <v>0</v>
      </c>
      <c r="E198" s="23">
        <f>IF(C198="","",COUNTIFS('Content Calendar'!$D$5:$D$604,C198))</f>
        <v>0</v>
      </c>
      <c r="F198" s="23">
        <f>IF(C198="","",COUNTIFS('Content Calendar'!$D$5:$D$604,C198,'Content Calendar'!$X$5:$X$604,"Published"))</f>
        <v>0</v>
      </c>
      <c r="G198" s="23">
        <f>IF(C198="","",SUMIFS(Analytics!$J$5:$J$154,Analytics!$C$5:$C$154,C198))</f>
        <v>0</v>
      </c>
      <c r="H198" s="23">
        <f>IF(C198="","",SUMIFS(Analytics!$K$5:$K$154,Analytics!$C$5:$C$154,C198))</f>
        <v>0</v>
      </c>
      <c r="I198" s="23">
        <f>IF(C198="","",SUMIFS(Analytics!$L$5:$L$154,Analytics!$C$5:$C$154,C198))</f>
        <v>0</v>
      </c>
      <c r="J198" s="24">
        <f>IF(OR(G198="",G198=0),"",I198/G198)</f>
        <v>0</v>
      </c>
      <c r="K198" s="23">
        <f>IF(C198="","",SUMIFS(Analytics!$G$5:$G$154,Analytics!$C$5:$C$154,C198))</f>
        <v>0</v>
      </c>
      <c r="L198" s="23">
        <f>IF(C198="","",SUMIFS(Analytics!$X$5:$X$154,Analytics!$C$5:$C$154,C198))</f>
        <v>0</v>
      </c>
      <c r="M198" s="23">
        <f>IF(C198="","",SUMIFS(Analytics!$R$5:$R$154,Analytics!$C$5:$C$154,C198))</f>
        <v>0</v>
      </c>
      <c r="N198" s="23">
        <f>IF(C198="","",SUMIFS(Analytics!$S$5:$S$154,Analytics!$C$5:$C$154,C198))</f>
        <v>0</v>
      </c>
      <c r="O198" s="23">
        <f>IF(C198="","",SUMIFS(Analytics!$T$5:$T$154,Analytics!$C$5:$C$154,C198))</f>
        <v>0</v>
      </c>
      <c r="P198" s="25">
        <f>IF(C198="","",SUMIFS(Analytics!$U$5:$U$154,Analytics!$C$5:$C$154,C198))</f>
        <v>0</v>
      </c>
      <c r="Q198" s="25">
        <f>IF(C198="","",SUMIFS(Budget!$H$5:$H$64,Budget!$C$5:$C$64,C198))</f>
        <v>0</v>
      </c>
      <c r="R198" s="25">
        <f>IF(C198="","",P198-Q198)</f>
        <v>0</v>
      </c>
      <c r="S198" s="23">
        <f>IF(C198="","",MonthlyPostTarget)</f>
        <v>0</v>
      </c>
      <c r="T198" s="17">
        <f>IF(Lists!$C198="","",Lists!$C198)</f>
        <v>0</v>
      </c>
      <c r="U198" s="23">
        <f>IF(T198="","",COUNTIFS('Content Calendar'!$G$5:$G$604,T198,'Content Calendar'!$B$5:$B$604,"&gt;="&amp;DashStart,'Content Calendar'!$B$5:$B$604,"&lt;="&amp;DashEnd))</f>
        <v>0</v>
      </c>
      <c r="V198" s="23">
        <f>IF(T198="","",COUNTIFS('Content Calendar'!$G$5:$G$604,T198,'Content Calendar'!$X$5:$X$604,"Published",'Content Calendar'!$B$5:$B$604,"&gt;="&amp;DashStart,'Content Calendar'!$B$5:$B$604,"&lt;="&amp;DashEnd))</f>
        <v>0</v>
      </c>
      <c r="W198" s="23">
        <f>IF(T198="","",SUMIFS(Analytics!$J$5:$J$154,Analytics!$D$5:$D$154,T198,Analytics!$B$5:$B$154,"&gt;="&amp;DashStart,Analytics!$B$5:$B$154,"&lt;="&amp;DashEnd))</f>
        <v>0</v>
      </c>
      <c r="X198" s="23">
        <f>IF(T198="","",SUMIFS(Analytics!$L$5:$L$154,Analytics!$D$5:$D$154,T198,Analytics!$B$5:$B$154,"&gt;="&amp;DashStart,Analytics!$B$5:$B$154,"&lt;="&amp;DashEnd))</f>
        <v>0</v>
      </c>
      <c r="Y198" s="24">
        <f>IF(OR(W198="",W198=0),"",X198/W198)</f>
        <v>0</v>
      </c>
      <c r="Z198" s="23">
        <f>IF(T198="","",SUMIFS(Analytics!$G$5:$G$154,Analytics!$D$5:$D$154,T198,Analytics!$B$5:$B$154,"&gt;="&amp;DashStart,Analytics!$B$5:$B$154,"&lt;="&amp;DashEnd))</f>
        <v>0</v>
      </c>
      <c r="AA198" s="23">
        <f>IF(T198="","",SUMIFS(Analytics!$X$5:$X$154,Analytics!$D$5:$D$154,T198,Analytics!$B$5:$B$154,"&gt;="&amp;DashStart,Analytics!$B$5:$B$154,"&lt;="&amp;DashEnd))</f>
        <v>0</v>
      </c>
      <c r="AB198" s="23">
        <f>IF(T198="","",SUMIFS(Analytics!$R$5:$R$154,Analytics!$D$5:$D$154,T198,Analytics!$B$5:$B$154,"&gt;="&amp;DashStart,Analytics!$B$5:$B$154,"&lt;="&amp;DashEnd))</f>
        <v>0</v>
      </c>
      <c r="AC198" s="25">
        <f>IF(T198="","",SUMIFS(Analytics!$U$5:$U$154,Analytics!$D$5:$D$154,T198,Analytics!$B$5:$B$154,"&gt;="&amp;DashStart,Analytics!$B$5:$B$154,"&lt;="&amp;DashEnd))</f>
        <v>0</v>
      </c>
      <c r="AD198" s="23">
        <f>IF(T198="","",COUNTIFS('Content Calendar'!$G$5:$G$604,T198,'Content Calendar'!$B$5:$B$604,"&gt;="&amp;DATE(PlanYear,1,1),'Content Calendar'!$B$5:$B$604,"&lt;="&amp;DATE(PlanYear,12,31)))</f>
        <v>0</v>
      </c>
      <c r="AE198" s="23">
        <f>IF(T198="","",SUMIFS(Analytics!$J$5:$J$154,Analytics!$D$5:$D$154,T198))</f>
        <v>0</v>
      </c>
      <c r="AF198" s="23">
        <f>IF(T198="","",SUMIFS(Analytics!$L$5:$L$154,Analytics!$D$5:$D$154,T198))</f>
        <v>0</v>
      </c>
      <c r="AG198" s="24">
        <f>IF(OR(AE198="",AE198=0),"",AF198/AE198)</f>
        <v>0</v>
      </c>
      <c r="AH198" s="23">
        <f>IF(T198="","",SUMIFS(Analytics!$X$5:$X$154,Analytics!$D$5:$D$154,T198))</f>
        <v>0</v>
      </c>
      <c r="AI198" s="32">
        <f>IF(T198="","",IF(AE198=0,"",AE198+ROW()/1000000))</f>
        <v>0</v>
      </c>
      <c r="AJ198" s="17">
        <f>IF('Content Pillars'!$B$198="","",'Content Pillars'!$B$198)</f>
        <v>0</v>
      </c>
      <c r="AK198" s="23">
        <f>IF(AJ198="","",COUNTIFS('Content Calendar'!$J$5:$J$604,AJ198,'Content Calendar'!$B$5:$B$604,"&gt;="&amp;DATE(PlanYear,1,1),'Content Calendar'!$B$5:$B$604,"&lt;="&amp;DATE(PlanYear,12,31)))</f>
        <v>0</v>
      </c>
      <c r="AL198" s="23">
        <f>IF(AJ198="","",SUMIFS(Performance!$O$5:$O$404,Performance!$H$5:$H$404,AJ198))</f>
        <v>0</v>
      </c>
      <c r="AM198" s="23">
        <f>IF(AJ198="","",SUMIFS(Performance!$Z$5:$Z$404,Performance!$H$5:$H$404,AJ198))</f>
        <v>0</v>
      </c>
      <c r="AN198" s="24">
        <f>IF(OR(AL198="",AL198=0),"",AM198/AL198)</f>
        <v>0</v>
      </c>
      <c r="AO198" s="32">
        <f>IF(AN198="","",AN198+ROW()/1000000)</f>
        <v>0</v>
      </c>
      <c r="AP198" s="17">
        <f>IF(Lists!$E198="","",Lists!$E198)</f>
        <v>0</v>
      </c>
      <c r="AQ198" s="23">
        <f>IF(AP198="","",COUNTIF(Performance!$G$5:$G$404,AP198))</f>
        <v>0</v>
      </c>
      <c r="AR198" s="23">
        <f>IF(AP198="","",SUMIFS(Performance!$O$5:$O$404,Performance!$G$5:$G$404,AP198))</f>
        <v>0</v>
      </c>
      <c r="AS198" s="23">
        <f>IF(AP198="","",SUMIFS(Performance!$Z$5:$Z$404,Performance!$G$5:$G$404,AP198))</f>
        <v>0</v>
      </c>
      <c r="AT198" s="24">
        <f>IF(OR(AR198="",AR198=0),"",AS198/AR198)</f>
        <v>0</v>
      </c>
      <c r="AU198" s="32">
        <f>IF(AQ198=0,"",IF(AT198="","",AT198+ROW()/1000000))</f>
        <v>0</v>
      </c>
      <c r="AV198" s="17">
        <f>IF(ROW()-4&gt;7,"",TEXT(DATE(2024,1,ROW()-4),"ddd"))</f>
        <v>0</v>
      </c>
      <c r="AW198" s="23">
        <f>IF(AV198="","",COUNTIF(Performance!$N$5:$N$404,AV198))</f>
        <v>0</v>
      </c>
      <c r="AX198" s="23">
        <f>IF(AV198="","",SUMIFS(Performance!$O$5:$O$404,Performance!$N$5:$N$404,AV198))</f>
        <v>0</v>
      </c>
      <c r="AY198" s="23">
        <f>IF(AV198="","",SUMIFS(Performance!$Z$5:$Z$404,Performance!$N$5:$N$404,AV198))</f>
        <v>0</v>
      </c>
      <c r="AZ198" s="24">
        <f>IF(OR(AX198="",AX198=0),"",AY198/AX198)</f>
        <v>0</v>
      </c>
      <c r="BA198" s="32">
        <f>IF(AW198=0,"",IF(AZ198="","",AZ198+ROW()/1000000))</f>
        <v>0</v>
      </c>
      <c r="BB198" s="17">
        <f>IF(Lists!$AL198="","",Lists!$AL198)</f>
        <v>0</v>
      </c>
      <c r="BC198" s="23">
        <f>IF(BB198="","",COUNTIF(Performance!$M$5:$M$404,BB198))</f>
        <v>0</v>
      </c>
      <c r="BD198" s="23">
        <f>IF(BB198="","",SUMIFS(Performance!$O$5:$O$404,Performance!$M$5:$M$404,BB198))</f>
        <v>0</v>
      </c>
      <c r="BE198" s="23">
        <f>IF(BB198="","",SUMIFS(Performance!$Z$5:$Z$404,Performance!$M$5:$M$404,BB198))</f>
        <v>0</v>
      </c>
      <c r="BF198" s="24">
        <f>IF(OR(BD198="",BD198=0),"",BE198/BD198)</f>
        <v>0</v>
      </c>
      <c r="BG198" s="32">
        <f>IF(BC198=0,"",IF(BF198="","",BF198+ROW()/1000000))</f>
        <v>0</v>
      </c>
      <c r="BH198" s="17">
        <f>IF(Performance!$C$198="","",Performance!$C$198)</f>
        <v>0</v>
      </c>
      <c r="BI198" s="17">
        <f>IF(Performance!$F$198="","",Performance!$F$198)</f>
        <v>0</v>
      </c>
      <c r="BJ198" s="17">
        <f>IF(Performance!$H$198="","",Performance!$H$198)</f>
        <v>0</v>
      </c>
      <c r="BK198" s="16">
        <f>IF(Performance!$D$198="","",Performance!$D$198)</f>
        <v>0</v>
      </c>
      <c r="BL198" s="17">
        <f>IF(Performance!$E$198="","",Performance!$E$198)</f>
        <v>0</v>
      </c>
      <c r="BM198" s="23">
        <f>IF(Performance!$O$198="","",Performance!$O$198)</f>
        <v>0</v>
      </c>
      <c r="BN198" s="24">
        <f>IF(Performance!$AA$198="","",Performance!$AA$198)</f>
        <v>0</v>
      </c>
      <c r="BO198" s="32">
        <f>IF(BH198="","",IF(BK198="","",IF(OR(BK198&lt;DashStart,BK198&gt;DashEnd),"",IF(BN198="","",BN198+ROW()/1000000))))</f>
        <v>0</v>
      </c>
      <c r="BP198" s="32">
        <f>IF(BM198="","",IF(BK198="","",IF(OR(BK198&lt;DashStart,BK198&gt;DashEnd),"",BM198+ROW()/1000000)))</f>
        <v>0</v>
      </c>
      <c r="BQ198" s="32">
        <f>IF(BH198="","",IF(BK198="","",IF(YEAR(BK198)&lt;&gt;PlanYear,"",IF(BN198="","",BN198+ROW()/1000000))))</f>
        <v>0</v>
      </c>
      <c r="BR198" s="32">
        <f>IF(BH198="","",IF(BK198="","",IF(OR(BK198&lt;RepFrom,BK198&gt;RepTo),"",IF(BN198="","",BN198+ROW()/1000000))))</f>
        <v>0</v>
      </c>
      <c r="BS198" s="32">
        <f>IF(BM198="","",IF(BK198="","",IF(YEAR(BK198)&lt;&gt;PlanYear,"",BM198+ROW()/1000000)))</f>
        <v>0</v>
      </c>
      <c r="BT198" s="17">
        <f>IF(Lists!$F198="","",Lists!$F198)</f>
        <v>0</v>
      </c>
      <c r="BU198" s="23">
        <f>IF(BT198="","",COUNTIF('Content Calendar'!$X$5:$X$604,BT198))</f>
        <v>0</v>
      </c>
      <c r="BV198" s="23">
        <f>IF(BT198="","",COUNTIFS('Content Calendar'!$X$5:$X$604,BT198,'Content Calendar'!$B$5:$B$604,"&gt;="&amp;DashStart,'Content Calendar'!$B$5:$B$604,"&lt;="&amp;DashEnd))</f>
        <v>0</v>
      </c>
      <c r="BW198" s="17">
        <f>IF(Team!$B$198="","",Team!$B$198)</f>
        <v>0</v>
      </c>
      <c r="BX198" s="23">
        <f>IF(BW198="","",COUNTIF('Content Calendar'!$W$5:$W$604,BW198))</f>
        <v>0</v>
      </c>
      <c r="BY198" s="23">
        <f>IF(BW198="","",COUNTIFS('Content Calendar'!$W$5:$W$604,BW198,'Content Calendar'!$X$5:$X$604,"&lt;&gt;Published"))</f>
        <v>0</v>
      </c>
      <c r="BZ198" s="23">
        <f>IF(BW198="","",COUNTIFS(Tasks!$C$5:$C$64,BW198,Tasks!$G$5:$G$64,"&lt;&gt;Complete"))</f>
        <v>0</v>
      </c>
      <c r="CA198" s="17">
        <f>IF(Campaigns!$B$198="","",Campaigns!$B$198)</f>
        <v>0</v>
      </c>
      <c r="CB198" s="25">
        <f>IF(Campaigns!$T$198="","",Campaigns!$T$198)</f>
        <v>0</v>
      </c>
      <c r="CC198" s="25">
        <f>IF(Campaigns!$Q$198="","",Campaigns!$Q$198)</f>
        <v>0</v>
      </c>
      <c r="CD198" s="23">
        <f>IF(Campaigns!$Y$198="","",Campaigns!$Y$198)</f>
        <v>0</v>
      </c>
      <c r="CE198" s="32">
        <f>IF(CA198="","",IF(N(CB198)&lt;=0,"",N(CB198)+ROW()/1000000))</f>
        <v>0</v>
      </c>
      <c r="CF198" s="17">
        <f>IF(Accounts!$C$198="","",Accounts!$C$198)</f>
        <v>0</v>
      </c>
      <c r="CG198" s="17">
        <f>IF(Accounts!$B$198="","",Accounts!$B$198)</f>
        <v>0</v>
      </c>
      <c r="CH198" s="23">
        <f>IF(Accounts!$J$198="","",Accounts!$J$198)</f>
        <v>0</v>
      </c>
      <c r="CI198" s="23">
        <f>IF(CF198="","",SUMIFS(Analytics!$X$5:$X$154,Analytics!$E$5:$E$154,CF198,Analytics!$B$5:$B$154,"&gt;="&amp;DashStart,Analytics!$B$5:$B$154,"&lt;="&amp;DashEnd))</f>
        <v>0</v>
      </c>
      <c r="CJ198" s="32">
        <f>IF(CH198="","",IF(CH198=0,"",CH198+ROW()/1000000))</f>
        <v>0</v>
      </c>
    </row>
    <row r="199" spans="1:88">
      <c r="A199" s="16">
        <f>IF(ROW()-4&gt;12,"",DATE(PlanYear,ROW()-4,1))</f>
        <v>0</v>
      </c>
      <c r="B199" s="16">
        <f>IF(A199="","",EOMONTH(A199,0))</f>
        <v>0</v>
      </c>
      <c r="C199" s="17">
        <f>IF(A199="","",TEXT(A199,"yyyy-mm"))</f>
        <v>0</v>
      </c>
      <c r="D199" s="17">
        <f>IF(A199="","",TEXT(A199,"mmm"))</f>
        <v>0</v>
      </c>
      <c r="E199" s="23">
        <f>IF(C199="","",COUNTIFS('Content Calendar'!$D$5:$D$604,C199))</f>
        <v>0</v>
      </c>
      <c r="F199" s="23">
        <f>IF(C199="","",COUNTIFS('Content Calendar'!$D$5:$D$604,C199,'Content Calendar'!$X$5:$X$604,"Published"))</f>
        <v>0</v>
      </c>
      <c r="G199" s="23">
        <f>IF(C199="","",SUMIFS(Analytics!$J$5:$J$154,Analytics!$C$5:$C$154,C199))</f>
        <v>0</v>
      </c>
      <c r="H199" s="23">
        <f>IF(C199="","",SUMIFS(Analytics!$K$5:$K$154,Analytics!$C$5:$C$154,C199))</f>
        <v>0</v>
      </c>
      <c r="I199" s="23">
        <f>IF(C199="","",SUMIFS(Analytics!$L$5:$L$154,Analytics!$C$5:$C$154,C199))</f>
        <v>0</v>
      </c>
      <c r="J199" s="24">
        <f>IF(OR(G199="",G199=0),"",I199/G199)</f>
        <v>0</v>
      </c>
      <c r="K199" s="23">
        <f>IF(C199="","",SUMIFS(Analytics!$G$5:$G$154,Analytics!$C$5:$C$154,C199))</f>
        <v>0</v>
      </c>
      <c r="L199" s="23">
        <f>IF(C199="","",SUMIFS(Analytics!$X$5:$X$154,Analytics!$C$5:$C$154,C199))</f>
        <v>0</v>
      </c>
      <c r="M199" s="23">
        <f>IF(C199="","",SUMIFS(Analytics!$R$5:$R$154,Analytics!$C$5:$C$154,C199))</f>
        <v>0</v>
      </c>
      <c r="N199" s="23">
        <f>IF(C199="","",SUMIFS(Analytics!$S$5:$S$154,Analytics!$C$5:$C$154,C199))</f>
        <v>0</v>
      </c>
      <c r="O199" s="23">
        <f>IF(C199="","",SUMIFS(Analytics!$T$5:$T$154,Analytics!$C$5:$C$154,C199))</f>
        <v>0</v>
      </c>
      <c r="P199" s="25">
        <f>IF(C199="","",SUMIFS(Analytics!$U$5:$U$154,Analytics!$C$5:$C$154,C199))</f>
        <v>0</v>
      </c>
      <c r="Q199" s="25">
        <f>IF(C199="","",SUMIFS(Budget!$H$5:$H$64,Budget!$C$5:$C$64,C199))</f>
        <v>0</v>
      </c>
      <c r="R199" s="25">
        <f>IF(C199="","",P199-Q199)</f>
        <v>0</v>
      </c>
      <c r="S199" s="23">
        <f>IF(C199="","",MonthlyPostTarget)</f>
        <v>0</v>
      </c>
      <c r="T199" s="17">
        <f>IF(Lists!$C199="","",Lists!$C199)</f>
        <v>0</v>
      </c>
      <c r="U199" s="23">
        <f>IF(T199="","",COUNTIFS('Content Calendar'!$G$5:$G$604,T199,'Content Calendar'!$B$5:$B$604,"&gt;="&amp;DashStart,'Content Calendar'!$B$5:$B$604,"&lt;="&amp;DashEnd))</f>
        <v>0</v>
      </c>
      <c r="V199" s="23">
        <f>IF(T199="","",COUNTIFS('Content Calendar'!$G$5:$G$604,T199,'Content Calendar'!$X$5:$X$604,"Published",'Content Calendar'!$B$5:$B$604,"&gt;="&amp;DashStart,'Content Calendar'!$B$5:$B$604,"&lt;="&amp;DashEnd))</f>
        <v>0</v>
      </c>
      <c r="W199" s="23">
        <f>IF(T199="","",SUMIFS(Analytics!$J$5:$J$154,Analytics!$D$5:$D$154,T199,Analytics!$B$5:$B$154,"&gt;="&amp;DashStart,Analytics!$B$5:$B$154,"&lt;="&amp;DashEnd))</f>
        <v>0</v>
      </c>
      <c r="X199" s="23">
        <f>IF(T199="","",SUMIFS(Analytics!$L$5:$L$154,Analytics!$D$5:$D$154,T199,Analytics!$B$5:$B$154,"&gt;="&amp;DashStart,Analytics!$B$5:$B$154,"&lt;="&amp;DashEnd))</f>
        <v>0</v>
      </c>
      <c r="Y199" s="24">
        <f>IF(OR(W199="",W199=0),"",X199/W199)</f>
        <v>0</v>
      </c>
      <c r="Z199" s="23">
        <f>IF(T199="","",SUMIFS(Analytics!$G$5:$G$154,Analytics!$D$5:$D$154,T199,Analytics!$B$5:$B$154,"&gt;="&amp;DashStart,Analytics!$B$5:$B$154,"&lt;="&amp;DashEnd))</f>
        <v>0</v>
      </c>
      <c r="AA199" s="23">
        <f>IF(T199="","",SUMIFS(Analytics!$X$5:$X$154,Analytics!$D$5:$D$154,T199,Analytics!$B$5:$B$154,"&gt;="&amp;DashStart,Analytics!$B$5:$B$154,"&lt;="&amp;DashEnd))</f>
        <v>0</v>
      </c>
      <c r="AB199" s="23">
        <f>IF(T199="","",SUMIFS(Analytics!$R$5:$R$154,Analytics!$D$5:$D$154,T199,Analytics!$B$5:$B$154,"&gt;="&amp;DashStart,Analytics!$B$5:$B$154,"&lt;="&amp;DashEnd))</f>
        <v>0</v>
      </c>
      <c r="AC199" s="25">
        <f>IF(T199="","",SUMIFS(Analytics!$U$5:$U$154,Analytics!$D$5:$D$154,T199,Analytics!$B$5:$B$154,"&gt;="&amp;DashStart,Analytics!$B$5:$B$154,"&lt;="&amp;DashEnd))</f>
        <v>0</v>
      </c>
      <c r="AD199" s="23">
        <f>IF(T199="","",COUNTIFS('Content Calendar'!$G$5:$G$604,T199,'Content Calendar'!$B$5:$B$604,"&gt;="&amp;DATE(PlanYear,1,1),'Content Calendar'!$B$5:$B$604,"&lt;="&amp;DATE(PlanYear,12,31)))</f>
        <v>0</v>
      </c>
      <c r="AE199" s="23">
        <f>IF(T199="","",SUMIFS(Analytics!$J$5:$J$154,Analytics!$D$5:$D$154,T199))</f>
        <v>0</v>
      </c>
      <c r="AF199" s="23">
        <f>IF(T199="","",SUMIFS(Analytics!$L$5:$L$154,Analytics!$D$5:$D$154,T199))</f>
        <v>0</v>
      </c>
      <c r="AG199" s="24">
        <f>IF(OR(AE199="",AE199=0),"",AF199/AE199)</f>
        <v>0</v>
      </c>
      <c r="AH199" s="23">
        <f>IF(T199="","",SUMIFS(Analytics!$X$5:$X$154,Analytics!$D$5:$D$154,T199))</f>
        <v>0</v>
      </c>
      <c r="AI199" s="32">
        <f>IF(T199="","",IF(AE199=0,"",AE199+ROW()/1000000))</f>
        <v>0</v>
      </c>
      <c r="AJ199" s="17">
        <f>IF('Content Pillars'!$B$199="","",'Content Pillars'!$B$199)</f>
        <v>0</v>
      </c>
      <c r="AK199" s="23">
        <f>IF(AJ199="","",COUNTIFS('Content Calendar'!$J$5:$J$604,AJ199,'Content Calendar'!$B$5:$B$604,"&gt;="&amp;DATE(PlanYear,1,1),'Content Calendar'!$B$5:$B$604,"&lt;="&amp;DATE(PlanYear,12,31)))</f>
        <v>0</v>
      </c>
      <c r="AL199" s="23">
        <f>IF(AJ199="","",SUMIFS(Performance!$O$5:$O$404,Performance!$H$5:$H$404,AJ199))</f>
        <v>0</v>
      </c>
      <c r="AM199" s="23">
        <f>IF(AJ199="","",SUMIFS(Performance!$Z$5:$Z$404,Performance!$H$5:$H$404,AJ199))</f>
        <v>0</v>
      </c>
      <c r="AN199" s="24">
        <f>IF(OR(AL199="",AL199=0),"",AM199/AL199)</f>
        <v>0</v>
      </c>
      <c r="AO199" s="32">
        <f>IF(AN199="","",AN199+ROW()/1000000)</f>
        <v>0</v>
      </c>
      <c r="AP199" s="17">
        <f>IF(Lists!$E199="","",Lists!$E199)</f>
        <v>0</v>
      </c>
      <c r="AQ199" s="23">
        <f>IF(AP199="","",COUNTIF(Performance!$G$5:$G$404,AP199))</f>
        <v>0</v>
      </c>
      <c r="AR199" s="23">
        <f>IF(AP199="","",SUMIFS(Performance!$O$5:$O$404,Performance!$G$5:$G$404,AP199))</f>
        <v>0</v>
      </c>
      <c r="AS199" s="23">
        <f>IF(AP199="","",SUMIFS(Performance!$Z$5:$Z$404,Performance!$G$5:$G$404,AP199))</f>
        <v>0</v>
      </c>
      <c r="AT199" s="24">
        <f>IF(OR(AR199="",AR199=0),"",AS199/AR199)</f>
        <v>0</v>
      </c>
      <c r="AU199" s="32">
        <f>IF(AQ199=0,"",IF(AT199="","",AT199+ROW()/1000000))</f>
        <v>0</v>
      </c>
      <c r="AV199" s="17">
        <f>IF(ROW()-4&gt;7,"",TEXT(DATE(2024,1,ROW()-4),"ddd"))</f>
        <v>0</v>
      </c>
      <c r="AW199" s="23">
        <f>IF(AV199="","",COUNTIF(Performance!$N$5:$N$404,AV199))</f>
        <v>0</v>
      </c>
      <c r="AX199" s="23">
        <f>IF(AV199="","",SUMIFS(Performance!$O$5:$O$404,Performance!$N$5:$N$404,AV199))</f>
        <v>0</v>
      </c>
      <c r="AY199" s="23">
        <f>IF(AV199="","",SUMIFS(Performance!$Z$5:$Z$404,Performance!$N$5:$N$404,AV199))</f>
        <v>0</v>
      </c>
      <c r="AZ199" s="24">
        <f>IF(OR(AX199="",AX199=0),"",AY199/AX199)</f>
        <v>0</v>
      </c>
      <c r="BA199" s="32">
        <f>IF(AW199=0,"",IF(AZ199="","",AZ199+ROW()/1000000))</f>
        <v>0</v>
      </c>
      <c r="BB199" s="17">
        <f>IF(Lists!$AL199="","",Lists!$AL199)</f>
        <v>0</v>
      </c>
      <c r="BC199" s="23">
        <f>IF(BB199="","",COUNTIF(Performance!$M$5:$M$404,BB199))</f>
        <v>0</v>
      </c>
      <c r="BD199" s="23">
        <f>IF(BB199="","",SUMIFS(Performance!$O$5:$O$404,Performance!$M$5:$M$404,BB199))</f>
        <v>0</v>
      </c>
      <c r="BE199" s="23">
        <f>IF(BB199="","",SUMIFS(Performance!$Z$5:$Z$404,Performance!$M$5:$M$404,BB199))</f>
        <v>0</v>
      </c>
      <c r="BF199" s="24">
        <f>IF(OR(BD199="",BD199=0),"",BE199/BD199)</f>
        <v>0</v>
      </c>
      <c r="BG199" s="32">
        <f>IF(BC199=0,"",IF(BF199="","",BF199+ROW()/1000000))</f>
        <v>0</v>
      </c>
      <c r="BH199" s="17">
        <f>IF(Performance!$C$199="","",Performance!$C$199)</f>
        <v>0</v>
      </c>
      <c r="BI199" s="17">
        <f>IF(Performance!$F$199="","",Performance!$F$199)</f>
        <v>0</v>
      </c>
      <c r="BJ199" s="17">
        <f>IF(Performance!$H$199="","",Performance!$H$199)</f>
        <v>0</v>
      </c>
      <c r="BK199" s="16">
        <f>IF(Performance!$D$199="","",Performance!$D$199)</f>
        <v>0</v>
      </c>
      <c r="BL199" s="17">
        <f>IF(Performance!$E$199="","",Performance!$E$199)</f>
        <v>0</v>
      </c>
      <c r="BM199" s="23">
        <f>IF(Performance!$O$199="","",Performance!$O$199)</f>
        <v>0</v>
      </c>
      <c r="BN199" s="24">
        <f>IF(Performance!$AA$199="","",Performance!$AA$199)</f>
        <v>0</v>
      </c>
      <c r="BO199" s="32">
        <f>IF(BH199="","",IF(BK199="","",IF(OR(BK199&lt;DashStart,BK199&gt;DashEnd),"",IF(BN199="","",BN199+ROW()/1000000))))</f>
        <v>0</v>
      </c>
      <c r="BP199" s="32">
        <f>IF(BM199="","",IF(BK199="","",IF(OR(BK199&lt;DashStart,BK199&gt;DashEnd),"",BM199+ROW()/1000000)))</f>
        <v>0</v>
      </c>
      <c r="BQ199" s="32">
        <f>IF(BH199="","",IF(BK199="","",IF(YEAR(BK199)&lt;&gt;PlanYear,"",IF(BN199="","",BN199+ROW()/1000000))))</f>
        <v>0</v>
      </c>
      <c r="BR199" s="32">
        <f>IF(BH199="","",IF(BK199="","",IF(OR(BK199&lt;RepFrom,BK199&gt;RepTo),"",IF(BN199="","",BN199+ROW()/1000000))))</f>
        <v>0</v>
      </c>
      <c r="BS199" s="32">
        <f>IF(BM199="","",IF(BK199="","",IF(YEAR(BK199)&lt;&gt;PlanYear,"",BM199+ROW()/1000000)))</f>
        <v>0</v>
      </c>
      <c r="BT199" s="17">
        <f>IF(Lists!$F199="","",Lists!$F199)</f>
        <v>0</v>
      </c>
      <c r="BU199" s="23">
        <f>IF(BT199="","",COUNTIF('Content Calendar'!$X$5:$X$604,BT199))</f>
        <v>0</v>
      </c>
      <c r="BV199" s="23">
        <f>IF(BT199="","",COUNTIFS('Content Calendar'!$X$5:$X$604,BT199,'Content Calendar'!$B$5:$B$604,"&gt;="&amp;DashStart,'Content Calendar'!$B$5:$B$604,"&lt;="&amp;DashEnd))</f>
        <v>0</v>
      </c>
      <c r="BW199" s="17">
        <f>IF(Team!$B$199="","",Team!$B$199)</f>
        <v>0</v>
      </c>
      <c r="BX199" s="23">
        <f>IF(BW199="","",COUNTIF('Content Calendar'!$W$5:$W$604,BW199))</f>
        <v>0</v>
      </c>
      <c r="BY199" s="23">
        <f>IF(BW199="","",COUNTIFS('Content Calendar'!$W$5:$W$604,BW199,'Content Calendar'!$X$5:$X$604,"&lt;&gt;Published"))</f>
        <v>0</v>
      </c>
      <c r="BZ199" s="23">
        <f>IF(BW199="","",COUNTIFS(Tasks!$C$5:$C$64,BW199,Tasks!$G$5:$G$64,"&lt;&gt;Complete"))</f>
        <v>0</v>
      </c>
      <c r="CA199" s="17">
        <f>IF(Campaigns!$B$199="","",Campaigns!$B$199)</f>
        <v>0</v>
      </c>
      <c r="CB199" s="25">
        <f>IF(Campaigns!$T$199="","",Campaigns!$T$199)</f>
        <v>0</v>
      </c>
      <c r="CC199" s="25">
        <f>IF(Campaigns!$Q$199="","",Campaigns!$Q$199)</f>
        <v>0</v>
      </c>
      <c r="CD199" s="23">
        <f>IF(Campaigns!$Y$199="","",Campaigns!$Y$199)</f>
        <v>0</v>
      </c>
      <c r="CE199" s="32">
        <f>IF(CA199="","",IF(N(CB199)&lt;=0,"",N(CB199)+ROW()/1000000))</f>
        <v>0</v>
      </c>
      <c r="CF199" s="17">
        <f>IF(Accounts!$C$199="","",Accounts!$C$199)</f>
        <v>0</v>
      </c>
      <c r="CG199" s="17">
        <f>IF(Accounts!$B$199="","",Accounts!$B$199)</f>
        <v>0</v>
      </c>
      <c r="CH199" s="23">
        <f>IF(Accounts!$J$199="","",Accounts!$J$199)</f>
        <v>0</v>
      </c>
      <c r="CI199" s="23">
        <f>IF(CF199="","",SUMIFS(Analytics!$X$5:$X$154,Analytics!$E$5:$E$154,CF199,Analytics!$B$5:$B$154,"&gt;="&amp;DashStart,Analytics!$B$5:$B$154,"&lt;="&amp;DashEnd))</f>
        <v>0</v>
      </c>
      <c r="CJ199" s="32">
        <f>IF(CH199="","",IF(CH199=0,"",CH199+ROW()/1000000))</f>
        <v>0</v>
      </c>
    </row>
    <row r="200" spans="1:88">
      <c r="A200" s="16">
        <f>IF(ROW()-4&gt;12,"",DATE(PlanYear,ROW()-4,1))</f>
        <v>0</v>
      </c>
      <c r="B200" s="16">
        <f>IF(A200="","",EOMONTH(A200,0))</f>
        <v>0</v>
      </c>
      <c r="C200" s="17">
        <f>IF(A200="","",TEXT(A200,"yyyy-mm"))</f>
        <v>0</v>
      </c>
      <c r="D200" s="17">
        <f>IF(A200="","",TEXT(A200,"mmm"))</f>
        <v>0</v>
      </c>
      <c r="E200" s="23">
        <f>IF(C200="","",COUNTIFS('Content Calendar'!$D$5:$D$604,C200))</f>
        <v>0</v>
      </c>
      <c r="F200" s="23">
        <f>IF(C200="","",COUNTIFS('Content Calendar'!$D$5:$D$604,C200,'Content Calendar'!$X$5:$X$604,"Published"))</f>
        <v>0</v>
      </c>
      <c r="G200" s="23">
        <f>IF(C200="","",SUMIFS(Analytics!$J$5:$J$154,Analytics!$C$5:$C$154,C200))</f>
        <v>0</v>
      </c>
      <c r="H200" s="23">
        <f>IF(C200="","",SUMIFS(Analytics!$K$5:$K$154,Analytics!$C$5:$C$154,C200))</f>
        <v>0</v>
      </c>
      <c r="I200" s="23">
        <f>IF(C200="","",SUMIFS(Analytics!$L$5:$L$154,Analytics!$C$5:$C$154,C200))</f>
        <v>0</v>
      </c>
      <c r="J200" s="24">
        <f>IF(OR(G200="",G200=0),"",I200/G200)</f>
        <v>0</v>
      </c>
      <c r="K200" s="23">
        <f>IF(C200="","",SUMIFS(Analytics!$G$5:$G$154,Analytics!$C$5:$C$154,C200))</f>
        <v>0</v>
      </c>
      <c r="L200" s="23">
        <f>IF(C200="","",SUMIFS(Analytics!$X$5:$X$154,Analytics!$C$5:$C$154,C200))</f>
        <v>0</v>
      </c>
      <c r="M200" s="23">
        <f>IF(C200="","",SUMIFS(Analytics!$R$5:$R$154,Analytics!$C$5:$C$154,C200))</f>
        <v>0</v>
      </c>
      <c r="N200" s="23">
        <f>IF(C200="","",SUMIFS(Analytics!$S$5:$S$154,Analytics!$C$5:$C$154,C200))</f>
        <v>0</v>
      </c>
      <c r="O200" s="23">
        <f>IF(C200="","",SUMIFS(Analytics!$T$5:$T$154,Analytics!$C$5:$C$154,C200))</f>
        <v>0</v>
      </c>
      <c r="P200" s="25">
        <f>IF(C200="","",SUMIFS(Analytics!$U$5:$U$154,Analytics!$C$5:$C$154,C200))</f>
        <v>0</v>
      </c>
      <c r="Q200" s="25">
        <f>IF(C200="","",SUMIFS(Budget!$H$5:$H$64,Budget!$C$5:$C$64,C200))</f>
        <v>0</v>
      </c>
      <c r="R200" s="25">
        <f>IF(C200="","",P200-Q200)</f>
        <v>0</v>
      </c>
      <c r="S200" s="23">
        <f>IF(C200="","",MonthlyPostTarget)</f>
        <v>0</v>
      </c>
      <c r="T200" s="17">
        <f>IF(Lists!$C200="","",Lists!$C200)</f>
        <v>0</v>
      </c>
      <c r="U200" s="23">
        <f>IF(T200="","",COUNTIFS('Content Calendar'!$G$5:$G$604,T200,'Content Calendar'!$B$5:$B$604,"&gt;="&amp;DashStart,'Content Calendar'!$B$5:$B$604,"&lt;="&amp;DashEnd))</f>
        <v>0</v>
      </c>
      <c r="V200" s="23">
        <f>IF(T200="","",COUNTIFS('Content Calendar'!$G$5:$G$604,T200,'Content Calendar'!$X$5:$X$604,"Published",'Content Calendar'!$B$5:$B$604,"&gt;="&amp;DashStart,'Content Calendar'!$B$5:$B$604,"&lt;="&amp;DashEnd))</f>
        <v>0</v>
      </c>
      <c r="W200" s="23">
        <f>IF(T200="","",SUMIFS(Analytics!$J$5:$J$154,Analytics!$D$5:$D$154,T200,Analytics!$B$5:$B$154,"&gt;="&amp;DashStart,Analytics!$B$5:$B$154,"&lt;="&amp;DashEnd))</f>
        <v>0</v>
      </c>
      <c r="X200" s="23">
        <f>IF(T200="","",SUMIFS(Analytics!$L$5:$L$154,Analytics!$D$5:$D$154,T200,Analytics!$B$5:$B$154,"&gt;="&amp;DashStart,Analytics!$B$5:$B$154,"&lt;="&amp;DashEnd))</f>
        <v>0</v>
      </c>
      <c r="Y200" s="24">
        <f>IF(OR(W200="",W200=0),"",X200/W200)</f>
        <v>0</v>
      </c>
      <c r="Z200" s="23">
        <f>IF(T200="","",SUMIFS(Analytics!$G$5:$G$154,Analytics!$D$5:$D$154,T200,Analytics!$B$5:$B$154,"&gt;="&amp;DashStart,Analytics!$B$5:$B$154,"&lt;="&amp;DashEnd))</f>
        <v>0</v>
      </c>
      <c r="AA200" s="23">
        <f>IF(T200="","",SUMIFS(Analytics!$X$5:$X$154,Analytics!$D$5:$D$154,T200,Analytics!$B$5:$B$154,"&gt;="&amp;DashStart,Analytics!$B$5:$B$154,"&lt;="&amp;DashEnd))</f>
        <v>0</v>
      </c>
      <c r="AB200" s="23">
        <f>IF(T200="","",SUMIFS(Analytics!$R$5:$R$154,Analytics!$D$5:$D$154,T200,Analytics!$B$5:$B$154,"&gt;="&amp;DashStart,Analytics!$B$5:$B$154,"&lt;="&amp;DashEnd))</f>
        <v>0</v>
      </c>
      <c r="AC200" s="25">
        <f>IF(T200="","",SUMIFS(Analytics!$U$5:$U$154,Analytics!$D$5:$D$154,T200,Analytics!$B$5:$B$154,"&gt;="&amp;DashStart,Analytics!$B$5:$B$154,"&lt;="&amp;DashEnd))</f>
        <v>0</v>
      </c>
      <c r="AD200" s="23">
        <f>IF(T200="","",COUNTIFS('Content Calendar'!$G$5:$G$604,T200,'Content Calendar'!$B$5:$B$604,"&gt;="&amp;DATE(PlanYear,1,1),'Content Calendar'!$B$5:$B$604,"&lt;="&amp;DATE(PlanYear,12,31)))</f>
        <v>0</v>
      </c>
      <c r="AE200" s="23">
        <f>IF(T200="","",SUMIFS(Analytics!$J$5:$J$154,Analytics!$D$5:$D$154,T200))</f>
        <v>0</v>
      </c>
      <c r="AF200" s="23">
        <f>IF(T200="","",SUMIFS(Analytics!$L$5:$L$154,Analytics!$D$5:$D$154,T200))</f>
        <v>0</v>
      </c>
      <c r="AG200" s="24">
        <f>IF(OR(AE200="",AE200=0),"",AF200/AE200)</f>
        <v>0</v>
      </c>
      <c r="AH200" s="23">
        <f>IF(T200="","",SUMIFS(Analytics!$X$5:$X$154,Analytics!$D$5:$D$154,T200))</f>
        <v>0</v>
      </c>
      <c r="AI200" s="32">
        <f>IF(T200="","",IF(AE200=0,"",AE200+ROW()/1000000))</f>
        <v>0</v>
      </c>
      <c r="AJ200" s="17">
        <f>IF('Content Pillars'!$B$200="","",'Content Pillars'!$B$200)</f>
        <v>0</v>
      </c>
      <c r="AK200" s="23">
        <f>IF(AJ200="","",COUNTIFS('Content Calendar'!$J$5:$J$604,AJ200,'Content Calendar'!$B$5:$B$604,"&gt;="&amp;DATE(PlanYear,1,1),'Content Calendar'!$B$5:$B$604,"&lt;="&amp;DATE(PlanYear,12,31)))</f>
        <v>0</v>
      </c>
      <c r="AL200" s="23">
        <f>IF(AJ200="","",SUMIFS(Performance!$O$5:$O$404,Performance!$H$5:$H$404,AJ200))</f>
        <v>0</v>
      </c>
      <c r="AM200" s="23">
        <f>IF(AJ200="","",SUMIFS(Performance!$Z$5:$Z$404,Performance!$H$5:$H$404,AJ200))</f>
        <v>0</v>
      </c>
      <c r="AN200" s="24">
        <f>IF(OR(AL200="",AL200=0),"",AM200/AL200)</f>
        <v>0</v>
      </c>
      <c r="AO200" s="32">
        <f>IF(AN200="","",AN200+ROW()/1000000)</f>
        <v>0</v>
      </c>
      <c r="AP200" s="17">
        <f>IF(Lists!$E200="","",Lists!$E200)</f>
        <v>0</v>
      </c>
      <c r="AQ200" s="23">
        <f>IF(AP200="","",COUNTIF(Performance!$G$5:$G$404,AP200))</f>
        <v>0</v>
      </c>
      <c r="AR200" s="23">
        <f>IF(AP200="","",SUMIFS(Performance!$O$5:$O$404,Performance!$G$5:$G$404,AP200))</f>
        <v>0</v>
      </c>
      <c r="AS200" s="23">
        <f>IF(AP200="","",SUMIFS(Performance!$Z$5:$Z$404,Performance!$G$5:$G$404,AP200))</f>
        <v>0</v>
      </c>
      <c r="AT200" s="24">
        <f>IF(OR(AR200="",AR200=0),"",AS200/AR200)</f>
        <v>0</v>
      </c>
      <c r="AU200" s="32">
        <f>IF(AQ200=0,"",IF(AT200="","",AT200+ROW()/1000000))</f>
        <v>0</v>
      </c>
      <c r="AV200" s="17">
        <f>IF(ROW()-4&gt;7,"",TEXT(DATE(2024,1,ROW()-4),"ddd"))</f>
        <v>0</v>
      </c>
      <c r="AW200" s="23">
        <f>IF(AV200="","",COUNTIF(Performance!$N$5:$N$404,AV200))</f>
        <v>0</v>
      </c>
      <c r="AX200" s="23">
        <f>IF(AV200="","",SUMIFS(Performance!$O$5:$O$404,Performance!$N$5:$N$404,AV200))</f>
        <v>0</v>
      </c>
      <c r="AY200" s="23">
        <f>IF(AV200="","",SUMIFS(Performance!$Z$5:$Z$404,Performance!$N$5:$N$404,AV200))</f>
        <v>0</v>
      </c>
      <c r="AZ200" s="24">
        <f>IF(OR(AX200="",AX200=0),"",AY200/AX200)</f>
        <v>0</v>
      </c>
      <c r="BA200" s="32">
        <f>IF(AW200=0,"",IF(AZ200="","",AZ200+ROW()/1000000))</f>
        <v>0</v>
      </c>
      <c r="BB200" s="17">
        <f>IF(Lists!$AL200="","",Lists!$AL200)</f>
        <v>0</v>
      </c>
      <c r="BC200" s="23">
        <f>IF(BB200="","",COUNTIF(Performance!$M$5:$M$404,BB200))</f>
        <v>0</v>
      </c>
      <c r="BD200" s="23">
        <f>IF(BB200="","",SUMIFS(Performance!$O$5:$O$404,Performance!$M$5:$M$404,BB200))</f>
        <v>0</v>
      </c>
      <c r="BE200" s="23">
        <f>IF(BB200="","",SUMIFS(Performance!$Z$5:$Z$404,Performance!$M$5:$M$404,BB200))</f>
        <v>0</v>
      </c>
      <c r="BF200" s="24">
        <f>IF(OR(BD200="",BD200=0),"",BE200/BD200)</f>
        <v>0</v>
      </c>
      <c r="BG200" s="32">
        <f>IF(BC200=0,"",IF(BF200="","",BF200+ROW()/1000000))</f>
        <v>0</v>
      </c>
      <c r="BH200" s="17">
        <f>IF(Performance!$C$200="","",Performance!$C$200)</f>
        <v>0</v>
      </c>
      <c r="BI200" s="17">
        <f>IF(Performance!$F$200="","",Performance!$F$200)</f>
        <v>0</v>
      </c>
      <c r="BJ200" s="17">
        <f>IF(Performance!$H$200="","",Performance!$H$200)</f>
        <v>0</v>
      </c>
      <c r="BK200" s="16">
        <f>IF(Performance!$D$200="","",Performance!$D$200)</f>
        <v>0</v>
      </c>
      <c r="BL200" s="17">
        <f>IF(Performance!$E$200="","",Performance!$E$200)</f>
        <v>0</v>
      </c>
      <c r="BM200" s="23">
        <f>IF(Performance!$O$200="","",Performance!$O$200)</f>
        <v>0</v>
      </c>
      <c r="BN200" s="24">
        <f>IF(Performance!$AA$200="","",Performance!$AA$200)</f>
        <v>0</v>
      </c>
      <c r="BO200" s="32">
        <f>IF(BH200="","",IF(BK200="","",IF(OR(BK200&lt;DashStart,BK200&gt;DashEnd),"",IF(BN200="","",BN200+ROW()/1000000))))</f>
        <v>0</v>
      </c>
      <c r="BP200" s="32">
        <f>IF(BM200="","",IF(BK200="","",IF(OR(BK200&lt;DashStart,BK200&gt;DashEnd),"",BM200+ROW()/1000000)))</f>
        <v>0</v>
      </c>
      <c r="BQ200" s="32">
        <f>IF(BH200="","",IF(BK200="","",IF(YEAR(BK200)&lt;&gt;PlanYear,"",IF(BN200="","",BN200+ROW()/1000000))))</f>
        <v>0</v>
      </c>
      <c r="BR200" s="32">
        <f>IF(BH200="","",IF(BK200="","",IF(OR(BK200&lt;RepFrom,BK200&gt;RepTo),"",IF(BN200="","",BN200+ROW()/1000000))))</f>
        <v>0</v>
      </c>
      <c r="BS200" s="32">
        <f>IF(BM200="","",IF(BK200="","",IF(YEAR(BK200)&lt;&gt;PlanYear,"",BM200+ROW()/1000000)))</f>
        <v>0</v>
      </c>
      <c r="BT200" s="17">
        <f>IF(Lists!$F200="","",Lists!$F200)</f>
        <v>0</v>
      </c>
      <c r="BU200" s="23">
        <f>IF(BT200="","",COUNTIF('Content Calendar'!$X$5:$X$604,BT200))</f>
        <v>0</v>
      </c>
      <c r="BV200" s="23">
        <f>IF(BT200="","",COUNTIFS('Content Calendar'!$X$5:$X$604,BT200,'Content Calendar'!$B$5:$B$604,"&gt;="&amp;DashStart,'Content Calendar'!$B$5:$B$604,"&lt;="&amp;DashEnd))</f>
        <v>0</v>
      </c>
      <c r="BW200" s="17">
        <f>IF(Team!$B$200="","",Team!$B$200)</f>
        <v>0</v>
      </c>
      <c r="BX200" s="23">
        <f>IF(BW200="","",COUNTIF('Content Calendar'!$W$5:$W$604,BW200))</f>
        <v>0</v>
      </c>
      <c r="BY200" s="23">
        <f>IF(BW200="","",COUNTIFS('Content Calendar'!$W$5:$W$604,BW200,'Content Calendar'!$X$5:$X$604,"&lt;&gt;Published"))</f>
        <v>0</v>
      </c>
      <c r="BZ200" s="23">
        <f>IF(BW200="","",COUNTIFS(Tasks!$C$5:$C$64,BW200,Tasks!$G$5:$G$64,"&lt;&gt;Complete"))</f>
        <v>0</v>
      </c>
      <c r="CA200" s="17">
        <f>IF(Campaigns!$B$200="","",Campaigns!$B$200)</f>
        <v>0</v>
      </c>
      <c r="CB200" s="25">
        <f>IF(Campaigns!$T$200="","",Campaigns!$T$200)</f>
        <v>0</v>
      </c>
      <c r="CC200" s="25">
        <f>IF(Campaigns!$Q$200="","",Campaigns!$Q$200)</f>
        <v>0</v>
      </c>
      <c r="CD200" s="23">
        <f>IF(Campaigns!$Y$200="","",Campaigns!$Y$200)</f>
        <v>0</v>
      </c>
      <c r="CE200" s="32">
        <f>IF(CA200="","",IF(N(CB200)&lt;=0,"",N(CB200)+ROW()/1000000))</f>
        <v>0</v>
      </c>
      <c r="CF200" s="17">
        <f>IF(Accounts!$C$200="","",Accounts!$C$200)</f>
        <v>0</v>
      </c>
      <c r="CG200" s="17">
        <f>IF(Accounts!$B$200="","",Accounts!$B$200)</f>
        <v>0</v>
      </c>
      <c r="CH200" s="23">
        <f>IF(Accounts!$J$200="","",Accounts!$J$200)</f>
        <v>0</v>
      </c>
      <c r="CI200" s="23">
        <f>IF(CF200="","",SUMIFS(Analytics!$X$5:$X$154,Analytics!$E$5:$E$154,CF200,Analytics!$B$5:$B$154,"&gt;="&amp;DashStart,Analytics!$B$5:$B$154,"&lt;="&amp;DashEnd))</f>
        <v>0</v>
      </c>
      <c r="CJ200" s="32">
        <f>IF(CH200="","",IF(CH200=0,"",CH200+ROW()/1000000))</f>
        <v>0</v>
      </c>
    </row>
    <row r="201" spans="1:88">
      <c r="A201" s="16">
        <f>IF(ROW()-4&gt;12,"",DATE(PlanYear,ROW()-4,1))</f>
        <v>0</v>
      </c>
      <c r="B201" s="16">
        <f>IF(A201="","",EOMONTH(A201,0))</f>
        <v>0</v>
      </c>
      <c r="C201" s="17">
        <f>IF(A201="","",TEXT(A201,"yyyy-mm"))</f>
        <v>0</v>
      </c>
      <c r="D201" s="17">
        <f>IF(A201="","",TEXT(A201,"mmm"))</f>
        <v>0</v>
      </c>
      <c r="E201" s="23">
        <f>IF(C201="","",COUNTIFS('Content Calendar'!$D$5:$D$604,C201))</f>
        <v>0</v>
      </c>
      <c r="F201" s="23">
        <f>IF(C201="","",COUNTIFS('Content Calendar'!$D$5:$D$604,C201,'Content Calendar'!$X$5:$X$604,"Published"))</f>
        <v>0</v>
      </c>
      <c r="G201" s="23">
        <f>IF(C201="","",SUMIFS(Analytics!$J$5:$J$154,Analytics!$C$5:$C$154,C201))</f>
        <v>0</v>
      </c>
      <c r="H201" s="23">
        <f>IF(C201="","",SUMIFS(Analytics!$K$5:$K$154,Analytics!$C$5:$C$154,C201))</f>
        <v>0</v>
      </c>
      <c r="I201" s="23">
        <f>IF(C201="","",SUMIFS(Analytics!$L$5:$L$154,Analytics!$C$5:$C$154,C201))</f>
        <v>0</v>
      </c>
      <c r="J201" s="24">
        <f>IF(OR(G201="",G201=0),"",I201/G201)</f>
        <v>0</v>
      </c>
      <c r="K201" s="23">
        <f>IF(C201="","",SUMIFS(Analytics!$G$5:$G$154,Analytics!$C$5:$C$154,C201))</f>
        <v>0</v>
      </c>
      <c r="L201" s="23">
        <f>IF(C201="","",SUMIFS(Analytics!$X$5:$X$154,Analytics!$C$5:$C$154,C201))</f>
        <v>0</v>
      </c>
      <c r="M201" s="23">
        <f>IF(C201="","",SUMIFS(Analytics!$R$5:$R$154,Analytics!$C$5:$C$154,C201))</f>
        <v>0</v>
      </c>
      <c r="N201" s="23">
        <f>IF(C201="","",SUMIFS(Analytics!$S$5:$S$154,Analytics!$C$5:$C$154,C201))</f>
        <v>0</v>
      </c>
      <c r="O201" s="23">
        <f>IF(C201="","",SUMIFS(Analytics!$T$5:$T$154,Analytics!$C$5:$C$154,C201))</f>
        <v>0</v>
      </c>
      <c r="P201" s="25">
        <f>IF(C201="","",SUMIFS(Analytics!$U$5:$U$154,Analytics!$C$5:$C$154,C201))</f>
        <v>0</v>
      </c>
      <c r="Q201" s="25">
        <f>IF(C201="","",SUMIFS(Budget!$H$5:$H$64,Budget!$C$5:$C$64,C201))</f>
        <v>0</v>
      </c>
      <c r="R201" s="25">
        <f>IF(C201="","",P201-Q201)</f>
        <v>0</v>
      </c>
      <c r="S201" s="23">
        <f>IF(C201="","",MonthlyPostTarget)</f>
        <v>0</v>
      </c>
      <c r="T201" s="17">
        <f>IF(Lists!$C201="","",Lists!$C201)</f>
        <v>0</v>
      </c>
      <c r="U201" s="23">
        <f>IF(T201="","",COUNTIFS('Content Calendar'!$G$5:$G$604,T201,'Content Calendar'!$B$5:$B$604,"&gt;="&amp;DashStart,'Content Calendar'!$B$5:$B$604,"&lt;="&amp;DashEnd))</f>
        <v>0</v>
      </c>
      <c r="V201" s="23">
        <f>IF(T201="","",COUNTIFS('Content Calendar'!$G$5:$G$604,T201,'Content Calendar'!$X$5:$X$604,"Published",'Content Calendar'!$B$5:$B$604,"&gt;="&amp;DashStart,'Content Calendar'!$B$5:$B$604,"&lt;="&amp;DashEnd))</f>
        <v>0</v>
      </c>
      <c r="W201" s="23">
        <f>IF(T201="","",SUMIFS(Analytics!$J$5:$J$154,Analytics!$D$5:$D$154,T201,Analytics!$B$5:$B$154,"&gt;="&amp;DashStart,Analytics!$B$5:$B$154,"&lt;="&amp;DashEnd))</f>
        <v>0</v>
      </c>
      <c r="X201" s="23">
        <f>IF(T201="","",SUMIFS(Analytics!$L$5:$L$154,Analytics!$D$5:$D$154,T201,Analytics!$B$5:$B$154,"&gt;="&amp;DashStart,Analytics!$B$5:$B$154,"&lt;="&amp;DashEnd))</f>
        <v>0</v>
      </c>
      <c r="Y201" s="24">
        <f>IF(OR(W201="",W201=0),"",X201/W201)</f>
        <v>0</v>
      </c>
      <c r="Z201" s="23">
        <f>IF(T201="","",SUMIFS(Analytics!$G$5:$G$154,Analytics!$D$5:$D$154,T201,Analytics!$B$5:$B$154,"&gt;="&amp;DashStart,Analytics!$B$5:$B$154,"&lt;="&amp;DashEnd))</f>
        <v>0</v>
      </c>
      <c r="AA201" s="23">
        <f>IF(T201="","",SUMIFS(Analytics!$X$5:$X$154,Analytics!$D$5:$D$154,T201,Analytics!$B$5:$B$154,"&gt;="&amp;DashStart,Analytics!$B$5:$B$154,"&lt;="&amp;DashEnd))</f>
        <v>0</v>
      </c>
      <c r="AB201" s="23">
        <f>IF(T201="","",SUMIFS(Analytics!$R$5:$R$154,Analytics!$D$5:$D$154,T201,Analytics!$B$5:$B$154,"&gt;="&amp;DashStart,Analytics!$B$5:$B$154,"&lt;="&amp;DashEnd))</f>
        <v>0</v>
      </c>
      <c r="AC201" s="25">
        <f>IF(T201="","",SUMIFS(Analytics!$U$5:$U$154,Analytics!$D$5:$D$154,T201,Analytics!$B$5:$B$154,"&gt;="&amp;DashStart,Analytics!$B$5:$B$154,"&lt;="&amp;DashEnd))</f>
        <v>0</v>
      </c>
      <c r="AD201" s="23">
        <f>IF(T201="","",COUNTIFS('Content Calendar'!$G$5:$G$604,T201,'Content Calendar'!$B$5:$B$604,"&gt;="&amp;DATE(PlanYear,1,1),'Content Calendar'!$B$5:$B$604,"&lt;="&amp;DATE(PlanYear,12,31)))</f>
        <v>0</v>
      </c>
      <c r="AE201" s="23">
        <f>IF(T201="","",SUMIFS(Analytics!$J$5:$J$154,Analytics!$D$5:$D$154,T201))</f>
        <v>0</v>
      </c>
      <c r="AF201" s="23">
        <f>IF(T201="","",SUMIFS(Analytics!$L$5:$L$154,Analytics!$D$5:$D$154,T201))</f>
        <v>0</v>
      </c>
      <c r="AG201" s="24">
        <f>IF(OR(AE201="",AE201=0),"",AF201/AE201)</f>
        <v>0</v>
      </c>
      <c r="AH201" s="23">
        <f>IF(T201="","",SUMIFS(Analytics!$X$5:$X$154,Analytics!$D$5:$D$154,T201))</f>
        <v>0</v>
      </c>
      <c r="AI201" s="32">
        <f>IF(T201="","",IF(AE201=0,"",AE201+ROW()/1000000))</f>
        <v>0</v>
      </c>
      <c r="AJ201" s="17">
        <f>IF('Content Pillars'!$B$201="","",'Content Pillars'!$B$201)</f>
        <v>0</v>
      </c>
      <c r="AK201" s="23">
        <f>IF(AJ201="","",COUNTIFS('Content Calendar'!$J$5:$J$604,AJ201,'Content Calendar'!$B$5:$B$604,"&gt;="&amp;DATE(PlanYear,1,1),'Content Calendar'!$B$5:$B$604,"&lt;="&amp;DATE(PlanYear,12,31)))</f>
        <v>0</v>
      </c>
      <c r="AL201" s="23">
        <f>IF(AJ201="","",SUMIFS(Performance!$O$5:$O$404,Performance!$H$5:$H$404,AJ201))</f>
        <v>0</v>
      </c>
      <c r="AM201" s="23">
        <f>IF(AJ201="","",SUMIFS(Performance!$Z$5:$Z$404,Performance!$H$5:$H$404,AJ201))</f>
        <v>0</v>
      </c>
      <c r="AN201" s="24">
        <f>IF(OR(AL201="",AL201=0),"",AM201/AL201)</f>
        <v>0</v>
      </c>
      <c r="AO201" s="32">
        <f>IF(AN201="","",AN201+ROW()/1000000)</f>
        <v>0</v>
      </c>
      <c r="AP201" s="17">
        <f>IF(Lists!$E201="","",Lists!$E201)</f>
        <v>0</v>
      </c>
      <c r="AQ201" s="23">
        <f>IF(AP201="","",COUNTIF(Performance!$G$5:$G$404,AP201))</f>
        <v>0</v>
      </c>
      <c r="AR201" s="23">
        <f>IF(AP201="","",SUMIFS(Performance!$O$5:$O$404,Performance!$G$5:$G$404,AP201))</f>
        <v>0</v>
      </c>
      <c r="AS201" s="23">
        <f>IF(AP201="","",SUMIFS(Performance!$Z$5:$Z$404,Performance!$G$5:$G$404,AP201))</f>
        <v>0</v>
      </c>
      <c r="AT201" s="24">
        <f>IF(OR(AR201="",AR201=0),"",AS201/AR201)</f>
        <v>0</v>
      </c>
      <c r="AU201" s="32">
        <f>IF(AQ201=0,"",IF(AT201="","",AT201+ROW()/1000000))</f>
        <v>0</v>
      </c>
      <c r="AV201" s="17">
        <f>IF(ROW()-4&gt;7,"",TEXT(DATE(2024,1,ROW()-4),"ddd"))</f>
        <v>0</v>
      </c>
      <c r="AW201" s="23">
        <f>IF(AV201="","",COUNTIF(Performance!$N$5:$N$404,AV201))</f>
        <v>0</v>
      </c>
      <c r="AX201" s="23">
        <f>IF(AV201="","",SUMIFS(Performance!$O$5:$O$404,Performance!$N$5:$N$404,AV201))</f>
        <v>0</v>
      </c>
      <c r="AY201" s="23">
        <f>IF(AV201="","",SUMIFS(Performance!$Z$5:$Z$404,Performance!$N$5:$N$404,AV201))</f>
        <v>0</v>
      </c>
      <c r="AZ201" s="24">
        <f>IF(OR(AX201="",AX201=0),"",AY201/AX201)</f>
        <v>0</v>
      </c>
      <c r="BA201" s="32">
        <f>IF(AW201=0,"",IF(AZ201="","",AZ201+ROW()/1000000))</f>
        <v>0</v>
      </c>
      <c r="BB201" s="17">
        <f>IF(Lists!$AL201="","",Lists!$AL201)</f>
        <v>0</v>
      </c>
      <c r="BC201" s="23">
        <f>IF(BB201="","",COUNTIF(Performance!$M$5:$M$404,BB201))</f>
        <v>0</v>
      </c>
      <c r="BD201" s="23">
        <f>IF(BB201="","",SUMIFS(Performance!$O$5:$O$404,Performance!$M$5:$M$404,BB201))</f>
        <v>0</v>
      </c>
      <c r="BE201" s="23">
        <f>IF(BB201="","",SUMIFS(Performance!$Z$5:$Z$404,Performance!$M$5:$M$404,BB201))</f>
        <v>0</v>
      </c>
      <c r="BF201" s="24">
        <f>IF(OR(BD201="",BD201=0),"",BE201/BD201)</f>
        <v>0</v>
      </c>
      <c r="BG201" s="32">
        <f>IF(BC201=0,"",IF(BF201="","",BF201+ROW()/1000000))</f>
        <v>0</v>
      </c>
      <c r="BH201" s="17">
        <f>IF(Performance!$C$201="","",Performance!$C$201)</f>
        <v>0</v>
      </c>
      <c r="BI201" s="17">
        <f>IF(Performance!$F$201="","",Performance!$F$201)</f>
        <v>0</v>
      </c>
      <c r="BJ201" s="17">
        <f>IF(Performance!$H$201="","",Performance!$H$201)</f>
        <v>0</v>
      </c>
      <c r="BK201" s="16">
        <f>IF(Performance!$D$201="","",Performance!$D$201)</f>
        <v>0</v>
      </c>
      <c r="BL201" s="17">
        <f>IF(Performance!$E$201="","",Performance!$E$201)</f>
        <v>0</v>
      </c>
      <c r="BM201" s="23">
        <f>IF(Performance!$O$201="","",Performance!$O$201)</f>
        <v>0</v>
      </c>
      <c r="BN201" s="24">
        <f>IF(Performance!$AA$201="","",Performance!$AA$201)</f>
        <v>0</v>
      </c>
      <c r="BO201" s="32">
        <f>IF(BH201="","",IF(BK201="","",IF(OR(BK201&lt;DashStart,BK201&gt;DashEnd),"",IF(BN201="","",BN201+ROW()/1000000))))</f>
        <v>0</v>
      </c>
      <c r="BP201" s="32">
        <f>IF(BM201="","",IF(BK201="","",IF(OR(BK201&lt;DashStart,BK201&gt;DashEnd),"",BM201+ROW()/1000000)))</f>
        <v>0</v>
      </c>
      <c r="BQ201" s="32">
        <f>IF(BH201="","",IF(BK201="","",IF(YEAR(BK201)&lt;&gt;PlanYear,"",IF(BN201="","",BN201+ROW()/1000000))))</f>
        <v>0</v>
      </c>
      <c r="BR201" s="32">
        <f>IF(BH201="","",IF(BK201="","",IF(OR(BK201&lt;RepFrom,BK201&gt;RepTo),"",IF(BN201="","",BN201+ROW()/1000000))))</f>
        <v>0</v>
      </c>
      <c r="BS201" s="32">
        <f>IF(BM201="","",IF(BK201="","",IF(YEAR(BK201)&lt;&gt;PlanYear,"",BM201+ROW()/1000000)))</f>
        <v>0</v>
      </c>
      <c r="BT201" s="17">
        <f>IF(Lists!$F201="","",Lists!$F201)</f>
        <v>0</v>
      </c>
      <c r="BU201" s="23">
        <f>IF(BT201="","",COUNTIF('Content Calendar'!$X$5:$X$604,BT201))</f>
        <v>0</v>
      </c>
      <c r="BV201" s="23">
        <f>IF(BT201="","",COUNTIFS('Content Calendar'!$X$5:$X$604,BT201,'Content Calendar'!$B$5:$B$604,"&gt;="&amp;DashStart,'Content Calendar'!$B$5:$B$604,"&lt;="&amp;DashEnd))</f>
        <v>0</v>
      </c>
      <c r="BW201" s="17">
        <f>IF(Team!$B$201="","",Team!$B$201)</f>
        <v>0</v>
      </c>
      <c r="BX201" s="23">
        <f>IF(BW201="","",COUNTIF('Content Calendar'!$W$5:$W$604,BW201))</f>
        <v>0</v>
      </c>
      <c r="BY201" s="23">
        <f>IF(BW201="","",COUNTIFS('Content Calendar'!$W$5:$W$604,BW201,'Content Calendar'!$X$5:$X$604,"&lt;&gt;Published"))</f>
        <v>0</v>
      </c>
      <c r="BZ201" s="23">
        <f>IF(BW201="","",COUNTIFS(Tasks!$C$5:$C$64,BW201,Tasks!$G$5:$G$64,"&lt;&gt;Complete"))</f>
        <v>0</v>
      </c>
      <c r="CA201" s="17">
        <f>IF(Campaigns!$B$201="","",Campaigns!$B$201)</f>
        <v>0</v>
      </c>
      <c r="CB201" s="25">
        <f>IF(Campaigns!$T$201="","",Campaigns!$T$201)</f>
        <v>0</v>
      </c>
      <c r="CC201" s="25">
        <f>IF(Campaigns!$Q$201="","",Campaigns!$Q$201)</f>
        <v>0</v>
      </c>
      <c r="CD201" s="23">
        <f>IF(Campaigns!$Y$201="","",Campaigns!$Y$201)</f>
        <v>0</v>
      </c>
      <c r="CE201" s="32">
        <f>IF(CA201="","",IF(N(CB201)&lt;=0,"",N(CB201)+ROW()/1000000))</f>
        <v>0</v>
      </c>
      <c r="CF201" s="17">
        <f>IF(Accounts!$C$201="","",Accounts!$C$201)</f>
        <v>0</v>
      </c>
      <c r="CG201" s="17">
        <f>IF(Accounts!$B$201="","",Accounts!$B$201)</f>
        <v>0</v>
      </c>
      <c r="CH201" s="23">
        <f>IF(Accounts!$J$201="","",Accounts!$J$201)</f>
        <v>0</v>
      </c>
      <c r="CI201" s="23">
        <f>IF(CF201="","",SUMIFS(Analytics!$X$5:$X$154,Analytics!$E$5:$E$154,CF201,Analytics!$B$5:$B$154,"&gt;="&amp;DashStart,Analytics!$B$5:$B$154,"&lt;="&amp;DashEnd))</f>
        <v>0</v>
      </c>
      <c r="CJ201" s="32">
        <f>IF(CH201="","",IF(CH201=0,"",CH201+ROW()/1000000))</f>
        <v>0</v>
      </c>
    </row>
    <row r="202" spans="1:88">
      <c r="A202" s="16">
        <f>IF(ROW()-4&gt;12,"",DATE(PlanYear,ROW()-4,1))</f>
        <v>0</v>
      </c>
      <c r="B202" s="16">
        <f>IF(A202="","",EOMONTH(A202,0))</f>
        <v>0</v>
      </c>
      <c r="C202" s="17">
        <f>IF(A202="","",TEXT(A202,"yyyy-mm"))</f>
        <v>0</v>
      </c>
      <c r="D202" s="17">
        <f>IF(A202="","",TEXT(A202,"mmm"))</f>
        <v>0</v>
      </c>
      <c r="E202" s="23">
        <f>IF(C202="","",COUNTIFS('Content Calendar'!$D$5:$D$604,C202))</f>
        <v>0</v>
      </c>
      <c r="F202" s="23">
        <f>IF(C202="","",COUNTIFS('Content Calendar'!$D$5:$D$604,C202,'Content Calendar'!$X$5:$X$604,"Published"))</f>
        <v>0</v>
      </c>
      <c r="G202" s="23">
        <f>IF(C202="","",SUMIFS(Analytics!$J$5:$J$154,Analytics!$C$5:$C$154,C202))</f>
        <v>0</v>
      </c>
      <c r="H202" s="23">
        <f>IF(C202="","",SUMIFS(Analytics!$K$5:$K$154,Analytics!$C$5:$C$154,C202))</f>
        <v>0</v>
      </c>
      <c r="I202" s="23">
        <f>IF(C202="","",SUMIFS(Analytics!$L$5:$L$154,Analytics!$C$5:$C$154,C202))</f>
        <v>0</v>
      </c>
      <c r="J202" s="24">
        <f>IF(OR(G202="",G202=0),"",I202/G202)</f>
        <v>0</v>
      </c>
      <c r="K202" s="23">
        <f>IF(C202="","",SUMIFS(Analytics!$G$5:$G$154,Analytics!$C$5:$C$154,C202))</f>
        <v>0</v>
      </c>
      <c r="L202" s="23">
        <f>IF(C202="","",SUMIFS(Analytics!$X$5:$X$154,Analytics!$C$5:$C$154,C202))</f>
        <v>0</v>
      </c>
      <c r="M202" s="23">
        <f>IF(C202="","",SUMIFS(Analytics!$R$5:$R$154,Analytics!$C$5:$C$154,C202))</f>
        <v>0</v>
      </c>
      <c r="N202" s="23">
        <f>IF(C202="","",SUMIFS(Analytics!$S$5:$S$154,Analytics!$C$5:$C$154,C202))</f>
        <v>0</v>
      </c>
      <c r="O202" s="23">
        <f>IF(C202="","",SUMIFS(Analytics!$T$5:$T$154,Analytics!$C$5:$C$154,C202))</f>
        <v>0</v>
      </c>
      <c r="P202" s="25">
        <f>IF(C202="","",SUMIFS(Analytics!$U$5:$U$154,Analytics!$C$5:$C$154,C202))</f>
        <v>0</v>
      </c>
      <c r="Q202" s="25">
        <f>IF(C202="","",SUMIFS(Budget!$H$5:$H$64,Budget!$C$5:$C$64,C202))</f>
        <v>0</v>
      </c>
      <c r="R202" s="25">
        <f>IF(C202="","",P202-Q202)</f>
        <v>0</v>
      </c>
      <c r="S202" s="23">
        <f>IF(C202="","",MonthlyPostTarget)</f>
        <v>0</v>
      </c>
      <c r="T202" s="17">
        <f>IF(Lists!$C202="","",Lists!$C202)</f>
        <v>0</v>
      </c>
      <c r="U202" s="23">
        <f>IF(T202="","",COUNTIFS('Content Calendar'!$G$5:$G$604,T202,'Content Calendar'!$B$5:$B$604,"&gt;="&amp;DashStart,'Content Calendar'!$B$5:$B$604,"&lt;="&amp;DashEnd))</f>
        <v>0</v>
      </c>
      <c r="V202" s="23">
        <f>IF(T202="","",COUNTIFS('Content Calendar'!$G$5:$G$604,T202,'Content Calendar'!$X$5:$X$604,"Published",'Content Calendar'!$B$5:$B$604,"&gt;="&amp;DashStart,'Content Calendar'!$B$5:$B$604,"&lt;="&amp;DashEnd))</f>
        <v>0</v>
      </c>
      <c r="W202" s="23">
        <f>IF(T202="","",SUMIFS(Analytics!$J$5:$J$154,Analytics!$D$5:$D$154,T202,Analytics!$B$5:$B$154,"&gt;="&amp;DashStart,Analytics!$B$5:$B$154,"&lt;="&amp;DashEnd))</f>
        <v>0</v>
      </c>
      <c r="X202" s="23">
        <f>IF(T202="","",SUMIFS(Analytics!$L$5:$L$154,Analytics!$D$5:$D$154,T202,Analytics!$B$5:$B$154,"&gt;="&amp;DashStart,Analytics!$B$5:$B$154,"&lt;="&amp;DashEnd))</f>
        <v>0</v>
      </c>
      <c r="Y202" s="24">
        <f>IF(OR(W202="",W202=0),"",X202/W202)</f>
        <v>0</v>
      </c>
      <c r="Z202" s="23">
        <f>IF(T202="","",SUMIFS(Analytics!$G$5:$G$154,Analytics!$D$5:$D$154,T202,Analytics!$B$5:$B$154,"&gt;="&amp;DashStart,Analytics!$B$5:$B$154,"&lt;="&amp;DashEnd))</f>
        <v>0</v>
      </c>
      <c r="AA202" s="23">
        <f>IF(T202="","",SUMIFS(Analytics!$X$5:$X$154,Analytics!$D$5:$D$154,T202,Analytics!$B$5:$B$154,"&gt;="&amp;DashStart,Analytics!$B$5:$B$154,"&lt;="&amp;DashEnd))</f>
        <v>0</v>
      </c>
      <c r="AB202" s="23">
        <f>IF(T202="","",SUMIFS(Analytics!$R$5:$R$154,Analytics!$D$5:$D$154,T202,Analytics!$B$5:$B$154,"&gt;="&amp;DashStart,Analytics!$B$5:$B$154,"&lt;="&amp;DashEnd))</f>
        <v>0</v>
      </c>
      <c r="AC202" s="25">
        <f>IF(T202="","",SUMIFS(Analytics!$U$5:$U$154,Analytics!$D$5:$D$154,T202,Analytics!$B$5:$B$154,"&gt;="&amp;DashStart,Analytics!$B$5:$B$154,"&lt;="&amp;DashEnd))</f>
        <v>0</v>
      </c>
      <c r="AD202" s="23">
        <f>IF(T202="","",COUNTIFS('Content Calendar'!$G$5:$G$604,T202,'Content Calendar'!$B$5:$B$604,"&gt;="&amp;DATE(PlanYear,1,1),'Content Calendar'!$B$5:$B$604,"&lt;="&amp;DATE(PlanYear,12,31)))</f>
        <v>0</v>
      </c>
      <c r="AE202" s="23">
        <f>IF(T202="","",SUMIFS(Analytics!$J$5:$J$154,Analytics!$D$5:$D$154,T202))</f>
        <v>0</v>
      </c>
      <c r="AF202" s="23">
        <f>IF(T202="","",SUMIFS(Analytics!$L$5:$L$154,Analytics!$D$5:$D$154,T202))</f>
        <v>0</v>
      </c>
      <c r="AG202" s="24">
        <f>IF(OR(AE202="",AE202=0),"",AF202/AE202)</f>
        <v>0</v>
      </c>
      <c r="AH202" s="23">
        <f>IF(T202="","",SUMIFS(Analytics!$X$5:$X$154,Analytics!$D$5:$D$154,T202))</f>
        <v>0</v>
      </c>
      <c r="AI202" s="32">
        <f>IF(T202="","",IF(AE202=0,"",AE202+ROW()/1000000))</f>
        <v>0</v>
      </c>
      <c r="AJ202" s="17">
        <f>IF('Content Pillars'!$B$202="","",'Content Pillars'!$B$202)</f>
        <v>0</v>
      </c>
      <c r="AK202" s="23">
        <f>IF(AJ202="","",COUNTIFS('Content Calendar'!$J$5:$J$604,AJ202,'Content Calendar'!$B$5:$B$604,"&gt;="&amp;DATE(PlanYear,1,1),'Content Calendar'!$B$5:$B$604,"&lt;="&amp;DATE(PlanYear,12,31)))</f>
        <v>0</v>
      </c>
      <c r="AL202" s="23">
        <f>IF(AJ202="","",SUMIFS(Performance!$O$5:$O$404,Performance!$H$5:$H$404,AJ202))</f>
        <v>0</v>
      </c>
      <c r="AM202" s="23">
        <f>IF(AJ202="","",SUMIFS(Performance!$Z$5:$Z$404,Performance!$H$5:$H$404,AJ202))</f>
        <v>0</v>
      </c>
      <c r="AN202" s="24">
        <f>IF(OR(AL202="",AL202=0),"",AM202/AL202)</f>
        <v>0</v>
      </c>
      <c r="AO202" s="32">
        <f>IF(AN202="","",AN202+ROW()/1000000)</f>
        <v>0</v>
      </c>
      <c r="AP202" s="17">
        <f>IF(Lists!$E202="","",Lists!$E202)</f>
        <v>0</v>
      </c>
      <c r="AQ202" s="23">
        <f>IF(AP202="","",COUNTIF(Performance!$G$5:$G$404,AP202))</f>
        <v>0</v>
      </c>
      <c r="AR202" s="23">
        <f>IF(AP202="","",SUMIFS(Performance!$O$5:$O$404,Performance!$G$5:$G$404,AP202))</f>
        <v>0</v>
      </c>
      <c r="AS202" s="23">
        <f>IF(AP202="","",SUMIFS(Performance!$Z$5:$Z$404,Performance!$G$5:$G$404,AP202))</f>
        <v>0</v>
      </c>
      <c r="AT202" s="24">
        <f>IF(OR(AR202="",AR202=0),"",AS202/AR202)</f>
        <v>0</v>
      </c>
      <c r="AU202" s="32">
        <f>IF(AQ202=0,"",IF(AT202="","",AT202+ROW()/1000000))</f>
        <v>0</v>
      </c>
      <c r="AV202" s="17">
        <f>IF(ROW()-4&gt;7,"",TEXT(DATE(2024,1,ROW()-4),"ddd"))</f>
        <v>0</v>
      </c>
      <c r="AW202" s="23">
        <f>IF(AV202="","",COUNTIF(Performance!$N$5:$N$404,AV202))</f>
        <v>0</v>
      </c>
      <c r="AX202" s="23">
        <f>IF(AV202="","",SUMIFS(Performance!$O$5:$O$404,Performance!$N$5:$N$404,AV202))</f>
        <v>0</v>
      </c>
      <c r="AY202" s="23">
        <f>IF(AV202="","",SUMIFS(Performance!$Z$5:$Z$404,Performance!$N$5:$N$404,AV202))</f>
        <v>0</v>
      </c>
      <c r="AZ202" s="24">
        <f>IF(OR(AX202="",AX202=0),"",AY202/AX202)</f>
        <v>0</v>
      </c>
      <c r="BA202" s="32">
        <f>IF(AW202=0,"",IF(AZ202="","",AZ202+ROW()/1000000))</f>
        <v>0</v>
      </c>
      <c r="BB202" s="17">
        <f>IF(Lists!$AL202="","",Lists!$AL202)</f>
        <v>0</v>
      </c>
      <c r="BC202" s="23">
        <f>IF(BB202="","",COUNTIF(Performance!$M$5:$M$404,BB202))</f>
        <v>0</v>
      </c>
      <c r="BD202" s="23">
        <f>IF(BB202="","",SUMIFS(Performance!$O$5:$O$404,Performance!$M$5:$M$404,BB202))</f>
        <v>0</v>
      </c>
      <c r="BE202" s="23">
        <f>IF(BB202="","",SUMIFS(Performance!$Z$5:$Z$404,Performance!$M$5:$M$404,BB202))</f>
        <v>0</v>
      </c>
      <c r="BF202" s="24">
        <f>IF(OR(BD202="",BD202=0),"",BE202/BD202)</f>
        <v>0</v>
      </c>
      <c r="BG202" s="32">
        <f>IF(BC202=0,"",IF(BF202="","",BF202+ROW()/1000000))</f>
        <v>0</v>
      </c>
      <c r="BH202" s="17">
        <f>IF(Performance!$C$202="","",Performance!$C$202)</f>
        <v>0</v>
      </c>
      <c r="BI202" s="17">
        <f>IF(Performance!$F$202="","",Performance!$F$202)</f>
        <v>0</v>
      </c>
      <c r="BJ202" s="17">
        <f>IF(Performance!$H$202="","",Performance!$H$202)</f>
        <v>0</v>
      </c>
      <c r="BK202" s="16">
        <f>IF(Performance!$D$202="","",Performance!$D$202)</f>
        <v>0</v>
      </c>
      <c r="BL202" s="17">
        <f>IF(Performance!$E$202="","",Performance!$E$202)</f>
        <v>0</v>
      </c>
      <c r="BM202" s="23">
        <f>IF(Performance!$O$202="","",Performance!$O$202)</f>
        <v>0</v>
      </c>
      <c r="BN202" s="24">
        <f>IF(Performance!$AA$202="","",Performance!$AA$202)</f>
        <v>0</v>
      </c>
      <c r="BO202" s="32">
        <f>IF(BH202="","",IF(BK202="","",IF(OR(BK202&lt;DashStart,BK202&gt;DashEnd),"",IF(BN202="","",BN202+ROW()/1000000))))</f>
        <v>0</v>
      </c>
      <c r="BP202" s="32">
        <f>IF(BM202="","",IF(BK202="","",IF(OR(BK202&lt;DashStart,BK202&gt;DashEnd),"",BM202+ROW()/1000000)))</f>
        <v>0</v>
      </c>
      <c r="BQ202" s="32">
        <f>IF(BH202="","",IF(BK202="","",IF(YEAR(BK202)&lt;&gt;PlanYear,"",IF(BN202="","",BN202+ROW()/1000000))))</f>
        <v>0</v>
      </c>
      <c r="BR202" s="32">
        <f>IF(BH202="","",IF(BK202="","",IF(OR(BK202&lt;RepFrom,BK202&gt;RepTo),"",IF(BN202="","",BN202+ROW()/1000000))))</f>
        <v>0</v>
      </c>
      <c r="BS202" s="32">
        <f>IF(BM202="","",IF(BK202="","",IF(YEAR(BK202)&lt;&gt;PlanYear,"",BM202+ROW()/1000000)))</f>
        <v>0</v>
      </c>
      <c r="BT202" s="17">
        <f>IF(Lists!$F202="","",Lists!$F202)</f>
        <v>0</v>
      </c>
      <c r="BU202" s="23">
        <f>IF(BT202="","",COUNTIF('Content Calendar'!$X$5:$X$604,BT202))</f>
        <v>0</v>
      </c>
      <c r="BV202" s="23">
        <f>IF(BT202="","",COUNTIFS('Content Calendar'!$X$5:$X$604,BT202,'Content Calendar'!$B$5:$B$604,"&gt;="&amp;DashStart,'Content Calendar'!$B$5:$B$604,"&lt;="&amp;DashEnd))</f>
        <v>0</v>
      </c>
      <c r="BW202" s="17">
        <f>IF(Team!$B$202="","",Team!$B$202)</f>
        <v>0</v>
      </c>
      <c r="BX202" s="23">
        <f>IF(BW202="","",COUNTIF('Content Calendar'!$W$5:$W$604,BW202))</f>
        <v>0</v>
      </c>
      <c r="BY202" s="23">
        <f>IF(BW202="","",COUNTIFS('Content Calendar'!$W$5:$W$604,BW202,'Content Calendar'!$X$5:$X$604,"&lt;&gt;Published"))</f>
        <v>0</v>
      </c>
      <c r="BZ202" s="23">
        <f>IF(BW202="","",COUNTIFS(Tasks!$C$5:$C$64,BW202,Tasks!$G$5:$G$64,"&lt;&gt;Complete"))</f>
        <v>0</v>
      </c>
      <c r="CA202" s="17">
        <f>IF(Campaigns!$B$202="","",Campaigns!$B$202)</f>
        <v>0</v>
      </c>
      <c r="CB202" s="25">
        <f>IF(Campaigns!$T$202="","",Campaigns!$T$202)</f>
        <v>0</v>
      </c>
      <c r="CC202" s="25">
        <f>IF(Campaigns!$Q$202="","",Campaigns!$Q$202)</f>
        <v>0</v>
      </c>
      <c r="CD202" s="23">
        <f>IF(Campaigns!$Y$202="","",Campaigns!$Y$202)</f>
        <v>0</v>
      </c>
      <c r="CE202" s="32">
        <f>IF(CA202="","",IF(N(CB202)&lt;=0,"",N(CB202)+ROW()/1000000))</f>
        <v>0</v>
      </c>
      <c r="CF202" s="17">
        <f>IF(Accounts!$C$202="","",Accounts!$C$202)</f>
        <v>0</v>
      </c>
      <c r="CG202" s="17">
        <f>IF(Accounts!$B$202="","",Accounts!$B$202)</f>
        <v>0</v>
      </c>
      <c r="CH202" s="23">
        <f>IF(Accounts!$J$202="","",Accounts!$J$202)</f>
        <v>0</v>
      </c>
      <c r="CI202" s="23">
        <f>IF(CF202="","",SUMIFS(Analytics!$X$5:$X$154,Analytics!$E$5:$E$154,CF202,Analytics!$B$5:$B$154,"&gt;="&amp;DashStart,Analytics!$B$5:$B$154,"&lt;="&amp;DashEnd))</f>
        <v>0</v>
      </c>
      <c r="CJ202" s="32">
        <f>IF(CH202="","",IF(CH202=0,"",CH202+ROW()/1000000))</f>
        <v>0</v>
      </c>
    </row>
    <row r="203" spans="1:88">
      <c r="A203" s="16">
        <f>IF(ROW()-4&gt;12,"",DATE(PlanYear,ROW()-4,1))</f>
        <v>0</v>
      </c>
      <c r="B203" s="16">
        <f>IF(A203="","",EOMONTH(A203,0))</f>
        <v>0</v>
      </c>
      <c r="C203" s="17">
        <f>IF(A203="","",TEXT(A203,"yyyy-mm"))</f>
        <v>0</v>
      </c>
      <c r="D203" s="17">
        <f>IF(A203="","",TEXT(A203,"mmm"))</f>
        <v>0</v>
      </c>
      <c r="E203" s="23">
        <f>IF(C203="","",COUNTIFS('Content Calendar'!$D$5:$D$604,C203))</f>
        <v>0</v>
      </c>
      <c r="F203" s="23">
        <f>IF(C203="","",COUNTIFS('Content Calendar'!$D$5:$D$604,C203,'Content Calendar'!$X$5:$X$604,"Published"))</f>
        <v>0</v>
      </c>
      <c r="G203" s="23">
        <f>IF(C203="","",SUMIFS(Analytics!$J$5:$J$154,Analytics!$C$5:$C$154,C203))</f>
        <v>0</v>
      </c>
      <c r="H203" s="23">
        <f>IF(C203="","",SUMIFS(Analytics!$K$5:$K$154,Analytics!$C$5:$C$154,C203))</f>
        <v>0</v>
      </c>
      <c r="I203" s="23">
        <f>IF(C203="","",SUMIFS(Analytics!$L$5:$L$154,Analytics!$C$5:$C$154,C203))</f>
        <v>0</v>
      </c>
      <c r="J203" s="24">
        <f>IF(OR(G203="",G203=0),"",I203/G203)</f>
        <v>0</v>
      </c>
      <c r="K203" s="23">
        <f>IF(C203="","",SUMIFS(Analytics!$G$5:$G$154,Analytics!$C$5:$C$154,C203))</f>
        <v>0</v>
      </c>
      <c r="L203" s="23">
        <f>IF(C203="","",SUMIFS(Analytics!$X$5:$X$154,Analytics!$C$5:$C$154,C203))</f>
        <v>0</v>
      </c>
      <c r="M203" s="23">
        <f>IF(C203="","",SUMIFS(Analytics!$R$5:$R$154,Analytics!$C$5:$C$154,C203))</f>
        <v>0</v>
      </c>
      <c r="N203" s="23">
        <f>IF(C203="","",SUMIFS(Analytics!$S$5:$S$154,Analytics!$C$5:$C$154,C203))</f>
        <v>0</v>
      </c>
      <c r="O203" s="23">
        <f>IF(C203="","",SUMIFS(Analytics!$T$5:$T$154,Analytics!$C$5:$C$154,C203))</f>
        <v>0</v>
      </c>
      <c r="P203" s="25">
        <f>IF(C203="","",SUMIFS(Analytics!$U$5:$U$154,Analytics!$C$5:$C$154,C203))</f>
        <v>0</v>
      </c>
      <c r="Q203" s="25">
        <f>IF(C203="","",SUMIFS(Budget!$H$5:$H$64,Budget!$C$5:$C$64,C203))</f>
        <v>0</v>
      </c>
      <c r="R203" s="25">
        <f>IF(C203="","",P203-Q203)</f>
        <v>0</v>
      </c>
      <c r="S203" s="23">
        <f>IF(C203="","",MonthlyPostTarget)</f>
        <v>0</v>
      </c>
      <c r="T203" s="17">
        <f>IF(Lists!$C203="","",Lists!$C203)</f>
        <v>0</v>
      </c>
      <c r="U203" s="23">
        <f>IF(T203="","",COUNTIFS('Content Calendar'!$G$5:$G$604,T203,'Content Calendar'!$B$5:$B$604,"&gt;="&amp;DashStart,'Content Calendar'!$B$5:$B$604,"&lt;="&amp;DashEnd))</f>
        <v>0</v>
      </c>
      <c r="V203" s="23">
        <f>IF(T203="","",COUNTIFS('Content Calendar'!$G$5:$G$604,T203,'Content Calendar'!$X$5:$X$604,"Published",'Content Calendar'!$B$5:$B$604,"&gt;="&amp;DashStart,'Content Calendar'!$B$5:$B$604,"&lt;="&amp;DashEnd))</f>
        <v>0</v>
      </c>
      <c r="W203" s="23">
        <f>IF(T203="","",SUMIFS(Analytics!$J$5:$J$154,Analytics!$D$5:$D$154,T203,Analytics!$B$5:$B$154,"&gt;="&amp;DashStart,Analytics!$B$5:$B$154,"&lt;="&amp;DashEnd))</f>
        <v>0</v>
      </c>
      <c r="X203" s="23">
        <f>IF(T203="","",SUMIFS(Analytics!$L$5:$L$154,Analytics!$D$5:$D$154,T203,Analytics!$B$5:$B$154,"&gt;="&amp;DashStart,Analytics!$B$5:$B$154,"&lt;="&amp;DashEnd))</f>
        <v>0</v>
      </c>
      <c r="Y203" s="24">
        <f>IF(OR(W203="",W203=0),"",X203/W203)</f>
        <v>0</v>
      </c>
      <c r="Z203" s="23">
        <f>IF(T203="","",SUMIFS(Analytics!$G$5:$G$154,Analytics!$D$5:$D$154,T203,Analytics!$B$5:$B$154,"&gt;="&amp;DashStart,Analytics!$B$5:$B$154,"&lt;="&amp;DashEnd))</f>
        <v>0</v>
      </c>
      <c r="AA203" s="23">
        <f>IF(T203="","",SUMIFS(Analytics!$X$5:$X$154,Analytics!$D$5:$D$154,T203,Analytics!$B$5:$B$154,"&gt;="&amp;DashStart,Analytics!$B$5:$B$154,"&lt;="&amp;DashEnd))</f>
        <v>0</v>
      </c>
      <c r="AB203" s="23">
        <f>IF(T203="","",SUMIFS(Analytics!$R$5:$R$154,Analytics!$D$5:$D$154,T203,Analytics!$B$5:$B$154,"&gt;="&amp;DashStart,Analytics!$B$5:$B$154,"&lt;="&amp;DashEnd))</f>
        <v>0</v>
      </c>
      <c r="AC203" s="25">
        <f>IF(T203="","",SUMIFS(Analytics!$U$5:$U$154,Analytics!$D$5:$D$154,T203,Analytics!$B$5:$B$154,"&gt;="&amp;DashStart,Analytics!$B$5:$B$154,"&lt;="&amp;DashEnd))</f>
        <v>0</v>
      </c>
      <c r="AD203" s="23">
        <f>IF(T203="","",COUNTIFS('Content Calendar'!$G$5:$G$604,T203,'Content Calendar'!$B$5:$B$604,"&gt;="&amp;DATE(PlanYear,1,1),'Content Calendar'!$B$5:$B$604,"&lt;="&amp;DATE(PlanYear,12,31)))</f>
        <v>0</v>
      </c>
      <c r="AE203" s="23">
        <f>IF(T203="","",SUMIFS(Analytics!$J$5:$J$154,Analytics!$D$5:$D$154,T203))</f>
        <v>0</v>
      </c>
      <c r="AF203" s="23">
        <f>IF(T203="","",SUMIFS(Analytics!$L$5:$L$154,Analytics!$D$5:$D$154,T203))</f>
        <v>0</v>
      </c>
      <c r="AG203" s="24">
        <f>IF(OR(AE203="",AE203=0),"",AF203/AE203)</f>
        <v>0</v>
      </c>
      <c r="AH203" s="23">
        <f>IF(T203="","",SUMIFS(Analytics!$X$5:$X$154,Analytics!$D$5:$D$154,T203))</f>
        <v>0</v>
      </c>
      <c r="AI203" s="32">
        <f>IF(T203="","",IF(AE203=0,"",AE203+ROW()/1000000))</f>
        <v>0</v>
      </c>
      <c r="AJ203" s="17">
        <f>IF('Content Pillars'!$B$203="","",'Content Pillars'!$B$203)</f>
        <v>0</v>
      </c>
      <c r="AK203" s="23">
        <f>IF(AJ203="","",COUNTIFS('Content Calendar'!$J$5:$J$604,AJ203,'Content Calendar'!$B$5:$B$604,"&gt;="&amp;DATE(PlanYear,1,1),'Content Calendar'!$B$5:$B$604,"&lt;="&amp;DATE(PlanYear,12,31)))</f>
        <v>0</v>
      </c>
      <c r="AL203" s="23">
        <f>IF(AJ203="","",SUMIFS(Performance!$O$5:$O$404,Performance!$H$5:$H$404,AJ203))</f>
        <v>0</v>
      </c>
      <c r="AM203" s="23">
        <f>IF(AJ203="","",SUMIFS(Performance!$Z$5:$Z$404,Performance!$H$5:$H$404,AJ203))</f>
        <v>0</v>
      </c>
      <c r="AN203" s="24">
        <f>IF(OR(AL203="",AL203=0),"",AM203/AL203)</f>
        <v>0</v>
      </c>
      <c r="AO203" s="32">
        <f>IF(AN203="","",AN203+ROW()/1000000)</f>
        <v>0</v>
      </c>
      <c r="AP203" s="17">
        <f>IF(Lists!$E203="","",Lists!$E203)</f>
        <v>0</v>
      </c>
      <c r="AQ203" s="23">
        <f>IF(AP203="","",COUNTIF(Performance!$G$5:$G$404,AP203))</f>
        <v>0</v>
      </c>
      <c r="AR203" s="23">
        <f>IF(AP203="","",SUMIFS(Performance!$O$5:$O$404,Performance!$G$5:$G$404,AP203))</f>
        <v>0</v>
      </c>
      <c r="AS203" s="23">
        <f>IF(AP203="","",SUMIFS(Performance!$Z$5:$Z$404,Performance!$G$5:$G$404,AP203))</f>
        <v>0</v>
      </c>
      <c r="AT203" s="24">
        <f>IF(OR(AR203="",AR203=0),"",AS203/AR203)</f>
        <v>0</v>
      </c>
      <c r="AU203" s="32">
        <f>IF(AQ203=0,"",IF(AT203="","",AT203+ROW()/1000000))</f>
        <v>0</v>
      </c>
      <c r="AV203" s="17">
        <f>IF(ROW()-4&gt;7,"",TEXT(DATE(2024,1,ROW()-4),"ddd"))</f>
        <v>0</v>
      </c>
      <c r="AW203" s="23">
        <f>IF(AV203="","",COUNTIF(Performance!$N$5:$N$404,AV203))</f>
        <v>0</v>
      </c>
      <c r="AX203" s="23">
        <f>IF(AV203="","",SUMIFS(Performance!$O$5:$O$404,Performance!$N$5:$N$404,AV203))</f>
        <v>0</v>
      </c>
      <c r="AY203" s="23">
        <f>IF(AV203="","",SUMIFS(Performance!$Z$5:$Z$404,Performance!$N$5:$N$404,AV203))</f>
        <v>0</v>
      </c>
      <c r="AZ203" s="24">
        <f>IF(OR(AX203="",AX203=0),"",AY203/AX203)</f>
        <v>0</v>
      </c>
      <c r="BA203" s="32">
        <f>IF(AW203=0,"",IF(AZ203="","",AZ203+ROW()/1000000))</f>
        <v>0</v>
      </c>
      <c r="BB203" s="17">
        <f>IF(Lists!$AL203="","",Lists!$AL203)</f>
        <v>0</v>
      </c>
      <c r="BC203" s="23">
        <f>IF(BB203="","",COUNTIF(Performance!$M$5:$M$404,BB203))</f>
        <v>0</v>
      </c>
      <c r="BD203" s="23">
        <f>IF(BB203="","",SUMIFS(Performance!$O$5:$O$404,Performance!$M$5:$M$404,BB203))</f>
        <v>0</v>
      </c>
      <c r="BE203" s="23">
        <f>IF(BB203="","",SUMIFS(Performance!$Z$5:$Z$404,Performance!$M$5:$M$404,BB203))</f>
        <v>0</v>
      </c>
      <c r="BF203" s="24">
        <f>IF(OR(BD203="",BD203=0),"",BE203/BD203)</f>
        <v>0</v>
      </c>
      <c r="BG203" s="32">
        <f>IF(BC203=0,"",IF(BF203="","",BF203+ROW()/1000000))</f>
        <v>0</v>
      </c>
      <c r="BH203" s="17">
        <f>IF(Performance!$C$203="","",Performance!$C$203)</f>
        <v>0</v>
      </c>
      <c r="BI203" s="17">
        <f>IF(Performance!$F$203="","",Performance!$F$203)</f>
        <v>0</v>
      </c>
      <c r="BJ203" s="17">
        <f>IF(Performance!$H$203="","",Performance!$H$203)</f>
        <v>0</v>
      </c>
      <c r="BK203" s="16">
        <f>IF(Performance!$D$203="","",Performance!$D$203)</f>
        <v>0</v>
      </c>
      <c r="BL203" s="17">
        <f>IF(Performance!$E$203="","",Performance!$E$203)</f>
        <v>0</v>
      </c>
      <c r="BM203" s="23">
        <f>IF(Performance!$O$203="","",Performance!$O$203)</f>
        <v>0</v>
      </c>
      <c r="BN203" s="24">
        <f>IF(Performance!$AA$203="","",Performance!$AA$203)</f>
        <v>0</v>
      </c>
      <c r="BO203" s="32">
        <f>IF(BH203="","",IF(BK203="","",IF(OR(BK203&lt;DashStart,BK203&gt;DashEnd),"",IF(BN203="","",BN203+ROW()/1000000))))</f>
        <v>0</v>
      </c>
      <c r="BP203" s="32">
        <f>IF(BM203="","",IF(BK203="","",IF(OR(BK203&lt;DashStart,BK203&gt;DashEnd),"",BM203+ROW()/1000000)))</f>
        <v>0</v>
      </c>
      <c r="BQ203" s="32">
        <f>IF(BH203="","",IF(BK203="","",IF(YEAR(BK203)&lt;&gt;PlanYear,"",IF(BN203="","",BN203+ROW()/1000000))))</f>
        <v>0</v>
      </c>
      <c r="BR203" s="32">
        <f>IF(BH203="","",IF(BK203="","",IF(OR(BK203&lt;RepFrom,BK203&gt;RepTo),"",IF(BN203="","",BN203+ROW()/1000000))))</f>
        <v>0</v>
      </c>
      <c r="BS203" s="32">
        <f>IF(BM203="","",IF(BK203="","",IF(YEAR(BK203)&lt;&gt;PlanYear,"",BM203+ROW()/1000000)))</f>
        <v>0</v>
      </c>
      <c r="BT203" s="17">
        <f>IF(Lists!$F203="","",Lists!$F203)</f>
        <v>0</v>
      </c>
      <c r="BU203" s="23">
        <f>IF(BT203="","",COUNTIF('Content Calendar'!$X$5:$X$604,BT203))</f>
        <v>0</v>
      </c>
      <c r="BV203" s="23">
        <f>IF(BT203="","",COUNTIFS('Content Calendar'!$X$5:$X$604,BT203,'Content Calendar'!$B$5:$B$604,"&gt;="&amp;DashStart,'Content Calendar'!$B$5:$B$604,"&lt;="&amp;DashEnd))</f>
        <v>0</v>
      </c>
      <c r="BW203" s="17">
        <f>IF(Team!$B$203="","",Team!$B$203)</f>
        <v>0</v>
      </c>
      <c r="BX203" s="23">
        <f>IF(BW203="","",COUNTIF('Content Calendar'!$W$5:$W$604,BW203))</f>
        <v>0</v>
      </c>
      <c r="BY203" s="23">
        <f>IF(BW203="","",COUNTIFS('Content Calendar'!$W$5:$W$604,BW203,'Content Calendar'!$X$5:$X$604,"&lt;&gt;Published"))</f>
        <v>0</v>
      </c>
      <c r="BZ203" s="23">
        <f>IF(BW203="","",COUNTIFS(Tasks!$C$5:$C$64,BW203,Tasks!$G$5:$G$64,"&lt;&gt;Complete"))</f>
        <v>0</v>
      </c>
      <c r="CA203" s="17">
        <f>IF(Campaigns!$B$203="","",Campaigns!$B$203)</f>
        <v>0</v>
      </c>
      <c r="CB203" s="25">
        <f>IF(Campaigns!$T$203="","",Campaigns!$T$203)</f>
        <v>0</v>
      </c>
      <c r="CC203" s="25">
        <f>IF(Campaigns!$Q$203="","",Campaigns!$Q$203)</f>
        <v>0</v>
      </c>
      <c r="CD203" s="23">
        <f>IF(Campaigns!$Y$203="","",Campaigns!$Y$203)</f>
        <v>0</v>
      </c>
      <c r="CE203" s="32">
        <f>IF(CA203="","",IF(N(CB203)&lt;=0,"",N(CB203)+ROW()/1000000))</f>
        <v>0</v>
      </c>
      <c r="CF203" s="17">
        <f>IF(Accounts!$C$203="","",Accounts!$C$203)</f>
        <v>0</v>
      </c>
      <c r="CG203" s="17">
        <f>IF(Accounts!$B$203="","",Accounts!$B$203)</f>
        <v>0</v>
      </c>
      <c r="CH203" s="23">
        <f>IF(Accounts!$J$203="","",Accounts!$J$203)</f>
        <v>0</v>
      </c>
      <c r="CI203" s="23">
        <f>IF(CF203="","",SUMIFS(Analytics!$X$5:$X$154,Analytics!$E$5:$E$154,CF203,Analytics!$B$5:$B$154,"&gt;="&amp;DashStart,Analytics!$B$5:$B$154,"&lt;="&amp;DashEnd))</f>
        <v>0</v>
      </c>
      <c r="CJ203" s="32">
        <f>IF(CH203="","",IF(CH203=0,"",CH203+ROW()/1000000))</f>
        <v>0</v>
      </c>
    </row>
    <row r="204" spans="1:88">
      <c r="A204" s="16">
        <f>IF(ROW()-4&gt;12,"",DATE(PlanYear,ROW()-4,1))</f>
        <v>0</v>
      </c>
      <c r="B204" s="16">
        <f>IF(A204="","",EOMONTH(A204,0))</f>
        <v>0</v>
      </c>
      <c r="C204" s="17">
        <f>IF(A204="","",TEXT(A204,"yyyy-mm"))</f>
        <v>0</v>
      </c>
      <c r="D204" s="17">
        <f>IF(A204="","",TEXT(A204,"mmm"))</f>
        <v>0</v>
      </c>
      <c r="E204" s="23">
        <f>IF(C204="","",COUNTIFS('Content Calendar'!$D$5:$D$604,C204))</f>
        <v>0</v>
      </c>
      <c r="F204" s="23">
        <f>IF(C204="","",COUNTIFS('Content Calendar'!$D$5:$D$604,C204,'Content Calendar'!$X$5:$X$604,"Published"))</f>
        <v>0</v>
      </c>
      <c r="G204" s="23">
        <f>IF(C204="","",SUMIFS(Analytics!$J$5:$J$154,Analytics!$C$5:$C$154,C204))</f>
        <v>0</v>
      </c>
      <c r="H204" s="23">
        <f>IF(C204="","",SUMIFS(Analytics!$K$5:$K$154,Analytics!$C$5:$C$154,C204))</f>
        <v>0</v>
      </c>
      <c r="I204" s="23">
        <f>IF(C204="","",SUMIFS(Analytics!$L$5:$L$154,Analytics!$C$5:$C$154,C204))</f>
        <v>0</v>
      </c>
      <c r="J204" s="24">
        <f>IF(OR(G204="",G204=0),"",I204/G204)</f>
        <v>0</v>
      </c>
      <c r="K204" s="23">
        <f>IF(C204="","",SUMIFS(Analytics!$G$5:$G$154,Analytics!$C$5:$C$154,C204))</f>
        <v>0</v>
      </c>
      <c r="L204" s="23">
        <f>IF(C204="","",SUMIFS(Analytics!$X$5:$X$154,Analytics!$C$5:$C$154,C204))</f>
        <v>0</v>
      </c>
      <c r="M204" s="23">
        <f>IF(C204="","",SUMIFS(Analytics!$R$5:$R$154,Analytics!$C$5:$C$154,C204))</f>
        <v>0</v>
      </c>
      <c r="N204" s="23">
        <f>IF(C204="","",SUMIFS(Analytics!$S$5:$S$154,Analytics!$C$5:$C$154,C204))</f>
        <v>0</v>
      </c>
      <c r="O204" s="23">
        <f>IF(C204="","",SUMIFS(Analytics!$T$5:$T$154,Analytics!$C$5:$C$154,C204))</f>
        <v>0</v>
      </c>
      <c r="P204" s="25">
        <f>IF(C204="","",SUMIFS(Analytics!$U$5:$U$154,Analytics!$C$5:$C$154,C204))</f>
        <v>0</v>
      </c>
      <c r="Q204" s="25">
        <f>IF(C204="","",SUMIFS(Budget!$H$5:$H$64,Budget!$C$5:$C$64,C204))</f>
        <v>0</v>
      </c>
      <c r="R204" s="25">
        <f>IF(C204="","",P204-Q204)</f>
        <v>0</v>
      </c>
      <c r="S204" s="23">
        <f>IF(C204="","",MonthlyPostTarget)</f>
        <v>0</v>
      </c>
      <c r="T204" s="17">
        <f>IF(Lists!$C204="","",Lists!$C204)</f>
        <v>0</v>
      </c>
      <c r="U204" s="23">
        <f>IF(T204="","",COUNTIFS('Content Calendar'!$G$5:$G$604,T204,'Content Calendar'!$B$5:$B$604,"&gt;="&amp;DashStart,'Content Calendar'!$B$5:$B$604,"&lt;="&amp;DashEnd))</f>
        <v>0</v>
      </c>
      <c r="V204" s="23">
        <f>IF(T204="","",COUNTIFS('Content Calendar'!$G$5:$G$604,T204,'Content Calendar'!$X$5:$X$604,"Published",'Content Calendar'!$B$5:$B$604,"&gt;="&amp;DashStart,'Content Calendar'!$B$5:$B$604,"&lt;="&amp;DashEnd))</f>
        <v>0</v>
      </c>
      <c r="W204" s="23">
        <f>IF(T204="","",SUMIFS(Analytics!$J$5:$J$154,Analytics!$D$5:$D$154,T204,Analytics!$B$5:$B$154,"&gt;="&amp;DashStart,Analytics!$B$5:$B$154,"&lt;="&amp;DashEnd))</f>
        <v>0</v>
      </c>
      <c r="X204" s="23">
        <f>IF(T204="","",SUMIFS(Analytics!$L$5:$L$154,Analytics!$D$5:$D$154,T204,Analytics!$B$5:$B$154,"&gt;="&amp;DashStart,Analytics!$B$5:$B$154,"&lt;="&amp;DashEnd))</f>
        <v>0</v>
      </c>
      <c r="Y204" s="24">
        <f>IF(OR(W204="",W204=0),"",X204/W204)</f>
        <v>0</v>
      </c>
      <c r="Z204" s="23">
        <f>IF(T204="","",SUMIFS(Analytics!$G$5:$G$154,Analytics!$D$5:$D$154,T204,Analytics!$B$5:$B$154,"&gt;="&amp;DashStart,Analytics!$B$5:$B$154,"&lt;="&amp;DashEnd))</f>
        <v>0</v>
      </c>
      <c r="AA204" s="23">
        <f>IF(T204="","",SUMIFS(Analytics!$X$5:$X$154,Analytics!$D$5:$D$154,T204,Analytics!$B$5:$B$154,"&gt;="&amp;DashStart,Analytics!$B$5:$B$154,"&lt;="&amp;DashEnd))</f>
        <v>0</v>
      </c>
      <c r="AB204" s="23">
        <f>IF(T204="","",SUMIFS(Analytics!$R$5:$R$154,Analytics!$D$5:$D$154,T204,Analytics!$B$5:$B$154,"&gt;="&amp;DashStart,Analytics!$B$5:$B$154,"&lt;="&amp;DashEnd))</f>
        <v>0</v>
      </c>
      <c r="AC204" s="25">
        <f>IF(T204="","",SUMIFS(Analytics!$U$5:$U$154,Analytics!$D$5:$D$154,T204,Analytics!$B$5:$B$154,"&gt;="&amp;DashStart,Analytics!$B$5:$B$154,"&lt;="&amp;DashEnd))</f>
        <v>0</v>
      </c>
      <c r="AD204" s="23">
        <f>IF(T204="","",COUNTIFS('Content Calendar'!$G$5:$G$604,T204,'Content Calendar'!$B$5:$B$604,"&gt;="&amp;DATE(PlanYear,1,1),'Content Calendar'!$B$5:$B$604,"&lt;="&amp;DATE(PlanYear,12,31)))</f>
        <v>0</v>
      </c>
      <c r="AE204" s="23">
        <f>IF(T204="","",SUMIFS(Analytics!$J$5:$J$154,Analytics!$D$5:$D$154,T204))</f>
        <v>0</v>
      </c>
      <c r="AF204" s="23">
        <f>IF(T204="","",SUMIFS(Analytics!$L$5:$L$154,Analytics!$D$5:$D$154,T204))</f>
        <v>0</v>
      </c>
      <c r="AG204" s="24">
        <f>IF(OR(AE204="",AE204=0),"",AF204/AE204)</f>
        <v>0</v>
      </c>
      <c r="AH204" s="23">
        <f>IF(T204="","",SUMIFS(Analytics!$X$5:$X$154,Analytics!$D$5:$D$154,T204))</f>
        <v>0</v>
      </c>
      <c r="AI204" s="32">
        <f>IF(T204="","",IF(AE204=0,"",AE204+ROW()/1000000))</f>
        <v>0</v>
      </c>
      <c r="AJ204" s="17">
        <f>IF('Content Pillars'!$B$204="","",'Content Pillars'!$B$204)</f>
        <v>0</v>
      </c>
      <c r="AK204" s="23">
        <f>IF(AJ204="","",COUNTIFS('Content Calendar'!$J$5:$J$604,AJ204,'Content Calendar'!$B$5:$B$604,"&gt;="&amp;DATE(PlanYear,1,1),'Content Calendar'!$B$5:$B$604,"&lt;="&amp;DATE(PlanYear,12,31)))</f>
        <v>0</v>
      </c>
      <c r="AL204" s="23">
        <f>IF(AJ204="","",SUMIFS(Performance!$O$5:$O$404,Performance!$H$5:$H$404,AJ204))</f>
        <v>0</v>
      </c>
      <c r="AM204" s="23">
        <f>IF(AJ204="","",SUMIFS(Performance!$Z$5:$Z$404,Performance!$H$5:$H$404,AJ204))</f>
        <v>0</v>
      </c>
      <c r="AN204" s="24">
        <f>IF(OR(AL204="",AL204=0),"",AM204/AL204)</f>
        <v>0</v>
      </c>
      <c r="AO204" s="32">
        <f>IF(AN204="","",AN204+ROW()/1000000)</f>
        <v>0</v>
      </c>
      <c r="AP204" s="17">
        <f>IF(Lists!$E204="","",Lists!$E204)</f>
        <v>0</v>
      </c>
      <c r="AQ204" s="23">
        <f>IF(AP204="","",COUNTIF(Performance!$G$5:$G$404,AP204))</f>
        <v>0</v>
      </c>
      <c r="AR204" s="23">
        <f>IF(AP204="","",SUMIFS(Performance!$O$5:$O$404,Performance!$G$5:$G$404,AP204))</f>
        <v>0</v>
      </c>
      <c r="AS204" s="23">
        <f>IF(AP204="","",SUMIFS(Performance!$Z$5:$Z$404,Performance!$G$5:$G$404,AP204))</f>
        <v>0</v>
      </c>
      <c r="AT204" s="24">
        <f>IF(OR(AR204="",AR204=0),"",AS204/AR204)</f>
        <v>0</v>
      </c>
      <c r="AU204" s="32">
        <f>IF(AQ204=0,"",IF(AT204="","",AT204+ROW()/1000000))</f>
        <v>0</v>
      </c>
      <c r="AV204" s="17">
        <f>IF(ROW()-4&gt;7,"",TEXT(DATE(2024,1,ROW()-4),"ddd"))</f>
        <v>0</v>
      </c>
      <c r="AW204" s="23">
        <f>IF(AV204="","",COUNTIF(Performance!$N$5:$N$404,AV204))</f>
        <v>0</v>
      </c>
      <c r="AX204" s="23">
        <f>IF(AV204="","",SUMIFS(Performance!$O$5:$O$404,Performance!$N$5:$N$404,AV204))</f>
        <v>0</v>
      </c>
      <c r="AY204" s="23">
        <f>IF(AV204="","",SUMIFS(Performance!$Z$5:$Z$404,Performance!$N$5:$N$404,AV204))</f>
        <v>0</v>
      </c>
      <c r="AZ204" s="24">
        <f>IF(OR(AX204="",AX204=0),"",AY204/AX204)</f>
        <v>0</v>
      </c>
      <c r="BA204" s="32">
        <f>IF(AW204=0,"",IF(AZ204="","",AZ204+ROW()/1000000))</f>
        <v>0</v>
      </c>
      <c r="BB204" s="17">
        <f>IF(Lists!$AL204="","",Lists!$AL204)</f>
        <v>0</v>
      </c>
      <c r="BC204" s="23">
        <f>IF(BB204="","",COUNTIF(Performance!$M$5:$M$404,BB204))</f>
        <v>0</v>
      </c>
      <c r="BD204" s="23">
        <f>IF(BB204="","",SUMIFS(Performance!$O$5:$O$404,Performance!$M$5:$M$404,BB204))</f>
        <v>0</v>
      </c>
      <c r="BE204" s="23">
        <f>IF(BB204="","",SUMIFS(Performance!$Z$5:$Z$404,Performance!$M$5:$M$404,BB204))</f>
        <v>0</v>
      </c>
      <c r="BF204" s="24">
        <f>IF(OR(BD204="",BD204=0),"",BE204/BD204)</f>
        <v>0</v>
      </c>
      <c r="BG204" s="32">
        <f>IF(BC204=0,"",IF(BF204="","",BF204+ROW()/1000000))</f>
        <v>0</v>
      </c>
      <c r="BH204" s="17">
        <f>IF(Performance!$C$204="","",Performance!$C$204)</f>
        <v>0</v>
      </c>
      <c r="BI204" s="17">
        <f>IF(Performance!$F$204="","",Performance!$F$204)</f>
        <v>0</v>
      </c>
      <c r="BJ204" s="17">
        <f>IF(Performance!$H$204="","",Performance!$H$204)</f>
        <v>0</v>
      </c>
      <c r="BK204" s="16">
        <f>IF(Performance!$D$204="","",Performance!$D$204)</f>
        <v>0</v>
      </c>
      <c r="BL204" s="17">
        <f>IF(Performance!$E$204="","",Performance!$E$204)</f>
        <v>0</v>
      </c>
      <c r="BM204" s="23">
        <f>IF(Performance!$O$204="","",Performance!$O$204)</f>
        <v>0</v>
      </c>
      <c r="BN204" s="24">
        <f>IF(Performance!$AA$204="","",Performance!$AA$204)</f>
        <v>0</v>
      </c>
      <c r="BO204" s="32">
        <f>IF(BH204="","",IF(BK204="","",IF(OR(BK204&lt;DashStart,BK204&gt;DashEnd),"",IF(BN204="","",BN204+ROW()/1000000))))</f>
        <v>0</v>
      </c>
      <c r="BP204" s="32">
        <f>IF(BM204="","",IF(BK204="","",IF(OR(BK204&lt;DashStart,BK204&gt;DashEnd),"",BM204+ROW()/1000000)))</f>
        <v>0</v>
      </c>
      <c r="BQ204" s="32">
        <f>IF(BH204="","",IF(BK204="","",IF(YEAR(BK204)&lt;&gt;PlanYear,"",IF(BN204="","",BN204+ROW()/1000000))))</f>
        <v>0</v>
      </c>
      <c r="BR204" s="32">
        <f>IF(BH204="","",IF(BK204="","",IF(OR(BK204&lt;RepFrom,BK204&gt;RepTo),"",IF(BN204="","",BN204+ROW()/1000000))))</f>
        <v>0</v>
      </c>
      <c r="BS204" s="32">
        <f>IF(BM204="","",IF(BK204="","",IF(YEAR(BK204)&lt;&gt;PlanYear,"",BM204+ROW()/1000000)))</f>
        <v>0</v>
      </c>
      <c r="BT204" s="17">
        <f>IF(Lists!$F204="","",Lists!$F204)</f>
        <v>0</v>
      </c>
      <c r="BU204" s="23">
        <f>IF(BT204="","",COUNTIF('Content Calendar'!$X$5:$X$604,BT204))</f>
        <v>0</v>
      </c>
      <c r="BV204" s="23">
        <f>IF(BT204="","",COUNTIFS('Content Calendar'!$X$5:$X$604,BT204,'Content Calendar'!$B$5:$B$604,"&gt;="&amp;DashStart,'Content Calendar'!$B$5:$B$604,"&lt;="&amp;DashEnd))</f>
        <v>0</v>
      </c>
      <c r="BW204" s="17">
        <f>IF(Team!$B$204="","",Team!$B$204)</f>
        <v>0</v>
      </c>
      <c r="BX204" s="23">
        <f>IF(BW204="","",COUNTIF('Content Calendar'!$W$5:$W$604,BW204))</f>
        <v>0</v>
      </c>
      <c r="BY204" s="23">
        <f>IF(BW204="","",COUNTIFS('Content Calendar'!$W$5:$W$604,BW204,'Content Calendar'!$X$5:$X$604,"&lt;&gt;Published"))</f>
        <v>0</v>
      </c>
      <c r="BZ204" s="23">
        <f>IF(BW204="","",COUNTIFS(Tasks!$C$5:$C$64,BW204,Tasks!$G$5:$G$64,"&lt;&gt;Complete"))</f>
        <v>0</v>
      </c>
      <c r="CA204" s="17">
        <f>IF(Campaigns!$B$204="","",Campaigns!$B$204)</f>
        <v>0</v>
      </c>
      <c r="CB204" s="25">
        <f>IF(Campaigns!$T$204="","",Campaigns!$T$204)</f>
        <v>0</v>
      </c>
      <c r="CC204" s="25">
        <f>IF(Campaigns!$Q$204="","",Campaigns!$Q$204)</f>
        <v>0</v>
      </c>
      <c r="CD204" s="23">
        <f>IF(Campaigns!$Y$204="","",Campaigns!$Y$204)</f>
        <v>0</v>
      </c>
      <c r="CE204" s="32">
        <f>IF(CA204="","",IF(N(CB204)&lt;=0,"",N(CB204)+ROW()/1000000))</f>
        <v>0</v>
      </c>
      <c r="CF204" s="17">
        <f>IF(Accounts!$C$204="","",Accounts!$C$204)</f>
        <v>0</v>
      </c>
      <c r="CG204" s="17">
        <f>IF(Accounts!$B$204="","",Accounts!$B$204)</f>
        <v>0</v>
      </c>
      <c r="CH204" s="23">
        <f>IF(Accounts!$J$204="","",Accounts!$J$204)</f>
        <v>0</v>
      </c>
      <c r="CI204" s="23">
        <f>IF(CF204="","",SUMIFS(Analytics!$X$5:$X$154,Analytics!$E$5:$E$154,CF204,Analytics!$B$5:$B$154,"&gt;="&amp;DashStart,Analytics!$B$5:$B$154,"&lt;="&amp;DashEnd))</f>
        <v>0</v>
      </c>
      <c r="CJ204" s="32">
        <f>IF(CH204="","",IF(CH204=0,"",CH204+ROW()/1000000))</f>
        <v>0</v>
      </c>
    </row>
    <row r="205" spans="1:88">
      <c r="A205" s="16">
        <f>IF(ROW()-4&gt;12,"",DATE(PlanYear,ROW()-4,1))</f>
        <v>0</v>
      </c>
      <c r="B205" s="16">
        <f>IF(A205="","",EOMONTH(A205,0))</f>
        <v>0</v>
      </c>
      <c r="C205" s="17">
        <f>IF(A205="","",TEXT(A205,"yyyy-mm"))</f>
        <v>0</v>
      </c>
      <c r="D205" s="17">
        <f>IF(A205="","",TEXT(A205,"mmm"))</f>
        <v>0</v>
      </c>
      <c r="E205" s="23">
        <f>IF(C205="","",COUNTIFS('Content Calendar'!$D$5:$D$604,C205))</f>
        <v>0</v>
      </c>
      <c r="F205" s="23">
        <f>IF(C205="","",COUNTIFS('Content Calendar'!$D$5:$D$604,C205,'Content Calendar'!$X$5:$X$604,"Published"))</f>
        <v>0</v>
      </c>
      <c r="G205" s="23">
        <f>IF(C205="","",SUMIFS(Analytics!$J$5:$J$154,Analytics!$C$5:$C$154,C205))</f>
        <v>0</v>
      </c>
      <c r="H205" s="23">
        <f>IF(C205="","",SUMIFS(Analytics!$K$5:$K$154,Analytics!$C$5:$C$154,C205))</f>
        <v>0</v>
      </c>
      <c r="I205" s="23">
        <f>IF(C205="","",SUMIFS(Analytics!$L$5:$L$154,Analytics!$C$5:$C$154,C205))</f>
        <v>0</v>
      </c>
      <c r="J205" s="24">
        <f>IF(OR(G205="",G205=0),"",I205/G205)</f>
        <v>0</v>
      </c>
      <c r="K205" s="23">
        <f>IF(C205="","",SUMIFS(Analytics!$G$5:$G$154,Analytics!$C$5:$C$154,C205))</f>
        <v>0</v>
      </c>
      <c r="L205" s="23">
        <f>IF(C205="","",SUMIFS(Analytics!$X$5:$X$154,Analytics!$C$5:$C$154,C205))</f>
        <v>0</v>
      </c>
      <c r="M205" s="23">
        <f>IF(C205="","",SUMIFS(Analytics!$R$5:$R$154,Analytics!$C$5:$C$154,C205))</f>
        <v>0</v>
      </c>
      <c r="N205" s="23">
        <f>IF(C205="","",SUMIFS(Analytics!$S$5:$S$154,Analytics!$C$5:$C$154,C205))</f>
        <v>0</v>
      </c>
      <c r="O205" s="23">
        <f>IF(C205="","",SUMIFS(Analytics!$T$5:$T$154,Analytics!$C$5:$C$154,C205))</f>
        <v>0</v>
      </c>
      <c r="P205" s="25">
        <f>IF(C205="","",SUMIFS(Analytics!$U$5:$U$154,Analytics!$C$5:$C$154,C205))</f>
        <v>0</v>
      </c>
      <c r="Q205" s="25">
        <f>IF(C205="","",SUMIFS(Budget!$H$5:$H$64,Budget!$C$5:$C$64,C205))</f>
        <v>0</v>
      </c>
      <c r="R205" s="25">
        <f>IF(C205="","",P205-Q205)</f>
        <v>0</v>
      </c>
      <c r="S205" s="23">
        <f>IF(C205="","",MonthlyPostTarget)</f>
        <v>0</v>
      </c>
      <c r="T205" s="17">
        <f>IF(Lists!$C205="","",Lists!$C205)</f>
        <v>0</v>
      </c>
      <c r="U205" s="23">
        <f>IF(T205="","",COUNTIFS('Content Calendar'!$G$5:$G$604,T205,'Content Calendar'!$B$5:$B$604,"&gt;="&amp;DashStart,'Content Calendar'!$B$5:$B$604,"&lt;="&amp;DashEnd))</f>
        <v>0</v>
      </c>
      <c r="V205" s="23">
        <f>IF(T205="","",COUNTIFS('Content Calendar'!$G$5:$G$604,T205,'Content Calendar'!$X$5:$X$604,"Published",'Content Calendar'!$B$5:$B$604,"&gt;="&amp;DashStart,'Content Calendar'!$B$5:$B$604,"&lt;="&amp;DashEnd))</f>
        <v>0</v>
      </c>
      <c r="W205" s="23">
        <f>IF(T205="","",SUMIFS(Analytics!$J$5:$J$154,Analytics!$D$5:$D$154,T205,Analytics!$B$5:$B$154,"&gt;="&amp;DashStart,Analytics!$B$5:$B$154,"&lt;="&amp;DashEnd))</f>
        <v>0</v>
      </c>
      <c r="X205" s="23">
        <f>IF(T205="","",SUMIFS(Analytics!$L$5:$L$154,Analytics!$D$5:$D$154,T205,Analytics!$B$5:$B$154,"&gt;="&amp;DashStart,Analytics!$B$5:$B$154,"&lt;="&amp;DashEnd))</f>
        <v>0</v>
      </c>
      <c r="Y205" s="24">
        <f>IF(OR(W205="",W205=0),"",X205/W205)</f>
        <v>0</v>
      </c>
      <c r="Z205" s="23">
        <f>IF(T205="","",SUMIFS(Analytics!$G$5:$G$154,Analytics!$D$5:$D$154,T205,Analytics!$B$5:$B$154,"&gt;="&amp;DashStart,Analytics!$B$5:$B$154,"&lt;="&amp;DashEnd))</f>
        <v>0</v>
      </c>
      <c r="AA205" s="23">
        <f>IF(T205="","",SUMIFS(Analytics!$X$5:$X$154,Analytics!$D$5:$D$154,T205,Analytics!$B$5:$B$154,"&gt;="&amp;DashStart,Analytics!$B$5:$B$154,"&lt;="&amp;DashEnd))</f>
        <v>0</v>
      </c>
      <c r="AB205" s="23">
        <f>IF(T205="","",SUMIFS(Analytics!$R$5:$R$154,Analytics!$D$5:$D$154,T205,Analytics!$B$5:$B$154,"&gt;="&amp;DashStart,Analytics!$B$5:$B$154,"&lt;="&amp;DashEnd))</f>
        <v>0</v>
      </c>
      <c r="AC205" s="25">
        <f>IF(T205="","",SUMIFS(Analytics!$U$5:$U$154,Analytics!$D$5:$D$154,T205,Analytics!$B$5:$B$154,"&gt;="&amp;DashStart,Analytics!$B$5:$B$154,"&lt;="&amp;DashEnd))</f>
        <v>0</v>
      </c>
      <c r="AD205" s="23">
        <f>IF(T205="","",COUNTIFS('Content Calendar'!$G$5:$G$604,T205,'Content Calendar'!$B$5:$B$604,"&gt;="&amp;DATE(PlanYear,1,1),'Content Calendar'!$B$5:$B$604,"&lt;="&amp;DATE(PlanYear,12,31)))</f>
        <v>0</v>
      </c>
      <c r="AE205" s="23">
        <f>IF(T205="","",SUMIFS(Analytics!$J$5:$J$154,Analytics!$D$5:$D$154,T205))</f>
        <v>0</v>
      </c>
      <c r="AF205" s="23">
        <f>IF(T205="","",SUMIFS(Analytics!$L$5:$L$154,Analytics!$D$5:$D$154,T205))</f>
        <v>0</v>
      </c>
      <c r="AG205" s="24">
        <f>IF(OR(AE205="",AE205=0),"",AF205/AE205)</f>
        <v>0</v>
      </c>
      <c r="AH205" s="23">
        <f>IF(T205="","",SUMIFS(Analytics!$X$5:$X$154,Analytics!$D$5:$D$154,T205))</f>
        <v>0</v>
      </c>
      <c r="AI205" s="32">
        <f>IF(T205="","",IF(AE205=0,"",AE205+ROW()/1000000))</f>
        <v>0</v>
      </c>
      <c r="AJ205" s="17">
        <f>IF('Content Pillars'!$B$205="","",'Content Pillars'!$B$205)</f>
        <v>0</v>
      </c>
      <c r="AK205" s="23">
        <f>IF(AJ205="","",COUNTIFS('Content Calendar'!$J$5:$J$604,AJ205,'Content Calendar'!$B$5:$B$604,"&gt;="&amp;DATE(PlanYear,1,1),'Content Calendar'!$B$5:$B$604,"&lt;="&amp;DATE(PlanYear,12,31)))</f>
        <v>0</v>
      </c>
      <c r="AL205" s="23">
        <f>IF(AJ205="","",SUMIFS(Performance!$O$5:$O$404,Performance!$H$5:$H$404,AJ205))</f>
        <v>0</v>
      </c>
      <c r="AM205" s="23">
        <f>IF(AJ205="","",SUMIFS(Performance!$Z$5:$Z$404,Performance!$H$5:$H$404,AJ205))</f>
        <v>0</v>
      </c>
      <c r="AN205" s="24">
        <f>IF(OR(AL205="",AL205=0),"",AM205/AL205)</f>
        <v>0</v>
      </c>
      <c r="AO205" s="32">
        <f>IF(AN205="","",AN205+ROW()/1000000)</f>
        <v>0</v>
      </c>
      <c r="AP205" s="17">
        <f>IF(Lists!$E205="","",Lists!$E205)</f>
        <v>0</v>
      </c>
      <c r="AQ205" s="23">
        <f>IF(AP205="","",COUNTIF(Performance!$G$5:$G$404,AP205))</f>
        <v>0</v>
      </c>
      <c r="AR205" s="23">
        <f>IF(AP205="","",SUMIFS(Performance!$O$5:$O$404,Performance!$G$5:$G$404,AP205))</f>
        <v>0</v>
      </c>
      <c r="AS205" s="23">
        <f>IF(AP205="","",SUMIFS(Performance!$Z$5:$Z$404,Performance!$G$5:$G$404,AP205))</f>
        <v>0</v>
      </c>
      <c r="AT205" s="24">
        <f>IF(OR(AR205="",AR205=0),"",AS205/AR205)</f>
        <v>0</v>
      </c>
      <c r="AU205" s="32">
        <f>IF(AQ205=0,"",IF(AT205="","",AT205+ROW()/1000000))</f>
        <v>0</v>
      </c>
      <c r="AV205" s="17">
        <f>IF(ROW()-4&gt;7,"",TEXT(DATE(2024,1,ROW()-4),"ddd"))</f>
        <v>0</v>
      </c>
      <c r="AW205" s="23">
        <f>IF(AV205="","",COUNTIF(Performance!$N$5:$N$404,AV205))</f>
        <v>0</v>
      </c>
      <c r="AX205" s="23">
        <f>IF(AV205="","",SUMIFS(Performance!$O$5:$O$404,Performance!$N$5:$N$404,AV205))</f>
        <v>0</v>
      </c>
      <c r="AY205" s="23">
        <f>IF(AV205="","",SUMIFS(Performance!$Z$5:$Z$404,Performance!$N$5:$N$404,AV205))</f>
        <v>0</v>
      </c>
      <c r="AZ205" s="24">
        <f>IF(OR(AX205="",AX205=0),"",AY205/AX205)</f>
        <v>0</v>
      </c>
      <c r="BA205" s="32">
        <f>IF(AW205=0,"",IF(AZ205="","",AZ205+ROW()/1000000))</f>
        <v>0</v>
      </c>
      <c r="BB205" s="17">
        <f>IF(Lists!$AL205="","",Lists!$AL205)</f>
        <v>0</v>
      </c>
      <c r="BC205" s="23">
        <f>IF(BB205="","",COUNTIF(Performance!$M$5:$M$404,BB205))</f>
        <v>0</v>
      </c>
      <c r="BD205" s="23">
        <f>IF(BB205="","",SUMIFS(Performance!$O$5:$O$404,Performance!$M$5:$M$404,BB205))</f>
        <v>0</v>
      </c>
      <c r="BE205" s="23">
        <f>IF(BB205="","",SUMIFS(Performance!$Z$5:$Z$404,Performance!$M$5:$M$404,BB205))</f>
        <v>0</v>
      </c>
      <c r="BF205" s="24">
        <f>IF(OR(BD205="",BD205=0),"",BE205/BD205)</f>
        <v>0</v>
      </c>
      <c r="BG205" s="32">
        <f>IF(BC205=0,"",IF(BF205="","",BF205+ROW()/1000000))</f>
        <v>0</v>
      </c>
      <c r="BH205" s="17">
        <f>IF(Performance!$C$205="","",Performance!$C$205)</f>
        <v>0</v>
      </c>
      <c r="BI205" s="17">
        <f>IF(Performance!$F$205="","",Performance!$F$205)</f>
        <v>0</v>
      </c>
      <c r="BJ205" s="17">
        <f>IF(Performance!$H$205="","",Performance!$H$205)</f>
        <v>0</v>
      </c>
      <c r="BK205" s="16">
        <f>IF(Performance!$D$205="","",Performance!$D$205)</f>
        <v>0</v>
      </c>
      <c r="BL205" s="17">
        <f>IF(Performance!$E$205="","",Performance!$E$205)</f>
        <v>0</v>
      </c>
      <c r="BM205" s="23">
        <f>IF(Performance!$O$205="","",Performance!$O$205)</f>
        <v>0</v>
      </c>
      <c r="BN205" s="24">
        <f>IF(Performance!$AA$205="","",Performance!$AA$205)</f>
        <v>0</v>
      </c>
      <c r="BO205" s="32">
        <f>IF(BH205="","",IF(BK205="","",IF(OR(BK205&lt;DashStart,BK205&gt;DashEnd),"",IF(BN205="","",BN205+ROW()/1000000))))</f>
        <v>0</v>
      </c>
      <c r="BP205" s="32">
        <f>IF(BM205="","",IF(BK205="","",IF(OR(BK205&lt;DashStart,BK205&gt;DashEnd),"",BM205+ROW()/1000000)))</f>
        <v>0</v>
      </c>
      <c r="BQ205" s="32">
        <f>IF(BH205="","",IF(BK205="","",IF(YEAR(BK205)&lt;&gt;PlanYear,"",IF(BN205="","",BN205+ROW()/1000000))))</f>
        <v>0</v>
      </c>
      <c r="BR205" s="32">
        <f>IF(BH205="","",IF(BK205="","",IF(OR(BK205&lt;RepFrom,BK205&gt;RepTo),"",IF(BN205="","",BN205+ROW()/1000000))))</f>
        <v>0</v>
      </c>
      <c r="BS205" s="32">
        <f>IF(BM205="","",IF(BK205="","",IF(YEAR(BK205)&lt;&gt;PlanYear,"",BM205+ROW()/1000000)))</f>
        <v>0</v>
      </c>
      <c r="BT205" s="17">
        <f>IF(Lists!$F205="","",Lists!$F205)</f>
        <v>0</v>
      </c>
      <c r="BU205" s="23">
        <f>IF(BT205="","",COUNTIF('Content Calendar'!$X$5:$X$604,BT205))</f>
        <v>0</v>
      </c>
      <c r="BV205" s="23">
        <f>IF(BT205="","",COUNTIFS('Content Calendar'!$X$5:$X$604,BT205,'Content Calendar'!$B$5:$B$604,"&gt;="&amp;DashStart,'Content Calendar'!$B$5:$B$604,"&lt;="&amp;DashEnd))</f>
        <v>0</v>
      </c>
      <c r="BW205" s="17">
        <f>IF(Team!$B$205="","",Team!$B$205)</f>
        <v>0</v>
      </c>
      <c r="BX205" s="23">
        <f>IF(BW205="","",COUNTIF('Content Calendar'!$W$5:$W$604,BW205))</f>
        <v>0</v>
      </c>
      <c r="BY205" s="23">
        <f>IF(BW205="","",COUNTIFS('Content Calendar'!$W$5:$W$604,BW205,'Content Calendar'!$X$5:$X$604,"&lt;&gt;Published"))</f>
        <v>0</v>
      </c>
      <c r="BZ205" s="23">
        <f>IF(BW205="","",COUNTIFS(Tasks!$C$5:$C$64,BW205,Tasks!$G$5:$G$64,"&lt;&gt;Complete"))</f>
        <v>0</v>
      </c>
      <c r="CA205" s="17">
        <f>IF(Campaigns!$B$205="","",Campaigns!$B$205)</f>
        <v>0</v>
      </c>
      <c r="CB205" s="25">
        <f>IF(Campaigns!$T$205="","",Campaigns!$T$205)</f>
        <v>0</v>
      </c>
      <c r="CC205" s="25">
        <f>IF(Campaigns!$Q$205="","",Campaigns!$Q$205)</f>
        <v>0</v>
      </c>
      <c r="CD205" s="23">
        <f>IF(Campaigns!$Y$205="","",Campaigns!$Y$205)</f>
        <v>0</v>
      </c>
      <c r="CE205" s="32">
        <f>IF(CA205="","",IF(N(CB205)&lt;=0,"",N(CB205)+ROW()/1000000))</f>
        <v>0</v>
      </c>
      <c r="CF205" s="17">
        <f>IF(Accounts!$C$205="","",Accounts!$C$205)</f>
        <v>0</v>
      </c>
      <c r="CG205" s="17">
        <f>IF(Accounts!$B$205="","",Accounts!$B$205)</f>
        <v>0</v>
      </c>
      <c r="CH205" s="23">
        <f>IF(Accounts!$J$205="","",Accounts!$J$205)</f>
        <v>0</v>
      </c>
      <c r="CI205" s="23">
        <f>IF(CF205="","",SUMIFS(Analytics!$X$5:$X$154,Analytics!$E$5:$E$154,CF205,Analytics!$B$5:$B$154,"&gt;="&amp;DashStart,Analytics!$B$5:$B$154,"&lt;="&amp;DashEnd))</f>
        <v>0</v>
      </c>
      <c r="CJ205" s="32">
        <f>IF(CH205="","",IF(CH205=0,"",CH205+ROW()/1000000))</f>
        <v>0</v>
      </c>
    </row>
    <row r="206" spans="1:88">
      <c r="A206" s="16">
        <f>IF(ROW()-4&gt;12,"",DATE(PlanYear,ROW()-4,1))</f>
        <v>0</v>
      </c>
      <c r="B206" s="16">
        <f>IF(A206="","",EOMONTH(A206,0))</f>
        <v>0</v>
      </c>
      <c r="C206" s="17">
        <f>IF(A206="","",TEXT(A206,"yyyy-mm"))</f>
        <v>0</v>
      </c>
      <c r="D206" s="17">
        <f>IF(A206="","",TEXT(A206,"mmm"))</f>
        <v>0</v>
      </c>
      <c r="E206" s="23">
        <f>IF(C206="","",COUNTIFS('Content Calendar'!$D$5:$D$604,C206))</f>
        <v>0</v>
      </c>
      <c r="F206" s="23">
        <f>IF(C206="","",COUNTIFS('Content Calendar'!$D$5:$D$604,C206,'Content Calendar'!$X$5:$X$604,"Published"))</f>
        <v>0</v>
      </c>
      <c r="G206" s="23">
        <f>IF(C206="","",SUMIFS(Analytics!$J$5:$J$154,Analytics!$C$5:$C$154,C206))</f>
        <v>0</v>
      </c>
      <c r="H206" s="23">
        <f>IF(C206="","",SUMIFS(Analytics!$K$5:$K$154,Analytics!$C$5:$C$154,C206))</f>
        <v>0</v>
      </c>
      <c r="I206" s="23">
        <f>IF(C206="","",SUMIFS(Analytics!$L$5:$L$154,Analytics!$C$5:$C$154,C206))</f>
        <v>0</v>
      </c>
      <c r="J206" s="24">
        <f>IF(OR(G206="",G206=0),"",I206/G206)</f>
        <v>0</v>
      </c>
      <c r="K206" s="23">
        <f>IF(C206="","",SUMIFS(Analytics!$G$5:$G$154,Analytics!$C$5:$C$154,C206))</f>
        <v>0</v>
      </c>
      <c r="L206" s="23">
        <f>IF(C206="","",SUMIFS(Analytics!$X$5:$X$154,Analytics!$C$5:$C$154,C206))</f>
        <v>0</v>
      </c>
      <c r="M206" s="23">
        <f>IF(C206="","",SUMIFS(Analytics!$R$5:$R$154,Analytics!$C$5:$C$154,C206))</f>
        <v>0</v>
      </c>
      <c r="N206" s="23">
        <f>IF(C206="","",SUMIFS(Analytics!$S$5:$S$154,Analytics!$C$5:$C$154,C206))</f>
        <v>0</v>
      </c>
      <c r="O206" s="23">
        <f>IF(C206="","",SUMIFS(Analytics!$T$5:$T$154,Analytics!$C$5:$C$154,C206))</f>
        <v>0</v>
      </c>
      <c r="P206" s="25">
        <f>IF(C206="","",SUMIFS(Analytics!$U$5:$U$154,Analytics!$C$5:$C$154,C206))</f>
        <v>0</v>
      </c>
      <c r="Q206" s="25">
        <f>IF(C206="","",SUMIFS(Budget!$H$5:$H$64,Budget!$C$5:$C$64,C206))</f>
        <v>0</v>
      </c>
      <c r="R206" s="25">
        <f>IF(C206="","",P206-Q206)</f>
        <v>0</v>
      </c>
      <c r="S206" s="23">
        <f>IF(C206="","",MonthlyPostTarget)</f>
        <v>0</v>
      </c>
      <c r="T206" s="17">
        <f>IF(Lists!$C206="","",Lists!$C206)</f>
        <v>0</v>
      </c>
      <c r="U206" s="23">
        <f>IF(T206="","",COUNTIFS('Content Calendar'!$G$5:$G$604,T206,'Content Calendar'!$B$5:$B$604,"&gt;="&amp;DashStart,'Content Calendar'!$B$5:$B$604,"&lt;="&amp;DashEnd))</f>
        <v>0</v>
      </c>
      <c r="V206" s="23">
        <f>IF(T206="","",COUNTIFS('Content Calendar'!$G$5:$G$604,T206,'Content Calendar'!$X$5:$X$604,"Published",'Content Calendar'!$B$5:$B$604,"&gt;="&amp;DashStart,'Content Calendar'!$B$5:$B$604,"&lt;="&amp;DashEnd))</f>
        <v>0</v>
      </c>
      <c r="W206" s="23">
        <f>IF(T206="","",SUMIFS(Analytics!$J$5:$J$154,Analytics!$D$5:$D$154,T206,Analytics!$B$5:$B$154,"&gt;="&amp;DashStart,Analytics!$B$5:$B$154,"&lt;="&amp;DashEnd))</f>
        <v>0</v>
      </c>
      <c r="X206" s="23">
        <f>IF(T206="","",SUMIFS(Analytics!$L$5:$L$154,Analytics!$D$5:$D$154,T206,Analytics!$B$5:$B$154,"&gt;="&amp;DashStart,Analytics!$B$5:$B$154,"&lt;="&amp;DashEnd))</f>
        <v>0</v>
      </c>
      <c r="Y206" s="24">
        <f>IF(OR(W206="",W206=0),"",X206/W206)</f>
        <v>0</v>
      </c>
      <c r="Z206" s="23">
        <f>IF(T206="","",SUMIFS(Analytics!$G$5:$G$154,Analytics!$D$5:$D$154,T206,Analytics!$B$5:$B$154,"&gt;="&amp;DashStart,Analytics!$B$5:$B$154,"&lt;="&amp;DashEnd))</f>
        <v>0</v>
      </c>
      <c r="AA206" s="23">
        <f>IF(T206="","",SUMIFS(Analytics!$X$5:$X$154,Analytics!$D$5:$D$154,T206,Analytics!$B$5:$B$154,"&gt;="&amp;DashStart,Analytics!$B$5:$B$154,"&lt;="&amp;DashEnd))</f>
        <v>0</v>
      </c>
      <c r="AB206" s="23">
        <f>IF(T206="","",SUMIFS(Analytics!$R$5:$R$154,Analytics!$D$5:$D$154,T206,Analytics!$B$5:$B$154,"&gt;="&amp;DashStart,Analytics!$B$5:$B$154,"&lt;="&amp;DashEnd))</f>
        <v>0</v>
      </c>
      <c r="AC206" s="25">
        <f>IF(T206="","",SUMIFS(Analytics!$U$5:$U$154,Analytics!$D$5:$D$154,T206,Analytics!$B$5:$B$154,"&gt;="&amp;DashStart,Analytics!$B$5:$B$154,"&lt;="&amp;DashEnd))</f>
        <v>0</v>
      </c>
      <c r="AD206" s="23">
        <f>IF(T206="","",COUNTIFS('Content Calendar'!$G$5:$G$604,T206,'Content Calendar'!$B$5:$B$604,"&gt;="&amp;DATE(PlanYear,1,1),'Content Calendar'!$B$5:$B$604,"&lt;="&amp;DATE(PlanYear,12,31)))</f>
        <v>0</v>
      </c>
      <c r="AE206" s="23">
        <f>IF(T206="","",SUMIFS(Analytics!$J$5:$J$154,Analytics!$D$5:$D$154,T206))</f>
        <v>0</v>
      </c>
      <c r="AF206" s="23">
        <f>IF(T206="","",SUMIFS(Analytics!$L$5:$L$154,Analytics!$D$5:$D$154,T206))</f>
        <v>0</v>
      </c>
      <c r="AG206" s="24">
        <f>IF(OR(AE206="",AE206=0),"",AF206/AE206)</f>
        <v>0</v>
      </c>
      <c r="AH206" s="23">
        <f>IF(T206="","",SUMIFS(Analytics!$X$5:$X$154,Analytics!$D$5:$D$154,T206))</f>
        <v>0</v>
      </c>
      <c r="AI206" s="32">
        <f>IF(T206="","",IF(AE206=0,"",AE206+ROW()/1000000))</f>
        <v>0</v>
      </c>
      <c r="AJ206" s="17">
        <f>IF('Content Pillars'!$B$206="","",'Content Pillars'!$B$206)</f>
        <v>0</v>
      </c>
      <c r="AK206" s="23">
        <f>IF(AJ206="","",COUNTIFS('Content Calendar'!$J$5:$J$604,AJ206,'Content Calendar'!$B$5:$B$604,"&gt;="&amp;DATE(PlanYear,1,1),'Content Calendar'!$B$5:$B$604,"&lt;="&amp;DATE(PlanYear,12,31)))</f>
        <v>0</v>
      </c>
      <c r="AL206" s="23">
        <f>IF(AJ206="","",SUMIFS(Performance!$O$5:$O$404,Performance!$H$5:$H$404,AJ206))</f>
        <v>0</v>
      </c>
      <c r="AM206" s="23">
        <f>IF(AJ206="","",SUMIFS(Performance!$Z$5:$Z$404,Performance!$H$5:$H$404,AJ206))</f>
        <v>0</v>
      </c>
      <c r="AN206" s="24">
        <f>IF(OR(AL206="",AL206=0),"",AM206/AL206)</f>
        <v>0</v>
      </c>
      <c r="AO206" s="32">
        <f>IF(AN206="","",AN206+ROW()/1000000)</f>
        <v>0</v>
      </c>
      <c r="AP206" s="17">
        <f>IF(Lists!$E206="","",Lists!$E206)</f>
        <v>0</v>
      </c>
      <c r="AQ206" s="23">
        <f>IF(AP206="","",COUNTIF(Performance!$G$5:$G$404,AP206))</f>
        <v>0</v>
      </c>
      <c r="AR206" s="23">
        <f>IF(AP206="","",SUMIFS(Performance!$O$5:$O$404,Performance!$G$5:$G$404,AP206))</f>
        <v>0</v>
      </c>
      <c r="AS206" s="23">
        <f>IF(AP206="","",SUMIFS(Performance!$Z$5:$Z$404,Performance!$G$5:$G$404,AP206))</f>
        <v>0</v>
      </c>
      <c r="AT206" s="24">
        <f>IF(OR(AR206="",AR206=0),"",AS206/AR206)</f>
        <v>0</v>
      </c>
      <c r="AU206" s="32">
        <f>IF(AQ206=0,"",IF(AT206="","",AT206+ROW()/1000000))</f>
        <v>0</v>
      </c>
      <c r="AV206" s="17">
        <f>IF(ROW()-4&gt;7,"",TEXT(DATE(2024,1,ROW()-4),"ddd"))</f>
        <v>0</v>
      </c>
      <c r="AW206" s="23">
        <f>IF(AV206="","",COUNTIF(Performance!$N$5:$N$404,AV206))</f>
        <v>0</v>
      </c>
      <c r="AX206" s="23">
        <f>IF(AV206="","",SUMIFS(Performance!$O$5:$O$404,Performance!$N$5:$N$404,AV206))</f>
        <v>0</v>
      </c>
      <c r="AY206" s="23">
        <f>IF(AV206="","",SUMIFS(Performance!$Z$5:$Z$404,Performance!$N$5:$N$404,AV206))</f>
        <v>0</v>
      </c>
      <c r="AZ206" s="24">
        <f>IF(OR(AX206="",AX206=0),"",AY206/AX206)</f>
        <v>0</v>
      </c>
      <c r="BA206" s="32">
        <f>IF(AW206=0,"",IF(AZ206="","",AZ206+ROW()/1000000))</f>
        <v>0</v>
      </c>
      <c r="BB206" s="17">
        <f>IF(Lists!$AL206="","",Lists!$AL206)</f>
        <v>0</v>
      </c>
      <c r="BC206" s="23">
        <f>IF(BB206="","",COUNTIF(Performance!$M$5:$M$404,BB206))</f>
        <v>0</v>
      </c>
      <c r="BD206" s="23">
        <f>IF(BB206="","",SUMIFS(Performance!$O$5:$O$404,Performance!$M$5:$M$404,BB206))</f>
        <v>0</v>
      </c>
      <c r="BE206" s="23">
        <f>IF(BB206="","",SUMIFS(Performance!$Z$5:$Z$404,Performance!$M$5:$M$404,BB206))</f>
        <v>0</v>
      </c>
      <c r="BF206" s="24">
        <f>IF(OR(BD206="",BD206=0),"",BE206/BD206)</f>
        <v>0</v>
      </c>
      <c r="BG206" s="32">
        <f>IF(BC206=0,"",IF(BF206="","",BF206+ROW()/1000000))</f>
        <v>0</v>
      </c>
      <c r="BH206" s="17">
        <f>IF(Performance!$C$206="","",Performance!$C$206)</f>
        <v>0</v>
      </c>
      <c r="BI206" s="17">
        <f>IF(Performance!$F$206="","",Performance!$F$206)</f>
        <v>0</v>
      </c>
      <c r="BJ206" s="17">
        <f>IF(Performance!$H$206="","",Performance!$H$206)</f>
        <v>0</v>
      </c>
      <c r="BK206" s="16">
        <f>IF(Performance!$D$206="","",Performance!$D$206)</f>
        <v>0</v>
      </c>
      <c r="BL206" s="17">
        <f>IF(Performance!$E$206="","",Performance!$E$206)</f>
        <v>0</v>
      </c>
      <c r="BM206" s="23">
        <f>IF(Performance!$O$206="","",Performance!$O$206)</f>
        <v>0</v>
      </c>
      <c r="BN206" s="24">
        <f>IF(Performance!$AA$206="","",Performance!$AA$206)</f>
        <v>0</v>
      </c>
      <c r="BO206" s="32">
        <f>IF(BH206="","",IF(BK206="","",IF(OR(BK206&lt;DashStart,BK206&gt;DashEnd),"",IF(BN206="","",BN206+ROW()/1000000))))</f>
        <v>0</v>
      </c>
      <c r="BP206" s="32">
        <f>IF(BM206="","",IF(BK206="","",IF(OR(BK206&lt;DashStart,BK206&gt;DashEnd),"",BM206+ROW()/1000000)))</f>
        <v>0</v>
      </c>
      <c r="BQ206" s="32">
        <f>IF(BH206="","",IF(BK206="","",IF(YEAR(BK206)&lt;&gt;PlanYear,"",IF(BN206="","",BN206+ROW()/1000000))))</f>
        <v>0</v>
      </c>
      <c r="BR206" s="32">
        <f>IF(BH206="","",IF(BK206="","",IF(OR(BK206&lt;RepFrom,BK206&gt;RepTo),"",IF(BN206="","",BN206+ROW()/1000000))))</f>
        <v>0</v>
      </c>
      <c r="BS206" s="32">
        <f>IF(BM206="","",IF(BK206="","",IF(YEAR(BK206)&lt;&gt;PlanYear,"",BM206+ROW()/1000000)))</f>
        <v>0</v>
      </c>
      <c r="BT206" s="17">
        <f>IF(Lists!$F206="","",Lists!$F206)</f>
        <v>0</v>
      </c>
      <c r="BU206" s="23">
        <f>IF(BT206="","",COUNTIF('Content Calendar'!$X$5:$X$604,BT206))</f>
        <v>0</v>
      </c>
      <c r="BV206" s="23">
        <f>IF(BT206="","",COUNTIFS('Content Calendar'!$X$5:$X$604,BT206,'Content Calendar'!$B$5:$B$604,"&gt;="&amp;DashStart,'Content Calendar'!$B$5:$B$604,"&lt;="&amp;DashEnd))</f>
        <v>0</v>
      </c>
      <c r="BW206" s="17">
        <f>IF(Team!$B$206="","",Team!$B$206)</f>
        <v>0</v>
      </c>
      <c r="BX206" s="23">
        <f>IF(BW206="","",COUNTIF('Content Calendar'!$W$5:$W$604,BW206))</f>
        <v>0</v>
      </c>
      <c r="BY206" s="23">
        <f>IF(BW206="","",COUNTIFS('Content Calendar'!$W$5:$W$604,BW206,'Content Calendar'!$X$5:$X$604,"&lt;&gt;Published"))</f>
        <v>0</v>
      </c>
      <c r="BZ206" s="23">
        <f>IF(BW206="","",COUNTIFS(Tasks!$C$5:$C$64,BW206,Tasks!$G$5:$G$64,"&lt;&gt;Complete"))</f>
        <v>0</v>
      </c>
      <c r="CA206" s="17">
        <f>IF(Campaigns!$B$206="","",Campaigns!$B$206)</f>
        <v>0</v>
      </c>
      <c r="CB206" s="25">
        <f>IF(Campaigns!$T$206="","",Campaigns!$T$206)</f>
        <v>0</v>
      </c>
      <c r="CC206" s="25">
        <f>IF(Campaigns!$Q$206="","",Campaigns!$Q$206)</f>
        <v>0</v>
      </c>
      <c r="CD206" s="23">
        <f>IF(Campaigns!$Y$206="","",Campaigns!$Y$206)</f>
        <v>0</v>
      </c>
      <c r="CE206" s="32">
        <f>IF(CA206="","",IF(N(CB206)&lt;=0,"",N(CB206)+ROW()/1000000))</f>
        <v>0</v>
      </c>
      <c r="CF206" s="17">
        <f>IF(Accounts!$C$206="","",Accounts!$C$206)</f>
        <v>0</v>
      </c>
      <c r="CG206" s="17">
        <f>IF(Accounts!$B$206="","",Accounts!$B$206)</f>
        <v>0</v>
      </c>
      <c r="CH206" s="23">
        <f>IF(Accounts!$J$206="","",Accounts!$J$206)</f>
        <v>0</v>
      </c>
      <c r="CI206" s="23">
        <f>IF(CF206="","",SUMIFS(Analytics!$X$5:$X$154,Analytics!$E$5:$E$154,CF206,Analytics!$B$5:$B$154,"&gt;="&amp;DashStart,Analytics!$B$5:$B$154,"&lt;="&amp;DashEnd))</f>
        <v>0</v>
      </c>
      <c r="CJ206" s="32">
        <f>IF(CH206="","",IF(CH206=0,"",CH206+ROW()/1000000))</f>
        <v>0</v>
      </c>
    </row>
    <row r="207" spans="1:88">
      <c r="A207" s="16">
        <f>IF(ROW()-4&gt;12,"",DATE(PlanYear,ROW()-4,1))</f>
        <v>0</v>
      </c>
      <c r="B207" s="16">
        <f>IF(A207="","",EOMONTH(A207,0))</f>
        <v>0</v>
      </c>
      <c r="C207" s="17">
        <f>IF(A207="","",TEXT(A207,"yyyy-mm"))</f>
        <v>0</v>
      </c>
      <c r="D207" s="17">
        <f>IF(A207="","",TEXT(A207,"mmm"))</f>
        <v>0</v>
      </c>
      <c r="E207" s="23">
        <f>IF(C207="","",COUNTIFS('Content Calendar'!$D$5:$D$604,C207))</f>
        <v>0</v>
      </c>
      <c r="F207" s="23">
        <f>IF(C207="","",COUNTIFS('Content Calendar'!$D$5:$D$604,C207,'Content Calendar'!$X$5:$X$604,"Published"))</f>
        <v>0</v>
      </c>
      <c r="G207" s="23">
        <f>IF(C207="","",SUMIFS(Analytics!$J$5:$J$154,Analytics!$C$5:$C$154,C207))</f>
        <v>0</v>
      </c>
      <c r="H207" s="23">
        <f>IF(C207="","",SUMIFS(Analytics!$K$5:$K$154,Analytics!$C$5:$C$154,C207))</f>
        <v>0</v>
      </c>
      <c r="I207" s="23">
        <f>IF(C207="","",SUMIFS(Analytics!$L$5:$L$154,Analytics!$C$5:$C$154,C207))</f>
        <v>0</v>
      </c>
      <c r="J207" s="24">
        <f>IF(OR(G207="",G207=0),"",I207/G207)</f>
        <v>0</v>
      </c>
      <c r="K207" s="23">
        <f>IF(C207="","",SUMIFS(Analytics!$G$5:$G$154,Analytics!$C$5:$C$154,C207))</f>
        <v>0</v>
      </c>
      <c r="L207" s="23">
        <f>IF(C207="","",SUMIFS(Analytics!$X$5:$X$154,Analytics!$C$5:$C$154,C207))</f>
        <v>0</v>
      </c>
      <c r="M207" s="23">
        <f>IF(C207="","",SUMIFS(Analytics!$R$5:$R$154,Analytics!$C$5:$C$154,C207))</f>
        <v>0</v>
      </c>
      <c r="N207" s="23">
        <f>IF(C207="","",SUMIFS(Analytics!$S$5:$S$154,Analytics!$C$5:$C$154,C207))</f>
        <v>0</v>
      </c>
      <c r="O207" s="23">
        <f>IF(C207="","",SUMIFS(Analytics!$T$5:$T$154,Analytics!$C$5:$C$154,C207))</f>
        <v>0</v>
      </c>
      <c r="P207" s="25">
        <f>IF(C207="","",SUMIFS(Analytics!$U$5:$U$154,Analytics!$C$5:$C$154,C207))</f>
        <v>0</v>
      </c>
      <c r="Q207" s="25">
        <f>IF(C207="","",SUMIFS(Budget!$H$5:$H$64,Budget!$C$5:$C$64,C207))</f>
        <v>0</v>
      </c>
      <c r="R207" s="25">
        <f>IF(C207="","",P207-Q207)</f>
        <v>0</v>
      </c>
      <c r="S207" s="23">
        <f>IF(C207="","",MonthlyPostTarget)</f>
        <v>0</v>
      </c>
      <c r="T207" s="17">
        <f>IF(Lists!$C207="","",Lists!$C207)</f>
        <v>0</v>
      </c>
      <c r="U207" s="23">
        <f>IF(T207="","",COUNTIFS('Content Calendar'!$G$5:$G$604,T207,'Content Calendar'!$B$5:$B$604,"&gt;="&amp;DashStart,'Content Calendar'!$B$5:$B$604,"&lt;="&amp;DashEnd))</f>
        <v>0</v>
      </c>
      <c r="V207" s="23">
        <f>IF(T207="","",COUNTIFS('Content Calendar'!$G$5:$G$604,T207,'Content Calendar'!$X$5:$X$604,"Published",'Content Calendar'!$B$5:$B$604,"&gt;="&amp;DashStart,'Content Calendar'!$B$5:$B$604,"&lt;="&amp;DashEnd))</f>
        <v>0</v>
      </c>
      <c r="W207" s="23">
        <f>IF(T207="","",SUMIFS(Analytics!$J$5:$J$154,Analytics!$D$5:$D$154,T207,Analytics!$B$5:$B$154,"&gt;="&amp;DashStart,Analytics!$B$5:$B$154,"&lt;="&amp;DashEnd))</f>
        <v>0</v>
      </c>
      <c r="X207" s="23">
        <f>IF(T207="","",SUMIFS(Analytics!$L$5:$L$154,Analytics!$D$5:$D$154,T207,Analytics!$B$5:$B$154,"&gt;="&amp;DashStart,Analytics!$B$5:$B$154,"&lt;="&amp;DashEnd))</f>
        <v>0</v>
      </c>
      <c r="Y207" s="24">
        <f>IF(OR(W207="",W207=0),"",X207/W207)</f>
        <v>0</v>
      </c>
      <c r="Z207" s="23">
        <f>IF(T207="","",SUMIFS(Analytics!$G$5:$G$154,Analytics!$D$5:$D$154,T207,Analytics!$B$5:$B$154,"&gt;="&amp;DashStart,Analytics!$B$5:$B$154,"&lt;="&amp;DashEnd))</f>
        <v>0</v>
      </c>
      <c r="AA207" s="23">
        <f>IF(T207="","",SUMIFS(Analytics!$X$5:$X$154,Analytics!$D$5:$D$154,T207,Analytics!$B$5:$B$154,"&gt;="&amp;DashStart,Analytics!$B$5:$B$154,"&lt;="&amp;DashEnd))</f>
        <v>0</v>
      </c>
      <c r="AB207" s="23">
        <f>IF(T207="","",SUMIFS(Analytics!$R$5:$R$154,Analytics!$D$5:$D$154,T207,Analytics!$B$5:$B$154,"&gt;="&amp;DashStart,Analytics!$B$5:$B$154,"&lt;="&amp;DashEnd))</f>
        <v>0</v>
      </c>
      <c r="AC207" s="25">
        <f>IF(T207="","",SUMIFS(Analytics!$U$5:$U$154,Analytics!$D$5:$D$154,T207,Analytics!$B$5:$B$154,"&gt;="&amp;DashStart,Analytics!$B$5:$B$154,"&lt;="&amp;DashEnd))</f>
        <v>0</v>
      </c>
      <c r="AD207" s="23">
        <f>IF(T207="","",COUNTIFS('Content Calendar'!$G$5:$G$604,T207,'Content Calendar'!$B$5:$B$604,"&gt;="&amp;DATE(PlanYear,1,1),'Content Calendar'!$B$5:$B$604,"&lt;="&amp;DATE(PlanYear,12,31)))</f>
        <v>0</v>
      </c>
      <c r="AE207" s="23">
        <f>IF(T207="","",SUMIFS(Analytics!$J$5:$J$154,Analytics!$D$5:$D$154,T207))</f>
        <v>0</v>
      </c>
      <c r="AF207" s="23">
        <f>IF(T207="","",SUMIFS(Analytics!$L$5:$L$154,Analytics!$D$5:$D$154,T207))</f>
        <v>0</v>
      </c>
      <c r="AG207" s="24">
        <f>IF(OR(AE207="",AE207=0),"",AF207/AE207)</f>
        <v>0</v>
      </c>
      <c r="AH207" s="23">
        <f>IF(T207="","",SUMIFS(Analytics!$X$5:$X$154,Analytics!$D$5:$D$154,T207))</f>
        <v>0</v>
      </c>
      <c r="AI207" s="32">
        <f>IF(T207="","",IF(AE207=0,"",AE207+ROW()/1000000))</f>
        <v>0</v>
      </c>
      <c r="AJ207" s="17">
        <f>IF('Content Pillars'!$B$207="","",'Content Pillars'!$B$207)</f>
        <v>0</v>
      </c>
      <c r="AK207" s="23">
        <f>IF(AJ207="","",COUNTIFS('Content Calendar'!$J$5:$J$604,AJ207,'Content Calendar'!$B$5:$B$604,"&gt;="&amp;DATE(PlanYear,1,1),'Content Calendar'!$B$5:$B$604,"&lt;="&amp;DATE(PlanYear,12,31)))</f>
        <v>0</v>
      </c>
      <c r="AL207" s="23">
        <f>IF(AJ207="","",SUMIFS(Performance!$O$5:$O$404,Performance!$H$5:$H$404,AJ207))</f>
        <v>0</v>
      </c>
      <c r="AM207" s="23">
        <f>IF(AJ207="","",SUMIFS(Performance!$Z$5:$Z$404,Performance!$H$5:$H$404,AJ207))</f>
        <v>0</v>
      </c>
      <c r="AN207" s="24">
        <f>IF(OR(AL207="",AL207=0),"",AM207/AL207)</f>
        <v>0</v>
      </c>
      <c r="AO207" s="32">
        <f>IF(AN207="","",AN207+ROW()/1000000)</f>
        <v>0</v>
      </c>
      <c r="AP207" s="17">
        <f>IF(Lists!$E207="","",Lists!$E207)</f>
        <v>0</v>
      </c>
      <c r="AQ207" s="23">
        <f>IF(AP207="","",COUNTIF(Performance!$G$5:$G$404,AP207))</f>
        <v>0</v>
      </c>
      <c r="AR207" s="23">
        <f>IF(AP207="","",SUMIFS(Performance!$O$5:$O$404,Performance!$G$5:$G$404,AP207))</f>
        <v>0</v>
      </c>
      <c r="AS207" s="23">
        <f>IF(AP207="","",SUMIFS(Performance!$Z$5:$Z$404,Performance!$G$5:$G$404,AP207))</f>
        <v>0</v>
      </c>
      <c r="AT207" s="24">
        <f>IF(OR(AR207="",AR207=0),"",AS207/AR207)</f>
        <v>0</v>
      </c>
      <c r="AU207" s="32">
        <f>IF(AQ207=0,"",IF(AT207="","",AT207+ROW()/1000000))</f>
        <v>0</v>
      </c>
      <c r="AV207" s="17">
        <f>IF(ROW()-4&gt;7,"",TEXT(DATE(2024,1,ROW()-4),"ddd"))</f>
        <v>0</v>
      </c>
      <c r="AW207" s="23">
        <f>IF(AV207="","",COUNTIF(Performance!$N$5:$N$404,AV207))</f>
        <v>0</v>
      </c>
      <c r="AX207" s="23">
        <f>IF(AV207="","",SUMIFS(Performance!$O$5:$O$404,Performance!$N$5:$N$404,AV207))</f>
        <v>0</v>
      </c>
      <c r="AY207" s="23">
        <f>IF(AV207="","",SUMIFS(Performance!$Z$5:$Z$404,Performance!$N$5:$N$404,AV207))</f>
        <v>0</v>
      </c>
      <c r="AZ207" s="24">
        <f>IF(OR(AX207="",AX207=0),"",AY207/AX207)</f>
        <v>0</v>
      </c>
      <c r="BA207" s="32">
        <f>IF(AW207=0,"",IF(AZ207="","",AZ207+ROW()/1000000))</f>
        <v>0</v>
      </c>
      <c r="BB207" s="17">
        <f>IF(Lists!$AL207="","",Lists!$AL207)</f>
        <v>0</v>
      </c>
      <c r="BC207" s="23">
        <f>IF(BB207="","",COUNTIF(Performance!$M$5:$M$404,BB207))</f>
        <v>0</v>
      </c>
      <c r="BD207" s="23">
        <f>IF(BB207="","",SUMIFS(Performance!$O$5:$O$404,Performance!$M$5:$M$404,BB207))</f>
        <v>0</v>
      </c>
      <c r="BE207" s="23">
        <f>IF(BB207="","",SUMIFS(Performance!$Z$5:$Z$404,Performance!$M$5:$M$404,BB207))</f>
        <v>0</v>
      </c>
      <c r="BF207" s="24">
        <f>IF(OR(BD207="",BD207=0),"",BE207/BD207)</f>
        <v>0</v>
      </c>
      <c r="BG207" s="32">
        <f>IF(BC207=0,"",IF(BF207="","",BF207+ROW()/1000000))</f>
        <v>0</v>
      </c>
      <c r="BH207" s="17">
        <f>IF(Performance!$C$207="","",Performance!$C$207)</f>
        <v>0</v>
      </c>
      <c r="BI207" s="17">
        <f>IF(Performance!$F$207="","",Performance!$F$207)</f>
        <v>0</v>
      </c>
      <c r="BJ207" s="17">
        <f>IF(Performance!$H$207="","",Performance!$H$207)</f>
        <v>0</v>
      </c>
      <c r="BK207" s="16">
        <f>IF(Performance!$D$207="","",Performance!$D$207)</f>
        <v>0</v>
      </c>
      <c r="BL207" s="17">
        <f>IF(Performance!$E$207="","",Performance!$E$207)</f>
        <v>0</v>
      </c>
      <c r="BM207" s="23">
        <f>IF(Performance!$O$207="","",Performance!$O$207)</f>
        <v>0</v>
      </c>
      <c r="BN207" s="24">
        <f>IF(Performance!$AA$207="","",Performance!$AA$207)</f>
        <v>0</v>
      </c>
      <c r="BO207" s="32">
        <f>IF(BH207="","",IF(BK207="","",IF(OR(BK207&lt;DashStart,BK207&gt;DashEnd),"",IF(BN207="","",BN207+ROW()/1000000))))</f>
        <v>0</v>
      </c>
      <c r="BP207" s="32">
        <f>IF(BM207="","",IF(BK207="","",IF(OR(BK207&lt;DashStart,BK207&gt;DashEnd),"",BM207+ROW()/1000000)))</f>
        <v>0</v>
      </c>
      <c r="BQ207" s="32">
        <f>IF(BH207="","",IF(BK207="","",IF(YEAR(BK207)&lt;&gt;PlanYear,"",IF(BN207="","",BN207+ROW()/1000000))))</f>
        <v>0</v>
      </c>
      <c r="BR207" s="32">
        <f>IF(BH207="","",IF(BK207="","",IF(OR(BK207&lt;RepFrom,BK207&gt;RepTo),"",IF(BN207="","",BN207+ROW()/1000000))))</f>
        <v>0</v>
      </c>
      <c r="BS207" s="32">
        <f>IF(BM207="","",IF(BK207="","",IF(YEAR(BK207)&lt;&gt;PlanYear,"",BM207+ROW()/1000000)))</f>
        <v>0</v>
      </c>
      <c r="BT207" s="17">
        <f>IF(Lists!$F207="","",Lists!$F207)</f>
        <v>0</v>
      </c>
      <c r="BU207" s="23">
        <f>IF(BT207="","",COUNTIF('Content Calendar'!$X$5:$X$604,BT207))</f>
        <v>0</v>
      </c>
      <c r="BV207" s="23">
        <f>IF(BT207="","",COUNTIFS('Content Calendar'!$X$5:$X$604,BT207,'Content Calendar'!$B$5:$B$604,"&gt;="&amp;DashStart,'Content Calendar'!$B$5:$B$604,"&lt;="&amp;DashEnd))</f>
        <v>0</v>
      </c>
      <c r="BW207" s="17">
        <f>IF(Team!$B$207="","",Team!$B$207)</f>
        <v>0</v>
      </c>
      <c r="BX207" s="23">
        <f>IF(BW207="","",COUNTIF('Content Calendar'!$W$5:$W$604,BW207))</f>
        <v>0</v>
      </c>
      <c r="BY207" s="23">
        <f>IF(BW207="","",COUNTIFS('Content Calendar'!$W$5:$W$604,BW207,'Content Calendar'!$X$5:$X$604,"&lt;&gt;Published"))</f>
        <v>0</v>
      </c>
      <c r="BZ207" s="23">
        <f>IF(BW207="","",COUNTIFS(Tasks!$C$5:$C$64,BW207,Tasks!$G$5:$G$64,"&lt;&gt;Complete"))</f>
        <v>0</v>
      </c>
      <c r="CA207" s="17">
        <f>IF(Campaigns!$B$207="","",Campaigns!$B$207)</f>
        <v>0</v>
      </c>
      <c r="CB207" s="25">
        <f>IF(Campaigns!$T$207="","",Campaigns!$T$207)</f>
        <v>0</v>
      </c>
      <c r="CC207" s="25">
        <f>IF(Campaigns!$Q$207="","",Campaigns!$Q$207)</f>
        <v>0</v>
      </c>
      <c r="CD207" s="23">
        <f>IF(Campaigns!$Y$207="","",Campaigns!$Y$207)</f>
        <v>0</v>
      </c>
      <c r="CE207" s="32">
        <f>IF(CA207="","",IF(N(CB207)&lt;=0,"",N(CB207)+ROW()/1000000))</f>
        <v>0</v>
      </c>
      <c r="CF207" s="17">
        <f>IF(Accounts!$C$207="","",Accounts!$C$207)</f>
        <v>0</v>
      </c>
      <c r="CG207" s="17">
        <f>IF(Accounts!$B$207="","",Accounts!$B$207)</f>
        <v>0</v>
      </c>
      <c r="CH207" s="23">
        <f>IF(Accounts!$J$207="","",Accounts!$J$207)</f>
        <v>0</v>
      </c>
      <c r="CI207" s="23">
        <f>IF(CF207="","",SUMIFS(Analytics!$X$5:$X$154,Analytics!$E$5:$E$154,CF207,Analytics!$B$5:$B$154,"&gt;="&amp;DashStart,Analytics!$B$5:$B$154,"&lt;="&amp;DashEnd))</f>
        <v>0</v>
      </c>
      <c r="CJ207" s="32">
        <f>IF(CH207="","",IF(CH207=0,"",CH207+ROW()/1000000))</f>
        <v>0</v>
      </c>
    </row>
    <row r="208" spans="1:88">
      <c r="A208" s="16">
        <f>IF(ROW()-4&gt;12,"",DATE(PlanYear,ROW()-4,1))</f>
        <v>0</v>
      </c>
      <c r="B208" s="16">
        <f>IF(A208="","",EOMONTH(A208,0))</f>
        <v>0</v>
      </c>
      <c r="C208" s="17">
        <f>IF(A208="","",TEXT(A208,"yyyy-mm"))</f>
        <v>0</v>
      </c>
      <c r="D208" s="17">
        <f>IF(A208="","",TEXT(A208,"mmm"))</f>
        <v>0</v>
      </c>
      <c r="E208" s="23">
        <f>IF(C208="","",COUNTIFS('Content Calendar'!$D$5:$D$604,C208))</f>
        <v>0</v>
      </c>
      <c r="F208" s="23">
        <f>IF(C208="","",COUNTIFS('Content Calendar'!$D$5:$D$604,C208,'Content Calendar'!$X$5:$X$604,"Published"))</f>
        <v>0</v>
      </c>
      <c r="G208" s="23">
        <f>IF(C208="","",SUMIFS(Analytics!$J$5:$J$154,Analytics!$C$5:$C$154,C208))</f>
        <v>0</v>
      </c>
      <c r="H208" s="23">
        <f>IF(C208="","",SUMIFS(Analytics!$K$5:$K$154,Analytics!$C$5:$C$154,C208))</f>
        <v>0</v>
      </c>
      <c r="I208" s="23">
        <f>IF(C208="","",SUMIFS(Analytics!$L$5:$L$154,Analytics!$C$5:$C$154,C208))</f>
        <v>0</v>
      </c>
      <c r="J208" s="24">
        <f>IF(OR(G208="",G208=0),"",I208/G208)</f>
        <v>0</v>
      </c>
      <c r="K208" s="23">
        <f>IF(C208="","",SUMIFS(Analytics!$G$5:$G$154,Analytics!$C$5:$C$154,C208))</f>
        <v>0</v>
      </c>
      <c r="L208" s="23">
        <f>IF(C208="","",SUMIFS(Analytics!$X$5:$X$154,Analytics!$C$5:$C$154,C208))</f>
        <v>0</v>
      </c>
      <c r="M208" s="23">
        <f>IF(C208="","",SUMIFS(Analytics!$R$5:$R$154,Analytics!$C$5:$C$154,C208))</f>
        <v>0</v>
      </c>
      <c r="N208" s="23">
        <f>IF(C208="","",SUMIFS(Analytics!$S$5:$S$154,Analytics!$C$5:$C$154,C208))</f>
        <v>0</v>
      </c>
      <c r="O208" s="23">
        <f>IF(C208="","",SUMIFS(Analytics!$T$5:$T$154,Analytics!$C$5:$C$154,C208))</f>
        <v>0</v>
      </c>
      <c r="P208" s="25">
        <f>IF(C208="","",SUMIFS(Analytics!$U$5:$U$154,Analytics!$C$5:$C$154,C208))</f>
        <v>0</v>
      </c>
      <c r="Q208" s="25">
        <f>IF(C208="","",SUMIFS(Budget!$H$5:$H$64,Budget!$C$5:$C$64,C208))</f>
        <v>0</v>
      </c>
      <c r="R208" s="25">
        <f>IF(C208="","",P208-Q208)</f>
        <v>0</v>
      </c>
      <c r="S208" s="23">
        <f>IF(C208="","",MonthlyPostTarget)</f>
        <v>0</v>
      </c>
      <c r="T208" s="17">
        <f>IF(Lists!$C208="","",Lists!$C208)</f>
        <v>0</v>
      </c>
      <c r="U208" s="23">
        <f>IF(T208="","",COUNTIFS('Content Calendar'!$G$5:$G$604,T208,'Content Calendar'!$B$5:$B$604,"&gt;="&amp;DashStart,'Content Calendar'!$B$5:$B$604,"&lt;="&amp;DashEnd))</f>
        <v>0</v>
      </c>
      <c r="V208" s="23">
        <f>IF(T208="","",COUNTIFS('Content Calendar'!$G$5:$G$604,T208,'Content Calendar'!$X$5:$X$604,"Published",'Content Calendar'!$B$5:$B$604,"&gt;="&amp;DashStart,'Content Calendar'!$B$5:$B$604,"&lt;="&amp;DashEnd))</f>
        <v>0</v>
      </c>
      <c r="W208" s="23">
        <f>IF(T208="","",SUMIFS(Analytics!$J$5:$J$154,Analytics!$D$5:$D$154,T208,Analytics!$B$5:$B$154,"&gt;="&amp;DashStart,Analytics!$B$5:$B$154,"&lt;="&amp;DashEnd))</f>
        <v>0</v>
      </c>
      <c r="X208" s="23">
        <f>IF(T208="","",SUMIFS(Analytics!$L$5:$L$154,Analytics!$D$5:$D$154,T208,Analytics!$B$5:$B$154,"&gt;="&amp;DashStart,Analytics!$B$5:$B$154,"&lt;="&amp;DashEnd))</f>
        <v>0</v>
      </c>
      <c r="Y208" s="24">
        <f>IF(OR(W208="",W208=0),"",X208/W208)</f>
        <v>0</v>
      </c>
      <c r="Z208" s="23">
        <f>IF(T208="","",SUMIFS(Analytics!$G$5:$G$154,Analytics!$D$5:$D$154,T208,Analytics!$B$5:$B$154,"&gt;="&amp;DashStart,Analytics!$B$5:$B$154,"&lt;="&amp;DashEnd))</f>
        <v>0</v>
      </c>
      <c r="AA208" s="23">
        <f>IF(T208="","",SUMIFS(Analytics!$X$5:$X$154,Analytics!$D$5:$D$154,T208,Analytics!$B$5:$B$154,"&gt;="&amp;DashStart,Analytics!$B$5:$B$154,"&lt;="&amp;DashEnd))</f>
        <v>0</v>
      </c>
      <c r="AB208" s="23">
        <f>IF(T208="","",SUMIFS(Analytics!$R$5:$R$154,Analytics!$D$5:$D$154,T208,Analytics!$B$5:$B$154,"&gt;="&amp;DashStart,Analytics!$B$5:$B$154,"&lt;="&amp;DashEnd))</f>
        <v>0</v>
      </c>
      <c r="AC208" s="25">
        <f>IF(T208="","",SUMIFS(Analytics!$U$5:$U$154,Analytics!$D$5:$D$154,T208,Analytics!$B$5:$B$154,"&gt;="&amp;DashStart,Analytics!$B$5:$B$154,"&lt;="&amp;DashEnd))</f>
        <v>0</v>
      </c>
      <c r="AD208" s="23">
        <f>IF(T208="","",COUNTIFS('Content Calendar'!$G$5:$G$604,T208,'Content Calendar'!$B$5:$B$604,"&gt;="&amp;DATE(PlanYear,1,1),'Content Calendar'!$B$5:$B$604,"&lt;="&amp;DATE(PlanYear,12,31)))</f>
        <v>0</v>
      </c>
      <c r="AE208" s="23">
        <f>IF(T208="","",SUMIFS(Analytics!$J$5:$J$154,Analytics!$D$5:$D$154,T208))</f>
        <v>0</v>
      </c>
      <c r="AF208" s="23">
        <f>IF(T208="","",SUMIFS(Analytics!$L$5:$L$154,Analytics!$D$5:$D$154,T208))</f>
        <v>0</v>
      </c>
      <c r="AG208" s="24">
        <f>IF(OR(AE208="",AE208=0),"",AF208/AE208)</f>
        <v>0</v>
      </c>
      <c r="AH208" s="23">
        <f>IF(T208="","",SUMIFS(Analytics!$X$5:$X$154,Analytics!$D$5:$D$154,T208))</f>
        <v>0</v>
      </c>
      <c r="AI208" s="32">
        <f>IF(T208="","",IF(AE208=0,"",AE208+ROW()/1000000))</f>
        <v>0</v>
      </c>
      <c r="AJ208" s="17">
        <f>IF('Content Pillars'!$B$208="","",'Content Pillars'!$B$208)</f>
        <v>0</v>
      </c>
      <c r="AK208" s="23">
        <f>IF(AJ208="","",COUNTIFS('Content Calendar'!$J$5:$J$604,AJ208,'Content Calendar'!$B$5:$B$604,"&gt;="&amp;DATE(PlanYear,1,1),'Content Calendar'!$B$5:$B$604,"&lt;="&amp;DATE(PlanYear,12,31)))</f>
        <v>0</v>
      </c>
      <c r="AL208" s="23">
        <f>IF(AJ208="","",SUMIFS(Performance!$O$5:$O$404,Performance!$H$5:$H$404,AJ208))</f>
        <v>0</v>
      </c>
      <c r="AM208" s="23">
        <f>IF(AJ208="","",SUMIFS(Performance!$Z$5:$Z$404,Performance!$H$5:$H$404,AJ208))</f>
        <v>0</v>
      </c>
      <c r="AN208" s="24">
        <f>IF(OR(AL208="",AL208=0),"",AM208/AL208)</f>
        <v>0</v>
      </c>
      <c r="AO208" s="32">
        <f>IF(AN208="","",AN208+ROW()/1000000)</f>
        <v>0</v>
      </c>
      <c r="AP208" s="17">
        <f>IF(Lists!$E208="","",Lists!$E208)</f>
        <v>0</v>
      </c>
      <c r="AQ208" s="23">
        <f>IF(AP208="","",COUNTIF(Performance!$G$5:$G$404,AP208))</f>
        <v>0</v>
      </c>
      <c r="AR208" s="23">
        <f>IF(AP208="","",SUMIFS(Performance!$O$5:$O$404,Performance!$G$5:$G$404,AP208))</f>
        <v>0</v>
      </c>
      <c r="AS208" s="23">
        <f>IF(AP208="","",SUMIFS(Performance!$Z$5:$Z$404,Performance!$G$5:$G$404,AP208))</f>
        <v>0</v>
      </c>
      <c r="AT208" s="24">
        <f>IF(OR(AR208="",AR208=0),"",AS208/AR208)</f>
        <v>0</v>
      </c>
      <c r="AU208" s="32">
        <f>IF(AQ208=0,"",IF(AT208="","",AT208+ROW()/1000000))</f>
        <v>0</v>
      </c>
      <c r="AV208" s="17">
        <f>IF(ROW()-4&gt;7,"",TEXT(DATE(2024,1,ROW()-4),"ddd"))</f>
        <v>0</v>
      </c>
      <c r="AW208" s="23">
        <f>IF(AV208="","",COUNTIF(Performance!$N$5:$N$404,AV208))</f>
        <v>0</v>
      </c>
      <c r="AX208" s="23">
        <f>IF(AV208="","",SUMIFS(Performance!$O$5:$O$404,Performance!$N$5:$N$404,AV208))</f>
        <v>0</v>
      </c>
      <c r="AY208" s="23">
        <f>IF(AV208="","",SUMIFS(Performance!$Z$5:$Z$404,Performance!$N$5:$N$404,AV208))</f>
        <v>0</v>
      </c>
      <c r="AZ208" s="24">
        <f>IF(OR(AX208="",AX208=0),"",AY208/AX208)</f>
        <v>0</v>
      </c>
      <c r="BA208" s="32">
        <f>IF(AW208=0,"",IF(AZ208="","",AZ208+ROW()/1000000))</f>
        <v>0</v>
      </c>
      <c r="BB208" s="17">
        <f>IF(Lists!$AL208="","",Lists!$AL208)</f>
        <v>0</v>
      </c>
      <c r="BC208" s="23">
        <f>IF(BB208="","",COUNTIF(Performance!$M$5:$M$404,BB208))</f>
        <v>0</v>
      </c>
      <c r="BD208" s="23">
        <f>IF(BB208="","",SUMIFS(Performance!$O$5:$O$404,Performance!$M$5:$M$404,BB208))</f>
        <v>0</v>
      </c>
      <c r="BE208" s="23">
        <f>IF(BB208="","",SUMIFS(Performance!$Z$5:$Z$404,Performance!$M$5:$M$404,BB208))</f>
        <v>0</v>
      </c>
      <c r="BF208" s="24">
        <f>IF(OR(BD208="",BD208=0),"",BE208/BD208)</f>
        <v>0</v>
      </c>
      <c r="BG208" s="32">
        <f>IF(BC208=0,"",IF(BF208="","",BF208+ROW()/1000000))</f>
        <v>0</v>
      </c>
      <c r="BH208" s="17">
        <f>IF(Performance!$C$208="","",Performance!$C$208)</f>
        <v>0</v>
      </c>
      <c r="BI208" s="17">
        <f>IF(Performance!$F$208="","",Performance!$F$208)</f>
        <v>0</v>
      </c>
      <c r="BJ208" s="17">
        <f>IF(Performance!$H$208="","",Performance!$H$208)</f>
        <v>0</v>
      </c>
      <c r="BK208" s="16">
        <f>IF(Performance!$D$208="","",Performance!$D$208)</f>
        <v>0</v>
      </c>
      <c r="BL208" s="17">
        <f>IF(Performance!$E$208="","",Performance!$E$208)</f>
        <v>0</v>
      </c>
      <c r="BM208" s="23">
        <f>IF(Performance!$O$208="","",Performance!$O$208)</f>
        <v>0</v>
      </c>
      <c r="BN208" s="24">
        <f>IF(Performance!$AA$208="","",Performance!$AA$208)</f>
        <v>0</v>
      </c>
      <c r="BO208" s="32">
        <f>IF(BH208="","",IF(BK208="","",IF(OR(BK208&lt;DashStart,BK208&gt;DashEnd),"",IF(BN208="","",BN208+ROW()/1000000))))</f>
        <v>0</v>
      </c>
      <c r="BP208" s="32">
        <f>IF(BM208="","",IF(BK208="","",IF(OR(BK208&lt;DashStart,BK208&gt;DashEnd),"",BM208+ROW()/1000000)))</f>
        <v>0</v>
      </c>
      <c r="BQ208" s="32">
        <f>IF(BH208="","",IF(BK208="","",IF(YEAR(BK208)&lt;&gt;PlanYear,"",IF(BN208="","",BN208+ROW()/1000000))))</f>
        <v>0</v>
      </c>
      <c r="BR208" s="32">
        <f>IF(BH208="","",IF(BK208="","",IF(OR(BK208&lt;RepFrom,BK208&gt;RepTo),"",IF(BN208="","",BN208+ROW()/1000000))))</f>
        <v>0</v>
      </c>
      <c r="BS208" s="32">
        <f>IF(BM208="","",IF(BK208="","",IF(YEAR(BK208)&lt;&gt;PlanYear,"",BM208+ROW()/1000000)))</f>
        <v>0</v>
      </c>
      <c r="BT208" s="17">
        <f>IF(Lists!$F208="","",Lists!$F208)</f>
        <v>0</v>
      </c>
      <c r="BU208" s="23">
        <f>IF(BT208="","",COUNTIF('Content Calendar'!$X$5:$X$604,BT208))</f>
        <v>0</v>
      </c>
      <c r="BV208" s="23">
        <f>IF(BT208="","",COUNTIFS('Content Calendar'!$X$5:$X$604,BT208,'Content Calendar'!$B$5:$B$604,"&gt;="&amp;DashStart,'Content Calendar'!$B$5:$B$604,"&lt;="&amp;DashEnd))</f>
        <v>0</v>
      </c>
      <c r="BW208" s="17">
        <f>IF(Team!$B$208="","",Team!$B$208)</f>
        <v>0</v>
      </c>
      <c r="BX208" s="23">
        <f>IF(BW208="","",COUNTIF('Content Calendar'!$W$5:$W$604,BW208))</f>
        <v>0</v>
      </c>
      <c r="BY208" s="23">
        <f>IF(BW208="","",COUNTIFS('Content Calendar'!$W$5:$W$604,BW208,'Content Calendar'!$X$5:$X$604,"&lt;&gt;Published"))</f>
        <v>0</v>
      </c>
      <c r="BZ208" s="23">
        <f>IF(BW208="","",COUNTIFS(Tasks!$C$5:$C$64,BW208,Tasks!$G$5:$G$64,"&lt;&gt;Complete"))</f>
        <v>0</v>
      </c>
      <c r="CA208" s="17">
        <f>IF(Campaigns!$B$208="","",Campaigns!$B$208)</f>
        <v>0</v>
      </c>
      <c r="CB208" s="25">
        <f>IF(Campaigns!$T$208="","",Campaigns!$T$208)</f>
        <v>0</v>
      </c>
      <c r="CC208" s="25">
        <f>IF(Campaigns!$Q$208="","",Campaigns!$Q$208)</f>
        <v>0</v>
      </c>
      <c r="CD208" s="23">
        <f>IF(Campaigns!$Y$208="","",Campaigns!$Y$208)</f>
        <v>0</v>
      </c>
      <c r="CE208" s="32">
        <f>IF(CA208="","",IF(N(CB208)&lt;=0,"",N(CB208)+ROW()/1000000))</f>
        <v>0</v>
      </c>
      <c r="CF208" s="17">
        <f>IF(Accounts!$C$208="","",Accounts!$C$208)</f>
        <v>0</v>
      </c>
      <c r="CG208" s="17">
        <f>IF(Accounts!$B$208="","",Accounts!$B$208)</f>
        <v>0</v>
      </c>
      <c r="CH208" s="23">
        <f>IF(Accounts!$J$208="","",Accounts!$J$208)</f>
        <v>0</v>
      </c>
      <c r="CI208" s="23">
        <f>IF(CF208="","",SUMIFS(Analytics!$X$5:$X$154,Analytics!$E$5:$E$154,CF208,Analytics!$B$5:$B$154,"&gt;="&amp;DashStart,Analytics!$B$5:$B$154,"&lt;="&amp;DashEnd))</f>
        <v>0</v>
      </c>
      <c r="CJ208" s="32">
        <f>IF(CH208="","",IF(CH208=0,"",CH208+ROW()/1000000))</f>
        <v>0</v>
      </c>
    </row>
    <row r="209" spans="1:88">
      <c r="A209" s="16">
        <f>IF(ROW()-4&gt;12,"",DATE(PlanYear,ROW()-4,1))</f>
        <v>0</v>
      </c>
      <c r="B209" s="16">
        <f>IF(A209="","",EOMONTH(A209,0))</f>
        <v>0</v>
      </c>
      <c r="C209" s="17">
        <f>IF(A209="","",TEXT(A209,"yyyy-mm"))</f>
        <v>0</v>
      </c>
      <c r="D209" s="17">
        <f>IF(A209="","",TEXT(A209,"mmm"))</f>
        <v>0</v>
      </c>
      <c r="E209" s="23">
        <f>IF(C209="","",COUNTIFS('Content Calendar'!$D$5:$D$604,C209))</f>
        <v>0</v>
      </c>
      <c r="F209" s="23">
        <f>IF(C209="","",COUNTIFS('Content Calendar'!$D$5:$D$604,C209,'Content Calendar'!$X$5:$X$604,"Published"))</f>
        <v>0</v>
      </c>
      <c r="G209" s="23">
        <f>IF(C209="","",SUMIFS(Analytics!$J$5:$J$154,Analytics!$C$5:$C$154,C209))</f>
        <v>0</v>
      </c>
      <c r="H209" s="23">
        <f>IF(C209="","",SUMIFS(Analytics!$K$5:$K$154,Analytics!$C$5:$C$154,C209))</f>
        <v>0</v>
      </c>
      <c r="I209" s="23">
        <f>IF(C209="","",SUMIFS(Analytics!$L$5:$L$154,Analytics!$C$5:$C$154,C209))</f>
        <v>0</v>
      </c>
      <c r="J209" s="24">
        <f>IF(OR(G209="",G209=0),"",I209/G209)</f>
        <v>0</v>
      </c>
      <c r="K209" s="23">
        <f>IF(C209="","",SUMIFS(Analytics!$G$5:$G$154,Analytics!$C$5:$C$154,C209))</f>
        <v>0</v>
      </c>
      <c r="L209" s="23">
        <f>IF(C209="","",SUMIFS(Analytics!$X$5:$X$154,Analytics!$C$5:$C$154,C209))</f>
        <v>0</v>
      </c>
      <c r="M209" s="23">
        <f>IF(C209="","",SUMIFS(Analytics!$R$5:$R$154,Analytics!$C$5:$C$154,C209))</f>
        <v>0</v>
      </c>
      <c r="N209" s="23">
        <f>IF(C209="","",SUMIFS(Analytics!$S$5:$S$154,Analytics!$C$5:$C$154,C209))</f>
        <v>0</v>
      </c>
      <c r="O209" s="23">
        <f>IF(C209="","",SUMIFS(Analytics!$T$5:$T$154,Analytics!$C$5:$C$154,C209))</f>
        <v>0</v>
      </c>
      <c r="P209" s="25">
        <f>IF(C209="","",SUMIFS(Analytics!$U$5:$U$154,Analytics!$C$5:$C$154,C209))</f>
        <v>0</v>
      </c>
      <c r="Q209" s="25">
        <f>IF(C209="","",SUMIFS(Budget!$H$5:$H$64,Budget!$C$5:$C$64,C209))</f>
        <v>0</v>
      </c>
      <c r="R209" s="25">
        <f>IF(C209="","",P209-Q209)</f>
        <v>0</v>
      </c>
      <c r="S209" s="23">
        <f>IF(C209="","",MonthlyPostTarget)</f>
        <v>0</v>
      </c>
      <c r="T209" s="17">
        <f>IF(Lists!$C209="","",Lists!$C209)</f>
        <v>0</v>
      </c>
      <c r="U209" s="23">
        <f>IF(T209="","",COUNTIFS('Content Calendar'!$G$5:$G$604,T209,'Content Calendar'!$B$5:$B$604,"&gt;="&amp;DashStart,'Content Calendar'!$B$5:$B$604,"&lt;="&amp;DashEnd))</f>
        <v>0</v>
      </c>
      <c r="V209" s="23">
        <f>IF(T209="","",COUNTIFS('Content Calendar'!$G$5:$G$604,T209,'Content Calendar'!$X$5:$X$604,"Published",'Content Calendar'!$B$5:$B$604,"&gt;="&amp;DashStart,'Content Calendar'!$B$5:$B$604,"&lt;="&amp;DashEnd))</f>
        <v>0</v>
      </c>
      <c r="W209" s="23">
        <f>IF(T209="","",SUMIFS(Analytics!$J$5:$J$154,Analytics!$D$5:$D$154,T209,Analytics!$B$5:$B$154,"&gt;="&amp;DashStart,Analytics!$B$5:$B$154,"&lt;="&amp;DashEnd))</f>
        <v>0</v>
      </c>
      <c r="X209" s="23">
        <f>IF(T209="","",SUMIFS(Analytics!$L$5:$L$154,Analytics!$D$5:$D$154,T209,Analytics!$B$5:$B$154,"&gt;="&amp;DashStart,Analytics!$B$5:$B$154,"&lt;="&amp;DashEnd))</f>
        <v>0</v>
      </c>
      <c r="Y209" s="24">
        <f>IF(OR(W209="",W209=0),"",X209/W209)</f>
        <v>0</v>
      </c>
      <c r="Z209" s="23">
        <f>IF(T209="","",SUMIFS(Analytics!$G$5:$G$154,Analytics!$D$5:$D$154,T209,Analytics!$B$5:$B$154,"&gt;="&amp;DashStart,Analytics!$B$5:$B$154,"&lt;="&amp;DashEnd))</f>
        <v>0</v>
      </c>
      <c r="AA209" s="23">
        <f>IF(T209="","",SUMIFS(Analytics!$X$5:$X$154,Analytics!$D$5:$D$154,T209,Analytics!$B$5:$B$154,"&gt;="&amp;DashStart,Analytics!$B$5:$B$154,"&lt;="&amp;DashEnd))</f>
        <v>0</v>
      </c>
      <c r="AB209" s="23">
        <f>IF(T209="","",SUMIFS(Analytics!$R$5:$R$154,Analytics!$D$5:$D$154,T209,Analytics!$B$5:$B$154,"&gt;="&amp;DashStart,Analytics!$B$5:$B$154,"&lt;="&amp;DashEnd))</f>
        <v>0</v>
      </c>
      <c r="AC209" s="25">
        <f>IF(T209="","",SUMIFS(Analytics!$U$5:$U$154,Analytics!$D$5:$D$154,T209,Analytics!$B$5:$B$154,"&gt;="&amp;DashStart,Analytics!$B$5:$B$154,"&lt;="&amp;DashEnd))</f>
        <v>0</v>
      </c>
      <c r="AD209" s="23">
        <f>IF(T209="","",COUNTIFS('Content Calendar'!$G$5:$G$604,T209,'Content Calendar'!$B$5:$B$604,"&gt;="&amp;DATE(PlanYear,1,1),'Content Calendar'!$B$5:$B$604,"&lt;="&amp;DATE(PlanYear,12,31)))</f>
        <v>0</v>
      </c>
      <c r="AE209" s="23">
        <f>IF(T209="","",SUMIFS(Analytics!$J$5:$J$154,Analytics!$D$5:$D$154,T209))</f>
        <v>0</v>
      </c>
      <c r="AF209" s="23">
        <f>IF(T209="","",SUMIFS(Analytics!$L$5:$L$154,Analytics!$D$5:$D$154,T209))</f>
        <v>0</v>
      </c>
      <c r="AG209" s="24">
        <f>IF(OR(AE209="",AE209=0),"",AF209/AE209)</f>
        <v>0</v>
      </c>
      <c r="AH209" s="23">
        <f>IF(T209="","",SUMIFS(Analytics!$X$5:$X$154,Analytics!$D$5:$D$154,T209))</f>
        <v>0</v>
      </c>
      <c r="AI209" s="32">
        <f>IF(T209="","",IF(AE209=0,"",AE209+ROW()/1000000))</f>
        <v>0</v>
      </c>
      <c r="AJ209" s="17">
        <f>IF('Content Pillars'!$B$209="","",'Content Pillars'!$B$209)</f>
        <v>0</v>
      </c>
      <c r="AK209" s="23">
        <f>IF(AJ209="","",COUNTIFS('Content Calendar'!$J$5:$J$604,AJ209,'Content Calendar'!$B$5:$B$604,"&gt;="&amp;DATE(PlanYear,1,1),'Content Calendar'!$B$5:$B$604,"&lt;="&amp;DATE(PlanYear,12,31)))</f>
        <v>0</v>
      </c>
      <c r="AL209" s="23">
        <f>IF(AJ209="","",SUMIFS(Performance!$O$5:$O$404,Performance!$H$5:$H$404,AJ209))</f>
        <v>0</v>
      </c>
      <c r="AM209" s="23">
        <f>IF(AJ209="","",SUMIFS(Performance!$Z$5:$Z$404,Performance!$H$5:$H$404,AJ209))</f>
        <v>0</v>
      </c>
      <c r="AN209" s="24">
        <f>IF(OR(AL209="",AL209=0),"",AM209/AL209)</f>
        <v>0</v>
      </c>
      <c r="AO209" s="32">
        <f>IF(AN209="","",AN209+ROW()/1000000)</f>
        <v>0</v>
      </c>
      <c r="AP209" s="17">
        <f>IF(Lists!$E209="","",Lists!$E209)</f>
        <v>0</v>
      </c>
      <c r="AQ209" s="23">
        <f>IF(AP209="","",COUNTIF(Performance!$G$5:$G$404,AP209))</f>
        <v>0</v>
      </c>
      <c r="AR209" s="23">
        <f>IF(AP209="","",SUMIFS(Performance!$O$5:$O$404,Performance!$G$5:$G$404,AP209))</f>
        <v>0</v>
      </c>
      <c r="AS209" s="23">
        <f>IF(AP209="","",SUMIFS(Performance!$Z$5:$Z$404,Performance!$G$5:$G$404,AP209))</f>
        <v>0</v>
      </c>
      <c r="AT209" s="24">
        <f>IF(OR(AR209="",AR209=0),"",AS209/AR209)</f>
        <v>0</v>
      </c>
      <c r="AU209" s="32">
        <f>IF(AQ209=0,"",IF(AT209="","",AT209+ROW()/1000000))</f>
        <v>0</v>
      </c>
      <c r="AV209" s="17">
        <f>IF(ROW()-4&gt;7,"",TEXT(DATE(2024,1,ROW()-4),"ddd"))</f>
        <v>0</v>
      </c>
      <c r="AW209" s="23">
        <f>IF(AV209="","",COUNTIF(Performance!$N$5:$N$404,AV209))</f>
        <v>0</v>
      </c>
      <c r="AX209" s="23">
        <f>IF(AV209="","",SUMIFS(Performance!$O$5:$O$404,Performance!$N$5:$N$404,AV209))</f>
        <v>0</v>
      </c>
      <c r="AY209" s="23">
        <f>IF(AV209="","",SUMIFS(Performance!$Z$5:$Z$404,Performance!$N$5:$N$404,AV209))</f>
        <v>0</v>
      </c>
      <c r="AZ209" s="24">
        <f>IF(OR(AX209="",AX209=0),"",AY209/AX209)</f>
        <v>0</v>
      </c>
      <c r="BA209" s="32">
        <f>IF(AW209=0,"",IF(AZ209="","",AZ209+ROW()/1000000))</f>
        <v>0</v>
      </c>
      <c r="BB209" s="17">
        <f>IF(Lists!$AL209="","",Lists!$AL209)</f>
        <v>0</v>
      </c>
      <c r="BC209" s="23">
        <f>IF(BB209="","",COUNTIF(Performance!$M$5:$M$404,BB209))</f>
        <v>0</v>
      </c>
      <c r="BD209" s="23">
        <f>IF(BB209="","",SUMIFS(Performance!$O$5:$O$404,Performance!$M$5:$M$404,BB209))</f>
        <v>0</v>
      </c>
      <c r="BE209" s="23">
        <f>IF(BB209="","",SUMIFS(Performance!$Z$5:$Z$404,Performance!$M$5:$M$404,BB209))</f>
        <v>0</v>
      </c>
      <c r="BF209" s="24">
        <f>IF(OR(BD209="",BD209=0),"",BE209/BD209)</f>
        <v>0</v>
      </c>
      <c r="BG209" s="32">
        <f>IF(BC209=0,"",IF(BF209="","",BF209+ROW()/1000000))</f>
        <v>0</v>
      </c>
      <c r="BH209" s="17">
        <f>IF(Performance!$C$209="","",Performance!$C$209)</f>
        <v>0</v>
      </c>
      <c r="BI209" s="17">
        <f>IF(Performance!$F$209="","",Performance!$F$209)</f>
        <v>0</v>
      </c>
      <c r="BJ209" s="17">
        <f>IF(Performance!$H$209="","",Performance!$H$209)</f>
        <v>0</v>
      </c>
      <c r="BK209" s="16">
        <f>IF(Performance!$D$209="","",Performance!$D$209)</f>
        <v>0</v>
      </c>
      <c r="BL209" s="17">
        <f>IF(Performance!$E$209="","",Performance!$E$209)</f>
        <v>0</v>
      </c>
      <c r="BM209" s="23">
        <f>IF(Performance!$O$209="","",Performance!$O$209)</f>
        <v>0</v>
      </c>
      <c r="BN209" s="24">
        <f>IF(Performance!$AA$209="","",Performance!$AA$209)</f>
        <v>0</v>
      </c>
      <c r="BO209" s="32">
        <f>IF(BH209="","",IF(BK209="","",IF(OR(BK209&lt;DashStart,BK209&gt;DashEnd),"",IF(BN209="","",BN209+ROW()/1000000))))</f>
        <v>0</v>
      </c>
      <c r="BP209" s="32">
        <f>IF(BM209="","",IF(BK209="","",IF(OR(BK209&lt;DashStart,BK209&gt;DashEnd),"",BM209+ROW()/1000000)))</f>
        <v>0</v>
      </c>
      <c r="BQ209" s="32">
        <f>IF(BH209="","",IF(BK209="","",IF(YEAR(BK209)&lt;&gt;PlanYear,"",IF(BN209="","",BN209+ROW()/1000000))))</f>
        <v>0</v>
      </c>
      <c r="BR209" s="32">
        <f>IF(BH209="","",IF(BK209="","",IF(OR(BK209&lt;RepFrom,BK209&gt;RepTo),"",IF(BN209="","",BN209+ROW()/1000000))))</f>
        <v>0</v>
      </c>
      <c r="BS209" s="32">
        <f>IF(BM209="","",IF(BK209="","",IF(YEAR(BK209)&lt;&gt;PlanYear,"",BM209+ROW()/1000000)))</f>
        <v>0</v>
      </c>
      <c r="BT209" s="17">
        <f>IF(Lists!$F209="","",Lists!$F209)</f>
        <v>0</v>
      </c>
      <c r="BU209" s="23">
        <f>IF(BT209="","",COUNTIF('Content Calendar'!$X$5:$X$604,BT209))</f>
        <v>0</v>
      </c>
      <c r="BV209" s="23">
        <f>IF(BT209="","",COUNTIFS('Content Calendar'!$X$5:$X$604,BT209,'Content Calendar'!$B$5:$B$604,"&gt;="&amp;DashStart,'Content Calendar'!$B$5:$B$604,"&lt;="&amp;DashEnd))</f>
        <v>0</v>
      </c>
      <c r="BW209" s="17">
        <f>IF(Team!$B$209="","",Team!$B$209)</f>
        <v>0</v>
      </c>
      <c r="BX209" s="23">
        <f>IF(BW209="","",COUNTIF('Content Calendar'!$W$5:$W$604,BW209))</f>
        <v>0</v>
      </c>
      <c r="BY209" s="23">
        <f>IF(BW209="","",COUNTIFS('Content Calendar'!$W$5:$W$604,BW209,'Content Calendar'!$X$5:$X$604,"&lt;&gt;Published"))</f>
        <v>0</v>
      </c>
      <c r="BZ209" s="23">
        <f>IF(BW209="","",COUNTIFS(Tasks!$C$5:$C$64,BW209,Tasks!$G$5:$G$64,"&lt;&gt;Complete"))</f>
        <v>0</v>
      </c>
      <c r="CA209" s="17">
        <f>IF(Campaigns!$B$209="","",Campaigns!$B$209)</f>
        <v>0</v>
      </c>
      <c r="CB209" s="25">
        <f>IF(Campaigns!$T$209="","",Campaigns!$T$209)</f>
        <v>0</v>
      </c>
      <c r="CC209" s="25">
        <f>IF(Campaigns!$Q$209="","",Campaigns!$Q$209)</f>
        <v>0</v>
      </c>
      <c r="CD209" s="23">
        <f>IF(Campaigns!$Y$209="","",Campaigns!$Y$209)</f>
        <v>0</v>
      </c>
      <c r="CE209" s="32">
        <f>IF(CA209="","",IF(N(CB209)&lt;=0,"",N(CB209)+ROW()/1000000))</f>
        <v>0</v>
      </c>
      <c r="CF209" s="17">
        <f>IF(Accounts!$C$209="","",Accounts!$C$209)</f>
        <v>0</v>
      </c>
      <c r="CG209" s="17">
        <f>IF(Accounts!$B$209="","",Accounts!$B$209)</f>
        <v>0</v>
      </c>
      <c r="CH209" s="23">
        <f>IF(Accounts!$J$209="","",Accounts!$J$209)</f>
        <v>0</v>
      </c>
      <c r="CI209" s="23">
        <f>IF(CF209="","",SUMIFS(Analytics!$X$5:$X$154,Analytics!$E$5:$E$154,CF209,Analytics!$B$5:$B$154,"&gt;="&amp;DashStart,Analytics!$B$5:$B$154,"&lt;="&amp;DashEnd))</f>
        <v>0</v>
      </c>
      <c r="CJ209" s="32">
        <f>IF(CH209="","",IF(CH209=0,"",CH209+ROW()/1000000))</f>
        <v>0</v>
      </c>
    </row>
    <row r="210" spans="1:88">
      <c r="A210" s="16">
        <f>IF(ROW()-4&gt;12,"",DATE(PlanYear,ROW()-4,1))</f>
        <v>0</v>
      </c>
      <c r="B210" s="16">
        <f>IF(A210="","",EOMONTH(A210,0))</f>
        <v>0</v>
      </c>
      <c r="C210" s="17">
        <f>IF(A210="","",TEXT(A210,"yyyy-mm"))</f>
        <v>0</v>
      </c>
      <c r="D210" s="17">
        <f>IF(A210="","",TEXT(A210,"mmm"))</f>
        <v>0</v>
      </c>
      <c r="E210" s="23">
        <f>IF(C210="","",COUNTIFS('Content Calendar'!$D$5:$D$604,C210))</f>
        <v>0</v>
      </c>
      <c r="F210" s="23">
        <f>IF(C210="","",COUNTIFS('Content Calendar'!$D$5:$D$604,C210,'Content Calendar'!$X$5:$X$604,"Published"))</f>
        <v>0</v>
      </c>
      <c r="G210" s="23">
        <f>IF(C210="","",SUMIFS(Analytics!$J$5:$J$154,Analytics!$C$5:$C$154,C210))</f>
        <v>0</v>
      </c>
      <c r="H210" s="23">
        <f>IF(C210="","",SUMIFS(Analytics!$K$5:$K$154,Analytics!$C$5:$C$154,C210))</f>
        <v>0</v>
      </c>
      <c r="I210" s="23">
        <f>IF(C210="","",SUMIFS(Analytics!$L$5:$L$154,Analytics!$C$5:$C$154,C210))</f>
        <v>0</v>
      </c>
      <c r="J210" s="24">
        <f>IF(OR(G210="",G210=0),"",I210/G210)</f>
        <v>0</v>
      </c>
      <c r="K210" s="23">
        <f>IF(C210="","",SUMIFS(Analytics!$G$5:$G$154,Analytics!$C$5:$C$154,C210))</f>
        <v>0</v>
      </c>
      <c r="L210" s="23">
        <f>IF(C210="","",SUMIFS(Analytics!$X$5:$X$154,Analytics!$C$5:$C$154,C210))</f>
        <v>0</v>
      </c>
      <c r="M210" s="23">
        <f>IF(C210="","",SUMIFS(Analytics!$R$5:$R$154,Analytics!$C$5:$C$154,C210))</f>
        <v>0</v>
      </c>
      <c r="N210" s="23">
        <f>IF(C210="","",SUMIFS(Analytics!$S$5:$S$154,Analytics!$C$5:$C$154,C210))</f>
        <v>0</v>
      </c>
      <c r="O210" s="23">
        <f>IF(C210="","",SUMIFS(Analytics!$T$5:$T$154,Analytics!$C$5:$C$154,C210))</f>
        <v>0</v>
      </c>
      <c r="P210" s="25">
        <f>IF(C210="","",SUMIFS(Analytics!$U$5:$U$154,Analytics!$C$5:$C$154,C210))</f>
        <v>0</v>
      </c>
      <c r="Q210" s="25">
        <f>IF(C210="","",SUMIFS(Budget!$H$5:$H$64,Budget!$C$5:$C$64,C210))</f>
        <v>0</v>
      </c>
      <c r="R210" s="25">
        <f>IF(C210="","",P210-Q210)</f>
        <v>0</v>
      </c>
      <c r="S210" s="23">
        <f>IF(C210="","",MonthlyPostTarget)</f>
        <v>0</v>
      </c>
      <c r="T210" s="17">
        <f>IF(Lists!$C210="","",Lists!$C210)</f>
        <v>0</v>
      </c>
      <c r="U210" s="23">
        <f>IF(T210="","",COUNTIFS('Content Calendar'!$G$5:$G$604,T210,'Content Calendar'!$B$5:$B$604,"&gt;="&amp;DashStart,'Content Calendar'!$B$5:$B$604,"&lt;="&amp;DashEnd))</f>
        <v>0</v>
      </c>
      <c r="V210" s="23">
        <f>IF(T210="","",COUNTIFS('Content Calendar'!$G$5:$G$604,T210,'Content Calendar'!$X$5:$X$604,"Published",'Content Calendar'!$B$5:$B$604,"&gt;="&amp;DashStart,'Content Calendar'!$B$5:$B$604,"&lt;="&amp;DashEnd))</f>
        <v>0</v>
      </c>
      <c r="W210" s="23">
        <f>IF(T210="","",SUMIFS(Analytics!$J$5:$J$154,Analytics!$D$5:$D$154,T210,Analytics!$B$5:$B$154,"&gt;="&amp;DashStart,Analytics!$B$5:$B$154,"&lt;="&amp;DashEnd))</f>
        <v>0</v>
      </c>
      <c r="X210" s="23">
        <f>IF(T210="","",SUMIFS(Analytics!$L$5:$L$154,Analytics!$D$5:$D$154,T210,Analytics!$B$5:$B$154,"&gt;="&amp;DashStart,Analytics!$B$5:$B$154,"&lt;="&amp;DashEnd))</f>
        <v>0</v>
      </c>
      <c r="Y210" s="24">
        <f>IF(OR(W210="",W210=0),"",X210/W210)</f>
        <v>0</v>
      </c>
      <c r="Z210" s="23">
        <f>IF(T210="","",SUMIFS(Analytics!$G$5:$G$154,Analytics!$D$5:$D$154,T210,Analytics!$B$5:$B$154,"&gt;="&amp;DashStart,Analytics!$B$5:$B$154,"&lt;="&amp;DashEnd))</f>
        <v>0</v>
      </c>
      <c r="AA210" s="23">
        <f>IF(T210="","",SUMIFS(Analytics!$X$5:$X$154,Analytics!$D$5:$D$154,T210,Analytics!$B$5:$B$154,"&gt;="&amp;DashStart,Analytics!$B$5:$B$154,"&lt;="&amp;DashEnd))</f>
        <v>0</v>
      </c>
      <c r="AB210" s="23">
        <f>IF(T210="","",SUMIFS(Analytics!$R$5:$R$154,Analytics!$D$5:$D$154,T210,Analytics!$B$5:$B$154,"&gt;="&amp;DashStart,Analytics!$B$5:$B$154,"&lt;="&amp;DashEnd))</f>
        <v>0</v>
      </c>
      <c r="AC210" s="25">
        <f>IF(T210="","",SUMIFS(Analytics!$U$5:$U$154,Analytics!$D$5:$D$154,T210,Analytics!$B$5:$B$154,"&gt;="&amp;DashStart,Analytics!$B$5:$B$154,"&lt;="&amp;DashEnd))</f>
        <v>0</v>
      </c>
      <c r="AD210" s="23">
        <f>IF(T210="","",COUNTIFS('Content Calendar'!$G$5:$G$604,T210,'Content Calendar'!$B$5:$B$604,"&gt;="&amp;DATE(PlanYear,1,1),'Content Calendar'!$B$5:$B$604,"&lt;="&amp;DATE(PlanYear,12,31)))</f>
        <v>0</v>
      </c>
      <c r="AE210" s="23">
        <f>IF(T210="","",SUMIFS(Analytics!$J$5:$J$154,Analytics!$D$5:$D$154,T210))</f>
        <v>0</v>
      </c>
      <c r="AF210" s="23">
        <f>IF(T210="","",SUMIFS(Analytics!$L$5:$L$154,Analytics!$D$5:$D$154,T210))</f>
        <v>0</v>
      </c>
      <c r="AG210" s="24">
        <f>IF(OR(AE210="",AE210=0),"",AF210/AE210)</f>
        <v>0</v>
      </c>
      <c r="AH210" s="23">
        <f>IF(T210="","",SUMIFS(Analytics!$X$5:$X$154,Analytics!$D$5:$D$154,T210))</f>
        <v>0</v>
      </c>
      <c r="AI210" s="32">
        <f>IF(T210="","",IF(AE210=0,"",AE210+ROW()/1000000))</f>
        <v>0</v>
      </c>
      <c r="AJ210" s="17">
        <f>IF('Content Pillars'!$B$210="","",'Content Pillars'!$B$210)</f>
        <v>0</v>
      </c>
      <c r="AK210" s="23">
        <f>IF(AJ210="","",COUNTIFS('Content Calendar'!$J$5:$J$604,AJ210,'Content Calendar'!$B$5:$B$604,"&gt;="&amp;DATE(PlanYear,1,1),'Content Calendar'!$B$5:$B$604,"&lt;="&amp;DATE(PlanYear,12,31)))</f>
        <v>0</v>
      </c>
      <c r="AL210" s="23">
        <f>IF(AJ210="","",SUMIFS(Performance!$O$5:$O$404,Performance!$H$5:$H$404,AJ210))</f>
        <v>0</v>
      </c>
      <c r="AM210" s="23">
        <f>IF(AJ210="","",SUMIFS(Performance!$Z$5:$Z$404,Performance!$H$5:$H$404,AJ210))</f>
        <v>0</v>
      </c>
      <c r="AN210" s="24">
        <f>IF(OR(AL210="",AL210=0),"",AM210/AL210)</f>
        <v>0</v>
      </c>
      <c r="AO210" s="32">
        <f>IF(AN210="","",AN210+ROW()/1000000)</f>
        <v>0</v>
      </c>
      <c r="AP210" s="17">
        <f>IF(Lists!$E210="","",Lists!$E210)</f>
        <v>0</v>
      </c>
      <c r="AQ210" s="23">
        <f>IF(AP210="","",COUNTIF(Performance!$G$5:$G$404,AP210))</f>
        <v>0</v>
      </c>
      <c r="AR210" s="23">
        <f>IF(AP210="","",SUMIFS(Performance!$O$5:$O$404,Performance!$G$5:$G$404,AP210))</f>
        <v>0</v>
      </c>
      <c r="AS210" s="23">
        <f>IF(AP210="","",SUMIFS(Performance!$Z$5:$Z$404,Performance!$G$5:$G$404,AP210))</f>
        <v>0</v>
      </c>
      <c r="AT210" s="24">
        <f>IF(OR(AR210="",AR210=0),"",AS210/AR210)</f>
        <v>0</v>
      </c>
      <c r="AU210" s="32">
        <f>IF(AQ210=0,"",IF(AT210="","",AT210+ROW()/1000000))</f>
        <v>0</v>
      </c>
      <c r="AV210" s="17">
        <f>IF(ROW()-4&gt;7,"",TEXT(DATE(2024,1,ROW()-4),"ddd"))</f>
        <v>0</v>
      </c>
      <c r="AW210" s="23">
        <f>IF(AV210="","",COUNTIF(Performance!$N$5:$N$404,AV210))</f>
        <v>0</v>
      </c>
      <c r="AX210" s="23">
        <f>IF(AV210="","",SUMIFS(Performance!$O$5:$O$404,Performance!$N$5:$N$404,AV210))</f>
        <v>0</v>
      </c>
      <c r="AY210" s="23">
        <f>IF(AV210="","",SUMIFS(Performance!$Z$5:$Z$404,Performance!$N$5:$N$404,AV210))</f>
        <v>0</v>
      </c>
      <c r="AZ210" s="24">
        <f>IF(OR(AX210="",AX210=0),"",AY210/AX210)</f>
        <v>0</v>
      </c>
      <c r="BA210" s="32">
        <f>IF(AW210=0,"",IF(AZ210="","",AZ210+ROW()/1000000))</f>
        <v>0</v>
      </c>
      <c r="BB210" s="17">
        <f>IF(Lists!$AL210="","",Lists!$AL210)</f>
        <v>0</v>
      </c>
      <c r="BC210" s="23">
        <f>IF(BB210="","",COUNTIF(Performance!$M$5:$M$404,BB210))</f>
        <v>0</v>
      </c>
      <c r="BD210" s="23">
        <f>IF(BB210="","",SUMIFS(Performance!$O$5:$O$404,Performance!$M$5:$M$404,BB210))</f>
        <v>0</v>
      </c>
      <c r="BE210" s="23">
        <f>IF(BB210="","",SUMIFS(Performance!$Z$5:$Z$404,Performance!$M$5:$M$404,BB210))</f>
        <v>0</v>
      </c>
      <c r="BF210" s="24">
        <f>IF(OR(BD210="",BD210=0),"",BE210/BD210)</f>
        <v>0</v>
      </c>
      <c r="BG210" s="32">
        <f>IF(BC210=0,"",IF(BF210="","",BF210+ROW()/1000000))</f>
        <v>0</v>
      </c>
      <c r="BH210" s="17">
        <f>IF(Performance!$C$210="","",Performance!$C$210)</f>
        <v>0</v>
      </c>
      <c r="BI210" s="17">
        <f>IF(Performance!$F$210="","",Performance!$F$210)</f>
        <v>0</v>
      </c>
      <c r="BJ210" s="17">
        <f>IF(Performance!$H$210="","",Performance!$H$210)</f>
        <v>0</v>
      </c>
      <c r="BK210" s="16">
        <f>IF(Performance!$D$210="","",Performance!$D$210)</f>
        <v>0</v>
      </c>
      <c r="BL210" s="17">
        <f>IF(Performance!$E$210="","",Performance!$E$210)</f>
        <v>0</v>
      </c>
      <c r="BM210" s="23">
        <f>IF(Performance!$O$210="","",Performance!$O$210)</f>
        <v>0</v>
      </c>
      <c r="BN210" s="24">
        <f>IF(Performance!$AA$210="","",Performance!$AA$210)</f>
        <v>0</v>
      </c>
      <c r="BO210" s="32">
        <f>IF(BH210="","",IF(BK210="","",IF(OR(BK210&lt;DashStart,BK210&gt;DashEnd),"",IF(BN210="","",BN210+ROW()/1000000))))</f>
        <v>0</v>
      </c>
      <c r="BP210" s="32">
        <f>IF(BM210="","",IF(BK210="","",IF(OR(BK210&lt;DashStart,BK210&gt;DashEnd),"",BM210+ROW()/1000000)))</f>
        <v>0</v>
      </c>
      <c r="BQ210" s="32">
        <f>IF(BH210="","",IF(BK210="","",IF(YEAR(BK210)&lt;&gt;PlanYear,"",IF(BN210="","",BN210+ROW()/1000000))))</f>
        <v>0</v>
      </c>
      <c r="BR210" s="32">
        <f>IF(BH210="","",IF(BK210="","",IF(OR(BK210&lt;RepFrom,BK210&gt;RepTo),"",IF(BN210="","",BN210+ROW()/1000000))))</f>
        <v>0</v>
      </c>
      <c r="BS210" s="32">
        <f>IF(BM210="","",IF(BK210="","",IF(YEAR(BK210)&lt;&gt;PlanYear,"",BM210+ROW()/1000000)))</f>
        <v>0</v>
      </c>
      <c r="BT210" s="17">
        <f>IF(Lists!$F210="","",Lists!$F210)</f>
        <v>0</v>
      </c>
      <c r="BU210" s="23">
        <f>IF(BT210="","",COUNTIF('Content Calendar'!$X$5:$X$604,BT210))</f>
        <v>0</v>
      </c>
      <c r="BV210" s="23">
        <f>IF(BT210="","",COUNTIFS('Content Calendar'!$X$5:$X$604,BT210,'Content Calendar'!$B$5:$B$604,"&gt;="&amp;DashStart,'Content Calendar'!$B$5:$B$604,"&lt;="&amp;DashEnd))</f>
        <v>0</v>
      </c>
      <c r="BW210" s="17">
        <f>IF(Team!$B$210="","",Team!$B$210)</f>
        <v>0</v>
      </c>
      <c r="BX210" s="23">
        <f>IF(BW210="","",COUNTIF('Content Calendar'!$W$5:$W$604,BW210))</f>
        <v>0</v>
      </c>
      <c r="BY210" s="23">
        <f>IF(BW210="","",COUNTIFS('Content Calendar'!$W$5:$W$604,BW210,'Content Calendar'!$X$5:$X$604,"&lt;&gt;Published"))</f>
        <v>0</v>
      </c>
      <c r="BZ210" s="23">
        <f>IF(BW210="","",COUNTIFS(Tasks!$C$5:$C$64,BW210,Tasks!$G$5:$G$64,"&lt;&gt;Complete"))</f>
        <v>0</v>
      </c>
      <c r="CA210" s="17">
        <f>IF(Campaigns!$B$210="","",Campaigns!$B$210)</f>
        <v>0</v>
      </c>
      <c r="CB210" s="25">
        <f>IF(Campaigns!$T$210="","",Campaigns!$T$210)</f>
        <v>0</v>
      </c>
      <c r="CC210" s="25">
        <f>IF(Campaigns!$Q$210="","",Campaigns!$Q$210)</f>
        <v>0</v>
      </c>
      <c r="CD210" s="23">
        <f>IF(Campaigns!$Y$210="","",Campaigns!$Y$210)</f>
        <v>0</v>
      </c>
      <c r="CE210" s="32">
        <f>IF(CA210="","",IF(N(CB210)&lt;=0,"",N(CB210)+ROW()/1000000))</f>
        <v>0</v>
      </c>
      <c r="CF210" s="17">
        <f>IF(Accounts!$C$210="","",Accounts!$C$210)</f>
        <v>0</v>
      </c>
      <c r="CG210" s="17">
        <f>IF(Accounts!$B$210="","",Accounts!$B$210)</f>
        <v>0</v>
      </c>
      <c r="CH210" s="23">
        <f>IF(Accounts!$J$210="","",Accounts!$J$210)</f>
        <v>0</v>
      </c>
      <c r="CI210" s="23">
        <f>IF(CF210="","",SUMIFS(Analytics!$X$5:$X$154,Analytics!$E$5:$E$154,CF210,Analytics!$B$5:$B$154,"&gt;="&amp;DashStart,Analytics!$B$5:$B$154,"&lt;="&amp;DashEnd))</f>
        <v>0</v>
      </c>
      <c r="CJ210" s="32">
        <f>IF(CH210="","",IF(CH210=0,"",CH210+ROW()/1000000))</f>
        <v>0</v>
      </c>
    </row>
    <row r="211" spans="1:88">
      <c r="A211" s="16">
        <f>IF(ROW()-4&gt;12,"",DATE(PlanYear,ROW()-4,1))</f>
        <v>0</v>
      </c>
      <c r="B211" s="16">
        <f>IF(A211="","",EOMONTH(A211,0))</f>
        <v>0</v>
      </c>
      <c r="C211" s="17">
        <f>IF(A211="","",TEXT(A211,"yyyy-mm"))</f>
        <v>0</v>
      </c>
      <c r="D211" s="17">
        <f>IF(A211="","",TEXT(A211,"mmm"))</f>
        <v>0</v>
      </c>
      <c r="E211" s="23">
        <f>IF(C211="","",COUNTIFS('Content Calendar'!$D$5:$D$604,C211))</f>
        <v>0</v>
      </c>
      <c r="F211" s="23">
        <f>IF(C211="","",COUNTIFS('Content Calendar'!$D$5:$D$604,C211,'Content Calendar'!$X$5:$X$604,"Published"))</f>
        <v>0</v>
      </c>
      <c r="G211" s="23">
        <f>IF(C211="","",SUMIFS(Analytics!$J$5:$J$154,Analytics!$C$5:$C$154,C211))</f>
        <v>0</v>
      </c>
      <c r="H211" s="23">
        <f>IF(C211="","",SUMIFS(Analytics!$K$5:$K$154,Analytics!$C$5:$C$154,C211))</f>
        <v>0</v>
      </c>
      <c r="I211" s="23">
        <f>IF(C211="","",SUMIFS(Analytics!$L$5:$L$154,Analytics!$C$5:$C$154,C211))</f>
        <v>0</v>
      </c>
      <c r="J211" s="24">
        <f>IF(OR(G211="",G211=0),"",I211/G211)</f>
        <v>0</v>
      </c>
      <c r="K211" s="23">
        <f>IF(C211="","",SUMIFS(Analytics!$G$5:$G$154,Analytics!$C$5:$C$154,C211))</f>
        <v>0</v>
      </c>
      <c r="L211" s="23">
        <f>IF(C211="","",SUMIFS(Analytics!$X$5:$X$154,Analytics!$C$5:$C$154,C211))</f>
        <v>0</v>
      </c>
      <c r="M211" s="23">
        <f>IF(C211="","",SUMIFS(Analytics!$R$5:$R$154,Analytics!$C$5:$C$154,C211))</f>
        <v>0</v>
      </c>
      <c r="N211" s="23">
        <f>IF(C211="","",SUMIFS(Analytics!$S$5:$S$154,Analytics!$C$5:$C$154,C211))</f>
        <v>0</v>
      </c>
      <c r="O211" s="23">
        <f>IF(C211="","",SUMIFS(Analytics!$T$5:$T$154,Analytics!$C$5:$C$154,C211))</f>
        <v>0</v>
      </c>
      <c r="P211" s="25">
        <f>IF(C211="","",SUMIFS(Analytics!$U$5:$U$154,Analytics!$C$5:$C$154,C211))</f>
        <v>0</v>
      </c>
      <c r="Q211" s="25">
        <f>IF(C211="","",SUMIFS(Budget!$H$5:$H$64,Budget!$C$5:$C$64,C211))</f>
        <v>0</v>
      </c>
      <c r="R211" s="25">
        <f>IF(C211="","",P211-Q211)</f>
        <v>0</v>
      </c>
      <c r="S211" s="23">
        <f>IF(C211="","",MonthlyPostTarget)</f>
        <v>0</v>
      </c>
      <c r="T211" s="17">
        <f>IF(Lists!$C211="","",Lists!$C211)</f>
        <v>0</v>
      </c>
      <c r="U211" s="23">
        <f>IF(T211="","",COUNTIFS('Content Calendar'!$G$5:$G$604,T211,'Content Calendar'!$B$5:$B$604,"&gt;="&amp;DashStart,'Content Calendar'!$B$5:$B$604,"&lt;="&amp;DashEnd))</f>
        <v>0</v>
      </c>
      <c r="V211" s="23">
        <f>IF(T211="","",COUNTIFS('Content Calendar'!$G$5:$G$604,T211,'Content Calendar'!$X$5:$X$604,"Published",'Content Calendar'!$B$5:$B$604,"&gt;="&amp;DashStart,'Content Calendar'!$B$5:$B$604,"&lt;="&amp;DashEnd))</f>
        <v>0</v>
      </c>
      <c r="W211" s="23">
        <f>IF(T211="","",SUMIFS(Analytics!$J$5:$J$154,Analytics!$D$5:$D$154,T211,Analytics!$B$5:$B$154,"&gt;="&amp;DashStart,Analytics!$B$5:$B$154,"&lt;="&amp;DashEnd))</f>
        <v>0</v>
      </c>
      <c r="X211" s="23">
        <f>IF(T211="","",SUMIFS(Analytics!$L$5:$L$154,Analytics!$D$5:$D$154,T211,Analytics!$B$5:$B$154,"&gt;="&amp;DashStart,Analytics!$B$5:$B$154,"&lt;="&amp;DashEnd))</f>
        <v>0</v>
      </c>
      <c r="Y211" s="24">
        <f>IF(OR(W211="",W211=0),"",X211/W211)</f>
        <v>0</v>
      </c>
      <c r="Z211" s="23">
        <f>IF(T211="","",SUMIFS(Analytics!$G$5:$G$154,Analytics!$D$5:$D$154,T211,Analytics!$B$5:$B$154,"&gt;="&amp;DashStart,Analytics!$B$5:$B$154,"&lt;="&amp;DashEnd))</f>
        <v>0</v>
      </c>
      <c r="AA211" s="23">
        <f>IF(T211="","",SUMIFS(Analytics!$X$5:$X$154,Analytics!$D$5:$D$154,T211,Analytics!$B$5:$B$154,"&gt;="&amp;DashStart,Analytics!$B$5:$B$154,"&lt;="&amp;DashEnd))</f>
        <v>0</v>
      </c>
      <c r="AB211" s="23">
        <f>IF(T211="","",SUMIFS(Analytics!$R$5:$R$154,Analytics!$D$5:$D$154,T211,Analytics!$B$5:$B$154,"&gt;="&amp;DashStart,Analytics!$B$5:$B$154,"&lt;="&amp;DashEnd))</f>
        <v>0</v>
      </c>
      <c r="AC211" s="25">
        <f>IF(T211="","",SUMIFS(Analytics!$U$5:$U$154,Analytics!$D$5:$D$154,T211,Analytics!$B$5:$B$154,"&gt;="&amp;DashStart,Analytics!$B$5:$B$154,"&lt;="&amp;DashEnd))</f>
        <v>0</v>
      </c>
      <c r="AD211" s="23">
        <f>IF(T211="","",COUNTIFS('Content Calendar'!$G$5:$G$604,T211,'Content Calendar'!$B$5:$B$604,"&gt;="&amp;DATE(PlanYear,1,1),'Content Calendar'!$B$5:$B$604,"&lt;="&amp;DATE(PlanYear,12,31)))</f>
        <v>0</v>
      </c>
      <c r="AE211" s="23">
        <f>IF(T211="","",SUMIFS(Analytics!$J$5:$J$154,Analytics!$D$5:$D$154,T211))</f>
        <v>0</v>
      </c>
      <c r="AF211" s="23">
        <f>IF(T211="","",SUMIFS(Analytics!$L$5:$L$154,Analytics!$D$5:$D$154,T211))</f>
        <v>0</v>
      </c>
      <c r="AG211" s="24">
        <f>IF(OR(AE211="",AE211=0),"",AF211/AE211)</f>
        <v>0</v>
      </c>
      <c r="AH211" s="23">
        <f>IF(T211="","",SUMIFS(Analytics!$X$5:$X$154,Analytics!$D$5:$D$154,T211))</f>
        <v>0</v>
      </c>
      <c r="AI211" s="32">
        <f>IF(T211="","",IF(AE211=0,"",AE211+ROW()/1000000))</f>
        <v>0</v>
      </c>
      <c r="AJ211" s="17">
        <f>IF('Content Pillars'!$B$211="","",'Content Pillars'!$B$211)</f>
        <v>0</v>
      </c>
      <c r="AK211" s="23">
        <f>IF(AJ211="","",COUNTIFS('Content Calendar'!$J$5:$J$604,AJ211,'Content Calendar'!$B$5:$B$604,"&gt;="&amp;DATE(PlanYear,1,1),'Content Calendar'!$B$5:$B$604,"&lt;="&amp;DATE(PlanYear,12,31)))</f>
        <v>0</v>
      </c>
      <c r="AL211" s="23">
        <f>IF(AJ211="","",SUMIFS(Performance!$O$5:$O$404,Performance!$H$5:$H$404,AJ211))</f>
        <v>0</v>
      </c>
      <c r="AM211" s="23">
        <f>IF(AJ211="","",SUMIFS(Performance!$Z$5:$Z$404,Performance!$H$5:$H$404,AJ211))</f>
        <v>0</v>
      </c>
      <c r="AN211" s="24">
        <f>IF(OR(AL211="",AL211=0),"",AM211/AL211)</f>
        <v>0</v>
      </c>
      <c r="AO211" s="32">
        <f>IF(AN211="","",AN211+ROW()/1000000)</f>
        <v>0</v>
      </c>
      <c r="AP211" s="17">
        <f>IF(Lists!$E211="","",Lists!$E211)</f>
        <v>0</v>
      </c>
      <c r="AQ211" s="23">
        <f>IF(AP211="","",COUNTIF(Performance!$G$5:$G$404,AP211))</f>
        <v>0</v>
      </c>
      <c r="AR211" s="23">
        <f>IF(AP211="","",SUMIFS(Performance!$O$5:$O$404,Performance!$G$5:$G$404,AP211))</f>
        <v>0</v>
      </c>
      <c r="AS211" s="23">
        <f>IF(AP211="","",SUMIFS(Performance!$Z$5:$Z$404,Performance!$G$5:$G$404,AP211))</f>
        <v>0</v>
      </c>
      <c r="AT211" s="24">
        <f>IF(OR(AR211="",AR211=0),"",AS211/AR211)</f>
        <v>0</v>
      </c>
      <c r="AU211" s="32">
        <f>IF(AQ211=0,"",IF(AT211="","",AT211+ROW()/1000000))</f>
        <v>0</v>
      </c>
      <c r="AV211" s="17">
        <f>IF(ROW()-4&gt;7,"",TEXT(DATE(2024,1,ROW()-4),"ddd"))</f>
        <v>0</v>
      </c>
      <c r="AW211" s="23">
        <f>IF(AV211="","",COUNTIF(Performance!$N$5:$N$404,AV211))</f>
        <v>0</v>
      </c>
      <c r="AX211" s="23">
        <f>IF(AV211="","",SUMIFS(Performance!$O$5:$O$404,Performance!$N$5:$N$404,AV211))</f>
        <v>0</v>
      </c>
      <c r="AY211" s="23">
        <f>IF(AV211="","",SUMIFS(Performance!$Z$5:$Z$404,Performance!$N$5:$N$404,AV211))</f>
        <v>0</v>
      </c>
      <c r="AZ211" s="24">
        <f>IF(OR(AX211="",AX211=0),"",AY211/AX211)</f>
        <v>0</v>
      </c>
      <c r="BA211" s="32">
        <f>IF(AW211=0,"",IF(AZ211="","",AZ211+ROW()/1000000))</f>
        <v>0</v>
      </c>
      <c r="BB211" s="17">
        <f>IF(Lists!$AL211="","",Lists!$AL211)</f>
        <v>0</v>
      </c>
      <c r="BC211" s="23">
        <f>IF(BB211="","",COUNTIF(Performance!$M$5:$M$404,BB211))</f>
        <v>0</v>
      </c>
      <c r="BD211" s="23">
        <f>IF(BB211="","",SUMIFS(Performance!$O$5:$O$404,Performance!$M$5:$M$404,BB211))</f>
        <v>0</v>
      </c>
      <c r="BE211" s="23">
        <f>IF(BB211="","",SUMIFS(Performance!$Z$5:$Z$404,Performance!$M$5:$M$404,BB211))</f>
        <v>0</v>
      </c>
      <c r="BF211" s="24">
        <f>IF(OR(BD211="",BD211=0),"",BE211/BD211)</f>
        <v>0</v>
      </c>
      <c r="BG211" s="32">
        <f>IF(BC211=0,"",IF(BF211="","",BF211+ROW()/1000000))</f>
        <v>0</v>
      </c>
      <c r="BH211" s="17">
        <f>IF(Performance!$C$211="","",Performance!$C$211)</f>
        <v>0</v>
      </c>
      <c r="BI211" s="17">
        <f>IF(Performance!$F$211="","",Performance!$F$211)</f>
        <v>0</v>
      </c>
      <c r="BJ211" s="17">
        <f>IF(Performance!$H$211="","",Performance!$H$211)</f>
        <v>0</v>
      </c>
      <c r="BK211" s="16">
        <f>IF(Performance!$D$211="","",Performance!$D$211)</f>
        <v>0</v>
      </c>
      <c r="BL211" s="17">
        <f>IF(Performance!$E$211="","",Performance!$E$211)</f>
        <v>0</v>
      </c>
      <c r="BM211" s="23">
        <f>IF(Performance!$O$211="","",Performance!$O$211)</f>
        <v>0</v>
      </c>
      <c r="BN211" s="24">
        <f>IF(Performance!$AA$211="","",Performance!$AA$211)</f>
        <v>0</v>
      </c>
      <c r="BO211" s="32">
        <f>IF(BH211="","",IF(BK211="","",IF(OR(BK211&lt;DashStart,BK211&gt;DashEnd),"",IF(BN211="","",BN211+ROW()/1000000))))</f>
        <v>0</v>
      </c>
      <c r="BP211" s="32">
        <f>IF(BM211="","",IF(BK211="","",IF(OR(BK211&lt;DashStart,BK211&gt;DashEnd),"",BM211+ROW()/1000000)))</f>
        <v>0</v>
      </c>
      <c r="BQ211" s="32">
        <f>IF(BH211="","",IF(BK211="","",IF(YEAR(BK211)&lt;&gt;PlanYear,"",IF(BN211="","",BN211+ROW()/1000000))))</f>
        <v>0</v>
      </c>
      <c r="BR211" s="32">
        <f>IF(BH211="","",IF(BK211="","",IF(OR(BK211&lt;RepFrom,BK211&gt;RepTo),"",IF(BN211="","",BN211+ROW()/1000000))))</f>
        <v>0</v>
      </c>
      <c r="BS211" s="32">
        <f>IF(BM211="","",IF(BK211="","",IF(YEAR(BK211)&lt;&gt;PlanYear,"",BM211+ROW()/1000000)))</f>
        <v>0</v>
      </c>
      <c r="BT211" s="17">
        <f>IF(Lists!$F211="","",Lists!$F211)</f>
        <v>0</v>
      </c>
      <c r="BU211" s="23">
        <f>IF(BT211="","",COUNTIF('Content Calendar'!$X$5:$X$604,BT211))</f>
        <v>0</v>
      </c>
      <c r="BV211" s="23">
        <f>IF(BT211="","",COUNTIFS('Content Calendar'!$X$5:$X$604,BT211,'Content Calendar'!$B$5:$B$604,"&gt;="&amp;DashStart,'Content Calendar'!$B$5:$B$604,"&lt;="&amp;DashEnd))</f>
        <v>0</v>
      </c>
      <c r="BW211" s="17">
        <f>IF(Team!$B$211="","",Team!$B$211)</f>
        <v>0</v>
      </c>
      <c r="BX211" s="23">
        <f>IF(BW211="","",COUNTIF('Content Calendar'!$W$5:$W$604,BW211))</f>
        <v>0</v>
      </c>
      <c r="BY211" s="23">
        <f>IF(BW211="","",COUNTIFS('Content Calendar'!$W$5:$W$604,BW211,'Content Calendar'!$X$5:$X$604,"&lt;&gt;Published"))</f>
        <v>0</v>
      </c>
      <c r="BZ211" s="23">
        <f>IF(BW211="","",COUNTIFS(Tasks!$C$5:$C$64,BW211,Tasks!$G$5:$G$64,"&lt;&gt;Complete"))</f>
        <v>0</v>
      </c>
      <c r="CA211" s="17">
        <f>IF(Campaigns!$B$211="","",Campaigns!$B$211)</f>
        <v>0</v>
      </c>
      <c r="CB211" s="25">
        <f>IF(Campaigns!$T$211="","",Campaigns!$T$211)</f>
        <v>0</v>
      </c>
      <c r="CC211" s="25">
        <f>IF(Campaigns!$Q$211="","",Campaigns!$Q$211)</f>
        <v>0</v>
      </c>
      <c r="CD211" s="23">
        <f>IF(Campaigns!$Y$211="","",Campaigns!$Y$211)</f>
        <v>0</v>
      </c>
      <c r="CE211" s="32">
        <f>IF(CA211="","",IF(N(CB211)&lt;=0,"",N(CB211)+ROW()/1000000))</f>
        <v>0</v>
      </c>
      <c r="CF211" s="17">
        <f>IF(Accounts!$C$211="","",Accounts!$C$211)</f>
        <v>0</v>
      </c>
      <c r="CG211" s="17">
        <f>IF(Accounts!$B$211="","",Accounts!$B$211)</f>
        <v>0</v>
      </c>
      <c r="CH211" s="23">
        <f>IF(Accounts!$J$211="","",Accounts!$J$211)</f>
        <v>0</v>
      </c>
      <c r="CI211" s="23">
        <f>IF(CF211="","",SUMIFS(Analytics!$X$5:$X$154,Analytics!$E$5:$E$154,CF211,Analytics!$B$5:$B$154,"&gt;="&amp;DashStart,Analytics!$B$5:$B$154,"&lt;="&amp;DashEnd))</f>
        <v>0</v>
      </c>
      <c r="CJ211" s="32">
        <f>IF(CH211="","",IF(CH211=0,"",CH211+ROW()/1000000))</f>
        <v>0</v>
      </c>
    </row>
    <row r="212" spans="1:88">
      <c r="A212" s="16">
        <f>IF(ROW()-4&gt;12,"",DATE(PlanYear,ROW()-4,1))</f>
        <v>0</v>
      </c>
      <c r="B212" s="16">
        <f>IF(A212="","",EOMONTH(A212,0))</f>
        <v>0</v>
      </c>
      <c r="C212" s="17">
        <f>IF(A212="","",TEXT(A212,"yyyy-mm"))</f>
        <v>0</v>
      </c>
      <c r="D212" s="17">
        <f>IF(A212="","",TEXT(A212,"mmm"))</f>
        <v>0</v>
      </c>
      <c r="E212" s="23">
        <f>IF(C212="","",COUNTIFS('Content Calendar'!$D$5:$D$604,C212))</f>
        <v>0</v>
      </c>
      <c r="F212" s="23">
        <f>IF(C212="","",COUNTIFS('Content Calendar'!$D$5:$D$604,C212,'Content Calendar'!$X$5:$X$604,"Published"))</f>
        <v>0</v>
      </c>
      <c r="G212" s="23">
        <f>IF(C212="","",SUMIFS(Analytics!$J$5:$J$154,Analytics!$C$5:$C$154,C212))</f>
        <v>0</v>
      </c>
      <c r="H212" s="23">
        <f>IF(C212="","",SUMIFS(Analytics!$K$5:$K$154,Analytics!$C$5:$C$154,C212))</f>
        <v>0</v>
      </c>
      <c r="I212" s="23">
        <f>IF(C212="","",SUMIFS(Analytics!$L$5:$L$154,Analytics!$C$5:$C$154,C212))</f>
        <v>0</v>
      </c>
      <c r="J212" s="24">
        <f>IF(OR(G212="",G212=0),"",I212/G212)</f>
        <v>0</v>
      </c>
      <c r="K212" s="23">
        <f>IF(C212="","",SUMIFS(Analytics!$G$5:$G$154,Analytics!$C$5:$C$154,C212))</f>
        <v>0</v>
      </c>
      <c r="L212" s="23">
        <f>IF(C212="","",SUMIFS(Analytics!$X$5:$X$154,Analytics!$C$5:$C$154,C212))</f>
        <v>0</v>
      </c>
      <c r="M212" s="23">
        <f>IF(C212="","",SUMIFS(Analytics!$R$5:$R$154,Analytics!$C$5:$C$154,C212))</f>
        <v>0</v>
      </c>
      <c r="N212" s="23">
        <f>IF(C212="","",SUMIFS(Analytics!$S$5:$S$154,Analytics!$C$5:$C$154,C212))</f>
        <v>0</v>
      </c>
      <c r="O212" s="23">
        <f>IF(C212="","",SUMIFS(Analytics!$T$5:$T$154,Analytics!$C$5:$C$154,C212))</f>
        <v>0</v>
      </c>
      <c r="P212" s="25">
        <f>IF(C212="","",SUMIFS(Analytics!$U$5:$U$154,Analytics!$C$5:$C$154,C212))</f>
        <v>0</v>
      </c>
      <c r="Q212" s="25">
        <f>IF(C212="","",SUMIFS(Budget!$H$5:$H$64,Budget!$C$5:$C$64,C212))</f>
        <v>0</v>
      </c>
      <c r="R212" s="25">
        <f>IF(C212="","",P212-Q212)</f>
        <v>0</v>
      </c>
      <c r="S212" s="23">
        <f>IF(C212="","",MonthlyPostTarget)</f>
        <v>0</v>
      </c>
      <c r="T212" s="17">
        <f>IF(Lists!$C212="","",Lists!$C212)</f>
        <v>0</v>
      </c>
      <c r="U212" s="23">
        <f>IF(T212="","",COUNTIFS('Content Calendar'!$G$5:$G$604,T212,'Content Calendar'!$B$5:$B$604,"&gt;="&amp;DashStart,'Content Calendar'!$B$5:$B$604,"&lt;="&amp;DashEnd))</f>
        <v>0</v>
      </c>
      <c r="V212" s="23">
        <f>IF(T212="","",COUNTIFS('Content Calendar'!$G$5:$G$604,T212,'Content Calendar'!$X$5:$X$604,"Published",'Content Calendar'!$B$5:$B$604,"&gt;="&amp;DashStart,'Content Calendar'!$B$5:$B$604,"&lt;="&amp;DashEnd))</f>
        <v>0</v>
      </c>
      <c r="W212" s="23">
        <f>IF(T212="","",SUMIFS(Analytics!$J$5:$J$154,Analytics!$D$5:$D$154,T212,Analytics!$B$5:$B$154,"&gt;="&amp;DashStart,Analytics!$B$5:$B$154,"&lt;="&amp;DashEnd))</f>
        <v>0</v>
      </c>
      <c r="X212" s="23">
        <f>IF(T212="","",SUMIFS(Analytics!$L$5:$L$154,Analytics!$D$5:$D$154,T212,Analytics!$B$5:$B$154,"&gt;="&amp;DashStart,Analytics!$B$5:$B$154,"&lt;="&amp;DashEnd))</f>
        <v>0</v>
      </c>
      <c r="Y212" s="24">
        <f>IF(OR(W212="",W212=0),"",X212/W212)</f>
        <v>0</v>
      </c>
      <c r="Z212" s="23">
        <f>IF(T212="","",SUMIFS(Analytics!$G$5:$G$154,Analytics!$D$5:$D$154,T212,Analytics!$B$5:$B$154,"&gt;="&amp;DashStart,Analytics!$B$5:$B$154,"&lt;="&amp;DashEnd))</f>
        <v>0</v>
      </c>
      <c r="AA212" s="23">
        <f>IF(T212="","",SUMIFS(Analytics!$X$5:$X$154,Analytics!$D$5:$D$154,T212,Analytics!$B$5:$B$154,"&gt;="&amp;DashStart,Analytics!$B$5:$B$154,"&lt;="&amp;DashEnd))</f>
        <v>0</v>
      </c>
      <c r="AB212" s="23">
        <f>IF(T212="","",SUMIFS(Analytics!$R$5:$R$154,Analytics!$D$5:$D$154,T212,Analytics!$B$5:$B$154,"&gt;="&amp;DashStart,Analytics!$B$5:$B$154,"&lt;="&amp;DashEnd))</f>
        <v>0</v>
      </c>
      <c r="AC212" s="25">
        <f>IF(T212="","",SUMIFS(Analytics!$U$5:$U$154,Analytics!$D$5:$D$154,T212,Analytics!$B$5:$B$154,"&gt;="&amp;DashStart,Analytics!$B$5:$B$154,"&lt;="&amp;DashEnd))</f>
        <v>0</v>
      </c>
      <c r="AD212" s="23">
        <f>IF(T212="","",COUNTIFS('Content Calendar'!$G$5:$G$604,T212,'Content Calendar'!$B$5:$B$604,"&gt;="&amp;DATE(PlanYear,1,1),'Content Calendar'!$B$5:$B$604,"&lt;="&amp;DATE(PlanYear,12,31)))</f>
        <v>0</v>
      </c>
      <c r="AE212" s="23">
        <f>IF(T212="","",SUMIFS(Analytics!$J$5:$J$154,Analytics!$D$5:$D$154,T212))</f>
        <v>0</v>
      </c>
      <c r="AF212" s="23">
        <f>IF(T212="","",SUMIFS(Analytics!$L$5:$L$154,Analytics!$D$5:$D$154,T212))</f>
        <v>0</v>
      </c>
      <c r="AG212" s="24">
        <f>IF(OR(AE212="",AE212=0),"",AF212/AE212)</f>
        <v>0</v>
      </c>
      <c r="AH212" s="23">
        <f>IF(T212="","",SUMIFS(Analytics!$X$5:$X$154,Analytics!$D$5:$D$154,T212))</f>
        <v>0</v>
      </c>
      <c r="AI212" s="32">
        <f>IF(T212="","",IF(AE212=0,"",AE212+ROW()/1000000))</f>
        <v>0</v>
      </c>
      <c r="AJ212" s="17">
        <f>IF('Content Pillars'!$B$212="","",'Content Pillars'!$B$212)</f>
        <v>0</v>
      </c>
      <c r="AK212" s="23">
        <f>IF(AJ212="","",COUNTIFS('Content Calendar'!$J$5:$J$604,AJ212,'Content Calendar'!$B$5:$B$604,"&gt;="&amp;DATE(PlanYear,1,1),'Content Calendar'!$B$5:$B$604,"&lt;="&amp;DATE(PlanYear,12,31)))</f>
        <v>0</v>
      </c>
      <c r="AL212" s="23">
        <f>IF(AJ212="","",SUMIFS(Performance!$O$5:$O$404,Performance!$H$5:$H$404,AJ212))</f>
        <v>0</v>
      </c>
      <c r="AM212" s="23">
        <f>IF(AJ212="","",SUMIFS(Performance!$Z$5:$Z$404,Performance!$H$5:$H$404,AJ212))</f>
        <v>0</v>
      </c>
      <c r="AN212" s="24">
        <f>IF(OR(AL212="",AL212=0),"",AM212/AL212)</f>
        <v>0</v>
      </c>
      <c r="AO212" s="32">
        <f>IF(AN212="","",AN212+ROW()/1000000)</f>
        <v>0</v>
      </c>
      <c r="AP212" s="17">
        <f>IF(Lists!$E212="","",Lists!$E212)</f>
        <v>0</v>
      </c>
      <c r="AQ212" s="23">
        <f>IF(AP212="","",COUNTIF(Performance!$G$5:$G$404,AP212))</f>
        <v>0</v>
      </c>
      <c r="AR212" s="23">
        <f>IF(AP212="","",SUMIFS(Performance!$O$5:$O$404,Performance!$G$5:$G$404,AP212))</f>
        <v>0</v>
      </c>
      <c r="AS212" s="23">
        <f>IF(AP212="","",SUMIFS(Performance!$Z$5:$Z$404,Performance!$G$5:$G$404,AP212))</f>
        <v>0</v>
      </c>
      <c r="AT212" s="24">
        <f>IF(OR(AR212="",AR212=0),"",AS212/AR212)</f>
        <v>0</v>
      </c>
      <c r="AU212" s="32">
        <f>IF(AQ212=0,"",IF(AT212="","",AT212+ROW()/1000000))</f>
        <v>0</v>
      </c>
      <c r="AV212" s="17">
        <f>IF(ROW()-4&gt;7,"",TEXT(DATE(2024,1,ROW()-4),"ddd"))</f>
        <v>0</v>
      </c>
      <c r="AW212" s="23">
        <f>IF(AV212="","",COUNTIF(Performance!$N$5:$N$404,AV212))</f>
        <v>0</v>
      </c>
      <c r="AX212" s="23">
        <f>IF(AV212="","",SUMIFS(Performance!$O$5:$O$404,Performance!$N$5:$N$404,AV212))</f>
        <v>0</v>
      </c>
      <c r="AY212" s="23">
        <f>IF(AV212="","",SUMIFS(Performance!$Z$5:$Z$404,Performance!$N$5:$N$404,AV212))</f>
        <v>0</v>
      </c>
      <c r="AZ212" s="24">
        <f>IF(OR(AX212="",AX212=0),"",AY212/AX212)</f>
        <v>0</v>
      </c>
      <c r="BA212" s="32">
        <f>IF(AW212=0,"",IF(AZ212="","",AZ212+ROW()/1000000))</f>
        <v>0</v>
      </c>
      <c r="BB212" s="17">
        <f>IF(Lists!$AL212="","",Lists!$AL212)</f>
        <v>0</v>
      </c>
      <c r="BC212" s="23">
        <f>IF(BB212="","",COUNTIF(Performance!$M$5:$M$404,BB212))</f>
        <v>0</v>
      </c>
      <c r="BD212" s="23">
        <f>IF(BB212="","",SUMIFS(Performance!$O$5:$O$404,Performance!$M$5:$M$404,BB212))</f>
        <v>0</v>
      </c>
      <c r="BE212" s="23">
        <f>IF(BB212="","",SUMIFS(Performance!$Z$5:$Z$404,Performance!$M$5:$M$404,BB212))</f>
        <v>0</v>
      </c>
      <c r="BF212" s="24">
        <f>IF(OR(BD212="",BD212=0),"",BE212/BD212)</f>
        <v>0</v>
      </c>
      <c r="BG212" s="32">
        <f>IF(BC212=0,"",IF(BF212="","",BF212+ROW()/1000000))</f>
        <v>0</v>
      </c>
      <c r="BH212" s="17">
        <f>IF(Performance!$C$212="","",Performance!$C$212)</f>
        <v>0</v>
      </c>
      <c r="BI212" s="17">
        <f>IF(Performance!$F$212="","",Performance!$F$212)</f>
        <v>0</v>
      </c>
      <c r="BJ212" s="17">
        <f>IF(Performance!$H$212="","",Performance!$H$212)</f>
        <v>0</v>
      </c>
      <c r="BK212" s="16">
        <f>IF(Performance!$D$212="","",Performance!$D$212)</f>
        <v>0</v>
      </c>
      <c r="BL212" s="17">
        <f>IF(Performance!$E$212="","",Performance!$E$212)</f>
        <v>0</v>
      </c>
      <c r="BM212" s="23">
        <f>IF(Performance!$O$212="","",Performance!$O$212)</f>
        <v>0</v>
      </c>
      <c r="BN212" s="24">
        <f>IF(Performance!$AA$212="","",Performance!$AA$212)</f>
        <v>0</v>
      </c>
      <c r="BO212" s="32">
        <f>IF(BH212="","",IF(BK212="","",IF(OR(BK212&lt;DashStart,BK212&gt;DashEnd),"",IF(BN212="","",BN212+ROW()/1000000))))</f>
        <v>0</v>
      </c>
      <c r="BP212" s="32">
        <f>IF(BM212="","",IF(BK212="","",IF(OR(BK212&lt;DashStart,BK212&gt;DashEnd),"",BM212+ROW()/1000000)))</f>
        <v>0</v>
      </c>
      <c r="BQ212" s="32">
        <f>IF(BH212="","",IF(BK212="","",IF(YEAR(BK212)&lt;&gt;PlanYear,"",IF(BN212="","",BN212+ROW()/1000000))))</f>
        <v>0</v>
      </c>
      <c r="BR212" s="32">
        <f>IF(BH212="","",IF(BK212="","",IF(OR(BK212&lt;RepFrom,BK212&gt;RepTo),"",IF(BN212="","",BN212+ROW()/1000000))))</f>
        <v>0</v>
      </c>
      <c r="BS212" s="32">
        <f>IF(BM212="","",IF(BK212="","",IF(YEAR(BK212)&lt;&gt;PlanYear,"",BM212+ROW()/1000000)))</f>
        <v>0</v>
      </c>
      <c r="BT212" s="17">
        <f>IF(Lists!$F212="","",Lists!$F212)</f>
        <v>0</v>
      </c>
      <c r="BU212" s="23">
        <f>IF(BT212="","",COUNTIF('Content Calendar'!$X$5:$X$604,BT212))</f>
        <v>0</v>
      </c>
      <c r="BV212" s="23">
        <f>IF(BT212="","",COUNTIFS('Content Calendar'!$X$5:$X$604,BT212,'Content Calendar'!$B$5:$B$604,"&gt;="&amp;DashStart,'Content Calendar'!$B$5:$B$604,"&lt;="&amp;DashEnd))</f>
        <v>0</v>
      </c>
      <c r="BW212" s="17">
        <f>IF(Team!$B$212="","",Team!$B$212)</f>
        <v>0</v>
      </c>
      <c r="BX212" s="23">
        <f>IF(BW212="","",COUNTIF('Content Calendar'!$W$5:$W$604,BW212))</f>
        <v>0</v>
      </c>
      <c r="BY212" s="23">
        <f>IF(BW212="","",COUNTIFS('Content Calendar'!$W$5:$W$604,BW212,'Content Calendar'!$X$5:$X$604,"&lt;&gt;Published"))</f>
        <v>0</v>
      </c>
      <c r="BZ212" s="23">
        <f>IF(BW212="","",COUNTIFS(Tasks!$C$5:$C$64,BW212,Tasks!$G$5:$G$64,"&lt;&gt;Complete"))</f>
        <v>0</v>
      </c>
      <c r="CA212" s="17">
        <f>IF(Campaigns!$B$212="","",Campaigns!$B$212)</f>
        <v>0</v>
      </c>
      <c r="CB212" s="25">
        <f>IF(Campaigns!$T$212="","",Campaigns!$T$212)</f>
        <v>0</v>
      </c>
      <c r="CC212" s="25">
        <f>IF(Campaigns!$Q$212="","",Campaigns!$Q$212)</f>
        <v>0</v>
      </c>
      <c r="CD212" s="23">
        <f>IF(Campaigns!$Y$212="","",Campaigns!$Y$212)</f>
        <v>0</v>
      </c>
      <c r="CE212" s="32">
        <f>IF(CA212="","",IF(N(CB212)&lt;=0,"",N(CB212)+ROW()/1000000))</f>
        <v>0</v>
      </c>
      <c r="CF212" s="17">
        <f>IF(Accounts!$C$212="","",Accounts!$C$212)</f>
        <v>0</v>
      </c>
      <c r="CG212" s="17">
        <f>IF(Accounts!$B$212="","",Accounts!$B$212)</f>
        <v>0</v>
      </c>
      <c r="CH212" s="23">
        <f>IF(Accounts!$J$212="","",Accounts!$J$212)</f>
        <v>0</v>
      </c>
      <c r="CI212" s="23">
        <f>IF(CF212="","",SUMIFS(Analytics!$X$5:$X$154,Analytics!$E$5:$E$154,CF212,Analytics!$B$5:$B$154,"&gt;="&amp;DashStart,Analytics!$B$5:$B$154,"&lt;="&amp;DashEnd))</f>
        <v>0</v>
      </c>
      <c r="CJ212" s="32">
        <f>IF(CH212="","",IF(CH212=0,"",CH212+ROW()/1000000))</f>
        <v>0</v>
      </c>
    </row>
    <row r="213" spans="1:88">
      <c r="A213" s="16">
        <f>IF(ROW()-4&gt;12,"",DATE(PlanYear,ROW()-4,1))</f>
        <v>0</v>
      </c>
      <c r="B213" s="16">
        <f>IF(A213="","",EOMONTH(A213,0))</f>
        <v>0</v>
      </c>
      <c r="C213" s="17">
        <f>IF(A213="","",TEXT(A213,"yyyy-mm"))</f>
        <v>0</v>
      </c>
      <c r="D213" s="17">
        <f>IF(A213="","",TEXT(A213,"mmm"))</f>
        <v>0</v>
      </c>
      <c r="E213" s="23">
        <f>IF(C213="","",COUNTIFS('Content Calendar'!$D$5:$D$604,C213))</f>
        <v>0</v>
      </c>
      <c r="F213" s="23">
        <f>IF(C213="","",COUNTIFS('Content Calendar'!$D$5:$D$604,C213,'Content Calendar'!$X$5:$X$604,"Published"))</f>
        <v>0</v>
      </c>
      <c r="G213" s="23">
        <f>IF(C213="","",SUMIFS(Analytics!$J$5:$J$154,Analytics!$C$5:$C$154,C213))</f>
        <v>0</v>
      </c>
      <c r="H213" s="23">
        <f>IF(C213="","",SUMIFS(Analytics!$K$5:$K$154,Analytics!$C$5:$C$154,C213))</f>
        <v>0</v>
      </c>
      <c r="I213" s="23">
        <f>IF(C213="","",SUMIFS(Analytics!$L$5:$L$154,Analytics!$C$5:$C$154,C213))</f>
        <v>0</v>
      </c>
      <c r="J213" s="24">
        <f>IF(OR(G213="",G213=0),"",I213/G213)</f>
        <v>0</v>
      </c>
      <c r="K213" s="23">
        <f>IF(C213="","",SUMIFS(Analytics!$G$5:$G$154,Analytics!$C$5:$C$154,C213))</f>
        <v>0</v>
      </c>
      <c r="L213" s="23">
        <f>IF(C213="","",SUMIFS(Analytics!$X$5:$X$154,Analytics!$C$5:$C$154,C213))</f>
        <v>0</v>
      </c>
      <c r="M213" s="23">
        <f>IF(C213="","",SUMIFS(Analytics!$R$5:$R$154,Analytics!$C$5:$C$154,C213))</f>
        <v>0</v>
      </c>
      <c r="N213" s="23">
        <f>IF(C213="","",SUMIFS(Analytics!$S$5:$S$154,Analytics!$C$5:$C$154,C213))</f>
        <v>0</v>
      </c>
      <c r="O213" s="23">
        <f>IF(C213="","",SUMIFS(Analytics!$T$5:$T$154,Analytics!$C$5:$C$154,C213))</f>
        <v>0</v>
      </c>
      <c r="P213" s="25">
        <f>IF(C213="","",SUMIFS(Analytics!$U$5:$U$154,Analytics!$C$5:$C$154,C213))</f>
        <v>0</v>
      </c>
      <c r="Q213" s="25">
        <f>IF(C213="","",SUMIFS(Budget!$H$5:$H$64,Budget!$C$5:$C$64,C213))</f>
        <v>0</v>
      </c>
      <c r="R213" s="25">
        <f>IF(C213="","",P213-Q213)</f>
        <v>0</v>
      </c>
      <c r="S213" s="23">
        <f>IF(C213="","",MonthlyPostTarget)</f>
        <v>0</v>
      </c>
      <c r="T213" s="17">
        <f>IF(Lists!$C213="","",Lists!$C213)</f>
        <v>0</v>
      </c>
      <c r="U213" s="23">
        <f>IF(T213="","",COUNTIFS('Content Calendar'!$G$5:$G$604,T213,'Content Calendar'!$B$5:$B$604,"&gt;="&amp;DashStart,'Content Calendar'!$B$5:$B$604,"&lt;="&amp;DashEnd))</f>
        <v>0</v>
      </c>
      <c r="V213" s="23">
        <f>IF(T213="","",COUNTIFS('Content Calendar'!$G$5:$G$604,T213,'Content Calendar'!$X$5:$X$604,"Published",'Content Calendar'!$B$5:$B$604,"&gt;="&amp;DashStart,'Content Calendar'!$B$5:$B$604,"&lt;="&amp;DashEnd))</f>
        <v>0</v>
      </c>
      <c r="W213" s="23">
        <f>IF(T213="","",SUMIFS(Analytics!$J$5:$J$154,Analytics!$D$5:$D$154,T213,Analytics!$B$5:$B$154,"&gt;="&amp;DashStart,Analytics!$B$5:$B$154,"&lt;="&amp;DashEnd))</f>
        <v>0</v>
      </c>
      <c r="X213" s="23">
        <f>IF(T213="","",SUMIFS(Analytics!$L$5:$L$154,Analytics!$D$5:$D$154,T213,Analytics!$B$5:$B$154,"&gt;="&amp;DashStart,Analytics!$B$5:$B$154,"&lt;="&amp;DashEnd))</f>
        <v>0</v>
      </c>
      <c r="Y213" s="24">
        <f>IF(OR(W213="",W213=0),"",X213/W213)</f>
        <v>0</v>
      </c>
      <c r="Z213" s="23">
        <f>IF(T213="","",SUMIFS(Analytics!$G$5:$G$154,Analytics!$D$5:$D$154,T213,Analytics!$B$5:$B$154,"&gt;="&amp;DashStart,Analytics!$B$5:$B$154,"&lt;="&amp;DashEnd))</f>
        <v>0</v>
      </c>
      <c r="AA213" s="23">
        <f>IF(T213="","",SUMIFS(Analytics!$X$5:$X$154,Analytics!$D$5:$D$154,T213,Analytics!$B$5:$B$154,"&gt;="&amp;DashStart,Analytics!$B$5:$B$154,"&lt;="&amp;DashEnd))</f>
        <v>0</v>
      </c>
      <c r="AB213" s="23">
        <f>IF(T213="","",SUMIFS(Analytics!$R$5:$R$154,Analytics!$D$5:$D$154,T213,Analytics!$B$5:$B$154,"&gt;="&amp;DashStart,Analytics!$B$5:$B$154,"&lt;="&amp;DashEnd))</f>
        <v>0</v>
      </c>
      <c r="AC213" s="25">
        <f>IF(T213="","",SUMIFS(Analytics!$U$5:$U$154,Analytics!$D$5:$D$154,T213,Analytics!$B$5:$B$154,"&gt;="&amp;DashStart,Analytics!$B$5:$B$154,"&lt;="&amp;DashEnd))</f>
        <v>0</v>
      </c>
      <c r="AD213" s="23">
        <f>IF(T213="","",COUNTIFS('Content Calendar'!$G$5:$G$604,T213,'Content Calendar'!$B$5:$B$604,"&gt;="&amp;DATE(PlanYear,1,1),'Content Calendar'!$B$5:$B$604,"&lt;="&amp;DATE(PlanYear,12,31)))</f>
        <v>0</v>
      </c>
      <c r="AE213" s="23">
        <f>IF(T213="","",SUMIFS(Analytics!$J$5:$J$154,Analytics!$D$5:$D$154,T213))</f>
        <v>0</v>
      </c>
      <c r="AF213" s="23">
        <f>IF(T213="","",SUMIFS(Analytics!$L$5:$L$154,Analytics!$D$5:$D$154,T213))</f>
        <v>0</v>
      </c>
      <c r="AG213" s="24">
        <f>IF(OR(AE213="",AE213=0),"",AF213/AE213)</f>
        <v>0</v>
      </c>
      <c r="AH213" s="23">
        <f>IF(T213="","",SUMIFS(Analytics!$X$5:$X$154,Analytics!$D$5:$D$154,T213))</f>
        <v>0</v>
      </c>
      <c r="AI213" s="32">
        <f>IF(T213="","",IF(AE213=0,"",AE213+ROW()/1000000))</f>
        <v>0</v>
      </c>
      <c r="AJ213" s="17">
        <f>IF('Content Pillars'!$B$213="","",'Content Pillars'!$B$213)</f>
        <v>0</v>
      </c>
      <c r="AK213" s="23">
        <f>IF(AJ213="","",COUNTIFS('Content Calendar'!$J$5:$J$604,AJ213,'Content Calendar'!$B$5:$B$604,"&gt;="&amp;DATE(PlanYear,1,1),'Content Calendar'!$B$5:$B$604,"&lt;="&amp;DATE(PlanYear,12,31)))</f>
        <v>0</v>
      </c>
      <c r="AL213" s="23">
        <f>IF(AJ213="","",SUMIFS(Performance!$O$5:$O$404,Performance!$H$5:$H$404,AJ213))</f>
        <v>0</v>
      </c>
      <c r="AM213" s="23">
        <f>IF(AJ213="","",SUMIFS(Performance!$Z$5:$Z$404,Performance!$H$5:$H$404,AJ213))</f>
        <v>0</v>
      </c>
      <c r="AN213" s="24">
        <f>IF(OR(AL213="",AL213=0),"",AM213/AL213)</f>
        <v>0</v>
      </c>
      <c r="AO213" s="32">
        <f>IF(AN213="","",AN213+ROW()/1000000)</f>
        <v>0</v>
      </c>
      <c r="AP213" s="17">
        <f>IF(Lists!$E213="","",Lists!$E213)</f>
        <v>0</v>
      </c>
      <c r="AQ213" s="23">
        <f>IF(AP213="","",COUNTIF(Performance!$G$5:$G$404,AP213))</f>
        <v>0</v>
      </c>
      <c r="AR213" s="23">
        <f>IF(AP213="","",SUMIFS(Performance!$O$5:$O$404,Performance!$G$5:$G$404,AP213))</f>
        <v>0</v>
      </c>
      <c r="AS213" s="23">
        <f>IF(AP213="","",SUMIFS(Performance!$Z$5:$Z$404,Performance!$G$5:$G$404,AP213))</f>
        <v>0</v>
      </c>
      <c r="AT213" s="24">
        <f>IF(OR(AR213="",AR213=0),"",AS213/AR213)</f>
        <v>0</v>
      </c>
      <c r="AU213" s="32">
        <f>IF(AQ213=0,"",IF(AT213="","",AT213+ROW()/1000000))</f>
        <v>0</v>
      </c>
      <c r="AV213" s="17">
        <f>IF(ROW()-4&gt;7,"",TEXT(DATE(2024,1,ROW()-4),"ddd"))</f>
        <v>0</v>
      </c>
      <c r="AW213" s="23">
        <f>IF(AV213="","",COUNTIF(Performance!$N$5:$N$404,AV213))</f>
        <v>0</v>
      </c>
      <c r="AX213" s="23">
        <f>IF(AV213="","",SUMIFS(Performance!$O$5:$O$404,Performance!$N$5:$N$404,AV213))</f>
        <v>0</v>
      </c>
      <c r="AY213" s="23">
        <f>IF(AV213="","",SUMIFS(Performance!$Z$5:$Z$404,Performance!$N$5:$N$404,AV213))</f>
        <v>0</v>
      </c>
      <c r="AZ213" s="24">
        <f>IF(OR(AX213="",AX213=0),"",AY213/AX213)</f>
        <v>0</v>
      </c>
      <c r="BA213" s="32">
        <f>IF(AW213=0,"",IF(AZ213="","",AZ213+ROW()/1000000))</f>
        <v>0</v>
      </c>
      <c r="BB213" s="17">
        <f>IF(Lists!$AL213="","",Lists!$AL213)</f>
        <v>0</v>
      </c>
      <c r="BC213" s="23">
        <f>IF(BB213="","",COUNTIF(Performance!$M$5:$M$404,BB213))</f>
        <v>0</v>
      </c>
      <c r="BD213" s="23">
        <f>IF(BB213="","",SUMIFS(Performance!$O$5:$O$404,Performance!$M$5:$M$404,BB213))</f>
        <v>0</v>
      </c>
      <c r="BE213" s="23">
        <f>IF(BB213="","",SUMIFS(Performance!$Z$5:$Z$404,Performance!$M$5:$M$404,BB213))</f>
        <v>0</v>
      </c>
      <c r="BF213" s="24">
        <f>IF(OR(BD213="",BD213=0),"",BE213/BD213)</f>
        <v>0</v>
      </c>
      <c r="BG213" s="32">
        <f>IF(BC213=0,"",IF(BF213="","",BF213+ROW()/1000000))</f>
        <v>0</v>
      </c>
      <c r="BH213" s="17">
        <f>IF(Performance!$C$213="","",Performance!$C$213)</f>
        <v>0</v>
      </c>
      <c r="BI213" s="17">
        <f>IF(Performance!$F$213="","",Performance!$F$213)</f>
        <v>0</v>
      </c>
      <c r="BJ213" s="17">
        <f>IF(Performance!$H$213="","",Performance!$H$213)</f>
        <v>0</v>
      </c>
      <c r="BK213" s="16">
        <f>IF(Performance!$D$213="","",Performance!$D$213)</f>
        <v>0</v>
      </c>
      <c r="BL213" s="17">
        <f>IF(Performance!$E$213="","",Performance!$E$213)</f>
        <v>0</v>
      </c>
      <c r="BM213" s="23">
        <f>IF(Performance!$O$213="","",Performance!$O$213)</f>
        <v>0</v>
      </c>
      <c r="BN213" s="24">
        <f>IF(Performance!$AA$213="","",Performance!$AA$213)</f>
        <v>0</v>
      </c>
      <c r="BO213" s="32">
        <f>IF(BH213="","",IF(BK213="","",IF(OR(BK213&lt;DashStart,BK213&gt;DashEnd),"",IF(BN213="","",BN213+ROW()/1000000))))</f>
        <v>0</v>
      </c>
      <c r="BP213" s="32">
        <f>IF(BM213="","",IF(BK213="","",IF(OR(BK213&lt;DashStart,BK213&gt;DashEnd),"",BM213+ROW()/1000000)))</f>
        <v>0</v>
      </c>
      <c r="BQ213" s="32">
        <f>IF(BH213="","",IF(BK213="","",IF(YEAR(BK213)&lt;&gt;PlanYear,"",IF(BN213="","",BN213+ROW()/1000000))))</f>
        <v>0</v>
      </c>
      <c r="BR213" s="32">
        <f>IF(BH213="","",IF(BK213="","",IF(OR(BK213&lt;RepFrom,BK213&gt;RepTo),"",IF(BN213="","",BN213+ROW()/1000000))))</f>
        <v>0</v>
      </c>
      <c r="BS213" s="32">
        <f>IF(BM213="","",IF(BK213="","",IF(YEAR(BK213)&lt;&gt;PlanYear,"",BM213+ROW()/1000000)))</f>
        <v>0</v>
      </c>
      <c r="BT213" s="17">
        <f>IF(Lists!$F213="","",Lists!$F213)</f>
        <v>0</v>
      </c>
      <c r="BU213" s="23">
        <f>IF(BT213="","",COUNTIF('Content Calendar'!$X$5:$X$604,BT213))</f>
        <v>0</v>
      </c>
      <c r="BV213" s="23">
        <f>IF(BT213="","",COUNTIFS('Content Calendar'!$X$5:$X$604,BT213,'Content Calendar'!$B$5:$B$604,"&gt;="&amp;DashStart,'Content Calendar'!$B$5:$B$604,"&lt;="&amp;DashEnd))</f>
        <v>0</v>
      </c>
      <c r="BW213" s="17">
        <f>IF(Team!$B$213="","",Team!$B$213)</f>
        <v>0</v>
      </c>
      <c r="BX213" s="23">
        <f>IF(BW213="","",COUNTIF('Content Calendar'!$W$5:$W$604,BW213))</f>
        <v>0</v>
      </c>
      <c r="BY213" s="23">
        <f>IF(BW213="","",COUNTIFS('Content Calendar'!$W$5:$W$604,BW213,'Content Calendar'!$X$5:$X$604,"&lt;&gt;Published"))</f>
        <v>0</v>
      </c>
      <c r="BZ213" s="23">
        <f>IF(BW213="","",COUNTIFS(Tasks!$C$5:$C$64,BW213,Tasks!$G$5:$G$64,"&lt;&gt;Complete"))</f>
        <v>0</v>
      </c>
      <c r="CA213" s="17">
        <f>IF(Campaigns!$B$213="","",Campaigns!$B$213)</f>
        <v>0</v>
      </c>
      <c r="CB213" s="25">
        <f>IF(Campaigns!$T$213="","",Campaigns!$T$213)</f>
        <v>0</v>
      </c>
      <c r="CC213" s="25">
        <f>IF(Campaigns!$Q$213="","",Campaigns!$Q$213)</f>
        <v>0</v>
      </c>
      <c r="CD213" s="23">
        <f>IF(Campaigns!$Y$213="","",Campaigns!$Y$213)</f>
        <v>0</v>
      </c>
      <c r="CE213" s="32">
        <f>IF(CA213="","",IF(N(CB213)&lt;=0,"",N(CB213)+ROW()/1000000))</f>
        <v>0</v>
      </c>
      <c r="CF213" s="17">
        <f>IF(Accounts!$C$213="","",Accounts!$C$213)</f>
        <v>0</v>
      </c>
      <c r="CG213" s="17">
        <f>IF(Accounts!$B$213="","",Accounts!$B$213)</f>
        <v>0</v>
      </c>
      <c r="CH213" s="23">
        <f>IF(Accounts!$J$213="","",Accounts!$J$213)</f>
        <v>0</v>
      </c>
      <c r="CI213" s="23">
        <f>IF(CF213="","",SUMIFS(Analytics!$X$5:$X$154,Analytics!$E$5:$E$154,CF213,Analytics!$B$5:$B$154,"&gt;="&amp;DashStart,Analytics!$B$5:$B$154,"&lt;="&amp;DashEnd))</f>
        <v>0</v>
      </c>
      <c r="CJ213" s="32">
        <f>IF(CH213="","",IF(CH213=0,"",CH213+ROW()/1000000))</f>
        <v>0</v>
      </c>
    </row>
    <row r="214" spans="1:88">
      <c r="A214" s="16">
        <f>IF(ROW()-4&gt;12,"",DATE(PlanYear,ROW()-4,1))</f>
        <v>0</v>
      </c>
      <c r="B214" s="16">
        <f>IF(A214="","",EOMONTH(A214,0))</f>
        <v>0</v>
      </c>
      <c r="C214" s="17">
        <f>IF(A214="","",TEXT(A214,"yyyy-mm"))</f>
        <v>0</v>
      </c>
      <c r="D214" s="17">
        <f>IF(A214="","",TEXT(A214,"mmm"))</f>
        <v>0</v>
      </c>
      <c r="E214" s="23">
        <f>IF(C214="","",COUNTIFS('Content Calendar'!$D$5:$D$604,C214))</f>
        <v>0</v>
      </c>
      <c r="F214" s="23">
        <f>IF(C214="","",COUNTIFS('Content Calendar'!$D$5:$D$604,C214,'Content Calendar'!$X$5:$X$604,"Published"))</f>
        <v>0</v>
      </c>
      <c r="G214" s="23">
        <f>IF(C214="","",SUMIFS(Analytics!$J$5:$J$154,Analytics!$C$5:$C$154,C214))</f>
        <v>0</v>
      </c>
      <c r="H214" s="23">
        <f>IF(C214="","",SUMIFS(Analytics!$K$5:$K$154,Analytics!$C$5:$C$154,C214))</f>
        <v>0</v>
      </c>
      <c r="I214" s="23">
        <f>IF(C214="","",SUMIFS(Analytics!$L$5:$L$154,Analytics!$C$5:$C$154,C214))</f>
        <v>0</v>
      </c>
      <c r="J214" s="24">
        <f>IF(OR(G214="",G214=0),"",I214/G214)</f>
        <v>0</v>
      </c>
      <c r="K214" s="23">
        <f>IF(C214="","",SUMIFS(Analytics!$G$5:$G$154,Analytics!$C$5:$C$154,C214))</f>
        <v>0</v>
      </c>
      <c r="L214" s="23">
        <f>IF(C214="","",SUMIFS(Analytics!$X$5:$X$154,Analytics!$C$5:$C$154,C214))</f>
        <v>0</v>
      </c>
      <c r="M214" s="23">
        <f>IF(C214="","",SUMIFS(Analytics!$R$5:$R$154,Analytics!$C$5:$C$154,C214))</f>
        <v>0</v>
      </c>
      <c r="N214" s="23">
        <f>IF(C214="","",SUMIFS(Analytics!$S$5:$S$154,Analytics!$C$5:$C$154,C214))</f>
        <v>0</v>
      </c>
      <c r="O214" s="23">
        <f>IF(C214="","",SUMIFS(Analytics!$T$5:$T$154,Analytics!$C$5:$C$154,C214))</f>
        <v>0</v>
      </c>
      <c r="P214" s="25">
        <f>IF(C214="","",SUMIFS(Analytics!$U$5:$U$154,Analytics!$C$5:$C$154,C214))</f>
        <v>0</v>
      </c>
      <c r="Q214" s="25">
        <f>IF(C214="","",SUMIFS(Budget!$H$5:$H$64,Budget!$C$5:$C$64,C214))</f>
        <v>0</v>
      </c>
      <c r="R214" s="25">
        <f>IF(C214="","",P214-Q214)</f>
        <v>0</v>
      </c>
      <c r="S214" s="23">
        <f>IF(C214="","",MonthlyPostTarget)</f>
        <v>0</v>
      </c>
      <c r="T214" s="17">
        <f>IF(Lists!$C214="","",Lists!$C214)</f>
        <v>0</v>
      </c>
      <c r="U214" s="23">
        <f>IF(T214="","",COUNTIFS('Content Calendar'!$G$5:$G$604,T214,'Content Calendar'!$B$5:$B$604,"&gt;="&amp;DashStart,'Content Calendar'!$B$5:$B$604,"&lt;="&amp;DashEnd))</f>
        <v>0</v>
      </c>
      <c r="V214" s="23">
        <f>IF(T214="","",COUNTIFS('Content Calendar'!$G$5:$G$604,T214,'Content Calendar'!$X$5:$X$604,"Published",'Content Calendar'!$B$5:$B$604,"&gt;="&amp;DashStart,'Content Calendar'!$B$5:$B$604,"&lt;="&amp;DashEnd))</f>
        <v>0</v>
      </c>
      <c r="W214" s="23">
        <f>IF(T214="","",SUMIFS(Analytics!$J$5:$J$154,Analytics!$D$5:$D$154,T214,Analytics!$B$5:$B$154,"&gt;="&amp;DashStart,Analytics!$B$5:$B$154,"&lt;="&amp;DashEnd))</f>
        <v>0</v>
      </c>
      <c r="X214" s="23">
        <f>IF(T214="","",SUMIFS(Analytics!$L$5:$L$154,Analytics!$D$5:$D$154,T214,Analytics!$B$5:$B$154,"&gt;="&amp;DashStart,Analytics!$B$5:$B$154,"&lt;="&amp;DashEnd))</f>
        <v>0</v>
      </c>
      <c r="Y214" s="24">
        <f>IF(OR(W214="",W214=0),"",X214/W214)</f>
        <v>0</v>
      </c>
      <c r="Z214" s="23">
        <f>IF(T214="","",SUMIFS(Analytics!$G$5:$G$154,Analytics!$D$5:$D$154,T214,Analytics!$B$5:$B$154,"&gt;="&amp;DashStart,Analytics!$B$5:$B$154,"&lt;="&amp;DashEnd))</f>
        <v>0</v>
      </c>
      <c r="AA214" s="23">
        <f>IF(T214="","",SUMIFS(Analytics!$X$5:$X$154,Analytics!$D$5:$D$154,T214,Analytics!$B$5:$B$154,"&gt;="&amp;DashStart,Analytics!$B$5:$B$154,"&lt;="&amp;DashEnd))</f>
        <v>0</v>
      </c>
      <c r="AB214" s="23">
        <f>IF(T214="","",SUMIFS(Analytics!$R$5:$R$154,Analytics!$D$5:$D$154,T214,Analytics!$B$5:$B$154,"&gt;="&amp;DashStart,Analytics!$B$5:$B$154,"&lt;="&amp;DashEnd))</f>
        <v>0</v>
      </c>
      <c r="AC214" s="25">
        <f>IF(T214="","",SUMIFS(Analytics!$U$5:$U$154,Analytics!$D$5:$D$154,T214,Analytics!$B$5:$B$154,"&gt;="&amp;DashStart,Analytics!$B$5:$B$154,"&lt;="&amp;DashEnd))</f>
        <v>0</v>
      </c>
      <c r="AD214" s="23">
        <f>IF(T214="","",COUNTIFS('Content Calendar'!$G$5:$G$604,T214,'Content Calendar'!$B$5:$B$604,"&gt;="&amp;DATE(PlanYear,1,1),'Content Calendar'!$B$5:$B$604,"&lt;="&amp;DATE(PlanYear,12,31)))</f>
        <v>0</v>
      </c>
      <c r="AE214" s="23">
        <f>IF(T214="","",SUMIFS(Analytics!$J$5:$J$154,Analytics!$D$5:$D$154,T214))</f>
        <v>0</v>
      </c>
      <c r="AF214" s="23">
        <f>IF(T214="","",SUMIFS(Analytics!$L$5:$L$154,Analytics!$D$5:$D$154,T214))</f>
        <v>0</v>
      </c>
      <c r="AG214" s="24">
        <f>IF(OR(AE214="",AE214=0),"",AF214/AE214)</f>
        <v>0</v>
      </c>
      <c r="AH214" s="23">
        <f>IF(T214="","",SUMIFS(Analytics!$X$5:$X$154,Analytics!$D$5:$D$154,T214))</f>
        <v>0</v>
      </c>
      <c r="AI214" s="32">
        <f>IF(T214="","",IF(AE214=0,"",AE214+ROW()/1000000))</f>
        <v>0</v>
      </c>
      <c r="AJ214" s="17">
        <f>IF('Content Pillars'!$B$214="","",'Content Pillars'!$B$214)</f>
        <v>0</v>
      </c>
      <c r="AK214" s="23">
        <f>IF(AJ214="","",COUNTIFS('Content Calendar'!$J$5:$J$604,AJ214,'Content Calendar'!$B$5:$B$604,"&gt;="&amp;DATE(PlanYear,1,1),'Content Calendar'!$B$5:$B$604,"&lt;="&amp;DATE(PlanYear,12,31)))</f>
        <v>0</v>
      </c>
      <c r="AL214" s="23">
        <f>IF(AJ214="","",SUMIFS(Performance!$O$5:$O$404,Performance!$H$5:$H$404,AJ214))</f>
        <v>0</v>
      </c>
      <c r="AM214" s="23">
        <f>IF(AJ214="","",SUMIFS(Performance!$Z$5:$Z$404,Performance!$H$5:$H$404,AJ214))</f>
        <v>0</v>
      </c>
      <c r="AN214" s="24">
        <f>IF(OR(AL214="",AL214=0),"",AM214/AL214)</f>
        <v>0</v>
      </c>
      <c r="AO214" s="32">
        <f>IF(AN214="","",AN214+ROW()/1000000)</f>
        <v>0</v>
      </c>
      <c r="AP214" s="17">
        <f>IF(Lists!$E214="","",Lists!$E214)</f>
        <v>0</v>
      </c>
      <c r="AQ214" s="23">
        <f>IF(AP214="","",COUNTIF(Performance!$G$5:$G$404,AP214))</f>
        <v>0</v>
      </c>
      <c r="AR214" s="23">
        <f>IF(AP214="","",SUMIFS(Performance!$O$5:$O$404,Performance!$G$5:$G$404,AP214))</f>
        <v>0</v>
      </c>
      <c r="AS214" s="23">
        <f>IF(AP214="","",SUMIFS(Performance!$Z$5:$Z$404,Performance!$G$5:$G$404,AP214))</f>
        <v>0</v>
      </c>
      <c r="AT214" s="24">
        <f>IF(OR(AR214="",AR214=0),"",AS214/AR214)</f>
        <v>0</v>
      </c>
      <c r="AU214" s="32">
        <f>IF(AQ214=0,"",IF(AT214="","",AT214+ROW()/1000000))</f>
        <v>0</v>
      </c>
      <c r="AV214" s="17">
        <f>IF(ROW()-4&gt;7,"",TEXT(DATE(2024,1,ROW()-4),"ddd"))</f>
        <v>0</v>
      </c>
      <c r="AW214" s="23">
        <f>IF(AV214="","",COUNTIF(Performance!$N$5:$N$404,AV214))</f>
        <v>0</v>
      </c>
      <c r="AX214" s="23">
        <f>IF(AV214="","",SUMIFS(Performance!$O$5:$O$404,Performance!$N$5:$N$404,AV214))</f>
        <v>0</v>
      </c>
      <c r="AY214" s="23">
        <f>IF(AV214="","",SUMIFS(Performance!$Z$5:$Z$404,Performance!$N$5:$N$404,AV214))</f>
        <v>0</v>
      </c>
      <c r="AZ214" s="24">
        <f>IF(OR(AX214="",AX214=0),"",AY214/AX214)</f>
        <v>0</v>
      </c>
      <c r="BA214" s="32">
        <f>IF(AW214=0,"",IF(AZ214="","",AZ214+ROW()/1000000))</f>
        <v>0</v>
      </c>
      <c r="BB214" s="17">
        <f>IF(Lists!$AL214="","",Lists!$AL214)</f>
        <v>0</v>
      </c>
      <c r="BC214" s="23">
        <f>IF(BB214="","",COUNTIF(Performance!$M$5:$M$404,BB214))</f>
        <v>0</v>
      </c>
      <c r="BD214" s="23">
        <f>IF(BB214="","",SUMIFS(Performance!$O$5:$O$404,Performance!$M$5:$M$404,BB214))</f>
        <v>0</v>
      </c>
      <c r="BE214" s="23">
        <f>IF(BB214="","",SUMIFS(Performance!$Z$5:$Z$404,Performance!$M$5:$M$404,BB214))</f>
        <v>0</v>
      </c>
      <c r="BF214" s="24">
        <f>IF(OR(BD214="",BD214=0),"",BE214/BD214)</f>
        <v>0</v>
      </c>
      <c r="BG214" s="32">
        <f>IF(BC214=0,"",IF(BF214="","",BF214+ROW()/1000000))</f>
        <v>0</v>
      </c>
      <c r="BH214" s="17">
        <f>IF(Performance!$C$214="","",Performance!$C$214)</f>
        <v>0</v>
      </c>
      <c r="BI214" s="17">
        <f>IF(Performance!$F$214="","",Performance!$F$214)</f>
        <v>0</v>
      </c>
      <c r="BJ214" s="17">
        <f>IF(Performance!$H$214="","",Performance!$H$214)</f>
        <v>0</v>
      </c>
      <c r="BK214" s="16">
        <f>IF(Performance!$D$214="","",Performance!$D$214)</f>
        <v>0</v>
      </c>
      <c r="BL214" s="17">
        <f>IF(Performance!$E$214="","",Performance!$E$214)</f>
        <v>0</v>
      </c>
      <c r="BM214" s="23">
        <f>IF(Performance!$O$214="","",Performance!$O$214)</f>
        <v>0</v>
      </c>
      <c r="BN214" s="24">
        <f>IF(Performance!$AA$214="","",Performance!$AA$214)</f>
        <v>0</v>
      </c>
      <c r="BO214" s="32">
        <f>IF(BH214="","",IF(BK214="","",IF(OR(BK214&lt;DashStart,BK214&gt;DashEnd),"",IF(BN214="","",BN214+ROW()/1000000))))</f>
        <v>0</v>
      </c>
      <c r="BP214" s="32">
        <f>IF(BM214="","",IF(BK214="","",IF(OR(BK214&lt;DashStart,BK214&gt;DashEnd),"",BM214+ROW()/1000000)))</f>
        <v>0</v>
      </c>
      <c r="BQ214" s="32">
        <f>IF(BH214="","",IF(BK214="","",IF(YEAR(BK214)&lt;&gt;PlanYear,"",IF(BN214="","",BN214+ROW()/1000000))))</f>
        <v>0</v>
      </c>
      <c r="BR214" s="32">
        <f>IF(BH214="","",IF(BK214="","",IF(OR(BK214&lt;RepFrom,BK214&gt;RepTo),"",IF(BN214="","",BN214+ROW()/1000000))))</f>
        <v>0</v>
      </c>
      <c r="BS214" s="32">
        <f>IF(BM214="","",IF(BK214="","",IF(YEAR(BK214)&lt;&gt;PlanYear,"",BM214+ROW()/1000000)))</f>
        <v>0</v>
      </c>
      <c r="BT214" s="17">
        <f>IF(Lists!$F214="","",Lists!$F214)</f>
        <v>0</v>
      </c>
      <c r="BU214" s="23">
        <f>IF(BT214="","",COUNTIF('Content Calendar'!$X$5:$X$604,BT214))</f>
        <v>0</v>
      </c>
      <c r="BV214" s="23">
        <f>IF(BT214="","",COUNTIFS('Content Calendar'!$X$5:$X$604,BT214,'Content Calendar'!$B$5:$B$604,"&gt;="&amp;DashStart,'Content Calendar'!$B$5:$B$604,"&lt;="&amp;DashEnd))</f>
        <v>0</v>
      </c>
      <c r="BW214" s="17">
        <f>IF(Team!$B$214="","",Team!$B$214)</f>
        <v>0</v>
      </c>
      <c r="BX214" s="23">
        <f>IF(BW214="","",COUNTIF('Content Calendar'!$W$5:$W$604,BW214))</f>
        <v>0</v>
      </c>
      <c r="BY214" s="23">
        <f>IF(BW214="","",COUNTIFS('Content Calendar'!$W$5:$W$604,BW214,'Content Calendar'!$X$5:$X$604,"&lt;&gt;Published"))</f>
        <v>0</v>
      </c>
      <c r="BZ214" s="23">
        <f>IF(BW214="","",COUNTIFS(Tasks!$C$5:$C$64,BW214,Tasks!$G$5:$G$64,"&lt;&gt;Complete"))</f>
        <v>0</v>
      </c>
      <c r="CA214" s="17">
        <f>IF(Campaigns!$B$214="","",Campaigns!$B$214)</f>
        <v>0</v>
      </c>
      <c r="CB214" s="25">
        <f>IF(Campaigns!$T$214="","",Campaigns!$T$214)</f>
        <v>0</v>
      </c>
      <c r="CC214" s="25">
        <f>IF(Campaigns!$Q$214="","",Campaigns!$Q$214)</f>
        <v>0</v>
      </c>
      <c r="CD214" s="23">
        <f>IF(Campaigns!$Y$214="","",Campaigns!$Y$214)</f>
        <v>0</v>
      </c>
      <c r="CE214" s="32">
        <f>IF(CA214="","",IF(N(CB214)&lt;=0,"",N(CB214)+ROW()/1000000))</f>
        <v>0</v>
      </c>
      <c r="CF214" s="17">
        <f>IF(Accounts!$C$214="","",Accounts!$C$214)</f>
        <v>0</v>
      </c>
      <c r="CG214" s="17">
        <f>IF(Accounts!$B$214="","",Accounts!$B$214)</f>
        <v>0</v>
      </c>
      <c r="CH214" s="23">
        <f>IF(Accounts!$J$214="","",Accounts!$J$214)</f>
        <v>0</v>
      </c>
      <c r="CI214" s="23">
        <f>IF(CF214="","",SUMIFS(Analytics!$X$5:$X$154,Analytics!$E$5:$E$154,CF214,Analytics!$B$5:$B$154,"&gt;="&amp;DashStart,Analytics!$B$5:$B$154,"&lt;="&amp;DashEnd))</f>
        <v>0</v>
      </c>
      <c r="CJ214" s="32">
        <f>IF(CH214="","",IF(CH214=0,"",CH214+ROW()/1000000))</f>
        <v>0</v>
      </c>
    </row>
    <row r="215" spans="1:88">
      <c r="A215" s="16">
        <f>IF(ROW()-4&gt;12,"",DATE(PlanYear,ROW()-4,1))</f>
        <v>0</v>
      </c>
      <c r="B215" s="16">
        <f>IF(A215="","",EOMONTH(A215,0))</f>
        <v>0</v>
      </c>
      <c r="C215" s="17">
        <f>IF(A215="","",TEXT(A215,"yyyy-mm"))</f>
        <v>0</v>
      </c>
      <c r="D215" s="17">
        <f>IF(A215="","",TEXT(A215,"mmm"))</f>
        <v>0</v>
      </c>
      <c r="E215" s="23">
        <f>IF(C215="","",COUNTIFS('Content Calendar'!$D$5:$D$604,C215))</f>
        <v>0</v>
      </c>
      <c r="F215" s="23">
        <f>IF(C215="","",COUNTIFS('Content Calendar'!$D$5:$D$604,C215,'Content Calendar'!$X$5:$X$604,"Published"))</f>
        <v>0</v>
      </c>
      <c r="G215" s="23">
        <f>IF(C215="","",SUMIFS(Analytics!$J$5:$J$154,Analytics!$C$5:$C$154,C215))</f>
        <v>0</v>
      </c>
      <c r="H215" s="23">
        <f>IF(C215="","",SUMIFS(Analytics!$K$5:$K$154,Analytics!$C$5:$C$154,C215))</f>
        <v>0</v>
      </c>
      <c r="I215" s="23">
        <f>IF(C215="","",SUMIFS(Analytics!$L$5:$L$154,Analytics!$C$5:$C$154,C215))</f>
        <v>0</v>
      </c>
      <c r="J215" s="24">
        <f>IF(OR(G215="",G215=0),"",I215/G215)</f>
        <v>0</v>
      </c>
      <c r="K215" s="23">
        <f>IF(C215="","",SUMIFS(Analytics!$G$5:$G$154,Analytics!$C$5:$C$154,C215))</f>
        <v>0</v>
      </c>
      <c r="L215" s="23">
        <f>IF(C215="","",SUMIFS(Analytics!$X$5:$X$154,Analytics!$C$5:$C$154,C215))</f>
        <v>0</v>
      </c>
      <c r="M215" s="23">
        <f>IF(C215="","",SUMIFS(Analytics!$R$5:$R$154,Analytics!$C$5:$C$154,C215))</f>
        <v>0</v>
      </c>
      <c r="N215" s="23">
        <f>IF(C215="","",SUMIFS(Analytics!$S$5:$S$154,Analytics!$C$5:$C$154,C215))</f>
        <v>0</v>
      </c>
      <c r="O215" s="23">
        <f>IF(C215="","",SUMIFS(Analytics!$T$5:$T$154,Analytics!$C$5:$C$154,C215))</f>
        <v>0</v>
      </c>
      <c r="P215" s="25">
        <f>IF(C215="","",SUMIFS(Analytics!$U$5:$U$154,Analytics!$C$5:$C$154,C215))</f>
        <v>0</v>
      </c>
      <c r="Q215" s="25">
        <f>IF(C215="","",SUMIFS(Budget!$H$5:$H$64,Budget!$C$5:$C$64,C215))</f>
        <v>0</v>
      </c>
      <c r="R215" s="25">
        <f>IF(C215="","",P215-Q215)</f>
        <v>0</v>
      </c>
      <c r="S215" s="23">
        <f>IF(C215="","",MonthlyPostTarget)</f>
        <v>0</v>
      </c>
      <c r="T215" s="17">
        <f>IF(Lists!$C215="","",Lists!$C215)</f>
        <v>0</v>
      </c>
      <c r="U215" s="23">
        <f>IF(T215="","",COUNTIFS('Content Calendar'!$G$5:$G$604,T215,'Content Calendar'!$B$5:$B$604,"&gt;="&amp;DashStart,'Content Calendar'!$B$5:$B$604,"&lt;="&amp;DashEnd))</f>
        <v>0</v>
      </c>
      <c r="V215" s="23">
        <f>IF(T215="","",COUNTIFS('Content Calendar'!$G$5:$G$604,T215,'Content Calendar'!$X$5:$X$604,"Published",'Content Calendar'!$B$5:$B$604,"&gt;="&amp;DashStart,'Content Calendar'!$B$5:$B$604,"&lt;="&amp;DashEnd))</f>
        <v>0</v>
      </c>
      <c r="W215" s="23">
        <f>IF(T215="","",SUMIFS(Analytics!$J$5:$J$154,Analytics!$D$5:$D$154,T215,Analytics!$B$5:$B$154,"&gt;="&amp;DashStart,Analytics!$B$5:$B$154,"&lt;="&amp;DashEnd))</f>
        <v>0</v>
      </c>
      <c r="X215" s="23">
        <f>IF(T215="","",SUMIFS(Analytics!$L$5:$L$154,Analytics!$D$5:$D$154,T215,Analytics!$B$5:$B$154,"&gt;="&amp;DashStart,Analytics!$B$5:$B$154,"&lt;="&amp;DashEnd))</f>
        <v>0</v>
      </c>
      <c r="Y215" s="24">
        <f>IF(OR(W215="",W215=0),"",X215/W215)</f>
        <v>0</v>
      </c>
      <c r="Z215" s="23">
        <f>IF(T215="","",SUMIFS(Analytics!$G$5:$G$154,Analytics!$D$5:$D$154,T215,Analytics!$B$5:$B$154,"&gt;="&amp;DashStart,Analytics!$B$5:$B$154,"&lt;="&amp;DashEnd))</f>
        <v>0</v>
      </c>
      <c r="AA215" s="23">
        <f>IF(T215="","",SUMIFS(Analytics!$X$5:$X$154,Analytics!$D$5:$D$154,T215,Analytics!$B$5:$B$154,"&gt;="&amp;DashStart,Analytics!$B$5:$B$154,"&lt;="&amp;DashEnd))</f>
        <v>0</v>
      </c>
      <c r="AB215" s="23">
        <f>IF(T215="","",SUMIFS(Analytics!$R$5:$R$154,Analytics!$D$5:$D$154,T215,Analytics!$B$5:$B$154,"&gt;="&amp;DashStart,Analytics!$B$5:$B$154,"&lt;="&amp;DashEnd))</f>
        <v>0</v>
      </c>
      <c r="AC215" s="25">
        <f>IF(T215="","",SUMIFS(Analytics!$U$5:$U$154,Analytics!$D$5:$D$154,T215,Analytics!$B$5:$B$154,"&gt;="&amp;DashStart,Analytics!$B$5:$B$154,"&lt;="&amp;DashEnd))</f>
        <v>0</v>
      </c>
      <c r="AD215" s="23">
        <f>IF(T215="","",COUNTIFS('Content Calendar'!$G$5:$G$604,T215,'Content Calendar'!$B$5:$B$604,"&gt;="&amp;DATE(PlanYear,1,1),'Content Calendar'!$B$5:$B$604,"&lt;="&amp;DATE(PlanYear,12,31)))</f>
        <v>0</v>
      </c>
      <c r="AE215" s="23">
        <f>IF(T215="","",SUMIFS(Analytics!$J$5:$J$154,Analytics!$D$5:$D$154,T215))</f>
        <v>0</v>
      </c>
      <c r="AF215" s="23">
        <f>IF(T215="","",SUMIFS(Analytics!$L$5:$L$154,Analytics!$D$5:$D$154,T215))</f>
        <v>0</v>
      </c>
      <c r="AG215" s="24">
        <f>IF(OR(AE215="",AE215=0),"",AF215/AE215)</f>
        <v>0</v>
      </c>
      <c r="AH215" s="23">
        <f>IF(T215="","",SUMIFS(Analytics!$X$5:$X$154,Analytics!$D$5:$D$154,T215))</f>
        <v>0</v>
      </c>
      <c r="AI215" s="32">
        <f>IF(T215="","",IF(AE215=0,"",AE215+ROW()/1000000))</f>
        <v>0</v>
      </c>
      <c r="AJ215" s="17">
        <f>IF('Content Pillars'!$B$215="","",'Content Pillars'!$B$215)</f>
        <v>0</v>
      </c>
      <c r="AK215" s="23">
        <f>IF(AJ215="","",COUNTIFS('Content Calendar'!$J$5:$J$604,AJ215,'Content Calendar'!$B$5:$B$604,"&gt;="&amp;DATE(PlanYear,1,1),'Content Calendar'!$B$5:$B$604,"&lt;="&amp;DATE(PlanYear,12,31)))</f>
        <v>0</v>
      </c>
      <c r="AL215" s="23">
        <f>IF(AJ215="","",SUMIFS(Performance!$O$5:$O$404,Performance!$H$5:$H$404,AJ215))</f>
        <v>0</v>
      </c>
      <c r="AM215" s="23">
        <f>IF(AJ215="","",SUMIFS(Performance!$Z$5:$Z$404,Performance!$H$5:$H$404,AJ215))</f>
        <v>0</v>
      </c>
      <c r="AN215" s="24">
        <f>IF(OR(AL215="",AL215=0),"",AM215/AL215)</f>
        <v>0</v>
      </c>
      <c r="AO215" s="32">
        <f>IF(AN215="","",AN215+ROW()/1000000)</f>
        <v>0</v>
      </c>
      <c r="AP215" s="17">
        <f>IF(Lists!$E215="","",Lists!$E215)</f>
        <v>0</v>
      </c>
      <c r="AQ215" s="23">
        <f>IF(AP215="","",COUNTIF(Performance!$G$5:$G$404,AP215))</f>
        <v>0</v>
      </c>
      <c r="AR215" s="23">
        <f>IF(AP215="","",SUMIFS(Performance!$O$5:$O$404,Performance!$G$5:$G$404,AP215))</f>
        <v>0</v>
      </c>
      <c r="AS215" s="23">
        <f>IF(AP215="","",SUMIFS(Performance!$Z$5:$Z$404,Performance!$G$5:$G$404,AP215))</f>
        <v>0</v>
      </c>
      <c r="AT215" s="24">
        <f>IF(OR(AR215="",AR215=0),"",AS215/AR215)</f>
        <v>0</v>
      </c>
      <c r="AU215" s="32">
        <f>IF(AQ215=0,"",IF(AT215="","",AT215+ROW()/1000000))</f>
        <v>0</v>
      </c>
      <c r="AV215" s="17">
        <f>IF(ROW()-4&gt;7,"",TEXT(DATE(2024,1,ROW()-4),"ddd"))</f>
        <v>0</v>
      </c>
      <c r="AW215" s="23">
        <f>IF(AV215="","",COUNTIF(Performance!$N$5:$N$404,AV215))</f>
        <v>0</v>
      </c>
      <c r="AX215" s="23">
        <f>IF(AV215="","",SUMIFS(Performance!$O$5:$O$404,Performance!$N$5:$N$404,AV215))</f>
        <v>0</v>
      </c>
      <c r="AY215" s="23">
        <f>IF(AV215="","",SUMIFS(Performance!$Z$5:$Z$404,Performance!$N$5:$N$404,AV215))</f>
        <v>0</v>
      </c>
      <c r="AZ215" s="24">
        <f>IF(OR(AX215="",AX215=0),"",AY215/AX215)</f>
        <v>0</v>
      </c>
      <c r="BA215" s="32">
        <f>IF(AW215=0,"",IF(AZ215="","",AZ215+ROW()/1000000))</f>
        <v>0</v>
      </c>
      <c r="BB215" s="17">
        <f>IF(Lists!$AL215="","",Lists!$AL215)</f>
        <v>0</v>
      </c>
      <c r="BC215" s="23">
        <f>IF(BB215="","",COUNTIF(Performance!$M$5:$M$404,BB215))</f>
        <v>0</v>
      </c>
      <c r="BD215" s="23">
        <f>IF(BB215="","",SUMIFS(Performance!$O$5:$O$404,Performance!$M$5:$M$404,BB215))</f>
        <v>0</v>
      </c>
      <c r="BE215" s="23">
        <f>IF(BB215="","",SUMIFS(Performance!$Z$5:$Z$404,Performance!$M$5:$M$404,BB215))</f>
        <v>0</v>
      </c>
      <c r="BF215" s="24">
        <f>IF(OR(BD215="",BD215=0),"",BE215/BD215)</f>
        <v>0</v>
      </c>
      <c r="BG215" s="32">
        <f>IF(BC215=0,"",IF(BF215="","",BF215+ROW()/1000000))</f>
        <v>0</v>
      </c>
      <c r="BH215" s="17">
        <f>IF(Performance!$C$215="","",Performance!$C$215)</f>
        <v>0</v>
      </c>
      <c r="BI215" s="17">
        <f>IF(Performance!$F$215="","",Performance!$F$215)</f>
        <v>0</v>
      </c>
      <c r="BJ215" s="17">
        <f>IF(Performance!$H$215="","",Performance!$H$215)</f>
        <v>0</v>
      </c>
      <c r="BK215" s="16">
        <f>IF(Performance!$D$215="","",Performance!$D$215)</f>
        <v>0</v>
      </c>
      <c r="BL215" s="17">
        <f>IF(Performance!$E$215="","",Performance!$E$215)</f>
        <v>0</v>
      </c>
      <c r="BM215" s="23">
        <f>IF(Performance!$O$215="","",Performance!$O$215)</f>
        <v>0</v>
      </c>
      <c r="BN215" s="24">
        <f>IF(Performance!$AA$215="","",Performance!$AA$215)</f>
        <v>0</v>
      </c>
      <c r="BO215" s="32">
        <f>IF(BH215="","",IF(BK215="","",IF(OR(BK215&lt;DashStart,BK215&gt;DashEnd),"",IF(BN215="","",BN215+ROW()/1000000))))</f>
        <v>0</v>
      </c>
      <c r="BP215" s="32">
        <f>IF(BM215="","",IF(BK215="","",IF(OR(BK215&lt;DashStart,BK215&gt;DashEnd),"",BM215+ROW()/1000000)))</f>
        <v>0</v>
      </c>
      <c r="BQ215" s="32">
        <f>IF(BH215="","",IF(BK215="","",IF(YEAR(BK215)&lt;&gt;PlanYear,"",IF(BN215="","",BN215+ROW()/1000000))))</f>
        <v>0</v>
      </c>
      <c r="BR215" s="32">
        <f>IF(BH215="","",IF(BK215="","",IF(OR(BK215&lt;RepFrom,BK215&gt;RepTo),"",IF(BN215="","",BN215+ROW()/1000000))))</f>
        <v>0</v>
      </c>
      <c r="BS215" s="32">
        <f>IF(BM215="","",IF(BK215="","",IF(YEAR(BK215)&lt;&gt;PlanYear,"",BM215+ROW()/1000000)))</f>
        <v>0</v>
      </c>
      <c r="BT215" s="17">
        <f>IF(Lists!$F215="","",Lists!$F215)</f>
        <v>0</v>
      </c>
      <c r="BU215" s="23">
        <f>IF(BT215="","",COUNTIF('Content Calendar'!$X$5:$X$604,BT215))</f>
        <v>0</v>
      </c>
      <c r="BV215" s="23">
        <f>IF(BT215="","",COUNTIFS('Content Calendar'!$X$5:$X$604,BT215,'Content Calendar'!$B$5:$B$604,"&gt;="&amp;DashStart,'Content Calendar'!$B$5:$B$604,"&lt;="&amp;DashEnd))</f>
        <v>0</v>
      </c>
      <c r="BW215" s="17">
        <f>IF(Team!$B$215="","",Team!$B$215)</f>
        <v>0</v>
      </c>
      <c r="BX215" s="23">
        <f>IF(BW215="","",COUNTIF('Content Calendar'!$W$5:$W$604,BW215))</f>
        <v>0</v>
      </c>
      <c r="BY215" s="23">
        <f>IF(BW215="","",COUNTIFS('Content Calendar'!$W$5:$W$604,BW215,'Content Calendar'!$X$5:$X$604,"&lt;&gt;Published"))</f>
        <v>0</v>
      </c>
      <c r="BZ215" s="23">
        <f>IF(BW215="","",COUNTIFS(Tasks!$C$5:$C$64,BW215,Tasks!$G$5:$G$64,"&lt;&gt;Complete"))</f>
        <v>0</v>
      </c>
      <c r="CA215" s="17">
        <f>IF(Campaigns!$B$215="","",Campaigns!$B$215)</f>
        <v>0</v>
      </c>
      <c r="CB215" s="25">
        <f>IF(Campaigns!$T$215="","",Campaigns!$T$215)</f>
        <v>0</v>
      </c>
      <c r="CC215" s="25">
        <f>IF(Campaigns!$Q$215="","",Campaigns!$Q$215)</f>
        <v>0</v>
      </c>
      <c r="CD215" s="23">
        <f>IF(Campaigns!$Y$215="","",Campaigns!$Y$215)</f>
        <v>0</v>
      </c>
      <c r="CE215" s="32">
        <f>IF(CA215="","",IF(N(CB215)&lt;=0,"",N(CB215)+ROW()/1000000))</f>
        <v>0</v>
      </c>
      <c r="CF215" s="17">
        <f>IF(Accounts!$C$215="","",Accounts!$C$215)</f>
        <v>0</v>
      </c>
      <c r="CG215" s="17">
        <f>IF(Accounts!$B$215="","",Accounts!$B$215)</f>
        <v>0</v>
      </c>
      <c r="CH215" s="23">
        <f>IF(Accounts!$J$215="","",Accounts!$J$215)</f>
        <v>0</v>
      </c>
      <c r="CI215" s="23">
        <f>IF(CF215="","",SUMIFS(Analytics!$X$5:$X$154,Analytics!$E$5:$E$154,CF215,Analytics!$B$5:$B$154,"&gt;="&amp;DashStart,Analytics!$B$5:$B$154,"&lt;="&amp;DashEnd))</f>
        <v>0</v>
      </c>
      <c r="CJ215" s="32">
        <f>IF(CH215="","",IF(CH215=0,"",CH215+ROW()/1000000))</f>
        <v>0</v>
      </c>
    </row>
    <row r="216" spans="1:88">
      <c r="A216" s="16">
        <f>IF(ROW()-4&gt;12,"",DATE(PlanYear,ROW()-4,1))</f>
        <v>0</v>
      </c>
      <c r="B216" s="16">
        <f>IF(A216="","",EOMONTH(A216,0))</f>
        <v>0</v>
      </c>
      <c r="C216" s="17">
        <f>IF(A216="","",TEXT(A216,"yyyy-mm"))</f>
        <v>0</v>
      </c>
      <c r="D216" s="17">
        <f>IF(A216="","",TEXT(A216,"mmm"))</f>
        <v>0</v>
      </c>
      <c r="E216" s="23">
        <f>IF(C216="","",COUNTIFS('Content Calendar'!$D$5:$D$604,C216))</f>
        <v>0</v>
      </c>
      <c r="F216" s="23">
        <f>IF(C216="","",COUNTIFS('Content Calendar'!$D$5:$D$604,C216,'Content Calendar'!$X$5:$X$604,"Published"))</f>
        <v>0</v>
      </c>
      <c r="G216" s="23">
        <f>IF(C216="","",SUMIFS(Analytics!$J$5:$J$154,Analytics!$C$5:$C$154,C216))</f>
        <v>0</v>
      </c>
      <c r="H216" s="23">
        <f>IF(C216="","",SUMIFS(Analytics!$K$5:$K$154,Analytics!$C$5:$C$154,C216))</f>
        <v>0</v>
      </c>
      <c r="I216" s="23">
        <f>IF(C216="","",SUMIFS(Analytics!$L$5:$L$154,Analytics!$C$5:$C$154,C216))</f>
        <v>0</v>
      </c>
      <c r="J216" s="24">
        <f>IF(OR(G216="",G216=0),"",I216/G216)</f>
        <v>0</v>
      </c>
      <c r="K216" s="23">
        <f>IF(C216="","",SUMIFS(Analytics!$G$5:$G$154,Analytics!$C$5:$C$154,C216))</f>
        <v>0</v>
      </c>
      <c r="L216" s="23">
        <f>IF(C216="","",SUMIFS(Analytics!$X$5:$X$154,Analytics!$C$5:$C$154,C216))</f>
        <v>0</v>
      </c>
      <c r="M216" s="23">
        <f>IF(C216="","",SUMIFS(Analytics!$R$5:$R$154,Analytics!$C$5:$C$154,C216))</f>
        <v>0</v>
      </c>
      <c r="N216" s="23">
        <f>IF(C216="","",SUMIFS(Analytics!$S$5:$S$154,Analytics!$C$5:$C$154,C216))</f>
        <v>0</v>
      </c>
      <c r="O216" s="23">
        <f>IF(C216="","",SUMIFS(Analytics!$T$5:$T$154,Analytics!$C$5:$C$154,C216))</f>
        <v>0</v>
      </c>
      <c r="P216" s="25">
        <f>IF(C216="","",SUMIFS(Analytics!$U$5:$U$154,Analytics!$C$5:$C$154,C216))</f>
        <v>0</v>
      </c>
      <c r="Q216" s="25">
        <f>IF(C216="","",SUMIFS(Budget!$H$5:$H$64,Budget!$C$5:$C$64,C216))</f>
        <v>0</v>
      </c>
      <c r="R216" s="25">
        <f>IF(C216="","",P216-Q216)</f>
        <v>0</v>
      </c>
      <c r="S216" s="23">
        <f>IF(C216="","",MonthlyPostTarget)</f>
        <v>0</v>
      </c>
      <c r="T216" s="17">
        <f>IF(Lists!$C216="","",Lists!$C216)</f>
        <v>0</v>
      </c>
      <c r="U216" s="23">
        <f>IF(T216="","",COUNTIFS('Content Calendar'!$G$5:$G$604,T216,'Content Calendar'!$B$5:$B$604,"&gt;="&amp;DashStart,'Content Calendar'!$B$5:$B$604,"&lt;="&amp;DashEnd))</f>
        <v>0</v>
      </c>
      <c r="V216" s="23">
        <f>IF(T216="","",COUNTIFS('Content Calendar'!$G$5:$G$604,T216,'Content Calendar'!$X$5:$X$604,"Published",'Content Calendar'!$B$5:$B$604,"&gt;="&amp;DashStart,'Content Calendar'!$B$5:$B$604,"&lt;="&amp;DashEnd))</f>
        <v>0</v>
      </c>
      <c r="W216" s="23">
        <f>IF(T216="","",SUMIFS(Analytics!$J$5:$J$154,Analytics!$D$5:$D$154,T216,Analytics!$B$5:$B$154,"&gt;="&amp;DashStart,Analytics!$B$5:$B$154,"&lt;="&amp;DashEnd))</f>
        <v>0</v>
      </c>
      <c r="X216" s="23">
        <f>IF(T216="","",SUMIFS(Analytics!$L$5:$L$154,Analytics!$D$5:$D$154,T216,Analytics!$B$5:$B$154,"&gt;="&amp;DashStart,Analytics!$B$5:$B$154,"&lt;="&amp;DashEnd))</f>
        <v>0</v>
      </c>
      <c r="Y216" s="24">
        <f>IF(OR(W216="",W216=0),"",X216/W216)</f>
        <v>0</v>
      </c>
      <c r="Z216" s="23">
        <f>IF(T216="","",SUMIFS(Analytics!$G$5:$G$154,Analytics!$D$5:$D$154,T216,Analytics!$B$5:$B$154,"&gt;="&amp;DashStart,Analytics!$B$5:$B$154,"&lt;="&amp;DashEnd))</f>
        <v>0</v>
      </c>
      <c r="AA216" s="23">
        <f>IF(T216="","",SUMIFS(Analytics!$X$5:$X$154,Analytics!$D$5:$D$154,T216,Analytics!$B$5:$B$154,"&gt;="&amp;DashStart,Analytics!$B$5:$B$154,"&lt;="&amp;DashEnd))</f>
        <v>0</v>
      </c>
      <c r="AB216" s="23">
        <f>IF(T216="","",SUMIFS(Analytics!$R$5:$R$154,Analytics!$D$5:$D$154,T216,Analytics!$B$5:$B$154,"&gt;="&amp;DashStart,Analytics!$B$5:$B$154,"&lt;="&amp;DashEnd))</f>
        <v>0</v>
      </c>
      <c r="AC216" s="25">
        <f>IF(T216="","",SUMIFS(Analytics!$U$5:$U$154,Analytics!$D$5:$D$154,T216,Analytics!$B$5:$B$154,"&gt;="&amp;DashStart,Analytics!$B$5:$B$154,"&lt;="&amp;DashEnd))</f>
        <v>0</v>
      </c>
      <c r="AD216" s="23">
        <f>IF(T216="","",COUNTIFS('Content Calendar'!$G$5:$G$604,T216,'Content Calendar'!$B$5:$B$604,"&gt;="&amp;DATE(PlanYear,1,1),'Content Calendar'!$B$5:$B$604,"&lt;="&amp;DATE(PlanYear,12,31)))</f>
        <v>0</v>
      </c>
      <c r="AE216" s="23">
        <f>IF(T216="","",SUMIFS(Analytics!$J$5:$J$154,Analytics!$D$5:$D$154,T216))</f>
        <v>0</v>
      </c>
      <c r="AF216" s="23">
        <f>IF(T216="","",SUMIFS(Analytics!$L$5:$L$154,Analytics!$D$5:$D$154,T216))</f>
        <v>0</v>
      </c>
      <c r="AG216" s="24">
        <f>IF(OR(AE216="",AE216=0),"",AF216/AE216)</f>
        <v>0</v>
      </c>
      <c r="AH216" s="23">
        <f>IF(T216="","",SUMIFS(Analytics!$X$5:$X$154,Analytics!$D$5:$D$154,T216))</f>
        <v>0</v>
      </c>
      <c r="AI216" s="32">
        <f>IF(T216="","",IF(AE216=0,"",AE216+ROW()/1000000))</f>
        <v>0</v>
      </c>
      <c r="AJ216" s="17">
        <f>IF('Content Pillars'!$B$216="","",'Content Pillars'!$B$216)</f>
        <v>0</v>
      </c>
      <c r="AK216" s="23">
        <f>IF(AJ216="","",COUNTIFS('Content Calendar'!$J$5:$J$604,AJ216,'Content Calendar'!$B$5:$B$604,"&gt;="&amp;DATE(PlanYear,1,1),'Content Calendar'!$B$5:$B$604,"&lt;="&amp;DATE(PlanYear,12,31)))</f>
        <v>0</v>
      </c>
      <c r="AL216" s="23">
        <f>IF(AJ216="","",SUMIFS(Performance!$O$5:$O$404,Performance!$H$5:$H$404,AJ216))</f>
        <v>0</v>
      </c>
      <c r="AM216" s="23">
        <f>IF(AJ216="","",SUMIFS(Performance!$Z$5:$Z$404,Performance!$H$5:$H$404,AJ216))</f>
        <v>0</v>
      </c>
      <c r="AN216" s="24">
        <f>IF(OR(AL216="",AL216=0),"",AM216/AL216)</f>
        <v>0</v>
      </c>
      <c r="AO216" s="32">
        <f>IF(AN216="","",AN216+ROW()/1000000)</f>
        <v>0</v>
      </c>
      <c r="AP216" s="17">
        <f>IF(Lists!$E216="","",Lists!$E216)</f>
        <v>0</v>
      </c>
      <c r="AQ216" s="23">
        <f>IF(AP216="","",COUNTIF(Performance!$G$5:$G$404,AP216))</f>
        <v>0</v>
      </c>
      <c r="AR216" s="23">
        <f>IF(AP216="","",SUMIFS(Performance!$O$5:$O$404,Performance!$G$5:$G$404,AP216))</f>
        <v>0</v>
      </c>
      <c r="AS216" s="23">
        <f>IF(AP216="","",SUMIFS(Performance!$Z$5:$Z$404,Performance!$G$5:$G$404,AP216))</f>
        <v>0</v>
      </c>
      <c r="AT216" s="24">
        <f>IF(OR(AR216="",AR216=0),"",AS216/AR216)</f>
        <v>0</v>
      </c>
      <c r="AU216" s="32">
        <f>IF(AQ216=0,"",IF(AT216="","",AT216+ROW()/1000000))</f>
        <v>0</v>
      </c>
      <c r="AV216" s="17">
        <f>IF(ROW()-4&gt;7,"",TEXT(DATE(2024,1,ROW()-4),"ddd"))</f>
        <v>0</v>
      </c>
      <c r="AW216" s="23">
        <f>IF(AV216="","",COUNTIF(Performance!$N$5:$N$404,AV216))</f>
        <v>0</v>
      </c>
      <c r="AX216" s="23">
        <f>IF(AV216="","",SUMIFS(Performance!$O$5:$O$404,Performance!$N$5:$N$404,AV216))</f>
        <v>0</v>
      </c>
      <c r="AY216" s="23">
        <f>IF(AV216="","",SUMIFS(Performance!$Z$5:$Z$404,Performance!$N$5:$N$404,AV216))</f>
        <v>0</v>
      </c>
      <c r="AZ216" s="24">
        <f>IF(OR(AX216="",AX216=0),"",AY216/AX216)</f>
        <v>0</v>
      </c>
      <c r="BA216" s="32">
        <f>IF(AW216=0,"",IF(AZ216="","",AZ216+ROW()/1000000))</f>
        <v>0</v>
      </c>
      <c r="BB216" s="17">
        <f>IF(Lists!$AL216="","",Lists!$AL216)</f>
        <v>0</v>
      </c>
      <c r="BC216" s="23">
        <f>IF(BB216="","",COUNTIF(Performance!$M$5:$M$404,BB216))</f>
        <v>0</v>
      </c>
      <c r="BD216" s="23">
        <f>IF(BB216="","",SUMIFS(Performance!$O$5:$O$404,Performance!$M$5:$M$404,BB216))</f>
        <v>0</v>
      </c>
      <c r="BE216" s="23">
        <f>IF(BB216="","",SUMIFS(Performance!$Z$5:$Z$404,Performance!$M$5:$M$404,BB216))</f>
        <v>0</v>
      </c>
      <c r="BF216" s="24">
        <f>IF(OR(BD216="",BD216=0),"",BE216/BD216)</f>
        <v>0</v>
      </c>
      <c r="BG216" s="32">
        <f>IF(BC216=0,"",IF(BF216="","",BF216+ROW()/1000000))</f>
        <v>0</v>
      </c>
      <c r="BH216" s="17">
        <f>IF(Performance!$C$216="","",Performance!$C$216)</f>
        <v>0</v>
      </c>
      <c r="BI216" s="17">
        <f>IF(Performance!$F$216="","",Performance!$F$216)</f>
        <v>0</v>
      </c>
      <c r="BJ216" s="17">
        <f>IF(Performance!$H$216="","",Performance!$H$216)</f>
        <v>0</v>
      </c>
      <c r="BK216" s="16">
        <f>IF(Performance!$D$216="","",Performance!$D$216)</f>
        <v>0</v>
      </c>
      <c r="BL216" s="17">
        <f>IF(Performance!$E$216="","",Performance!$E$216)</f>
        <v>0</v>
      </c>
      <c r="BM216" s="23">
        <f>IF(Performance!$O$216="","",Performance!$O$216)</f>
        <v>0</v>
      </c>
      <c r="BN216" s="24">
        <f>IF(Performance!$AA$216="","",Performance!$AA$216)</f>
        <v>0</v>
      </c>
      <c r="BO216" s="32">
        <f>IF(BH216="","",IF(BK216="","",IF(OR(BK216&lt;DashStart,BK216&gt;DashEnd),"",IF(BN216="","",BN216+ROW()/1000000))))</f>
        <v>0</v>
      </c>
      <c r="BP216" s="32">
        <f>IF(BM216="","",IF(BK216="","",IF(OR(BK216&lt;DashStart,BK216&gt;DashEnd),"",BM216+ROW()/1000000)))</f>
        <v>0</v>
      </c>
      <c r="BQ216" s="32">
        <f>IF(BH216="","",IF(BK216="","",IF(YEAR(BK216)&lt;&gt;PlanYear,"",IF(BN216="","",BN216+ROW()/1000000))))</f>
        <v>0</v>
      </c>
      <c r="BR216" s="32">
        <f>IF(BH216="","",IF(BK216="","",IF(OR(BK216&lt;RepFrom,BK216&gt;RepTo),"",IF(BN216="","",BN216+ROW()/1000000))))</f>
        <v>0</v>
      </c>
      <c r="BS216" s="32">
        <f>IF(BM216="","",IF(BK216="","",IF(YEAR(BK216)&lt;&gt;PlanYear,"",BM216+ROW()/1000000)))</f>
        <v>0</v>
      </c>
      <c r="BT216" s="17">
        <f>IF(Lists!$F216="","",Lists!$F216)</f>
        <v>0</v>
      </c>
      <c r="BU216" s="23">
        <f>IF(BT216="","",COUNTIF('Content Calendar'!$X$5:$X$604,BT216))</f>
        <v>0</v>
      </c>
      <c r="BV216" s="23">
        <f>IF(BT216="","",COUNTIFS('Content Calendar'!$X$5:$X$604,BT216,'Content Calendar'!$B$5:$B$604,"&gt;="&amp;DashStart,'Content Calendar'!$B$5:$B$604,"&lt;="&amp;DashEnd))</f>
        <v>0</v>
      </c>
      <c r="BW216" s="17">
        <f>IF(Team!$B$216="","",Team!$B$216)</f>
        <v>0</v>
      </c>
      <c r="BX216" s="23">
        <f>IF(BW216="","",COUNTIF('Content Calendar'!$W$5:$W$604,BW216))</f>
        <v>0</v>
      </c>
      <c r="BY216" s="23">
        <f>IF(BW216="","",COUNTIFS('Content Calendar'!$W$5:$W$604,BW216,'Content Calendar'!$X$5:$X$604,"&lt;&gt;Published"))</f>
        <v>0</v>
      </c>
      <c r="BZ216" s="23">
        <f>IF(BW216="","",COUNTIFS(Tasks!$C$5:$C$64,BW216,Tasks!$G$5:$G$64,"&lt;&gt;Complete"))</f>
        <v>0</v>
      </c>
      <c r="CA216" s="17">
        <f>IF(Campaigns!$B$216="","",Campaigns!$B$216)</f>
        <v>0</v>
      </c>
      <c r="CB216" s="25">
        <f>IF(Campaigns!$T$216="","",Campaigns!$T$216)</f>
        <v>0</v>
      </c>
      <c r="CC216" s="25">
        <f>IF(Campaigns!$Q$216="","",Campaigns!$Q$216)</f>
        <v>0</v>
      </c>
      <c r="CD216" s="23">
        <f>IF(Campaigns!$Y$216="","",Campaigns!$Y$216)</f>
        <v>0</v>
      </c>
      <c r="CE216" s="32">
        <f>IF(CA216="","",IF(N(CB216)&lt;=0,"",N(CB216)+ROW()/1000000))</f>
        <v>0</v>
      </c>
      <c r="CF216" s="17">
        <f>IF(Accounts!$C$216="","",Accounts!$C$216)</f>
        <v>0</v>
      </c>
      <c r="CG216" s="17">
        <f>IF(Accounts!$B$216="","",Accounts!$B$216)</f>
        <v>0</v>
      </c>
      <c r="CH216" s="23">
        <f>IF(Accounts!$J$216="","",Accounts!$J$216)</f>
        <v>0</v>
      </c>
      <c r="CI216" s="23">
        <f>IF(CF216="","",SUMIFS(Analytics!$X$5:$X$154,Analytics!$E$5:$E$154,CF216,Analytics!$B$5:$B$154,"&gt;="&amp;DashStart,Analytics!$B$5:$B$154,"&lt;="&amp;DashEnd))</f>
        <v>0</v>
      </c>
      <c r="CJ216" s="32">
        <f>IF(CH216="","",IF(CH216=0,"",CH216+ROW()/1000000))</f>
        <v>0</v>
      </c>
    </row>
    <row r="217" spans="1:88">
      <c r="A217" s="16">
        <f>IF(ROW()-4&gt;12,"",DATE(PlanYear,ROW()-4,1))</f>
        <v>0</v>
      </c>
      <c r="B217" s="16">
        <f>IF(A217="","",EOMONTH(A217,0))</f>
        <v>0</v>
      </c>
      <c r="C217" s="17">
        <f>IF(A217="","",TEXT(A217,"yyyy-mm"))</f>
        <v>0</v>
      </c>
      <c r="D217" s="17">
        <f>IF(A217="","",TEXT(A217,"mmm"))</f>
        <v>0</v>
      </c>
      <c r="E217" s="23">
        <f>IF(C217="","",COUNTIFS('Content Calendar'!$D$5:$D$604,C217))</f>
        <v>0</v>
      </c>
      <c r="F217" s="23">
        <f>IF(C217="","",COUNTIFS('Content Calendar'!$D$5:$D$604,C217,'Content Calendar'!$X$5:$X$604,"Published"))</f>
        <v>0</v>
      </c>
      <c r="G217" s="23">
        <f>IF(C217="","",SUMIFS(Analytics!$J$5:$J$154,Analytics!$C$5:$C$154,C217))</f>
        <v>0</v>
      </c>
      <c r="H217" s="23">
        <f>IF(C217="","",SUMIFS(Analytics!$K$5:$K$154,Analytics!$C$5:$C$154,C217))</f>
        <v>0</v>
      </c>
      <c r="I217" s="23">
        <f>IF(C217="","",SUMIFS(Analytics!$L$5:$L$154,Analytics!$C$5:$C$154,C217))</f>
        <v>0</v>
      </c>
      <c r="J217" s="24">
        <f>IF(OR(G217="",G217=0),"",I217/G217)</f>
        <v>0</v>
      </c>
      <c r="K217" s="23">
        <f>IF(C217="","",SUMIFS(Analytics!$G$5:$G$154,Analytics!$C$5:$C$154,C217))</f>
        <v>0</v>
      </c>
      <c r="L217" s="23">
        <f>IF(C217="","",SUMIFS(Analytics!$X$5:$X$154,Analytics!$C$5:$C$154,C217))</f>
        <v>0</v>
      </c>
      <c r="M217" s="23">
        <f>IF(C217="","",SUMIFS(Analytics!$R$5:$R$154,Analytics!$C$5:$C$154,C217))</f>
        <v>0</v>
      </c>
      <c r="N217" s="23">
        <f>IF(C217="","",SUMIFS(Analytics!$S$5:$S$154,Analytics!$C$5:$C$154,C217))</f>
        <v>0</v>
      </c>
      <c r="O217" s="23">
        <f>IF(C217="","",SUMIFS(Analytics!$T$5:$T$154,Analytics!$C$5:$C$154,C217))</f>
        <v>0</v>
      </c>
      <c r="P217" s="25">
        <f>IF(C217="","",SUMIFS(Analytics!$U$5:$U$154,Analytics!$C$5:$C$154,C217))</f>
        <v>0</v>
      </c>
      <c r="Q217" s="25">
        <f>IF(C217="","",SUMIFS(Budget!$H$5:$H$64,Budget!$C$5:$C$64,C217))</f>
        <v>0</v>
      </c>
      <c r="R217" s="25">
        <f>IF(C217="","",P217-Q217)</f>
        <v>0</v>
      </c>
      <c r="S217" s="23">
        <f>IF(C217="","",MonthlyPostTarget)</f>
        <v>0</v>
      </c>
      <c r="T217" s="17">
        <f>IF(Lists!$C217="","",Lists!$C217)</f>
        <v>0</v>
      </c>
      <c r="U217" s="23">
        <f>IF(T217="","",COUNTIFS('Content Calendar'!$G$5:$G$604,T217,'Content Calendar'!$B$5:$B$604,"&gt;="&amp;DashStart,'Content Calendar'!$B$5:$B$604,"&lt;="&amp;DashEnd))</f>
        <v>0</v>
      </c>
      <c r="V217" s="23">
        <f>IF(T217="","",COUNTIFS('Content Calendar'!$G$5:$G$604,T217,'Content Calendar'!$X$5:$X$604,"Published",'Content Calendar'!$B$5:$B$604,"&gt;="&amp;DashStart,'Content Calendar'!$B$5:$B$604,"&lt;="&amp;DashEnd))</f>
        <v>0</v>
      </c>
      <c r="W217" s="23">
        <f>IF(T217="","",SUMIFS(Analytics!$J$5:$J$154,Analytics!$D$5:$D$154,T217,Analytics!$B$5:$B$154,"&gt;="&amp;DashStart,Analytics!$B$5:$B$154,"&lt;="&amp;DashEnd))</f>
        <v>0</v>
      </c>
      <c r="X217" s="23">
        <f>IF(T217="","",SUMIFS(Analytics!$L$5:$L$154,Analytics!$D$5:$D$154,T217,Analytics!$B$5:$B$154,"&gt;="&amp;DashStart,Analytics!$B$5:$B$154,"&lt;="&amp;DashEnd))</f>
        <v>0</v>
      </c>
      <c r="Y217" s="24">
        <f>IF(OR(W217="",W217=0),"",X217/W217)</f>
        <v>0</v>
      </c>
      <c r="Z217" s="23">
        <f>IF(T217="","",SUMIFS(Analytics!$G$5:$G$154,Analytics!$D$5:$D$154,T217,Analytics!$B$5:$B$154,"&gt;="&amp;DashStart,Analytics!$B$5:$B$154,"&lt;="&amp;DashEnd))</f>
        <v>0</v>
      </c>
      <c r="AA217" s="23">
        <f>IF(T217="","",SUMIFS(Analytics!$X$5:$X$154,Analytics!$D$5:$D$154,T217,Analytics!$B$5:$B$154,"&gt;="&amp;DashStart,Analytics!$B$5:$B$154,"&lt;="&amp;DashEnd))</f>
        <v>0</v>
      </c>
      <c r="AB217" s="23">
        <f>IF(T217="","",SUMIFS(Analytics!$R$5:$R$154,Analytics!$D$5:$D$154,T217,Analytics!$B$5:$B$154,"&gt;="&amp;DashStart,Analytics!$B$5:$B$154,"&lt;="&amp;DashEnd))</f>
        <v>0</v>
      </c>
      <c r="AC217" s="25">
        <f>IF(T217="","",SUMIFS(Analytics!$U$5:$U$154,Analytics!$D$5:$D$154,T217,Analytics!$B$5:$B$154,"&gt;="&amp;DashStart,Analytics!$B$5:$B$154,"&lt;="&amp;DashEnd))</f>
        <v>0</v>
      </c>
      <c r="AD217" s="23">
        <f>IF(T217="","",COUNTIFS('Content Calendar'!$G$5:$G$604,T217,'Content Calendar'!$B$5:$B$604,"&gt;="&amp;DATE(PlanYear,1,1),'Content Calendar'!$B$5:$B$604,"&lt;="&amp;DATE(PlanYear,12,31)))</f>
        <v>0</v>
      </c>
      <c r="AE217" s="23">
        <f>IF(T217="","",SUMIFS(Analytics!$J$5:$J$154,Analytics!$D$5:$D$154,T217))</f>
        <v>0</v>
      </c>
      <c r="AF217" s="23">
        <f>IF(T217="","",SUMIFS(Analytics!$L$5:$L$154,Analytics!$D$5:$D$154,T217))</f>
        <v>0</v>
      </c>
      <c r="AG217" s="24">
        <f>IF(OR(AE217="",AE217=0),"",AF217/AE217)</f>
        <v>0</v>
      </c>
      <c r="AH217" s="23">
        <f>IF(T217="","",SUMIFS(Analytics!$X$5:$X$154,Analytics!$D$5:$D$154,T217))</f>
        <v>0</v>
      </c>
      <c r="AI217" s="32">
        <f>IF(T217="","",IF(AE217=0,"",AE217+ROW()/1000000))</f>
        <v>0</v>
      </c>
      <c r="AJ217" s="17">
        <f>IF('Content Pillars'!$B$217="","",'Content Pillars'!$B$217)</f>
        <v>0</v>
      </c>
      <c r="AK217" s="23">
        <f>IF(AJ217="","",COUNTIFS('Content Calendar'!$J$5:$J$604,AJ217,'Content Calendar'!$B$5:$B$604,"&gt;="&amp;DATE(PlanYear,1,1),'Content Calendar'!$B$5:$B$604,"&lt;="&amp;DATE(PlanYear,12,31)))</f>
        <v>0</v>
      </c>
      <c r="AL217" s="23">
        <f>IF(AJ217="","",SUMIFS(Performance!$O$5:$O$404,Performance!$H$5:$H$404,AJ217))</f>
        <v>0</v>
      </c>
      <c r="AM217" s="23">
        <f>IF(AJ217="","",SUMIFS(Performance!$Z$5:$Z$404,Performance!$H$5:$H$404,AJ217))</f>
        <v>0</v>
      </c>
      <c r="AN217" s="24">
        <f>IF(OR(AL217="",AL217=0),"",AM217/AL217)</f>
        <v>0</v>
      </c>
      <c r="AO217" s="32">
        <f>IF(AN217="","",AN217+ROW()/1000000)</f>
        <v>0</v>
      </c>
      <c r="AP217" s="17">
        <f>IF(Lists!$E217="","",Lists!$E217)</f>
        <v>0</v>
      </c>
      <c r="AQ217" s="23">
        <f>IF(AP217="","",COUNTIF(Performance!$G$5:$G$404,AP217))</f>
        <v>0</v>
      </c>
      <c r="AR217" s="23">
        <f>IF(AP217="","",SUMIFS(Performance!$O$5:$O$404,Performance!$G$5:$G$404,AP217))</f>
        <v>0</v>
      </c>
      <c r="AS217" s="23">
        <f>IF(AP217="","",SUMIFS(Performance!$Z$5:$Z$404,Performance!$G$5:$G$404,AP217))</f>
        <v>0</v>
      </c>
      <c r="AT217" s="24">
        <f>IF(OR(AR217="",AR217=0),"",AS217/AR217)</f>
        <v>0</v>
      </c>
      <c r="AU217" s="32">
        <f>IF(AQ217=0,"",IF(AT217="","",AT217+ROW()/1000000))</f>
        <v>0</v>
      </c>
      <c r="AV217" s="17">
        <f>IF(ROW()-4&gt;7,"",TEXT(DATE(2024,1,ROW()-4),"ddd"))</f>
        <v>0</v>
      </c>
      <c r="AW217" s="23">
        <f>IF(AV217="","",COUNTIF(Performance!$N$5:$N$404,AV217))</f>
        <v>0</v>
      </c>
      <c r="AX217" s="23">
        <f>IF(AV217="","",SUMIFS(Performance!$O$5:$O$404,Performance!$N$5:$N$404,AV217))</f>
        <v>0</v>
      </c>
      <c r="AY217" s="23">
        <f>IF(AV217="","",SUMIFS(Performance!$Z$5:$Z$404,Performance!$N$5:$N$404,AV217))</f>
        <v>0</v>
      </c>
      <c r="AZ217" s="24">
        <f>IF(OR(AX217="",AX217=0),"",AY217/AX217)</f>
        <v>0</v>
      </c>
      <c r="BA217" s="32">
        <f>IF(AW217=0,"",IF(AZ217="","",AZ217+ROW()/1000000))</f>
        <v>0</v>
      </c>
      <c r="BB217" s="17">
        <f>IF(Lists!$AL217="","",Lists!$AL217)</f>
        <v>0</v>
      </c>
      <c r="BC217" s="23">
        <f>IF(BB217="","",COUNTIF(Performance!$M$5:$M$404,BB217))</f>
        <v>0</v>
      </c>
      <c r="BD217" s="23">
        <f>IF(BB217="","",SUMIFS(Performance!$O$5:$O$404,Performance!$M$5:$M$404,BB217))</f>
        <v>0</v>
      </c>
      <c r="BE217" s="23">
        <f>IF(BB217="","",SUMIFS(Performance!$Z$5:$Z$404,Performance!$M$5:$M$404,BB217))</f>
        <v>0</v>
      </c>
      <c r="BF217" s="24">
        <f>IF(OR(BD217="",BD217=0),"",BE217/BD217)</f>
        <v>0</v>
      </c>
      <c r="BG217" s="32">
        <f>IF(BC217=0,"",IF(BF217="","",BF217+ROW()/1000000))</f>
        <v>0</v>
      </c>
      <c r="BH217" s="17">
        <f>IF(Performance!$C$217="","",Performance!$C$217)</f>
        <v>0</v>
      </c>
      <c r="BI217" s="17">
        <f>IF(Performance!$F$217="","",Performance!$F$217)</f>
        <v>0</v>
      </c>
      <c r="BJ217" s="17">
        <f>IF(Performance!$H$217="","",Performance!$H$217)</f>
        <v>0</v>
      </c>
      <c r="BK217" s="16">
        <f>IF(Performance!$D$217="","",Performance!$D$217)</f>
        <v>0</v>
      </c>
      <c r="BL217" s="17">
        <f>IF(Performance!$E$217="","",Performance!$E$217)</f>
        <v>0</v>
      </c>
      <c r="BM217" s="23">
        <f>IF(Performance!$O$217="","",Performance!$O$217)</f>
        <v>0</v>
      </c>
      <c r="BN217" s="24">
        <f>IF(Performance!$AA$217="","",Performance!$AA$217)</f>
        <v>0</v>
      </c>
      <c r="BO217" s="32">
        <f>IF(BH217="","",IF(BK217="","",IF(OR(BK217&lt;DashStart,BK217&gt;DashEnd),"",IF(BN217="","",BN217+ROW()/1000000))))</f>
        <v>0</v>
      </c>
      <c r="BP217" s="32">
        <f>IF(BM217="","",IF(BK217="","",IF(OR(BK217&lt;DashStart,BK217&gt;DashEnd),"",BM217+ROW()/1000000)))</f>
        <v>0</v>
      </c>
      <c r="BQ217" s="32">
        <f>IF(BH217="","",IF(BK217="","",IF(YEAR(BK217)&lt;&gt;PlanYear,"",IF(BN217="","",BN217+ROW()/1000000))))</f>
        <v>0</v>
      </c>
      <c r="BR217" s="32">
        <f>IF(BH217="","",IF(BK217="","",IF(OR(BK217&lt;RepFrom,BK217&gt;RepTo),"",IF(BN217="","",BN217+ROW()/1000000))))</f>
        <v>0</v>
      </c>
      <c r="BS217" s="32">
        <f>IF(BM217="","",IF(BK217="","",IF(YEAR(BK217)&lt;&gt;PlanYear,"",BM217+ROW()/1000000)))</f>
        <v>0</v>
      </c>
      <c r="BT217" s="17">
        <f>IF(Lists!$F217="","",Lists!$F217)</f>
        <v>0</v>
      </c>
      <c r="BU217" s="23">
        <f>IF(BT217="","",COUNTIF('Content Calendar'!$X$5:$X$604,BT217))</f>
        <v>0</v>
      </c>
      <c r="BV217" s="23">
        <f>IF(BT217="","",COUNTIFS('Content Calendar'!$X$5:$X$604,BT217,'Content Calendar'!$B$5:$B$604,"&gt;="&amp;DashStart,'Content Calendar'!$B$5:$B$604,"&lt;="&amp;DashEnd))</f>
        <v>0</v>
      </c>
      <c r="BW217" s="17">
        <f>IF(Team!$B$217="","",Team!$B$217)</f>
        <v>0</v>
      </c>
      <c r="BX217" s="23">
        <f>IF(BW217="","",COUNTIF('Content Calendar'!$W$5:$W$604,BW217))</f>
        <v>0</v>
      </c>
      <c r="BY217" s="23">
        <f>IF(BW217="","",COUNTIFS('Content Calendar'!$W$5:$W$604,BW217,'Content Calendar'!$X$5:$X$604,"&lt;&gt;Published"))</f>
        <v>0</v>
      </c>
      <c r="BZ217" s="23">
        <f>IF(BW217="","",COUNTIFS(Tasks!$C$5:$C$64,BW217,Tasks!$G$5:$G$64,"&lt;&gt;Complete"))</f>
        <v>0</v>
      </c>
      <c r="CA217" s="17">
        <f>IF(Campaigns!$B$217="","",Campaigns!$B$217)</f>
        <v>0</v>
      </c>
      <c r="CB217" s="25">
        <f>IF(Campaigns!$T$217="","",Campaigns!$T$217)</f>
        <v>0</v>
      </c>
      <c r="CC217" s="25">
        <f>IF(Campaigns!$Q$217="","",Campaigns!$Q$217)</f>
        <v>0</v>
      </c>
      <c r="CD217" s="23">
        <f>IF(Campaigns!$Y$217="","",Campaigns!$Y$217)</f>
        <v>0</v>
      </c>
      <c r="CE217" s="32">
        <f>IF(CA217="","",IF(N(CB217)&lt;=0,"",N(CB217)+ROW()/1000000))</f>
        <v>0</v>
      </c>
      <c r="CF217" s="17">
        <f>IF(Accounts!$C$217="","",Accounts!$C$217)</f>
        <v>0</v>
      </c>
      <c r="CG217" s="17">
        <f>IF(Accounts!$B$217="","",Accounts!$B$217)</f>
        <v>0</v>
      </c>
      <c r="CH217" s="23">
        <f>IF(Accounts!$J$217="","",Accounts!$J$217)</f>
        <v>0</v>
      </c>
      <c r="CI217" s="23">
        <f>IF(CF217="","",SUMIFS(Analytics!$X$5:$X$154,Analytics!$E$5:$E$154,CF217,Analytics!$B$5:$B$154,"&gt;="&amp;DashStart,Analytics!$B$5:$B$154,"&lt;="&amp;DashEnd))</f>
        <v>0</v>
      </c>
      <c r="CJ217" s="32">
        <f>IF(CH217="","",IF(CH217=0,"",CH217+ROW()/1000000))</f>
        <v>0</v>
      </c>
    </row>
    <row r="218" spans="1:88">
      <c r="A218" s="16">
        <f>IF(ROW()-4&gt;12,"",DATE(PlanYear,ROW()-4,1))</f>
        <v>0</v>
      </c>
      <c r="B218" s="16">
        <f>IF(A218="","",EOMONTH(A218,0))</f>
        <v>0</v>
      </c>
      <c r="C218" s="17">
        <f>IF(A218="","",TEXT(A218,"yyyy-mm"))</f>
        <v>0</v>
      </c>
      <c r="D218" s="17">
        <f>IF(A218="","",TEXT(A218,"mmm"))</f>
        <v>0</v>
      </c>
      <c r="E218" s="23">
        <f>IF(C218="","",COUNTIFS('Content Calendar'!$D$5:$D$604,C218))</f>
        <v>0</v>
      </c>
      <c r="F218" s="23">
        <f>IF(C218="","",COUNTIFS('Content Calendar'!$D$5:$D$604,C218,'Content Calendar'!$X$5:$X$604,"Published"))</f>
        <v>0</v>
      </c>
      <c r="G218" s="23">
        <f>IF(C218="","",SUMIFS(Analytics!$J$5:$J$154,Analytics!$C$5:$C$154,C218))</f>
        <v>0</v>
      </c>
      <c r="H218" s="23">
        <f>IF(C218="","",SUMIFS(Analytics!$K$5:$K$154,Analytics!$C$5:$C$154,C218))</f>
        <v>0</v>
      </c>
      <c r="I218" s="23">
        <f>IF(C218="","",SUMIFS(Analytics!$L$5:$L$154,Analytics!$C$5:$C$154,C218))</f>
        <v>0</v>
      </c>
      <c r="J218" s="24">
        <f>IF(OR(G218="",G218=0),"",I218/G218)</f>
        <v>0</v>
      </c>
      <c r="K218" s="23">
        <f>IF(C218="","",SUMIFS(Analytics!$G$5:$G$154,Analytics!$C$5:$C$154,C218))</f>
        <v>0</v>
      </c>
      <c r="L218" s="23">
        <f>IF(C218="","",SUMIFS(Analytics!$X$5:$X$154,Analytics!$C$5:$C$154,C218))</f>
        <v>0</v>
      </c>
      <c r="M218" s="23">
        <f>IF(C218="","",SUMIFS(Analytics!$R$5:$R$154,Analytics!$C$5:$C$154,C218))</f>
        <v>0</v>
      </c>
      <c r="N218" s="23">
        <f>IF(C218="","",SUMIFS(Analytics!$S$5:$S$154,Analytics!$C$5:$C$154,C218))</f>
        <v>0</v>
      </c>
      <c r="O218" s="23">
        <f>IF(C218="","",SUMIFS(Analytics!$T$5:$T$154,Analytics!$C$5:$C$154,C218))</f>
        <v>0</v>
      </c>
      <c r="P218" s="25">
        <f>IF(C218="","",SUMIFS(Analytics!$U$5:$U$154,Analytics!$C$5:$C$154,C218))</f>
        <v>0</v>
      </c>
      <c r="Q218" s="25">
        <f>IF(C218="","",SUMIFS(Budget!$H$5:$H$64,Budget!$C$5:$C$64,C218))</f>
        <v>0</v>
      </c>
      <c r="R218" s="25">
        <f>IF(C218="","",P218-Q218)</f>
        <v>0</v>
      </c>
      <c r="S218" s="23">
        <f>IF(C218="","",MonthlyPostTarget)</f>
        <v>0</v>
      </c>
      <c r="T218" s="17">
        <f>IF(Lists!$C218="","",Lists!$C218)</f>
        <v>0</v>
      </c>
      <c r="U218" s="23">
        <f>IF(T218="","",COUNTIFS('Content Calendar'!$G$5:$G$604,T218,'Content Calendar'!$B$5:$B$604,"&gt;="&amp;DashStart,'Content Calendar'!$B$5:$B$604,"&lt;="&amp;DashEnd))</f>
        <v>0</v>
      </c>
      <c r="V218" s="23">
        <f>IF(T218="","",COUNTIFS('Content Calendar'!$G$5:$G$604,T218,'Content Calendar'!$X$5:$X$604,"Published",'Content Calendar'!$B$5:$B$604,"&gt;="&amp;DashStart,'Content Calendar'!$B$5:$B$604,"&lt;="&amp;DashEnd))</f>
        <v>0</v>
      </c>
      <c r="W218" s="23">
        <f>IF(T218="","",SUMIFS(Analytics!$J$5:$J$154,Analytics!$D$5:$D$154,T218,Analytics!$B$5:$B$154,"&gt;="&amp;DashStart,Analytics!$B$5:$B$154,"&lt;="&amp;DashEnd))</f>
        <v>0</v>
      </c>
      <c r="X218" s="23">
        <f>IF(T218="","",SUMIFS(Analytics!$L$5:$L$154,Analytics!$D$5:$D$154,T218,Analytics!$B$5:$B$154,"&gt;="&amp;DashStart,Analytics!$B$5:$B$154,"&lt;="&amp;DashEnd))</f>
        <v>0</v>
      </c>
      <c r="Y218" s="24">
        <f>IF(OR(W218="",W218=0),"",X218/W218)</f>
        <v>0</v>
      </c>
      <c r="Z218" s="23">
        <f>IF(T218="","",SUMIFS(Analytics!$G$5:$G$154,Analytics!$D$5:$D$154,T218,Analytics!$B$5:$B$154,"&gt;="&amp;DashStart,Analytics!$B$5:$B$154,"&lt;="&amp;DashEnd))</f>
        <v>0</v>
      </c>
      <c r="AA218" s="23">
        <f>IF(T218="","",SUMIFS(Analytics!$X$5:$X$154,Analytics!$D$5:$D$154,T218,Analytics!$B$5:$B$154,"&gt;="&amp;DashStart,Analytics!$B$5:$B$154,"&lt;="&amp;DashEnd))</f>
        <v>0</v>
      </c>
      <c r="AB218" s="23">
        <f>IF(T218="","",SUMIFS(Analytics!$R$5:$R$154,Analytics!$D$5:$D$154,T218,Analytics!$B$5:$B$154,"&gt;="&amp;DashStart,Analytics!$B$5:$B$154,"&lt;="&amp;DashEnd))</f>
        <v>0</v>
      </c>
      <c r="AC218" s="25">
        <f>IF(T218="","",SUMIFS(Analytics!$U$5:$U$154,Analytics!$D$5:$D$154,T218,Analytics!$B$5:$B$154,"&gt;="&amp;DashStart,Analytics!$B$5:$B$154,"&lt;="&amp;DashEnd))</f>
        <v>0</v>
      </c>
      <c r="AD218" s="23">
        <f>IF(T218="","",COUNTIFS('Content Calendar'!$G$5:$G$604,T218,'Content Calendar'!$B$5:$B$604,"&gt;="&amp;DATE(PlanYear,1,1),'Content Calendar'!$B$5:$B$604,"&lt;="&amp;DATE(PlanYear,12,31)))</f>
        <v>0</v>
      </c>
      <c r="AE218" s="23">
        <f>IF(T218="","",SUMIFS(Analytics!$J$5:$J$154,Analytics!$D$5:$D$154,T218))</f>
        <v>0</v>
      </c>
      <c r="AF218" s="23">
        <f>IF(T218="","",SUMIFS(Analytics!$L$5:$L$154,Analytics!$D$5:$D$154,T218))</f>
        <v>0</v>
      </c>
      <c r="AG218" s="24">
        <f>IF(OR(AE218="",AE218=0),"",AF218/AE218)</f>
        <v>0</v>
      </c>
      <c r="AH218" s="23">
        <f>IF(T218="","",SUMIFS(Analytics!$X$5:$X$154,Analytics!$D$5:$D$154,T218))</f>
        <v>0</v>
      </c>
      <c r="AI218" s="32">
        <f>IF(T218="","",IF(AE218=0,"",AE218+ROW()/1000000))</f>
        <v>0</v>
      </c>
      <c r="AJ218" s="17">
        <f>IF('Content Pillars'!$B$218="","",'Content Pillars'!$B$218)</f>
        <v>0</v>
      </c>
      <c r="AK218" s="23">
        <f>IF(AJ218="","",COUNTIFS('Content Calendar'!$J$5:$J$604,AJ218,'Content Calendar'!$B$5:$B$604,"&gt;="&amp;DATE(PlanYear,1,1),'Content Calendar'!$B$5:$B$604,"&lt;="&amp;DATE(PlanYear,12,31)))</f>
        <v>0</v>
      </c>
      <c r="AL218" s="23">
        <f>IF(AJ218="","",SUMIFS(Performance!$O$5:$O$404,Performance!$H$5:$H$404,AJ218))</f>
        <v>0</v>
      </c>
      <c r="AM218" s="23">
        <f>IF(AJ218="","",SUMIFS(Performance!$Z$5:$Z$404,Performance!$H$5:$H$404,AJ218))</f>
        <v>0</v>
      </c>
      <c r="AN218" s="24">
        <f>IF(OR(AL218="",AL218=0),"",AM218/AL218)</f>
        <v>0</v>
      </c>
      <c r="AO218" s="32">
        <f>IF(AN218="","",AN218+ROW()/1000000)</f>
        <v>0</v>
      </c>
      <c r="AP218" s="17">
        <f>IF(Lists!$E218="","",Lists!$E218)</f>
        <v>0</v>
      </c>
      <c r="AQ218" s="23">
        <f>IF(AP218="","",COUNTIF(Performance!$G$5:$G$404,AP218))</f>
        <v>0</v>
      </c>
      <c r="AR218" s="23">
        <f>IF(AP218="","",SUMIFS(Performance!$O$5:$O$404,Performance!$G$5:$G$404,AP218))</f>
        <v>0</v>
      </c>
      <c r="AS218" s="23">
        <f>IF(AP218="","",SUMIFS(Performance!$Z$5:$Z$404,Performance!$G$5:$G$404,AP218))</f>
        <v>0</v>
      </c>
      <c r="AT218" s="24">
        <f>IF(OR(AR218="",AR218=0),"",AS218/AR218)</f>
        <v>0</v>
      </c>
      <c r="AU218" s="32">
        <f>IF(AQ218=0,"",IF(AT218="","",AT218+ROW()/1000000))</f>
        <v>0</v>
      </c>
      <c r="AV218" s="17">
        <f>IF(ROW()-4&gt;7,"",TEXT(DATE(2024,1,ROW()-4),"ddd"))</f>
        <v>0</v>
      </c>
      <c r="AW218" s="23">
        <f>IF(AV218="","",COUNTIF(Performance!$N$5:$N$404,AV218))</f>
        <v>0</v>
      </c>
      <c r="AX218" s="23">
        <f>IF(AV218="","",SUMIFS(Performance!$O$5:$O$404,Performance!$N$5:$N$404,AV218))</f>
        <v>0</v>
      </c>
      <c r="AY218" s="23">
        <f>IF(AV218="","",SUMIFS(Performance!$Z$5:$Z$404,Performance!$N$5:$N$404,AV218))</f>
        <v>0</v>
      </c>
      <c r="AZ218" s="24">
        <f>IF(OR(AX218="",AX218=0),"",AY218/AX218)</f>
        <v>0</v>
      </c>
      <c r="BA218" s="32">
        <f>IF(AW218=0,"",IF(AZ218="","",AZ218+ROW()/1000000))</f>
        <v>0</v>
      </c>
      <c r="BB218" s="17">
        <f>IF(Lists!$AL218="","",Lists!$AL218)</f>
        <v>0</v>
      </c>
      <c r="BC218" s="23">
        <f>IF(BB218="","",COUNTIF(Performance!$M$5:$M$404,BB218))</f>
        <v>0</v>
      </c>
      <c r="BD218" s="23">
        <f>IF(BB218="","",SUMIFS(Performance!$O$5:$O$404,Performance!$M$5:$M$404,BB218))</f>
        <v>0</v>
      </c>
      <c r="BE218" s="23">
        <f>IF(BB218="","",SUMIFS(Performance!$Z$5:$Z$404,Performance!$M$5:$M$404,BB218))</f>
        <v>0</v>
      </c>
      <c r="BF218" s="24">
        <f>IF(OR(BD218="",BD218=0),"",BE218/BD218)</f>
        <v>0</v>
      </c>
      <c r="BG218" s="32">
        <f>IF(BC218=0,"",IF(BF218="","",BF218+ROW()/1000000))</f>
        <v>0</v>
      </c>
      <c r="BH218" s="17">
        <f>IF(Performance!$C$218="","",Performance!$C$218)</f>
        <v>0</v>
      </c>
      <c r="BI218" s="17">
        <f>IF(Performance!$F$218="","",Performance!$F$218)</f>
        <v>0</v>
      </c>
      <c r="BJ218" s="17">
        <f>IF(Performance!$H$218="","",Performance!$H$218)</f>
        <v>0</v>
      </c>
      <c r="BK218" s="16">
        <f>IF(Performance!$D$218="","",Performance!$D$218)</f>
        <v>0</v>
      </c>
      <c r="BL218" s="17">
        <f>IF(Performance!$E$218="","",Performance!$E$218)</f>
        <v>0</v>
      </c>
      <c r="BM218" s="23">
        <f>IF(Performance!$O$218="","",Performance!$O$218)</f>
        <v>0</v>
      </c>
      <c r="BN218" s="24">
        <f>IF(Performance!$AA$218="","",Performance!$AA$218)</f>
        <v>0</v>
      </c>
      <c r="BO218" s="32">
        <f>IF(BH218="","",IF(BK218="","",IF(OR(BK218&lt;DashStart,BK218&gt;DashEnd),"",IF(BN218="","",BN218+ROW()/1000000))))</f>
        <v>0</v>
      </c>
      <c r="BP218" s="32">
        <f>IF(BM218="","",IF(BK218="","",IF(OR(BK218&lt;DashStart,BK218&gt;DashEnd),"",BM218+ROW()/1000000)))</f>
        <v>0</v>
      </c>
      <c r="BQ218" s="32">
        <f>IF(BH218="","",IF(BK218="","",IF(YEAR(BK218)&lt;&gt;PlanYear,"",IF(BN218="","",BN218+ROW()/1000000))))</f>
        <v>0</v>
      </c>
      <c r="BR218" s="32">
        <f>IF(BH218="","",IF(BK218="","",IF(OR(BK218&lt;RepFrom,BK218&gt;RepTo),"",IF(BN218="","",BN218+ROW()/1000000))))</f>
        <v>0</v>
      </c>
      <c r="BS218" s="32">
        <f>IF(BM218="","",IF(BK218="","",IF(YEAR(BK218)&lt;&gt;PlanYear,"",BM218+ROW()/1000000)))</f>
        <v>0</v>
      </c>
      <c r="BT218" s="17">
        <f>IF(Lists!$F218="","",Lists!$F218)</f>
        <v>0</v>
      </c>
      <c r="BU218" s="23">
        <f>IF(BT218="","",COUNTIF('Content Calendar'!$X$5:$X$604,BT218))</f>
        <v>0</v>
      </c>
      <c r="BV218" s="23">
        <f>IF(BT218="","",COUNTIFS('Content Calendar'!$X$5:$X$604,BT218,'Content Calendar'!$B$5:$B$604,"&gt;="&amp;DashStart,'Content Calendar'!$B$5:$B$604,"&lt;="&amp;DashEnd))</f>
        <v>0</v>
      </c>
      <c r="BW218" s="17">
        <f>IF(Team!$B$218="","",Team!$B$218)</f>
        <v>0</v>
      </c>
      <c r="BX218" s="23">
        <f>IF(BW218="","",COUNTIF('Content Calendar'!$W$5:$W$604,BW218))</f>
        <v>0</v>
      </c>
      <c r="BY218" s="23">
        <f>IF(BW218="","",COUNTIFS('Content Calendar'!$W$5:$W$604,BW218,'Content Calendar'!$X$5:$X$604,"&lt;&gt;Published"))</f>
        <v>0</v>
      </c>
      <c r="BZ218" s="23">
        <f>IF(BW218="","",COUNTIFS(Tasks!$C$5:$C$64,BW218,Tasks!$G$5:$G$64,"&lt;&gt;Complete"))</f>
        <v>0</v>
      </c>
      <c r="CA218" s="17">
        <f>IF(Campaigns!$B$218="","",Campaigns!$B$218)</f>
        <v>0</v>
      </c>
      <c r="CB218" s="25">
        <f>IF(Campaigns!$T$218="","",Campaigns!$T$218)</f>
        <v>0</v>
      </c>
      <c r="CC218" s="25">
        <f>IF(Campaigns!$Q$218="","",Campaigns!$Q$218)</f>
        <v>0</v>
      </c>
      <c r="CD218" s="23">
        <f>IF(Campaigns!$Y$218="","",Campaigns!$Y$218)</f>
        <v>0</v>
      </c>
      <c r="CE218" s="32">
        <f>IF(CA218="","",IF(N(CB218)&lt;=0,"",N(CB218)+ROW()/1000000))</f>
        <v>0</v>
      </c>
      <c r="CF218" s="17">
        <f>IF(Accounts!$C$218="","",Accounts!$C$218)</f>
        <v>0</v>
      </c>
      <c r="CG218" s="17">
        <f>IF(Accounts!$B$218="","",Accounts!$B$218)</f>
        <v>0</v>
      </c>
      <c r="CH218" s="23">
        <f>IF(Accounts!$J$218="","",Accounts!$J$218)</f>
        <v>0</v>
      </c>
      <c r="CI218" s="23">
        <f>IF(CF218="","",SUMIFS(Analytics!$X$5:$X$154,Analytics!$E$5:$E$154,CF218,Analytics!$B$5:$B$154,"&gt;="&amp;DashStart,Analytics!$B$5:$B$154,"&lt;="&amp;DashEnd))</f>
        <v>0</v>
      </c>
      <c r="CJ218" s="32">
        <f>IF(CH218="","",IF(CH218=0,"",CH218+ROW()/1000000))</f>
        <v>0</v>
      </c>
    </row>
    <row r="219" spans="1:88">
      <c r="A219" s="16">
        <f>IF(ROW()-4&gt;12,"",DATE(PlanYear,ROW()-4,1))</f>
        <v>0</v>
      </c>
      <c r="B219" s="16">
        <f>IF(A219="","",EOMONTH(A219,0))</f>
        <v>0</v>
      </c>
      <c r="C219" s="17">
        <f>IF(A219="","",TEXT(A219,"yyyy-mm"))</f>
        <v>0</v>
      </c>
      <c r="D219" s="17">
        <f>IF(A219="","",TEXT(A219,"mmm"))</f>
        <v>0</v>
      </c>
      <c r="E219" s="23">
        <f>IF(C219="","",COUNTIFS('Content Calendar'!$D$5:$D$604,C219))</f>
        <v>0</v>
      </c>
      <c r="F219" s="23">
        <f>IF(C219="","",COUNTIFS('Content Calendar'!$D$5:$D$604,C219,'Content Calendar'!$X$5:$X$604,"Published"))</f>
        <v>0</v>
      </c>
      <c r="G219" s="23">
        <f>IF(C219="","",SUMIFS(Analytics!$J$5:$J$154,Analytics!$C$5:$C$154,C219))</f>
        <v>0</v>
      </c>
      <c r="H219" s="23">
        <f>IF(C219="","",SUMIFS(Analytics!$K$5:$K$154,Analytics!$C$5:$C$154,C219))</f>
        <v>0</v>
      </c>
      <c r="I219" s="23">
        <f>IF(C219="","",SUMIFS(Analytics!$L$5:$L$154,Analytics!$C$5:$C$154,C219))</f>
        <v>0</v>
      </c>
      <c r="J219" s="24">
        <f>IF(OR(G219="",G219=0),"",I219/G219)</f>
        <v>0</v>
      </c>
      <c r="K219" s="23">
        <f>IF(C219="","",SUMIFS(Analytics!$G$5:$G$154,Analytics!$C$5:$C$154,C219))</f>
        <v>0</v>
      </c>
      <c r="L219" s="23">
        <f>IF(C219="","",SUMIFS(Analytics!$X$5:$X$154,Analytics!$C$5:$C$154,C219))</f>
        <v>0</v>
      </c>
      <c r="M219" s="23">
        <f>IF(C219="","",SUMIFS(Analytics!$R$5:$R$154,Analytics!$C$5:$C$154,C219))</f>
        <v>0</v>
      </c>
      <c r="N219" s="23">
        <f>IF(C219="","",SUMIFS(Analytics!$S$5:$S$154,Analytics!$C$5:$C$154,C219))</f>
        <v>0</v>
      </c>
      <c r="O219" s="23">
        <f>IF(C219="","",SUMIFS(Analytics!$T$5:$T$154,Analytics!$C$5:$C$154,C219))</f>
        <v>0</v>
      </c>
      <c r="P219" s="25">
        <f>IF(C219="","",SUMIFS(Analytics!$U$5:$U$154,Analytics!$C$5:$C$154,C219))</f>
        <v>0</v>
      </c>
      <c r="Q219" s="25">
        <f>IF(C219="","",SUMIFS(Budget!$H$5:$H$64,Budget!$C$5:$C$64,C219))</f>
        <v>0</v>
      </c>
      <c r="R219" s="25">
        <f>IF(C219="","",P219-Q219)</f>
        <v>0</v>
      </c>
      <c r="S219" s="23">
        <f>IF(C219="","",MonthlyPostTarget)</f>
        <v>0</v>
      </c>
      <c r="T219" s="17">
        <f>IF(Lists!$C219="","",Lists!$C219)</f>
        <v>0</v>
      </c>
      <c r="U219" s="23">
        <f>IF(T219="","",COUNTIFS('Content Calendar'!$G$5:$G$604,T219,'Content Calendar'!$B$5:$B$604,"&gt;="&amp;DashStart,'Content Calendar'!$B$5:$B$604,"&lt;="&amp;DashEnd))</f>
        <v>0</v>
      </c>
      <c r="V219" s="23">
        <f>IF(T219="","",COUNTIFS('Content Calendar'!$G$5:$G$604,T219,'Content Calendar'!$X$5:$X$604,"Published",'Content Calendar'!$B$5:$B$604,"&gt;="&amp;DashStart,'Content Calendar'!$B$5:$B$604,"&lt;="&amp;DashEnd))</f>
        <v>0</v>
      </c>
      <c r="W219" s="23">
        <f>IF(T219="","",SUMIFS(Analytics!$J$5:$J$154,Analytics!$D$5:$D$154,T219,Analytics!$B$5:$B$154,"&gt;="&amp;DashStart,Analytics!$B$5:$B$154,"&lt;="&amp;DashEnd))</f>
        <v>0</v>
      </c>
      <c r="X219" s="23">
        <f>IF(T219="","",SUMIFS(Analytics!$L$5:$L$154,Analytics!$D$5:$D$154,T219,Analytics!$B$5:$B$154,"&gt;="&amp;DashStart,Analytics!$B$5:$B$154,"&lt;="&amp;DashEnd))</f>
        <v>0</v>
      </c>
      <c r="Y219" s="24">
        <f>IF(OR(W219="",W219=0),"",X219/W219)</f>
        <v>0</v>
      </c>
      <c r="Z219" s="23">
        <f>IF(T219="","",SUMIFS(Analytics!$G$5:$G$154,Analytics!$D$5:$D$154,T219,Analytics!$B$5:$B$154,"&gt;="&amp;DashStart,Analytics!$B$5:$B$154,"&lt;="&amp;DashEnd))</f>
        <v>0</v>
      </c>
      <c r="AA219" s="23">
        <f>IF(T219="","",SUMIFS(Analytics!$X$5:$X$154,Analytics!$D$5:$D$154,T219,Analytics!$B$5:$B$154,"&gt;="&amp;DashStart,Analytics!$B$5:$B$154,"&lt;="&amp;DashEnd))</f>
        <v>0</v>
      </c>
      <c r="AB219" s="23">
        <f>IF(T219="","",SUMIFS(Analytics!$R$5:$R$154,Analytics!$D$5:$D$154,T219,Analytics!$B$5:$B$154,"&gt;="&amp;DashStart,Analytics!$B$5:$B$154,"&lt;="&amp;DashEnd))</f>
        <v>0</v>
      </c>
      <c r="AC219" s="25">
        <f>IF(T219="","",SUMIFS(Analytics!$U$5:$U$154,Analytics!$D$5:$D$154,T219,Analytics!$B$5:$B$154,"&gt;="&amp;DashStart,Analytics!$B$5:$B$154,"&lt;="&amp;DashEnd))</f>
        <v>0</v>
      </c>
      <c r="AD219" s="23">
        <f>IF(T219="","",COUNTIFS('Content Calendar'!$G$5:$G$604,T219,'Content Calendar'!$B$5:$B$604,"&gt;="&amp;DATE(PlanYear,1,1),'Content Calendar'!$B$5:$B$604,"&lt;="&amp;DATE(PlanYear,12,31)))</f>
        <v>0</v>
      </c>
      <c r="AE219" s="23">
        <f>IF(T219="","",SUMIFS(Analytics!$J$5:$J$154,Analytics!$D$5:$D$154,T219))</f>
        <v>0</v>
      </c>
      <c r="AF219" s="23">
        <f>IF(T219="","",SUMIFS(Analytics!$L$5:$L$154,Analytics!$D$5:$D$154,T219))</f>
        <v>0</v>
      </c>
      <c r="AG219" s="24">
        <f>IF(OR(AE219="",AE219=0),"",AF219/AE219)</f>
        <v>0</v>
      </c>
      <c r="AH219" s="23">
        <f>IF(T219="","",SUMIFS(Analytics!$X$5:$X$154,Analytics!$D$5:$D$154,T219))</f>
        <v>0</v>
      </c>
      <c r="AI219" s="32">
        <f>IF(T219="","",IF(AE219=0,"",AE219+ROW()/1000000))</f>
        <v>0</v>
      </c>
      <c r="AJ219" s="17">
        <f>IF('Content Pillars'!$B$219="","",'Content Pillars'!$B$219)</f>
        <v>0</v>
      </c>
      <c r="AK219" s="23">
        <f>IF(AJ219="","",COUNTIFS('Content Calendar'!$J$5:$J$604,AJ219,'Content Calendar'!$B$5:$B$604,"&gt;="&amp;DATE(PlanYear,1,1),'Content Calendar'!$B$5:$B$604,"&lt;="&amp;DATE(PlanYear,12,31)))</f>
        <v>0</v>
      </c>
      <c r="AL219" s="23">
        <f>IF(AJ219="","",SUMIFS(Performance!$O$5:$O$404,Performance!$H$5:$H$404,AJ219))</f>
        <v>0</v>
      </c>
      <c r="AM219" s="23">
        <f>IF(AJ219="","",SUMIFS(Performance!$Z$5:$Z$404,Performance!$H$5:$H$404,AJ219))</f>
        <v>0</v>
      </c>
      <c r="AN219" s="24">
        <f>IF(OR(AL219="",AL219=0),"",AM219/AL219)</f>
        <v>0</v>
      </c>
      <c r="AO219" s="32">
        <f>IF(AN219="","",AN219+ROW()/1000000)</f>
        <v>0</v>
      </c>
      <c r="AP219" s="17">
        <f>IF(Lists!$E219="","",Lists!$E219)</f>
        <v>0</v>
      </c>
      <c r="AQ219" s="23">
        <f>IF(AP219="","",COUNTIF(Performance!$G$5:$G$404,AP219))</f>
        <v>0</v>
      </c>
      <c r="AR219" s="23">
        <f>IF(AP219="","",SUMIFS(Performance!$O$5:$O$404,Performance!$G$5:$G$404,AP219))</f>
        <v>0</v>
      </c>
      <c r="AS219" s="23">
        <f>IF(AP219="","",SUMIFS(Performance!$Z$5:$Z$404,Performance!$G$5:$G$404,AP219))</f>
        <v>0</v>
      </c>
      <c r="AT219" s="24">
        <f>IF(OR(AR219="",AR219=0),"",AS219/AR219)</f>
        <v>0</v>
      </c>
      <c r="AU219" s="32">
        <f>IF(AQ219=0,"",IF(AT219="","",AT219+ROW()/1000000))</f>
        <v>0</v>
      </c>
      <c r="AV219" s="17">
        <f>IF(ROW()-4&gt;7,"",TEXT(DATE(2024,1,ROW()-4),"ddd"))</f>
        <v>0</v>
      </c>
      <c r="AW219" s="23">
        <f>IF(AV219="","",COUNTIF(Performance!$N$5:$N$404,AV219))</f>
        <v>0</v>
      </c>
      <c r="AX219" s="23">
        <f>IF(AV219="","",SUMIFS(Performance!$O$5:$O$404,Performance!$N$5:$N$404,AV219))</f>
        <v>0</v>
      </c>
      <c r="AY219" s="23">
        <f>IF(AV219="","",SUMIFS(Performance!$Z$5:$Z$404,Performance!$N$5:$N$404,AV219))</f>
        <v>0</v>
      </c>
      <c r="AZ219" s="24">
        <f>IF(OR(AX219="",AX219=0),"",AY219/AX219)</f>
        <v>0</v>
      </c>
      <c r="BA219" s="32">
        <f>IF(AW219=0,"",IF(AZ219="","",AZ219+ROW()/1000000))</f>
        <v>0</v>
      </c>
      <c r="BB219" s="17">
        <f>IF(Lists!$AL219="","",Lists!$AL219)</f>
        <v>0</v>
      </c>
      <c r="BC219" s="23">
        <f>IF(BB219="","",COUNTIF(Performance!$M$5:$M$404,BB219))</f>
        <v>0</v>
      </c>
      <c r="BD219" s="23">
        <f>IF(BB219="","",SUMIFS(Performance!$O$5:$O$404,Performance!$M$5:$M$404,BB219))</f>
        <v>0</v>
      </c>
      <c r="BE219" s="23">
        <f>IF(BB219="","",SUMIFS(Performance!$Z$5:$Z$404,Performance!$M$5:$M$404,BB219))</f>
        <v>0</v>
      </c>
      <c r="BF219" s="24">
        <f>IF(OR(BD219="",BD219=0),"",BE219/BD219)</f>
        <v>0</v>
      </c>
      <c r="BG219" s="32">
        <f>IF(BC219=0,"",IF(BF219="","",BF219+ROW()/1000000))</f>
        <v>0</v>
      </c>
      <c r="BH219" s="17">
        <f>IF(Performance!$C$219="","",Performance!$C$219)</f>
        <v>0</v>
      </c>
      <c r="BI219" s="17">
        <f>IF(Performance!$F$219="","",Performance!$F$219)</f>
        <v>0</v>
      </c>
      <c r="BJ219" s="17">
        <f>IF(Performance!$H$219="","",Performance!$H$219)</f>
        <v>0</v>
      </c>
      <c r="BK219" s="16">
        <f>IF(Performance!$D$219="","",Performance!$D$219)</f>
        <v>0</v>
      </c>
      <c r="BL219" s="17">
        <f>IF(Performance!$E$219="","",Performance!$E$219)</f>
        <v>0</v>
      </c>
      <c r="BM219" s="23">
        <f>IF(Performance!$O$219="","",Performance!$O$219)</f>
        <v>0</v>
      </c>
      <c r="BN219" s="24">
        <f>IF(Performance!$AA$219="","",Performance!$AA$219)</f>
        <v>0</v>
      </c>
      <c r="BO219" s="32">
        <f>IF(BH219="","",IF(BK219="","",IF(OR(BK219&lt;DashStart,BK219&gt;DashEnd),"",IF(BN219="","",BN219+ROW()/1000000))))</f>
        <v>0</v>
      </c>
      <c r="BP219" s="32">
        <f>IF(BM219="","",IF(BK219="","",IF(OR(BK219&lt;DashStart,BK219&gt;DashEnd),"",BM219+ROW()/1000000)))</f>
        <v>0</v>
      </c>
      <c r="BQ219" s="32">
        <f>IF(BH219="","",IF(BK219="","",IF(YEAR(BK219)&lt;&gt;PlanYear,"",IF(BN219="","",BN219+ROW()/1000000))))</f>
        <v>0</v>
      </c>
      <c r="BR219" s="32">
        <f>IF(BH219="","",IF(BK219="","",IF(OR(BK219&lt;RepFrom,BK219&gt;RepTo),"",IF(BN219="","",BN219+ROW()/1000000))))</f>
        <v>0</v>
      </c>
      <c r="BS219" s="32">
        <f>IF(BM219="","",IF(BK219="","",IF(YEAR(BK219)&lt;&gt;PlanYear,"",BM219+ROW()/1000000)))</f>
        <v>0</v>
      </c>
      <c r="BT219" s="17">
        <f>IF(Lists!$F219="","",Lists!$F219)</f>
        <v>0</v>
      </c>
      <c r="BU219" s="23">
        <f>IF(BT219="","",COUNTIF('Content Calendar'!$X$5:$X$604,BT219))</f>
        <v>0</v>
      </c>
      <c r="BV219" s="23">
        <f>IF(BT219="","",COUNTIFS('Content Calendar'!$X$5:$X$604,BT219,'Content Calendar'!$B$5:$B$604,"&gt;="&amp;DashStart,'Content Calendar'!$B$5:$B$604,"&lt;="&amp;DashEnd))</f>
        <v>0</v>
      </c>
      <c r="BW219" s="17">
        <f>IF(Team!$B$219="","",Team!$B$219)</f>
        <v>0</v>
      </c>
      <c r="BX219" s="23">
        <f>IF(BW219="","",COUNTIF('Content Calendar'!$W$5:$W$604,BW219))</f>
        <v>0</v>
      </c>
      <c r="BY219" s="23">
        <f>IF(BW219="","",COUNTIFS('Content Calendar'!$W$5:$W$604,BW219,'Content Calendar'!$X$5:$X$604,"&lt;&gt;Published"))</f>
        <v>0</v>
      </c>
      <c r="BZ219" s="23">
        <f>IF(BW219="","",COUNTIFS(Tasks!$C$5:$C$64,BW219,Tasks!$G$5:$G$64,"&lt;&gt;Complete"))</f>
        <v>0</v>
      </c>
      <c r="CA219" s="17">
        <f>IF(Campaigns!$B$219="","",Campaigns!$B$219)</f>
        <v>0</v>
      </c>
      <c r="CB219" s="25">
        <f>IF(Campaigns!$T$219="","",Campaigns!$T$219)</f>
        <v>0</v>
      </c>
      <c r="CC219" s="25">
        <f>IF(Campaigns!$Q$219="","",Campaigns!$Q$219)</f>
        <v>0</v>
      </c>
      <c r="CD219" s="23">
        <f>IF(Campaigns!$Y$219="","",Campaigns!$Y$219)</f>
        <v>0</v>
      </c>
      <c r="CE219" s="32">
        <f>IF(CA219="","",IF(N(CB219)&lt;=0,"",N(CB219)+ROW()/1000000))</f>
        <v>0</v>
      </c>
      <c r="CF219" s="17">
        <f>IF(Accounts!$C$219="","",Accounts!$C$219)</f>
        <v>0</v>
      </c>
      <c r="CG219" s="17">
        <f>IF(Accounts!$B$219="","",Accounts!$B$219)</f>
        <v>0</v>
      </c>
      <c r="CH219" s="23">
        <f>IF(Accounts!$J$219="","",Accounts!$J$219)</f>
        <v>0</v>
      </c>
      <c r="CI219" s="23">
        <f>IF(CF219="","",SUMIFS(Analytics!$X$5:$X$154,Analytics!$E$5:$E$154,CF219,Analytics!$B$5:$B$154,"&gt;="&amp;DashStart,Analytics!$B$5:$B$154,"&lt;="&amp;DashEnd))</f>
        <v>0</v>
      </c>
      <c r="CJ219" s="32">
        <f>IF(CH219="","",IF(CH219=0,"",CH219+ROW()/1000000))</f>
        <v>0</v>
      </c>
    </row>
    <row r="220" spans="1:88">
      <c r="A220" s="16">
        <f>IF(ROW()-4&gt;12,"",DATE(PlanYear,ROW()-4,1))</f>
        <v>0</v>
      </c>
      <c r="B220" s="16">
        <f>IF(A220="","",EOMONTH(A220,0))</f>
        <v>0</v>
      </c>
      <c r="C220" s="17">
        <f>IF(A220="","",TEXT(A220,"yyyy-mm"))</f>
        <v>0</v>
      </c>
      <c r="D220" s="17">
        <f>IF(A220="","",TEXT(A220,"mmm"))</f>
        <v>0</v>
      </c>
      <c r="E220" s="23">
        <f>IF(C220="","",COUNTIFS('Content Calendar'!$D$5:$D$604,C220))</f>
        <v>0</v>
      </c>
      <c r="F220" s="23">
        <f>IF(C220="","",COUNTIFS('Content Calendar'!$D$5:$D$604,C220,'Content Calendar'!$X$5:$X$604,"Published"))</f>
        <v>0</v>
      </c>
      <c r="G220" s="23">
        <f>IF(C220="","",SUMIFS(Analytics!$J$5:$J$154,Analytics!$C$5:$C$154,C220))</f>
        <v>0</v>
      </c>
      <c r="H220" s="23">
        <f>IF(C220="","",SUMIFS(Analytics!$K$5:$K$154,Analytics!$C$5:$C$154,C220))</f>
        <v>0</v>
      </c>
      <c r="I220" s="23">
        <f>IF(C220="","",SUMIFS(Analytics!$L$5:$L$154,Analytics!$C$5:$C$154,C220))</f>
        <v>0</v>
      </c>
      <c r="J220" s="24">
        <f>IF(OR(G220="",G220=0),"",I220/G220)</f>
        <v>0</v>
      </c>
      <c r="K220" s="23">
        <f>IF(C220="","",SUMIFS(Analytics!$G$5:$G$154,Analytics!$C$5:$C$154,C220))</f>
        <v>0</v>
      </c>
      <c r="L220" s="23">
        <f>IF(C220="","",SUMIFS(Analytics!$X$5:$X$154,Analytics!$C$5:$C$154,C220))</f>
        <v>0</v>
      </c>
      <c r="M220" s="23">
        <f>IF(C220="","",SUMIFS(Analytics!$R$5:$R$154,Analytics!$C$5:$C$154,C220))</f>
        <v>0</v>
      </c>
      <c r="N220" s="23">
        <f>IF(C220="","",SUMIFS(Analytics!$S$5:$S$154,Analytics!$C$5:$C$154,C220))</f>
        <v>0</v>
      </c>
      <c r="O220" s="23">
        <f>IF(C220="","",SUMIFS(Analytics!$T$5:$T$154,Analytics!$C$5:$C$154,C220))</f>
        <v>0</v>
      </c>
      <c r="P220" s="25">
        <f>IF(C220="","",SUMIFS(Analytics!$U$5:$U$154,Analytics!$C$5:$C$154,C220))</f>
        <v>0</v>
      </c>
      <c r="Q220" s="25">
        <f>IF(C220="","",SUMIFS(Budget!$H$5:$H$64,Budget!$C$5:$C$64,C220))</f>
        <v>0</v>
      </c>
      <c r="R220" s="25">
        <f>IF(C220="","",P220-Q220)</f>
        <v>0</v>
      </c>
      <c r="S220" s="23">
        <f>IF(C220="","",MonthlyPostTarget)</f>
        <v>0</v>
      </c>
      <c r="T220" s="17">
        <f>IF(Lists!$C220="","",Lists!$C220)</f>
        <v>0</v>
      </c>
      <c r="U220" s="23">
        <f>IF(T220="","",COUNTIFS('Content Calendar'!$G$5:$G$604,T220,'Content Calendar'!$B$5:$B$604,"&gt;="&amp;DashStart,'Content Calendar'!$B$5:$B$604,"&lt;="&amp;DashEnd))</f>
        <v>0</v>
      </c>
      <c r="V220" s="23">
        <f>IF(T220="","",COUNTIFS('Content Calendar'!$G$5:$G$604,T220,'Content Calendar'!$X$5:$X$604,"Published",'Content Calendar'!$B$5:$B$604,"&gt;="&amp;DashStart,'Content Calendar'!$B$5:$B$604,"&lt;="&amp;DashEnd))</f>
        <v>0</v>
      </c>
      <c r="W220" s="23">
        <f>IF(T220="","",SUMIFS(Analytics!$J$5:$J$154,Analytics!$D$5:$D$154,T220,Analytics!$B$5:$B$154,"&gt;="&amp;DashStart,Analytics!$B$5:$B$154,"&lt;="&amp;DashEnd))</f>
        <v>0</v>
      </c>
      <c r="X220" s="23">
        <f>IF(T220="","",SUMIFS(Analytics!$L$5:$L$154,Analytics!$D$5:$D$154,T220,Analytics!$B$5:$B$154,"&gt;="&amp;DashStart,Analytics!$B$5:$B$154,"&lt;="&amp;DashEnd))</f>
        <v>0</v>
      </c>
      <c r="Y220" s="24">
        <f>IF(OR(W220="",W220=0),"",X220/W220)</f>
        <v>0</v>
      </c>
      <c r="Z220" s="23">
        <f>IF(T220="","",SUMIFS(Analytics!$G$5:$G$154,Analytics!$D$5:$D$154,T220,Analytics!$B$5:$B$154,"&gt;="&amp;DashStart,Analytics!$B$5:$B$154,"&lt;="&amp;DashEnd))</f>
        <v>0</v>
      </c>
      <c r="AA220" s="23">
        <f>IF(T220="","",SUMIFS(Analytics!$X$5:$X$154,Analytics!$D$5:$D$154,T220,Analytics!$B$5:$B$154,"&gt;="&amp;DashStart,Analytics!$B$5:$B$154,"&lt;="&amp;DashEnd))</f>
        <v>0</v>
      </c>
      <c r="AB220" s="23">
        <f>IF(T220="","",SUMIFS(Analytics!$R$5:$R$154,Analytics!$D$5:$D$154,T220,Analytics!$B$5:$B$154,"&gt;="&amp;DashStart,Analytics!$B$5:$B$154,"&lt;="&amp;DashEnd))</f>
        <v>0</v>
      </c>
      <c r="AC220" s="25">
        <f>IF(T220="","",SUMIFS(Analytics!$U$5:$U$154,Analytics!$D$5:$D$154,T220,Analytics!$B$5:$B$154,"&gt;="&amp;DashStart,Analytics!$B$5:$B$154,"&lt;="&amp;DashEnd))</f>
        <v>0</v>
      </c>
      <c r="AD220" s="23">
        <f>IF(T220="","",COUNTIFS('Content Calendar'!$G$5:$G$604,T220,'Content Calendar'!$B$5:$B$604,"&gt;="&amp;DATE(PlanYear,1,1),'Content Calendar'!$B$5:$B$604,"&lt;="&amp;DATE(PlanYear,12,31)))</f>
        <v>0</v>
      </c>
      <c r="AE220" s="23">
        <f>IF(T220="","",SUMIFS(Analytics!$J$5:$J$154,Analytics!$D$5:$D$154,T220))</f>
        <v>0</v>
      </c>
      <c r="AF220" s="23">
        <f>IF(T220="","",SUMIFS(Analytics!$L$5:$L$154,Analytics!$D$5:$D$154,T220))</f>
        <v>0</v>
      </c>
      <c r="AG220" s="24">
        <f>IF(OR(AE220="",AE220=0),"",AF220/AE220)</f>
        <v>0</v>
      </c>
      <c r="AH220" s="23">
        <f>IF(T220="","",SUMIFS(Analytics!$X$5:$X$154,Analytics!$D$5:$D$154,T220))</f>
        <v>0</v>
      </c>
      <c r="AI220" s="32">
        <f>IF(T220="","",IF(AE220=0,"",AE220+ROW()/1000000))</f>
        <v>0</v>
      </c>
      <c r="AJ220" s="17">
        <f>IF('Content Pillars'!$B$220="","",'Content Pillars'!$B$220)</f>
        <v>0</v>
      </c>
      <c r="AK220" s="23">
        <f>IF(AJ220="","",COUNTIFS('Content Calendar'!$J$5:$J$604,AJ220,'Content Calendar'!$B$5:$B$604,"&gt;="&amp;DATE(PlanYear,1,1),'Content Calendar'!$B$5:$B$604,"&lt;="&amp;DATE(PlanYear,12,31)))</f>
        <v>0</v>
      </c>
      <c r="AL220" s="23">
        <f>IF(AJ220="","",SUMIFS(Performance!$O$5:$O$404,Performance!$H$5:$H$404,AJ220))</f>
        <v>0</v>
      </c>
      <c r="AM220" s="23">
        <f>IF(AJ220="","",SUMIFS(Performance!$Z$5:$Z$404,Performance!$H$5:$H$404,AJ220))</f>
        <v>0</v>
      </c>
      <c r="AN220" s="24">
        <f>IF(OR(AL220="",AL220=0),"",AM220/AL220)</f>
        <v>0</v>
      </c>
      <c r="AO220" s="32">
        <f>IF(AN220="","",AN220+ROW()/1000000)</f>
        <v>0</v>
      </c>
      <c r="AP220" s="17">
        <f>IF(Lists!$E220="","",Lists!$E220)</f>
        <v>0</v>
      </c>
      <c r="AQ220" s="23">
        <f>IF(AP220="","",COUNTIF(Performance!$G$5:$G$404,AP220))</f>
        <v>0</v>
      </c>
      <c r="AR220" s="23">
        <f>IF(AP220="","",SUMIFS(Performance!$O$5:$O$404,Performance!$G$5:$G$404,AP220))</f>
        <v>0</v>
      </c>
      <c r="AS220" s="23">
        <f>IF(AP220="","",SUMIFS(Performance!$Z$5:$Z$404,Performance!$G$5:$G$404,AP220))</f>
        <v>0</v>
      </c>
      <c r="AT220" s="24">
        <f>IF(OR(AR220="",AR220=0),"",AS220/AR220)</f>
        <v>0</v>
      </c>
      <c r="AU220" s="32">
        <f>IF(AQ220=0,"",IF(AT220="","",AT220+ROW()/1000000))</f>
        <v>0</v>
      </c>
      <c r="AV220" s="17">
        <f>IF(ROW()-4&gt;7,"",TEXT(DATE(2024,1,ROW()-4),"ddd"))</f>
        <v>0</v>
      </c>
      <c r="AW220" s="23">
        <f>IF(AV220="","",COUNTIF(Performance!$N$5:$N$404,AV220))</f>
        <v>0</v>
      </c>
      <c r="AX220" s="23">
        <f>IF(AV220="","",SUMIFS(Performance!$O$5:$O$404,Performance!$N$5:$N$404,AV220))</f>
        <v>0</v>
      </c>
      <c r="AY220" s="23">
        <f>IF(AV220="","",SUMIFS(Performance!$Z$5:$Z$404,Performance!$N$5:$N$404,AV220))</f>
        <v>0</v>
      </c>
      <c r="AZ220" s="24">
        <f>IF(OR(AX220="",AX220=0),"",AY220/AX220)</f>
        <v>0</v>
      </c>
      <c r="BA220" s="32">
        <f>IF(AW220=0,"",IF(AZ220="","",AZ220+ROW()/1000000))</f>
        <v>0</v>
      </c>
      <c r="BB220" s="17">
        <f>IF(Lists!$AL220="","",Lists!$AL220)</f>
        <v>0</v>
      </c>
      <c r="BC220" s="23">
        <f>IF(BB220="","",COUNTIF(Performance!$M$5:$M$404,BB220))</f>
        <v>0</v>
      </c>
      <c r="BD220" s="23">
        <f>IF(BB220="","",SUMIFS(Performance!$O$5:$O$404,Performance!$M$5:$M$404,BB220))</f>
        <v>0</v>
      </c>
      <c r="BE220" s="23">
        <f>IF(BB220="","",SUMIFS(Performance!$Z$5:$Z$404,Performance!$M$5:$M$404,BB220))</f>
        <v>0</v>
      </c>
      <c r="BF220" s="24">
        <f>IF(OR(BD220="",BD220=0),"",BE220/BD220)</f>
        <v>0</v>
      </c>
      <c r="BG220" s="32">
        <f>IF(BC220=0,"",IF(BF220="","",BF220+ROW()/1000000))</f>
        <v>0</v>
      </c>
      <c r="BH220" s="17">
        <f>IF(Performance!$C$220="","",Performance!$C$220)</f>
        <v>0</v>
      </c>
      <c r="BI220" s="17">
        <f>IF(Performance!$F$220="","",Performance!$F$220)</f>
        <v>0</v>
      </c>
      <c r="BJ220" s="17">
        <f>IF(Performance!$H$220="","",Performance!$H$220)</f>
        <v>0</v>
      </c>
      <c r="BK220" s="16">
        <f>IF(Performance!$D$220="","",Performance!$D$220)</f>
        <v>0</v>
      </c>
      <c r="BL220" s="17">
        <f>IF(Performance!$E$220="","",Performance!$E$220)</f>
        <v>0</v>
      </c>
      <c r="BM220" s="23">
        <f>IF(Performance!$O$220="","",Performance!$O$220)</f>
        <v>0</v>
      </c>
      <c r="BN220" s="24">
        <f>IF(Performance!$AA$220="","",Performance!$AA$220)</f>
        <v>0</v>
      </c>
      <c r="BO220" s="32">
        <f>IF(BH220="","",IF(BK220="","",IF(OR(BK220&lt;DashStart,BK220&gt;DashEnd),"",IF(BN220="","",BN220+ROW()/1000000))))</f>
        <v>0</v>
      </c>
      <c r="BP220" s="32">
        <f>IF(BM220="","",IF(BK220="","",IF(OR(BK220&lt;DashStart,BK220&gt;DashEnd),"",BM220+ROW()/1000000)))</f>
        <v>0</v>
      </c>
      <c r="BQ220" s="32">
        <f>IF(BH220="","",IF(BK220="","",IF(YEAR(BK220)&lt;&gt;PlanYear,"",IF(BN220="","",BN220+ROW()/1000000))))</f>
        <v>0</v>
      </c>
      <c r="BR220" s="32">
        <f>IF(BH220="","",IF(BK220="","",IF(OR(BK220&lt;RepFrom,BK220&gt;RepTo),"",IF(BN220="","",BN220+ROW()/1000000))))</f>
        <v>0</v>
      </c>
      <c r="BS220" s="32">
        <f>IF(BM220="","",IF(BK220="","",IF(YEAR(BK220)&lt;&gt;PlanYear,"",BM220+ROW()/1000000)))</f>
        <v>0</v>
      </c>
      <c r="BT220" s="17">
        <f>IF(Lists!$F220="","",Lists!$F220)</f>
        <v>0</v>
      </c>
      <c r="BU220" s="23">
        <f>IF(BT220="","",COUNTIF('Content Calendar'!$X$5:$X$604,BT220))</f>
        <v>0</v>
      </c>
      <c r="BV220" s="23">
        <f>IF(BT220="","",COUNTIFS('Content Calendar'!$X$5:$X$604,BT220,'Content Calendar'!$B$5:$B$604,"&gt;="&amp;DashStart,'Content Calendar'!$B$5:$B$604,"&lt;="&amp;DashEnd))</f>
        <v>0</v>
      </c>
      <c r="BW220" s="17">
        <f>IF(Team!$B$220="","",Team!$B$220)</f>
        <v>0</v>
      </c>
      <c r="BX220" s="23">
        <f>IF(BW220="","",COUNTIF('Content Calendar'!$W$5:$W$604,BW220))</f>
        <v>0</v>
      </c>
      <c r="BY220" s="23">
        <f>IF(BW220="","",COUNTIFS('Content Calendar'!$W$5:$W$604,BW220,'Content Calendar'!$X$5:$X$604,"&lt;&gt;Published"))</f>
        <v>0</v>
      </c>
      <c r="BZ220" s="23">
        <f>IF(BW220="","",COUNTIFS(Tasks!$C$5:$C$64,BW220,Tasks!$G$5:$G$64,"&lt;&gt;Complete"))</f>
        <v>0</v>
      </c>
      <c r="CA220" s="17">
        <f>IF(Campaigns!$B$220="","",Campaigns!$B$220)</f>
        <v>0</v>
      </c>
      <c r="CB220" s="25">
        <f>IF(Campaigns!$T$220="","",Campaigns!$T$220)</f>
        <v>0</v>
      </c>
      <c r="CC220" s="25">
        <f>IF(Campaigns!$Q$220="","",Campaigns!$Q$220)</f>
        <v>0</v>
      </c>
      <c r="CD220" s="23">
        <f>IF(Campaigns!$Y$220="","",Campaigns!$Y$220)</f>
        <v>0</v>
      </c>
      <c r="CE220" s="32">
        <f>IF(CA220="","",IF(N(CB220)&lt;=0,"",N(CB220)+ROW()/1000000))</f>
        <v>0</v>
      </c>
      <c r="CF220" s="17">
        <f>IF(Accounts!$C$220="","",Accounts!$C$220)</f>
        <v>0</v>
      </c>
      <c r="CG220" s="17">
        <f>IF(Accounts!$B$220="","",Accounts!$B$220)</f>
        <v>0</v>
      </c>
      <c r="CH220" s="23">
        <f>IF(Accounts!$J$220="","",Accounts!$J$220)</f>
        <v>0</v>
      </c>
      <c r="CI220" s="23">
        <f>IF(CF220="","",SUMIFS(Analytics!$X$5:$X$154,Analytics!$E$5:$E$154,CF220,Analytics!$B$5:$B$154,"&gt;="&amp;DashStart,Analytics!$B$5:$B$154,"&lt;="&amp;DashEnd))</f>
        <v>0</v>
      </c>
      <c r="CJ220" s="32">
        <f>IF(CH220="","",IF(CH220=0,"",CH220+ROW()/1000000))</f>
        <v>0</v>
      </c>
    </row>
    <row r="221" spans="1:88">
      <c r="A221" s="16">
        <f>IF(ROW()-4&gt;12,"",DATE(PlanYear,ROW()-4,1))</f>
        <v>0</v>
      </c>
      <c r="B221" s="16">
        <f>IF(A221="","",EOMONTH(A221,0))</f>
        <v>0</v>
      </c>
      <c r="C221" s="17">
        <f>IF(A221="","",TEXT(A221,"yyyy-mm"))</f>
        <v>0</v>
      </c>
      <c r="D221" s="17">
        <f>IF(A221="","",TEXT(A221,"mmm"))</f>
        <v>0</v>
      </c>
      <c r="E221" s="23">
        <f>IF(C221="","",COUNTIFS('Content Calendar'!$D$5:$D$604,C221))</f>
        <v>0</v>
      </c>
      <c r="F221" s="23">
        <f>IF(C221="","",COUNTIFS('Content Calendar'!$D$5:$D$604,C221,'Content Calendar'!$X$5:$X$604,"Published"))</f>
        <v>0</v>
      </c>
      <c r="G221" s="23">
        <f>IF(C221="","",SUMIFS(Analytics!$J$5:$J$154,Analytics!$C$5:$C$154,C221))</f>
        <v>0</v>
      </c>
      <c r="H221" s="23">
        <f>IF(C221="","",SUMIFS(Analytics!$K$5:$K$154,Analytics!$C$5:$C$154,C221))</f>
        <v>0</v>
      </c>
      <c r="I221" s="23">
        <f>IF(C221="","",SUMIFS(Analytics!$L$5:$L$154,Analytics!$C$5:$C$154,C221))</f>
        <v>0</v>
      </c>
      <c r="J221" s="24">
        <f>IF(OR(G221="",G221=0),"",I221/G221)</f>
        <v>0</v>
      </c>
      <c r="K221" s="23">
        <f>IF(C221="","",SUMIFS(Analytics!$G$5:$G$154,Analytics!$C$5:$C$154,C221))</f>
        <v>0</v>
      </c>
      <c r="L221" s="23">
        <f>IF(C221="","",SUMIFS(Analytics!$X$5:$X$154,Analytics!$C$5:$C$154,C221))</f>
        <v>0</v>
      </c>
      <c r="M221" s="23">
        <f>IF(C221="","",SUMIFS(Analytics!$R$5:$R$154,Analytics!$C$5:$C$154,C221))</f>
        <v>0</v>
      </c>
      <c r="N221" s="23">
        <f>IF(C221="","",SUMIFS(Analytics!$S$5:$S$154,Analytics!$C$5:$C$154,C221))</f>
        <v>0</v>
      </c>
      <c r="O221" s="23">
        <f>IF(C221="","",SUMIFS(Analytics!$T$5:$T$154,Analytics!$C$5:$C$154,C221))</f>
        <v>0</v>
      </c>
      <c r="P221" s="25">
        <f>IF(C221="","",SUMIFS(Analytics!$U$5:$U$154,Analytics!$C$5:$C$154,C221))</f>
        <v>0</v>
      </c>
      <c r="Q221" s="25">
        <f>IF(C221="","",SUMIFS(Budget!$H$5:$H$64,Budget!$C$5:$C$64,C221))</f>
        <v>0</v>
      </c>
      <c r="R221" s="25">
        <f>IF(C221="","",P221-Q221)</f>
        <v>0</v>
      </c>
      <c r="S221" s="23">
        <f>IF(C221="","",MonthlyPostTarget)</f>
        <v>0</v>
      </c>
      <c r="T221" s="17">
        <f>IF(Lists!$C221="","",Lists!$C221)</f>
        <v>0</v>
      </c>
      <c r="U221" s="23">
        <f>IF(T221="","",COUNTIFS('Content Calendar'!$G$5:$G$604,T221,'Content Calendar'!$B$5:$B$604,"&gt;="&amp;DashStart,'Content Calendar'!$B$5:$B$604,"&lt;="&amp;DashEnd))</f>
        <v>0</v>
      </c>
      <c r="V221" s="23">
        <f>IF(T221="","",COUNTIFS('Content Calendar'!$G$5:$G$604,T221,'Content Calendar'!$X$5:$X$604,"Published",'Content Calendar'!$B$5:$B$604,"&gt;="&amp;DashStart,'Content Calendar'!$B$5:$B$604,"&lt;="&amp;DashEnd))</f>
        <v>0</v>
      </c>
      <c r="W221" s="23">
        <f>IF(T221="","",SUMIFS(Analytics!$J$5:$J$154,Analytics!$D$5:$D$154,T221,Analytics!$B$5:$B$154,"&gt;="&amp;DashStart,Analytics!$B$5:$B$154,"&lt;="&amp;DashEnd))</f>
        <v>0</v>
      </c>
      <c r="X221" s="23">
        <f>IF(T221="","",SUMIFS(Analytics!$L$5:$L$154,Analytics!$D$5:$D$154,T221,Analytics!$B$5:$B$154,"&gt;="&amp;DashStart,Analytics!$B$5:$B$154,"&lt;="&amp;DashEnd))</f>
        <v>0</v>
      </c>
      <c r="Y221" s="24">
        <f>IF(OR(W221="",W221=0),"",X221/W221)</f>
        <v>0</v>
      </c>
      <c r="Z221" s="23">
        <f>IF(T221="","",SUMIFS(Analytics!$G$5:$G$154,Analytics!$D$5:$D$154,T221,Analytics!$B$5:$B$154,"&gt;="&amp;DashStart,Analytics!$B$5:$B$154,"&lt;="&amp;DashEnd))</f>
        <v>0</v>
      </c>
      <c r="AA221" s="23">
        <f>IF(T221="","",SUMIFS(Analytics!$X$5:$X$154,Analytics!$D$5:$D$154,T221,Analytics!$B$5:$B$154,"&gt;="&amp;DashStart,Analytics!$B$5:$B$154,"&lt;="&amp;DashEnd))</f>
        <v>0</v>
      </c>
      <c r="AB221" s="23">
        <f>IF(T221="","",SUMIFS(Analytics!$R$5:$R$154,Analytics!$D$5:$D$154,T221,Analytics!$B$5:$B$154,"&gt;="&amp;DashStart,Analytics!$B$5:$B$154,"&lt;="&amp;DashEnd))</f>
        <v>0</v>
      </c>
      <c r="AC221" s="25">
        <f>IF(T221="","",SUMIFS(Analytics!$U$5:$U$154,Analytics!$D$5:$D$154,T221,Analytics!$B$5:$B$154,"&gt;="&amp;DashStart,Analytics!$B$5:$B$154,"&lt;="&amp;DashEnd))</f>
        <v>0</v>
      </c>
      <c r="AD221" s="23">
        <f>IF(T221="","",COUNTIFS('Content Calendar'!$G$5:$G$604,T221,'Content Calendar'!$B$5:$B$604,"&gt;="&amp;DATE(PlanYear,1,1),'Content Calendar'!$B$5:$B$604,"&lt;="&amp;DATE(PlanYear,12,31)))</f>
        <v>0</v>
      </c>
      <c r="AE221" s="23">
        <f>IF(T221="","",SUMIFS(Analytics!$J$5:$J$154,Analytics!$D$5:$D$154,T221))</f>
        <v>0</v>
      </c>
      <c r="AF221" s="23">
        <f>IF(T221="","",SUMIFS(Analytics!$L$5:$L$154,Analytics!$D$5:$D$154,T221))</f>
        <v>0</v>
      </c>
      <c r="AG221" s="24">
        <f>IF(OR(AE221="",AE221=0),"",AF221/AE221)</f>
        <v>0</v>
      </c>
      <c r="AH221" s="23">
        <f>IF(T221="","",SUMIFS(Analytics!$X$5:$X$154,Analytics!$D$5:$D$154,T221))</f>
        <v>0</v>
      </c>
      <c r="AI221" s="32">
        <f>IF(T221="","",IF(AE221=0,"",AE221+ROW()/1000000))</f>
        <v>0</v>
      </c>
      <c r="AJ221" s="17">
        <f>IF('Content Pillars'!$B$221="","",'Content Pillars'!$B$221)</f>
        <v>0</v>
      </c>
      <c r="AK221" s="23">
        <f>IF(AJ221="","",COUNTIFS('Content Calendar'!$J$5:$J$604,AJ221,'Content Calendar'!$B$5:$B$604,"&gt;="&amp;DATE(PlanYear,1,1),'Content Calendar'!$B$5:$B$604,"&lt;="&amp;DATE(PlanYear,12,31)))</f>
        <v>0</v>
      </c>
      <c r="AL221" s="23">
        <f>IF(AJ221="","",SUMIFS(Performance!$O$5:$O$404,Performance!$H$5:$H$404,AJ221))</f>
        <v>0</v>
      </c>
      <c r="AM221" s="23">
        <f>IF(AJ221="","",SUMIFS(Performance!$Z$5:$Z$404,Performance!$H$5:$H$404,AJ221))</f>
        <v>0</v>
      </c>
      <c r="AN221" s="24">
        <f>IF(OR(AL221="",AL221=0),"",AM221/AL221)</f>
        <v>0</v>
      </c>
      <c r="AO221" s="32">
        <f>IF(AN221="","",AN221+ROW()/1000000)</f>
        <v>0</v>
      </c>
      <c r="AP221" s="17">
        <f>IF(Lists!$E221="","",Lists!$E221)</f>
        <v>0</v>
      </c>
      <c r="AQ221" s="23">
        <f>IF(AP221="","",COUNTIF(Performance!$G$5:$G$404,AP221))</f>
        <v>0</v>
      </c>
      <c r="AR221" s="23">
        <f>IF(AP221="","",SUMIFS(Performance!$O$5:$O$404,Performance!$G$5:$G$404,AP221))</f>
        <v>0</v>
      </c>
      <c r="AS221" s="23">
        <f>IF(AP221="","",SUMIFS(Performance!$Z$5:$Z$404,Performance!$G$5:$G$404,AP221))</f>
        <v>0</v>
      </c>
      <c r="AT221" s="24">
        <f>IF(OR(AR221="",AR221=0),"",AS221/AR221)</f>
        <v>0</v>
      </c>
      <c r="AU221" s="32">
        <f>IF(AQ221=0,"",IF(AT221="","",AT221+ROW()/1000000))</f>
        <v>0</v>
      </c>
      <c r="AV221" s="17">
        <f>IF(ROW()-4&gt;7,"",TEXT(DATE(2024,1,ROW()-4),"ddd"))</f>
        <v>0</v>
      </c>
      <c r="AW221" s="23">
        <f>IF(AV221="","",COUNTIF(Performance!$N$5:$N$404,AV221))</f>
        <v>0</v>
      </c>
      <c r="AX221" s="23">
        <f>IF(AV221="","",SUMIFS(Performance!$O$5:$O$404,Performance!$N$5:$N$404,AV221))</f>
        <v>0</v>
      </c>
      <c r="AY221" s="23">
        <f>IF(AV221="","",SUMIFS(Performance!$Z$5:$Z$404,Performance!$N$5:$N$404,AV221))</f>
        <v>0</v>
      </c>
      <c r="AZ221" s="24">
        <f>IF(OR(AX221="",AX221=0),"",AY221/AX221)</f>
        <v>0</v>
      </c>
      <c r="BA221" s="32">
        <f>IF(AW221=0,"",IF(AZ221="","",AZ221+ROW()/1000000))</f>
        <v>0</v>
      </c>
      <c r="BB221" s="17">
        <f>IF(Lists!$AL221="","",Lists!$AL221)</f>
        <v>0</v>
      </c>
      <c r="BC221" s="23">
        <f>IF(BB221="","",COUNTIF(Performance!$M$5:$M$404,BB221))</f>
        <v>0</v>
      </c>
      <c r="BD221" s="23">
        <f>IF(BB221="","",SUMIFS(Performance!$O$5:$O$404,Performance!$M$5:$M$404,BB221))</f>
        <v>0</v>
      </c>
      <c r="BE221" s="23">
        <f>IF(BB221="","",SUMIFS(Performance!$Z$5:$Z$404,Performance!$M$5:$M$404,BB221))</f>
        <v>0</v>
      </c>
      <c r="BF221" s="24">
        <f>IF(OR(BD221="",BD221=0),"",BE221/BD221)</f>
        <v>0</v>
      </c>
      <c r="BG221" s="32">
        <f>IF(BC221=0,"",IF(BF221="","",BF221+ROW()/1000000))</f>
        <v>0</v>
      </c>
      <c r="BH221" s="17">
        <f>IF(Performance!$C$221="","",Performance!$C$221)</f>
        <v>0</v>
      </c>
      <c r="BI221" s="17">
        <f>IF(Performance!$F$221="","",Performance!$F$221)</f>
        <v>0</v>
      </c>
      <c r="BJ221" s="17">
        <f>IF(Performance!$H$221="","",Performance!$H$221)</f>
        <v>0</v>
      </c>
      <c r="BK221" s="16">
        <f>IF(Performance!$D$221="","",Performance!$D$221)</f>
        <v>0</v>
      </c>
      <c r="BL221" s="17">
        <f>IF(Performance!$E$221="","",Performance!$E$221)</f>
        <v>0</v>
      </c>
      <c r="BM221" s="23">
        <f>IF(Performance!$O$221="","",Performance!$O$221)</f>
        <v>0</v>
      </c>
      <c r="BN221" s="24">
        <f>IF(Performance!$AA$221="","",Performance!$AA$221)</f>
        <v>0</v>
      </c>
      <c r="BO221" s="32">
        <f>IF(BH221="","",IF(BK221="","",IF(OR(BK221&lt;DashStart,BK221&gt;DashEnd),"",IF(BN221="","",BN221+ROW()/1000000))))</f>
        <v>0</v>
      </c>
      <c r="BP221" s="32">
        <f>IF(BM221="","",IF(BK221="","",IF(OR(BK221&lt;DashStart,BK221&gt;DashEnd),"",BM221+ROW()/1000000)))</f>
        <v>0</v>
      </c>
      <c r="BQ221" s="32">
        <f>IF(BH221="","",IF(BK221="","",IF(YEAR(BK221)&lt;&gt;PlanYear,"",IF(BN221="","",BN221+ROW()/1000000))))</f>
        <v>0</v>
      </c>
      <c r="BR221" s="32">
        <f>IF(BH221="","",IF(BK221="","",IF(OR(BK221&lt;RepFrom,BK221&gt;RepTo),"",IF(BN221="","",BN221+ROW()/1000000))))</f>
        <v>0</v>
      </c>
      <c r="BS221" s="32">
        <f>IF(BM221="","",IF(BK221="","",IF(YEAR(BK221)&lt;&gt;PlanYear,"",BM221+ROW()/1000000)))</f>
        <v>0</v>
      </c>
      <c r="BT221" s="17">
        <f>IF(Lists!$F221="","",Lists!$F221)</f>
        <v>0</v>
      </c>
      <c r="BU221" s="23">
        <f>IF(BT221="","",COUNTIF('Content Calendar'!$X$5:$X$604,BT221))</f>
        <v>0</v>
      </c>
      <c r="BV221" s="23">
        <f>IF(BT221="","",COUNTIFS('Content Calendar'!$X$5:$X$604,BT221,'Content Calendar'!$B$5:$B$604,"&gt;="&amp;DashStart,'Content Calendar'!$B$5:$B$604,"&lt;="&amp;DashEnd))</f>
        <v>0</v>
      </c>
      <c r="BW221" s="17">
        <f>IF(Team!$B$221="","",Team!$B$221)</f>
        <v>0</v>
      </c>
      <c r="BX221" s="23">
        <f>IF(BW221="","",COUNTIF('Content Calendar'!$W$5:$W$604,BW221))</f>
        <v>0</v>
      </c>
      <c r="BY221" s="23">
        <f>IF(BW221="","",COUNTIFS('Content Calendar'!$W$5:$W$604,BW221,'Content Calendar'!$X$5:$X$604,"&lt;&gt;Published"))</f>
        <v>0</v>
      </c>
      <c r="BZ221" s="23">
        <f>IF(BW221="","",COUNTIFS(Tasks!$C$5:$C$64,BW221,Tasks!$G$5:$G$64,"&lt;&gt;Complete"))</f>
        <v>0</v>
      </c>
      <c r="CA221" s="17">
        <f>IF(Campaigns!$B$221="","",Campaigns!$B$221)</f>
        <v>0</v>
      </c>
      <c r="CB221" s="25">
        <f>IF(Campaigns!$T$221="","",Campaigns!$T$221)</f>
        <v>0</v>
      </c>
      <c r="CC221" s="25">
        <f>IF(Campaigns!$Q$221="","",Campaigns!$Q$221)</f>
        <v>0</v>
      </c>
      <c r="CD221" s="23">
        <f>IF(Campaigns!$Y$221="","",Campaigns!$Y$221)</f>
        <v>0</v>
      </c>
      <c r="CE221" s="32">
        <f>IF(CA221="","",IF(N(CB221)&lt;=0,"",N(CB221)+ROW()/1000000))</f>
        <v>0</v>
      </c>
      <c r="CF221" s="17">
        <f>IF(Accounts!$C$221="","",Accounts!$C$221)</f>
        <v>0</v>
      </c>
      <c r="CG221" s="17">
        <f>IF(Accounts!$B$221="","",Accounts!$B$221)</f>
        <v>0</v>
      </c>
      <c r="CH221" s="23">
        <f>IF(Accounts!$J$221="","",Accounts!$J$221)</f>
        <v>0</v>
      </c>
      <c r="CI221" s="23">
        <f>IF(CF221="","",SUMIFS(Analytics!$X$5:$X$154,Analytics!$E$5:$E$154,CF221,Analytics!$B$5:$B$154,"&gt;="&amp;DashStart,Analytics!$B$5:$B$154,"&lt;="&amp;DashEnd))</f>
        <v>0</v>
      </c>
      <c r="CJ221" s="32">
        <f>IF(CH221="","",IF(CH221=0,"",CH221+ROW()/1000000))</f>
        <v>0</v>
      </c>
    </row>
    <row r="222" spans="1:88">
      <c r="A222" s="16">
        <f>IF(ROW()-4&gt;12,"",DATE(PlanYear,ROW()-4,1))</f>
        <v>0</v>
      </c>
      <c r="B222" s="16">
        <f>IF(A222="","",EOMONTH(A222,0))</f>
        <v>0</v>
      </c>
      <c r="C222" s="17">
        <f>IF(A222="","",TEXT(A222,"yyyy-mm"))</f>
        <v>0</v>
      </c>
      <c r="D222" s="17">
        <f>IF(A222="","",TEXT(A222,"mmm"))</f>
        <v>0</v>
      </c>
      <c r="E222" s="23">
        <f>IF(C222="","",COUNTIFS('Content Calendar'!$D$5:$D$604,C222))</f>
        <v>0</v>
      </c>
      <c r="F222" s="23">
        <f>IF(C222="","",COUNTIFS('Content Calendar'!$D$5:$D$604,C222,'Content Calendar'!$X$5:$X$604,"Published"))</f>
        <v>0</v>
      </c>
      <c r="G222" s="23">
        <f>IF(C222="","",SUMIFS(Analytics!$J$5:$J$154,Analytics!$C$5:$C$154,C222))</f>
        <v>0</v>
      </c>
      <c r="H222" s="23">
        <f>IF(C222="","",SUMIFS(Analytics!$K$5:$K$154,Analytics!$C$5:$C$154,C222))</f>
        <v>0</v>
      </c>
      <c r="I222" s="23">
        <f>IF(C222="","",SUMIFS(Analytics!$L$5:$L$154,Analytics!$C$5:$C$154,C222))</f>
        <v>0</v>
      </c>
      <c r="J222" s="24">
        <f>IF(OR(G222="",G222=0),"",I222/G222)</f>
        <v>0</v>
      </c>
      <c r="K222" s="23">
        <f>IF(C222="","",SUMIFS(Analytics!$G$5:$G$154,Analytics!$C$5:$C$154,C222))</f>
        <v>0</v>
      </c>
      <c r="L222" s="23">
        <f>IF(C222="","",SUMIFS(Analytics!$X$5:$X$154,Analytics!$C$5:$C$154,C222))</f>
        <v>0</v>
      </c>
      <c r="M222" s="23">
        <f>IF(C222="","",SUMIFS(Analytics!$R$5:$R$154,Analytics!$C$5:$C$154,C222))</f>
        <v>0</v>
      </c>
      <c r="N222" s="23">
        <f>IF(C222="","",SUMIFS(Analytics!$S$5:$S$154,Analytics!$C$5:$C$154,C222))</f>
        <v>0</v>
      </c>
      <c r="O222" s="23">
        <f>IF(C222="","",SUMIFS(Analytics!$T$5:$T$154,Analytics!$C$5:$C$154,C222))</f>
        <v>0</v>
      </c>
      <c r="P222" s="25">
        <f>IF(C222="","",SUMIFS(Analytics!$U$5:$U$154,Analytics!$C$5:$C$154,C222))</f>
        <v>0</v>
      </c>
      <c r="Q222" s="25">
        <f>IF(C222="","",SUMIFS(Budget!$H$5:$H$64,Budget!$C$5:$C$64,C222))</f>
        <v>0</v>
      </c>
      <c r="R222" s="25">
        <f>IF(C222="","",P222-Q222)</f>
        <v>0</v>
      </c>
      <c r="S222" s="23">
        <f>IF(C222="","",MonthlyPostTarget)</f>
        <v>0</v>
      </c>
      <c r="T222" s="17">
        <f>IF(Lists!$C222="","",Lists!$C222)</f>
        <v>0</v>
      </c>
      <c r="U222" s="23">
        <f>IF(T222="","",COUNTIFS('Content Calendar'!$G$5:$G$604,T222,'Content Calendar'!$B$5:$B$604,"&gt;="&amp;DashStart,'Content Calendar'!$B$5:$B$604,"&lt;="&amp;DashEnd))</f>
        <v>0</v>
      </c>
      <c r="V222" s="23">
        <f>IF(T222="","",COUNTIFS('Content Calendar'!$G$5:$G$604,T222,'Content Calendar'!$X$5:$X$604,"Published",'Content Calendar'!$B$5:$B$604,"&gt;="&amp;DashStart,'Content Calendar'!$B$5:$B$604,"&lt;="&amp;DashEnd))</f>
        <v>0</v>
      </c>
      <c r="W222" s="23">
        <f>IF(T222="","",SUMIFS(Analytics!$J$5:$J$154,Analytics!$D$5:$D$154,T222,Analytics!$B$5:$B$154,"&gt;="&amp;DashStart,Analytics!$B$5:$B$154,"&lt;="&amp;DashEnd))</f>
        <v>0</v>
      </c>
      <c r="X222" s="23">
        <f>IF(T222="","",SUMIFS(Analytics!$L$5:$L$154,Analytics!$D$5:$D$154,T222,Analytics!$B$5:$B$154,"&gt;="&amp;DashStart,Analytics!$B$5:$B$154,"&lt;="&amp;DashEnd))</f>
        <v>0</v>
      </c>
      <c r="Y222" s="24">
        <f>IF(OR(W222="",W222=0),"",X222/W222)</f>
        <v>0</v>
      </c>
      <c r="Z222" s="23">
        <f>IF(T222="","",SUMIFS(Analytics!$G$5:$G$154,Analytics!$D$5:$D$154,T222,Analytics!$B$5:$B$154,"&gt;="&amp;DashStart,Analytics!$B$5:$B$154,"&lt;="&amp;DashEnd))</f>
        <v>0</v>
      </c>
      <c r="AA222" s="23">
        <f>IF(T222="","",SUMIFS(Analytics!$X$5:$X$154,Analytics!$D$5:$D$154,T222,Analytics!$B$5:$B$154,"&gt;="&amp;DashStart,Analytics!$B$5:$B$154,"&lt;="&amp;DashEnd))</f>
        <v>0</v>
      </c>
      <c r="AB222" s="23">
        <f>IF(T222="","",SUMIFS(Analytics!$R$5:$R$154,Analytics!$D$5:$D$154,T222,Analytics!$B$5:$B$154,"&gt;="&amp;DashStart,Analytics!$B$5:$B$154,"&lt;="&amp;DashEnd))</f>
        <v>0</v>
      </c>
      <c r="AC222" s="25">
        <f>IF(T222="","",SUMIFS(Analytics!$U$5:$U$154,Analytics!$D$5:$D$154,T222,Analytics!$B$5:$B$154,"&gt;="&amp;DashStart,Analytics!$B$5:$B$154,"&lt;="&amp;DashEnd))</f>
        <v>0</v>
      </c>
      <c r="AD222" s="23">
        <f>IF(T222="","",COUNTIFS('Content Calendar'!$G$5:$G$604,T222,'Content Calendar'!$B$5:$B$604,"&gt;="&amp;DATE(PlanYear,1,1),'Content Calendar'!$B$5:$B$604,"&lt;="&amp;DATE(PlanYear,12,31)))</f>
        <v>0</v>
      </c>
      <c r="AE222" s="23">
        <f>IF(T222="","",SUMIFS(Analytics!$J$5:$J$154,Analytics!$D$5:$D$154,T222))</f>
        <v>0</v>
      </c>
      <c r="AF222" s="23">
        <f>IF(T222="","",SUMIFS(Analytics!$L$5:$L$154,Analytics!$D$5:$D$154,T222))</f>
        <v>0</v>
      </c>
      <c r="AG222" s="24">
        <f>IF(OR(AE222="",AE222=0),"",AF222/AE222)</f>
        <v>0</v>
      </c>
      <c r="AH222" s="23">
        <f>IF(T222="","",SUMIFS(Analytics!$X$5:$X$154,Analytics!$D$5:$D$154,T222))</f>
        <v>0</v>
      </c>
      <c r="AI222" s="32">
        <f>IF(T222="","",IF(AE222=0,"",AE222+ROW()/1000000))</f>
        <v>0</v>
      </c>
      <c r="AJ222" s="17">
        <f>IF('Content Pillars'!$B$222="","",'Content Pillars'!$B$222)</f>
        <v>0</v>
      </c>
      <c r="AK222" s="23">
        <f>IF(AJ222="","",COUNTIFS('Content Calendar'!$J$5:$J$604,AJ222,'Content Calendar'!$B$5:$B$604,"&gt;="&amp;DATE(PlanYear,1,1),'Content Calendar'!$B$5:$B$604,"&lt;="&amp;DATE(PlanYear,12,31)))</f>
        <v>0</v>
      </c>
      <c r="AL222" s="23">
        <f>IF(AJ222="","",SUMIFS(Performance!$O$5:$O$404,Performance!$H$5:$H$404,AJ222))</f>
        <v>0</v>
      </c>
      <c r="AM222" s="23">
        <f>IF(AJ222="","",SUMIFS(Performance!$Z$5:$Z$404,Performance!$H$5:$H$404,AJ222))</f>
        <v>0</v>
      </c>
      <c r="AN222" s="24">
        <f>IF(OR(AL222="",AL222=0),"",AM222/AL222)</f>
        <v>0</v>
      </c>
      <c r="AO222" s="32">
        <f>IF(AN222="","",AN222+ROW()/1000000)</f>
        <v>0</v>
      </c>
      <c r="AP222" s="17">
        <f>IF(Lists!$E222="","",Lists!$E222)</f>
        <v>0</v>
      </c>
      <c r="AQ222" s="23">
        <f>IF(AP222="","",COUNTIF(Performance!$G$5:$G$404,AP222))</f>
        <v>0</v>
      </c>
      <c r="AR222" s="23">
        <f>IF(AP222="","",SUMIFS(Performance!$O$5:$O$404,Performance!$G$5:$G$404,AP222))</f>
        <v>0</v>
      </c>
      <c r="AS222" s="23">
        <f>IF(AP222="","",SUMIFS(Performance!$Z$5:$Z$404,Performance!$G$5:$G$404,AP222))</f>
        <v>0</v>
      </c>
      <c r="AT222" s="24">
        <f>IF(OR(AR222="",AR222=0),"",AS222/AR222)</f>
        <v>0</v>
      </c>
      <c r="AU222" s="32">
        <f>IF(AQ222=0,"",IF(AT222="","",AT222+ROW()/1000000))</f>
        <v>0</v>
      </c>
      <c r="AV222" s="17">
        <f>IF(ROW()-4&gt;7,"",TEXT(DATE(2024,1,ROW()-4),"ddd"))</f>
        <v>0</v>
      </c>
      <c r="AW222" s="23">
        <f>IF(AV222="","",COUNTIF(Performance!$N$5:$N$404,AV222))</f>
        <v>0</v>
      </c>
      <c r="AX222" s="23">
        <f>IF(AV222="","",SUMIFS(Performance!$O$5:$O$404,Performance!$N$5:$N$404,AV222))</f>
        <v>0</v>
      </c>
      <c r="AY222" s="23">
        <f>IF(AV222="","",SUMIFS(Performance!$Z$5:$Z$404,Performance!$N$5:$N$404,AV222))</f>
        <v>0</v>
      </c>
      <c r="AZ222" s="24">
        <f>IF(OR(AX222="",AX222=0),"",AY222/AX222)</f>
        <v>0</v>
      </c>
      <c r="BA222" s="32">
        <f>IF(AW222=0,"",IF(AZ222="","",AZ222+ROW()/1000000))</f>
        <v>0</v>
      </c>
      <c r="BB222" s="17">
        <f>IF(Lists!$AL222="","",Lists!$AL222)</f>
        <v>0</v>
      </c>
      <c r="BC222" s="23">
        <f>IF(BB222="","",COUNTIF(Performance!$M$5:$M$404,BB222))</f>
        <v>0</v>
      </c>
      <c r="BD222" s="23">
        <f>IF(BB222="","",SUMIFS(Performance!$O$5:$O$404,Performance!$M$5:$M$404,BB222))</f>
        <v>0</v>
      </c>
      <c r="BE222" s="23">
        <f>IF(BB222="","",SUMIFS(Performance!$Z$5:$Z$404,Performance!$M$5:$M$404,BB222))</f>
        <v>0</v>
      </c>
      <c r="BF222" s="24">
        <f>IF(OR(BD222="",BD222=0),"",BE222/BD222)</f>
        <v>0</v>
      </c>
      <c r="BG222" s="32">
        <f>IF(BC222=0,"",IF(BF222="","",BF222+ROW()/1000000))</f>
        <v>0</v>
      </c>
      <c r="BH222" s="17">
        <f>IF(Performance!$C$222="","",Performance!$C$222)</f>
        <v>0</v>
      </c>
      <c r="BI222" s="17">
        <f>IF(Performance!$F$222="","",Performance!$F$222)</f>
        <v>0</v>
      </c>
      <c r="BJ222" s="17">
        <f>IF(Performance!$H$222="","",Performance!$H$222)</f>
        <v>0</v>
      </c>
      <c r="BK222" s="16">
        <f>IF(Performance!$D$222="","",Performance!$D$222)</f>
        <v>0</v>
      </c>
      <c r="BL222" s="17">
        <f>IF(Performance!$E$222="","",Performance!$E$222)</f>
        <v>0</v>
      </c>
      <c r="BM222" s="23">
        <f>IF(Performance!$O$222="","",Performance!$O$222)</f>
        <v>0</v>
      </c>
      <c r="BN222" s="24">
        <f>IF(Performance!$AA$222="","",Performance!$AA$222)</f>
        <v>0</v>
      </c>
      <c r="BO222" s="32">
        <f>IF(BH222="","",IF(BK222="","",IF(OR(BK222&lt;DashStart,BK222&gt;DashEnd),"",IF(BN222="","",BN222+ROW()/1000000))))</f>
        <v>0</v>
      </c>
      <c r="BP222" s="32">
        <f>IF(BM222="","",IF(BK222="","",IF(OR(BK222&lt;DashStart,BK222&gt;DashEnd),"",BM222+ROW()/1000000)))</f>
        <v>0</v>
      </c>
      <c r="BQ222" s="32">
        <f>IF(BH222="","",IF(BK222="","",IF(YEAR(BK222)&lt;&gt;PlanYear,"",IF(BN222="","",BN222+ROW()/1000000))))</f>
        <v>0</v>
      </c>
      <c r="BR222" s="32">
        <f>IF(BH222="","",IF(BK222="","",IF(OR(BK222&lt;RepFrom,BK222&gt;RepTo),"",IF(BN222="","",BN222+ROW()/1000000))))</f>
        <v>0</v>
      </c>
      <c r="BS222" s="32">
        <f>IF(BM222="","",IF(BK222="","",IF(YEAR(BK222)&lt;&gt;PlanYear,"",BM222+ROW()/1000000)))</f>
        <v>0</v>
      </c>
      <c r="BT222" s="17">
        <f>IF(Lists!$F222="","",Lists!$F222)</f>
        <v>0</v>
      </c>
      <c r="BU222" s="23">
        <f>IF(BT222="","",COUNTIF('Content Calendar'!$X$5:$X$604,BT222))</f>
        <v>0</v>
      </c>
      <c r="BV222" s="23">
        <f>IF(BT222="","",COUNTIFS('Content Calendar'!$X$5:$X$604,BT222,'Content Calendar'!$B$5:$B$604,"&gt;="&amp;DashStart,'Content Calendar'!$B$5:$B$604,"&lt;="&amp;DashEnd))</f>
        <v>0</v>
      </c>
      <c r="BW222" s="17">
        <f>IF(Team!$B$222="","",Team!$B$222)</f>
        <v>0</v>
      </c>
      <c r="BX222" s="23">
        <f>IF(BW222="","",COUNTIF('Content Calendar'!$W$5:$W$604,BW222))</f>
        <v>0</v>
      </c>
      <c r="BY222" s="23">
        <f>IF(BW222="","",COUNTIFS('Content Calendar'!$W$5:$W$604,BW222,'Content Calendar'!$X$5:$X$604,"&lt;&gt;Published"))</f>
        <v>0</v>
      </c>
      <c r="BZ222" s="23">
        <f>IF(BW222="","",COUNTIFS(Tasks!$C$5:$C$64,BW222,Tasks!$G$5:$G$64,"&lt;&gt;Complete"))</f>
        <v>0</v>
      </c>
      <c r="CA222" s="17">
        <f>IF(Campaigns!$B$222="","",Campaigns!$B$222)</f>
        <v>0</v>
      </c>
      <c r="CB222" s="25">
        <f>IF(Campaigns!$T$222="","",Campaigns!$T$222)</f>
        <v>0</v>
      </c>
      <c r="CC222" s="25">
        <f>IF(Campaigns!$Q$222="","",Campaigns!$Q$222)</f>
        <v>0</v>
      </c>
      <c r="CD222" s="23">
        <f>IF(Campaigns!$Y$222="","",Campaigns!$Y$222)</f>
        <v>0</v>
      </c>
      <c r="CE222" s="32">
        <f>IF(CA222="","",IF(N(CB222)&lt;=0,"",N(CB222)+ROW()/1000000))</f>
        <v>0</v>
      </c>
      <c r="CF222" s="17">
        <f>IF(Accounts!$C$222="","",Accounts!$C$222)</f>
        <v>0</v>
      </c>
      <c r="CG222" s="17">
        <f>IF(Accounts!$B$222="","",Accounts!$B$222)</f>
        <v>0</v>
      </c>
      <c r="CH222" s="23">
        <f>IF(Accounts!$J$222="","",Accounts!$J$222)</f>
        <v>0</v>
      </c>
      <c r="CI222" s="23">
        <f>IF(CF222="","",SUMIFS(Analytics!$X$5:$X$154,Analytics!$E$5:$E$154,CF222,Analytics!$B$5:$B$154,"&gt;="&amp;DashStart,Analytics!$B$5:$B$154,"&lt;="&amp;DashEnd))</f>
        <v>0</v>
      </c>
      <c r="CJ222" s="32">
        <f>IF(CH222="","",IF(CH222=0,"",CH222+ROW()/1000000))</f>
        <v>0</v>
      </c>
    </row>
    <row r="223" spans="1:88">
      <c r="A223" s="16">
        <f>IF(ROW()-4&gt;12,"",DATE(PlanYear,ROW()-4,1))</f>
        <v>0</v>
      </c>
      <c r="B223" s="16">
        <f>IF(A223="","",EOMONTH(A223,0))</f>
        <v>0</v>
      </c>
      <c r="C223" s="17">
        <f>IF(A223="","",TEXT(A223,"yyyy-mm"))</f>
        <v>0</v>
      </c>
      <c r="D223" s="17">
        <f>IF(A223="","",TEXT(A223,"mmm"))</f>
        <v>0</v>
      </c>
      <c r="E223" s="23">
        <f>IF(C223="","",COUNTIFS('Content Calendar'!$D$5:$D$604,C223))</f>
        <v>0</v>
      </c>
      <c r="F223" s="23">
        <f>IF(C223="","",COUNTIFS('Content Calendar'!$D$5:$D$604,C223,'Content Calendar'!$X$5:$X$604,"Published"))</f>
        <v>0</v>
      </c>
      <c r="G223" s="23">
        <f>IF(C223="","",SUMIFS(Analytics!$J$5:$J$154,Analytics!$C$5:$C$154,C223))</f>
        <v>0</v>
      </c>
      <c r="H223" s="23">
        <f>IF(C223="","",SUMIFS(Analytics!$K$5:$K$154,Analytics!$C$5:$C$154,C223))</f>
        <v>0</v>
      </c>
      <c r="I223" s="23">
        <f>IF(C223="","",SUMIFS(Analytics!$L$5:$L$154,Analytics!$C$5:$C$154,C223))</f>
        <v>0</v>
      </c>
      <c r="J223" s="24">
        <f>IF(OR(G223="",G223=0),"",I223/G223)</f>
        <v>0</v>
      </c>
      <c r="K223" s="23">
        <f>IF(C223="","",SUMIFS(Analytics!$G$5:$G$154,Analytics!$C$5:$C$154,C223))</f>
        <v>0</v>
      </c>
      <c r="L223" s="23">
        <f>IF(C223="","",SUMIFS(Analytics!$X$5:$X$154,Analytics!$C$5:$C$154,C223))</f>
        <v>0</v>
      </c>
      <c r="M223" s="23">
        <f>IF(C223="","",SUMIFS(Analytics!$R$5:$R$154,Analytics!$C$5:$C$154,C223))</f>
        <v>0</v>
      </c>
      <c r="N223" s="23">
        <f>IF(C223="","",SUMIFS(Analytics!$S$5:$S$154,Analytics!$C$5:$C$154,C223))</f>
        <v>0</v>
      </c>
      <c r="O223" s="23">
        <f>IF(C223="","",SUMIFS(Analytics!$T$5:$T$154,Analytics!$C$5:$C$154,C223))</f>
        <v>0</v>
      </c>
      <c r="P223" s="25">
        <f>IF(C223="","",SUMIFS(Analytics!$U$5:$U$154,Analytics!$C$5:$C$154,C223))</f>
        <v>0</v>
      </c>
      <c r="Q223" s="25">
        <f>IF(C223="","",SUMIFS(Budget!$H$5:$H$64,Budget!$C$5:$C$64,C223))</f>
        <v>0</v>
      </c>
      <c r="R223" s="25">
        <f>IF(C223="","",P223-Q223)</f>
        <v>0</v>
      </c>
      <c r="S223" s="23">
        <f>IF(C223="","",MonthlyPostTarget)</f>
        <v>0</v>
      </c>
      <c r="T223" s="17">
        <f>IF(Lists!$C223="","",Lists!$C223)</f>
        <v>0</v>
      </c>
      <c r="U223" s="23">
        <f>IF(T223="","",COUNTIFS('Content Calendar'!$G$5:$G$604,T223,'Content Calendar'!$B$5:$B$604,"&gt;="&amp;DashStart,'Content Calendar'!$B$5:$B$604,"&lt;="&amp;DashEnd))</f>
        <v>0</v>
      </c>
      <c r="V223" s="23">
        <f>IF(T223="","",COUNTIFS('Content Calendar'!$G$5:$G$604,T223,'Content Calendar'!$X$5:$X$604,"Published",'Content Calendar'!$B$5:$B$604,"&gt;="&amp;DashStart,'Content Calendar'!$B$5:$B$604,"&lt;="&amp;DashEnd))</f>
        <v>0</v>
      </c>
      <c r="W223" s="23">
        <f>IF(T223="","",SUMIFS(Analytics!$J$5:$J$154,Analytics!$D$5:$D$154,T223,Analytics!$B$5:$B$154,"&gt;="&amp;DashStart,Analytics!$B$5:$B$154,"&lt;="&amp;DashEnd))</f>
        <v>0</v>
      </c>
      <c r="X223" s="23">
        <f>IF(T223="","",SUMIFS(Analytics!$L$5:$L$154,Analytics!$D$5:$D$154,T223,Analytics!$B$5:$B$154,"&gt;="&amp;DashStart,Analytics!$B$5:$B$154,"&lt;="&amp;DashEnd))</f>
        <v>0</v>
      </c>
      <c r="Y223" s="24">
        <f>IF(OR(W223="",W223=0),"",X223/W223)</f>
        <v>0</v>
      </c>
      <c r="Z223" s="23">
        <f>IF(T223="","",SUMIFS(Analytics!$G$5:$G$154,Analytics!$D$5:$D$154,T223,Analytics!$B$5:$B$154,"&gt;="&amp;DashStart,Analytics!$B$5:$B$154,"&lt;="&amp;DashEnd))</f>
        <v>0</v>
      </c>
      <c r="AA223" s="23">
        <f>IF(T223="","",SUMIFS(Analytics!$X$5:$X$154,Analytics!$D$5:$D$154,T223,Analytics!$B$5:$B$154,"&gt;="&amp;DashStart,Analytics!$B$5:$B$154,"&lt;="&amp;DashEnd))</f>
        <v>0</v>
      </c>
      <c r="AB223" s="23">
        <f>IF(T223="","",SUMIFS(Analytics!$R$5:$R$154,Analytics!$D$5:$D$154,T223,Analytics!$B$5:$B$154,"&gt;="&amp;DashStart,Analytics!$B$5:$B$154,"&lt;="&amp;DashEnd))</f>
        <v>0</v>
      </c>
      <c r="AC223" s="25">
        <f>IF(T223="","",SUMIFS(Analytics!$U$5:$U$154,Analytics!$D$5:$D$154,T223,Analytics!$B$5:$B$154,"&gt;="&amp;DashStart,Analytics!$B$5:$B$154,"&lt;="&amp;DashEnd))</f>
        <v>0</v>
      </c>
      <c r="AD223" s="23">
        <f>IF(T223="","",COUNTIFS('Content Calendar'!$G$5:$G$604,T223,'Content Calendar'!$B$5:$B$604,"&gt;="&amp;DATE(PlanYear,1,1),'Content Calendar'!$B$5:$B$604,"&lt;="&amp;DATE(PlanYear,12,31)))</f>
        <v>0</v>
      </c>
      <c r="AE223" s="23">
        <f>IF(T223="","",SUMIFS(Analytics!$J$5:$J$154,Analytics!$D$5:$D$154,T223))</f>
        <v>0</v>
      </c>
      <c r="AF223" s="23">
        <f>IF(T223="","",SUMIFS(Analytics!$L$5:$L$154,Analytics!$D$5:$D$154,T223))</f>
        <v>0</v>
      </c>
      <c r="AG223" s="24">
        <f>IF(OR(AE223="",AE223=0),"",AF223/AE223)</f>
        <v>0</v>
      </c>
      <c r="AH223" s="23">
        <f>IF(T223="","",SUMIFS(Analytics!$X$5:$X$154,Analytics!$D$5:$D$154,T223))</f>
        <v>0</v>
      </c>
      <c r="AI223" s="32">
        <f>IF(T223="","",IF(AE223=0,"",AE223+ROW()/1000000))</f>
        <v>0</v>
      </c>
      <c r="AJ223" s="17">
        <f>IF('Content Pillars'!$B$223="","",'Content Pillars'!$B$223)</f>
        <v>0</v>
      </c>
      <c r="AK223" s="23">
        <f>IF(AJ223="","",COUNTIFS('Content Calendar'!$J$5:$J$604,AJ223,'Content Calendar'!$B$5:$B$604,"&gt;="&amp;DATE(PlanYear,1,1),'Content Calendar'!$B$5:$B$604,"&lt;="&amp;DATE(PlanYear,12,31)))</f>
        <v>0</v>
      </c>
      <c r="AL223" s="23">
        <f>IF(AJ223="","",SUMIFS(Performance!$O$5:$O$404,Performance!$H$5:$H$404,AJ223))</f>
        <v>0</v>
      </c>
      <c r="AM223" s="23">
        <f>IF(AJ223="","",SUMIFS(Performance!$Z$5:$Z$404,Performance!$H$5:$H$404,AJ223))</f>
        <v>0</v>
      </c>
      <c r="AN223" s="24">
        <f>IF(OR(AL223="",AL223=0),"",AM223/AL223)</f>
        <v>0</v>
      </c>
      <c r="AO223" s="32">
        <f>IF(AN223="","",AN223+ROW()/1000000)</f>
        <v>0</v>
      </c>
      <c r="AP223" s="17">
        <f>IF(Lists!$E223="","",Lists!$E223)</f>
        <v>0</v>
      </c>
      <c r="AQ223" s="23">
        <f>IF(AP223="","",COUNTIF(Performance!$G$5:$G$404,AP223))</f>
        <v>0</v>
      </c>
      <c r="AR223" s="23">
        <f>IF(AP223="","",SUMIFS(Performance!$O$5:$O$404,Performance!$G$5:$G$404,AP223))</f>
        <v>0</v>
      </c>
      <c r="AS223" s="23">
        <f>IF(AP223="","",SUMIFS(Performance!$Z$5:$Z$404,Performance!$G$5:$G$404,AP223))</f>
        <v>0</v>
      </c>
      <c r="AT223" s="24">
        <f>IF(OR(AR223="",AR223=0),"",AS223/AR223)</f>
        <v>0</v>
      </c>
      <c r="AU223" s="32">
        <f>IF(AQ223=0,"",IF(AT223="","",AT223+ROW()/1000000))</f>
        <v>0</v>
      </c>
      <c r="AV223" s="17">
        <f>IF(ROW()-4&gt;7,"",TEXT(DATE(2024,1,ROW()-4),"ddd"))</f>
        <v>0</v>
      </c>
      <c r="AW223" s="23">
        <f>IF(AV223="","",COUNTIF(Performance!$N$5:$N$404,AV223))</f>
        <v>0</v>
      </c>
      <c r="AX223" s="23">
        <f>IF(AV223="","",SUMIFS(Performance!$O$5:$O$404,Performance!$N$5:$N$404,AV223))</f>
        <v>0</v>
      </c>
      <c r="AY223" s="23">
        <f>IF(AV223="","",SUMIFS(Performance!$Z$5:$Z$404,Performance!$N$5:$N$404,AV223))</f>
        <v>0</v>
      </c>
      <c r="AZ223" s="24">
        <f>IF(OR(AX223="",AX223=0),"",AY223/AX223)</f>
        <v>0</v>
      </c>
      <c r="BA223" s="32">
        <f>IF(AW223=0,"",IF(AZ223="","",AZ223+ROW()/1000000))</f>
        <v>0</v>
      </c>
      <c r="BB223" s="17">
        <f>IF(Lists!$AL223="","",Lists!$AL223)</f>
        <v>0</v>
      </c>
      <c r="BC223" s="23">
        <f>IF(BB223="","",COUNTIF(Performance!$M$5:$M$404,BB223))</f>
        <v>0</v>
      </c>
      <c r="BD223" s="23">
        <f>IF(BB223="","",SUMIFS(Performance!$O$5:$O$404,Performance!$M$5:$M$404,BB223))</f>
        <v>0</v>
      </c>
      <c r="BE223" s="23">
        <f>IF(BB223="","",SUMIFS(Performance!$Z$5:$Z$404,Performance!$M$5:$M$404,BB223))</f>
        <v>0</v>
      </c>
      <c r="BF223" s="24">
        <f>IF(OR(BD223="",BD223=0),"",BE223/BD223)</f>
        <v>0</v>
      </c>
      <c r="BG223" s="32">
        <f>IF(BC223=0,"",IF(BF223="","",BF223+ROW()/1000000))</f>
        <v>0</v>
      </c>
      <c r="BH223" s="17">
        <f>IF(Performance!$C$223="","",Performance!$C$223)</f>
        <v>0</v>
      </c>
      <c r="BI223" s="17">
        <f>IF(Performance!$F$223="","",Performance!$F$223)</f>
        <v>0</v>
      </c>
      <c r="BJ223" s="17">
        <f>IF(Performance!$H$223="","",Performance!$H$223)</f>
        <v>0</v>
      </c>
      <c r="BK223" s="16">
        <f>IF(Performance!$D$223="","",Performance!$D$223)</f>
        <v>0</v>
      </c>
      <c r="BL223" s="17">
        <f>IF(Performance!$E$223="","",Performance!$E$223)</f>
        <v>0</v>
      </c>
      <c r="BM223" s="23">
        <f>IF(Performance!$O$223="","",Performance!$O$223)</f>
        <v>0</v>
      </c>
      <c r="BN223" s="24">
        <f>IF(Performance!$AA$223="","",Performance!$AA$223)</f>
        <v>0</v>
      </c>
      <c r="BO223" s="32">
        <f>IF(BH223="","",IF(BK223="","",IF(OR(BK223&lt;DashStart,BK223&gt;DashEnd),"",IF(BN223="","",BN223+ROW()/1000000))))</f>
        <v>0</v>
      </c>
      <c r="BP223" s="32">
        <f>IF(BM223="","",IF(BK223="","",IF(OR(BK223&lt;DashStart,BK223&gt;DashEnd),"",BM223+ROW()/1000000)))</f>
        <v>0</v>
      </c>
      <c r="BQ223" s="32">
        <f>IF(BH223="","",IF(BK223="","",IF(YEAR(BK223)&lt;&gt;PlanYear,"",IF(BN223="","",BN223+ROW()/1000000))))</f>
        <v>0</v>
      </c>
      <c r="BR223" s="32">
        <f>IF(BH223="","",IF(BK223="","",IF(OR(BK223&lt;RepFrom,BK223&gt;RepTo),"",IF(BN223="","",BN223+ROW()/1000000))))</f>
        <v>0</v>
      </c>
      <c r="BS223" s="32">
        <f>IF(BM223="","",IF(BK223="","",IF(YEAR(BK223)&lt;&gt;PlanYear,"",BM223+ROW()/1000000)))</f>
        <v>0</v>
      </c>
      <c r="BT223" s="17">
        <f>IF(Lists!$F223="","",Lists!$F223)</f>
        <v>0</v>
      </c>
      <c r="BU223" s="23">
        <f>IF(BT223="","",COUNTIF('Content Calendar'!$X$5:$X$604,BT223))</f>
        <v>0</v>
      </c>
      <c r="BV223" s="23">
        <f>IF(BT223="","",COUNTIFS('Content Calendar'!$X$5:$X$604,BT223,'Content Calendar'!$B$5:$B$604,"&gt;="&amp;DashStart,'Content Calendar'!$B$5:$B$604,"&lt;="&amp;DashEnd))</f>
        <v>0</v>
      </c>
      <c r="BW223" s="17">
        <f>IF(Team!$B$223="","",Team!$B$223)</f>
        <v>0</v>
      </c>
      <c r="BX223" s="23">
        <f>IF(BW223="","",COUNTIF('Content Calendar'!$W$5:$W$604,BW223))</f>
        <v>0</v>
      </c>
      <c r="BY223" s="23">
        <f>IF(BW223="","",COUNTIFS('Content Calendar'!$W$5:$W$604,BW223,'Content Calendar'!$X$5:$X$604,"&lt;&gt;Published"))</f>
        <v>0</v>
      </c>
      <c r="BZ223" s="23">
        <f>IF(BW223="","",COUNTIFS(Tasks!$C$5:$C$64,BW223,Tasks!$G$5:$G$64,"&lt;&gt;Complete"))</f>
        <v>0</v>
      </c>
      <c r="CA223" s="17">
        <f>IF(Campaigns!$B$223="","",Campaigns!$B$223)</f>
        <v>0</v>
      </c>
      <c r="CB223" s="25">
        <f>IF(Campaigns!$T$223="","",Campaigns!$T$223)</f>
        <v>0</v>
      </c>
      <c r="CC223" s="25">
        <f>IF(Campaigns!$Q$223="","",Campaigns!$Q$223)</f>
        <v>0</v>
      </c>
      <c r="CD223" s="23">
        <f>IF(Campaigns!$Y$223="","",Campaigns!$Y$223)</f>
        <v>0</v>
      </c>
      <c r="CE223" s="32">
        <f>IF(CA223="","",IF(N(CB223)&lt;=0,"",N(CB223)+ROW()/1000000))</f>
        <v>0</v>
      </c>
      <c r="CF223" s="17">
        <f>IF(Accounts!$C$223="","",Accounts!$C$223)</f>
        <v>0</v>
      </c>
      <c r="CG223" s="17">
        <f>IF(Accounts!$B$223="","",Accounts!$B$223)</f>
        <v>0</v>
      </c>
      <c r="CH223" s="23">
        <f>IF(Accounts!$J$223="","",Accounts!$J$223)</f>
        <v>0</v>
      </c>
      <c r="CI223" s="23">
        <f>IF(CF223="","",SUMIFS(Analytics!$X$5:$X$154,Analytics!$E$5:$E$154,CF223,Analytics!$B$5:$B$154,"&gt;="&amp;DashStart,Analytics!$B$5:$B$154,"&lt;="&amp;DashEnd))</f>
        <v>0</v>
      </c>
      <c r="CJ223" s="32">
        <f>IF(CH223="","",IF(CH223=0,"",CH223+ROW()/1000000))</f>
        <v>0</v>
      </c>
    </row>
    <row r="224" spans="1:88">
      <c r="A224" s="16">
        <f>IF(ROW()-4&gt;12,"",DATE(PlanYear,ROW()-4,1))</f>
        <v>0</v>
      </c>
      <c r="B224" s="16">
        <f>IF(A224="","",EOMONTH(A224,0))</f>
        <v>0</v>
      </c>
      <c r="C224" s="17">
        <f>IF(A224="","",TEXT(A224,"yyyy-mm"))</f>
        <v>0</v>
      </c>
      <c r="D224" s="17">
        <f>IF(A224="","",TEXT(A224,"mmm"))</f>
        <v>0</v>
      </c>
      <c r="E224" s="23">
        <f>IF(C224="","",COUNTIFS('Content Calendar'!$D$5:$D$604,C224))</f>
        <v>0</v>
      </c>
      <c r="F224" s="23">
        <f>IF(C224="","",COUNTIFS('Content Calendar'!$D$5:$D$604,C224,'Content Calendar'!$X$5:$X$604,"Published"))</f>
        <v>0</v>
      </c>
      <c r="G224" s="23">
        <f>IF(C224="","",SUMIFS(Analytics!$J$5:$J$154,Analytics!$C$5:$C$154,C224))</f>
        <v>0</v>
      </c>
      <c r="H224" s="23">
        <f>IF(C224="","",SUMIFS(Analytics!$K$5:$K$154,Analytics!$C$5:$C$154,C224))</f>
        <v>0</v>
      </c>
      <c r="I224" s="23">
        <f>IF(C224="","",SUMIFS(Analytics!$L$5:$L$154,Analytics!$C$5:$C$154,C224))</f>
        <v>0</v>
      </c>
      <c r="J224" s="24">
        <f>IF(OR(G224="",G224=0),"",I224/G224)</f>
        <v>0</v>
      </c>
      <c r="K224" s="23">
        <f>IF(C224="","",SUMIFS(Analytics!$G$5:$G$154,Analytics!$C$5:$C$154,C224))</f>
        <v>0</v>
      </c>
      <c r="L224" s="23">
        <f>IF(C224="","",SUMIFS(Analytics!$X$5:$X$154,Analytics!$C$5:$C$154,C224))</f>
        <v>0</v>
      </c>
      <c r="M224" s="23">
        <f>IF(C224="","",SUMIFS(Analytics!$R$5:$R$154,Analytics!$C$5:$C$154,C224))</f>
        <v>0</v>
      </c>
      <c r="N224" s="23">
        <f>IF(C224="","",SUMIFS(Analytics!$S$5:$S$154,Analytics!$C$5:$C$154,C224))</f>
        <v>0</v>
      </c>
      <c r="O224" s="23">
        <f>IF(C224="","",SUMIFS(Analytics!$T$5:$T$154,Analytics!$C$5:$C$154,C224))</f>
        <v>0</v>
      </c>
      <c r="P224" s="25">
        <f>IF(C224="","",SUMIFS(Analytics!$U$5:$U$154,Analytics!$C$5:$C$154,C224))</f>
        <v>0</v>
      </c>
      <c r="Q224" s="25">
        <f>IF(C224="","",SUMIFS(Budget!$H$5:$H$64,Budget!$C$5:$C$64,C224))</f>
        <v>0</v>
      </c>
      <c r="R224" s="25">
        <f>IF(C224="","",P224-Q224)</f>
        <v>0</v>
      </c>
      <c r="S224" s="23">
        <f>IF(C224="","",MonthlyPostTarget)</f>
        <v>0</v>
      </c>
      <c r="T224" s="17">
        <f>IF(Lists!$C224="","",Lists!$C224)</f>
        <v>0</v>
      </c>
      <c r="U224" s="23">
        <f>IF(T224="","",COUNTIFS('Content Calendar'!$G$5:$G$604,T224,'Content Calendar'!$B$5:$B$604,"&gt;="&amp;DashStart,'Content Calendar'!$B$5:$B$604,"&lt;="&amp;DashEnd))</f>
        <v>0</v>
      </c>
      <c r="V224" s="23">
        <f>IF(T224="","",COUNTIFS('Content Calendar'!$G$5:$G$604,T224,'Content Calendar'!$X$5:$X$604,"Published",'Content Calendar'!$B$5:$B$604,"&gt;="&amp;DashStart,'Content Calendar'!$B$5:$B$604,"&lt;="&amp;DashEnd))</f>
        <v>0</v>
      </c>
      <c r="W224" s="23">
        <f>IF(T224="","",SUMIFS(Analytics!$J$5:$J$154,Analytics!$D$5:$D$154,T224,Analytics!$B$5:$B$154,"&gt;="&amp;DashStart,Analytics!$B$5:$B$154,"&lt;="&amp;DashEnd))</f>
        <v>0</v>
      </c>
      <c r="X224" s="23">
        <f>IF(T224="","",SUMIFS(Analytics!$L$5:$L$154,Analytics!$D$5:$D$154,T224,Analytics!$B$5:$B$154,"&gt;="&amp;DashStart,Analytics!$B$5:$B$154,"&lt;="&amp;DashEnd))</f>
        <v>0</v>
      </c>
      <c r="Y224" s="24">
        <f>IF(OR(W224="",W224=0),"",X224/W224)</f>
        <v>0</v>
      </c>
      <c r="Z224" s="23">
        <f>IF(T224="","",SUMIFS(Analytics!$G$5:$G$154,Analytics!$D$5:$D$154,T224,Analytics!$B$5:$B$154,"&gt;="&amp;DashStart,Analytics!$B$5:$B$154,"&lt;="&amp;DashEnd))</f>
        <v>0</v>
      </c>
      <c r="AA224" s="23">
        <f>IF(T224="","",SUMIFS(Analytics!$X$5:$X$154,Analytics!$D$5:$D$154,T224,Analytics!$B$5:$B$154,"&gt;="&amp;DashStart,Analytics!$B$5:$B$154,"&lt;="&amp;DashEnd))</f>
        <v>0</v>
      </c>
      <c r="AB224" s="23">
        <f>IF(T224="","",SUMIFS(Analytics!$R$5:$R$154,Analytics!$D$5:$D$154,T224,Analytics!$B$5:$B$154,"&gt;="&amp;DashStart,Analytics!$B$5:$B$154,"&lt;="&amp;DashEnd))</f>
        <v>0</v>
      </c>
      <c r="AC224" s="25">
        <f>IF(T224="","",SUMIFS(Analytics!$U$5:$U$154,Analytics!$D$5:$D$154,T224,Analytics!$B$5:$B$154,"&gt;="&amp;DashStart,Analytics!$B$5:$B$154,"&lt;="&amp;DashEnd))</f>
        <v>0</v>
      </c>
      <c r="AD224" s="23">
        <f>IF(T224="","",COUNTIFS('Content Calendar'!$G$5:$G$604,T224,'Content Calendar'!$B$5:$B$604,"&gt;="&amp;DATE(PlanYear,1,1),'Content Calendar'!$B$5:$B$604,"&lt;="&amp;DATE(PlanYear,12,31)))</f>
        <v>0</v>
      </c>
      <c r="AE224" s="23">
        <f>IF(T224="","",SUMIFS(Analytics!$J$5:$J$154,Analytics!$D$5:$D$154,T224))</f>
        <v>0</v>
      </c>
      <c r="AF224" s="23">
        <f>IF(T224="","",SUMIFS(Analytics!$L$5:$L$154,Analytics!$D$5:$D$154,T224))</f>
        <v>0</v>
      </c>
      <c r="AG224" s="24">
        <f>IF(OR(AE224="",AE224=0),"",AF224/AE224)</f>
        <v>0</v>
      </c>
      <c r="AH224" s="23">
        <f>IF(T224="","",SUMIFS(Analytics!$X$5:$X$154,Analytics!$D$5:$D$154,T224))</f>
        <v>0</v>
      </c>
      <c r="AI224" s="32">
        <f>IF(T224="","",IF(AE224=0,"",AE224+ROW()/1000000))</f>
        <v>0</v>
      </c>
      <c r="AJ224" s="17">
        <f>IF('Content Pillars'!$B$224="","",'Content Pillars'!$B$224)</f>
        <v>0</v>
      </c>
      <c r="AK224" s="23">
        <f>IF(AJ224="","",COUNTIFS('Content Calendar'!$J$5:$J$604,AJ224,'Content Calendar'!$B$5:$B$604,"&gt;="&amp;DATE(PlanYear,1,1),'Content Calendar'!$B$5:$B$604,"&lt;="&amp;DATE(PlanYear,12,31)))</f>
        <v>0</v>
      </c>
      <c r="AL224" s="23">
        <f>IF(AJ224="","",SUMIFS(Performance!$O$5:$O$404,Performance!$H$5:$H$404,AJ224))</f>
        <v>0</v>
      </c>
      <c r="AM224" s="23">
        <f>IF(AJ224="","",SUMIFS(Performance!$Z$5:$Z$404,Performance!$H$5:$H$404,AJ224))</f>
        <v>0</v>
      </c>
      <c r="AN224" s="24">
        <f>IF(OR(AL224="",AL224=0),"",AM224/AL224)</f>
        <v>0</v>
      </c>
      <c r="AO224" s="32">
        <f>IF(AN224="","",AN224+ROW()/1000000)</f>
        <v>0</v>
      </c>
      <c r="AP224" s="17">
        <f>IF(Lists!$E224="","",Lists!$E224)</f>
        <v>0</v>
      </c>
      <c r="AQ224" s="23">
        <f>IF(AP224="","",COUNTIF(Performance!$G$5:$G$404,AP224))</f>
        <v>0</v>
      </c>
      <c r="AR224" s="23">
        <f>IF(AP224="","",SUMIFS(Performance!$O$5:$O$404,Performance!$G$5:$G$404,AP224))</f>
        <v>0</v>
      </c>
      <c r="AS224" s="23">
        <f>IF(AP224="","",SUMIFS(Performance!$Z$5:$Z$404,Performance!$G$5:$G$404,AP224))</f>
        <v>0</v>
      </c>
      <c r="AT224" s="24">
        <f>IF(OR(AR224="",AR224=0),"",AS224/AR224)</f>
        <v>0</v>
      </c>
      <c r="AU224" s="32">
        <f>IF(AQ224=0,"",IF(AT224="","",AT224+ROW()/1000000))</f>
        <v>0</v>
      </c>
      <c r="AV224" s="17">
        <f>IF(ROW()-4&gt;7,"",TEXT(DATE(2024,1,ROW()-4),"ddd"))</f>
        <v>0</v>
      </c>
      <c r="AW224" s="23">
        <f>IF(AV224="","",COUNTIF(Performance!$N$5:$N$404,AV224))</f>
        <v>0</v>
      </c>
      <c r="AX224" s="23">
        <f>IF(AV224="","",SUMIFS(Performance!$O$5:$O$404,Performance!$N$5:$N$404,AV224))</f>
        <v>0</v>
      </c>
      <c r="AY224" s="23">
        <f>IF(AV224="","",SUMIFS(Performance!$Z$5:$Z$404,Performance!$N$5:$N$404,AV224))</f>
        <v>0</v>
      </c>
      <c r="AZ224" s="24">
        <f>IF(OR(AX224="",AX224=0),"",AY224/AX224)</f>
        <v>0</v>
      </c>
      <c r="BA224" s="32">
        <f>IF(AW224=0,"",IF(AZ224="","",AZ224+ROW()/1000000))</f>
        <v>0</v>
      </c>
      <c r="BB224" s="17">
        <f>IF(Lists!$AL224="","",Lists!$AL224)</f>
        <v>0</v>
      </c>
      <c r="BC224" s="23">
        <f>IF(BB224="","",COUNTIF(Performance!$M$5:$M$404,BB224))</f>
        <v>0</v>
      </c>
      <c r="BD224" s="23">
        <f>IF(BB224="","",SUMIFS(Performance!$O$5:$O$404,Performance!$M$5:$M$404,BB224))</f>
        <v>0</v>
      </c>
      <c r="BE224" s="23">
        <f>IF(BB224="","",SUMIFS(Performance!$Z$5:$Z$404,Performance!$M$5:$M$404,BB224))</f>
        <v>0</v>
      </c>
      <c r="BF224" s="24">
        <f>IF(OR(BD224="",BD224=0),"",BE224/BD224)</f>
        <v>0</v>
      </c>
      <c r="BG224" s="32">
        <f>IF(BC224=0,"",IF(BF224="","",BF224+ROW()/1000000))</f>
        <v>0</v>
      </c>
      <c r="BH224" s="17">
        <f>IF(Performance!$C$224="","",Performance!$C$224)</f>
        <v>0</v>
      </c>
      <c r="BI224" s="17">
        <f>IF(Performance!$F$224="","",Performance!$F$224)</f>
        <v>0</v>
      </c>
      <c r="BJ224" s="17">
        <f>IF(Performance!$H$224="","",Performance!$H$224)</f>
        <v>0</v>
      </c>
      <c r="BK224" s="16">
        <f>IF(Performance!$D$224="","",Performance!$D$224)</f>
        <v>0</v>
      </c>
      <c r="BL224" s="17">
        <f>IF(Performance!$E$224="","",Performance!$E$224)</f>
        <v>0</v>
      </c>
      <c r="BM224" s="23">
        <f>IF(Performance!$O$224="","",Performance!$O$224)</f>
        <v>0</v>
      </c>
      <c r="BN224" s="24">
        <f>IF(Performance!$AA$224="","",Performance!$AA$224)</f>
        <v>0</v>
      </c>
      <c r="BO224" s="32">
        <f>IF(BH224="","",IF(BK224="","",IF(OR(BK224&lt;DashStart,BK224&gt;DashEnd),"",IF(BN224="","",BN224+ROW()/1000000))))</f>
        <v>0</v>
      </c>
      <c r="BP224" s="32">
        <f>IF(BM224="","",IF(BK224="","",IF(OR(BK224&lt;DashStart,BK224&gt;DashEnd),"",BM224+ROW()/1000000)))</f>
        <v>0</v>
      </c>
      <c r="BQ224" s="32">
        <f>IF(BH224="","",IF(BK224="","",IF(YEAR(BK224)&lt;&gt;PlanYear,"",IF(BN224="","",BN224+ROW()/1000000))))</f>
        <v>0</v>
      </c>
      <c r="BR224" s="32">
        <f>IF(BH224="","",IF(BK224="","",IF(OR(BK224&lt;RepFrom,BK224&gt;RepTo),"",IF(BN224="","",BN224+ROW()/1000000))))</f>
        <v>0</v>
      </c>
      <c r="BS224" s="32">
        <f>IF(BM224="","",IF(BK224="","",IF(YEAR(BK224)&lt;&gt;PlanYear,"",BM224+ROW()/1000000)))</f>
        <v>0</v>
      </c>
      <c r="BT224" s="17">
        <f>IF(Lists!$F224="","",Lists!$F224)</f>
        <v>0</v>
      </c>
      <c r="BU224" s="23">
        <f>IF(BT224="","",COUNTIF('Content Calendar'!$X$5:$X$604,BT224))</f>
        <v>0</v>
      </c>
      <c r="BV224" s="23">
        <f>IF(BT224="","",COUNTIFS('Content Calendar'!$X$5:$X$604,BT224,'Content Calendar'!$B$5:$B$604,"&gt;="&amp;DashStart,'Content Calendar'!$B$5:$B$604,"&lt;="&amp;DashEnd))</f>
        <v>0</v>
      </c>
      <c r="BW224" s="17">
        <f>IF(Team!$B$224="","",Team!$B$224)</f>
        <v>0</v>
      </c>
      <c r="BX224" s="23">
        <f>IF(BW224="","",COUNTIF('Content Calendar'!$W$5:$W$604,BW224))</f>
        <v>0</v>
      </c>
      <c r="BY224" s="23">
        <f>IF(BW224="","",COUNTIFS('Content Calendar'!$W$5:$W$604,BW224,'Content Calendar'!$X$5:$X$604,"&lt;&gt;Published"))</f>
        <v>0</v>
      </c>
      <c r="BZ224" s="23">
        <f>IF(BW224="","",COUNTIFS(Tasks!$C$5:$C$64,BW224,Tasks!$G$5:$G$64,"&lt;&gt;Complete"))</f>
        <v>0</v>
      </c>
      <c r="CA224" s="17">
        <f>IF(Campaigns!$B$224="","",Campaigns!$B$224)</f>
        <v>0</v>
      </c>
      <c r="CB224" s="25">
        <f>IF(Campaigns!$T$224="","",Campaigns!$T$224)</f>
        <v>0</v>
      </c>
      <c r="CC224" s="25">
        <f>IF(Campaigns!$Q$224="","",Campaigns!$Q$224)</f>
        <v>0</v>
      </c>
      <c r="CD224" s="23">
        <f>IF(Campaigns!$Y$224="","",Campaigns!$Y$224)</f>
        <v>0</v>
      </c>
      <c r="CE224" s="32">
        <f>IF(CA224="","",IF(N(CB224)&lt;=0,"",N(CB224)+ROW()/1000000))</f>
        <v>0</v>
      </c>
      <c r="CF224" s="17">
        <f>IF(Accounts!$C$224="","",Accounts!$C$224)</f>
        <v>0</v>
      </c>
      <c r="CG224" s="17">
        <f>IF(Accounts!$B$224="","",Accounts!$B$224)</f>
        <v>0</v>
      </c>
      <c r="CH224" s="23">
        <f>IF(Accounts!$J$224="","",Accounts!$J$224)</f>
        <v>0</v>
      </c>
      <c r="CI224" s="23">
        <f>IF(CF224="","",SUMIFS(Analytics!$X$5:$X$154,Analytics!$E$5:$E$154,CF224,Analytics!$B$5:$B$154,"&gt;="&amp;DashStart,Analytics!$B$5:$B$154,"&lt;="&amp;DashEnd))</f>
        <v>0</v>
      </c>
      <c r="CJ224" s="32">
        <f>IF(CH224="","",IF(CH224=0,"",CH224+ROW()/1000000))</f>
        <v>0</v>
      </c>
    </row>
    <row r="225" spans="1:88">
      <c r="A225" s="16">
        <f>IF(ROW()-4&gt;12,"",DATE(PlanYear,ROW()-4,1))</f>
        <v>0</v>
      </c>
      <c r="B225" s="16">
        <f>IF(A225="","",EOMONTH(A225,0))</f>
        <v>0</v>
      </c>
      <c r="C225" s="17">
        <f>IF(A225="","",TEXT(A225,"yyyy-mm"))</f>
        <v>0</v>
      </c>
      <c r="D225" s="17">
        <f>IF(A225="","",TEXT(A225,"mmm"))</f>
        <v>0</v>
      </c>
      <c r="E225" s="23">
        <f>IF(C225="","",COUNTIFS('Content Calendar'!$D$5:$D$604,C225))</f>
        <v>0</v>
      </c>
      <c r="F225" s="23">
        <f>IF(C225="","",COUNTIFS('Content Calendar'!$D$5:$D$604,C225,'Content Calendar'!$X$5:$X$604,"Published"))</f>
        <v>0</v>
      </c>
      <c r="G225" s="23">
        <f>IF(C225="","",SUMIFS(Analytics!$J$5:$J$154,Analytics!$C$5:$C$154,C225))</f>
        <v>0</v>
      </c>
      <c r="H225" s="23">
        <f>IF(C225="","",SUMIFS(Analytics!$K$5:$K$154,Analytics!$C$5:$C$154,C225))</f>
        <v>0</v>
      </c>
      <c r="I225" s="23">
        <f>IF(C225="","",SUMIFS(Analytics!$L$5:$L$154,Analytics!$C$5:$C$154,C225))</f>
        <v>0</v>
      </c>
      <c r="J225" s="24">
        <f>IF(OR(G225="",G225=0),"",I225/G225)</f>
        <v>0</v>
      </c>
      <c r="K225" s="23">
        <f>IF(C225="","",SUMIFS(Analytics!$G$5:$G$154,Analytics!$C$5:$C$154,C225))</f>
        <v>0</v>
      </c>
      <c r="L225" s="23">
        <f>IF(C225="","",SUMIFS(Analytics!$X$5:$X$154,Analytics!$C$5:$C$154,C225))</f>
        <v>0</v>
      </c>
      <c r="M225" s="23">
        <f>IF(C225="","",SUMIFS(Analytics!$R$5:$R$154,Analytics!$C$5:$C$154,C225))</f>
        <v>0</v>
      </c>
      <c r="N225" s="23">
        <f>IF(C225="","",SUMIFS(Analytics!$S$5:$S$154,Analytics!$C$5:$C$154,C225))</f>
        <v>0</v>
      </c>
      <c r="O225" s="23">
        <f>IF(C225="","",SUMIFS(Analytics!$T$5:$T$154,Analytics!$C$5:$C$154,C225))</f>
        <v>0</v>
      </c>
      <c r="P225" s="25">
        <f>IF(C225="","",SUMIFS(Analytics!$U$5:$U$154,Analytics!$C$5:$C$154,C225))</f>
        <v>0</v>
      </c>
      <c r="Q225" s="25">
        <f>IF(C225="","",SUMIFS(Budget!$H$5:$H$64,Budget!$C$5:$C$64,C225))</f>
        <v>0</v>
      </c>
      <c r="R225" s="25">
        <f>IF(C225="","",P225-Q225)</f>
        <v>0</v>
      </c>
      <c r="S225" s="23">
        <f>IF(C225="","",MonthlyPostTarget)</f>
        <v>0</v>
      </c>
      <c r="T225" s="17">
        <f>IF(Lists!$C225="","",Lists!$C225)</f>
        <v>0</v>
      </c>
      <c r="U225" s="23">
        <f>IF(T225="","",COUNTIFS('Content Calendar'!$G$5:$G$604,T225,'Content Calendar'!$B$5:$B$604,"&gt;="&amp;DashStart,'Content Calendar'!$B$5:$B$604,"&lt;="&amp;DashEnd))</f>
        <v>0</v>
      </c>
      <c r="V225" s="23">
        <f>IF(T225="","",COUNTIFS('Content Calendar'!$G$5:$G$604,T225,'Content Calendar'!$X$5:$X$604,"Published",'Content Calendar'!$B$5:$B$604,"&gt;="&amp;DashStart,'Content Calendar'!$B$5:$B$604,"&lt;="&amp;DashEnd))</f>
        <v>0</v>
      </c>
      <c r="W225" s="23">
        <f>IF(T225="","",SUMIFS(Analytics!$J$5:$J$154,Analytics!$D$5:$D$154,T225,Analytics!$B$5:$B$154,"&gt;="&amp;DashStart,Analytics!$B$5:$B$154,"&lt;="&amp;DashEnd))</f>
        <v>0</v>
      </c>
      <c r="X225" s="23">
        <f>IF(T225="","",SUMIFS(Analytics!$L$5:$L$154,Analytics!$D$5:$D$154,T225,Analytics!$B$5:$B$154,"&gt;="&amp;DashStart,Analytics!$B$5:$B$154,"&lt;="&amp;DashEnd))</f>
        <v>0</v>
      </c>
      <c r="Y225" s="24">
        <f>IF(OR(W225="",W225=0),"",X225/W225)</f>
        <v>0</v>
      </c>
      <c r="Z225" s="23">
        <f>IF(T225="","",SUMIFS(Analytics!$G$5:$G$154,Analytics!$D$5:$D$154,T225,Analytics!$B$5:$B$154,"&gt;="&amp;DashStart,Analytics!$B$5:$B$154,"&lt;="&amp;DashEnd))</f>
        <v>0</v>
      </c>
      <c r="AA225" s="23">
        <f>IF(T225="","",SUMIFS(Analytics!$X$5:$X$154,Analytics!$D$5:$D$154,T225,Analytics!$B$5:$B$154,"&gt;="&amp;DashStart,Analytics!$B$5:$B$154,"&lt;="&amp;DashEnd))</f>
        <v>0</v>
      </c>
      <c r="AB225" s="23">
        <f>IF(T225="","",SUMIFS(Analytics!$R$5:$R$154,Analytics!$D$5:$D$154,T225,Analytics!$B$5:$B$154,"&gt;="&amp;DashStart,Analytics!$B$5:$B$154,"&lt;="&amp;DashEnd))</f>
        <v>0</v>
      </c>
      <c r="AC225" s="25">
        <f>IF(T225="","",SUMIFS(Analytics!$U$5:$U$154,Analytics!$D$5:$D$154,T225,Analytics!$B$5:$B$154,"&gt;="&amp;DashStart,Analytics!$B$5:$B$154,"&lt;="&amp;DashEnd))</f>
        <v>0</v>
      </c>
      <c r="AD225" s="23">
        <f>IF(T225="","",COUNTIFS('Content Calendar'!$G$5:$G$604,T225,'Content Calendar'!$B$5:$B$604,"&gt;="&amp;DATE(PlanYear,1,1),'Content Calendar'!$B$5:$B$604,"&lt;="&amp;DATE(PlanYear,12,31)))</f>
        <v>0</v>
      </c>
      <c r="AE225" s="23">
        <f>IF(T225="","",SUMIFS(Analytics!$J$5:$J$154,Analytics!$D$5:$D$154,T225))</f>
        <v>0</v>
      </c>
      <c r="AF225" s="23">
        <f>IF(T225="","",SUMIFS(Analytics!$L$5:$L$154,Analytics!$D$5:$D$154,T225))</f>
        <v>0</v>
      </c>
      <c r="AG225" s="24">
        <f>IF(OR(AE225="",AE225=0),"",AF225/AE225)</f>
        <v>0</v>
      </c>
      <c r="AH225" s="23">
        <f>IF(T225="","",SUMIFS(Analytics!$X$5:$X$154,Analytics!$D$5:$D$154,T225))</f>
        <v>0</v>
      </c>
      <c r="AI225" s="32">
        <f>IF(T225="","",IF(AE225=0,"",AE225+ROW()/1000000))</f>
        <v>0</v>
      </c>
      <c r="AJ225" s="17">
        <f>IF('Content Pillars'!$B$225="","",'Content Pillars'!$B$225)</f>
        <v>0</v>
      </c>
      <c r="AK225" s="23">
        <f>IF(AJ225="","",COUNTIFS('Content Calendar'!$J$5:$J$604,AJ225,'Content Calendar'!$B$5:$B$604,"&gt;="&amp;DATE(PlanYear,1,1),'Content Calendar'!$B$5:$B$604,"&lt;="&amp;DATE(PlanYear,12,31)))</f>
        <v>0</v>
      </c>
      <c r="AL225" s="23">
        <f>IF(AJ225="","",SUMIFS(Performance!$O$5:$O$404,Performance!$H$5:$H$404,AJ225))</f>
        <v>0</v>
      </c>
      <c r="AM225" s="23">
        <f>IF(AJ225="","",SUMIFS(Performance!$Z$5:$Z$404,Performance!$H$5:$H$404,AJ225))</f>
        <v>0</v>
      </c>
      <c r="AN225" s="24">
        <f>IF(OR(AL225="",AL225=0),"",AM225/AL225)</f>
        <v>0</v>
      </c>
      <c r="AO225" s="32">
        <f>IF(AN225="","",AN225+ROW()/1000000)</f>
        <v>0</v>
      </c>
      <c r="AP225" s="17">
        <f>IF(Lists!$E225="","",Lists!$E225)</f>
        <v>0</v>
      </c>
      <c r="AQ225" s="23">
        <f>IF(AP225="","",COUNTIF(Performance!$G$5:$G$404,AP225))</f>
        <v>0</v>
      </c>
      <c r="AR225" s="23">
        <f>IF(AP225="","",SUMIFS(Performance!$O$5:$O$404,Performance!$G$5:$G$404,AP225))</f>
        <v>0</v>
      </c>
      <c r="AS225" s="23">
        <f>IF(AP225="","",SUMIFS(Performance!$Z$5:$Z$404,Performance!$G$5:$G$404,AP225))</f>
        <v>0</v>
      </c>
      <c r="AT225" s="24">
        <f>IF(OR(AR225="",AR225=0),"",AS225/AR225)</f>
        <v>0</v>
      </c>
      <c r="AU225" s="32">
        <f>IF(AQ225=0,"",IF(AT225="","",AT225+ROW()/1000000))</f>
        <v>0</v>
      </c>
      <c r="AV225" s="17">
        <f>IF(ROW()-4&gt;7,"",TEXT(DATE(2024,1,ROW()-4),"ddd"))</f>
        <v>0</v>
      </c>
      <c r="AW225" s="23">
        <f>IF(AV225="","",COUNTIF(Performance!$N$5:$N$404,AV225))</f>
        <v>0</v>
      </c>
      <c r="AX225" s="23">
        <f>IF(AV225="","",SUMIFS(Performance!$O$5:$O$404,Performance!$N$5:$N$404,AV225))</f>
        <v>0</v>
      </c>
      <c r="AY225" s="23">
        <f>IF(AV225="","",SUMIFS(Performance!$Z$5:$Z$404,Performance!$N$5:$N$404,AV225))</f>
        <v>0</v>
      </c>
      <c r="AZ225" s="24">
        <f>IF(OR(AX225="",AX225=0),"",AY225/AX225)</f>
        <v>0</v>
      </c>
      <c r="BA225" s="32">
        <f>IF(AW225=0,"",IF(AZ225="","",AZ225+ROW()/1000000))</f>
        <v>0</v>
      </c>
      <c r="BB225" s="17">
        <f>IF(Lists!$AL225="","",Lists!$AL225)</f>
        <v>0</v>
      </c>
      <c r="BC225" s="23">
        <f>IF(BB225="","",COUNTIF(Performance!$M$5:$M$404,BB225))</f>
        <v>0</v>
      </c>
      <c r="BD225" s="23">
        <f>IF(BB225="","",SUMIFS(Performance!$O$5:$O$404,Performance!$M$5:$M$404,BB225))</f>
        <v>0</v>
      </c>
      <c r="BE225" s="23">
        <f>IF(BB225="","",SUMIFS(Performance!$Z$5:$Z$404,Performance!$M$5:$M$404,BB225))</f>
        <v>0</v>
      </c>
      <c r="BF225" s="24">
        <f>IF(OR(BD225="",BD225=0),"",BE225/BD225)</f>
        <v>0</v>
      </c>
      <c r="BG225" s="32">
        <f>IF(BC225=0,"",IF(BF225="","",BF225+ROW()/1000000))</f>
        <v>0</v>
      </c>
      <c r="BH225" s="17">
        <f>IF(Performance!$C$225="","",Performance!$C$225)</f>
        <v>0</v>
      </c>
      <c r="BI225" s="17">
        <f>IF(Performance!$F$225="","",Performance!$F$225)</f>
        <v>0</v>
      </c>
      <c r="BJ225" s="17">
        <f>IF(Performance!$H$225="","",Performance!$H$225)</f>
        <v>0</v>
      </c>
      <c r="BK225" s="16">
        <f>IF(Performance!$D$225="","",Performance!$D$225)</f>
        <v>0</v>
      </c>
      <c r="BL225" s="17">
        <f>IF(Performance!$E$225="","",Performance!$E$225)</f>
        <v>0</v>
      </c>
      <c r="BM225" s="23">
        <f>IF(Performance!$O$225="","",Performance!$O$225)</f>
        <v>0</v>
      </c>
      <c r="BN225" s="24">
        <f>IF(Performance!$AA$225="","",Performance!$AA$225)</f>
        <v>0</v>
      </c>
      <c r="BO225" s="32">
        <f>IF(BH225="","",IF(BK225="","",IF(OR(BK225&lt;DashStart,BK225&gt;DashEnd),"",IF(BN225="","",BN225+ROW()/1000000))))</f>
        <v>0</v>
      </c>
      <c r="BP225" s="32">
        <f>IF(BM225="","",IF(BK225="","",IF(OR(BK225&lt;DashStart,BK225&gt;DashEnd),"",BM225+ROW()/1000000)))</f>
        <v>0</v>
      </c>
      <c r="BQ225" s="32">
        <f>IF(BH225="","",IF(BK225="","",IF(YEAR(BK225)&lt;&gt;PlanYear,"",IF(BN225="","",BN225+ROW()/1000000))))</f>
        <v>0</v>
      </c>
      <c r="BR225" s="32">
        <f>IF(BH225="","",IF(BK225="","",IF(OR(BK225&lt;RepFrom,BK225&gt;RepTo),"",IF(BN225="","",BN225+ROW()/1000000))))</f>
        <v>0</v>
      </c>
      <c r="BS225" s="32">
        <f>IF(BM225="","",IF(BK225="","",IF(YEAR(BK225)&lt;&gt;PlanYear,"",BM225+ROW()/1000000)))</f>
        <v>0</v>
      </c>
      <c r="BT225" s="17">
        <f>IF(Lists!$F225="","",Lists!$F225)</f>
        <v>0</v>
      </c>
      <c r="BU225" s="23">
        <f>IF(BT225="","",COUNTIF('Content Calendar'!$X$5:$X$604,BT225))</f>
        <v>0</v>
      </c>
      <c r="BV225" s="23">
        <f>IF(BT225="","",COUNTIFS('Content Calendar'!$X$5:$X$604,BT225,'Content Calendar'!$B$5:$B$604,"&gt;="&amp;DashStart,'Content Calendar'!$B$5:$B$604,"&lt;="&amp;DashEnd))</f>
        <v>0</v>
      </c>
      <c r="BW225" s="17">
        <f>IF(Team!$B$225="","",Team!$B$225)</f>
        <v>0</v>
      </c>
      <c r="BX225" s="23">
        <f>IF(BW225="","",COUNTIF('Content Calendar'!$W$5:$W$604,BW225))</f>
        <v>0</v>
      </c>
      <c r="BY225" s="23">
        <f>IF(BW225="","",COUNTIFS('Content Calendar'!$W$5:$W$604,BW225,'Content Calendar'!$X$5:$X$604,"&lt;&gt;Published"))</f>
        <v>0</v>
      </c>
      <c r="BZ225" s="23">
        <f>IF(BW225="","",COUNTIFS(Tasks!$C$5:$C$64,BW225,Tasks!$G$5:$G$64,"&lt;&gt;Complete"))</f>
        <v>0</v>
      </c>
      <c r="CA225" s="17">
        <f>IF(Campaigns!$B$225="","",Campaigns!$B$225)</f>
        <v>0</v>
      </c>
      <c r="CB225" s="25">
        <f>IF(Campaigns!$T$225="","",Campaigns!$T$225)</f>
        <v>0</v>
      </c>
      <c r="CC225" s="25">
        <f>IF(Campaigns!$Q$225="","",Campaigns!$Q$225)</f>
        <v>0</v>
      </c>
      <c r="CD225" s="23">
        <f>IF(Campaigns!$Y$225="","",Campaigns!$Y$225)</f>
        <v>0</v>
      </c>
      <c r="CE225" s="32">
        <f>IF(CA225="","",IF(N(CB225)&lt;=0,"",N(CB225)+ROW()/1000000))</f>
        <v>0</v>
      </c>
      <c r="CF225" s="17">
        <f>IF(Accounts!$C$225="","",Accounts!$C$225)</f>
        <v>0</v>
      </c>
      <c r="CG225" s="17">
        <f>IF(Accounts!$B$225="","",Accounts!$B$225)</f>
        <v>0</v>
      </c>
      <c r="CH225" s="23">
        <f>IF(Accounts!$J$225="","",Accounts!$J$225)</f>
        <v>0</v>
      </c>
      <c r="CI225" s="23">
        <f>IF(CF225="","",SUMIFS(Analytics!$X$5:$X$154,Analytics!$E$5:$E$154,CF225,Analytics!$B$5:$B$154,"&gt;="&amp;DashStart,Analytics!$B$5:$B$154,"&lt;="&amp;DashEnd))</f>
        <v>0</v>
      </c>
      <c r="CJ225" s="32">
        <f>IF(CH225="","",IF(CH225=0,"",CH225+ROW()/1000000))</f>
        <v>0</v>
      </c>
    </row>
    <row r="226" spans="1:88">
      <c r="A226" s="16">
        <f>IF(ROW()-4&gt;12,"",DATE(PlanYear,ROW()-4,1))</f>
        <v>0</v>
      </c>
      <c r="B226" s="16">
        <f>IF(A226="","",EOMONTH(A226,0))</f>
        <v>0</v>
      </c>
      <c r="C226" s="17">
        <f>IF(A226="","",TEXT(A226,"yyyy-mm"))</f>
        <v>0</v>
      </c>
      <c r="D226" s="17">
        <f>IF(A226="","",TEXT(A226,"mmm"))</f>
        <v>0</v>
      </c>
      <c r="E226" s="23">
        <f>IF(C226="","",COUNTIFS('Content Calendar'!$D$5:$D$604,C226))</f>
        <v>0</v>
      </c>
      <c r="F226" s="23">
        <f>IF(C226="","",COUNTIFS('Content Calendar'!$D$5:$D$604,C226,'Content Calendar'!$X$5:$X$604,"Published"))</f>
        <v>0</v>
      </c>
      <c r="G226" s="23">
        <f>IF(C226="","",SUMIFS(Analytics!$J$5:$J$154,Analytics!$C$5:$C$154,C226))</f>
        <v>0</v>
      </c>
      <c r="H226" s="23">
        <f>IF(C226="","",SUMIFS(Analytics!$K$5:$K$154,Analytics!$C$5:$C$154,C226))</f>
        <v>0</v>
      </c>
      <c r="I226" s="23">
        <f>IF(C226="","",SUMIFS(Analytics!$L$5:$L$154,Analytics!$C$5:$C$154,C226))</f>
        <v>0</v>
      </c>
      <c r="J226" s="24">
        <f>IF(OR(G226="",G226=0),"",I226/G226)</f>
        <v>0</v>
      </c>
      <c r="K226" s="23">
        <f>IF(C226="","",SUMIFS(Analytics!$G$5:$G$154,Analytics!$C$5:$C$154,C226))</f>
        <v>0</v>
      </c>
      <c r="L226" s="23">
        <f>IF(C226="","",SUMIFS(Analytics!$X$5:$X$154,Analytics!$C$5:$C$154,C226))</f>
        <v>0</v>
      </c>
      <c r="M226" s="23">
        <f>IF(C226="","",SUMIFS(Analytics!$R$5:$R$154,Analytics!$C$5:$C$154,C226))</f>
        <v>0</v>
      </c>
      <c r="N226" s="23">
        <f>IF(C226="","",SUMIFS(Analytics!$S$5:$S$154,Analytics!$C$5:$C$154,C226))</f>
        <v>0</v>
      </c>
      <c r="O226" s="23">
        <f>IF(C226="","",SUMIFS(Analytics!$T$5:$T$154,Analytics!$C$5:$C$154,C226))</f>
        <v>0</v>
      </c>
      <c r="P226" s="25">
        <f>IF(C226="","",SUMIFS(Analytics!$U$5:$U$154,Analytics!$C$5:$C$154,C226))</f>
        <v>0</v>
      </c>
      <c r="Q226" s="25">
        <f>IF(C226="","",SUMIFS(Budget!$H$5:$H$64,Budget!$C$5:$C$64,C226))</f>
        <v>0</v>
      </c>
      <c r="R226" s="25">
        <f>IF(C226="","",P226-Q226)</f>
        <v>0</v>
      </c>
      <c r="S226" s="23">
        <f>IF(C226="","",MonthlyPostTarget)</f>
        <v>0</v>
      </c>
      <c r="T226" s="17">
        <f>IF(Lists!$C226="","",Lists!$C226)</f>
        <v>0</v>
      </c>
      <c r="U226" s="23">
        <f>IF(T226="","",COUNTIFS('Content Calendar'!$G$5:$G$604,T226,'Content Calendar'!$B$5:$B$604,"&gt;="&amp;DashStart,'Content Calendar'!$B$5:$B$604,"&lt;="&amp;DashEnd))</f>
        <v>0</v>
      </c>
      <c r="V226" s="23">
        <f>IF(T226="","",COUNTIFS('Content Calendar'!$G$5:$G$604,T226,'Content Calendar'!$X$5:$X$604,"Published",'Content Calendar'!$B$5:$B$604,"&gt;="&amp;DashStart,'Content Calendar'!$B$5:$B$604,"&lt;="&amp;DashEnd))</f>
        <v>0</v>
      </c>
      <c r="W226" s="23">
        <f>IF(T226="","",SUMIFS(Analytics!$J$5:$J$154,Analytics!$D$5:$D$154,T226,Analytics!$B$5:$B$154,"&gt;="&amp;DashStart,Analytics!$B$5:$B$154,"&lt;="&amp;DashEnd))</f>
        <v>0</v>
      </c>
      <c r="X226" s="23">
        <f>IF(T226="","",SUMIFS(Analytics!$L$5:$L$154,Analytics!$D$5:$D$154,T226,Analytics!$B$5:$B$154,"&gt;="&amp;DashStart,Analytics!$B$5:$B$154,"&lt;="&amp;DashEnd))</f>
        <v>0</v>
      </c>
      <c r="Y226" s="24">
        <f>IF(OR(W226="",W226=0),"",X226/W226)</f>
        <v>0</v>
      </c>
      <c r="Z226" s="23">
        <f>IF(T226="","",SUMIFS(Analytics!$G$5:$G$154,Analytics!$D$5:$D$154,T226,Analytics!$B$5:$B$154,"&gt;="&amp;DashStart,Analytics!$B$5:$B$154,"&lt;="&amp;DashEnd))</f>
        <v>0</v>
      </c>
      <c r="AA226" s="23">
        <f>IF(T226="","",SUMIFS(Analytics!$X$5:$X$154,Analytics!$D$5:$D$154,T226,Analytics!$B$5:$B$154,"&gt;="&amp;DashStart,Analytics!$B$5:$B$154,"&lt;="&amp;DashEnd))</f>
        <v>0</v>
      </c>
      <c r="AB226" s="23">
        <f>IF(T226="","",SUMIFS(Analytics!$R$5:$R$154,Analytics!$D$5:$D$154,T226,Analytics!$B$5:$B$154,"&gt;="&amp;DashStart,Analytics!$B$5:$B$154,"&lt;="&amp;DashEnd))</f>
        <v>0</v>
      </c>
      <c r="AC226" s="25">
        <f>IF(T226="","",SUMIFS(Analytics!$U$5:$U$154,Analytics!$D$5:$D$154,T226,Analytics!$B$5:$B$154,"&gt;="&amp;DashStart,Analytics!$B$5:$B$154,"&lt;="&amp;DashEnd))</f>
        <v>0</v>
      </c>
      <c r="AD226" s="23">
        <f>IF(T226="","",COUNTIFS('Content Calendar'!$G$5:$G$604,T226,'Content Calendar'!$B$5:$B$604,"&gt;="&amp;DATE(PlanYear,1,1),'Content Calendar'!$B$5:$B$604,"&lt;="&amp;DATE(PlanYear,12,31)))</f>
        <v>0</v>
      </c>
      <c r="AE226" s="23">
        <f>IF(T226="","",SUMIFS(Analytics!$J$5:$J$154,Analytics!$D$5:$D$154,T226))</f>
        <v>0</v>
      </c>
      <c r="AF226" s="23">
        <f>IF(T226="","",SUMIFS(Analytics!$L$5:$L$154,Analytics!$D$5:$D$154,T226))</f>
        <v>0</v>
      </c>
      <c r="AG226" s="24">
        <f>IF(OR(AE226="",AE226=0),"",AF226/AE226)</f>
        <v>0</v>
      </c>
      <c r="AH226" s="23">
        <f>IF(T226="","",SUMIFS(Analytics!$X$5:$X$154,Analytics!$D$5:$D$154,T226))</f>
        <v>0</v>
      </c>
      <c r="AI226" s="32">
        <f>IF(T226="","",IF(AE226=0,"",AE226+ROW()/1000000))</f>
        <v>0</v>
      </c>
      <c r="AJ226" s="17">
        <f>IF('Content Pillars'!$B$226="","",'Content Pillars'!$B$226)</f>
        <v>0</v>
      </c>
      <c r="AK226" s="23">
        <f>IF(AJ226="","",COUNTIFS('Content Calendar'!$J$5:$J$604,AJ226,'Content Calendar'!$B$5:$B$604,"&gt;="&amp;DATE(PlanYear,1,1),'Content Calendar'!$B$5:$B$604,"&lt;="&amp;DATE(PlanYear,12,31)))</f>
        <v>0</v>
      </c>
      <c r="AL226" s="23">
        <f>IF(AJ226="","",SUMIFS(Performance!$O$5:$O$404,Performance!$H$5:$H$404,AJ226))</f>
        <v>0</v>
      </c>
      <c r="AM226" s="23">
        <f>IF(AJ226="","",SUMIFS(Performance!$Z$5:$Z$404,Performance!$H$5:$H$404,AJ226))</f>
        <v>0</v>
      </c>
      <c r="AN226" s="24">
        <f>IF(OR(AL226="",AL226=0),"",AM226/AL226)</f>
        <v>0</v>
      </c>
      <c r="AO226" s="32">
        <f>IF(AN226="","",AN226+ROW()/1000000)</f>
        <v>0</v>
      </c>
      <c r="AP226" s="17">
        <f>IF(Lists!$E226="","",Lists!$E226)</f>
        <v>0</v>
      </c>
      <c r="AQ226" s="23">
        <f>IF(AP226="","",COUNTIF(Performance!$G$5:$G$404,AP226))</f>
        <v>0</v>
      </c>
      <c r="AR226" s="23">
        <f>IF(AP226="","",SUMIFS(Performance!$O$5:$O$404,Performance!$G$5:$G$404,AP226))</f>
        <v>0</v>
      </c>
      <c r="AS226" s="23">
        <f>IF(AP226="","",SUMIFS(Performance!$Z$5:$Z$404,Performance!$G$5:$G$404,AP226))</f>
        <v>0</v>
      </c>
      <c r="AT226" s="24">
        <f>IF(OR(AR226="",AR226=0),"",AS226/AR226)</f>
        <v>0</v>
      </c>
      <c r="AU226" s="32">
        <f>IF(AQ226=0,"",IF(AT226="","",AT226+ROW()/1000000))</f>
        <v>0</v>
      </c>
      <c r="AV226" s="17">
        <f>IF(ROW()-4&gt;7,"",TEXT(DATE(2024,1,ROW()-4),"ddd"))</f>
        <v>0</v>
      </c>
      <c r="AW226" s="23">
        <f>IF(AV226="","",COUNTIF(Performance!$N$5:$N$404,AV226))</f>
        <v>0</v>
      </c>
      <c r="AX226" s="23">
        <f>IF(AV226="","",SUMIFS(Performance!$O$5:$O$404,Performance!$N$5:$N$404,AV226))</f>
        <v>0</v>
      </c>
      <c r="AY226" s="23">
        <f>IF(AV226="","",SUMIFS(Performance!$Z$5:$Z$404,Performance!$N$5:$N$404,AV226))</f>
        <v>0</v>
      </c>
      <c r="AZ226" s="24">
        <f>IF(OR(AX226="",AX226=0),"",AY226/AX226)</f>
        <v>0</v>
      </c>
      <c r="BA226" s="32">
        <f>IF(AW226=0,"",IF(AZ226="","",AZ226+ROW()/1000000))</f>
        <v>0</v>
      </c>
      <c r="BB226" s="17">
        <f>IF(Lists!$AL226="","",Lists!$AL226)</f>
        <v>0</v>
      </c>
      <c r="BC226" s="23">
        <f>IF(BB226="","",COUNTIF(Performance!$M$5:$M$404,BB226))</f>
        <v>0</v>
      </c>
      <c r="BD226" s="23">
        <f>IF(BB226="","",SUMIFS(Performance!$O$5:$O$404,Performance!$M$5:$M$404,BB226))</f>
        <v>0</v>
      </c>
      <c r="BE226" s="23">
        <f>IF(BB226="","",SUMIFS(Performance!$Z$5:$Z$404,Performance!$M$5:$M$404,BB226))</f>
        <v>0</v>
      </c>
      <c r="BF226" s="24">
        <f>IF(OR(BD226="",BD226=0),"",BE226/BD226)</f>
        <v>0</v>
      </c>
      <c r="BG226" s="32">
        <f>IF(BC226=0,"",IF(BF226="","",BF226+ROW()/1000000))</f>
        <v>0</v>
      </c>
      <c r="BH226" s="17">
        <f>IF(Performance!$C$226="","",Performance!$C$226)</f>
        <v>0</v>
      </c>
      <c r="BI226" s="17">
        <f>IF(Performance!$F$226="","",Performance!$F$226)</f>
        <v>0</v>
      </c>
      <c r="BJ226" s="17">
        <f>IF(Performance!$H$226="","",Performance!$H$226)</f>
        <v>0</v>
      </c>
      <c r="BK226" s="16">
        <f>IF(Performance!$D$226="","",Performance!$D$226)</f>
        <v>0</v>
      </c>
      <c r="BL226" s="17">
        <f>IF(Performance!$E$226="","",Performance!$E$226)</f>
        <v>0</v>
      </c>
      <c r="BM226" s="23">
        <f>IF(Performance!$O$226="","",Performance!$O$226)</f>
        <v>0</v>
      </c>
      <c r="BN226" s="24">
        <f>IF(Performance!$AA$226="","",Performance!$AA$226)</f>
        <v>0</v>
      </c>
      <c r="BO226" s="32">
        <f>IF(BH226="","",IF(BK226="","",IF(OR(BK226&lt;DashStart,BK226&gt;DashEnd),"",IF(BN226="","",BN226+ROW()/1000000))))</f>
        <v>0</v>
      </c>
      <c r="BP226" s="32">
        <f>IF(BM226="","",IF(BK226="","",IF(OR(BK226&lt;DashStart,BK226&gt;DashEnd),"",BM226+ROW()/1000000)))</f>
        <v>0</v>
      </c>
      <c r="BQ226" s="32">
        <f>IF(BH226="","",IF(BK226="","",IF(YEAR(BK226)&lt;&gt;PlanYear,"",IF(BN226="","",BN226+ROW()/1000000))))</f>
        <v>0</v>
      </c>
      <c r="BR226" s="32">
        <f>IF(BH226="","",IF(BK226="","",IF(OR(BK226&lt;RepFrom,BK226&gt;RepTo),"",IF(BN226="","",BN226+ROW()/1000000))))</f>
        <v>0</v>
      </c>
      <c r="BS226" s="32">
        <f>IF(BM226="","",IF(BK226="","",IF(YEAR(BK226)&lt;&gt;PlanYear,"",BM226+ROW()/1000000)))</f>
        <v>0</v>
      </c>
      <c r="BT226" s="17">
        <f>IF(Lists!$F226="","",Lists!$F226)</f>
        <v>0</v>
      </c>
      <c r="BU226" s="23">
        <f>IF(BT226="","",COUNTIF('Content Calendar'!$X$5:$X$604,BT226))</f>
        <v>0</v>
      </c>
      <c r="BV226" s="23">
        <f>IF(BT226="","",COUNTIFS('Content Calendar'!$X$5:$X$604,BT226,'Content Calendar'!$B$5:$B$604,"&gt;="&amp;DashStart,'Content Calendar'!$B$5:$B$604,"&lt;="&amp;DashEnd))</f>
        <v>0</v>
      </c>
      <c r="BW226" s="17">
        <f>IF(Team!$B$226="","",Team!$B$226)</f>
        <v>0</v>
      </c>
      <c r="BX226" s="23">
        <f>IF(BW226="","",COUNTIF('Content Calendar'!$W$5:$W$604,BW226))</f>
        <v>0</v>
      </c>
      <c r="BY226" s="23">
        <f>IF(BW226="","",COUNTIFS('Content Calendar'!$W$5:$W$604,BW226,'Content Calendar'!$X$5:$X$604,"&lt;&gt;Published"))</f>
        <v>0</v>
      </c>
      <c r="BZ226" s="23">
        <f>IF(BW226="","",COUNTIFS(Tasks!$C$5:$C$64,BW226,Tasks!$G$5:$G$64,"&lt;&gt;Complete"))</f>
        <v>0</v>
      </c>
      <c r="CA226" s="17">
        <f>IF(Campaigns!$B$226="","",Campaigns!$B$226)</f>
        <v>0</v>
      </c>
      <c r="CB226" s="25">
        <f>IF(Campaigns!$T$226="","",Campaigns!$T$226)</f>
        <v>0</v>
      </c>
      <c r="CC226" s="25">
        <f>IF(Campaigns!$Q$226="","",Campaigns!$Q$226)</f>
        <v>0</v>
      </c>
      <c r="CD226" s="23">
        <f>IF(Campaigns!$Y$226="","",Campaigns!$Y$226)</f>
        <v>0</v>
      </c>
      <c r="CE226" s="32">
        <f>IF(CA226="","",IF(N(CB226)&lt;=0,"",N(CB226)+ROW()/1000000))</f>
        <v>0</v>
      </c>
      <c r="CF226" s="17">
        <f>IF(Accounts!$C$226="","",Accounts!$C$226)</f>
        <v>0</v>
      </c>
      <c r="CG226" s="17">
        <f>IF(Accounts!$B$226="","",Accounts!$B$226)</f>
        <v>0</v>
      </c>
      <c r="CH226" s="23">
        <f>IF(Accounts!$J$226="","",Accounts!$J$226)</f>
        <v>0</v>
      </c>
      <c r="CI226" s="23">
        <f>IF(CF226="","",SUMIFS(Analytics!$X$5:$X$154,Analytics!$E$5:$E$154,CF226,Analytics!$B$5:$B$154,"&gt;="&amp;DashStart,Analytics!$B$5:$B$154,"&lt;="&amp;DashEnd))</f>
        <v>0</v>
      </c>
      <c r="CJ226" s="32">
        <f>IF(CH226="","",IF(CH226=0,"",CH226+ROW()/1000000))</f>
        <v>0</v>
      </c>
    </row>
    <row r="227" spans="1:88">
      <c r="A227" s="16">
        <f>IF(ROW()-4&gt;12,"",DATE(PlanYear,ROW()-4,1))</f>
        <v>0</v>
      </c>
      <c r="B227" s="16">
        <f>IF(A227="","",EOMONTH(A227,0))</f>
        <v>0</v>
      </c>
      <c r="C227" s="17">
        <f>IF(A227="","",TEXT(A227,"yyyy-mm"))</f>
        <v>0</v>
      </c>
      <c r="D227" s="17">
        <f>IF(A227="","",TEXT(A227,"mmm"))</f>
        <v>0</v>
      </c>
      <c r="E227" s="23">
        <f>IF(C227="","",COUNTIFS('Content Calendar'!$D$5:$D$604,C227))</f>
        <v>0</v>
      </c>
      <c r="F227" s="23">
        <f>IF(C227="","",COUNTIFS('Content Calendar'!$D$5:$D$604,C227,'Content Calendar'!$X$5:$X$604,"Published"))</f>
        <v>0</v>
      </c>
      <c r="G227" s="23">
        <f>IF(C227="","",SUMIFS(Analytics!$J$5:$J$154,Analytics!$C$5:$C$154,C227))</f>
        <v>0</v>
      </c>
      <c r="H227" s="23">
        <f>IF(C227="","",SUMIFS(Analytics!$K$5:$K$154,Analytics!$C$5:$C$154,C227))</f>
        <v>0</v>
      </c>
      <c r="I227" s="23">
        <f>IF(C227="","",SUMIFS(Analytics!$L$5:$L$154,Analytics!$C$5:$C$154,C227))</f>
        <v>0</v>
      </c>
      <c r="J227" s="24">
        <f>IF(OR(G227="",G227=0),"",I227/G227)</f>
        <v>0</v>
      </c>
      <c r="K227" s="23">
        <f>IF(C227="","",SUMIFS(Analytics!$G$5:$G$154,Analytics!$C$5:$C$154,C227))</f>
        <v>0</v>
      </c>
      <c r="L227" s="23">
        <f>IF(C227="","",SUMIFS(Analytics!$X$5:$X$154,Analytics!$C$5:$C$154,C227))</f>
        <v>0</v>
      </c>
      <c r="M227" s="23">
        <f>IF(C227="","",SUMIFS(Analytics!$R$5:$R$154,Analytics!$C$5:$C$154,C227))</f>
        <v>0</v>
      </c>
      <c r="N227" s="23">
        <f>IF(C227="","",SUMIFS(Analytics!$S$5:$S$154,Analytics!$C$5:$C$154,C227))</f>
        <v>0</v>
      </c>
      <c r="O227" s="23">
        <f>IF(C227="","",SUMIFS(Analytics!$T$5:$T$154,Analytics!$C$5:$C$154,C227))</f>
        <v>0</v>
      </c>
      <c r="P227" s="25">
        <f>IF(C227="","",SUMIFS(Analytics!$U$5:$U$154,Analytics!$C$5:$C$154,C227))</f>
        <v>0</v>
      </c>
      <c r="Q227" s="25">
        <f>IF(C227="","",SUMIFS(Budget!$H$5:$H$64,Budget!$C$5:$C$64,C227))</f>
        <v>0</v>
      </c>
      <c r="R227" s="25">
        <f>IF(C227="","",P227-Q227)</f>
        <v>0</v>
      </c>
      <c r="S227" s="23">
        <f>IF(C227="","",MonthlyPostTarget)</f>
        <v>0</v>
      </c>
      <c r="T227" s="17">
        <f>IF(Lists!$C227="","",Lists!$C227)</f>
        <v>0</v>
      </c>
      <c r="U227" s="23">
        <f>IF(T227="","",COUNTIFS('Content Calendar'!$G$5:$G$604,T227,'Content Calendar'!$B$5:$B$604,"&gt;="&amp;DashStart,'Content Calendar'!$B$5:$B$604,"&lt;="&amp;DashEnd))</f>
        <v>0</v>
      </c>
      <c r="V227" s="23">
        <f>IF(T227="","",COUNTIFS('Content Calendar'!$G$5:$G$604,T227,'Content Calendar'!$X$5:$X$604,"Published",'Content Calendar'!$B$5:$B$604,"&gt;="&amp;DashStart,'Content Calendar'!$B$5:$B$604,"&lt;="&amp;DashEnd))</f>
        <v>0</v>
      </c>
      <c r="W227" s="23">
        <f>IF(T227="","",SUMIFS(Analytics!$J$5:$J$154,Analytics!$D$5:$D$154,T227,Analytics!$B$5:$B$154,"&gt;="&amp;DashStart,Analytics!$B$5:$B$154,"&lt;="&amp;DashEnd))</f>
        <v>0</v>
      </c>
      <c r="X227" s="23">
        <f>IF(T227="","",SUMIFS(Analytics!$L$5:$L$154,Analytics!$D$5:$D$154,T227,Analytics!$B$5:$B$154,"&gt;="&amp;DashStart,Analytics!$B$5:$B$154,"&lt;="&amp;DashEnd))</f>
        <v>0</v>
      </c>
      <c r="Y227" s="24">
        <f>IF(OR(W227="",W227=0),"",X227/W227)</f>
        <v>0</v>
      </c>
      <c r="Z227" s="23">
        <f>IF(T227="","",SUMIFS(Analytics!$G$5:$G$154,Analytics!$D$5:$D$154,T227,Analytics!$B$5:$B$154,"&gt;="&amp;DashStart,Analytics!$B$5:$B$154,"&lt;="&amp;DashEnd))</f>
        <v>0</v>
      </c>
      <c r="AA227" s="23">
        <f>IF(T227="","",SUMIFS(Analytics!$X$5:$X$154,Analytics!$D$5:$D$154,T227,Analytics!$B$5:$B$154,"&gt;="&amp;DashStart,Analytics!$B$5:$B$154,"&lt;="&amp;DashEnd))</f>
        <v>0</v>
      </c>
      <c r="AB227" s="23">
        <f>IF(T227="","",SUMIFS(Analytics!$R$5:$R$154,Analytics!$D$5:$D$154,T227,Analytics!$B$5:$B$154,"&gt;="&amp;DashStart,Analytics!$B$5:$B$154,"&lt;="&amp;DashEnd))</f>
        <v>0</v>
      </c>
      <c r="AC227" s="25">
        <f>IF(T227="","",SUMIFS(Analytics!$U$5:$U$154,Analytics!$D$5:$D$154,T227,Analytics!$B$5:$B$154,"&gt;="&amp;DashStart,Analytics!$B$5:$B$154,"&lt;="&amp;DashEnd))</f>
        <v>0</v>
      </c>
      <c r="AD227" s="23">
        <f>IF(T227="","",COUNTIFS('Content Calendar'!$G$5:$G$604,T227,'Content Calendar'!$B$5:$B$604,"&gt;="&amp;DATE(PlanYear,1,1),'Content Calendar'!$B$5:$B$604,"&lt;="&amp;DATE(PlanYear,12,31)))</f>
        <v>0</v>
      </c>
      <c r="AE227" s="23">
        <f>IF(T227="","",SUMIFS(Analytics!$J$5:$J$154,Analytics!$D$5:$D$154,T227))</f>
        <v>0</v>
      </c>
      <c r="AF227" s="23">
        <f>IF(T227="","",SUMIFS(Analytics!$L$5:$L$154,Analytics!$D$5:$D$154,T227))</f>
        <v>0</v>
      </c>
      <c r="AG227" s="24">
        <f>IF(OR(AE227="",AE227=0),"",AF227/AE227)</f>
        <v>0</v>
      </c>
      <c r="AH227" s="23">
        <f>IF(T227="","",SUMIFS(Analytics!$X$5:$X$154,Analytics!$D$5:$D$154,T227))</f>
        <v>0</v>
      </c>
      <c r="AI227" s="32">
        <f>IF(T227="","",IF(AE227=0,"",AE227+ROW()/1000000))</f>
        <v>0</v>
      </c>
      <c r="AJ227" s="17">
        <f>IF('Content Pillars'!$B$227="","",'Content Pillars'!$B$227)</f>
        <v>0</v>
      </c>
      <c r="AK227" s="23">
        <f>IF(AJ227="","",COUNTIFS('Content Calendar'!$J$5:$J$604,AJ227,'Content Calendar'!$B$5:$B$604,"&gt;="&amp;DATE(PlanYear,1,1),'Content Calendar'!$B$5:$B$604,"&lt;="&amp;DATE(PlanYear,12,31)))</f>
        <v>0</v>
      </c>
      <c r="AL227" s="23">
        <f>IF(AJ227="","",SUMIFS(Performance!$O$5:$O$404,Performance!$H$5:$H$404,AJ227))</f>
        <v>0</v>
      </c>
      <c r="AM227" s="23">
        <f>IF(AJ227="","",SUMIFS(Performance!$Z$5:$Z$404,Performance!$H$5:$H$404,AJ227))</f>
        <v>0</v>
      </c>
      <c r="AN227" s="24">
        <f>IF(OR(AL227="",AL227=0),"",AM227/AL227)</f>
        <v>0</v>
      </c>
      <c r="AO227" s="32">
        <f>IF(AN227="","",AN227+ROW()/1000000)</f>
        <v>0</v>
      </c>
      <c r="AP227" s="17">
        <f>IF(Lists!$E227="","",Lists!$E227)</f>
        <v>0</v>
      </c>
      <c r="AQ227" s="23">
        <f>IF(AP227="","",COUNTIF(Performance!$G$5:$G$404,AP227))</f>
        <v>0</v>
      </c>
      <c r="AR227" s="23">
        <f>IF(AP227="","",SUMIFS(Performance!$O$5:$O$404,Performance!$G$5:$G$404,AP227))</f>
        <v>0</v>
      </c>
      <c r="AS227" s="23">
        <f>IF(AP227="","",SUMIFS(Performance!$Z$5:$Z$404,Performance!$G$5:$G$404,AP227))</f>
        <v>0</v>
      </c>
      <c r="AT227" s="24">
        <f>IF(OR(AR227="",AR227=0),"",AS227/AR227)</f>
        <v>0</v>
      </c>
      <c r="AU227" s="32">
        <f>IF(AQ227=0,"",IF(AT227="","",AT227+ROW()/1000000))</f>
        <v>0</v>
      </c>
      <c r="AV227" s="17">
        <f>IF(ROW()-4&gt;7,"",TEXT(DATE(2024,1,ROW()-4),"ddd"))</f>
        <v>0</v>
      </c>
      <c r="AW227" s="23">
        <f>IF(AV227="","",COUNTIF(Performance!$N$5:$N$404,AV227))</f>
        <v>0</v>
      </c>
      <c r="AX227" s="23">
        <f>IF(AV227="","",SUMIFS(Performance!$O$5:$O$404,Performance!$N$5:$N$404,AV227))</f>
        <v>0</v>
      </c>
      <c r="AY227" s="23">
        <f>IF(AV227="","",SUMIFS(Performance!$Z$5:$Z$404,Performance!$N$5:$N$404,AV227))</f>
        <v>0</v>
      </c>
      <c r="AZ227" s="24">
        <f>IF(OR(AX227="",AX227=0),"",AY227/AX227)</f>
        <v>0</v>
      </c>
      <c r="BA227" s="32">
        <f>IF(AW227=0,"",IF(AZ227="","",AZ227+ROW()/1000000))</f>
        <v>0</v>
      </c>
      <c r="BB227" s="17">
        <f>IF(Lists!$AL227="","",Lists!$AL227)</f>
        <v>0</v>
      </c>
      <c r="BC227" s="23">
        <f>IF(BB227="","",COUNTIF(Performance!$M$5:$M$404,BB227))</f>
        <v>0</v>
      </c>
      <c r="BD227" s="23">
        <f>IF(BB227="","",SUMIFS(Performance!$O$5:$O$404,Performance!$M$5:$M$404,BB227))</f>
        <v>0</v>
      </c>
      <c r="BE227" s="23">
        <f>IF(BB227="","",SUMIFS(Performance!$Z$5:$Z$404,Performance!$M$5:$M$404,BB227))</f>
        <v>0</v>
      </c>
      <c r="BF227" s="24">
        <f>IF(OR(BD227="",BD227=0),"",BE227/BD227)</f>
        <v>0</v>
      </c>
      <c r="BG227" s="32">
        <f>IF(BC227=0,"",IF(BF227="","",BF227+ROW()/1000000))</f>
        <v>0</v>
      </c>
      <c r="BH227" s="17">
        <f>IF(Performance!$C$227="","",Performance!$C$227)</f>
        <v>0</v>
      </c>
      <c r="BI227" s="17">
        <f>IF(Performance!$F$227="","",Performance!$F$227)</f>
        <v>0</v>
      </c>
      <c r="BJ227" s="17">
        <f>IF(Performance!$H$227="","",Performance!$H$227)</f>
        <v>0</v>
      </c>
      <c r="BK227" s="16">
        <f>IF(Performance!$D$227="","",Performance!$D$227)</f>
        <v>0</v>
      </c>
      <c r="BL227" s="17">
        <f>IF(Performance!$E$227="","",Performance!$E$227)</f>
        <v>0</v>
      </c>
      <c r="BM227" s="23">
        <f>IF(Performance!$O$227="","",Performance!$O$227)</f>
        <v>0</v>
      </c>
      <c r="BN227" s="24">
        <f>IF(Performance!$AA$227="","",Performance!$AA$227)</f>
        <v>0</v>
      </c>
      <c r="BO227" s="32">
        <f>IF(BH227="","",IF(BK227="","",IF(OR(BK227&lt;DashStart,BK227&gt;DashEnd),"",IF(BN227="","",BN227+ROW()/1000000))))</f>
        <v>0</v>
      </c>
      <c r="BP227" s="32">
        <f>IF(BM227="","",IF(BK227="","",IF(OR(BK227&lt;DashStart,BK227&gt;DashEnd),"",BM227+ROW()/1000000)))</f>
        <v>0</v>
      </c>
      <c r="BQ227" s="32">
        <f>IF(BH227="","",IF(BK227="","",IF(YEAR(BK227)&lt;&gt;PlanYear,"",IF(BN227="","",BN227+ROW()/1000000))))</f>
        <v>0</v>
      </c>
      <c r="BR227" s="32">
        <f>IF(BH227="","",IF(BK227="","",IF(OR(BK227&lt;RepFrom,BK227&gt;RepTo),"",IF(BN227="","",BN227+ROW()/1000000))))</f>
        <v>0</v>
      </c>
      <c r="BS227" s="32">
        <f>IF(BM227="","",IF(BK227="","",IF(YEAR(BK227)&lt;&gt;PlanYear,"",BM227+ROW()/1000000)))</f>
        <v>0</v>
      </c>
      <c r="BT227" s="17">
        <f>IF(Lists!$F227="","",Lists!$F227)</f>
        <v>0</v>
      </c>
      <c r="BU227" s="23">
        <f>IF(BT227="","",COUNTIF('Content Calendar'!$X$5:$X$604,BT227))</f>
        <v>0</v>
      </c>
      <c r="BV227" s="23">
        <f>IF(BT227="","",COUNTIFS('Content Calendar'!$X$5:$X$604,BT227,'Content Calendar'!$B$5:$B$604,"&gt;="&amp;DashStart,'Content Calendar'!$B$5:$B$604,"&lt;="&amp;DashEnd))</f>
        <v>0</v>
      </c>
      <c r="BW227" s="17">
        <f>IF(Team!$B$227="","",Team!$B$227)</f>
        <v>0</v>
      </c>
      <c r="BX227" s="23">
        <f>IF(BW227="","",COUNTIF('Content Calendar'!$W$5:$W$604,BW227))</f>
        <v>0</v>
      </c>
      <c r="BY227" s="23">
        <f>IF(BW227="","",COUNTIFS('Content Calendar'!$W$5:$W$604,BW227,'Content Calendar'!$X$5:$X$604,"&lt;&gt;Published"))</f>
        <v>0</v>
      </c>
      <c r="BZ227" s="23">
        <f>IF(BW227="","",COUNTIFS(Tasks!$C$5:$C$64,BW227,Tasks!$G$5:$G$64,"&lt;&gt;Complete"))</f>
        <v>0</v>
      </c>
      <c r="CA227" s="17">
        <f>IF(Campaigns!$B$227="","",Campaigns!$B$227)</f>
        <v>0</v>
      </c>
      <c r="CB227" s="25">
        <f>IF(Campaigns!$T$227="","",Campaigns!$T$227)</f>
        <v>0</v>
      </c>
      <c r="CC227" s="25">
        <f>IF(Campaigns!$Q$227="","",Campaigns!$Q$227)</f>
        <v>0</v>
      </c>
      <c r="CD227" s="23">
        <f>IF(Campaigns!$Y$227="","",Campaigns!$Y$227)</f>
        <v>0</v>
      </c>
      <c r="CE227" s="32">
        <f>IF(CA227="","",IF(N(CB227)&lt;=0,"",N(CB227)+ROW()/1000000))</f>
        <v>0</v>
      </c>
      <c r="CF227" s="17">
        <f>IF(Accounts!$C$227="","",Accounts!$C$227)</f>
        <v>0</v>
      </c>
      <c r="CG227" s="17">
        <f>IF(Accounts!$B$227="","",Accounts!$B$227)</f>
        <v>0</v>
      </c>
      <c r="CH227" s="23">
        <f>IF(Accounts!$J$227="","",Accounts!$J$227)</f>
        <v>0</v>
      </c>
      <c r="CI227" s="23">
        <f>IF(CF227="","",SUMIFS(Analytics!$X$5:$X$154,Analytics!$E$5:$E$154,CF227,Analytics!$B$5:$B$154,"&gt;="&amp;DashStart,Analytics!$B$5:$B$154,"&lt;="&amp;DashEnd))</f>
        <v>0</v>
      </c>
      <c r="CJ227" s="32">
        <f>IF(CH227="","",IF(CH227=0,"",CH227+ROW()/1000000))</f>
        <v>0</v>
      </c>
    </row>
    <row r="228" spans="1:88">
      <c r="A228" s="16">
        <f>IF(ROW()-4&gt;12,"",DATE(PlanYear,ROW()-4,1))</f>
        <v>0</v>
      </c>
      <c r="B228" s="16">
        <f>IF(A228="","",EOMONTH(A228,0))</f>
        <v>0</v>
      </c>
      <c r="C228" s="17">
        <f>IF(A228="","",TEXT(A228,"yyyy-mm"))</f>
        <v>0</v>
      </c>
      <c r="D228" s="17">
        <f>IF(A228="","",TEXT(A228,"mmm"))</f>
        <v>0</v>
      </c>
      <c r="E228" s="23">
        <f>IF(C228="","",COUNTIFS('Content Calendar'!$D$5:$D$604,C228))</f>
        <v>0</v>
      </c>
      <c r="F228" s="23">
        <f>IF(C228="","",COUNTIFS('Content Calendar'!$D$5:$D$604,C228,'Content Calendar'!$X$5:$X$604,"Published"))</f>
        <v>0</v>
      </c>
      <c r="G228" s="23">
        <f>IF(C228="","",SUMIFS(Analytics!$J$5:$J$154,Analytics!$C$5:$C$154,C228))</f>
        <v>0</v>
      </c>
      <c r="H228" s="23">
        <f>IF(C228="","",SUMIFS(Analytics!$K$5:$K$154,Analytics!$C$5:$C$154,C228))</f>
        <v>0</v>
      </c>
      <c r="I228" s="23">
        <f>IF(C228="","",SUMIFS(Analytics!$L$5:$L$154,Analytics!$C$5:$C$154,C228))</f>
        <v>0</v>
      </c>
      <c r="J228" s="24">
        <f>IF(OR(G228="",G228=0),"",I228/G228)</f>
        <v>0</v>
      </c>
      <c r="K228" s="23">
        <f>IF(C228="","",SUMIFS(Analytics!$G$5:$G$154,Analytics!$C$5:$C$154,C228))</f>
        <v>0</v>
      </c>
      <c r="L228" s="23">
        <f>IF(C228="","",SUMIFS(Analytics!$X$5:$X$154,Analytics!$C$5:$C$154,C228))</f>
        <v>0</v>
      </c>
      <c r="M228" s="23">
        <f>IF(C228="","",SUMIFS(Analytics!$R$5:$R$154,Analytics!$C$5:$C$154,C228))</f>
        <v>0</v>
      </c>
      <c r="N228" s="23">
        <f>IF(C228="","",SUMIFS(Analytics!$S$5:$S$154,Analytics!$C$5:$C$154,C228))</f>
        <v>0</v>
      </c>
      <c r="O228" s="23">
        <f>IF(C228="","",SUMIFS(Analytics!$T$5:$T$154,Analytics!$C$5:$C$154,C228))</f>
        <v>0</v>
      </c>
      <c r="P228" s="25">
        <f>IF(C228="","",SUMIFS(Analytics!$U$5:$U$154,Analytics!$C$5:$C$154,C228))</f>
        <v>0</v>
      </c>
      <c r="Q228" s="25">
        <f>IF(C228="","",SUMIFS(Budget!$H$5:$H$64,Budget!$C$5:$C$64,C228))</f>
        <v>0</v>
      </c>
      <c r="R228" s="25">
        <f>IF(C228="","",P228-Q228)</f>
        <v>0</v>
      </c>
      <c r="S228" s="23">
        <f>IF(C228="","",MonthlyPostTarget)</f>
        <v>0</v>
      </c>
      <c r="T228" s="17">
        <f>IF(Lists!$C228="","",Lists!$C228)</f>
        <v>0</v>
      </c>
      <c r="U228" s="23">
        <f>IF(T228="","",COUNTIFS('Content Calendar'!$G$5:$G$604,T228,'Content Calendar'!$B$5:$B$604,"&gt;="&amp;DashStart,'Content Calendar'!$B$5:$B$604,"&lt;="&amp;DashEnd))</f>
        <v>0</v>
      </c>
      <c r="V228" s="23">
        <f>IF(T228="","",COUNTIFS('Content Calendar'!$G$5:$G$604,T228,'Content Calendar'!$X$5:$X$604,"Published",'Content Calendar'!$B$5:$B$604,"&gt;="&amp;DashStart,'Content Calendar'!$B$5:$B$604,"&lt;="&amp;DashEnd))</f>
        <v>0</v>
      </c>
      <c r="W228" s="23">
        <f>IF(T228="","",SUMIFS(Analytics!$J$5:$J$154,Analytics!$D$5:$D$154,T228,Analytics!$B$5:$B$154,"&gt;="&amp;DashStart,Analytics!$B$5:$B$154,"&lt;="&amp;DashEnd))</f>
        <v>0</v>
      </c>
      <c r="X228" s="23">
        <f>IF(T228="","",SUMIFS(Analytics!$L$5:$L$154,Analytics!$D$5:$D$154,T228,Analytics!$B$5:$B$154,"&gt;="&amp;DashStart,Analytics!$B$5:$B$154,"&lt;="&amp;DashEnd))</f>
        <v>0</v>
      </c>
      <c r="Y228" s="24">
        <f>IF(OR(W228="",W228=0),"",X228/W228)</f>
        <v>0</v>
      </c>
      <c r="Z228" s="23">
        <f>IF(T228="","",SUMIFS(Analytics!$G$5:$G$154,Analytics!$D$5:$D$154,T228,Analytics!$B$5:$B$154,"&gt;="&amp;DashStart,Analytics!$B$5:$B$154,"&lt;="&amp;DashEnd))</f>
        <v>0</v>
      </c>
      <c r="AA228" s="23">
        <f>IF(T228="","",SUMIFS(Analytics!$X$5:$X$154,Analytics!$D$5:$D$154,T228,Analytics!$B$5:$B$154,"&gt;="&amp;DashStart,Analytics!$B$5:$B$154,"&lt;="&amp;DashEnd))</f>
        <v>0</v>
      </c>
      <c r="AB228" s="23">
        <f>IF(T228="","",SUMIFS(Analytics!$R$5:$R$154,Analytics!$D$5:$D$154,T228,Analytics!$B$5:$B$154,"&gt;="&amp;DashStart,Analytics!$B$5:$B$154,"&lt;="&amp;DashEnd))</f>
        <v>0</v>
      </c>
      <c r="AC228" s="25">
        <f>IF(T228="","",SUMIFS(Analytics!$U$5:$U$154,Analytics!$D$5:$D$154,T228,Analytics!$B$5:$B$154,"&gt;="&amp;DashStart,Analytics!$B$5:$B$154,"&lt;="&amp;DashEnd))</f>
        <v>0</v>
      </c>
      <c r="AD228" s="23">
        <f>IF(T228="","",COUNTIFS('Content Calendar'!$G$5:$G$604,T228,'Content Calendar'!$B$5:$B$604,"&gt;="&amp;DATE(PlanYear,1,1),'Content Calendar'!$B$5:$B$604,"&lt;="&amp;DATE(PlanYear,12,31)))</f>
        <v>0</v>
      </c>
      <c r="AE228" s="23">
        <f>IF(T228="","",SUMIFS(Analytics!$J$5:$J$154,Analytics!$D$5:$D$154,T228))</f>
        <v>0</v>
      </c>
      <c r="AF228" s="23">
        <f>IF(T228="","",SUMIFS(Analytics!$L$5:$L$154,Analytics!$D$5:$D$154,T228))</f>
        <v>0</v>
      </c>
      <c r="AG228" s="24">
        <f>IF(OR(AE228="",AE228=0),"",AF228/AE228)</f>
        <v>0</v>
      </c>
      <c r="AH228" s="23">
        <f>IF(T228="","",SUMIFS(Analytics!$X$5:$X$154,Analytics!$D$5:$D$154,T228))</f>
        <v>0</v>
      </c>
      <c r="AI228" s="32">
        <f>IF(T228="","",IF(AE228=0,"",AE228+ROW()/1000000))</f>
        <v>0</v>
      </c>
      <c r="AJ228" s="17">
        <f>IF('Content Pillars'!$B$228="","",'Content Pillars'!$B$228)</f>
        <v>0</v>
      </c>
      <c r="AK228" s="23">
        <f>IF(AJ228="","",COUNTIFS('Content Calendar'!$J$5:$J$604,AJ228,'Content Calendar'!$B$5:$B$604,"&gt;="&amp;DATE(PlanYear,1,1),'Content Calendar'!$B$5:$B$604,"&lt;="&amp;DATE(PlanYear,12,31)))</f>
        <v>0</v>
      </c>
      <c r="AL228" s="23">
        <f>IF(AJ228="","",SUMIFS(Performance!$O$5:$O$404,Performance!$H$5:$H$404,AJ228))</f>
        <v>0</v>
      </c>
      <c r="AM228" s="23">
        <f>IF(AJ228="","",SUMIFS(Performance!$Z$5:$Z$404,Performance!$H$5:$H$404,AJ228))</f>
        <v>0</v>
      </c>
      <c r="AN228" s="24">
        <f>IF(OR(AL228="",AL228=0),"",AM228/AL228)</f>
        <v>0</v>
      </c>
      <c r="AO228" s="32">
        <f>IF(AN228="","",AN228+ROW()/1000000)</f>
        <v>0</v>
      </c>
      <c r="AP228" s="17">
        <f>IF(Lists!$E228="","",Lists!$E228)</f>
        <v>0</v>
      </c>
      <c r="AQ228" s="23">
        <f>IF(AP228="","",COUNTIF(Performance!$G$5:$G$404,AP228))</f>
        <v>0</v>
      </c>
      <c r="AR228" s="23">
        <f>IF(AP228="","",SUMIFS(Performance!$O$5:$O$404,Performance!$G$5:$G$404,AP228))</f>
        <v>0</v>
      </c>
      <c r="AS228" s="23">
        <f>IF(AP228="","",SUMIFS(Performance!$Z$5:$Z$404,Performance!$G$5:$G$404,AP228))</f>
        <v>0</v>
      </c>
      <c r="AT228" s="24">
        <f>IF(OR(AR228="",AR228=0),"",AS228/AR228)</f>
        <v>0</v>
      </c>
      <c r="AU228" s="32">
        <f>IF(AQ228=0,"",IF(AT228="","",AT228+ROW()/1000000))</f>
        <v>0</v>
      </c>
      <c r="AV228" s="17">
        <f>IF(ROW()-4&gt;7,"",TEXT(DATE(2024,1,ROW()-4),"ddd"))</f>
        <v>0</v>
      </c>
      <c r="AW228" s="23">
        <f>IF(AV228="","",COUNTIF(Performance!$N$5:$N$404,AV228))</f>
        <v>0</v>
      </c>
      <c r="AX228" s="23">
        <f>IF(AV228="","",SUMIFS(Performance!$O$5:$O$404,Performance!$N$5:$N$404,AV228))</f>
        <v>0</v>
      </c>
      <c r="AY228" s="23">
        <f>IF(AV228="","",SUMIFS(Performance!$Z$5:$Z$404,Performance!$N$5:$N$404,AV228))</f>
        <v>0</v>
      </c>
      <c r="AZ228" s="24">
        <f>IF(OR(AX228="",AX228=0),"",AY228/AX228)</f>
        <v>0</v>
      </c>
      <c r="BA228" s="32">
        <f>IF(AW228=0,"",IF(AZ228="","",AZ228+ROW()/1000000))</f>
        <v>0</v>
      </c>
      <c r="BB228" s="17">
        <f>IF(Lists!$AL228="","",Lists!$AL228)</f>
        <v>0</v>
      </c>
      <c r="BC228" s="23">
        <f>IF(BB228="","",COUNTIF(Performance!$M$5:$M$404,BB228))</f>
        <v>0</v>
      </c>
      <c r="BD228" s="23">
        <f>IF(BB228="","",SUMIFS(Performance!$O$5:$O$404,Performance!$M$5:$M$404,BB228))</f>
        <v>0</v>
      </c>
      <c r="BE228" s="23">
        <f>IF(BB228="","",SUMIFS(Performance!$Z$5:$Z$404,Performance!$M$5:$M$404,BB228))</f>
        <v>0</v>
      </c>
      <c r="BF228" s="24">
        <f>IF(OR(BD228="",BD228=0),"",BE228/BD228)</f>
        <v>0</v>
      </c>
      <c r="BG228" s="32">
        <f>IF(BC228=0,"",IF(BF228="","",BF228+ROW()/1000000))</f>
        <v>0</v>
      </c>
      <c r="BH228" s="17">
        <f>IF(Performance!$C$228="","",Performance!$C$228)</f>
        <v>0</v>
      </c>
      <c r="BI228" s="17">
        <f>IF(Performance!$F$228="","",Performance!$F$228)</f>
        <v>0</v>
      </c>
      <c r="BJ228" s="17">
        <f>IF(Performance!$H$228="","",Performance!$H$228)</f>
        <v>0</v>
      </c>
      <c r="BK228" s="16">
        <f>IF(Performance!$D$228="","",Performance!$D$228)</f>
        <v>0</v>
      </c>
      <c r="BL228" s="17">
        <f>IF(Performance!$E$228="","",Performance!$E$228)</f>
        <v>0</v>
      </c>
      <c r="BM228" s="23">
        <f>IF(Performance!$O$228="","",Performance!$O$228)</f>
        <v>0</v>
      </c>
      <c r="BN228" s="24">
        <f>IF(Performance!$AA$228="","",Performance!$AA$228)</f>
        <v>0</v>
      </c>
      <c r="BO228" s="32">
        <f>IF(BH228="","",IF(BK228="","",IF(OR(BK228&lt;DashStart,BK228&gt;DashEnd),"",IF(BN228="","",BN228+ROW()/1000000))))</f>
        <v>0</v>
      </c>
      <c r="BP228" s="32">
        <f>IF(BM228="","",IF(BK228="","",IF(OR(BK228&lt;DashStart,BK228&gt;DashEnd),"",BM228+ROW()/1000000)))</f>
        <v>0</v>
      </c>
      <c r="BQ228" s="32">
        <f>IF(BH228="","",IF(BK228="","",IF(YEAR(BK228)&lt;&gt;PlanYear,"",IF(BN228="","",BN228+ROW()/1000000))))</f>
        <v>0</v>
      </c>
      <c r="BR228" s="32">
        <f>IF(BH228="","",IF(BK228="","",IF(OR(BK228&lt;RepFrom,BK228&gt;RepTo),"",IF(BN228="","",BN228+ROW()/1000000))))</f>
        <v>0</v>
      </c>
      <c r="BS228" s="32">
        <f>IF(BM228="","",IF(BK228="","",IF(YEAR(BK228)&lt;&gt;PlanYear,"",BM228+ROW()/1000000)))</f>
        <v>0</v>
      </c>
      <c r="BT228" s="17">
        <f>IF(Lists!$F228="","",Lists!$F228)</f>
        <v>0</v>
      </c>
      <c r="BU228" s="23">
        <f>IF(BT228="","",COUNTIF('Content Calendar'!$X$5:$X$604,BT228))</f>
        <v>0</v>
      </c>
      <c r="BV228" s="23">
        <f>IF(BT228="","",COUNTIFS('Content Calendar'!$X$5:$X$604,BT228,'Content Calendar'!$B$5:$B$604,"&gt;="&amp;DashStart,'Content Calendar'!$B$5:$B$604,"&lt;="&amp;DashEnd))</f>
        <v>0</v>
      </c>
      <c r="BW228" s="17">
        <f>IF(Team!$B$228="","",Team!$B$228)</f>
        <v>0</v>
      </c>
      <c r="BX228" s="23">
        <f>IF(BW228="","",COUNTIF('Content Calendar'!$W$5:$W$604,BW228))</f>
        <v>0</v>
      </c>
      <c r="BY228" s="23">
        <f>IF(BW228="","",COUNTIFS('Content Calendar'!$W$5:$W$604,BW228,'Content Calendar'!$X$5:$X$604,"&lt;&gt;Published"))</f>
        <v>0</v>
      </c>
      <c r="BZ228" s="23">
        <f>IF(BW228="","",COUNTIFS(Tasks!$C$5:$C$64,BW228,Tasks!$G$5:$G$64,"&lt;&gt;Complete"))</f>
        <v>0</v>
      </c>
      <c r="CA228" s="17">
        <f>IF(Campaigns!$B$228="","",Campaigns!$B$228)</f>
        <v>0</v>
      </c>
      <c r="CB228" s="25">
        <f>IF(Campaigns!$T$228="","",Campaigns!$T$228)</f>
        <v>0</v>
      </c>
      <c r="CC228" s="25">
        <f>IF(Campaigns!$Q$228="","",Campaigns!$Q$228)</f>
        <v>0</v>
      </c>
      <c r="CD228" s="23">
        <f>IF(Campaigns!$Y$228="","",Campaigns!$Y$228)</f>
        <v>0</v>
      </c>
      <c r="CE228" s="32">
        <f>IF(CA228="","",IF(N(CB228)&lt;=0,"",N(CB228)+ROW()/1000000))</f>
        <v>0</v>
      </c>
      <c r="CF228" s="17">
        <f>IF(Accounts!$C$228="","",Accounts!$C$228)</f>
        <v>0</v>
      </c>
      <c r="CG228" s="17">
        <f>IF(Accounts!$B$228="","",Accounts!$B$228)</f>
        <v>0</v>
      </c>
      <c r="CH228" s="23">
        <f>IF(Accounts!$J$228="","",Accounts!$J$228)</f>
        <v>0</v>
      </c>
      <c r="CI228" s="23">
        <f>IF(CF228="","",SUMIFS(Analytics!$X$5:$X$154,Analytics!$E$5:$E$154,CF228,Analytics!$B$5:$B$154,"&gt;="&amp;DashStart,Analytics!$B$5:$B$154,"&lt;="&amp;DashEnd))</f>
        <v>0</v>
      </c>
      <c r="CJ228" s="32">
        <f>IF(CH228="","",IF(CH228=0,"",CH228+ROW()/1000000))</f>
        <v>0</v>
      </c>
    </row>
    <row r="229" spans="1:88">
      <c r="A229" s="16">
        <f>IF(ROW()-4&gt;12,"",DATE(PlanYear,ROW()-4,1))</f>
        <v>0</v>
      </c>
      <c r="B229" s="16">
        <f>IF(A229="","",EOMONTH(A229,0))</f>
        <v>0</v>
      </c>
      <c r="C229" s="17">
        <f>IF(A229="","",TEXT(A229,"yyyy-mm"))</f>
        <v>0</v>
      </c>
      <c r="D229" s="17">
        <f>IF(A229="","",TEXT(A229,"mmm"))</f>
        <v>0</v>
      </c>
      <c r="E229" s="23">
        <f>IF(C229="","",COUNTIFS('Content Calendar'!$D$5:$D$604,C229))</f>
        <v>0</v>
      </c>
      <c r="F229" s="23">
        <f>IF(C229="","",COUNTIFS('Content Calendar'!$D$5:$D$604,C229,'Content Calendar'!$X$5:$X$604,"Published"))</f>
        <v>0</v>
      </c>
      <c r="G229" s="23">
        <f>IF(C229="","",SUMIFS(Analytics!$J$5:$J$154,Analytics!$C$5:$C$154,C229))</f>
        <v>0</v>
      </c>
      <c r="H229" s="23">
        <f>IF(C229="","",SUMIFS(Analytics!$K$5:$K$154,Analytics!$C$5:$C$154,C229))</f>
        <v>0</v>
      </c>
      <c r="I229" s="23">
        <f>IF(C229="","",SUMIFS(Analytics!$L$5:$L$154,Analytics!$C$5:$C$154,C229))</f>
        <v>0</v>
      </c>
      <c r="J229" s="24">
        <f>IF(OR(G229="",G229=0),"",I229/G229)</f>
        <v>0</v>
      </c>
      <c r="K229" s="23">
        <f>IF(C229="","",SUMIFS(Analytics!$G$5:$G$154,Analytics!$C$5:$C$154,C229))</f>
        <v>0</v>
      </c>
      <c r="L229" s="23">
        <f>IF(C229="","",SUMIFS(Analytics!$X$5:$X$154,Analytics!$C$5:$C$154,C229))</f>
        <v>0</v>
      </c>
      <c r="M229" s="23">
        <f>IF(C229="","",SUMIFS(Analytics!$R$5:$R$154,Analytics!$C$5:$C$154,C229))</f>
        <v>0</v>
      </c>
      <c r="N229" s="23">
        <f>IF(C229="","",SUMIFS(Analytics!$S$5:$S$154,Analytics!$C$5:$C$154,C229))</f>
        <v>0</v>
      </c>
      <c r="O229" s="23">
        <f>IF(C229="","",SUMIFS(Analytics!$T$5:$T$154,Analytics!$C$5:$C$154,C229))</f>
        <v>0</v>
      </c>
      <c r="P229" s="25">
        <f>IF(C229="","",SUMIFS(Analytics!$U$5:$U$154,Analytics!$C$5:$C$154,C229))</f>
        <v>0</v>
      </c>
      <c r="Q229" s="25">
        <f>IF(C229="","",SUMIFS(Budget!$H$5:$H$64,Budget!$C$5:$C$64,C229))</f>
        <v>0</v>
      </c>
      <c r="R229" s="25">
        <f>IF(C229="","",P229-Q229)</f>
        <v>0</v>
      </c>
      <c r="S229" s="23">
        <f>IF(C229="","",MonthlyPostTarget)</f>
        <v>0</v>
      </c>
      <c r="T229" s="17">
        <f>IF(Lists!$C229="","",Lists!$C229)</f>
        <v>0</v>
      </c>
      <c r="U229" s="23">
        <f>IF(T229="","",COUNTIFS('Content Calendar'!$G$5:$G$604,T229,'Content Calendar'!$B$5:$B$604,"&gt;="&amp;DashStart,'Content Calendar'!$B$5:$B$604,"&lt;="&amp;DashEnd))</f>
        <v>0</v>
      </c>
      <c r="V229" s="23">
        <f>IF(T229="","",COUNTIFS('Content Calendar'!$G$5:$G$604,T229,'Content Calendar'!$X$5:$X$604,"Published",'Content Calendar'!$B$5:$B$604,"&gt;="&amp;DashStart,'Content Calendar'!$B$5:$B$604,"&lt;="&amp;DashEnd))</f>
        <v>0</v>
      </c>
      <c r="W229" s="23">
        <f>IF(T229="","",SUMIFS(Analytics!$J$5:$J$154,Analytics!$D$5:$D$154,T229,Analytics!$B$5:$B$154,"&gt;="&amp;DashStart,Analytics!$B$5:$B$154,"&lt;="&amp;DashEnd))</f>
        <v>0</v>
      </c>
      <c r="X229" s="23">
        <f>IF(T229="","",SUMIFS(Analytics!$L$5:$L$154,Analytics!$D$5:$D$154,T229,Analytics!$B$5:$B$154,"&gt;="&amp;DashStart,Analytics!$B$5:$B$154,"&lt;="&amp;DashEnd))</f>
        <v>0</v>
      </c>
      <c r="Y229" s="24">
        <f>IF(OR(W229="",W229=0),"",X229/W229)</f>
        <v>0</v>
      </c>
      <c r="Z229" s="23">
        <f>IF(T229="","",SUMIFS(Analytics!$G$5:$G$154,Analytics!$D$5:$D$154,T229,Analytics!$B$5:$B$154,"&gt;="&amp;DashStart,Analytics!$B$5:$B$154,"&lt;="&amp;DashEnd))</f>
        <v>0</v>
      </c>
      <c r="AA229" s="23">
        <f>IF(T229="","",SUMIFS(Analytics!$X$5:$X$154,Analytics!$D$5:$D$154,T229,Analytics!$B$5:$B$154,"&gt;="&amp;DashStart,Analytics!$B$5:$B$154,"&lt;="&amp;DashEnd))</f>
        <v>0</v>
      </c>
      <c r="AB229" s="23">
        <f>IF(T229="","",SUMIFS(Analytics!$R$5:$R$154,Analytics!$D$5:$D$154,T229,Analytics!$B$5:$B$154,"&gt;="&amp;DashStart,Analytics!$B$5:$B$154,"&lt;="&amp;DashEnd))</f>
        <v>0</v>
      </c>
      <c r="AC229" s="25">
        <f>IF(T229="","",SUMIFS(Analytics!$U$5:$U$154,Analytics!$D$5:$D$154,T229,Analytics!$B$5:$B$154,"&gt;="&amp;DashStart,Analytics!$B$5:$B$154,"&lt;="&amp;DashEnd))</f>
        <v>0</v>
      </c>
      <c r="AD229" s="23">
        <f>IF(T229="","",COUNTIFS('Content Calendar'!$G$5:$G$604,T229,'Content Calendar'!$B$5:$B$604,"&gt;="&amp;DATE(PlanYear,1,1),'Content Calendar'!$B$5:$B$604,"&lt;="&amp;DATE(PlanYear,12,31)))</f>
        <v>0</v>
      </c>
      <c r="AE229" s="23">
        <f>IF(T229="","",SUMIFS(Analytics!$J$5:$J$154,Analytics!$D$5:$D$154,T229))</f>
        <v>0</v>
      </c>
      <c r="AF229" s="23">
        <f>IF(T229="","",SUMIFS(Analytics!$L$5:$L$154,Analytics!$D$5:$D$154,T229))</f>
        <v>0</v>
      </c>
      <c r="AG229" s="24">
        <f>IF(OR(AE229="",AE229=0),"",AF229/AE229)</f>
        <v>0</v>
      </c>
      <c r="AH229" s="23">
        <f>IF(T229="","",SUMIFS(Analytics!$X$5:$X$154,Analytics!$D$5:$D$154,T229))</f>
        <v>0</v>
      </c>
      <c r="AI229" s="32">
        <f>IF(T229="","",IF(AE229=0,"",AE229+ROW()/1000000))</f>
        <v>0</v>
      </c>
      <c r="AJ229" s="17">
        <f>IF('Content Pillars'!$B$229="","",'Content Pillars'!$B$229)</f>
        <v>0</v>
      </c>
      <c r="AK229" s="23">
        <f>IF(AJ229="","",COUNTIFS('Content Calendar'!$J$5:$J$604,AJ229,'Content Calendar'!$B$5:$B$604,"&gt;="&amp;DATE(PlanYear,1,1),'Content Calendar'!$B$5:$B$604,"&lt;="&amp;DATE(PlanYear,12,31)))</f>
        <v>0</v>
      </c>
      <c r="AL229" s="23">
        <f>IF(AJ229="","",SUMIFS(Performance!$O$5:$O$404,Performance!$H$5:$H$404,AJ229))</f>
        <v>0</v>
      </c>
      <c r="AM229" s="23">
        <f>IF(AJ229="","",SUMIFS(Performance!$Z$5:$Z$404,Performance!$H$5:$H$404,AJ229))</f>
        <v>0</v>
      </c>
      <c r="AN229" s="24">
        <f>IF(OR(AL229="",AL229=0),"",AM229/AL229)</f>
        <v>0</v>
      </c>
      <c r="AO229" s="32">
        <f>IF(AN229="","",AN229+ROW()/1000000)</f>
        <v>0</v>
      </c>
      <c r="AP229" s="17">
        <f>IF(Lists!$E229="","",Lists!$E229)</f>
        <v>0</v>
      </c>
      <c r="AQ229" s="23">
        <f>IF(AP229="","",COUNTIF(Performance!$G$5:$G$404,AP229))</f>
        <v>0</v>
      </c>
      <c r="AR229" s="23">
        <f>IF(AP229="","",SUMIFS(Performance!$O$5:$O$404,Performance!$G$5:$G$404,AP229))</f>
        <v>0</v>
      </c>
      <c r="AS229" s="23">
        <f>IF(AP229="","",SUMIFS(Performance!$Z$5:$Z$404,Performance!$G$5:$G$404,AP229))</f>
        <v>0</v>
      </c>
      <c r="AT229" s="24">
        <f>IF(OR(AR229="",AR229=0),"",AS229/AR229)</f>
        <v>0</v>
      </c>
      <c r="AU229" s="32">
        <f>IF(AQ229=0,"",IF(AT229="","",AT229+ROW()/1000000))</f>
        <v>0</v>
      </c>
      <c r="AV229" s="17">
        <f>IF(ROW()-4&gt;7,"",TEXT(DATE(2024,1,ROW()-4),"ddd"))</f>
        <v>0</v>
      </c>
      <c r="AW229" s="23">
        <f>IF(AV229="","",COUNTIF(Performance!$N$5:$N$404,AV229))</f>
        <v>0</v>
      </c>
      <c r="AX229" s="23">
        <f>IF(AV229="","",SUMIFS(Performance!$O$5:$O$404,Performance!$N$5:$N$404,AV229))</f>
        <v>0</v>
      </c>
      <c r="AY229" s="23">
        <f>IF(AV229="","",SUMIFS(Performance!$Z$5:$Z$404,Performance!$N$5:$N$404,AV229))</f>
        <v>0</v>
      </c>
      <c r="AZ229" s="24">
        <f>IF(OR(AX229="",AX229=0),"",AY229/AX229)</f>
        <v>0</v>
      </c>
      <c r="BA229" s="32">
        <f>IF(AW229=0,"",IF(AZ229="","",AZ229+ROW()/1000000))</f>
        <v>0</v>
      </c>
      <c r="BB229" s="17">
        <f>IF(Lists!$AL229="","",Lists!$AL229)</f>
        <v>0</v>
      </c>
      <c r="BC229" s="23">
        <f>IF(BB229="","",COUNTIF(Performance!$M$5:$M$404,BB229))</f>
        <v>0</v>
      </c>
      <c r="BD229" s="23">
        <f>IF(BB229="","",SUMIFS(Performance!$O$5:$O$404,Performance!$M$5:$M$404,BB229))</f>
        <v>0</v>
      </c>
      <c r="BE229" s="23">
        <f>IF(BB229="","",SUMIFS(Performance!$Z$5:$Z$404,Performance!$M$5:$M$404,BB229))</f>
        <v>0</v>
      </c>
      <c r="BF229" s="24">
        <f>IF(OR(BD229="",BD229=0),"",BE229/BD229)</f>
        <v>0</v>
      </c>
      <c r="BG229" s="32">
        <f>IF(BC229=0,"",IF(BF229="","",BF229+ROW()/1000000))</f>
        <v>0</v>
      </c>
      <c r="BH229" s="17">
        <f>IF(Performance!$C$229="","",Performance!$C$229)</f>
        <v>0</v>
      </c>
      <c r="BI229" s="17">
        <f>IF(Performance!$F$229="","",Performance!$F$229)</f>
        <v>0</v>
      </c>
      <c r="BJ229" s="17">
        <f>IF(Performance!$H$229="","",Performance!$H$229)</f>
        <v>0</v>
      </c>
      <c r="BK229" s="16">
        <f>IF(Performance!$D$229="","",Performance!$D$229)</f>
        <v>0</v>
      </c>
      <c r="BL229" s="17">
        <f>IF(Performance!$E$229="","",Performance!$E$229)</f>
        <v>0</v>
      </c>
      <c r="BM229" s="23">
        <f>IF(Performance!$O$229="","",Performance!$O$229)</f>
        <v>0</v>
      </c>
      <c r="BN229" s="24">
        <f>IF(Performance!$AA$229="","",Performance!$AA$229)</f>
        <v>0</v>
      </c>
      <c r="BO229" s="32">
        <f>IF(BH229="","",IF(BK229="","",IF(OR(BK229&lt;DashStart,BK229&gt;DashEnd),"",IF(BN229="","",BN229+ROW()/1000000))))</f>
        <v>0</v>
      </c>
      <c r="BP229" s="32">
        <f>IF(BM229="","",IF(BK229="","",IF(OR(BK229&lt;DashStart,BK229&gt;DashEnd),"",BM229+ROW()/1000000)))</f>
        <v>0</v>
      </c>
      <c r="BQ229" s="32">
        <f>IF(BH229="","",IF(BK229="","",IF(YEAR(BK229)&lt;&gt;PlanYear,"",IF(BN229="","",BN229+ROW()/1000000))))</f>
        <v>0</v>
      </c>
      <c r="BR229" s="32">
        <f>IF(BH229="","",IF(BK229="","",IF(OR(BK229&lt;RepFrom,BK229&gt;RepTo),"",IF(BN229="","",BN229+ROW()/1000000))))</f>
        <v>0</v>
      </c>
      <c r="BS229" s="32">
        <f>IF(BM229="","",IF(BK229="","",IF(YEAR(BK229)&lt;&gt;PlanYear,"",BM229+ROW()/1000000)))</f>
        <v>0</v>
      </c>
      <c r="BT229" s="17">
        <f>IF(Lists!$F229="","",Lists!$F229)</f>
        <v>0</v>
      </c>
      <c r="BU229" s="23">
        <f>IF(BT229="","",COUNTIF('Content Calendar'!$X$5:$X$604,BT229))</f>
        <v>0</v>
      </c>
      <c r="BV229" s="23">
        <f>IF(BT229="","",COUNTIFS('Content Calendar'!$X$5:$X$604,BT229,'Content Calendar'!$B$5:$B$604,"&gt;="&amp;DashStart,'Content Calendar'!$B$5:$B$604,"&lt;="&amp;DashEnd))</f>
        <v>0</v>
      </c>
      <c r="BW229" s="17">
        <f>IF(Team!$B$229="","",Team!$B$229)</f>
        <v>0</v>
      </c>
      <c r="BX229" s="23">
        <f>IF(BW229="","",COUNTIF('Content Calendar'!$W$5:$W$604,BW229))</f>
        <v>0</v>
      </c>
      <c r="BY229" s="23">
        <f>IF(BW229="","",COUNTIFS('Content Calendar'!$W$5:$W$604,BW229,'Content Calendar'!$X$5:$X$604,"&lt;&gt;Published"))</f>
        <v>0</v>
      </c>
      <c r="BZ229" s="23">
        <f>IF(BW229="","",COUNTIFS(Tasks!$C$5:$C$64,BW229,Tasks!$G$5:$G$64,"&lt;&gt;Complete"))</f>
        <v>0</v>
      </c>
      <c r="CA229" s="17">
        <f>IF(Campaigns!$B$229="","",Campaigns!$B$229)</f>
        <v>0</v>
      </c>
      <c r="CB229" s="25">
        <f>IF(Campaigns!$T$229="","",Campaigns!$T$229)</f>
        <v>0</v>
      </c>
      <c r="CC229" s="25">
        <f>IF(Campaigns!$Q$229="","",Campaigns!$Q$229)</f>
        <v>0</v>
      </c>
      <c r="CD229" s="23">
        <f>IF(Campaigns!$Y$229="","",Campaigns!$Y$229)</f>
        <v>0</v>
      </c>
      <c r="CE229" s="32">
        <f>IF(CA229="","",IF(N(CB229)&lt;=0,"",N(CB229)+ROW()/1000000))</f>
        <v>0</v>
      </c>
      <c r="CF229" s="17">
        <f>IF(Accounts!$C$229="","",Accounts!$C$229)</f>
        <v>0</v>
      </c>
      <c r="CG229" s="17">
        <f>IF(Accounts!$B$229="","",Accounts!$B$229)</f>
        <v>0</v>
      </c>
      <c r="CH229" s="23">
        <f>IF(Accounts!$J$229="","",Accounts!$J$229)</f>
        <v>0</v>
      </c>
      <c r="CI229" s="23">
        <f>IF(CF229="","",SUMIFS(Analytics!$X$5:$X$154,Analytics!$E$5:$E$154,CF229,Analytics!$B$5:$B$154,"&gt;="&amp;DashStart,Analytics!$B$5:$B$154,"&lt;="&amp;DashEnd))</f>
        <v>0</v>
      </c>
      <c r="CJ229" s="32">
        <f>IF(CH229="","",IF(CH229=0,"",CH229+ROW()/1000000))</f>
        <v>0</v>
      </c>
    </row>
    <row r="230" spans="1:88">
      <c r="A230" s="16">
        <f>IF(ROW()-4&gt;12,"",DATE(PlanYear,ROW()-4,1))</f>
        <v>0</v>
      </c>
      <c r="B230" s="16">
        <f>IF(A230="","",EOMONTH(A230,0))</f>
        <v>0</v>
      </c>
      <c r="C230" s="17">
        <f>IF(A230="","",TEXT(A230,"yyyy-mm"))</f>
        <v>0</v>
      </c>
      <c r="D230" s="17">
        <f>IF(A230="","",TEXT(A230,"mmm"))</f>
        <v>0</v>
      </c>
      <c r="E230" s="23">
        <f>IF(C230="","",COUNTIFS('Content Calendar'!$D$5:$D$604,C230))</f>
        <v>0</v>
      </c>
      <c r="F230" s="23">
        <f>IF(C230="","",COUNTIFS('Content Calendar'!$D$5:$D$604,C230,'Content Calendar'!$X$5:$X$604,"Published"))</f>
        <v>0</v>
      </c>
      <c r="G230" s="23">
        <f>IF(C230="","",SUMIFS(Analytics!$J$5:$J$154,Analytics!$C$5:$C$154,C230))</f>
        <v>0</v>
      </c>
      <c r="H230" s="23">
        <f>IF(C230="","",SUMIFS(Analytics!$K$5:$K$154,Analytics!$C$5:$C$154,C230))</f>
        <v>0</v>
      </c>
      <c r="I230" s="23">
        <f>IF(C230="","",SUMIFS(Analytics!$L$5:$L$154,Analytics!$C$5:$C$154,C230))</f>
        <v>0</v>
      </c>
      <c r="J230" s="24">
        <f>IF(OR(G230="",G230=0),"",I230/G230)</f>
        <v>0</v>
      </c>
      <c r="K230" s="23">
        <f>IF(C230="","",SUMIFS(Analytics!$G$5:$G$154,Analytics!$C$5:$C$154,C230))</f>
        <v>0</v>
      </c>
      <c r="L230" s="23">
        <f>IF(C230="","",SUMIFS(Analytics!$X$5:$X$154,Analytics!$C$5:$C$154,C230))</f>
        <v>0</v>
      </c>
      <c r="M230" s="23">
        <f>IF(C230="","",SUMIFS(Analytics!$R$5:$R$154,Analytics!$C$5:$C$154,C230))</f>
        <v>0</v>
      </c>
      <c r="N230" s="23">
        <f>IF(C230="","",SUMIFS(Analytics!$S$5:$S$154,Analytics!$C$5:$C$154,C230))</f>
        <v>0</v>
      </c>
      <c r="O230" s="23">
        <f>IF(C230="","",SUMIFS(Analytics!$T$5:$T$154,Analytics!$C$5:$C$154,C230))</f>
        <v>0</v>
      </c>
      <c r="P230" s="25">
        <f>IF(C230="","",SUMIFS(Analytics!$U$5:$U$154,Analytics!$C$5:$C$154,C230))</f>
        <v>0</v>
      </c>
      <c r="Q230" s="25">
        <f>IF(C230="","",SUMIFS(Budget!$H$5:$H$64,Budget!$C$5:$C$64,C230))</f>
        <v>0</v>
      </c>
      <c r="R230" s="25">
        <f>IF(C230="","",P230-Q230)</f>
        <v>0</v>
      </c>
      <c r="S230" s="23">
        <f>IF(C230="","",MonthlyPostTarget)</f>
        <v>0</v>
      </c>
      <c r="T230" s="17">
        <f>IF(Lists!$C230="","",Lists!$C230)</f>
        <v>0</v>
      </c>
      <c r="U230" s="23">
        <f>IF(T230="","",COUNTIFS('Content Calendar'!$G$5:$G$604,T230,'Content Calendar'!$B$5:$B$604,"&gt;="&amp;DashStart,'Content Calendar'!$B$5:$B$604,"&lt;="&amp;DashEnd))</f>
        <v>0</v>
      </c>
      <c r="V230" s="23">
        <f>IF(T230="","",COUNTIFS('Content Calendar'!$G$5:$G$604,T230,'Content Calendar'!$X$5:$X$604,"Published",'Content Calendar'!$B$5:$B$604,"&gt;="&amp;DashStart,'Content Calendar'!$B$5:$B$604,"&lt;="&amp;DashEnd))</f>
        <v>0</v>
      </c>
      <c r="W230" s="23">
        <f>IF(T230="","",SUMIFS(Analytics!$J$5:$J$154,Analytics!$D$5:$D$154,T230,Analytics!$B$5:$B$154,"&gt;="&amp;DashStart,Analytics!$B$5:$B$154,"&lt;="&amp;DashEnd))</f>
        <v>0</v>
      </c>
      <c r="X230" s="23">
        <f>IF(T230="","",SUMIFS(Analytics!$L$5:$L$154,Analytics!$D$5:$D$154,T230,Analytics!$B$5:$B$154,"&gt;="&amp;DashStart,Analytics!$B$5:$B$154,"&lt;="&amp;DashEnd))</f>
        <v>0</v>
      </c>
      <c r="Y230" s="24">
        <f>IF(OR(W230="",W230=0),"",X230/W230)</f>
        <v>0</v>
      </c>
      <c r="Z230" s="23">
        <f>IF(T230="","",SUMIFS(Analytics!$G$5:$G$154,Analytics!$D$5:$D$154,T230,Analytics!$B$5:$B$154,"&gt;="&amp;DashStart,Analytics!$B$5:$B$154,"&lt;="&amp;DashEnd))</f>
        <v>0</v>
      </c>
      <c r="AA230" s="23">
        <f>IF(T230="","",SUMIFS(Analytics!$X$5:$X$154,Analytics!$D$5:$D$154,T230,Analytics!$B$5:$B$154,"&gt;="&amp;DashStart,Analytics!$B$5:$B$154,"&lt;="&amp;DashEnd))</f>
        <v>0</v>
      </c>
      <c r="AB230" s="23">
        <f>IF(T230="","",SUMIFS(Analytics!$R$5:$R$154,Analytics!$D$5:$D$154,T230,Analytics!$B$5:$B$154,"&gt;="&amp;DashStart,Analytics!$B$5:$B$154,"&lt;="&amp;DashEnd))</f>
        <v>0</v>
      </c>
      <c r="AC230" s="25">
        <f>IF(T230="","",SUMIFS(Analytics!$U$5:$U$154,Analytics!$D$5:$D$154,T230,Analytics!$B$5:$B$154,"&gt;="&amp;DashStart,Analytics!$B$5:$B$154,"&lt;="&amp;DashEnd))</f>
        <v>0</v>
      </c>
      <c r="AD230" s="23">
        <f>IF(T230="","",COUNTIFS('Content Calendar'!$G$5:$G$604,T230,'Content Calendar'!$B$5:$B$604,"&gt;="&amp;DATE(PlanYear,1,1),'Content Calendar'!$B$5:$B$604,"&lt;="&amp;DATE(PlanYear,12,31)))</f>
        <v>0</v>
      </c>
      <c r="AE230" s="23">
        <f>IF(T230="","",SUMIFS(Analytics!$J$5:$J$154,Analytics!$D$5:$D$154,T230))</f>
        <v>0</v>
      </c>
      <c r="AF230" s="23">
        <f>IF(T230="","",SUMIFS(Analytics!$L$5:$L$154,Analytics!$D$5:$D$154,T230))</f>
        <v>0</v>
      </c>
      <c r="AG230" s="24">
        <f>IF(OR(AE230="",AE230=0),"",AF230/AE230)</f>
        <v>0</v>
      </c>
      <c r="AH230" s="23">
        <f>IF(T230="","",SUMIFS(Analytics!$X$5:$X$154,Analytics!$D$5:$D$154,T230))</f>
        <v>0</v>
      </c>
      <c r="AI230" s="32">
        <f>IF(T230="","",IF(AE230=0,"",AE230+ROW()/1000000))</f>
        <v>0</v>
      </c>
      <c r="AJ230" s="17">
        <f>IF('Content Pillars'!$B$230="","",'Content Pillars'!$B$230)</f>
        <v>0</v>
      </c>
      <c r="AK230" s="23">
        <f>IF(AJ230="","",COUNTIFS('Content Calendar'!$J$5:$J$604,AJ230,'Content Calendar'!$B$5:$B$604,"&gt;="&amp;DATE(PlanYear,1,1),'Content Calendar'!$B$5:$B$604,"&lt;="&amp;DATE(PlanYear,12,31)))</f>
        <v>0</v>
      </c>
      <c r="AL230" s="23">
        <f>IF(AJ230="","",SUMIFS(Performance!$O$5:$O$404,Performance!$H$5:$H$404,AJ230))</f>
        <v>0</v>
      </c>
      <c r="AM230" s="23">
        <f>IF(AJ230="","",SUMIFS(Performance!$Z$5:$Z$404,Performance!$H$5:$H$404,AJ230))</f>
        <v>0</v>
      </c>
      <c r="AN230" s="24">
        <f>IF(OR(AL230="",AL230=0),"",AM230/AL230)</f>
        <v>0</v>
      </c>
      <c r="AO230" s="32">
        <f>IF(AN230="","",AN230+ROW()/1000000)</f>
        <v>0</v>
      </c>
      <c r="AP230" s="17">
        <f>IF(Lists!$E230="","",Lists!$E230)</f>
        <v>0</v>
      </c>
      <c r="AQ230" s="23">
        <f>IF(AP230="","",COUNTIF(Performance!$G$5:$G$404,AP230))</f>
        <v>0</v>
      </c>
      <c r="AR230" s="23">
        <f>IF(AP230="","",SUMIFS(Performance!$O$5:$O$404,Performance!$G$5:$G$404,AP230))</f>
        <v>0</v>
      </c>
      <c r="AS230" s="23">
        <f>IF(AP230="","",SUMIFS(Performance!$Z$5:$Z$404,Performance!$G$5:$G$404,AP230))</f>
        <v>0</v>
      </c>
      <c r="AT230" s="24">
        <f>IF(OR(AR230="",AR230=0),"",AS230/AR230)</f>
        <v>0</v>
      </c>
      <c r="AU230" s="32">
        <f>IF(AQ230=0,"",IF(AT230="","",AT230+ROW()/1000000))</f>
        <v>0</v>
      </c>
      <c r="AV230" s="17">
        <f>IF(ROW()-4&gt;7,"",TEXT(DATE(2024,1,ROW()-4),"ddd"))</f>
        <v>0</v>
      </c>
      <c r="AW230" s="23">
        <f>IF(AV230="","",COUNTIF(Performance!$N$5:$N$404,AV230))</f>
        <v>0</v>
      </c>
      <c r="AX230" s="23">
        <f>IF(AV230="","",SUMIFS(Performance!$O$5:$O$404,Performance!$N$5:$N$404,AV230))</f>
        <v>0</v>
      </c>
      <c r="AY230" s="23">
        <f>IF(AV230="","",SUMIFS(Performance!$Z$5:$Z$404,Performance!$N$5:$N$404,AV230))</f>
        <v>0</v>
      </c>
      <c r="AZ230" s="24">
        <f>IF(OR(AX230="",AX230=0),"",AY230/AX230)</f>
        <v>0</v>
      </c>
      <c r="BA230" s="32">
        <f>IF(AW230=0,"",IF(AZ230="","",AZ230+ROW()/1000000))</f>
        <v>0</v>
      </c>
      <c r="BB230" s="17">
        <f>IF(Lists!$AL230="","",Lists!$AL230)</f>
        <v>0</v>
      </c>
      <c r="BC230" s="23">
        <f>IF(BB230="","",COUNTIF(Performance!$M$5:$M$404,BB230))</f>
        <v>0</v>
      </c>
      <c r="BD230" s="23">
        <f>IF(BB230="","",SUMIFS(Performance!$O$5:$O$404,Performance!$M$5:$M$404,BB230))</f>
        <v>0</v>
      </c>
      <c r="BE230" s="23">
        <f>IF(BB230="","",SUMIFS(Performance!$Z$5:$Z$404,Performance!$M$5:$M$404,BB230))</f>
        <v>0</v>
      </c>
      <c r="BF230" s="24">
        <f>IF(OR(BD230="",BD230=0),"",BE230/BD230)</f>
        <v>0</v>
      </c>
      <c r="BG230" s="32">
        <f>IF(BC230=0,"",IF(BF230="","",BF230+ROW()/1000000))</f>
        <v>0</v>
      </c>
      <c r="BH230" s="17">
        <f>IF(Performance!$C$230="","",Performance!$C$230)</f>
        <v>0</v>
      </c>
      <c r="BI230" s="17">
        <f>IF(Performance!$F$230="","",Performance!$F$230)</f>
        <v>0</v>
      </c>
      <c r="BJ230" s="17">
        <f>IF(Performance!$H$230="","",Performance!$H$230)</f>
        <v>0</v>
      </c>
      <c r="BK230" s="16">
        <f>IF(Performance!$D$230="","",Performance!$D$230)</f>
        <v>0</v>
      </c>
      <c r="BL230" s="17">
        <f>IF(Performance!$E$230="","",Performance!$E$230)</f>
        <v>0</v>
      </c>
      <c r="BM230" s="23">
        <f>IF(Performance!$O$230="","",Performance!$O$230)</f>
        <v>0</v>
      </c>
      <c r="BN230" s="24">
        <f>IF(Performance!$AA$230="","",Performance!$AA$230)</f>
        <v>0</v>
      </c>
      <c r="BO230" s="32">
        <f>IF(BH230="","",IF(BK230="","",IF(OR(BK230&lt;DashStart,BK230&gt;DashEnd),"",IF(BN230="","",BN230+ROW()/1000000))))</f>
        <v>0</v>
      </c>
      <c r="BP230" s="32">
        <f>IF(BM230="","",IF(BK230="","",IF(OR(BK230&lt;DashStart,BK230&gt;DashEnd),"",BM230+ROW()/1000000)))</f>
        <v>0</v>
      </c>
      <c r="BQ230" s="32">
        <f>IF(BH230="","",IF(BK230="","",IF(YEAR(BK230)&lt;&gt;PlanYear,"",IF(BN230="","",BN230+ROW()/1000000))))</f>
        <v>0</v>
      </c>
      <c r="BR230" s="32">
        <f>IF(BH230="","",IF(BK230="","",IF(OR(BK230&lt;RepFrom,BK230&gt;RepTo),"",IF(BN230="","",BN230+ROW()/1000000))))</f>
        <v>0</v>
      </c>
      <c r="BS230" s="32">
        <f>IF(BM230="","",IF(BK230="","",IF(YEAR(BK230)&lt;&gt;PlanYear,"",BM230+ROW()/1000000)))</f>
        <v>0</v>
      </c>
      <c r="BT230" s="17">
        <f>IF(Lists!$F230="","",Lists!$F230)</f>
        <v>0</v>
      </c>
      <c r="BU230" s="23">
        <f>IF(BT230="","",COUNTIF('Content Calendar'!$X$5:$X$604,BT230))</f>
        <v>0</v>
      </c>
      <c r="BV230" s="23">
        <f>IF(BT230="","",COUNTIFS('Content Calendar'!$X$5:$X$604,BT230,'Content Calendar'!$B$5:$B$604,"&gt;="&amp;DashStart,'Content Calendar'!$B$5:$B$604,"&lt;="&amp;DashEnd))</f>
        <v>0</v>
      </c>
      <c r="BW230" s="17">
        <f>IF(Team!$B$230="","",Team!$B$230)</f>
        <v>0</v>
      </c>
      <c r="BX230" s="23">
        <f>IF(BW230="","",COUNTIF('Content Calendar'!$W$5:$W$604,BW230))</f>
        <v>0</v>
      </c>
      <c r="BY230" s="23">
        <f>IF(BW230="","",COUNTIFS('Content Calendar'!$W$5:$W$604,BW230,'Content Calendar'!$X$5:$X$604,"&lt;&gt;Published"))</f>
        <v>0</v>
      </c>
      <c r="BZ230" s="23">
        <f>IF(BW230="","",COUNTIFS(Tasks!$C$5:$C$64,BW230,Tasks!$G$5:$G$64,"&lt;&gt;Complete"))</f>
        <v>0</v>
      </c>
      <c r="CA230" s="17">
        <f>IF(Campaigns!$B$230="","",Campaigns!$B$230)</f>
        <v>0</v>
      </c>
      <c r="CB230" s="25">
        <f>IF(Campaigns!$T$230="","",Campaigns!$T$230)</f>
        <v>0</v>
      </c>
      <c r="CC230" s="25">
        <f>IF(Campaigns!$Q$230="","",Campaigns!$Q$230)</f>
        <v>0</v>
      </c>
      <c r="CD230" s="23">
        <f>IF(Campaigns!$Y$230="","",Campaigns!$Y$230)</f>
        <v>0</v>
      </c>
      <c r="CE230" s="32">
        <f>IF(CA230="","",IF(N(CB230)&lt;=0,"",N(CB230)+ROW()/1000000))</f>
        <v>0</v>
      </c>
      <c r="CF230" s="17">
        <f>IF(Accounts!$C$230="","",Accounts!$C$230)</f>
        <v>0</v>
      </c>
      <c r="CG230" s="17">
        <f>IF(Accounts!$B$230="","",Accounts!$B$230)</f>
        <v>0</v>
      </c>
      <c r="CH230" s="23">
        <f>IF(Accounts!$J$230="","",Accounts!$J$230)</f>
        <v>0</v>
      </c>
      <c r="CI230" s="23">
        <f>IF(CF230="","",SUMIFS(Analytics!$X$5:$X$154,Analytics!$E$5:$E$154,CF230,Analytics!$B$5:$B$154,"&gt;="&amp;DashStart,Analytics!$B$5:$B$154,"&lt;="&amp;DashEnd))</f>
        <v>0</v>
      </c>
      <c r="CJ230" s="32">
        <f>IF(CH230="","",IF(CH230=0,"",CH230+ROW()/1000000))</f>
        <v>0</v>
      </c>
    </row>
    <row r="231" spans="1:88">
      <c r="A231" s="16">
        <f>IF(ROW()-4&gt;12,"",DATE(PlanYear,ROW()-4,1))</f>
        <v>0</v>
      </c>
      <c r="B231" s="16">
        <f>IF(A231="","",EOMONTH(A231,0))</f>
        <v>0</v>
      </c>
      <c r="C231" s="17">
        <f>IF(A231="","",TEXT(A231,"yyyy-mm"))</f>
        <v>0</v>
      </c>
      <c r="D231" s="17">
        <f>IF(A231="","",TEXT(A231,"mmm"))</f>
        <v>0</v>
      </c>
      <c r="E231" s="23">
        <f>IF(C231="","",COUNTIFS('Content Calendar'!$D$5:$D$604,C231))</f>
        <v>0</v>
      </c>
      <c r="F231" s="23">
        <f>IF(C231="","",COUNTIFS('Content Calendar'!$D$5:$D$604,C231,'Content Calendar'!$X$5:$X$604,"Published"))</f>
        <v>0</v>
      </c>
      <c r="G231" s="23">
        <f>IF(C231="","",SUMIFS(Analytics!$J$5:$J$154,Analytics!$C$5:$C$154,C231))</f>
        <v>0</v>
      </c>
      <c r="H231" s="23">
        <f>IF(C231="","",SUMIFS(Analytics!$K$5:$K$154,Analytics!$C$5:$C$154,C231))</f>
        <v>0</v>
      </c>
      <c r="I231" s="23">
        <f>IF(C231="","",SUMIFS(Analytics!$L$5:$L$154,Analytics!$C$5:$C$154,C231))</f>
        <v>0</v>
      </c>
      <c r="J231" s="24">
        <f>IF(OR(G231="",G231=0),"",I231/G231)</f>
        <v>0</v>
      </c>
      <c r="K231" s="23">
        <f>IF(C231="","",SUMIFS(Analytics!$G$5:$G$154,Analytics!$C$5:$C$154,C231))</f>
        <v>0</v>
      </c>
      <c r="L231" s="23">
        <f>IF(C231="","",SUMIFS(Analytics!$X$5:$X$154,Analytics!$C$5:$C$154,C231))</f>
        <v>0</v>
      </c>
      <c r="M231" s="23">
        <f>IF(C231="","",SUMIFS(Analytics!$R$5:$R$154,Analytics!$C$5:$C$154,C231))</f>
        <v>0</v>
      </c>
      <c r="N231" s="23">
        <f>IF(C231="","",SUMIFS(Analytics!$S$5:$S$154,Analytics!$C$5:$C$154,C231))</f>
        <v>0</v>
      </c>
      <c r="O231" s="23">
        <f>IF(C231="","",SUMIFS(Analytics!$T$5:$T$154,Analytics!$C$5:$C$154,C231))</f>
        <v>0</v>
      </c>
      <c r="P231" s="25">
        <f>IF(C231="","",SUMIFS(Analytics!$U$5:$U$154,Analytics!$C$5:$C$154,C231))</f>
        <v>0</v>
      </c>
      <c r="Q231" s="25">
        <f>IF(C231="","",SUMIFS(Budget!$H$5:$H$64,Budget!$C$5:$C$64,C231))</f>
        <v>0</v>
      </c>
      <c r="R231" s="25">
        <f>IF(C231="","",P231-Q231)</f>
        <v>0</v>
      </c>
      <c r="S231" s="23">
        <f>IF(C231="","",MonthlyPostTarget)</f>
        <v>0</v>
      </c>
      <c r="T231" s="17">
        <f>IF(Lists!$C231="","",Lists!$C231)</f>
        <v>0</v>
      </c>
      <c r="U231" s="23">
        <f>IF(T231="","",COUNTIFS('Content Calendar'!$G$5:$G$604,T231,'Content Calendar'!$B$5:$B$604,"&gt;="&amp;DashStart,'Content Calendar'!$B$5:$B$604,"&lt;="&amp;DashEnd))</f>
        <v>0</v>
      </c>
      <c r="V231" s="23">
        <f>IF(T231="","",COUNTIFS('Content Calendar'!$G$5:$G$604,T231,'Content Calendar'!$X$5:$X$604,"Published",'Content Calendar'!$B$5:$B$604,"&gt;="&amp;DashStart,'Content Calendar'!$B$5:$B$604,"&lt;="&amp;DashEnd))</f>
        <v>0</v>
      </c>
      <c r="W231" s="23">
        <f>IF(T231="","",SUMIFS(Analytics!$J$5:$J$154,Analytics!$D$5:$D$154,T231,Analytics!$B$5:$B$154,"&gt;="&amp;DashStart,Analytics!$B$5:$B$154,"&lt;="&amp;DashEnd))</f>
        <v>0</v>
      </c>
      <c r="X231" s="23">
        <f>IF(T231="","",SUMIFS(Analytics!$L$5:$L$154,Analytics!$D$5:$D$154,T231,Analytics!$B$5:$B$154,"&gt;="&amp;DashStart,Analytics!$B$5:$B$154,"&lt;="&amp;DashEnd))</f>
        <v>0</v>
      </c>
      <c r="Y231" s="24">
        <f>IF(OR(W231="",W231=0),"",X231/W231)</f>
        <v>0</v>
      </c>
      <c r="Z231" s="23">
        <f>IF(T231="","",SUMIFS(Analytics!$G$5:$G$154,Analytics!$D$5:$D$154,T231,Analytics!$B$5:$B$154,"&gt;="&amp;DashStart,Analytics!$B$5:$B$154,"&lt;="&amp;DashEnd))</f>
        <v>0</v>
      </c>
      <c r="AA231" s="23">
        <f>IF(T231="","",SUMIFS(Analytics!$X$5:$X$154,Analytics!$D$5:$D$154,T231,Analytics!$B$5:$B$154,"&gt;="&amp;DashStart,Analytics!$B$5:$B$154,"&lt;="&amp;DashEnd))</f>
        <v>0</v>
      </c>
      <c r="AB231" s="23">
        <f>IF(T231="","",SUMIFS(Analytics!$R$5:$R$154,Analytics!$D$5:$D$154,T231,Analytics!$B$5:$B$154,"&gt;="&amp;DashStart,Analytics!$B$5:$B$154,"&lt;="&amp;DashEnd))</f>
        <v>0</v>
      </c>
      <c r="AC231" s="25">
        <f>IF(T231="","",SUMIFS(Analytics!$U$5:$U$154,Analytics!$D$5:$D$154,T231,Analytics!$B$5:$B$154,"&gt;="&amp;DashStart,Analytics!$B$5:$B$154,"&lt;="&amp;DashEnd))</f>
        <v>0</v>
      </c>
      <c r="AD231" s="23">
        <f>IF(T231="","",COUNTIFS('Content Calendar'!$G$5:$G$604,T231,'Content Calendar'!$B$5:$B$604,"&gt;="&amp;DATE(PlanYear,1,1),'Content Calendar'!$B$5:$B$604,"&lt;="&amp;DATE(PlanYear,12,31)))</f>
        <v>0</v>
      </c>
      <c r="AE231" s="23">
        <f>IF(T231="","",SUMIFS(Analytics!$J$5:$J$154,Analytics!$D$5:$D$154,T231))</f>
        <v>0</v>
      </c>
      <c r="AF231" s="23">
        <f>IF(T231="","",SUMIFS(Analytics!$L$5:$L$154,Analytics!$D$5:$D$154,T231))</f>
        <v>0</v>
      </c>
      <c r="AG231" s="24">
        <f>IF(OR(AE231="",AE231=0),"",AF231/AE231)</f>
        <v>0</v>
      </c>
      <c r="AH231" s="23">
        <f>IF(T231="","",SUMIFS(Analytics!$X$5:$X$154,Analytics!$D$5:$D$154,T231))</f>
        <v>0</v>
      </c>
      <c r="AI231" s="32">
        <f>IF(T231="","",IF(AE231=0,"",AE231+ROW()/1000000))</f>
        <v>0</v>
      </c>
      <c r="AJ231" s="17">
        <f>IF('Content Pillars'!$B$231="","",'Content Pillars'!$B$231)</f>
        <v>0</v>
      </c>
      <c r="AK231" s="23">
        <f>IF(AJ231="","",COUNTIFS('Content Calendar'!$J$5:$J$604,AJ231,'Content Calendar'!$B$5:$B$604,"&gt;="&amp;DATE(PlanYear,1,1),'Content Calendar'!$B$5:$B$604,"&lt;="&amp;DATE(PlanYear,12,31)))</f>
        <v>0</v>
      </c>
      <c r="AL231" s="23">
        <f>IF(AJ231="","",SUMIFS(Performance!$O$5:$O$404,Performance!$H$5:$H$404,AJ231))</f>
        <v>0</v>
      </c>
      <c r="AM231" s="23">
        <f>IF(AJ231="","",SUMIFS(Performance!$Z$5:$Z$404,Performance!$H$5:$H$404,AJ231))</f>
        <v>0</v>
      </c>
      <c r="AN231" s="24">
        <f>IF(OR(AL231="",AL231=0),"",AM231/AL231)</f>
        <v>0</v>
      </c>
      <c r="AO231" s="32">
        <f>IF(AN231="","",AN231+ROW()/1000000)</f>
        <v>0</v>
      </c>
      <c r="AP231" s="17">
        <f>IF(Lists!$E231="","",Lists!$E231)</f>
        <v>0</v>
      </c>
      <c r="AQ231" s="23">
        <f>IF(AP231="","",COUNTIF(Performance!$G$5:$G$404,AP231))</f>
        <v>0</v>
      </c>
      <c r="AR231" s="23">
        <f>IF(AP231="","",SUMIFS(Performance!$O$5:$O$404,Performance!$G$5:$G$404,AP231))</f>
        <v>0</v>
      </c>
      <c r="AS231" s="23">
        <f>IF(AP231="","",SUMIFS(Performance!$Z$5:$Z$404,Performance!$G$5:$G$404,AP231))</f>
        <v>0</v>
      </c>
      <c r="AT231" s="24">
        <f>IF(OR(AR231="",AR231=0),"",AS231/AR231)</f>
        <v>0</v>
      </c>
      <c r="AU231" s="32">
        <f>IF(AQ231=0,"",IF(AT231="","",AT231+ROW()/1000000))</f>
        <v>0</v>
      </c>
      <c r="AV231" s="17">
        <f>IF(ROW()-4&gt;7,"",TEXT(DATE(2024,1,ROW()-4),"ddd"))</f>
        <v>0</v>
      </c>
      <c r="AW231" s="23">
        <f>IF(AV231="","",COUNTIF(Performance!$N$5:$N$404,AV231))</f>
        <v>0</v>
      </c>
      <c r="AX231" s="23">
        <f>IF(AV231="","",SUMIFS(Performance!$O$5:$O$404,Performance!$N$5:$N$404,AV231))</f>
        <v>0</v>
      </c>
      <c r="AY231" s="23">
        <f>IF(AV231="","",SUMIFS(Performance!$Z$5:$Z$404,Performance!$N$5:$N$404,AV231))</f>
        <v>0</v>
      </c>
      <c r="AZ231" s="24">
        <f>IF(OR(AX231="",AX231=0),"",AY231/AX231)</f>
        <v>0</v>
      </c>
      <c r="BA231" s="32">
        <f>IF(AW231=0,"",IF(AZ231="","",AZ231+ROW()/1000000))</f>
        <v>0</v>
      </c>
      <c r="BB231" s="17">
        <f>IF(Lists!$AL231="","",Lists!$AL231)</f>
        <v>0</v>
      </c>
      <c r="BC231" s="23">
        <f>IF(BB231="","",COUNTIF(Performance!$M$5:$M$404,BB231))</f>
        <v>0</v>
      </c>
      <c r="BD231" s="23">
        <f>IF(BB231="","",SUMIFS(Performance!$O$5:$O$404,Performance!$M$5:$M$404,BB231))</f>
        <v>0</v>
      </c>
      <c r="BE231" s="23">
        <f>IF(BB231="","",SUMIFS(Performance!$Z$5:$Z$404,Performance!$M$5:$M$404,BB231))</f>
        <v>0</v>
      </c>
      <c r="BF231" s="24">
        <f>IF(OR(BD231="",BD231=0),"",BE231/BD231)</f>
        <v>0</v>
      </c>
      <c r="BG231" s="32">
        <f>IF(BC231=0,"",IF(BF231="","",BF231+ROW()/1000000))</f>
        <v>0</v>
      </c>
      <c r="BH231" s="17">
        <f>IF(Performance!$C$231="","",Performance!$C$231)</f>
        <v>0</v>
      </c>
      <c r="BI231" s="17">
        <f>IF(Performance!$F$231="","",Performance!$F$231)</f>
        <v>0</v>
      </c>
      <c r="BJ231" s="17">
        <f>IF(Performance!$H$231="","",Performance!$H$231)</f>
        <v>0</v>
      </c>
      <c r="BK231" s="16">
        <f>IF(Performance!$D$231="","",Performance!$D$231)</f>
        <v>0</v>
      </c>
      <c r="BL231" s="17">
        <f>IF(Performance!$E$231="","",Performance!$E$231)</f>
        <v>0</v>
      </c>
      <c r="BM231" s="23">
        <f>IF(Performance!$O$231="","",Performance!$O$231)</f>
        <v>0</v>
      </c>
      <c r="BN231" s="24">
        <f>IF(Performance!$AA$231="","",Performance!$AA$231)</f>
        <v>0</v>
      </c>
      <c r="BO231" s="32">
        <f>IF(BH231="","",IF(BK231="","",IF(OR(BK231&lt;DashStart,BK231&gt;DashEnd),"",IF(BN231="","",BN231+ROW()/1000000))))</f>
        <v>0</v>
      </c>
      <c r="BP231" s="32">
        <f>IF(BM231="","",IF(BK231="","",IF(OR(BK231&lt;DashStart,BK231&gt;DashEnd),"",BM231+ROW()/1000000)))</f>
        <v>0</v>
      </c>
      <c r="BQ231" s="32">
        <f>IF(BH231="","",IF(BK231="","",IF(YEAR(BK231)&lt;&gt;PlanYear,"",IF(BN231="","",BN231+ROW()/1000000))))</f>
        <v>0</v>
      </c>
      <c r="BR231" s="32">
        <f>IF(BH231="","",IF(BK231="","",IF(OR(BK231&lt;RepFrom,BK231&gt;RepTo),"",IF(BN231="","",BN231+ROW()/1000000))))</f>
        <v>0</v>
      </c>
      <c r="BS231" s="32">
        <f>IF(BM231="","",IF(BK231="","",IF(YEAR(BK231)&lt;&gt;PlanYear,"",BM231+ROW()/1000000)))</f>
        <v>0</v>
      </c>
      <c r="BT231" s="17">
        <f>IF(Lists!$F231="","",Lists!$F231)</f>
        <v>0</v>
      </c>
      <c r="BU231" s="23">
        <f>IF(BT231="","",COUNTIF('Content Calendar'!$X$5:$X$604,BT231))</f>
        <v>0</v>
      </c>
      <c r="BV231" s="23">
        <f>IF(BT231="","",COUNTIFS('Content Calendar'!$X$5:$X$604,BT231,'Content Calendar'!$B$5:$B$604,"&gt;="&amp;DashStart,'Content Calendar'!$B$5:$B$604,"&lt;="&amp;DashEnd))</f>
        <v>0</v>
      </c>
      <c r="BW231" s="17">
        <f>IF(Team!$B$231="","",Team!$B$231)</f>
        <v>0</v>
      </c>
      <c r="BX231" s="23">
        <f>IF(BW231="","",COUNTIF('Content Calendar'!$W$5:$W$604,BW231))</f>
        <v>0</v>
      </c>
      <c r="BY231" s="23">
        <f>IF(BW231="","",COUNTIFS('Content Calendar'!$W$5:$W$604,BW231,'Content Calendar'!$X$5:$X$604,"&lt;&gt;Published"))</f>
        <v>0</v>
      </c>
      <c r="BZ231" s="23">
        <f>IF(BW231="","",COUNTIFS(Tasks!$C$5:$C$64,BW231,Tasks!$G$5:$G$64,"&lt;&gt;Complete"))</f>
        <v>0</v>
      </c>
      <c r="CA231" s="17">
        <f>IF(Campaigns!$B$231="","",Campaigns!$B$231)</f>
        <v>0</v>
      </c>
      <c r="CB231" s="25">
        <f>IF(Campaigns!$T$231="","",Campaigns!$T$231)</f>
        <v>0</v>
      </c>
      <c r="CC231" s="25">
        <f>IF(Campaigns!$Q$231="","",Campaigns!$Q$231)</f>
        <v>0</v>
      </c>
      <c r="CD231" s="23">
        <f>IF(Campaigns!$Y$231="","",Campaigns!$Y$231)</f>
        <v>0</v>
      </c>
      <c r="CE231" s="32">
        <f>IF(CA231="","",IF(N(CB231)&lt;=0,"",N(CB231)+ROW()/1000000))</f>
        <v>0</v>
      </c>
      <c r="CF231" s="17">
        <f>IF(Accounts!$C$231="","",Accounts!$C$231)</f>
        <v>0</v>
      </c>
      <c r="CG231" s="17">
        <f>IF(Accounts!$B$231="","",Accounts!$B$231)</f>
        <v>0</v>
      </c>
      <c r="CH231" s="23">
        <f>IF(Accounts!$J$231="","",Accounts!$J$231)</f>
        <v>0</v>
      </c>
      <c r="CI231" s="23">
        <f>IF(CF231="","",SUMIFS(Analytics!$X$5:$X$154,Analytics!$E$5:$E$154,CF231,Analytics!$B$5:$B$154,"&gt;="&amp;DashStart,Analytics!$B$5:$B$154,"&lt;="&amp;DashEnd))</f>
        <v>0</v>
      </c>
      <c r="CJ231" s="32">
        <f>IF(CH231="","",IF(CH231=0,"",CH231+ROW()/1000000))</f>
        <v>0</v>
      </c>
    </row>
    <row r="232" spans="1:88">
      <c r="A232" s="16">
        <f>IF(ROW()-4&gt;12,"",DATE(PlanYear,ROW()-4,1))</f>
        <v>0</v>
      </c>
      <c r="B232" s="16">
        <f>IF(A232="","",EOMONTH(A232,0))</f>
        <v>0</v>
      </c>
      <c r="C232" s="17">
        <f>IF(A232="","",TEXT(A232,"yyyy-mm"))</f>
        <v>0</v>
      </c>
      <c r="D232" s="17">
        <f>IF(A232="","",TEXT(A232,"mmm"))</f>
        <v>0</v>
      </c>
      <c r="E232" s="23">
        <f>IF(C232="","",COUNTIFS('Content Calendar'!$D$5:$D$604,C232))</f>
        <v>0</v>
      </c>
      <c r="F232" s="23">
        <f>IF(C232="","",COUNTIFS('Content Calendar'!$D$5:$D$604,C232,'Content Calendar'!$X$5:$X$604,"Published"))</f>
        <v>0</v>
      </c>
      <c r="G232" s="23">
        <f>IF(C232="","",SUMIFS(Analytics!$J$5:$J$154,Analytics!$C$5:$C$154,C232))</f>
        <v>0</v>
      </c>
      <c r="H232" s="23">
        <f>IF(C232="","",SUMIFS(Analytics!$K$5:$K$154,Analytics!$C$5:$C$154,C232))</f>
        <v>0</v>
      </c>
      <c r="I232" s="23">
        <f>IF(C232="","",SUMIFS(Analytics!$L$5:$L$154,Analytics!$C$5:$C$154,C232))</f>
        <v>0</v>
      </c>
      <c r="J232" s="24">
        <f>IF(OR(G232="",G232=0),"",I232/G232)</f>
        <v>0</v>
      </c>
      <c r="K232" s="23">
        <f>IF(C232="","",SUMIFS(Analytics!$G$5:$G$154,Analytics!$C$5:$C$154,C232))</f>
        <v>0</v>
      </c>
      <c r="L232" s="23">
        <f>IF(C232="","",SUMIFS(Analytics!$X$5:$X$154,Analytics!$C$5:$C$154,C232))</f>
        <v>0</v>
      </c>
      <c r="M232" s="23">
        <f>IF(C232="","",SUMIFS(Analytics!$R$5:$R$154,Analytics!$C$5:$C$154,C232))</f>
        <v>0</v>
      </c>
      <c r="N232" s="23">
        <f>IF(C232="","",SUMIFS(Analytics!$S$5:$S$154,Analytics!$C$5:$C$154,C232))</f>
        <v>0</v>
      </c>
      <c r="O232" s="23">
        <f>IF(C232="","",SUMIFS(Analytics!$T$5:$T$154,Analytics!$C$5:$C$154,C232))</f>
        <v>0</v>
      </c>
      <c r="P232" s="25">
        <f>IF(C232="","",SUMIFS(Analytics!$U$5:$U$154,Analytics!$C$5:$C$154,C232))</f>
        <v>0</v>
      </c>
      <c r="Q232" s="25">
        <f>IF(C232="","",SUMIFS(Budget!$H$5:$H$64,Budget!$C$5:$C$64,C232))</f>
        <v>0</v>
      </c>
      <c r="R232" s="25">
        <f>IF(C232="","",P232-Q232)</f>
        <v>0</v>
      </c>
      <c r="S232" s="23">
        <f>IF(C232="","",MonthlyPostTarget)</f>
        <v>0</v>
      </c>
      <c r="T232" s="17">
        <f>IF(Lists!$C232="","",Lists!$C232)</f>
        <v>0</v>
      </c>
      <c r="U232" s="23">
        <f>IF(T232="","",COUNTIFS('Content Calendar'!$G$5:$G$604,T232,'Content Calendar'!$B$5:$B$604,"&gt;="&amp;DashStart,'Content Calendar'!$B$5:$B$604,"&lt;="&amp;DashEnd))</f>
        <v>0</v>
      </c>
      <c r="V232" s="23">
        <f>IF(T232="","",COUNTIFS('Content Calendar'!$G$5:$G$604,T232,'Content Calendar'!$X$5:$X$604,"Published",'Content Calendar'!$B$5:$B$604,"&gt;="&amp;DashStart,'Content Calendar'!$B$5:$B$604,"&lt;="&amp;DashEnd))</f>
        <v>0</v>
      </c>
      <c r="W232" s="23">
        <f>IF(T232="","",SUMIFS(Analytics!$J$5:$J$154,Analytics!$D$5:$D$154,T232,Analytics!$B$5:$B$154,"&gt;="&amp;DashStart,Analytics!$B$5:$B$154,"&lt;="&amp;DashEnd))</f>
        <v>0</v>
      </c>
      <c r="X232" s="23">
        <f>IF(T232="","",SUMIFS(Analytics!$L$5:$L$154,Analytics!$D$5:$D$154,T232,Analytics!$B$5:$B$154,"&gt;="&amp;DashStart,Analytics!$B$5:$B$154,"&lt;="&amp;DashEnd))</f>
        <v>0</v>
      </c>
      <c r="Y232" s="24">
        <f>IF(OR(W232="",W232=0),"",X232/W232)</f>
        <v>0</v>
      </c>
      <c r="Z232" s="23">
        <f>IF(T232="","",SUMIFS(Analytics!$G$5:$G$154,Analytics!$D$5:$D$154,T232,Analytics!$B$5:$B$154,"&gt;="&amp;DashStart,Analytics!$B$5:$B$154,"&lt;="&amp;DashEnd))</f>
        <v>0</v>
      </c>
      <c r="AA232" s="23">
        <f>IF(T232="","",SUMIFS(Analytics!$X$5:$X$154,Analytics!$D$5:$D$154,T232,Analytics!$B$5:$B$154,"&gt;="&amp;DashStart,Analytics!$B$5:$B$154,"&lt;="&amp;DashEnd))</f>
        <v>0</v>
      </c>
      <c r="AB232" s="23">
        <f>IF(T232="","",SUMIFS(Analytics!$R$5:$R$154,Analytics!$D$5:$D$154,T232,Analytics!$B$5:$B$154,"&gt;="&amp;DashStart,Analytics!$B$5:$B$154,"&lt;="&amp;DashEnd))</f>
        <v>0</v>
      </c>
      <c r="AC232" s="25">
        <f>IF(T232="","",SUMIFS(Analytics!$U$5:$U$154,Analytics!$D$5:$D$154,T232,Analytics!$B$5:$B$154,"&gt;="&amp;DashStart,Analytics!$B$5:$B$154,"&lt;="&amp;DashEnd))</f>
        <v>0</v>
      </c>
      <c r="AD232" s="23">
        <f>IF(T232="","",COUNTIFS('Content Calendar'!$G$5:$G$604,T232,'Content Calendar'!$B$5:$B$604,"&gt;="&amp;DATE(PlanYear,1,1),'Content Calendar'!$B$5:$B$604,"&lt;="&amp;DATE(PlanYear,12,31)))</f>
        <v>0</v>
      </c>
      <c r="AE232" s="23">
        <f>IF(T232="","",SUMIFS(Analytics!$J$5:$J$154,Analytics!$D$5:$D$154,T232))</f>
        <v>0</v>
      </c>
      <c r="AF232" s="23">
        <f>IF(T232="","",SUMIFS(Analytics!$L$5:$L$154,Analytics!$D$5:$D$154,T232))</f>
        <v>0</v>
      </c>
      <c r="AG232" s="24">
        <f>IF(OR(AE232="",AE232=0),"",AF232/AE232)</f>
        <v>0</v>
      </c>
      <c r="AH232" s="23">
        <f>IF(T232="","",SUMIFS(Analytics!$X$5:$X$154,Analytics!$D$5:$D$154,T232))</f>
        <v>0</v>
      </c>
      <c r="AI232" s="32">
        <f>IF(T232="","",IF(AE232=0,"",AE232+ROW()/1000000))</f>
        <v>0</v>
      </c>
      <c r="AJ232" s="17">
        <f>IF('Content Pillars'!$B$232="","",'Content Pillars'!$B$232)</f>
        <v>0</v>
      </c>
      <c r="AK232" s="23">
        <f>IF(AJ232="","",COUNTIFS('Content Calendar'!$J$5:$J$604,AJ232,'Content Calendar'!$B$5:$B$604,"&gt;="&amp;DATE(PlanYear,1,1),'Content Calendar'!$B$5:$B$604,"&lt;="&amp;DATE(PlanYear,12,31)))</f>
        <v>0</v>
      </c>
      <c r="AL232" s="23">
        <f>IF(AJ232="","",SUMIFS(Performance!$O$5:$O$404,Performance!$H$5:$H$404,AJ232))</f>
        <v>0</v>
      </c>
      <c r="AM232" s="23">
        <f>IF(AJ232="","",SUMIFS(Performance!$Z$5:$Z$404,Performance!$H$5:$H$404,AJ232))</f>
        <v>0</v>
      </c>
      <c r="AN232" s="24">
        <f>IF(OR(AL232="",AL232=0),"",AM232/AL232)</f>
        <v>0</v>
      </c>
      <c r="AO232" s="32">
        <f>IF(AN232="","",AN232+ROW()/1000000)</f>
        <v>0</v>
      </c>
      <c r="AP232" s="17">
        <f>IF(Lists!$E232="","",Lists!$E232)</f>
        <v>0</v>
      </c>
      <c r="AQ232" s="23">
        <f>IF(AP232="","",COUNTIF(Performance!$G$5:$G$404,AP232))</f>
        <v>0</v>
      </c>
      <c r="AR232" s="23">
        <f>IF(AP232="","",SUMIFS(Performance!$O$5:$O$404,Performance!$G$5:$G$404,AP232))</f>
        <v>0</v>
      </c>
      <c r="AS232" s="23">
        <f>IF(AP232="","",SUMIFS(Performance!$Z$5:$Z$404,Performance!$G$5:$G$404,AP232))</f>
        <v>0</v>
      </c>
      <c r="AT232" s="24">
        <f>IF(OR(AR232="",AR232=0),"",AS232/AR232)</f>
        <v>0</v>
      </c>
      <c r="AU232" s="32">
        <f>IF(AQ232=0,"",IF(AT232="","",AT232+ROW()/1000000))</f>
        <v>0</v>
      </c>
      <c r="AV232" s="17">
        <f>IF(ROW()-4&gt;7,"",TEXT(DATE(2024,1,ROW()-4),"ddd"))</f>
        <v>0</v>
      </c>
      <c r="AW232" s="23">
        <f>IF(AV232="","",COUNTIF(Performance!$N$5:$N$404,AV232))</f>
        <v>0</v>
      </c>
      <c r="AX232" s="23">
        <f>IF(AV232="","",SUMIFS(Performance!$O$5:$O$404,Performance!$N$5:$N$404,AV232))</f>
        <v>0</v>
      </c>
      <c r="AY232" s="23">
        <f>IF(AV232="","",SUMIFS(Performance!$Z$5:$Z$404,Performance!$N$5:$N$404,AV232))</f>
        <v>0</v>
      </c>
      <c r="AZ232" s="24">
        <f>IF(OR(AX232="",AX232=0),"",AY232/AX232)</f>
        <v>0</v>
      </c>
      <c r="BA232" s="32">
        <f>IF(AW232=0,"",IF(AZ232="","",AZ232+ROW()/1000000))</f>
        <v>0</v>
      </c>
      <c r="BB232" s="17">
        <f>IF(Lists!$AL232="","",Lists!$AL232)</f>
        <v>0</v>
      </c>
      <c r="BC232" s="23">
        <f>IF(BB232="","",COUNTIF(Performance!$M$5:$M$404,BB232))</f>
        <v>0</v>
      </c>
      <c r="BD232" s="23">
        <f>IF(BB232="","",SUMIFS(Performance!$O$5:$O$404,Performance!$M$5:$M$404,BB232))</f>
        <v>0</v>
      </c>
      <c r="BE232" s="23">
        <f>IF(BB232="","",SUMIFS(Performance!$Z$5:$Z$404,Performance!$M$5:$M$404,BB232))</f>
        <v>0</v>
      </c>
      <c r="BF232" s="24">
        <f>IF(OR(BD232="",BD232=0),"",BE232/BD232)</f>
        <v>0</v>
      </c>
      <c r="BG232" s="32">
        <f>IF(BC232=0,"",IF(BF232="","",BF232+ROW()/1000000))</f>
        <v>0</v>
      </c>
      <c r="BH232" s="17">
        <f>IF(Performance!$C$232="","",Performance!$C$232)</f>
        <v>0</v>
      </c>
      <c r="BI232" s="17">
        <f>IF(Performance!$F$232="","",Performance!$F$232)</f>
        <v>0</v>
      </c>
      <c r="BJ232" s="17">
        <f>IF(Performance!$H$232="","",Performance!$H$232)</f>
        <v>0</v>
      </c>
      <c r="BK232" s="16">
        <f>IF(Performance!$D$232="","",Performance!$D$232)</f>
        <v>0</v>
      </c>
      <c r="BL232" s="17">
        <f>IF(Performance!$E$232="","",Performance!$E$232)</f>
        <v>0</v>
      </c>
      <c r="BM232" s="23">
        <f>IF(Performance!$O$232="","",Performance!$O$232)</f>
        <v>0</v>
      </c>
      <c r="BN232" s="24">
        <f>IF(Performance!$AA$232="","",Performance!$AA$232)</f>
        <v>0</v>
      </c>
      <c r="BO232" s="32">
        <f>IF(BH232="","",IF(BK232="","",IF(OR(BK232&lt;DashStart,BK232&gt;DashEnd),"",IF(BN232="","",BN232+ROW()/1000000))))</f>
        <v>0</v>
      </c>
      <c r="BP232" s="32">
        <f>IF(BM232="","",IF(BK232="","",IF(OR(BK232&lt;DashStart,BK232&gt;DashEnd),"",BM232+ROW()/1000000)))</f>
        <v>0</v>
      </c>
      <c r="BQ232" s="32">
        <f>IF(BH232="","",IF(BK232="","",IF(YEAR(BK232)&lt;&gt;PlanYear,"",IF(BN232="","",BN232+ROW()/1000000))))</f>
        <v>0</v>
      </c>
      <c r="BR232" s="32">
        <f>IF(BH232="","",IF(BK232="","",IF(OR(BK232&lt;RepFrom,BK232&gt;RepTo),"",IF(BN232="","",BN232+ROW()/1000000))))</f>
        <v>0</v>
      </c>
      <c r="BS232" s="32">
        <f>IF(BM232="","",IF(BK232="","",IF(YEAR(BK232)&lt;&gt;PlanYear,"",BM232+ROW()/1000000)))</f>
        <v>0</v>
      </c>
      <c r="BT232" s="17">
        <f>IF(Lists!$F232="","",Lists!$F232)</f>
        <v>0</v>
      </c>
      <c r="BU232" s="23">
        <f>IF(BT232="","",COUNTIF('Content Calendar'!$X$5:$X$604,BT232))</f>
        <v>0</v>
      </c>
      <c r="BV232" s="23">
        <f>IF(BT232="","",COUNTIFS('Content Calendar'!$X$5:$X$604,BT232,'Content Calendar'!$B$5:$B$604,"&gt;="&amp;DashStart,'Content Calendar'!$B$5:$B$604,"&lt;="&amp;DashEnd))</f>
        <v>0</v>
      </c>
      <c r="BW232" s="17">
        <f>IF(Team!$B$232="","",Team!$B$232)</f>
        <v>0</v>
      </c>
      <c r="BX232" s="23">
        <f>IF(BW232="","",COUNTIF('Content Calendar'!$W$5:$W$604,BW232))</f>
        <v>0</v>
      </c>
      <c r="BY232" s="23">
        <f>IF(BW232="","",COUNTIFS('Content Calendar'!$W$5:$W$604,BW232,'Content Calendar'!$X$5:$X$604,"&lt;&gt;Published"))</f>
        <v>0</v>
      </c>
      <c r="BZ232" s="23">
        <f>IF(BW232="","",COUNTIFS(Tasks!$C$5:$C$64,BW232,Tasks!$G$5:$G$64,"&lt;&gt;Complete"))</f>
        <v>0</v>
      </c>
      <c r="CA232" s="17">
        <f>IF(Campaigns!$B$232="","",Campaigns!$B$232)</f>
        <v>0</v>
      </c>
      <c r="CB232" s="25">
        <f>IF(Campaigns!$T$232="","",Campaigns!$T$232)</f>
        <v>0</v>
      </c>
      <c r="CC232" s="25">
        <f>IF(Campaigns!$Q$232="","",Campaigns!$Q$232)</f>
        <v>0</v>
      </c>
      <c r="CD232" s="23">
        <f>IF(Campaigns!$Y$232="","",Campaigns!$Y$232)</f>
        <v>0</v>
      </c>
      <c r="CE232" s="32">
        <f>IF(CA232="","",IF(N(CB232)&lt;=0,"",N(CB232)+ROW()/1000000))</f>
        <v>0</v>
      </c>
      <c r="CF232" s="17">
        <f>IF(Accounts!$C$232="","",Accounts!$C$232)</f>
        <v>0</v>
      </c>
      <c r="CG232" s="17">
        <f>IF(Accounts!$B$232="","",Accounts!$B$232)</f>
        <v>0</v>
      </c>
      <c r="CH232" s="23">
        <f>IF(Accounts!$J$232="","",Accounts!$J$232)</f>
        <v>0</v>
      </c>
      <c r="CI232" s="23">
        <f>IF(CF232="","",SUMIFS(Analytics!$X$5:$X$154,Analytics!$E$5:$E$154,CF232,Analytics!$B$5:$B$154,"&gt;="&amp;DashStart,Analytics!$B$5:$B$154,"&lt;="&amp;DashEnd))</f>
        <v>0</v>
      </c>
      <c r="CJ232" s="32">
        <f>IF(CH232="","",IF(CH232=0,"",CH232+ROW()/1000000))</f>
        <v>0</v>
      </c>
    </row>
    <row r="233" spans="1:88">
      <c r="A233" s="16">
        <f>IF(ROW()-4&gt;12,"",DATE(PlanYear,ROW()-4,1))</f>
        <v>0</v>
      </c>
      <c r="B233" s="16">
        <f>IF(A233="","",EOMONTH(A233,0))</f>
        <v>0</v>
      </c>
      <c r="C233" s="17">
        <f>IF(A233="","",TEXT(A233,"yyyy-mm"))</f>
        <v>0</v>
      </c>
      <c r="D233" s="17">
        <f>IF(A233="","",TEXT(A233,"mmm"))</f>
        <v>0</v>
      </c>
      <c r="E233" s="23">
        <f>IF(C233="","",COUNTIFS('Content Calendar'!$D$5:$D$604,C233))</f>
        <v>0</v>
      </c>
      <c r="F233" s="23">
        <f>IF(C233="","",COUNTIFS('Content Calendar'!$D$5:$D$604,C233,'Content Calendar'!$X$5:$X$604,"Published"))</f>
        <v>0</v>
      </c>
      <c r="G233" s="23">
        <f>IF(C233="","",SUMIFS(Analytics!$J$5:$J$154,Analytics!$C$5:$C$154,C233))</f>
        <v>0</v>
      </c>
      <c r="H233" s="23">
        <f>IF(C233="","",SUMIFS(Analytics!$K$5:$K$154,Analytics!$C$5:$C$154,C233))</f>
        <v>0</v>
      </c>
      <c r="I233" s="23">
        <f>IF(C233="","",SUMIFS(Analytics!$L$5:$L$154,Analytics!$C$5:$C$154,C233))</f>
        <v>0</v>
      </c>
      <c r="J233" s="24">
        <f>IF(OR(G233="",G233=0),"",I233/G233)</f>
        <v>0</v>
      </c>
      <c r="K233" s="23">
        <f>IF(C233="","",SUMIFS(Analytics!$G$5:$G$154,Analytics!$C$5:$C$154,C233))</f>
        <v>0</v>
      </c>
      <c r="L233" s="23">
        <f>IF(C233="","",SUMIFS(Analytics!$X$5:$X$154,Analytics!$C$5:$C$154,C233))</f>
        <v>0</v>
      </c>
      <c r="M233" s="23">
        <f>IF(C233="","",SUMIFS(Analytics!$R$5:$R$154,Analytics!$C$5:$C$154,C233))</f>
        <v>0</v>
      </c>
      <c r="N233" s="23">
        <f>IF(C233="","",SUMIFS(Analytics!$S$5:$S$154,Analytics!$C$5:$C$154,C233))</f>
        <v>0</v>
      </c>
      <c r="O233" s="23">
        <f>IF(C233="","",SUMIFS(Analytics!$T$5:$T$154,Analytics!$C$5:$C$154,C233))</f>
        <v>0</v>
      </c>
      <c r="P233" s="25">
        <f>IF(C233="","",SUMIFS(Analytics!$U$5:$U$154,Analytics!$C$5:$C$154,C233))</f>
        <v>0</v>
      </c>
      <c r="Q233" s="25">
        <f>IF(C233="","",SUMIFS(Budget!$H$5:$H$64,Budget!$C$5:$C$64,C233))</f>
        <v>0</v>
      </c>
      <c r="R233" s="25">
        <f>IF(C233="","",P233-Q233)</f>
        <v>0</v>
      </c>
      <c r="S233" s="23">
        <f>IF(C233="","",MonthlyPostTarget)</f>
        <v>0</v>
      </c>
      <c r="T233" s="17">
        <f>IF(Lists!$C233="","",Lists!$C233)</f>
        <v>0</v>
      </c>
      <c r="U233" s="23">
        <f>IF(T233="","",COUNTIFS('Content Calendar'!$G$5:$G$604,T233,'Content Calendar'!$B$5:$B$604,"&gt;="&amp;DashStart,'Content Calendar'!$B$5:$B$604,"&lt;="&amp;DashEnd))</f>
        <v>0</v>
      </c>
      <c r="V233" s="23">
        <f>IF(T233="","",COUNTIFS('Content Calendar'!$G$5:$G$604,T233,'Content Calendar'!$X$5:$X$604,"Published",'Content Calendar'!$B$5:$B$604,"&gt;="&amp;DashStart,'Content Calendar'!$B$5:$B$604,"&lt;="&amp;DashEnd))</f>
        <v>0</v>
      </c>
      <c r="W233" s="23">
        <f>IF(T233="","",SUMIFS(Analytics!$J$5:$J$154,Analytics!$D$5:$D$154,T233,Analytics!$B$5:$B$154,"&gt;="&amp;DashStart,Analytics!$B$5:$B$154,"&lt;="&amp;DashEnd))</f>
        <v>0</v>
      </c>
      <c r="X233" s="23">
        <f>IF(T233="","",SUMIFS(Analytics!$L$5:$L$154,Analytics!$D$5:$D$154,T233,Analytics!$B$5:$B$154,"&gt;="&amp;DashStart,Analytics!$B$5:$B$154,"&lt;="&amp;DashEnd))</f>
        <v>0</v>
      </c>
      <c r="Y233" s="24">
        <f>IF(OR(W233="",W233=0),"",X233/W233)</f>
        <v>0</v>
      </c>
      <c r="Z233" s="23">
        <f>IF(T233="","",SUMIFS(Analytics!$G$5:$G$154,Analytics!$D$5:$D$154,T233,Analytics!$B$5:$B$154,"&gt;="&amp;DashStart,Analytics!$B$5:$B$154,"&lt;="&amp;DashEnd))</f>
        <v>0</v>
      </c>
      <c r="AA233" s="23">
        <f>IF(T233="","",SUMIFS(Analytics!$X$5:$X$154,Analytics!$D$5:$D$154,T233,Analytics!$B$5:$B$154,"&gt;="&amp;DashStart,Analytics!$B$5:$B$154,"&lt;="&amp;DashEnd))</f>
        <v>0</v>
      </c>
      <c r="AB233" s="23">
        <f>IF(T233="","",SUMIFS(Analytics!$R$5:$R$154,Analytics!$D$5:$D$154,T233,Analytics!$B$5:$B$154,"&gt;="&amp;DashStart,Analytics!$B$5:$B$154,"&lt;="&amp;DashEnd))</f>
        <v>0</v>
      </c>
      <c r="AC233" s="25">
        <f>IF(T233="","",SUMIFS(Analytics!$U$5:$U$154,Analytics!$D$5:$D$154,T233,Analytics!$B$5:$B$154,"&gt;="&amp;DashStart,Analytics!$B$5:$B$154,"&lt;="&amp;DashEnd))</f>
        <v>0</v>
      </c>
      <c r="AD233" s="23">
        <f>IF(T233="","",COUNTIFS('Content Calendar'!$G$5:$G$604,T233,'Content Calendar'!$B$5:$B$604,"&gt;="&amp;DATE(PlanYear,1,1),'Content Calendar'!$B$5:$B$604,"&lt;="&amp;DATE(PlanYear,12,31)))</f>
        <v>0</v>
      </c>
      <c r="AE233" s="23">
        <f>IF(T233="","",SUMIFS(Analytics!$J$5:$J$154,Analytics!$D$5:$D$154,T233))</f>
        <v>0</v>
      </c>
      <c r="AF233" s="23">
        <f>IF(T233="","",SUMIFS(Analytics!$L$5:$L$154,Analytics!$D$5:$D$154,T233))</f>
        <v>0</v>
      </c>
      <c r="AG233" s="24">
        <f>IF(OR(AE233="",AE233=0),"",AF233/AE233)</f>
        <v>0</v>
      </c>
      <c r="AH233" s="23">
        <f>IF(T233="","",SUMIFS(Analytics!$X$5:$X$154,Analytics!$D$5:$D$154,T233))</f>
        <v>0</v>
      </c>
      <c r="AI233" s="32">
        <f>IF(T233="","",IF(AE233=0,"",AE233+ROW()/1000000))</f>
        <v>0</v>
      </c>
      <c r="AJ233" s="17">
        <f>IF('Content Pillars'!$B$233="","",'Content Pillars'!$B$233)</f>
        <v>0</v>
      </c>
      <c r="AK233" s="23">
        <f>IF(AJ233="","",COUNTIFS('Content Calendar'!$J$5:$J$604,AJ233,'Content Calendar'!$B$5:$B$604,"&gt;="&amp;DATE(PlanYear,1,1),'Content Calendar'!$B$5:$B$604,"&lt;="&amp;DATE(PlanYear,12,31)))</f>
        <v>0</v>
      </c>
      <c r="AL233" s="23">
        <f>IF(AJ233="","",SUMIFS(Performance!$O$5:$O$404,Performance!$H$5:$H$404,AJ233))</f>
        <v>0</v>
      </c>
      <c r="AM233" s="23">
        <f>IF(AJ233="","",SUMIFS(Performance!$Z$5:$Z$404,Performance!$H$5:$H$404,AJ233))</f>
        <v>0</v>
      </c>
      <c r="AN233" s="24">
        <f>IF(OR(AL233="",AL233=0),"",AM233/AL233)</f>
        <v>0</v>
      </c>
      <c r="AO233" s="32">
        <f>IF(AN233="","",AN233+ROW()/1000000)</f>
        <v>0</v>
      </c>
      <c r="AP233" s="17">
        <f>IF(Lists!$E233="","",Lists!$E233)</f>
        <v>0</v>
      </c>
      <c r="AQ233" s="23">
        <f>IF(AP233="","",COUNTIF(Performance!$G$5:$G$404,AP233))</f>
        <v>0</v>
      </c>
      <c r="AR233" s="23">
        <f>IF(AP233="","",SUMIFS(Performance!$O$5:$O$404,Performance!$G$5:$G$404,AP233))</f>
        <v>0</v>
      </c>
      <c r="AS233" s="23">
        <f>IF(AP233="","",SUMIFS(Performance!$Z$5:$Z$404,Performance!$G$5:$G$404,AP233))</f>
        <v>0</v>
      </c>
      <c r="AT233" s="24">
        <f>IF(OR(AR233="",AR233=0),"",AS233/AR233)</f>
        <v>0</v>
      </c>
      <c r="AU233" s="32">
        <f>IF(AQ233=0,"",IF(AT233="","",AT233+ROW()/1000000))</f>
        <v>0</v>
      </c>
      <c r="AV233" s="17">
        <f>IF(ROW()-4&gt;7,"",TEXT(DATE(2024,1,ROW()-4),"ddd"))</f>
        <v>0</v>
      </c>
      <c r="AW233" s="23">
        <f>IF(AV233="","",COUNTIF(Performance!$N$5:$N$404,AV233))</f>
        <v>0</v>
      </c>
      <c r="AX233" s="23">
        <f>IF(AV233="","",SUMIFS(Performance!$O$5:$O$404,Performance!$N$5:$N$404,AV233))</f>
        <v>0</v>
      </c>
      <c r="AY233" s="23">
        <f>IF(AV233="","",SUMIFS(Performance!$Z$5:$Z$404,Performance!$N$5:$N$404,AV233))</f>
        <v>0</v>
      </c>
      <c r="AZ233" s="24">
        <f>IF(OR(AX233="",AX233=0),"",AY233/AX233)</f>
        <v>0</v>
      </c>
      <c r="BA233" s="32">
        <f>IF(AW233=0,"",IF(AZ233="","",AZ233+ROW()/1000000))</f>
        <v>0</v>
      </c>
      <c r="BB233" s="17">
        <f>IF(Lists!$AL233="","",Lists!$AL233)</f>
        <v>0</v>
      </c>
      <c r="BC233" s="23">
        <f>IF(BB233="","",COUNTIF(Performance!$M$5:$M$404,BB233))</f>
        <v>0</v>
      </c>
      <c r="BD233" s="23">
        <f>IF(BB233="","",SUMIFS(Performance!$O$5:$O$404,Performance!$M$5:$M$404,BB233))</f>
        <v>0</v>
      </c>
      <c r="BE233" s="23">
        <f>IF(BB233="","",SUMIFS(Performance!$Z$5:$Z$404,Performance!$M$5:$M$404,BB233))</f>
        <v>0</v>
      </c>
      <c r="BF233" s="24">
        <f>IF(OR(BD233="",BD233=0),"",BE233/BD233)</f>
        <v>0</v>
      </c>
      <c r="BG233" s="32">
        <f>IF(BC233=0,"",IF(BF233="","",BF233+ROW()/1000000))</f>
        <v>0</v>
      </c>
      <c r="BH233" s="17">
        <f>IF(Performance!$C$233="","",Performance!$C$233)</f>
        <v>0</v>
      </c>
      <c r="BI233" s="17">
        <f>IF(Performance!$F$233="","",Performance!$F$233)</f>
        <v>0</v>
      </c>
      <c r="BJ233" s="17">
        <f>IF(Performance!$H$233="","",Performance!$H$233)</f>
        <v>0</v>
      </c>
      <c r="BK233" s="16">
        <f>IF(Performance!$D$233="","",Performance!$D$233)</f>
        <v>0</v>
      </c>
      <c r="BL233" s="17">
        <f>IF(Performance!$E$233="","",Performance!$E$233)</f>
        <v>0</v>
      </c>
      <c r="BM233" s="23">
        <f>IF(Performance!$O$233="","",Performance!$O$233)</f>
        <v>0</v>
      </c>
      <c r="BN233" s="24">
        <f>IF(Performance!$AA$233="","",Performance!$AA$233)</f>
        <v>0</v>
      </c>
      <c r="BO233" s="32">
        <f>IF(BH233="","",IF(BK233="","",IF(OR(BK233&lt;DashStart,BK233&gt;DashEnd),"",IF(BN233="","",BN233+ROW()/1000000))))</f>
        <v>0</v>
      </c>
      <c r="BP233" s="32">
        <f>IF(BM233="","",IF(BK233="","",IF(OR(BK233&lt;DashStart,BK233&gt;DashEnd),"",BM233+ROW()/1000000)))</f>
        <v>0</v>
      </c>
      <c r="BQ233" s="32">
        <f>IF(BH233="","",IF(BK233="","",IF(YEAR(BK233)&lt;&gt;PlanYear,"",IF(BN233="","",BN233+ROW()/1000000))))</f>
        <v>0</v>
      </c>
      <c r="BR233" s="32">
        <f>IF(BH233="","",IF(BK233="","",IF(OR(BK233&lt;RepFrom,BK233&gt;RepTo),"",IF(BN233="","",BN233+ROW()/1000000))))</f>
        <v>0</v>
      </c>
      <c r="BS233" s="32">
        <f>IF(BM233="","",IF(BK233="","",IF(YEAR(BK233)&lt;&gt;PlanYear,"",BM233+ROW()/1000000)))</f>
        <v>0</v>
      </c>
      <c r="BT233" s="17">
        <f>IF(Lists!$F233="","",Lists!$F233)</f>
        <v>0</v>
      </c>
      <c r="BU233" s="23">
        <f>IF(BT233="","",COUNTIF('Content Calendar'!$X$5:$X$604,BT233))</f>
        <v>0</v>
      </c>
      <c r="BV233" s="23">
        <f>IF(BT233="","",COUNTIFS('Content Calendar'!$X$5:$X$604,BT233,'Content Calendar'!$B$5:$B$604,"&gt;="&amp;DashStart,'Content Calendar'!$B$5:$B$604,"&lt;="&amp;DashEnd))</f>
        <v>0</v>
      </c>
      <c r="BW233" s="17">
        <f>IF(Team!$B$233="","",Team!$B$233)</f>
        <v>0</v>
      </c>
      <c r="BX233" s="23">
        <f>IF(BW233="","",COUNTIF('Content Calendar'!$W$5:$W$604,BW233))</f>
        <v>0</v>
      </c>
      <c r="BY233" s="23">
        <f>IF(BW233="","",COUNTIFS('Content Calendar'!$W$5:$W$604,BW233,'Content Calendar'!$X$5:$X$604,"&lt;&gt;Published"))</f>
        <v>0</v>
      </c>
      <c r="BZ233" s="23">
        <f>IF(BW233="","",COUNTIFS(Tasks!$C$5:$C$64,BW233,Tasks!$G$5:$G$64,"&lt;&gt;Complete"))</f>
        <v>0</v>
      </c>
      <c r="CA233" s="17">
        <f>IF(Campaigns!$B$233="","",Campaigns!$B$233)</f>
        <v>0</v>
      </c>
      <c r="CB233" s="25">
        <f>IF(Campaigns!$T$233="","",Campaigns!$T$233)</f>
        <v>0</v>
      </c>
      <c r="CC233" s="25">
        <f>IF(Campaigns!$Q$233="","",Campaigns!$Q$233)</f>
        <v>0</v>
      </c>
      <c r="CD233" s="23">
        <f>IF(Campaigns!$Y$233="","",Campaigns!$Y$233)</f>
        <v>0</v>
      </c>
      <c r="CE233" s="32">
        <f>IF(CA233="","",IF(N(CB233)&lt;=0,"",N(CB233)+ROW()/1000000))</f>
        <v>0</v>
      </c>
      <c r="CF233" s="17">
        <f>IF(Accounts!$C$233="","",Accounts!$C$233)</f>
        <v>0</v>
      </c>
      <c r="CG233" s="17">
        <f>IF(Accounts!$B$233="","",Accounts!$B$233)</f>
        <v>0</v>
      </c>
      <c r="CH233" s="23">
        <f>IF(Accounts!$J$233="","",Accounts!$J$233)</f>
        <v>0</v>
      </c>
      <c r="CI233" s="23">
        <f>IF(CF233="","",SUMIFS(Analytics!$X$5:$X$154,Analytics!$E$5:$E$154,CF233,Analytics!$B$5:$B$154,"&gt;="&amp;DashStart,Analytics!$B$5:$B$154,"&lt;="&amp;DashEnd))</f>
        <v>0</v>
      </c>
      <c r="CJ233" s="32">
        <f>IF(CH233="","",IF(CH233=0,"",CH233+ROW()/1000000))</f>
        <v>0</v>
      </c>
    </row>
    <row r="234" spans="1:88">
      <c r="A234" s="16">
        <f>IF(ROW()-4&gt;12,"",DATE(PlanYear,ROW()-4,1))</f>
        <v>0</v>
      </c>
      <c r="B234" s="16">
        <f>IF(A234="","",EOMONTH(A234,0))</f>
        <v>0</v>
      </c>
      <c r="C234" s="17">
        <f>IF(A234="","",TEXT(A234,"yyyy-mm"))</f>
        <v>0</v>
      </c>
      <c r="D234" s="17">
        <f>IF(A234="","",TEXT(A234,"mmm"))</f>
        <v>0</v>
      </c>
      <c r="E234" s="23">
        <f>IF(C234="","",COUNTIFS('Content Calendar'!$D$5:$D$604,C234))</f>
        <v>0</v>
      </c>
      <c r="F234" s="23">
        <f>IF(C234="","",COUNTIFS('Content Calendar'!$D$5:$D$604,C234,'Content Calendar'!$X$5:$X$604,"Published"))</f>
        <v>0</v>
      </c>
      <c r="G234" s="23">
        <f>IF(C234="","",SUMIFS(Analytics!$J$5:$J$154,Analytics!$C$5:$C$154,C234))</f>
        <v>0</v>
      </c>
      <c r="H234" s="23">
        <f>IF(C234="","",SUMIFS(Analytics!$K$5:$K$154,Analytics!$C$5:$C$154,C234))</f>
        <v>0</v>
      </c>
      <c r="I234" s="23">
        <f>IF(C234="","",SUMIFS(Analytics!$L$5:$L$154,Analytics!$C$5:$C$154,C234))</f>
        <v>0</v>
      </c>
      <c r="J234" s="24">
        <f>IF(OR(G234="",G234=0),"",I234/G234)</f>
        <v>0</v>
      </c>
      <c r="K234" s="23">
        <f>IF(C234="","",SUMIFS(Analytics!$G$5:$G$154,Analytics!$C$5:$C$154,C234))</f>
        <v>0</v>
      </c>
      <c r="L234" s="23">
        <f>IF(C234="","",SUMIFS(Analytics!$X$5:$X$154,Analytics!$C$5:$C$154,C234))</f>
        <v>0</v>
      </c>
      <c r="M234" s="23">
        <f>IF(C234="","",SUMIFS(Analytics!$R$5:$R$154,Analytics!$C$5:$C$154,C234))</f>
        <v>0</v>
      </c>
      <c r="N234" s="23">
        <f>IF(C234="","",SUMIFS(Analytics!$S$5:$S$154,Analytics!$C$5:$C$154,C234))</f>
        <v>0</v>
      </c>
      <c r="O234" s="23">
        <f>IF(C234="","",SUMIFS(Analytics!$T$5:$T$154,Analytics!$C$5:$C$154,C234))</f>
        <v>0</v>
      </c>
      <c r="P234" s="25">
        <f>IF(C234="","",SUMIFS(Analytics!$U$5:$U$154,Analytics!$C$5:$C$154,C234))</f>
        <v>0</v>
      </c>
      <c r="Q234" s="25">
        <f>IF(C234="","",SUMIFS(Budget!$H$5:$H$64,Budget!$C$5:$C$64,C234))</f>
        <v>0</v>
      </c>
      <c r="R234" s="25">
        <f>IF(C234="","",P234-Q234)</f>
        <v>0</v>
      </c>
      <c r="S234" s="23">
        <f>IF(C234="","",MonthlyPostTarget)</f>
        <v>0</v>
      </c>
      <c r="T234" s="17">
        <f>IF(Lists!$C234="","",Lists!$C234)</f>
        <v>0</v>
      </c>
      <c r="U234" s="23">
        <f>IF(T234="","",COUNTIFS('Content Calendar'!$G$5:$G$604,T234,'Content Calendar'!$B$5:$B$604,"&gt;="&amp;DashStart,'Content Calendar'!$B$5:$B$604,"&lt;="&amp;DashEnd))</f>
        <v>0</v>
      </c>
      <c r="V234" s="23">
        <f>IF(T234="","",COUNTIFS('Content Calendar'!$G$5:$G$604,T234,'Content Calendar'!$X$5:$X$604,"Published",'Content Calendar'!$B$5:$B$604,"&gt;="&amp;DashStart,'Content Calendar'!$B$5:$B$604,"&lt;="&amp;DashEnd))</f>
        <v>0</v>
      </c>
      <c r="W234" s="23">
        <f>IF(T234="","",SUMIFS(Analytics!$J$5:$J$154,Analytics!$D$5:$D$154,T234,Analytics!$B$5:$B$154,"&gt;="&amp;DashStart,Analytics!$B$5:$B$154,"&lt;="&amp;DashEnd))</f>
        <v>0</v>
      </c>
      <c r="X234" s="23">
        <f>IF(T234="","",SUMIFS(Analytics!$L$5:$L$154,Analytics!$D$5:$D$154,T234,Analytics!$B$5:$B$154,"&gt;="&amp;DashStart,Analytics!$B$5:$B$154,"&lt;="&amp;DashEnd))</f>
        <v>0</v>
      </c>
      <c r="Y234" s="24">
        <f>IF(OR(W234="",W234=0),"",X234/W234)</f>
        <v>0</v>
      </c>
      <c r="Z234" s="23">
        <f>IF(T234="","",SUMIFS(Analytics!$G$5:$G$154,Analytics!$D$5:$D$154,T234,Analytics!$B$5:$B$154,"&gt;="&amp;DashStart,Analytics!$B$5:$B$154,"&lt;="&amp;DashEnd))</f>
        <v>0</v>
      </c>
      <c r="AA234" s="23">
        <f>IF(T234="","",SUMIFS(Analytics!$X$5:$X$154,Analytics!$D$5:$D$154,T234,Analytics!$B$5:$B$154,"&gt;="&amp;DashStart,Analytics!$B$5:$B$154,"&lt;="&amp;DashEnd))</f>
        <v>0</v>
      </c>
      <c r="AB234" s="23">
        <f>IF(T234="","",SUMIFS(Analytics!$R$5:$R$154,Analytics!$D$5:$D$154,T234,Analytics!$B$5:$B$154,"&gt;="&amp;DashStart,Analytics!$B$5:$B$154,"&lt;="&amp;DashEnd))</f>
        <v>0</v>
      </c>
      <c r="AC234" s="25">
        <f>IF(T234="","",SUMIFS(Analytics!$U$5:$U$154,Analytics!$D$5:$D$154,T234,Analytics!$B$5:$B$154,"&gt;="&amp;DashStart,Analytics!$B$5:$B$154,"&lt;="&amp;DashEnd))</f>
        <v>0</v>
      </c>
      <c r="AD234" s="23">
        <f>IF(T234="","",COUNTIFS('Content Calendar'!$G$5:$G$604,T234,'Content Calendar'!$B$5:$B$604,"&gt;="&amp;DATE(PlanYear,1,1),'Content Calendar'!$B$5:$B$604,"&lt;="&amp;DATE(PlanYear,12,31)))</f>
        <v>0</v>
      </c>
      <c r="AE234" s="23">
        <f>IF(T234="","",SUMIFS(Analytics!$J$5:$J$154,Analytics!$D$5:$D$154,T234))</f>
        <v>0</v>
      </c>
      <c r="AF234" s="23">
        <f>IF(T234="","",SUMIFS(Analytics!$L$5:$L$154,Analytics!$D$5:$D$154,T234))</f>
        <v>0</v>
      </c>
      <c r="AG234" s="24">
        <f>IF(OR(AE234="",AE234=0),"",AF234/AE234)</f>
        <v>0</v>
      </c>
      <c r="AH234" s="23">
        <f>IF(T234="","",SUMIFS(Analytics!$X$5:$X$154,Analytics!$D$5:$D$154,T234))</f>
        <v>0</v>
      </c>
      <c r="AI234" s="32">
        <f>IF(T234="","",IF(AE234=0,"",AE234+ROW()/1000000))</f>
        <v>0</v>
      </c>
      <c r="AJ234" s="17">
        <f>IF('Content Pillars'!$B$234="","",'Content Pillars'!$B$234)</f>
        <v>0</v>
      </c>
      <c r="AK234" s="23">
        <f>IF(AJ234="","",COUNTIFS('Content Calendar'!$J$5:$J$604,AJ234,'Content Calendar'!$B$5:$B$604,"&gt;="&amp;DATE(PlanYear,1,1),'Content Calendar'!$B$5:$B$604,"&lt;="&amp;DATE(PlanYear,12,31)))</f>
        <v>0</v>
      </c>
      <c r="AL234" s="23">
        <f>IF(AJ234="","",SUMIFS(Performance!$O$5:$O$404,Performance!$H$5:$H$404,AJ234))</f>
        <v>0</v>
      </c>
      <c r="AM234" s="23">
        <f>IF(AJ234="","",SUMIFS(Performance!$Z$5:$Z$404,Performance!$H$5:$H$404,AJ234))</f>
        <v>0</v>
      </c>
      <c r="AN234" s="24">
        <f>IF(OR(AL234="",AL234=0),"",AM234/AL234)</f>
        <v>0</v>
      </c>
      <c r="AO234" s="32">
        <f>IF(AN234="","",AN234+ROW()/1000000)</f>
        <v>0</v>
      </c>
      <c r="AP234" s="17">
        <f>IF(Lists!$E234="","",Lists!$E234)</f>
        <v>0</v>
      </c>
      <c r="AQ234" s="23">
        <f>IF(AP234="","",COUNTIF(Performance!$G$5:$G$404,AP234))</f>
        <v>0</v>
      </c>
      <c r="AR234" s="23">
        <f>IF(AP234="","",SUMIFS(Performance!$O$5:$O$404,Performance!$G$5:$G$404,AP234))</f>
        <v>0</v>
      </c>
      <c r="AS234" s="23">
        <f>IF(AP234="","",SUMIFS(Performance!$Z$5:$Z$404,Performance!$G$5:$G$404,AP234))</f>
        <v>0</v>
      </c>
      <c r="AT234" s="24">
        <f>IF(OR(AR234="",AR234=0),"",AS234/AR234)</f>
        <v>0</v>
      </c>
      <c r="AU234" s="32">
        <f>IF(AQ234=0,"",IF(AT234="","",AT234+ROW()/1000000))</f>
        <v>0</v>
      </c>
      <c r="AV234" s="17">
        <f>IF(ROW()-4&gt;7,"",TEXT(DATE(2024,1,ROW()-4),"ddd"))</f>
        <v>0</v>
      </c>
      <c r="AW234" s="23">
        <f>IF(AV234="","",COUNTIF(Performance!$N$5:$N$404,AV234))</f>
        <v>0</v>
      </c>
      <c r="AX234" s="23">
        <f>IF(AV234="","",SUMIFS(Performance!$O$5:$O$404,Performance!$N$5:$N$404,AV234))</f>
        <v>0</v>
      </c>
      <c r="AY234" s="23">
        <f>IF(AV234="","",SUMIFS(Performance!$Z$5:$Z$404,Performance!$N$5:$N$404,AV234))</f>
        <v>0</v>
      </c>
      <c r="AZ234" s="24">
        <f>IF(OR(AX234="",AX234=0),"",AY234/AX234)</f>
        <v>0</v>
      </c>
      <c r="BA234" s="32">
        <f>IF(AW234=0,"",IF(AZ234="","",AZ234+ROW()/1000000))</f>
        <v>0</v>
      </c>
      <c r="BB234" s="17">
        <f>IF(Lists!$AL234="","",Lists!$AL234)</f>
        <v>0</v>
      </c>
      <c r="BC234" s="23">
        <f>IF(BB234="","",COUNTIF(Performance!$M$5:$M$404,BB234))</f>
        <v>0</v>
      </c>
      <c r="BD234" s="23">
        <f>IF(BB234="","",SUMIFS(Performance!$O$5:$O$404,Performance!$M$5:$M$404,BB234))</f>
        <v>0</v>
      </c>
      <c r="BE234" s="23">
        <f>IF(BB234="","",SUMIFS(Performance!$Z$5:$Z$404,Performance!$M$5:$M$404,BB234))</f>
        <v>0</v>
      </c>
      <c r="BF234" s="24">
        <f>IF(OR(BD234="",BD234=0),"",BE234/BD234)</f>
        <v>0</v>
      </c>
      <c r="BG234" s="32">
        <f>IF(BC234=0,"",IF(BF234="","",BF234+ROW()/1000000))</f>
        <v>0</v>
      </c>
      <c r="BH234" s="17">
        <f>IF(Performance!$C$234="","",Performance!$C$234)</f>
        <v>0</v>
      </c>
      <c r="BI234" s="17">
        <f>IF(Performance!$F$234="","",Performance!$F$234)</f>
        <v>0</v>
      </c>
      <c r="BJ234" s="17">
        <f>IF(Performance!$H$234="","",Performance!$H$234)</f>
        <v>0</v>
      </c>
      <c r="BK234" s="16">
        <f>IF(Performance!$D$234="","",Performance!$D$234)</f>
        <v>0</v>
      </c>
      <c r="BL234" s="17">
        <f>IF(Performance!$E$234="","",Performance!$E$234)</f>
        <v>0</v>
      </c>
      <c r="BM234" s="23">
        <f>IF(Performance!$O$234="","",Performance!$O$234)</f>
        <v>0</v>
      </c>
      <c r="BN234" s="24">
        <f>IF(Performance!$AA$234="","",Performance!$AA$234)</f>
        <v>0</v>
      </c>
      <c r="BO234" s="32">
        <f>IF(BH234="","",IF(BK234="","",IF(OR(BK234&lt;DashStart,BK234&gt;DashEnd),"",IF(BN234="","",BN234+ROW()/1000000))))</f>
        <v>0</v>
      </c>
      <c r="BP234" s="32">
        <f>IF(BM234="","",IF(BK234="","",IF(OR(BK234&lt;DashStart,BK234&gt;DashEnd),"",BM234+ROW()/1000000)))</f>
        <v>0</v>
      </c>
      <c r="BQ234" s="32">
        <f>IF(BH234="","",IF(BK234="","",IF(YEAR(BK234)&lt;&gt;PlanYear,"",IF(BN234="","",BN234+ROW()/1000000))))</f>
        <v>0</v>
      </c>
      <c r="BR234" s="32">
        <f>IF(BH234="","",IF(BK234="","",IF(OR(BK234&lt;RepFrom,BK234&gt;RepTo),"",IF(BN234="","",BN234+ROW()/1000000))))</f>
        <v>0</v>
      </c>
      <c r="BS234" s="32">
        <f>IF(BM234="","",IF(BK234="","",IF(YEAR(BK234)&lt;&gt;PlanYear,"",BM234+ROW()/1000000)))</f>
        <v>0</v>
      </c>
      <c r="BT234" s="17">
        <f>IF(Lists!$F234="","",Lists!$F234)</f>
        <v>0</v>
      </c>
      <c r="BU234" s="23">
        <f>IF(BT234="","",COUNTIF('Content Calendar'!$X$5:$X$604,BT234))</f>
        <v>0</v>
      </c>
      <c r="BV234" s="23">
        <f>IF(BT234="","",COUNTIFS('Content Calendar'!$X$5:$X$604,BT234,'Content Calendar'!$B$5:$B$604,"&gt;="&amp;DashStart,'Content Calendar'!$B$5:$B$604,"&lt;="&amp;DashEnd))</f>
        <v>0</v>
      </c>
      <c r="BW234" s="17">
        <f>IF(Team!$B$234="","",Team!$B$234)</f>
        <v>0</v>
      </c>
      <c r="BX234" s="23">
        <f>IF(BW234="","",COUNTIF('Content Calendar'!$W$5:$W$604,BW234))</f>
        <v>0</v>
      </c>
      <c r="BY234" s="23">
        <f>IF(BW234="","",COUNTIFS('Content Calendar'!$W$5:$W$604,BW234,'Content Calendar'!$X$5:$X$604,"&lt;&gt;Published"))</f>
        <v>0</v>
      </c>
      <c r="BZ234" s="23">
        <f>IF(BW234="","",COUNTIFS(Tasks!$C$5:$C$64,BW234,Tasks!$G$5:$G$64,"&lt;&gt;Complete"))</f>
        <v>0</v>
      </c>
      <c r="CA234" s="17">
        <f>IF(Campaigns!$B$234="","",Campaigns!$B$234)</f>
        <v>0</v>
      </c>
      <c r="CB234" s="25">
        <f>IF(Campaigns!$T$234="","",Campaigns!$T$234)</f>
        <v>0</v>
      </c>
      <c r="CC234" s="25">
        <f>IF(Campaigns!$Q$234="","",Campaigns!$Q$234)</f>
        <v>0</v>
      </c>
      <c r="CD234" s="23">
        <f>IF(Campaigns!$Y$234="","",Campaigns!$Y$234)</f>
        <v>0</v>
      </c>
      <c r="CE234" s="32">
        <f>IF(CA234="","",IF(N(CB234)&lt;=0,"",N(CB234)+ROW()/1000000))</f>
        <v>0</v>
      </c>
      <c r="CF234" s="17">
        <f>IF(Accounts!$C$234="","",Accounts!$C$234)</f>
        <v>0</v>
      </c>
      <c r="CG234" s="17">
        <f>IF(Accounts!$B$234="","",Accounts!$B$234)</f>
        <v>0</v>
      </c>
      <c r="CH234" s="23">
        <f>IF(Accounts!$J$234="","",Accounts!$J$234)</f>
        <v>0</v>
      </c>
      <c r="CI234" s="23">
        <f>IF(CF234="","",SUMIFS(Analytics!$X$5:$X$154,Analytics!$E$5:$E$154,CF234,Analytics!$B$5:$B$154,"&gt;="&amp;DashStart,Analytics!$B$5:$B$154,"&lt;="&amp;DashEnd))</f>
        <v>0</v>
      </c>
      <c r="CJ234" s="32">
        <f>IF(CH234="","",IF(CH234=0,"",CH234+ROW()/1000000))</f>
        <v>0</v>
      </c>
    </row>
    <row r="235" spans="1:88">
      <c r="A235" s="16">
        <f>IF(ROW()-4&gt;12,"",DATE(PlanYear,ROW()-4,1))</f>
        <v>0</v>
      </c>
      <c r="B235" s="16">
        <f>IF(A235="","",EOMONTH(A235,0))</f>
        <v>0</v>
      </c>
      <c r="C235" s="17">
        <f>IF(A235="","",TEXT(A235,"yyyy-mm"))</f>
        <v>0</v>
      </c>
      <c r="D235" s="17">
        <f>IF(A235="","",TEXT(A235,"mmm"))</f>
        <v>0</v>
      </c>
      <c r="E235" s="23">
        <f>IF(C235="","",COUNTIFS('Content Calendar'!$D$5:$D$604,C235))</f>
        <v>0</v>
      </c>
      <c r="F235" s="23">
        <f>IF(C235="","",COUNTIFS('Content Calendar'!$D$5:$D$604,C235,'Content Calendar'!$X$5:$X$604,"Published"))</f>
        <v>0</v>
      </c>
      <c r="G235" s="23">
        <f>IF(C235="","",SUMIFS(Analytics!$J$5:$J$154,Analytics!$C$5:$C$154,C235))</f>
        <v>0</v>
      </c>
      <c r="H235" s="23">
        <f>IF(C235="","",SUMIFS(Analytics!$K$5:$K$154,Analytics!$C$5:$C$154,C235))</f>
        <v>0</v>
      </c>
      <c r="I235" s="23">
        <f>IF(C235="","",SUMIFS(Analytics!$L$5:$L$154,Analytics!$C$5:$C$154,C235))</f>
        <v>0</v>
      </c>
      <c r="J235" s="24">
        <f>IF(OR(G235="",G235=0),"",I235/G235)</f>
        <v>0</v>
      </c>
      <c r="K235" s="23">
        <f>IF(C235="","",SUMIFS(Analytics!$G$5:$G$154,Analytics!$C$5:$C$154,C235))</f>
        <v>0</v>
      </c>
      <c r="L235" s="23">
        <f>IF(C235="","",SUMIFS(Analytics!$X$5:$X$154,Analytics!$C$5:$C$154,C235))</f>
        <v>0</v>
      </c>
      <c r="M235" s="23">
        <f>IF(C235="","",SUMIFS(Analytics!$R$5:$R$154,Analytics!$C$5:$C$154,C235))</f>
        <v>0</v>
      </c>
      <c r="N235" s="23">
        <f>IF(C235="","",SUMIFS(Analytics!$S$5:$S$154,Analytics!$C$5:$C$154,C235))</f>
        <v>0</v>
      </c>
      <c r="O235" s="23">
        <f>IF(C235="","",SUMIFS(Analytics!$T$5:$T$154,Analytics!$C$5:$C$154,C235))</f>
        <v>0</v>
      </c>
      <c r="P235" s="25">
        <f>IF(C235="","",SUMIFS(Analytics!$U$5:$U$154,Analytics!$C$5:$C$154,C235))</f>
        <v>0</v>
      </c>
      <c r="Q235" s="25">
        <f>IF(C235="","",SUMIFS(Budget!$H$5:$H$64,Budget!$C$5:$C$64,C235))</f>
        <v>0</v>
      </c>
      <c r="R235" s="25">
        <f>IF(C235="","",P235-Q235)</f>
        <v>0</v>
      </c>
      <c r="S235" s="23">
        <f>IF(C235="","",MonthlyPostTarget)</f>
        <v>0</v>
      </c>
      <c r="T235" s="17">
        <f>IF(Lists!$C235="","",Lists!$C235)</f>
        <v>0</v>
      </c>
      <c r="U235" s="23">
        <f>IF(T235="","",COUNTIFS('Content Calendar'!$G$5:$G$604,T235,'Content Calendar'!$B$5:$B$604,"&gt;="&amp;DashStart,'Content Calendar'!$B$5:$B$604,"&lt;="&amp;DashEnd))</f>
        <v>0</v>
      </c>
      <c r="V235" s="23">
        <f>IF(T235="","",COUNTIFS('Content Calendar'!$G$5:$G$604,T235,'Content Calendar'!$X$5:$X$604,"Published",'Content Calendar'!$B$5:$B$604,"&gt;="&amp;DashStart,'Content Calendar'!$B$5:$B$604,"&lt;="&amp;DashEnd))</f>
        <v>0</v>
      </c>
      <c r="W235" s="23">
        <f>IF(T235="","",SUMIFS(Analytics!$J$5:$J$154,Analytics!$D$5:$D$154,T235,Analytics!$B$5:$B$154,"&gt;="&amp;DashStart,Analytics!$B$5:$B$154,"&lt;="&amp;DashEnd))</f>
        <v>0</v>
      </c>
      <c r="X235" s="23">
        <f>IF(T235="","",SUMIFS(Analytics!$L$5:$L$154,Analytics!$D$5:$D$154,T235,Analytics!$B$5:$B$154,"&gt;="&amp;DashStart,Analytics!$B$5:$B$154,"&lt;="&amp;DashEnd))</f>
        <v>0</v>
      </c>
      <c r="Y235" s="24">
        <f>IF(OR(W235="",W235=0),"",X235/W235)</f>
        <v>0</v>
      </c>
      <c r="Z235" s="23">
        <f>IF(T235="","",SUMIFS(Analytics!$G$5:$G$154,Analytics!$D$5:$D$154,T235,Analytics!$B$5:$B$154,"&gt;="&amp;DashStart,Analytics!$B$5:$B$154,"&lt;="&amp;DashEnd))</f>
        <v>0</v>
      </c>
      <c r="AA235" s="23">
        <f>IF(T235="","",SUMIFS(Analytics!$X$5:$X$154,Analytics!$D$5:$D$154,T235,Analytics!$B$5:$B$154,"&gt;="&amp;DashStart,Analytics!$B$5:$B$154,"&lt;="&amp;DashEnd))</f>
        <v>0</v>
      </c>
      <c r="AB235" s="23">
        <f>IF(T235="","",SUMIFS(Analytics!$R$5:$R$154,Analytics!$D$5:$D$154,T235,Analytics!$B$5:$B$154,"&gt;="&amp;DashStart,Analytics!$B$5:$B$154,"&lt;="&amp;DashEnd))</f>
        <v>0</v>
      </c>
      <c r="AC235" s="25">
        <f>IF(T235="","",SUMIFS(Analytics!$U$5:$U$154,Analytics!$D$5:$D$154,T235,Analytics!$B$5:$B$154,"&gt;="&amp;DashStart,Analytics!$B$5:$B$154,"&lt;="&amp;DashEnd))</f>
        <v>0</v>
      </c>
      <c r="AD235" s="23">
        <f>IF(T235="","",COUNTIFS('Content Calendar'!$G$5:$G$604,T235,'Content Calendar'!$B$5:$B$604,"&gt;="&amp;DATE(PlanYear,1,1),'Content Calendar'!$B$5:$B$604,"&lt;="&amp;DATE(PlanYear,12,31)))</f>
        <v>0</v>
      </c>
      <c r="AE235" s="23">
        <f>IF(T235="","",SUMIFS(Analytics!$J$5:$J$154,Analytics!$D$5:$D$154,T235))</f>
        <v>0</v>
      </c>
      <c r="AF235" s="23">
        <f>IF(T235="","",SUMIFS(Analytics!$L$5:$L$154,Analytics!$D$5:$D$154,T235))</f>
        <v>0</v>
      </c>
      <c r="AG235" s="24">
        <f>IF(OR(AE235="",AE235=0),"",AF235/AE235)</f>
        <v>0</v>
      </c>
      <c r="AH235" s="23">
        <f>IF(T235="","",SUMIFS(Analytics!$X$5:$X$154,Analytics!$D$5:$D$154,T235))</f>
        <v>0</v>
      </c>
      <c r="AI235" s="32">
        <f>IF(T235="","",IF(AE235=0,"",AE235+ROW()/1000000))</f>
        <v>0</v>
      </c>
      <c r="AJ235" s="17">
        <f>IF('Content Pillars'!$B$235="","",'Content Pillars'!$B$235)</f>
        <v>0</v>
      </c>
      <c r="AK235" s="23">
        <f>IF(AJ235="","",COUNTIFS('Content Calendar'!$J$5:$J$604,AJ235,'Content Calendar'!$B$5:$B$604,"&gt;="&amp;DATE(PlanYear,1,1),'Content Calendar'!$B$5:$B$604,"&lt;="&amp;DATE(PlanYear,12,31)))</f>
        <v>0</v>
      </c>
      <c r="AL235" s="23">
        <f>IF(AJ235="","",SUMIFS(Performance!$O$5:$O$404,Performance!$H$5:$H$404,AJ235))</f>
        <v>0</v>
      </c>
      <c r="AM235" s="23">
        <f>IF(AJ235="","",SUMIFS(Performance!$Z$5:$Z$404,Performance!$H$5:$H$404,AJ235))</f>
        <v>0</v>
      </c>
      <c r="AN235" s="24">
        <f>IF(OR(AL235="",AL235=0),"",AM235/AL235)</f>
        <v>0</v>
      </c>
      <c r="AO235" s="32">
        <f>IF(AN235="","",AN235+ROW()/1000000)</f>
        <v>0</v>
      </c>
      <c r="AP235" s="17">
        <f>IF(Lists!$E235="","",Lists!$E235)</f>
        <v>0</v>
      </c>
      <c r="AQ235" s="23">
        <f>IF(AP235="","",COUNTIF(Performance!$G$5:$G$404,AP235))</f>
        <v>0</v>
      </c>
      <c r="AR235" s="23">
        <f>IF(AP235="","",SUMIFS(Performance!$O$5:$O$404,Performance!$G$5:$G$404,AP235))</f>
        <v>0</v>
      </c>
      <c r="AS235" s="23">
        <f>IF(AP235="","",SUMIFS(Performance!$Z$5:$Z$404,Performance!$G$5:$G$404,AP235))</f>
        <v>0</v>
      </c>
      <c r="AT235" s="24">
        <f>IF(OR(AR235="",AR235=0),"",AS235/AR235)</f>
        <v>0</v>
      </c>
      <c r="AU235" s="32">
        <f>IF(AQ235=0,"",IF(AT235="","",AT235+ROW()/1000000))</f>
        <v>0</v>
      </c>
      <c r="AV235" s="17">
        <f>IF(ROW()-4&gt;7,"",TEXT(DATE(2024,1,ROW()-4),"ddd"))</f>
        <v>0</v>
      </c>
      <c r="AW235" s="23">
        <f>IF(AV235="","",COUNTIF(Performance!$N$5:$N$404,AV235))</f>
        <v>0</v>
      </c>
      <c r="AX235" s="23">
        <f>IF(AV235="","",SUMIFS(Performance!$O$5:$O$404,Performance!$N$5:$N$404,AV235))</f>
        <v>0</v>
      </c>
      <c r="AY235" s="23">
        <f>IF(AV235="","",SUMIFS(Performance!$Z$5:$Z$404,Performance!$N$5:$N$404,AV235))</f>
        <v>0</v>
      </c>
      <c r="AZ235" s="24">
        <f>IF(OR(AX235="",AX235=0),"",AY235/AX235)</f>
        <v>0</v>
      </c>
      <c r="BA235" s="32">
        <f>IF(AW235=0,"",IF(AZ235="","",AZ235+ROW()/1000000))</f>
        <v>0</v>
      </c>
      <c r="BB235" s="17">
        <f>IF(Lists!$AL235="","",Lists!$AL235)</f>
        <v>0</v>
      </c>
      <c r="BC235" s="23">
        <f>IF(BB235="","",COUNTIF(Performance!$M$5:$M$404,BB235))</f>
        <v>0</v>
      </c>
      <c r="BD235" s="23">
        <f>IF(BB235="","",SUMIFS(Performance!$O$5:$O$404,Performance!$M$5:$M$404,BB235))</f>
        <v>0</v>
      </c>
      <c r="BE235" s="23">
        <f>IF(BB235="","",SUMIFS(Performance!$Z$5:$Z$404,Performance!$M$5:$M$404,BB235))</f>
        <v>0</v>
      </c>
      <c r="BF235" s="24">
        <f>IF(OR(BD235="",BD235=0),"",BE235/BD235)</f>
        <v>0</v>
      </c>
      <c r="BG235" s="32">
        <f>IF(BC235=0,"",IF(BF235="","",BF235+ROW()/1000000))</f>
        <v>0</v>
      </c>
      <c r="BH235" s="17">
        <f>IF(Performance!$C$235="","",Performance!$C$235)</f>
        <v>0</v>
      </c>
      <c r="BI235" s="17">
        <f>IF(Performance!$F$235="","",Performance!$F$235)</f>
        <v>0</v>
      </c>
      <c r="BJ235" s="17">
        <f>IF(Performance!$H$235="","",Performance!$H$235)</f>
        <v>0</v>
      </c>
      <c r="BK235" s="16">
        <f>IF(Performance!$D$235="","",Performance!$D$235)</f>
        <v>0</v>
      </c>
      <c r="BL235" s="17">
        <f>IF(Performance!$E$235="","",Performance!$E$235)</f>
        <v>0</v>
      </c>
      <c r="BM235" s="23">
        <f>IF(Performance!$O$235="","",Performance!$O$235)</f>
        <v>0</v>
      </c>
      <c r="BN235" s="24">
        <f>IF(Performance!$AA$235="","",Performance!$AA$235)</f>
        <v>0</v>
      </c>
      <c r="BO235" s="32">
        <f>IF(BH235="","",IF(BK235="","",IF(OR(BK235&lt;DashStart,BK235&gt;DashEnd),"",IF(BN235="","",BN235+ROW()/1000000))))</f>
        <v>0</v>
      </c>
      <c r="BP235" s="32">
        <f>IF(BM235="","",IF(BK235="","",IF(OR(BK235&lt;DashStart,BK235&gt;DashEnd),"",BM235+ROW()/1000000)))</f>
        <v>0</v>
      </c>
      <c r="BQ235" s="32">
        <f>IF(BH235="","",IF(BK235="","",IF(YEAR(BK235)&lt;&gt;PlanYear,"",IF(BN235="","",BN235+ROW()/1000000))))</f>
        <v>0</v>
      </c>
      <c r="BR235" s="32">
        <f>IF(BH235="","",IF(BK235="","",IF(OR(BK235&lt;RepFrom,BK235&gt;RepTo),"",IF(BN235="","",BN235+ROW()/1000000))))</f>
        <v>0</v>
      </c>
      <c r="BS235" s="32">
        <f>IF(BM235="","",IF(BK235="","",IF(YEAR(BK235)&lt;&gt;PlanYear,"",BM235+ROW()/1000000)))</f>
        <v>0</v>
      </c>
      <c r="BT235" s="17">
        <f>IF(Lists!$F235="","",Lists!$F235)</f>
        <v>0</v>
      </c>
      <c r="BU235" s="23">
        <f>IF(BT235="","",COUNTIF('Content Calendar'!$X$5:$X$604,BT235))</f>
        <v>0</v>
      </c>
      <c r="BV235" s="23">
        <f>IF(BT235="","",COUNTIFS('Content Calendar'!$X$5:$X$604,BT235,'Content Calendar'!$B$5:$B$604,"&gt;="&amp;DashStart,'Content Calendar'!$B$5:$B$604,"&lt;="&amp;DashEnd))</f>
        <v>0</v>
      </c>
      <c r="BW235" s="17">
        <f>IF(Team!$B$235="","",Team!$B$235)</f>
        <v>0</v>
      </c>
      <c r="BX235" s="23">
        <f>IF(BW235="","",COUNTIF('Content Calendar'!$W$5:$W$604,BW235))</f>
        <v>0</v>
      </c>
      <c r="BY235" s="23">
        <f>IF(BW235="","",COUNTIFS('Content Calendar'!$W$5:$W$604,BW235,'Content Calendar'!$X$5:$X$604,"&lt;&gt;Published"))</f>
        <v>0</v>
      </c>
      <c r="BZ235" s="23">
        <f>IF(BW235="","",COUNTIFS(Tasks!$C$5:$C$64,BW235,Tasks!$G$5:$G$64,"&lt;&gt;Complete"))</f>
        <v>0</v>
      </c>
      <c r="CA235" s="17">
        <f>IF(Campaigns!$B$235="","",Campaigns!$B$235)</f>
        <v>0</v>
      </c>
      <c r="CB235" s="25">
        <f>IF(Campaigns!$T$235="","",Campaigns!$T$235)</f>
        <v>0</v>
      </c>
      <c r="CC235" s="25">
        <f>IF(Campaigns!$Q$235="","",Campaigns!$Q$235)</f>
        <v>0</v>
      </c>
      <c r="CD235" s="23">
        <f>IF(Campaigns!$Y$235="","",Campaigns!$Y$235)</f>
        <v>0</v>
      </c>
      <c r="CE235" s="32">
        <f>IF(CA235="","",IF(N(CB235)&lt;=0,"",N(CB235)+ROW()/1000000))</f>
        <v>0</v>
      </c>
      <c r="CF235" s="17">
        <f>IF(Accounts!$C$235="","",Accounts!$C$235)</f>
        <v>0</v>
      </c>
      <c r="CG235" s="17">
        <f>IF(Accounts!$B$235="","",Accounts!$B$235)</f>
        <v>0</v>
      </c>
      <c r="CH235" s="23">
        <f>IF(Accounts!$J$235="","",Accounts!$J$235)</f>
        <v>0</v>
      </c>
      <c r="CI235" s="23">
        <f>IF(CF235="","",SUMIFS(Analytics!$X$5:$X$154,Analytics!$E$5:$E$154,CF235,Analytics!$B$5:$B$154,"&gt;="&amp;DashStart,Analytics!$B$5:$B$154,"&lt;="&amp;DashEnd))</f>
        <v>0</v>
      </c>
      <c r="CJ235" s="32">
        <f>IF(CH235="","",IF(CH235=0,"",CH235+ROW()/1000000))</f>
        <v>0</v>
      </c>
    </row>
    <row r="236" spans="1:88">
      <c r="A236" s="16">
        <f>IF(ROW()-4&gt;12,"",DATE(PlanYear,ROW()-4,1))</f>
        <v>0</v>
      </c>
      <c r="B236" s="16">
        <f>IF(A236="","",EOMONTH(A236,0))</f>
        <v>0</v>
      </c>
      <c r="C236" s="17">
        <f>IF(A236="","",TEXT(A236,"yyyy-mm"))</f>
        <v>0</v>
      </c>
      <c r="D236" s="17">
        <f>IF(A236="","",TEXT(A236,"mmm"))</f>
        <v>0</v>
      </c>
      <c r="E236" s="23">
        <f>IF(C236="","",COUNTIFS('Content Calendar'!$D$5:$D$604,C236))</f>
        <v>0</v>
      </c>
      <c r="F236" s="23">
        <f>IF(C236="","",COUNTIFS('Content Calendar'!$D$5:$D$604,C236,'Content Calendar'!$X$5:$X$604,"Published"))</f>
        <v>0</v>
      </c>
      <c r="G236" s="23">
        <f>IF(C236="","",SUMIFS(Analytics!$J$5:$J$154,Analytics!$C$5:$C$154,C236))</f>
        <v>0</v>
      </c>
      <c r="H236" s="23">
        <f>IF(C236="","",SUMIFS(Analytics!$K$5:$K$154,Analytics!$C$5:$C$154,C236))</f>
        <v>0</v>
      </c>
      <c r="I236" s="23">
        <f>IF(C236="","",SUMIFS(Analytics!$L$5:$L$154,Analytics!$C$5:$C$154,C236))</f>
        <v>0</v>
      </c>
      <c r="J236" s="24">
        <f>IF(OR(G236="",G236=0),"",I236/G236)</f>
        <v>0</v>
      </c>
      <c r="K236" s="23">
        <f>IF(C236="","",SUMIFS(Analytics!$G$5:$G$154,Analytics!$C$5:$C$154,C236))</f>
        <v>0</v>
      </c>
      <c r="L236" s="23">
        <f>IF(C236="","",SUMIFS(Analytics!$X$5:$X$154,Analytics!$C$5:$C$154,C236))</f>
        <v>0</v>
      </c>
      <c r="M236" s="23">
        <f>IF(C236="","",SUMIFS(Analytics!$R$5:$R$154,Analytics!$C$5:$C$154,C236))</f>
        <v>0</v>
      </c>
      <c r="N236" s="23">
        <f>IF(C236="","",SUMIFS(Analytics!$S$5:$S$154,Analytics!$C$5:$C$154,C236))</f>
        <v>0</v>
      </c>
      <c r="O236" s="23">
        <f>IF(C236="","",SUMIFS(Analytics!$T$5:$T$154,Analytics!$C$5:$C$154,C236))</f>
        <v>0</v>
      </c>
      <c r="P236" s="25">
        <f>IF(C236="","",SUMIFS(Analytics!$U$5:$U$154,Analytics!$C$5:$C$154,C236))</f>
        <v>0</v>
      </c>
      <c r="Q236" s="25">
        <f>IF(C236="","",SUMIFS(Budget!$H$5:$H$64,Budget!$C$5:$C$64,C236))</f>
        <v>0</v>
      </c>
      <c r="R236" s="25">
        <f>IF(C236="","",P236-Q236)</f>
        <v>0</v>
      </c>
      <c r="S236" s="23">
        <f>IF(C236="","",MonthlyPostTarget)</f>
        <v>0</v>
      </c>
      <c r="T236" s="17">
        <f>IF(Lists!$C236="","",Lists!$C236)</f>
        <v>0</v>
      </c>
      <c r="U236" s="23">
        <f>IF(T236="","",COUNTIFS('Content Calendar'!$G$5:$G$604,T236,'Content Calendar'!$B$5:$B$604,"&gt;="&amp;DashStart,'Content Calendar'!$B$5:$B$604,"&lt;="&amp;DashEnd))</f>
        <v>0</v>
      </c>
      <c r="V236" s="23">
        <f>IF(T236="","",COUNTIFS('Content Calendar'!$G$5:$G$604,T236,'Content Calendar'!$X$5:$X$604,"Published",'Content Calendar'!$B$5:$B$604,"&gt;="&amp;DashStart,'Content Calendar'!$B$5:$B$604,"&lt;="&amp;DashEnd))</f>
        <v>0</v>
      </c>
      <c r="W236" s="23">
        <f>IF(T236="","",SUMIFS(Analytics!$J$5:$J$154,Analytics!$D$5:$D$154,T236,Analytics!$B$5:$B$154,"&gt;="&amp;DashStart,Analytics!$B$5:$B$154,"&lt;="&amp;DashEnd))</f>
        <v>0</v>
      </c>
      <c r="X236" s="23">
        <f>IF(T236="","",SUMIFS(Analytics!$L$5:$L$154,Analytics!$D$5:$D$154,T236,Analytics!$B$5:$B$154,"&gt;="&amp;DashStart,Analytics!$B$5:$B$154,"&lt;="&amp;DashEnd))</f>
        <v>0</v>
      </c>
      <c r="Y236" s="24">
        <f>IF(OR(W236="",W236=0),"",X236/W236)</f>
        <v>0</v>
      </c>
      <c r="Z236" s="23">
        <f>IF(T236="","",SUMIFS(Analytics!$G$5:$G$154,Analytics!$D$5:$D$154,T236,Analytics!$B$5:$B$154,"&gt;="&amp;DashStart,Analytics!$B$5:$B$154,"&lt;="&amp;DashEnd))</f>
        <v>0</v>
      </c>
      <c r="AA236" s="23">
        <f>IF(T236="","",SUMIFS(Analytics!$X$5:$X$154,Analytics!$D$5:$D$154,T236,Analytics!$B$5:$B$154,"&gt;="&amp;DashStart,Analytics!$B$5:$B$154,"&lt;="&amp;DashEnd))</f>
        <v>0</v>
      </c>
      <c r="AB236" s="23">
        <f>IF(T236="","",SUMIFS(Analytics!$R$5:$R$154,Analytics!$D$5:$D$154,T236,Analytics!$B$5:$B$154,"&gt;="&amp;DashStart,Analytics!$B$5:$B$154,"&lt;="&amp;DashEnd))</f>
        <v>0</v>
      </c>
      <c r="AC236" s="25">
        <f>IF(T236="","",SUMIFS(Analytics!$U$5:$U$154,Analytics!$D$5:$D$154,T236,Analytics!$B$5:$B$154,"&gt;="&amp;DashStart,Analytics!$B$5:$B$154,"&lt;="&amp;DashEnd))</f>
        <v>0</v>
      </c>
      <c r="AD236" s="23">
        <f>IF(T236="","",COUNTIFS('Content Calendar'!$G$5:$G$604,T236,'Content Calendar'!$B$5:$B$604,"&gt;="&amp;DATE(PlanYear,1,1),'Content Calendar'!$B$5:$B$604,"&lt;="&amp;DATE(PlanYear,12,31)))</f>
        <v>0</v>
      </c>
      <c r="AE236" s="23">
        <f>IF(T236="","",SUMIFS(Analytics!$J$5:$J$154,Analytics!$D$5:$D$154,T236))</f>
        <v>0</v>
      </c>
      <c r="AF236" s="23">
        <f>IF(T236="","",SUMIFS(Analytics!$L$5:$L$154,Analytics!$D$5:$D$154,T236))</f>
        <v>0</v>
      </c>
      <c r="AG236" s="24">
        <f>IF(OR(AE236="",AE236=0),"",AF236/AE236)</f>
        <v>0</v>
      </c>
      <c r="AH236" s="23">
        <f>IF(T236="","",SUMIFS(Analytics!$X$5:$X$154,Analytics!$D$5:$D$154,T236))</f>
        <v>0</v>
      </c>
      <c r="AI236" s="32">
        <f>IF(T236="","",IF(AE236=0,"",AE236+ROW()/1000000))</f>
        <v>0</v>
      </c>
      <c r="AJ236" s="17">
        <f>IF('Content Pillars'!$B$236="","",'Content Pillars'!$B$236)</f>
        <v>0</v>
      </c>
      <c r="AK236" s="23">
        <f>IF(AJ236="","",COUNTIFS('Content Calendar'!$J$5:$J$604,AJ236,'Content Calendar'!$B$5:$B$604,"&gt;="&amp;DATE(PlanYear,1,1),'Content Calendar'!$B$5:$B$604,"&lt;="&amp;DATE(PlanYear,12,31)))</f>
        <v>0</v>
      </c>
      <c r="AL236" s="23">
        <f>IF(AJ236="","",SUMIFS(Performance!$O$5:$O$404,Performance!$H$5:$H$404,AJ236))</f>
        <v>0</v>
      </c>
      <c r="AM236" s="23">
        <f>IF(AJ236="","",SUMIFS(Performance!$Z$5:$Z$404,Performance!$H$5:$H$404,AJ236))</f>
        <v>0</v>
      </c>
      <c r="AN236" s="24">
        <f>IF(OR(AL236="",AL236=0),"",AM236/AL236)</f>
        <v>0</v>
      </c>
      <c r="AO236" s="32">
        <f>IF(AN236="","",AN236+ROW()/1000000)</f>
        <v>0</v>
      </c>
      <c r="AP236" s="17">
        <f>IF(Lists!$E236="","",Lists!$E236)</f>
        <v>0</v>
      </c>
      <c r="AQ236" s="23">
        <f>IF(AP236="","",COUNTIF(Performance!$G$5:$G$404,AP236))</f>
        <v>0</v>
      </c>
      <c r="AR236" s="23">
        <f>IF(AP236="","",SUMIFS(Performance!$O$5:$O$404,Performance!$G$5:$G$404,AP236))</f>
        <v>0</v>
      </c>
      <c r="AS236" s="23">
        <f>IF(AP236="","",SUMIFS(Performance!$Z$5:$Z$404,Performance!$G$5:$G$404,AP236))</f>
        <v>0</v>
      </c>
      <c r="AT236" s="24">
        <f>IF(OR(AR236="",AR236=0),"",AS236/AR236)</f>
        <v>0</v>
      </c>
      <c r="AU236" s="32">
        <f>IF(AQ236=0,"",IF(AT236="","",AT236+ROW()/1000000))</f>
        <v>0</v>
      </c>
      <c r="AV236" s="17">
        <f>IF(ROW()-4&gt;7,"",TEXT(DATE(2024,1,ROW()-4),"ddd"))</f>
        <v>0</v>
      </c>
      <c r="AW236" s="23">
        <f>IF(AV236="","",COUNTIF(Performance!$N$5:$N$404,AV236))</f>
        <v>0</v>
      </c>
      <c r="AX236" s="23">
        <f>IF(AV236="","",SUMIFS(Performance!$O$5:$O$404,Performance!$N$5:$N$404,AV236))</f>
        <v>0</v>
      </c>
      <c r="AY236" s="23">
        <f>IF(AV236="","",SUMIFS(Performance!$Z$5:$Z$404,Performance!$N$5:$N$404,AV236))</f>
        <v>0</v>
      </c>
      <c r="AZ236" s="24">
        <f>IF(OR(AX236="",AX236=0),"",AY236/AX236)</f>
        <v>0</v>
      </c>
      <c r="BA236" s="32">
        <f>IF(AW236=0,"",IF(AZ236="","",AZ236+ROW()/1000000))</f>
        <v>0</v>
      </c>
      <c r="BB236" s="17">
        <f>IF(Lists!$AL236="","",Lists!$AL236)</f>
        <v>0</v>
      </c>
      <c r="BC236" s="23">
        <f>IF(BB236="","",COUNTIF(Performance!$M$5:$M$404,BB236))</f>
        <v>0</v>
      </c>
      <c r="BD236" s="23">
        <f>IF(BB236="","",SUMIFS(Performance!$O$5:$O$404,Performance!$M$5:$M$404,BB236))</f>
        <v>0</v>
      </c>
      <c r="BE236" s="23">
        <f>IF(BB236="","",SUMIFS(Performance!$Z$5:$Z$404,Performance!$M$5:$M$404,BB236))</f>
        <v>0</v>
      </c>
      <c r="BF236" s="24">
        <f>IF(OR(BD236="",BD236=0),"",BE236/BD236)</f>
        <v>0</v>
      </c>
      <c r="BG236" s="32">
        <f>IF(BC236=0,"",IF(BF236="","",BF236+ROW()/1000000))</f>
        <v>0</v>
      </c>
      <c r="BH236" s="17">
        <f>IF(Performance!$C$236="","",Performance!$C$236)</f>
        <v>0</v>
      </c>
      <c r="BI236" s="17">
        <f>IF(Performance!$F$236="","",Performance!$F$236)</f>
        <v>0</v>
      </c>
      <c r="BJ236" s="17">
        <f>IF(Performance!$H$236="","",Performance!$H$236)</f>
        <v>0</v>
      </c>
      <c r="BK236" s="16">
        <f>IF(Performance!$D$236="","",Performance!$D$236)</f>
        <v>0</v>
      </c>
      <c r="BL236" s="17">
        <f>IF(Performance!$E$236="","",Performance!$E$236)</f>
        <v>0</v>
      </c>
      <c r="BM236" s="23">
        <f>IF(Performance!$O$236="","",Performance!$O$236)</f>
        <v>0</v>
      </c>
      <c r="BN236" s="24">
        <f>IF(Performance!$AA$236="","",Performance!$AA$236)</f>
        <v>0</v>
      </c>
      <c r="BO236" s="32">
        <f>IF(BH236="","",IF(BK236="","",IF(OR(BK236&lt;DashStart,BK236&gt;DashEnd),"",IF(BN236="","",BN236+ROW()/1000000))))</f>
        <v>0</v>
      </c>
      <c r="BP236" s="32">
        <f>IF(BM236="","",IF(BK236="","",IF(OR(BK236&lt;DashStart,BK236&gt;DashEnd),"",BM236+ROW()/1000000)))</f>
        <v>0</v>
      </c>
      <c r="BQ236" s="32">
        <f>IF(BH236="","",IF(BK236="","",IF(YEAR(BK236)&lt;&gt;PlanYear,"",IF(BN236="","",BN236+ROW()/1000000))))</f>
        <v>0</v>
      </c>
      <c r="BR236" s="32">
        <f>IF(BH236="","",IF(BK236="","",IF(OR(BK236&lt;RepFrom,BK236&gt;RepTo),"",IF(BN236="","",BN236+ROW()/1000000))))</f>
        <v>0</v>
      </c>
      <c r="BS236" s="32">
        <f>IF(BM236="","",IF(BK236="","",IF(YEAR(BK236)&lt;&gt;PlanYear,"",BM236+ROW()/1000000)))</f>
        <v>0</v>
      </c>
      <c r="BT236" s="17">
        <f>IF(Lists!$F236="","",Lists!$F236)</f>
        <v>0</v>
      </c>
      <c r="BU236" s="23">
        <f>IF(BT236="","",COUNTIF('Content Calendar'!$X$5:$X$604,BT236))</f>
        <v>0</v>
      </c>
      <c r="BV236" s="23">
        <f>IF(BT236="","",COUNTIFS('Content Calendar'!$X$5:$X$604,BT236,'Content Calendar'!$B$5:$B$604,"&gt;="&amp;DashStart,'Content Calendar'!$B$5:$B$604,"&lt;="&amp;DashEnd))</f>
        <v>0</v>
      </c>
      <c r="BW236" s="17">
        <f>IF(Team!$B$236="","",Team!$B$236)</f>
        <v>0</v>
      </c>
      <c r="BX236" s="23">
        <f>IF(BW236="","",COUNTIF('Content Calendar'!$W$5:$W$604,BW236))</f>
        <v>0</v>
      </c>
      <c r="BY236" s="23">
        <f>IF(BW236="","",COUNTIFS('Content Calendar'!$W$5:$W$604,BW236,'Content Calendar'!$X$5:$X$604,"&lt;&gt;Published"))</f>
        <v>0</v>
      </c>
      <c r="BZ236" s="23">
        <f>IF(BW236="","",COUNTIFS(Tasks!$C$5:$C$64,BW236,Tasks!$G$5:$G$64,"&lt;&gt;Complete"))</f>
        <v>0</v>
      </c>
      <c r="CA236" s="17">
        <f>IF(Campaigns!$B$236="","",Campaigns!$B$236)</f>
        <v>0</v>
      </c>
      <c r="CB236" s="25">
        <f>IF(Campaigns!$T$236="","",Campaigns!$T$236)</f>
        <v>0</v>
      </c>
      <c r="CC236" s="25">
        <f>IF(Campaigns!$Q$236="","",Campaigns!$Q$236)</f>
        <v>0</v>
      </c>
      <c r="CD236" s="23">
        <f>IF(Campaigns!$Y$236="","",Campaigns!$Y$236)</f>
        <v>0</v>
      </c>
      <c r="CE236" s="32">
        <f>IF(CA236="","",IF(N(CB236)&lt;=0,"",N(CB236)+ROW()/1000000))</f>
        <v>0</v>
      </c>
      <c r="CF236" s="17">
        <f>IF(Accounts!$C$236="","",Accounts!$C$236)</f>
        <v>0</v>
      </c>
      <c r="CG236" s="17">
        <f>IF(Accounts!$B$236="","",Accounts!$B$236)</f>
        <v>0</v>
      </c>
      <c r="CH236" s="23">
        <f>IF(Accounts!$J$236="","",Accounts!$J$236)</f>
        <v>0</v>
      </c>
      <c r="CI236" s="23">
        <f>IF(CF236="","",SUMIFS(Analytics!$X$5:$X$154,Analytics!$E$5:$E$154,CF236,Analytics!$B$5:$B$154,"&gt;="&amp;DashStart,Analytics!$B$5:$B$154,"&lt;="&amp;DashEnd))</f>
        <v>0</v>
      </c>
      <c r="CJ236" s="32">
        <f>IF(CH236="","",IF(CH236=0,"",CH236+ROW()/1000000))</f>
        <v>0</v>
      </c>
    </row>
    <row r="237" spans="1:88">
      <c r="A237" s="16">
        <f>IF(ROW()-4&gt;12,"",DATE(PlanYear,ROW()-4,1))</f>
        <v>0</v>
      </c>
      <c r="B237" s="16">
        <f>IF(A237="","",EOMONTH(A237,0))</f>
        <v>0</v>
      </c>
      <c r="C237" s="17">
        <f>IF(A237="","",TEXT(A237,"yyyy-mm"))</f>
        <v>0</v>
      </c>
      <c r="D237" s="17">
        <f>IF(A237="","",TEXT(A237,"mmm"))</f>
        <v>0</v>
      </c>
      <c r="E237" s="23">
        <f>IF(C237="","",COUNTIFS('Content Calendar'!$D$5:$D$604,C237))</f>
        <v>0</v>
      </c>
      <c r="F237" s="23">
        <f>IF(C237="","",COUNTIFS('Content Calendar'!$D$5:$D$604,C237,'Content Calendar'!$X$5:$X$604,"Published"))</f>
        <v>0</v>
      </c>
      <c r="G237" s="23">
        <f>IF(C237="","",SUMIFS(Analytics!$J$5:$J$154,Analytics!$C$5:$C$154,C237))</f>
        <v>0</v>
      </c>
      <c r="H237" s="23">
        <f>IF(C237="","",SUMIFS(Analytics!$K$5:$K$154,Analytics!$C$5:$C$154,C237))</f>
        <v>0</v>
      </c>
      <c r="I237" s="23">
        <f>IF(C237="","",SUMIFS(Analytics!$L$5:$L$154,Analytics!$C$5:$C$154,C237))</f>
        <v>0</v>
      </c>
      <c r="J237" s="24">
        <f>IF(OR(G237="",G237=0),"",I237/G237)</f>
        <v>0</v>
      </c>
      <c r="K237" s="23">
        <f>IF(C237="","",SUMIFS(Analytics!$G$5:$G$154,Analytics!$C$5:$C$154,C237))</f>
        <v>0</v>
      </c>
      <c r="L237" s="23">
        <f>IF(C237="","",SUMIFS(Analytics!$X$5:$X$154,Analytics!$C$5:$C$154,C237))</f>
        <v>0</v>
      </c>
      <c r="M237" s="23">
        <f>IF(C237="","",SUMIFS(Analytics!$R$5:$R$154,Analytics!$C$5:$C$154,C237))</f>
        <v>0</v>
      </c>
      <c r="N237" s="23">
        <f>IF(C237="","",SUMIFS(Analytics!$S$5:$S$154,Analytics!$C$5:$C$154,C237))</f>
        <v>0</v>
      </c>
      <c r="O237" s="23">
        <f>IF(C237="","",SUMIFS(Analytics!$T$5:$T$154,Analytics!$C$5:$C$154,C237))</f>
        <v>0</v>
      </c>
      <c r="P237" s="25">
        <f>IF(C237="","",SUMIFS(Analytics!$U$5:$U$154,Analytics!$C$5:$C$154,C237))</f>
        <v>0</v>
      </c>
      <c r="Q237" s="25">
        <f>IF(C237="","",SUMIFS(Budget!$H$5:$H$64,Budget!$C$5:$C$64,C237))</f>
        <v>0</v>
      </c>
      <c r="R237" s="25">
        <f>IF(C237="","",P237-Q237)</f>
        <v>0</v>
      </c>
      <c r="S237" s="23">
        <f>IF(C237="","",MonthlyPostTarget)</f>
        <v>0</v>
      </c>
      <c r="T237" s="17">
        <f>IF(Lists!$C237="","",Lists!$C237)</f>
        <v>0</v>
      </c>
      <c r="U237" s="23">
        <f>IF(T237="","",COUNTIFS('Content Calendar'!$G$5:$G$604,T237,'Content Calendar'!$B$5:$B$604,"&gt;="&amp;DashStart,'Content Calendar'!$B$5:$B$604,"&lt;="&amp;DashEnd))</f>
        <v>0</v>
      </c>
      <c r="V237" s="23">
        <f>IF(T237="","",COUNTIFS('Content Calendar'!$G$5:$G$604,T237,'Content Calendar'!$X$5:$X$604,"Published",'Content Calendar'!$B$5:$B$604,"&gt;="&amp;DashStart,'Content Calendar'!$B$5:$B$604,"&lt;="&amp;DashEnd))</f>
        <v>0</v>
      </c>
      <c r="W237" s="23">
        <f>IF(T237="","",SUMIFS(Analytics!$J$5:$J$154,Analytics!$D$5:$D$154,T237,Analytics!$B$5:$B$154,"&gt;="&amp;DashStart,Analytics!$B$5:$B$154,"&lt;="&amp;DashEnd))</f>
        <v>0</v>
      </c>
      <c r="X237" s="23">
        <f>IF(T237="","",SUMIFS(Analytics!$L$5:$L$154,Analytics!$D$5:$D$154,T237,Analytics!$B$5:$B$154,"&gt;="&amp;DashStart,Analytics!$B$5:$B$154,"&lt;="&amp;DashEnd))</f>
        <v>0</v>
      </c>
      <c r="Y237" s="24">
        <f>IF(OR(W237="",W237=0),"",X237/W237)</f>
        <v>0</v>
      </c>
      <c r="Z237" s="23">
        <f>IF(T237="","",SUMIFS(Analytics!$G$5:$G$154,Analytics!$D$5:$D$154,T237,Analytics!$B$5:$B$154,"&gt;="&amp;DashStart,Analytics!$B$5:$B$154,"&lt;="&amp;DashEnd))</f>
        <v>0</v>
      </c>
      <c r="AA237" s="23">
        <f>IF(T237="","",SUMIFS(Analytics!$X$5:$X$154,Analytics!$D$5:$D$154,T237,Analytics!$B$5:$B$154,"&gt;="&amp;DashStart,Analytics!$B$5:$B$154,"&lt;="&amp;DashEnd))</f>
        <v>0</v>
      </c>
      <c r="AB237" s="23">
        <f>IF(T237="","",SUMIFS(Analytics!$R$5:$R$154,Analytics!$D$5:$D$154,T237,Analytics!$B$5:$B$154,"&gt;="&amp;DashStart,Analytics!$B$5:$B$154,"&lt;="&amp;DashEnd))</f>
        <v>0</v>
      </c>
      <c r="AC237" s="25">
        <f>IF(T237="","",SUMIFS(Analytics!$U$5:$U$154,Analytics!$D$5:$D$154,T237,Analytics!$B$5:$B$154,"&gt;="&amp;DashStart,Analytics!$B$5:$B$154,"&lt;="&amp;DashEnd))</f>
        <v>0</v>
      </c>
      <c r="AD237" s="23">
        <f>IF(T237="","",COUNTIFS('Content Calendar'!$G$5:$G$604,T237,'Content Calendar'!$B$5:$B$604,"&gt;="&amp;DATE(PlanYear,1,1),'Content Calendar'!$B$5:$B$604,"&lt;="&amp;DATE(PlanYear,12,31)))</f>
        <v>0</v>
      </c>
      <c r="AE237" s="23">
        <f>IF(T237="","",SUMIFS(Analytics!$J$5:$J$154,Analytics!$D$5:$D$154,T237))</f>
        <v>0</v>
      </c>
      <c r="AF237" s="23">
        <f>IF(T237="","",SUMIFS(Analytics!$L$5:$L$154,Analytics!$D$5:$D$154,T237))</f>
        <v>0</v>
      </c>
      <c r="AG237" s="24">
        <f>IF(OR(AE237="",AE237=0),"",AF237/AE237)</f>
        <v>0</v>
      </c>
      <c r="AH237" s="23">
        <f>IF(T237="","",SUMIFS(Analytics!$X$5:$X$154,Analytics!$D$5:$D$154,T237))</f>
        <v>0</v>
      </c>
      <c r="AI237" s="32">
        <f>IF(T237="","",IF(AE237=0,"",AE237+ROW()/1000000))</f>
        <v>0</v>
      </c>
      <c r="AJ237" s="17">
        <f>IF('Content Pillars'!$B$237="","",'Content Pillars'!$B$237)</f>
        <v>0</v>
      </c>
      <c r="AK237" s="23">
        <f>IF(AJ237="","",COUNTIFS('Content Calendar'!$J$5:$J$604,AJ237,'Content Calendar'!$B$5:$B$604,"&gt;="&amp;DATE(PlanYear,1,1),'Content Calendar'!$B$5:$B$604,"&lt;="&amp;DATE(PlanYear,12,31)))</f>
        <v>0</v>
      </c>
      <c r="AL237" s="23">
        <f>IF(AJ237="","",SUMIFS(Performance!$O$5:$O$404,Performance!$H$5:$H$404,AJ237))</f>
        <v>0</v>
      </c>
      <c r="AM237" s="23">
        <f>IF(AJ237="","",SUMIFS(Performance!$Z$5:$Z$404,Performance!$H$5:$H$404,AJ237))</f>
        <v>0</v>
      </c>
      <c r="AN237" s="24">
        <f>IF(OR(AL237="",AL237=0),"",AM237/AL237)</f>
        <v>0</v>
      </c>
      <c r="AO237" s="32">
        <f>IF(AN237="","",AN237+ROW()/1000000)</f>
        <v>0</v>
      </c>
      <c r="AP237" s="17">
        <f>IF(Lists!$E237="","",Lists!$E237)</f>
        <v>0</v>
      </c>
      <c r="AQ237" s="23">
        <f>IF(AP237="","",COUNTIF(Performance!$G$5:$G$404,AP237))</f>
        <v>0</v>
      </c>
      <c r="AR237" s="23">
        <f>IF(AP237="","",SUMIFS(Performance!$O$5:$O$404,Performance!$G$5:$G$404,AP237))</f>
        <v>0</v>
      </c>
      <c r="AS237" s="23">
        <f>IF(AP237="","",SUMIFS(Performance!$Z$5:$Z$404,Performance!$G$5:$G$404,AP237))</f>
        <v>0</v>
      </c>
      <c r="AT237" s="24">
        <f>IF(OR(AR237="",AR237=0),"",AS237/AR237)</f>
        <v>0</v>
      </c>
      <c r="AU237" s="32">
        <f>IF(AQ237=0,"",IF(AT237="","",AT237+ROW()/1000000))</f>
        <v>0</v>
      </c>
      <c r="AV237" s="17">
        <f>IF(ROW()-4&gt;7,"",TEXT(DATE(2024,1,ROW()-4),"ddd"))</f>
        <v>0</v>
      </c>
      <c r="AW237" s="23">
        <f>IF(AV237="","",COUNTIF(Performance!$N$5:$N$404,AV237))</f>
        <v>0</v>
      </c>
      <c r="AX237" s="23">
        <f>IF(AV237="","",SUMIFS(Performance!$O$5:$O$404,Performance!$N$5:$N$404,AV237))</f>
        <v>0</v>
      </c>
      <c r="AY237" s="23">
        <f>IF(AV237="","",SUMIFS(Performance!$Z$5:$Z$404,Performance!$N$5:$N$404,AV237))</f>
        <v>0</v>
      </c>
      <c r="AZ237" s="24">
        <f>IF(OR(AX237="",AX237=0),"",AY237/AX237)</f>
        <v>0</v>
      </c>
      <c r="BA237" s="32">
        <f>IF(AW237=0,"",IF(AZ237="","",AZ237+ROW()/1000000))</f>
        <v>0</v>
      </c>
      <c r="BB237" s="17">
        <f>IF(Lists!$AL237="","",Lists!$AL237)</f>
        <v>0</v>
      </c>
      <c r="BC237" s="23">
        <f>IF(BB237="","",COUNTIF(Performance!$M$5:$M$404,BB237))</f>
        <v>0</v>
      </c>
      <c r="BD237" s="23">
        <f>IF(BB237="","",SUMIFS(Performance!$O$5:$O$404,Performance!$M$5:$M$404,BB237))</f>
        <v>0</v>
      </c>
      <c r="BE237" s="23">
        <f>IF(BB237="","",SUMIFS(Performance!$Z$5:$Z$404,Performance!$M$5:$M$404,BB237))</f>
        <v>0</v>
      </c>
      <c r="BF237" s="24">
        <f>IF(OR(BD237="",BD237=0),"",BE237/BD237)</f>
        <v>0</v>
      </c>
      <c r="BG237" s="32">
        <f>IF(BC237=0,"",IF(BF237="","",BF237+ROW()/1000000))</f>
        <v>0</v>
      </c>
      <c r="BH237" s="17">
        <f>IF(Performance!$C$237="","",Performance!$C$237)</f>
        <v>0</v>
      </c>
      <c r="BI237" s="17">
        <f>IF(Performance!$F$237="","",Performance!$F$237)</f>
        <v>0</v>
      </c>
      <c r="BJ237" s="17">
        <f>IF(Performance!$H$237="","",Performance!$H$237)</f>
        <v>0</v>
      </c>
      <c r="BK237" s="16">
        <f>IF(Performance!$D$237="","",Performance!$D$237)</f>
        <v>0</v>
      </c>
      <c r="BL237" s="17">
        <f>IF(Performance!$E$237="","",Performance!$E$237)</f>
        <v>0</v>
      </c>
      <c r="BM237" s="23">
        <f>IF(Performance!$O$237="","",Performance!$O$237)</f>
        <v>0</v>
      </c>
      <c r="BN237" s="24">
        <f>IF(Performance!$AA$237="","",Performance!$AA$237)</f>
        <v>0</v>
      </c>
      <c r="BO237" s="32">
        <f>IF(BH237="","",IF(BK237="","",IF(OR(BK237&lt;DashStart,BK237&gt;DashEnd),"",IF(BN237="","",BN237+ROW()/1000000))))</f>
        <v>0</v>
      </c>
      <c r="BP237" s="32">
        <f>IF(BM237="","",IF(BK237="","",IF(OR(BK237&lt;DashStart,BK237&gt;DashEnd),"",BM237+ROW()/1000000)))</f>
        <v>0</v>
      </c>
      <c r="BQ237" s="32">
        <f>IF(BH237="","",IF(BK237="","",IF(YEAR(BK237)&lt;&gt;PlanYear,"",IF(BN237="","",BN237+ROW()/1000000))))</f>
        <v>0</v>
      </c>
      <c r="BR237" s="32">
        <f>IF(BH237="","",IF(BK237="","",IF(OR(BK237&lt;RepFrom,BK237&gt;RepTo),"",IF(BN237="","",BN237+ROW()/1000000))))</f>
        <v>0</v>
      </c>
      <c r="BS237" s="32">
        <f>IF(BM237="","",IF(BK237="","",IF(YEAR(BK237)&lt;&gt;PlanYear,"",BM237+ROW()/1000000)))</f>
        <v>0</v>
      </c>
      <c r="BT237" s="17">
        <f>IF(Lists!$F237="","",Lists!$F237)</f>
        <v>0</v>
      </c>
      <c r="BU237" s="23">
        <f>IF(BT237="","",COUNTIF('Content Calendar'!$X$5:$X$604,BT237))</f>
        <v>0</v>
      </c>
      <c r="BV237" s="23">
        <f>IF(BT237="","",COUNTIFS('Content Calendar'!$X$5:$X$604,BT237,'Content Calendar'!$B$5:$B$604,"&gt;="&amp;DashStart,'Content Calendar'!$B$5:$B$604,"&lt;="&amp;DashEnd))</f>
        <v>0</v>
      </c>
      <c r="BW237" s="17">
        <f>IF(Team!$B$237="","",Team!$B$237)</f>
        <v>0</v>
      </c>
      <c r="BX237" s="23">
        <f>IF(BW237="","",COUNTIF('Content Calendar'!$W$5:$W$604,BW237))</f>
        <v>0</v>
      </c>
      <c r="BY237" s="23">
        <f>IF(BW237="","",COUNTIFS('Content Calendar'!$W$5:$W$604,BW237,'Content Calendar'!$X$5:$X$604,"&lt;&gt;Published"))</f>
        <v>0</v>
      </c>
      <c r="BZ237" s="23">
        <f>IF(BW237="","",COUNTIFS(Tasks!$C$5:$C$64,BW237,Tasks!$G$5:$G$64,"&lt;&gt;Complete"))</f>
        <v>0</v>
      </c>
      <c r="CA237" s="17">
        <f>IF(Campaigns!$B$237="","",Campaigns!$B$237)</f>
        <v>0</v>
      </c>
      <c r="CB237" s="25">
        <f>IF(Campaigns!$T$237="","",Campaigns!$T$237)</f>
        <v>0</v>
      </c>
      <c r="CC237" s="25">
        <f>IF(Campaigns!$Q$237="","",Campaigns!$Q$237)</f>
        <v>0</v>
      </c>
      <c r="CD237" s="23">
        <f>IF(Campaigns!$Y$237="","",Campaigns!$Y$237)</f>
        <v>0</v>
      </c>
      <c r="CE237" s="32">
        <f>IF(CA237="","",IF(N(CB237)&lt;=0,"",N(CB237)+ROW()/1000000))</f>
        <v>0</v>
      </c>
      <c r="CF237" s="17">
        <f>IF(Accounts!$C$237="","",Accounts!$C$237)</f>
        <v>0</v>
      </c>
      <c r="CG237" s="17">
        <f>IF(Accounts!$B$237="","",Accounts!$B$237)</f>
        <v>0</v>
      </c>
      <c r="CH237" s="23">
        <f>IF(Accounts!$J$237="","",Accounts!$J$237)</f>
        <v>0</v>
      </c>
      <c r="CI237" s="23">
        <f>IF(CF237="","",SUMIFS(Analytics!$X$5:$X$154,Analytics!$E$5:$E$154,CF237,Analytics!$B$5:$B$154,"&gt;="&amp;DashStart,Analytics!$B$5:$B$154,"&lt;="&amp;DashEnd))</f>
        <v>0</v>
      </c>
      <c r="CJ237" s="32">
        <f>IF(CH237="","",IF(CH237=0,"",CH237+ROW()/1000000))</f>
        <v>0</v>
      </c>
    </row>
    <row r="238" spans="1:88">
      <c r="A238" s="16">
        <f>IF(ROW()-4&gt;12,"",DATE(PlanYear,ROW()-4,1))</f>
        <v>0</v>
      </c>
      <c r="B238" s="16">
        <f>IF(A238="","",EOMONTH(A238,0))</f>
        <v>0</v>
      </c>
      <c r="C238" s="17">
        <f>IF(A238="","",TEXT(A238,"yyyy-mm"))</f>
        <v>0</v>
      </c>
      <c r="D238" s="17">
        <f>IF(A238="","",TEXT(A238,"mmm"))</f>
        <v>0</v>
      </c>
      <c r="E238" s="23">
        <f>IF(C238="","",COUNTIFS('Content Calendar'!$D$5:$D$604,C238))</f>
        <v>0</v>
      </c>
      <c r="F238" s="23">
        <f>IF(C238="","",COUNTIFS('Content Calendar'!$D$5:$D$604,C238,'Content Calendar'!$X$5:$X$604,"Published"))</f>
        <v>0</v>
      </c>
      <c r="G238" s="23">
        <f>IF(C238="","",SUMIFS(Analytics!$J$5:$J$154,Analytics!$C$5:$C$154,C238))</f>
        <v>0</v>
      </c>
      <c r="H238" s="23">
        <f>IF(C238="","",SUMIFS(Analytics!$K$5:$K$154,Analytics!$C$5:$C$154,C238))</f>
        <v>0</v>
      </c>
      <c r="I238" s="23">
        <f>IF(C238="","",SUMIFS(Analytics!$L$5:$L$154,Analytics!$C$5:$C$154,C238))</f>
        <v>0</v>
      </c>
      <c r="J238" s="24">
        <f>IF(OR(G238="",G238=0),"",I238/G238)</f>
        <v>0</v>
      </c>
      <c r="K238" s="23">
        <f>IF(C238="","",SUMIFS(Analytics!$G$5:$G$154,Analytics!$C$5:$C$154,C238))</f>
        <v>0</v>
      </c>
      <c r="L238" s="23">
        <f>IF(C238="","",SUMIFS(Analytics!$X$5:$X$154,Analytics!$C$5:$C$154,C238))</f>
        <v>0</v>
      </c>
      <c r="M238" s="23">
        <f>IF(C238="","",SUMIFS(Analytics!$R$5:$R$154,Analytics!$C$5:$C$154,C238))</f>
        <v>0</v>
      </c>
      <c r="N238" s="23">
        <f>IF(C238="","",SUMIFS(Analytics!$S$5:$S$154,Analytics!$C$5:$C$154,C238))</f>
        <v>0</v>
      </c>
      <c r="O238" s="23">
        <f>IF(C238="","",SUMIFS(Analytics!$T$5:$T$154,Analytics!$C$5:$C$154,C238))</f>
        <v>0</v>
      </c>
      <c r="P238" s="25">
        <f>IF(C238="","",SUMIFS(Analytics!$U$5:$U$154,Analytics!$C$5:$C$154,C238))</f>
        <v>0</v>
      </c>
      <c r="Q238" s="25">
        <f>IF(C238="","",SUMIFS(Budget!$H$5:$H$64,Budget!$C$5:$C$64,C238))</f>
        <v>0</v>
      </c>
      <c r="R238" s="25">
        <f>IF(C238="","",P238-Q238)</f>
        <v>0</v>
      </c>
      <c r="S238" s="23">
        <f>IF(C238="","",MonthlyPostTarget)</f>
        <v>0</v>
      </c>
      <c r="T238" s="17">
        <f>IF(Lists!$C238="","",Lists!$C238)</f>
        <v>0</v>
      </c>
      <c r="U238" s="23">
        <f>IF(T238="","",COUNTIFS('Content Calendar'!$G$5:$G$604,T238,'Content Calendar'!$B$5:$B$604,"&gt;="&amp;DashStart,'Content Calendar'!$B$5:$B$604,"&lt;="&amp;DashEnd))</f>
        <v>0</v>
      </c>
      <c r="V238" s="23">
        <f>IF(T238="","",COUNTIFS('Content Calendar'!$G$5:$G$604,T238,'Content Calendar'!$X$5:$X$604,"Published",'Content Calendar'!$B$5:$B$604,"&gt;="&amp;DashStart,'Content Calendar'!$B$5:$B$604,"&lt;="&amp;DashEnd))</f>
        <v>0</v>
      </c>
      <c r="W238" s="23">
        <f>IF(T238="","",SUMIFS(Analytics!$J$5:$J$154,Analytics!$D$5:$D$154,T238,Analytics!$B$5:$B$154,"&gt;="&amp;DashStart,Analytics!$B$5:$B$154,"&lt;="&amp;DashEnd))</f>
        <v>0</v>
      </c>
      <c r="X238" s="23">
        <f>IF(T238="","",SUMIFS(Analytics!$L$5:$L$154,Analytics!$D$5:$D$154,T238,Analytics!$B$5:$B$154,"&gt;="&amp;DashStart,Analytics!$B$5:$B$154,"&lt;="&amp;DashEnd))</f>
        <v>0</v>
      </c>
      <c r="Y238" s="24">
        <f>IF(OR(W238="",W238=0),"",X238/W238)</f>
        <v>0</v>
      </c>
      <c r="Z238" s="23">
        <f>IF(T238="","",SUMIFS(Analytics!$G$5:$G$154,Analytics!$D$5:$D$154,T238,Analytics!$B$5:$B$154,"&gt;="&amp;DashStart,Analytics!$B$5:$B$154,"&lt;="&amp;DashEnd))</f>
        <v>0</v>
      </c>
      <c r="AA238" s="23">
        <f>IF(T238="","",SUMIFS(Analytics!$X$5:$X$154,Analytics!$D$5:$D$154,T238,Analytics!$B$5:$B$154,"&gt;="&amp;DashStart,Analytics!$B$5:$B$154,"&lt;="&amp;DashEnd))</f>
        <v>0</v>
      </c>
      <c r="AB238" s="23">
        <f>IF(T238="","",SUMIFS(Analytics!$R$5:$R$154,Analytics!$D$5:$D$154,T238,Analytics!$B$5:$B$154,"&gt;="&amp;DashStart,Analytics!$B$5:$B$154,"&lt;="&amp;DashEnd))</f>
        <v>0</v>
      </c>
      <c r="AC238" s="25">
        <f>IF(T238="","",SUMIFS(Analytics!$U$5:$U$154,Analytics!$D$5:$D$154,T238,Analytics!$B$5:$B$154,"&gt;="&amp;DashStart,Analytics!$B$5:$B$154,"&lt;="&amp;DashEnd))</f>
        <v>0</v>
      </c>
      <c r="AD238" s="23">
        <f>IF(T238="","",COUNTIFS('Content Calendar'!$G$5:$G$604,T238,'Content Calendar'!$B$5:$B$604,"&gt;="&amp;DATE(PlanYear,1,1),'Content Calendar'!$B$5:$B$604,"&lt;="&amp;DATE(PlanYear,12,31)))</f>
        <v>0</v>
      </c>
      <c r="AE238" s="23">
        <f>IF(T238="","",SUMIFS(Analytics!$J$5:$J$154,Analytics!$D$5:$D$154,T238))</f>
        <v>0</v>
      </c>
      <c r="AF238" s="23">
        <f>IF(T238="","",SUMIFS(Analytics!$L$5:$L$154,Analytics!$D$5:$D$154,T238))</f>
        <v>0</v>
      </c>
      <c r="AG238" s="24">
        <f>IF(OR(AE238="",AE238=0),"",AF238/AE238)</f>
        <v>0</v>
      </c>
      <c r="AH238" s="23">
        <f>IF(T238="","",SUMIFS(Analytics!$X$5:$X$154,Analytics!$D$5:$D$154,T238))</f>
        <v>0</v>
      </c>
      <c r="AI238" s="32">
        <f>IF(T238="","",IF(AE238=0,"",AE238+ROW()/1000000))</f>
        <v>0</v>
      </c>
      <c r="AJ238" s="17">
        <f>IF('Content Pillars'!$B$238="","",'Content Pillars'!$B$238)</f>
        <v>0</v>
      </c>
      <c r="AK238" s="23">
        <f>IF(AJ238="","",COUNTIFS('Content Calendar'!$J$5:$J$604,AJ238,'Content Calendar'!$B$5:$B$604,"&gt;="&amp;DATE(PlanYear,1,1),'Content Calendar'!$B$5:$B$604,"&lt;="&amp;DATE(PlanYear,12,31)))</f>
        <v>0</v>
      </c>
      <c r="AL238" s="23">
        <f>IF(AJ238="","",SUMIFS(Performance!$O$5:$O$404,Performance!$H$5:$H$404,AJ238))</f>
        <v>0</v>
      </c>
      <c r="AM238" s="23">
        <f>IF(AJ238="","",SUMIFS(Performance!$Z$5:$Z$404,Performance!$H$5:$H$404,AJ238))</f>
        <v>0</v>
      </c>
      <c r="AN238" s="24">
        <f>IF(OR(AL238="",AL238=0),"",AM238/AL238)</f>
        <v>0</v>
      </c>
      <c r="AO238" s="32">
        <f>IF(AN238="","",AN238+ROW()/1000000)</f>
        <v>0</v>
      </c>
      <c r="AP238" s="17">
        <f>IF(Lists!$E238="","",Lists!$E238)</f>
        <v>0</v>
      </c>
      <c r="AQ238" s="23">
        <f>IF(AP238="","",COUNTIF(Performance!$G$5:$G$404,AP238))</f>
        <v>0</v>
      </c>
      <c r="AR238" s="23">
        <f>IF(AP238="","",SUMIFS(Performance!$O$5:$O$404,Performance!$G$5:$G$404,AP238))</f>
        <v>0</v>
      </c>
      <c r="AS238" s="23">
        <f>IF(AP238="","",SUMIFS(Performance!$Z$5:$Z$404,Performance!$G$5:$G$404,AP238))</f>
        <v>0</v>
      </c>
      <c r="AT238" s="24">
        <f>IF(OR(AR238="",AR238=0),"",AS238/AR238)</f>
        <v>0</v>
      </c>
      <c r="AU238" s="32">
        <f>IF(AQ238=0,"",IF(AT238="","",AT238+ROW()/1000000))</f>
        <v>0</v>
      </c>
      <c r="AV238" s="17">
        <f>IF(ROW()-4&gt;7,"",TEXT(DATE(2024,1,ROW()-4),"ddd"))</f>
        <v>0</v>
      </c>
      <c r="AW238" s="23">
        <f>IF(AV238="","",COUNTIF(Performance!$N$5:$N$404,AV238))</f>
        <v>0</v>
      </c>
      <c r="AX238" s="23">
        <f>IF(AV238="","",SUMIFS(Performance!$O$5:$O$404,Performance!$N$5:$N$404,AV238))</f>
        <v>0</v>
      </c>
      <c r="AY238" s="23">
        <f>IF(AV238="","",SUMIFS(Performance!$Z$5:$Z$404,Performance!$N$5:$N$404,AV238))</f>
        <v>0</v>
      </c>
      <c r="AZ238" s="24">
        <f>IF(OR(AX238="",AX238=0),"",AY238/AX238)</f>
        <v>0</v>
      </c>
      <c r="BA238" s="32">
        <f>IF(AW238=0,"",IF(AZ238="","",AZ238+ROW()/1000000))</f>
        <v>0</v>
      </c>
      <c r="BB238" s="17">
        <f>IF(Lists!$AL238="","",Lists!$AL238)</f>
        <v>0</v>
      </c>
      <c r="BC238" s="23">
        <f>IF(BB238="","",COUNTIF(Performance!$M$5:$M$404,BB238))</f>
        <v>0</v>
      </c>
      <c r="BD238" s="23">
        <f>IF(BB238="","",SUMIFS(Performance!$O$5:$O$404,Performance!$M$5:$M$404,BB238))</f>
        <v>0</v>
      </c>
      <c r="BE238" s="23">
        <f>IF(BB238="","",SUMIFS(Performance!$Z$5:$Z$404,Performance!$M$5:$M$404,BB238))</f>
        <v>0</v>
      </c>
      <c r="BF238" s="24">
        <f>IF(OR(BD238="",BD238=0),"",BE238/BD238)</f>
        <v>0</v>
      </c>
      <c r="BG238" s="32">
        <f>IF(BC238=0,"",IF(BF238="","",BF238+ROW()/1000000))</f>
        <v>0</v>
      </c>
      <c r="BH238" s="17">
        <f>IF(Performance!$C$238="","",Performance!$C$238)</f>
        <v>0</v>
      </c>
      <c r="BI238" s="17">
        <f>IF(Performance!$F$238="","",Performance!$F$238)</f>
        <v>0</v>
      </c>
      <c r="BJ238" s="17">
        <f>IF(Performance!$H$238="","",Performance!$H$238)</f>
        <v>0</v>
      </c>
      <c r="BK238" s="16">
        <f>IF(Performance!$D$238="","",Performance!$D$238)</f>
        <v>0</v>
      </c>
      <c r="BL238" s="17">
        <f>IF(Performance!$E$238="","",Performance!$E$238)</f>
        <v>0</v>
      </c>
      <c r="BM238" s="23">
        <f>IF(Performance!$O$238="","",Performance!$O$238)</f>
        <v>0</v>
      </c>
      <c r="BN238" s="24">
        <f>IF(Performance!$AA$238="","",Performance!$AA$238)</f>
        <v>0</v>
      </c>
      <c r="BO238" s="32">
        <f>IF(BH238="","",IF(BK238="","",IF(OR(BK238&lt;DashStart,BK238&gt;DashEnd),"",IF(BN238="","",BN238+ROW()/1000000))))</f>
        <v>0</v>
      </c>
      <c r="BP238" s="32">
        <f>IF(BM238="","",IF(BK238="","",IF(OR(BK238&lt;DashStart,BK238&gt;DashEnd),"",BM238+ROW()/1000000)))</f>
        <v>0</v>
      </c>
      <c r="BQ238" s="32">
        <f>IF(BH238="","",IF(BK238="","",IF(YEAR(BK238)&lt;&gt;PlanYear,"",IF(BN238="","",BN238+ROW()/1000000))))</f>
        <v>0</v>
      </c>
      <c r="BR238" s="32">
        <f>IF(BH238="","",IF(BK238="","",IF(OR(BK238&lt;RepFrom,BK238&gt;RepTo),"",IF(BN238="","",BN238+ROW()/1000000))))</f>
        <v>0</v>
      </c>
      <c r="BS238" s="32">
        <f>IF(BM238="","",IF(BK238="","",IF(YEAR(BK238)&lt;&gt;PlanYear,"",BM238+ROW()/1000000)))</f>
        <v>0</v>
      </c>
      <c r="BT238" s="17">
        <f>IF(Lists!$F238="","",Lists!$F238)</f>
        <v>0</v>
      </c>
      <c r="BU238" s="23">
        <f>IF(BT238="","",COUNTIF('Content Calendar'!$X$5:$X$604,BT238))</f>
        <v>0</v>
      </c>
      <c r="BV238" s="23">
        <f>IF(BT238="","",COUNTIFS('Content Calendar'!$X$5:$X$604,BT238,'Content Calendar'!$B$5:$B$604,"&gt;="&amp;DashStart,'Content Calendar'!$B$5:$B$604,"&lt;="&amp;DashEnd))</f>
        <v>0</v>
      </c>
      <c r="BW238" s="17">
        <f>IF(Team!$B$238="","",Team!$B$238)</f>
        <v>0</v>
      </c>
      <c r="BX238" s="23">
        <f>IF(BW238="","",COUNTIF('Content Calendar'!$W$5:$W$604,BW238))</f>
        <v>0</v>
      </c>
      <c r="BY238" s="23">
        <f>IF(BW238="","",COUNTIFS('Content Calendar'!$W$5:$W$604,BW238,'Content Calendar'!$X$5:$X$604,"&lt;&gt;Published"))</f>
        <v>0</v>
      </c>
      <c r="BZ238" s="23">
        <f>IF(BW238="","",COUNTIFS(Tasks!$C$5:$C$64,BW238,Tasks!$G$5:$G$64,"&lt;&gt;Complete"))</f>
        <v>0</v>
      </c>
      <c r="CA238" s="17">
        <f>IF(Campaigns!$B$238="","",Campaigns!$B$238)</f>
        <v>0</v>
      </c>
      <c r="CB238" s="25">
        <f>IF(Campaigns!$T$238="","",Campaigns!$T$238)</f>
        <v>0</v>
      </c>
      <c r="CC238" s="25">
        <f>IF(Campaigns!$Q$238="","",Campaigns!$Q$238)</f>
        <v>0</v>
      </c>
      <c r="CD238" s="23">
        <f>IF(Campaigns!$Y$238="","",Campaigns!$Y$238)</f>
        <v>0</v>
      </c>
      <c r="CE238" s="32">
        <f>IF(CA238="","",IF(N(CB238)&lt;=0,"",N(CB238)+ROW()/1000000))</f>
        <v>0</v>
      </c>
      <c r="CF238" s="17">
        <f>IF(Accounts!$C$238="","",Accounts!$C$238)</f>
        <v>0</v>
      </c>
      <c r="CG238" s="17">
        <f>IF(Accounts!$B$238="","",Accounts!$B$238)</f>
        <v>0</v>
      </c>
      <c r="CH238" s="23">
        <f>IF(Accounts!$J$238="","",Accounts!$J$238)</f>
        <v>0</v>
      </c>
      <c r="CI238" s="23">
        <f>IF(CF238="","",SUMIFS(Analytics!$X$5:$X$154,Analytics!$E$5:$E$154,CF238,Analytics!$B$5:$B$154,"&gt;="&amp;DashStart,Analytics!$B$5:$B$154,"&lt;="&amp;DashEnd))</f>
        <v>0</v>
      </c>
      <c r="CJ238" s="32">
        <f>IF(CH238="","",IF(CH238=0,"",CH238+ROW()/1000000))</f>
        <v>0</v>
      </c>
    </row>
    <row r="239" spans="1:88">
      <c r="A239" s="16">
        <f>IF(ROW()-4&gt;12,"",DATE(PlanYear,ROW()-4,1))</f>
        <v>0</v>
      </c>
      <c r="B239" s="16">
        <f>IF(A239="","",EOMONTH(A239,0))</f>
        <v>0</v>
      </c>
      <c r="C239" s="17">
        <f>IF(A239="","",TEXT(A239,"yyyy-mm"))</f>
        <v>0</v>
      </c>
      <c r="D239" s="17">
        <f>IF(A239="","",TEXT(A239,"mmm"))</f>
        <v>0</v>
      </c>
      <c r="E239" s="23">
        <f>IF(C239="","",COUNTIFS('Content Calendar'!$D$5:$D$604,C239))</f>
        <v>0</v>
      </c>
      <c r="F239" s="23">
        <f>IF(C239="","",COUNTIFS('Content Calendar'!$D$5:$D$604,C239,'Content Calendar'!$X$5:$X$604,"Published"))</f>
        <v>0</v>
      </c>
      <c r="G239" s="23">
        <f>IF(C239="","",SUMIFS(Analytics!$J$5:$J$154,Analytics!$C$5:$C$154,C239))</f>
        <v>0</v>
      </c>
      <c r="H239" s="23">
        <f>IF(C239="","",SUMIFS(Analytics!$K$5:$K$154,Analytics!$C$5:$C$154,C239))</f>
        <v>0</v>
      </c>
      <c r="I239" s="23">
        <f>IF(C239="","",SUMIFS(Analytics!$L$5:$L$154,Analytics!$C$5:$C$154,C239))</f>
        <v>0</v>
      </c>
      <c r="J239" s="24">
        <f>IF(OR(G239="",G239=0),"",I239/G239)</f>
        <v>0</v>
      </c>
      <c r="K239" s="23">
        <f>IF(C239="","",SUMIFS(Analytics!$G$5:$G$154,Analytics!$C$5:$C$154,C239))</f>
        <v>0</v>
      </c>
      <c r="L239" s="23">
        <f>IF(C239="","",SUMIFS(Analytics!$X$5:$X$154,Analytics!$C$5:$C$154,C239))</f>
        <v>0</v>
      </c>
      <c r="M239" s="23">
        <f>IF(C239="","",SUMIFS(Analytics!$R$5:$R$154,Analytics!$C$5:$C$154,C239))</f>
        <v>0</v>
      </c>
      <c r="N239" s="23">
        <f>IF(C239="","",SUMIFS(Analytics!$S$5:$S$154,Analytics!$C$5:$C$154,C239))</f>
        <v>0</v>
      </c>
      <c r="O239" s="23">
        <f>IF(C239="","",SUMIFS(Analytics!$T$5:$T$154,Analytics!$C$5:$C$154,C239))</f>
        <v>0</v>
      </c>
      <c r="P239" s="25">
        <f>IF(C239="","",SUMIFS(Analytics!$U$5:$U$154,Analytics!$C$5:$C$154,C239))</f>
        <v>0</v>
      </c>
      <c r="Q239" s="25">
        <f>IF(C239="","",SUMIFS(Budget!$H$5:$H$64,Budget!$C$5:$C$64,C239))</f>
        <v>0</v>
      </c>
      <c r="R239" s="25">
        <f>IF(C239="","",P239-Q239)</f>
        <v>0</v>
      </c>
      <c r="S239" s="23">
        <f>IF(C239="","",MonthlyPostTarget)</f>
        <v>0</v>
      </c>
      <c r="T239" s="17">
        <f>IF(Lists!$C239="","",Lists!$C239)</f>
        <v>0</v>
      </c>
      <c r="U239" s="23">
        <f>IF(T239="","",COUNTIFS('Content Calendar'!$G$5:$G$604,T239,'Content Calendar'!$B$5:$B$604,"&gt;="&amp;DashStart,'Content Calendar'!$B$5:$B$604,"&lt;="&amp;DashEnd))</f>
        <v>0</v>
      </c>
      <c r="V239" s="23">
        <f>IF(T239="","",COUNTIFS('Content Calendar'!$G$5:$G$604,T239,'Content Calendar'!$X$5:$X$604,"Published",'Content Calendar'!$B$5:$B$604,"&gt;="&amp;DashStart,'Content Calendar'!$B$5:$B$604,"&lt;="&amp;DashEnd))</f>
        <v>0</v>
      </c>
      <c r="W239" s="23">
        <f>IF(T239="","",SUMIFS(Analytics!$J$5:$J$154,Analytics!$D$5:$D$154,T239,Analytics!$B$5:$B$154,"&gt;="&amp;DashStart,Analytics!$B$5:$B$154,"&lt;="&amp;DashEnd))</f>
        <v>0</v>
      </c>
      <c r="X239" s="23">
        <f>IF(T239="","",SUMIFS(Analytics!$L$5:$L$154,Analytics!$D$5:$D$154,T239,Analytics!$B$5:$B$154,"&gt;="&amp;DashStart,Analytics!$B$5:$B$154,"&lt;="&amp;DashEnd))</f>
        <v>0</v>
      </c>
      <c r="Y239" s="24">
        <f>IF(OR(W239="",W239=0),"",X239/W239)</f>
        <v>0</v>
      </c>
      <c r="Z239" s="23">
        <f>IF(T239="","",SUMIFS(Analytics!$G$5:$G$154,Analytics!$D$5:$D$154,T239,Analytics!$B$5:$B$154,"&gt;="&amp;DashStart,Analytics!$B$5:$B$154,"&lt;="&amp;DashEnd))</f>
        <v>0</v>
      </c>
      <c r="AA239" s="23">
        <f>IF(T239="","",SUMIFS(Analytics!$X$5:$X$154,Analytics!$D$5:$D$154,T239,Analytics!$B$5:$B$154,"&gt;="&amp;DashStart,Analytics!$B$5:$B$154,"&lt;="&amp;DashEnd))</f>
        <v>0</v>
      </c>
      <c r="AB239" s="23">
        <f>IF(T239="","",SUMIFS(Analytics!$R$5:$R$154,Analytics!$D$5:$D$154,T239,Analytics!$B$5:$B$154,"&gt;="&amp;DashStart,Analytics!$B$5:$B$154,"&lt;="&amp;DashEnd))</f>
        <v>0</v>
      </c>
      <c r="AC239" s="25">
        <f>IF(T239="","",SUMIFS(Analytics!$U$5:$U$154,Analytics!$D$5:$D$154,T239,Analytics!$B$5:$B$154,"&gt;="&amp;DashStart,Analytics!$B$5:$B$154,"&lt;="&amp;DashEnd))</f>
        <v>0</v>
      </c>
      <c r="AD239" s="23">
        <f>IF(T239="","",COUNTIFS('Content Calendar'!$G$5:$G$604,T239,'Content Calendar'!$B$5:$B$604,"&gt;="&amp;DATE(PlanYear,1,1),'Content Calendar'!$B$5:$B$604,"&lt;="&amp;DATE(PlanYear,12,31)))</f>
        <v>0</v>
      </c>
      <c r="AE239" s="23">
        <f>IF(T239="","",SUMIFS(Analytics!$J$5:$J$154,Analytics!$D$5:$D$154,T239))</f>
        <v>0</v>
      </c>
      <c r="AF239" s="23">
        <f>IF(T239="","",SUMIFS(Analytics!$L$5:$L$154,Analytics!$D$5:$D$154,T239))</f>
        <v>0</v>
      </c>
      <c r="AG239" s="24">
        <f>IF(OR(AE239="",AE239=0),"",AF239/AE239)</f>
        <v>0</v>
      </c>
      <c r="AH239" s="23">
        <f>IF(T239="","",SUMIFS(Analytics!$X$5:$X$154,Analytics!$D$5:$D$154,T239))</f>
        <v>0</v>
      </c>
      <c r="AI239" s="32">
        <f>IF(T239="","",IF(AE239=0,"",AE239+ROW()/1000000))</f>
        <v>0</v>
      </c>
      <c r="AJ239" s="17">
        <f>IF('Content Pillars'!$B$239="","",'Content Pillars'!$B$239)</f>
        <v>0</v>
      </c>
      <c r="AK239" s="23">
        <f>IF(AJ239="","",COUNTIFS('Content Calendar'!$J$5:$J$604,AJ239,'Content Calendar'!$B$5:$B$604,"&gt;="&amp;DATE(PlanYear,1,1),'Content Calendar'!$B$5:$B$604,"&lt;="&amp;DATE(PlanYear,12,31)))</f>
        <v>0</v>
      </c>
      <c r="AL239" s="23">
        <f>IF(AJ239="","",SUMIFS(Performance!$O$5:$O$404,Performance!$H$5:$H$404,AJ239))</f>
        <v>0</v>
      </c>
      <c r="AM239" s="23">
        <f>IF(AJ239="","",SUMIFS(Performance!$Z$5:$Z$404,Performance!$H$5:$H$404,AJ239))</f>
        <v>0</v>
      </c>
      <c r="AN239" s="24">
        <f>IF(OR(AL239="",AL239=0),"",AM239/AL239)</f>
        <v>0</v>
      </c>
      <c r="AO239" s="32">
        <f>IF(AN239="","",AN239+ROW()/1000000)</f>
        <v>0</v>
      </c>
      <c r="AP239" s="17">
        <f>IF(Lists!$E239="","",Lists!$E239)</f>
        <v>0</v>
      </c>
      <c r="AQ239" s="23">
        <f>IF(AP239="","",COUNTIF(Performance!$G$5:$G$404,AP239))</f>
        <v>0</v>
      </c>
      <c r="AR239" s="23">
        <f>IF(AP239="","",SUMIFS(Performance!$O$5:$O$404,Performance!$G$5:$G$404,AP239))</f>
        <v>0</v>
      </c>
      <c r="AS239" s="23">
        <f>IF(AP239="","",SUMIFS(Performance!$Z$5:$Z$404,Performance!$G$5:$G$404,AP239))</f>
        <v>0</v>
      </c>
      <c r="AT239" s="24">
        <f>IF(OR(AR239="",AR239=0),"",AS239/AR239)</f>
        <v>0</v>
      </c>
      <c r="AU239" s="32">
        <f>IF(AQ239=0,"",IF(AT239="","",AT239+ROW()/1000000))</f>
        <v>0</v>
      </c>
      <c r="AV239" s="17">
        <f>IF(ROW()-4&gt;7,"",TEXT(DATE(2024,1,ROW()-4),"ddd"))</f>
        <v>0</v>
      </c>
      <c r="AW239" s="23">
        <f>IF(AV239="","",COUNTIF(Performance!$N$5:$N$404,AV239))</f>
        <v>0</v>
      </c>
      <c r="AX239" s="23">
        <f>IF(AV239="","",SUMIFS(Performance!$O$5:$O$404,Performance!$N$5:$N$404,AV239))</f>
        <v>0</v>
      </c>
      <c r="AY239" s="23">
        <f>IF(AV239="","",SUMIFS(Performance!$Z$5:$Z$404,Performance!$N$5:$N$404,AV239))</f>
        <v>0</v>
      </c>
      <c r="AZ239" s="24">
        <f>IF(OR(AX239="",AX239=0),"",AY239/AX239)</f>
        <v>0</v>
      </c>
      <c r="BA239" s="32">
        <f>IF(AW239=0,"",IF(AZ239="","",AZ239+ROW()/1000000))</f>
        <v>0</v>
      </c>
      <c r="BB239" s="17">
        <f>IF(Lists!$AL239="","",Lists!$AL239)</f>
        <v>0</v>
      </c>
      <c r="BC239" s="23">
        <f>IF(BB239="","",COUNTIF(Performance!$M$5:$M$404,BB239))</f>
        <v>0</v>
      </c>
      <c r="BD239" s="23">
        <f>IF(BB239="","",SUMIFS(Performance!$O$5:$O$404,Performance!$M$5:$M$404,BB239))</f>
        <v>0</v>
      </c>
      <c r="BE239" s="23">
        <f>IF(BB239="","",SUMIFS(Performance!$Z$5:$Z$404,Performance!$M$5:$M$404,BB239))</f>
        <v>0</v>
      </c>
      <c r="BF239" s="24">
        <f>IF(OR(BD239="",BD239=0),"",BE239/BD239)</f>
        <v>0</v>
      </c>
      <c r="BG239" s="32">
        <f>IF(BC239=0,"",IF(BF239="","",BF239+ROW()/1000000))</f>
        <v>0</v>
      </c>
      <c r="BH239" s="17">
        <f>IF(Performance!$C$239="","",Performance!$C$239)</f>
        <v>0</v>
      </c>
      <c r="BI239" s="17">
        <f>IF(Performance!$F$239="","",Performance!$F$239)</f>
        <v>0</v>
      </c>
      <c r="BJ239" s="17">
        <f>IF(Performance!$H$239="","",Performance!$H$239)</f>
        <v>0</v>
      </c>
      <c r="BK239" s="16">
        <f>IF(Performance!$D$239="","",Performance!$D$239)</f>
        <v>0</v>
      </c>
      <c r="BL239" s="17">
        <f>IF(Performance!$E$239="","",Performance!$E$239)</f>
        <v>0</v>
      </c>
      <c r="BM239" s="23">
        <f>IF(Performance!$O$239="","",Performance!$O$239)</f>
        <v>0</v>
      </c>
      <c r="BN239" s="24">
        <f>IF(Performance!$AA$239="","",Performance!$AA$239)</f>
        <v>0</v>
      </c>
      <c r="BO239" s="32">
        <f>IF(BH239="","",IF(BK239="","",IF(OR(BK239&lt;DashStart,BK239&gt;DashEnd),"",IF(BN239="","",BN239+ROW()/1000000))))</f>
        <v>0</v>
      </c>
      <c r="BP239" s="32">
        <f>IF(BM239="","",IF(BK239="","",IF(OR(BK239&lt;DashStart,BK239&gt;DashEnd),"",BM239+ROW()/1000000)))</f>
        <v>0</v>
      </c>
      <c r="BQ239" s="32">
        <f>IF(BH239="","",IF(BK239="","",IF(YEAR(BK239)&lt;&gt;PlanYear,"",IF(BN239="","",BN239+ROW()/1000000))))</f>
        <v>0</v>
      </c>
      <c r="BR239" s="32">
        <f>IF(BH239="","",IF(BK239="","",IF(OR(BK239&lt;RepFrom,BK239&gt;RepTo),"",IF(BN239="","",BN239+ROW()/1000000))))</f>
        <v>0</v>
      </c>
      <c r="BS239" s="32">
        <f>IF(BM239="","",IF(BK239="","",IF(YEAR(BK239)&lt;&gt;PlanYear,"",BM239+ROW()/1000000)))</f>
        <v>0</v>
      </c>
      <c r="BT239" s="17">
        <f>IF(Lists!$F239="","",Lists!$F239)</f>
        <v>0</v>
      </c>
      <c r="BU239" s="23">
        <f>IF(BT239="","",COUNTIF('Content Calendar'!$X$5:$X$604,BT239))</f>
        <v>0</v>
      </c>
      <c r="BV239" s="23">
        <f>IF(BT239="","",COUNTIFS('Content Calendar'!$X$5:$X$604,BT239,'Content Calendar'!$B$5:$B$604,"&gt;="&amp;DashStart,'Content Calendar'!$B$5:$B$604,"&lt;="&amp;DashEnd))</f>
        <v>0</v>
      </c>
      <c r="BW239" s="17">
        <f>IF(Team!$B$239="","",Team!$B$239)</f>
        <v>0</v>
      </c>
      <c r="BX239" s="23">
        <f>IF(BW239="","",COUNTIF('Content Calendar'!$W$5:$W$604,BW239))</f>
        <v>0</v>
      </c>
      <c r="BY239" s="23">
        <f>IF(BW239="","",COUNTIFS('Content Calendar'!$W$5:$W$604,BW239,'Content Calendar'!$X$5:$X$604,"&lt;&gt;Published"))</f>
        <v>0</v>
      </c>
      <c r="BZ239" s="23">
        <f>IF(BW239="","",COUNTIFS(Tasks!$C$5:$C$64,BW239,Tasks!$G$5:$G$64,"&lt;&gt;Complete"))</f>
        <v>0</v>
      </c>
      <c r="CA239" s="17">
        <f>IF(Campaigns!$B$239="","",Campaigns!$B$239)</f>
        <v>0</v>
      </c>
      <c r="CB239" s="25">
        <f>IF(Campaigns!$T$239="","",Campaigns!$T$239)</f>
        <v>0</v>
      </c>
      <c r="CC239" s="25">
        <f>IF(Campaigns!$Q$239="","",Campaigns!$Q$239)</f>
        <v>0</v>
      </c>
      <c r="CD239" s="23">
        <f>IF(Campaigns!$Y$239="","",Campaigns!$Y$239)</f>
        <v>0</v>
      </c>
      <c r="CE239" s="32">
        <f>IF(CA239="","",IF(N(CB239)&lt;=0,"",N(CB239)+ROW()/1000000))</f>
        <v>0</v>
      </c>
      <c r="CF239" s="17">
        <f>IF(Accounts!$C$239="","",Accounts!$C$239)</f>
        <v>0</v>
      </c>
      <c r="CG239" s="17">
        <f>IF(Accounts!$B$239="","",Accounts!$B$239)</f>
        <v>0</v>
      </c>
      <c r="CH239" s="23">
        <f>IF(Accounts!$J$239="","",Accounts!$J$239)</f>
        <v>0</v>
      </c>
      <c r="CI239" s="23">
        <f>IF(CF239="","",SUMIFS(Analytics!$X$5:$X$154,Analytics!$E$5:$E$154,CF239,Analytics!$B$5:$B$154,"&gt;="&amp;DashStart,Analytics!$B$5:$B$154,"&lt;="&amp;DashEnd))</f>
        <v>0</v>
      </c>
      <c r="CJ239" s="32">
        <f>IF(CH239="","",IF(CH239=0,"",CH239+ROW()/1000000))</f>
        <v>0</v>
      </c>
    </row>
    <row r="240" spans="1:88">
      <c r="A240" s="16">
        <f>IF(ROW()-4&gt;12,"",DATE(PlanYear,ROW()-4,1))</f>
        <v>0</v>
      </c>
      <c r="B240" s="16">
        <f>IF(A240="","",EOMONTH(A240,0))</f>
        <v>0</v>
      </c>
      <c r="C240" s="17">
        <f>IF(A240="","",TEXT(A240,"yyyy-mm"))</f>
        <v>0</v>
      </c>
      <c r="D240" s="17">
        <f>IF(A240="","",TEXT(A240,"mmm"))</f>
        <v>0</v>
      </c>
      <c r="E240" s="23">
        <f>IF(C240="","",COUNTIFS('Content Calendar'!$D$5:$D$604,C240))</f>
        <v>0</v>
      </c>
      <c r="F240" s="23">
        <f>IF(C240="","",COUNTIFS('Content Calendar'!$D$5:$D$604,C240,'Content Calendar'!$X$5:$X$604,"Published"))</f>
        <v>0</v>
      </c>
      <c r="G240" s="23">
        <f>IF(C240="","",SUMIFS(Analytics!$J$5:$J$154,Analytics!$C$5:$C$154,C240))</f>
        <v>0</v>
      </c>
      <c r="H240" s="23">
        <f>IF(C240="","",SUMIFS(Analytics!$K$5:$K$154,Analytics!$C$5:$C$154,C240))</f>
        <v>0</v>
      </c>
      <c r="I240" s="23">
        <f>IF(C240="","",SUMIFS(Analytics!$L$5:$L$154,Analytics!$C$5:$C$154,C240))</f>
        <v>0</v>
      </c>
      <c r="J240" s="24">
        <f>IF(OR(G240="",G240=0),"",I240/G240)</f>
        <v>0</v>
      </c>
      <c r="K240" s="23">
        <f>IF(C240="","",SUMIFS(Analytics!$G$5:$G$154,Analytics!$C$5:$C$154,C240))</f>
        <v>0</v>
      </c>
      <c r="L240" s="23">
        <f>IF(C240="","",SUMIFS(Analytics!$X$5:$X$154,Analytics!$C$5:$C$154,C240))</f>
        <v>0</v>
      </c>
      <c r="M240" s="23">
        <f>IF(C240="","",SUMIFS(Analytics!$R$5:$R$154,Analytics!$C$5:$C$154,C240))</f>
        <v>0</v>
      </c>
      <c r="N240" s="23">
        <f>IF(C240="","",SUMIFS(Analytics!$S$5:$S$154,Analytics!$C$5:$C$154,C240))</f>
        <v>0</v>
      </c>
      <c r="O240" s="23">
        <f>IF(C240="","",SUMIFS(Analytics!$T$5:$T$154,Analytics!$C$5:$C$154,C240))</f>
        <v>0</v>
      </c>
      <c r="P240" s="25">
        <f>IF(C240="","",SUMIFS(Analytics!$U$5:$U$154,Analytics!$C$5:$C$154,C240))</f>
        <v>0</v>
      </c>
      <c r="Q240" s="25">
        <f>IF(C240="","",SUMIFS(Budget!$H$5:$H$64,Budget!$C$5:$C$64,C240))</f>
        <v>0</v>
      </c>
      <c r="R240" s="25">
        <f>IF(C240="","",P240-Q240)</f>
        <v>0</v>
      </c>
      <c r="S240" s="23">
        <f>IF(C240="","",MonthlyPostTarget)</f>
        <v>0</v>
      </c>
      <c r="T240" s="17">
        <f>IF(Lists!$C240="","",Lists!$C240)</f>
        <v>0</v>
      </c>
      <c r="U240" s="23">
        <f>IF(T240="","",COUNTIFS('Content Calendar'!$G$5:$G$604,T240,'Content Calendar'!$B$5:$B$604,"&gt;="&amp;DashStart,'Content Calendar'!$B$5:$B$604,"&lt;="&amp;DashEnd))</f>
        <v>0</v>
      </c>
      <c r="V240" s="23">
        <f>IF(T240="","",COUNTIFS('Content Calendar'!$G$5:$G$604,T240,'Content Calendar'!$X$5:$X$604,"Published",'Content Calendar'!$B$5:$B$604,"&gt;="&amp;DashStart,'Content Calendar'!$B$5:$B$604,"&lt;="&amp;DashEnd))</f>
        <v>0</v>
      </c>
      <c r="W240" s="23">
        <f>IF(T240="","",SUMIFS(Analytics!$J$5:$J$154,Analytics!$D$5:$D$154,T240,Analytics!$B$5:$B$154,"&gt;="&amp;DashStart,Analytics!$B$5:$B$154,"&lt;="&amp;DashEnd))</f>
        <v>0</v>
      </c>
      <c r="X240" s="23">
        <f>IF(T240="","",SUMIFS(Analytics!$L$5:$L$154,Analytics!$D$5:$D$154,T240,Analytics!$B$5:$B$154,"&gt;="&amp;DashStart,Analytics!$B$5:$B$154,"&lt;="&amp;DashEnd))</f>
        <v>0</v>
      </c>
      <c r="Y240" s="24">
        <f>IF(OR(W240="",W240=0),"",X240/W240)</f>
        <v>0</v>
      </c>
      <c r="Z240" s="23">
        <f>IF(T240="","",SUMIFS(Analytics!$G$5:$G$154,Analytics!$D$5:$D$154,T240,Analytics!$B$5:$B$154,"&gt;="&amp;DashStart,Analytics!$B$5:$B$154,"&lt;="&amp;DashEnd))</f>
        <v>0</v>
      </c>
      <c r="AA240" s="23">
        <f>IF(T240="","",SUMIFS(Analytics!$X$5:$X$154,Analytics!$D$5:$D$154,T240,Analytics!$B$5:$B$154,"&gt;="&amp;DashStart,Analytics!$B$5:$B$154,"&lt;="&amp;DashEnd))</f>
        <v>0</v>
      </c>
      <c r="AB240" s="23">
        <f>IF(T240="","",SUMIFS(Analytics!$R$5:$R$154,Analytics!$D$5:$D$154,T240,Analytics!$B$5:$B$154,"&gt;="&amp;DashStart,Analytics!$B$5:$B$154,"&lt;="&amp;DashEnd))</f>
        <v>0</v>
      </c>
      <c r="AC240" s="25">
        <f>IF(T240="","",SUMIFS(Analytics!$U$5:$U$154,Analytics!$D$5:$D$154,T240,Analytics!$B$5:$B$154,"&gt;="&amp;DashStart,Analytics!$B$5:$B$154,"&lt;="&amp;DashEnd))</f>
        <v>0</v>
      </c>
      <c r="AD240" s="23">
        <f>IF(T240="","",COUNTIFS('Content Calendar'!$G$5:$G$604,T240,'Content Calendar'!$B$5:$B$604,"&gt;="&amp;DATE(PlanYear,1,1),'Content Calendar'!$B$5:$B$604,"&lt;="&amp;DATE(PlanYear,12,31)))</f>
        <v>0</v>
      </c>
      <c r="AE240" s="23">
        <f>IF(T240="","",SUMIFS(Analytics!$J$5:$J$154,Analytics!$D$5:$D$154,T240))</f>
        <v>0</v>
      </c>
      <c r="AF240" s="23">
        <f>IF(T240="","",SUMIFS(Analytics!$L$5:$L$154,Analytics!$D$5:$D$154,T240))</f>
        <v>0</v>
      </c>
      <c r="AG240" s="24">
        <f>IF(OR(AE240="",AE240=0),"",AF240/AE240)</f>
        <v>0</v>
      </c>
      <c r="AH240" s="23">
        <f>IF(T240="","",SUMIFS(Analytics!$X$5:$X$154,Analytics!$D$5:$D$154,T240))</f>
        <v>0</v>
      </c>
      <c r="AI240" s="32">
        <f>IF(T240="","",IF(AE240=0,"",AE240+ROW()/1000000))</f>
        <v>0</v>
      </c>
      <c r="AJ240" s="17">
        <f>IF('Content Pillars'!$B$240="","",'Content Pillars'!$B$240)</f>
        <v>0</v>
      </c>
      <c r="AK240" s="23">
        <f>IF(AJ240="","",COUNTIFS('Content Calendar'!$J$5:$J$604,AJ240,'Content Calendar'!$B$5:$B$604,"&gt;="&amp;DATE(PlanYear,1,1),'Content Calendar'!$B$5:$B$604,"&lt;="&amp;DATE(PlanYear,12,31)))</f>
        <v>0</v>
      </c>
      <c r="AL240" s="23">
        <f>IF(AJ240="","",SUMIFS(Performance!$O$5:$O$404,Performance!$H$5:$H$404,AJ240))</f>
        <v>0</v>
      </c>
      <c r="AM240" s="23">
        <f>IF(AJ240="","",SUMIFS(Performance!$Z$5:$Z$404,Performance!$H$5:$H$404,AJ240))</f>
        <v>0</v>
      </c>
      <c r="AN240" s="24">
        <f>IF(OR(AL240="",AL240=0),"",AM240/AL240)</f>
        <v>0</v>
      </c>
      <c r="AO240" s="32">
        <f>IF(AN240="","",AN240+ROW()/1000000)</f>
        <v>0</v>
      </c>
      <c r="AP240" s="17">
        <f>IF(Lists!$E240="","",Lists!$E240)</f>
        <v>0</v>
      </c>
      <c r="AQ240" s="23">
        <f>IF(AP240="","",COUNTIF(Performance!$G$5:$G$404,AP240))</f>
        <v>0</v>
      </c>
      <c r="AR240" s="23">
        <f>IF(AP240="","",SUMIFS(Performance!$O$5:$O$404,Performance!$G$5:$G$404,AP240))</f>
        <v>0</v>
      </c>
      <c r="AS240" s="23">
        <f>IF(AP240="","",SUMIFS(Performance!$Z$5:$Z$404,Performance!$G$5:$G$404,AP240))</f>
        <v>0</v>
      </c>
      <c r="AT240" s="24">
        <f>IF(OR(AR240="",AR240=0),"",AS240/AR240)</f>
        <v>0</v>
      </c>
      <c r="AU240" s="32">
        <f>IF(AQ240=0,"",IF(AT240="","",AT240+ROW()/1000000))</f>
        <v>0</v>
      </c>
      <c r="AV240" s="17">
        <f>IF(ROW()-4&gt;7,"",TEXT(DATE(2024,1,ROW()-4),"ddd"))</f>
        <v>0</v>
      </c>
      <c r="AW240" s="23">
        <f>IF(AV240="","",COUNTIF(Performance!$N$5:$N$404,AV240))</f>
        <v>0</v>
      </c>
      <c r="AX240" s="23">
        <f>IF(AV240="","",SUMIFS(Performance!$O$5:$O$404,Performance!$N$5:$N$404,AV240))</f>
        <v>0</v>
      </c>
      <c r="AY240" s="23">
        <f>IF(AV240="","",SUMIFS(Performance!$Z$5:$Z$404,Performance!$N$5:$N$404,AV240))</f>
        <v>0</v>
      </c>
      <c r="AZ240" s="24">
        <f>IF(OR(AX240="",AX240=0),"",AY240/AX240)</f>
        <v>0</v>
      </c>
      <c r="BA240" s="32">
        <f>IF(AW240=0,"",IF(AZ240="","",AZ240+ROW()/1000000))</f>
        <v>0</v>
      </c>
      <c r="BB240" s="17">
        <f>IF(Lists!$AL240="","",Lists!$AL240)</f>
        <v>0</v>
      </c>
      <c r="BC240" s="23">
        <f>IF(BB240="","",COUNTIF(Performance!$M$5:$M$404,BB240))</f>
        <v>0</v>
      </c>
      <c r="BD240" s="23">
        <f>IF(BB240="","",SUMIFS(Performance!$O$5:$O$404,Performance!$M$5:$M$404,BB240))</f>
        <v>0</v>
      </c>
      <c r="BE240" s="23">
        <f>IF(BB240="","",SUMIFS(Performance!$Z$5:$Z$404,Performance!$M$5:$M$404,BB240))</f>
        <v>0</v>
      </c>
      <c r="BF240" s="24">
        <f>IF(OR(BD240="",BD240=0),"",BE240/BD240)</f>
        <v>0</v>
      </c>
      <c r="BG240" s="32">
        <f>IF(BC240=0,"",IF(BF240="","",BF240+ROW()/1000000))</f>
        <v>0</v>
      </c>
      <c r="BH240" s="17">
        <f>IF(Performance!$C$240="","",Performance!$C$240)</f>
        <v>0</v>
      </c>
      <c r="BI240" s="17">
        <f>IF(Performance!$F$240="","",Performance!$F$240)</f>
        <v>0</v>
      </c>
      <c r="BJ240" s="17">
        <f>IF(Performance!$H$240="","",Performance!$H$240)</f>
        <v>0</v>
      </c>
      <c r="BK240" s="16">
        <f>IF(Performance!$D$240="","",Performance!$D$240)</f>
        <v>0</v>
      </c>
      <c r="BL240" s="17">
        <f>IF(Performance!$E$240="","",Performance!$E$240)</f>
        <v>0</v>
      </c>
      <c r="BM240" s="23">
        <f>IF(Performance!$O$240="","",Performance!$O$240)</f>
        <v>0</v>
      </c>
      <c r="BN240" s="24">
        <f>IF(Performance!$AA$240="","",Performance!$AA$240)</f>
        <v>0</v>
      </c>
      <c r="BO240" s="32">
        <f>IF(BH240="","",IF(BK240="","",IF(OR(BK240&lt;DashStart,BK240&gt;DashEnd),"",IF(BN240="","",BN240+ROW()/1000000))))</f>
        <v>0</v>
      </c>
      <c r="BP240" s="32">
        <f>IF(BM240="","",IF(BK240="","",IF(OR(BK240&lt;DashStart,BK240&gt;DashEnd),"",BM240+ROW()/1000000)))</f>
        <v>0</v>
      </c>
      <c r="BQ240" s="32">
        <f>IF(BH240="","",IF(BK240="","",IF(YEAR(BK240)&lt;&gt;PlanYear,"",IF(BN240="","",BN240+ROW()/1000000))))</f>
        <v>0</v>
      </c>
      <c r="BR240" s="32">
        <f>IF(BH240="","",IF(BK240="","",IF(OR(BK240&lt;RepFrom,BK240&gt;RepTo),"",IF(BN240="","",BN240+ROW()/1000000))))</f>
        <v>0</v>
      </c>
      <c r="BS240" s="32">
        <f>IF(BM240="","",IF(BK240="","",IF(YEAR(BK240)&lt;&gt;PlanYear,"",BM240+ROW()/1000000)))</f>
        <v>0</v>
      </c>
      <c r="BT240" s="17">
        <f>IF(Lists!$F240="","",Lists!$F240)</f>
        <v>0</v>
      </c>
      <c r="BU240" s="23">
        <f>IF(BT240="","",COUNTIF('Content Calendar'!$X$5:$X$604,BT240))</f>
        <v>0</v>
      </c>
      <c r="BV240" s="23">
        <f>IF(BT240="","",COUNTIFS('Content Calendar'!$X$5:$X$604,BT240,'Content Calendar'!$B$5:$B$604,"&gt;="&amp;DashStart,'Content Calendar'!$B$5:$B$604,"&lt;="&amp;DashEnd))</f>
        <v>0</v>
      </c>
      <c r="BW240" s="17">
        <f>IF(Team!$B$240="","",Team!$B$240)</f>
        <v>0</v>
      </c>
      <c r="BX240" s="23">
        <f>IF(BW240="","",COUNTIF('Content Calendar'!$W$5:$W$604,BW240))</f>
        <v>0</v>
      </c>
      <c r="BY240" s="23">
        <f>IF(BW240="","",COUNTIFS('Content Calendar'!$W$5:$W$604,BW240,'Content Calendar'!$X$5:$X$604,"&lt;&gt;Published"))</f>
        <v>0</v>
      </c>
      <c r="BZ240" s="23">
        <f>IF(BW240="","",COUNTIFS(Tasks!$C$5:$C$64,BW240,Tasks!$G$5:$G$64,"&lt;&gt;Complete"))</f>
        <v>0</v>
      </c>
      <c r="CA240" s="17">
        <f>IF(Campaigns!$B$240="","",Campaigns!$B$240)</f>
        <v>0</v>
      </c>
      <c r="CB240" s="25">
        <f>IF(Campaigns!$T$240="","",Campaigns!$T$240)</f>
        <v>0</v>
      </c>
      <c r="CC240" s="25">
        <f>IF(Campaigns!$Q$240="","",Campaigns!$Q$240)</f>
        <v>0</v>
      </c>
      <c r="CD240" s="23">
        <f>IF(Campaigns!$Y$240="","",Campaigns!$Y$240)</f>
        <v>0</v>
      </c>
      <c r="CE240" s="32">
        <f>IF(CA240="","",IF(N(CB240)&lt;=0,"",N(CB240)+ROW()/1000000))</f>
        <v>0</v>
      </c>
      <c r="CF240" s="17">
        <f>IF(Accounts!$C$240="","",Accounts!$C$240)</f>
        <v>0</v>
      </c>
      <c r="CG240" s="17">
        <f>IF(Accounts!$B$240="","",Accounts!$B$240)</f>
        <v>0</v>
      </c>
      <c r="CH240" s="23">
        <f>IF(Accounts!$J$240="","",Accounts!$J$240)</f>
        <v>0</v>
      </c>
      <c r="CI240" s="23">
        <f>IF(CF240="","",SUMIFS(Analytics!$X$5:$X$154,Analytics!$E$5:$E$154,CF240,Analytics!$B$5:$B$154,"&gt;="&amp;DashStart,Analytics!$B$5:$B$154,"&lt;="&amp;DashEnd))</f>
        <v>0</v>
      </c>
      <c r="CJ240" s="32">
        <f>IF(CH240="","",IF(CH240=0,"",CH240+ROW()/1000000))</f>
        <v>0</v>
      </c>
    </row>
    <row r="241" spans="1:88">
      <c r="A241" s="16">
        <f>IF(ROW()-4&gt;12,"",DATE(PlanYear,ROW()-4,1))</f>
        <v>0</v>
      </c>
      <c r="B241" s="16">
        <f>IF(A241="","",EOMONTH(A241,0))</f>
        <v>0</v>
      </c>
      <c r="C241" s="17">
        <f>IF(A241="","",TEXT(A241,"yyyy-mm"))</f>
        <v>0</v>
      </c>
      <c r="D241" s="17">
        <f>IF(A241="","",TEXT(A241,"mmm"))</f>
        <v>0</v>
      </c>
      <c r="E241" s="23">
        <f>IF(C241="","",COUNTIFS('Content Calendar'!$D$5:$D$604,C241))</f>
        <v>0</v>
      </c>
      <c r="F241" s="23">
        <f>IF(C241="","",COUNTIFS('Content Calendar'!$D$5:$D$604,C241,'Content Calendar'!$X$5:$X$604,"Published"))</f>
        <v>0</v>
      </c>
      <c r="G241" s="23">
        <f>IF(C241="","",SUMIFS(Analytics!$J$5:$J$154,Analytics!$C$5:$C$154,C241))</f>
        <v>0</v>
      </c>
      <c r="H241" s="23">
        <f>IF(C241="","",SUMIFS(Analytics!$K$5:$K$154,Analytics!$C$5:$C$154,C241))</f>
        <v>0</v>
      </c>
      <c r="I241" s="23">
        <f>IF(C241="","",SUMIFS(Analytics!$L$5:$L$154,Analytics!$C$5:$C$154,C241))</f>
        <v>0</v>
      </c>
      <c r="J241" s="24">
        <f>IF(OR(G241="",G241=0),"",I241/G241)</f>
        <v>0</v>
      </c>
      <c r="K241" s="23">
        <f>IF(C241="","",SUMIFS(Analytics!$G$5:$G$154,Analytics!$C$5:$C$154,C241))</f>
        <v>0</v>
      </c>
      <c r="L241" s="23">
        <f>IF(C241="","",SUMIFS(Analytics!$X$5:$X$154,Analytics!$C$5:$C$154,C241))</f>
        <v>0</v>
      </c>
      <c r="M241" s="23">
        <f>IF(C241="","",SUMIFS(Analytics!$R$5:$R$154,Analytics!$C$5:$C$154,C241))</f>
        <v>0</v>
      </c>
      <c r="N241" s="23">
        <f>IF(C241="","",SUMIFS(Analytics!$S$5:$S$154,Analytics!$C$5:$C$154,C241))</f>
        <v>0</v>
      </c>
      <c r="O241" s="23">
        <f>IF(C241="","",SUMIFS(Analytics!$T$5:$T$154,Analytics!$C$5:$C$154,C241))</f>
        <v>0</v>
      </c>
      <c r="P241" s="25">
        <f>IF(C241="","",SUMIFS(Analytics!$U$5:$U$154,Analytics!$C$5:$C$154,C241))</f>
        <v>0</v>
      </c>
      <c r="Q241" s="25">
        <f>IF(C241="","",SUMIFS(Budget!$H$5:$H$64,Budget!$C$5:$C$64,C241))</f>
        <v>0</v>
      </c>
      <c r="R241" s="25">
        <f>IF(C241="","",P241-Q241)</f>
        <v>0</v>
      </c>
      <c r="S241" s="23">
        <f>IF(C241="","",MonthlyPostTarget)</f>
        <v>0</v>
      </c>
      <c r="T241" s="17">
        <f>IF(Lists!$C241="","",Lists!$C241)</f>
        <v>0</v>
      </c>
      <c r="U241" s="23">
        <f>IF(T241="","",COUNTIFS('Content Calendar'!$G$5:$G$604,T241,'Content Calendar'!$B$5:$B$604,"&gt;="&amp;DashStart,'Content Calendar'!$B$5:$B$604,"&lt;="&amp;DashEnd))</f>
        <v>0</v>
      </c>
      <c r="V241" s="23">
        <f>IF(T241="","",COUNTIFS('Content Calendar'!$G$5:$G$604,T241,'Content Calendar'!$X$5:$X$604,"Published",'Content Calendar'!$B$5:$B$604,"&gt;="&amp;DashStart,'Content Calendar'!$B$5:$B$604,"&lt;="&amp;DashEnd))</f>
        <v>0</v>
      </c>
      <c r="W241" s="23">
        <f>IF(T241="","",SUMIFS(Analytics!$J$5:$J$154,Analytics!$D$5:$D$154,T241,Analytics!$B$5:$B$154,"&gt;="&amp;DashStart,Analytics!$B$5:$B$154,"&lt;="&amp;DashEnd))</f>
        <v>0</v>
      </c>
      <c r="X241" s="23">
        <f>IF(T241="","",SUMIFS(Analytics!$L$5:$L$154,Analytics!$D$5:$D$154,T241,Analytics!$B$5:$B$154,"&gt;="&amp;DashStart,Analytics!$B$5:$B$154,"&lt;="&amp;DashEnd))</f>
        <v>0</v>
      </c>
      <c r="Y241" s="24">
        <f>IF(OR(W241="",W241=0),"",X241/W241)</f>
        <v>0</v>
      </c>
      <c r="Z241" s="23">
        <f>IF(T241="","",SUMIFS(Analytics!$G$5:$G$154,Analytics!$D$5:$D$154,T241,Analytics!$B$5:$B$154,"&gt;="&amp;DashStart,Analytics!$B$5:$B$154,"&lt;="&amp;DashEnd))</f>
        <v>0</v>
      </c>
      <c r="AA241" s="23">
        <f>IF(T241="","",SUMIFS(Analytics!$X$5:$X$154,Analytics!$D$5:$D$154,T241,Analytics!$B$5:$B$154,"&gt;="&amp;DashStart,Analytics!$B$5:$B$154,"&lt;="&amp;DashEnd))</f>
        <v>0</v>
      </c>
      <c r="AB241" s="23">
        <f>IF(T241="","",SUMIFS(Analytics!$R$5:$R$154,Analytics!$D$5:$D$154,T241,Analytics!$B$5:$B$154,"&gt;="&amp;DashStart,Analytics!$B$5:$B$154,"&lt;="&amp;DashEnd))</f>
        <v>0</v>
      </c>
      <c r="AC241" s="25">
        <f>IF(T241="","",SUMIFS(Analytics!$U$5:$U$154,Analytics!$D$5:$D$154,T241,Analytics!$B$5:$B$154,"&gt;="&amp;DashStart,Analytics!$B$5:$B$154,"&lt;="&amp;DashEnd))</f>
        <v>0</v>
      </c>
      <c r="AD241" s="23">
        <f>IF(T241="","",COUNTIFS('Content Calendar'!$G$5:$G$604,T241,'Content Calendar'!$B$5:$B$604,"&gt;="&amp;DATE(PlanYear,1,1),'Content Calendar'!$B$5:$B$604,"&lt;="&amp;DATE(PlanYear,12,31)))</f>
        <v>0</v>
      </c>
      <c r="AE241" s="23">
        <f>IF(T241="","",SUMIFS(Analytics!$J$5:$J$154,Analytics!$D$5:$D$154,T241))</f>
        <v>0</v>
      </c>
      <c r="AF241" s="23">
        <f>IF(T241="","",SUMIFS(Analytics!$L$5:$L$154,Analytics!$D$5:$D$154,T241))</f>
        <v>0</v>
      </c>
      <c r="AG241" s="24">
        <f>IF(OR(AE241="",AE241=0),"",AF241/AE241)</f>
        <v>0</v>
      </c>
      <c r="AH241" s="23">
        <f>IF(T241="","",SUMIFS(Analytics!$X$5:$X$154,Analytics!$D$5:$D$154,T241))</f>
        <v>0</v>
      </c>
      <c r="AI241" s="32">
        <f>IF(T241="","",IF(AE241=0,"",AE241+ROW()/1000000))</f>
        <v>0</v>
      </c>
      <c r="AJ241" s="17">
        <f>IF('Content Pillars'!$B$241="","",'Content Pillars'!$B$241)</f>
        <v>0</v>
      </c>
      <c r="AK241" s="23">
        <f>IF(AJ241="","",COUNTIFS('Content Calendar'!$J$5:$J$604,AJ241,'Content Calendar'!$B$5:$B$604,"&gt;="&amp;DATE(PlanYear,1,1),'Content Calendar'!$B$5:$B$604,"&lt;="&amp;DATE(PlanYear,12,31)))</f>
        <v>0</v>
      </c>
      <c r="AL241" s="23">
        <f>IF(AJ241="","",SUMIFS(Performance!$O$5:$O$404,Performance!$H$5:$H$404,AJ241))</f>
        <v>0</v>
      </c>
      <c r="AM241" s="23">
        <f>IF(AJ241="","",SUMIFS(Performance!$Z$5:$Z$404,Performance!$H$5:$H$404,AJ241))</f>
        <v>0</v>
      </c>
      <c r="AN241" s="24">
        <f>IF(OR(AL241="",AL241=0),"",AM241/AL241)</f>
        <v>0</v>
      </c>
      <c r="AO241" s="32">
        <f>IF(AN241="","",AN241+ROW()/1000000)</f>
        <v>0</v>
      </c>
      <c r="AP241" s="17">
        <f>IF(Lists!$E241="","",Lists!$E241)</f>
        <v>0</v>
      </c>
      <c r="AQ241" s="23">
        <f>IF(AP241="","",COUNTIF(Performance!$G$5:$G$404,AP241))</f>
        <v>0</v>
      </c>
      <c r="AR241" s="23">
        <f>IF(AP241="","",SUMIFS(Performance!$O$5:$O$404,Performance!$G$5:$G$404,AP241))</f>
        <v>0</v>
      </c>
      <c r="AS241" s="23">
        <f>IF(AP241="","",SUMIFS(Performance!$Z$5:$Z$404,Performance!$G$5:$G$404,AP241))</f>
        <v>0</v>
      </c>
      <c r="AT241" s="24">
        <f>IF(OR(AR241="",AR241=0),"",AS241/AR241)</f>
        <v>0</v>
      </c>
      <c r="AU241" s="32">
        <f>IF(AQ241=0,"",IF(AT241="","",AT241+ROW()/1000000))</f>
        <v>0</v>
      </c>
      <c r="AV241" s="17">
        <f>IF(ROW()-4&gt;7,"",TEXT(DATE(2024,1,ROW()-4),"ddd"))</f>
        <v>0</v>
      </c>
      <c r="AW241" s="23">
        <f>IF(AV241="","",COUNTIF(Performance!$N$5:$N$404,AV241))</f>
        <v>0</v>
      </c>
      <c r="AX241" s="23">
        <f>IF(AV241="","",SUMIFS(Performance!$O$5:$O$404,Performance!$N$5:$N$404,AV241))</f>
        <v>0</v>
      </c>
      <c r="AY241" s="23">
        <f>IF(AV241="","",SUMIFS(Performance!$Z$5:$Z$404,Performance!$N$5:$N$404,AV241))</f>
        <v>0</v>
      </c>
      <c r="AZ241" s="24">
        <f>IF(OR(AX241="",AX241=0),"",AY241/AX241)</f>
        <v>0</v>
      </c>
      <c r="BA241" s="32">
        <f>IF(AW241=0,"",IF(AZ241="","",AZ241+ROW()/1000000))</f>
        <v>0</v>
      </c>
      <c r="BB241" s="17">
        <f>IF(Lists!$AL241="","",Lists!$AL241)</f>
        <v>0</v>
      </c>
      <c r="BC241" s="23">
        <f>IF(BB241="","",COUNTIF(Performance!$M$5:$M$404,BB241))</f>
        <v>0</v>
      </c>
      <c r="BD241" s="23">
        <f>IF(BB241="","",SUMIFS(Performance!$O$5:$O$404,Performance!$M$5:$M$404,BB241))</f>
        <v>0</v>
      </c>
      <c r="BE241" s="23">
        <f>IF(BB241="","",SUMIFS(Performance!$Z$5:$Z$404,Performance!$M$5:$M$404,BB241))</f>
        <v>0</v>
      </c>
      <c r="BF241" s="24">
        <f>IF(OR(BD241="",BD241=0),"",BE241/BD241)</f>
        <v>0</v>
      </c>
      <c r="BG241" s="32">
        <f>IF(BC241=0,"",IF(BF241="","",BF241+ROW()/1000000))</f>
        <v>0</v>
      </c>
      <c r="BH241" s="17">
        <f>IF(Performance!$C$241="","",Performance!$C$241)</f>
        <v>0</v>
      </c>
      <c r="BI241" s="17">
        <f>IF(Performance!$F$241="","",Performance!$F$241)</f>
        <v>0</v>
      </c>
      <c r="BJ241" s="17">
        <f>IF(Performance!$H$241="","",Performance!$H$241)</f>
        <v>0</v>
      </c>
      <c r="BK241" s="16">
        <f>IF(Performance!$D$241="","",Performance!$D$241)</f>
        <v>0</v>
      </c>
      <c r="BL241" s="17">
        <f>IF(Performance!$E$241="","",Performance!$E$241)</f>
        <v>0</v>
      </c>
      <c r="BM241" s="23">
        <f>IF(Performance!$O$241="","",Performance!$O$241)</f>
        <v>0</v>
      </c>
      <c r="BN241" s="24">
        <f>IF(Performance!$AA$241="","",Performance!$AA$241)</f>
        <v>0</v>
      </c>
      <c r="BO241" s="32">
        <f>IF(BH241="","",IF(BK241="","",IF(OR(BK241&lt;DashStart,BK241&gt;DashEnd),"",IF(BN241="","",BN241+ROW()/1000000))))</f>
        <v>0</v>
      </c>
      <c r="BP241" s="32">
        <f>IF(BM241="","",IF(BK241="","",IF(OR(BK241&lt;DashStart,BK241&gt;DashEnd),"",BM241+ROW()/1000000)))</f>
        <v>0</v>
      </c>
      <c r="BQ241" s="32">
        <f>IF(BH241="","",IF(BK241="","",IF(YEAR(BK241)&lt;&gt;PlanYear,"",IF(BN241="","",BN241+ROW()/1000000))))</f>
        <v>0</v>
      </c>
      <c r="BR241" s="32">
        <f>IF(BH241="","",IF(BK241="","",IF(OR(BK241&lt;RepFrom,BK241&gt;RepTo),"",IF(BN241="","",BN241+ROW()/1000000))))</f>
        <v>0</v>
      </c>
      <c r="BS241" s="32">
        <f>IF(BM241="","",IF(BK241="","",IF(YEAR(BK241)&lt;&gt;PlanYear,"",BM241+ROW()/1000000)))</f>
        <v>0</v>
      </c>
      <c r="BT241" s="17">
        <f>IF(Lists!$F241="","",Lists!$F241)</f>
        <v>0</v>
      </c>
      <c r="BU241" s="23">
        <f>IF(BT241="","",COUNTIF('Content Calendar'!$X$5:$X$604,BT241))</f>
        <v>0</v>
      </c>
      <c r="BV241" s="23">
        <f>IF(BT241="","",COUNTIFS('Content Calendar'!$X$5:$X$604,BT241,'Content Calendar'!$B$5:$B$604,"&gt;="&amp;DashStart,'Content Calendar'!$B$5:$B$604,"&lt;="&amp;DashEnd))</f>
        <v>0</v>
      </c>
      <c r="BW241" s="17">
        <f>IF(Team!$B$241="","",Team!$B$241)</f>
        <v>0</v>
      </c>
      <c r="BX241" s="23">
        <f>IF(BW241="","",COUNTIF('Content Calendar'!$W$5:$W$604,BW241))</f>
        <v>0</v>
      </c>
      <c r="BY241" s="23">
        <f>IF(BW241="","",COUNTIFS('Content Calendar'!$W$5:$W$604,BW241,'Content Calendar'!$X$5:$X$604,"&lt;&gt;Published"))</f>
        <v>0</v>
      </c>
      <c r="BZ241" s="23">
        <f>IF(BW241="","",COUNTIFS(Tasks!$C$5:$C$64,BW241,Tasks!$G$5:$G$64,"&lt;&gt;Complete"))</f>
        <v>0</v>
      </c>
      <c r="CA241" s="17">
        <f>IF(Campaigns!$B$241="","",Campaigns!$B$241)</f>
        <v>0</v>
      </c>
      <c r="CB241" s="25">
        <f>IF(Campaigns!$T$241="","",Campaigns!$T$241)</f>
        <v>0</v>
      </c>
      <c r="CC241" s="25">
        <f>IF(Campaigns!$Q$241="","",Campaigns!$Q$241)</f>
        <v>0</v>
      </c>
      <c r="CD241" s="23">
        <f>IF(Campaigns!$Y$241="","",Campaigns!$Y$241)</f>
        <v>0</v>
      </c>
      <c r="CE241" s="32">
        <f>IF(CA241="","",IF(N(CB241)&lt;=0,"",N(CB241)+ROW()/1000000))</f>
        <v>0</v>
      </c>
      <c r="CF241" s="17">
        <f>IF(Accounts!$C$241="","",Accounts!$C$241)</f>
        <v>0</v>
      </c>
      <c r="CG241" s="17">
        <f>IF(Accounts!$B$241="","",Accounts!$B$241)</f>
        <v>0</v>
      </c>
      <c r="CH241" s="23">
        <f>IF(Accounts!$J$241="","",Accounts!$J$241)</f>
        <v>0</v>
      </c>
      <c r="CI241" s="23">
        <f>IF(CF241="","",SUMIFS(Analytics!$X$5:$X$154,Analytics!$E$5:$E$154,CF241,Analytics!$B$5:$B$154,"&gt;="&amp;DashStart,Analytics!$B$5:$B$154,"&lt;="&amp;DashEnd))</f>
        <v>0</v>
      </c>
      <c r="CJ241" s="32">
        <f>IF(CH241="","",IF(CH241=0,"",CH241+ROW()/1000000))</f>
        <v>0</v>
      </c>
    </row>
    <row r="242" spans="1:88">
      <c r="A242" s="16">
        <f>IF(ROW()-4&gt;12,"",DATE(PlanYear,ROW()-4,1))</f>
        <v>0</v>
      </c>
      <c r="B242" s="16">
        <f>IF(A242="","",EOMONTH(A242,0))</f>
        <v>0</v>
      </c>
      <c r="C242" s="17">
        <f>IF(A242="","",TEXT(A242,"yyyy-mm"))</f>
        <v>0</v>
      </c>
      <c r="D242" s="17">
        <f>IF(A242="","",TEXT(A242,"mmm"))</f>
        <v>0</v>
      </c>
      <c r="E242" s="23">
        <f>IF(C242="","",COUNTIFS('Content Calendar'!$D$5:$D$604,C242))</f>
        <v>0</v>
      </c>
      <c r="F242" s="23">
        <f>IF(C242="","",COUNTIFS('Content Calendar'!$D$5:$D$604,C242,'Content Calendar'!$X$5:$X$604,"Published"))</f>
        <v>0</v>
      </c>
      <c r="G242" s="23">
        <f>IF(C242="","",SUMIFS(Analytics!$J$5:$J$154,Analytics!$C$5:$C$154,C242))</f>
        <v>0</v>
      </c>
      <c r="H242" s="23">
        <f>IF(C242="","",SUMIFS(Analytics!$K$5:$K$154,Analytics!$C$5:$C$154,C242))</f>
        <v>0</v>
      </c>
      <c r="I242" s="23">
        <f>IF(C242="","",SUMIFS(Analytics!$L$5:$L$154,Analytics!$C$5:$C$154,C242))</f>
        <v>0</v>
      </c>
      <c r="J242" s="24">
        <f>IF(OR(G242="",G242=0),"",I242/G242)</f>
        <v>0</v>
      </c>
      <c r="K242" s="23">
        <f>IF(C242="","",SUMIFS(Analytics!$G$5:$G$154,Analytics!$C$5:$C$154,C242))</f>
        <v>0</v>
      </c>
      <c r="L242" s="23">
        <f>IF(C242="","",SUMIFS(Analytics!$X$5:$X$154,Analytics!$C$5:$C$154,C242))</f>
        <v>0</v>
      </c>
      <c r="M242" s="23">
        <f>IF(C242="","",SUMIFS(Analytics!$R$5:$R$154,Analytics!$C$5:$C$154,C242))</f>
        <v>0</v>
      </c>
      <c r="N242" s="23">
        <f>IF(C242="","",SUMIFS(Analytics!$S$5:$S$154,Analytics!$C$5:$C$154,C242))</f>
        <v>0</v>
      </c>
      <c r="O242" s="23">
        <f>IF(C242="","",SUMIFS(Analytics!$T$5:$T$154,Analytics!$C$5:$C$154,C242))</f>
        <v>0</v>
      </c>
      <c r="P242" s="25">
        <f>IF(C242="","",SUMIFS(Analytics!$U$5:$U$154,Analytics!$C$5:$C$154,C242))</f>
        <v>0</v>
      </c>
      <c r="Q242" s="25">
        <f>IF(C242="","",SUMIFS(Budget!$H$5:$H$64,Budget!$C$5:$C$64,C242))</f>
        <v>0</v>
      </c>
      <c r="R242" s="25">
        <f>IF(C242="","",P242-Q242)</f>
        <v>0</v>
      </c>
      <c r="S242" s="23">
        <f>IF(C242="","",MonthlyPostTarget)</f>
        <v>0</v>
      </c>
      <c r="T242" s="17">
        <f>IF(Lists!$C242="","",Lists!$C242)</f>
        <v>0</v>
      </c>
      <c r="U242" s="23">
        <f>IF(T242="","",COUNTIFS('Content Calendar'!$G$5:$G$604,T242,'Content Calendar'!$B$5:$B$604,"&gt;="&amp;DashStart,'Content Calendar'!$B$5:$B$604,"&lt;="&amp;DashEnd))</f>
        <v>0</v>
      </c>
      <c r="V242" s="23">
        <f>IF(T242="","",COUNTIFS('Content Calendar'!$G$5:$G$604,T242,'Content Calendar'!$X$5:$X$604,"Published",'Content Calendar'!$B$5:$B$604,"&gt;="&amp;DashStart,'Content Calendar'!$B$5:$B$604,"&lt;="&amp;DashEnd))</f>
        <v>0</v>
      </c>
      <c r="W242" s="23">
        <f>IF(T242="","",SUMIFS(Analytics!$J$5:$J$154,Analytics!$D$5:$D$154,T242,Analytics!$B$5:$B$154,"&gt;="&amp;DashStart,Analytics!$B$5:$B$154,"&lt;="&amp;DashEnd))</f>
        <v>0</v>
      </c>
      <c r="X242" s="23">
        <f>IF(T242="","",SUMIFS(Analytics!$L$5:$L$154,Analytics!$D$5:$D$154,T242,Analytics!$B$5:$B$154,"&gt;="&amp;DashStart,Analytics!$B$5:$B$154,"&lt;="&amp;DashEnd))</f>
        <v>0</v>
      </c>
      <c r="Y242" s="24">
        <f>IF(OR(W242="",W242=0),"",X242/W242)</f>
        <v>0</v>
      </c>
      <c r="Z242" s="23">
        <f>IF(T242="","",SUMIFS(Analytics!$G$5:$G$154,Analytics!$D$5:$D$154,T242,Analytics!$B$5:$B$154,"&gt;="&amp;DashStart,Analytics!$B$5:$B$154,"&lt;="&amp;DashEnd))</f>
        <v>0</v>
      </c>
      <c r="AA242" s="23">
        <f>IF(T242="","",SUMIFS(Analytics!$X$5:$X$154,Analytics!$D$5:$D$154,T242,Analytics!$B$5:$B$154,"&gt;="&amp;DashStart,Analytics!$B$5:$B$154,"&lt;="&amp;DashEnd))</f>
        <v>0</v>
      </c>
      <c r="AB242" s="23">
        <f>IF(T242="","",SUMIFS(Analytics!$R$5:$R$154,Analytics!$D$5:$D$154,T242,Analytics!$B$5:$B$154,"&gt;="&amp;DashStart,Analytics!$B$5:$B$154,"&lt;="&amp;DashEnd))</f>
        <v>0</v>
      </c>
      <c r="AC242" s="25">
        <f>IF(T242="","",SUMIFS(Analytics!$U$5:$U$154,Analytics!$D$5:$D$154,T242,Analytics!$B$5:$B$154,"&gt;="&amp;DashStart,Analytics!$B$5:$B$154,"&lt;="&amp;DashEnd))</f>
        <v>0</v>
      </c>
      <c r="AD242" s="23">
        <f>IF(T242="","",COUNTIFS('Content Calendar'!$G$5:$G$604,T242,'Content Calendar'!$B$5:$B$604,"&gt;="&amp;DATE(PlanYear,1,1),'Content Calendar'!$B$5:$B$604,"&lt;="&amp;DATE(PlanYear,12,31)))</f>
        <v>0</v>
      </c>
      <c r="AE242" s="23">
        <f>IF(T242="","",SUMIFS(Analytics!$J$5:$J$154,Analytics!$D$5:$D$154,T242))</f>
        <v>0</v>
      </c>
      <c r="AF242" s="23">
        <f>IF(T242="","",SUMIFS(Analytics!$L$5:$L$154,Analytics!$D$5:$D$154,T242))</f>
        <v>0</v>
      </c>
      <c r="AG242" s="24">
        <f>IF(OR(AE242="",AE242=0),"",AF242/AE242)</f>
        <v>0</v>
      </c>
      <c r="AH242" s="23">
        <f>IF(T242="","",SUMIFS(Analytics!$X$5:$X$154,Analytics!$D$5:$D$154,T242))</f>
        <v>0</v>
      </c>
      <c r="AI242" s="32">
        <f>IF(T242="","",IF(AE242=0,"",AE242+ROW()/1000000))</f>
        <v>0</v>
      </c>
      <c r="AJ242" s="17">
        <f>IF('Content Pillars'!$B$242="","",'Content Pillars'!$B$242)</f>
        <v>0</v>
      </c>
      <c r="AK242" s="23">
        <f>IF(AJ242="","",COUNTIFS('Content Calendar'!$J$5:$J$604,AJ242,'Content Calendar'!$B$5:$B$604,"&gt;="&amp;DATE(PlanYear,1,1),'Content Calendar'!$B$5:$B$604,"&lt;="&amp;DATE(PlanYear,12,31)))</f>
        <v>0</v>
      </c>
      <c r="AL242" s="23">
        <f>IF(AJ242="","",SUMIFS(Performance!$O$5:$O$404,Performance!$H$5:$H$404,AJ242))</f>
        <v>0</v>
      </c>
      <c r="AM242" s="23">
        <f>IF(AJ242="","",SUMIFS(Performance!$Z$5:$Z$404,Performance!$H$5:$H$404,AJ242))</f>
        <v>0</v>
      </c>
      <c r="AN242" s="24">
        <f>IF(OR(AL242="",AL242=0),"",AM242/AL242)</f>
        <v>0</v>
      </c>
      <c r="AO242" s="32">
        <f>IF(AN242="","",AN242+ROW()/1000000)</f>
        <v>0</v>
      </c>
      <c r="AP242" s="17">
        <f>IF(Lists!$E242="","",Lists!$E242)</f>
        <v>0</v>
      </c>
      <c r="AQ242" s="23">
        <f>IF(AP242="","",COUNTIF(Performance!$G$5:$G$404,AP242))</f>
        <v>0</v>
      </c>
      <c r="AR242" s="23">
        <f>IF(AP242="","",SUMIFS(Performance!$O$5:$O$404,Performance!$G$5:$G$404,AP242))</f>
        <v>0</v>
      </c>
      <c r="AS242" s="23">
        <f>IF(AP242="","",SUMIFS(Performance!$Z$5:$Z$404,Performance!$G$5:$G$404,AP242))</f>
        <v>0</v>
      </c>
      <c r="AT242" s="24">
        <f>IF(OR(AR242="",AR242=0),"",AS242/AR242)</f>
        <v>0</v>
      </c>
      <c r="AU242" s="32">
        <f>IF(AQ242=0,"",IF(AT242="","",AT242+ROW()/1000000))</f>
        <v>0</v>
      </c>
      <c r="AV242" s="17">
        <f>IF(ROW()-4&gt;7,"",TEXT(DATE(2024,1,ROW()-4),"ddd"))</f>
        <v>0</v>
      </c>
      <c r="AW242" s="23">
        <f>IF(AV242="","",COUNTIF(Performance!$N$5:$N$404,AV242))</f>
        <v>0</v>
      </c>
      <c r="AX242" s="23">
        <f>IF(AV242="","",SUMIFS(Performance!$O$5:$O$404,Performance!$N$5:$N$404,AV242))</f>
        <v>0</v>
      </c>
      <c r="AY242" s="23">
        <f>IF(AV242="","",SUMIFS(Performance!$Z$5:$Z$404,Performance!$N$5:$N$404,AV242))</f>
        <v>0</v>
      </c>
      <c r="AZ242" s="24">
        <f>IF(OR(AX242="",AX242=0),"",AY242/AX242)</f>
        <v>0</v>
      </c>
      <c r="BA242" s="32">
        <f>IF(AW242=0,"",IF(AZ242="","",AZ242+ROW()/1000000))</f>
        <v>0</v>
      </c>
      <c r="BB242" s="17">
        <f>IF(Lists!$AL242="","",Lists!$AL242)</f>
        <v>0</v>
      </c>
      <c r="BC242" s="23">
        <f>IF(BB242="","",COUNTIF(Performance!$M$5:$M$404,BB242))</f>
        <v>0</v>
      </c>
      <c r="BD242" s="23">
        <f>IF(BB242="","",SUMIFS(Performance!$O$5:$O$404,Performance!$M$5:$M$404,BB242))</f>
        <v>0</v>
      </c>
      <c r="BE242" s="23">
        <f>IF(BB242="","",SUMIFS(Performance!$Z$5:$Z$404,Performance!$M$5:$M$404,BB242))</f>
        <v>0</v>
      </c>
      <c r="BF242" s="24">
        <f>IF(OR(BD242="",BD242=0),"",BE242/BD242)</f>
        <v>0</v>
      </c>
      <c r="BG242" s="32">
        <f>IF(BC242=0,"",IF(BF242="","",BF242+ROW()/1000000))</f>
        <v>0</v>
      </c>
      <c r="BH242" s="17">
        <f>IF(Performance!$C$242="","",Performance!$C$242)</f>
        <v>0</v>
      </c>
      <c r="BI242" s="17">
        <f>IF(Performance!$F$242="","",Performance!$F$242)</f>
        <v>0</v>
      </c>
      <c r="BJ242" s="17">
        <f>IF(Performance!$H$242="","",Performance!$H$242)</f>
        <v>0</v>
      </c>
      <c r="BK242" s="16">
        <f>IF(Performance!$D$242="","",Performance!$D$242)</f>
        <v>0</v>
      </c>
      <c r="BL242" s="17">
        <f>IF(Performance!$E$242="","",Performance!$E$242)</f>
        <v>0</v>
      </c>
      <c r="BM242" s="23">
        <f>IF(Performance!$O$242="","",Performance!$O$242)</f>
        <v>0</v>
      </c>
      <c r="BN242" s="24">
        <f>IF(Performance!$AA$242="","",Performance!$AA$242)</f>
        <v>0</v>
      </c>
      <c r="BO242" s="32">
        <f>IF(BH242="","",IF(BK242="","",IF(OR(BK242&lt;DashStart,BK242&gt;DashEnd),"",IF(BN242="","",BN242+ROW()/1000000))))</f>
        <v>0</v>
      </c>
      <c r="BP242" s="32">
        <f>IF(BM242="","",IF(BK242="","",IF(OR(BK242&lt;DashStart,BK242&gt;DashEnd),"",BM242+ROW()/1000000)))</f>
        <v>0</v>
      </c>
      <c r="BQ242" s="32">
        <f>IF(BH242="","",IF(BK242="","",IF(YEAR(BK242)&lt;&gt;PlanYear,"",IF(BN242="","",BN242+ROW()/1000000))))</f>
        <v>0</v>
      </c>
      <c r="BR242" s="32">
        <f>IF(BH242="","",IF(BK242="","",IF(OR(BK242&lt;RepFrom,BK242&gt;RepTo),"",IF(BN242="","",BN242+ROW()/1000000))))</f>
        <v>0</v>
      </c>
      <c r="BS242" s="32">
        <f>IF(BM242="","",IF(BK242="","",IF(YEAR(BK242)&lt;&gt;PlanYear,"",BM242+ROW()/1000000)))</f>
        <v>0</v>
      </c>
      <c r="BT242" s="17">
        <f>IF(Lists!$F242="","",Lists!$F242)</f>
        <v>0</v>
      </c>
      <c r="BU242" s="23">
        <f>IF(BT242="","",COUNTIF('Content Calendar'!$X$5:$X$604,BT242))</f>
        <v>0</v>
      </c>
      <c r="BV242" s="23">
        <f>IF(BT242="","",COUNTIFS('Content Calendar'!$X$5:$X$604,BT242,'Content Calendar'!$B$5:$B$604,"&gt;="&amp;DashStart,'Content Calendar'!$B$5:$B$604,"&lt;="&amp;DashEnd))</f>
        <v>0</v>
      </c>
      <c r="BW242" s="17">
        <f>IF(Team!$B$242="","",Team!$B$242)</f>
        <v>0</v>
      </c>
      <c r="BX242" s="23">
        <f>IF(BW242="","",COUNTIF('Content Calendar'!$W$5:$W$604,BW242))</f>
        <v>0</v>
      </c>
      <c r="BY242" s="23">
        <f>IF(BW242="","",COUNTIFS('Content Calendar'!$W$5:$W$604,BW242,'Content Calendar'!$X$5:$X$604,"&lt;&gt;Published"))</f>
        <v>0</v>
      </c>
      <c r="BZ242" s="23">
        <f>IF(BW242="","",COUNTIFS(Tasks!$C$5:$C$64,BW242,Tasks!$G$5:$G$64,"&lt;&gt;Complete"))</f>
        <v>0</v>
      </c>
      <c r="CA242" s="17">
        <f>IF(Campaigns!$B$242="","",Campaigns!$B$242)</f>
        <v>0</v>
      </c>
      <c r="CB242" s="25">
        <f>IF(Campaigns!$T$242="","",Campaigns!$T$242)</f>
        <v>0</v>
      </c>
      <c r="CC242" s="25">
        <f>IF(Campaigns!$Q$242="","",Campaigns!$Q$242)</f>
        <v>0</v>
      </c>
      <c r="CD242" s="23">
        <f>IF(Campaigns!$Y$242="","",Campaigns!$Y$242)</f>
        <v>0</v>
      </c>
      <c r="CE242" s="32">
        <f>IF(CA242="","",IF(N(CB242)&lt;=0,"",N(CB242)+ROW()/1000000))</f>
        <v>0</v>
      </c>
      <c r="CF242" s="17">
        <f>IF(Accounts!$C$242="","",Accounts!$C$242)</f>
        <v>0</v>
      </c>
      <c r="CG242" s="17">
        <f>IF(Accounts!$B$242="","",Accounts!$B$242)</f>
        <v>0</v>
      </c>
      <c r="CH242" s="23">
        <f>IF(Accounts!$J$242="","",Accounts!$J$242)</f>
        <v>0</v>
      </c>
      <c r="CI242" s="23">
        <f>IF(CF242="","",SUMIFS(Analytics!$X$5:$X$154,Analytics!$E$5:$E$154,CF242,Analytics!$B$5:$B$154,"&gt;="&amp;DashStart,Analytics!$B$5:$B$154,"&lt;="&amp;DashEnd))</f>
        <v>0</v>
      </c>
      <c r="CJ242" s="32">
        <f>IF(CH242="","",IF(CH242=0,"",CH242+ROW()/1000000))</f>
        <v>0</v>
      </c>
    </row>
    <row r="243" spans="1:88">
      <c r="A243" s="16">
        <f>IF(ROW()-4&gt;12,"",DATE(PlanYear,ROW()-4,1))</f>
        <v>0</v>
      </c>
      <c r="B243" s="16">
        <f>IF(A243="","",EOMONTH(A243,0))</f>
        <v>0</v>
      </c>
      <c r="C243" s="17">
        <f>IF(A243="","",TEXT(A243,"yyyy-mm"))</f>
        <v>0</v>
      </c>
      <c r="D243" s="17">
        <f>IF(A243="","",TEXT(A243,"mmm"))</f>
        <v>0</v>
      </c>
      <c r="E243" s="23">
        <f>IF(C243="","",COUNTIFS('Content Calendar'!$D$5:$D$604,C243))</f>
        <v>0</v>
      </c>
      <c r="F243" s="23">
        <f>IF(C243="","",COUNTIFS('Content Calendar'!$D$5:$D$604,C243,'Content Calendar'!$X$5:$X$604,"Published"))</f>
        <v>0</v>
      </c>
      <c r="G243" s="23">
        <f>IF(C243="","",SUMIFS(Analytics!$J$5:$J$154,Analytics!$C$5:$C$154,C243))</f>
        <v>0</v>
      </c>
      <c r="H243" s="23">
        <f>IF(C243="","",SUMIFS(Analytics!$K$5:$K$154,Analytics!$C$5:$C$154,C243))</f>
        <v>0</v>
      </c>
      <c r="I243" s="23">
        <f>IF(C243="","",SUMIFS(Analytics!$L$5:$L$154,Analytics!$C$5:$C$154,C243))</f>
        <v>0</v>
      </c>
      <c r="J243" s="24">
        <f>IF(OR(G243="",G243=0),"",I243/G243)</f>
        <v>0</v>
      </c>
      <c r="K243" s="23">
        <f>IF(C243="","",SUMIFS(Analytics!$G$5:$G$154,Analytics!$C$5:$C$154,C243))</f>
        <v>0</v>
      </c>
      <c r="L243" s="23">
        <f>IF(C243="","",SUMIFS(Analytics!$X$5:$X$154,Analytics!$C$5:$C$154,C243))</f>
        <v>0</v>
      </c>
      <c r="M243" s="23">
        <f>IF(C243="","",SUMIFS(Analytics!$R$5:$R$154,Analytics!$C$5:$C$154,C243))</f>
        <v>0</v>
      </c>
      <c r="N243" s="23">
        <f>IF(C243="","",SUMIFS(Analytics!$S$5:$S$154,Analytics!$C$5:$C$154,C243))</f>
        <v>0</v>
      </c>
      <c r="O243" s="23">
        <f>IF(C243="","",SUMIFS(Analytics!$T$5:$T$154,Analytics!$C$5:$C$154,C243))</f>
        <v>0</v>
      </c>
      <c r="P243" s="25">
        <f>IF(C243="","",SUMIFS(Analytics!$U$5:$U$154,Analytics!$C$5:$C$154,C243))</f>
        <v>0</v>
      </c>
      <c r="Q243" s="25">
        <f>IF(C243="","",SUMIFS(Budget!$H$5:$H$64,Budget!$C$5:$C$64,C243))</f>
        <v>0</v>
      </c>
      <c r="R243" s="25">
        <f>IF(C243="","",P243-Q243)</f>
        <v>0</v>
      </c>
      <c r="S243" s="23">
        <f>IF(C243="","",MonthlyPostTarget)</f>
        <v>0</v>
      </c>
      <c r="T243" s="17">
        <f>IF(Lists!$C243="","",Lists!$C243)</f>
        <v>0</v>
      </c>
      <c r="U243" s="23">
        <f>IF(T243="","",COUNTIFS('Content Calendar'!$G$5:$G$604,T243,'Content Calendar'!$B$5:$B$604,"&gt;="&amp;DashStart,'Content Calendar'!$B$5:$B$604,"&lt;="&amp;DashEnd))</f>
        <v>0</v>
      </c>
      <c r="V243" s="23">
        <f>IF(T243="","",COUNTIFS('Content Calendar'!$G$5:$G$604,T243,'Content Calendar'!$X$5:$X$604,"Published",'Content Calendar'!$B$5:$B$604,"&gt;="&amp;DashStart,'Content Calendar'!$B$5:$B$604,"&lt;="&amp;DashEnd))</f>
        <v>0</v>
      </c>
      <c r="W243" s="23">
        <f>IF(T243="","",SUMIFS(Analytics!$J$5:$J$154,Analytics!$D$5:$D$154,T243,Analytics!$B$5:$B$154,"&gt;="&amp;DashStart,Analytics!$B$5:$B$154,"&lt;="&amp;DashEnd))</f>
        <v>0</v>
      </c>
      <c r="X243" s="23">
        <f>IF(T243="","",SUMIFS(Analytics!$L$5:$L$154,Analytics!$D$5:$D$154,T243,Analytics!$B$5:$B$154,"&gt;="&amp;DashStart,Analytics!$B$5:$B$154,"&lt;="&amp;DashEnd))</f>
        <v>0</v>
      </c>
      <c r="Y243" s="24">
        <f>IF(OR(W243="",W243=0),"",X243/W243)</f>
        <v>0</v>
      </c>
      <c r="Z243" s="23">
        <f>IF(T243="","",SUMIFS(Analytics!$G$5:$G$154,Analytics!$D$5:$D$154,T243,Analytics!$B$5:$B$154,"&gt;="&amp;DashStart,Analytics!$B$5:$B$154,"&lt;="&amp;DashEnd))</f>
        <v>0</v>
      </c>
      <c r="AA243" s="23">
        <f>IF(T243="","",SUMIFS(Analytics!$X$5:$X$154,Analytics!$D$5:$D$154,T243,Analytics!$B$5:$B$154,"&gt;="&amp;DashStart,Analytics!$B$5:$B$154,"&lt;="&amp;DashEnd))</f>
        <v>0</v>
      </c>
      <c r="AB243" s="23">
        <f>IF(T243="","",SUMIFS(Analytics!$R$5:$R$154,Analytics!$D$5:$D$154,T243,Analytics!$B$5:$B$154,"&gt;="&amp;DashStart,Analytics!$B$5:$B$154,"&lt;="&amp;DashEnd))</f>
        <v>0</v>
      </c>
      <c r="AC243" s="25">
        <f>IF(T243="","",SUMIFS(Analytics!$U$5:$U$154,Analytics!$D$5:$D$154,T243,Analytics!$B$5:$B$154,"&gt;="&amp;DashStart,Analytics!$B$5:$B$154,"&lt;="&amp;DashEnd))</f>
        <v>0</v>
      </c>
      <c r="AD243" s="23">
        <f>IF(T243="","",COUNTIFS('Content Calendar'!$G$5:$G$604,T243,'Content Calendar'!$B$5:$B$604,"&gt;="&amp;DATE(PlanYear,1,1),'Content Calendar'!$B$5:$B$604,"&lt;="&amp;DATE(PlanYear,12,31)))</f>
        <v>0</v>
      </c>
      <c r="AE243" s="23">
        <f>IF(T243="","",SUMIFS(Analytics!$J$5:$J$154,Analytics!$D$5:$D$154,T243))</f>
        <v>0</v>
      </c>
      <c r="AF243" s="23">
        <f>IF(T243="","",SUMIFS(Analytics!$L$5:$L$154,Analytics!$D$5:$D$154,T243))</f>
        <v>0</v>
      </c>
      <c r="AG243" s="24">
        <f>IF(OR(AE243="",AE243=0),"",AF243/AE243)</f>
        <v>0</v>
      </c>
      <c r="AH243" s="23">
        <f>IF(T243="","",SUMIFS(Analytics!$X$5:$X$154,Analytics!$D$5:$D$154,T243))</f>
        <v>0</v>
      </c>
      <c r="AI243" s="32">
        <f>IF(T243="","",IF(AE243=0,"",AE243+ROW()/1000000))</f>
        <v>0</v>
      </c>
      <c r="AJ243" s="17">
        <f>IF('Content Pillars'!$B$243="","",'Content Pillars'!$B$243)</f>
        <v>0</v>
      </c>
      <c r="AK243" s="23">
        <f>IF(AJ243="","",COUNTIFS('Content Calendar'!$J$5:$J$604,AJ243,'Content Calendar'!$B$5:$B$604,"&gt;="&amp;DATE(PlanYear,1,1),'Content Calendar'!$B$5:$B$604,"&lt;="&amp;DATE(PlanYear,12,31)))</f>
        <v>0</v>
      </c>
      <c r="AL243" s="23">
        <f>IF(AJ243="","",SUMIFS(Performance!$O$5:$O$404,Performance!$H$5:$H$404,AJ243))</f>
        <v>0</v>
      </c>
      <c r="AM243" s="23">
        <f>IF(AJ243="","",SUMIFS(Performance!$Z$5:$Z$404,Performance!$H$5:$H$404,AJ243))</f>
        <v>0</v>
      </c>
      <c r="AN243" s="24">
        <f>IF(OR(AL243="",AL243=0),"",AM243/AL243)</f>
        <v>0</v>
      </c>
      <c r="AO243" s="32">
        <f>IF(AN243="","",AN243+ROW()/1000000)</f>
        <v>0</v>
      </c>
      <c r="AP243" s="17">
        <f>IF(Lists!$E243="","",Lists!$E243)</f>
        <v>0</v>
      </c>
      <c r="AQ243" s="23">
        <f>IF(AP243="","",COUNTIF(Performance!$G$5:$G$404,AP243))</f>
        <v>0</v>
      </c>
      <c r="AR243" s="23">
        <f>IF(AP243="","",SUMIFS(Performance!$O$5:$O$404,Performance!$G$5:$G$404,AP243))</f>
        <v>0</v>
      </c>
      <c r="AS243" s="23">
        <f>IF(AP243="","",SUMIFS(Performance!$Z$5:$Z$404,Performance!$G$5:$G$404,AP243))</f>
        <v>0</v>
      </c>
      <c r="AT243" s="24">
        <f>IF(OR(AR243="",AR243=0),"",AS243/AR243)</f>
        <v>0</v>
      </c>
      <c r="AU243" s="32">
        <f>IF(AQ243=0,"",IF(AT243="","",AT243+ROW()/1000000))</f>
        <v>0</v>
      </c>
      <c r="AV243" s="17">
        <f>IF(ROW()-4&gt;7,"",TEXT(DATE(2024,1,ROW()-4),"ddd"))</f>
        <v>0</v>
      </c>
      <c r="AW243" s="23">
        <f>IF(AV243="","",COUNTIF(Performance!$N$5:$N$404,AV243))</f>
        <v>0</v>
      </c>
      <c r="AX243" s="23">
        <f>IF(AV243="","",SUMIFS(Performance!$O$5:$O$404,Performance!$N$5:$N$404,AV243))</f>
        <v>0</v>
      </c>
      <c r="AY243" s="23">
        <f>IF(AV243="","",SUMIFS(Performance!$Z$5:$Z$404,Performance!$N$5:$N$404,AV243))</f>
        <v>0</v>
      </c>
      <c r="AZ243" s="24">
        <f>IF(OR(AX243="",AX243=0),"",AY243/AX243)</f>
        <v>0</v>
      </c>
      <c r="BA243" s="32">
        <f>IF(AW243=0,"",IF(AZ243="","",AZ243+ROW()/1000000))</f>
        <v>0</v>
      </c>
      <c r="BB243" s="17">
        <f>IF(Lists!$AL243="","",Lists!$AL243)</f>
        <v>0</v>
      </c>
      <c r="BC243" s="23">
        <f>IF(BB243="","",COUNTIF(Performance!$M$5:$M$404,BB243))</f>
        <v>0</v>
      </c>
      <c r="BD243" s="23">
        <f>IF(BB243="","",SUMIFS(Performance!$O$5:$O$404,Performance!$M$5:$M$404,BB243))</f>
        <v>0</v>
      </c>
      <c r="BE243" s="23">
        <f>IF(BB243="","",SUMIFS(Performance!$Z$5:$Z$404,Performance!$M$5:$M$404,BB243))</f>
        <v>0</v>
      </c>
      <c r="BF243" s="24">
        <f>IF(OR(BD243="",BD243=0),"",BE243/BD243)</f>
        <v>0</v>
      </c>
      <c r="BG243" s="32">
        <f>IF(BC243=0,"",IF(BF243="","",BF243+ROW()/1000000))</f>
        <v>0</v>
      </c>
      <c r="BH243" s="17">
        <f>IF(Performance!$C$243="","",Performance!$C$243)</f>
        <v>0</v>
      </c>
      <c r="BI243" s="17">
        <f>IF(Performance!$F$243="","",Performance!$F$243)</f>
        <v>0</v>
      </c>
      <c r="BJ243" s="17">
        <f>IF(Performance!$H$243="","",Performance!$H$243)</f>
        <v>0</v>
      </c>
      <c r="BK243" s="16">
        <f>IF(Performance!$D$243="","",Performance!$D$243)</f>
        <v>0</v>
      </c>
      <c r="BL243" s="17">
        <f>IF(Performance!$E$243="","",Performance!$E$243)</f>
        <v>0</v>
      </c>
      <c r="BM243" s="23">
        <f>IF(Performance!$O$243="","",Performance!$O$243)</f>
        <v>0</v>
      </c>
      <c r="BN243" s="24">
        <f>IF(Performance!$AA$243="","",Performance!$AA$243)</f>
        <v>0</v>
      </c>
      <c r="BO243" s="32">
        <f>IF(BH243="","",IF(BK243="","",IF(OR(BK243&lt;DashStart,BK243&gt;DashEnd),"",IF(BN243="","",BN243+ROW()/1000000))))</f>
        <v>0</v>
      </c>
      <c r="BP243" s="32">
        <f>IF(BM243="","",IF(BK243="","",IF(OR(BK243&lt;DashStart,BK243&gt;DashEnd),"",BM243+ROW()/1000000)))</f>
        <v>0</v>
      </c>
      <c r="BQ243" s="32">
        <f>IF(BH243="","",IF(BK243="","",IF(YEAR(BK243)&lt;&gt;PlanYear,"",IF(BN243="","",BN243+ROW()/1000000))))</f>
        <v>0</v>
      </c>
      <c r="BR243" s="32">
        <f>IF(BH243="","",IF(BK243="","",IF(OR(BK243&lt;RepFrom,BK243&gt;RepTo),"",IF(BN243="","",BN243+ROW()/1000000))))</f>
        <v>0</v>
      </c>
      <c r="BS243" s="32">
        <f>IF(BM243="","",IF(BK243="","",IF(YEAR(BK243)&lt;&gt;PlanYear,"",BM243+ROW()/1000000)))</f>
        <v>0</v>
      </c>
      <c r="BT243" s="17">
        <f>IF(Lists!$F243="","",Lists!$F243)</f>
        <v>0</v>
      </c>
      <c r="BU243" s="23">
        <f>IF(BT243="","",COUNTIF('Content Calendar'!$X$5:$X$604,BT243))</f>
        <v>0</v>
      </c>
      <c r="BV243" s="23">
        <f>IF(BT243="","",COUNTIFS('Content Calendar'!$X$5:$X$604,BT243,'Content Calendar'!$B$5:$B$604,"&gt;="&amp;DashStart,'Content Calendar'!$B$5:$B$604,"&lt;="&amp;DashEnd))</f>
        <v>0</v>
      </c>
      <c r="BW243" s="17">
        <f>IF(Team!$B$243="","",Team!$B$243)</f>
        <v>0</v>
      </c>
      <c r="BX243" s="23">
        <f>IF(BW243="","",COUNTIF('Content Calendar'!$W$5:$W$604,BW243))</f>
        <v>0</v>
      </c>
      <c r="BY243" s="23">
        <f>IF(BW243="","",COUNTIFS('Content Calendar'!$W$5:$W$604,BW243,'Content Calendar'!$X$5:$X$604,"&lt;&gt;Published"))</f>
        <v>0</v>
      </c>
      <c r="BZ243" s="23">
        <f>IF(BW243="","",COUNTIFS(Tasks!$C$5:$C$64,BW243,Tasks!$G$5:$G$64,"&lt;&gt;Complete"))</f>
        <v>0</v>
      </c>
      <c r="CA243" s="17">
        <f>IF(Campaigns!$B$243="","",Campaigns!$B$243)</f>
        <v>0</v>
      </c>
      <c r="CB243" s="25">
        <f>IF(Campaigns!$T$243="","",Campaigns!$T$243)</f>
        <v>0</v>
      </c>
      <c r="CC243" s="25">
        <f>IF(Campaigns!$Q$243="","",Campaigns!$Q$243)</f>
        <v>0</v>
      </c>
      <c r="CD243" s="23">
        <f>IF(Campaigns!$Y$243="","",Campaigns!$Y$243)</f>
        <v>0</v>
      </c>
      <c r="CE243" s="32">
        <f>IF(CA243="","",IF(N(CB243)&lt;=0,"",N(CB243)+ROW()/1000000))</f>
        <v>0</v>
      </c>
      <c r="CF243" s="17">
        <f>IF(Accounts!$C$243="","",Accounts!$C$243)</f>
        <v>0</v>
      </c>
      <c r="CG243" s="17">
        <f>IF(Accounts!$B$243="","",Accounts!$B$243)</f>
        <v>0</v>
      </c>
      <c r="CH243" s="23">
        <f>IF(Accounts!$J$243="","",Accounts!$J$243)</f>
        <v>0</v>
      </c>
      <c r="CI243" s="23">
        <f>IF(CF243="","",SUMIFS(Analytics!$X$5:$X$154,Analytics!$E$5:$E$154,CF243,Analytics!$B$5:$B$154,"&gt;="&amp;DashStart,Analytics!$B$5:$B$154,"&lt;="&amp;DashEnd))</f>
        <v>0</v>
      </c>
      <c r="CJ243" s="32">
        <f>IF(CH243="","",IF(CH243=0,"",CH243+ROW()/1000000))</f>
        <v>0</v>
      </c>
    </row>
    <row r="244" spans="1:88">
      <c r="A244" s="16">
        <f>IF(ROW()-4&gt;12,"",DATE(PlanYear,ROW()-4,1))</f>
        <v>0</v>
      </c>
      <c r="B244" s="16">
        <f>IF(A244="","",EOMONTH(A244,0))</f>
        <v>0</v>
      </c>
      <c r="C244" s="17">
        <f>IF(A244="","",TEXT(A244,"yyyy-mm"))</f>
        <v>0</v>
      </c>
      <c r="D244" s="17">
        <f>IF(A244="","",TEXT(A244,"mmm"))</f>
        <v>0</v>
      </c>
      <c r="E244" s="23">
        <f>IF(C244="","",COUNTIFS('Content Calendar'!$D$5:$D$604,C244))</f>
        <v>0</v>
      </c>
      <c r="F244" s="23">
        <f>IF(C244="","",COUNTIFS('Content Calendar'!$D$5:$D$604,C244,'Content Calendar'!$X$5:$X$604,"Published"))</f>
        <v>0</v>
      </c>
      <c r="G244" s="23">
        <f>IF(C244="","",SUMIFS(Analytics!$J$5:$J$154,Analytics!$C$5:$C$154,C244))</f>
        <v>0</v>
      </c>
      <c r="H244" s="23">
        <f>IF(C244="","",SUMIFS(Analytics!$K$5:$K$154,Analytics!$C$5:$C$154,C244))</f>
        <v>0</v>
      </c>
      <c r="I244" s="23">
        <f>IF(C244="","",SUMIFS(Analytics!$L$5:$L$154,Analytics!$C$5:$C$154,C244))</f>
        <v>0</v>
      </c>
      <c r="J244" s="24">
        <f>IF(OR(G244="",G244=0),"",I244/G244)</f>
        <v>0</v>
      </c>
      <c r="K244" s="23">
        <f>IF(C244="","",SUMIFS(Analytics!$G$5:$G$154,Analytics!$C$5:$C$154,C244))</f>
        <v>0</v>
      </c>
      <c r="L244" s="23">
        <f>IF(C244="","",SUMIFS(Analytics!$X$5:$X$154,Analytics!$C$5:$C$154,C244))</f>
        <v>0</v>
      </c>
      <c r="M244" s="23">
        <f>IF(C244="","",SUMIFS(Analytics!$R$5:$R$154,Analytics!$C$5:$C$154,C244))</f>
        <v>0</v>
      </c>
      <c r="N244" s="23">
        <f>IF(C244="","",SUMIFS(Analytics!$S$5:$S$154,Analytics!$C$5:$C$154,C244))</f>
        <v>0</v>
      </c>
      <c r="O244" s="23">
        <f>IF(C244="","",SUMIFS(Analytics!$T$5:$T$154,Analytics!$C$5:$C$154,C244))</f>
        <v>0</v>
      </c>
      <c r="P244" s="25">
        <f>IF(C244="","",SUMIFS(Analytics!$U$5:$U$154,Analytics!$C$5:$C$154,C244))</f>
        <v>0</v>
      </c>
      <c r="Q244" s="25">
        <f>IF(C244="","",SUMIFS(Budget!$H$5:$H$64,Budget!$C$5:$C$64,C244))</f>
        <v>0</v>
      </c>
      <c r="R244" s="25">
        <f>IF(C244="","",P244-Q244)</f>
        <v>0</v>
      </c>
      <c r="S244" s="23">
        <f>IF(C244="","",MonthlyPostTarget)</f>
        <v>0</v>
      </c>
      <c r="T244" s="17">
        <f>IF(Lists!$C244="","",Lists!$C244)</f>
        <v>0</v>
      </c>
      <c r="U244" s="23">
        <f>IF(T244="","",COUNTIFS('Content Calendar'!$G$5:$G$604,T244,'Content Calendar'!$B$5:$B$604,"&gt;="&amp;DashStart,'Content Calendar'!$B$5:$B$604,"&lt;="&amp;DashEnd))</f>
        <v>0</v>
      </c>
      <c r="V244" s="23">
        <f>IF(T244="","",COUNTIFS('Content Calendar'!$G$5:$G$604,T244,'Content Calendar'!$X$5:$X$604,"Published",'Content Calendar'!$B$5:$B$604,"&gt;="&amp;DashStart,'Content Calendar'!$B$5:$B$604,"&lt;="&amp;DashEnd))</f>
        <v>0</v>
      </c>
      <c r="W244" s="23">
        <f>IF(T244="","",SUMIFS(Analytics!$J$5:$J$154,Analytics!$D$5:$D$154,T244,Analytics!$B$5:$B$154,"&gt;="&amp;DashStart,Analytics!$B$5:$B$154,"&lt;="&amp;DashEnd))</f>
        <v>0</v>
      </c>
      <c r="X244" s="23">
        <f>IF(T244="","",SUMIFS(Analytics!$L$5:$L$154,Analytics!$D$5:$D$154,T244,Analytics!$B$5:$B$154,"&gt;="&amp;DashStart,Analytics!$B$5:$B$154,"&lt;="&amp;DashEnd))</f>
        <v>0</v>
      </c>
      <c r="Y244" s="24">
        <f>IF(OR(W244="",W244=0),"",X244/W244)</f>
        <v>0</v>
      </c>
      <c r="Z244" s="23">
        <f>IF(T244="","",SUMIFS(Analytics!$G$5:$G$154,Analytics!$D$5:$D$154,T244,Analytics!$B$5:$B$154,"&gt;="&amp;DashStart,Analytics!$B$5:$B$154,"&lt;="&amp;DashEnd))</f>
        <v>0</v>
      </c>
      <c r="AA244" s="23">
        <f>IF(T244="","",SUMIFS(Analytics!$X$5:$X$154,Analytics!$D$5:$D$154,T244,Analytics!$B$5:$B$154,"&gt;="&amp;DashStart,Analytics!$B$5:$B$154,"&lt;="&amp;DashEnd))</f>
        <v>0</v>
      </c>
      <c r="AB244" s="23">
        <f>IF(T244="","",SUMIFS(Analytics!$R$5:$R$154,Analytics!$D$5:$D$154,T244,Analytics!$B$5:$B$154,"&gt;="&amp;DashStart,Analytics!$B$5:$B$154,"&lt;="&amp;DashEnd))</f>
        <v>0</v>
      </c>
      <c r="AC244" s="25">
        <f>IF(T244="","",SUMIFS(Analytics!$U$5:$U$154,Analytics!$D$5:$D$154,T244,Analytics!$B$5:$B$154,"&gt;="&amp;DashStart,Analytics!$B$5:$B$154,"&lt;="&amp;DashEnd))</f>
        <v>0</v>
      </c>
      <c r="AD244" s="23">
        <f>IF(T244="","",COUNTIFS('Content Calendar'!$G$5:$G$604,T244,'Content Calendar'!$B$5:$B$604,"&gt;="&amp;DATE(PlanYear,1,1),'Content Calendar'!$B$5:$B$604,"&lt;="&amp;DATE(PlanYear,12,31)))</f>
        <v>0</v>
      </c>
      <c r="AE244" s="23">
        <f>IF(T244="","",SUMIFS(Analytics!$J$5:$J$154,Analytics!$D$5:$D$154,T244))</f>
        <v>0</v>
      </c>
      <c r="AF244" s="23">
        <f>IF(T244="","",SUMIFS(Analytics!$L$5:$L$154,Analytics!$D$5:$D$154,T244))</f>
        <v>0</v>
      </c>
      <c r="AG244" s="24">
        <f>IF(OR(AE244="",AE244=0),"",AF244/AE244)</f>
        <v>0</v>
      </c>
      <c r="AH244" s="23">
        <f>IF(T244="","",SUMIFS(Analytics!$X$5:$X$154,Analytics!$D$5:$D$154,T244))</f>
        <v>0</v>
      </c>
      <c r="AI244" s="32">
        <f>IF(T244="","",IF(AE244=0,"",AE244+ROW()/1000000))</f>
        <v>0</v>
      </c>
      <c r="AJ244" s="17">
        <f>IF('Content Pillars'!$B$244="","",'Content Pillars'!$B$244)</f>
        <v>0</v>
      </c>
      <c r="AK244" s="23">
        <f>IF(AJ244="","",COUNTIFS('Content Calendar'!$J$5:$J$604,AJ244,'Content Calendar'!$B$5:$B$604,"&gt;="&amp;DATE(PlanYear,1,1),'Content Calendar'!$B$5:$B$604,"&lt;="&amp;DATE(PlanYear,12,31)))</f>
        <v>0</v>
      </c>
      <c r="AL244" s="23">
        <f>IF(AJ244="","",SUMIFS(Performance!$O$5:$O$404,Performance!$H$5:$H$404,AJ244))</f>
        <v>0</v>
      </c>
      <c r="AM244" s="23">
        <f>IF(AJ244="","",SUMIFS(Performance!$Z$5:$Z$404,Performance!$H$5:$H$404,AJ244))</f>
        <v>0</v>
      </c>
      <c r="AN244" s="24">
        <f>IF(OR(AL244="",AL244=0),"",AM244/AL244)</f>
        <v>0</v>
      </c>
      <c r="AO244" s="32">
        <f>IF(AN244="","",AN244+ROW()/1000000)</f>
        <v>0</v>
      </c>
      <c r="AP244" s="17">
        <f>IF(Lists!$E244="","",Lists!$E244)</f>
        <v>0</v>
      </c>
      <c r="AQ244" s="23">
        <f>IF(AP244="","",COUNTIF(Performance!$G$5:$G$404,AP244))</f>
        <v>0</v>
      </c>
      <c r="AR244" s="23">
        <f>IF(AP244="","",SUMIFS(Performance!$O$5:$O$404,Performance!$G$5:$G$404,AP244))</f>
        <v>0</v>
      </c>
      <c r="AS244" s="23">
        <f>IF(AP244="","",SUMIFS(Performance!$Z$5:$Z$404,Performance!$G$5:$G$404,AP244))</f>
        <v>0</v>
      </c>
      <c r="AT244" s="24">
        <f>IF(OR(AR244="",AR244=0),"",AS244/AR244)</f>
        <v>0</v>
      </c>
      <c r="AU244" s="32">
        <f>IF(AQ244=0,"",IF(AT244="","",AT244+ROW()/1000000))</f>
        <v>0</v>
      </c>
      <c r="AV244" s="17">
        <f>IF(ROW()-4&gt;7,"",TEXT(DATE(2024,1,ROW()-4),"ddd"))</f>
        <v>0</v>
      </c>
      <c r="AW244" s="23">
        <f>IF(AV244="","",COUNTIF(Performance!$N$5:$N$404,AV244))</f>
        <v>0</v>
      </c>
      <c r="AX244" s="23">
        <f>IF(AV244="","",SUMIFS(Performance!$O$5:$O$404,Performance!$N$5:$N$404,AV244))</f>
        <v>0</v>
      </c>
      <c r="AY244" s="23">
        <f>IF(AV244="","",SUMIFS(Performance!$Z$5:$Z$404,Performance!$N$5:$N$404,AV244))</f>
        <v>0</v>
      </c>
      <c r="AZ244" s="24">
        <f>IF(OR(AX244="",AX244=0),"",AY244/AX244)</f>
        <v>0</v>
      </c>
      <c r="BA244" s="32">
        <f>IF(AW244=0,"",IF(AZ244="","",AZ244+ROW()/1000000))</f>
        <v>0</v>
      </c>
      <c r="BB244" s="17">
        <f>IF(Lists!$AL244="","",Lists!$AL244)</f>
        <v>0</v>
      </c>
      <c r="BC244" s="23">
        <f>IF(BB244="","",COUNTIF(Performance!$M$5:$M$404,BB244))</f>
        <v>0</v>
      </c>
      <c r="BD244" s="23">
        <f>IF(BB244="","",SUMIFS(Performance!$O$5:$O$404,Performance!$M$5:$M$404,BB244))</f>
        <v>0</v>
      </c>
      <c r="BE244" s="23">
        <f>IF(BB244="","",SUMIFS(Performance!$Z$5:$Z$404,Performance!$M$5:$M$404,BB244))</f>
        <v>0</v>
      </c>
      <c r="BF244" s="24">
        <f>IF(OR(BD244="",BD244=0),"",BE244/BD244)</f>
        <v>0</v>
      </c>
      <c r="BG244" s="32">
        <f>IF(BC244=0,"",IF(BF244="","",BF244+ROW()/1000000))</f>
        <v>0</v>
      </c>
      <c r="BH244" s="17">
        <f>IF(Performance!$C$244="","",Performance!$C$244)</f>
        <v>0</v>
      </c>
      <c r="BI244" s="17">
        <f>IF(Performance!$F$244="","",Performance!$F$244)</f>
        <v>0</v>
      </c>
      <c r="BJ244" s="17">
        <f>IF(Performance!$H$244="","",Performance!$H$244)</f>
        <v>0</v>
      </c>
      <c r="BK244" s="16">
        <f>IF(Performance!$D$244="","",Performance!$D$244)</f>
        <v>0</v>
      </c>
      <c r="BL244" s="17">
        <f>IF(Performance!$E$244="","",Performance!$E$244)</f>
        <v>0</v>
      </c>
      <c r="BM244" s="23">
        <f>IF(Performance!$O$244="","",Performance!$O$244)</f>
        <v>0</v>
      </c>
      <c r="BN244" s="24">
        <f>IF(Performance!$AA$244="","",Performance!$AA$244)</f>
        <v>0</v>
      </c>
      <c r="BO244" s="32">
        <f>IF(BH244="","",IF(BK244="","",IF(OR(BK244&lt;DashStart,BK244&gt;DashEnd),"",IF(BN244="","",BN244+ROW()/1000000))))</f>
        <v>0</v>
      </c>
      <c r="BP244" s="32">
        <f>IF(BM244="","",IF(BK244="","",IF(OR(BK244&lt;DashStart,BK244&gt;DashEnd),"",BM244+ROW()/1000000)))</f>
        <v>0</v>
      </c>
      <c r="BQ244" s="32">
        <f>IF(BH244="","",IF(BK244="","",IF(YEAR(BK244)&lt;&gt;PlanYear,"",IF(BN244="","",BN244+ROW()/1000000))))</f>
        <v>0</v>
      </c>
      <c r="BR244" s="32">
        <f>IF(BH244="","",IF(BK244="","",IF(OR(BK244&lt;RepFrom,BK244&gt;RepTo),"",IF(BN244="","",BN244+ROW()/1000000))))</f>
        <v>0</v>
      </c>
      <c r="BS244" s="32">
        <f>IF(BM244="","",IF(BK244="","",IF(YEAR(BK244)&lt;&gt;PlanYear,"",BM244+ROW()/1000000)))</f>
        <v>0</v>
      </c>
      <c r="BT244" s="17">
        <f>IF(Lists!$F244="","",Lists!$F244)</f>
        <v>0</v>
      </c>
      <c r="BU244" s="23">
        <f>IF(BT244="","",COUNTIF('Content Calendar'!$X$5:$X$604,BT244))</f>
        <v>0</v>
      </c>
      <c r="BV244" s="23">
        <f>IF(BT244="","",COUNTIFS('Content Calendar'!$X$5:$X$604,BT244,'Content Calendar'!$B$5:$B$604,"&gt;="&amp;DashStart,'Content Calendar'!$B$5:$B$604,"&lt;="&amp;DashEnd))</f>
        <v>0</v>
      </c>
      <c r="BW244" s="17">
        <f>IF(Team!$B$244="","",Team!$B$244)</f>
        <v>0</v>
      </c>
      <c r="BX244" s="23">
        <f>IF(BW244="","",COUNTIF('Content Calendar'!$W$5:$W$604,BW244))</f>
        <v>0</v>
      </c>
      <c r="BY244" s="23">
        <f>IF(BW244="","",COUNTIFS('Content Calendar'!$W$5:$W$604,BW244,'Content Calendar'!$X$5:$X$604,"&lt;&gt;Published"))</f>
        <v>0</v>
      </c>
      <c r="BZ244" s="23">
        <f>IF(BW244="","",COUNTIFS(Tasks!$C$5:$C$64,BW244,Tasks!$G$5:$G$64,"&lt;&gt;Complete"))</f>
        <v>0</v>
      </c>
      <c r="CA244" s="17">
        <f>IF(Campaigns!$B$244="","",Campaigns!$B$244)</f>
        <v>0</v>
      </c>
      <c r="CB244" s="25">
        <f>IF(Campaigns!$T$244="","",Campaigns!$T$244)</f>
        <v>0</v>
      </c>
      <c r="CC244" s="25">
        <f>IF(Campaigns!$Q$244="","",Campaigns!$Q$244)</f>
        <v>0</v>
      </c>
      <c r="CD244" s="23">
        <f>IF(Campaigns!$Y$244="","",Campaigns!$Y$244)</f>
        <v>0</v>
      </c>
      <c r="CE244" s="32">
        <f>IF(CA244="","",IF(N(CB244)&lt;=0,"",N(CB244)+ROW()/1000000))</f>
        <v>0</v>
      </c>
      <c r="CF244" s="17">
        <f>IF(Accounts!$C$244="","",Accounts!$C$244)</f>
        <v>0</v>
      </c>
      <c r="CG244" s="17">
        <f>IF(Accounts!$B$244="","",Accounts!$B$244)</f>
        <v>0</v>
      </c>
      <c r="CH244" s="23">
        <f>IF(Accounts!$J$244="","",Accounts!$J$244)</f>
        <v>0</v>
      </c>
      <c r="CI244" s="23">
        <f>IF(CF244="","",SUMIFS(Analytics!$X$5:$X$154,Analytics!$E$5:$E$154,CF244,Analytics!$B$5:$B$154,"&gt;="&amp;DashStart,Analytics!$B$5:$B$154,"&lt;="&amp;DashEnd))</f>
        <v>0</v>
      </c>
      <c r="CJ244" s="32">
        <f>IF(CH244="","",IF(CH244=0,"",CH244+ROW()/1000000))</f>
        <v>0</v>
      </c>
    </row>
    <row r="245" spans="1:88">
      <c r="A245" s="16">
        <f>IF(ROW()-4&gt;12,"",DATE(PlanYear,ROW()-4,1))</f>
        <v>0</v>
      </c>
      <c r="B245" s="16">
        <f>IF(A245="","",EOMONTH(A245,0))</f>
        <v>0</v>
      </c>
      <c r="C245" s="17">
        <f>IF(A245="","",TEXT(A245,"yyyy-mm"))</f>
        <v>0</v>
      </c>
      <c r="D245" s="17">
        <f>IF(A245="","",TEXT(A245,"mmm"))</f>
        <v>0</v>
      </c>
      <c r="E245" s="23">
        <f>IF(C245="","",COUNTIFS('Content Calendar'!$D$5:$D$604,C245))</f>
        <v>0</v>
      </c>
      <c r="F245" s="23">
        <f>IF(C245="","",COUNTIFS('Content Calendar'!$D$5:$D$604,C245,'Content Calendar'!$X$5:$X$604,"Published"))</f>
        <v>0</v>
      </c>
      <c r="G245" s="23">
        <f>IF(C245="","",SUMIFS(Analytics!$J$5:$J$154,Analytics!$C$5:$C$154,C245))</f>
        <v>0</v>
      </c>
      <c r="H245" s="23">
        <f>IF(C245="","",SUMIFS(Analytics!$K$5:$K$154,Analytics!$C$5:$C$154,C245))</f>
        <v>0</v>
      </c>
      <c r="I245" s="23">
        <f>IF(C245="","",SUMIFS(Analytics!$L$5:$L$154,Analytics!$C$5:$C$154,C245))</f>
        <v>0</v>
      </c>
      <c r="J245" s="24">
        <f>IF(OR(G245="",G245=0),"",I245/G245)</f>
        <v>0</v>
      </c>
      <c r="K245" s="23">
        <f>IF(C245="","",SUMIFS(Analytics!$G$5:$G$154,Analytics!$C$5:$C$154,C245))</f>
        <v>0</v>
      </c>
      <c r="L245" s="23">
        <f>IF(C245="","",SUMIFS(Analytics!$X$5:$X$154,Analytics!$C$5:$C$154,C245))</f>
        <v>0</v>
      </c>
      <c r="M245" s="23">
        <f>IF(C245="","",SUMIFS(Analytics!$R$5:$R$154,Analytics!$C$5:$C$154,C245))</f>
        <v>0</v>
      </c>
      <c r="N245" s="23">
        <f>IF(C245="","",SUMIFS(Analytics!$S$5:$S$154,Analytics!$C$5:$C$154,C245))</f>
        <v>0</v>
      </c>
      <c r="O245" s="23">
        <f>IF(C245="","",SUMIFS(Analytics!$T$5:$T$154,Analytics!$C$5:$C$154,C245))</f>
        <v>0</v>
      </c>
      <c r="P245" s="25">
        <f>IF(C245="","",SUMIFS(Analytics!$U$5:$U$154,Analytics!$C$5:$C$154,C245))</f>
        <v>0</v>
      </c>
      <c r="Q245" s="25">
        <f>IF(C245="","",SUMIFS(Budget!$H$5:$H$64,Budget!$C$5:$C$64,C245))</f>
        <v>0</v>
      </c>
      <c r="R245" s="25">
        <f>IF(C245="","",P245-Q245)</f>
        <v>0</v>
      </c>
      <c r="S245" s="23">
        <f>IF(C245="","",MonthlyPostTarget)</f>
        <v>0</v>
      </c>
      <c r="T245" s="17">
        <f>IF(Lists!$C245="","",Lists!$C245)</f>
        <v>0</v>
      </c>
      <c r="U245" s="23">
        <f>IF(T245="","",COUNTIFS('Content Calendar'!$G$5:$G$604,T245,'Content Calendar'!$B$5:$B$604,"&gt;="&amp;DashStart,'Content Calendar'!$B$5:$B$604,"&lt;="&amp;DashEnd))</f>
        <v>0</v>
      </c>
      <c r="V245" s="23">
        <f>IF(T245="","",COUNTIFS('Content Calendar'!$G$5:$G$604,T245,'Content Calendar'!$X$5:$X$604,"Published",'Content Calendar'!$B$5:$B$604,"&gt;="&amp;DashStart,'Content Calendar'!$B$5:$B$604,"&lt;="&amp;DashEnd))</f>
        <v>0</v>
      </c>
      <c r="W245" s="23">
        <f>IF(T245="","",SUMIFS(Analytics!$J$5:$J$154,Analytics!$D$5:$D$154,T245,Analytics!$B$5:$B$154,"&gt;="&amp;DashStart,Analytics!$B$5:$B$154,"&lt;="&amp;DashEnd))</f>
        <v>0</v>
      </c>
      <c r="X245" s="23">
        <f>IF(T245="","",SUMIFS(Analytics!$L$5:$L$154,Analytics!$D$5:$D$154,T245,Analytics!$B$5:$B$154,"&gt;="&amp;DashStart,Analytics!$B$5:$B$154,"&lt;="&amp;DashEnd))</f>
        <v>0</v>
      </c>
      <c r="Y245" s="24">
        <f>IF(OR(W245="",W245=0),"",X245/W245)</f>
        <v>0</v>
      </c>
      <c r="Z245" s="23">
        <f>IF(T245="","",SUMIFS(Analytics!$G$5:$G$154,Analytics!$D$5:$D$154,T245,Analytics!$B$5:$B$154,"&gt;="&amp;DashStart,Analytics!$B$5:$B$154,"&lt;="&amp;DashEnd))</f>
        <v>0</v>
      </c>
      <c r="AA245" s="23">
        <f>IF(T245="","",SUMIFS(Analytics!$X$5:$X$154,Analytics!$D$5:$D$154,T245,Analytics!$B$5:$B$154,"&gt;="&amp;DashStart,Analytics!$B$5:$B$154,"&lt;="&amp;DashEnd))</f>
        <v>0</v>
      </c>
      <c r="AB245" s="23">
        <f>IF(T245="","",SUMIFS(Analytics!$R$5:$R$154,Analytics!$D$5:$D$154,T245,Analytics!$B$5:$B$154,"&gt;="&amp;DashStart,Analytics!$B$5:$B$154,"&lt;="&amp;DashEnd))</f>
        <v>0</v>
      </c>
      <c r="AC245" s="25">
        <f>IF(T245="","",SUMIFS(Analytics!$U$5:$U$154,Analytics!$D$5:$D$154,T245,Analytics!$B$5:$B$154,"&gt;="&amp;DashStart,Analytics!$B$5:$B$154,"&lt;="&amp;DashEnd))</f>
        <v>0</v>
      </c>
      <c r="AD245" s="23">
        <f>IF(T245="","",COUNTIFS('Content Calendar'!$G$5:$G$604,T245,'Content Calendar'!$B$5:$B$604,"&gt;="&amp;DATE(PlanYear,1,1),'Content Calendar'!$B$5:$B$604,"&lt;="&amp;DATE(PlanYear,12,31)))</f>
        <v>0</v>
      </c>
      <c r="AE245" s="23">
        <f>IF(T245="","",SUMIFS(Analytics!$J$5:$J$154,Analytics!$D$5:$D$154,T245))</f>
        <v>0</v>
      </c>
      <c r="AF245" s="23">
        <f>IF(T245="","",SUMIFS(Analytics!$L$5:$L$154,Analytics!$D$5:$D$154,T245))</f>
        <v>0</v>
      </c>
      <c r="AG245" s="24">
        <f>IF(OR(AE245="",AE245=0),"",AF245/AE245)</f>
        <v>0</v>
      </c>
      <c r="AH245" s="23">
        <f>IF(T245="","",SUMIFS(Analytics!$X$5:$X$154,Analytics!$D$5:$D$154,T245))</f>
        <v>0</v>
      </c>
      <c r="AI245" s="32">
        <f>IF(T245="","",IF(AE245=0,"",AE245+ROW()/1000000))</f>
        <v>0</v>
      </c>
      <c r="AJ245" s="17">
        <f>IF('Content Pillars'!$B$245="","",'Content Pillars'!$B$245)</f>
        <v>0</v>
      </c>
      <c r="AK245" s="23">
        <f>IF(AJ245="","",COUNTIFS('Content Calendar'!$J$5:$J$604,AJ245,'Content Calendar'!$B$5:$B$604,"&gt;="&amp;DATE(PlanYear,1,1),'Content Calendar'!$B$5:$B$604,"&lt;="&amp;DATE(PlanYear,12,31)))</f>
        <v>0</v>
      </c>
      <c r="AL245" s="23">
        <f>IF(AJ245="","",SUMIFS(Performance!$O$5:$O$404,Performance!$H$5:$H$404,AJ245))</f>
        <v>0</v>
      </c>
      <c r="AM245" s="23">
        <f>IF(AJ245="","",SUMIFS(Performance!$Z$5:$Z$404,Performance!$H$5:$H$404,AJ245))</f>
        <v>0</v>
      </c>
      <c r="AN245" s="24">
        <f>IF(OR(AL245="",AL245=0),"",AM245/AL245)</f>
        <v>0</v>
      </c>
      <c r="AO245" s="32">
        <f>IF(AN245="","",AN245+ROW()/1000000)</f>
        <v>0</v>
      </c>
      <c r="AP245" s="17">
        <f>IF(Lists!$E245="","",Lists!$E245)</f>
        <v>0</v>
      </c>
      <c r="AQ245" s="23">
        <f>IF(AP245="","",COUNTIF(Performance!$G$5:$G$404,AP245))</f>
        <v>0</v>
      </c>
      <c r="AR245" s="23">
        <f>IF(AP245="","",SUMIFS(Performance!$O$5:$O$404,Performance!$G$5:$G$404,AP245))</f>
        <v>0</v>
      </c>
      <c r="AS245" s="23">
        <f>IF(AP245="","",SUMIFS(Performance!$Z$5:$Z$404,Performance!$G$5:$G$404,AP245))</f>
        <v>0</v>
      </c>
      <c r="AT245" s="24">
        <f>IF(OR(AR245="",AR245=0),"",AS245/AR245)</f>
        <v>0</v>
      </c>
      <c r="AU245" s="32">
        <f>IF(AQ245=0,"",IF(AT245="","",AT245+ROW()/1000000))</f>
        <v>0</v>
      </c>
      <c r="AV245" s="17">
        <f>IF(ROW()-4&gt;7,"",TEXT(DATE(2024,1,ROW()-4),"ddd"))</f>
        <v>0</v>
      </c>
      <c r="AW245" s="23">
        <f>IF(AV245="","",COUNTIF(Performance!$N$5:$N$404,AV245))</f>
        <v>0</v>
      </c>
      <c r="AX245" s="23">
        <f>IF(AV245="","",SUMIFS(Performance!$O$5:$O$404,Performance!$N$5:$N$404,AV245))</f>
        <v>0</v>
      </c>
      <c r="AY245" s="23">
        <f>IF(AV245="","",SUMIFS(Performance!$Z$5:$Z$404,Performance!$N$5:$N$404,AV245))</f>
        <v>0</v>
      </c>
      <c r="AZ245" s="24">
        <f>IF(OR(AX245="",AX245=0),"",AY245/AX245)</f>
        <v>0</v>
      </c>
      <c r="BA245" s="32">
        <f>IF(AW245=0,"",IF(AZ245="","",AZ245+ROW()/1000000))</f>
        <v>0</v>
      </c>
      <c r="BB245" s="17">
        <f>IF(Lists!$AL245="","",Lists!$AL245)</f>
        <v>0</v>
      </c>
      <c r="BC245" s="23">
        <f>IF(BB245="","",COUNTIF(Performance!$M$5:$M$404,BB245))</f>
        <v>0</v>
      </c>
      <c r="BD245" s="23">
        <f>IF(BB245="","",SUMIFS(Performance!$O$5:$O$404,Performance!$M$5:$M$404,BB245))</f>
        <v>0</v>
      </c>
      <c r="BE245" s="23">
        <f>IF(BB245="","",SUMIFS(Performance!$Z$5:$Z$404,Performance!$M$5:$M$404,BB245))</f>
        <v>0</v>
      </c>
      <c r="BF245" s="24">
        <f>IF(OR(BD245="",BD245=0),"",BE245/BD245)</f>
        <v>0</v>
      </c>
      <c r="BG245" s="32">
        <f>IF(BC245=0,"",IF(BF245="","",BF245+ROW()/1000000))</f>
        <v>0</v>
      </c>
      <c r="BH245" s="17">
        <f>IF(Performance!$C$245="","",Performance!$C$245)</f>
        <v>0</v>
      </c>
      <c r="BI245" s="17">
        <f>IF(Performance!$F$245="","",Performance!$F$245)</f>
        <v>0</v>
      </c>
      <c r="BJ245" s="17">
        <f>IF(Performance!$H$245="","",Performance!$H$245)</f>
        <v>0</v>
      </c>
      <c r="BK245" s="16">
        <f>IF(Performance!$D$245="","",Performance!$D$245)</f>
        <v>0</v>
      </c>
      <c r="BL245" s="17">
        <f>IF(Performance!$E$245="","",Performance!$E$245)</f>
        <v>0</v>
      </c>
      <c r="BM245" s="23">
        <f>IF(Performance!$O$245="","",Performance!$O$245)</f>
        <v>0</v>
      </c>
      <c r="BN245" s="24">
        <f>IF(Performance!$AA$245="","",Performance!$AA$245)</f>
        <v>0</v>
      </c>
      <c r="BO245" s="32">
        <f>IF(BH245="","",IF(BK245="","",IF(OR(BK245&lt;DashStart,BK245&gt;DashEnd),"",IF(BN245="","",BN245+ROW()/1000000))))</f>
        <v>0</v>
      </c>
      <c r="BP245" s="32">
        <f>IF(BM245="","",IF(BK245="","",IF(OR(BK245&lt;DashStart,BK245&gt;DashEnd),"",BM245+ROW()/1000000)))</f>
        <v>0</v>
      </c>
      <c r="BQ245" s="32">
        <f>IF(BH245="","",IF(BK245="","",IF(YEAR(BK245)&lt;&gt;PlanYear,"",IF(BN245="","",BN245+ROW()/1000000))))</f>
        <v>0</v>
      </c>
      <c r="BR245" s="32">
        <f>IF(BH245="","",IF(BK245="","",IF(OR(BK245&lt;RepFrom,BK245&gt;RepTo),"",IF(BN245="","",BN245+ROW()/1000000))))</f>
        <v>0</v>
      </c>
      <c r="BS245" s="32">
        <f>IF(BM245="","",IF(BK245="","",IF(YEAR(BK245)&lt;&gt;PlanYear,"",BM245+ROW()/1000000)))</f>
        <v>0</v>
      </c>
      <c r="BT245" s="17">
        <f>IF(Lists!$F245="","",Lists!$F245)</f>
        <v>0</v>
      </c>
      <c r="BU245" s="23">
        <f>IF(BT245="","",COUNTIF('Content Calendar'!$X$5:$X$604,BT245))</f>
        <v>0</v>
      </c>
      <c r="BV245" s="23">
        <f>IF(BT245="","",COUNTIFS('Content Calendar'!$X$5:$X$604,BT245,'Content Calendar'!$B$5:$B$604,"&gt;="&amp;DashStart,'Content Calendar'!$B$5:$B$604,"&lt;="&amp;DashEnd))</f>
        <v>0</v>
      </c>
      <c r="BW245" s="17">
        <f>IF(Team!$B$245="","",Team!$B$245)</f>
        <v>0</v>
      </c>
      <c r="BX245" s="23">
        <f>IF(BW245="","",COUNTIF('Content Calendar'!$W$5:$W$604,BW245))</f>
        <v>0</v>
      </c>
      <c r="BY245" s="23">
        <f>IF(BW245="","",COUNTIFS('Content Calendar'!$W$5:$W$604,BW245,'Content Calendar'!$X$5:$X$604,"&lt;&gt;Published"))</f>
        <v>0</v>
      </c>
      <c r="BZ245" s="23">
        <f>IF(BW245="","",COUNTIFS(Tasks!$C$5:$C$64,BW245,Tasks!$G$5:$G$64,"&lt;&gt;Complete"))</f>
        <v>0</v>
      </c>
      <c r="CA245" s="17">
        <f>IF(Campaigns!$B$245="","",Campaigns!$B$245)</f>
        <v>0</v>
      </c>
      <c r="CB245" s="25">
        <f>IF(Campaigns!$T$245="","",Campaigns!$T$245)</f>
        <v>0</v>
      </c>
      <c r="CC245" s="25">
        <f>IF(Campaigns!$Q$245="","",Campaigns!$Q$245)</f>
        <v>0</v>
      </c>
      <c r="CD245" s="23">
        <f>IF(Campaigns!$Y$245="","",Campaigns!$Y$245)</f>
        <v>0</v>
      </c>
      <c r="CE245" s="32">
        <f>IF(CA245="","",IF(N(CB245)&lt;=0,"",N(CB245)+ROW()/1000000))</f>
        <v>0</v>
      </c>
      <c r="CF245" s="17">
        <f>IF(Accounts!$C$245="","",Accounts!$C$245)</f>
        <v>0</v>
      </c>
      <c r="CG245" s="17">
        <f>IF(Accounts!$B$245="","",Accounts!$B$245)</f>
        <v>0</v>
      </c>
      <c r="CH245" s="23">
        <f>IF(Accounts!$J$245="","",Accounts!$J$245)</f>
        <v>0</v>
      </c>
      <c r="CI245" s="23">
        <f>IF(CF245="","",SUMIFS(Analytics!$X$5:$X$154,Analytics!$E$5:$E$154,CF245,Analytics!$B$5:$B$154,"&gt;="&amp;DashStart,Analytics!$B$5:$B$154,"&lt;="&amp;DashEnd))</f>
        <v>0</v>
      </c>
      <c r="CJ245" s="32">
        <f>IF(CH245="","",IF(CH245=0,"",CH245+ROW()/1000000))</f>
        <v>0</v>
      </c>
    </row>
    <row r="246" spans="1:88">
      <c r="A246" s="16">
        <f>IF(ROW()-4&gt;12,"",DATE(PlanYear,ROW()-4,1))</f>
        <v>0</v>
      </c>
      <c r="B246" s="16">
        <f>IF(A246="","",EOMONTH(A246,0))</f>
        <v>0</v>
      </c>
      <c r="C246" s="17">
        <f>IF(A246="","",TEXT(A246,"yyyy-mm"))</f>
        <v>0</v>
      </c>
      <c r="D246" s="17">
        <f>IF(A246="","",TEXT(A246,"mmm"))</f>
        <v>0</v>
      </c>
      <c r="E246" s="23">
        <f>IF(C246="","",COUNTIFS('Content Calendar'!$D$5:$D$604,C246))</f>
        <v>0</v>
      </c>
      <c r="F246" s="23">
        <f>IF(C246="","",COUNTIFS('Content Calendar'!$D$5:$D$604,C246,'Content Calendar'!$X$5:$X$604,"Published"))</f>
        <v>0</v>
      </c>
      <c r="G246" s="23">
        <f>IF(C246="","",SUMIFS(Analytics!$J$5:$J$154,Analytics!$C$5:$C$154,C246))</f>
        <v>0</v>
      </c>
      <c r="H246" s="23">
        <f>IF(C246="","",SUMIFS(Analytics!$K$5:$K$154,Analytics!$C$5:$C$154,C246))</f>
        <v>0</v>
      </c>
      <c r="I246" s="23">
        <f>IF(C246="","",SUMIFS(Analytics!$L$5:$L$154,Analytics!$C$5:$C$154,C246))</f>
        <v>0</v>
      </c>
      <c r="J246" s="24">
        <f>IF(OR(G246="",G246=0),"",I246/G246)</f>
        <v>0</v>
      </c>
      <c r="K246" s="23">
        <f>IF(C246="","",SUMIFS(Analytics!$G$5:$G$154,Analytics!$C$5:$C$154,C246))</f>
        <v>0</v>
      </c>
      <c r="L246" s="23">
        <f>IF(C246="","",SUMIFS(Analytics!$X$5:$X$154,Analytics!$C$5:$C$154,C246))</f>
        <v>0</v>
      </c>
      <c r="M246" s="23">
        <f>IF(C246="","",SUMIFS(Analytics!$R$5:$R$154,Analytics!$C$5:$C$154,C246))</f>
        <v>0</v>
      </c>
      <c r="N246" s="23">
        <f>IF(C246="","",SUMIFS(Analytics!$S$5:$S$154,Analytics!$C$5:$C$154,C246))</f>
        <v>0</v>
      </c>
      <c r="O246" s="23">
        <f>IF(C246="","",SUMIFS(Analytics!$T$5:$T$154,Analytics!$C$5:$C$154,C246))</f>
        <v>0</v>
      </c>
      <c r="P246" s="25">
        <f>IF(C246="","",SUMIFS(Analytics!$U$5:$U$154,Analytics!$C$5:$C$154,C246))</f>
        <v>0</v>
      </c>
      <c r="Q246" s="25">
        <f>IF(C246="","",SUMIFS(Budget!$H$5:$H$64,Budget!$C$5:$C$64,C246))</f>
        <v>0</v>
      </c>
      <c r="R246" s="25">
        <f>IF(C246="","",P246-Q246)</f>
        <v>0</v>
      </c>
      <c r="S246" s="23">
        <f>IF(C246="","",MonthlyPostTarget)</f>
        <v>0</v>
      </c>
      <c r="T246" s="17">
        <f>IF(Lists!$C246="","",Lists!$C246)</f>
        <v>0</v>
      </c>
      <c r="U246" s="23">
        <f>IF(T246="","",COUNTIFS('Content Calendar'!$G$5:$G$604,T246,'Content Calendar'!$B$5:$B$604,"&gt;="&amp;DashStart,'Content Calendar'!$B$5:$B$604,"&lt;="&amp;DashEnd))</f>
        <v>0</v>
      </c>
      <c r="V246" s="23">
        <f>IF(T246="","",COUNTIFS('Content Calendar'!$G$5:$G$604,T246,'Content Calendar'!$X$5:$X$604,"Published",'Content Calendar'!$B$5:$B$604,"&gt;="&amp;DashStart,'Content Calendar'!$B$5:$B$604,"&lt;="&amp;DashEnd))</f>
        <v>0</v>
      </c>
      <c r="W246" s="23">
        <f>IF(T246="","",SUMIFS(Analytics!$J$5:$J$154,Analytics!$D$5:$D$154,T246,Analytics!$B$5:$B$154,"&gt;="&amp;DashStart,Analytics!$B$5:$B$154,"&lt;="&amp;DashEnd))</f>
        <v>0</v>
      </c>
      <c r="X246" s="23">
        <f>IF(T246="","",SUMIFS(Analytics!$L$5:$L$154,Analytics!$D$5:$D$154,T246,Analytics!$B$5:$B$154,"&gt;="&amp;DashStart,Analytics!$B$5:$B$154,"&lt;="&amp;DashEnd))</f>
        <v>0</v>
      </c>
      <c r="Y246" s="24">
        <f>IF(OR(W246="",W246=0),"",X246/W246)</f>
        <v>0</v>
      </c>
      <c r="Z246" s="23">
        <f>IF(T246="","",SUMIFS(Analytics!$G$5:$G$154,Analytics!$D$5:$D$154,T246,Analytics!$B$5:$B$154,"&gt;="&amp;DashStart,Analytics!$B$5:$B$154,"&lt;="&amp;DashEnd))</f>
        <v>0</v>
      </c>
      <c r="AA246" s="23">
        <f>IF(T246="","",SUMIFS(Analytics!$X$5:$X$154,Analytics!$D$5:$D$154,T246,Analytics!$B$5:$B$154,"&gt;="&amp;DashStart,Analytics!$B$5:$B$154,"&lt;="&amp;DashEnd))</f>
        <v>0</v>
      </c>
      <c r="AB246" s="23">
        <f>IF(T246="","",SUMIFS(Analytics!$R$5:$R$154,Analytics!$D$5:$D$154,T246,Analytics!$B$5:$B$154,"&gt;="&amp;DashStart,Analytics!$B$5:$B$154,"&lt;="&amp;DashEnd))</f>
        <v>0</v>
      </c>
      <c r="AC246" s="25">
        <f>IF(T246="","",SUMIFS(Analytics!$U$5:$U$154,Analytics!$D$5:$D$154,T246,Analytics!$B$5:$B$154,"&gt;="&amp;DashStart,Analytics!$B$5:$B$154,"&lt;="&amp;DashEnd))</f>
        <v>0</v>
      </c>
      <c r="AD246" s="23">
        <f>IF(T246="","",COUNTIFS('Content Calendar'!$G$5:$G$604,T246,'Content Calendar'!$B$5:$B$604,"&gt;="&amp;DATE(PlanYear,1,1),'Content Calendar'!$B$5:$B$604,"&lt;="&amp;DATE(PlanYear,12,31)))</f>
        <v>0</v>
      </c>
      <c r="AE246" s="23">
        <f>IF(T246="","",SUMIFS(Analytics!$J$5:$J$154,Analytics!$D$5:$D$154,T246))</f>
        <v>0</v>
      </c>
      <c r="AF246" s="23">
        <f>IF(T246="","",SUMIFS(Analytics!$L$5:$L$154,Analytics!$D$5:$D$154,T246))</f>
        <v>0</v>
      </c>
      <c r="AG246" s="24">
        <f>IF(OR(AE246="",AE246=0),"",AF246/AE246)</f>
        <v>0</v>
      </c>
      <c r="AH246" s="23">
        <f>IF(T246="","",SUMIFS(Analytics!$X$5:$X$154,Analytics!$D$5:$D$154,T246))</f>
        <v>0</v>
      </c>
      <c r="AI246" s="32">
        <f>IF(T246="","",IF(AE246=0,"",AE246+ROW()/1000000))</f>
        <v>0</v>
      </c>
      <c r="AJ246" s="17">
        <f>IF('Content Pillars'!$B$246="","",'Content Pillars'!$B$246)</f>
        <v>0</v>
      </c>
      <c r="AK246" s="23">
        <f>IF(AJ246="","",COUNTIFS('Content Calendar'!$J$5:$J$604,AJ246,'Content Calendar'!$B$5:$B$604,"&gt;="&amp;DATE(PlanYear,1,1),'Content Calendar'!$B$5:$B$604,"&lt;="&amp;DATE(PlanYear,12,31)))</f>
        <v>0</v>
      </c>
      <c r="AL246" s="23">
        <f>IF(AJ246="","",SUMIFS(Performance!$O$5:$O$404,Performance!$H$5:$H$404,AJ246))</f>
        <v>0</v>
      </c>
      <c r="AM246" s="23">
        <f>IF(AJ246="","",SUMIFS(Performance!$Z$5:$Z$404,Performance!$H$5:$H$404,AJ246))</f>
        <v>0</v>
      </c>
      <c r="AN246" s="24">
        <f>IF(OR(AL246="",AL246=0),"",AM246/AL246)</f>
        <v>0</v>
      </c>
      <c r="AO246" s="32">
        <f>IF(AN246="","",AN246+ROW()/1000000)</f>
        <v>0</v>
      </c>
      <c r="AP246" s="17">
        <f>IF(Lists!$E246="","",Lists!$E246)</f>
        <v>0</v>
      </c>
      <c r="AQ246" s="23">
        <f>IF(AP246="","",COUNTIF(Performance!$G$5:$G$404,AP246))</f>
        <v>0</v>
      </c>
      <c r="AR246" s="23">
        <f>IF(AP246="","",SUMIFS(Performance!$O$5:$O$404,Performance!$G$5:$G$404,AP246))</f>
        <v>0</v>
      </c>
      <c r="AS246" s="23">
        <f>IF(AP246="","",SUMIFS(Performance!$Z$5:$Z$404,Performance!$G$5:$G$404,AP246))</f>
        <v>0</v>
      </c>
      <c r="AT246" s="24">
        <f>IF(OR(AR246="",AR246=0),"",AS246/AR246)</f>
        <v>0</v>
      </c>
      <c r="AU246" s="32">
        <f>IF(AQ246=0,"",IF(AT246="","",AT246+ROW()/1000000))</f>
        <v>0</v>
      </c>
      <c r="AV246" s="17">
        <f>IF(ROW()-4&gt;7,"",TEXT(DATE(2024,1,ROW()-4),"ddd"))</f>
        <v>0</v>
      </c>
      <c r="AW246" s="23">
        <f>IF(AV246="","",COUNTIF(Performance!$N$5:$N$404,AV246))</f>
        <v>0</v>
      </c>
      <c r="AX246" s="23">
        <f>IF(AV246="","",SUMIFS(Performance!$O$5:$O$404,Performance!$N$5:$N$404,AV246))</f>
        <v>0</v>
      </c>
      <c r="AY246" s="23">
        <f>IF(AV246="","",SUMIFS(Performance!$Z$5:$Z$404,Performance!$N$5:$N$404,AV246))</f>
        <v>0</v>
      </c>
      <c r="AZ246" s="24">
        <f>IF(OR(AX246="",AX246=0),"",AY246/AX246)</f>
        <v>0</v>
      </c>
      <c r="BA246" s="32">
        <f>IF(AW246=0,"",IF(AZ246="","",AZ246+ROW()/1000000))</f>
        <v>0</v>
      </c>
      <c r="BB246" s="17">
        <f>IF(Lists!$AL246="","",Lists!$AL246)</f>
        <v>0</v>
      </c>
      <c r="BC246" s="23">
        <f>IF(BB246="","",COUNTIF(Performance!$M$5:$M$404,BB246))</f>
        <v>0</v>
      </c>
      <c r="BD246" s="23">
        <f>IF(BB246="","",SUMIFS(Performance!$O$5:$O$404,Performance!$M$5:$M$404,BB246))</f>
        <v>0</v>
      </c>
      <c r="BE246" s="23">
        <f>IF(BB246="","",SUMIFS(Performance!$Z$5:$Z$404,Performance!$M$5:$M$404,BB246))</f>
        <v>0</v>
      </c>
      <c r="BF246" s="24">
        <f>IF(OR(BD246="",BD246=0),"",BE246/BD246)</f>
        <v>0</v>
      </c>
      <c r="BG246" s="32">
        <f>IF(BC246=0,"",IF(BF246="","",BF246+ROW()/1000000))</f>
        <v>0</v>
      </c>
      <c r="BH246" s="17">
        <f>IF(Performance!$C$246="","",Performance!$C$246)</f>
        <v>0</v>
      </c>
      <c r="BI246" s="17">
        <f>IF(Performance!$F$246="","",Performance!$F$246)</f>
        <v>0</v>
      </c>
      <c r="BJ246" s="17">
        <f>IF(Performance!$H$246="","",Performance!$H$246)</f>
        <v>0</v>
      </c>
      <c r="BK246" s="16">
        <f>IF(Performance!$D$246="","",Performance!$D$246)</f>
        <v>0</v>
      </c>
      <c r="BL246" s="17">
        <f>IF(Performance!$E$246="","",Performance!$E$246)</f>
        <v>0</v>
      </c>
      <c r="BM246" s="23">
        <f>IF(Performance!$O$246="","",Performance!$O$246)</f>
        <v>0</v>
      </c>
      <c r="BN246" s="24">
        <f>IF(Performance!$AA$246="","",Performance!$AA$246)</f>
        <v>0</v>
      </c>
      <c r="BO246" s="32">
        <f>IF(BH246="","",IF(BK246="","",IF(OR(BK246&lt;DashStart,BK246&gt;DashEnd),"",IF(BN246="","",BN246+ROW()/1000000))))</f>
        <v>0</v>
      </c>
      <c r="BP246" s="32">
        <f>IF(BM246="","",IF(BK246="","",IF(OR(BK246&lt;DashStart,BK246&gt;DashEnd),"",BM246+ROW()/1000000)))</f>
        <v>0</v>
      </c>
      <c r="BQ246" s="32">
        <f>IF(BH246="","",IF(BK246="","",IF(YEAR(BK246)&lt;&gt;PlanYear,"",IF(BN246="","",BN246+ROW()/1000000))))</f>
        <v>0</v>
      </c>
      <c r="BR246" s="32">
        <f>IF(BH246="","",IF(BK246="","",IF(OR(BK246&lt;RepFrom,BK246&gt;RepTo),"",IF(BN246="","",BN246+ROW()/1000000))))</f>
        <v>0</v>
      </c>
      <c r="BS246" s="32">
        <f>IF(BM246="","",IF(BK246="","",IF(YEAR(BK246)&lt;&gt;PlanYear,"",BM246+ROW()/1000000)))</f>
        <v>0</v>
      </c>
      <c r="BT246" s="17">
        <f>IF(Lists!$F246="","",Lists!$F246)</f>
        <v>0</v>
      </c>
      <c r="BU246" s="23">
        <f>IF(BT246="","",COUNTIF('Content Calendar'!$X$5:$X$604,BT246))</f>
        <v>0</v>
      </c>
      <c r="BV246" s="23">
        <f>IF(BT246="","",COUNTIFS('Content Calendar'!$X$5:$X$604,BT246,'Content Calendar'!$B$5:$B$604,"&gt;="&amp;DashStart,'Content Calendar'!$B$5:$B$604,"&lt;="&amp;DashEnd))</f>
        <v>0</v>
      </c>
      <c r="BW246" s="17">
        <f>IF(Team!$B$246="","",Team!$B$246)</f>
        <v>0</v>
      </c>
      <c r="BX246" s="23">
        <f>IF(BW246="","",COUNTIF('Content Calendar'!$W$5:$W$604,BW246))</f>
        <v>0</v>
      </c>
      <c r="BY246" s="23">
        <f>IF(BW246="","",COUNTIFS('Content Calendar'!$W$5:$W$604,BW246,'Content Calendar'!$X$5:$X$604,"&lt;&gt;Published"))</f>
        <v>0</v>
      </c>
      <c r="BZ246" s="23">
        <f>IF(BW246="","",COUNTIFS(Tasks!$C$5:$C$64,BW246,Tasks!$G$5:$G$64,"&lt;&gt;Complete"))</f>
        <v>0</v>
      </c>
      <c r="CA246" s="17">
        <f>IF(Campaigns!$B$246="","",Campaigns!$B$246)</f>
        <v>0</v>
      </c>
      <c r="CB246" s="25">
        <f>IF(Campaigns!$T$246="","",Campaigns!$T$246)</f>
        <v>0</v>
      </c>
      <c r="CC246" s="25">
        <f>IF(Campaigns!$Q$246="","",Campaigns!$Q$246)</f>
        <v>0</v>
      </c>
      <c r="CD246" s="23">
        <f>IF(Campaigns!$Y$246="","",Campaigns!$Y$246)</f>
        <v>0</v>
      </c>
      <c r="CE246" s="32">
        <f>IF(CA246="","",IF(N(CB246)&lt;=0,"",N(CB246)+ROW()/1000000))</f>
        <v>0</v>
      </c>
      <c r="CF246" s="17">
        <f>IF(Accounts!$C$246="","",Accounts!$C$246)</f>
        <v>0</v>
      </c>
      <c r="CG246" s="17">
        <f>IF(Accounts!$B$246="","",Accounts!$B$246)</f>
        <v>0</v>
      </c>
      <c r="CH246" s="23">
        <f>IF(Accounts!$J$246="","",Accounts!$J$246)</f>
        <v>0</v>
      </c>
      <c r="CI246" s="23">
        <f>IF(CF246="","",SUMIFS(Analytics!$X$5:$X$154,Analytics!$E$5:$E$154,CF246,Analytics!$B$5:$B$154,"&gt;="&amp;DashStart,Analytics!$B$5:$B$154,"&lt;="&amp;DashEnd))</f>
        <v>0</v>
      </c>
      <c r="CJ246" s="32">
        <f>IF(CH246="","",IF(CH246=0,"",CH246+ROW()/1000000))</f>
        <v>0</v>
      </c>
    </row>
    <row r="247" spans="1:88">
      <c r="A247" s="16">
        <f>IF(ROW()-4&gt;12,"",DATE(PlanYear,ROW()-4,1))</f>
        <v>0</v>
      </c>
      <c r="B247" s="16">
        <f>IF(A247="","",EOMONTH(A247,0))</f>
        <v>0</v>
      </c>
      <c r="C247" s="17">
        <f>IF(A247="","",TEXT(A247,"yyyy-mm"))</f>
        <v>0</v>
      </c>
      <c r="D247" s="17">
        <f>IF(A247="","",TEXT(A247,"mmm"))</f>
        <v>0</v>
      </c>
      <c r="E247" s="23">
        <f>IF(C247="","",COUNTIFS('Content Calendar'!$D$5:$D$604,C247))</f>
        <v>0</v>
      </c>
      <c r="F247" s="23">
        <f>IF(C247="","",COUNTIFS('Content Calendar'!$D$5:$D$604,C247,'Content Calendar'!$X$5:$X$604,"Published"))</f>
        <v>0</v>
      </c>
      <c r="G247" s="23">
        <f>IF(C247="","",SUMIFS(Analytics!$J$5:$J$154,Analytics!$C$5:$C$154,C247))</f>
        <v>0</v>
      </c>
      <c r="H247" s="23">
        <f>IF(C247="","",SUMIFS(Analytics!$K$5:$K$154,Analytics!$C$5:$C$154,C247))</f>
        <v>0</v>
      </c>
      <c r="I247" s="23">
        <f>IF(C247="","",SUMIFS(Analytics!$L$5:$L$154,Analytics!$C$5:$C$154,C247))</f>
        <v>0</v>
      </c>
      <c r="J247" s="24">
        <f>IF(OR(G247="",G247=0),"",I247/G247)</f>
        <v>0</v>
      </c>
      <c r="K247" s="23">
        <f>IF(C247="","",SUMIFS(Analytics!$G$5:$G$154,Analytics!$C$5:$C$154,C247))</f>
        <v>0</v>
      </c>
      <c r="L247" s="23">
        <f>IF(C247="","",SUMIFS(Analytics!$X$5:$X$154,Analytics!$C$5:$C$154,C247))</f>
        <v>0</v>
      </c>
      <c r="M247" s="23">
        <f>IF(C247="","",SUMIFS(Analytics!$R$5:$R$154,Analytics!$C$5:$C$154,C247))</f>
        <v>0</v>
      </c>
      <c r="N247" s="23">
        <f>IF(C247="","",SUMIFS(Analytics!$S$5:$S$154,Analytics!$C$5:$C$154,C247))</f>
        <v>0</v>
      </c>
      <c r="O247" s="23">
        <f>IF(C247="","",SUMIFS(Analytics!$T$5:$T$154,Analytics!$C$5:$C$154,C247))</f>
        <v>0</v>
      </c>
      <c r="P247" s="25">
        <f>IF(C247="","",SUMIFS(Analytics!$U$5:$U$154,Analytics!$C$5:$C$154,C247))</f>
        <v>0</v>
      </c>
      <c r="Q247" s="25">
        <f>IF(C247="","",SUMIFS(Budget!$H$5:$H$64,Budget!$C$5:$C$64,C247))</f>
        <v>0</v>
      </c>
      <c r="R247" s="25">
        <f>IF(C247="","",P247-Q247)</f>
        <v>0</v>
      </c>
      <c r="S247" s="23">
        <f>IF(C247="","",MonthlyPostTarget)</f>
        <v>0</v>
      </c>
      <c r="T247" s="17">
        <f>IF(Lists!$C247="","",Lists!$C247)</f>
        <v>0</v>
      </c>
      <c r="U247" s="23">
        <f>IF(T247="","",COUNTIFS('Content Calendar'!$G$5:$G$604,T247,'Content Calendar'!$B$5:$B$604,"&gt;="&amp;DashStart,'Content Calendar'!$B$5:$B$604,"&lt;="&amp;DashEnd))</f>
        <v>0</v>
      </c>
      <c r="V247" s="23">
        <f>IF(T247="","",COUNTIFS('Content Calendar'!$G$5:$G$604,T247,'Content Calendar'!$X$5:$X$604,"Published",'Content Calendar'!$B$5:$B$604,"&gt;="&amp;DashStart,'Content Calendar'!$B$5:$B$604,"&lt;="&amp;DashEnd))</f>
        <v>0</v>
      </c>
      <c r="W247" s="23">
        <f>IF(T247="","",SUMIFS(Analytics!$J$5:$J$154,Analytics!$D$5:$D$154,T247,Analytics!$B$5:$B$154,"&gt;="&amp;DashStart,Analytics!$B$5:$B$154,"&lt;="&amp;DashEnd))</f>
        <v>0</v>
      </c>
      <c r="X247" s="23">
        <f>IF(T247="","",SUMIFS(Analytics!$L$5:$L$154,Analytics!$D$5:$D$154,T247,Analytics!$B$5:$B$154,"&gt;="&amp;DashStart,Analytics!$B$5:$B$154,"&lt;="&amp;DashEnd))</f>
        <v>0</v>
      </c>
      <c r="Y247" s="24">
        <f>IF(OR(W247="",W247=0),"",X247/W247)</f>
        <v>0</v>
      </c>
      <c r="Z247" s="23">
        <f>IF(T247="","",SUMIFS(Analytics!$G$5:$G$154,Analytics!$D$5:$D$154,T247,Analytics!$B$5:$B$154,"&gt;="&amp;DashStart,Analytics!$B$5:$B$154,"&lt;="&amp;DashEnd))</f>
        <v>0</v>
      </c>
      <c r="AA247" s="23">
        <f>IF(T247="","",SUMIFS(Analytics!$X$5:$X$154,Analytics!$D$5:$D$154,T247,Analytics!$B$5:$B$154,"&gt;="&amp;DashStart,Analytics!$B$5:$B$154,"&lt;="&amp;DashEnd))</f>
        <v>0</v>
      </c>
      <c r="AB247" s="23">
        <f>IF(T247="","",SUMIFS(Analytics!$R$5:$R$154,Analytics!$D$5:$D$154,T247,Analytics!$B$5:$B$154,"&gt;="&amp;DashStart,Analytics!$B$5:$B$154,"&lt;="&amp;DashEnd))</f>
        <v>0</v>
      </c>
      <c r="AC247" s="25">
        <f>IF(T247="","",SUMIFS(Analytics!$U$5:$U$154,Analytics!$D$5:$D$154,T247,Analytics!$B$5:$B$154,"&gt;="&amp;DashStart,Analytics!$B$5:$B$154,"&lt;="&amp;DashEnd))</f>
        <v>0</v>
      </c>
      <c r="AD247" s="23">
        <f>IF(T247="","",COUNTIFS('Content Calendar'!$G$5:$G$604,T247,'Content Calendar'!$B$5:$B$604,"&gt;="&amp;DATE(PlanYear,1,1),'Content Calendar'!$B$5:$B$604,"&lt;="&amp;DATE(PlanYear,12,31)))</f>
        <v>0</v>
      </c>
      <c r="AE247" s="23">
        <f>IF(T247="","",SUMIFS(Analytics!$J$5:$J$154,Analytics!$D$5:$D$154,T247))</f>
        <v>0</v>
      </c>
      <c r="AF247" s="23">
        <f>IF(T247="","",SUMIFS(Analytics!$L$5:$L$154,Analytics!$D$5:$D$154,T247))</f>
        <v>0</v>
      </c>
      <c r="AG247" s="24">
        <f>IF(OR(AE247="",AE247=0),"",AF247/AE247)</f>
        <v>0</v>
      </c>
      <c r="AH247" s="23">
        <f>IF(T247="","",SUMIFS(Analytics!$X$5:$X$154,Analytics!$D$5:$D$154,T247))</f>
        <v>0</v>
      </c>
      <c r="AI247" s="32">
        <f>IF(T247="","",IF(AE247=0,"",AE247+ROW()/1000000))</f>
        <v>0</v>
      </c>
      <c r="AJ247" s="17">
        <f>IF('Content Pillars'!$B$247="","",'Content Pillars'!$B$247)</f>
        <v>0</v>
      </c>
      <c r="AK247" s="23">
        <f>IF(AJ247="","",COUNTIFS('Content Calendar'!$J$5:$J$604,AJ247,'Content Calendar'!$B$5:$B$604,"&gt;="&amp;DATE(PlanYear,1,1),'Content Calendar'!$B$5:$B$604,"&lt;="&amp;DATE(PlanYear,12,31)))</f>
        <v>0</v>
      </c>
      <c r="AL247" s="23">
        <f>IF(AJ247="","",SUMIFS(Performance!$O$5:$O$404,Performance!$H$5:$H$404,AJ247))</f>
        <v>0</v>
      </c>
      <c r="AM247" s="23">
        <f>IF(AJ247="","",SUMIFS(Performance!$Z$5:$Z$404,Performance!$H$5:$H$404,AJ247))</f>
        <v>0</v>
      </c>
      <c r="AN247" s="24">
        <f>IF(OR(AL247="",AL247=0),"",AM247/AL247)</f>
        <v>0</v>
      </c>
      <c r="AO247" s="32">
        <f>IF(AN247="","",AN247+ROW()/1000000)</f>
        <v>0</v>
      </c>
      <c r="AP247" s="17">
        <f>IF(Lists!$E247="","",Lists!$E247)</f>
        <v>0</v>
      </c>
      <c r="AQ247" s="23">
        <f>IF(AP247="","",COUNTIF(Performance!$G$5:$G$404,AP247))</f>
        <v>0</v>
      </c>
      <c r="AR247" s="23">
        <f>IF(AP247="","",SUMIFS(Performance!$O$5:$O$404,Performance!$G$5:$G$404,AP247))</f>
        <v>0</v>
      </c>
      <c r="AS247" s="23">
        <f>IF(AP247="","",SUMIFS(Performance!$Z$5:$Z$404,Performance!$G$5:$G$404,AP247))</f>
        <v>0</v>
      </c>
      <c r="AT247" s="24">
        <f>IF(OR(AR247="",AR247=0),"",AS247/AR247)</f>
        <v>0</v>
      </c>
      <c r="AU247" s="32">
        <f>IF(AQ247=0,"",IF(AT247="","",AT247+ROW()/1000000))</f>
        <v>0</v>
      </c>
      <c r="AV247" s="17">
        <f>IF(ROW()-4&gt;7,"",TEXT(DATE(2024,1,ROW()-4),"ddd"))</f>
        <v>0</v>
      </c>
      <c r="AW247" s="23">
        <f>IF(AV247="","",COUNTIF(Performance!$N$5:$N$404,AV247))</f>
        <v>0</v>
      </c>
      <c r="AX247" s="23">
        <f>IF(AV247="","",SUMIFS(Performance!$O$5:$O$404,Performance!$N$5:$N$404,AV247))</f>
        <v>0</v>
      </c>
      <c r="AY247" s="23">
        <f>IF(AV247="","",SUMIFS(Performance!$Z$5:$Z$404,Performance!$N$5:$N$404,AV247))</f>
        <v>0</v>
      </c>
      <c r="AZ247" s="24">
        <f>IF(OR(AX247="",AX247=0),"",AY247/AX247)</f>
        <v>0</v>
      </c>
      <c r="BA247" s="32">
        <f>IF(AW247=0,"",IF(AZ247="","",AZ247+ROW()/1000000))</f>
        <v>0</v>
      </c>
      <c r="BB247" s="17">
        <f>IF(Lists!$AL247="","",Lists!$AL247)</f>
        <v>0</v>
      </c>
      <c r="BC247" s="23">
        <f>IF(BB247="","",COUNTIF(Performance!$M$5:$M$404,BB247))</f>
        <v>0</v>
      </c>
      <c r="BD247" s="23">
        <f>IF(BB247="","",SUMIFS(Performance!$O$5:$O$404,Performance!$M$5:$M$404,BB247))</f>
        <v>0</v>
      </c>
      <c r="BE247" s="23">
        <f>IF(BB247="","",SUMIFS(Performance!$Z$5:$Z$404,Performance!$M$5:$M$404,BB247))</f>
        <v>0</v>
      </c>
      <c r="BF247" s="24">
        <f>IF(OR(BD247="",BD247=0),"",BE247/BD247)</f>
        <v>0</v>
      </c>
      <c r="BG247" s="32">
        <f>IF(BC247=0,"",IF(BF247="","",BF247+ROW()/1000000))</f>
        <v>0</v>
      </c>
      <c r="BH247" s="17">
        <f>IF(Performance!$C$247="","",Performance!$C$247)</f>
        <v>0</v>
      </c>
      <c r="BI247" s="17">
        <f>IF(Performance!$F$247="","",Performance!$F$247)</f>
        <v>0</v>
      </c>
      <c r="BJ247" s="17">
        <f>IF(Performance!$H$247="","",Performance!$H$247)</f>
        <v>0</v>
      </c>
      <c r="BK247" s="16">
        <f>IF(Performance!$D$247="","",Performance!$D$247)</f>
        <v>0</v>
      </c>
      <c r="BL247" s="17">
        <f>IF(Performance!$E$247="","",Performance!$E$247)</f>
        <v>0</v>
      </c>
      <c r="BM247" s="23">
        <f>IF(Performance!$O$247="","",Performance!$O$247)</f>
        <v>0</v>
      </c>
      <c r="BN247" s="24">
        <f>IF(Performance!$AA$247="","",Performance!$AA$247)</f>
        <v>0</v>
      </c>
      <c r="BO247" s="32">
        <f>IF(BH247="","",IF(BK247="","",IF(OR(BK247&lt;DashStart,BK247&gt;DashEnd),"",IF(BN247="","",BN247+ROW()/1000000))))</f>
        <v>0</v>
      </c>
      <c r="BP247" s="32">
        <f>IF(BM247="","",IF(BK247="","",IF(OR(BK247&lt;DashStart,BK247&gt;DashEnd),"",BM247+ROW()/1000000)))</f>
        <v>0</v>
      </c>
      <c r="BQ247" s="32">
        <f>IF(BH247="","",IF(BK247="","",IF(YEAR(BK247)&lt;&gt;PlanYear,"",IF(BN247="","",BN247+ROW()/1000000))))</f>
        <v>0</v>
      </c>
      <c r="BR247" s="32">
        <f>IF(BH247="","",IF(BK247="","",IF(OR(BK247&lt;RepFrom,BK247&gt;RepTo),"",IF(BN247="","",BN247+ROW()/1000000))))</f>
        <v>0</v>
      </c>
      <c r="BS247" s="32">
        <f>IF(BM247="","",IF(BK247="","",IF(YEAR(BK247)&lt;&gt;PlanYear,"",BM247+ROW()/1000000)))</f>
        <v>0</v>
      </c>
      <c r="BT247" s="17">
        <f>IF(Lists!$F247="","",Lists!$F247)</f>
        <v>0</v>
      </c>
      <c r="BU247" s="23">
        <f>IF(BT247="","",COUNTIF('Content Calendar'!$X$5:$X$604,BT247))</f>
        <v>0</v>
      </c>
      <c r="BV247" s="23">
        <f>IF(BT247="","",COUNTIFS('Content Calendar'!$X$5:$X$604,BT247,'Content Calendar'!$B$5:$B$604,"&gt;="&amp;DashStart,'Content Calendar'!$B$5:$B$604,"&lt;="&amp;DashEnd))</f>
        <v>0</v>
      </c>
      <c r="BW247" s="17">
        <f>IF(Team!$B$247="","",Team!$B$247)</f>
        <v>0</v>
      </c>
      <c r="BX247" s="23">
        <f>IF(BW247="","",COUNTIF('Content Calendar'!$W$5:$W$604,BW247))</f>
        <v>0</v>
      </c>
      <c r="BY247" s="23">
        <f>IF(BW247="","",COUNTIFS('Content Calendar'!$W$5:$W$604,BW247,'Content Calendar'!$X$5:$X$604,"&lt;&gt;Published"))</f>
        <v>0</v>
      </c>
      <c r="BZ247" s="23">
        <f>IF(BW247="","",COUNTIFS(Tasks!$C$5:$C$64,BW247,Tasks!$G$5:$G$64,"&lt;&gt;Complete"))</f>
        <v>0</v>
      </c>
      <c r="CA247" s="17">
        <f>IF(Campaigns!$B$247="","",Campaigns!$B$247)</f>
        <v>0</v>
      </c>
      <c r="CB247" s="25">
        <f>IF(Campaigns!$T$247="","",Campaigns!$T$247)</f>
        <v>0</v>
      </c>
      <c r="CC247" s="25">
        <f>IF(Campaigns!$Q$247="","",Campaigns!$Q$247)</f>
        <v>0</v>
      </c>
      <c r="CD247" s="23">
        <f>IF(Campaigns!$Y$247="","",Campaigns!$Y$247)</f>
        <v>0</v>
      </c>
      <c r="CE247" s="32">
        <f>IF(CA247="","",IF(N(CB247)&lt;=0,"",N(CB247)+ROW()/1000000))</f>
        <v>0</v>
      </c>
      <c r="CF247" s="17">
        <f>IF(Accounts!$C$247="","",Accounts!$C$247)</f>
        <v>0</v>
      </c>
      <c r="CG247" s="17">
        <f>IF(Accounts!$B$247="","",Accounts!$B$247)</f>
        <v>0</v>
      </c>
      <c r="CH247" s="23">
        <f>IF(Accounts!$J$247="","",Accounts!$J$247)</f>
        <v>0</v>
      </c>
      <c r="CI247" s="23">
        <f>IF(CF247="","",SUMIFS(Analytics!$X$5:$X$154,Analytics!$E$5:$E$154,CF247,Analytics!$B$5:$B$154,"&gt;="&amp;DashStart,Analytics!$B$5:$B$154,"&lt;="&amp;DashEnd))</f>
        <v>0</v>
      </c>
      <c r="CJ247" s="32">
        <f>IF(CH247="","",IF(CH247=0,"",CH247+ROW()/1000000))</f>
        <v>0</v>
      </c>
    </row>
    <row r="248" spans="1:88">
      <c r="A248" s="16">
        <f>IF(ROW()-4&gt;12,"",DATE(PlanYear,ROW()-4,1))</f>
        <v>0</v>
      </c>
      <c r="B248" s="16">
        <f>IF(A248="","",EOMONTH(A248,0))</f>
        <v>0</v>
      </c>
      <c r="C248" s="17">
        <f>IF(A248="","",TEXT(A248,"yyyy-mm"))</f>
        <v>0</v>
      </c>
      <c r="D248" s="17">
        <f>IF(A248="","",TEXT(A248,"mmm"))</f>
        <v>0</v>
      </c>
      <c r="E248" s="23">
        <f>IF(C248="","",COUNTIFS('Content Calendar'!$D$5:$D$604,C248))</f>
        <v>0</v>
      </c>
      <c r="F248" s="23">
        <f>IF(C248="","",COUNTIFS('Content Calendar'!$D$5:$D$604,C248,'Content Calendar'!$X$5:$X$604,"Published"))</f>
        <v>0</v>
      </c>
      <c r="G248" s="23">
        <f>IF(C248="","",SUMIFS(Analytics!$J$5:$J$154,Analytics!$C$5:$C$154,C248))</f>
        <v>0</v>
      </c>
      <c r="H248" s="23">
        <f>IF(C248="","",SUMIFS(Analytics!$K$5:$K$154,Analytics!$C$5:$C$154,C248))</f>
        <v>0</v>
      </c>
      <c r="I248" s="23">
        <f>IF(C248="","",SUMIFS(Analytics!$L$5:$L$154,Analytics!$C$5:$C$154,C248))</f>
        <v>0</v>
      </c>
      <c r="J248" s="24">
        <f>IF(OR(G248="",G248=0),"",I248/G248)</f>
        <v>0</v>
      </c>
      <c r="K248" s="23">
        <f>IF(C248="","",SUMIFS(Analytics!$G$5:$G$154,Analytics!$C$5:$C$154,C248))</f>
        <v>0</v>
      </c>
      <c r="L248" s="23">
        <f>IF(C248="","",SUMIFS(Analytics!$X$5:$X$154,Analytics!$C$5:$C$154,C248))</f>
        <v>0</v>
      </c>
      <c r="M248" s="23">
        <f>IF(C248="","",SUMIFS(Analytics!$R$5:$R$154,Analytics!$C$5:$C$154,C248))</f>
        <v>0</v>
      </c>
      <c r="N248" s="23">
        <f>IF(C248="","",SUMIFS(Analytics!$S$5:$S$154,Analytics!$C$5:$C$154,C248))</f>
        <v>0</v>
      </c>
      <c r="O248" s="23">
        <f>IF(C248="","",SUMIFS(Analytics!$T$5:$T$154,Analytics!$C$5:$C$154,C248))</f>
        <v>0</v>
      </c>
      <c r="P248" s="25">
        <f>IF(C248="","",SUMIFS(Analytics!$U$5:$U$154,Analytics!$C$5:$C$154,C248))</f>
        <v>0</v>
      </c>
      <c r="Q248" s="25">
        <f>IF(C248="","",SUMIFS(Budget!$H$5:$H$64,Budget!$C$5:$C$64,C248))</f>
        <v>0</v>
      </c>
      <c r="R248" s="25">
        <f>IF(C248="","",P248-Q248)</f>
        <v>0</v>
      </c>
      <c r="S248" s="23">
        <f>IF(C248="","",MonthlyPostTarget)</f>
        <v>0</v>
      </c>
      <c r="T248" s="17">
        <f>IF(Lists!$C248="","",Lists!$C248)</f>
        <v>0</v>
      </c>
      <c r="U248" s="23">
        <f>IF(T248="","",COUNTIFS('Content Calendar'!$G$5:$G$604,T248,'Content Calendar'!$B$5:$B$604,"&gt;="&amp;DashStart,'Content Calendar'!$B$5:$B$604,"&lt;="&amp;DashEnd))</f>
        <v>0</v>
      </c>
      <c r="V248" s="23">
        <f>IF(T248="","",COUNTIFS('Content Calendar'!$G$5:$G$604,T248,'Content Calendar'!$X$5:$X$604,"Published",'Content Calendar'!$B$5:$B$604,"&gt;="&amp;DashStart,'Content Calendar'!$B$5:$B$604,"&lt;="&amp;DashEnd))</f>
        <v>0</v>
      </c>
      <c r="W248" s="23">
        <f>IF(T248="","",SUMIFS(Analytics!$J$5:$J$154,Analytics!$D$5:$D$154,T248,Analytics!$B$5:$B$154,"&gt;="&amp;DashStart,Analytics!$B$5:$B$154,"&lt;="&amp;DashEnd))</f>
        <v>0</v>
      </c>
      <c r="X248" s="23">
        <f>IF(T248="","",SUMIFS(Analytics!$L$5:$L$154,Analytics!$D$5:$D$154,T248,Analytics!$B$5:$B$154,"&gt;="&amp;DashStart,Analytics!$B$5:$B$154,"&lt;="&amp;DashEnd))</f>
        <v>0</v>
      </c>
      <c r="Y248" s="24">
        <f>IF(OR(W248="",W248=0),"",X248/W248)</f>
        <v>0</v>
      </c>
      <c r="Z248" s="23">
        <f>IF(T248="","",SUMIFS(Analytics!$G$5:$G$154,Analytics!$D$5:$D$154,T248,Analytics!$B$5:$B$154,"&gt;="&amp;DashStart,Analytics!$B$5:$B$154,"&lt;="&amp;DashEnd))</f>
        <v>0</v>
      </c>
      <c r="AA248" s="23">
        <f>IF(T248="","",SUMIFS(Analytics!$X$5:$X$154,Analytics!$D$5:$D$154,T248,Analytics!$B$5:$B$154,"&gt;="&amp;DashStart,Analytics!$B$5:$B$154,"&lt;="&amp;DashEnd))</f>
        <v>0</v>
      </c>
      <c r="AB248" s="23">
        <f>IF(T248="","",SUMIFS(Analytics!$R$5:$R$154,Analytics!$D$5:$D$154,T248,Analytics!$B$5:$B$154,"&gt;="&amp;DashStart,Analytics!$B$5:$B$154,"&lt;="&amp;DashEnd))</f>
        <v>0</v>
      </c>
      <c r="AC248" s="25">
        <f>IF(T248="","",SUMIFS(Analytics!$U$5:$U$154,Analytics!$D$5:$D$154,T248,Analytics!$B$5:$B$154,"&gt;="&amp;DashStart,Analytics!$B$5:$B$154,"&lt;="&amp;DashEnd))</f>
        <v>0</v>
      </c>
      <c r="AD248" s="23">
        <f>IF(T248="","",COUNTIFS('Content Calendar'!$G$5:$G$604,T248,'Content Calendar'!$B$5:$B$604,"&gt;="&amp;DATE(PlanYear,1,1),'Content Calendar'!$B$5:$B$604,"&lt;="&amp;DATE(PlanYear,12,31)))</f>
        <v>0</v>
      </c>
      <c r="AE248" s="23">
        <f>IF(T248="","",SUMIFS(Analytics!$J$5:$J$154,Analytics!$D$5:$D$154,T248))</f>
        <v>0</v>
      </c>
      <c r="AF248" s="23">
        <f>IF(T248="","",SUMIFS(Analytics!$L$5:$L$154,Analytics!$D$5:$D$154,T248))</f>
        <v>0</v>
      </c>
      <c r="AG248" s="24">
        <f>IF(OR(AE248="",AE248=0),"",AF248/AE248)</f>
        <v>0</v>
      </c>
      <c r="AH248" s="23">
        <f>IF(T248="","",SUMIFS(Analytics!$X$5:$X$154,Analytics!$D$5:$D$154,T248))</f>
        <v>0</v>
      </c>
      <c r="AI248" s="32">
        <f>IF(T248="","",IF(AE248=0,"",AE248+ROW()/1000000))</f>
        <v>0</v>
      </c>
      <c r="AJ248" s="17">
        <f>IF('Content Pillars'!$B$248="","",'Content Pillars'!$B$248)</f>
        <v>0</v>
      </c>
      <c r="AK248" s="23">
        <f>IF(AJ248="","",COUNTIFS('Content Calendar'!$J$5:$J$604,AJ248,'Content Calendar'!$B$5:$B$604,"&gt;="&amp;DATE(PlanYear,1,1),'Content Calendar'!$B$5:$B$604,"&lt;="&amp;DATE(PlanYear,12,31)))</f>
        <v>0</v>
      </c>
      <c r="AL248" s="23">
        <f>IF(AJ248="","",SUMIFS(Performance!$O$5:$O$404,Performance!$H$5:$H$404,AJ248))</f>
        <v>0</v>
      </c>
      <c r="AM248" s="23">
        <f>IF(AJ248="","",SUMIFS(Performance!$Z$5:$Z$404,Performance!$H$5:$H$404,AJ248))</f>
        <v>0</v>
      </c>
      <c r="AN248" s="24">
        <f>IF(OR(AL248="",AL248=0),"",AM248/AL248)</f>
        <v>0</v>
      </c>
      <c r="AO248" s="32">
        <f>IF(AN248="","",AN248+ROW()/1000000)</f>
        <v>0</v>
      </c>
      <c r="AP248" s="17">
        <f>IF(Lists!$E248="","",Lists!$E248)</f>
        <v>0</v>
      </c>
      <c r="AQ248" s="23">
        <f>IF(AP248="","",COUNTIF(Performance!$G$5:$G$404,AP248))</f>
        <v>0</v>
      </c>
      <c r="AR248" s="23">
        <f>IF(AP248="","",SUMIFS(Performance!$O$5:$O$404,Performance!$G$5:$G$404,AP248))</f>
        <v>0</v>
      </c>
      <c r="AS248" s="23">
        <f>IF(AP248="","",SUMIFS(Performance!$Z$5:$Z$404,Performance!$G$5:$G$404,AP248))</f>
        <v>0</v>
      </c>
      <c r="AT248" s="24">
        <f>IF(OR(AR248="",AR248=0),"",AS248/AR248)</f>
        <v>0</v>
      </c>
      <c r="AU248" s="32">
        <f>IF(AQ248=0,"",IF(AT248="","",AT248+ROW()/1000000))</f>
        <v>0</v>
      </c>
      <c r="AV248" s="17">
        <f>IF(ROW()-4&gt;7,"",TEXT(DATE(2024,1,ROW()-4),"ddd"))</f>
        <v>0</v>
      </c>
      <c r="AW248" s="23">
        <f>IF(AV248="","",COUNTIF(Performance!$N$5:$N$404,AV248))</f>
        <v>0</v>
      </c>
      <c r="AX248" s="23">
        <f>IF(AV248="","",SUMIFS(Performance!$O$5:$O$404,Performance!$N$5:$N$404,AV248))</f>
        <v>0</v>
      </c>
      <c r="AY248" s="23">
        <f>IF(AV248="","",SUMIFS(Performance!$Z$5:$Z$404,Performance!$N$5:$N$404,AV248))</f>
        <v>0</v>
      </c>
      <c r="AZ248" s="24">
        <f>IF(OR(AX248="",AX248=0),"",AY248/AX248)</f>
        <v>0</v>
      </c>
      <c r="BA248" s="32">
        <f>IF(AW248=0,"",IF(AZ248="","",AZ248+ROW()/1000000))</f>
        <v>0</v>
      </c>
      <c r="BB248" s="17">
        <f>IF(Lists!$AL248="","",Lists!$AL248)</f>
        <v>0</v>
      </c>
      <c r="BC248" s="23">
        <f>IF(BB248="","",COUNTIF(Performance!$M$5:$M$404,BB248))</f>
        <v>0</v>
      </c>
      <c r="BD248" s="23">
        <f>IF(BB248="","",SUMIFS(Performance!$O$5:$O$404,Performance!$M$5:$M$404,BB248))</f>
        <v>0</v>
      </c>
      <c r="BE248" s="23">
        <f>IF(BB248="","",SUMIFS(Performance!$Z$5:$Z$404,Performance!$M$5:$M$404,BB248))</f>
        <v>0</v>
      </c>
      <c r="BF248" s="24">
        <f>IF(OR(BD248="",BD248=0),"",BE248/BD248)</f>
        <v>0</v>
      </c>
      <c r="BG248" s="32">
        <f>IF(BC248=0,"",IF(BF248="","",BF248+ROW()/1000000))</f>
        <v>0</v>
      </c>
      <c r="BH248" s="17">
        <f>IF(Performance!$C$248="","",Performance!$C$248)</f>
        <v>0</v>
      </c>
      <c r="BI248" s="17">
        <f>IF(Performance!$F$248="","",Performance!$F$248)</f>
        <v>0</v>
      </c>
      <c r="BJ248" s="17">
        <f>IF(Performance!$H$248="","",Performance!$H$248)</f>
        <v>0</v>
      </c>
      <c r="BK248" s="16">
        <f>IF(Performance!$D$248="","",Performance!$D$248)</f>
        <v>0</v>
      </c>
      <c r="BL248" s="17">
        <f>IF(Performance!$E$248="","",Performance!$E$248)</f>
        <v>0</v>
      </c>
      <c r="BM248" s="23">
        <f>IF(Performance!$O$248="","",Performance!$O$248)</f>
        <v>0</v>
      </c>
      <c r="BN248" s="24">
        <f>IF(Performance!$AA$248="","",Performance!$AA$248)</f>
        <v>0</v>
      </c>
      <c r="BO248" s="32">
        <f>IF(BH248="","",IF(BK248="","",IF(OR(BK248&lt;DashStart,BK248&gt;DashEnd),"",IF(BN248="","",BN248+ROW()/1000000))))</f>
        <v>0</v>
      </c>
      <c r="BP248" s="32">
        <f>IF(BM248="","",IF(BK248="","",IF(OR(BK248&lt;DashStart,BK248&gt;DashEnd),"",BM248+ROW()/1000000)))</f>
        <v>0</v>
      </c>
      <c r="BQ248" s="32">
        <f>IF(BH248="","",IF(BK248="","",IF(YEAR(BK248)&lt;&gt;PlanYear,"",IF(BN248="","",BN248+ROW()/1000000))))</f>
        <v>0</v>
      </c>
      <c r="BR248" s="32">
        <f>IF(BH248="","",IF(BK248="","",IF(OR(BK248&lt;RepFrom,BK248&gt;RepTo),"",IF(BN248="","",BN248+ROW()/1000000))))</f>
        <v>0</v>
      </c>
      <c r="BS248" s="32">
        <f>IF(BM248="","",IF(BK248="","",IF(YEAR(BK248)&lt;&gt;PlanYear,"",BM248+ROW()/1000000)))</f>
        <v>0</v>
      </c>
      <c r="BT248" s="17">
        <f>IF(Lists!$F248="","",Lists!$F248)</f>
        <v>0</v>
      </c>
      <c r="BU248" s="23">
        <f>IF(BT248="","",COUNTIF('Content Calendar'!$X$5:$X$604,BT248))</f>
        <v>0</v>
      </c>
      <c r="BV248" s="23">
        <f>IF(BT248="","",COUNTIFS('Content Calendar'!$X$5:$X$604,BT248,'Content Calendar'!$B$5:$B$604,"&gt;="&amp;DashStart,'Content Calendar'!$B$5:$B$604,"&lt;="&amp;DashEnd))</f>
        <v>0</v>
      </c>
      <c r="BW248" s="17">
        <f>IF(Team!$B$248="","",Team!$B$248)</f>
        <v>0</v>
      </c>
      <c r="BX248" s="23">
        <f>IF(BW248="","",COUNTIF('Content Calendar'!$W$5:$W$604,BW248))</f>
        <v>0</v>
      </c>
      <c r="BY248" s="23">
        <f>IF(BW248="","",COUNTIFS('Content Calendar'!$W$5:$W$604,BW248,'Content Calendar'!$X$5:$X$604,"&lt;&gt;Published"))</f>
        <v>0</v>
      </c>
      <c r="BZ248" s="23">
        <f>IF(BW248="","",COUNTIFS(Tasks!$C$5:$C$64,BW248,Tasks!$G$5:$G$64,"&lt;&gt;Complete"))</f>
        <v>0</v>
      </c>
      <c r="CA248" s="17">
        <f>IF(Campaigns!$B$248="","",Campaigns!$B$248)</f>
        <v>0</v>
      </c>
      <c r="CB248" s="25">
        <f>IF(Campaigns!$T$248="","",Campaigns!$T$248)</f>
        <v>0</v>
      </c>
      <c r="CC248" s="25">
        <f>IF(Campaigns!$Q$248="","",Campaigns!$Q$248)</f>
        <v>0</v>
      </c>
      <c r="CD248" s="23">
        <f>IF(Campaigns!$Y$248="","",Campaigns!$Y$248)</f>
        <v>0</v>
      </c>
      <c r="CE248" s="32">
        <f>IF(CA248="","",IF(N(CB248)&lt;=0,"",N(CB248)+ROW()/1000000))</f>
        <v>0</v>
      </c>
      <c r="CF248" s="17">
        <f>IF(Accounts!$C$248="","",Accounts!$C$248)</f>
        <v>0</v>
      </c>
      <c r="CG248" s="17">
        <f>IF(Accounts!$B$248="","",Accounts!$B$248)</f>
        <v>0</v>
      </c>
      <c r="CH248" s="23">
        <f>IF(Accounts!$J$248="","",Accounts!$J$248)</f>
        <v>0</v>
      </c>
      <c r="CI248" s="23">
        <f>IF(CF248="","",SUMIFS(Analytics!$X$5:$X$154,Analytics!$E$5:$E$154,CF248,Analytics!$B$5:$B$154,"&gt;="&amp;DashStart,Analytics!$B$5:$B$154,"&lt;="&amp;DashEnd))</f>
        <v>0</v>
      </c>
      <c r="CJ248" s="32">
        <f>IF(CH248="","",IF(CH248=0,"",CH248+ROW()/1000000))</f>
        <v>0</v>
      </c>
    </row>
    <row r="249" spans="1:88">
      <c r="A249" s="16">
        <f>IF(ROW()-4&gt;12,"",DATE(PlanYear,ROW()-4,1))</f>
        <v>0</v>
      </c>
      <c r="B249" s="16">
        <f>IF(A249="","",EOMONTH(A249,0))</f>
        <v>0</v>
      </c>
      <c r="C249" s="17">
        <f>IF(A249="","",TEXT(A249,"yyyy-mm"))</f>
        <v>0</v>
      </c>
      <c r="D249" s="17">
        <f>IF(A249="","",TEXT(A249,"mmm"))</f>
        <v>0</v>
      </c>
      <c r="E249" s="23">
        <f>IF(C249="","",COUNTIFS('Content Calendar'!$D$5:$D$604,C249))</f>
        <v>0</v>
      </c>
      <c r="F249" s="23">
        <f>IF(C249="","",COUNTIFS('Content Calendar'!$D$5:$D$604,C249,'Content Calendar'!$X$5:$X$604,"Published"))</f>
        <v>0</v>
      </c>
      <c r="G249" s="23">
        <f>IF(C249="","",SUMIFS(Analytics!$J$5:$J$154,Analytics!$C$5:$C$154,C249))</f>
        <v>0</v>
      </c>
      <c r="H249" s="23">
        <f>IF(C249="","",SUMIFS(Analytics!$K$5:$K$154,Analytics!$C$5:$C$154,C249))</f>
        <v>0</v>
      </c>
      <c r="I249" s="23">
        <f>IF(C249="","",SUMIFS(Analytics!$L$5:$L$154,Analytics!$C$5:$C$154,C249))</f>
        <v>0</v>
      </c>
      <c r="J249" s="24">
        <f>IF(OR(G249="",G249=0),"",I249/G249)</f>
        <v>0</v>
      </c>
      <c r="K249" s="23">
        <f>IF(C249="","",SUMIFS(Analytics!$G$5:$G$154,Analytics!$C$5:$C$154,C249))</f>
        <v>0</v>
      </c>
      <c r="L249" s="23">
        <f>IF(C249="","",SUMIFS(Analytics!$X$5:$X$154,Analytics!$C$5:$C$154,C249))</f>
        <v>0</v>
      </c>
      <c r="M249" s="23">
        <f>IF(C249="","",SUMIFS(Analytics!$R$5:$R$154,Analytics!$C$5:$C$154,C249))</f>
        <v>0</v>
      </c>
      <c r="N249" s="23">
        <f>IF(C249="","",SUMIFS(Analytics!$S$5:$S$154,Analytics!$C$5:$C$154,C249))</f>
        <v>0</v>
      </c>
      <c r="O249" s="23">
        <f>IF(C249="","",SUMIFS(Analytics!$T$5:$T$154,Analytics!$C$5:$C$154,C249))</f>
        <v>0</v>
      </c>
      <c r="P249" s="25">
        <f>IF(C249="","",SUMIFS(Analytics!$U$5:$U$154,Analytics!$C$5:$C$154,C249))</f>
        <v>0</v>
      </c>
      <c r="Q249" s="25">
        <f>IF(C249="","",SUMIFS(Budget!$H$5:$H$64,Budget!$C$5:$C$64,C249))</f>
        <v>0</v>
      </c>
      <c r="R249" s="25">
        <f>IF(C249="","",P249-Q249)</f>
        <v>0</v>
      </c>
      <c r="S249" s="23">
        <f>IF(C249="","",MonthlyPostTarget)</f>
        <v>0</v>
      </c>
      <c r="T249" s="17">
        <f>IF(Lists!$C249="","",Lists!$C249)</f>
        <v>0</v>
      </c>
      <c r="U249" s="23">
        <f>IF(T249="","",COUNTIFS('Content Calendar'!$G$5:$G$604,T249,'Content Calendar'!$B$5:$B$604,"&gt;="&amp;DashStart,'Content Calendar'!$B$5:$B$604,"&lt;="&amp;DashEnd))</f>
        <v>0</v>
      </c>
      <c r="V249" s="23">
        <f>IF(T249="","",COUNTIFS('Content Calendar'!$G$5:$G$604,T249,'Content Calendar'!$X$5:$X$604,"Published",'Content Calendar'!$B$5:$B$604,"&gt;="&amp;DashStart,'Content Calendar'!$B$5:$B$604,"&lt;="&amp;DashEnd))</f>
        <v>0</v>
      </c>
      <c r="W249" s="23">
        <f>IF(T249="","",SUMIFS(Analytics!$J$5:$J$154,Analytics!$D$5:$D$154,T249,Analytics!$B$5:$B$154,"&gt;="&amp;DashStart,Analytics!$B$5:$B$154,"&lt;="&amp;DashEnd))</f>
        <v>0</v>
      </c>
      <c r="X249" s="23">
        <f>IF(T249="","",SUMIFS(Analytics!$L$5:$L$154,Analytics!$D$5:$D$154,T249,Analytics!$B$5:$B$154,"&gt;="&amp;DashStart,Analytics!$B$5:$B$154,"&lt;="&amp;DashEnd))</f>
        <v>0</v>
      </c>
      <c r="Y249" s="24">
        <f>IF(OR(W249="",W249=0),"",X249/W249)</f>
        <v>0</v>
      </c>
      <c r="Z249" s="23">
        <f>IF(T249="","",SUMIFS(Analytics!$G$5:$G$154,Analytics!$D$5:$D$154,T249,Analytics!$B$5:$B$154,"&gt;="&amp;DashStart,Analytics!$B$5:$B$154,"&lt;="&amp;DashEnd))</f>
        <v>0</v>
      </c>
      <c r="AA249" s="23">
        <f>IF(T249="","",SUMIFS(Analytics!$X$5:$X$154,Analytics!$D$5:$D$154,T249,Analytics!$B$5:$B$154,"&gt;="&amp;DashStart,Analytics!$B$5:$B$154,"&lt;="&amp;DashEnd))</f>
        <v>0</v>
      </c>
      <c r="AB249" s="23">
        <f>IF(T249="","",SUMIFS(Analytics!$R$5:$R$154,Analytics!$D$5:$D$154,T249,Analytics!$B$5:$B$154,"&gt;="&amp;DashStart,Analytics!$B$5:$B$154,"&lt;="&amp;DashEnd))</f>
        <v>0</v>
      </c>
      <c r="AC249" s="25">
        <f>IF(T249="","",SUMIFS(Analytics!$U$5:$U$154,Analytics!$D$5:$D$154,T249,Analytics!$B$5:$B$154,"&gt;="&amp;DashStart,Analytics!$B$5:$B$154,"&lt;="&amp;DashEnd))</f>
        <v>0</v>
      </c>
      <c r="AD249" s="23">
        <f>IF(T249="","",COUNTIFS('Content Calendar'!$G$5:$G$604,T249,'Content Calendar'!$B$5:$B$604,"&gt;="&amp;DATE(PlanYear,1,1),'Content Calendar'!$B$5:$B$604,"&lt;="&amp;DATE(PlanYear,12,31)))</f>
        <v>0</v>
      </c>
      <c r="AE249" s="23">
        <f>IF(T249="","",SUMIFS(Analytics!$J$5:$J$154,Analytics!$D$5:$D$154,T249))</f>
        <v>0</v>
      </c>
      <c r="AF249" s="23">
        <f>IF(T249="","",SUMIFS(Analytics!$L$5:$L$154,Analytics!$D$5:$D$154,T249))</f>
        <v>0</v>
      </c>
      <c r="AG249" s="24">
        <f>IF(OR(AE249="",AE249=0),"",AF249/AE249)</f>
        <v>0</v>
      </c>
      <c r="AH249" s="23">
        <f>IF(T249="","",SUMIFS(Analytics!$X$5:$X$154,Analytics!$D$5:$D$154,T249))</f>
        <v>0</v>
      </c>
      <c r="AI249" s="32">
        <f>IF(T249="","",IF(AE249=0,"",AE249+ROW()/1000000))</f>
        <v>0</v>
      </c>
      <c r="AJ249" s="17">
        <f>IF('Content Pillars'!$B$249="","",'Content Pillars'!$B$249)</f>
        <v>0</v>
      </c>
      <c r="AK249" s="23">
        <f>IF(AJ249="","",COUNTIFS('Content Calendar'!$J$5:$J$604,AJ249,'Content Calendar'!$B$5:$B$604,"&gt;="&amp;DATE(PlanYear,1,1),'Content Calendar'!$B$5:$B$604,"&lt;="&amp;DATE(PlanYear,12,31)))</f>
        <v>0</v>
      </c>
      <c r="AL249" s="23">
        <f>IF(AJ249="","",SUMIFS(Performance!$O$5:$O$404,Performance!$H$5:$H$404,AJ249))</f>
        <v>0</v>
      </c>
      <c r="AM249" s="23">
        <f>IF(AJ249="","",SUMIFS(Performance!$Z$5:$Z$404,Performance!$H$5:$H$404,AJ249))</f>
        <v>0</v>
      </c>
      <c r="AN249" s="24">
        <f>IF(OR(AL249="",AL249=0),"",AM249/AL249)</f>
        <v>0</v>
      </c>
      <c r="AO249" s="32">
        <f>IF(AN249="","",AN249+ROW()/1000000)</f>
        <v>0</v>
      </c>
      <c r="AP249" s="17">
        <f>IF(Lists!$E249="","",Lists!$E249)</f>
        <v>0</v>
      </c>
      <c r="AQ249" s="23">
        <f>IF(AP249="","",COUNTIF(Performance!$G$5:$G$404,AP249))</f>
        <v>0</v>
      </c>
      <c r="AR249" s="23">
        <f>IF(AP249="","",SUMIFS(Performance!$O$5:$O$404,Performance!$G$5:$G$404,AP249))</f>
        <v>0</v>
      </c>
      <c r="AS249" s="23">
        <f>IF(AP249="","",SUMIFS(Performance!$Z$5:$Z$404,Performance!$G$5:$G$404,AP249))</f>
        <v>0</v>
      </c>
      <c r="AT249" s="24">
        <f>IF(OR(AR249="",AR249=0),"",AS249/AR249)</f>
        <v>0</v>
      </c>
      <c r="AU249" s="32">
        <f>IF(AQ249=0,"",IF(AT249="","",AT249+ROW()/1000000))</f>
        <v>0</v>
      </c>
      <c r="AV249" s="17">
        <f>IF(ROW()-4&gt;7,"",TEXT(DATE(2024,1,ROW()-4),"ddd"))</f>
        <v>0</v>
      </c>
      <c r="AW249" s="23">
        <f>IF(AV249="","",COUNTIF(Performance!$N$5:$N$404,AV249))</f>
        <v>0</v>
      </c>
      <c r="AX249" s="23">
        <f>IF(AV249="","",SUMIFS(Performance!$O$5:$O$404,Performance!$N$5:$N$404,AV249))</f>
        <v>0</v>
      </c>
      <c r="AY249" s="23">
        <f>IF(AV249="","",SUMIFS(Performance!$Z$5:$Z$404,Performance!$N$5:$N$404,AV249))</f>
        <v>0</v>
      </c>
      <c r="AZ249" s="24">
        <f>IF(OR(AX249="",AX249=0),"",AY249/AX249)</f>
        <v>0</v>
      </c>
      <c r="BA249" s="32">
        <f>IF(AW249=0,"",IF(AZ249="","",AZ249+ROW()/1000000))</f>
        <v>0</v>
      </c>
      <c r="BB249" s="17">
        <f>IF(Lists!$AL249="","",Lists!$AL249)</f>
        <v>0</v>
      </c>
      <c r="BC249" s="23">
        <f>IF(BB249="","",COUNTIF(Performance!$M$5:$M$404,BB249))</f>
        <v>0</v>
      </c>
      <c r="BD249" s="23">
        <f>IF(BB249="","",SUMIFS(Performance!$O$5:$O$404,Performance!$M$5:$M$404,BB249))</f>
        <v>0</v>
      </c>
      <c r="BE249" s="23">
        <f>IF(BB249="","",SUMIFS(Performance!$Z$5:$Z$404,Performance!$M$5:$M$404,BB249))</f>
        <v>0</v>
      </c>
      <c r="BF249" s="24">
        <f>IF(OR(BD249="",BD249=0),"",BE249/BD249)</f>
        <v>0</v>
      </c>
      <c r="BG249" s="32">
        <f>IF(BC249=0,"",IF(BF249="","",BF249+ROW()/1000000))</f>
        <v>0</v>
      </c>
      <c r="BH249" s="17">
        <f>IF(Performance!$C$249="","",Performance!$C$249)</f>
        <v>0</v>
      </c>
      <c r="BI249" s="17">
        <f>IF(Performance!$F$249="","",Performance!$F$249)</f>
        <v>0</v>
      </c>
      <c r="BJ249" s="17">
        <f>IF(Performance!$H$249="","",Performance!$H$249)</f>
        <v>0</v>
      </c>
      <c r="BK249" s="16">
        <f>IF(Performance!$D$249="","",Performance!$D$249)</f>
        <v>0</v>
      </c>
      <c r="BL249" s="17">
        <f>IF(Performance!$E$249="","",Performance!$E$249)</f>
        <v>0</v>
      </c>
      <c r="BM249" s="23">
        <f>IF(Performance!$O$249="","",Performance!$O$249)</f>
        <v>0</v>
      </c>
      <c r="BN249" s="24">
        <f>IF(Performance!$AA$249="","",Performance!$AA$249)</f>
        <v>0</v>
      </c>
      <c r="BO249" s="32">
        <f>IF(BH249="","",IF(BK249="","",IF(OR(BK249&lt;DashStart,BK249&gt;DashEnd),"",IF(BN249="","",BN249+ROW()/1000000))))</f>
        <v>0</v>
      </c>
      <c r="BP249" s="32">
        <f>IF(BM249="","",IF(BK249="","",IF(OR(BK249&lt;DashStart,BK249&gt;DashEnd),"",BM249+ROW()/1000000)))</f>
        <v>0</v>
      </c>
      <c r="BQ249" s="32">
        <f>IF(BH249="","",IF(BK249="","",IF(YEAR(BK249)&lt;&gt;PlanYear,"",IF(BN249="","",BN249+ROW()/1000000))))</f>
        <v>0</v>
      </c>
      <c r="BR249" s="32">
        <f>IF(BH249="","",IF(BK249="","",IF(OR(BK249&lt;RepFrom,BK249&gt;RepTo),"",IF(BN249="","",BN249+ROW()/1000000))))</f>
        <v>0</v>
      </c>
      <c r="BS249" s="32">
        <f>IF(BM249="","",IF(BK249="","",IF(YEAR(BK249)&lt;&gt;PlanYear,"",BM249+ROW()/1000000)))</f>
        <v>0</v>
      </c>
      <c r="BT249" s="17">
        <f>IF(Lists!$F249="","",Lists!$F249)</f>
        <v>0</v>
      </c>
      <c r="BU249" s="23">
        <f>IF(BT249="","",COUNTIF('Content Calendar'!$X$5:$X$604,BT249))</f>
        <v>0</v>
      </c>
      <c r="BV249" s="23">
        <f>IF(BT249="","",COUNTIFS('Content Calendar'!$X$5:$X$604,BT249,'Content Calendar'!$B$5:$B$604,"&gt;="&amp;DashStart,'Content Calendar'!$B$5:$B$604,"&lt;="&amp;DashEnd))</f>
        <v>0</v>
      </c>
      <c r="BW249" s="17">
        <f>IF(Team!$B$249="","",Team!$B$249)</f>
        <v>0</v>
      </c>
      <c r="BX249" s="23">
        <f>IF(BW249="","",COUNTIF('Content Calendar'!$W$5:$W$604,BW249))</f>
        <v>0</v>
      </c>
      <c r="BY249" s="23">
        <f>IF(BW249="","",COUNTIFS('Content Calendar'!$W$5:$W$604,BW249,'Content Calendar'!$X$5:$X$604,"&lt;&gt;Published"))</f>
        <v>0</v>
      </c>
      <c r="BZ249" s="23">
        <f>IF(BW249="","",COUNTIFS(Tasks!$C$5:$C$64,BW249,Tasks!$G$5:$G$64,"&lt;&gt;Complete"))</f>
        <v>0</v>
      </c>
      <c r="CA249" s="17">
        <f>IF(Campaigns!$B$249="","",Campaigns!$B$249)</f>
        <v>0</v>
      </c>
      <c r="CB249" s="25">
        <f>IF(Campaigns!$T$249="","",Campaigns!$T$249)</f>
        <v>0</v>
      </c>
      <c r="CC249" s="25">
        <f>IF(Campaigns!$Q$249="","",Campaigns!$Q$249)</f>
        <v>0</v>
      </c>
      <c r="CD249" s="23">
        <f>IF(Campaigns!$Y$249="","",Campaigns!$Y$249)</f>
        <v>0</v>
      </c>
      <c r="CE249" s="32">
        <f>IF(CA249="","",IF(N(CB249)&lt;=0,"",N(CB249)+ROW()/1000000))</f>
        <v>0</v>
      </c>
      <c r="CF249" s="17">
        <f>IF(Accounts!$C$249="","",Accounts!$C$249)</f>
        <v>0</v>
      </c>
      <c r="CG249" s="17">
        <f>IF(Accounts!$B$249="","",Accounts!$B$249)</f>
        <v>0</v>
      </c>
      <c r="CH249" s="23">
        <f>IF(Accounts!$J$249="","",Accounts!$J$249)</f>
        <v>0</v>
      </c>
      <c r="CI249" s="23">
        <f>IF(CF249="","",SUMIFS(Analytics!$X$5:$X$154,Analytics!$E$5:$E$154,CF249,Analytics!$B$5:$B$154,"&gt;="&amp;DashStart,Analytics!$B$5:$B$154,"&lt;="&amp;DashEnd))</f>
        <v>0</v>
      </c>
      <c r="CJ249" s="32">
        <f>IF(CH249="","",IF(CH249=0,"",CH249+ROW()/1000000))</f>
        <v>0</v>
      </c>
    </row>
    <row r="250" spans="1:88">
      <c r="A250" s="16">
        <f>IF(ROW()-4&gt;12,"",DATE(PlanYear,ROW()-4,1))</f>
        <v>0</v>
      </c>
      <c r="B250" s="16">
        <f>IF(A250="","",EOMONTH(A250,0))</f>
        <v>0</v>
      </c>
      <c r="C250" s="17">
        <f>IF(A250="","",TEXT(A250,"yyyy-mm"))</f>
        <v>0</v>
      </c>
      <c r="D250" s="17">
        <f>IF(A250="","",TEXT(A250,"mmm"))</f>
        <v>0</v>
      </c>
      <c r="E250" s="23">
        <f>IF(C250="","",COUNTIFS('Content Calendar'!$D$5:$D$604,C250))</f>
        <v>0</v>
      </c>
      <c r="F250" s="23">
        <f>IF(C250="","",COUNTIFS('Content Calendar'!$D$5:$D$604,C250,'Content Calendar'!$X$5:$X$604,"Published"))</f>
        <v>0</v>
      </c>
      <c r="G250" s="23">
        <f>IF(C250="","",SUMIFS(Analytics!$J$5:$J$154,Analytics!$C$5:$C$154,C250))</f>
        <v>0</v>
      </c>
      <c r="H250" s="23">
        <f>IF(C250="","",SUMIFS(Analytics!$K$5:$K$154,Analytics!$C$5:$C$154,C250))</f>
        <v>0</v>
      </c>
      <c r="I250" s="23">
        <f>IF(C250="","",SUMIFS(Analytics!$L$5:$L$154,Analytics!$C$5:$C$154,C250))</f>
        <v>0</v>
      </c>
      <c r="J250" s="24">
        <f>IF(OR(G250="",G250=0),"",I250/G250)</f>
        <v>0</v>
      </c>
      <c r="K250" s="23">
        <f>IF(C250="","",SUMIFS(Analytics!$G$5:$G$154,Analytics!$C$5:$C$154,C250))</f>
        <v>0</v>
      </c>
      <c r="L250" s="23">
        <f>IF(C250="","",SUMIFS(Analytics!$X$5:$X$154,Analytics!$C$5:$C$154,C250))</f>
        <v>0</v>
      </c>
      <c r="M250" s="23">
        <f>IF(C250="","",SUMIFS(Analytics!$R$5:$R$154,Analytics!$C$5:$C$154,C250))</f>
        <v>0</v>
      </c>
      <c r="N250" s="23">
        <f>IF(C250="","",SUMIFS(Analytics!$S$5:$S$154,Analytics!$C$5:$C$154,C250))</f>
        <v>0</v>
      </c>
      <c r="O250" s="23">
        <f>IF(C250="","",SUMIFS(Analytics!$T$5:$T$154,Analytics!$C$5:$C$154,C250))</f>
        <v>0</v>
      </c>
      <c r="P250" s="25">
        <f>IF(C250="","",SUMIFS(Analytics!$U$5:$U$154,Analytics!$C$5:$C$154,C250))</f>
        <v>0</v>
      </c>
      <c r="Q250" s="25">
        <f>IF(C250="","",SUMIFS(Budget!$H$5:$H$64,Budget!$C$5:$C$64,C250))</f>
        <v>0</v>
      </c>
      <c r="R250" s="25">
        <f>IF(C250="","",P250-Q250)</f>
        <v>0</v>
      </c>
      <c r="S250" s="23">
        <f>IF(C250="","",MonthlyPostTarget)</f>
        <v>0</v>
      </c>
      <c r="T250" s="17">
        <f>IF(Lists!$C250="","",Lists!$C250)</f>
        <v>0</v>
      </c>
      <c r="U250" s="23">
        <f>IF(T250="","",COUNTIFS('Content Calendar'!$G$5:$G$604,T250,'Content Calendar'!$B$5:$B$604,"&gt;="&amp;DashStart,'Content Calendar'!$B$5:$B$604,"&lt;="&amp;DashEnd))</f>
        <v>0</v>
      </c>
      <c r="V250" s="23">
        <f>IF(T250="","",COUNTIFS('Content Calendar'!$G$5:$G$604,T250,'Content Calendar'!$X$5:$X$604,"Published",'Content Calendar'!$B$5:$B$604,"&gt;="&amp;DashStart,'Content Calendar'!$B$5:$B$604,"&lt;="&amp;DashEnd))</f>
        <v>0</v>
      </c>
      <c r="W250" s="23">
        <f>IF(T250="","",SUMIFS(Analytics!$J$5:$J$154,Analytics!$D$5:$D$154,T250,Analytics!$B$5:$B$154,"&gt;="&amp;DashStart,Analytics!$B$5:$B$154,"&lt;="&amp;DashEnd))</f>
        <v>0</v>
      </c>
      <c r="X250" s="23">
        <f>IF(T250="","",SUMIFS(Analytics!$L$5:$L$154,Analytics!$D$5:$D$154,T250,Analytics!$B$5:$B$154,"&gt;="&amp;DashStart,Analytics!$B$5:$B$154,"&lt;="&amp;DashEnd))</f>
        <v>0</v>
      </c>
      <c r="Y250" s="24">
        <f>IF(OR(W250="",W250=0),"",X250/W250)</f>
        <v>0</v>
      </c>
      <c r="Z250" s="23">
        <f>IF(T250="","",SUMIFS(Analytics!$G$5:$G$154,Analytics!$D$5:$D$154,T250,Analytics!$B$5:$B$154,"&gt;="&amp;DashStart,Analytics!$B$5:$B$154,"&lt;="&amp;DashEnd))</f>
        <v>0</v>
      </c>
      <c r="AA250" s="23">
        <f>IF(T250="","",SUMIFS(Analytics!$X$5:$X$154,Analytics!$D$5:$D$154,T250,Analytics!$B$5:$B$154,"&gt;="&amp;DashStart,Analytics!$B$5:$B$154,"&lt;="&amp;DashEnd))</f>
        <v>0</v>
      </c>
      <c r="AB250" s="23">
        <f>IF(T250="","",SUMIFS(Analytics!$R$5:$R$154,Analytics!$D$5:$D$154,T250,Analytics!$B$5:$B$154,"&gt;="&amp;DashStart,Analytics!$B$5:$B$154,"&lt;="&amp;DashEnd))</f>
        <v>0</v>
      </c>
      <c r="AC250" s="25">
        <f>IF(T250="","",SUMIFS(Analytics!$U$5:$U$154,Analytics!$D$5:$D$154,T250,Analytics!$B$5:$B$154,"&gt;="&amp;DashStart,Analytics!$B$5:$B$154,"&lt;="&amp;DashEnd))</f>
        <v>0</v>
      </c>
      <c r="AD250" s="23">
        <f>IF(T250="","",COUNTIFS('Content Calendar'!$G$5:$G$604,T250,'Content Calendar'!$B$5:$B$604,"&gt;="&amp;DATE(PlanYear,1,1),'Content Calendar'!$B$5:$B$604,"&lt;="&amp;DATE(PlanYear,12,31)))</f>
        <v>0</v>
      </c>
      <c r="AE250" s="23">
        <f>IF(T250="","",SUMIFS(Analytics!$J$5:$J$154,Analytics!$D$5:$D$154,T250))</f>
        <v>0</v>
      </c>
      <c r="AF250" s="23">
        <f>IF(T250="","",SUMIFS(Analytics!$L$5:$L$154,Analytics!$D$5:$D$154,T250))</f>
        <v>0</v>
      </c>
      <c r="AG250" s="24">
        <f>IF(OR(AE250="",AE250=0),"",AF250/AE250)</f>
        <v>0</v>
      </c>
      <c r="AH250" s="23">
        <f>IF(T250="","",SUMIFS(Analytics!$X$5:$X$154,Analytics!$D$5:$D$154,T250))</f>
        <v>0</v>
      </c>
      <c r="AI250" s="32">
        <f>IF(T250="","",IF(AE250=0,"",AE250+ROW()/1000000))</f>
        <v>0</v>
      </c>
      <c r="AJ250" s="17">
        <f>IF('Content Pillars'!$B$250="","",'Content Pillars'!$B$250)</f>
        <v>0</v>
      </c>
      <c r="AK250" s="23">
        <f>IF(AJ250="","",COUNTIFS('Content Calendar'!$J$5:$J$604,AJ250,'Content Calendar'!$B$5:$B$604,"&gt;="&amp;DATE(PlanYear,1,1),'Content Calendar'!$B$5:$B$604,"&lt;="&amp;DATE(PlanYear,12,31)))</f>
        <v>0</v>
      </c>
      <c r="AL250" s="23">
        <f>IF(AJ250="","",SUMIFS(Performance!$O$5:$O$404,Performance!$H$5:$H$404,AJ250))</f>
        <v>0</v>
      </c>
      <c r="AM250" s="23">
        <f>IF(AJ250="","",SUMIFS(Performance!$Z$5:$Z$404,Performance!$H$5:$H$404,AJ250))</f>
        <v>0</v>
      </c>
      <c r="AN250" s="24">
        <f>IF(OR(AL250="",AL250=0),"",AM250/AL250)</f>
        <v>0</v>
      </c>
      <c r="AO250" s="32">
        <f>IF(AN250="","",AN250+ROW()/1000000)</f>
        <v>0</v>
      </c>
      <c r="AP250" s="17">
        <f>IF(Lists!$E250="","",Lists!$E250)</f>
        <v>0</v>
      </c>
      <c r="AQ250" s="23">
        <f>IF(AP250="","",COUNTIF(Performance!$G$5:$G$404,AP250))</f>
        <v>0</v>
      </c>
      <c r="AR250" s="23">
        <f>IF(AP250="","",SUMIFS(Performance!$O$5:$O$404,Performance!$G$5:$G$404,AP250))</f>
        <v>0</v>
      </c>
      <c r="AS250" s="23">
        <f>IF(AP250="","",SUMIFS(Performance!$Z$5:$Z$404,Performance!$G$5:$G$404,AP250))</f>
        <v>0</v>
      </c>
      <c r="AT250" s="24">
        <f>IF(OR(AR250="",AR250=0),"",AS250/AR250)</f>
        <v>0</v>
      </c>
      <c r="AU250" s="32">
        <f>IF(AQ250=0,"",IF(AT250="","",AT250+ROW()/1000000))</f>
        <v>0</v>
      </c>
      <c r="AV250" s="17">
        <f>IF(ROW()-4&gt;7,"",TEXT(DATE(2024,1,ROW()-4),"ddd"))</f>
        <v>0</v>
      </c>
      <c r="AW250" s="23">
        <f>IF(AV250="","",COUNTIF(Performance!$N$5:$N$404,AV250))</f>
        <v>0</v>
      </c>
      <c r="AX250" s="23">
        <f>IF(AV250="","",SUMIFS(Performance!$O$5:$O$404,Performance!$N$5:$N$404,AV250))</f>
        <v>0</v>
      </c>
      <c r="AY250" s="23">
        <f>IF(AV250="","",SUMIFS(Performance!$Z$5:$Z$404,Performance!$N$5:$N$404,AV250))</f>
        <v>0</v>
      </c>
      <c r="AZ250" s="24">
        <f>IF(OR(AX250="",AX250=0),"",AY250/AX250)</f>
        <v>0</v>
      </c>
      <c r="BA250" s="32">
        <f>IF(AW250=0,"",IF(AZ250="","",AZ250+ROW()/1000000))</f>
        <v>0</v>
      </c>
      <c r="BB250" s="17">
        <f>IF(Lists!$AL250="","",Lists!$AL250)</f>
        <v>0</v>
      </c>
      <c r="BC250" s="23">
        <f>IF(BB250="","",COUNTIF(Performance!$M$5:$M$404,BB250))</f>
        <v>0</v>
      </c>
      <c r="BD250" s="23">
        <f>IF(BB250="","",SUMIFS(Performance!$O$5:$O$404,Performance!$M$5:$M$404,BB250))</f>
        <v>0</v>
      </c>
      <c r="BE250" s="23">
        <f>IF(BB250="","",SUMIFS(Performance!$Z$5:$Z$404,Performance!$M$5:$M$404,BB250))</f>
        <v>0</v>
      </c>
      <c r="BF250" s="24">
        <f>IF(OR(BD250="",BD250=0),"",BE250/BD250)</f>
        <v>0</v>
      </c>
      <c r="BG250" s="32">
        <f>IF(BC250=0,"",IF(BF250="","",BF250+ROW()/1000000))</f>
        <v>0</v>
      </c>
      <c r="BH250" s="17">
        <f>IF(Performance!$C$250="","",Performance!$C$250)</f>
        <v>0</v>
      </c>
      <c r="BI250" s="17">
        <f>IF(Performance!$F$250="","",Performance!$F$250)</f>
        <v>0</v>
      </c>
      <c r="BJ250" s="17">
        <f>IF(Performance!$H$250="","",Performance!$H$250)</f>
        <v>0</v>
      </c>
      <c r="BK250" s="16">
        <f>IF(Performance!$D$250="","",Performance!$D$250)</f>
        <v>0</v>
      </c>
      <c r="BL250" s="17">
        <f>IF(Performance!$E$250="","",Performance!$E$250)</f>
        <v>0</v>
      </c>
      <c r="BM250" s="23">
        <f>IF(Performance!$O$250="","",Performance!$O$250)</f>
        <v>0</v>
      </c>
      <c r="BN250" s="24">
        <f>IF(Performance!$AA$250="","",Performance!$AA$250)</f>
        <v>0</v>
      </c>
      <c r="BO250" s="32">
        <f>IF(BH250="","",IF(BK250="","",IF(OR(BK250&lt;DashStart,BK250&gt;DashEnd),"",IF(BN250="","",BN250+ROW()/1000000))))</f>
        <v>0</v>
      </c>
      <c r="BP250" s="32">
        <f>IF(BM250="","",IF(BK250="","",IF(OR(BK250&lt;DashStart,BK250&gt;DashEnd),"",BM250+ROW()/1000000)))</f>
        <v>0</v>
      </c>
      <c r="BQ250" s="32">
        <f>IF(BH250="","",IF(BK250="","",IF(YEAR(BK250)&lt;&gt;PlanYear,"",IF(BN250="","",BN250+ROW()/1000000))))</f>
        <v>0</v>
      </c>
      <c r="BR250" s="32">
        <f>IF(BH250="","",IF(BK250="","",IF(OR(BK250&lt;RepFrom,BK250&gt;RepTo),"",IF(BN250="","",BN250+ROW()/1000000))))</f>
        <v>0</v>
      </c>
      <c r="BS250" s="32">
        <f>IF(BM250="","",IF(BK250="","",IF(YEAR(BK250)&lt;&gt;PlanYear,"",BM250+ROW()/1000000)))</f>
        <v>0</v>
      </c>
      <c r="BT250" s="17">
        <f>IF(Lists!$F250="","",Lists!$F250)</f>
        <v>0</v>
      </c>
      <c r="BU250" s="23">
        <f>IF(BT250="","",COUNTIF('Content Calendar'!$X$5:$X$604,BT250))</f>
        <v>0</v>
      </c>
      <c r="BV250" s="23">
        <f>IF(BT250="","",COUNTIFS('Content Calendar'!$X$5:$X$604,BT250,'Content Calendar'!$B$5:$B$604,"&gt;="&amp;DashStart,'Content Calendar'!$B$5:$B$604,"&lt;="&amp;DashEnd))</f>
        <v>0</v>
      </c>
      <c r="BW250" s="17">
        <f>IF(Team!$B$250="","",Team!$B$250)</f>
        <v>0</v>
      </c>
      <c r="BX250" s="23">
        <f>IF(BW250="","",COUNTIF('Content Calendar'!$W$5:$W$604,BW250))</f>
        <v>0</v>
      </c>
      <c r="BY250" s="23">
        <f>IF(BW250="","",COUNTIFS('Content Calendar'!$W$5:$W$604,BW250,'Content Calendar'!$X$5:$X$604,"&lt;&gt;Published"))</f>
        <v>0</v>
      </c>
      <c r="BZ250" s="23">
        <f>IF(BW250="","",COUNTIFS(Tasks!$C$5:$C$64,BW250,Tasks!$G$5:$G$64,"&lt;&gt;Complete"))</f>
        <v>0</v>
      </c>
      <c r="CA250" s="17">
        <f>IF(Campaigns!$B$250="","",Campaigns!$B$250)</f>
        <v>0</v>
      </c>
      <c r="CB250" s="25">
        <f>IF(Campaigns!$T$250="","",Campaigns!$T$250)</f>
        <v>0</v>
      </c>
      <c r="CC250" s="25">
        <f>IF(Campaigns!$Q$250="","",Campaigns!$Q$250)</f>
        <v>0</v>
      </c>
      <c r="CD250" s="23">
        <f>IF(Campaigns!$Y$250="","",Campaigns!$Y$250)</f>
        <v>0</v>
      </c>
      <c r="CE250" s="32">
        <f>IF(CA250="","",IF(N(CB250)&lt;=0,"",N(CB250)+ROW()/1000000))</f>
        <v>0</v>
      </c>
      <c r="CF250" s="17">
        <f>IF(Accounts!$C$250="","",Accounts!$C$250)</f>
        <v>0</v>
      </c>
      <c r="CG250" s="17">
        <f>IF(Accounts!$B$250="","",Accounts!$B$250)</f>
        <v>0</v>
      </c>
      <c r="CH250" s="23">
        <f>IF(Accounts!$J$250="","",Accounts!$J$250)</f>
        <v>0</v>
      </c>
      <c r="CI250" s="23">
        <f>IF(CF250="","",SUMIFS(Analytics!$X$5:$X$154,Analytics!$E$5:$E$154,CF250,Analytics!$B$5:$B$154,"&gt;="&amp;DashStart,Analytics!$B$5:$B$154,"&lt;="&amp;DashEnd))</f>
        <v>0</v>
      </c>
      <c r="CJ250" s="32">
        <f>IF(CH250="","",IF(CH250=0,"",CH250+ROW()/1000000))</f>
        <v>0</v>
      </c>
    </row>
    <row r="251" spans="1:88">
      <c r="A251" s="16">
        <f>IF(ROW()-4&gt;12,"",DATE(PlanYear,ROW()-4,1))</f>
        <v>0</v>
      </c>
      <c r="B251" s="16">
        <f>IF(A251="","",EOMONTH(A251,0))</f>
        <v>0</v>
      </c>
      <c r="C251" s="17">
        <f>IF(A251="","",TEXT(A251,"yyyy-mm"))</f>
        <v>0</v>
      </c>
      <c r="D251" s="17">
        <f>IF(A251="","",TEXT(A251,"mmm"))</f>
        <v>0</v>
      </c>
      <c r="E251" s="23">
        <f>IF(C251="","",COUNTIFS('Content Calendar'!$D$5:$D$604,C251))</f>
        <v>0</v>
      </c>
      <c r="F251" s="23">
        <f>IF(C251="","",COUNTIFS('Content Calendar'!$D$5:$D$604,C251,'Content Calendar'!$X$5:$X$604,"Published"))</f>
        <v>0</v>
      </c>
      <c r="G251" s="23">
        <f>IF(C251="","",SUMIFS(Analytics!$J$5:$J$154,Analytics!$C$5:$C$154,C251))</f>
        <v>0</v>
      </c>
      <c r="H251" s="23">
        <f>IF(C251="","",SUMIFS(Analytics!$K$5:$K$154,Analytics!$C$5:$C$154,C251))</f>
        <v>0</v>
      </c>
      <c r="I251" s="23">
        <f>IF(C251="","",SUMIFS(Analytics!$L$5:$L$154,Analytics!$C$5:$C$154,C251))</f>
        <v>0</v>
      </c>
      <c r="J251" s="24">
        <f>IF(OR(G251="",G251=0),"",I251/G251)</f>
        <v>0</v>
      </c>
      <c r="K251" s="23">
        <f>IF(C251="","",SUMIFS(Analytics!$G$5:$G$154,Analytics!$C$5:$C$154,C251))</f>
        <v>0</v>
      </c>
      <c r="L251" s="23">
        <f>IF(C251="","",SUMIFS(Analytics!$X$5:$X$154,Analytics!$C$5:$C$154,C251))</f>
        <v>0</v>
      </c>
      <c r="M251" s="23">
        <f>IF(C251="","",SUMIFS(Analytics!$R$5:$R$154,Analytics!$C$5:$C$154,C251))</f>
        <v>0</v>
      </c>
      <c r="N251" s="23">
        <f>IF(C251="","",SUMIFS(Analytics!$S$5:$S$154,Analytics!$C$5:$C$154,C251))</f>
        <v>0</v>
      </c>
      <c r="O251" s="23">
        <f>IF(C251="","",SUMIFS(Analytics!$T$5:$T$154,Analytics!$C$5:$C$154,C251))</f>
        <v>0</v>
      </c>
      <c r="P251" s="25">
        <f>IF(C251="","",SUMIFS(Analytics!$U$5:$U$154,Analytics!$C$5:$C$154,C251))</f>
        <v>0</v>
      </c>
      <c r="Q251" s="25">
        <f>IF(C251="","",SUMIFS(Budget!$H$5:$H$64,Budget!$C$5:$C$64,C251))</f>
        <v>0</v>
      </c>
      <c r="R251" s="25">
        <f>IF(C251="","",P251-Q251)</f>
        <v>0</v>
      </c>
      <c r="S251" s="23">
        <f>IF(C251="","",MonthlyPostTarget)</f>
        <v>0</v>
      </c>
      <c r="T251" s="17">
        <f>IF(Lists!$C251="","",Lists!$C251)</f>
        <v>0</v>
      </c>
      <c r="U251" s="23">
        <f>IF(T251="","",COUNTIFS('Content Calendar'!$G$5:$G$604,T251,'Content Calendar'!$B$5:$B$604,"&gt;="&amp;DashStart,'Content Calendar'!$B$5:$B$604,"&lt;="&amp;DashEnd))</f>
        <v>0</v>
      </c>
      <c r="V251" s="23">
        <f>IF(T251="","",COUNTIFS('Content Calendar'!$G$5:$G$604,T251,'Content Calendar'!$X$5:$X$604,"Published",'Content Calendar'!$B$5:$B$604,"&gt;="&amp;DashStart,'Content Calendar'!$B$5:$B$604,"&lt;="&amp;DashEnd))</f>
        <v>0</v>
      </c>
      <c r="W251" s="23">
        <f>IF(T251="","",SUMIFS(Analytics!$J$5:$J$154,Analytics!$D$5:$D$154,T251,Analytics!$B$5:$B$154,"&gt;="&amp;DashStart,Analytics!$B$5:$B$154,"&lt;="&amp;DashEnd))</f>
        <v>0</v>
      </c>
      <c r="X251" s="23">
        <f>IF(T251="","",SUMIFS(Analytics!$L$5:$L$154,Analytics!$D$5:$D$154,T251,Analytics!$B$5:$B$154,"&gt;="&amp;DashStart,Analytics!$B$5:$B$154,"&lt;="&amp;DashEnd))</f>
        <v>0</v>
      </c>
      <c r="Y251" s="24">
        <f>IF(OR(W251="",W251=0),"",X251/W251)</f>
        <v>0</v>
      </c>
      <c r="Z251" s="23">
        <f>IF(T251="","",SUMIFS(Analytics!$G$5:$G$154,Analytics!$D$5:$D$154,T251,Analytics!$B$5:$B$154,"&gt;="&amp;DashStart,Analytics!$B$5:$B$154,"&lt;="&amp;DashEnd))</f>
        <v>0</v>
      </c>
      <c r="AA251" s="23">
        <f>IF(T251="","",SUMIFS(Analytics!$X$5:$X$154,Analytics!$D$5:$D$154,T251,Analytics!$B$5:$B$154,"&gt;="&amp;DashStart,Analytics!$B$5:$B$154,"&lt;="&amp;DashEnd))</f>
        <v>0</v>
      </c>
      <c r="AB251" s="23">
        <f>IF(T251="","",SUMIFS(Analytics!$R$5:$R$154,Analytics!$D$5:$D$154,T251,Analytics!$B$5:$B$154,"&gt;="&amp;DashStart,Analytics!$B$5:$B$154,"&lt;="&amp;DashEnd))</f>
        <v>0</v>
      </c>
      <c r="AC251" s="25">
        <f>IF(T251="","",SUMIFS(Analytics!$U$5:$U$154,Analytics!$D$5:$D$154,T251,Analytics!$B$5:$B$154,"&gt;="&amp;DashStart,Analytics!$B$5:$B$154,"&lt;="&amp;DashEnd))</f>
        <v>0</v>
      </c>
      <c r="AD251" s="23">
        <f>IF(T251="","",COUNTIFS('Content Calendar'!$G$5:$G$604,T251,'Content Calendar'!$B$5:$B$604,"&gt;="&amp;DATE(PlanYear,1,1),'Content Calendar'!$B$5:$B$604,"&lt;="&amp;DATE(PlanYear,12,31)))</f>
        <v>0</v>
      </c>
      <c r="AE251" s="23">
        <f>IF(T251="","",SUMIFS(Analytics!$J$5:$J$154,Analytics!$D$5:$D$154,T251))</f>
        <v>0</v>
      </c>
      <c r="AF251" s="23">
        <f>IF(T251="","",SUMIFS(Analytics!$L$5:$L$154,Analytics!$D$5:$D$154,T251))</f>
        <v>0</v>
      </c>
      <c r="AG251" s="24">
        <f>IF(OR(AE251="",AE251=0),"",AF251/AE251)</f>
        <v>0</v>
      </c>
      <c r="AH251" s="23">
        <f>IF(T251="","",SUMIFS(Analytics!$X$5:$X$154,Analytics!$D$5:$D$154,T251))</f>
        <v>0</v>
      </c>
      <c r="AI251" s="32">
        <f>IF(T251="","",IF(AE251=0,"",AE251+ROW()/1000000))</f>
        <v>0</v>
      </c>
      <c r="AJ251" s="17">
        <f>IF('Content Pillars'!$B$251="","",'Content Pillars'!$B$251)</f>
        <v>0</v>
      </c>
      <c r="AK251" s="23">
        <f>IF(AJ251="","",COUNTIFS('Content Calendar'!$J$5:$J$604,AJ251,'Content Calendar'!$B$5:$B$604,"&gt;="&amp;DATE(PlanYear,1,1),'Content Calendar'!$B$5:$B$604,"&lt;="&amp;DATE(PlanYear,12,31)))</f>
        <v>0</v>
      </c>
      <c r="AL251" s="23">
        <f>IF(AJ251="","",SUMIFS(Performance!$O$5:$O$404,Performance!$H$5:$H$404,AJ251))</f>
        <v>0</v>
      </c>
      <c r="AM251" s="23">
        <f>IF(AJ251="","",SUMIFS(Performance!$Z$5:$Z$404,Performance!$H$5:$H$404,AJ251))</f>
        <v>0</v>
      </c>
      <c r="AN251" s="24">
        <f>IF(OR(AL251="",AL251=0),"",AM251/AL251)</f>
        <v>0</v>
      </c>
      <c r="AO251" s="32">
        <f>IF(AN251="","",AN251+ROW()/1000000)</f>
        <v>0</v>
      </c>
      <c r="AP251" s="17">
        <f>IF(Lists!$E251="","",Lists!$E251)</f>
        <v>0</v>
      </c>
      <c r="AQ251" s="23">
        <f>IF(AP251="","",COUNTIF(Performance!$G$5:$G$404,AP251))</f>
        <v>0</v>
      </c>
      <c r="AR251" s="23">
        <f>IF(AP251="","",SUMIFS(Performance!$O$5:$O$404,Performance!$G$5:$G$404,AP251))</f>
        <v>0</v>
      </c>
      <c r="AS251" s="23">
        <f>IF(AP251="","",SUMIFS(Performance!$Z$5:$Z$404,Performance!$G$5:$G$404,AP251))</f>
        <v>0</v>
      </c>
      <c r="AT251" s="24">
        <f>IF(OR(AR251="",AR251=0),"",AS251/AR251)</f>
        <v>0</v>
      </c>
      <c r="AU251" s="32">
        <f>IF(AQ251=0,"",IF(AT251="","",AT251+ROW()/1000000))</f>
        <v>0</v>
      </c>
      <c r="AV251" s="17">
        <f>IF(ROW()-4&gt;7,"",TEXT(DATE(2024,1,ROW()-4),"ddd"))</f>
        <v>0</v>
      </c>
      <c r="AW251" s="23">
        <f>IF(AV251="","",COUNTIF(Performance!$N$5:$N$404,AV251))</f>
        <v>0</v>
      </c>
      <c r="AX251" s="23">
        <f>IF(AV251="","",SUMIFS(Performance!$O$5:$O$404,Performance!$N$5:$N$404,AV251))</f>
        <v>0</v>
      </c>
      <c r="AY251" s="23">
        <f>IF(AV251="","",SUMIFS(Performance!$Z$5:$Z$404,Performance!$N$5:$N$404,AV251))</f>
        <v>0</v>
      </c>
      <c r="AZ251" s="24">
        <f>IF(OR(AX251="",AX251=0),"",AY251/AX251)</f>
        <v>0</v>
      </c>
      <c r="BA251" s="32">
        <f>IF(AW251=0,"",IF(AZ251="","",AZ251+ROW()/1000000))</f>
        <v>0</v>
      </c>
      <c r="BB251" s="17">
        <f>IF(Lists!$AL251="","",Lists!$AL251)</f>
        <v>0</v>
      </c>
      <c r="BC251" s="23">
        <f>IF(BB251="","",COUNTIF(Performance!$M$5:$M$404,BB251))</f>
        <v>0</v>
      </c>
      <c r="BD251" s="23">
        <f>IF(BB251="","",SUMIFS(Performance!$O$5:$O$404,Performance!$M$5:$M$404,BB251))</f>
        <v>0</v>
      </c>
      <c r="BE251" s="23">
        <f>IF(BB251="","",SUMIFS(Performance!$Z$5:$Z$404,Performance!$M$5:$M$404,BB251))</f>
        <v>0</v>
      </c>
      <c r="BF251" s="24">
        <f>IF(OR(BD251="",BD251=0),"",BE251/BD251)</f>
        <v>0</v>
      </c>
      <c r="BG251" s="32">
        <f>IF(BC251=0,"",IF(BF251="","",BF251+ROW()/1000000))</f>
        <v>0</v>
      </c>
      <c r="BH251" s="17">
        <f>IF(Performance!$C$251="","",Performance!$C$251)</f>
        <v>0</v>
      </c>
      <c r="BI251" s="17">
        <f>IF(Performance!$F$251="","",Performance!$F$251)</f>
        <v>0</v>
      </c>
      <c r="BJ251" s="17">
        <f>IF(Performance!$H$251="","",Performance!$H$251)</f>
        <v>0</v>
      </c>
      <c r="BK251" s="16">
        <f>IF(Performance!$D$251="","",Performance!$D$251)</f>
        <v>0</v>
      </c>
      <c r="BL251" s="17">
        <f>IF(Performance!$E$251="","",Performance!$E$251)</f>
        <v>0</v>
      </c>
      <c r="BM251" s="23">
        <f>IF(Performance!$O$251="","",Performance!$O$251)</f>
        <v>0</v>
      </c>
      <c r="BN251" s="24">
        <f>IF(Performance!$AA$251="","",Performance!$AA$251)</f>
        <v>0</v>
      </c>
      <c r="BO251" s="32">
        <f>IF(BH251="","",IF(BK251="","",IF(OR(BK251&lt;DashStart,BK251&gt;DashEnd),"",IF(BN251="","",BN251+ROW()/1000000))))</f>
        <v>0</v>
      </c>
      <c r="BP251" s="32">
        <f>IF(BM251="","",IF(BK251="","",IF(OR(BK251&lt;DashStart,BK251&gt;DashEnd),"",BM251+ROW()/1000000)))</f>
        <v>0</v>
      </c>
      <c r="BQ251" s="32">
        <f>IF(BH251="","",IF(BK251="","",IF(YEAR(BK251)&lt;&gt;PlanYear,"",IF(BN251="","",BN251+ROW()/1000000))))</f>
        <v>0</v>
      </c>
      <c r="BR251" s="32">
        <f>IF(BH251="","",IF(BK251="","",IF(OR(BK251&lt;RepFrom,BK251&gt;RepTo),"",IF(BN251="","",BN251+ROW()/1000000))))</f>
        <v>0</v>
      </c>
      <c r="BS251" s="32">
        <f>IF(BM251="","",IF(BK251="","",IF(YEAR(BK251)&lt;&gt;PlanYear,"",BM251+ROW()/1000000)))</f>
        <v>0</v>
      </c>
      <c r="BT251" s="17">
        <f>IF(Lists!$F251="","",Lists!$F251)</f>
        <v>0</v>
      </c>
      <c r="BU251" s="23">
        <f>IF(BT251="","",COUNTIF('Content Calendar'!$X$5:$X$604,BT251))</f>
        <v>0</v>
      </c>
      <c r="BV251" s="23">
        <f>IF(BT251="","",COUNTIFS('Content Calendar'!$X$5:$X$604,BT251,'Content Calendar'!$B$5:$B$604,"&gt;="&amp;DashStart,'Content Calendar'!$B$5:$B$604,"&lt;="&amp;DashEnd))</f>
        <v>0</v>
      </c>
      <c r="BW251" s="17">
        <f>IF(Team!$B$251="","",Team!$B$251)</f>
        <v>0</v>
      </c>
      <c r="BX251" s="23">
        <f>IF(BW251="","",COUNTIF('Content Calendar'!$W$5:$W$604,BW251))</f>
        <v>0</v>
      </c>
      <c r="BY251" s="23">
        <f>IF(BW251="","",COUNTIFS('Content Calendar'!$W$5:$W$604,BW251,'Content Calendar'!$X$5:$X$604,"&lt;&gt;Published"))</f>
        <v>0</v>
      </c>
      <c r="BZ251" s="23">
        <f>IF(BW251="","",COUNTIFS(Tasks!$C$5:$C$64,BW251,Tasks!$G$5:$G$64,"&lt;&gt;Complete"))</f>
        <v>0</v>
      </c>
      <c r="CA251" s="17">
        <f>IF(Campaigns!$B$251="","",Campaigns!$B$251)</f>
        <v>0</v>
      </c>
      <c r="CB251" s="25">
        <f>IF(Campaigns!$T$251="","",Campaigns!$T$251)</f>
        <v>0</v>
      </c>
      <c r="CC251" s="25">
        <f>IF(Campaigns!$Q$251="","",Campaigns!$Q$251)</f>
        <v>0</v>
      </c>
      <c r="CD251" s="23">
        <f>IF(Campaigns!$Y$251="","",Campaigns!$Y$251)</f>
        <v>0</v>
      </c>
      <c r="CE251" s="32">
        <f>IF(CA251="","",IF(N(CB251)&lt;=0,"",N(CB251)+ROW()/1000000))</f>
        <v>0</v>
      </c>
      <c r="CF251" s="17">
        <f>IF(Accounts!$C$251="","",Accounts!$C$251)</f>
        <v>0</v>
      </c>
      <c r="CG251" s="17">
        <f>IF(Accounts!$B$251="","",Accounts!$B$251)</f>
        <v>0</v>
      </c>
      <c r="CH251" s="23">
        <f>IF(Accounts!$J$251="","",Accounts!$J$251)</f>
        <v>0</v>
      </c>
      <c r="CI251" s="23">
        <f>IF(CF251="","",SUMIFS(Analytics!$X$5:$X$154,Analytics!$E$5:$E$154,CF251,Analytics!$B$5:$B$154,"&gt;="&amp;DashStart,Analytics!$B$5:$B$154,"&lt;="&amp;DashEnd))</f>
        <v>0</v>
      </c>
      <c r="CJ251" s="32">
        <f>IF(CH251="","",IF(CH251=0,"",CH251+ROW()/1000000))</f>
        <v>0</v>
      </c>
    </row>
    <row r="252" spans="1:88">
      <c r="A252" s="16">
        <f>IF(ROW()-4&gt;12,"",DATE(PlanYear,ROW()-4,1))</f>
        <v>0</v>
      </c>
      <c r="B252" s="16">
        <f>IF(A252="","",EOMONTH(A252,0))</f>
        <v>0</v>
      </c>
      <c r="C252" s="17">
        <f>IF(A252="","",TEXT(A252,"yyyy-mm"))</f>
        <v>0</v>
      </c>
      <c r="D252" s="17">
        <f>IF(A252="","",TEXT(A252,"mmm"))</f>
        <v>0</v>
      </c>
      <c r="E252" s="23">
        <f>IF(C252="","",COUNTIFS('Content Calendar'!$D$5:$D$604,C252))</f>
        <v>0</v>
      </c>
      <c r="F252" s="23">
        <f>IF(C252="","",COUNTIFS('Content Calendar'!$D$5:$D$604,C252,'Content Calendar'!$X$5:$X$604,"Published"))</f>
        <v>0</v>
      </c>
      <c r="G252" s="23">
        <f>IF(C252="","",SUMIFS(Analytics!$J$5:$J$154,Analytics!$C$5:$C$154,C252))</f>
        <v>0</v>
      </c>
      <c r="H252" s="23">
        <f>IF(C252="","",SUMIFS(Analytics!$K$5:$K$154,Analytics!$C$5:$C$154,C252))</f>
        <v>0</v>
      </c>
      <c r="I252" s="23">
        <f>IF(C252="","",SUMIFS(Analytics!$L$5:$L$154,Analytics!$C$5:$C$154,C252))</f>
        <v>0</v>
      </c>
      <c r="J252" s="24">
        <f>IF(OR(G252="",G252=0),"",I252/G252)</f>
        <v>0</v>
      </c>
      <c r="K252" s="23">
        <f>IF(C252="","",SUMIFS(Analytics!$G$5:$G$154,Analytics!$C$5:$C$154,C252))</f>
        <v>0</v>
      </c>
      <c r="L252" s="23">
        <f>IF(C252="","",SUMIFS(Analytics!$X$5:$X$154,Analytics!$C$5:$C$154,C252))</f>
        <v>0</v>
      </c>
      <c r="M252" s="23">
        <f>IF(C252="","",SUMIFS(Analytics!$R$5:$R$154,Analytics!$C$5:$C$154,C252))</f>
        <v>0</v>
      </c>
      <c r="N252" s="23">
        <f>IF(C252="","",SUMIFS(Analytics!$S$5:$S$154,Analytics!$C$5:$C$154,C252))</f>
        <v>0</v>
      </c>
      <c r="O252" s="23">
        <f>IF(C252="","",SUMIFS(Analytics!$T$5:$T$154,Analytics!$C$5:$C$154,C252))</f>
        <v>0</v>
      </c>
      <c r="P252" s="25">
        <f>IF(C252="","",SUMIFS(Analytics!$U$5:$U$154,Analytics!$C$5:$C$154,C252))</f>
        <v>0</v>
      </c>
      <c r="Q252" s="25">
        <f>IF(C252="","",SUMIFS(Budget!$H$5:$H$64,Budget!$C$5:$C$64,C252))</f>
        <v>0</v>
      </c>
      <c r="R252" s="25">
        <f>IF(C252="","",P252-Q252)</f>
        <v>0</v>
      </c>
      <c r="S252" s="23">
        <f>IF(C252="","",MonthlyPostTarget)</f>
        <v>0</v>
      </c>
      <c r="T252" s="17">
        <f>IF(Lists!$C252="","",Lists!$C252)</f>
        <v>0</v>
      </c>
      <c r="U252" s="23">
        <f>IF(T252="","",COUNTIFS('Content Calendar'!$G$5:$G$604,T252,'Content Calendar'!$B$5:$B$604,"&gt;="&amp;DashStart,'Content Calendar'!$B$5:$B$604,"&lt;="&amp;DashEnd))</f>
        <v>0</v>
      </c>
      <c r="V252" s="23">
        <f>IF(T252="","",COUNTIFS('Content Calendar'!$G$5:$G$604,T252,'Content Calendar'!$X$5:$X$604,"Published",'Content Calendar'!$B$5:$B$604,"&gt;="&amp;DashStart,'Content Calendar'!$B$5:$B$604,"&lt;="&amp;DashEnd))</f>
        <v>0</v>
      </c>
      <c r="W252" s="23">
        <f>IF(T252="","",SUMIFS(Analytics!$J$5:$J$154,Analytics!$D$5:$D$154,T252,Analytics!$B$5:$B$154,"&gt;="&amp;DashStart,Analytics!$B$5:$B$154,"&lt;="&amp;DashEnd))</f>
        <v>0</v>
      </c>
      <c r="X252" s="23">
        <f>IF(T252="","",SUMIFS(Analytics!$L$5:$L$154,Analytics!$D$5:$D$154,T252,Analytics!$B$5:$B$154,"&gt;="&amp;DashStart,Analytics!$B$5:$B$154,"&lt;="&amp;DashEnd))</f>
        <v>0</v>
      </c>
      <c r="Y252" s="24">
        <f>IF(OR(W252="",W252=0),"",X252/W252)</f>
        <v>0</v>
      </c>
      <c r="Z252" s="23">
        <f>IF(T252="","",SUMIFS(Analytics!$G$5:$G$154,Analytics!$D$5:$D$154,T252,Analytics!$B$5:$B$154,"&gt;="&amp;DashStart,Analytics!$B$5:$B$154,"&lt;="&amp;DashEnd))</f>
        <v>0</v>
      </c>
      <c r="AA252" s="23">
        <f>IF(T252="","",SUMIFS(Analytics!$X$5:$X$154,Analytics!$D$5:$D$154,T252,Analytics!$B$5:$B$154,"&gt;="&amp;DashStart,Analytics!$B$5:$B$154,"&lt;="&amp;DashEnd))</f>
        <v>0</v>
      </c>
      <c r="AB252" s="23">
        <f>IF(T252="","",SUMIFS(Analytics!$R$5:$R$154,Analytics!$D$5:$D$154,T252,Analytics!$B$5:$B$154,"&gt;="&amp;DashStart,Analytics!$B$5:$B$154,"&lt;="&amp;DashEnd))</f>
        <v>0</v>
      </c>
      <c r="AC252" s="25">
        <f>IF(T252="","",SUMIFS(Analytics!$U$5:$U$154,Analytics!$D$5:$D$154,T252,Analytics!$B$5:$B$154,"&gt;="&amp;DashStart,Analytics!$B$5:$B$154,"&lt;="&amp;DashEnd))</f>
        <v>0</v>
      </c>
      <c r="AD252" s="23">
        <f>IF(T252="","",COUNTIFS('Content Calendar'!$G$5:$G$604,T252,'Content Calendar'!$B$5:$B$604,"&gt;="&amp;DATE(PlanYear,1,1),'Content Calendar'!$B$5:$B$604,"&lt;="&amp;DATE(PlanYear,12,31)))</f>
        <v>0</v>
      </c>
      <c r="AE252" s="23">
        <f>IF(T252="","",SUMIFS(Analytics!$J$5:$J$154,Analytics!$D$5:$D$154,T252))</f>
        <v>0</v>
      </c>
      <c r="AF252" s="23">
        <f>IF(T252="","",SUMIFS(Analytics!$L$5:$L$154,Analytics!$D$5:$D$154,T252))</f>
        <v>0</v>
      </c>
      <c r="AG252" s="24">
        <f>IF(OR(AE252="",AE252=0),"",AF252/AE252)</f>
        <v>0</v>
      </c>
      <c r="AH252" s="23">
        <f>IF(T252="","",SUMIFS(Analytics!$X$5:$X$154,Analytics!$D$5:$D$154,T252))</f>
        <v>0</v>
      </c>
      <c r="AI252" s="32">
        <f>IF(T252="","",IF(AE252=0,"",AE252+ROW()/1000000))</f>
        <v>0</v>
      </c>
      <c r="AJ252" s="17">
        <f>IF('Content Pillars'!$B$252="","",'Content Pillars'!$B$252)</f>
        <v>0</v>
      </c>
      <c r="AK252" s="23">
        <f>IF(AJ252="","",COUNTIFS('Content Calendar'!$J$5:$J$604,AJ252,'Content Calendar'!$B$5:$B$604,"&gt;="&amp;DATE(PlanYear,1,1),'Content Calendar'!$B$5:$B$604,"&lt;="&amp;DATE(PlanYear,12,31)))</f>
        <v>0</v>
      </c>
      <c r="AL252" s="23">
        <f>IF(AJ252="","",SUMIFS(Performance!$O$5:$O$404,Performance!$H$5:$H$404,AJ252))</f>
        <v>0</v>
      </c>
      <c r="AM252" s="23">
        <f>IF(AJ252="","",SUMIFS(Performance!$Z$5:$Z$404,Performance!$H$5:$H$404,AJ252))</f>
        <v>0</v>
      </c>
      <c r="AN252" s="24">
        <f>IF(OR(AL252="",AL252=0),"",AM252/AL252)</f>
        <v>0</v>
      </c>
      <c r="AO252" s="32">
        <f>IF(AN252="","",AN252+ROW()/1000000)</f>
        <v>0</v>
      </c>
      <c r="AP252" s="17">
        <f>IF(Lists!$E252="","",Lists!$E252)</f>
        <v>0</v>
      </c>
      <c r="AQ252" s="23">
        <f>IF(AP252="","",COUNTIF(Performance!$G$5:$G$404,AP252))</f>
        <v>0</v>
      </c>
      <c r="AR252" s="23">
        <f>IF(AP252="","",SUMIFS(Performance!$O$5:$O$404,Performance!$G$5:$G$404,AP252))</f>
        <v>0</v>
      </c>
      <c r="AS252" s="23">
        <f>IF(AP252="","",SUMIFS(Performance!$Z$5:$Z$404,Performance!$G$5:$G$404,AP252))</f>
        <v>0</v>
      </c>
      <c r="AT252" s="24">
        <f>IF(OR(AR252="",AR252=0),"",AS252/AR252)</f>
        <v>0</v>
      </c>
      <c r="AU252" s="32">
        <f>IF(AQ252=0,"",IF(AT252="","",AT252+ROW()/1000000))</f>
        <v>0</v>
      </c>
      <c r="AV252" s="17">
        <f>IF(ROW()-4&gt;7,"",TEXT(DATE(2024,1,ROW()-4),"ddd"))</f>
        <v>0</v>
      </c>
      <c r="AW252" s="23">
        <f>IF(AV252="","",COUNTIF(Performance!$N$5:$N$404,AV252))</f>
        <v>0</v>
      </c>
      <c r="AX252" s="23">
        <f>IF(AV252="","",SUMIFS(Performance!$O$5:$O$404,Performance!$N$5:$N$404,AV252))</f>
        <v>0</v>
      </c>
      <c r="AY252" s="23">
        <f>IF(AV252="","",SUMIFS(Performance!$Z$5:$Z$404,Performance!$N$5:$N$404,AV252))</f>
        <v>0</v>
      </c>
      <c r="AZ252" s="24">
        <f>IF(OR(AX252="",AX252=0),"",AY252/AX252)</f>
        <v>0</v>
      </c>
      <c r="BA252" s="32">
        <f>IF(AW252=0,"",IF(AZ252="","",AZ252+ROW()/1000000))</f>
        <v>0</v>
      </c>
      <c r="BB252" s="17">
        <f>IF(Lists!$AL252="","",Lists!$AL252)</f>
        <v>0</v>
      </c>
      <c r="BC252" s="23">
        <f>IF(BB252="","",COUNTIF(Performance!$M$5:$M$404,BB252))</f>
        <v>0</v>
      </c>
      <c r="BD252" s="23">
        <f>IF(BB252="","",SUMIFS(Performance!$O$5:$O$404,Performance!$M$5:$M$404,BB252))</f>
        <v>0</v>
      </c>
      <c r="BE252" s="23">
        <f>IF(BB252="","",SUMIFS(Performance!$Z$5:$Z$404,Performance!$M$5:$M$404,BB252))</f>
        <v>0</v>
      </c>
      <c r="BF252" s="24">
        <f>IF(OR(BD252="",BD252=0),"",BE252/BD252)</f>
        <v>0</v>
      </c>
      <c r="BG252" s="32">
        <f>IF(BC252=0,"",IF(BF252="","",BF252+ROW()/1000000))</f>
        <v>0</v>
      </c>
      <c r="BH252" s="17">
        <f>IF(Performance!$C$252="","",Performance!$C$252)</f>
        <v>0</v>
      </c>
      <c r="BI252" s="17">
        <f>IF(Performance!$F$252="","",Performance!$F$252)</f>
        <v>0</v>
      </c>
      <c r="BJ252" s="17">
        <f>IF(Performance!$H$252="","",Performance!$H$252)</f>
        <v>0</v>
      </c>
      <c r="BK252" s="16">
        <f>IF(Performance!$D$252="","",Performance!$D$252)</f>
        <v>0</v>
      </c>
      <c r="BL252" s="17">
        <f>IF(Performance!$E$252="","",Performance!$E$252)</f>
        <v>0</v>
      </c>
      <c r="BM252" s="23">
        <f>IF(Performance!$O$252="","",Performance!$O$252)</f>
        <v>0</v>
      </c>
      <c r="BN252" s="24">
        <f>IF(Performance!$AA$252="","",Performance!$AA$252)</f>
        <v>0</v>
      </c>
      <c r="BO252" s="32">
        <f>IF(BH252="","",IF(BK252="","",IF(OR(BK252&lt;DashStart,BK252&gt;DashEnd),"",IF(BN252="","",BN252+ROW()/1000000))))</f>
        <v>0</v>
      </c>
      <c r="BP252" s="32">
        <f>IF(BM252="","",IF(BK252="","",IF(OR(BK252&lt;DashStart,BK252&gt;DashEnd),"",BM252+ROW()/1000000)))</f>
        <v>0</v>
      </c>
      <c r="BQ252" s="32">
        <f>IF(BH252="","",IF(BK252="","",IF(YEAR(BK252)&lt;&gt;PlanYear,"",IF(BN252="","",BN252+ROW()/1000000))))</f>
        <v>0</v>
      </c>
      <c r="BR252" s="32">
        <f>IF(BH252="","",IF(BK252="","",IF(OR(BK252&lt;RepFrom,BK252&gt;RepTo),"",IF(BN252="","",BN252+ROW()/1000000))))</f>
        <v>0</v>
      </c>
      <c r="BS252" s="32">
        <f>IF(BM252="","",IF(BK252="","",IF(YEAR(BK252)&lt;&gt;PlanYear,"",BM252+ROW()/1000000)))</f>
        <v>0</v>
      </c>
      <c r="BT252" s="17">
        <f>IF(Lists!$F252="","",Lists!$F252)</f>
        <v>0</v>
      </c>
      <c r="BU252" s="23">
        <f>IF(BT252="","",COUNTIF('Content Calendar'!$X$5:$X$604,BT252))</f>
        <v>0</v>
      </c>
      <c r="BV252" s="23">
        <f>IF(BT252="","",COUNTIFS('Content Calendar'!$X$5:$X$604,BT252,'Content Calendar'!$B$5:$B$604,"&gt;="&amp;DashStart,'Content Calendar'!$B$5:$B$604,"&lt;="&amp;DashEnd))</f>
        <v>0</v>
      </c>
      <c r="BW252" s="17">
        <f>IF(Team!$B$252="","",Team!$B$252)</f>
        <v>0</v>
      </c>
      <c r="BX252" s="23">
        <f>IF(BW252="","",COUNTIF('Content Calendar'!$W$5:$W$604,BW252))</f>
        <v>0</v>
      </c>
      <c r="BY252" s="23">
        <f>IF(BW252="","",COUNTIFS('Content Calendar'!$W$5:$W$604,BW252,'Content Calendar'!$X$5:$X$604,"&lt;&gt;Published"))</f>
        <v>0</v>
      </c>
      <c r="BZ252" s="23">
        <f>IF(BW252="","",COUNTIFS(Tasks!$C$5:$C$64,BW252,Tasks!$G$5:$G$64,"&lt;&gt;Complete"))</f>
        <v>0</v>
      </c>
      <c r="CA252" s="17">
        <f>IF(Campaigns!$B$252="","",Campaigns!$B$252)</f>
        <v>0</v>
      </c>
      <c r="CB252" s="25">
        <f>IF(Campaigns!$T$252="","",Campaigns!$T$252)</f>
        <v>0</v>
      </c>
      <c r="CC252" s="25">
        <f>IF(Campaigns!$Q$252="","",Campaigns!$Q$252)</f>
        <v>0</v>
      </c>
      <c r="CD252" s="23">
        <f>IF(Campaigns!$Y$252="","",Campaigns!$Y$252)</f>
        <v>0</v>
      </c>
      <c r="CE252" s="32">
        <f>IF(CA252="","",IF(N(CB252)&lt;=0,"",N(CB252)+ROW()/1000000))</f>
        <v>0</v>
      </c>
      <c r="CF252" s="17">
        <f>IF(Accounts!$C$252="","",Accounts!$C$252)</f>
        <v>0</v>
      </c>
      <c r="CG252" s="17">
        <f>IF(Accounts!$B$252="","",Accounts!$B$252)</f>
        <v>0</v>
      </c>
      <c r="CH252" s="23">
        <f>IF(Accounts!$J$252="","",Accounts!$J$252)</f>
        <v>0</v>
      </c>
      <c r="CI252" s="23">
        <f>IF(CF252="","",SUMIFS(Analytics!$X$5:$X$154,Analytics!$E$5:$E$154,CF252,Analytics!$B$5:$B$154,"&gt;="&amp;DashStart,Analytics!$B$5:$B$154,"&lt;="&amp;DashEnd))</f>
        <v>0</v>
      </c>
      <c r="CJ252" s="32">
        <f>IF(CH252="","",IF(CH252=0,"",CH252+ROW()/1000000))</f>
        <v>0</v>
      </c>
    </row>
    <row r="253" spans="1:88">
      <c r="A253" s="16">
        <f>IF(ROW()-4&gt;12,"",DATE(PlanYear,ROW()-4,1))</f>
        <v>0</v>
      </c>
      <c r="B253" s="16">
        <f>IF(A253="","",EOMONTH(A253,0))</f>
        <v>0</v>
      </c>
      <c r="C253" s="17">
        <f>IF(A253="","",TEXT(A253,"yyyy-mm"))</f>
        <v>0</v>
      </c>
      <c r="D253" s="17">
        <f>IF(A253="","",TEXT(A253,"mmm"))</f>
        <v>0</v>
      </c>
      <c r="E253" s="23">
        <f>IF(C253="","",COUNTIFS('Content Calendar'!$D$5:$D$604,C253))</f>
        <v>0</v>
      </c>
      <c r="F253" s="23">
        <f>IF(C253="","",COUNTIFS('Content Calendar'!$D$5:$D$604,C253,'Content Calendar'!$X$5:$X$604,"Published"))</f>
        <v>0</v>
      </c>
      <c r="G253" s="23">
        <f>IF(C253="","",SUMIFS(Analytics!$J$5:$J$154,Analytics!$C$5:$C$154,C253))</f>
        <v>0</v>
      </c>
      <c r="H253" s="23">
        <f>IF(C253="","",SUMIFS(Analytics!$K$5:$K$154,Analytics!$C$5:$C$154,C253))</f>
        <v>0</v>
      </c>
      <c r="I253" s="23">
        <f>IF(C253="","",SUMIFS(Analytics!$L$5:$L$154,Analytics!$C$5:$C$154,C253))</f>
        <v>0</v>
      </c>
      <c r="J253" s="24">
        <f>IF(OR(G253="",G253=0),"",I253/G253)</f>
        <v>0</v>
      </c>
      <c r="K253" s="23">
        <f>IF(C253="","",SUMIFS(Analytics!$G$5:$G$154,Analytics!$C$5:$C$154,C253))</f>
        <v>0</v>
      </c>
      <c r="L253" s="23">
        <f>IF(C253="","",SUMIFS(Analytics!$X$5:$X$154,Analytics!$C$5:$C$154,C253))</f>
        <v>0</v>
      </c>
      <c r="M253" s="23">
        <f>IF(C253="","",SUMIFS(Analytics!$R$5:$R$154,Analytics!$C$5:$C$154,C253))</f>
        <v>0</v>
      </c>
      <c r="N253" s="23">
        <f>IF(C253="","",SUMIFS(Analytics!$S$5:$S$154,Analytics!$C$5:$C$154,C253))</f>
        <v>0</v>
      </c>
      <c r="O253" s="23">
        <f>IF(C253="","",SUMIFS(Analytics!$T$5:$T$154,Analytics!$C$5:$C$154,C253))</f>
        <v>0</v>
      </c>
      <c r="P253" s="25">
        <f>IF(C253="","",SUMIFS(Analytics!$U$5:$U$154,Analytics!$C$5:$C$154,C253))</f>
        <v>0</v>
      </c>
      <c r="Q253" s="25">
        <f>IF(C253="","",SUMIFS(Budget!$H$5:$H$64,Budget!$C$5:$C$64,C253))</f>
        <v>0</v>
      </c>
      <c r="R253" s="25">
        <f>IF(C253="","",P253-Q253)</f>
        <v>0</v>
      </c>
      <c r="S253" s="23">
        <f>IF(C253="","",MonthlyPostTarget)</f>
        <v>0</v>
      </c>
      <c r="T253" s="17">
        <f>IF(Lists!$C253="","",Lists!$C253)</f>
        <v>0</v>
      </c>
      <c r="U253" s="23">
        <f>IF(T253="","",COUNTIFS('Content Calendar'!$G$5:$G$604,T253,'Content Calendar'!$B$5:$B$604,"&gt;="&amp;DashStart,'Content Calendar'!$B$5:$B$604,"&lt;="&amp;DashEnd))</f>
        <v>0</v>
      </c>
      <c r="V253" s="23">
        <f>IF(T253="","",COUNTIFS('Content Calendar'!$G$5:$G$604,T253,'Content Calendar'!$X$5:$X$604,"Published",'Content Calendar'!$B$5:$B$604,"&gt;="&amp;DashStart,'Content Calendar'!$B$5:$B$604,"&lt;="&amp;DashEnd))</f>
        <v>0</v>
      </c>
      <c r="W253" s="23">
        <f>IF(T253="","",SUMIFS(Analytics!$J$5:$J$154,Analytics!$D$5:$D$154,T253,Analytics!$B$5:$B$154,"&gt;="&amp;DashStart,Analytics!$B$5:$B$154,"&lt;="&amp;DashEnd))</f>
        <v>0</v>
      </c>
      <c r="X253" s="23">
        <f>IF(T253="","",SUMIFS(Analytics!$L$5:$L$154,Analytics!$D$5:$D$154,T253,Analytics!$B$5:$B$154,"&gt;="&amp;DashStart,Analytics!$B$5:$B$154,"&lt;="&amp;DashEnd))</f>
        <v>0</v>
      </c>
      <c r="Y253" s="24">
        <f>IF(OR(W253="",W253=0),"",X253/W253)</f>
        <v>0</v>
      </c>
      <c r="Z253" s="23">
        <f>IF(T253="","",SUMIFS(Analytics!$G$5:$G$154,Analytics!$D$5:$D$154,T253,Analytics!$B$5:$B$154,"&gt;="&amp;DashStart,Analytics!$B$5:$B$154,"&lt;="&amp;DashEnd))</f>
        <v>0</v>
      </c>
      <c r="AA253" s="23">
        <f>IF(T253="","",SUMIFS(Analytics!$X$5:$X$154,Analytics!$D$5:$D$154,T253,Analytics!$B$5:$B$154,"&gt;="&amp;DashStart,Analytics!$B$5:$B$154,"&lt;="&amp;DashEnd))</f>
        <v>0</v>
      </c>
      <c r="AB253" s="23">
        <f>IF(T253="","",SUMIFS(Analytics!$R$5:$R$154,Analytics!$D$5:$D$154,T253,Analytics!$B$5:$B$154,"&gt;="&amp;DashStart,Analytics!$B$5:$B$154,"&lt;="&amp;DashEnd))</f>
        <v>0</v>
      </c>
      <c r="AC253" s="25">
        <f>IF(T253="","",SUMIFS(Analytics!$U$5:$U$154,Analytics!$D$5:$D$154,T253,Analytics!$B$5:$B$154,"&gt;="&amp;DashStart,Analytics!$B$5:$B$154,"&lt;="&amp;DashEnd))</f>
        <v>0</v>
      </c>
      <c r="AD253" s="23">
        <f>IF(T253="","",COUNTIFS('Content Calendar'!$G$5:$G$604,T253,'Content Calendar'!$B$5:$B$604,"&gt;="&amp;DATE(PlanYear,1,1),'Content Calendar'!$B$5:$B$604,"&lt;="&amp;DATE(PlanYear,12,31)))</f>
        <v>0</v>
      </c>
      <c r="AE253" s="23">
        <f>IF(T253="","",SUMIFS(Analytics!$J$5:$J$154,Analytics!$D$5:$D$154,T253))</f>
        <v>0</v>
      </c>
      <c r="AF253" s="23">
        <f>IF(T253="","",SUMIFS(Analytics!$L$5:$L$154,Analytics!$D$5:$D$154,T253))</f>
        <v>0</v>
      </c>
      <c r="AG253" s="24">
        <f>IF(OR(AE253="",AE253=0),"",AF253/AE253)</f>
        <v>0</v>
      </c>
      <c r="AH253" s="23">
        <f>IF(T253="","",SUMIFS(Analytics!$X$5:$X$154,Analytics!$D$5:$D$154,T253))</f>
        <v>0</v>
      </c>
      <c r="AI253" s="32">
        <f>IF(T253="","",IF(AE253=0,"",AE253+ROW()/1000000))</f>
        <v>0</v>
      </c>
      <c r="AJ253" s="17">
        <f>IF('Content Pillars'!$B$253="","",'Content Pillars'!$B$253)</f>
        <v>0</v>
      </c>
      <c r="AK253" s="23">
        <f>IF(AJ253="","",COUNTIFS('Content Calendar'!$J$5:$J$604,AJ253,'Content Calendar'!$B$5:$B$604,"&gt;="&amp;DATE(PlanYear,1,1),'Content Calendar'!$B$5:$B$604,"&lt;="&amp;DATE(PlanYear,12,31)))</f>
        <v>0</v>
      </c>
      <c r="AL253" s="23">
        <f>IF(AJ253="","",SUMIFS(Performance!$O$5:$O$404,Performance!$H$5:$H$404,AJ253))</f>
        <v>0</v>
      </c>
      <c r="AM253" s="23">
        <f>IF(AJ253="","",SUMIFS(Performance!$Z$5:$Z$404,Performance!$H$5:$H$404,AJ253))</f>
        <v>0</v>
      </c>
      <c r="AN253" s="24">
        <f>IF(OR(AL253="",AL253=0),"",AM253/AL253)</f>
        <v>0</v>
      </c>
      <c r="AO253" s="32">
        <f>IF(AN253="","",AN253+ROW()/1000000)</f>
        <v>0</v>
      </c>
      <c r="AP253" s="17">
        <f>IF(Lists!$E253="","",Lists!$E253)</f>
        <v>0</v>
      </c>
      <c r="AQ253" s="23">
        <f>IF(AP253="","",COUNTIF(Performance!$G$5:$G$404,AP253))</f>
        <v>0</v>
      </c>
      <c r="AR253" s="23">
        <f>IF(AP253="","",SUMIFS(Performance!$O$5:$O$404,Performance!$G$5:$G$404,AP253))</f>
        <v>0</v>
      </c>
      <c r="AS253" s="23">
        <f>IF(AP253="","",SUMIFS(Performance!$Z$5:$Z$404,Performance!$G$5:$G$404,AP253))</f>
        <v>0</v>
      </c>
      <c r="AT253" s="24">
        <f>IF(OR(AR253="",AR253=0),"",AS253/AR253)</f>
        <v>0</v>
      </c>
      <c r="AU253" s="32">
        <f>IF(AQ253=0,"",IF(AT253="","",AT253+ROW()/1000000))</f>
        <v>0</v>
      </c>
      <c r="AV253" s="17">
        <f>IF(ROW()-4&gt;7,"",TEXT(DATE(2024,1,ROW()-4),"ddd"))</f>
        <v>0</v>
      </c>
      <c r="AW253" s="23">
        <f>IF(AV253="","",COUNTIF(Performance!$N$5:$N$404,AV253))</f>
        <v>0</v>
      </c>
      <c r="AX253" s="23">
        <f>IF(AV253="","",SUMIFS(Performance!$O$5:$O$404,Performance!$N$5:$N$404,AV253))</f>
        <v>0</v>
      </c>
      <c r="AY253" s="23">
        <f>IF(AV253="","",SUMIFS(Performance!$Z$5:$Z$404,Performance!$N$5:$N$404,AV253))</f>
        <v>0</v>
      </c>
      <c r="AZ253" s="24">
        <f>IF(OR(AX253="",AX253=0),"",AY253/AX253)</f>
        <v>0</v>
      </c>
      <c r="BA253" s="32">
        <f>IF(AW253=0,"",IF(AZ253="","",AZ253+ROW()/1000000))</f>
        <v>0</v>
      </c>
      <c r="BB253" s="17">
        <f>IF(Lists!$AL253="","",Lists!$AL253)</f>
        <v>0</v>
      </c>
      <c r="BC253" s="23">
        <f>IF(BB253="","",COUNTIF(Performance!$M$5:$M$404,BB253))</f>
        <v>0</v>
      </c>
      <c r="BD253" s="23">
        <f>IF(BB253="","",SUMIFS(Performance!$O$5:$O$404,Performance!$M$5:$M$404,BB253))</f>
        <v>0</v>
      </c>
      <c r="BE253" s="23">
        <f>IF(BB253="","",SUMIFS(Performance!$Z$5:$Z$404,Performance!$M$5:$M$404,BB253))</f>
        <v>0</v>
      </c>
      <c r="BF253" s="24">
        <f>IF(OR(BD253="",BD253=0),"",BE253/BD253)</f>
        <v>0</v>
      </c>
      <c r="BG253" s="32">
        <f>IF(BC253=0,"",IF(BF253="","",BF253+ROW()/1000000))</f>
        <v>0</v>
      </c>
      <c r="BH253" s="17">
        <f>IF(Performance!$C$253="","",Performance!$C$253)</f>
        <v>0</v>
      </c>
      <c r="BI253" s="17">
        <f>IF(Performance!$F$253="","",Performance!$F$253)</f>
        <v>0</v>
      </c>
      <c r="BJ253" s="17">
        <f>IF(Performance!$H$253="","",Performance!$H$253)</f>
        <v>0</v>
      </c>
      <c r="BK253" s="16">
        <f>IF(Performance!$D$253="","",Performance!$D$253)</f>
        <v>0</v>
      </c>
      <c r="BL253" s="17">
        <f>IF(Performance!$E$253="","",Performance!$E$253)</f>
        <v>0</v>
      </c>
      <c r="BM253" s="23">
        <f>IF(Performance!$O$253="","",Performance!$O$253)</f>
        <v>0</v>
      </c>
      <c r="BN253" s="24">
        <f>IF(Performance!$AA$253="","",Performance!$AA$253)</f>
        <v>0</v>
      </c>
      <c r="BO253" s="32">
        <f>IF(BH253="","",IF(BK253="","",IF(OR(BK253&lt;DashStart,BK253&gt;DashEnd),"",IF(BN253="","",BN253+ROW()/1000000))))</f>
        <v>0</v>
      </c>
      <c r="BP253" s="32">
        <f>IF(BM253="","",IF(BK253="","",IF(OR(BK253&lt;DashStart,BK253&gt;DashEnd),"",BM253+ROW()/1000000)))</f>
        <v>0</v>
      </c>
      <c r="BQ253" s="32">
        <f>IF(BH253="","",IF(BK253="","",IF(YEAR(BK253)&lt;&gt;PlanYear,"",IF(BN253="","",BN253+ROW()/1000000))))</f>
        <v>0</v>
      </c>
      <c r="BR253" s="32">
        <f>IF(BH253="","",IF(BK253="","",IF(OR(BK253&lt;RepFrom,BK253&gt;RepTo),"",IF(BN253="","",BN253+ROW()/1000000))))</f>
        <v>0</v>
      </c>
      <c r="BS253" s="32">
        <f>IF(BM253="","",IF(BK253="","",IF(YEAR(BK253)&lt;&gt;PlanYear,"",BM253+ROW()/1000000)))</f>
        <v>0</v>
      </c>
      <c r="BT253" s="17">
        <f>IF(Lists!$F253="","",Lists!$F253)</f>
        <v>0</v>
      </c>
      <c r="BU253" s="23">
        <f>IF(BT253="","",COUNTIF('Content Calendar'!$X$5:$X$604,BT253))</f>
        <v>0</v>
      </c>
      <c r="BV253" s="23">
        <f>IF(BT253="","",COUNTIFS('Content Calendar'!$X$5:$X$604,BT253,'Content Calendar'!$B$5:$B$604,"&gt;="&amp;DashStart,'Content Calendar'!$B$5:$B$604,"&lt;="&amp;DashEnd))</f>
        <v>0</v>
      </c>
      <c r="BW253" s="17">
        <f>IF(Team!$B$253="","",Team!$B$253)</f>
        <v>0</v>
      </c>
      <c r="BX253" s="23">
        <f>IF(BW253="","",COUNTIF('Content Calendar'!$W$5:$W$604,BW253))</f>
        <v>0</v>
      </c>
      <c r="BY253" s="23">
        <f>IF(BW253="","",COUNTIFS('Content Calendar'!$W$5:$W$604,BW253,'Content Calendar'!$X$5:$X$604,"&lt;&gt;Published"))</f>
        <v>0</v>
      </c>
      <c r="BZ253" s="23">
        <f>IF(BW253="","",COUNTIFS(Tasks!$C$5:$C$64,BW253,Tasks!$G$5:$G$64,"&lt;&gt;Complete"))</f>
        <v>0</v>
      </c>
      <c r="CA253" s="17">
        <f>IF(Campaigns!$B$253="","",Campaigns!$B$253)</f>
        <v>0</v>
      </c>
      <c r="CB253" s="25">
        <f>IF(Campaigns!$T$253="","",Campaigns!$T$253)</f>
        <v>0</v>
      </c>
      <c r="CC253" s="25">
        <f>IF(Campaigns!$Q$253="","",Campaigns!$Q$253)</f>
        <v>0</v>
      </c>
      <c r="CD253" s="23">
        <f>IF(Campaigns!$Y$253="","",Campaigns!$Y$253)</f>
        <v>0</v>
      </c>
      <c r="CE253" s="32">
        <f>IF(CA253="","",IF(N(CB253)&lt;=0,"",N(CB253)+ROW()/1000000))</f>
        <v>0</v>
      </c>
      <c r="CF253" s="17">
        <f>IF(Accounts!$C$253="","",Accounts!$C$253)</f>
        <v>0</v>
      </c>
      <c r="CG253" s="17">
        <f>IF(Accounts!$B$253="","",Accounts!$B$253)</f>
        <v>0</v>
      </c>
      <c r="CH253" s="23">
        <f>IF(Accounts!$J$253="","",Accounts!$J$253)</f>
        <v>0</v>
      </c>
      <c r="CI253" s="23">
        <f>IF(CF253="","",SUMIFS(Analytics!$X$5:$X$154,Analytics!$E$5:$E$154,CF253,Analytics!$B$5:$B$154,"&gt;="&amp;DashStart,Analytics!$B$5:$B$154,"&lt;="&amp;DashEnd))</f>
        <v>0</v>
      </c>
      <c r="CJ253" s="32">
        <f>IF(CH253="","",IF(CH253=0,"",CH253+ROW()/1000000))</f>
        <v>0</v>
      </c>
    </row>
    <row r="254" spans="1:88">
      <c r="A254" s="16">
        <f>IF(ROW()-4&gt;12,"",DATE(PlanYear,ROW()-4,1))</f>
        <v>0</v>
      </c>
      <c r="B254" s="16">
        <f>IF(A254="","",EOMONTH(A254,0))</f>
        <v>0</v>
      </c>
      <c r="C254" s="17">
        <f>IF(A254="","",TEXT(A254,"yyyy-mm"))</f>
        <v>0</v>
      </c>
      <c r="D254" s="17">
        <f>IF(A254="","",TEXT(A254,"mmm"))</f>
        <v>0</v>
      </c>
      <c r="E254" s="23">
        <f>IF(C254="","",COUNTIFS('Content Calendar'!$D$5:$D$604,C254))</f>
        <v>0</v>
      </c>
      <c r="F254" s="23">
        <f>IF(C254="","",COUNTIFS('Content Calendar'!$D$5:$D$604,C254,'Content Calendar'!$X$5:$X$604,"Published"))</f>
        <v>0</v>
      </c>
      <c r="G254" s="23">
        <f>IF(C254="","",SUMIFS(Analytics!$J$5:$J$154,Analytics!$C$5:$C$154,C254))</f>
        <v>0</v>
      </c>
      <c r="H254" s="23">
        <f>IF(C254="","",SUMIFS(Analytics!$K$5:$K$154,Analytics!$C$5:$C$154,C254))</f>
        <v>0</v>
      </c>
      <c r="I254" s="23">
        <f>IF(C254="","",SUMIFS(Analytics!$L$5:$L$154,Analytics!$C$5:$C$154,C254))</f>
        <v>0</v>
      </c>
      <c r="J254" s="24">
        <f>IF(OR(G254="",G254=0),"",I254/G254)</f>
        <v>0</v>
      </c>
      <c r="K254" s="23">
        <f>IF(C254="","",SUMIFS(Analytics!$G$5:$G$154,Analytics!$C$5:$C$154,C254))</f>
        <v>0</v>
      </c>
      <c r="L254" s="23">
        <f>IF(C254="","",SUMIFS(Analytics!$X$5:$X$154,Analytics!$C$5:$C$154,C254))</f>
        <v>0</v>
      </c>
      <c r="M254" s="23">
        <f>IF(C254="","",SUMIFS(Analytics!$R$5:$R$154,Analytics!$C$5:$C$154,C254))</f>
        <v>0</v>
      </c>
      <c r="N254" s="23">
        <f>IF(C254="","",SUMIFS(Analytics!$S$5:$S$154,Analytics!$C$5:$C$154,C254))</f>
        <v>0</v>
      </c>
      <c r="O254" s="23">
        <f>IF(C254="","",SUMIFS(Analytics!$T$5:$T$154,Analytics!$C$5:$C$154,C254))</f>
        <v>0</v>
      </c>
      <c r="P254" s="25">
        <f>IF(C254="","",SUMIFS(Analytics!$U$5:$U$154,Analytics!$C$5:$C$154,C254))</f>
        <v>0</v>
      </c>
      <c r="Q254" s="25">
        <f>IF(C254="","",SUMIFS(Budget!$H$5:$H$64,Budget!$C$5:$C$64,C254))</f>
        <v>0</v>
      </c>
      <c r="R254" s="25">
        <f>IF(C254="","",P254-Q254)</f>
        <v>0</v>
      </c>
      <c r="S254" s="23">
        <f>IF(C254="","",MonthlyPostTarget)</f>
        <v>0</v>
      </c>
      <c r="T254" s="17">
        <f>IF(Lists!$C254="","",Lists!$C254)</f>
        <v>0</v>
      </c>
      <c r="U254" s="23">
        <f>IF(T254="","",COUNTIFS('Content Calendar'!$G$5:$G$604,T254,'Content Calendar'!$B$5:$B$604,"&gt;="&amp;DashStart,'Content Calendar'!$B$5:$B$604,"&lt;="&amp;DashEnd))</f>
        <v>0</v>
      </c>
      <c r="V254" s="23">
        <f>IF(T254="","",COUNTIFS('Content Calendar'!$G$5:$G$604,T254,'Content Calendar'!$X$5:$X$604,"Published",'Content Calendar'!$B$5:$B$604,"&gt;="&amp;DashStart,'Content Calendar'!$B$5:$B$604,"&lt;="&amp;DashEnd))</f>
        <v>0</v>
      </c>
      <c r="W254" s="23">
        <f>IF(T254="","",SUMIFS(Analytics!$J$5:$J$154,Analytics!$D$5:$D$154,T254,Analytics!$B$5:$B$154,"&gt;="&amp;DashStart,Analytics!$B$5:$B$154,"&lt;="&amp;DashEnd))</f>
        <v>0</v>
      </c>
      <c r="X254" s="23">
        <f>IF(T254="","",SUMIFS(Analytics!$L$5:$L$154,Analytics!$D$5:$D$154,T254,Analytics!$B$5:$B$154,"&gt;="&amp;DashStart,Analytics!$B$5:$B$154,"&lt;="&amp;DashEnd))</f>
        <v>0</v>
      </c>
      <c r="Y254" s="24">
        <f>IF(OR(W254="",W254=0),"",X254/W254)</f>
        <v>0</v>
      </c>
      <c r="Z254" s="23">
        <f>IF(T254="","",SUMIFS(Analytics!$G$5:$G$154,Analytics!$D$5:$D$154,T254,Analytics!$B$5:$B$154,"&gt;="&amp;DashStart,Analytics!$B$5:$B$154,"&lt;="&amp;DashEnd))</f>
        <v>0</v>
      </c>
      <c r="AA254" s="23">
        <f>IF(T254="","",SUMIFS(Analytics!$X$5:$X$154,Analytics!$D$5:$D$154,T254,Analytics!$B$5:$B$154,"&gt;="&amp;DashStart,Analytics!$B$5:$B$154,"&lt;="&amp;DashEnd))</f>
        <v>0</v>
      </c>
      <c r="AB254" s="23">
        <f>IF(T254="","",SUMIFS(Analytics!$R$5:$R$154,Analytics!$D$5:$D$154,T254,Analytics!$B$5:$B$154,"&gt;="&amp;DashStart,Analytics!$B$5:$B$154,"&lt;="&amp;DashEnd))</f>
        <v>0</v>
      </c>
      <c r="AC254" s="25">
        <f>IF(T254="","",SUMIFS(Analytics!$U$5:$U$154,Analytics!$D$5:$D$154,T254,Analytics!$B$5:$B$154,"&gt;="&amp;DashStart,Analytics!$B$5:$B$154,"&lt;="&amp;DashEnd))</f>
        <v>0</v>
      </c>
      <c r="AD254" s="23">
        <f>IF(T254="","",COUNTIFS('Content Calendar'!$G$5:$G$604,T254,'Content Calendar'!$B$5:$B$604,"&gt;="&amp;DATE(PlanYear,1,1),'Content Calendar'!$B$5:$B$604,"&lt;="&amp;DATE(PlanYear,12,31)))</f>
        <v>0</v>
      </c>
      <c r="AE254" s="23">
        <f>IF(T254="","",SUMIFS(Analytics!$J$5:$J$154,Analytics!$D$5:$D$154,T254))</f>
        <v>0</v>
      </c>
      <c r="AF254" s="23">
        <f>IF(T254="","",SUMIFS(Analytics!$L$5:$L$154,Analytics!$D$5:$D$154,T254))</f>
        <v>0</v>
      </c>
      <c r="AG254" s="24">
        <f>IF(OR(AE254="",AE254=0),"",AF254/AE254)</f>
        <v>0</v>
      </c>
      <c r="AH254" s="23">
        <f>IF(T254="","",SUMIFS(Analytics!$X$5:$X$154,Analytics!$D$5:$D$154,T254))</f>
        <v>0</v>
      </c>
      <c r="AI254" s="32">
        <f>IF(T254="","",IF(AE254=0,"",AE254+ROW()/1000000))</f>
        <v>0</v>
      </c>
      <c r="AJ254" s="17">
        <f>IF('Content Pillars'!$B$254="","",'Content Pillars'!$B$254)</f>
        <v>0</v>
      </c>
      <c r="AK254" s="23">
        <f>IF(AJ254="","",COUNTIFS('Content Calendar'!$J$5:$J$604,AJ254,'Content Calendar'!$B$5:$B$604,"&gt;="&amp;DATE(PlanYear,1,1),'Content Calendar'!$B$5:$B$604,"&lt;="&amp;DATE(PlanYear,12,31)))</f>
        <v>0</v>
      </c>
      <c r="AL254" s="23">
        <f>IF(AJ254="","",SUMIFS(Performance!$O$5:$O$404,Performance!$H$5:$H$404,AJ254))</f>
        <v>0</v>
      </c>
      <c r="AM254" s="23">
        <f>IF(AJ254="","",SUMIFS(Performance!$Z$5:$Z$404,Performance!$H$5:$H$404,AJ254))</f>
        <v>0</v>
      </c>
      <c r="AN254" s="24">
        <f>IF(OR(AL254="",AL254=0),"",AM254/AL254)</f>
        <v>0</v>
      </c>
      <c r="AO254" s="32">
        <f>IF(AN254="","",AN254+ROW()/1000000)</f>
        <v>0</v>
      </c>
      <c r="AP254" s="17">
        <f>IF(Lists!$E254="","",Lists!$E254)</f>
        <v>0</v>
      </c>
      <c r="AQ254" s="23">
        <f>IF(AP254="","",COUNTIF(Performance!$G$5:$G$404,AP254))</f>
        <v>0</v>
      </c>
      <c r="AR254" s="23">
        <f>IF(AP254="","",SUMIFS(Performance!$O$5:$O$404,Performance!$G$5:$G$404,AP254))</f>
        <v>0</v>
      </c>
      <c r="AS254" s="23">
        <f>IF(AP254="","",SUMIFS(Performance!$Z$5:$Z$404,Performance!$G$5:$G$404,AP254))</f>
        <v>0</v>
      </c>
      <c r="AT254" s="24">
        <f>IF(OR(AR254="",AR254=0),"",AS254/AR254)</f>
        <v>0</v>
      </c>
      <c r="AU254" s="32">
        <f>IF(AQ254=0,"",IF(AT254="","",AT254+ROW()/1000000))</f>
        <v>0</v>
      </c>
      <c r="AV254" s="17">
        <f>IF(ROW()-4&gt;7,"",TEXT(DATE(2024,1,ROW()-4),"ddd"))</f>
        <v>0</v>
      </c>
      <c r="AW254" s="23">
        <f>IF(AV254="","",COUNTIF(Performance!$N$5:$N$404,AV254))</f>
        <v>0</v>
      </c>
      <c r="AX254" s="23">
        <f>IF(AV254="","",SUMIFS(Performance!$O$5:$O$404,Performance!$N$5:$N$404,AV254))</f>
        <v>0</v>
      </c>
      <c r="AY254" s="23">
        <f>IF(AV254="","",SUMIFS(Performance!$Z$5:$Z$404,Performance!$N$5:$N$404,AV254))</f>
        <v>0</v>
      </c>
      <c r="AZ254" s="24">
        <f>IF(OR(AX254="",AX254=0),"",AY254/AX254)</f>
        <v>0</v>
      </c>
      <c r="BA254" s="32">
        <f>IF(AW254=0,"",IF(AZ254="","",AZ254+ROW()/1000000))</f>
        <v>0</v>
      </c>
      <c r="BB254" s="17">
        <f>IF(Lists!$AL254="","",Lists!$AL254)</f>
        <v>0</v>
      </c>
      <c r="BC254" s="23">
        <f>IF(BB254="","",COUNTIF(Performance!$M$5:$M$404,BB254))</f>
        <v>0</v>
      </c>
      <c r="BD254" s="23">
        <f>IF(BB254="","",SUMIFS(Performance!$O$5:$O$404,Performance!$M$5:$M$404,BB254))</f>
        <v>0</v>
      </c>
      <c r="BE254" s="23">
        <f>IF(BB254="","",SUMIFS(Performance!$Z$5:$Z$404,Performance!$M$5:$M$404,BB254))</f>
        <v>0</v>
      </c>
      <c r="BF254" s="24">
        <f>IF(OR(BD254="",BD254=0),"",BE254/BD254)</f>
        <v>0</v>
      </c>
      <c r="BG254" s="32">
        <f>IF(BC254=0,"",IF(BF254="","",BF254+ROW()/1000000))</f>
        <v>0</v>
      </c>
      <c r="BH254" s="17">
        <f>IF(Performance!$C$254="","",Performance!$C$254)</f>
        <v>0</v>
      </c>
      <c r="BI254" s="17">
        <f>IF(Performance!$F$254="","",Performance!$F$254)</f>
        <v>0</v>
      </c>
      <c r="BJ254" s="17">
        <f>IF(Performance!$H$254="","",Performance!$H$254)</f>
        <v>0</v>
      </c>
      <c r="BK254" s="16">
        <f>IF(Performance!$D$254="","",Performance!$D$254)</f>
        <v>0</v>
      </c>
      <c r="BL254" s="17">
        <f>IF(Performance!$E$254="","",Performance!$E$254)</f>
        <v>0</v>
      </c>
      <c r="BM254" s="23">
        <f>IF(Performance!$O$254="","",Performance!$O$254)</f>
        <v>0</v>
      </c>
      <c r="BN254" s="24">
        <f>IF(Performance!$AA$254="","",Performance!$AA$254)</f>
        <v>0</v>
      </c>
      <c r="BO254" s="32">
        <f>IF(BH254="","",IF(BK254="","",IF(OR(BK254&lt;DashStart,BK254&gt;DashEnd),"",IF(BN254="","",BN254+ROW()/1000000))))</f>
        <v>0</v>
      </c>
      <c r="BP254" s="32">
        <f>IF(BM254="","",IF(BK254="","",IF(OR(BK254&lt;DashStart,BK254&gt;DashEnd),"",BM254+ROW()/1000000)))</f>
        <v>0</v>
      </c>
      <c r="BQ254" s="32">
        <f>IF(BH254="","",IF(BK254="","",IF(YEAR(BK254)&lt;&gt;PlanYear,"",IF(BN254="","",BN254+ROW()/1000000))))</f>
        <v>0</v>
      </c>
      <c r="BR254" s="32">
        <f>IF(BH254="","",IF(BK254="","",IF(OR(BK254&lt;RepFrom,BK254&gt;RepTo),"",IF(BN254="","",BN254+ROW()/1000000))))</f>
        <v>0</v>
      </c>
      <c r="BS254" s="32">
        <f>IF(BM254="","",IF(BK254="","",IF(YEAR(BK254)&lt;&gt;PlanYear,"",BM254+ROW()/1000000)))</f>
        <v>0</v>
      </c>
      <c r="BT254" s="17">
        <f>IF(Lists!$F254="","",Lists!$F254)</f>
        <v>0</v>
      </c>
      <c r="BU254" s="23">
        <f>IF(BT254="","",COUNTIF('Content Calendar'!$X$5:$X$604,BT254))</f>
        <v>0</v>
      </c>
      <c r="BV254" s="23">
        <f>IF(BT254="","",COUNTIFS('Content Calendar'!$X$5:$X$604,BT254,'Content Calendar'!$B$5:$B$604,"&gt;="&amp;DashStart,'Content Calendar'!$B$5:$B$604,"&lt;="&amp;DashEnd))</f>
        <v>0</v>
      </c>
      <c r="BW254" s="17">
        <f>IF(Team!$B$254="","",Team!$B$254)</f>
        <v>0</v>
      </c>
      <c r="BX254" s="23">
        <f>IF(BW254="","",COUNTIF('Content Calendar'!$W$5:$W$604,BW254))</f>
        <v>0</v>
      </c>
      <c r="BY254" s="23">
        <f>IF(BW254="","",COUNTIFS('Content Calendar'!$W$5:$W$604,BW254,'Content Calendar'!$X$5:$X$604,"&lt;&gt;Published"))</f>
        <v>0</v>
      </c>
      <c r="BZ254" s="23">
        <f>IF(BW254="","",COUNTIFS(Tasks!$C$5:$C$64,BW254,Tasks!$G$5:$G$64,"&lt;&gt;Complete"))</f>
        <v>0</v>
      </c>
      <c r="CA254" s="17">
        <f>IF(Campaigns!$B$254="","",Campaigns!$B$254)</f>
        <v>0</v>
      </c>
      <c r="CB254" s="25">
        <f>IF(Campaigns!$T$254="","",Campaigns!$T$254)</f>
        <v>0</v>
      </c>
      <c r="CC254" s="25">
        <f>IF(Campaigns!$Q$254="","",Campaigns!$Q$254)</f>
        <v>0</v>
      </c>
      <c r="CD254" s="23">
        <f>IF(Campaigns!$Y$254="","",Campaigns!$Y$254)</f>
        <v>0</v>
      </c>
      <c r="CE254" s="32">
        <f>IF(CA254="","",IF(N(CB254)&lt;=0,"",N(CB254)+ROW()/1000000))</f>
        <v>0</v>
      </c>
      <c r="CF254" s="17">
        <f>IF(Accounts!$C$254="","",Accounts!$C$254)</f>
        <v>0</v>
      </c>
      <c r="CG254" s="17">
        <f>IF(Accounts!$B$254="","",Accounts!$B$254)</f>
        <v>0</v>
      </c>
      <c r="CH254" s="23">
        <f>IF(Accounts!$J$254="","",Accounts!$J$254)</f>
        <v>0</v>
      </c>
      <c r="CI254" s="23">
        <f>IF(CF254="","",SUMIFS(Analytics!$X$5:$X$154,Analytics!$E$5:$E$154,CF254,Analytics!$B$5:$B$154,"&gt;="&amp;DashStart,Analytics!$B$5:$B$154,"&lt;="&amp;DashEnd))</f>
        <v>0</v>
      </c>
      <c r="CJ254" s="32">
        <f>IF(CH254="","",IF(CH254=0,"",CH254+ROW()/1000000))</f>
        <v>0</v>
      </c>
    </row>
    <row r="255" spans="1:88">
      <c r="A255" s="16">
        <f>IF(ROW()-4&gt;12,"",DATE(PlanYear,ROW()-4,1))</f>
        <v>0</v>
      </c>
      <c r="B255" s="16">
        <f>IF(A255="","",EOMONTH(A255,0))</f>
        <v>0</v>
      </c>
      <c r="C255" s="17">
        <f>IF(A255="","",TEXT(A255,"yyyy-mm"))</f>
        <v>0</v>
      </c>
      <c r="D255" s="17">
        <f>IF(A255="","",TEXT(A255,"mmm"))</f>
        <v>0</v>
      </c>
      <c r="E255" s="23">
        <f>IF(C255="","",COUNTIFS('Content Calendar'!$D$5:$D$604,C255))</f>
        <v>0</v>
      </c>
      <c r="F255" s="23">
        <f>IF(C255="","",COUNTIFS('Content Calendar'!$D$5:$D$604,C255,'Content Calendar'!$X$5:$X$604,"Published"))</f>
        <v>0</v>
      </c>
      <c r="G255" s="23">
        <f>IF(C255="","",SUMIFS(Analytics!$J$5:$J$154,Analytics!$C$5:$C$154,C255))</f>
        <v>0</v>
      </c>
      <c r="H255" s="23">
        <f>IF(C255="","",SUMIFS(Analytics!$K$5:$K$154,Analytics!$C$5:$C$154,C255))</f>
        <v>0</v>
      </c>
      <c r="I255" s="23">
        <f>IF(C255="","",SUMIFS(Analytics!$L$5:$L$154,Analytics!$C$5:$C$154,C255))</f>
        <v>0</v>
      </c>
      <c r="J255" s="24">
        <f>IF(OR(G255="",G255=0),"",I255/G255)</f>
        <v>0</v>
      </c>
      <c r="K255" s="23">
        <f>IF(C255="","",SUMIFS(Analytics!$G$5:$G$154,Analytics!$C$5:$C$154,C255))</f>
        <v>0</v>
      </c>
      <c r="L255" s="23">
        <f>IF(C255="","",SUMIFS(Analytics!$X$5:$X$154,Analytics!$C$5:$C$154,C255))</f>
        <v>0</v>
      </c>
      <c r="M255" s="23">
        <f>IF(C255="","",SUMIFS(Analytics!$R$5:$R$154,Analytics!$C$5:$C$154,C255))</f>
        <v>0</v>
      </c>
      <c r="N255" s="23">
        <f>IF(C255="","",SUMIFS(Analytics!$S$5:$S$154,Analytics!$C$5:$C$154,C255))</f>
        <v>0</v>
      </c>
      <c r="O255" s="23">
        <f>IF(C255="","",SUMIFS(Analytics!$T$5:$T$154,Analytics!$C$5:$C$154,C255))</f>
        <v>0</v>
      </c>
      <c r="P255" s="25">
        <f>IF(C255="","",SUMIFS(Analytics!$U$5:$U$154,Analytics!$C$5:$C$154,C255))</f>
        <v>0</v>
      </c>
      <c r="Q255" s="25">
        <f>IF(C255="","",SUMIFS(Budget!$H$5:$H$64,Budget!$C$5:$C$64,C255))</f>
        <v>0</v>
      </c>
      <c r="R255" s="25">
        <f>IF(C255="","",P255-Q255)</f>
        <v>0</v>
      </c>
      <c r="S255" s="23">
        <f>IF(C255="","",MonthlyPostTarget)</f>
        <v>0</v>
      </c>
      <c r="T255" s="17">
        <f>IF(Lists!$C255="","",Lists!$C255)</f>
        <v>0</v>
      </c>
      <c r="U255" s="23">
        <f>IF(T255="","",COUNTIFS('Content Calendar'!$G$5:$G$604,T255,'Content Calendar'!$B$5:$B$604,"&gt;="&amp;DashStart,'Content Calendar'!$B$5:$B$604,"&lt;="&amp;DashEnd))</f>
        <v>0</v>
      </c>
      <c r="V255" s="23">
        <f>IF(T255="","",COUNTIFS('Content Calendar'!$G$5:$G$604,T255,'Content Calendar'!$X$5:$X$604,"Published",'Content Calendar'!$B$5:$B$604,"&gt;="&amp;DashStart,'Content Calendar'!$B$5:$B$604,"&lt;="&amp;DashEnd))</f>
        <v>0</v>
      </c>
      <c r="W255" s="23">
        <f>IF(T255="","",SUMIFS(Analytics!$J$5:$J$154,Analytics!$D$5:$D$154,T255,Analytics!$B$5:$B$154,"&gt;="&amp;DashStart,Analytics!$B$5:$B$154,"&lt;="&amp;DashEnd))</f>
        <v>0</v>
      </c>
      <c r="X255" s="23">
        <f>IF(T255="","",SUMIFS(Analytics!$L$5:$L$154,Analytics!$D$5:$D$154,T255,Analytics!$B$5:$B$154,"&gt;="&amp;DashStart,Analytics!$B$5:$B$154,"&lt;="&amp;DashEnd))</f>
        <v>0</v>
      </c>
      <c r="Y255" s="24">
        <f>IF(OR(W255="",W255=0),"",X255/W255)</f>
        <v>0</v>
      </c>
      <c r="Z255" s="23">
        <f>IF(T255="","",SUMIFS(Analytics!$G$5:$G$154,Analytics!$D$5:$D$154,T255,Analytics!$B$5:$B$154,"&gt;="&amp;DashStart,Analytics!$B$5:$B$154,"&lt;="&amp;DashEnd))</f>
        <v>0</v>
      </c>
      <c r="AA255" s="23">
        <f>IF(T255="","",SUMIFS(Analytics!$X$5:$X$154,Analytics!$D$5:$D$154,T255,Analytics!$B$5:$B$154,"&gt;="&amp;DashStart,Analytics!$B$5:$B$154,"&lt;="&amp;DashEnd))</f>
        <v>0</v>
      </c>
      <c r="AB255" s="23">
        <f>IF(T255="","",SUMIFS(Analytics!$R$5:$R$154,Analytics!$D$5:$D$154,T255,Analytics!$B$5:$B$154,"&gt;="&amp;DashStart,Analytics!$B$5:$B$154,"&lt;="&amp;DashEnd))</f>
        <v>0</v>
      </c>
      <c r="AC255" s="25">
        <f>IF(T255="","",SUMIFS(Analytics!$U$5:$U$154,Analytics!$D$5:$D$154,T255,Analytics!$B$5:$B$154,"&gt;="&amp;DashStart,Analytics!$B$5:$B$154,"&lt;="&amp;DashEnd))</f>
        <v>0</v>
      </c>
      <c r="AD255" s="23">
        <f>IF(T255="","",COUNTIFS('Content Calendar'!$G$5:$G$604,T255,'Content Calendar'!$B$5:$B$604,"&gt;="&amp;DATE(PlanYear,1,1),'Content Calendar'!$B$5:$B$604,"&lt;="&amp;DATE(PlanYear,12,31)))</f>
        <v>0</v>
      </c>
      <c r="AE255" s="23">
        <f>IF(T255="","",SUMIFS(Analytics!$J$5:$J$154,Analytics!$D$5:$D$154,T255))</f>
        <v>0</v>
      </c>
      <c r="AF255" s="23">
        <f>IF(T255="","",SUMIFS(Analytics!$L$5:$L$154,Analytics!$D$5:$D$154,T255))</f>
        <v>0</v>
      </c>
      <c r="AG255" s="24">
        <f>IF(OR(AE255="",AE255=0),"",AF255/AE255)</f>
        <v>0</v>
      </c>
      <c r="AH255" s="23">
        <f>IF(T255="","",SUMIFS(Analytics!$X$5:$X$154,Analytics!$D$5:$D$154,T255))</f>
        <v>0</v>
      </c>
      <c r="AI255" s="32">
        <f>IF(T255="","",IF(AE255=0,"",AE255+ROW()/1000000))</f>
        <v>0</v>
      </c>
      <c r="AJ255" s="17">
        <f>IF('Content Pillars'!$B$255="","",'Content Pillars'!$B$255)</f>
        <v>0</v>
      </c>
      <c r="AK255" s="23">
        <f>IF(AJ255="","",COUNTIFS('Content Calendar'!$J$5:$J$604,AJ255,'Content Calendar'!$B$5:$B$604,"&gt;="&amp;DATE(PlanYear,1,1),'Content Calendar'!$B$5:$B$604,"&lt;="&amp;DATE(PlanYear,12,31)))</f>
        <v>0</v>
      </c>
      <c r="AL255" s="23">
        <f>IF(AJ255="","",SUMIFS(Performance!$O$5:$O$404,Performance!$H$5:$H$404,AJ255))</f>
        <v>0</v>
      </c>
      <c r="AM255" s="23">
        <f>IF(AJ255="","",SUMIFS(Performance!$Z$5:$Z$404,Performance!$H$5:$H$404,AJ255))</f>
        <v>0</v>
      </c>
      <c r="AN255" s="24">
        <f>IF(OR(AL255="",AL255=0),"",AM255/AL255)</f>
        <v>0</v>
      </c>
      <c r="AO255" s="32">
        <f>IF(AN255="","",AN255+ROW()/1000000)</f>
        <v>0</v>
      </c>
      <c r="AP255" s="17">
        <f>IF(Lists!$E255="","",Lists!$E255)</f>
        <v>0</v>
      </c>
      <c r="AQ255" s="23">
        <f>IF(AP255="","",COUNTIF(Performance!$G$5:$G$404,AP255))</f>
        <v>0</v>
      </c>
      <c r="AR255" s="23">
        <f>IF(AP255="","",SUMIFS(Performance!$O$5:$O$404,Performance!$G$5:$G$404,AP255))</f>
        <v>0</v>
      </c>
      <c r="AS255" s="23">
        <f>IF(AP255="","",SUMIFS(Performance!$Z$5:$Z$404,Performance!$G$5:$G$404,AP255))</f>
        <v>0</v>
      </c>
      <c r="AT255" s="24">
        <f>IF(OR(AR255="",AR255=0),"",AS255/AR255)</f>
        <v>0</v>
      </c>
      <c r="AU255" s="32">
        <f>IF(AQ255=0,"",IF(AT255="","",AT255+ROW()/1000000))</f>
        <v>0</v>
      </c>
      <c r="AV255" s="17">
        <f>IF(ROW()-4&gt;7,"",TEXT(DATE(2024,1,ROW()-4),"ddd"))</f>
        <v>0</v>
      </c>
      <c r="AW255" s="23">
        <f>IF(AV255="","",COUNTIF(Performance!$N$5:$N$404,AV255))</f>
        <v>0</v>
      </c>
      <c r="AX255" s="23">
        <f>IF(AV255="","",SUMIFS(Performance!$O$5:$O$404,Performance!$N$5:$N$404,AV255))</f>
        <v>0</v>
      </c>
      <c r="AY255" s="23">
        <f>IF(AV255="","",SUMIFS(Performance!$Z$5:$Z$404,Performance!$N$5:$N$404,AV255))</f>
        <v>0</v>
      </c>
      <c r="AZ255" s="24">
        <f>IF(OR(AX255="",AX255=0),"",AY255/AX255)</f>
        <v>0</v>
      </c>
      <c r="BA255" s="32">
        <f>IF(AW255=0,"",IF(AZ255="","",AZ255+ROW()/1000000))</f>
        <v>0</v>
      </c>
      <c r="BB255" s="17">
        <f>IF(Lists!$AL255="","",Lists!$AL255)</f>
        <v>0</v>
      </c>
      <c r="BC255" s="23">
        <f>IF(BB255="","",COUNTIF(Performance!$M$5:$M$404,BB255))</f>
        <v>0</v>
      </c>
      <c r="BD255" s="23">
        <f>IF(BB255="","",SUMIFS(Performance!$O$5:$O$404,Performance!$M$5:$M$404,BB255))</f>
        <v>0</v>
      </c>
      <c r="BE255" s="23">
        <f>IF(BB255="","",SUMIFS(Performance!$Z$5:$Z$404,Performance!$M$5:$M$404,BB255))</f>
        <v>0</v>
      </c>
      <c r="BF255" s="24">
        <f>IF(OR(BD255="",BD255=0),"",BE255/BD255)</f>
        <v>0</v>
      </c>
      <c r="BG255" s="32">
        <f>IF(BC255=0,"",IF(BF255="","",BF255+ROW()/1000000))</f>
        <v>0</v>
      </c>
      <c r="BH255" s="17">
        <f>IF(Performance!$C$255="","",Performance!$C$255)</f>
        <v>0</v>
      </c>
      <c r="BI255" s="17">
        <f>IF(Performance!$F$255="","",Performance!$F$255)</f>
        <v>0</v>
      </c>
      <c r="BJ255" s="17">
        <f>IF(Performance!$H$255="","",Performance!$H$255)</f>
        <v>0</v>
      </c>
      <c r="BK255" s="16">
        <f>IF(Performance!$D$255="","",Performance!$D$255)</f>
        <v>0</v>
      </c>
      <c r="BL255" s="17">
        <f>IF(Performance!$E$255="","",Performance!$E$255)</f>
        <v>0</v>
      </c>
      <c r="BM255" s="23">
        <f>IF(Performance!$O$255="","",Performance!$O$255)</f>
        <v>0</v>
      </c>
      <c r="BN255" s="24">
        <f>IF(Performance!$AA$255="","",Performance!$AA$255)</f>
        <v>0</v>
      </c>
      <c r="BO255" s="32">
        <f>IF(BH255="","",IF(BK255="","",IF(OR(BK255&lt;DashStart,BK255&gt;DashEnd),"",IF(BN255="","",BN255+ROW()/1000000))))</f>
        <v>0</v>
      </c>
      <c r="BP255" s="32">
        <f>IF(BM255="","",IF(BK255="","",IF(OR(BK255&lt;DashStart,BK255&gt;DashEnd),"",BM255+ROW()/1000000)))</f>
        <v>0</v>
      </c>
      <c r="BQ255" s="32">
        <f>IF(BH255="","",IF(BK255="","",IF(YEAR(BK255)&lt;&gt;PlanYear,"",IF(BN255="","",BN255+ROW()/1000000))))</f>
        <v>0</v>
      </c>
      <c r="BR255" s="32">
        <f>IF(BH255="","",IF(BK255="","",IF(OR(BK255&lt;RepFrom,BK255&gt;RepTo),"",IF(BN255="","",BN255+ROW()/1000000))))</f>
        <v>0</v>
      </c>
      <c r="BS255" s="32">
        <f>IF(BM255="","",IF(BK255="","",IF(YEAR(BK255)&lt;&gt;PlanYear,"",BM255+ROW()/1000000)))</f>
        <v>0</v>
      </c>
      <c r="BT255" s="17">
        <f>IF(Lists!$F255="","",Lists!$F255)</f>
        <v>0</v>
      </c>
      <c r="BU255" s="23">
        <f>IF(BT255="","",COUNTIF('Content Calendar'!$X$5:$X$604,BT255))</f>
        <v>0</v>
      </c>
      <c r="BV255" s="23">
        <f>IF(BT255="","",COUNTIFS('Content Calendar'!$X$5:$X$604,BT255,'Content Calendar'!$B$5:$B$604,"&gt;="&amp;DashStart,'Content Calendar'!$B$5:$B$604,"&lt;="&amp;DashEnd))</f>
        <v>0</v>
      </c>
      <c r="BW255" s="17">
        <f>IF(Team!$B$255="","",Team!$B$255)</f>
        <v>0</v>
      </c>
      <c r="BX255" s="23">
        <f>IF(BW255="","",COUNTIF('Content Calendar'!$W$5:$W$604,BW255))</f>
        <v>0</v>
      </c>
      <c r="BY255" s="23">
        <f>IF(BW255="","",COUNTIFS('Content Calendar'!$W$5:$W$604,BW255,'Content Calendar'!$X$5:$X$604,"&lt;&gt;Published"))</f>
        <v>0</v>
      </c>
      <c r="BZ255" s="23">
        <f>IF(BW255="","",COUNTIFS(Tasks!$C$5:$C$64,BW255,Tasks!$G$5:$G$64,"&lt;&gt;Complete"))</f>
        <v>0</v>
      </c>
      <c r="CA255" s="17">
        <f>IF(Campaigns!$B$255="","",Campaigns!$B$255)</f>
        <v>0</v>
      </c>
      <c r="CB255" s="25">
        <f>IF(Campaigns!$T$255="","",Campaigns!$T$255)</f>
        <v>0</v>
      </c>
      <c r="CC255" s="25">
        <f>IF(Campaigns!$Q$255="","",Campaigns!$Q$255)</f>
        <v>0</v>
      </c>
      <c r="CD255" s="23">
        <f>IF(Campaigns!$Y$255="","",Campaigns!$Y$255)</f>
        <v>0</v>
      </c>
      <c r="CE255" s="32">
        <f>IF(CA255="","",IF(N(CB255)&lt;=0,"",N(CB255)+ROW()/1000000))</f>
        <v>0</v>
      </c>
      <c r="CF255" s="17">
        <f>IF(Accounts!$C$255="","",Accounts!$C$255)</f>
        <v>0</v>
      </c>
      <c r="CG255" s="17">
        <f>IF(Accounts!$B$255="","",Accounts!$B$255)</f>
        <v>0</v>
      </c>
      <c r="CH255" s="23">
        <f>IF(Accounts!$J$255="","",Accounts!$J$255)</f>
        <v>0</v>
      </c>
      <c r="CI255" s="23">
        <f>IF(CF255="","",SUMIFS(Analytics!$X$5:$X$154,Analytics!$E$5:$E$154,CF255,Analytics!$B$5:$B$154,"&gt;="&amp;DashStart,Analytics!$B$5:$B$154,"&lt;="&amp;DashEnd))</f>
        <v>0</v>
      </c>
      <c r="CJ255" s="32">
        <f>IF(CH255="","",IF(CH255=0,"",CH255+ROW()/1000000))</f>
        <v>0</v>
      </c>
    </row>
    <row r="256" spans="1:88">
      <c r="A256" s="16">
        <f>IF(ROW()-4&gt;12,"",DATE(PlanYear,ROW()-4,1))</f>
        <v>0</v>
      </c>
      <c r="B256" s="16">
        <f>IF(A256="","",EOMONTH(A256,0))</f>
        <v>0</v>
      </c>
      <c r="C256" s="17">
        <f>IF(A256="","",TEXT(A256,"yyyy-mm"))</f>
        <v>0</v>
      </c>
      <c r="D256" s="17">
        <f>IF(A256="","",TEXT(A256,"mmm"))</f>
        <v>0</v>
      </c>
      <c r="E256" s="23">
        <f>IF(C256="","",COUNTIFS('Content Calendar'!$D$5:$D$604,C256))</f>
        <v>0</v>
      </c>
      <c r="F256" s="23">
        <f>IF(C256="","",COUNTIFS('Content Calendar'!$D$5:$D$604,C256,'Content Calendar'!$X$5:$X$604,"Published"))</f>
        <v>0</v>
      </c>
      <c r="G256" s="23">
        <f>IF(C256="","",SUMIFS(Analytics!$J$5:$J$154,Analytics!$C$5:$C$154,C256))</f>
        <v>0</v>
      </c>
      <c r="H256" s="23">
        <f>IF(C256="","",SUMIFS(Analytics!$K$5:$K$154,Analytics!$C$5:$C$154,C256))</f>
        <v>0</v>
      </c>
      <c r="I256" s="23">
        <f>IF(C256="","",SUMIFS(Analytics!$L$5:$L$154,Analytics!$C$5:$C$154,C256))</f>
        <v>0</v>
      </c>
      <c r="J256" s="24">
        <f>IF(OR(G256="",G256=0),"",I256/G256)</f>
        <v>0</v>
      </c>
      <c r="K256" s="23">
        <f>IF(C256="","",SUMIFS(Analytics!$G$5:$G$154,Analytics!$C$5:$C$154,C256))</f>
        <v>0</v>
      </c>
      <c r="L256" s="23">
        <f>IF(C256="","",SUMIFS(Analytics!$X$5:$X$154,Analytics!$C$5:$C$154,C256))</f>
        <v>0</v>
      </c>
      <c r="M256" s="23">
        <f>IF(C256="","",SUMIFS(Analytics!$R$5:$R$154,Analytics!$C$5:$C$154,C256))</f>
        <v>0</v>
      </c>
      <c r="N256" s="23">
        <f>IF(C256="","",SUMIFS(Analytics!$S$5:$S$154,Analytics!$C$5:$C$154,C256))</f>
        <v>0</v>
      </c>
      <c r="O256" s="23">
        <f>IF(C256="","",SUMIFS(Analytics!$T$5:$T$154,Analytics!$C$5:$C$154,C256))</f>
        <v>0</v>
      </c>
      <c r="P256" s="25">
        <f>IF(C256="","",SUMIFS(Analytics!$U$5:$U$154,Analytics!$C$5:$C$154,C256))</f>
        <v>0</v>
      </c>
      <c r="Q256" s="25">
        <f>IF(C256="","",SUMIFS(Budget!$H$5:$H$64,Budget!$C$5:$C$64,C256))</f>
        <v>0</v>
      </c>
      <c r="R256" s="25">
        <f>IF(C256="","",P256-Q256)</f>
        <v>0</v>
      </c>
      <c r="S256" s="23">
        <f>IF(C256="","",MonthlyPostTarget)</f>
        <v>0</v>
      </c>
      <c r="T256" s="17">
        <f>IF(Lists!$C256="","",Lists!$C256)</f>
        <v>0</v>
      </c>
      <c r="U256" s="23">
        <f>IF(T256="","",COUNTIFS('Content Calendar'!$G$5:$G$604,T256,'Content Calendar'!$B$5:$B$604,"&gt;="&amp;DashStart,'Content Calendar'!$B$5:$B$604,"&lt;="&amp;DashEnd))</f>
        <v>0</v>
      </c>
      <c r="V256" s="23">
        <f>IF(T256="","",COUNTIFS('Content Calendar'!$G$5:$G$604,T256,'Content Calendar'!$X$5:$X$604,"Published",'Content Calendar'!$B$5:$B$604,"&gt;="&amp;DashStart,'Content Calendar'!$B$5:$B$604,"&lt;="&amp;DashEnd))</f>
        <v>0</v>
      </c>
      <c r="W256" s="23">
        <f>IF(T256="","",SUMIFS(Analytics!$J$5:$J$154,Analytics!$D$5:$D$154,T256,Analytics!$B$5:$B$154,"&gt;="&amp;DashStart,Analytics!$B$5:$B$154,"&lt;="&amp;DashEnd))</f>
        <v>0</v>
      </c>
      <c r="X256" s="23">
        <f>IF(T256="","",SUMIFS(Analytics!$L$5:$L$154,Analytics!$D$5:$D$154,T256,Analytics!$B$5:$B$154,"&gt;="&amp;DashStart,Analytics!$B$5:$B$154,"&lt;="&amp;DashEnd))</f>
        <v>0</v>
      </c>
      <c r="Y256" s="24">
        <f>IF(OR(W256="",W256=0),"",X256/W256)</f>
        <v>0</v>
      </c>
      <c r="Z256" s="23">
        <f>IF(T256="","",SUMIFS(Analytics!$G$5:$G$154,Analytics!$D$5:$D$154,T256,Analytics!$B$5:$B$154,"&gt;="&amp;DashStart,Analytics!$B$5:$B$154,"&lt;="&amp;DashEnd))</f>
        <v>0</v>
      </c>
      <c r="AA256" s="23">
        <f>IF(T256="","",SUMIFS(Analytics!$X$5:$X$154,Analytics!$D$5:$D$154,T256,Analytics!$B$5:$B$154,"&gt;="&amp;DashStart,Analytics!$B$5:$B$154,"&lt;="&amp;DashEnd))</f>
        <v>0</v>
      </c>
      <c r="AB256" s="23">
        <f>IF(T256="","",SUMIFS(Analytics!$R$5:$R$154,Analytics!$D$5:$D$154,T256,Analytics!$B$5:$B$154,"&gt;="&amp;DashStart,Analytics!$B$5:$B$154,"&lt;="&amp;DashEnd))</f>
        <v>0</v>
      </c>
      <c r="AC256" s="25">
        <f>IF(T256="","",SUMIFS(Analytics!$U$5:$U$154,Analytics!$D$5:$D$154,T256,Analytics!$B$5:$B$154,"&gt;="&amp;DashStart,Analytics!$B$5:$B$154,"&lt;="&amp;DashEnd))</f>
        <v>0</v>
      </c>
      <c r="AD256" s="23">
        <f>IF(T256="","",COUNTIFS('Content Calendar'!$G$5:$G$604,T256,'Content Calendar'!$B$5:$B$604,"&gt;="&amp;DATE(PlanYear,1,1),'Content Calendar'!$B$5:$B$604,"&lt;="&amp;DATE(PlanYear,12,31)))</f>
        <v>0</v>
      </c>
      <c r="AE256" s="23">
        <f>IF(T256="","",SUMIFS(Analytics!$J$5:$J$154,Analytics!$D$5:$D$154,T256))</f>
        <v>0</v>
      </c>
      <c r="AF256" s="23">
        <f>IF(T256="","",SUMIFS(Analytics!$L$5:$L$154,Analytics!$D$5:$D$154,T256))</f>
        <v>0</v>
      </c>
      <c r="AG256" s="24">
        <f>IF(OR(AE256="",AE256=0),"",AF256/AE256)</f>
        <v>0</v>
      </c>
      <c r="AH256" s="23">
        <f>IF(T256="","",SUMIFS(Analytics!$X$5:$X$154,Analytics!$D$5:$D$154,T256))</f>
        <v>0</v>
      </c>
      <c r="AI256" s="32">
        <f>IF(T256="","",IF(AE256=0,"",AE256+ROW()/1000000))</f>
        <v>0</v>
      </c>
      <c r="AJ256" s="17">
        <f>IF('Content Pillars'!$B$256="","",'Content Pillars'!$B$256)</f>
        <v>0</v>
      </c>
      <c r="AK256" s="23">
        <f>IF(AJ256="","",COUNTIFS('Content Calendar'!$J$5:$J$604,AJ256,'Content Calendar'!$B$5:$B$604,"&gt;="&amp;DATE(PlanYear,1,1),'Content Calendar'!$B$5:$B$604,"&lt;="&amp;DATE(PlanYear,12,31)))</f>
        <v>0</v>
      </c>
      <c r="AL256" s="23">
        <f>IF(AJ256="","",SUMIFS(Performance!$O$5:$O$404,Performance!$H$5:$H$404,AJ256))</f>
        <v>0</v>
      </c>
      <c r="AM256" s="23">
        <f>IF(AJ256="","",SUMIFS(Performance!$Z$5:$Z$404,Performance!$H$5:$H$404,AJ256))</f>
        <v>0</v>
      </c>
      <c r="AN256" s="24">
        <f>IF(OR(AL256="",AL256=0),"",AM256/AL256)</f>
        <v>0</v>
      </c>
      <c r="AO256" s="32">
        <f>IF(AN256="","",AN256+ROW()/1000000)</f>
        <v>0</v>
      </c>
      <c r="AP256" s="17">
        <f>IF(Lists!$E256="","",Lists!$E256)</f>
        <v>0</v>
      </c>
      <c r="AQ256" s="23">
        <f>IF(AP256="","",COUNTIF(Performance!$G$5:$G$404,AP256))</f>
        <v>0</v>
      </c>
      <c r="AR256" s="23">
        <f>IF(AP256="","",SUMIFS(Performance!$O$5:$O$404,Performance!$G$5:$G$404,AP256))</f>
        <v>0</v>
      </c>
      <c r="AS256" s="23">
        <f>IF(AP256="","",SUMIFS(Performance!$Z$5:$Z$404,Performance!$G$5:$G$404,AP256))</f>
        <v>0</v>
      </c>
      <c r="AT256" s="24">
        <f>IF(OR(AR256="",AR256=0),"",AS256/AR256)</f>
        <v>0</v>
      </c>
      <c r="AU256" s="32">
        <f>IF(AQ256=0,"",IF(AT256="","",AT256+ROW()/1000000))</f>
        <v>0</v>
      </c>
      <c r="AV256" s="17">
        <f>IF(ROW()-4&gt;7,"",TEXT(DATE(2024,1,ROW()-4),"ddd"))</f>
        <v>0</v>
      </c>
      <c r="AW256" s="23">
        <f>IF(AV256="","",COUNTIF(Performance!$N$5:$N$404,AV256))</f>
        <v>0</v>
      </c>
      <c r="AX256" s="23">
        <f>IF(AV256="","",SUMIFS(Performance!$O$5:$O$404,Performance!$N$5:$N$404,AV256))</f>
        <v>0</v>
      </c>
      <c r="AY256" s="23">
        <f>IF(AV256="","",SUMIFS(Performance!$Z$5:$Z$404,Performance!$N$5:$N$404,AV256))</f>
        <v>0</v>
      </c>
      <c r="AZ256" s="24">
        <f>IF(OR(AX256="",AX256=0),"",AY256/AX256)</f>
        <v>0</v>
      </c>
      <c r="BA256" s="32">
        <f>IF(AW256=0,"",IF(AZ256="","",AZ256+ROW()/1000000))</f>
        <v>0</v>
      </c>
      <c r="BB256" s="17">
        <f>IF(Lists!$AL256="","",Lists!$AL256)</f>
        <v>0</v>
      </c>
      <c r="BC256" s="23">
        <f>IF(BB256="","",COUNTIF(Performance!$M$5:$M$404,BB256))</f>
        <v>0</v>
      </c>
      <c r="BD256" s="23">
        <f>IF(BB256="","",SUMIFS(Performance!$O$5:$O$404,Performance!$M$5:$M$404,BB256))</f>
        <v>0</v>
      </c>
      <c r="BE256" s="23">
        <f>IF(BB256="","",SUMIFS(Performance!$Z$5:$Z$404,Performance!$M$5:$M$404,BB256))</f>
        <v>0</v>
      </c>
      <c r="BF256" s="24">
        <f>IF(OR(BD256="",BD256=0),"",BE256/BD256)</f>
        <v>0</v>
      </c>
      <c r="BG256" s="32">
        <f>IF(BC256=0,"",IF(BF256="","",BF256+ROW()/1000000))</f>
        <v>0</v>
      </c>
      <c r="BH256" s="17">
        <f>IF(Performance!$C$256="","",Performance!$C$256)</f>
        <v>0</v>
      </c>
      <c r="BI256" s="17">
        <f>IF(Performance!$F$256="","",Performance!$F$256)</f>
        <v>0</v>
      </c>
      <c r="BJ256" s="17">
        <f>IF(Performance!$H$256="","",Performance!$H$256)</f>
        <v>0</v>
      </c>
      <c r="BK256" s="16">
        <f>IF(Performance!$D$256="","",Performance!$D$256)</f>
        <v>0</v>
      </c>
      <c r="BL256" s="17">
        <f>IF(Performance!$E$256="","",Performance!$E$256)</f>
        <v>0</v>
      </c>
      <c r="BM256" s="23">
        <f>IF(Performance!$O$256="","",Performance!$O$256)</f>
        <v>0</v>
      </c>
      <c r="BN256" s="24">
        <f>IF(Performance!$AA$256="","",Performance!$AA$256)</f>
        <v>0</v>
      </c>
      <c r="BO256" s="32">
        <f>IF(BH256="","",IF(BK256="","",IF(OR(BK256&lt;DashStart,BK256&gt;DashEnd),"",IF(BN256="","",BN256+ROW()/1000000))))</f>
        <v>0</v>
      </c>
      <c r="BP256" s="32">
        <f>IF(BM256="","",IF(BK256="","",IF(OR(BK256&lt;DashStart,BK256&gt;DashEnd),"",BM256+ROW()/1000000)))</f>
        <v>0</v>
      </c>
      <c r="BQ256" s="32">
        <f>IF(BH256="","",IF(BK256="","",IF(YEAR(BK256)&lt;&gt;PlanYear,"",IF(BN256="","",BN256+ROW()/1000000))))</f>
        <v>0</v>
      </c>
      <c r="BR256" s="32">
        <f>IF(BH256="","",IF(BK256="","",IF(OR(BK256&lt;RepFrom,BK256&gt;RepTo),"",IF(BN256="","",BN256+ROW()/1000000))))</f>
        <v>0</v>
      </c>
      <c r="BS256" s="32">
        <f>IF(BM256="","",IF(BK256="","",IF(YEAR(BK256)&lt;&gt;PlanYear,"",BM256+ROW()/1000000)))</f>
        <v>0</v>
      </c>
      <c r="BT256" s="17">
        <f>IF(Lists!$F256="","",Lists!$F256)</f>
        <v>0</v>
      </c>
      <c r="BU256" s="23">
        <f>IF(BT256="","",COUNTIF('Content Calendar'!$X$5:$X$604,BT256))</f>
        <v>0</v>
      </c>
      <c r="BV256" s="23">
        <f>IF(BT256="","",COUNTIFS('Content Calendar'!$X$5:$X$604,BT256,'Content Calendar'!$B$5:$B$604,"&gt;="&amp;DashStart,'Content Calendar'!$B$5:$B$604,"&lt;="&amp;DashEnd))</f>
        <v>0</v>
      </c>
      <c r="BW256" s="17">
        <f>IF(Team!$B$256="","",Team!$B$256)</f>
        <v>0</v>
      </c>
      <c r="BX256" s="23">
        <f>IF(BW256="","",COUNTIF('Content Calendar'!$W$5:$W$604,BW256))</f>
        <v>0</v>
      </c>
      <c r="BY256" s="23">
        <f>IF(BW256="","",COUNTIFS('Content Calendar'!$W$5:$W$604,BW256,'Content Calendar'!$X$5:$X$604,"&lt;&gt;Published"))</f>
        <v>0</v>
      </c>
      <c r="BZ256" s="23">
        <f>IF(BW256="","",COUNTIFS(Tasks!$C$5:$C$64,BW256,Tasks!$G$5:$G$64,"&lt;&gt;Complete"))</f>
        <v>0</v>
      </c>
      <c r="CA256" s="17">
        <f>IF(Campaigns!$B$256="","",Campaigns!$B$256)</f>
        <v>0</v>
      </c>
      <c r="CB256" s="25">
        <f>IF(Campaigns!$T$256="","",Campaigns!$T$256)</f>
        <v>0</v>
      </c>
      <c r="CC256" s="25">
        <f>IF(Campaigns!$Q$256="","",Campaigns!$Q$256)</f>
        <v>0</v>
      </c>
      <c r="CD256" s="23">
        <f>IF(Campaigns!$Y$256="","",Campaigns!$Y$256)</f>
        <v>0</v>
      </c>
      <c r="CE256" s="32">
        <f>IF(CA256="","",IF(N(CB256)&lt;=0,"",N(CB256)+ROW()/1000000))</f>
        <v>0</v>
      </c>
      <c r="CF256" s="17">
        <f>IF(Accounts!$C$256="","",Accounts!$C$256)</f>
        <v>0</v>
      </c>
      <c r="CG256" s="17">
        <f>IF(Accounts!$B$256="","",Accounts!$B$256)</f>
        <v>0</v>
      </c>
      <c r="CH256" s="23">
        <f>IF(Accounts!$J$256="","",Accounts!$J$256)</f>
        <v>0</v>
      </c>
      <c r="CI256" s="23">
        <f>IF(CF256="","",SUMIFS(Analytics!$X$5:$X$154,Analytics!$E$5:$E$154,CF256,Analytics!$B$5:$B$154,"&gt;="&amp;DashStart,Analytics!$B$5:$B$154,"&lt;="&amp;DashEnd))</f>
        <v>0</v>
      </c>
      <c r="CJ256" s="32">
        <f>IF(CH256="","",IF(CH256=0,"",CH256+ROW()/1000000))</f>
        <v>0</v>
      </c>
    </row>
    <row r="257" spans="1:88">
      <c r="A257" s="16">
        <f>IF(ROW()-4&gt;12,"",DATE(PlanYear,ROW()-4,1))</f>
        <v>0</v>
      </c>
      <c r="B257" s="16">
        <f>IF(A257="","",EOMONTH(A257,0))</f>
        <v>0</v>
      </c>
      <c r="C257" s="17">
        <f>IF(A257="","",TEXT(A257,"yyyy-mm"))</f>
        <v>0</v>
      </c>
      <c r="D257" s="17">
        <f>IF(A257="","",TEXT(A257,"mmm"))</f>
        <v>0</v>
      </c>
      <c r="E257" s="23">
        <f>IF(C257="","",COUNTIFS('Content Calendar'!$D$5:$D$604,C257))</f>
        <v>0</v>
      </c>
      <c r="F257" s="23">
        <f>IF(C257="","",COUNTIFS('Content Calendar'!$D$5:$D$604,C257,'Content Calendar'!$X$5:$X$604,"Published"))</f>
        <v>0</v>
      </c>
      <c r="G257" s="23">
        <f>IF(C257="","",SUMIFS(Analytics!$J$5:$J$154,Analytics!$C$5:$C$154,C257))</f>
        <v>0</v>
      </c>
      <c r="H257" s="23">
        <f>IF(C257="","",SUMIFS(Analytics!$K$5:$K$154,Analytics!$C$5:$C$154,C257))</f>
        <v>0</v>
      </c>
      <c r="I257" s="23">
        <f>IF(C257="","",SUMIFS(Analytics!$L$5:$L$154,Analytics!$C$5:$C$154,C257))</f>
        <v>0</v>
      </c>
      <c r="J257" s="24">
        <f>IF(OR(G257="",G257=0),"",I257/G257)</f>
        <v>0</v>
      </c>
      <c r="K257" s="23">
        <f>IF(C257="","",SUMIFS(Analytics!$G$5:$G$154,Analytics!$C$5:$C$154,C257))</f>
        <v>0</v>
      </c>
      <c r="L257" s="23">
        <f>IF(C257="","",SUMIFS(Analytics!$X$5:$X$154,Analytics!$C$5:$C$154,C257))</f>
        <v>0</v>
      </c>
      <c r="M257" s="23">
        <f>IF(C257="","",SUMIFS(Analytics!$R$5:$R$154,Analytics!$C$5:$C$154,C257))</f>
        <v>0</v>
      </c>
      <c r="N257" s="23">
        <f>IF(C257="","",SUMIFS(Analytics!$S$5:$S$154,Analytics!$C$5:$C$154,C257))</f>
        <v>0</v>
      </c>
      <c r="O257" s="23">
        <f>IF(C257="","",SUMIFS(Analytics!$T$5:$T$154,Analytics!$C$5:$C$154,C257))</f>
        <v>0</v>
      </c>
      <c r="P257" s="25">
        <f>IF(C257="","",SUMIFS(Analytics!$U$5:$U$154,Analytics!$C$5:$C$154,C257))</f>
        <v>0</v>
      </c>
      <c r="Q257" s="25">
        <f>IF(C257="","",SUMIFS(Budget!$H$5:$H$64,Budget!$C$5:$C$64,C257))</f>
        <v>0</v>
      </c>
      <c r="R257" s="25">
        <f>IF(C257="","",P257-Q257)</f>
        <v>0</v>
      </c>
      <c r="S257" s="23">
        <f>IF(C257="","",MonthlyPostTarget)</f>
        <v>0</v>
      </c>
      <c r="T257" s="17">
        <f>IF(Lists!$C257="","",Lists!$C257)</f>
        <v>0</v>
      </c>
      <c r="U257" s="23">
        <f>IF(T257="","",COUNTIFS('Content Calendar'!$G$5:$G$604,T257,'Content Calendar'!$B$5:$B$604,"&gt;="&amp;DashStart,'Content Calendar'!$B$5:$B$604,"&lt;="&amp;DashEnd))</f>
        <v>0</v>
      </c>
      <c r="V257" s="23">
        <f>IF(T257="","",COUNTIFS('Content Calendar'!$G$5:$G$604,T257,'Content Calendar'!$X$5:$X$604,"Published",'Content Calendar'!$B$5:$B$604,"&gt;="&amp;DashStart,'Content Calendar'!$B$5:$B$604,"&lt;="&amp;DashEnd))</f>
        <v>0</v>
      </c>
      <c r="W257" s="23">
        <f>IF(T257="","",SUMIFS(Analytics!$J$5:$J$154,Analytics!$D$5:$D$154,T257,Analytics!$B$5:$B$154,"&gt;="&amp;DashStart,Analytics!$B$5:$B$154,"&lt;="&amp;DashEnd))</f>
        <v>0</v>
      </c>
      <c r="X257" s="23">
        <f>IF(T257="","",SUMIFS(Analytics!$L$5:$L$154,Analytics!$D$5:$D$154,T257,Analytics!$B$5:$B$154,"&gt;="&amp;DashStart,Analytics!$B$5:$B$154,"&lt;="&amp;DashEnd))</f>
        <v>0</v>
      </c>
      <c r="Y257" s="24">
        <f>IF(OR(W257="",W257=0),"",X257/W257)</f>
        <v>0</v>
      </c>
      <c r="Z257" s="23">
        <f>IF(T257="","",SUMIFS(Analytics!$G$5:$G$154,Analytics!$D$5:$D$154,T257,Analytics!$B$5:$B$154,"&gt;="&amp;DashStart,Analytics!$B$5:$B$154,"&lt;="&amp;DashEnd))</f>
        <v>0</v>
      </c>
      <c r="AA257" s="23">
        <f>IF(T257="","",SUMIFS(Analytics!$X$5:$X$154,Analytics!$D$5:$D$154,T257,Analytics!$B$5:$B$154,"&gt;="&amp;DashStart,Analytics!$B$5:$B$154,"&lt;="&amp;DashEnd))</f>
        <v>0</v>
      </c>
      <c r="AB257" s="23">
        <f>IF(T257="","",SUMIFS(Analytics!$R$5:$R$154,Analytics!$D$5:$D$154,T257,Analytics!$B$5:$B$154,"&gt;="&amp;DashStart,Analytics!$B$5:$B$154,"&lt;="&amp;DashEnd))</f>
        <v>0</v>
      </c>
      <c r="AC257" s="25">
        <f>IF(T257="","",SUMIFS(Analytics!$U$5:$U$154,Analytics!$D$5:$D$154,T257,Analytics!$B$5:$B$154,"&gt;="&amp;DashStart,Analytics!$B$5:$B$154,"&lt;="&amp;DashEnd))</f>
        <v>0</v>
      </c>
      <c r="AD257" s="23">
        <f>IF(T257="","",COUNTIFS('Content Calendar'!$G$5:$G$604,T257,'Content Calendar'!$B$5:$B$604,"&gt;="&amp;DATE(PlanYear,1,1),'Content Calendar'!$B$5:$B$604,"&lt;="&amp;DATE(PlanYear,12,31)))</f>
        <v>0</v>
      </c>
      <c r="AE257" s="23">
        <f>IF(T257="","",SUMIFS(Analytics!$J$5:$J$154,Analytics!$D$5:$D$154,T257))</f>
        <v>0</v>
      </c>
      <c r="AF257" s="23">
        <f>IF(T257="","",SUMIFS(Analytics!$L$5:$L$154,Analytics!$D$5:$D$154,T257))</f>
        <v>0</v>
      </c>
      <c r="AG257" s="24">
        <f>IF(OR(AE257="",AE257=0),"",AF257/AE257)</f>
        <v>0</v>
      </c>
      <c r="AH257" s="23">
        <f>IF(T257="","",SUMIFS(Analytics!$X$5:$X$154,Analytics!$D$5:$D$154,T257))</f>
        <v>0</v>
      </c>
      <c r="AI257" s="32">
        <f>IF(T257="","",IF(AE257=0,"",AE257+ROW()/1000000))</f>
        <v>0</v>
      </c>
      <c r="AJ257" s="17">
        <f>IF('Content Pillars'!$B$257="","",'Content Pillars'!$B$257)</f>
        <v>0</v>
      </c>
      <c r="AK257" s="23">
        <f>IF(AJ257="","",COUNTIFS('Content Calendar'!$J$5:$J$604,AJ257,'Content Calendar'!$B$5:$B$604,"&gt;="&amp;DATE(PlanYear,1,1),'Content Calendar'!$B$5:$B$604,"&lt;="&amp;DATE(PlanYear,12,31)))</f>
        <v>0</v>
      </c>
      <c r="AL257" s="23">
        <f>IF(AJ257="","",SUMIFS(Performance!$O$5:$O$404,Performance!$H$5:$H$404,AJ257))</f>
        <v>0</v>
      </c>
      <c r="AM257" s="23">
        <f>IF(AJ257="","",SUMIFS(Performance!$Z$5:$Z$404,Performance!$H$5:$H$404,AJ257))</f>
        <v>0</v>
      </c>
      <c r="AN257" s="24">
        <f>IF(OR(AL257="",AL257=0),"",AM257/AL257)</f>
        <v>0</v>
      </c>
      <c r="AO257" s="32">
        <f>IF(AN257="","",AN257+ROW()/1000000)</f>
        <v>0</v>
      </c>
      <c r="AP257" s="17">
        <f>IF(Lists!$E257="","",Lists!$E257)</f>
        <v>0</v>
      </c>
      <c r="AQ257" s="23">
        <f>IF(AP257="","",COUNTIF(Performance!$G$5:$G$404,AP257))</f>
        <v>0</v>
      </c>
      <c r="AR257" s="23">
        <f>IF(AP257="","",SUMIFS(Performance!$O$5:$O$404,Performance!$G$5:$G$404,AP257))</f>
        <v>0</v>
      </c>
      <c r="AS257" s="23">
        <f>IF(AP257="","",SUMIFS(Performance!$Z$5:$Z$404,Performance!$G$5:$G$404,AP257))</f>
        <v>0</v>
      </c>
      <c r="AT257" s="24">
        <f>IF(OR(AR257="",AR257=0),"",AS257/AR257)</f>
        <v>0</v>
      </c>
      <c r="AU257" s="32">
        <f>IF(AQ257=0,"",IF(AT257="","",AT257+ROW()/1000000))</f>
        <v>0</v>
      </c>
      <c r="AV257" s="17">
        <f>IF(ROW()-4&gt;7,"",TEXT(DATE(2024,1,ROW()-4),"ddd"))</f>
        <v>0</v>
      </c>
      <c r="AW257" s="23">
        <f>IF(AV257="","",COUNTIF(Performance!$N$5:$N$404,AV257))</f>
        <v>0</v>
      </c>
      <c r="AX257" s="23">
        <f>IF(AV257="","",SUMIFS(Performance!$O$5:$O$404,Performance!$N$5:$N$404,AV257))</f>
        <v>0</v>
      </c>
      <c r="AY257" s="23">
        <f>IF(AV257="","",SUMIFS(Performance!$Z$5:$Z$404,Performance!$N$5:$N$404,AV257))</f>
        <v>0</v>
      </c>
      <c r="AZ257" s="24">
        <f>IF(OR(AX257="",AX257=0),"",AY257/AX257)</f>
        <v>0</v>
      </c>
      <c r="BA257" s="32">
        <f>IF(AW257=0,"",IF(AZ257="","",AZ257+ROW()/1000000))</f>
        <v>0</v>
      </c>
      <c r="BB257" s="17">
        <f>IF(Lists!$AL257="","",Lists!$AL257)</f>
        <v>0</v>
      </c>
      <c r="BC257" s="23">
        <f>IF(BB257="","",COUNTIF(Performance!$M$5:$M$404,BB257))</f>
        <v>0</v>
      </c>
      <c r="BD257" s="23">
        <f>IF(BB257="","",SUMIFS(Performance!$O$5:$O$404,Performance!$M$5:$M$404,BB257))</f>
        <v>0</v>
      </c>
      <c r="BE257" s="23">
        <f>IF(BB257="","",SUMIFS(Performance!$Z$5:$Z$404,Performance!$M$5:$M$404,BB257))</f>
        <v>0</v>
      </c>
      <c r="BF257" s="24">
        <f>IF(OR(BD257="",BD257=0),"",BE257/BD257)</f>
        <v>0</v>
      </c>
      <c r="BG257" s="32">
        <f>IF(BC257=0,"",IF(BF257="","",BF257+ROW()/1000000))</f>
        <v>0</v>
      </c>
      <c r="BH257" s="17">
        <f>IF(Performance!$C$257="","",Performance!$C$257)</f>
        <v>0</v>
      </c>
      <c r="BI257" s="17">
        <f>IF(Performance!$F$257="","",Performance!$F$257)</f>
        <v>0</v>
      </c>
      <c r="BJ257" s="17">
        <f>IF(Performance!$H$257="","",Performance!$H$257)</f>
        <v>0</v>
      </c>
      <c r="BK257" s="16">
        <f>IF(Performance!$D$257="","",Performance!$D$257)</f>
        <v>0</v>
      </c>
      <c r="BL257" s="17">
        <f>IF(Performance!$E$257="","",Performance!$E$257)</f>
        <v>0</v>
      </c>
      <c r="BM257" s="23">
        <f>IF(Performance!$O$257="","",Performance!$O$257)</f>
        <v>0</v>
      </c>
      <c r="BN257" s="24">
        <f>IF(Performance!$AA$257="","",Performance!$AA$257)</f>
        <v>0</v>
      </c>
      <c r="BO257" s="32">
        <f>IF(BH257="","",IF(BK257="","",IF(OR(BK257&lt;DashStart,BK257&gt;DashEnd),"",IF(BN257="","",BN257+ROW()/1000000))))</f>
        <v>0</v>
      </c>
      <c r="BP257" s="32">
        <f>IF(BM257="","",IF(BK257="","",IF(OR(BK257&lt;DashStart,BK257&gt;DashEnd),"",BM257+ROW()/1000000)))</f>
        <v>0</v>
      </c>
      <c r="BQ257" s="32">
        <f>IF(BH257="","",IF(BK257="","",IF(YEAR(BK257)&lt;&gt;PlanYear,"",IF(BN257="","",BN257+ROW()/1000000))))</f>
        <v>0</v>
      </c>
      <c r="BR257" s="32">
        <f>IF(BH257="","",IF(BK257="","",IF(OR(BK257&lt;RepFrom,BK257&gt;RepTo),"",IF(BN257="","",BN257+ROW()/1000000))))</f>
        <v>0</v>
      </c>
      <c r="BS257" s="32">
        <f>IF(BM257="","",IF(BK257="","",IF(YEAR(BK257)&lt;&gt;PlanYear,"",BM257+ROW()/1000000)))</f>
        <v>0</v>
      </c>
      <c r="BT257" s="17">
        <f>IF(Lists!$F257="","",Lists!$F257)</f>
        <v>0</v>
      </c>
      <c r="BU257" s="23">
        <f>IF(BT257="","",COUNTIF('Content Calendar'!$X$5:$X$604,BT257))</f>
        <v>0</v>
      </c>
      <c r="BV257" s="23">
        <f>IF(BT257="","",COUNTIFS('Content Calendar'!$X$5:$X$604,BT257,'Content Calendar'!$B$5:$B$604,"&gt;="&amp;DashStart,'Content Calendar'!$B$5:$B$604,"&lt;="&amp;DashEnd))</f>
        <v>0</v>
      </c>
      <c r="BW257" s="17">
        <f>IF(Team!$B$257="","",Team!$B$257)</f>
        <v>0</v>
      </c>
      <c r="BX257" s="23">
        <f>IF(BW257="","",COUNTIF('Content Calendar'!$W$5:$W$604,BW257))</f>
        <v>0</v>
      </c>
      <c r="BY257" s="23">
        <f>IF(BW257="","",COUNTIFS('Content Calendar'!$W$5:$W$604,BW257,'Content Calendar'!$X$5:$X$604,"&lt;&gt;Published"))</f>
        <v>0</v>
      </c>
      <c r="BZ257" s="23">
        <f>IF(BW257="","",COUNTIFS(Tasks!$C$5:$C$64,BW257,Tasks!$G$5:$G$64,"&lt;&gt;Complete"))</f>
        <v>0</v>
      </c>
      <c r="CA257" s="17">
        <f>IF(Campaigns!$B$257="","",Campaigns!$B$257)</f>
        <v>0</v>
      </c>
      <c r="CB257" s="25">
        <f>IF(Campaigns!$T$257="","",Campaigns!$T$257)</f>
        <v>0</v>
      </c>
      <c r="CC257" s="25">
        <f>IF(Campaigns!$Q$257="","",Campaigns!$Q$257)</f>
        <v>0</v>
      </c>
      <c r="CD257" s="23">
        <f>IF(Campaigns!$Y$257="","",Campaigns!$Y$257)</f>
        <v>0</v>
      </c>
      <c r="CE257" s="32">
        <f>IF(CA257="","",IF(N(CB257)&lt;=0,"",N(CB257)+ROW()/1000000))</f>
        <v>0</v>
      </c>
      <c r="CF257" s="17">
        <f>IF(Accounts!$C$257="","",Accounts!$C$257)</f>
        <v>0</v>
      </c>
      <c r="CG257" s="17">
        <f>IF(Accounts!$B$257="","",Accounts!$B$257)</f>
        <v>0</v>
      </c>
      <c r="CH257" s="23">
        <f>IF(Accounts!$J$257="","",Accounts!$J$257)</f>
        <v>0</v>
      </c>
      <c r="CI257" s="23">
        <f>IF(CF257="","",SUMIFS(Analytics!$X$5:$X$154,Analytics!$E$5:$E$154,CF257,Analytics!$B$5:$B$154,"&gt;="&amp;DashStart,Analytics!$B$5:$B$154,"&lt;="&amp;DashEnd))</f>
        <v>0</v>
      </c>
      <c r="CJ257" s="32">
        <f>IF(CH257="","",IF(CH257=0,"",CH257+ROW()/1000000))</f>
        <v>0</v>
      </c>
    </row>
    <row r="258" spans="1:88">
      <c r="A258" s="16">
        <f>IF(ROW()-4&gt;12,"",DATE(PlanYear,ROW()-4,1))</f>
        <v>0</v>
      </c>
      <c r="B258" s="16">
        <f>IF(A258="","",EOMONTH(A258,0))</f>
        <v>0</v>
      </c>
      <c r="C258" s="17">
        <f>IF(A258="","",TEXT(A258,"yyyy-mm"))</f>
        <v>0</v>
      </c>
      <c r="D258" s="17">
        <f>IF(A258="","",TEXT(A258,"mmm"))</f>
        <v>0</v>
      </c>
      <c r="E258" s="23">
        <f>IF(C258="","",COUNTIFS('Content Calendar'!$D$5:$D$604,C258))</f>
        <v>0</v>
      </c>
      <c r="F258" s="23">
        <f>IF(C258="","",COUNTIFS('Content Calendar'!$D$5:$D$604,C258,'Content Calendar'!$X$5:$X$604,"Published"))</f>
        <v>0</v>
      </c>
      <c r="G258" s="23">
        <f>IF(C258="","",SUMIFS(Analytics!$J$5:$J$154,Analytics!$C$5:$C$154,C258))</f>
        <v>0</v>
      </c>
      <c r="H258" s="23">
        <f>IF(C258="","",SUMIFS(Analytics!$K$5:$K$154,Analytics!$C$5:$C$154,C258))</f>
        <v>0</v>
      </c>
      <c r="I258" s="23">
        <f>IF(C258="","",SUMIFS(Analytics!$L$5:$L$154,Analytics!$C$5:$C$154,C258))</f>
        <v>0</v>
      </c>
      <c r="J258" s="24">
        <f>IF(OR(G258="",G258=0),"",I258/G258)</f>
        <v>0</v>
      </c>
      <c r="K258" s="23">
        <f>IF(C258="","",SUMIFS(Analytics!$G$5:$G$154,Analytics!$C$5:$C$154,C258))</f>
        <v>0</v>
      </c>
      <c r="L258" s="23">
        <f>IF(C258="","",SUMIFS(Analytics!$X$5:$X$154,Analytics!$C$5:$C$154,C258))</f>
        <v>0</v>
      </c>
      <c r="M258" s="23">
        <f>IF(C258="","",SUMIFS(Analytics!$R$5:$R$154,Analytics!$C$5:$C$154,C258))</f>
        <v>0</v>
      </c>
      <c r="N258" s="23">
        <f>IF(C258="","",SUMIFS(Analytics!$S$5:$S$154,Analytics!$C$5:$C$154,C258))</f>
        <v>0</v>
      </c>
      <c r="O258" s="23">
        <f>IF(C258="","",SUMIFS(Analytics!$T$5:$T$154,Analytics!$C$5:$C$154,C258))</f>
        <v>0</v>
      </c>
      <c r="P258" s="25">
        <f>IF(C258="","",SUMIFS(Analytics!$U$5:$U$154,Analytics!$C$5:$C$154,C258))</f>
        <v>0</v>
      </c>
      <c r="Q258" s="25">
        <f>IF(C258="","",SUMIFS(Budget!$H$5:$H$64,Budget!$C$5:$C$64,C258))</f>
        <v>0</v>
      </c>
      <c r="R258" s="25">
        <f>IF(C258="","",P258-Q258)</f>
        <v>0</v>
      </c>
      <c r="S258" s="23">
        <f>IF(C258="","",MonthlyPostTarget)</f>
        <v>0</v>
      </c>
      <c r="T258" s="17">
        <f>IF(Lists!$C258="","",Lists!$C258)</f>
        <v>0</v>
      </c>
      <c r="U258" s="23">
        <f>IF(T258="","",COUNTIFS('Content Calendar'!$G$5:$G$604,T258,'Content Calendar'!$B$5:$B$604,"&gt;="&amp;DashStart,'Content Calendar'!$B$5:$B$604,"&lt;="&amp;DashEnd))</f>
        <v>0</v>
      </c>
      <c r="V258" s="23">
        <f>IF(T258="","",COUNTIFS('Content Calendar'!$G$5:$G$604,T258,'Content Calendar'!$X$5:$X$604,"Published",'Content Calendar'!$B$5:$B$604,"&gt;="&amp;DashStart,'Content Calendar'!$B$5:$B$604,"&lt;="&amp;DashEnd))</f>
        <v>0</v>
      </c>
      <c r="W258" s="23">
        <f>IF(T258="","",SUMIFS(Analytics!$J$5:$J$154,Analytics!$D$5:$D$154,T258,Analytics!$B$5:$B$154,"&gt;="&amp;DashStart,Analytics!$B$5:$B$154,"&lt;="&amp;DashEnd))</f>
        <v>0</v>
      </c>
      <c r="X258" s="23">
        <f>IF(T258="","",SUMIFS(Analytics!$L$5:$L$154,Analytics!$D$5:$D$154,T258,Analytics!$B$5:$B$154,"&gt;="&amp;DashStart,Analytics!$B$5:$B$154,"&lt;="&amp;DashEnd))</f>
        <v>0</v>
      </c>
      <c r="Y258" s="24">
        <f>IF(OR(W258="",W258=0),"",X258/W258)</f>
        <v>0</v>
      </c>
      <c r="Z258" s="23">
        <f>IF(T258="","",SUMIFS(Analytics!$G$5:$G$154,Analytics!$D$5:$D$154,T258,Analytics!$B$5:$B$154,"&gt;="&amp;DashStart,Analytics!$B$5:$B$154,"&lt;="&amp;DashEnd))</f>
        <v>0</v>
      </c>
      <c r="AA258" s="23">
        <f>IF(T258="","",SUMIFS(Analytics!$X$5:$X$154,Analytics!$D$5:$D$154,T258,Analytics!$B$5:$B$154,"&gt;="&amp;DashStart,Analytics!$B$5:$B$154,"&lt;="&amp;DashEnd))</f>
        <v>0</v>
      </c>
      <c r="AB258" s="23">
        <f>IF(T258="","",SUMIFS(Analytics!$R$5:$R$154,Analytics!$D$5:$D$154,T258,Analytics!$B$5:$B$154,"&gt;="&amp;DashStart,Analytics!$B$5:$B$154,"&lt;="&amp;DashEnd))</f>
        <v>0</v>
      </c>
      <c r="AC258" s="25">
        <f>IF(T258="","",SUMIFS(Analytics!$U$5:$U$154,Analytics!$D$5:$D$154,T258,Analytics!$B$5:$B$154,"&gt;="&amp;DashStart,Analytics!$B$5:$B$154,"&lt;="&amp;DashEnd))</f>
        <v>0</v>
      </c>
      <c r="AD258" s="23">
        <f>IF(T258="","",COUNTIFS('Content Calendar'!$G$5:$G$604,T258,'Content Calendar'!$B$5:$B$604,"&gt;="&amp;DATE(PlanYear,1,1),'Content Calendar'!$B$5:$B$604,"&lt;="&amp;DATE(PlanYear,12,31)))</f>
        <v>0</v>
      </c>
      <c r="AE258" s="23">
        <f>IF(T258="","",SUMIFS(Analytics!$J$5:$J$154,Analytics!$D$5:$D$154,T258))</f>
        <v>0</v>
      </c>
      <c r="AF258" s="23">
        <f>IF(T258="","",SUMIFS(Analytics!$L$5:$L$154,Analytics!$D$5:$D$154,T258))</f>
        <v>0</v>
      </c>
      <c r="AG258" s="24">
        <f>IF(OR(AE258="",AE258=0),"",AF258/AE258)</f>
        <v>0</v>
      </c>
      <c r="AH258" s="23">
        <f>IF(T258="","",SUMIFS(Analytics!$X$5:$X$154,Analytics!$D$5:$D$154,T258))</f>
        <v>0</v>
      </c>
      <c r="AI258" s="32">
        <f>IF(T258="","",IF(AE258=0,"",AE258+ROW()/1000000))</f>
        <v>0</v>
      </c>
      <c r="AJ258" s="17">
        <f>IF('Content Pillars'!$B$258="","",'Content Pillars'!$B$258)</f>
        <v>0</v>
      </c>
      <c r="AK258" s="23">
        <f>IF(AJ258="","",COUNTIFS('Content Calendar'!$J$5:$J$604,AJ258,'Content Calendar'!$B$5:$B$604,"&gt;="&amp;DATE(PlanYear,1,1),'Content Calendar'!$B$5:$B$604,"&lt;="&amp;DATE(PlanYear,12,31)))</f>
        <v>0</v>
      </c>
      <c r="AL258" s="23">
        <f>IF(AJ258="","",SUMIFS(Performance!$O$5:$O$404,Performance!$H$5:$H$404,AJ258))</f>
        <v>0</v>
      </c>
      <c r="AM258" s="23">
        <f>IF(AJ258="","",SUMIFS(Performance!$Z$5:$Z$404,Performance!$H$5:$H$404,AJ258))</f>
        <v>0</v>
      </c>
      <c r="AN258" s="24">
        <f>IF(OR(AL258="",AL258=0),"",AM258/AL258)</f>
        <v>0</v>
      </c>
      <c r="AO258" s="32">
        <f>IF(AN258="","",AN258+ROW()/1000000)</f>
        <v>0</v>
      </c>
      <c r="AP258" s="17">
        <f>IF(Lists!$E258="","",Lists!$E258)</f>
        <v>0</v>
      </c>
      <c r="AQ258" s="23">
        <f>IF(AP258="","",COUNTIF(Performance!$G$5:$G$404,AP258))</f>
        <v>0</v>
      </c>
      <c r="AR258" s="23">
        <f>IF(AP258="","",SUMIFS(Performance!$O$5:$O$404,Performance!$G$5:$G$404,AP258))</f>
        <v>0</v>
      </c>
      <c r="AS258" s="23">
        <f>IF(AP258="","",SUMIFS(Performance!$Z$5:$Z$404,Performance!$G$5:$G$404,AP258))</f>
        <v>0</v>
      </c>
      <c r="AT258" s="24">
        <f>IF(OR(AR258="",AR258=0),"",AS258/AR258)</f>
        <v>0</v>
      </c>
      <c r="AU258" s="32">
        <f>IF(AQ258=0,"",IF(AT258="","",AT258+ROW()/1000000))</f>
        <v>0</v>
      </c>
      <c r="AV258" s="17">
        <f>IF(ROW()-4&gt;7,"",TEXT(DATE(2024,1,ROW()-4),"ddd"))</f>
        <v>0</v>
      </c>
      <c r="AW258" s="23">
        <f>IF(AV258="","",COUNTIF(Performance!$N$5:$N$404,AV258))</f>
        <v>0</v>
      </c>
      <c r="AX258" s="23">
        <f>IF(AV258="","",SUMIFS(Performance!$O$5:$O$404,Performance!$N$5:$N$404,AV258))</f>
        <v>0</v>
      </c>
      <c r="AY258" s="23">
        <f>IF(AV258="","",SUMIFS(Performance!$Z$5:$Z$404,Performance!$N$5:$N$404,AV258))</f>
        <v>0</v>
      </c>
      <c r="AZ258" s="24">
        <f>IF(OR(AX258="",AX258=0),"",AY258/AX258)</f>
        <v>0</v>
      </c>
      <c r="BA258" s="32">
        <f>IF(AW258=0,"",IF(AZ258="","",AZ258+ROW()/1000000))</f>
        <v>0</v>
      </c>
      <c r="BB258" s="17">
        <f>IF(Lists!$AL258="","",Lists!$AL258)</f>
        <v>0</v>
      </c>
      <c r="BC258" s="23">
        <f>IF(BB258="","",COUNTIF(Performance!$M$5:$M$404,BB258))</f>
        <v>0</v>
      </c>
      <c r="BD258" s="23">
        <f>IF(BB258="","",SUMIFS(Performance!$O$5:$O$404,Performance!$M$5:$M$404,BB258))</f>
        <v>0</v>
      </c>
      <c r="BE258" s="23">
        <f>IF(BB258="","",SUMIFS(Performance!$Z$5:$Z$404,Performance!$M$5:$M$404,BB258))</f>
        <v>0</v>
      </c>
      <c r="BF258" s="24">
        <f>IF(OR(BD258="",BD258=0),"",BE258/BD258)</f>
        <v>0</v>
      </c>
      <c r="BG258" s="32">
        <f>IF(BC258=0,"",IF(BF258="","",BF258+ROW()/1000000))</f>
        <v>0</v>
      </c>
      <c r="BH258" s="17">
        <f>IF(Performance!$C$258="","",Performance!$C$258)</f>
        <v>0</v>
      </c>
      <c r="BI258" s="17">
        <f>IF(Performance!$F$258="","",Performance!$F$258)</f>
        <v>0</v>
      </c>
      <c r="BJ258" s="17">
        <f>IF(Performance!$H$258="","",Performance!$H$258)</f>
        <v>0</v>
      </c>
      <c r="BK258" s="16">
        <f>IF(Performance!$D$258="","",Performance!$D$258)</f>
        <v>0</v>
      </c>
      <c r="BL258" s="17">
        <f>IF(Performance!$E$258="","",Performance!$E$258)</f>
        <v>0</v>
      </c>
      <c r="BM258" s="23">
        <f>IF(Performance!$O$258="","",Performance!$O$258)</f>
        <v>0</v>
      </c>
      <c r="BN258" s="24">
        <f>IF(Performance!$AA$258="","",Performance!$AA$258)</f>
        <v>0</v>
      </c>
      <c r="BO258" s="32">
        <f>IF(BH258="","",IF(BK258="","",IF(OR(BK258&lt;DashStart,BK258&gt;DashEnd),"",IF(BN258="","",BN258+ROW()/1000000))))</f>
        <v>0</v>
      </c>
      <c r="BP258" s="32">
        <f>IF(BM258="","",IF(BK258="","",IF(OR(BK258&lt;DashStart,BK258&gt;DashEnd),"",BM258+ROW()/1000000)))</f>
        <v>0</v>
      </c>
      <c r="BQ258" s="32">
        <f>IF(BH258="","",IF(BK258="","",IF(YEAR(BK258)&lt;&gt;PlanYear,"",IF(BN258="","",BN258+ROW()/1000000))))</f>
        <v>0</v>
      </c>
      <c r="BR258" s="32">
        <f>IF(BH258="","",IF(BK258="","",IF(OR(BK258&lt;RepFrom,BK258&gt;RepTo),"",IF(BN258="","",BN258+ROW()/1000000))))</f>
        <v>0</v>
      </c>
      <c r="BS258" s="32">
        <f>IF(BM258="","",IF(BK258="","",IF(YEAR(BK258)&lt;&gt;PlanYear,"",BM258+ROW()/1000000)))</f>
        <v>0</v>
      </c>
      <c r="BT258" s="17">
        <f>IF(Lists!$F258="","",Lists!$F258)</f>
        <v>0</v>
      </c>
      <c r="BU258" s="23">
        <f>IF(BT258="","",COUNTIF('Content Calendar'!$X$5:$X$604,BT258))</f>
        <v>0</v>
      </c>
      <c r="BV258" s="23">
        <f>IF(BT258="","",COUNTIFS('Content Calendar'!$X$5:$X$604,BT258,'Content Calendar'!$B$5:$B$604,"&gt;="&amp;DashStart,'Content Calendar'!$B$5:$B$604,"&lt;="&amp;DashEnd))</f>
        <v>0</v>
      </c>
      <c r="BW258" s="17">
        <f>IF(Team!$B$258="","",Team!$B$258)</f>
        <v>0</v>
      </c>
      <c r="BX258" s="23">
        <f>IF(BW258="","",COUNTIF('Content Calendar'!$W$5:$W$604,BW258))</f>
        <v>0</v>
      </c>
      <c r="BY258" s="23">
        <f>IF(BW258="","",COUNTIFS('Content Calendar'!$W$5:$W$604,BW258,'Content Calendar'!$X$5:$X$604,"&lt;&gt;Published"))</f>
        <v>0</v>
      </c>
      <c r="BZ258" s="23">
        <f>IF(BW258="","",COUNTIFS(Tasks!$C$5:$C$64,BW258,Tasks!$G$5:$G$64,"&lt;&gt;Complete"))</f>
        <v>0</v>
      </c>
      <c r="CA258" s="17">
        <f>IF(Campaigns!$B$258="","",Campaigns!$B$258)</f>
        <v>0</v>
      </c>
      <c r="CB258" s="25">
        <f>IF(Campaigns!$T$258="","",Campaigns!$T$258)</f>
        <v>0</v>
      </c>
      <c r="CC258" s="25">
        <f>IF(Campaigns!$Q$258="","",Campaigns!$Q$258)</f>
        <v>0</v>
      </c>
      <c r="CD258" s="23">
        <f>IF(Campaigns!$Y$258="","",Campaigns!$Y$258)</f>
        <v>0</v>
      </c>
      <c r="CE258" s="32">
        <f>IF(CA258="","",IF(N(CB258)&lt;=0,"",N(CB258)+ROW()/1000000))</f>
        <v>0</v>
      </c>
      <c r="CF258" s="17">
        <f>IF(Accounts!$C$258="","",Accounts!$C$258)</f>
        <v>0</v>
      </c>
      <c r="CG258" s="17">
        <f>IF(Accounts!$B$258="","",Accounts!$B$258)</f>
        <v>0</v>
      </c>
      <c r="CH258" s="23">
        <f>IF(Accounts!$J$258="","",Accounts!$J$258)</f>
        <v>0</v>
      </c>
      <c r="CI258" s="23">
        <f>IF(CF258="","",SUMIFS(Analytics!$X$5:$X$154,Analytics!$E$5:$E$154,CF258,Analytics!$B$5:$B$154,"&gt;="&amp;DashStart,Analytics!$B$5:$B$154,"&lt;="&amp;DashEnd))</f>
        <v>0</v>
      </c>
      <c r="CJ258" s="32">
        <f>IF(CH258="","",IF(CH258=0,"",CH258+ROW()/1000000))</f>
        <v>0</v>
      </c>
    </row>
    <row r="259" spans="1:88">
      <c r="A259" s="16">
        <f>IF(ROW()-4&gt;12,"",DATE(PlanYear,ROW()-4,1))</f>
        <v>0</v>
      </c>
      <c r="B259" s="16">
        <f>IF(A259="","",EOMONTH(A259,0))</f>
        <v>0</v>
      </c>
      <c r="C259" s="17">
        <f>IF(A259="","",TEXT(A259,"yyyy-mm"))</f>
        <v>0</v>
      </c>
      <c r="D259" s="17">
        <f>IF(A259="","",TEXT(A259,"mmm"))</f>
        <v>0</v>
      </c>
      <c r="E259" s="23">
        <f>IF(C259="","",COUNTIFS('Content Calendar'!$D$5:$D$604,C259))</f>
        <v>0</v>
      </c>
      <c r="F259" s="23">
        <f>IF(C259="","",COUNTIFS('Content Calendar'!$D$5:$D$604,C259,'Content Calendar'!$X$5:$X$604,"Published"))</f>
        <v>0</v>
      </c>
      <c r="G259" s="23">
        <f>IF(C259="","",SUMIFS(Analytics!$J$5:$J$154,Analytics!$C$5:$C$154,C259))</f>
        <v>0</v>
      </c>
      <c r="H259" s="23">
        <f>IF(C259="","",SUMIFS(Analytics!$K$5:$K$154,Analytics!$C$5:$C$154,C259))</f>
        <v>0</v>
      </c>
      <c r="I259" s="23">
        <f>IF(C259="","",SUMIFS(Analytics!$L$5:$L$154,Analytics!$C$5:$C$154,C259))</f>
        <v>0</v>
      </c>
      <c r="J259" s="24">
        <f>IF(OR(G259="",G259=0),"",I259/G259)</f>
        <v>0</v>
      </c>
      <c r="K259" s="23">
        <f>IF(C259="","",SUMIFS(Analytics!$G$5:$G$154,Analytics!$C$5:$C$154,C259))</f>
        <v>0</v>
      </c>
      <c r="L259" s="23">
        <f>IF(C259="","",SUMIFS(Analytics!$X$5:$X$154,Analytics!$C$5:$C$154,C259))</f>
        <v>0</v>
      </c>
      <c r="M259" s="23">
        <f>IF(C259="","",SUMIFS(Analytics!$R$5:$R$154,Analytics!$C$5:$C$154,C259))</f>
        <v>0</v>
      </c>
      <c r="N259" s="23">
        <f>IF(C259="","",SUMIFS(Analytics!$S$5:$S$154,Analytics!$C$5:$C$154,C259))</f>
        <v>0</v>
      </c>
      <c r="O259" s="23">
        <f>IF(C259="","",SUMIFS(Analytics!$T$5:$T$154,Analytics!$C$5:$C$154,C259))</f>
        <v>0</v>
      </c>
      <c r="P259" s="25">
        <f>IF(C259="","",SUMIFS(Analytics!$U$5:$U$154,Analytics!$C$5:$C$154,C259))</f>
        <v>0</v>
      </c>
      <c r="Q259" s="25">
        <f>IF(C259="","",SUMIFS(Budget!$H$5:$H$64,Budget!$C$5:$C$64,C259))</f>
        <v>0</v>
      </c>
      <c r="R259" s="25">
        <f>IF(C259="","",P259-Q259)</f>
        <v>0</v>
      </c>
      <c r="S259" s="23">
        <f>IF(C259="","",MonthlyPostTarget)</f>
        <v>0</v>
      </c>
      <c r="T259" s="17">
        <f>IF(Lists!$C259="","",Lists!$C259)</f>
        <v>0</v>
      </c>
      <c r="U259" s="23">
        <f>IF(T259="","",COUNTIFS('Content Calendar'!$G$5:$G$604,T259,'Content Calendar'!$B$5:$B$604,"&gt;="&amp;DashStart,'Content Calendar'!$B$5:$B$604,"&lt;="&amp;DashEnd))</f>
        <v>0</v>
      </c>
      <c r="V259" s="23">
        <f>IF(T259="","",COUNTIFS('Content Calendar'!$G$5:$G$604,T259,'Content Calendar'!$X$5:$X$604,"Published",'Content Calendar'!$B$5:$B$604,"&gt;="&amp;DashStart,'Content Calendar'!$B$5:$B$604,"&lt;="&amp;DashEnd))</f>
        <v>0</v>
      </c>
      <c r="W259" s="23">
        <f>IF(T259="","",SUMIFS(Analytics!$J$5:$J$154,Analytics!$D$5:$D$154,T259,Analytics!$B$5:$B$154,"&gt;="&amp;DashStart,Analytics!$B$5:$B$154,"&lt;="&amp;DashEnd))</f>
        <v>0</v>
      </c>
      <c r="X259" s="23">
        <f>IF(T259="","",SUMIFS(Analytics!$L$5:$L$154,Analytics!$D$5:$D$154,T259,Analytics!$B$5:$B$154,"&gt;="&amp;DashStart,Analytics!$B$5:$B$154,"&lt;="&amp;DashEnd))</f>
        <v>0</v>
      </c>
      <c r="Y259" s="24">
        <f>IF(OR(W259="",W259=0),"",X259/W259)</f>
        <v>0</v>
      </c>
      <c r="Z259" s="23">
        <f>IF(T259="","",SUMIFS(Analytics!$G$5:$G$154,Analytics!$D$5:$D$154,T259,Analytics!$B$5:$B$154,"&gt;="&amp;DashStart,Analytics!$B$5:$B$154,"&lt;="&amp;DashEnd))</f>
        <v>0</v>
      </c>
      <c r="AA259" s="23">
        <f>IF(T259="","",SUMIFS(Analytics!$X$5:$X$154,Analytics!$D$5:$D$154,T259,Analytics!$B$5:$B$154,"&gt;="&amp;DashStart,Analytics!$B$5:$B$154,"&lt;="&amp;DashEnd))</f>
        <v>0</v>
      </c>
      <c r="AB259" s="23">
        <f>IF(T259="","",SUMIFS(Analytics!$R$5:$R$154,Analytics!$D$5:$D$154,T259,Analytics!$B$5:$B$154,"&gt;="&amp;DashStart,Analytics!$B$5:$B$154,"&lt;="&amp;DashEnd))</f>
        <v>0</v>
      </c>
      <c r="AC259" s="25">
        <f>IF(T259="","",SUMIFS(Analytics!$U$5:$U$154,Analytics!$D$5:$D$154,T259,Analytics!$B$5:$B$154,"&gt;="&amp;DashStart,Analytics!$B$5:$B$154,"&lt;="&amp;DashEnd))</f>
        <v>0</v>
      </c>
      <c r="AD259" s="23">
        <f>IF(T259="","",COUNTIFS('Content Calendar'!$G$5:$G$604,T259,'Content Calendar'!$B$5:$B$604,"&gt;="&amp;DATE(PlanYear,1,1),'Content Calendar'!$B$5:$B$604,"&lt;="&amp;DATE(PlanYear,12,31)))</f>
        <v>0</v>
      </c>
      <c r="AE259" s="23">
        <f>IF(T259="","",SUMIFS(Analytics!$J$5:$J$154,Analytics!$D$5:$D$154,T259))</f>
        <v>0</v>
      </c>
      <c r="AF259" s="23">
        <f>IF(T259="","",SUMIFS(Analytics!$L$5:$L$154,Analytics!$D$5:$D$154,T259))</f>
        <v>0</v>
      </c>
      <c r="AG259" s="24">
        <f>IF(OR(AE259="",AE259=0),"",AF259/AE259)</f>
        <v>0</v>
      </c>
      <c r="AH259" s="23">
        <f>IF(T259="","",SUMIFS(Analytics!$X$5:$X$154,Analytics!$D$5:$D$154,T259))</f>
        <v>0</v>
      </c>
      <c r="AI259" s="32">
        <f>IF(T259="","",IF(AE259=0,"",AE259+ROW()/1000000))</f>
        <v>0</v>
      </c>
      <c r="AJ259" s="17">
        <f>IF('Content Pillars'!$B$259="","",'Content Pillars'!$B$259)</f>
        <v>0</v>
      </c>
      <c r="AK259" s="23">
        <f>IF(AJ259="","",COUNTIFS('Content Calendar'!$J$5:$J$604,AJ259,'Content Calendar'!$B$5:$B$604,"&gt;="&amp;DATE(PlanYear,1,1),'Content Calendar'!$B$5:$B$604,"&lt;="&amp;DATE(PlanYear,12,31)))</f>
        <v>0</v>
      </c>
      <c r="AL259" s="23">
        <f>IF(AJ259="","",SUMIFS(Performance!$O$5:$O$404,Performance!$H$5:$H$404,AJ259))</f>
        <v>0</v>
      </c>
      <c r="AM259" s="23">
        <f>IF(AJ259="","",SUMIFS(Performance!$Z$5:$Z$404,Performance!$H$5:$H$404,AJ259))</f>
        <v>0</v>
      </c>
      <c r="AN259" s="24">
        <f>IF(OR(AL259="",AL259=0),"",AM259/AL259)</f>
        <v>0</v>
      </c>
      <c r="AO259" s="32">
        <f>IF(AN259="","",AN259+ROW()/1000000)</f>
        <v>0</v>
      </c>
      <c r="AP259" s="17">
        <f>IF(Lists!$E259="","",Lists!$E259)</f>
        <v>0</v>
      </c>
      <c r="AQ259" s="23">
        <f>IF(AP259="","",COUNTIF(Performance!$G$5:$G$404,AP259))</f>
        <v>0</v>
      </c>
      <c r="AR259" s="23">
        <f>IF(AP259="","",SUMIFS(Performance!$O$5:$O$404,Performance!$G$5:$G$404,AP259))</f>
        <v>0</v>
      </c>
      <c r="AS259" s="23">
        <f>IF(AP259="","",SUMIFS(Performance!$Z$5:$Z$404,Performance!$G$5:$G$404,AP259))</f>
        <v>0</v>
      </c>
      <c r="AT259" s="24">
        <f>IF(OR(AR259="",AR259=0),"",AS259/AR259)</f>
        <v>0</v>
      </c>
      <c r="AU259" s="32">
        <f>IF(AQ259=0,"",IF(AT259="","",AT259+ROW()/1000000))</f>
        <v>0</v>
      </c>
      <c r="AV259" s="17">
        <f>IF(ROW()-4&gt;7,"",TEXT(DATE(2024,1,ROW()-4),"ddd"))</f>
        <v>0</v>
      </c>
      <c r="AW259" s="23">
        <f>IF(AV259="","",COUNTIF(Performance!$N$5:$N$404,AV259))</f>
        <v>0</v>
      </c>
      <c r="AX259" s="23">
        <f>IF(AV259="","",SUMIFS(Performance!$O$5:$O$404,Performance!$N$5:$N$404,AV259))</f>
        <v>0</v>
      </c>
      <c r="AY259" s="23">
        <f>IF(AV259="","",SUMIFS(Performance!$Z$5:$Z$404,Performance!$N$5:$N$404,AV259))</f>
        <v>0</v>
      </c>
      <c r="AZ259" s="24">
        <f>IF(OR(AX259="",AX259=0),"",AY259/AX259)</f>
        <v>0</v>
      </c>
      <c r="BA259" s="32">
        <f>IF(AW259=0,"",IF(AZ259="","",AZ259+ROW()/1000000))</f>
        <v>0</v>
      </c>
      <c r="BB259" s="17">
        <f>IF(Lists!$AL259="","",Lists!$AL259)</f>
        <v>0</v>
      </c>
      <c r="BC259" s="23">
        <f>IF(BB259="","",COUNTIF(Performance!$M$5:$M$404,BB259))</f>
        <v>0</v>
      </c>
      <c r="BD259" s="23">
        <f>IF(BB259="","",SUMIFS(Performance!$O$5:$O$404,Performance!$M$5:$M$404,BB259))</f>
        <v>0</v>
      </c>
      <c r="BE259" s="23">
        <f>IF(BB259="","",SUMIFS(Performance!$Z$5:$Z$404,Performance!$M$5:$M$404,BB259))</f>
        <v>0</v>
      </c>
      <c r="BF259" s="24">
        <f>IF(OR(BD259="",BD259=0),"",BE259/BD259)</f>
        <v>0</v>
      </c>
      <c r="BG259" s="32">
        <f>IF(BC259=0,"",IF(BF259="","",BF259+ROW()/1000000))</f>
        <v>0</v>
      </c>
      <c r="BH259" s="17">
        <f>IF(Performance!$C$259="","",Performance!$C$259)</f>
        <v>0</v>
      </c>
      <c r="BI259" s="17">
        <f>IF(Performance!$F$259="","",Performance!$F$259)</f>
        <v>0</v>
      </c>
      <c r="BJ259" s="17">
        <f>IF(Performance!$H$259="","",Performance!$H$259)</f>
        <v>0</v>
      </c>
      <c r="BK259" s="16">
        <f>IF(Performance!$D$259="","",Performance!$D$259)</f>
        <v>0</v>
      </c>
      <c r="BL259" s="17">
        <f>IF(Performance!$E$259="","",Performance!$E$259)</f>
        <v>0</v>
      </c>
      <c r="BM259" s="23">
        <f>IF(Performance!$O$259="","",Performance!$O$259)</f>
        <v>0</v>
      </c>
      <c r="BN259" s="24">
        <f>IF(Performance!$AA$259="","",Performance!$AA$259)</f>
        <v>0</v>
      </c>
      <c r="BO259" s="32">
        <f>IF(BH259="","",IF(BK259="","",IF(OR(BK259&lt;DashStart,BK259&gt;DashEnd),"",IF(BN259="","",BN259+ROW()/1000000))))</f>
        <v>0</v>
      </c>
      <c r="BP259" s="32">
        <f>IF(BM259="","",IF(BK259="","",IF(OR(BK259&lt;DashStart,BK259&gt;DashEnd),"",BM259+ROW()/1000000)))</f>
        <v>0</v>
      </c>
      <c r="BQ259" s="32">
        <f>IF(BH259="","",IF(BK259="","",IF(YEAR(BK259)&lt;&gt;PlanYear,"",IF(BN259="","",BN259+ROW()/1000000))))</f>
        <v>0</v>
      </c>
      <c r="BR259" s="32">
        <f>IF(BH259="","",IF(BK259="","",IF(OR(BK259&lt;RepFrom,BK259&gt;RepTo),"",IF(BN259="","",BN259+ROW()/1000000))))</f>
        <v>0</v>
      </c>
      <c r="BS259" s="32">
        <f>IF(BM259="","",IF(BK259="","",IF(YEAR(BK259)&lt;&gt;PlanYear,"",BM259+ROW()/1000000)))</f>
        <v>0</v>
      </c>
      <c r="BT259" s="17">
        <f>IF(Lists!$F259="","",Lists!$F259)</f>
        <v>0</v>
      </c>
      <c r="BU259" s="23">
        <f>IF(BT259="","",COUNTIF('Content Calendar'!$X$5:$X$604,BT259))</f>
        <v>0</v>
      </c>
      <c r="BV259" s="23">
        <f>IF(BT259="","",COUNTIFS('Content Calendar'!$X$5:$X$604,BT259,'Content Calendar'!$B$5:$B$604,"&gt;="&amp;DashStart,'Content Calendar'!$B$5:$B$604,"&lt;="&amp;DashEnd))</f>
        <v>0</v>
      </c>
      <c r="BW259" s="17">
        <f>IF(Team!$B$259="","",Team!$B$259)</f>
        <v>0</v>
      </c>
      <c r="BX259" s="23">
        <f>IF(BW259="","",COUNTIF('Content Calendar'!$W$5:$W$604,BW259))</f>
        <v>0</v>
      </c>
      <c r="BY259" s="23">
        <f>IF(BW259="","",COUNTIFS('Content Calendar'!$W$5:$W$604,BW259,'Content Calendar'!$X$5:$X$604,"&lt;&gt;Published"))</f>
        <v>0</v>
      </c>
      <c r="BZ259" s="23">
        <f>IF(BW259="","",COUNTIFS(Tasks!$C$5:$C$64,BW259,Tasks!$G$5:$G$64,"&lt;&gt;Complete"))</f>
        <v>0</v>
      </c>
      <c r="CA259" s="17">
        <f>IF(Campaigns!$B$259="","",Campaigns!$B$259)</f>
        <v>0</v>
      </c>
      <c r="CB259" s="25">
        <f>IF(Campaigns!$T$259="","",Campaigns!$T$259)</f>
        <v>0</v>
      </c>
      <c r="CC259" s="25">
        <f>IF(Campaigns!$Q$259="","",Campaigns!$Q$259)</f>
        <v>0</v>
      </c>
      <c r="CD259" s="23">
        <f>IF(Campaigns!$Y$259="","",Campaigns!$Y$259)</f>
        <v>0</v>
      </c>
      <c r="CE259" s="32">
        <f>IF(CA259="","",IF(N(CB259)&lt;=0,"",N(CB259)+ROW()/1000000))</f>
        <v>0</v>
      </c>
      <c r="CF259" s="17">
        <f>IF(Accounts!$C$259="","",Accounts!$C$259)</f>
        <v>0</v>
      </c>
      <c r="CG259" s="17">
        <f>IF(Accounts!$B$259="","",Accounts!$B$259)</f>
        <v>0</v>
      </c>
      <c r="CH259" s="23">
        <f>IF(Accounts!$J$259="","",Accounts!$J$259)</f>
        <v>0</v>
      </c>
      <c r="CI259" s="23">
        <f>IF(CF259="","",SUMIFS(Analytics!$X$5:$X$154,Analytics!$E$5:$E$154,CF259,Analytics!$B$5:$B$154,"&gt;="&amp;DashStart,Analytics!$B$5:$B$154,"&lt;="&amp;DashEnd))</f>
        <v>0</v>
      </c>
      <c r="CJ259" s="32">
        <f>IF(CH259="","",IF(CH259=0,"",CH259+ROW()/1000000))</f>
        <v>0</v>
      </c>
    </row>
    <row r="260" spans="1:88">
      <c r="A260" s="16">
        <f>IF(ROW()-4&gt;12,"",DATE(PlanYear,ROW()-4,1))</f>
        <v>0</v>
      </c>
      <c r="B260" s="16">
        <f>IF(A260="","",EOMONTH(A260,0))</f>
        <v>0</v>
      </c>
      <c r="C260" s="17">
        <f>IF(A260="","",TEXT(A260,"yyyy-mm"))</f>
        <v>0</v>
      </c>
      <c r="D260" s="17">
        <f>IF(A260="","",TEXT(A260,"mmm"))</f>
        <v>0</v>
      </c>
      <c r="E260" s="23">
        <f>IF(C260="","",COUNTIFS('Content Calendar'!$D$5:$D$604,C260))</f>
        <v>0</v>
      </c>
      <c r="F260" s="23">
        <f>IF(C260="","",COUNTIFS('Content Calendar'!$D$5:$D$604,C260,'Content Calendar'!$X$5:$X$604,"Published"))</f>
        <v>0</v>
      </c>
      <c r="G260" s="23">
        <f>IF(C260="","",SUMIFS(Analytics!$J$5:$J$154,Analytics!$C$5:$C$154,C260))</f>
        <v>0</v>
      </c>
      <c r="H260" s="23">
        <f>IF(C260="","",SUMIFS(Analytics!$K$5:$K$154,Analytics!$C$5:$C$154,C260))</f>
        <v>0</v>
      </c>
      <c r="I260" s="23">
        <f>IF(C260="","",SUMIFS(Analytics!$L$5:$L$154,Analytics!$C$5:$C$154,C260))</f>
        <v>0</v>
      </c>
      <c r="J260" s="24">
        <f>IF(OR(G260="",G260=0),"",I260/G260)</f>
        <v>0</v>
      </c>
      <c r="K260" s="23">
        <f>IF(C260="","",SUMIFS(Analytics!$G$5:$G$154,Analytics!$C$5:$C$154,C260))</f>
        <v>0</v>
      </c>
      <c r="L260" s="23">
        <f>IF(C260="","",SUMIFS(Analytics!$X$5:$X$154,Analytics!$C$5:$C$154,C260))</f>
        <v>0</v>
      </c>
      <c r="M260" s="23">
        <f>IF(C260="","",SUMIFS(Analytics!$R$5:$R$154,Analytics!$C$5:$C$154,C260))</f>
        <v>0</v>
      </c>
      <c r="N260" s="23">
        <f>IF(C260="","",SUMIFS(Analytics!$S$5:$S$154,Analytics!$C$5:$C$154,C260))</f>
        <v>0</v>
      </c>
      <c r="O260" s="23">
        <f>IF(C260="","",SUMIFS(Analytics!$T$5:$T$154,Analytics!$C$5:$C$154,C260))</f>
        <v>0</v>
      </c>
      <c r="P260" s="25">
        <f>IF(C260="","",SUMIFS(Analytics!$U$5:$U$154,Analytics!$C$5:$C$154,C260))</f>
        <v>0</v>
      </c>
      <c r="Q260" s="25">
        <f>IF(C260="","",SUMIFS(Budget!$H$5:$H$64,Budget!$C$5:$C$64,C260))</f>
        <v>0</v>
      </c>
      <c r="R260" s="25">
        <f>IF(C260="","",P260-Q260)</f>
        <v>0</v>
      </c>
      <c r="S260" s="23">
        <f>IF(C260="","",MonthlyPostTarget)</f>
        <v>0</v>
      </c>
      <c r="T260" s="17">
        <f>IF(Lists!$C260="","",Lists!$C260)</f>
        <v>0</v>
      </c>
      <c r="U260" s="23">
        <f>IF(T260="","",COUNTIFS('Content Calendar'!$G$5:$G$604,T260,'Content Calendar'!$B$5:$B$604,"&gt;="&amp;DashStart,'Content Calendar'!$B$5:$B$604,"&lt;="&amp;DashEnd))</f>
        <v>0</v>
      </c>
      <c r="V260" s="23">
        <f>IF(T260="","",COUNTIFS('Content Calendar'!$G$5:$G$604,T260,'Content Calendar'!$X$5:$X$604,"Published",'Content Calendar'!$B$5:$B$604,"&gt;="&amp;DashStart,'Content Calendar'!$B$5:$B$604,"&lt;="&amp;DashEnd))</f>
        <v>0</v>
      </c>
      <c r="W260" s="23">
        <f>IF(T260="","",SUMIFS(Analytics!$J$5:$J$154,Analytics!$D$5:$D$154,T260,Analytics!$B$5:$B$154,"&gt;="&amp;DashStart,Analytics!$B$5:$B$154,"&lt;="&amp;DashEnd))</f>
        <v>0</v>
      </c>
      <c r="X260" s="23">
        <f>IF(T260="","",SUMIFS(Analytics!$L$5:$L$154,Analytics!$D$5:$D$154,T260,Analytics!$B$5:$B$154,"&gt;="&amp;DashStart,Analytics!$B$5:$B$154,"&lt;="&amp;DashEnd))</f>
        <v>0</v>
      </c>
      <c r="Y260" s="24">
        <f>IF(OR(W260="",W260=0),"",X260/W260)</f>
        <v>0</v>
      </c>
      <c r="Z260" s="23">
        <f>IF(T260="","",SUMIFS(Analytics!$G$5:$G$154,Analytics!$D$5:$D$154,T260,Analytics!$B$5:$B$154,"&gt;="&amp;DashStart,Analytics!$B$5:$B$154,"&lt;="&amp;DashEnd))</f>
        <v>0</v>
      </c>
      <c r="AA260" s="23">
        <f>IF(T260="","",SUMIFS(Analytics!$X$5:$X$154,Analytics!$D$5:$D$154,T260,Analytics!$B$5:$B$154,"&gt;="&amp;DashStart,Analytics!$B$5:$B$154,"&lt;="&amp;DashEnd))</f>
        <v>0</v>
      </c>
      <c r="AB260" s="23">
        <f>IF(T260="","",SUMIFS(Analytics!$R$5:$R$154,Analytics!$D$5:$D$154,T260,Analytics!$B$5:$B$154,"&gt;="&amp;DashStart,Analytics!$B$5:$B$154,"&lt;="&amp;DashEnd))</f>
        <v>0</v>
      </c>
      <c r="AC260" s="25">
        <f>IF(T260="","",SUMIFS(Analytics!$U$5:$U$154,Analytics!$D$5:$D$154,T260,Analytics!$B$5:$B$154,"&gt;="&amp;DashStart,Analytics!$B$5:$B$154,"&lt;="&amp;DashEnd))</f>
        <v>0</v>
      </c>
      <c r="AD260" s="23">
        <f>IF(T260="","",COUNTIFS('Content Calendar'!$G$5:$G$604,T260,'Content Calendar'!$B$5:$B$604,"&gt;="&amp;DATE(PlanYear,1,1),'Content Calendar'!$B$5:$B$604,"&lt;="&amp;DATE(PlanYear,12,31)))</f>
        <v>0</v>
      </c>
      <c r="AE260" s="23">
        <f>IF(T260="","",SUMIFS(Analytics!$J$5:$J$154,Analytics!$D$5:$D$154,T260))</f>
        <v>0</v>
      </c>
      <c r="AF260" s="23">
        <f>IF(T260="","",SUMIFS(Analytics!$L$5:$L$154,Analytics!$D$5:$D$154,T260))</f>
        <v>0</v>
      </c>
      <c r="AG260" s="24">
        <f>IF(OR(AE260="",AE260=0),"",AF260/AE260)</f>
        <v>0</v>
      </c>
      <c r="AH260" s="23">
        <f>IF(T260="","",SUMIFS(Analytics!$X$5:$X$154,Analytics!$D$5:$D$154,T260))</f>
        <v>0</v>
      </c>
      <c r="AI260" s="32">
        <f>IF(T260="","",IF(AE260=0,"",AE260+ROW()/1000000))</f>
        <v>0</v>
      </c>
      <c r="AJ260" s="17">
        <f>IF('Content Pillars'!$B$260="","",'Content Pillars'!$B$260)</f>
        <v>0</v>
      </c>
      <c r="AK260" s="23">
        <f>IF(AJ260="","",COUNTIFS('Content Calendar'!$J$5:$J$604,AJ260,'Content Calendar'!$B$5:$B$604,"&gt;="&amp;DATE(PlanYear,1,1),'Content Calendar'!$B$5:$B$604,"&lt;="&amp;DATE(PlanYear,12,31)))</f>
        <v>0</v>
      </c>
      <c r="AL260" s="23">
        <f>IF(AJ260="","",SUMIFS(Performance!$O$5:$O$404,Performance!$H$5:$H$404,AJ260))</f>
        <v>0</v>
      </c>
      <c r="AM260" s="23">
        <f>IF(AJ260="","",SUMIFS(Performance!$Z$5:$Z$404,Performance!$H$5:$H$404,AJ260))</f>
        <v>0</v>
      </c>
      <c r="AN260" s="24">
        <f>IF(OR(AL260="",AL260=0),"",AM260/AL260)</f>
        <v>0</v>
      </c>
      <c r="AO260" s="32">
        <f>IF(AN260="","",AN260+ROW()/1000000)</f>
        <v>0</v>
      </c>
      <c r="AP260" s="17">
        <f>IF(Lists!$E260="","",Lists!$E260)</f>
        <v>0</v>
      </c>
      <c r="AQ260" s="23">
        <f>IF(AP260="","",COUNTIF(Performance!$G$5:$G$404,AP260))</f>
        <v>0</v>
      </c>
      <c r="AR260" s="23">
        <f>IF(AP260="","",SUMIFS(Performance!$O$5:$O$404,Performance!$G$5:$G$404,AP260))</f>
        <v>0</v>
      </c>
      <c r="AS260" s="23">
        <f>IF(AP260="","",SUMIFS(Performance!$Z$5:$Z$404,Performance!$G$5:$G$404,AP260))</f>
        <v>0</v>
      </c>
      <c r="AT260" s="24">
        <f>IF(OR(AR260="",AR260=0),"",AS260/AR260)</f>
        <v>0</v>
      </c>
      <c r="AU260" s="32">
        <f>IF(AQ260=0,"",IF(AT260="","",AT260+ROW()/1000000))</f>
        <v>0</v>
      </c>
      <c r="AV260" s="17">
        <f>IF(ROW()-4&gt;7,"",TEXT(DATE(2024,1,ROW()-4),"ddd"))</f>
        <v>0</v>
      </c>
      <c r="AW260" s="23">
        <f>IF(AV260="","",COUNTIF(Performance!$N$5:$N$404,AV260))</f>
        <v>0</v>
      </c>
      <c r="AX260" s="23">
        <f>IF(AV260="","",SUMIFS(Performance!$O$5:$O$404,Performance!$N$5:$N$404,AV260))</f>
        <v>0</v>
      </c>
      <c r="AY260" s="23">
        <f>IF(AV260="","",SUMIFS(Performance!$Z$5:$Z$404,Performance!$N$5:$N$404,AV260))</f>
        <v>0</v>
      </c>
      <c r="AZ260" s="24">
        <f>IF(OR(AX260="",AX260=0),"",AY260/AX260)</f>
        <v>0</v>
      </c>
      <c r="BA260" s="32">
        <f>IF(AW260=0,"",IF(AZ260="","",AZ260+ROW()/1000000))</f>
        <v>0</v>
      </c>
      <c r="BB260" s="17">
        <f>IF(Lists!$AL260="","",Lists!$AL260)</f>
        <v>0</v>
      </c>
      <c r="BC260" s="23">
        <f>IF(BB260="","",COUNTIF(Performance!$M$5:$M$404,BB260))</f>
        <v>0</v>
      </c>
      <c r="BD260" s="23">
        <f>IF(BB260="","",SUMIFS(Performance!$O$5:$O$404,Performance!$M$5:$M$404,BB260))</f>
        <v>0</v>
      </c>
      <c r="BE260" s="23">
        <f>IF(BB260="","",SUMIFS(Performance!$Z$5:$Z$404,Performance!$M$5:$M$404,BB260))</f>
        <v>0</v>
      </c>
      <c r="BF260" s="24">
        <f>IF(OR(BD260="",BD260=0),"",BE260/BD260)</f>
        <v>0</v>
      </c>
      <c r="BG260" s="32">
        <f>IF(BC260=0,"",IF(BF260="","",BF260+ROW()/1000000))</f>
        <v>0</v>
      </c>
      <c r="BH260" s="17">
        <f>IF(Performance!$C$260="","",Performance!$C$260)</f>
        <v>0</v>
      </c>
      <c r="BI260" s="17">
        <f>IF(Performance!$F$260="","",Performance!$F$260)</f>
        <v>0</v>
      </c>
      <c r="BJ260" s="17">
        <f>IF(Performance!$H$260="","",Performance!$H$260)</f>
        <v>0</v>
      </c>
      <c r="BK260" s="16">
        <f>IF(Performance!$D$260="","",Performance!$D$260)</f>
        <v>0</v>
      </c>
      <c r="BL260" s="17">
        <f>IF(Performance!$E$260="","",Performance!$E$260)</f>
        <v>0</v>
      </c>
      <c r="BM260" s="23">
        <f>IF(Performance!$O$260="","",Performance!$O$260)</f>
        <v>0</v>
      </c>
      <c r="BN260" s="24">
        <f>IF(Performance!$AA$260="","",Performance!$AA$260)</f>
        <v>0</v>
      </c>
      <c r="BO260" s="32">
        <f>IF(BH260="","",IF(BK260="","",IF(OR(BK260&lt;DashStart,BK260&gt;DashEnd),"",IF(BN260="","",BN260+ROW()/1000000))))</f>
        <v>0</v>
      </c>
      <c r="BP260" s="32">
        <f>IF(BM260="","",IF(BK260="","",IF(OR(BK260&lt;DashStart,BK260&gt;DashEnd),"",BM260+ROW()/1000000)))</f>
        <v>0</v>
      </c>
      <c r="BQ260" s="32">
        <f>IF(BH260="","",IF(BK260="","",IF(YEAR(BK260)&lt;&gt;PlanYear,"",IF(BN260="","",BN260+ROW()/1000000))))</f>
        <v>0</v>
      </c>
      <c r="BR260" s="32">
        <f>IF(BH260="","",IF(BK260="","",IF(OR(BK260&lt;RepFrom,BK260&gt;RepTo),"",IF(BN260="","",BN260+ROW()/1000000))))</f>
        <v>0</v>
      </c>
      <c r="BS260" s="32">
        <f>IF(BM260="","",IF(BK260="","",IF(YEAR(BK260)&lt;&gt;PlanYear,"",BM260+ROW()/1000000)))</f>
        <v>0</v>
      </c>
      <c r="BT260" s="17">
        <f>IF(Lists!$F260="","",Lists!$F260)</f>
        <v>0</v>
      </c>
      <c r="BU260" s="23">
        <f>IF(BT260="","",COUNTIF('Content Calendar'!$X$5:$X$604,BT260))</f>
        <v>0</v>
      </c>
      <c r="BV260" s="23">
        <f>IF(BT260="","",COUNTIFS('Content Calendar'!$X$5:$X$604,BT260,'Content Calendar'!$B$5:$B$604,"&gt;="&amp;DashStart,'Content Calendar'!$B$5:$B$604,"&lt;="&amp;DashEnd))</f>
        <v>0</v>
      </c>
      <c r="BW260" s="17">
        <f>IF(Team!$B$260="","",Team!$B$260)</f>
        <v>0</v>
      </c>
      <c r="BX260" s="23">
        <f>IF(BW260="","",COUNTIF('Content Calendar'!$W$5:$W$604,BW260))</f>
        <v>0</v>
      </c>
      <c r="BY260" s="23">
        <f>IF(BW260="","",COUNTIFS('Content Calendar'!$W$5:$W$604,BW260,'Content Calendar'!$X$5:$X$604,"&lt;&gt;Published"))</f>
        <v>0</v>
      </c>
      <c r="BZ260" s="23">
        <f>IF(BW260="","",COUNTIFS(Tasks!$C$5:$C$64,BW260,Tasks!$G$5:$G$64,"&lt;&gt;Complete"))</f>
        <v>0</v>
      </c>
      <c r="CA260" s="17">
        <f>IF(Campaigns!$B$260="","",Campaigns!$B$260)</f>
        <v>0</v>
      </c>
      <c r="CB260" s="25">
        <f>IF(Campaigns!$T$260="","",Campaigns!$T$260)</f>
        <v>0</v>
      </c>
      <c r="CC260" s="25">
        <f>IF(Campaigns!$Q$260="","",Campaigns!$Q$260)</f>
        <v>0</v>
      </c>
      <c r="CD260" s="23">
        <f>IF(Campaigns!$Y$260="","",Campaigns!$Y$260)</f>
        <v>0</v>
      </c>
      <c r="CE260" s="32">
        <f>IF(CA260="","",IF(N(CB260)&lt;=0,"",N(CB260)+ROW()/1000000))</f>
        <v>0</v>
      </c>
      <c r="CF260" s="17">
        <f>IF(Accounts!$C$260="","",Accounts!$C$260)</f>
        <v>0</v>
      </c>
      <c r="CG260" s="17">
        <f>IF(Accounts!$B$260="","",Accounts!$B$260)</f>
        <v>0</v>
      </c>
      <c r="CH260" s="23">
        <f>IF(Accounts!$J$260="","",Accounts!$J$260)</f>
        <v>0</v>
      </c>
      <c r="CI260" s="23">
        <f>IF(CF260="","",SUMIFS(Analytics!$X$5:$X$154,Analytics!$E$5:$E$154,CF260,Analytics!$B$5:$B$154,"&gt;="&amp;DashStart,Analytics!$B$5:$B$154,"&lt;="&amp;DashEnd))</f>
        <v>0</v>
      </c>
      <c r="CJ260" s="32">
        <f>IF(CH260="","",IF(CH260=0,"",CH260+ROW()/1000000))</f>
        <v>0</v>
      </c>
    </row>
    <row r="261" spans="1:88">
      <c r="A261" s="16">
        <f>IF(ROW()-4&gt;12,"",DATE(PlanYear,ROW()-4,1))</f>
        <v>0</v>
      </c>
      <c r="B261" s="16">
        <f>IF(A261="","",EOMONTH(A261,0))</f>
        <v>0</v>
      </c>
      <c r="C261" s="17">
        <f>IF(A261="","",TEXT(A261,"yyyy-mm"))</f>
        <v>0</v>
      </c>
      <c r="D261" s="17">
        <f>IF(A261="","",TEXT(A261,"mmm"))</f>
        <v>0</v>
      </c>
      <c r="E261" s="23">
        <f>IF(C261="","",COUNTIFS('Content Calendar'!$D$5:$D$604,C261))</f>
        <v>0</v>
      </c>
      <c r="F261" s="23">
        <f>IF(C261="","",COUNTIFS('Content Calendar'!$D$5:$D$604,C261,'Content Calendar'!$X$5:$X$604,"Published"))</f>
        <v>0</v>
      </c>
      <c r="G261" s="23">
        <f>IF(C261="","",SUMIFS(Analytics!$J$5:$J$154,Analytics!$C$5:$C$154,C261))</f>
        <v>0</v>
      </c>
      <c r="H261" s="23">
        <f>IF(C261="","",SUMIFS(Analytics!$K$5:$K$154,Analytics!$C$5:$C$154,C261))</f>
        <v>0</v>
      </c>
      <c r="I261" s="23">
        <f>IF(C261="","",SUMIFS(Analytics!$L$5:$L$154,Analytics!$C$5:$C$154,C261))</f>
        <v>0</v>
      </c>
      <c r="J261" s="24">
        <f>IF(OR(G261="",G261=0),"",I261/G261)</f>
        <v>0</v>
      </c>
      <c r="K261" s="23">
        <f>IF(C261="","",SUMIFS(Analytics!$G$5:$G$154,Analytics!$C$5:$C$154,C261))</f>
        <v>0</v>
      </c>
      <c r="L261" s="23">
        <f>IF(C261="","",SUMIFS(Analytics!$X$5:$X$154,Analytics!$C$5:$C$154,C261))</f>
        <v>0</v>
      </c>
      <c r="M261" s="23">
        <f>IF(C261="","",SUMIFS(Analytics!$R$5:$R$154,Analytics!$C$5:$C$154,C261))</f>
        <v>0</v>
      </c>
      <c r="N261" s="23">
        <f>IF(C261="","",SUMIFS(Analytics!$S$5:$S$154,Analytics!$C$5:$C$154,C261))</f>
        <v>0</v>
      </c>
      <c r="O261" s="23">
        <f>IF(C261="","",SUMIFS(Analytics!$T$5:$T$154,Analytics!$C$5:$C$154,C261))</f>
        <v>0</v>
      </c>
      <c r="P261" s="25">
        <f>IF(C261="","",SUMIFS(Analytics!$U$5:$U$154,Analytics!$C$5:$C$154,C261))</f>
        <v>0</v>
      </c>
      <c r="Q261" s="25">
        <f>IF(C261="","",SUMIFS(Budget!$H$5:$H$64,Budget!$C$5:$C$64,C261))</f>
        <v>0</v>
      </c>
      <c r="R261" s="25">
        <f>IF(C261="","",P261-Q261)</f>
        <v>0</v>
      </c>
      <c r="S261" s="23">
        <f>IF(C261="","",MonthlyPostTarget)</f>
        <v>0</v>
      </c>
      <c r="T261" s="17">
        <f>IF(Lists!$C261="","",Lists!$C261)</f>
        <v>0</v>
      </c>
      <c r="U261" s="23">
        <f>IF(T261="","",COUNTIFS('Content Calendar'!$G$5:$G$604,T261,'Content Calendar'!$B$5:$B$604,"&gt;="&amp;DashStart,'Content Calendar'!$B$5:$B$604,"&lt;="&amp;DashEnd))</f>
        <v>0</v>
      </c>
      <c r="V261" s="23">
        <f>IF(T261="","",COUNTIFS('Content Calendar'!$G$5:$G$604,T261,'Content Calendar'!$X$5:$X$604,"Published",'Content Calendar'!$B$5:$B$604,"&gt;="&amp;DashStart,'Content Calendar'!$B$5:$B$604,"&lt;="&amp;DashEnd))</f>
        <v>0</v>
      </c>
      <c r="W261" s="23">
        <f>IF(T261="","",SUMIFS(Analytics!$J$5:$J$154,Analytics!$D$5:$D$154,T261,Analytics!$B$5:$B$154,"&gt;="&amp;DashStart,Analytics!$B$5:$B$154,"&lt;="&amp;DashEnd))</f>
        <v>0</v>
      </c>
      <c r="X261" s="23">
        <f>IF(T261="","",SUMIFS(Analytics!$L$5:$L$154,Analytics!$D$5:$D$154,T261,Analytics!$B$5:$B$154,"&gt;="&amp;DashStart,Analytics!$B$5:$B$154,"&lt;="&amp;DashEnd))</f>
        <v>0</v>
      </c>
      <c r="Y261" s="24">
        <f>IF(OR(W261="",W261=0),"",X261/W261)</f>
        <v>0</v>
      </c>
      <c r="Z261" s="23">
        <f>IF(T261="","",SUMIFS(Analytics!$G$5:$G$154,Analytics!$D$5:$D$154,T261,Analytics!$B$5:$B$154,"&gt;="&amp;DashStart,Analytics!$B$5:$B$154,"&lt;="&amp;DashEnd))</f>
        <v>0</v>
      </c>
      <c r="AA261" s="23">
        <f>IF(T261="","",SUMIFS(Analytics!$X$5:$X$154,Analytics!$D$5:$D$154,T261,Analytics!$B$5:$B$154,"&gt;="&amp;DashStart,Analytics!$B$5:$B$154,"&lt;="&amp;DashEnd))</f>
        <v>0</v>
      </c>
      <c r="AB261" s="23">
        <f>IF(T261="","",SUMIFS(Analytics!$R$5:$R$154,Analytics!$D$5:$D$154,T261,Analytics!$B$5:$B$154,"&gt;="&amp;DashStart,Analytics!$B$5:$B$154,"&lt;="&amp;DashEnd))</f>
        <v>0</v>
      </c>
      <c r="AC261" s="25">
        <f>IF(T261="","",SUMIFS(Analytics!$U$5:$U$154,Analytics!$D$5:$D$154,T261,Analytics!$B$5:$B$154,"&gt;="&amp;DashStart,Analytics!$B$5:$B$154,"&lt;="&amp;DashEnd))</f>
        <v>0</v>
      </c>
      <c r="AD261" s="23">
        <f>IF(T261="","",COUNTIFS('Content Calendar'!$G$5:$G$604,T261,'Content Calendar'!$B$5:$B$604,"&gt;="&amp;DATE(PlanYear,1,1),'Content Calendar'!$B$5:$B$604,"&lt;="&amp;DATE(PlanYear,12,31)))</f>
        <v>0</v>
      </c>
      <c r="AE261" s="23">
        <f>IF(T261="","",SUMIFS(Analytics!$J$5:$J$154,Analytics!$D$5:$D$154,T261))</f>
        <v>0</v>
      </c>
      <c r="AF261" s="23">
        <f>IF(T261="","",SUMIFS(Analytics!$L$5:$L$154,Analytics!$D$5:$D$154,T261))</f>
        <v>0</v>
      </c>
      <c r="AG261" s="24">
        <f>IF(OR(AE261="",AE261=0),"",AF261/AE261)</f>
        <v>0</v>
      </c>
      <c r="AH261" s="23">
        <f>IF(T261="","",SUMIFS(Analytics!$X$5:$X$154,Analytics!$D$5:$D$154,T261))</f>
        <v>0</v>
      </c>
      <c r="AI261" s="32">
        <f>IF(T261="","",IF(AE261=0,"",AE261+ROW()/1000000))</f>
        <v>0</v>
      </c>
      <c r="AJ261" s="17">
        <f>IF('Content Pillars'!$B$261="","",'Content Pillars'!$B$261)</f>
        <v>0</v>
      </c>
      <c r="AK261" s="23">
        <f>IF(AJ261="","",COUNTIFS('Content Calendar'!$J$5:$J$604,AJ261,'Content Calendar'!$B$5:$B$604,"&gt;="&amp;DATE(PlanYear,1,1),'Content Calendar'!$B$5:$B$604,"&lt;="&amp;DATE(PlanYear,12,31)))</f>
        <v>0</v>
      </c>
      <c r="AL261" s="23">
        <f>IF(AJ261="","",SUMIFS(Performance!$O$5:$O$404,Performance!$H$5:$H$404,AJ261))</f>
        <v>0</v>
      </c>
      <c r="AM261" s="23">
        <f>IF(AJ261="","",SUMIFS(Performance!$Z$5:$Z$404,Performance!$H$5:$H$404,AJ261))</f>
        <v>0</v>
      </c>
      <c r="AN261" s="24">
        <f>IF(OR(AL261="",AL261=0),"",AM261/AL261)</f>
        <v>0</v>
      </c>
      <c r="AO261" s="32">
        <f>IF(AN261="","",AN261+ROW()/1000000)</f>
        <v>0</v>
      </c>
      <c r="AP261" s="17">
        <f>IF(Lists!$E261="","",Lists!$E261)</f>
        <v>0</v>
      </c>
      <c r="AQ261" s="23">
        <f>IF(AP261="","",COUNTIF(Performance!$G$5:$G$404,AP261))</f>
        <v>0</v>
      </c>
      <c r="AR261" s="23">
        <f>IF(AP261="","",SUMIFS(Performance!$O$5:$O$404,Performance!$G$5:$G$404,AP261))</f>
        <v>0</v>
      </c>
      <c r="AS261" s="23">
        <f>IF(AP261="","",SUMIFS(Performance!$Z$5:$Z$404,Performance!$G$5:$G$404,AP261))</f>
        <v>0</v>
      </c>
      <c r="AT261" s="24">
        <f>IF(OR(AR261="",AR261=0),"",AS261/AR261)</f>
        <v>0</v>
      </c>
      <c r="AU261" s="32">
        <f>IF(AQ261=0,"",IF(AT261="","",AT261+ROW()/1000000))</f>
        <v>0</v>
      </c>
      <c r="AV261" s="17">
        <f>IF(ROW()-4&gt;7,"",TEXT(DATE(2024,1,ROW()-4),"ddd"))</f>
        <v>0</v>
      </c>
      <c r="AW261" s="23">
        <f>IF(AV261="","",COUNTIF(Performance!$N$5:$N$404,AV261))</f>
        <v>0</v>
      </c>
      <c r="AX261" s="23">
        <f>IF(AV261="","",SUMIFS(Performance!$O$5:$O$404,Performance!$N$5:$N$404,AV261))</f>
        <v>0</v>
      </c>
      <c r="AY261" s="23">
        <f>IF(AV261="","",SUMIFS(Performance!$Z$5:$Z$404,Performance!$N$5:$N$404,AV261))</f>
        <v>0</v>
      </c>
      <c r="AZ261" s="24">
        <f>IF(OR(AX261="",AX261=0),"",AY261/AX261)</f>
        <v>0</v>
      </c>
      <c r="BA261" s="32">
        <f>IF(AW261=0,"",IF(AZ261="","",AZ261+ROW()/1000000))</f>
        <v>0</v>
      </c>
      <c r="BB261" s="17">
        <f>IF(Lists!$AL261="","",Lists!$AL261)</f>
        <v>0</v>
      </c>
      <c r="BC261" s="23">
        <f>IF(BB261="","",COUNTIF(Performance!$M$5:$M$404,BB261))</f>
        <v>0</v>
      </c>
      <c r="BD261" s="23">
        <f>IF(BB261="","",SUMIFS(Performance!$O$5:$O$404,Performance!$M$5:$M$404,BB261))</f>
        <v>0</v>
      </c>
      <c r="BE261" s="23">
        <f>IF(BB261="","",SUMIFS(Performance!$Z$5:$Z$404,Performance!$M$5:$M$404,BB261))</f>
        <v>0</v>
      </c>
      <c r="BF261" s="24">
        <f>IF(OR(BD261="",BD261=0),"",BE261/BD261)</f>
        <v>0</v>
      </c>
      <c r="BG261" s="32">
        <f>IF(BC261=0,"",IF(BF261="","",BF261+ROW()/1000000))</f>
        <v>0</v>
      </c>
      <c r="BH261" s="17">
        <f>IF(Performance!$C$261="","",Performance!$C$261)</f>
        <v>0</v>
      </c>
      <c r="BI261" s="17">
        <f>IF(Performance!$F$261="","",Performance!$F$261)</f>
        <v>0</v>
      </c>
      <c r="BJ261" s="17">
        <f>IF(Performance!$H$261="","",Performance!$H$261)</f>
        <v>0</v>
      </c>
      <c r="BK261" s="16">
        <f>IF(Performance!$D$261="","",Performance!$D$261)</f>
        <v>0</v>
      </c>
      <c r="BL261" s="17">
        <f>IF(Performance!$E$261="","",Performance!$E$261)</f>
        <v>0</v>
      </c>
      <c r="BM261" s="23">
        <f>IF(Performance!$O$261="","",Performance!$O$261)</f>
        <v>0</v>
      </c>
      <c r="BN261" s="24">
        <f>IF(Performance!$AA$261="","",Performance!$AA$261)</f>
        <v>0</v>
      </c>
      <c r="BO261" s="32">
        <f>IF(BH261="","",IF(BK261="","",IF(OR(BK261&lt;DashStart,BK261&gt;DashEnd),"",IF(BN261="","",BN261+ROW()/1000000))))</f>
        <v>0</v>
      </c>
      <c r="BP261" s="32">
        <f>IF(BM261="","",IF(BK261="","",IF(OR(BK261&lt;DashStart,BK261&gt;DashEnd),"",BM261+ROW()/1000000)))</f>
        <v>0</v>
      </c>
      <c r="BQ261" s="32">
        <f>IF(BH261="","",IF(BK261="","",IF(YEAR(BK261)&lt;&gt;PlanYear,"",IF(BN261="","",BN261+ROW()/1000000))))</f>
        <v>0</v>
      </c>
      <c r="BR261" s="32">
        <f>IF(BH261="","",IF(BK261="","",IF(OR(BK261&lt;RepFrom,BK261&gt;RepTo),"",IF(BN261="","",BN261+ROW()/1000000))))</f>
        <v>0</v>
      </c>
      <c r="BS261" s="32">
        <f>IF(BM261="","",IF(BK261="","",IF(YEAR(BK261)&lt;&gt;PlanYear,"",BM261+ROW()/1000000)))</f>
        <v>0</v>
      </c>
      <c r="BT261" s="17">
        <f>IF(Lists!$F261="","",Lists!$F261)</f>
        <v>0</v>
      </c>
      <c r="BU261" s="23">
        <f>IF(BT261="","",COUNTIF('Content Calendar'!$X$5:$X$604,BT261))</f>
        <v>0</v>
      </c>
      <c r="BV261" s="23">
        <f>IF(BT261="","",COUNTIFS('Content Calendar'!$X$5:$X$604,BT261,'Content Calendar'!$B$5:$B$604,"&gt;="&amp;DashStart,'Content Calendar'!$B$5:$B$604,"&lt;="&amp;DashEnd))</f>
        <v>0</v>
      </c>
      <c r="BW261" s="17">
        <f>IF(Team!$B$261="","",Team!$B$261)</f>
        <v>0</v>
      </c>
      <c r="BX261" s="23">
        <f>IF(BW261="","",COUNTIF('Content Calendar'!$W$5:$W$604,BW261))</f>
        <v>0</v>
      </c>
      <c r="BY261" s="23">
        <f>IF(BW261="","",COUNTIFS('Content Calendar'!$W$5:$W$604,BW261,'Content Calendar'!$X$5:$X$604,"&lt;&gt;Published"))</f>
        <v>0</v>
      </c>
      <c r="BZ261" s="23">
        <f>IF(BW261="","",COUNTIFS(Tasks!$C$5:$C$64,BW261,Tasks!$G$5:$G$64,"&lt;&gt;Complete"))</f>
        <v>0</v>
      </c>
      <c r="CA261" s="17">
        <f>IF(Campaigns!$B$261="","",Campaigns!$B$261)</f>
        <v>0</v>
      </c>
      <c r="CB261" s="25">
        <f>IF(Campaigns!$T$261="","",Campaigns!$T$261)</f>
        <v>0</v>
      </c>
      <c r="CC261" s="25">
        <f>IF(Campaigns!$Q$261="","",Campaigns!$Q$261)</f>
        <v>0</v>
      </c>
      <c r="CD261" s="23">
        <f>IF(Campaigns!$Y$261="","",Campaigns!$Y$261)</f>
        <v>0</v>
      </c>
      <c r="CE261" s="32">
        <f>IF(CA261="","",IF(N(CB261)&lt;=0,"",N(CB261)+ROW()/1000000))</f>
        <v>0</v>
      </c>
      <c r="CF261" s="17">
        <f>IF(Accounts!$C$261="","",Accounts!$C$261)</f>
        <v>0</v>
      </c>
      <c r="CG261" s="17">
        <f>IF(Accounts!$B$261="","",Accounts!$B$261)</f>
        <v>0</v>
      </c>
      <c r="CH261" s="23">
        <f>IF(Accounts!$J$261="","",Accounts!$J$261)</f>
        <v>0</v>
      </c>
      <c r="CI261" s="23">
        <f>IF(CF261="","",SUMIFS(Analytics!$X$5:$X$154,Analytics!$E$5:$E$154,CF261,Analytics!$B$5:$B$154,"&gt;="&amp;DashStart,Analytics!$B$5:$B$154,"&lt;="&amp;DashEnd))</f>
        <v>0</v>
      </c>
      <c r="CJ261" s="32">
        <f>IF(CH261="","",IF(CH261=0,"",CH261+ROW()/1000000))</f>
        <v>0</v>
      </c>
    </row>
    <row r="262" spans="1:88">
      <c r="A262" s="16">
        <f>IF(ROW()-4&gt;12,"",DATE(PlanYear,ROW()-4,1))</f>
        <v>0</v>
      </c>
      <c r="B262" s="16">
        <f>IF(A262="","",EOMONTH(A262,0))</f>
        <v>0</v>
      </c>
      <c r="C262" s="17">
        <f>IF(A262="","",TEXT(A262,"yyyy-mm"))</f>
        <v>0</v>
      </c>
      <c r="D262" s="17">
        <f>IF(A262="","",TEXT(A262,"mmm"))</f>
        <v>0</v>
      </c>
      <c r="E262" s="23">
        <f>IF(C262="","",COUNTIFS('Content Calendar'!$D$5:$D$604,C262))</f>
        <v>0</v>
      </c>
      <c r="F262" s="23">
        <f>IF(C262="","",COUNTIFS('Content Calendar'!$D$5:$D$604,C262,'Content Calendar'!$X$5:$X$604,"Published"))</f>
        <v>0</v>
      </c>
      <c r="G262" s="23">
        <f>IF(C262="","",SUMIFS(Analytics!$J$5:$J$154,Analytics!$C$5:$C$154,C262))</f>
        <v>0</v>
      </c>
      <c r="H262" s="23">
        <f>IF(C262="","",SUMIFS(Analytics!$K$5:$K$154,Analytics!$C$5:$C$154,C262))</f>
        <v>0</v>
      </c>
      <c r="I262" s="23">
        <f>IF(C262="","",SUMIFS(Analytics!$L$5:$L$154,Analytics!$C$5:$C$154,C262))</f>
        <v>0</v>
      </c>
      <c r="J262" s="24">
        <f>IF(OR(G262="",G262=0),"",I262/G262)</f>
        <v>0</v>
      </c>
      <c r="K262" s="23">
        <f>IF(C262="","",SUMIFS(Analytics!$G$5:$G$154,Analytics!$C$5:$C$154,C262))</f>
        <v>0</v>
      </c>
      <c r="L262" s="23">
        <f>IF(C262="","",SUMIFS(Analytics!$X$5:$X$154,Analytics!$C$5:$C$154,C262))</f>
        <v>0</v>
      </c>
      <c r="M262" s="23">
        <f>IF(C262="","",SUMIFS(Analytics!$R$5:$R$154,Analytics!$C$5:$C$154,C262))</f>
        <v>0</v>
      </c>
      <c r="N262" s="23">
        <f>IF(C262="","",SUMIFS(Analytics!$S$5:$S$154,Analytics!$C$5:$C$154,C262))</f>
        <v>0</v>
      </c>
      <c r="O262" s="23">
        <f>IF(C262="","",SUMIFS(Analytics!$T$5:$T$154,Analytics!$C$5:$C$154,C262))</f>
        <v>0</v>
      </c>
      <c r="P262" s="25">
        <f>IF(C262="","",SUMIFS(Analytics!$U$5:$U$154,Analytics!$C$5:$C$154,C262))</f>
        <v>0</v>
      </c>
      <c r="Q262" s="25">
        <f>IF(C262="","",SUMIFS(Budget!$H$5:$H$64,Budget!$C$5:$C$64,C262))</f>
        <v>0</v>
      </c>
      <c r="R262" s="25">
        <f>IF(C262="","",P262-Q262)</f>
        <v>0</v>
      </c>
      <c r="S262" s="23">
        <f>IF(C262="","",MonthlyPostTarget)</f>
        <v>0</v>
      </c>
      <c r="T262" s="17">
        <f>IF(Lists!$C262="","",Lists!$C262)</f>
        <v>0</v>
      </c>
      <c r="U262" s="23">
        <f>IF(T262="","",COUNTIFS('Content Calendar'!$G$5:$G$604,T262,'Content Calendar'!$B$5:$B$604,"&gt;="&amp;DashStart,'Content Calendar'!$B$5:$B$604,"&lt;="&amp;DashEnd))</f>
        <v>0</v>
      </c>
      <c r="V262" s="23">
        <f>IF(T262="","",COUNTIFS('Content Calendar'!$G$5:$G$604,T262,'Content Calendar'!$X$5:$X$604,"Published",'Content Calendar'!$B$5:$B$604,"&gt;="&amp;DashStart,'Content Calendar'!$B$5:$B$604,"&lt;="&amp;DashEnd))</f>
        <v>0</v>
      </c>
      <c r="W262" s="23">
        <f>IF(T262="","",SUMIFS(Analytics!$J$5:$J$154,Analytics!$D$5:$D$154,T262,Analytics!$B$5:$B$154,"&gt;="&amp;DashStart,Analytics!$B$5:$B$154,"&lt;="&amp;DashEnd))</f>
        <v>0</v>
      </c>
      <c r="X262" s="23">
        <f>IF(T262="","",SUMIFS(Analytics!$L$5:$L$154,Analytics!$D$5:$D$154,T262,Analytics!$B$5:$B$154,"&gt;="&amp;DashStart,Analytics!$B$5:$B$154,"&lt;="&amp;DashEnd))</f>
        <v>0</v>
      </c>
      <c r="Y262" s="24">
        <f>IF(OR(W262="",W262=0),"",X262/W262)</f>
        <v>0</v>
      </c>
      <c r="Z262" s="23">
        <f>IF(T262="","",SUMIFS(Analytics!$G$5:$G$154,Analytics!$D$5:$D$154,T262,Analytics!$B$5:$B$154,"&gt;="&amp;DashStart,Analytics!$B$5:$B$154,"&lt;="&amp;DashEnd))</f>
        <v>0</v>
      </c>
      <c r="AA262" s="23">
        <f>IF(T262="","",SUMIFS(Analytics!$X$5:$X$154,Analytics!$D$5:$D$154,T262,Analytics!$B$5:$B$154,"&gt;="&amp;DashStart,Analytics!$B$5:$B$154,"&lt;="&amp;DashEnd))</f>
        <v>0</v>
      </c>
      <c r="AB262" s="23">
        <f>IF(T262="","",SUMIFS(Analytics!$R$5:$R$154,Analytics!$D$5:$D$154,T262,Analytics!$B$5:$B$154,"&gt;="&amp;DashStart,Analytics!$B$5:$B$154,"&lt;="&amp;DashEnd))</f>
        <v>0</v>
      </c>
      <c r="AC262" s="25">
        <f>IF(T262="","",SUMIFS(Analytics!$U$5:$U$154,Analytics!$D$5:$D$154,T262,Analytics!$B$5:$B$154,"&gt;="&amp;DashStart,Analytics!$B$5:$B$154,"&lt;="&amp;DashEnd))</f>
        <v>0</v>
      </c>
      <c r="AD262" s="23">
        <f>IF(T262="","",COUNTIFS('Content Calendar'!$G$5:$G$604,T262,'Content Calendar'!$B$5:$B$604,"&gt;="&amp;DATE(PlanYear,1,1),'Content Calendar'!$B$5:$B$604,"&lt;="&amp;DATE(PlanYear,12,31)))</f>
        <v>0</v>
      </c>
      <c r="AE262" s="23">
        <f>IF(T262="","",SUMIFS(Analytics!$J$5:$J$154,Analytics!$D$5:$D$154,T262))</f>
        <v>0</v>
      </c>
      <c r="AF262" s="23">
        <f>IF(T262="","",SUMIFS(Analytics!$L$5:$L$154,Analytics!$D$5:$D$154,T262))</f>
        <v>0</v>
      </c>
      <c r="AG262" s="24">
        <f>IF(OR(AE262="",AE262=0),"",AF262/AE262)</f>
        <v>0</v>
      </c>
      <c r="AH262" s="23">
        <f>IF(T262="","",SUMIFS(Analytics!$X$5:$X$154,Analytics!$D$5:$D$154,T262))</f>
        <v>0</v>
      </c>
      <c r="AI262" s="32">
        <f>IF(T262="","",IF(AE262=0,"",AE262+ROW()/1000000))</f>
        <v>0</v>
      </c>
      <c r="AJ262" s="17">
        <f>IF('Content Pillars'!$B$262="","",'Content Pillars'!$B$262)</f>
        <v>0</v>
      </c>
      <c r="AK262" s="23">
        <f>IF(AJ262="","",COUNTIFS('Content Calendar'!$J$5:$J$604,AJ262,'Content Calendar'!$B$5:$B$604,"&gt;="&amp;DATE(PlanYear,1,1),'Content Calendar'!$B$5:$B$604,"&lt;="&amp;DATE(PlanYear,12,31)))</f>
        <v>0</v>
      </c>
      <c r="AL262" s="23">
        <f>IF(AJ262="","",SUMIFS(Performance!$O$5:$O$404,Performance!$H$5:$H$404,AJ262))</f>
        <v>0</v>
      </c>
      <c r="AM262" s="23">
        <f>IF(AJ262="","",SUMIFS(Performance!$Z$5:$Z$404,Performance!$H$5:$H$404,AJ262))</f>
        <v>0</v>
      </c>
      <c r="AN262" s="24">
        <f>IF(OR(AL262="",AL262=0),"",AM262/AL262)</f>
        <v>0</v>
      </c>
      <c r="AO262" s="32">
        <f>IF(AN262="","",AN262+ROW()/1000000)</f>
        <v>0</v>
      </c>
      <c r="AP262" s="17">
        <f>IF(Lists!$E262="","",Lists!$E262)</f>
        <v>0</v>
      </c>
      <c r="AQ262" s="23">
        <f>IF(AP262="","",COUNTIF(Performance!$G$5:$G$404,AP262))</f>
        <v>0</v>
      </c>
      <c r="AR262" s="23">
        <f>IF(AP262="","",SUMIFS(Performance!$O$5:$O$404,Performance!$G$5:$G$404,AP262))</f>
        <v>0</v>
      </c>
      <c r="AS262" s="23">
        <f>IF(AP262="","",SUMIFS(Performance!$Z$5:$Z$404,Performance!$G$5:$G$404,AP262))</f>
        <v>0</v>
      </c>
      <c r="AT262" s="24">
        <f>IF(OR(AR262="",AR262=0),"",AS262/AR262)</f>
        <v>0</v>
      </c>
      <c r="AU262" s="32">
        <f>IF(AQ262=0,"",IF(AT262="","",AT262+ROW()/1000000))</f>
        <v>0</v>
      </c>
      <c r="AV262" s="17">
        <f>IF(ROW()-4&gt;7,"",TEXT(DATE(2024,1,ROW()-4),"ddd"))</f>
        <v>0</v>
      </c>
      <c r="AW262" s="23">
        <f>IF(AV262="","",COUNTIF(Performance!$N$5:$N$404,AV262))</f>
        <v>0</v>
      </c>
      <c r="AX262" s="23">
        <f>IF(AV262="","",SUMIFS(Performance!$O$5:$O$404,Performance!$N$5:$N$404,AV262))</f>
        <v>0</v>
      </c>
      <c r="AY262" s="23">
        <f>IF(AV262="","",SUMIFS(Performance!$Z$5:$Z$404,Performance!$N$5:$N$404,AV262))</f>
        <v>0</v>
      </c>
      <c r="AZ262" s="24">
        <f>IF(OR(AX262="",AX262=0),"",AY262/AX262)</f>
        <v>0</v>
      </c>
      <c r="BA262" s="32">
        <f>IF(AW262=0,"",IF(AZ262="","",AZ262+ROW()/1000000))</f>
        <v>0</v>
      </c>
      <c r="BB262" s="17">
        <f>IF(Lists!$AL262="","",Lists!$AL262)</f>
        <v>0</v>
      </c>
      <c r="BC262" s="23">
        <f>IF(BB262="","",COUNTIF(Performance!$M$5:$M$404,BB262))</f>
        <v>0</v>
      </c>
      <c r="BD262" s="23">
        <f>IF(BB262="","",SUMIFS(Performance!$O$5:$O$404,Performance!$M$5:$M$404,BB262))</f>
        <v>0</v>
      </c>
      <c r="BE262" s="23">
        <f>IF(BB262="","",SUMIFS(Performance!$Z$5:$Z$404,Performance!$M$5:$M$404,BB262))</f>
        <v>0</v>
      </c>
      <c r="BF262" s="24">
        <f>IF(OR(BD262="",BD262=0),"",BE262/BD262)</f>
        <v>0</v>
      </c>
      <c r="BG262" s="32">
        <f>IF(BC262=0,"",IF(BF262="","",BF262+ROW()/1000000))</f>
        <v>0</v>
      </c>
      <c r="BH262" s="17">
        <f>IF(Performance!$C$262="","",Performance!$C$262)</f>
        <v>0</v>
      </c>
      <c r="BI262" s="17">
        <f>IF(Performance!$F$262="","",Performance!$F$262)</f>
        <v>0</v>
      </c>
      <c r="BJ262" s="17">
        <f>IF(Performance!$H$262="","",Performance!$H$262)</f>
        <v>0</v>
      </c>
      <c r="BK262" s="16">
        <f>IF(Performance!$D$262="","",Performance!$D$262)</f>
        <v>0</v>
      </c>
      <c r="BL262" s="17">
        <f>IF(Performance!$E$262="","",Performance!$E$262)</f>
        <v>0</v>
      </c>
      <c r="BM262" s="23">
        <f>IF(Performance!$O$262="","",Performance!$O$262)</f>
        <v>0</v>
      </c>
      <c r="BN262" s="24">
        <f>IF(Performance!$AA$262="","",Performance!$AA$262)</f>
        <v>0</v>
      </c>
      <c r="BO262" s="32">
        <f>IF(BH262="","",IF(BK262="","",IF(OR(BK262&lt;DashStart,BK262&gt;DashEnd),"",IF(BN262="","",BN262+ROW()/1000000))))</f>
        <v>0</v>
      </c>
      <c r="BP262" s="32">
        <f>IF(BM262="","",IF(BK262="","",IF(OR(BK262&lt;DashStart,BK262&gt;DashEnd),"",BM262+ROW()/1000000)))</f>
        <v>0</v>
      </c>
      <c r="BQ262" s="32">
        <f>IF(BH262="","",IF(BK262="","",IF(YEAR(BK262)&lt;&gt;PlanYear,"",IF(BN262="","",BN262+ROW()/1000000))))</f>
        <v>0</v>
      </c>
      <c r="BR262" s="32">
        <f>IF(BH262="","",IF(BK262="","",IF(OR(BK262&lt;RepFrom,BK262&gt;RepTo),"",IF(BN262="","",BN262+ROW()/1000000))))</f>
        <v>0</v>
      </c>
      <c r="BS262" s="32">
        <f>IF(BM262="","",IF(BK262="","",IF(YEAR(BK262)&lt;&gt;PlanYear,"",BM262+ROW()/1000000)))</f>
        <v>0</v>
      </c>
      <c r="BT262" s="17">
        <f>IF(Lists!$F262="","",Lists!$F262)</f>
        <v>0</v>
      </c>
      <c r="BU262" s="23">
        <f>IF(BT262="","",COUNTIF('Content Calendar'!$X$5:$X$604,BT262))</f>
        <v>0</v>
      </c>
      <c r="BV262" s="23">
        <f>IF(BT262="","",COUNTIFS('Content Calendar'!$X$5:$X$604,BT262,'Content Calendar'!$B$5:$B$604,"&gt;="&amp;DashStart,'Content Calendar'!$B$5:$B$604,"&lt;="&amp;DashEnd))</f>
        <v>0</v>
      </c>
      <c r="BW262" s="17">
        <f>IF(Team!$B$262="","",Team!$B$262)</f>
        <v>0</v>
      </c>
      <c r="BX262" s="23">
        <f>IF(BW262="","",COUNTIF('Content Calendar'!$W$5:$W$604,BW262))</f>
        <v>0</v>
      </c>
      <c r="BY262" s="23">
        <f>IF(BW262="","",COUNTIFS('Content Calendar'!$W$5:$W$604,BW262,'Content Calendar'!$X$5:$X$604,"&lt;&gt;Published"))</f>
        <v>0</v>
      </c>
      <c r="BZ262" s="23">
        <f>IF(BW262="","",COUNTIFS(Tasks!$C$5:$C$64,BW262,Tasks!$G$5:$G$64,"&lt;&gt;Complete"))</f>
        <v>0</v>
      </c>
      <c r="CA262" s="17">
        <f>IF(Campaigns!$B$262="","",Campaigns!$B$262)</f>
        <v>0</v>
      </c>
      <c r="CB262" s="25">
        <f>IF(Campaigns!$T$262="","",Campaigns!$T$262)</f>
        <v>0</v>
      </c>
      <c r="CC262" s="25">
        <f>IF(Campaigns!$Q$262="","",Campaigns!$Q$262)</f>
        <v>0</v>
      </c>
      <c r="CD262" s="23">
        <f>IF(Campaigns!$Y$262="","",Campaigns!$Y$262)</f>
        <v>0</v>
      </c>
      <c r="CE262" s="32">
        <f>IF(CA262="","",IF(N(CB262)&lt;=0,"",N(CB262)+ROW()/1000000))</f>
        <v>0</v>
      </c>
      <c r="CF262" s="17">
        <f>IF(Accounts!$C$262="","",Accounts!$C$262)</f>
        <v>0</v>
      </c>
      <c r="CG262" s="17">
        <f>IF(Accounts!$B$262="","",Accounts!$B$262)</f>
        <v>0</v>
      </c>
      <c r="CH262" s="23">
        <f>IF(Accounts!$J$262="","",Accounts!$J$262)</f>
        <v>0</v>
      </c>
      <c r="CI262" s="23">
        <f>IF(CF262="","",SUMIFS(Analytics!$X$5:$X$154,Analytics!$E$5:$E$154,CF262,Analytics!$B$5:$B$154,"&gt;="&amp;DashStart,Analytics!$B$5:$B$154,"&lt;="&amp;DashEnd))</f>
        <v>0</v>
      </c>
      <c r="CJ262" s="32">
        <f>IF(CH262="","",IF(CH262=0,"",CH262+ROW()/1000000))</f>
        <v>0</v>
      </c>
    </row>
    <row r="263" spans="1:88">
      <c r="A263" s="16">
        <f>IF(ROW()-4&gt;12,"",DATE(PlanYear,ROW()-4,1))</f>
        <v>0</v>
      </c>
      <c r="B263" s="16">
        <f>IF(A263="","",EOMONTH(A263,0))</f>
        <v>0</v>
      </c>
      <c r="C263" s="17">
        <f>IF(A263="","",TEXT(A263,"yyyy-mm"))</f>
        <v>0</v>
      </c>
      <c r="D263" s="17">
        <f>IF(A263="","",TEXT(A263,"mmm"))</f>
        <v>0</v>
      </c>
      <c r="E263" s="23">
        <f>IF(C263="","",COUNTIFS('Content Calendar'!$D$5:$D$604,C263))</f>
        <v>0</v>
      </c>
      <c r="F263" s="23">
        <f>IF(C263="","",COUNTIFS('Content Calendar'!$D$5:$D$604,C263,'Content Calendar'!$X$5:$X$604,"Published"))</f>
        <v>0</v>
      </c>
      <c r="G263" s="23">
        <f>IF(C263="","",SUMIFS(Analytics!$J$5:$J$154,Analytics!$C$5:$C$154,C263))</f>
        <v>0</v>
      </c>
      <c r="H263" s="23">
        <f>IF(C263="","",SUMIFS(Analytics!$K$5:$K$154,Analytics!$C$5:$C$154,C263))</f>
        <v>0</v>
      </c>
      <c r="I263" s="23">
        <f>IF(C263="","",SUMIFS(Analytics!$L$5:$L$154,Analytics!$C$5:$C$154,C263))</f>
        <v>0</v>
      </c>
      <c r="J263" s="24">
        <f>IF(OR(G263="",G263=0),"",I263/G263)</f>
        <v>0</v>
      </c>
      <c r="K263" s="23">
        <f>IF(C263="","",SUMIFS(Analytics!$G$5:$G$154,Analytics!$C$5:$C$154,C263))</f>
        <v>0</v>
      </c>
      <c r="L263" s="23">
        <f>IF(C263="","",SUMIFS(Analytics!$X$5:$X$154,Analytics!$C$5:$C$154,C263))</f>
        <v>0</v>
      </c>
      <c r="M263" s="23">
        <f>IF(C263="","",SUMIFS(Analytics!$R$5:$R$154,Analytics!$C$5:$C$154,C263))</f>
        <v>0</v>
      </c>
      <c r="N263" s="23">
        <f>IF(C263="","",SUMIFS(Analytics!$S$5:$S$154,Analytics!$C$5:$C$154,C263))</f>
        <v>0</v>
      </c>
      <c r="O263" s="23">
        <f>IF(C263="","",SUMIFS(Analytics!$T$5:$T$154,Analytics!$C$5:$C$154,C263))</f>
        <v>0</v>
      </c>
      <c r="P263" s="25">
        <f>IF(C263="","",SUMIFS(Analytics!$U$5:$U$154,Analytics!$C$5:$C$154,C263))</f>
        <v>0</v>
      </c>
      <c r="Q263" s="25">
        <f>IF(C263="","",SUMIFS(Budget!$H$5:$H$64,Budget!$C$5:$C$64,C263))</f>
        <v>0</v>
      </c>
      <c r="R263" s="25">
        <f>IF(C263="","",P263-Q263)</f>
        <v>0</v>
      </c>
      <c r="S263" s="23">
        <f>IF(C263="","",MonthlyPostTarget)</f>
        <v>0</v>
      </c>
      <c r="T263" s="17">
        <f>IF(Lists!$C263="","",Lists!$C263)</f>
        <v>0</v>
      </c>
      <c r="U263" s="23">
        <f>IF(T263="","",COUNTIFS('Content Calendar'!$G$5:$G$604,T263,'Content Calendar'!$B$5:$B$604,"&gt;="&amp;DashStart,'Content Calendar'!$B$5:$B$604,"&lt;="&amp;DashEnd))</f>
        <v>0</v>
      </c>
      <c r="V263" s="23">
        <f>IF(T263="","",COUNTIFS('Content Calendar'!$G$5:$G$604,T263,'Content Calendar'!$X$5:$X$604,"Published",'Content Calendar'!$B$5:$B$604,"&gt;="&amp;DashStart,'Content Calendar'!$B$5:$B$604,"&lt;="&amp;DashEnd))</f>
        <v>0</v>
      </c>
      <c r="W263" s="23">
        <f>IF(T263="","",SUMIFS(Analytics!$J$5:$J$154,Analytics!$D$5:$D$154,T263,Analytics!$B$5:$B$154,"&gt;="&amp;DashStart,Analytics!$B$5:$B$154,"&lt;="&amp;DashEnd))</f>
        <v>0</v>
      </c>
      <c r="X263" s="23">
        <f>IF(T263="","",SUMIFS(Analytics!$L$5:$L$154,Analytics!$D$5:$D$154,T263,Analytics!$B$5:$B$154,"&gt;="&amp;DashStart,Analytics!$B$5:$B$154,"&lt;="&amp;DashEnd))</f>
        <v>0</v>
      </c>
      <c r="Y263" s="24">
        <f>IF(OR(W263="",W263=0),"",X263/W263)</f>
        <v>0</v>
      </c>
      <c r="Z263" s="23">
        <f>IF(T263="","",SUMIFS(Analytics!$G$5:$G$154,Analytics!$D$5:$D$154,T263,Analytics!$B$5:$B$154,"&gt;="&amp;DashStart,Analytics!$B$5:$B$154,"&lt;="&amp;DashEnd))</f>
        <v>0</v>
      </c>
      <c r="AA263" s="23">
        <f>IF(T263="","",SUMIFS(Analytics!$X$5:$X$154,Analytics!$D$5:$D$154,T263,Analytics!$B$5:$B$154,"&gt;="&amp;DashStart,Analytics!$B$5:$B$154,"&lt;="&amp;DashEnd))</f>
        <v>0</v>
      </c>
      <c r="AB263" s="23">
        <f>IF(T263="","",SUMIFS(Analytics!$R$5:$R$154,Analytics!$D$5:$D$154,T263,Analytics!$B$5:$B$154,"&gt;="&amp;DashStart,Analytics!$B$5:$B$154,"&lt;="&amp;DashEnd))</f>
        <v>0</v>
      </c>
      <c r="AC263" s="25">
        <f>IF(T263="","",SUMIFS(Analytics!$U$5:$U$154,Analytics!$D$5:$D$154,T263,Analytics!$B$5:$B$154,"&gt;="&amp;DashStart,Analytics!$B$5:$B$154,"&lt;="&amp;DashEnd))</f>
        <v>0</v>
      </c>
      <c r="AD263" s="23">
        <f>IF(T263="","",COUNTIFS('Content Calendar'!$G$5:$G$604,T263,'Content Calendar'!$B$5:$B$604,"&gt;="&amp;DATE(PlanYear,1,1),'Content Calendar'!$B$5:$B$604,"&lt;="&amp;DATE(PlanYear,12,31)))</f>
        <v>0</v>
      </c>
      <c r="AE263" s="23">
        <f>IF(T263="","",SUMIFS(Analytics!$J$5:$J$154,Analytics!$D$5:$D$154,T263))</f>
        <v>0</v>
      </c>
      <c r="AF263" s="23">
        <f>IF(T263="","",SUMIFS(Analytics!$L$5:$L$154,Analytics!$D$5:$D$154,T263))</f>
        <v>0</v>
      </c>
      <c r="AG263" s="24">
        <f>IF(OR(AE263="",AE263=0),"",AF263/AE263)</f>
        <v>0</v>
      </c>
      <c r="AH263" s="23">
        <f>IF(T263="","",SUMIFS(Analytics!$X$5:$X$154,Analytics!$D$5:$D$154,T263))</f>
        <v>0</v>
      </c>
      <c r="AI263" s="32">
        <f>IF(T263="","",IF(AE263=0,"",AE263+ROW()/1000000))</f>
        <v>0</v>
      </c>
      <c r="AJ263" s="17">
        <f>IF('Content Pillars'!$B$263="","",'Content Pillars'!$B$263)</f>
        <v>0</v>
      </c>
      <c r="AK263" s="23">
        <f>IF(AJ263="","",COUNTIFS('Content Calendar'!$J$5:$J$604,AJ263,'Content Calendar'!$B$5:$B$604,"&gt;="&amp;DATE(PlanYear,1,1),'Content Calendar'!$B$5:$B$604,"&lt;="&amp;DATE(PlanYear,12,31)))</f>
        <v>0</v>
      </c>
      <c r="AL263" s="23">
        <f>IF(AJ263="","",SUMIFS(Performance!$O$5:$O$404,Performance!$H$5:$H$404,AJ263))</f>
        <v>0</v>
      </c>
      <c r="AM263" s="23">
        <f>IF(AJ263="","",SUMIFS(Performance!$Z$5:$Z$404,Performance!$H$5:$H$404,AJ263))</f>
        <v>0</v>
      </c>
      <c r="AN263" s="24">
        <f>IF(OR(AL263="",AL263=0),"",AM263/AL263)</f>
        <v>0</v>
      </c>
      <c r="AO263" s="32">
        <f>IF(AN263="","",AN263+ROW()/1000000)</f>
        <v>0</v>
      </c>
      <c r="AP263" s="17">
        <f>IF(Lists!$E263="","",Lists!$E263)</f>
        <v>0</v>
      </c>
      <c r="AQ263" s="23">
        <f>IF(AP263="","",COUNTIF(Performance!$G$5:$G$404,AP263))</f>
        <v>0</v>
      </c>
      <c r="AR263" s="23">
        <f>IF(AP263="","",SUMIFS(Performance!$O$5:$O$404,Performance!$G$5:$G$404,AP263))</f>
        <v>0</v>
      </c>
      <c r="AS263" s="23">
        <f>IF(AP263="","",SUMIFS(Performance!$Z$5:$Z$404,Performance!$G$5:$G$404,AP263))</f>
        <v>0</v>
      </c>
      <c r="AT263" s="24">
        <f>IF(OR(AR263="",AR263=0),"",AS263/AR263)</f>
        <v>0</v>
      </c>
      <c r="AU263" s="32">
        <f>IF(AQ263=0,"",IF(AT263="","",AT263+ROW()/1000000))</f>
        <v>0</v>
      </c>
      <c r="AV263" s="17">
        <f>IF(ROW()-4&gt;7,"",TEXT(DATE(2024,1,ROW()-4),"ddd"))</f>
        <v>0</v>
      </c>
      <c r="AW263" s="23">
        <f>IF(AV263="","",COUNTIF(Performance!$N$5:$N$404,AV263))</f>
        <v>0</v>
      </c>
      <c r="AX263" s="23">
        <f>IF(AV263="","",SUMIFS(Performance!$O$5:$O$404,Performance!$N$5:$N$404,AV263))</f>
        <v>0</v>
      </c>
      <c r="AY263" s="23">
        <f>IF(AV263="","",SUMIFS(Performance!$Z$5:$Z$404,Performance!$N$5:$N$404,AV263))</f>
        <v>0</v>
      </c>
      <c r="AZ263" s="24">
        <f>IF(OR(AX263="",AX263=0),"",AY263/AX263)</f>
        <v>0</v>
      </c>
      <c r="BA263" s="32">
        <f>IF(AW263=0,"",IF(AZ263="","",AZ263+ROW()/1000000))</f>
        <v>0</v>
      </c>
      <c r="BB263" s="17">
        <f>IF(Lists!$AL263="","",Lists!$AL263)</f>
        <v>0</v>
      </c>
      <c r="BC263" s="23">
        <f>IF(BB263="","",COUNTIF(Performance!$M$5:$M$404,BB263))</f>
        <v>0</v>
      </c>
      <c r="BD263" s="23">
        <f>IF(BB263="","",SUMIFS(Performance!$O$5:$O$404,Performance!$M$5:$M$404,BB263))</f>
        <v>0</v>
      </c>
      <c r="BE263" s="23">
        <f>IF(BB263="","",SUMIFS(Performance!$Z$5:$Z$404,Performance!$M$5:$M$404,BB263))</f>
        <v>0</v>
      </c>
      <c r="BF263" s="24">
        <f>IF(OR(BD263="",BD263=0),"",BE263/BD263)</f>
        <v>0</v>
      </c>
      <c r="BG263" s="32">
        <f>IF(BC263=0,"",IF(BF263="","",BF263+ROW()/1000000))</f>
        <v>0</v>
      </c>
      <c r="BH263" s="17">
        <f>IF(Performance!$C$263="","",Performance!$C$263)</f>
        <v>0</v>
      </c>
      <c r="BI263" s="17">
        <f>IF(Performance!$F$263="","",Performance!$F$263)</f>
        <v>0</v>
      </c>
      <c r="BJ263" s="17">
        <f>IF(Performance!$H$263="","",Performance!$H$263)</f>
        <v>0</v>
      </c>
      <c r="BK263" s="16">
        <f>IF(Performance!$D$263="","",Performance!$D$263)</f>
        <v>0</v>
      </c>
      <c r="BL263" s="17">
        <f>IF(Performance!$E$263="","",Performance!$E$263)</f>
        <v>0</v>
      </c>
      <c r="BM263" s="23">
        <f>IF(Performance!$O$263="","",Performance!$O$263)</f>
        <v>0</v>
      </c>
      <c r="BN263" s="24">
        <f>IF(Performance!$AA$263="","",Performance!$AA$263)</f>
        <v>0</v>
      </c>
      <c r="BO263" s="32">
        <f>IF(BH263="","",IF(BK263="","",IF(OR(BK263&lt;DashStart,BK263&gt;DashEnd),"",IF(BN263="","",BN263+ROW()/1000000))))</f>
        <v>0</v>
      </c>
      <c r="BP263" s="32">
        <f>IF(BM263="","",IF(BK263="","",IF(OR(BK263&lt;DashStart,BK263&gt;DashEnd),"",BM263+ROW()/1000000)))</f>
        <v>0</v>
      </c>
      <c r="BQ263" s="32">
        <f>IF(BH263="","",IF(BK263="","",IF(YEAR(BK263)&lt;&gt;PlanYear,"",IF(BN263="","",BN263+ROW()/1000000))))</f>
        <v>0</v>
      </c>
      <c r="BR263" s="32">
        <f>IF(BH263="","",IF(BK263="","",IF(OR(BK263&lt;RepFrom,BK263&gt;RepTo),"",IF(BN263="","",BN263+ROW()/1000000))))</f>
        <v>0</v>
      </c>
      <c r="BS263" s="32">
        <f>IF(BM263="","",IF(BK263="","",IF(YEAR(BK263)&lt;&gt;PlanYear,"",BM263+ROW()/1000000)))</f>
        <v>0</v>
      </c>
      <c r="BT263" s="17">
        <f>IF(Lists!$F263="","",Lists!$F263)</f>
        <v>0</v>
      </c>
      <c r="BU263" s="23">
        <f>IF(BT263="","",COUNTIF('Content Calendar'!$X$5:$X$604,BT263))</f>
        <v>0</v>
      </c>
      <c r="BV263" s="23">
        <f>IF(BT263="","",COUNTIFS('Content Calendar'!$X$5:$X$604,BT263,'Content Calendar'!$B$5:$B$604,"&gt;="&amp;DashStart,'Content Calendar'!$B$5:$B$604,"&lt;="&amp;DashEnd))</f>
        <v>0</v>
      </c>
      <c r="BW263" s="17">
        <f>IF(Team!$B$263="","",Team!$B$263)</f>
        <v>0</v>
      </c>
      <c r="BX263" s="23">
        <f>IF(BW263="","",COUNTIF('Content Calendar'!$W$5:$W$604,BW263))</f>
        <v>0</v>
      </c>
      <c r="BY263" s="23">
        <f>IF(BW263="","",COUNTIFS('Content Calendar'!$W$5:$W$604,BW263,'Content Calendar'!$X$5:$X$604,"&lt;&gt;Published"))</f>
        <v>0</v>
      </c>
      <c r="BZ263" s="23">
        <f>IF(BW263="","",COUNTIFS(Tasks!$C$5:$C$64,BW263,Tasks!$G$5:$G$64,"&lt;&gt;Complete"))</f>
        <v>0</v>
      </c>
      <c r="CA263" s="17">
        <f>IF(Campaigns!$B$263="","",Campaigns!$B$263)</f>
        <v>0</v>
      </c>
      <c r="CB263" s="25">
        <f>IF(Campaigns!$T$263="","",Campaigns!$T$263)</f>
        <v>0</v>
      </c>
      <c r="CC263" s="25">
        <f>IF(Campaigns!$Q$263="","",Campaigns!$Q$263)</f>
        <v>0</v>
      </c>
      <c r="CD263" s="23">
        <f>IF(Campaigns!$Y$263="","",Campaigns!$Y$263)</f>
        <v>0</v>
      </c>
      <c r="CE263" s="32">
        <f>IF(CA263="","",IF(N(CB263)&lt;=0,"",N(CB263)+ROW()/1000000))</f>
        <v>0</v>
      </c>
      <c r="CF263" s="17">
        <f>IF(Accounts!$C$263="","",Accounts!$C$263)</f>
        <v>0</v>
      </c>
      <c r="CG263" s="17">
        <f>IF(Accounts!$B$263="","",Accounts!$B$263)</f>
        <v>0</v>
      </c>
      <c r="CH263" s="23">
        <f>IF(Accounts!$J$263="","",Accounts!$J$263)</f>
        <v>0</v>
      </c>
      <c r="CI263" s="23">
        <f>IF(CF263="","",SUMIFS(Analytics!$X$5:$X$154,Analytics!$E$5:$E$154,CF263,Analytics!$B$5:$B$154,"&gt;="&amp;DashStart,Analytics!$B$5:$B$154,"&lt;="&amp;DashEnd))</f>
        <v>0</v>
      </c>
      <c r="CJ263" s="32">
        <f>IF(CH263="","",IF(CH263=0,"",CH263+ROW()/1000000))</f>
        <v>0</v>
      </c>
    </row>
    <row r="264" spans="1:88">
      <c r="A264" s="16">
        <f>IF(ROW()-4&gt;12,"",DATE(PlanYear,ROW()-4,1))</f>
        <v>0</v>
      </c>
      <c r="B264" s="16">
        <f>IF(A264="","",EOMONTH(A264,0))</f>
        <v>0</v>
      </c>
      <c r="C264" s="17">
        <f>IF(A264="","",TEXT(A264,"yyyy-mm"))</f>
        <v>0</v>
      </c>
      <c r="D264" s="17">
        <f>IF(A264="","",TEXT(A264,"mmm"))</f>
        <v>0</v>
      </c>
      <c r="E264" s="23">
        <f>IF(C264="","",COUNTIFS('Content Calendar'!$D$5:$D$604,C264))</f>
        <v>0</v>
      </c>
      <c r="F264" s="23">
        <f>IF(C264="","",COUNTIFS('Content Calendar'!$D$5:$D$604,C264,'Content Calendar'!$X$5:$X$604,"Published"))</f>
        <v>0</v>
      </c>
      <c r="G264" s="23">
        <f>IF(C264="","",SUMIFS(Analytics!$J$5:$J$154,Analytics!$C$5:$C$154,C264))</f>
        <v>0</v>
      </c>
      <c r="H264" s="23">
        <f>IF(C264="","",SUMIFS(Analytics!$K$5:$K$154,Analytics!$C$5:$C$154,C264))</f>
        <v>0</v>
      </c>
      <c r="I264" s="23">
        <f>IF(C264="","",SUMIFS(Analytics!$L$5:$L$154,Analytics!$C$5:$C$154,C264))</f>
        <v>0</v>
      </c>
      <c r="J264" s="24">
        <f>IF(OR(G264="",G264=0),"",I264/G264)</f>
        <v>0</v>
      </c>
      <c r="K264" s="23">
        <f>IF(C264="","",SUMIFS(Analytics!$G$5:$G$154,Analytics!$C$5:$C$154,C264))</f>
        <v>0</v>
      </c>
      <c r="L264" s="23">
        <f>IF(C264="","",SUMIFS(Analytics!$X$5:$X$154,Analytics!$C$5:$C$154,C264))</f>
        <v>0</v>
      </c>
      <c r="M264" s="23">
        <f>IF(C264="","",SUMIFS(Analytics!$R$5:$R$154,Analytics!$C$5:$C$154,C264))</f>
        <v>0</v>
      </c>
      <c r="N264" s="23">
        <f>IF(C264="","",SUMIFS(Analytics!$S$5:$S$154,Analytics!$C$5:$C$154,C264))</f>
        <v>0</v>
      </c>
      <c r="O264" s="23">
        <f>IF(C264="","",SUMIFS(Analytics!$T$5:$T$154,Analytics!$C$5:$C$154,C264))</f>
        <v>0</v>
      </c>
      <c r="P264" s="25">
        <f>IF(C264="","",SUMIFS(Analytics!$U$5:$U$154,Analytics!$C$5:$C$154,C264))</f>
        <v>0</v>
      </c>
      <c r="Q264" s="25">
        <f>IF(C264="","",SUMIFS(Budget!$H$5:$H$64,Budget!$C$5:$C$64,C264))</f>
        <v>0</v>
      </c>
      <c r="R264" s="25">
        <f>IF(C264="","",P264-Q264)</f>
        <v>0</v>
      </c>
      <c r="S264" s="23">
        <f>IF(C264="","",MonthlyPostTarget)</f>
        <v>0</v>
      </c>
      <c r="T264" s="17">
        <f>IF(Lists!$C264="","",Lists!$C264)</f>
        <v>0</v>
      </c>
      <c r="U264" s="23">
        <f>IF(T264="","",COUNTIFS('Content Calendar'!$G$5:$G$604,T264,'Content Calendar'!$B$5:$B$604,"&gt;="&amp;DashStart,'Content Calendar'!$B$5:$B$604,"&lt;="&amp;DashEnd))</f>
        <v>0</v>
      </c>
      <c r="V264" s="23">
        <f>IF(T264="","",COUNTIFS('Content Calendar'!$G$5:$G$604,T264,'Content Calendar'!$X$5:$X$604,"Published",'Content Calendar'!$B$5:$B$604,"&gt;="&amp;DashStart,'Content Calendar'!$B$5:$B$604,"&lt;="&amp;DashEnd))</f>
        <v>0</v>
      </c>
      <c r="W264" s="23">
        <f>IF(T264="","",SUMIFS(Analytics!$J$5:$J$154,Analytics!$D$5:$D$154,T264,Analytics!$B$5:$B$154,"&gt;="&amp;DashStart,Analytics!$B$5:$B$154,"&lt;="&amp;DashEnd))</f>
        <v>0</v>
      </c>
      <c r="X264" s="23">
        <f>IF(T264="","",SUMIFS(Analytics!$L$5:$L$154,Analytics!$D$5:$D$154,T264,Analytics!$B$5:$B$154,"&gt;="&amp;DashStart,Analytics!$B$5:$B$154,"&lt;="&amp;DashEnd))</f>
        <v>0</v>
      </c>
      <c r="Y264" s="24">
        <f>IF(OR(W264="",W264=0),"",X264/W264)</f>
        <v>0</v>
      </c>
      <c r="Z264" s="23">
        <f>IF(T264="","",SUMIFS(Analytics!$G$5:$G$154,Analytics!$D$5:$D$154,T264,Analytics!$B$5:$B$154,"&gt;="&amp;DashStart,Analytics!$B$5:$B$154,"&lt;="&amp;DashEnd))</f>
        <v>0</v>
      </c>
      <c r="AA264" s="23">
        <f>IF(T264="","",SUMIFS(Analytics!$X$5:$X$154,Analytics!$D$5:$D$154,T264,Analytics!$B$5:$B$154,"&gt;="&amp;DashStart,Analytics!$B$5:$B$154,"&lt;="&amp;DashEnd))</f>
        <v>0</v>
      </c>
      <c r="AB264" s="23">
        <f>IF(T264="","",SUMIFS(Analytics!$R$5:$R$154,Analytics!$D$5:$D$154,T264,Analytics!$B$5:$B$154,"&gt;="&amp;DashStart,Analytics!$B$5:$B$154,"&lt;="&amp;DashEnd))</f>
        <v>0</v>
      </c>
      <c r="AC264" s="25">
        <f>IF(T264="","",SUMIFS(Analytics!$U$5:$U$154,Analytics!$D$5:$D$154,T264,Analytics!$B$5:$B$154,"&gt;="&amp;DashStart,Analytics!$B$5:$B$154,"&lt;="&amp;DashEnd))</f>
        <v>0</v>
      </c>
      <c r="AD264" s="23">
        <f>IF(T264="","",COUNTIFS('Content Calendar'!$G$5:$G$604,T264,'Content Calendar'!$B$5:$B$604,"&gt;="&amp;DATE(PlanYear,1,1),'Content Calendar'!$B$5:$B$604,"&lt;="&amp;DATE(PlanYear,12,31)))</f>
        <v>0</v>
      </c>
      <c r="AE264" s="23">
        <f>IF(T264="","",SUMIFS(Analytics!$J$5:$J$154,Analytics!$D$5:$D$154,T264))</f>
        <v>0</v>
      </c>
      <c r="AF264" s="23">
        <f>IF(T264="","",SUMIFS(Analytics!$L$5:$L$154,Analytics!$D$5:$D$154,T264))</f>
        <v>0</v>
      </c>
      <c r="AG264" s="24">
        <f>IF(OR(AE264="",AE264=0),"",AF264/AE264)</f>
        <v>0</v>
      </c>
      <c r="AH264" s="23">
        <f>IF(T264="","",SUMIFS(Analytics!$X$5:$X$154,Analytics!$D$5:$D$154,T264))</f>
        <v>0</v>
      </c>
      <c r="AI264" s="32">
        <f>IF(T264="","",IF(AE264=0,"",AE264+ROW()/1000000))</f>
        <v>0</v>
      </c>
      <c r="AJ264" s="17">
        <f>IF('Content Pillars'!$B$264="","",'Content Pillars'!$B$264)</f>
        <v>0</v>
      </c>
      <c r="AK264" s="23">
        <f>IF(AJ264="","",COUNTIFS('Content Calendar'!$J$5:$J$604,AJ264,'Content Calendar'!$B$5:$B$604,"&gt;="&amp;DATE(PlanYear,1,1),'Content Calendar'!$B$5:$B$604,"&lt;="&amp;DATE(PlanYear,12,31)))</f>
        <v>0</v>
      </c>
      <c r="AL264" s="23">
        <f>IF(AJ264="","",SUMIFS(Performance!$O$5:$O$404,Performance!$H$5:$H$404,AJ264))</f>
        <v>0</v>
      </c>
      <c r="AM264" s="23">
        <f>IF(AJ264="","",SUMIFS(Performance!$Z$5:$Z$404,Performance!$H$5:$H$404,AJ264))</f>
        <v>0</v>
      </c>
      <c r="AN264" s="24">
        <f>IF(OR(AL264="",AL264=0),"",AM264/AL264)</f>
        <v>0</v>
      </c>
      <c r="AO264" s="32">
        <f>IF(AN264="","",AN264+ROW()/1000000)</f>
        <v>0</v>
      </c>
      <c r="AP264" s="17">
        <f>IF(Lists!$E264="","",Lists!$E264)</f>
        <v>0</v>
      </c>
      <c r="AQ264" s="23">
        <f>IF(AP264="","",COUNTIF(Performance!$G$5:$G$404,AP264))</f>
        <v>0</v>
      </c>
      <c r="AR264" s="23">
        <f>IF(AP264="","",SUMIFS(Performance!$O$5:$O$404,Performance!$G$5:$G$404,AP264))</f>
        <v>0</v>
      </c>
      <c r="AS264" s="23">
        <f>IF(AP264="","",SUMIFS(Performance!$Z$5:$Z$404,Performance!$G$5:$G$404,AP264))</f>
        <v>0</v>
      </c>
      <c r="AT264" s="24">
        <f>IF(OR(AR264="",AR264=0),"",AS264/AR264)</f>
        <v>0</v>
      </c>
      <c r="AU264" s="32">
        <f>IF(AQ264=0,"",IF(AT264="","",AT264+ROW()/1000000))</f>
        <v>0</v>
      </c>
      <c r="AV264" s="17">
        <f>IF(ROW()-4&gt;7,"",TEXT(DATE(2024,1,ROW()-4),"ddd"))</f>
        <v>0</v>
      </c>
      <c r="AW264" s="23">
        <f>IF(AV264="","",COUNTIF(Performance!$N$5:$N$404,AV264))</f>
        <v>0</v>
      </c>
      <c r="AX264" s="23">
        <f>IF(AV264="","",SUMIFS(Performance!$O$5:$O$404,Performance!$N$5:$N$404,AV264))</f>
        <v>0</v>
      </c>
      <c r="AY264" s="23">
        <f>IF(AV264="","",SUMIFS(Performance!$Z$5:$Z$404,Performance!$N$5:$N$404,AV264))</f>
        <v>0</v>
      </c>
      <c r="AZ264" s="24">
        <f>IF(OR(AX264="",AX264=0),"",AY264/AX264)</f>
        <v>0</v>
      </c>
      <c r="BA264" s="32">
        <f>IF(AW264=0,"",IF(AZ264="","",AZ264+ROW()/1000000))</f>
        <v>0</v>
      </c>
      <c r="BB264" s="17">
        <f>IF(Lists!$AL264="","",Lists!$AL264)</f>
        <v>0</v>
      </c>
      <c r="BC264" s="23">
        <f>IF(BB264="","",COUNTIF(Performance!$M$5:$M$404,BB264))</f>
        <v>0</v>
      </c>
      <c r="BD264" s="23">
        <f>IF(BB264="","",SUMIFS(Performance!$O$5:$O$404,Performance!$M$5:$M$404,BB264))</f>
        <v>0</v>
      </c>
      <c r="BE264" s="23">
        <f>IF(BB264="","",SUMIFS(Performance!$Z$5:$Z$404,Performance!$M$5:$M$404,BB264))</f>
        <v>0</v>
      </c>
      <c r="BF264" s="24">
        <f>IF(OR(BD264="",BD264=0),"",BE264/BD264)</f>
        <v>0</v>
      </c>
      <c r="BG264" s="32">
        <f>IF(BC264=0,"",IF(BF264="","",BF264+ROW()/1000000))</f>
        <v>0</v>
      </c>
      <c r="BH264" s="17">
        <f>IF(Performance!$C$264="","",Performance!$C$264)</f>
        <v>0</v>
      </c>
      <c r="BI264" s="17">
        <f>IF(Performance!$F$264="","",Performance!$F$264)</f>
        <v>0</v>
      </c>
      <c r="BJ264" s="17">
        <f>IF(Performance!$H$264="","",Performance!$H$264)</f>
        <v>0</v>
      </c>
      <c r="BK264" s="16">
        <f>IF(Performance!$D$264="","",Performance!$D$264)</f>
        <v>0</v>
      </c>
      <c r="BL264" s="17">
        <f>IF(Performance!$E$264="","",Performance!$E$264)</f>
        <v>0</v>
      </c>
      <c r="BM264" s="23">
        <f>IF(Performance!$O$264="","",Performance!$O$264)</f>
        <v>0</v>
      </c>
      <c r="BN264" s="24">
        <f>IF(Performance!$AA$264="","",Performance!$AA$264)</f>
        <v>0</v>
      </c>
      <c r="BO264" s="32">
        <f>IF(BH264="","",IF(BK264="","",IF(OR(BK264&lt;DashStart,BK264&gt;DashEnd),"",IF(BN264="","",BN264+ROW()/1000000))))</f>
        <v>0</v>
      </c>
      <c r="BP264" s="32">
        <f>IF(BM264="","",IF(BK264="","",IF(OR(BK264&lt;DashStart,BK264&gt;DashEnd),"",BM264+ROW()/1000000)))</f>
        <v>0</v>
      </c>
      <c r="BQ264" s="32">
        <f>IF(BH264="","",IF(BK264="","",IF(YEAR(BK264)&lt;&gt;PlanYear,"",IF(BN264="","",BN264+ROW()/1000000))))</f>
        <v>0</v>
      </c>
      <c r="BR264" s="32">
        <f>IF(BH264="","",IF(BK264="","",IF(OR(BK264&lt;RepFrom,BK264&gt;RepTo),"",IF(BN264="","",BN264+ROW()/1000000))))</f>
        <v>0</v>
      </c>
      <c r="BS264" s="32">
        <f>IF(BM264="","",IF(BK264="","",IF(YEAR(BK264)&lt;&gt;PlanYear,"",BM264+ROW()/1000000)))</f>
        <v>0</v>
      </c>
      <c r="BT264" s="17">
        <f>IF(Lists!$F264="","",Lists!$F264)</f>
        <v>0</v>
      </c>
      <c r="BU264" s="23">
        <f>IF(BT264="","",COUNTIF('Content Calendar'!$X$5:$X$604,BT264))</f>
        <v>0</v>
      </c>
      <c r="BV264" s="23">
        <f>IF(BT264="","",COUNTIFS('Content Calendar'!$X$5:$X$604,BT264,'Content Calendar'!$B$5:$B$604,"&gt;="&amp;DashStart,'Content Calendar'!$B$5:$B$604,"&lt;="&amp;DashEnd))</f>
        <v>0</v>
      </c>
      <c r="BW264" s="17">
        <f>IF(Team!$B$264="","",Team!$B$264)</f>
        <v>0</v>
      </c>
      <c r="BX264" s="23">
        <f>IF(BW264="","",COUNTIF('Content Calendar'!$W$5:$W$604,BW264))</f>
        <v>0</v>
      </c>
      <c r="BY264" s="23">
        <f>IF(BW264="","",COUNTIFS('Content Calendar'!$W$5:$W$604,BW264,'Content Calendar'!$X$5:$X$604,"&lt;&gt;Published"))</f>
        <v>0</v>
      </c>
      <c r="BZ264" s="23">
        <f>IF(BW264="","",COUNTIFS(Tasks!$C$5:$C$64,BW264,Tasks!$G$5:$G$64,"&lt;&gt;Complete"))</f>
        <v>0</v>
      </c>
      <c r="CA264" s="17">
        <f>IF(Campaigns!$B$264="","",Campaigns!$B$264)</f>
        <v>0</v>
      </c>
      <c r="CB264" s="25">
        <f>IF(Campaigns!$T$264="","",Campaigns!$T$264)</f>
        <v>0</v>
      </c>
      <c r="CC264" s="25">
        <f>IF(Campaigns!$Q$264="","",Campaigns!$Q$264)</f>
        <v>0</v>
      </c>
      <c r="CD264" s="23">
        <f>IF(Campaigns!$Y$264="","",Campaigns!$Y$264)</f>
        <v>0</v>
      </c>
      <c r="CE264" s="32">
        <f>IF(CA264="","",IF(N(CB264)&lt;=0,"",N(CB264)+ROW()/1000000))</f>
        <v>0</v>
      </c>
      <c r="CF264" s="17">
        <f>IF(Accounts!$C$264="","",Accounts!$C$264)</f>
        <v>0</v>
      </c>
      <c r="CG264" s="17">
        <f>IF(Accounts!$B$264="","",Accounts!$B$264)</f>
        <v>0</v>
      </c>
      <c r="CH264" s="23">
        <f>IF(Accounts!$J$264="","",Accounts!$J$264)</f>
        <v>0</v>
      </c>
      <c r="CI264" s="23">
        <f>IF(CF264="","",SUMIFS(Analytics!$X$5:$X$154,Analytics!$E$5:$E$154,CF264,Analytics!$B$5:$B$154,"&gt;="&amp;DashStart,Analytics!$B$5:$B$154,"&lt;="&amp;DashEnd))</f>
        <v>0</v>
      </c>
      <c r="CJ264" s="32">
        <f>IF(CH264="","",IF(CH264=0,"",CH264+ROW()/1000000))</f>
        <v>0</v>
      </c>
    </row>
    <row r="265" spans="1:88">
      <c r="A265" s="16">
        <f>IF(ROW()-4&gt;12,"",DATE(PlanYear,ROW()-4,1))</f>
        <v>0</v>
      </c>
      <c r="B265" s="16">
        <f>IF(A265="","",EOMONTH(A265,0))</f>
        <v>0</v>
      </c>
      <c r="C265" s="17">
        <f>IF(A265="","",TEXT(A265,"yyyy-mm"))</f>
        <v>0</v>
      </c>
      <c r="D265" s="17">
        <f>IF(A265="","",TEXT(A265,"mmm"))</f>
        <v>0</v>
      </c>
      <c r="E265" s="23">
        <f>IF(C265="","",COUNTIFS('Content Calendar'!$D$5:$D$604,C265))</f>
        <v>0</v>
      </c>
      <c r="F265" s="23">
        <f>IF(C265="","",COUNTIFS('Content Calendar'!$D$5:$D$604,C265,'Content Calendar'!$X$5:$X$604,"Published"))</f>
        <v>0</v>
      </c>
      <c r="G265" s="23">
        <f>IF(C265="","",SUMIFS(Analytics!$J$5:$J$154,Analytics!$C$5:$C$154,C265))</f>
        <v>0</v>
      </c>
      <c r="H265" s="23">
        <f>IF(C265="","",SUMIFS(Analytics!$K$5:$K$154,Analytics!$C$5:$C$154,C265))</f>
        <v>0</v>
      </c>
      <c r="I265" s="23">
        <f>IF(C265="","",SUMIFS(Analytics!$L$5:$L$154,Analytics!$C$5:$C$154,C265))</f>
        <v>0</v>
      </c>
      <c r="J265" s="24">
        <f>IF(OR(G265="",G265=0),"",I265/G265)</f>
        <v>0</v>
      </c>
      <c r="K265" s="23">
        <f>IF(C265="","",SUMIFS(Analytics!$G$5:$G$154,Analytics!$C$5:$C$154,C265))</f>
        <v>0</v>
      </c>
      <c r="L265" s="23">
        <f>IF(C265="","",SUMIFS(Analytics!$X$5:$X$154,Analytics!$C$5:$C$154,C265))</f>
        <v>0</v>
      </c>
      <c r="M265" s="23">
        <f>IF(C265="","",SUMIFS(Analytics!$R$5:$R$154,Analytics!$C$5:$C$154,C265))</f>
        <v>0</v>
      </c>
      <c r="N265" s="23">
        <f>IF(C265="","",SUMIFS(Analytics!$S$5:$S$154,Analytics!$C$5:$C$154,C265))</f>
        <v>0</v>
      </c>
      <c r="O265" s="23">
        <f>IF(C265="","",SUMIFS(Analytics!$T$5:$T$154,Analytics!$C$5:$C$154,C265))</f>
        <v>0</v>
      </c>
      <c r="P265" s="25">
        <f>IF(C265="","",SUMIFS(Analytics!$U$5:$U$154,Analytics!$C$5:$C$154,C265))</f>
        <v>0</v>
      </c>
      <c r="Q265" s="25">
        <f>IF(C265="","",SUMIFS(Budget!$H$5:$H$64,Budget!$C$5:$C$64,C265))</f>
        <v>0</v>
      </c>
      <c r="R265" s="25">
        <f>IF(C265="","",P265-Q265)</f>
        <v>0</v>
      </c>
      <c r="S265" s="23">
        <f>IF(C265="","",MonthlyPostTarget)</f>
        <v>0</v>
      </c>
      <c r="T265" s="17">
        <f>IF(Lists!$C265="","",Lists!$C265)</f>
        <v>0</v>
      </c>
      <c r="U265" s="23">
        <f>IF(T265="","",COUNTIFS('Content Calendar'!$G$5:$G$604,T265,'Content Calendar'!$B$5:$B$604,"&gt;="&amp;DashStart,'Content Calendar'!$B$5:$B$604,"&lt;="&amp;DashEnd))</f>
        <v>0</v>
      </c>
      <c r="V265" s="23">
        <f>IF(T265="","",COUNTIFS('Content Calendar'!$G$5:$G$604,T265,'Content Calendar'!$X$5:$X$604,"Published",'Content Calendar'!$B$5:$B$604,"&gt;="&amp;DashStart,'Content Calendar'!$B$5:$B$604,"&lt;="&amp;DashEnd))</f>
        <v>0</v>
      </c>
      <c r="W265" s="23">
        <f>IF(T265="","",SUMIFS(Analytics!$J$5:$J$154,Analytics!$D$5:$D$154,T265,Analytics!$B$5:$B$154,"&gt;="&amp;DashStart,Analytics!$B$5:$B$154,"&lt;="&amp;DashEnd))</f>
        <v>0</v>
      </c>
      <c r="X265" s="23">
        <f>IF(T265="","",SUMIFS(Analytics!$L$5:$L$154,Analytics!$D$5:$D$154,T265,Analytics!$B$5:$B$154,"&gt;="&amp;DashStart,Analytics!$B$5:$B$154,"&lt;="&amp;DashEnd))</f>
        <v>0</v>
      </c>
      <c r="Y265" s="24">
        <f>IF(OR(W265="",W265=0),"",X265/W265)</f>
        <v>0</v>
      </c>
      <c r="Z265" s="23">
        <f>IF(T265="","",SUMIFS(Analytics!$G$5:$G$154,Analytics!$D$5:$D$154,T265,Analytics!$B$5:$B$154,"&gt;="&amp;DashStart,Analytics!$B$5:$B$154,"&lt;="&amp;DashEnd))</f>
        <v>0</v>
      </c>
      <c r="AA265" s="23">
        <f>IF(T265="","",SUMIFS(Analytics!$X$5:$X$154,Analytics!$D$5:$D$154,T265,Analytics!$B$5:$B$154,"&gt;="&amp;DashStart,Analytics!$B$5:$B$154,"&lt;="&amp;DashEnd))</f>
        <v>0</v>
      </c>
      <c r="AB265" s="23">
        <f>IF(T265="","",SUMIFS(Analytics!$R$5:$R$154,Analytics!$D$5:$D$154,T265,Analytics!$B$5:$B$154,"&gt;="&amp;DashStart,Analytics!$B$5:$B$154,"&lt;="&amp;DashEnd))</f>
        <v>0</v>
      </c>
      <c r="AC265" s="25">
        <f>IF(T265="","",SUMIFS(Analytics!$U$5:$U$154,Analytics!$D$5:$D$154,T265,Analytics!$B$5:$B$154,"&gt;="&amp;DashStart,Analytics!$B$5:$B$154,"&lt;="&amp;DashEnd))</f>
        <v>0</v>
      </c>
      <c r="AD265" s="23">
        <f>IF(T265="","",COUNTIFS('Content Calendar'!$G$5:$G$604,T265,'Content Calendar'!$B$5:$B$604,"&gt;="&amp;DATE(PlanYear,1,1),'Content Calendar'!$B$5:$B$604,"&lt;="&amp;DATE(PlanYear,12,31)))</f>
        <v>0</v>
      </c>
      <c r="AE265" s="23">
        <f>IF(T265="","",SUMIFS(Analytics!$J$5:$J$154,Analytics!$D$5:$D$154,T265))</f>
        <v>0</v>
      </c>
      <c r="AF265" s="23">
        <f>IF(T265="","",SUMIFS(Analytics!$L$5:$L$154,Analytics!$D$5:$D$154,T265))</f>
        <v>0</v>
      </c>
      <c r="AG265" s="24">
        <f>IF(OR(AE265="",AE265=0),"",AF265/AE265)</f>
        <v>0</v>
      </c>
      <c r="AH265" s="23">
        <f>IF(T265="","",SUMIFS(Analytics!$X$5:$X$154,Analytics!$D$5:$D$154,T265))</f>
        <v>0</v>
      </c>
      <c r="AI265" s="32">
        <f>IF(T265="","",IF(AE265=0,"",AE265+ROW()/1000000))</f>
        <v>0</v>
      </c>
      <c r="AJ265" s="17">
        <f>IF('Content Pillars'!$B$265="","",'Content Pillars'!$B$265)</f>
        <v>0</v>
      </c>
      <c r="AK265" s="23">
        <f>IF(AJ265="","",COUNTIFS('Content Calendar'!$J$5:$J$604,AJ265,'Content Calendar'!$B$5:$B$604,"&gt;="&amp;DATE(PlanYear,1,1),'Content Calendar'!$B$5:$B$604,"&lt;="&amp;DATE(PlanYear,12,31)))</f>
        <v>0</v>
      </c>
      <c r="AL265" s="23">
        <f>IF(AJ265="","",SUMIFS(Performance!$O$5:$O$404,Performance!$H$5:$H$404,AJ265))</f>
        <v>0</v>
      </c>
      <c r="AM265" s="23">
        <f>IF(AJ265="","",SUMIFS(Performance!$Z$5:$Z$404,Performance!$H$5:$H$404,AJ265))</f>
        <v>0</v>
      </c>
      <c r="AN265" s="24">
        <f>IF(OR(AL265="",AL265=0),"",AM265/AL265)</f>
        <v>0</v>
      </c>
      <c r="AO265" s="32">
        <f>IF(AN265="","",AN265+ROW()/1000000)</f>
        <v>0</v>
      </c>
      <c r="AP265" s="17">
        <f>IF(Lists!$E265="","",Lists!$E265)</f>
        <v>0</v>
      </c>
      <c r="AQ265" s="23">
        <f>IF(AP265="","",COUNTIF(Performance!$G$5:$G$404,AP265))</f>
        <v>0</v>
      </c>
      <c r="AR265" s="23">
        <f>IF(AP265="","",SUMIFS(Performance!$O$5:$O$404,Performance!$G$5:$G$404,AP265))</f>
        <v>0</v>
      </c>
      <c r="AS265" s="23">
        <f>IF(AP265="","",SUMIFS(Performance!$Z$5:$Z$404,Performance!$G$5:$G$404,AP265))</f>
        <v>0</v>
      </c>
      <c r="AT265" s="24">
        <f>IF(OR(AR265="",AR265=0),"",AS265/AR265)</f>
        <v>0</v>
      </c>
      <c r="AU265" s="32">
        <f>IF(AQ265=0,"",IF(AT265="","",AT265+ROW()/1000000))</f>
        <v>0</v>
      </c>
      <c r="AV265" s="17">
        <f>IF(ROW()-4&gt;7,"",TEXT(DATE(2024,1,ROW()-4),"ddd"))</f>
        <v>0</v>
      </c>
      <c r="AW265" s="23">
        <f>IF(AV265="","",COUNTIF(Performance!$N$5:$N$404,AV265))</f>
        <v>0</v>
      </c>
      <c r="AX265" s="23">
        <f>IF(AV265="","",SUMIFS(Performance!$O$5:$O$404,Performance!$N$5:$N$404,AV265))</f>
        <v>0</v>
      </c>
      <c r="AY265" s="23">
        <f>IF(AV265="","",SUMIFS(Performance!$Z$5:$Z$404,Performance!$N$5:$N$404,AV265))</f>
        <v>0</v>
      </c>
      <c r="AZ265" s="24">
        <f>IF(OR(AX265="",AX265=0),"",AY265/AX265)</f>
        <v>0</v>
      </c>
      <c r="BA265" s="32">
        <f>IF(AW265=0,"",IF(AZ265="","",AZ265+ROW()/1000000))</f>
        <v>0</v>
      </c>
      <c r="BB265" s="17">
        <f>IF(Lists!$AL265="","",Lists!$AL265)</f>
        <v>0</v>
      </c>
      <c r="BC265" s="23">
        <f>IF(BB265="","",COUNTIF(Performance!$M$5:$M$404,BB265))</f>
        <v>0</v>
      </c>
      <c r="BD265" s="23">
        <f>IF(BB265="","",SUMIFS(Performance!$O$5:$O$404,Performance!$M$5:$M$404,BB265))</f>
        <v>0</v>
      </c>
      <c r="BE265" s="23">
        <f>IF(BB265="","",SUMIFS(Performance!$Z$5:$Z$404,Performance!$M$5:$M$404,BB265))</f>
        <v>0</v>
      </c>
      <c r="BF265" s="24">
        <f>IF(OR(BD265="",BD265=0),"",BE265/BD265)</f>
        <v>0</v>
      </c>
      <c r="BG265" s="32">
        <f>IF(BC265=0,"",IF(BF265="","",BF265+ROW()/1000000))</f>
        <v>0</v>
      </c>
      <c r="BH265" s="17">
        <f>IF(Performance!$C$265="","",Performance!$C$265)</f>
        <v>0</v>
      </c>
      <c r="BI265" s="17">
        <f>IF(Performance!$F$265="","",Performance!$F$265)</f>
        <v>0</v>
      </c>
      <c r="BJ265" s="17">
        <f>IF(Performance!$H$265="","",Performance!$H$265)</f>
        <v>0</v>
      </c>
      <c r="BK265" s="16">
        <f>IF(Performance!$D$265="","",Performance!$D$265)</f>
        <v>0</v>
      </c>
      <c r="BL265" s="17">
        <f>IF(Performance!$E$265="","",Performance!$E$265)</f>
        <v>0</v>
      </c>
      <c r="BM265" s="23">
        <f>IF(Performance!$O$265="","",Performance!$O$265)</f>
        <v>0</v>
      </c>
      <c r="BN265" s="24">
        <f>IF(Performance!$AA$265="","",Performance!$AA$265)</f>
        <v>0</v>
      </c>
      <c r="BO265" s="32">
        <f>IF(BH265="","",IF(BK265="","",IF(OR(BK265&lt;DashStart,BK265&gt;DashEnd),"",IF(BN265="","",BN265+ROW()/1000000))))</f>
        <v>0</v>
      </c>
      <c r="BP265" s="32">
        <f>IF(BM265="","",IF(BK265="","",IF(OR(BK265&lt;DashStart,BK265&gt;DashEnd),"",BM265+ROW()/1000000)))</f>
        <v>0</v>
      </c>
      <c r="BQ265" s="32">
        <f>IF(BH265="","",IF(BK265="","",IF(YEAR(BK265)&lt;&gt;PlanYear,"",IF(BN265="","",BN265+ROW()/1000000))))</f>
        <v>0</v>
      </c>
      <c r="BR265" s="32">
        <f>IF(BH265="","",IF(BK265="","",IF(OR(BK265&lt;RepFrom,BK265&gt;RepTo),"",IF(BN265="","",BN265+ROW()/1000000))))</f>
        <v>0</v>
      </c>
      <c r="BS265" s="32">
        <f>IF(BM265="","",IF(BK265="","",IF(YEAR(BK265)&lt;&gt;PlanYear,"",BM265+ROW()/1000000)))</f>
        <v>0</v>
      </c>
      <c r="BT265" s="17">
        <f>IF(Lists!$F265="","",Lists!$F265)</f>
        <v>0</v>
      </c>
      <c r="BU265" s="23">
        <f>IF(BT265="","",COUNTIF('Content Calendar'!$X$5:$X$604,BT265))</f>
        <v>0</v>
      </c>
      <c r="BV265" s="23">
        <f>IF(BT265="","",COUNTIFS('Content Calendar'!$X$5:$X$604,BT265,'Content Calendar'!$B$5:$B$604,"&gt;="&amp;DashStart,'Content Calendar'!$B$5:$B$604,"&lt;="&amp;DashEnd))</f>
        <v>0</v>
      </c>
      <c r="BW265" s="17">
        <f>IF(Team!$B$265="","",Team!$B$265)</f>
        <v>0</v>
      </c>
      <c r="BX265" s="23">
        <f>IF(BW265="","",COUNTIF('Content Calendar'!$W$5:$W$604,BW265))</f>
        <v>0</v>
      </c>
      <c r="BY265" s="23">
        <f>IF(BW265="","",COUNTIFS('Content Calendar'!$W$5:$W$604,BW265,'Content Calendar'!$X$5:$X$604,"&lt;&gt;Published"))</f>
        <v>0</v>
      </c>
      <c r="BZ265" s="23">
        <f>IF(BW265="","",COUNTIFS(Tasks!$C$5:$C$64,BW265,Tasks!$G$5:$G$64,"&lt;&gt;Complete"))</f>
        <v>0</v>
      </c>
      <c r="CA265" s="17">
        <f>IF(Campaigns!$B$265="","",Campaigns!$B$265)</f>
        <v>0</v>
      </c>
      <c r="CB265" s="25">
        <f>IF(Campaigns!$T$265="","",Campaigns!$T$265)</f>
        <v>0</v>
      </c>
      <c r="CC265" s="25">
        <f>IF(Campaigns!$Q$265="","",Campaigns!$Q$265)</f>
        <v>0</v>
      </c>
      <c r="CD265" s="23">
        <f>IF(Campaigns!$Y$265="","",Campaigns!$Y$265)</f>
        <v>0</v>
      </c>
      <c r="CE265" s="32">
        <f>IF(CA265="","",IF(N(CB265)&lt;=0,"",N(CB265)+ROW()/1000000))</f>
        <v>0</v>
      </c>
      <c r="CF265" s="17">
        <f>IF(Accounts!$C$265="","",Accounts!$C$265)</f>
        <v>0</v>
      </c>
      <c r="CG265" s="17">
        <f>IF(Accounts!$B$265="","",Accounts!$B$265)</f>
        <v>0</v>
      </c>
      <c r="CH265" s="23">
        <f>IF(Accounts!$J$265="","",Accounts!$J$265)</f>
        <v>0</v>
      </c>
      <c r="CI265" s="23">
        <f>IF(CF265="","",SUMIFS(Analytics!$X$5:$X$154,Analytics!$E$5:$E$154,CF265,Analytics!$B$5:$B$154,"&gt;="&amp;DashStart,Analytics!$B$5:$B$154,"&lt;="&amp;DashEnd))</f>
        <v>0</v>
      </c>
      <c r="CJ265" s="32">
        <f>IF(CH265="","",IF(CH265=0,"",CH265+ROW()/1000000))</f>
        <v>0</v>
      </c>
    </row>
    <row r="266" spans="1:88">
      <c r="A266" s="16">
        <f>IF(ROW()-4&gt;12,"",DATE(PlanYear,ROW()-4,1))</f>
        <v>0</v>
      </c>
      <c r="B266" s="16">
        <f>IF(A266="","",EOMONTH(A266,0))</f>
        <v>0</v>
      </c>
      <c r="C266" s="17">
        <f>IF(A266="","",TEXT(A266,"yyyy-mm"))</f>
        <v>0</v>
      </c>
      <c r="D266" s="17">
        <f>IF(A266="","",TEXT(A266,"mmm"))</f>
        <v>0</v>
      </c>
      <c r="E266" s="23">
        <f>IF(C266="","",COUNTIFS('Content Calendar'!$D$5:$D$604,C266))</f>
        <v>0</v>
      </c>
      <c r="F266" s="23">
        <f>IF(C266="","",COUNTIFS('Content Calendar'!$D$5:$D$604,C266,'Content Calendar'!$X$5:$X$604,"Published"))</f>
        <v>0</v>
      </c>
      <c r="G266" s="23">
        <f>IF(C266="","",SUMIFS(Analytics!$J$5:$J$154,Analytics!$C$5:$C$154,C266))</f>
        <v>0</v>
      </c>
      <c r="H266" s="23">
        <f>IF(C266="","",SUMIFS(Analytics!$K$5:$K$154,Analytics!$C$5:$C$154,C266))</f>
        <v>0</v>
      </c>
      <c r="I266" s="23">
        <f>IF(C266="","",SUMIFS(Analytics!$L$5:$L$154,Analytics!$C$5:$C$154,C266))</f>
        <v>0</v>
      </c>
      <c r="J266" s="24">
        <f>IF(OR(G266="",G266=0),"",I266/G266)</f>
        <v>0</v>
      </c>
      <c r="K266" s="23">
        <f>IF(C266="","",SUMIFS(Analytics!$G$5:$G$154,Analytics!$C$5:$C$154,C266))</f>
        <v>0</v>
      </c>
      <c r="L266" s="23">
        <f>IF(C266="","",SUMIFS(Analytics!$X$5:$X$154,Analytics!$C$5:$C$154,C266))</f>
        <v>0</v>
      </c>
      <c r="M266" s="23">
        <f>IF(C266="","",SUMIFS(Analytics!$R$5:$R$154,Analytics!$C$5:$C$154,C266))</f>
        <v>0</v>
      </c>
      <c r="N266" s="23">
        <f>IF(C266="","",SUMIFS(Analytics!$S$5:$S$154,Analytics!$C$5:$C$154,C266))</f>
        <v>0</v>
      </c>
      <c r="O266" s="23">
        <f>IF(C266="","",SUMIFS(Analytics!$T$5:$T$154,Analytics!$C$5:$C$154,C266))</f>
        <v>0</v>
      </c>
      <c r="P266" s="25">
        <f>IF(C266="","",SUMIFS(Analytics!$U$5:$U$154,Analytics!$C$5:$C$154,C266))</f>
        <v>0</v>
      </c>
      <c r="Q266" s="25">
        <f>IF(C266="","",SUMIFS(Budget!$H$5:$H$64,Budget!$C$5:$C$64,C266))</f>
        <v>0</v>
      </c>
      <c r="R266" s="25">
        <f>IF(C266="","",P266-Q266)</f>
        <v>0</v>
      </c>
      <c r="S266" s="23">
        <f>IF(C266="","",MonthlyPostTarget)</f>
        <v>0</v>
      </c>
      <c r="T266" s="17">
        <f>IF(Lists!$C266="","",Lists!$C266)</f>
        <v>0</v>
      </c>
      <c r="U266" s="23">
        <f>IF(T266="","",COUNTIFS('Content Calendar'!$G$5:$G$604,T266,'Content Calendar'!$B$5:$B$604,"&gt;="&amp;DashStart,'Content Calendar'!$B$5:$B$604,"&lt;="&amp;DashEnd))</f>
        <v>0</v>
      </c>
      <c r="V266" s="23">
        <f>IF(T266="","",COUNTIFS('Content Calendar'!$G$5:$G$604,T266,'Content Calendar'!$X$5:$X$604,"Published",'Content Calendar'!$B$5:$B$604,"&gt;="&amp;DashStart,'Content Calendar'!$B$5:$B$604,"&lt;="&amp;DashEnd))</f>
        <v>0</v>
      </c>
      <c r="W266" s="23">
        <f>IF(T266="","",SUMIFS(Analytics!$J$5:$J$154,Analytics!$D$5:$D$154,T266,Analytics!$B$5:$B$154,"&gt;="&amp;DashStart,Analytics!$B$5:$B$154,"&lt;="&amp;DashEnd))</f>
        <v>0</v>
      </c>
      <c r="X266" s="23">
        <f>IF(T266="","",SUMIFS(Analytics!$L$5:$L$154,Analytics!$D$5:$D$154,T266,Analytics!$B$5:$B$154,"&gt;="&amp;DashStart,Analytics!$B$5:$B$154,"&lt;="&amp;DashEnd))</f>
        <v>0</v>
      </c>
      <c r="Y266" s="24">
        <f>IF(OR(W266="",W266=0),"",X266/W266)</f>
        <v>0</v>
      </c>
      <c r="Z266" s="23">
        <f>IF(T266="","",SUMIFS(Analytics!$G$5:$G$154,Analytics!$D$5:$D$154,T266,Analytics!$B$5:$B$154,"&gt;="&amp;DashStart,Analytics!$B$5:$B$154,"&lt;="&amp;DashEnd))</f>
        <v>0</v>
      </c>
      <c r="AA266" s="23">
        <f>IF(T266="","",SUMIFS(Analytics!$X$5:$X$154,Analytics!$D$5:$D$154,T266,Analytics!$B$5:$B$154,"&gt;="&amp;DashStart,Analytics!$B$5:$B$154,"&lt;="&amp;DashEnd))</f>
        <v>0</v>
      </c>
      <c r="AB266" s="23">
        <f>IF(T266="","",SUMIFS(Analytics!$R$5:$R$154,Analytics!$D$5:$D$154,T266,Analytics!$B$5:$B$154,"&gt;="&amp;DashStart,Analytics!$B$5:$B$154,"&lt;="&amp;DashEnd))</f>
        <v>0</v>
      </c>
      <c r="AC266" s="25">
        <f>IF(T266="","",SUMIFS(Analytics!$U$5:$U$154,Analytics!$D$5:$D$154,T266,Analytics!$B$5:$B$154,"&gt;="&amp;DashStart,Analytics!$B$5:$B$154,"&lt;="&amp;DashEnd))</f>
        <v>0</v>
      </c>
      <c r="AD266" s="23">
        <f>IF(T266="","",COUNTIFS('Content Calendar'!$G$5:$G$604,T266,'Content Calendar'!$B$5:$B$604,"&gt;="&amp;DATE(PlanYear,1,1),'Content Calendar'!$B$5:$B$604,"&lt;="&amp;DATE(PlanYear,12,31)))</f>
        <v>0</v>
      </c>
      <c r="AE266" s="23">
        <f>IF(T266="","",SUMIFS(Analytics!$J$5:$J$154,Analytics!$D$5:$D$154,T266))</f>
        <v>0</v>
      </c>
      <c r="AF266" s="23">
        <f>IF(T266="","",SUMIFS(Analytics!$L$5:$L$154,Analytics!$D$5:$D$154,T266))</f>
        <v>0</v>
      </c>
      <c r="AG266" s="24">
        <f>IF(OR(AE266="",AE266=0),"",AF266/AE266)</f>
        <v>0</v>
      </c>
      <c r="AH266" s="23">
        <f>IF(T266="","",SUMIFS(Analytics!$X$5:$X$154,Analytics!$D$5:$D$154,T266))</f>
        <v>0</v>
      </c>
      <c r="AI266" s="32">
        <f>IF(T266="","",IF(AE266=0,"",AE266+ROW()/1000000))</f>
        <v>0</v>
      </c>
      <c r="AJ266" s="17">
        <f>IF('Content Pillars'!$B$266="","",'Content Pillars'!$B$266)</f>
        <v>0</v>
      </c>
      <c r="AK266" s="23">
        <f>IF(AJ266="","",COUNTIFS('Content Calendar'!$J$5:$J$604,AJ266,'Content Calendar'!$B$5:$B$604,"&gt;="&amp;DATE(PlanYear,1,1),'Content Calendar'!$B$5:$B$604,"&lt;="&amp;DATE(PlanYear,12,31)))</f>
        <v>0</v>
      </c>
      <c r="AL266" s="23">
        <f>IF(AJ266="","",SUMIFS(Performance!$O$5:$O$404,Performance!$H$5:$H$404,AJ266))</f>
        <v>0</v>
      </c>
      <c r="AM266" s="23">
        <f>IF(AJ266="","",SUMIFS(Performance!$Z$5:$Z$404,Performance!$H$5:$H$404,AJ266))</f>
        <v>0</v>
      </c>
      <c r="AN266" s="24">
        <f>IF(OR(AL266="",AL266=0),"",AM266/AL266)</f>
        <v>0</v>
      </c>
      <c r="AO266" s="32">
        <f>IF(AN266="","",AN266+ROW()/1000000)</f>
        <v>0</v>
      </c>
      <c r="AP266" s="17">
        <f>IF(Lists!$E266="","",Lists!$E266)</f>
        <v>0</v>
      </c>
      <c r="AQ266" s="23">
        <f>IF(AP266="","",COUNTIF(Performance!$G$5:$G$404,AP266))</f>
        <v>0</v>
      </c>
      <c r="AR266" s="23">
        <f>IF(AP266="","",SUMIFS(Performance!$O$5:$O$404,Performance!$G$5:$G$404,AP266))</f>
        <v>0</v>
      </c>
      <c r="AS266" s="23">
        <f>IF(AP266="","",SUMIFS(Performance!$Z$5:$Z$404,Performance!$G$5:$G$404,AP266))</f>
        <v>0</v>
      </c>
      <c r="AT266" s="24">
        <f>IF(OR(AR266="",AR266=0),"",AS266/AR266)</f>
        <v>0</v>
      </c>
      <c r="AU266" s="32">
        <f>IF(AQ266=0,"",IF(AT266="","",AT266+ROW()/1000000))</f>
        <v>0</v>
      </c>
      <c r="AV266" s="17">
        <f>IF(ROW()-4&gt;7,"",TEXT(DATE(2024,1,ROW()-4),"ddd"))</f>
        <v>0</v>
      </c>
      <c r="AW266" s="23">
        <f>IF(AV266="","",COUNTIF(Performance!$N$5:$N$404,AV266))</f>
        <v>0</v>
      </c>
      <c r="AX266" s="23">
        <f>IF(AV266="","",SUMIFS(Performance!$O$5:$O$404,Performance!$N$5:$N$404,AV266))</f>
        <v>0</v>
      </c>
      <c r="AY266" s="23">
        <f>IF(AV266="","",SUMIFS(Performance!$Z$5:$Z$404,Performance!$N$5:$N$404,AV266))</f>
        <v>0</v>
      </c>
      <c r="AZ266" s="24">
        <f>IF(OR(AX266="",AX266=0),"",AY266/AX266)</f>
        <v>0</v>
      </c>
      <c r="BA266" s="32">
        <f>IF(AW266=0,"",IF(AZ266="","",AZ266+ROW()/1000000))</f>
        <v>0</v>
      </c>
      <c r="BB266" s="17">
        <f>IF(Lists!$AL266="","",Lists!$AL266)</f>
        <v>0</v>
      </c>
      <c r="BC266" s="23">
        <f>IF(BB266="","",COUNTIF(Performance!$M$5:$M$404,BB266))</f>
        <v>0</v>
      </c>
      <c r="BD266" s="23">
        <f>IF(BB266="","",SUMIFS(Performance!$O$5:$O$404,Performance!$M$5:$M$404,BB266))</f>
        <v>0</v>
      </c>
      <c r="BE266" s="23">
        <f>IF(BB266="","",SUMIFS(Performance!$Z$5:$Z$404,Performance!$M$5:$M$404,BB266))</f>
        <v>0</v>
      </c>
      <c r="BF266" s="24">
        <f>IF(OR(BD266="",BD266=0),"",BE266/BD266)</f>
        <v>0</v>
      </c>
      <c r="BG266" s="32">
        <f>IF(BC266=0,"",IF(BF266="","",BF266+ROW()/1000000))</f>
        <v>0</v>
      </c>
      <c r="BH266" s="17">
        <f>IF(Performance!$C$266="","",Performance!$C$266)</f>
        <v>0</v>
      </c>
      <c r="BI266" s="17">
        <f>IF(Performance!$F$266="","",Performance!$F$266)</f>
        <v>0</v>
      </c>
      <c r="BJ266" s="17">
        <f>IF(Performance!$H$266="","",Performance!$H$266)</f>
        <v>0</v>
      </c>
      <c r="BK266" s="16">
        <f>IF(Performance!$D$266="","",Performance!$D$266)</f>
        <v>0</v>
      </c>
      <c r="BL266" s="17">
        <f>IF(Performance!$E$266="","",Performance!$E$266)</f>
        <v>0</v>
      </c>
      <c r="BM266" s="23">
        <f>IF(Performance!$O$266="","",Performance!$O$266)</f>
        <v>0</v>
      </c>
      <c r="BN266" s="24">
        <f>IF(Performance!$AA$266="","",Performance!$AA$266)</f>
        <v>0</v>
      </c>
      <c r="BO266" s="32">
        <f>IF(BH266="","",IF(BK266="","",IF(OR(BK266&lt;DashStart,BK266&gt;DashEnd),"",IF(BN266="","",BN266+ROW()/1000000))))</f>
        <v>0</v>
      </c>
      <c r="BP266" s="32">
        <f>IF(BM266="","",IF(BK266="","",IF(OR(BK266&lt;DashStart,BK266&gt;DashEnd),"",BM266+ROW()/1000000)))</f>
        <v>0</v>
      </c>
      <c r="BQ266" s="32">
        <f>IF(BH266="","",IF(BK266="","",IF(YEAR(BK266)&lt;&gt;PlanYear,"",IF(BN266="","",BN266+ROW()/1000000))))</f>
        <v>0</v>
      </c>
      <c r="BR266" s="32">
        <f>IF(BH266="","",IF(BK266="","",IF(OR(BK266&lt;RepFrom,BK266&gt;RepTo),"",IF(BN266="","",BN266+ROW()/1000000))))</f>
        <v>0</v>
      </c>
      <c r="BS266" s="32">
        <f>IF(BM266="","",IF(BK266="","",IF(YEAR(BK266)&lt;&gt;PlanYear,"",BM266+ROW()/1000000)))</f>
        <v>0</v>
      </c>
      <c r="BT266" s="17">
        <f>IF(Lists!$F266="","",Lists!$F266)</f>
        <v>0</v>
      </c>
      <c r="BU266" s="23">
        <f>IF(BT266="","",COUNTIF('Content Calendar'!$X$5:$X$604,BT266))</f>
        <v>0</v>
      </c>
      <c r="BV266" s="23">
        <f>IF(BT266="","",COUNTIFS('Content Calendar'!$X$5:$X$604,BT266,'Content Calendar'!$B$5:$B$604,"&gt;="&amp;DashStart,'Content Calendar'!$B$5:$B$604,"&lt;="&amp;DashEnd))</f>
        <v>0</v>
      </c>
      <c r="BW266" s="17">
        <f>IF(Team!$B$266="","",Team!$B$266)</f>
        <v>0</v>
      </c>
      <c r="BX266" s="23">
        <f>IF(BW266="","",COUNTIF('Content Calendar'!$W$5:$W$604,BW266))</f>
        <v>0</v>
      </c>
      <c r="BY266" s="23">
        <f>IF(BW266="","",COUNTIFS('Content Calendar'!$W$5:$W$604,BW266,'Content Calendar'!$X$5:$X$604,"&lt;&gt;Published"))</f>
        <v>0</v>
      </c>
      <c r="BZ266" s="23">
        <f>IF(BW266="","",COUNTIFS(Tasks!$C$5:$C$64,BW266,Tasks!$G$5:$G$64,"&lt;&gt;Complete"))</f>
        <v>0</v>
      </c>
      <c r="CA266" s="17">
        <f>IF(Campaigns!$B$266="","",Campaigns!$B$266)</f>
        <v>0</v>
      </c>
      <c r="CB266" s="25">
        <f>IF(Campaigns!$T$266="","",Campaigns!$T$266)</f>
        <v>0</v>
      </c>
      <c r="CC266" s="25">
        <f>IF(Campaigns!$Q$266="","",Campaigns!$Q$266)</f>
        <v>0</v>
      </c>
      <c r="CD266" s="23">
        <f>IF(Campaigns!$Y$266="","",Campaigns!$Y$266)</f>
        <v>0</v>
      </c>
      <c r="CE266" s="32">
        <f>IF(CA266="","",IF(N(CB266)&lt;=0,"",N(CB266)+ROW()/1000000))</f>
        <v>0</v>
      </c>
      <c r="CF266" s="17">
        <f>IF(Accounts!$C$266="","",Accounts!$C$266)</f>
        <v>0</v>
      </c>
      <c r="CG266" s="17">
        <f>IF(Accounts!$B$266="","",Accounts!$B$266)</f>
        <v>0</v>
      </c>
      <c r="CH266" s="23">
        <f>IF(Accounts!$J$266="","",Accounts!$J$266)</f>
        <v>0</v>
      </c>
      <c r="CI266" s="23">
        <f>IF(CF266="","",SUMIFS(Analytics!$X$5:$X$154,Analytics!$E$5:$E$154,CF266,Analytics!$B$5:$B$154,"&gt;="&amp;DashStart,Analytics!$B$5:$B$154,"&lt;="&amp;DashEnd))</f>
        <v>0</v>
      </c>
      <c r="CJ266" s="32">
        <f>IF(CH266="","",IF(CH266=0,"",CH266+ROW()/1000000))</f>
        <v>0</v>
      </c>
    </row>
    <row r="267" spans="1:88">
      <c r="A267" s="16">
        <f>IF(ROW()-4&gt;12,"",DATE(PlanYear,ROW()-4,1))</f>
        <v>0</v>
      </c>
      <c r="B267" s="16">
        <f>IF(A267="","",EOMONTH(A267,0))</f>
        <v>0</v>
      </c>
      <c r="C267" s="17">
        <f>IF(A267="","",TEXT(A267,"yyyy-mm"))</f>
        <v>0</v>
      </c>
      <c r="D267" s="17">
        <f>IF(A267="","",TEXT(A267,"mmm"))</f>
        <v>0</v>
      </c>
      <c r="E267" s="23">
        <f>IF(C267="","",COUNTIFS('Content Calendar'!$D$5:$D$604,C267))</f>
        <v>0</v>
      </c>
      <c r="F267" s="23">
        <f>IF(C267="","",COUNTIFS('Content Calendar'!$D$5:$D$604,C267,'Content Calendar'!$X$5:$X$604,"Published"))</f>
        <v>0</v>
      </c>
      <c r="G267" s="23">
        <f>IF(C267="","",SUMIFS(Analytics!$J$5:$J$154,Analytics!$C$5:$C$154,C267))</f>
        <v>0</v>
      </c>
      <c r="H267" s="23">
        <f>IF(C267="","",SUMIFS(Analytics!$K$5:$K$154,Analytics!$C$5:$C$154,C267))</f>
        <v>0</v>
      </c>
      <c r="I267" s="23">
        <f>IF(C267="","",SUMIFS(Analytics!$L$5:$L$154,Analytics!$C$5:$C$154,C267))</f>
        <v>0</v>
      </c>
      <c r="J267" s="24">
        <f>IF(OR(G267="",G267=0),"",I267/G267)</f>
        <v>0</v>
      </c>
      <c r="K267" s="23">
        <f>IF(C267="","",SUMIFS(Analytics!$G$5:$G$154,Analytics!$C$5:$C$154,C267))</f>
        <v>0</v>
      </c>
      <c r="L267" s="23">
        <f>IF(C267="","",SUMIFS(Analytics!$X$5:$X$154,Analytics!$C$5:$C$154,C267))</f>
        <v>0</v>
      </c>
      <c r="M267" s="23">
        <f>IF(C267="","",SUMIFS(Analytics!$R$5:$R$154,Analytics!$C$5:$C$154,C267))</f>
        <v>0</v>
      </c>
      <c r="N267" s="23">
        <f>IF(C267="","",SUMIFS(Analytics!$S$5:$S$154,Analytics!$C$5:$C$154,C267))</f>
        <v>0</v>
      </c>
      <c r="O267" s="23">
        <f>IF(C267="","",SUMIFS(Analytics!$T$5:$T$154,Analytics!$C$5:$C$154,C267))</f>
        <v>0</v>
      </c>
      <c r="P267" s="25">
        <f>IF(C267="","",SUMIFS(Analytics!$U$5:$U$154,Analytics!$C$5:$C$154,C267))</f>
        <v>0</v>
      </c>
      <c r="Q267" s="25">
        <f>IF(C267="","",SUMIFS(Budget!$H$5:$H$64,Budget!$C$5:$C$64,C267))</f>
        <v>0</v>
      </c>
      <c r="R267" s="25">
        <f>IF(C267="","",P267-Q267)</f>
        <v>0</v>
      </c>
      <c r="S267" s="23">
        <f>IF(C267="","",MonthlyPostTarget)</f>
        <v>0</v>
      </c>
      <c r="T267" s="17">
        <f>IF(Lists!$C267="","",Lists!$C267)</f>
        <v>0</v>
      </c>
      <c r="U267" s="23">
        <f>IF(T267="","",COUNTIFS('Content Calendar'!$G$5:$G$604,T267,'Content Calendar'!$B$5:$B$604,"&gt;="&amp;DashStart,'Content Calendar'!$B$5:$B$604,"&lt;="&amp;DashEnd))</f>
        <v>0</v>
      </c>
      <c r="V267" s="23">
        <f>IF(T267="","",COUNTIFS('Content Calendar'!$G$5:$G$604,T267,'Content Calendar'!$X$5:$X$604,"Published",'Content Calendar'!$B$5:$B$604,"&gt;="&amp;DashStart,'Content Calendar'!$B$5:$B$604,"&lt;="&amp;DashEnd))</f>
        <v>0</v>
      </c>
      <c r="W267" s="23">
        <f>IF(T267="","",SUMIFS(Analytics!$J$5:$J$154,Analytics!$D$5:$D$154,T267,Analytics!$B$5:$B$154,"&gt;="&amp;DashStart,Analytics!$B$5:$B$154,"&lt;="&amp;DashEnd))</f>
        <v>0</v>
      </c>
      <c r="X267" s="23">
        <f>IF(T267="","",SUMIFS(Analytics!$L$5:$L$154,Analytics!$D$5:$D$154,T267,Analytics!$B$5:$B$154,"&gt;="&amp;DashStart,Analytics!$B$5:$B$154,"&lt;="&amp;DashEnd))</f>
        <v>0</v>
      </c>
      <c r="Y267" s="24">
        <f>IF(OR(W267="",W267=0),"",X267/W267)</f>
        <v>0</v>
      </c>
      <c r="Z267" s="23">
        <f>IF(T267="","",SUMIFS(Analytics!$G$5:$G$154,Analytics!$D$5:$D$154,T267,Analytics!$B$5:$B$154,"&gt;="&amp;DashStart,Analytics!$B$5:$B$154,"&lt;="&amp;DashEnd))</f>
        <v>0</v>
      </c>
      <c r="AA267" s="23">
        <f>IF(T267="","",SUMIFS(Analytics!$X$5:$X$154,Analytics!$D$5:$D$154,T267,Analytics!$B$5:$B$154,"&gt;="&amp;DashStart,Analytics!$B$5:$B$154,"&lt;="&amp;DashEnd))</f>
        <v>0</v>
      </c>
      <c r="AB267" s="23">
        <f>IF(T267="","",SUMIFS(Analytics!$R$5:$R$154,Analytics!$D$5:$D$154,T267,Analytics!$B$5:$B$154,"&gt;="&amp;DashStart,Analytics!$B$5:$B$154,"&lt;="&amp;DashEnd))</f>
        <v>0</v>
      </c>
      <c r="AC267" s="25">
        <f>IF(T267="","",SUMIFS(Analytics!$U$5:$U$154,Analytics!$D$5:$D$154,T267,Analytics!$B$5:$B$154,"&gt;="&amp;DashStart,Analytics!$B$5:$B$154,"&lt;="&amp;DashEnd))</f>
        <v>0</v>
      </c>
      <c r="AD267" s="23">
        <f>IF(T267="","",COUNTIFS('Content Calendar'!$G$5:$G$604,T267,'Content Calendar'!$B$5:$B$604,"&gt;="&amp;DATE(PlanYear,1,1),'Content Calendar'!$B$5:$B$604,"&lt;="&amp;DATE(PlanYear,12,31)))</f>
        <v>0</v>
      </c>
      <c r="AE267" s="23">
        <f>IF(T267="","",SUMIFS(Analytics!$J$5:$J$154,Analytics!$D$5:$D$154,T267))</f>
        <v>0</v>
      </c>
      <c r="AF267" s="23">
        <f>IF(T267="","",SUMIFS(Analytics!$L$5:$L$154,Analytics!$D$5:$D$154,T267))</f>
        <v>0</v>
      </c>
      <c r="AG267" s="24">
        <f>IF(OR(AE267="",AE267=0),"",AF267/AE267)</f>
        <v>0</v>
      </c>
      <c r="AH267" s="23">
        <f>IF(T267="","",SUMIFS(Analytics!$X$5:$X$154,Analytics!$D$5:$D$154,T267))</f>
        <v>0</v>
      </c>
      <c r="AI267" s="32">
        <f>IF(T267="","",IF(AE267=0,"",AE267+ROW()/1000000))</f>
        <v>0</v>
      </c>
      <c r="AJ267" s="17">
        <f>IF('Content Pillars'!$B$267="","",'Content Pillars'!$B$267)</f>
        <v>0</v>
      </c>
      <c r="AK267" s="23">
        <f>IF(AJ267="","",COUNTIFS('Content Calendar'!$J$5:$J$604,AJ267,'Content Calendar'!$B$5:$B$604,"&gt;="&amp;DATE(PlanYear,1,1),'Content Calendar'!$B$5:$B$604,"&lt;="&amp;DATE(PlanYear,12,31)))</f>
        <v>0</v>
      </c>
      <c r="AL267" s="23">
        <f>IF(AJ267="","",SUMIFS(Performance!$O$5:$O$404,Performance!$H$5:$H$404,AJ267))</f>
        <v>0</v>
      </c>
      <c r="AM267" s="23">
        <f>IF(AJ267="","",SUMIFS(Performance!$Z$5:$Z$404,Performance!$H$5:$H$404,AJ267))</f>
        <v>0</v>
      </c>
      <c r="AN267" s="24">
        <f>IF(OR(AL267="",AL267=0),"",AM267/AL267)</f>
        <v>0</v>
      </c>
      <c r="AO267" s="32">
        <f>IF(AN267="","",AN267+ROW()/1000000)</f>
        <v>0</v>
      </c>
      <c r="AP267" s="17">
        <f>IF(Lists!$E267="","",Lists!$E267)</f>
        <v>0</v>
      </c>
      <c r="AQ267" s="23">
        <f>IF(AP267="","",COUNTIF(Performance!$G$5:$G$404,AP267))</f>
        <v>0</v>
      </c>
      <c r="AR267" s="23">
        <f>IF(AP267="","",SUMIFS(Performance!$O$5:$O$404,Performance!$G$5:$G$404,AP267))</f>
        <v>0</v>
      </c>
      <c r="AS267" s="23">
        <f>IF(AP267="","",SUMIFS(Performance!$Z$5:$Z$404,Performance!$G$5:$G$404,AP267))</f>
        <v>0</v>
      </c>
      <c r="AT267" s="24">
        <f>IF(OR(AR267="",AR267=0),"",AS267/AR267)</f>
        <v>0</v>
      </c>
      <c r="AU267" s="32">
        <f>IF(AQ267=0,"",IF(AT267="","",AT267+ROW()/1000000))</f>
        <v>0</v>
      </c>
      <c r="AV267" s="17">
        <f>IF(ROW()-4&gt;7,"",TEXT(DATE(2024,1,ROW()-4),"ddd"))</f>
        <v>0</v>
      </c>
      <c r="AW267" s="23">
        <f>IF(AV267="","",COUNTIF(Performance!$N$5:$N$404,AV267))</f>
        <v>0</v>
      </c>
      <c r="AX267" s="23">
        <f>IF(AV267="","",SUMIFS(Performance!$O$5:$O$404,Performance!$N$5:$N$404,AV267))</f>
        <v>0</v>
      </c>
      <c r="AY267" s="23">
        <f>IF(AV267="","",SUMIFS(Performance!$Z$5:$Z$404,Performance!$N$5:$N$404,AV267))</f>
        <v>0</v>
      </c>
      <c r="AZ267" s="24">
        <f>IF(OR(AX267="",AX267=0),"",AY267/AX267)</f>
        <v>0</v>
      </c>
      <c r="BA267" s="32">
        <f>IF(AW267=0,"",IF(AZ267="","",AZ267+ROW()/1000000))</f>
        <v>0</v>
      </c>
      <c r="BB267" s="17">
        <f>IF(Lists!$AL267="","",Lists!$AL267)</f>
        <v>0</v>
      </c>
      <c r="BC267" s="23">
        <f>IF(BB267="","",COUNTIF(Performance!$M$5:$M$404,BB267))</f>
        <v>0</v>
      </c>
      <c r="BD267" s="23">
        <f>IF(BB267="","",SUMIFS(Performance!$O$5:$O$404,Performance!$M$5:$M$404,BB267))</f>
        <v>0</v>
      </c>
      <c r="BE267" s="23">
        <f>IF(BB267="","",SUMIFS(Performance!$Z$5:$Z$404,Performance!$M$5:$M$404,BB267))</f>
        <v>0</v>
      </c>
      <c r="BF267" s="24">
        <f>IF(OR(BD267="",BD267=0),"",BE267/BD267)</f>
        <v>0</v>
      </c>
      <c r="BG267" s="32">
        <f>IF(BC267=0,"",IF(BF267="","",BF267+ROW()/1000000))</f>
        <v>0</v>
      </c>
      <c r="BH267" s="17">
        <f>IF(Performance!$C$267="","",Performance!$C$267)</f>
        <v>0</v>
      </c>
      <c r="BI267" s="17">
        <f>IF(Performance!$F$267="","",Performance!$F$267)</f>
        <v>0</v>
      </c>
      <c r="BJ267" s="17">
        <f>IF(Performance!$H$267="","",Performance!$H$267)</f>
        <v>0</v>
      </c>
      <c r="BK267" s="16">
        <f>IF(Performance!$D$267="","",Performance!$D$267)</f>
        <v>0</v>
      </c>
      <c r="BL267" s="17">
        <f>IF(Performance!$E$267="","",Performance!$E$267)</f>
        <v>0</v>
      </c>
      <c r="BM267" s="23">
        <f>IF(Performance!$O$267="","",Performance!$O$267)</f>
        <v>0</v>
      </c>
      <c r="BN267" s="24">
        <f>IF(Performance!$AA$267="","",Performance!$AA$267)</f>
        <v>0</v>
      </c>
      <c r="BO267" s="32">
        <f>IF(BH267="","",IF(BK267="","",IF(OR(BK267&lt;DashStart,BK267&gt;DashEnd),"",IF(BN267="","",BN267+ROW()/1000000))))</f>
        <v>0</v>
      </c>
      <c r="BP267" s="32">
        <f>IF(BM267="","",IF(BK267="","",IF(OR(BK267&lt;DashStart,BK267&gt;DashEnd),"",BM267+ROW()/1000000)))</f>
        <v>0</v>
      </c>
      <c r="BQ267" s="32">
        <f>IF(BH267="","",IF(BK267="","",IF(YEAR(BK267)&lt;&gt;PlanYear,"",IF(BN267="","",BN267+ROW()/1000000))))</f>
        <v>0</v>
      </c>
      <c r="BR267" s="32">
        <f>IF(BH267="","",IF(BK267="","",IF(OR(BK267&lt;RepFrom,BK267&gt;RepTo),"",IF(BN267="","",BN267+ROW()/1000000))))</f>
        <v>0</v>
      </c>
      <c r="BS267" s="32">
        <f>IF(BM267="","",IF(BK267="","",IF(YEAR(BK267)&lt;&gt;PlanYear,"",BM267+ROW()/1000000)))</f>
        <v>0</v>
      </c>
      <c r="BT267" s="17">
        <f>IF(Lists!$F267="","",Lists!$F267)</f>
        <v>0</v>
      </c>
      <c r="BU267" s="23">
        <f>IF(BT267="","",COUNTIF('Content Calendar'!$X$5:$X$604,BT267))</f>
        <v>0</v>
      </c>
      <c r="BV267" s="23">
        <f>IF(BT267="","",COUNTIFS('Content Calendar'!$X$5:$X$604,BT267,'Content Calendar'!$B$5:$B$604,"&gt;="&amp;DashStart,'Content Calendar'!$B$5:$B$604,"&lt;="&amp;DashEnd))</f>
        <v>0</v>
      </c>
      <c r="BW267" s="17">
        <f>IF(Team!$B$267="","",Team!$B$267)</f>
        <v>0</v>
      </c>
      <c r="BX267" s="23">
        <f>IF(BW267="","",COUNTIF('Content Calendar'!$W$5:$W$604,BW267))</f>
        <v>0</v>
      </c>
      <c r="BY267" s="23">
        <f>IF(BW267="","",COUNTIFS('Content Calendar'!$W$5:$W$604,BW267,'Content Calendar'!$X$5:$X$604,"&lt;&gt;Published"))</f>
        <v>0</v>
      </c>
      <c r="BZ267" s="23">
        <f>IF(BW267="","",COUNTIFS(Tasks!$C$5:$C$64,BW267,Tasks!$G$5:$G$64,"&lt;&gt;Complete"))</f>
        <v>0</v>
      </c>
      <c r="CA267" s="17">
        <f>IF(Campaigns!$B$267="","",Campaigns!$B$267)</f>
        <v>0</v>
      </c>
      <c r="CB267" s="25">
        <f>IF(Campaigns!$T$267="","",Campaigns!$T$267)</f>
        <v>0</v>
      </c>
      <c r="CC267" s="25">
        <f>IF(Campaigns!$Q$267="","",Campaigns!$Q$267)</f>
        <v>0</v>
      </c>
      <c r="CD267" s="23">
        <f>IF(Campaigns!$Y$267="","",Campaigns!$Y$267)</f>
        <v>0</v>
      </c>
      <c r="CE267" s="32">
        <f>IF(CA267="","",IF(N(CB267)&lt;=0,"",N(CB267)+ROW()/1000000))</f>
        <v>0</v>
      </c>
      <c r="CF267" s="17">
        <f>IF(Accounts!$C$267="","",Accounts!$C$267)</f>
        <v>0</v>
      </c>
      <c r="CG267" s="17">
        <f>IF(Accounts!$B$267="","",Accounts!$B$267)</f>
        <v>0</v>
      </c>
      <c r="CH267" s="23">
        <f>IF(Accounts!$J$267="","",Accounts!$J$267)</f>
        <v>0</v>
      </c>
      <c r="CI267" s="23">
        <f>IF(CF267="","",SUMIFS(Analytics!$X$5:$X$154,Analytics!$E$5:$E$154,CF267,Analytics!$B$5:$B$154,"&gt;="&amp;DashStart,Analytics!$B$5:$B$154,"&lt;="&amp;DashEnd))</f>
        <v>0</v>
      </c>
      <c r="CJ267" s="32">
        <f>IF(CH267="","",IF(CH267=0,"",CH267+ROW()/1000000))</f>
        <v>0</v>
      </c>
    </row>
    <row r="268" spans="1:88">
      <c r="A268" s="16">
        <f>IF(ROW()-4&gt;12,"",DATE(PlanYear,ROW()-4,1))</f>
        <v>0</v>
      </c>
      <c r="B268" s="16">
        <f>IF(A268="","",EOMONTH(A268,0))</f>
        <v>0</v>
      </c>
      <c r="C268" s="17">
        <f>IF(A268="","",TEXT(A268,"yyyy-mm"))</f>
        <v>0</v>
      </c>
      <c r="D268" s="17">
        <f>IF(A268="","",TEXT(A268,"mmm"))</f>
        <v>0</v>
      </c>
      <c r="E268" s="23">
        <f>IF(C268="","",COUNTIFS('Content Calendar'!$D$5:$D$604,C268))</f>
        <v>0</v>
      </c>
      <c r="F268" s="23">
        <f>IF(C268="","",COUNTIFS('Content Calendar'!$D$5:$D$604,C268,'Content Calendar'!$X$5:$X$604,"Published"))</f>
        <v>0</v>
      </c>
      <c r="G268" s="23">
        <f>IF(C268="","",SUMIFS(Analytics!$J$5:$J$154,Analytics!$C$5:$C$154,C268))</f>
        <v>0</v>
      </c>
      <c r="H268" s="23">
        <f>IF(C268="","",SUMIFS(Analytics!$K$5:$K$154,Analytics!$C$5:$C$154,C268))</f>
        <v>0</v>
      </c>
      <c r="I268" s="23">
        <f>IF(C268="","",SUMIFS(Analytics!$L$5:$L$154,Analytics!$C$5:$C$154,C268))</f>
        <v>0</v>
      </c>
      <c r="J268" s="24">
        <f>IF(OR(G268="",G268=0),"",I268/G268)</f>
        <v>0</v>
      </c>
      <c r="K268" s="23">
        <f>IF(C268="","",SUMIFS(Analytics!$G$5:$G$154,Analytics!$C$5:$C$154,C268))</f>
        <v>0</v>
      </c>
      <c r="L268" s="23">
        <f>IF(C268="","",SUMIFS(Analytics!$X$5:$X$154,Analytics!$C$5:$C$154,C268))</f>
        <v>0</v>
      </c>
      <c r="M268" s="23">
        <f>IF(C268="","",SUMIFS(Analytics!$R$5:$R$154,Analytics!$C$5:$C$154,C268))</f>
        <v>0</v>
      </c>
      <c r="N268" s="23">
        <f>IF(C268="","",SUMIFS(Analytics!$S$5:$S$154,Analytics!$C$5:$C$154,C268))</f>
        <v>0</v>
      </c>
      <c r="O268" s="23">
        <f>IF(C268="","",SUMIFS(Analytics!$T$5:$T$154,Analytics!$C$5:$C$154,C268))</f>
        <v>0</v>
      </c>
      <c r="P268" s="25">
        <f>IF(C268="","",SUMIFS(Analytics!$U$5:$U$154,Analytics!$C$5:$C$154,C268))</f>
        <v>0</v>
      </c>
      <c r="Q268" s="25">
        <f>IF(C268="","",SUMIFS(Budget!$H$5:$H$64,Budget!$C$5:$C$64,C268))</f>
        <v>0</v>
      </c>
      <c r="R268" s="25">
        <f>IF(C268="","",P268-Q268)</f>
        <v>0</v>
      </c>
      <c r="S268" s="23">
        <f>IF(C268="","",MonthlyPostTarget)</f>
        <v>0</v>
      </c>
      <c r="T268" s="17">
        <f>IF(Lists!$C268="","",Lists!$C268)</f>
        <v>0</v>
      </c>
      <c r="U268" s="23">
        <f>IF(T268="","",COUNTIFS('Content Calendar'!$G$5:$G$604,T268,'Content Calendar'!$B$5:$B$604,"&gt;="&amp;DashStart,'Content Calendar'!$B$5:$B$604,"&lt;="&amp;DashEnd))</f>
        <v>0</v>
      </c>
      <c r="V268" s="23">
        <f>IF(T268="","",COUNTIFS('Content Calendar'!$G$5:$G$604,T268,'Content Calendar'!$X$5:$X$604,"Published",'Content Calendar'!$B$5:$B$604,"&gt;="&amp;DashStart,'Content Calendar'!$B$5:$B$604,"&lt;="&amp;DashEnd))</f>
        <v>0</v>
      </c>
      <c r="W268" s="23">
        <f>IF(T268="","",SUMIFS(Analytics!$J$5:$J$154,Analytics!$D$5:$D$154,T268,Analytics!$B$5:$B$154,"&gt;="&amp;DashStart,Analytics!$B$5:$B$154,"&lt;="&amp;DashEnd))</f>
        <v>0</v>
      </c>
      <c r="X268" s="23">
        <f>IF(T268="","",SUMIFS(Analytics!$L$5:$L$154,Analytics!$D$5:$D$154,T268,Analytics!$B$5:$B$154,"&gt;="&amp;DashStart,Analytics!$B$5:$B$154,"&lt;="&amp;DashEnd))</f>
        <v>0</v>
      </c>
      <c r="Y268" s="24">
        <f>IF(OR(W268="",W268=0),"",X268/W268)</f>
        <v>0</v>
      </c>
      <c r="Z268" s="23">
        <f>IF(T268="","",SUMIFS(Analytics!$G$5:$G$154,Analytics!$D$5:$D$154,T268,Analytics!$B$5:$B$154,"&gt;="&amp;DashStart,Analytics!$B$5:$B$154,"&lt;="&amp;DashEnd))</f>
        <v>0</v>
      </c>
      <c r="AA268" s="23">
        <f>IF(T268="","",SUMIFS(Analytics!$X$5:$X$154,Analytics!$D$5:$D$154,T268,Analytics!$B$5:$B$154,"&gt;="&amp;DashStart,Analytics!$B$5:$B$154,"&lt;="&amp;DashEnd))</f>
        <v>0</v>
      </c>
      <c r="AB268" s="23">
        <f>IF(T268="","",SUMIFS(Analytics!$R$5:$R$154,Analytics!$D$5:$D$154,T268,Analytics!$B$5:$B$154,"&gt;="&amp;DashStart,Analytics!$B$5:$B$154,"&lt;="&amp;DashEnd))</f>
        <v>0</v>
      </c>
      <c r="AC268" s="25">
        <f>IF(T268="","",SUMIFS(Analytics!$U$5:$U$154,Analytics!$D$5:$D$154,T268,Analytics!$B$5:$B$154,"&gt;="&amp;DashStart,Analytics!$B$5:$B$154,"&lt;="&amp;DashEnd))</f>
        <v>0</v>
      </c>
      <c r="AD268" s="23">
        <f>IF(T268="","",COUNTIFS('Content Calendar'!$G$5:$G$604,T268,'Content Calendar'!$B$5:$B$604,"&gt;="&amp;DATE(PlanYear,1,1),'Content Calendar'!$B$5:$B$604,"&lt;="&amp;DATE(PlanYear,12,31)))</f>
        <v>0</v>
      </c>
      <c r="AE268" s="23">
        <f>IF(T268="","",SUMIFS(Analytics!$J$5:$J$154,Analytics!$D$5:$D$154,T268))</f>
        <v>0</v>
      </c>
      <c r="AF268" s="23">
        <f>IF(T268="","",SUMIFS(Analytics!$L$5:$L$154,Analytics!$D$5:$D$154,T268))</f>
        <v>0</v>
      </c>
      <c r="AG268" s="24">
        <f>IF(OR(AE268="",AE268=0),"",AF268/AE268)</f>
        <v>0</v>
      </c>
      <c r="AH268" s="23">
        <f>IF(T268="","",SUMIFS(Analytics!$X$5:$X$154,Analytics!$D$5:$D$154,T268))</f>
        <v>0</v>
      </c>
      <c r="AI268" s="32">
        <f>IF(T268="","",IF(AE268=0,"",AE268+ROW()/1000000))</f>
        <v>0</v>
      </c>
      <c r="AJ268" s="17">
        <f>IF('Content Pillars'!$B$268="","",'Content Pillars'!$B$268)</f>
        <v>0</v>
      </c>
      <c r="AK268" s="23">
        <f>IF(AJ268="","",COUNTIFS('Content Calendar'!$J$5:$J$604,AJ268,'Content Calendar'!$B$5:$B$604,"&gt;="&amp;DATE(PlanYear,1,1),'Content Calendar'!$B$5:$B$604,"&lt;="&amp;DATE(PlanYear,12,31)))</f>
        <v>0</v>
      </c>
      <c r="AL268" s="23">
        <f>IF(AJ268="","",SUMIFS(Performance!$O$5:$O$404,Performance!$H$5:$H$404,AJ268))</f>
        <v>0</v>
      </c>
      <c r="AM268" s="23">
        <f>IF(AJ268="","",SUMIFS(Performance!$Z$5:$Z$404,Performance!$H$5:$H$404,AJ268))</f>
        <v>0</v>
      </c>
      <c r="AN268" s="24">
        <f>IF(OR(AL268="",AL268=0),"",AM268/AL268)</f>
        <v>0</v>
      </c>
      <c r="AO268" s="32">
        <f>IF(AN268="","",AN268+ROW()/1000000)</f>
        <v>0</v>
      </c>
      <c r="AP268" s="17">
        <f>IF(Lists!$E268="","",Lists!$E268)</f>
        <v>0</v>
      </c>
      <c r="AQ268" s="23">
        <f>IF(AP268="","",COUNTIF(Performance!$G$5:$G$404,AP268))</f>
        <v>0</v>
      </c>
      <c r="AR268" s="23">
        <f>IF(AP268="","",SUMIFS(Performance!$O$5:$O$404,Performance!$G$5:$G$404,AP268))</f>
        <v>0</v>
      </c>
      <c r="AS268" s="23">
        <f>IF(AP268="","",SUMIFS(Performance!$Z$5:$Z$404,Performance!$G$5:$G$404,AP268))</f>
        <v>0</v>
      </c>
      <c r="AT268" s="24">
        <f>IF(OR(AR268="",AR268=0),"",AS268/AR268)</f>
        <v>0</v>
      </c>
      <c r="AU268" s="32">
        <f>IF(AQ268=0,"",IF(AT268="","",AT268+ROW()/1000000))</f>
        <v>0</v>
      </c>
      <c r="AV268" s="17">
        <f>IF(ROW()-4&gt;7,"",TEXT(DATE(2024,1,ROW()-4),"ddd"))</f>
        <v>0</v>
      </c>
      <c r="AW268" s="23">
        <f>IF(AV268="","",COUNTIF(Performance!$N$5:$N$404,AV268))</f>
        <v>0</v>
      </c>
      <c r="AX268" s="23">
        <f>IF(AV268="","",SUMIFS(Performance!$O$5:$O$404,Performance!$N$5:$N$404,AV268))</f>
        <v>0</v>
      </c>
      <c r="AY268" s="23">
        <f>IF(AV268="","",SUMIFS(Performance!$Z$5:$Z$404,Performance!$N$5:$N$404,AV268))</f>
        <v>0</v>
      </c>
      <c r="AZ268" s="24">
        <f>IF(OR(AX268="",AX268=0),"",AY268/AX268)</f>
        <v>0</v>
      </c>
      <c r="BA268" s="32">
        <f>IF(AW268=0,"",IF(AZ268="","",AZ268+ROW()/1000000))</f>
        <v>0</v>
      </c>
      <c r="BB268" s="17">
        <f>IF(Lists!$AL268="","",Lists!$AL268)</f>
        <v>0</v>
      </c>
      <c r="BC268" s="23">
        <f>IF(BB268="","",COUNTIF(Performance!$M$5:$M$404,BB268))</f>
        <v>0</v>
      </c>
      <c r="BD268" s="23">
        <f>IF(BB268="","",SUMIFS(Performance!$O$5:$O$404,Performance!$M$5:$M$404,BB268))</f>
        <v>0</v>
      </c>
      <c r="BE268" s="23">
        <f>IF(BB268="","",SUMIFS(Performance!$Z$5:$Z$404,Performance!$M$5:$M$404,BB268))</f>
        <v>0</v>
      </c>
      <c r="BF268" s="24">
        <f>IF(OR(BD268="",BD268=0),"",BE268/BD268)</f>
        <v>0</v>
      </c>
      <c r="BG268" s="32">
        <f>IF(BC268=0,"",IF(BF268="","",BF268+ROW()/1000000))</f>
        <v>0</v>
      </c>
      <c r="BH268" s="17">
        <f>IF(Performance!$C$268="","",Performance!$C$268)</f>
        <v>0</v>
      </c>
      <c r="BI268" s="17">
        <f>IF(Performance!$F$268="","",Performance!$F$268)</f>
        <v>0</v>
      </c>
      <c r="BJ268" s="17">
        <f>IF(Performance!$H$268="","",Performance!$H$268)</f>
        <v>0</v>
      </c>
      <c r="BK268" s="16">
        <f>IF(Performance!$D$268="","",Performance!$D$268)</f>
        <v>0</v>
      </c>
      <c r="BL268" s="17">
        <f>IF(Performance!$E$268="","",Performance!$E$268)</f>
        <v>0</v>
      </c>
      <c r="BM268" s="23">
        <f>IF(Performance!$O$268="","",Performance!$O$268)</f>
        <v>0</v>
      </c>
      <c r="BN268" s="24">
        <f>IF(Performance!$AA$268="","",Performance!$AA$268)</f>
        <v>0</v>
      </c>
      <c r="BO268" s="32">
        <f>IF(BH268="","",IF(BK268="","",IF(OR(BK268&lt;DashStart,BK268&gt;DashEnd),"",IF(BN268="","",BN268+ROW()/1000000))))</f>
        <v>0</v>
      </c>
      <c r="BP268" s="32">
        <f>IF(BM268="","",IF(BK268="","",IF(OR(BK268&lt;DashStart,BK268&gt;DashEnd),"",BM268+ROW()/1000000)))</f>
        <v>0</v>
      </c>
      <c r="BQ268" s="32">
        <f>IF(BH268="","",IF(BK268="","",IF(YEAR(BK268)&lt;&gt;PlanYear,"",IF(BN268="","",BN268+ROW()/1000000))))</f>
        <v>0</v>
      </c>
      <c r="BR268" s="32">
        <f>IF(BH268="","",IF(BK268="","",IF(OR(BK268&lt;RepFrom,BK268&gt;RepTo),"",IF(BN268="","",BN268+ROW()/1000000))))</f>
        <v>0</v>
      </c>
      <c r="BS268" s="32">
        <f>IF(BM268="","",IF(BK268="","",IF(YEAR(BK268)&lt;&gt;PlanYear,"",BM268+ROW()/1000000)))</f>
        <v>0</v>
      </c>
      <c r="BT268" s="17">
        <f>IF(Lists!$F268="","",Lists!$F268)</f>
        <v>0</v>
      </c>
      <c r="BU268" s="23">
        <f>IF(BT268="","",COUNTIF('Content Calendar'!$X$5:$X$604,BT268))</f>
        <v>0</v>
      </c>
      <c r="BV268" s="23">
        <f>IF(BT268="","",COUNTIFS('Content Calendar'!$X$5:$X$604,BT268,'Content Calendar'!$B$5:$B$604,"&gt;="&amp;DashStart,'Content Calendar'!$B$5:$B$604,"&lt;="&amp;DashEnd))</f>
        <v>0</v>
      </c>
      <c r="BW268" s="17">
        <f>IF(Team!$B$268="","",Team!$B$268)</f>
        <v>0</v>
      </c>
      <c r="BX268" s="23">
        <f>IF(BW268="","",COUNTIF('Content Calendar'!$W$5:$W$604,BW268))</f>
        <v>0</v>
      </c>
      <c r="BY268" s="23">
        <f>IF(BW268="","",COUNTIFS('Content Calendar'!$W$5:$W$604,BW268,'Content Calendar'!$X$5:$X$604,"&lt;&gt;Published"))</f>
        <v>0</v>
      </c>
      <c r="BZ268" s="23">
        <f>IF(BW268="","",COUNTIFS(Tasks!$C$5:$C$64,BW268,Tasks!$G$5:$G$64,"&lt;&gt;Complete"))</f>
        <v>0</v>
      </c>
      <c r="CA268" s="17">
        <f>IF(Campaigns!$B$268="","",Campaigns!$B$268)</f>
        <v>0</v>
      </c>
      <c r="CB268" s="25">
        <f>IF(Campaigns!$T$268="","",Campaigns!$T$268)</f>
        <v>0</v>
      </c>
      <c r="CC268" s="25">
        <f>IF(Campaigns!$Q$268="","",Campaigns!$Q$268)</f>
        <v>0</v>
      </c>
      <c r="CD268" s="23">
        <f>IF(Campaigns!$Y$268="","",Campaigns!$Y$268)</f>
        <v>0</v>
      </c>
      <c r="CE268" s="32">
        <f>IF(CA268="","",IF(N(CB268)&lt;=0,"",N(CB268)+ROW()/1000000))</f>
        <v>0</v>
      </c>
      <c r="CF268" s="17">
        <f>IF(Accounts!$C$268="","",Accounts!$C$268)</f>
        <v>0</v>
      </c>
      <c r="CG268" s="17">
        <f>IF(Accounts!$B$268="","",Accounts!$B$268)</f>
        <v>0</v>
      </c>
      <c r="CH268" s="23">
        <f>IF(Accounts!$J$268="","",Accounts!$J$268)</f>
        <v>0</v>
      </c>
      <c r="CI268" s="23">
        <f>IF(CF268="","",SUMIFS(Analytics!$X$5:$X$154,Analytics!$E$5:$E$154,CF268,Analytics!$B$5:$B$154,"&gt;="&amp;DashStart,Analytics!$B$5:$B$154,"&lt;="&amp;DashEnd))</f>
        <v>0</v>
      </c>
      <c r="CJ268" s="32">
        <f>IF(CH268="","",IF(CH268=0,"",CH268+ROW()/1000000))</f>
        <v>0</v>
      </c>
    </row>
    <row r="269" spans="1:88">
      <c r="A269" s="16">
        <f>IF(ROW()-4&gt;12,"",DATE(PlanYear,ROW()-4,1))</f>
        <v>0</v>
      </c>
      <c r="B269" s="16">
        <f>IF(A269="","",EOMONTH(A269,0))</f>
        <v>0</v>
      </c>
      <c r="C269" s="17">
        <f>IF(A269="","",TEXT(A269,"yyyy-mm"))</f>
        <v>0</v>
      </c>
      <c r="D269" s="17">
        <f>IF(A269="","",TEXT(A269,"mmm"))</f>
        <v>0</v>
      </c>
      <c r="E269" s="23">
        <f>IF(C269="","",COUNTIFS('Content Calendar'!$D$5:$D$604,C269))</f>
        <v>0</v>
      </c>
      <c r="F269" s="23">
        <f>IF(C269="","",COUNTIFS('Content Calendar'!$D$5:$D$604,C269,'Content Calendar'!$X$5:$X$604,"Published"))</f>
        <v>0</v>
      </c>
      <c r="G269" s="23">
        <f>IF(C269="","",SUMIFS(Analytics!$J$5:$J$154,Analytics!$C$5:$C$154,C269))</f>
        <v>0</v>
      </c>
      <c r="H269" s="23">
        <f>IF(C269="","",SUMIFS(Analytics!$K$5:$K$154,Analytics!$C$5:$C$154,C269))</f>
        <v>0</v>
      </c>
      <c r="I269" s="23">
        <f>IF(C269="","",SUMIFS(Analytics!$L$5:$L$154,Analytics!$C$5:$C$154,C269))</f>
        <v>0</v>
      </c>
      <c r="J269" s="24">
        <f>IF(OR(G269="",G269=0),"",I269/G269)</f>
        <v>0</v>
      </c>
      <c r="K269" s="23">
        <f>IF(C269="","",SUMIFS(Analytics!$G$5:$G$154,Analytics!$C$5:$C$154,C269))</f>
        <v>0</v>
      </c>
      <c r="L269" s="23">
        <f>IF(C269="","",SUMIFS(Analytics!$X$5:$X$154,Analytics!$C$5:$C$154,C269))</f>
        <v>0</v>
      </c>
      <c r="M269" s="23">
        <f>IF(C269="","",SUMIFS(Analytics!$R$5:$R$154,Analytics!$C$5:$C$154,C269))</f>
        <v>0</v>
      </c>
      <c r="N269" s="23">
        <f>IF(C269="","",SUMIFS(Analytics!$S$5:$S$154,Analytics!$C$5:$C$154,C269))</f>
        <v>0</v>
      </c>
      <c r="O269" s="23">
        <f>IF(C269="","",SUMIFS(Analytics!$T$5:$T$154,Analytics!$C$5:$C$154,C269))</f>
        <v>0</v>
      </c>
      <c r="P269" s="25">
        <f>IF(C269="","",SUMIFS(Analytics!$U$5:$U$154,Analytics!$C$5:$C$154,C269))</f>
        <v>0</v>
      </c>
      <c r="Q269" s="25">
        <f>IF(C269="","",SUMIFS(Budget!$H$5:$H$64,Budget!$C$5:$C$64,C269))</f>
        <v>0</v>
      </c>
      <c r="R269" s="25">
        <f>IF(C269="","",P269-Q269)</f>
        <v>0</v>
      </c>
      <c r="S269" s="23">
        <f>IF(C269="","",MonthlyPostTarget)</f>
        <v>0</v>
      </c>
      <c r="T269" s="17">
        <f>IF(Lists!$C269="","",Lists!$C269)</f>
        <v>0</v>
      </c>
      <c r="U269" s="23">
        <f>IF(T269="","",COUNTIFS('Content Calendar'!$G$5:$G$604,T269,'Content Calendar'!$B$5:$B$604,"&gt;="&amp;DashStart,'Content Calendar'!$B$5:$B$604,"&lt;="&amp;DashEnd))</f>
        <v>0</v>
      </c>
      <c r="V269" s="23">
        <f>IF(T269="","",COUNTIFS('Content Calendar'!$G$5:$G$604,T269,'Content Calendar'!$X$5:$X$604,"Published",'Content Calendar'!$B$5:$B$604,"&gt;="&amp;DashStart,'Content Calendar'!$B$5:$B$604,"&lt;="&amp;DashEnd))</f>
        <v>0</v>
      </c>
      <c r="W269" s="23">
        <f>IF(T269="","",SUMIFS(Analytics!$J$5:$J$154,Analytics!$D$5:$D$154,T269,Analytics!$B$5:$B$154,"&gt;="&amp;DashStart,Analytics!$B$5:$B$154,"&lt;="&amp;DashEnd))</f>
        <v>0</v>
      </c>
      <c r="X269" s="23">
        <f>IF(T269="","",SUMIFS(Analytics!$L$5:$L$154,Analytics!$D$5:$D$154,T269,Analytics!$B$5:$B$154,"&gt;="&amp;DashStart,Analytics!$B$5:$B$154,"&lt;="&amp;DashEnd))</f>
        <v>0</v>
      </c>
      <c r="Y269" s="24">
        <f>IF(OR(W269="",W269=0),"",X269/W269)</f>
        <v>0</v>
      </c>
      <c r="Z269" s="23">
        <f>IF(T269="","",SUMIFS(Analytics!$G$5:$G$154,Analytics!$D$5:$D$154,T269,Analytics!$B$5:$B$154,"&gt;="&amp;DashStart,Analytics!$B$5:$B$154,"&lt;="&amp;DashEnd))</f>
        <v>0</v>
      </c>
      <c r="AA269" s="23">
        <f>IF(T269="","",SUMIFS(Analytics!$X$5:$X$154,Analytics!$D$5:$D$154,T269,Analytics!$B$5:$B$154,"&gt;="&amp;DashStart,Analytics!$B$5:$B$154,"&lt;="&amp;DashEnd))</f>
        <v>0</v>
      </c>
      <c r="AB269" s="23">
        <f>IF(T269="","",SUMIFS(Analytics!$R$5:$R$154,Analytics!$D$5:$D$154,T269,Analytics!$B$5:$B$154,"&gt;="&amp;DashStart,Analytics!$B$5:$B$154,"&lt;="&amp;DashEnd))</f>
        <v>0</v>
      </c>
      <c r="AC269" s="25">
        <f>IF(T269="","",SUMIFS(Analytics!$U$5:$U$154,Analytics!$D$5:$D$154,T269,Analytics!$B$5:$B$154,"&gt;="&amp;DashStart,Analytics!$B$5:$B$154,"&lt;="&amp;DashEnd))</f>
        <v>0</v>
      </c>
      <c r="AD269" s="23">
        <f>IF(T269="","",COUNTIFS('Content Calendar'!$G$5:$G$604,T269,'Content Calendar'!$B$5:$B$604,"&gt;="&amp;DATE(PlanYear,1,1),'Content Calendar'!$B$5:$B$604,"&lt;="&amp;DATE(PlanYear,12,31)))</f>
        <v>0</v>
      </c>
      <c r="AE269" s="23">
        <f>IF(T269="","",SUMIFS(Analytics!$J$5:$J$154,Analytics!$D$5:$D$154,T269))</f>
        <v>0</v>
      </c>
      <c r="AF269" s="23">
        <f>IF(T269="","",SUMIFS(Analytics!$L$5:$L$154,Analytics!$D$5:$D$154,T269))</f>
        <v>0</v>
      </c>
      <c r="AG269" s="24">
        <f>IF(OR(AE269="",AE269=0),"",AF269/AE269)</f>
        <v>0</v>
      </c>
      <c r="AH269" s="23">
        <f>IF(T269="","",SUMIFS(Analytics!$X$5:$X$154,Analytics!$D$5:$D$154,T269))</f>
        <v>0</v>
      </c>
      <c r="AI269" s="32">
        <f>IF(T269="","",IF(AE269=0,"",AE269+ROW()/1000000))</f>
        <v>0</v>
      </c>
      <c r="AJ269" s="17">
        <f>IF('Content Pillars'!$B$269="","",'Content Pillars'!$B$269)</f>
        <v>0</v>
      </c>
      <c r="AK269" s="23">
        <f>IF(AJ269="","",COUNTIFS('Content Calendar'!$J$5:$J$604,AJ269,'Content Calendar'!$B$5:$B$604,"&gt;="&amp;DATE(PlanYear,1,1),'Content Calendar'!$B$5:$B$604,"&lt;="&amp;DATE(PlanYear,12,31)))</f>
        <v>0</v>
      </c>
      <c r="AL269" s="23">
        <f>IF(AJ269="","",SUMIFS(Performance!$O$5:$O$404,Performance!$H$5:$H$404,AJ269))</f>
        <v>0</v>
      </c>
      <c r="AM269" s="23">
        <f>IF(AJ269="","",SUMIFS(Performance!$Z$5:$Z$404,Performance!$H$5:$H$404,AJ269))</f>
        <v>0</v>
      </c>
      <c r="AN269" s="24">
        <f>IF(OR(AL269="",AL269=0),"",AM269/AL269)</f>
        <v>0</v>
      </c>
      <c r="AO269" s="32">
        <f>IF(AN269="","",AN269+ROW()/1000000)</f>
        <v>0</v>
      </c>
      <c r="AP269" s="17">
        <f>IF(Lists!$E269="","",Lists!$E269)</f>
        <v>0</v>
      </c>
      <c r="AQ269" s="23">
        <f>IF(AP269="","",COUNTIF(Performance!$G$5:$G$404,AP269))</f>
        <v>0</v>
      </c>
      <c r="AR269" s="23">
        <f>IF(AP269="","",SUMIFS(Performance!$O$5:$O$404,Performance!$G$5:$G$404,AP269))</f>
        <v>0</v>
      </c>
      <c r="AS269" s="23">
        <f>IF(AP269="","",SUMIFS(Performance!$Z$5:$Z$404,Performance!$G$5:$G$404,AP269))</f>
        <v>0</v>
      </c>
      <c r="AT269" s="24">
        <f>IF(OR(AR269="",AR269=0),"",AS269/AR269)</f>
        <v>0</v>
      </c>
      <c r="AU269" s="32">
        <f>IF(AQ269=0,"",IF(AT269="","",AT269+ROW()/1000000))</f>
        <v>0</v>
      </c>
      <c r="AV269" s="17">
        <f>IF(ROW()-4&gt;7,"",TEXT(DATE(2024,1,ROW()-4),"ddd"))</f>
        <v>0</v>
      </c>
      <c r="AW269" s="23">
        <f>IF(AV269="","",COUNTIF(Performance!$N$5:$N$404,AV269))</f>
        <v>0</v>
      </c>
      <c r="AX269" s="23">
        <f>IF(AV269="","",SUMIFS(Performance!$O$5:$O$404,Performance!$N$5:$N$404,AV269))</f>
        <v>0</v>
      </c>
      <c r="AY269" s="23">
        <f>IF(AV269="","",SUMIFS(Performance!$Z$5:$Z$404,Performance!$N$5:$N$404,AV269))</f>
        <v>0</v>
      </c>
      <c r="AZ269" s="24">
        <f>IF(OR(AX269="",AX269=0),"",AY269/AX269)</f>
        <v>0</v>
      </c>
      <c r="BA269" s="32">
        <f>IF(AW269=0,"",IF(AZ269="","",AZ269+ROW()/1000000))</f>
        <v>0</v>
      </c>
      <c r="BB269" s="17">
        <f>IF(Lists!$AL269="","",Lists!$AL269)</f>
        <v>0</v>
      </c>
      <c r="BC269" s="23">
        <f>IF(BB269="","",COUNTIF(Performance!$M$5:$M$404,BB269))</f>
        <v>0</v>
      </c>
      <c r="BD269" s="23">
        <f>IF(BB269="","",SUMIFS(Performance!$O$5:$O$404,Performance!$M$5:$M$404,BB269))</f>
        <v>0</v>
      </c>
      <c r="BE269" s="23">
        <f>IF(BB269="","",SUMIFS(Performance!$Z$5:$Z$404,Performance!$M$5:$M$404,BB269))</f>
        <v>0</v>
      </c>
      <c r="BF269" s="24">
        <f>IF(OR(BD269="",BD269=0),"",BE269/BD269)</f>
        <v>0</v>
      </c>
      <c r="BG269" s="32">
        <f>IF(BC269=0,"",IF(BF269="","",BF269+ROW()/1000000))</f>
        <v>0</v>
      </c>
      <c r="BH269" s="17">
        <f>IF(Performance!$C$269="","",Performance!$C$269)</f>
        <v>0</v>
      </c>
      <c r="BI269" s="17">
        <f>IF(Performance!$F$269="","",Performance!$F$269)</f>
        <v>0</v>
      </c>
      <c r="BJ269" s="17">
        <f>IF(Performance!$H$269="","",Performance!$H$269)</f>
        <v>0</v>
      </c>
      <c r="BK269" s="16">
        <f>IF(Performance!$D$269="","",Performance!$D$269)</f>
        <v>0</v>
      </c>
      <c r="BL269" s="17">
        <f>IF(Performance!$E$269="","",Performance!$E$269)</f>
        <v>0</v>
      </c>
      <c r="BM269" s="23">
        <f>IF(Performance!$O$269="","",Performance!$O$269)</f>
        <v>0</v>
      </c>
      <c r="BN269" s="24">
        <f>IF(Performance!$AA$269="","",Performance!$AA$269)</f>
        <v>0</v>
      </c>
      <c r="BO269" s="32">
        <f>IF(BH269="","",IF(BK269="","",IF(OR(BK269&lt;DashStart,BK269&gt;DashEnd),"",IF(BN269="","",BN269+ROW()/1000000))))</f>
        <v>0</v>
      </c>
      <c r="BP269" s="32">
        <f>IF(BM269="","",IF(BK269="","",IF(OR(BK269&lt;DashStart,BK269&gt;DashEnd),"",BM269+ROW()/1000000)))</f>
        <v>0</v>
      </c>
      <c r="BQ269" s="32">
        <f>IF(BH269="","",IF(BK269="","",IF(YEAR(BK269)&lt;&gt;PlanYear,"",IF(BN269="","",BN269+ROW()/1000000))))</f>
        <v>0</v>
      </c>
      <c r="BR269" s="32">
        <f>IF(BH269="","",IF(BK269="","",IF(OR(BK269&lt;RepFrom,BK269&gt;RepTo),"",IF(BN269="","",BN269+ROW()/1000000))))</f>
        <v>0</v>
      </c>
      <c r="BS269" s="32">
        <f>IF(BM269="","",IF(BK269="","",IF(YEAR(BK269)&lt;&gt;PlanYear,"",BM269+ROW()/1000000)))</f>
        <v>0</v>
      </c>
      <c r="BT269" s="17">
        <f>IF(Lists!$F269="","",Lists!$F269)</f>
        <v>0</v>
      </c>
      <c r="BU269" s="23">
        <f>IF(BT269="","",COUNTIF('Content Calendar'!$X$5:$X$604,BT269))</f>
        <v>0</v>
      </c>
      <c r="BV269" s="23">
        <f>IF(BT269="","",COUNTIFS('Content Calendar'!$X$5:$X$604,BT269,'Content Calendar'!$B$5:$B$604,"&gt;="&amp;DashStart,'Content Calendar'!$B$5:$B$604,"&lt;="&amp;DashEnd))</f>
        <v>0</v>
      </c>
      <c r="BW269" s="17">
        <f>IF(Team!$B$269="","",Team!$B$269)</f>
        <v>0</v>
      </c>
      <c r="BX269" s="23">
        <f>IF(BW269="","",COUNTIF('Content Calendar'!$W$5:$W$604,BW269))</f>
        <v>0</v>
      </c>
      <c r="BY269" s="23">
        <f>IF(BW269="","",COUNTIFS('Content Calendar'!$W$5:$W$604,BW269,'Content Calendar'!$X$5:$X$604,"&lt;&gt;Published"))</f>
        <v>0</v>
      </c>
      <c r="BZ269" s="23">
        <f>IF(BW269="","",COUNTIFS(Tasks!$C$5:$C$64,BW269,Tasks!$G$5:$G$64,"&lt;&gt;Complete"))</f>
        <v>0</v>
      </c>
      <c r="CA269" s="17">
        <f>IF(Campaigns!$B$269="","",Campaigns!$B$269)</f>
        <v>0</v>
      </c>
      <c r="CB269" s="25">
        <f>IF(Campaigns!$T$269="","",Campaigns!$T$269)</f>
        <v>0</v>
      </c>
      <c r="CC269" s="25">
        <f>IF(Campaigns!$Q$269="","",Campaigns!$Q$269)</f>
        <v>0</v>
      </c>
      <c r="CD269" s="23">
        <f>IF(Campaigns!$Y$269="","",Campaigns!$Y$269)</f>
        <v>0</v>
      </c>
      <c r="CE269" s="32">
        <f>IF(CA269="","",IF(N(CB269)&lt;=0,"",N(CB269)+ROW()/1000000))</f>
        <v>0</v>
      </c>
      <c r="CF269" s="17">
        <f>IF(Accounts!$C$269="","",Accounts!$C$269)</f>
        <v>0</v>
      </c>
      <c r="CG269" s="17">
        <f>IF(Accounts!$B$269="","",Accounts!$B$269)</f>
        <v>0</v>
      </c>
      <c r="CH269" s="23">
        <f>IF(Accounts!$J$269="","",Accounts!$J$269)</f>
        <v>0</v>
      </c>
      <c r="CI269" s="23">
        <f>IF(CF269="","",SUMIFS(Analytics!$X$5:$X$154,Analytics!$E$5:$E$154,CF269,Analytics!$B$5:$B$154,"&gt;="&amp;DashStart,Analytics!$B$5:$B$154,"&lt;="&amp;DashEnd))</f>
        <v>0</v>
      </c>
      <c r="CJ269" s="32">
        <f>IF(CH269="","",IF(CH269=0,"",CH269+ROW()/1000000))</f>
        <v>0</v>
      </c>
    </row>
    <row r="270" spans="1:88">
      <c r="A270" s="16">
        <f>IF(ROW()-4&gt;12,"",DATE(PlanYear,ROW()-4,1))</f>
        <v>0</v>
      </c>
      <c r="B270" s="16">
        <f>IF(A270="","",EOMONTH(A270,0))</f>
        <v>0</v>
      </c>
      <c r="C270" s="17">
        <f>IF(A270="","",TEXT(A270,"yyyy-mm"))</f>
        <v>0</v>
      </c>
      <c r="D270" s="17">
        <f>IF(A270="","",TEXT(A270,"mmm"))</f>
        <v>0</v>
      </c>
      <c r="E270" s="23">
        <f>IF(C270="","",COUNTIFS('Content Calendar'!$D$5:$D$604,C270))</f>
        <v>0</v>
      </c>
      <c r="F270" s="23">
        <f>IF(C270="","",COUNTIFS('Content Calendar'!$D$5:$D$604,C270,'Content Calendar'!$X$5:$X$604,"Published"))</f>
        <v>0</v>
      </c>
      <c r="G270" s="23">
        <f>IF(C270="","",SUMIFS(Analytics!$J$5:$J$154,Analytics!$C$5:$C$154,C270))</f>
        <v>0</v>
      </c>
      <c r="H270" s="23">
        <f>IF(C270="","",SUMIFS(Analytics!$K$5:$K$154,Analytics!$C$5:$C$154,C270))</f>
        <v>0</v>
      </c>
      <c r="I270" s="23">
        <f>IF(C270="","",SUMIFS(Analytics!$L$5:$L$154,Analytics!$C$5:$C$154,C270))</f>
        <v>0</v>
      </c>
      <c r="J270" s="24">
        <f>IF(OR(G270="",G270=0),"",I270/G270)</f>
        <v>0</v>
      </c>
      <c r="K270" s="23">
        <f>IF(C270="","",SUMIFS(Analytics!$G$5:$G$154,Analytics!$C$5:$C$154,C270))</f>
        <v>0</v>
      </c>
      <c r="L270" s="23">
        <f>IF(C270="","",SUMIFS(Analytics!$X$5:$X$154,Analytics!$C$5:$C$154,C270))</f>
        <v>0</v>
      </c>
      <c r="M270" s="23">
        <f>IF(C270="","",SUMIFS(Analytics!$R$5:$R$154,Analytics!$C$5:$C$154,C270))</f>
        <v>0</v>
      </c>
      <c r="N270" s="23">
        <f>IF(C270="","",SUMIFS(Analytics!$S$5:$S$154,Analytics!$C$5:$C$154,C270))</f>
        <v>0</v>
      </c>
      <c r="O270" s="23">
        <f>IF(C270="","",SUMIFS(Analytics!$T$5:$T$154,Analytics!$C$5:$C$154,C270))</f>
        <v>0</v>
      </c>
      <c r="P270" s="25">
        <f>IF(C270="","",SUMIFS(Analytics!$U$5:$U$154,Analytics!$C$5:$C$154,C270))</f>
        <v>0</v>
      </c>
      <c r="Q270" s="25">
        <f>IF(C270="","",SUMIFS(Budget!$H$5:$H$64,Budget!$C$5:$C$64,C270))</f>
        <v>0</v>
      </c>
      <c r="R270" s="25">
        <f>IF(C270="","",P270-Q270)</f>
        <v>0</v>
      </c>
      <c r="S270" s="23">
        <f>IF(C270="","",MonthlyPostTarget)</f>
        <v>0</v>
      </c>
      <c r="T270" s="17">
        <f>IF(Lists!$C270="","",Lists!$C270)</f>
        <v>0</v>
      </c>
      <c r="U270" s="23">
        <f>IF(T270="","",COUNTIFS('Content Calendar'!$G$5:$G$604,T270,'Content Calendar'!$B$5:$B$604,"&gt;="&amp;DashStart,'Content Calendar'!$B$5:$B$604,"&lt;="&amp;DashEnd))</f>
        <v>0</v>
      </c>
      <c r="V270" s="23">
        <f>IF(T270="","",COUNTIFS('Content Calendar'!$G$5:$G$604,T270,'Content Calendar'!$X$5:$X$604,"Published",'Content Calendar'!$B$5:$B$604,"&gt;="&amp;DashStart,'Content Calendar'!$B$5:$B$604,"&lt;="&amp;DashEnd))</f>
        <v>0</v>
      </c>
      <c r="W270" s="23">
        <f>IF(T270="","",SUMIFS(Analytics!$J$5:$J$154,Analytics!$D$5:$D$154,T270,Analytics!$B$5:$B$154,"&gt;="&amp;DashStart,Analytics!$B$5:$B$154,"&lt;="&amp;DashEnd))</f>
        <v>0</v>
      </c>
      <c r="X270" s="23">
        <f>IF(T270="","",SUMIFS(Analytics!$L$5:$L$154,Analytics!$D$5:$D$154,T270,Analytics!$B$5:$B$154,"&gt;="&amp;DashStart,Analytics!$B$5:$B$154,"&lt;="&amp;DashEnd))</f>
        <v>0</v>
      </c>
      <c r="Y270" s="24">
        <f>IF(OR(W270="",W270=0),"",X270/W270)</f>
        <v>0</v>
      </c>
      <c r="Z270" s="23">
        <f>IF(T270="","",SUMIFS(Analytics!$G$5:$G$154,Analytics!$D$5:$D$154,T270,Analytics!$B$5:$B$154,"&gt;="&amp;DashStart,Analytics!$B$5:$B$154,"&lt;="&amp;DashEnd))</f>
        <v>0</v>
      </c>
      <c r="AA270" s="23">
        <f>IF(T270="","",SUMIFS(Analytics!$X$5:$X$154,Analytics!$D$5:$D$154,T270,Analytics!$B$5:$B$154,"&gt;="&amp;DashStart,Analytics!$B$5:$B$154,"&lt;="&amp;DashEnd))</f>
        <v>0</v>
      </c>
      <c r="AB270" s="23">
        <f>IF(T270="","",SUMIFS(Analytics!$R$5:$R$154,Analytics!$D$5:$D$154,T270,Analytics!$B$5:$B$154,"&gt;="&amp;DashStart,Analytics!$B$5:$B$154,"&lt;="&amp;DashEnd))</f>
        <v>0</v>
      </c>
      <c r="AC270" s="25">
        <f>IF(T270="","",SUMIFS(Analytics!$U$5:$U$154,Analytics!$D$5:$D$154,T270,Analytics!$B$5:$B$154,"&gt;="&amp;DashStart,Analytics!$B$5:$B$154,"&lt;="&amp;DashEnd))</f>
        <v>0</v>
      </c>
      <c r="AD270" s="23">
        <f>IF(T270="","",COUNTIFS('Content Calendar'!$G$5:$G$604,T270,'Content Calendar'!$B$5:$B$604,"&gt;="&amp;DATE(PlanYear,1,1),'Content Calendar'!$B$5:$B$604,"&lt;="&amp;DATE(PlanYear,12,31)))</f>
        <v>0</v>
      </c>
      <c r="AE270" s="23">
        <f>IF(T270="","",SUMIFS(Analytics!$J$5:$J$154,Analytics!$D$5:$D$154,T270))</f>
        <v>0</v>
      </c>
      <c r="AF270" s="23">
        <f>IF(T270="","",SUMIFS(Analytics!$L$5:$L$154,Analytics!$D$5:$D$154,T270))</f>
        <v>0</v>
      </c>
      <c r="AG270" s="24">
        <f>IF(OR(AE270="",AE270=0),"",AF270/AE270)</f>
        <v>0</v>
      </c>
      <c r="AH270" s="23">
        <f>IF(T270="","",SUMIFS(Analytics!$X$5:$X$154,Analytics!$D$5:$D$154,T270))</f>
        <v>0</v>
      </c>
      <c r="AI270" s="32">
        <f>IF(T270="","",IF(AE270=0,"",AE270+ROW()/1000000))</f>
        <v>0</v>
      </c>
      <c r="AJ270" s="17">
        <f>IF('Content Pillars'!$B$270="","",'Content Pillars'!$B$270)</f>
        <v>0</v>
      </c>
      <c r="AK270" s="23">
        <f>IF(AJ270="","",COUNTIFS('Content Calendar'!$J$5:$J$604,AJ270,'Content Calendar'!$B$5:$B$604,"&gt;="&amp;DATE(PlanYear,1,1),'Content Calendar'!$B$5:$B$604,"&lt;="&amp;DATE(PlanYear,12,31)))</f>
        <v>0</v>
      </c>
      <c r="AL270" s="23">
        <f>IF(AJ270="","",SUMIFS(Performance!$O$5:$O$404,Performance!$H$5:$H$404,AJ270))</f>
        <v>0</v>
      </c>
      <c r="AM270" s="23">
        <f>IF(AJ270="","",SUMIFS(Performance!$Z$5:$Z$404,Performance!$H$5:$H$404,AJ270))</f>
        <v>0</v>
      </c>
      <c r="AN270" s="24">
        <f>IF(OR(AL270="",AL270=0),"",AM270/AL270)</f>
        <v>0</v>
      </c>
      <c r="AO270" s="32">
        <f>IF(AN270="","",AN270+ROW()/1000000)</f>
        <v>0</v>
      </c>
      <c r="AP270" s="17">
        <f>IF(Lists!$E270="","",Lists!$E270)</f>
        <v>0</v>
      </c>
      <c r="AQ270" s="23">
        <f>IF(AP270="","",COUNTIF(Performance!$G$5:$G$404,AP270))</f>
        <v>0</v>
      </c>
      <c r="AR270" s="23">
        <f>IF(AP270="","",SUMIFS(Performance!$O$5:$O$404,Performance!$G$5:$G$404,AP270))</f>
        <v>0</v>
      </c>
      <c r="AS270" s="23">
        <f>IF(AP270="","",SUMIFS(Performance!$Z$5:$Z$404,Performance!$G$5:$G$404,AP270))</f>
        <v>0</v>
      </c>
      <c r="AT270" s="24">
        <f>IF(OR(AR270="",AR270=0),"",AS270/AR270)</f>
        <v>0</v>
      </c>
      <c r="AU270" s="32">
        <f>IF(AQ270=0,"",IF(AT270="","",AT270+ROW()/1000000))</f>
        <v>0</v>
      </c>
      <c r="AV270" s="17">
        <f>IF(ROW()-4&gt;7,"",TEXT(DATE(2024,1,ROW()-4),"ddd"))</f>
        <v>0</v>
      </c>
      <c r="AW270" s="23">
        <f>IF(AV270="","",COUNTIF(Performance!$N$5:$N$404,AV270))</f>
        <v>0</v>
      </c>
      <c r="AX270" s="23">
        <f>IF(AV270="","",SUMIFS(Performance!$O$5:$O$404,Performance!$N$5:$N$404,AV270))</f>
        <v>0</v>
      </c>
      <c r="AY270" s="23">
        <f>IF(AV270="","",SUMIFS(Performance!$Z$5:$Z$404,Performance!$N$5:$N$404,AV270))</f>
        <v>0</v>
      </c>
      <c r="AZ270" s="24">
        <f>IF(OR(AX270="",AX270=0),"",AY270/AX270)</f>
        <v>0</v>
      </c>
      <c r="BA270" s="32">
        <f>IF(AW270=0,"",IF(AZ270="","",AZ270+ROW()/1000000))</f>
        <v>0</v>
      </c>
      <c r="BB270" s="17">
        <f>IF(Lists!$AL270="","",Lists!$AL270)</f>
        <v>0</v>
      </c>
      <c r="BC270" s="23">
        <f>IF(BB270="","",COUNTIF(Performance!$M$5:$M$404,BB270))</f>
        <v>0</v>
      </c>
      <c r="BD270" s="23">
        <f>IF(BB270="","",SUMIFS(Performance!$O$5:$O$404,Performance!$M$5:$M$404,BB270))</f>
        <v>0</v>
      </c>
      <c r="BE270" s="23">
        <f>IF(BB270="","",SUMIFS(Performance!$Z$5:$Z$404,Performance!$M$5:$M$404,BB270))</f>
        <v>0</v>
      </c>
      <c r="BF270" s="24">
        <f>IF(OR(BD270="",BD270=0),"",BE270/BD270)</f>
        <v>0</v>
      </c>
      <c r="BG270" s="32">
        <f>IF(BC270=0,"",IF(BF270="","",BF270+ROW()/1000000))</f>
        <v>0</v>
      </c>
      <c r="BH270" s="17">
        <f>IF(Performance!$C$270="","",Performance!$C$270)</f>
        <v>0</v>
      </c>
      <c r="BI270" s="17">
        <f>IF(Performance!$F$270="","",Performance!$F$270)</f>
        <v>0</v>
      </c>
      <c r="BJ270" s="17">
        <f>IF(Performance!$H$270="","",Performance!$H$270)</f>
        <v>0</v>
      </c>
      <c r="BK270" s="16">
        <f>IF(Performance!$D$270="","",Performance!$D$270)</f>
        <v>0</v>
      </c>
      <c r="BL270" s="17">
        <f>IF(Performance!$E$270="","",Performance!$E$270)</f>
        <v>0</v>
      </c>
      <c r="BM270" s="23">
        <f>IF(Performance!$O$270="","",Performance!$O$270)</f>
        <v>0</v>
      </c>
      <c r="BN270" s="24">
        <f>IF(Performance!$AA$270="","",Performance!$AA$270)</f>
        <v>0</v>
      </c>
      <c r="BO270" s="32">
        <f>IF(BH270="","",IF(BK270="","",IF(OR(BK270&lt;DashStart,BK270&gt;DashEnd),"",IF(BN270="","",BN270+ROW()/1000000))))</f>
        <v>0</v>
      </c>
      <c r="BP270" s="32">
        <f>IF(BM270="","",IF(BK270="","",IF(OR(BK270&lt;DashStart,BK270&gt;DashEnd),"",BM270+ROW()/1000000)))</f>
        <v>0</v>
      </c>
      <c r="BQ270" s="32">
        <f>IF(BH270="","",IF(BK270="","",IF(YEAR(BK270)&lt;&gt;PlanYear,"",IF(BN270="","",BN270+ROW()/1000000))))</f>
        <v>0</v>
      </c>
      <c r="BR270" s="32">
        <f>IF(BH270="","",IF(BK270="","",IF(OR(BK270&lt;RepFrom,BK270&gt;RepTo),"",IF(BN270="","",BN270+ROW()/1000000))))</f>
        <v>0</v>
      </c>
      <c r="BS270" s="32">
        <f>IF(BM270="","",IF(BK270="","",IF(YEAR(BK270)&lt;&gt;PlanYear,"",BM270+ROW()/1000000)))</f>
        <v>0</v>
      </c>
      <c r="BT270" s="17">
        <f>IF(Lists!$F270="","",Lists!$F270)</f>
        <v>0</v>
      </c>
      <c r="BU270" s="23">
        <f>IF(BT270="","",COUNTIF('Content Calendar'!$X$5:$X$604,BT270))</f>
        <v>0</v>
      </c>
      <c r="BV270" s="23">
        <f>IF(BT270="","",COUNTIFS('Content Calendar'!$X$5:$X$604,BT270,'Content Calendar'!$B$5:$B$604,"&gt;="&amp;DashStart,'Content Calendar'!$B$5:$B$604,"&lt;="&amp;DashEnd))</f>
        <v>0</v>
      </c>
      <c r="BW270" s="17">
        <f>IF(Team!$B$270="","",Team!$B$270)</f>
        <v>0</v>
      </c>
      <c r="BX270" s="23">
        <f>IF(BW270="","",COUNTIF('Content Calendar'!$W$5:$W$604,BW270))</f>
        <v>0</v>
      </c>
      <c r="BY270" s="23">
        <f>IF(BW270="","",COUNTIFS('Content Calendar'!$W$5:$W$604,BW270,'Content Calendar'!$X$5:$X$604,"&lt;&gt;Published"))</f>
        <v>0</v>
      </c>
      <c r="BZ270" s="23">
        <f>IF(BW270="","",COUNTIFS(Tasks!$C$5:$C$64,BW270,Tasks!$G$5:$G$64,"&lt;&gt;Complete"))</f>
        <v>0</v>
      </c>
      <c r="CA270" s="17">
        <f>IF(Campaigns!$B$270="","",Campaigns!$B$270)</f>
        <v>0</v>
      </c>
      <c r="CB270" s="25">
        <f>IF(Campaigns!$T$270="","",Campaigns!$T$270)</f>
        <v>0</v>
      </c>
      <c r="CC270" s="25">
        <f>IF(Campaigns!$Q$270="","",Campaigns!$Q$270)</f>
        <v>0</v>
      </c>
      <c r="CD270" s="23">
        <f>IF(Campaigns!$Y$270="","",Campaigns!$Y$270)</f>
        <v>0</v>
      </c>
      <c r="CE270" s="32">
        <f>IF(CA270="","",IF(N(CB270)&lt;=0,"",N(CB270)+ROW()/1000000))</f>
        <v>0</v>
      </c>
      <c r="CF270" s="17">
        <f>IF(Accounts!$C$270="","",Accounts!$C$270)</f>
        <v>0</v>
      </c>
      <c r="CG270" s="17">
        <f>IF(Accounts!$B$270="","",Accounts!$B$270)</f>
        <v>0</v>
      </c>
      <c r="CH270" s="23">
        <f>IF(Accounts!$J$270="","",Accounts!$J$270)</f>
        <v>0</v>
      </c>
      <c r="CI270" s="23">
        <f>IF(CF270="","",SUMIFS(Analytics!$X$5:$X$154,Analytics!$E$5:$E$154,CF270,Analytics!$B$5:$B$154,"&gt;="&amp;DashStart,Analytics!$B$5:$B$154,"&lt;="&amp;DashEnd))</f>
        <v>0</v>
      </c>
      <c r="CJ270" s="32">
        <f>IF(CH270="","",IF(CH270=0,"",CH270+ROW()/1000000))</f>
        <v>0</v>
      </c>
    </row>
    <row r="271" spans="1:88">
      <c r="A271" s="16">
        <f>IF(ROW()-4&gt;12,"",DATE(PlanYear,ROW()-4,1))</f>
        <v>0</v>
      </c>
      <c r="B271" s="16">
        <f>IF(A271="","",EOMONTH(A271,0))</f>
        <v>0</v>
      </c>
      <c r="C271" s="17">
        <f>IF(A271="","",TEXT(A271,"yyyy-mm"))</f>
        <v>0</v>
      </c>
      <c r="D271" s="17">
        <f>IF(A271="","",TEXT(A271,"mmm"))</f>
        <v>0</v>
      </c>
      <c r="E271" s="23">
        <f>IF(C271="","",COUNTIFS('Content Calendar'!$D$5:$D$604,C271))</f>
        <v>0</v>
      </c>
      <c r="F271" s="23">
        <f>IF(C271="","",COUNTIFS('Content Calendar'!$D$5:$D$604,C271,'Content Calendar'!$X$5:$X$604,"Published"))</f>
        <v>0</v>
      </c>
      <c r="G271" s="23">
        <f>IF(C271="","",SUMIFS(Analytics!$J$5:$J$154,Analytics!$C$5:$C$154,C271))</f>
        <v>0</v>
      </c>
      <c r="H271" s="23">
        <f>IF(C271="","",SUMIFS(Analytics!$K$5:$K$154,Analytics!$C$5:$C$154,C271))</f>
        <v>0</v>
      </c>
      <c r="I271" s="23">
        <f>IF(C271="","",SUMIFS(Analytics!$L$5:$L$154,Analytics!$C$5:$C$154,C271))</f>
        <v>0</v>
      </c>
      <c r="J271" s="24">
        <f>IF(OR(G271="",G271=0),"",I271/G271)</f>
        <v>0</v>
      </c>
      <c r="K271" s="23">
        <f>IF(C271="","",SUMIFS(Analytics!$G$5:$G$154,Analytics!$C$5:$C$154,C271))</f>
        <v>0</v>
      </c>
      <c r="L271" s="23">
        <f>IF(C271="","",SUMIFS(Analytics!$X$5:$X$154,Analytics!$C$5:$C$154,C271))</f>
        <v>0</v>
      </c>
      <c r="M271" s="23">
        <f>IF(C271="","",SUMIFS(Analytics!$R$5:$R$154,Analytics!$C$5:$C$154,C271))</f>
        <v>0</v>
      </c>
      <c r="N271" s="23">
        <f>IF(C271="","",SUMIFS(Analytics!$S$5:$S$154,Analytics!$C$5:$C$154,C271))</f>
        <v>0</v>
      </c>
      <c r="O271" s="23">
        <f>IF(C271="","",SUMIFS(Analytics!$T$5:$T$154,Analytics!$C$5:$C$154,C271))</f>
        <v>0</v>
      </c>
      <c r="P271" s="25">
        <f>IF(C271="","",SUMIFS(Analytics!$U$5:$U$154,Analytics!$C$5:$C$154,C271))</f>
        <v>0</v>
      </c>
      <c r="Q271" s="25">
        <f>IF(C271="","",SUMIFS(Budget!$H$5:$H$64,Budget!$C$5:$C$64,C271))</f>
        <v>0</v>
      </c>
      <c r="R271" s="25">
        <f>IF(C271="","",P271-Q271)</f>
        <v>0</v>
      </c>
      <c r="S271" s="23">
        <f>IF(C271="","",MonthlyPostTarget)</f>
        <v>0</v>
      </c>
      <c r="T271" s="17">
        <f>IF(Lists!$C271="","",Lists!$C271)</f>
        <v>0</v>
      </c>
      <c r="U271" s="23">
        <f>IF(T271="","",COUNTIFS('Content Calendar'!$G$5:$G$604,T271,'Content Calendar'!$B$5:$B$604,"&gt;="&amp;DashStart,'Content Calendar'!$B$5:$B$604,"&lt;="&amp;DashEnd))</f>
        <v>0</v>
      </c>
      <c r="V271" s="23">
        <f>IF(T271="","",COUNTIFS('Content Calendar'!$G$5:$G$604,T271,'Content Calendar'!$X$5:$X$604,"Published",'Content Calendar'!$B$5:$B$604,"&gt;="&amp;DashStart,'Content Calendar'!$B$5:$B$604,"&lt;="&amp;DashEnd))</f>
        <v>0</v>
      </c>
      <c r="W271" s="23">
        <f>IF(T271="","",SUMIFS(Analytics!$J$5:$J$154,Analytics!$D$5:$D$154,T271,Analytics!$B$5:$B$154,"&gt;="&amp;DashStart,Analytics!$B$5:$B$154,"&lt;="&amp;DashEnd))</f>
        <v>0</v>
      </c>
      <c r="X271" s="23">
        <f>IF(T271="","",SUMIFS(Analytics!$L$5:$L$154,Analytics!$D$5:$D$154,T271,Analytics!$B$5:$B$154,"&gt;="&amp;DashStart,Analytics!$B$5:$B$154,"&lt;="&amp;DashEnd))</f>
        <v>0</v>
      </c>
      <c r="Y271" s="24">
        <f>IF(OR(W271="",W271=0),"",X271/W271)</f>
        <v>0</v>
      </c>
      <c r="Z271" s="23">
        <f>IF(T271="","",SUMIFS(Analytics!$G$5:$G$154,Analytics!$D$5:$D$154,T271,Analytics!$B$5:$B$154,"&gt;="&amp;DashStart,Analytics!$B$5:$B$154,"&lt;="&amp;DashEnd))</f>
        <v>0</v>
      </c>
      <c r="AA271" s="23">
        <f>IF(T271="","",SUMIFS(Analytics!$X$5:$X$154,Analytics!$D$5:$D$154,T271,Analytics!$B$5:$B$154,"&gt;="&amp;DashStart,Analytics!$B$5:$B$154,"&lt;="&amp;DashEnd))</f>
        <v>0</v>
      </c>
      <c r="AB271" s="23">
        <f>IF(T271="","",SUMIFS(Analytics!$R$5:$R$154,Analytics!$D$5:$D$154,T271,Analytics!$B$5:$B$154,"&gt;="&amp;DashStart,Analytics!$B$5:$B$154,"&lt;="&amp;DashEnd))</f>
        <v>0</v>
      </c>
      <c r="AC271" s="25">
        <f>IF(T271="","",SUMIFS(Analytics!$U$5:$U$154,Analytics!$D$5:$D$154,T271,Analytics!$B$5:$B$154,"&gt;="&amp;DashStart,Analytics!$B$5:$B$154,"&lt;="&amp;DashEnd))</f>
        <v>0</v>
      </c>
      <c r="AD271" s="23">
        <f>IF(T271="","",COUNTIFS('Content Calendar'!$G$5:$G$604,T271,'Content Calendar'!$B$5:$B$604,"&gt;="&amp;DATE(PlanYear,1,1),'Content Calendar'!$B$5:$B$604,"&lt;="&amp;DATE(PlanYear,12,31)))</f>
        <v>0</v>
      </c>
      <c r="AE271" s="23">
        <f>IF(T271="","",SUMIFS(Analytics!$J$5:$J$154,Analytics!$D$5:$D$154,T271))</f>
        <v>0</v>
      </c>
      <c r="AF271" s="23">
        <f>IF(T271="","",SUMIFS(Analytics!$L$5:$L$154,Analytics!$D$5:$D$154,T271))</f>
        <v>0</v>
      </c>
      <c r="AG271" s="24">
        <f>IF(OR(AE271="",AE271=0),"",AF271/AE271)</f>
        <v>0</v>
      </c>
      <c r="AH271" s="23">
        <f>IF(T271="","",SUMIFS(Analytics!$X$5:$X$154,Analytics!$D$5:$D$154,T271))</f>
        <v>0</v>
      </c>
      <c r="AI271" s="32">
        <f>IF(T271="","",IF(AE271=0,"",AE271+ROW()/1000000))</f>
        <v>0</v>
      </c>
      <c r="AJ271" s="17">
        <f>IF('Content Pillars'!$B$271="","",'Content Pillars'!$B$271)</f>
        <v>0</v>
      </c>
      <c r="AK271" s="23">
        <f>IF(AJ271="","",COUNTIFS('Content Calendar'!$J$5:$J$604,AJ271,'Content Calendar'!$B$5:$B$604,"&gt;="&amp;DATE(PlanYear,1,1),'Content Calendar'!$B$5:$B$604,"&lt;="&amp;DATE(PlanYear,12,31)))</f>
        <v>0</v>
      </c>
      <c r="AL271" s="23">
        <f>IF(AJ271="","",SUMIFS(Performance!$O$5:$O$404,Performance!$H$5:$H$404,AJ271))</f>
        <v>0</v>
      </c>
      <c r="AM271" s="23">
        <f>IF(AJ271="","",SUMIFS(Performance!$Z$5:$Z$404,Performance!$H$5:$H$404,AJ271))</f>
        <v>0</v>
      </c>
      <c r="AN271" s="24">
        <f>IF(OR(AL271="",AL271=0),"",AM271/AL271)</f>
        <v>0</v>
      </c>
      <c r="AO271" s="32">
        <f>IF(AN271="","",AN271+ROW()/1000000)</f>
        <v>0</v>
      </c>
      <c r="AP271" s="17">
        <f>IF(Lists!$E271="","",Lists!$E271)</f>
        <v>0</v>
      </c>
      <c r="AQ271" s="23">
        <f>IF(AP271="","",COUNTIF(Performance!$G$5:$G$404,AP271))</f>
        <v>0</v>
      </c>
      <c r="AR271" s="23">
        <f>IF(AP271="","",SUMIFS(Performance!$O$5:$O$404,Performance!$G$5:$G$404,AP271))</f>
        <v>0</v>
      </c>
      <c r="AS271" s="23">
        <f>IF(AP271="","",SUMIFS(Performance!$Z$5:$Z$404,Performance!$G$5:$G$404,AP271))</f>
        <v>0</v>
      </c>
      <c r="AT271" s="24">
        <f>IF(OR(AR271="",AR271=0),"",AS271/AR271)</f>
        <v>0</v>
      </c>
      <c r="AU271" s="32">
        <f>IF(AQ271=0,"",IF(AT271="","",AT271+ROW()/1000000))</f>
        <v>0</v>
      </c>
      <c r="AV271" s="17">
        <f>IF(ROW()-4&gt;7,"",TEXT(DATE(2024,1,ROW()-4),"ddd"))</f>
        <v>0</v>
      </c>
      <c r="AW271" s="23">
        <f>IF(AV271="","",COUNTIF(Performance!$N$5:$N$404,AV271))</f>
        <v>0</v>
      </c>
      <c r="AX271" s="23">
        <f>IF(AV271="","",SUMIFS(Performance!$O$5:$O$404,Performance!$N$5:$N$404,AV271))</f>
        <v>0</v>
      </c>
      <c r="AY271" s="23">
        <f>IF(AV271="","",SUMIFS(Performance!$Z$5:$Z$404,Performance!$N$5:$N$404,AV271))</f>
        <v>0</v>
      </c>
      <c r="AZ271" s="24">
        <f>IF(OR(AX271="",AX271=0),"",AY271/AX271)</f>
        <v>0</v>
      </c>
      <c r="BA271" s="32">
        <f>IF(AW271=0,"",IF(AZ271="","",AZ271+ROW()/1000000))</f>
        <v>0</v>
      </c>
      <c r="BB271" s="17">
        <f>IF(Lists!$AL271="","",Lists!$AL271)</f>
        <v>0</v>
      </c>
      <c r="BC271" s="23">
        <f>IF(BB271="","",COUNTIF(Performance!$M$5:$M$404,BB271))</f>
        <v>0</v>
      </c>
      <c r="BD271" s="23">
        <f>IF(BB271="","",SUMIFS(Performance!$O$5:$O$404,Performance!$M$5:$M$404,BB271))</f>
        <v>0</v>
      </c>
      <c r="BE271" s="23">
        <f>IF(BB271="","",SUMIFS(Performance!$Z$5:$Z$404,Performance!$M$5:$M$404,BB271))</f>
        <v>0</v>
      </c>
      <c r="BF271" s="24">
        <f>IF(OR(BD271="",BD271=0),"",BE271/BD271)</f>
        <v>0</v>
      </c>
      <c r="BG271" s="32">
        <f>IF(BC271=0,"",IF(BF271="","",BF271+ROW()/1000000))</f>
        <v>0</v>
      </c>
      <c r="BH271" s="17">
        <f>IF(Performance!$C$271="","",Performance!$C$271)</f>
        <v>0</v>
      </c>
      <c r="BI271" s="17">
        <f>IF(Performance!$F$271="","",Performance!$F$271)</f>
        <v>0</v>
      </c>
      <c r="BJ271" s="17">
        <f>IF(Performance!$H$271="","",Performance!$H$271)</f>
        <v>0</v>
      </c>
      <c r="BK271" s="16">
        <f>IF(Performance!$D$271="","",Performance!$D$271)</f>
        <v>0</v>
      </c>
      <c r="BL271" s="17">
        <f>IF(Performance!$E$271="","",Performance!$E$271)</f>
        <v>0</v>
      </c>
      <c r="BM271" s="23">
        <f>IF(Performance!$O$271="","",Performance!$O$271)</f>
        <v>0</v>
      </c>
      <c r="BN271" s="24">
        <f>IF(Performance!$AA$271="","",Performance!$AA$271)</f>
        <v>0</v>
      </c>
      <c r="BO271" s="32">
        <f>IF(BH271="","",IF(BK271="","",IF(OR(BK271&lt;DashStart,BK271&gt;DashEnd),"",IF(BN271="","",BN271+ROW()/1000000))))</f>
        <v>0</v>
      </c>
      <c r="BP271" s="32">
        <f>IF(BM271="","",IF(BK271="","",IF(OR(BK271&lt;DashStart,BK271&gt;DashEnd),"",BM271+ROW()/1000000)))</f>
        <v>0</v>
      </c>
      <c r="BQ271" s="32">
        <f>IF(BH271="","",IF(BK271="","",IF(YEAR(BK271)&lt;&gt;PlanYear,"",IF(BN271="","",BN271+ROW()/1000000))))</f>
        <v>0</v>
      </c>
      <c r="BR271" s="32">
        <f>IF(BH271="","",IF(BK271="","",IF(OR(BK271&lt;RepFrom,BK271&gt;RepTo),"",IF(BN271="","",BN271+ROW()/1000000))))</f>
        <v>0</v>
      </c>
      <c r="BS271" s="32">
        <f>IF(BM271="","",IF(BK271="","",IF(YEAR(BK271)&lt;&gt;PlanYear,"",BM271+ROW()/1000000)))</f>
        <v>0</v>
      </c>
      <c r="BT271" s="17">
        <f>IF(Lists!$F271="","",Lists!$F271)</f>
        <v>0</v>
      </c>
      <c r="BU271" s="23">
        <f>IF(BT271="","",COUNTIF('Content Calendar'!$X$5:$X$604,BT271))</f>
        <v>0</v>
      </c>
      <c r="BV271" s="23">
        <f>IF(BT271="","",COUNTIFS('Content Calendar'!$X$5:$X$604,BT271,'Content Calendar'!$B$5:$B$604,"&gt;="&amp;DashStart,'Content Calendar'!$B$5:$B$604,"&lt;="&amp;DashEnd))</f>
        <v>0</v>
      </c>
      <c r="BW271" s="17">
        <f>IF(Team!$B$271="","",Team!$B$271)</f>
        <v>0</v>
      </c>
      <c r="BX271" s="23">
        <f>IF(BW271="","",COUNTIF('Content Calendar'!$W$5:$W$604,BW271))</f>
        <v>0</v>
      </c>
      <c r="BY271" s="23">
        <f>IF(BW271="","",COUNTIFS('Content Calendar'!$W$5:$W$604,BW271,'Content Calendar'!$X$5:$X$604,"&lt;&gt;Published"))</f>
        <v>0</v>
      </c>
      <c r="BZ271" s="23">
        <f>IF(BW271="","",COUNTIFS(Tasks!$C$5:$C$64,BW271,Tasks!$G$5:$G$64,"&lt;&gt;Complete"))</f>
        <v>0</v>
      </c>
      <c r="CA271" s="17">
        <f>IF(Campaigns!$B$271="","",Campaigns!$B$271)</f>
        <v>0</v>
      </c>
      <c r="CB271" s="25">
        <f>IF(Campaigns!$T$271="","",Campaigns!$T$271)</f>
        <v>0</v>
      </c>
      <c r="CC271" s="25">
        <f>IF(Campaigns!$Q$271="","",Campaigns!$Q$271)</f>
        <v>0</v>
      </c>
      <c r="CD271" s="23">
        <f>IF(Campaigns!$Y$271="","",Campaigns!$Y$271)</f>
        <v>0</v>
      </c>
      <c r="CE271" s="32">
        <f>IF(CA271="","",IF(N(CB271)&lt;=0,"",N(CB271)+ROW()/1000000))</f>
        <v>0</v>
      </c>
      <c r="CF271" s="17">
        <f>IF(Accounts!$C$271="","",Accounts!$C$271)</f>
        <v>0</v>
      </c>
      <c r="CG271" s="17">
        <f>IF(Accounts!$B$271="","",Accounts!$B$271)</f>
        <v>0</v>
      </c>
      <c r="CH271" s="23">
        <f>IF(Accounts!$J$271="","",Accounts!$J$271)</f>
        <v>0</v>
      </c>
      <c r="CI271" s="23">
        <f>IF(CF271="","",SUMIFS(Analytics!$X$5:$X$154,Analytics!$E$5:$E$154,CF271,Analytics!$B$5:$B$154,"&gt;="&amp;DashStart,Analytics!$B$5:$B$154,"&lt;="&amp;DashEnd))</f>
        <v>0</v>
      </c>
      <c r="CJ271" s="32">
        <f>IF(CH271="","",IF(CH271=0,"",CH271+ROW()/1000000))</f>
        <v>0</v>
      </c>
    </row>
    <row r="272" spans="1:88">
      <c r="A272" s="16">
        <f>IF(ROW()-4&gt;12,"",DATE(PlanYear,ROW()-4,1))</f>
        <v>0</v>
      </c>
      <c r="B272" s="16">
        <f>IF(A272="","",EOMONTH(A272,0))</f>
        <v>0</v>
      </c>
      <c r="C272" s="17">
        <f>IF(A272="","",TEXT(A272,"yyyy-mm"))</f>
        <v>0</v>
      </c>
      <c r="D272" s="17">
        <f>IF(A272="","",TEXT(A272,"mmm"))</f>
        <v>0</v>
      </c>
      <c r="E272" s="23">
        <f>IF(C272="","",COUNTIFS('Content Calendar'!$D$5:$D$604,C272))</f>
        <v>0</v>
      </c>
      <c r="F272" s="23">
        <f>IF(C272="","",COUNTIFS('Content Calendar'!$D$5:$D$604,C272,'Content Calendar'!$X$5:$X$604,"Published"))</f>
        <v>0</v>
      </c>
      <c r="G272" s="23">
        <f>IF(C272="","",SUMIFS(Analytics!$J$5:$J$154,Analytics!$C$5:$C$154,C272))</f>
        <v>0</v>
      </c>
      <c r="H272" s="23">
        <f>IF(C272="","",SUMIFS(Analytics!$K$5:$K$154,Analytics!$C$5:$C$154,C272))</f>
        <v>0</v>
      </c>
      <c r="I272" s="23">
        <f>IF(C272="","",SUMIFS(Analytics!$L$5:$L$154,Analytics!$C$5:$C$154,C272))</f>
        <v>0</v>
      </c>
      <c r="J272" s="24">
        <f>IF(OR(G272="",G272=0),"",I272/G272)</f>
        <v>0</v>
      </c>
      <c r="K272" s="23">
        <f>IF(C272="","",SUMIFS(Analytics!$G$5:$G$154,Analytics!$C$5:$C$154,C272))</f>
        <v>0</v>
      </c>
      <c r="L272" s="23">
        <f>IF(C272="","",SUMIFS(Analytics!$X$5:$X$154,Analytics!$C$5:$C$154,C272))</f>
        <v>0</v>
      </c>
      <c r="M272" s="23">
        <f>IF(C272="","",SUMIFS(Analytics!$R$5:$R$154,Analytics!$C$5:$C$154,C272))</f>
        <v>0</v>
      </c>
      <c r="N272" s="23">
        <f>IF(C272="","",SUMIFS(Analytics!$S$5:$S$154,Analytics!$C$5:$C$154,C272))</f>
        <v>0</v>
      </c>
      <c r="O272" s="23">
        <f>IF(C272="","",SUMIFS(Analytics!$T$5:$T$154,Analytics!$C$5:$C$154,C272))</f>
        <v>0</v>
      </c>
      <c r="P272" s="25">
        <f>IF(C272="","",SUMIFS(Analytics!$U$5:$U$154,Analytics!$C$5:$C$154,C272))</f>
        <v>0</v>
      </c>
      <c r="Q272" s="25">
        <f>IF(C272="","",SUMIFS(Budget!$H$5:$H$64,Budget!$C$5:$C$64,C272))</f>
        <v>0</v>
      </c>
      <c r="R272" s="25">
        <f>IF(C272="","",P272-Q272)</f>
        <v>0</v>
      </c>
      <c r="S272" s="23">
        <f>IF(C272="","",MonthlyPostTarget)</f>
        <v>0</v>
      </c>
      <c r="T272" s="17">
        <f>IF(Lists!$C272="","",Lists!$C272)</f>
        <v>0</v>
      </c>
      <c r="U272" s="23">
        <f>IF(T272="","",COUNTIFS('Content Calendar'!$G$5:$G$604,T272,'Content Calendar'!$B$5:$B$604,"&gt;="&amp;DashStart,'Content Calendar'!$B$5:$B$604,"&lt;="&amp;DashEnd))</f>
        <v>0</v>
      </c>
      <c r="V272" s="23">
        <f>IF(T272="","",COUNTIFS('Content Calendar'!$G$5:$G$604,T272,'Content Calendar'!$X$5:$X$604,"Published",'Content Calendar'!$B$5:$B$604,"&gt;="&amp;DashStart,'Content Calendar'!$B$5:$B$604,"&lt;="&amp;DashEnd))</f>
        <v>0</v>
      </c>
      <c r="W272" s="23">
        <f>IF(T272="","",SUMIFS(Analytics!$J$5:$J$154,Analytics!$D$5:$D$154,T272,Analytics!$B$5:$B$154,"&gt;="&amp;DashStart,Analytics!$B$5:$B$154,"&lt;="&amp;DashEnd))</f>
        <v>0</v>
      </c>
      <c r="X272" s="23">
        <f>IF(T272="","",SUMIFS(Analytics!$L$5:$L$154,Analytics!$D$5:$D$154,T272,Analytics!$B$5:$B$154,"&gt;="&amp;DashStart,Analytics!$B$5:$B$154,"&lt;="&amp;DashEnd))</f>
        <v>0</v>
      </c>
      <c r="Y272" s="24">
        <f>IF(OR(W272="",W272=0),"",X272/W272)</f>
        <v>0</v>
      </c>
      <c r="Z272" s="23">
        <f>IF(T272="","",SUMIFS(Analytics!$G$5:$G$154,Analytics!$D$5:$D$154,T272,Analytics!$B$5:$B$154,"&gt;="&amp;DashStart,Analytics!$B$5:$B$154,"&lt;="&amp;DashEnd))</f>
        <v>0</v>
      </c>
      <c r="AA272" s="23">
        <f>IF(T272="","",SUMIFS(Analytics!$X$5:$X$154,Analytics!$D$5:$D$154,T272,Analytics!$B$5:$B$154,"&gt;="&amp;DashStart,Analytics!$B$5:$B$154,"&lt;="&amp;DashEnd))</f>
        <v>0</v>
      </c>
      <c r="AB272" s="23">
        <f>IF(T272="","",SUMIFS(Analytics!$R$5:$R$154,Analytics!$D$5:$D$154,T272,Analytics!$B$5:$B$154,"&gt;="&amp;DashStart,Analytics!$B$5:$B$154,"&lt;="&amp;DashEnd))</f>
        <v>0</v>
      </c>
      <c r="AC272" s="25">
        <f>IF(T272="","",SUMIFS(Analytics!$U$5:$U$154,Analytics!$D$5:$D$154,T272,Analytics!$B$5:$B$154,"&gt;="&amp;DashStart,Analytics!$B$5:$B$154,"&lt;="&amp;DashEnd))</f>
        <v>0</v>
      </c>
      <c r="AD272" s="23">
        <f>IF(T272="","",COUNTIFS('Content Calendar'!$G$5:$G$604,T272,'Content Calendar'!$B$5:$B$604,"&gt;="&amp;DATE(PlanYear,1,1),'Content Calendar'!$B$5:$B$604,"&lt;="&amp;DATE(PlanYear,12,31)))</f>
        <v>0</v>
      </c>
      <c r="AE272" s="23">
        <f>IF(T272="","",SUMIFS(Analytics!$J$5:$J$154,Analytics!$D$5:$D$154,T272))</f>
        <v>0</v>
      </c>
      <c r="AF272" s="23">
        <f>IF(T272="","",SUMIFS(Analytics!$L$5:$L$154,Analytics!$D$5:$D$154,T272))</f>
        <v>0</v>
      </c>
      <c r="AG272" s="24">
        <f>IF(OR(AE272="",AE272=0),"",AF272/AE272)</f>
        <v>0</v>
      </c>
      <c r="AH272" s="23">
        <f>IF(T272="","",SUMIFS(Analytics!$X$5:$X$154,Analytics!$D$5:$D$154,T272))</f>
        <v>0</v>
      </c>
      <c r="AI272" s="32">
        <f>IF(T272="","",IF(AE272=0,"",AE272+ROW()/1000000))</f>
        <v>0</v>
      </c>
      <c r="AJ272" s="17">
        <f>IF('Content Pillars'!$B$272="","",'Content Pillars'!$B$272)</f>
        <v>0</v>
      </c>
      <c r="AK272" s="23">
        <f>IF(AJ272="","",COUNTIFS('Content Calendar'!$J$5:$J$604,AJ272,'Content Calendar'!$B$5:$B$604,"&gt;="&amp;DATE(PlanYear,1,1),'Content Calendar'!$B$5:$B$604,"&lt;="&amp;DATE(PlanYear,12,31)))</f>
        <v>0</v>
      </c>
      <c r="AL272" s="23">
        <f>IF(AJ272="","",SUMIFS(Performance!$O$5:$O$404,Performance!$H$5:$H$404,AJ272))</f>
        <v>0</v>
      </c>
      <c r="AM272" s="23">
        <f>IF(AJ272="","",SUMIFS(Performance!$Z$5:$Z$404,Performance!$H$5:$H$404,AJ272))</f>
        <v>0</v>
      </c>
      <c r="AN272" s="24">
        <f>IF(OR(AL272="",AL272=0),"",AM272/AL272)</f>
        <v>0</v>
      </c>
      <c r="AO272" s="32">
        <f>IF(AN272="","",AN272+ROW()/1000000)</f>
        <v>0</v>
      </c>
      <c r="AP272" s="17">
        <f>IF(Lists!$E272="","",Lists!$E272)</f>
        <v>0</v>
      </c>
      <c r="AQ272" s="23">
        <f>IF(AP272="","",COUNTIF(Performance!$G$5:$G$404,AP272))</f>
        <v>0</v>
      </c>
      <c r="AR272" s="23">
        <f>IF(AP272="","",SUMIFS(Performance!$O$5:$O$404,Performance!$G$5:$G$404,AP272))</f>
        <v>0</v>
      </c>
      <c r="AS272" s="23">
        <f>IF(AP272="","",SUMIFS(Performance!$Z$5:$Z$404,Performance!$G$5:$G$404,AP272))</f>
        <v>0</v>
      </c>
      <c r="AT272" s="24">
        <f>IF(OR(AR272="",AR272=0),"",AS272/AR272)</f>
        <v>0</v>
      </c>
      <c r="AU272" s="32">
        <f>IF(AQ272=0,"",IF(AT272="","",AT272+ROW()/1000000))</f>
        <v>0</v>
      </c>
      <c r="AV272" s="17">
        <f>IF(ROW()-4&gt;7,"",TEXT(DATE(2024,1,ROW()-4),"ddd"))</f>
        <v>0</v>
      </c>
      <c r="AW272" s="23">
        <f>IF(AV272="","",COUNTIF(Performance!$N$5:$N$404,AV272))</f>
        <v>0</v>
      </c>
      <c r="AX272" s="23">
        <f>IF(AV272="","",SUMIFS(Performance!$O$5:$O$404,Performance!$N$5:$N$404,AV272))</f>
        <v>0</v>
      </c>
      <c r="AY272" s="23">
        <f>IF(AV272="","",SUMIFS(Performance!$Z$5:$Z$404,Performance!$N$5:$N$404,AV272))</f>
        <v>0</v>
      </c>
      <c r="AZ272" s="24">
        <f>IF(OR(AX272="",AX272=0),"",AY272/AX272)</f>
        <v>0</v>
      </c>
      <c r="BA272" s="32">
        <f>IF(AW272=0,"",IF(AZ272="","",AZ272+ROW()/1000000))</f>
        <v>0</v>
      </c>
      <c r="BB272" s="17">
        <f>IF(Lists!$AL272="","",Lists!$AL272)</f>
        <v>0</v>
      </c>
      <c r="BC272" s="23">
        <f>IF(BB272="","",COUNTIF(Performance!$M$5:$M$404,BB272))</f>
        <v>0</v>
      </c>
      <c r="BD272" s="23">
        <f>IF(BB272="","",SUMIFS(Performance!$O$5:$O$404,Performance!$M$5:$M$404,BB272))</f>
        <v>0</v>
      </c>
      <c r="BE272" s="23">
        <f>IF(BB272="","",SUMIFS(Performance!$Z$5:$Z$404,Performance!$M$5:$M$404,BB272))</f>
        <v>0</v>
      </c>
      <c r="BF272" s="24">
        <f>IF(OR(BD272="",BD272=0),"",BE272/BD272)</f>
        <v>0</v>
      </c>
      <c r="BG272" s="32">
        <f>IF(BC272=0,"",IF(BF272="","",BF272+ROW()/1000000))</f>
        <v>0</v>
      </c>
      <c r="BH272" s="17">
        <f>IF(Performance!$C$272="","",Performance!$C$272)</f>
        <v>0</v>
      </c>
      <c r="BI272" s="17">
        <f>IF(Performance!$F$272="","",Performance!$F$272)</f>
        <v>0</v>
      </c>
      <c r="BJ272" s="17">
        <f>IF(Performance!$H$272="","",Performance!$H$272)</f>
        <v>0</v>
      </c>
      <c r="BK272" s="16">
        <f>IF(Performance!$D$272="","",Performance!$D$272)</f>
        <v>0</v>
      </c>
      <c r="BL272" s="17">
        <f>IF(Performance!$E$272="","",Performance!$E$272)</f>
        <v>0</v>
      </c>
      <c r="BM272" s="23">
        <f>IF(Performance!$O$272="","",Performance!$O$272)</f>
        <v>0</v>
      </c>
      <c r="BN272" s="24">
        <f>IF(Performance!$AA$272="","",Performance!$AA$272)</f>
        <v>0</v>
      </c>
      <c r="BO272" s="32">
        <f>IF(BH272="","",IF(BK272="","",IF(OR(BK272&lt;DashStart,BK272&gt;DashEnd),"",IF(BN272="","",BN272+ROW()/1000000))))</f>
        <v>0</v>
      </c>
      <c r="BP272" s="32">
        <f>IF(BM272="","",IF(BK272="","",IF(OR(BK272&lt;DashStart,BK272&gt;DashEnd),"",BM272+ROW()/1000000)))</f>
        <v>0</v>
      </c>
      <c r="BQ272" s="32">
        <f>IF(BH272="","",IF(BK272="","",IF(YEAR(BK272)&lt;&gt;PlanYear,"",IF(BN272="","",BN272+ROW()/1000000))))</f>
        <v>0</v>
      </c>
      <c r="BR272" s="32">
        <f>IF(BH272="","",IF(BK272="","",IF(OR(BK272&lt;RepFrom,BK272&gt;RepTo),"",IF(BN272="","",BN272+ROW()/1000000))))</f>
        <v>0</v>
      </c>
      <c r="BS272" s="32">
        <f>IF(BM272="","",IF(BK272="","",IF(YEAR(BK272)&lt;&gt;PlanYear,"",BM272+ROW()/1000000)))</f>
        <v>0</v>
      </c>
      <c r="BT272" s="17">
        <f>IF(Lists!$F272="","",Lists!$F272)</f>
        <v>0</v>
      </c>
      <c r="BU272" s="23">
        <f>IF(BT272="","",COUNTIF('Content Calendar'!$X$5:$X$604,BT272))</f>
        <v>0</v>
      </c>
      <c r="BV272" s="23">
        <f>IF(BT272="","",COUNTIFS('Content Calendar'!$X$5:$X$604,BT272,'Content Calendar'!$B$5:$B$604,"&gt;="&amp;DashStart,'Content Calendar'!$B$5:$B$604,"&lt;="&amp;DashEnd))</f>
        <v>0</v>
      </c>
      <c r="BW272" s="17">
        <f>IF(Team!$B$272="","",Team!$B$272)</f>
        <v>0</v>
      </c>
      <c r="BX272" s="23">
        <f>IF(BW272="","",COUNTIF('Content Calendar'!$W$5:$W$604,BW272))</f>
        <v>0</v>
      </c>
      <c r="BY272" s="23">
        <f>IF(BW272="","",COUNTIFS('Content Calendar'!$W$5:$W$604,BW272,'Content Calendar'!$X$5:$X$604,"&lt;&gt;Published"))</f>
        <v>0</v>
      </c>
      <c r="BZ272" s="23">
        <f>IF(BW272="","",COUNTIFS(Tasks!$C$5:$C$64,BW272,Tasks!$G$5:$G$64,"&lt;&gt;Complete"))</f>
        <v>0</v>
      </c>
      <c r="CA272" s="17">
        <f>IF(Campaigns!$B$272="","",Campaigns!$B$272)</f>
        <v>0</v>
      </c>
      <c r="CB272" s="25">
        <f>IF(Campaigns!$T$272="","",Campaigns!$T$272)</f>
        <v>0</v>
      </c>
      <c r="CC272" s="25">
        <f>IF(Campaigns!$Q$272="","",Campaigns!$Q$272)</f>
        <v>0</v>
      </c>
      <c r="CD272" s="23">
        <f>IF(Campaigns!$Y$272="","",Campaigns!$Y$272)</f>
        <v>0</v>
      </c>
      <c r="CE272" s="32">
        <f>IF(CA272="","",IF(N(CB272)&lt;=0,"",N(CB272)+ROW()/1000000))</f>
        <v>0</v>
      </c>
      <c r="CF272" s="17">
        <f>IF(Accounts!$C$272="","",Accounts!$C$272)</f>
        <v>0</v>
      </c>
      <c r="CG272" s="17">
        <f>IF(Accounts!$B$272="","",Accounts!$B$272)</f>
        <v>0</v>
      </c>
      <c r="CH272" s="23">
        <f>IF(Accounts!$J$272="","",Accounts!$J$272)</f>
        <v>0</v>
      </c>
      <c r="CI272" s="23">
        <f>IF(CF272="","",SUMIFS(Analytics!$X$5:$X$154,Analytics!$E$5:$E$154,CF272,Analytics!$B$5:$B$154,"&gt;="&amp;DashStart,Analytics!$B$5:$B$154,"&lt;="&amp;DashEnd))</f>
        <v>0</v>
      </c>
      <c r="CJ272" s="32">
        <f>IF(CH272="","",IF(CH272=0,"",CH272+ROW()/1000000))</f>
        <v>0</v>
      </c>
    </row>
    <row r="273" spans="1:88">
      <c r="A273" s="16">
        <f>IF(ROW()-4&gt;12,"",DATE(PlanYear,ROW()-4,1))</f>
        <v>0</v>
      </c>
      <c r="B273" s="16">
        <f>IF(A273="","",EOMONTH(A273,0))</f>
        <v>0</v>
      </c>
      <c r="C273" s="17">
        <f>IF(A273="","",TEXT(A273,"yyyy-mm"))</f>
        <v>0</v>
      </c>
      <c r="D273" s="17">
        <f>IF(A273="","",TEXT(A273,"mmm"))</f>
        <v>0</v>
      </c>
      <c r="E273" s="23">
        <f>IF(C273="","",COUNTIFS('Content Calendar'!$D$5:$D$604,C273))</f>
        <v>0</v>
      </c>
      <c r="F273" s="23">
        <f>IF(C273="","",COUNTIFS('Content Calendar'!$D$5:$D$604,C273,'Content Calendar'!$X$5:$X$604,"Published"))</f>
        <v>0</v>
      </c>
      <c r="G273" s="23">
        <f>IF(C273="","",SUMIFS(Analytics!$J$5:$J$154,Analytics!$C$5:$C$154,C273))</f>
        <v>0</v>
      </c>
      <c r="H273" s="23">
        <f>IF(C273="","",SUMIFS(Analytics!$K$5:$K$154,Analytics!$C$5:$C$154,C273))</f>
        <v>0</v>
      </c>
      <c r="I273" s="23">
        <f>IF(C273="","",SUMIFS(Analytics!$L$5:$L$154,Analytics!$C$5:$C$154,C273))</f>
        <v>0</v>
      </c>
      <c r="J273" s="24">
        <f>IF(OR(G273="",G273=0),"",I273/G273)</f>
        <v>0</v>
      </c>
      <c r="K273" s="23">
        <f>IF(C273="","",SUMIFS(Analytics!$G$5:$G$154,Analytics!$C$5:$C$154,C273))</f>
        <v>0</v>
      </c>
      <c r="L273" s="23">
        <f>IF(C273="","",SUMIFS(Analytics!$X$5:$X$154,Analytics!$C$5:$C$154,C273))</f>
        <v>0</v>
      </c>
      <c r="M273" s="23">
        <f>IF(C273="","",SUMIFS(Analytics!$R$5:$R$154,Analytics!$C$5:$C$154,C273))</f>
        <v>0</v>
      </c>
      <c r="N273" s="23">
        <f>IF(C273="","",SUMIFS(Analytics!$S$5:$S$154,Analytics!$C$5:$C$154,C273))</f>
        <v>0</v>
      </c>
      <c r="O273" s="23">
        <f>IF(C273="","",SUMIFS(Analytics!$T$5:$T$154,Analytics!$C$5:$C$154,C273))</f>
        <v>0</v>
      </c>
      <c r="P273" s="25">
        <f>IF(C273="","",SUMIFS(Analytics!$U$5:$U$154,Analytics!$C$5:$C$154,C273))</f>
        <v>0</v>
      </c>
      <c r="Q273" s="25">
        <f>IF(C273="","",SUMIFS(Budget!$H$5:$H$64,Budget!$C$5:$C$64,C273))</f>
        <v>0</v>
      </c>
      <c r="R273" s="25">
        <f>IF(C273="","",P273-Q273)</f>
        <v>0</v>
      </c>
      <c r="S273" s="23">
        <f>IF(C273="","",MonthlyPostTarget)</f>
        <v>0</v>
      </c>
      <c r="T273" s="17">
        <f>IF(Lists!$C273="","",Lists!$C273)</f>
        <v>0</v>
      </c>
      <c r="U273" s="23">
        <f>IF(T273="","",COUNTIFS('Content Calendar'!$G$5:$G$604,T273,'Content Calendar'!$B$5:$B$604,"&gt;="&amp;DashStart,'Content Calendar'!$B$5:$B$604,"&lt;="&amp;DashEnd))</f>
        <v>0</v>
      </c>
      <c r="V273" s="23">
        <f>IF(T273="","",COUNTIFS('Content Calendar'!$G$5:$G$604,T273,'Content Calendar'!$X$5:$X$604,"Published",'Content Calendar'!$B$5:$B$604,"&gt;="&amp;DashStart,'Content Calendar'!$B$5:$B$604,"&lt;="&amp;DashEnd))</f>
        <v>0</v>
      </c>
      <c r="W273" s="23">
        <f>IF(T273="","",SUMIFS(Analytics!$J$5:$J$154,Analytics!$D$5:$D$154,T273,Analytics!$B$5:$B$154,"&gt;="&amp;DashStart,Analytics!$B$5:$B$154,"&lt;="&amp;DashEnd))</f>
        <v>0</v>
      </c>
      <c r="X273" s="23">
        <f>IF(T273="","",SUMIFS(Analytics!$L$5:$L$154,Analytics!$D$5:$D$154,T273,Analytics!$B$5:$B$154,"&gt;="&amp;DashStart,Analytics!$B$5:$B$154,"&lt;="&amp;DashEnd))</f>
        <v>0</v>
      </c>
      <c r="Y273" s="24">
        <f>IF(OR(W273="",W273=0),"",X273/W273)</f>
        <v>0</v>
      </c>
      <c r="Z273" s="23">
        <f>IF(T273="","",SUMIFS(Analytics!$G$5:$G$154,Analytics!$D$5:$D$154,T273,Analytics!$B$5:$B$154,"&gt;="&amp;DashStart,Analytics!$B$5:$B$154,"&lt;="&amp;DashEnd))</f>
        <v>0</v>
      </c>
      <c r="AA273" s="23">
        <f>IF(T273="","",SUMIFS(Analytics!$X$5:$X$154,Analytics!$D$5:$D$154,T273,Analytics!$B$5:$B$154,"&gt;="&amp;DashStart,Analytics!$B$5:$B$154,"&lt;="&amp;DashEnd))</f>
        <v>0</v>
      </c>
      <c r="AB273" s="23">
        <f>IF(T273="","",SUMIFS(Analytics!$R$5:$R$154,Analytics!$D$5:$D$154,T273,Analytics!$B$5:$B$154,"&gt;="&amp;DashStart,Analytics!$B$5:$B$154,"&lt;="&amp;DashEnd))</f>
        <v>0</v>
      </c>
      <c r="AC273" s="25">
        <f>IF(T273="","",SUMIFS(Analytics!$U$5:$U$154,Analytics!$D$5:$D$154,T273,Analytics!$B$5:$B$154,"&gt;="&amp;DashStart,Analytics!$B$5:$B$154,"&lt;="&amp;DashEnd))</f>
        <v>0</v>
      </c>
      <c r="AD273" s="23">
        <f>IF(T273="","",COUNTIFS('Content Calendar'!$G$5:$G$604,T273,'Content Calendar'!$B$5:$B$604,"&gt;="&amp;DATE(PlanYear,1,1),'Content Calendar'!$B$5:$B$604,"&lt;="&amp;DATE(PlanYear,12,31)))</f>
        <v>0</v>
      </c>
      <c r="AE273" s="23">
        <f>IF(T273="","",SUMIFS(Analytics!$J$5:$J$154,Analytics!$D$5:$D$154,T273))</f>
        <v>0</v>
      </c>
      <c r="AF273" s="23">
        <f>IF(T273="","",SUMIFS(Analytics!$L$5:$L$154,Analytics!$D$5:$D$154,T273))</f>
        <v>0</v>
      </c>
      <c r="AG273" s="24">
        <f>IF(OR(AE273="",AE273=0),"",AF273/AE273)</f>
        <v>0</v>
      </c>
      <c r="AH273" s="23">
        <f>IF(T273="","",SUMIFS(Analytics!$X$5:$X$154,Analytics!$D$5:$D$154,T273))</f>
        <v>0</v>
      </c>
      <c r="AI273" s="32">
        <f>IF(T273="","",IF(AE273=0,"",AE273+ROW()/1000000))</f>
        <v>0</v>
      </c>
      <c r="AJ273" s="17">
        <f>IF('Content Pillars'!$B$273="","",'Content Pillars'!$B$273)</f>
        <v>0</v>
      </c>
      <c r="AK273" s="23">
        <f>IF(AJ273="","",COUNTIFS('Content Calendar'!$J$5:$J$604,AJ273,'Content Calendar'!$B$5:$B$604,"&gt;="&amp;DATE(PlanYear,1,1),'Content Calendar'!$B$5:$B$604,"&lt;="&amp;DATE(PlanYear,12,31)))</f>
        <v>0</v>
      </c>
      <c r="AL273" s="23">
        <f>IF(AJ273="","",SUMIFS(Performance!$O$5:$O$404,Performance!$H$5:$H$404,AJ273))</f>
        <v>0</v>
      </c>
      <c r="AM273" s="23">
        <f>IF(AJ273="","",SUMIFS(Performance!$Z$5:$Z$404,Performance!$H$5:$H$404,AJ273))</f>
        <v>0</v>
      </c>
      <c r="AN273" s="24">
        <f>IF(OR(AL273="",AL273=0),"",AM273/AL273)</f>
        <v>0</v>
      </c>
      <c r="AO273" s="32">
        <f>IF(AN273="","",AN273+ROW()/1000000)</f>
        <v>0</v>
      </c>
      <c r="AP273" s="17">
        <f>IF(Lists!$E273="","",Lists!$E273)</f>
        <v>0</v>
      </c>
      <c r="AQ273" s="23">
        <f>IF(AP273="","",COUNTIF(Performance!$G$5:$G$404,AP273))</f>
        <v>0</v>
      </c>
      <c r="AR273" s="23">
        <f>IF(AP273="","",SUMIFS(Performance!$O$5:$O$404,Performance!$G$5:$G$404,AP273))</f>
        <v>0</v>
      </c>
      <c r="AS273" s="23">
        <f>IF(AP273="","",SUMIFS(Performance!$Z$5:$Z$404,Performance!$G$5:$G$404,AP273))</f>
        <v>0</v>
      </c>
      <c r="AT273" s="24">
        <f>IF(OR(AR273="",AR273=0),"",AS273/AR273)</f>
        <v>0</v>
      </c>
      <c r="AU273" s="32">
        <f>IF(AQ273=0,"",IF(AT273="","",AT273+ROW()/1000000))</f>
        <v>0</v>
      </c>
      <c r="AV273" s="17">
        <f>IF(ROW()-4&gt;7,"",TEXT(DATE(2024,1,ROW()-4),"ddd"))</f>
        <v>0</v>
      </c>
      <c r="AW273" s="23">
        <f>IF(AV273="","",COUNTIF(Performance!$N$5:$N$404,AV273))</f>
        <v>0</v>
      </c>
      <c r="AX273" s="23">
        <f>IF(AV273="","",SUMIFS(Performance!$O$5:$O$404,Performance!$N$5:$N$404,AV273))</f>
        <v>0</v>
      </c>
      <c r="AY273" s="23">
        <f>IF(AV273="","",SUMIFS(Performance!$Z$5:$Z$404,Performance!$N$5:$N$404,AV273))</f>
        <v>0</v>
      </c>
      <c r="AZ273" s="24">
        <f>IF(OR(AX273="",AX273=0),"",AY273/AX273)</f>
        <v>0</v>
      </c>
      <c r="BA273" s="32">
        <f>IF(AW273=0,"",IF(AZ273="","",AZ273+ROW()/1000000))</f>
        <v>0</v>
      </c>
      <c r="BB273" s="17">
        <f>IF(Lists!$AL273="","",Lists!$AL273)</f>
        <v>0</v>
      </c>
      <c r="BC273" s="23">
        <f>IF(BB273="","",COUNTIF(Performance!$M$5:$M$404,BB273))</f>
        <v>0</v>
      </c>
      <c r="BD273" s="23">
        <f>IF(BB273="","",SUMIFS(Performance!$O$5:$O$404,Performance!$M$5:$M$404,BB273))</f>
        <v>0</v>
      </c>
      <c r="BE273" s="23">
        <f>IF(BB273="","",SUMIFS(Performance!$Z$5:$Z$404,Performance!$M$5:$M$404,BB273))</f>
        <v>0</v>
      </c>
      <c r="BF273" s="24">
        <f>IF(OR(BD273="",BD273=0),"",BE273/BD273)</f>
        <v>0</v>
      </c>
      <c r="BG273" s="32">
        <f>IF(BC273=0,"",IF(BF273="","",BF273+ROW()/1000000))</f>
        <v>0</v>
      </c>
      <c r="BH273" s="17">
        <f>IF(Performance!$C$273="","",Performance!$C$273)</f>
        <v>0</v>
      </c>
      <c r="BI273" s="17">
        <f>IF(Performance!$F$273="","",Performance!$F$273)</f>
        <v>0</v>
      </c>
      <c r="BJ273" s="17">
        <f>IF(Performance!$H$273="","",Performance!$H$273)</f>
        <v>0</v>
      </c>
      <c r="BK273" s="16">
        <f>IF(Performance!$D$273="","",Performance!$D$273)</f>
        <v>0</v>
      </c>
      <c r="BL273" s="17">
        <f>IF(Performance!$E$273="","",Performance!$E$273)</f>
        <v>0</v>
      </c>
      <c r="BM273" s="23">
        <f>IF(Performance!$O$273="","",Performance!$O$273)</f>
        <v>0</v>
      </c>
      <c r="BN273" s="24">
        <f>IF(Performance!$AA$273="","",Performance!$AA$273)</f>
        <v>0</v>
      </c>
      <c r="BO273" s="32">
        <f>IF(BH273="","",IF(BK273="","",IF(OR(BK273&lt;DashStart,BK273&gt;DashEnd),"",IF(BN273="","",BN273+ROW()/1000000))))</f>
        <v>0</v>
      </c>
      <c r="BP273" s="32">
        <f>IF(BM273="","",IF(BK273="","",IF(OR(BK273&lt;DashStart,BK273&gt;DashEnd),"",BM273+ROW()/1000000)))</f>
        <v>0</v>
      </c>
      <c r="BQ273" s="32">
        <f>IF(BH273="","",IF(BK273="","",IF(YEAR(BK273)&lt;&gt;PlanYear,"",IF(BN273="","",BN273+ROW()/1000000))))</f>
        <v>0</v>
      </c>
      <c r="BR273" s="32">
        <f>IF(BH273="","",IF(BK273="","",IF(OR(BK273&lt;RepFrom,BK273&gt;RepTo),"",IF(BN273="","",BN273+ROW()/1000000))))</f>
        <v>0</v>
      </c>
      <c r="BS273" s="32">
        <f>IF(BM273="","",IF(BK273="","",IF(YEAR(BK273)&lt;&gt;PlanYear,"",BM273+ROW()/1000000)))</f>
        <v>0</v>
      </c>
      <c r="BT273" s="17">
        <f>IF(Lists!$F273="","",Lists!$F273)</f>
        <v>0</v>
      </c>
      <c r="BU273" s="23">
        <f>IF(BT273="","",COUNTIF('Content Calendar'!$X$5:$X$604,BT273))</f>
        <v>0</v>
      </c>
      <c r="BV273" s="23">
        <f>IF(BT273="","",COUNTIFS('Content Calendar'!$X$5:$X$604,BT273,'Content Calendar'!$B$5:$B$604,"&gt;="&amp;DashStart,'Content Calendar'!$B$5:$B$604,"&lt;="&amp;DashEnd))</f>
        <v>0</v>
      </c>
      <c r="BW273" s="17">
        <f>IF(Team!$B$273="","",Team!$B$273)</f>
        <v>0</v>
      </c>
      <c r="BX273" s="23">
        <f>IF(BW273="","",COUNTIF('Content Calendar'!$W$5:$W$604,BW273))</f>
        <v>0</v>
      </c>
      <c r="BY273" s="23">
        <f>IF(BW273="","",COUNTIFS('Content Calendar'!$W$5:$W$604,BW273,'Content Calendar'!$X$5:$X$604,"&lt;&gt;Published"))</f>
        <v>0</v>
      </c>
      <c r="BZ273" s="23">
        <f>IF(BW273="","",COUNTIFS(Tasks!$C$5:$C$64,BW273,Tasks!$G$5:$G$64,"&lt;&gt;Complete"))</f>
        <v>0</v>
      </c>
      <c r="CA273" s="17">
        <f>IF(Campaigns!$B$273="","",Campaigns!$B$273)</f>
        <v>0</v>
      </c>
      <c r="CB273" s="25">
        <f>IF(Campaigns!$T$273="","",Campaigns!$T$273)</f>
        <v>0</v>
      </c>
      <c r="CC273" s="25">
        <f>IF(Campaigns!$Q$273="","",Campaigns!$Q$273)</f>
        <v>0</v>
      </c>
      <c r="CD273" s="23">
        <f>IF(Campaigns!$Y$273="","",Campaigns!$Y$273)</f>
        <v>0</v>
      </c>
      <c r="CE273" s="32">
        <f>IF(CA273="","",IF(N(CB273)&lt;=0,"",N(CB273)+ROW()/1000000))</f>
        <v>0</v>
      </c>
      <c r="CF273" s="17">
        <f>IF(Accounts!$C$273="","",Accounts!$C$273)</f>
        <v>0</v>
      </c>
      <c r="CG273" s="17">
        <f>IF(Accounts!$B$273="","",Accounts!$B$273)</f>
        <v>0</v>
      </c>
      <c r="CH273" s="23">
        <f>IF(Accounts!$J$273="","",Accounts!$J$273)</f>
        <v>0</v>
      </c>
      <c r="CI273" s="23">
        <f>IF(CF273="","",SUMIFS(Analytics!$X$5:$X$154,Analytics!$E$5:$E$154,CF273,Analytics!$B$5:$B$154,"&gt;="&amp;DashStart,Analytics!$B$5:$B$154,"&lt;="&amp;DashEnd))</f>
        <v>0</v>
      </c>
      <c r="CJ273" s="32">
        <f>IF(CH273="","",IF(CH273=0,"",CH273+ROW()/1000000))</f>
        <v>0</v>
      </c>
    </row>
    <row r="274" spans="1:88">
      <c r="A274" s="16">
        <f>IF(ROW()-4&gt;12,"",DATE(PlanYear,ROW()-4,1))</f>
        <v>0</v>
      </c>
      <c r="B274" s="16">
        <f>IF(A274="","",EOMONTH(A274,0))</f>
        <v>0</v>
      </c>
      <c r="C274" s="17">
        <f>IF(A274="","",TEXT(A274,"yyyy-mm"))</f>
        <v>0</v>
      </c>
      <c r="D274" s="17">
        <f>IF(A274="","",TEXT(A274,"mmm"))</f>
        <v>0</v>
      </c>
      <c r="E274" s="23">
        <f>IF(C274="","",COUNTIFS('Content Calendar'!$D$5:$D$604,C274))</f>
        <v>0</v>
      </c>
      <c r="F274" s="23">
        <f>IF(C274="","",COUNTIFS('Content Calendar'!$D$5:$D$604,C274,'Content Calendar'!$X$5:$X$604,"Published"))</f>
        <v>0</v>
      </c>
      <c r="G274" s="23">
        <f>IF(C274="","",SUMIFS(Analytics!$J$5:$J$154,Analytics!$C$5:$C$154,C274))</f>
        <v>0</v>
      </c>
      <c r="H274" s="23">
        <f>IF(C274="","",SUMIFS(Analytics!$K$5:$K$154,Analytics!$C$5:$C$154,C274))</f>
        <v>0</v>
      </c>
      <c r="I274" s="23">
        <f>IF(C274="","",SUMIFS(Analytics!$L$5:$L$154,Analytics!$C$5:$C$154,C274))</f>
        <v>0</v>
      </c>
      <c r="J274" s="24">
        <f>IF(OR(G274="",G274=0),"",I274/G274)</f>
        <v>0</v>
      </c>
      <c r="K274" s="23">
        <f>IF(C274="","",SUMIFS(Analytics!$G$5:$G$154,Analytics!$C$5:$C$154,C274))</f>
        <v>0</v>
      </c>
      <c r="L274" s="23">
        <f>IF(C274="","",SUMIFS(Analytics!$X$5:$X$154,Analytics!$C$5:$C$154,C274))</f>
        <v>0</v>
      </c>
      <c r="M274" s="23">
        <f>IF(C274="","",SUMIFS(Analytics!$R$5:$R$154,Analytics!$C$5:$C$154,C274))</f>
        <v>0</v>
      </c>
      <c r="N274" s="23">
        <f>IF(C274="","",SUMIFS(Analytics!$S$5:$S$154,Analytics!$C$5:$C$154,C274))</f>
        <v>0</v>
      </c>
      <c r="O274" s="23">
        <f>IF(C274="","",SUMIFS(Analytics!$T$5:$T$154,Analytics!$C$5:$C$154,C274))</f>
        <v>0</v>
      </c>
      <c r="P274" s="25">
        <f>IF(C274="","",SUMIFS(Analytics!$U$5:$U$154,Analytics!$C$5:$C$154,C274))</f>
        <v>0</v>
      </c>
      <c r="Q274" s="25">
        <f>IF(C274="","",SUMIFS(Budget!$H$5:$H$64,Budget!$C$5:$C$64,C274))</f>
        <v>0</v>
      </c>
      <c r="R274" s="25">
        <f>IF(C274="","",P274-Q274)</f>
        <v>0</v>
      </c>
      <c r="S274" s="23">
        <f>IF(C274="","",MonthlyPostTarget)</f>
        <v>0</v>
      </c>
      <c r="T274" s="17">
        <f>IF(Lists!$C274="","",Lists!$C274)</f>
        <v>0</v>
      </c>
      <c r="U274" s="23">
        <f>IF(T274="","",COUNTIFS('Content Calendar'!$G$5:$G$604,T274,'Content Calendar'!$B$5:$B$604,"&gt;="&amp;DashStart,'Content Calendar'!$B$5:$B$604,"&lt;="&amp;DashEnd))</f>
        <v>0</v>
      </c>
      <c r="V274" s="23">
        <f>IF(T274="","",COUNTIFS('Content Calendar'!$G$5:$G$604,T274,'Content Calendar'!$X$5:$X$604,"Published",'Content Calendar'!$B$5:$B$604,"&gt;="&amp;DashStart,'Content Calendar'!$B$5:$B$604,"&lt;="&amp;DashEnd))</f>
        <v>0</v>
      </c>
      <c r="W274" s="23">
        <f>IF(T274="","",SUMIFS(Analytics!$J$5:$J$154,Analytics!$D$5:$D$154,T274,Analytics!$B$5:$B$154,"&gt;="&amp;DashStart,Analytics!$B$5:$B$154,"&lt;="&amp;DashEnd))</f>
        <v>0</v>
      </c>
      <c r="X274" s="23">
        <f>IF(T274="","",SUMIFS(Analytics!$L$5:$L$154,Analytics!$D$5:$D$154,T274,Analytics!$B$5:$B$154,"&gt;="&amp;DashStart,Analytics!$B$5:$B$154,"&lt;="&amp;DashEnd))</f>
        <v>0</v>
      </c>
      <c r="Y274" s="24">
        <f>IF(OR(W274="",W274=0),"",X274/W274)</f>
        <v>0</v>
      </c>
      <c r="Z274" s="23">
        <f>IF(T274="","",SUMIFS(Analytics!$G$5:$G$154,Analytics!$D$5:$D$154,T274,Analytics!$B$5:$B$154,"&gt;="&amp;DashStart,Analytics!$B$5:$B$154,"&lt;="&amp;DashEnd))</f>
        <v>0</v>
      </c>
      <c r="AA274" s="23">
        <f>IF(T274="","",SUMIFS(Analytics!$X$5:$X$154,Analytics!$D$5:$D$154,T274,Analytics!$B$5:$B$154,"&gt;="&amp;DashStart,Analytics!$B$5:$B$154,"&lt;="&amp;DashEnd))</f>
        <v>0</v>
      </c>
      <c r="AB274" s="23">
        <f>IF(T274="","",SUMIFS(Analytics!$R$5:$R$154,Analytics!$D$5:$D$154,T274,Analytics!$B$5:$B$154,"&gt;="&amp;DashStart,Analytics!$B$5:$B$154,"&lt;="&amp;DashEnd))</f>
        <v>0</v>
      </c>
      <c r="AC274" s="25">
        <f>IF(T274="","",SUMIFS(Analytics!$U$5:$U$154,Analytics!$D$5:$D$154,T274,Analytics!$B$5:$B$154,"&gt;="&amp;DashStart,Analytics!$B$5:$B$154,"&lt;="&amp;DashEnd))</f>
        <v>0</v>
      </c>
      <c r="AD274" s="23">
        <f>IF(T274="","",COUNTIFS('Content Calendar'!$G$5:$G$604,T274,'Content Calendar'!$B$5:$B$604,"&gt;="&amp;DATE(PlanYear,1,1),'Content Calendar'!$B$5:$B$604,"&lt;="&amp;DATE(PlanYear,12,31)))</f>
        <v>0</v>
      </c>
      <c r="AE274" s="23">
        <f>IF(T274="","",SUMIFS(Analytics!$J$5:$J$154,Analytics!$D$5:$D$154,T274))</f>
        <v>0</v>
      </c>
      <c r="AF274" s="23">
        <f>IF(T274="","",SUMIFS(Analytics!$L$5:$L$154,Analytics!$D$5:$D$154,T274))</f>
        <v>0</v>
      </c>
      <c r="AG274" s="24">
        <f>IF(OR(AE274="",AE274=0),"",AF274/AE274)</f>
        <v>0</v>
      </c>
      <c r="AH274" s="23">
        <f>IF(T274="","",SUMIFS(Analytics!$X$5:$X$154,Analytics!$D$5:$D$154,T274))</f>
        <v>0</v>
      </c>
      <c r="AI274" s="32">
        <f>IF(T274="","",IF(AE274=0,"",AE274+ROW()/1000000))</f>
        <v>0</v>
      </c>
      <c r="AJ274" s="17">
        <f>IF('Content Pillars'!$B$274="","",'Content Pillars'!$B$274)</f>
        <v>0</v>
      </c>
      <c r="AK274" s="23">
        <f>IF(AJ274="","",COUNTIFS('Content Calendar'!$J$5:$J$604,AJ274,'Content Calendar'!$B$5:$B$604,"&gt;="&amp;DATE(PlanYear,1,1),'Content Calendar'!$B$5:$B$604,"&lt;="&amp;DATE(PlanYear,12,31)))</f>
        <v>0</v>
      </c>
      <c r="AL274" s="23">
        <f>IF(AJ274="","",SUMIFS(Performance!$O$5:$O$404,Performance!$H$5:$H$404,AJ274))</f>
        <v>0</v>
      </c>
      <c r="AM274" s="23">
        <f>IF(AJ274="","",SUMIFS(Performance!$Z$5:$Z$404,Performance!$H$5:$H$404,AJ274))</f>
        <v>0</v>
      </c>
      <c r="AN274" s="24">
        <f>IF(OR(AL274="",AL274=0),"",AM274/AL274)</f>
        <v>0</v>
      </c>
      <c r="AO274" s="32">
        <f>IF(AN274="","",AN274+ROW()/1000000)</f>
        <v>0</v>
      </c>
      <c r="AP274" s="17">
        <f>IF(Lists!$E274="","",Lists!$E274)</f>
        <v>0</v>
      </c>
      <c r="AQ274" s="23">
        <f>IF(AP274="","",COUNTIF(Performance!$G$5:$G$404,AP274))</f>
        <v>0</v>
      </c>
      <c r="AR274" s="23">
        <f>IF(AP274="","",SUMIFS(Performance!$O$5:$O$404,Performance!$G$5:$G$404,AP274))</f>
        <v>0</v>
      </c>
      <c r="AS274" s="23">
        <f>IF(AP274="","",SUMIFS(Performance!$Z$5:$Z$404,Performance!$G$5:$G$404,AP274))</f>
        <v>0</v>
      </c>
      <c r="AT274" s="24">
        <f>IF(OR(AR274="",AR274=0),"",AS274/AR274)</f>
        <v>0</v>
      </c>
      <c r="AU274" s="32">
        <f>IF(AQ274=0,"",IF(AT274="","",AT274+ROW()/1000000))</f>
        <v>0</v>
      </c>
      <c r="AV274" s="17">
        <f>IF(ROW()-4&gt;7,"",TEXT(DATE(2024,1,ROW()-4),"ddd"))</f>
        <v>0</v>
      </c>
      <c r="AW274" s="23">
        <f>IF(AV274="","",COUNTIF(Performance!$N$5:$N$404,AV274))</f>
        <v>0</v>
      </c>
      <c r="AX274" s="23">
        <f>IF(AV274="","",SUMIFS(Performance!$O$5:$O$404,Performance!$N$5:$N$404,AV274))</f>
        <v>0</v>
      </c>
      <c r="AY274" s="23">
        <f>IF(AV274="","",SUMIFS(Performance!$Z$5:$Z$404,Performance!$N$5:$N$404,AV274))</f>
        <v>0</v>
      </c>
      <c r="AZ274" s="24">
        <f>IF(OR(AX274="",AX274=0),"",AY274/AX274)</f>
        <v>0</v>
      </c>
      <c r="BA274" s="32">
        <f>IF(AW274=0,"",IF(AZ274="","",AZ274+ROW()/1000000))</f>
        <v>0</v>
      </c>
      <c r="BB274" s="17">
        <f>IF(Lists!$AL274="","",Lists!$AL274)</f>
        <v>0</v>
      </c>
      <c r="BC274" s="23">
        <f>IF(BB274="","",COUNTIF(Performance!$M$5:$M$404,BB274))</f>
        <v>0</v>
      </c>
      <c r="BD274" s="23">
        <f>IF(BB274="","",SUMIFS(Performance!$O$5:$O$404,Performance!$M$5:$M$404,BB274))</f>
        <v>0</v>
      </c>
      <c r="BE274" s="23">
        <f>IF(BB274="","",SUMIFS(Performance!$Z$5:$Z$404,Performance!$M$5:$M$404,BB274))</f>
        <v>0</v>
      </c>
      <c r="BF274" s="24">
        <f>IF(OR(BD274="",BD274=0),"",BE274/BD274)</f>
        <v>0</v>
      </c>
      <c r="BG274" s="32">
        <f>IF(BC274=0,"",IF(BF274="","",BF274+ROW()/1000000))</f>
        <v>0</v>
      </c>
      <c r="BH274" s="17">
        <f>IF(Performance!$C$274="","",Performance!$C$274)</f>
        <v>0</v>
      </c>
      <c r="BI274" s="17">
        <f>IF(Performance!$F$274="","",Performance!$F$274)</f>
        <v>0</v>
      </c>
      <c r="BJ274" s="17">
        <f>IF(Performance!$H$274="","",Performance!$H$274)</f>
        <v>0</v>
      </c>
      <c r="BK274" s="16">
        <f>IF(Performance!$D$274="","",Performance!$D$274)</f>
        <v>0</v>
      </c>
      <c r="BL274" s="17">
        <f>IF(Performance!$E$274="","",Performance!$E$274)</f>
        <v>0</v>
      </c>
      <c r="BM274" s="23">
        <f>IF(Performance!$O$274="","",Performance!$O$274)</f>
        <v>0</v>
      </c>
      <c r="BN274" s="24">
        <f>IF(Performance!$AA$274="","",Performance!$AA$274)</f>
        <v>0</v>
      </c>
      <c r="BO274" s="32">
        <f>IF(BH274="","",IF(BK274="","",IF(OR(BK274&lt;DashStart,BK274&gt;DashEnd),"",IF(BN274="","",BN274+ROW()/1000000))))</f>
        <v>0</v>
      </c>
      <c r="BP274" s="32">
        <f>IF(BM274="","",IF(BK274="","",IF(OR(BK274&lt;DashStart,BK274&gt;DashEnd),"",BM274+ROW()/1000000)))</f>
        <v>0</v>
      </c>
      <c r="BQ274" s="32">
        <f>IF(BH274="","",IF(BK274="","",IF(YEAR(BK274)&lt;&gt;PlanYear,"",IF(BN274="","",BN274+ROW()/1000000))))</f>
        <v>0</v>
      </c>
      <c r="BR274" s="32">
        <f>IF(BH274="","",IF(BK274="","",IF(OR(BK274&lt;RepFrom,BK274&gt;RepTo),"",IF(BN274="","",BN274+ROW()/1000000))))</f>
        <v>0</v>
      </c>
      <c r="BS274" s="32">
        <f>IF(BM274="","",IF(BK274="","",IF(YEAR(BK274)&lt;&gt;PlanYear,"",BM274+ROW()/1000000)))</f>
        <v>0</v>
      </c>
      <c r="BT274" s="17">
        <f>IF(Lists!$F274="","",Lists!$F274)</f>
        <v>0</v>
      </c>
      <c r="BU274" s="23">
        <f>IF(BT274="","",COUNTIF('Content Calendar'!$X$5:$X$604,BT274))</f>
        <v>0</v>
      </c>
      <c r="BV274" s="23">
        <f>IF(BT274="","",COUNTIFS('Content Calendar'!$X$5:$X$604,BT274,'Content Calendar'!$B$5:$B$604,"&gt;="&amp;DashStart,'Content Calendar'!$B$5:$B$604,"&lt;="&amp;DashEnd))</f>
        <v>0</v>
      </c>
      <c r="BW274" s="17">
        <f>IF(Team!$B$274="","",Team!$B$274)</f>
        <v>0</v>
      </c>
      <c r="BX274" s="23">
        <f>IF(BW274="","",COUNTIF('Content Calendar'!$W$5:$W$604,BW274))</f>
        <v>0</v>
      </c>
      <c r="BY274" s="23">
        <f>IF(BW274="","",COUNTIFS('Content Calendar'!$W$5:$W$604,BW274,'Content Calendar'!$X$5:$X$604,"&lt;&gt;Published"))</f>
        <v>0</v>
      </c>
      <c r="BZ274" s="23">
        <f>IF(BW274="","",COUNTIFS(Tasks!$C$5:$C$64,BW274,Tasks!$G$5:$G$64,"&lt;&gt;Complete"))</f>
        <v>0</v>
      </c>
      <c r="CA274" s="17">
        <f>IF(Campaigns!$B$274="","",Campaigns!$B$274)</f>
        <v>0</v>
      </c>
      <c r="CB274" s="25">
        <f>IF(Campaigns!$T$274="","",Campaigns!$T$274)</f>
        <v>0</v>
      </c>
      <c r="CC274" s="25">
        <f>IF(Campaigns!$Q$274="","",Campaigns!$Q$274)</f>
        <v>0</v>
      </c>
      <c r="CD274" s="23">
        <f>IF(Campaigns!$Y$274="","",Campaigns!$Y$274)</f>
        <v>0</v>
      </c>
      <c r="CE274" s="32">
        <f>IF(CA274="","",IF(N(CB274)&lt;=0,"",N(CB274)+ROW()/1000000))</f>
        <v>0</v>
      </c>
      <c r="CF274" s="17">
        <f>IF(Accounts!$C$274="","",Accounts!$C$274)</f>
        <v>0</v>
      </c>
      <c r="CG274" s="17">
        <f>IF(Accounts!$B$274="","",Accounts!$B$274)</f>
        <v>0</v>
      </c>
      <c r="CH274" s="23">
        <f>IF(Accounts!$J$274="","",Accounts!$J$274)</f>
        <v>0</v>
      </c>
      <c r="CI274" s="23">
        <f>IF(CF274="","",SUMIFS(Analytics!$X$5:$X$154,Analytics!$E$5:$E$154,CF274,Analytics!$B$5:$B$154,"&gt;="&amp;DashStart,Analytics!$B$5:$B$154,"&lt;="&amp;DashEnd))</f>
        <v>0</v>
      </c>
      <c r="CJ274" s="32">
        <f>IF(CH274="","",IF(CH274=0,"",CH274+ROW()/1000000))</f>
        <v>0</v>
      </c>
    </row>
    <row r="275" spans="1:88">
      <c r="A275" s="16">
        <f>IF(ROW()-4&gt;12,"",DATE(PlanYear,ROW()-4,1))</f>
        <v>0</v>
      </c>
      <c r="B275" s="16">
        <f>IF(A275="","",EOMONTH(A275,0))</f>
        <v>0</v>
      </c>
      <c r="C275" s="17">
        <f>IF(A275="","",TEXT(A275,"yyyy-mm"))</f>
        <v>0</v>
      </c>
      <c r="D275" s="17">
        <f>IF(A275="","",TEXT(A275,"mmm"))</f>
        <v>0</v>
      </c>
      <c r="E275" s="23">
        <f>IF(C275="","",COUNTIFS('Content Calendar'!$D$5:$D$604,C275))</f>
        <v>0</v>
      </c>
      <c r="F275" s="23">
        <f>IF(C275="","",COUNTIFS('Content Calendar'!$D$5:$D$604,C275,'Content Calendar'!$X$5:$X$604,"Published"))</f>
        <v>0</v>
      </c>
      <c r="G275" s="23">
        <f>IF(C275="","",SUMIFS(Analytics!$J$5:$J$154,Analytics!$C$5:$C$154,C275))</f>
        <v>0</v>
      </c>
      <c r="H275" s="23">
        <f>IF(C275="","",SUMIFS(Analytics!$K$5:$K$154,Analytics!$C$5:$C$154,C275))</f>
        <v>0</v>
      </c>
      <c r="I275" s="23">
        <f>IF(C275="","",SUMIFS(Analytics!$L$5:$L$154,Analytics!$C$5:$C$154,C275))</f>
        <v>0</v>
      </c>
      <c r="J275" s="24">
        <f>IF(OR(G275="",G275=0),"",I275/G275)</f>
        <v>0</v>
      </c>
      <c r="K275" s="23">
        <f>IF(C275="","",SUMIFS(Analytics!$G$5:$G$154,Analytics!$C$5:$C$154,C275))</f>
        <v>0</v>
      </c>
      <c r="L275" s="23">
        <f>IF(C275="","",SUMIFS(Analytics!$X$5:$X$154,Analytics!$C$5:$C$154,C275))</f>
        <v>0</v>
      </c>
      <c r="M275" s="23">
        <f>IF(C275="","",SUMIFS(Analytics!$R$5:$R$154,Analytics!$C$5:$C$154,C275))</f>
        <v>0</v>
      </c>
      <c r="N275" s="23">
        <f>IF(C275="","",SUMIFS(Analytics!$S$5:$S$154,Analytics!$C$5:$C$154,C275))</f>
        <v>0</v>
      </c>
      <c r="O275" s="23">
        <f>IF(C275="","",SUMIFS(Analytics!$T$5:$T$154,Analytics!$C$5:$C$154,C275))</f>
        <v>0</v>
      </c>
      <c r="P275" s="25">
        <f>IF(C275="","",SUMIFS(Analytics!$U$5:$U$154,Analytics!$C$5:$C$154,C275))</f>
        <v>0</v>
      </c>
      <c r="Q275" s="25">
        <f>IF(C275="","",SUMIFS(Budget!$H$5:$H$64,Budget!$C$5:$C$64,C275))</f>
        <v>0</v>
      </c>
      <c r="R275" s="25">
        <f>IF(C275="","",P275-Q275)</f>
        <v>0</v>
      </c>
      <c r="S275" s="23">
        <f>IF(C275="","",MonthlyPostTarget)</f>
        <v>0</v>
      </c>
      <c r="T275" s="17">
        <f>IF(Lists!$C275="","",Lists!$C275)</f>
        <v>0</v>
      </c>
      <c r="U275" s="23">
        <f>IF(T275="","",COUNTIFS('Content Calendar'!$G$5:$G$604,T275,'Content Calendar'!$B$5:$B$604,"&gt;="&amp;DashStart,'Content Calendar'!$B$5:$B$604,"&lt;="&amp;DashEnd))</f>
        <v>0</v>
      </c>
      <c r="V275" s="23">
        <f>IF(T275="","",COUNTIFS('Content Calendar'!$G$5:$G$604,T275,'Content Calendar'!$X$5:$X$604,"Published",'Content Calendar'!$B$5:$B$604,"&gt;="&amp;DashStart,'Content Calendar'!$B$5:$B$604,"&lt;="&amp;DashEnd))</f>
        <v>0</v>
      </c>
      <c r="W275" s="23">
        <f>IF(T275="","",SUMIFS(Analytics!$J$5:$J$154,Analytics!$D$5:$D$154,T275,Analytics!$B$5:$B$154,"&gt;="&amp;DashStart,Analytics!$B$5:$B$154,"&lt;="&amp;DashEnd))</f>
        <v>0</v>
      </c>
      <c r="X275" s="23">
        <f>IF(T275="","",SUMIFS(Analytics!$L$5:$L$154,Analytics!$D$5:$D$154,T275,Analytics!$B$5:$B$154,"&gt;="&amp;DashStart,Analytics!$B$5:$B$154,"&lt;="&amp;DashEnd))</f>
        <v>0</v>
      </c>
      <c r="Y275" s="24">
        <f>IF(OR(W275="",W275=0),"",X275/W275)</f>
        <v>0</v>
      </c>
      <c r="Z275" s="23">
        <f>IF(T275="","",SUMIFS(Analytics!$G$5:$G$154,Analytics!$D$5:$D$154,T275,Analytics!$B$5:$B$154,"&gt;="&amp;DashStart,Analytics!$B$5:$B$154,"&lt;="&amp;DashEnd))</f>
        <v>0</v>
      </c>
      <c r="AA275" s="23">
        <f>IF(T275="","",SUMIFS(Analytics!$X$5:$X$154,Analytics!$D$5:$D$154,T275,Analytics!$B$5:$B$154,"&gt;="&amp;DashStart,Analytics!$B$5:$B$154,"&lt;="&amp;DashEnd))</f>
        <v>0</v>
      </c>
      <c r="AB275" s="23">
        <f>IF(T275="","",SUMIFS(Analytics!$R$5:$R$154,Analytics!$D$5:$D$154,T275,Analytics!$B$5:$B$154,"&gt;="&amp;DashStart,Analytics!$B$5:$B$154,"&lt;="&amp;DashEnd))</f>
        <v>0</v>
      </c>
      <c r="AC275" s="25">
        <f>IF(T275="","",SUMIFS(Analytics!$U$5:$U$154,Analytics!$D$5:$D$154,T275,Analytics!$B$5:$B$154,"&gt;="&amp;DashStart,Analytics!$B$5:$B$154,"&lt;="&amp;DashEnd))</f>
        <v>0</v>
      </c>
      <c r="AD275" s="23">
        <f>IF(T275="","",COUNTIFS('Content Calendar'!$G$5:$G$604,T275,'Content Calendar'!$B$5:$B$604,"&gt;="&amp;DATE(PlanYear,1,1),'Content Calendar'!$B$5:$B$604,"&lt;="&amp;DATE(PlanYear,12,31)))</f>
        <v>0</v>
      </c>
      <c r="AE275" s="23">
        <f>IF(T275="","",SUMIFS(Analytics!$J$5:$J$154,Analytics!$D$5:$D$154,T275))</f>
        <v>0</v>
      </c>
      <c r="AF275" s="23">
        <f>IF(T275="","",SUMIFS(Analytics!$L$5:$L$154,Analytics!$D$5:$D$154,T275))</f>
        <v>0</v>
      </c>
      <c r="AG275" s="24">
        <f>IF(OR(AE275="",AE275=0),"",AF275/AE275)</f>
        <v>0</v>
      </c>
      <c r="AH275" s="23">
        <f>IF(T275="","",SUMIFS(Analytics!$X$5:$X$154,Analytics!$D$5:$D$154,T275))</f>
        <v>0</v>
      </c>
      <c r="AI275" s="32">
        <f>IF(T275="","",IF(AE275=0,"",AE275+ROW()/1000000))</f>
        <v>0</v>
      </c>
      <c r="AJ275" s="17">
        <f>IF('Content Pillars'!$B$275="","",'Content Pillars'!$B$275)</f>
        <v>0</v>
      </c>
      <c r="AK275" s="23">
        <f>IF(AJ275="","",COUNTIFS('Content Calendar'!$J$5:$J$604,AJ275,'Content Calendar'!$B$5:$B$604,"&gt;="&amp;DATE(PlanYear,1,1),'Content Calendar'!$B$5:$B$604,"&lt;="&amp;DATE(PlanYear,12,31)))</f>
        <v>0</v>
      </c>
      <c r="AL275" s="23">
        <f>IF(AJ275="","",SUMIFS(Performance!$O$5:$O$404,Performance!$H$5:$H$404,AJ275))</f>
        <v>0</v>
      </c>
      <c r="AM275" s="23">
        <f>IF(AJ275="","",SUMIFS(Performance!$Z$5:$Z$404,Performance!$H$5:$H$404,AJ275))</f>
        <v>0</v>
      </c>
      <c r="AN275" s="24">
        <f>IF(OR(AL275="",AL275=0),"",AM275/AL275)</f>
        <v>0</v>
      </c>
      <c r="AO275" s="32">
        <f>IF(AN275="","",AN275+ROW()/1000000)</f>
        <v>0</v>
      </c>
      <c r="AP275" s="17">
        <f>IF(Lists!$E275="","",Lists!$E275)</f>
        <v>0</v>
      </c>
      <c r="AQ275" s="23">
        <f>IF(AP275="","",COUNTIF(Performance!$G$5:$G$404,AP275))</f>
        <v>0</v>
      </c>
      <c r="AR275" s="23">
        <f>IF(AP275="","",SUMIFS(Performance!$O$5:$O$404,Performance!$G$5:$G$404,AP275))</f>
        <v>0</v>
      </c>
      <c r="AS275" s="23">
        <f>IF(AP275="","",SUMIFS(Performance!$Z$5:$Z$404,Performance!$G$5:$G$404,AP275))</f>
        <v>0</v>
      </c>
      <c r="AT275" s="24">
        <f>IF(OR(AR275="",AR275=0),"",AS275/AR275)</f>
        <v>0</v>
      </c>
      <c r="AU275" s="32">
        <f>IF(AQ275=0,"",IF(AT275="","",AT275+ROW()/1000000))</f>
        <v>0</v>
      </c>
      <c r="AV275" s="17">
        <f>IF(ROW()-4&gt;7,"",TEXT(DATE(2024,1,ROW()-4),"ddd"))</f>
        <v>0</v>
      </c>
      <c r="AW275" s="23">
        <f>IF(AV275="","",COUNTIF(Performance!$N$5:$N$404,AV275))</f>
        <v>0</v>
      </c>
      <c r="AX275" s="23">
        <f>IF(AV275="","",SUMIFS(Performance!$O$5:$O$404,Performance!$N$5:$N$404,AV275))</f>
        <v>0</v>
      </c>
      <c r="AY275" s="23">
        <f>IF(AV275="","",SUMIFS(Performance!$Z$5:$Z$404,Performance!$N$5:$N$404,AV275))</f>
        <v>0</v>
      </c>
      <c r="AZ275" s="24">
        <f>IF(OR(AX275="",AX275=0),"",AY275/AX275)</f>
        <v>0</v>
      </c>
      <c r="BA275" s="32">
        <f>IF(AW275=0,"",IF(AZ275="","",AZ275+ROW()/1000000))</f>
        <v>0</v>
      </c>
      <c r="BB275" s="17">
        <f>IF(Lists!$AL275="","",Lists!$AL275)</f>
        <v>0</v>
      </c>
      <c r="BC275" s="23">
        <f>IF(BB275="","",COUNTIF(Performance!$M$5:$M$404,BB275))</f>
        <v>0</v>
      </c>
      <c r="BD275" s="23">
        <f>IF(BB275="","",SUMIFS(Performance!$O$5:$O$404,Performance!$M$5:$M$404,BB275))</f>
        <v>0</v>
      </c>
      <c r="BE275" s="23">
        <f>IF(BB275="","",SUMIFS(Performance!$Z$5:$Z$404,Performance!$M$5:$M$404,BB275))</f>
        <v>0</v>
      </c>
      <c r="BF275" s="24">
        <f>IF(OR(BD275="",BD275=0),"",BE275/BD275)</f>
        <v>0</v>
      </c>
      <c r="BG275" s="32">
        <f>IF(BC275=0,"",IF(BF275="","",BF275+ROW()/1000000))</f>
        <v>0</v>
      </c>
      <c r="BH275" s="17">
        <f>IF(Performance!$C$275="","",Performance!$C$275)</f>
        <v>0</v>
      </c>
      <c r="BI275" s="17">
        <f>IF(Performance!$F$275="","",Performance!$F$275)</f>
        <v>0</v>
      </c>
      <c r="BJ275" s="17">
        <f>IF(Performance!$H$275="","",Performance!$H$275)</f>
        <v>0</v>
      </c>
      <c r="BK275" s="16">
        <f>IF(Performance!$D$275="","",Performance!$D$275)</f>
        <v>0</v>
      </c>
      <c r="BL275" s="17">
        <f>IF(Performance!$E$275="","",Performance!$E$275)</f>
        <v>0</v>
      </c>
      <c r="BM275" s="23">
        <f>IF(Performance!$O$275="","",Performance!$O$275)</f>
        <v>0</v>
      </c>
      <c r="BN275" s="24">
        <f>IF(Performance!$AA$275="","",Performance!$AA$275)</f>
        <v>0</v>
      </c>
      <c r="BO275" s="32">
        <f>IF(BH275="","",IF(BK275="","",IF(OR(BK275&lt;DashStart,BK275&gt;DashEnd),"",IF(BN275="","",BN275+ROW()/1000000))))</f>
        <v>0</v>
      </c>
      <c r="BP275" s="32">
        <f>IF(BM275="","",IF(BK275="","",IF(OR(BK275&lt;DashStart,BK275&gt;DashEnd),"",BM275+ROW()/1000000)))</f>
        <v>0</v>
      </c>
      <c r="BQ275" s="32">
        <f>IF(BH275="","",IF(BK275="","",IF(YEAR(BK275)&lt;&gt;PlanYear,"",IF(BN275="","",BN275+ROW()/1000000))))</f>
        <v>0</v>
      </c>
      <c r="BR275" s="32">
        <f>IF(BH275="","",IF(BK275="","",IF(OR(BK275&lt;RepFrom,BK275&gt;RepTo),"",IF(BN275="","",BN275+ROW()/1000000))))</f>
        <v>0</v>
      </c>
      <c r="BS275" s="32">
        <f>IF(BM275="","",IF(BK275="","",IF(YEAR(BK275)&lt;&gt;PlanYear,"",BM275+ROW()/1000000)))</f>
        <v>0</v>
      </c>
      <c r="BT275" s="17">
        <f>IF(Lists!$F275="","",Lists!$F275)</f>
        <v>0</v>
      </c>
      <c r="BU275" s="23">
        <f>IF(BT275="","",COUNTIF('Content Calendar'!$X$5:$X$604,BT275))</f>
        <v>0</v>
      </c>
      <c r="BV275" s="23">
        <f>IF(BT275="","",COUNTIFS('Content Calendar'!$X$5:$X$604,BT275,'Content Calendar'!$B$5:$B$604,"&gt;="&amp;DashStart,'Content Calendar'!$B$5:$B$604,"&lt;="&amp;DashEnd))</f>
        <v>0</v>
      </c>
      <c r="BW275" s="17">
        <f>IF(Team!$B$275="","",Team!$B$275)</f>
        <v>0</v>
      </c>
      <c r="BX275" s="23">
        <f>IF(BW275="","",COUNTIF('Content Calendar'!$W$5:$W$604,BW275))</f>
        <v>0</v>
      </c>
      <c r="BY275" s="23">
        <f>IF(BW275="","",COUNTIFS('Content Calendar'!$W$5:$W$604,BW275,'Content Calendar'!$X$5:$X$604,"&lt;&gt;Published"))</f>
        <v>0</v>
      </c>
      <c r="BZ275" s="23">
        <f>IF(BW275="","",COUNTIFS(Tasks!$C$5:$C$64,BW275,Tasks!$G$5:$G$64,"&lt;&gt;Complete"))</f>
        <v>0</v>
      </c>
      <c r="CA275" s="17">
        <f>IF(Campaigns!$B$275="","",Campaigns!$B$275)</f>
        <v>0</v>
      </c>
      <c r="CB275" s="25">
        <f>IF(Campaigns!$T$275="","",Campaigns!$T$275)</f>
        <v>0</v>
      </c>
      <c r="CC275" s="25">
        <f>IF(Campaigns!$Q$275="","",Campaigns!$Q$275)</f>
        <v>0</v>
      </c>
      <c r="CD275" s="23">
        <f>IF(Campaigns!$Y$275="","",Campaigns!$Y$275)</f>
        <v>0</v>
      </c>
      <c r="CE275" s="32">
        <f>IF(CA275="","",IF(N(CB275)&lt;=0,"",N(CB275)+ROW()/1000000))</f>
        <v>0</v>
      </c>
      <c r="CF275" s="17">
        <f>IF(Accounts!$C$275="","",Accounts!$C$275)</f>
        <v>0</v>
      </c>
      <c r="CG275" s="17">
        <f>IF(Accounts!$B$275="","",Accounts!$B$275)</f>
        <v>0</v>
      </c>
      <c r="CH275" s="23">
        <f>IF(Accounts!$J$275="","",Accounts!$J$275)</f>
        <v>0</v>
      </c>
      <c r="CI275" s="23">
        <f>IF(CF275="","",SUMIFS(Analytics!$X$5:$X$154,Analytics!$E$5:$E$154,CF275,Analytics!$B$5:$B$154,"&gt;="&amp;DashStart,Analytics!$B$5:$B$154,"&lt;="&amp;DashEnd))</f>
        <v>0</v>
      </c>
      <c r="CJ275" s="32">
        <f>IF(CH275="","",IF(CH275=0,"",CH275+ROW()/1000000))</f>
        <v>0</v>
      </c>
    </row>
    <row r="276" spans="1:88">
      <c r="A276" s="16">
        <f>IF(ROW()-4&gt;12,"",DATE(PlanYear,ROW()-4,1))</f>
        <v>0</v>
      </c>
      <c r="B276" s="16">
        <f>IF(A276="","",EOMONTH(A276,0))</f>
        <v>0</v>
      </c>
      <c r="C276" s="17">
        <f>IF(A276="","",TEXT(A276,"yyyy-mm"))</f>
        <v>0</v>
      </c>
      <c r="D276" s="17">
        <f>IF(A276="","",TEXT(A276,"mmm"))</f>
        <v>0</v>
      </c>
      <c r="E276" s="23">
        <f>IF(C276="","",COUNTIFS('Content Calendar'!$D$5:$D$604,C276))</f>
        <v>0</v>
      </c>
      <c r="F276" s="23">
        <f>IF(C276="","",COUNTIFS('Content Calendar'!$D$5:$D$604,C276,'Content Calendar'!$X$5:$X$604,"Published"))</f>
        <v>0</v>
      </c>
      <c r="G276" s="23">
        <f>IF(C276="","",SUMIFS(Analytics!$J$5:$J$154,Analytics!$C$5:$C$154,C276))</f>
        <v>0</v>
      </c>
      <c r="H276" s="23">
        <f>IF(C276="","",SUMIFS(Analytics!$K$5:$K$154,Analytics!$C$5:$C$154,C276))</f>
        <v>0</v>
      </c>
      <c r="I276" s="23">
        <f>IF(C276="","",SUMIFS(Analytics!$L$5:$L$154,Analytics!$C$5:$C$154,C276))</f>
        <v>0</v>
      </c>
      <c r="J276" s="24">
        <f>IF(OR(G276="",G276=0),"",I276/G276)</f>
        <v>0</v>
      </c>
      <c r="K276" s="23">
        <f>IF(C276="","",SUMIFS(Analytics!$G$5:$G$154,Analytics!$C$5:$C$154,C276))</f>
        <v>0</v>
      </c>
      <c r="L276" s="23">
        <f>IF(C276="","",SUMIFS(Analytics!$X$5:$X$154,Analytics!$C$5:$C$154,C276))</f>
        <v>0</v>
      </c>
      <c r="M276" s="23">
        <f>IF(C276="","",SUMIFS(Analytics!$R$5:$R$154,Analytics!$C$5:$C$154,C276))</f>
        <v>0</v>
      </c>
      <c r="N276" s="23">
        <f>IF(C276="","",SUMIFS(Analytics!$S$5:$S$154,Analytics!$C$5:$C$154,C276))</f>
        <v>0</v>
      </c>
      <c r="O276" s="23">
        <f>IF(C276="","",SUMIFS(Analytics!$T$5:$T$154,Analytics!$C$5:$C$154,C276))</f>
        <v>0</v>
      </c>
      <c r="P276" s="25">
        <f>IF(C276="","",SUMIFS(Analytics!$U$5:$U$154,Analytics!$C$5:$C$154,C276))</f>
        <v>0</v>
      </c>
      <c r="Q276" s="25">
        <f>IF(C276="","",SUMIFS(Budget!$H$5:$H$64,Budget!$C$5:$C$64,C276))</f>
        <v>0</v>
      </c>
      <c r="R276" s="25">
        <f>IF(C276="","",P276-Q276)</f>
        <v>0</v>
      </c>
      <c r="S276" s="23">
        <f>IF(C276="","",MonthlyPostTarget)</f>
        <v>0</v>
      </c>
      <c r="T276" s="17">
        <f>IF(Lists!$C276="","",Lists!$C276)</f>
        <v>0</v>
      </c>
      <c r="U276" s="23">
        <f>IF(T276="","",COUNTIFS('Content Calendar'!$G$5:$G$604,T276,'Content Calendar'!$B$5:$B$604,"&gt;="&amp;DashStart,'Content Calendar'!$B$5:$B$604,"&lt;="&amp;DashEnd))</f>
        <v>0</v>
      </c>
      <c r="V276" s="23">
        <f>IF(T276="","",COUNTIFS('Content Calendar'!$G$5:$G$604,T276,'Content Calendar'!$X$5:$X$604,"Published",'Content Calendar'!$B$5:$B$604,"&gt;="&amp;DashStart,'Content Calendar'!$B$5:$B$604,"&lt;="&amp;DashEnd))</f>
        <v>0</v>
      </c>
      <c r="W276" s="23">
        <f>IF(T276="","",SUMIFS(Analytics!$J$5:$J$154,Analytics!$D$5:$D$154,T276,Analytics!$B$5:$B$154,"&gt;="&amp;DashStart,Analytics!$B$5:$B$154,"&lt;="&amp;DashEnd))</f>
        <v>0</v>
      </c>
      <c r="X276" s="23">
        <f>IF(T276="","",SUMIFS(Analytics!$L$5:$L$154,Analytics!$D$5:$D$154,T276,Analytics!$B$5:$B$154,"&gt;="&amp;DashStart,Analytics!$B$5:$B$154,"&lt;="&amp;DashEnd))</f>
        <v>0</v>
      </c>
      <c r="Y276" s="24">
        <f>IF(OR(W276="",W276=0),"",X276/W276)</f>
        <v>0</v>
      </c>
      <c r="Z276" s="23">
        <f>IF(T276="","",SUMIFS(Analytics!$G$5:$G$154,Analytics!$D$5:$D$154,T276,Analytics!$B$5:$B$154,"&gt;="&amp;DashStart,Analytics!$B$5:$B$154,"&lt;="&amp;DashEnd))</f>
        <v>0</v>
      </c>
      <c r="AA276" s="23">
        <f>IF(T276="","",SUMIFS(Analytics!$X$5:$X$154,Analytics!$D$5:$D$154,T276,Analytics!$B$5:$B$154,"&gt;="&amp;DashStart,Analytics!$B$5:$B$154,"&lt;="&amp;DashEnd))</f>
        <v>0</v>
      </c>
      <c r="AB276" s="23">
        <f>IF(T276="","",SUMIFS(Analytics!$R$5:$R$154,Analytics!$D$5:$D$154,T276,Analytics!$B$5:$B$154,"&gt;="&amp;DashStart,Analytics!$B$5:$B$154,"&lt;="&amp;DashEnd))</f>
        <v>0</v>
      </c>
      <c r="AC276" s="25">
        <f>IF(T276="","",SUMIFS(Analytics!$U$5:$U$154,Analytics!$D$5:$D$154,T276,Analytics!$B$5:$B$154,"&gt;="&amp;DashStart,Analytics!$B$5:$B$154,"&lt;="&amp;DashEnd))</f>
        <v>0</v>
      </c>
      <c r="AD276" s="23">
        <f>IF(T276="","",COUNTIFS('Content Calendar'!$G$5:$G$604,T276,'Content Calendar'!$B$5:$B$604,"&gt;="&amp;DATE(PlanYear,1,1),'Content Calendar'!$B$5:$B$604,"&lt;="&amp;DATE(PlanYear,12,31)))</f>
        <v>0</v>
      </c>
      <c r="AE276" s="23">
        <f>IF(T276="","",SUMIFS(Analytics!$J$5:$J$154,Analytics!$D$5:$D$154,T276))</f>
        <v>0</v>
      </c>
      <c r="AF276" s="23">
        <f>IF(T276="","",SUMIFS(Analytics!$L$5:$L$154,Analytics!$D$5:$D$154,T276))</f>
        <v>0</v>
      </c>
      <c r="AG276" s="24">
        <f>IF(OR(AE276="",AE276=0),"",AF276/AE276)</f>
        <v>0</v>
      </c>
      <c r="AH276" s="23">
        <f>IF(T276="","",SUMIFS(Analytics!$X$5:$X$154,Analytics!$D$5:$D$154,T276))</f>
        <v>0</v>
      </c>
      <c r="AI276" s="32">
        <f>IF(T276="","",IF(AE276=0,"",AE276+ROW()/1000000))</f>
        <v>0</v>
      </c>
      <c r="AJ276" s="17">
        <f>IF('Content Pillars'!$B$276="","",'Content Pillars'!$B$276)</f>
        <v>0</v>
      </c>
      <c r="AK276" s="23">
        <f>IF(AJ276="","",COUNTIFS('Content Calendar'!$J$5:$J$604,AJ276,'Content Calendar'!$B$5:$B$604,"&gt;="&amp;DATE(PlanYear,1,1),'Content Calendar'!$B$5:$B$604,"&lt;="&amp;DATE(PlanYear,12,31)))</f>
        <v>0</v>
      </c>
      <c r="AL276" s="23">
        <f>IF(AJ276="","",SUMIFS(Performance!$O$5:$O$404,Performance!$H$5:$H$404,AJ276))</f>
        <v>0</v>
      </c>
      <c r="AM276" s="23">
        <f>IF(AJ276="","",SUMIFS(Performance!$Z$5:$Z$404,Performance!$H$5:$H$404,AJ276))</f>
        <v>0</v>
      </c>
      <c r="AN276" s="24">
        <f>IF(OR(AL276="",AL276=0),"",AM276/AL276)</f>
        <v>0</v>
      </c>
      <c r="AO276" s="32">
        <f>IF(AN276="","",AN276+ROW()/1000000)</f>
        <v>0</v>
      </c>
      <c r="AP276" s="17">
        <f>IF(Lists!$E276="","",Lists!$E276)</f>
        <v>0</v>
      </c>
      <c r="AQ276" s="23">
        <f>IF(AP276="","",COUNTIF(Performance!$G$5:$G$404,AP276))</f>
        <v>0</v>
      </c>
      <c r="AR276" s="23">
        <f>IF(AP276="","",SUMIFS(Performance!$O$5:$O$404,Performance!$G$5:$G$404,AP276))</f>
        <v>0</v>
      </c>
      <c r="AS276" s="23">
        <f>IF(AP276="","",SUMIFS(Performance!$Z$5:$Z$404,Performance!$G$5:$G$404,AP276))</f>
        <v>0</v>
      </c>
      <c r="AT276" s="24">
        <f>IF(OR(AR276="",AR276=0),"",AS276/AR276)</f>
        <v>0</v>
      </c>
      <c r="AU276" s="32">
        <f>IF(AQ276=0,"",IF(AT276="","",AT276+ROW()/1000000))</f>
        <v>0</v>
      </c>
      <c r="AV276" s="17">
        <f>IF(ROW()-4&gt;7,"",TEXT(DATE(2024,1,ROW()-4),"ddd"))</f>
        <v>0</v>
      </c>
      <c r="AW276" s="23">
        <f>IF(AV276="","",COUNTIF(Performance!$N$5:$N$404,AV276))</f>
        <v>0</v>
      </c>
      <c r="AX276" s="23">
        <f>IF(AV276="","",SUMIFS(Performance!$O$5:$O$404,Performance!$N$5:$N$404,AV276))</f>
        <v>0</v>
      </c>
      <c r="AY276" s="23">
        <f>IF(AV276="","",SUMIFS(Performance!$Z$5:$Z$404,Performance!$N$5:$N$404,AV276))</f>
        <v>0</v>
      </c>
      <c r="AZ276" s="24">
        <f>IF(OR(AX276="",AX276=0),"",AY276/AX276)</f>
        <v>0</v>
      </c>
      <c r="BA276" s="32">
        <f>IF(AW276=0,"",IF(AZ276="","",AZ276+ROW()/1000000))</f>
        <v>0</v>
      </c>
      <c r="BB276" s="17">
        <f>IF(Lists!$AL276="","",Lists!$AL276)</f>
        <v>0</v>
      </c>
      <c r="BC276" s="23">
        <f>IF(BB276="","",COUNTIF(Performance!$M$5:$M$404,BB276))</f>
        <v>0</v>
      </c>
      <c r="BD276" s="23">
        <f>IF(BB276="","",SUMIFS(Performance!$O$5:$O$404,Performance!$M$5:$M$404,BB276))</f>
        <v>0</v>
      </c>
      <c r="BE276" s="23">
        <f>IF(BB276="","",SUMIFS(Performance!$Z$5:$Z$404,Performance!$M$5:$M$404,BB276))</f>
        <v>0</v>
      </c>
      <c r="BF276" s="24">
        <f>IF(OR(BD276="",BD276=0),"",BE276/BD276)</f>
        <v>0</v>
      </c>
      <c r="BG276" s="32">
        <f>IF(BC276=0,"",IF(BF276="","",BF276+ROW()/1000000))</f>
        <v>0</v>
      </c>
      <c r="BH276" s="17">
        <f>IF(Performance!$C$276="","",Performance!$C$276)</f>
        <v>0</v>
      </c>
      <c r="BI276" s="17">
        <f>IF(Performance!$F$276="","",Performance!$F$276)</f>
        <v>0</v>
      </c>
      <c r="BJ276" s="17">
        <f>IF(Performance!$H$276="","",Performance!$H$276)</f>
        <v>0</v>
      </c>
      <c r="BK276" s="16">
        <f>IF(Performance!$D$276="","",Performance!$D$276)</f>
        <v>0</v>
      </c>
      <c r="BL276" s="17">
        <f>IF(Performance!$E$276="","",Performance!$E$276)</f>
        <v>0</v>
      </c>
      <c r="BM276" s="23">
        <f>IF(Performance!$O$276="","",Performance!$O$276)</f>
        <v>0</v>
      </c>
      <c r="BN276" s="24">
        <f>IF(Performance!$AA$276="","",Performance!$AA$276)</f>
        <v>0</v>
      </c>
      <c r="BO276" s="32">
        <f>IF(BH276="","",IF(BK276="","",IF(OR(BK276&lt;DashStart,BK276&gt;DashEnd),"",IF(BN276="","",BN276+ROW()/1000000))))</f>
        <v>0</v>
      </c>
      <c r="BP276" s="32">
        <f>IF(BM276="","",IF(BK276="","",IF(OR(BK276&lt;DashStart,BK276&gt;DashEnd),"",BM276+ROW()/1000000)))</f>
        <v>0</v>
      </c>
      <c r="BQ276" s="32">
        <f>IF(BH276="","",IF(BK276="","",IF(YEAR(BK276)&lt;&gt;PlanYear,"",IF(BN276="","",BN276+ROW()/1000000))))</f>
        <v>0</v>
      </c>
      <c r="BR276" s="32">
        <f>IF(BH276="","",IF(BK276="","",IF(OR(BK276&lt;RepFrom,BK276&gt;RepTo),"",IF(BN276="","",BN276+ROW()/1000000))))</f>
        <v>0</v>
      </c>
      <c r="BS276" s="32">
        <f>IF(BM276="","",IF(BK276="","",IF(YEAR(BK276)&lt;&gt;PlanYear,"",BM276+ROW()/1000000)))</f>
        <v>0</v>
      </c>
      <c r="BT276" s="17">
        <f>IF(Lists!$F276="","",Lists!$F276)</f>
        <v>0</v>
      </c>
      <c r="BU276" s="23">
        <f>IF(BT276="","",COUNTIF('Content Calendar'!$X$5:$X$604,BT276))</f>
        <v>0</v>
      </c>
      <c r="BV276" s="23">
        <f>IF(BT276="","",COUNTIFS('Content Calendar'!$X$5:$X$604,BT276,'Content Calendar'!$B$5:$B$604,"&gt;="&amp;DashStart,'Content Calendar'!$B$5:$B$604,"&lt;="&amp;DashEnd))</f>
        <v>0</v>
      </c>
      <c r="BW276" s="17">
        <f>IF(Team!$B$276="","",Team!$B$276)</f>
        <v>0</v>
      </c>
      <c r="BX276" s="23">
        <f>IF(BW276="","",COUNTIF('Content Calendar'!$W$5:$W$604,BW276))</f>
        <v>0</v>
      </c>
      <c r="BY276" s="23">
        <f>IF(BW276="","",COUNTIFS('Content Calendar'!$W$5:$W$604,BW276,'Content Calendar'!$X$5:$X$604,"&lt;&gt;Published"))</f>
        <v>0</v>
      </c>
      <c r="BZ276" s="23">
        <f>IF(BW276="","",COUNTIFS(Tasks!$C$5:$C$64,BW276,Tasks!$G$5:$G$64,"&lt;&gt;Complete"))</f>
        <v>0</v>
      </c>
      <c r="CA276" s="17">
        <f>IF(Campaigns!$B$276="","",Campaigns!$B$276)</f>
        <v>0</v>
      </c>
      <c r="CB276" s="25">
        <f>IF(Campaigns!$T$276="","",Campaigns!$T$276)</f>
        <v>0</v>
      </c>
      <c r="CC276" s="25">
        <f>IF(Campaigns!$Q$276="","",Campaigns!$Q$276)</f>
        <v>0</v>
      </c>
      <c r="CD276" s="23">
        <f>IF(Campaigns!$Y$276="","",Campaigns!$Y$276)</f>
        <v>0</v>
      </c>
      <c r="CE276" s="32">
        <f>IF(CA276="","",IF(N(CB276)&lt;=0,"",N(CB276)+ROW()/1000000))</f>
        <v>0</v>
      </c>
      <c r="CF276" s="17">
        <f>IF(Accounts!$C$276="","",Accounts!$C$276)</f>
        <v>0</v>
      </c>
      <c r="CG276" s="17">
        <f>IF(Accounts!$B$276="","",Accounts!$B$276)</f>
        <v>0</v>
      </c>
      <c r="CH276" s="23">
        <f>IF(Accounts!$J$276="","",Accounts!$J$276)</f>
        <v>0</v>
      </c>
      <c r="CI276" s="23">
        <f>IF(CF276="","",SUMIFS(Analytics!$X$5:$X$154,Analytics!$E$5:$E$154,CF276,Analytics!$B$5:$B$154,"&gt;="&amp;DashStart,Analytics!$B$5:$B$154,"&lt;="&amp;DashEnd))</f>
        <v>0</v>
      </c>
      <c r="CJ276" s="32">
        <f>IF(CH276="","",IF(CH276=0,"",CH276+ROW()/1000000))</f>
        <v>0</v>
      </c>
    </row>
    <row r="277" spans="1:88">
      <c r="A277" s="16">
        <f>IF(ROW()-4&gt;12,"",DATE(PlanYear,ROW()-4,1))</f>
        <v>0</v>
      </c>
      <c r="B277" s="16">
        <f>IF(A277="","",EOMONTH(A277,0))</f>
        <v>0</v>
      </c>
      <c r="C277" s="17">
        <f>IF(A277="","",TEXT(A277,"yyyy-mm"))</f>
        <v>0</v>
      </c>
      <c r="D277" s="17">
        <f>IF(A277="","",TEXT(A277,"mmm"))</f>
        <v>0</v>
      </c>
      <c r="E277" s="23">
        <f>IF(C277="","",COUNTIFS('Content Calendar'!$D$5:$D$604,C277))</f>
        <v>0</v>
      </c>
      <c r="F277" s="23">
        <f>IF(C277="","",COUNTIFS('Content Calendar'!$D$5:$D$604,C277,'Content Calendar'!$X$5:$X$604,"Published"))</f>
        <v>0</v>
      </c>
      <c r="G277" s="23">
        <f>IF(C277="","",SUMIFS(Analytics!$J$5:$J$154,Analytics!$C$5:$C$154,C277))</f>
        <v>0</v>
      </c>
      <c r="H277" s="23">
        <f>IF(C277="","",SUMIFS(Analytics!$K$5:$K$154,Analytics!$C$5:$C$154,C277))</f>
        <v>0</v>
      </c>
      <c r="I277" s="23">
        <f>IF(C277="","",SUMIFS(Analytics!$L$5:$L$154,Analytics!$C$5:$C$154,C277))</f>
        <v>0</v>
      </c>
      <c r="J277" s="24">
        <f>IF(OR(G277="",G277=0),"",I277/G277)</f>
        <v>0</v>
      </c>
      <c r="K277" s="23">
        <f>IF(C277="","",SUMIFS(Analytics!$G$5:$G$154,Analytics!$C$5:$C$154,C277))</f>
        <v>0</v>
      </c>
      <c r="L277" s="23">
        <f>IF(C277="","",SUMIFS(Analytics!$X$5:$X$154,Analytics!$C$5:$C$154,C277))</f>
        <v>0</v>
      </c>
      <c r="M277" s="23">
        <f>IF(C277="","",SUMIFS(Analytics!$R$5:$R$154,Analytics!$C$5:$C$154,C277))</f>
        <v>0</v>
      </c>
      <c r="N277" s="23">
        <f>IF(C277="","",SUMIFS(Analytics!$S$5:$S$154,Analytics!$C$5:$C$154,C277))</f>
        <v>0</v>
      </c>
      <c r="O277" s="23">
        <f>IF(C277="","",SUMIFS(Analytics!$T$5:$T$154,Analytics!$C$5:$C$154,C277))</f>
        <v>0</v>
      </c>
      <c r="P277" s="25">
        <f>IF(C277="","",SUMIFS(Analytics!$U$5:$U$154,Analytics!$C$5:$C$154,C277))</f>
        <v>0</v>
      </c>
      <c r="Q277" s="25">
        <f>IF(C277="","",SUMIFS(Budget!$H$5:$H$64,Budget!$C$5:$C$64,C277))</f>
        <v>0</v>
      </c>
      <c r="R277" s="25">
        <f>IF(C277="","",P277-Q277)</f>
        <v>0</v>
      </c>
      <c r="S277" s="23">
        <f>IF(C277="","",MonthlyPostTarget)</f>
        <v>0</v>
      </c>
      <c r="T277" s="17">
        <f>IF(Lists!$C277="","",Lists!$C277)</f>
        <v>0</v>
      </c>
      <c r="U277" s="23">
        <f>IF(T277="","",COUNTIFS('Content Calendar'!$G$5:$G$604,T277,'Content Calendar'!$B$5:$B$604,"&gt;="&amp;DashStart,'Content Calendar'!$B$5:$B$604,"&lt;="&amp;DashEnd))</f>
        <v>0</v>
      </c>
      <c r="V277" s="23">
        <f>IF(T277="","",COUNTIFS('Content Calendar'!$G$5:$G$604,T277,'Content Calendar'!$X$5:$X$604,"Published",'Content Calendar'!$B$5:$B$604,"&gt;="&amp;DashStart,'Content Calendar'!$B$5:$B$604,"&lt;="&amp;DashEnd))</f>
        <v>0</v>
      </c>
      <c r="W277" s="23">
        <f>IF(T277="","",SUMIFS(Analytics!$J$5:$J$154,Analytics!$D$5:$D$154,T277,Analytics!$B$5:$B$154,"&gt;="&amp;DashStart,Analytics!$B$5:$B$154,"&lt;="&amp;DashEnd))</f>
        <v>0</v>
      </c>
      <c r="X277" s="23">
        <f>IF(T277="","",SUMIFS(Analytics!$L$5:$L$154,Analytics!$D$5:$D$154,T277,Analytics!$B$5:$B$154,"&gt;="&amp;DashStart,Analytics!$B$5:$B$154,"&lt;="&amp;DashEnd))</f>
        <v>0</v>
      </c>
      <c r="Y277" s="24">
        <f>IF(OR(W277="",W277=0),"",X277/W277)</f>
        <v>0</v>
      </c>
      <c r="Z277" s="23">
        <f>IF(T277="","",SUMIFS(Analytics!$G$5:$G$154,Analytics!$D$5:$D$154,T277,Analytics!$B$5:$B$154,"&gt;="&amp;DashStart,Analytics!$B$5:$B$154,"&lt;="&amp;DashEnd))</f>
        <v>0</v>
      </c>
      <c r="AA277" s="23">
        <f>IF(T277="","",SUMIFS(Analytics!$X$5:$X$154,Analytics!$D$5:$D$154,T277,Analytics!$B$5:$B$154,"&gt;="&amp;DashStart,Analytics!$B$5:$B$154,"&lt;="&amp;DashEnd))</f>
        <v>0</v>
      </c>
      <c r="AB277" s="23">
        <f>IF(T277="","",SUMIFS(Analytics!$R$5:$R$154,Analytics!$D$5:$D$154,T277,Analytics!$B$5:$B$154,"&gt;="&amp;DashStart,Analytics!$B$5:$B$154,"&lt;="&amp;DashEnd))</f>
        <v>0</v>
      </c>
      <c r="AC277" s="25">
        <f>IF(T277="","",SUMIFS(Analytics!$U$5:$U$154,Analytics!$D$5:$D$154,T277,Analytics!$B$5:$B$154,"&gt;="&amp;DashStart,Analytics!$B$5:$B$154,"&lt;="&amp;DashEnd))</f>
        <v>0</v>
      </c>
      <c r="AD277" s="23">
        <f>IF(T277="","",COUNTIFS('Content Calendar'!$G$5:$G$604,T277,'Content Calendar'!$B$5:$B$604,"&gt;="&amp;DATE(PlanYear,1,1),'Content Calendar'!$B$5:$B$604,"&lt;="&amp;DATE(PlanYear,12,31)))</f>
        <v>0</v>
      </c>
      <c r="AE277" s="23">
        <f>IF(T277="","",SUMIFS(Analytics!$J$5:$J$154,Analytics!$D$5:$D$154,T277))</f>
        <v>0</v>
      </c>
      <c r="AF277" s="23">
        <f>IF(T277="","",SUMIFS(Analytics!$L$5:$L$154,Analytics!$D$5:$D$154,T277))</f>
        <v>0</v>
      </c>
      <c r="AG277" s="24">
        <f>IF(OR(AE277="",AE277=0),"",AF277/AE277)</f>
        <v>0</v>
      </c>
      <c r="AH277" s="23">
        <f>IF(T277="","",SUMIFS(Analytics!$X$5:$X$154,Analytics!$D$5:$D$154,T277))</f>
        <v>0</v>
      </c>
      <c r="AI277" s="32">
        <f>IF(T277="","",IF(AE277=0,"",AE277+ROW()/1000000))</f>
        <v>0</v>
      </c>
      <c r="AJ277" s="17">
        <f>IF('Content Pillars'!$B$277="","",'Content Pillars'!$B$277)</f>
        <v>0</v>
      </c>
      <c r="AK277" s="23">
        <f>IF(AJ277="","",COUNTIFS('Content Calendar'!$J$5:$J$604,AJ277,'Content Calendar'!$B$5:$B$604,"&gt;="&amp;DATE(PlanYear,1,1),'Content Calendar'!$B$5:$B$604,"&lt;="&amp;DATE(PlanYear,12,31)))</f>
        <v>0</v>
      </c>
      <c r="AL277" s="23">
        <f>IF(AJ277="","",SUMIFS(Performance!$O$5:$O$404,Performance!$H$5:$H$404,AJ277))</f>
        <v>0</v>
      </c>
      <c r="AM277" s="23">
        <f>IF(AJ277="","",SUMIFS(Performance!$Z$5:$Z$404,Performance!$H$5:$H$404,AJ277))</f>
        <v>0</v>
      </c>
      <c r="AN277" s="24">
        <f>IF(OR(AL277="",AL277=0),"",AM277/AL277)</f>
        <v>0</v>
      </c>
      <c r="AO277" s="32">
        <f>IF(AN277="","",AN277+ROW()/1000000)</f>
        <v>0</v>
      </c>
      <c r="AP277" s="17">
        <f>IF(Lists!$E277="","",Lists!$E277)</f>
        <v>0</v>
      </c>
      <c r="AQ277" s="23">
        <f>IF(AP277="","",COUNTIF(Performance!$G$5:$G$404,AP277))</f>
        <v>0</v>
      </c>
      <c r="AR277" s="23">
        <f>IF(AP277="","",SUMIFS(Performance!$O$5:$O$404,Performance!$G$5:$G$404,AP277))</f>
        <v>0</v>
      </c>
      <c r="AS277" s="23">
        <f>IF(AP277="","",SUMIFS(Performance!$Z$5:$Z$404,Performance!$G$5:$G$404,AP277))</f>
        <v>0</v>
      </c>
      <c r="AT277" s="24">
        <f>IF(OR(AR277="",AR277=0),"",AS277/AR277)</f>
        <v>0</v>
      </c>
      <c r="AU277" s="32">
        <f>IF(AQ277=0,"",IF(AT277="","",AT277+ROW()/1000000))</f>
        <v>0</v>
      </c>
      <c r="AV277" s="17">
        <f>IF(ROW()-4&gt;7,"",TEXT(DATE(2024,1,ROW()-4),"ddd"))</f>
        <v>0</v>
      </c>
      <c r="AW277" s="23">
        <f>IF(AV277="","",COUNTIF(Performance!$N$5:$N$404,AV277))</f>
        <v>0</v>
      </c>
      <c r="AX277" s="23">
        <f>IF(AV277="","",SUMIFS(Performance!$O$5:$O$404,Performance!$N$5:$N$404,AV277))</f>
        <v>0</v>
      </c>
      <c r="AY277" s="23">
        <f>IF(AV277="","",SUMIFS(Performance!$Z$5:$Z$404,Performance!$N$5:$N$404,AV277))</f>
        <v>0</v>
      </c>
      <c r="AZ277" s="24">
        <f>IF(OR(AX277="",AX277=0),"",AY277/AX277)</f>
        <v>0</v>
      </c>
      <c r="BA277" s="32">
        <f>IF(AW277=0,"",IF(AZ277="","",AZ277+ROW()/1000000))</f>
        <v>0</v>
      </c>
      <c r="BB277" s="17">
        <f>IF(Lists!$AL277="","",Lists!$AL277)</f>
        <v>0</v>
      </c>
      <c r="BC277" s="23">
        <f>IF(BB277="","",COUNTIF(Performance!$M$5:$M$404,BB277))</f>
        <v>0</v>
      </c>
      <c r="BD277" s="23">
        <f>IF(BB277="","",SUMIFS(Performance!$O$5:$O$404,Performance!$M$5:$M$404,BB277))</f>
        <v>0</v>
      </c>
      <c r="BE277" s="23">
        <f>IF(BB277="","",SUMIFS(Performance!$Z$5:$Z$404,Performance!$M$5:$M$404,BB277))</f>
        <v>0</v>
      </c>
      <c r="BF277" s="24">
        <f>IF(OR(BD277="",BD277=0),"",BE277/BD277)</f>
        <v>0</v>
      </c>
      <c r="BG277" s="32">
        <f>IF(BC277=0,"",IF(BF277="","",BF277+ROW()/1000000))</f>
        <v>0</v>
      </c>
      <c r="BH277" s="17">
        <f>IF(Performance!$C$277="","",Performance!$C$277)</f>
        <v>0</v>
      </c>
      <c r="BI277" s="17">
        <f>IF(Performance!$F$277="","",Performance!$F$277)</f>
        <v>0</v>
      </c>
      <c r="BJ277" s="17">
        <f>IF(Performance!$H$277="","",Performance!$H$277)</f>
        <v>0</v>
      </c>
      <c r="BK277" s="16">
        <f>IF(Performance!$D$277="","",Performance!$D$277)</f>
        <v>0</v>
      </c>
      <c r="BL277" s="17">
        <f>IF(Performance!$E$277="","",Performance!$E$277)</f>
        <v>0</v>
      </c>
      <c r="BM277" s="23">
        <f>IF(Performance!$O$277="","",Performance!$O$277)</f>
        <v>0</v>
      </c>
      <c r="BN277" s="24">
        <f>IF(Performance!$AA$277="","",Performance!$AA$277)</f>
        <v>0</v>
      </c>
      <c r="BO277" s="32">
        <f>IF(BH277="","",IF(BK277="","",IF(OR(BK277&lt;DashStart,BK277&gt;DashEnd),"",IF(BN277="","",BN277+ROW()/1000000))))</f>
        <v>0</v>
      </c>
      <c r="BP277" s="32">
        <f>IF(BM277="","",IF(BK277="","",IF(OR(BK277&lt;DashStart,BK277&gt;DashEnd),"",BM277+ROW()/1000000)))</f>
        <v>0</v>
      </c>
      <c r="BQ277" s="32">
        <f>IF(BH277="","",IF(BK277="","",IF(YEAR(BK277)&lt;&gt;PlanYear,"",IF(BN277="","",BN277+ROW()/1000000))))</f>
        <v>0</v>
      </c>
      <c r="BR277" s="32">
        <f>IF(BH277="","",IF(BK277="","",IF(OR(BK277&lt;RepFrom,BK277&gt;RepTo),"",IF(BN277="","",BN277+ROW()/1000000))))</f>
        <v>0</v>
      </c>
      <c r="BS277" s="32">
        <f>IF(BM277="","",IF(BK277="","",IF(YEAR(BK277)&lt;&gt;PlanYear,"",BM277+ROW()/1000000)))</f>
        <v>0</v>
      </c>
      <c r="BT277" s="17">
        <f>IF(Lists!$F277="","",Lists!$F277)</f>
        <v>0</v>
      </c>
      <c r="BU277" s="23">
        <f>IF(BT277="","",COUNTIF('Content Calendar'!$X$5:$X$604,BT277))</f>
        <v>0</v>
      </c>
      <c r="BV277" s="23">
        <f>IF(BT277="","",COUNTIFS('Content Calendar'!$X$5:$X$604,BT277,'Content Calendar'!$B$5:$B$604,"&gt;="&amp;DashStart,'Content Calendar'!$B$5:$B$604,"&lt;="&amp;DashEnd))</f>
        <v>0</v>
      </c>
      <c r="BW277" s="17">
        <f>IF(Team!$B$277="","",Team!$B$277)</f>
        <v>0</v>
      </c>
      <c r="BX277" s="23">
        <f>IF(BW277="","",COUNTIF('Content Calendar'!$W$5:$W$604,BW277))</f>
        <v>0</v>
      </c>
      <c r="BY277" s="23">
        <f>IF(BW277="","",COUNTIFS('Content Calendar'!$W$5:$W$604,BW277,'Content Calendar'!$X$5:$X$604,"&lt;&gt;Published"))</f>
        <v>0</v>
      </c>
      <c r="BZ277" s="23">
        <f>IF(BW277="","",COUNTIFS(Tasks!$C$5:$C$64,BW277,Tasks!$G$5:$G$64,"&lt;&gt;Complete"))</f>
        <v>0</v>
      </c>
      <c r="CA277" s="17">
        <f>IF(Campaigns!$B$277="","",Campaigns!$B$277)</f>
        <v>0</v>
      </c>
      <c r="CB277" s="25">
        <f>IF(Campaigns!$T$277="","",Campaigns!$T$277)</f>
        <v>0</v>
      </c>
      <c r="CC277" s="25">
        <f>IF(Campaigns!$Q$277="","",Campaigns!$Q$277)</f>
        <v>0</v>
      </c>
      <c r="CD277" s="23">
        <f>IF(Campaigns!$Y$277="","",Campaigns!$Y$277)</f>
        <v>0</v>
      </c>
      <c r="CE277" s="32">
        <f>IF(CA277="","",IF(N(CB277)&lt;=0,"",N(CB277)+ROW()/1000000))</f>
        <v>0</v>
      </c>
      <c r="CF277" s="17">
        <f>IF(Accounts!$C$277="","",Accounts!$C$277)</f>
        <v>0</v>
      </c>
      <c r="CG277" s="17">
        <f>IF(Accounts!$B$277="","",Accounts!$B$277)</f>
        <v>0</v>
      </c>
      <c r="CH277" s="23">
        <f>IF(Accounts!$J$277="","",Accounts!$J$277)</f>
        <v>0</v>
      </c>
      <c r="CI277" s="23">
        <f>IF(CF277="","",SUMIFS(Analytics!$X$5:$X$154,Analytics!$E$5:$E$154,CF277,Analytics!$B$5:$B$154,"&gt;="&amp;DashStart,Analytics!$B$5:$B$154,"&lt;="&amp;DashEnd))</f>
        <v>0</v>
      </c>
      <c r="CJ277" s="32">
        <f>IF(CH277="","",IF(CH277=0,"",CH277+ROW()/1000000))</f>
        <v>0</v>
      </c>
    </row>
    <row r="278" spans="1:88">
      <c r="A278" s="16">
        <f>IF(ROW()-4&gt;12,"",DATE(PlanYear,ROW()-4,1))</f>
        <v>0</v>
      </c>
      <c r="B278" s="16">
        <f>IF(A278="","",EOMONTH(A278,0))</f>
        <v>0</v>
      </c>
      <c r="C278" s="17">
        <f>IF(A278="","",TEXT(A278,"yyyy-mm"))</f>
        <v>0</v>
      </c>
      <c r="D278" s="17">
        <f>IF(A278="","",TEXT(A278,"mmm"))</f>
        <v>0</v>
      </c>
      <c r="E278" s="23">
        <f>IF(C278="","",COUNTIFS('Content Calendar'!$D$5:$D$604,C278))</f>
        <v>0</v>
      </c>
      <c r="F278" s="23">
        <f>IF(C278="","",COUNTIFS('Content Calendar'!$D$5:$D$604,C278,'Content Calendar'!$X$5:$X$604,"Published"))</f>
        <v>0</v>
      </c>
      <c r="G278" s="23">
        <f>IF(C278="","",SUMIFS(Analytics!$J$5:$J$154,Analytics!$C$5:$C$154,C278))</f>
        <v>0</v>
      </c>
      <c r="H278" s="23">
        <f>IF(C278="","",SUMIFS(Analytics!$K$5:$K$154,Analytics!$C$5:$C$154,C278))</f>
        <v>0</v>
      </c>
      <c r="I278" s="23">
        <f>IF(C278="","",SUMIFS(Analytics!$L$5:$L$154,Analytics!$C$5:$C$154,C278))</f>
        <v>0</v>
      </c>
      <c r="J278" s="24">
        <f>IF(OR(G278="",G278=0),"",I278/G278)</f>
        <v>0</v>
      </c>
      <c r="K278" s="23">
        <f>IF(C278="","",SUMIFS(Analytics!$G$5:$G$154,Analytics!$C$5:$C$154,C278))</f>
        <v>0</v>
      </c>
      <c r="L278" s="23">
        <f>IF(C278="","",SUMIFS(Analytics!$X$5:$X$154,Analytics!$C$5:$C$154,C278))</f>
        <v>0</v>
      </c>
      <c r="M278" s="23">
        <f>IF(C278="","",SUMIFS(Analytics!$R$5:$R$154,Analytics!$C$5:$C$154,C278))</f>
        <v>0</v>
      </c>
      <c r="N278" s="23">
        <f>IF(C278="","",SUMIFS(Analytics!$S$5:$S$154,Analytics!$C$5:$C$154,C278))</f>
        <v>0</v>
      </c>
      <c r="O278" s="23">
        <f>IF(C278="","",SUMIFS(Analytics!$T$5:$T$154,Analytics!$C$5:$C$154,C278))</f>
        <v>0</v>
      </c>
      <c r="P278" s="25">
        <f>IF(C278="","",SUMIFS(Analytics!$U$5:$U$154,Analytics!$C$5:$C$154,C278))</f>
        <v>0</v>
      </c>
      <c r="Q278" s="25">
        <f>IF(C278="","",SUMIFS(Budget!$H$5:$H$64,Budget!$C$5:$C$64,C278))</f>
        <v>0</v>
      </c>
      <c r="R278" s="25">
        <f>IF(C278="","",P278-Q278)</f>
        <v>0</v>
      </c>
      <c r="S278" s="23">
        <f>IF(C278="","",MonthlyPostTarget)</f>
        <v>0</v>
      </c>
      <c r="T278" s="17">
        <f>IF(Lists!$C278="","",Lists!$C278)</f>
        <v>0</v>
      </c>
      <c r="U278" s="23">
        <f>IF(T278="","",COUNTIFS('Content Calendar'!$G$5:$G$604,T278,'Content Calendar'!$B$5:$B$604,"&gt;="&amp;DashStart,'Content Calendar'!$B$5:$B$604,"&lt;="&amp;DashEnd))</f>
        <v>0</v>
      </c>
      <c r="V278" s="23">
        <f>IF(T278="","",COUNTIFS('Content Calendar'!$G$5:$G$604,T278,'Content Calendar'!$X$5:$X$604,"Published",'Content Calendar'!$B$5:$B$604,"&gt;="&amp;DashStart,'Content Calendar'!$B$5:$B$604,"&lt;="&amp;DashEnd))</f>
        <v>0</v>
      </c>
      <c r="W278" s="23">
        <f>IF(T278="","",SUMIFS(Analytics!$J$5:$J$154,Analytics!$D$5:$D$154,T278,Analytics!$B$5:$B$154,"&gt;="&amp;DashStart,Analytics!$B$5:$B$154,"&lt;="&amp;DashEnd))</f>
        <v>0</v>
      </c>
      <c r="X278" s="23">
        <f>IF(T278="","",SUMIFS(Analytics!$L$5:$L$154,Analytics!$D$5:$D$154,T278,Analytics!$B$5:$B$154,"&gt;="&amp;DashStart,Analytics!$B$5:$B$154,"&lt;="&amp;DashEnd))</f>
        <v>0</v>
      </c>
      <c r="Y278" s="24">
        <f>IF(OR(W278="",W278=0),"",X278/W278)</f>
        <v>0</v>
      </c>
      <c r="Z278" s="23">
        <f>IF(T278="","",SUMIFS(Analytics!$G$5:$G$154,Analytics!$D$5:$D$154,T278,Analytics!$B$5:$B$154,"&gt;="&amp;DashStart,Analytics!$B$5:$B$154,"&lt;="&amp;DashEnd))</f>
        <v>0</v>
      </c>
      <c r="AA278" s="23">
        <f>IF(T278="","",SUMIFS(Analytics!$X$5:$X$154,Analytics!$D$5:$D$154,T278,Analytics!$B$5:$B$154,"&gt;="&amp;DashStart,Analytics!$B$5:$B$154,"&lt;="&amp;DashEnd))</f>
        <v>0</v>
      </c>
      <c r="AB278" s="23">
        <f>IF(T278="","",SUMIFS(Analytics!$R$5:$R$154,Analytics!$D$5:$D$154,T278,Analytics!$B$5:$B$154,"&gt;="&amp;DashStart,Analytics!$B$5:$B$154,"&lt;="&amp;DashEnd))</f>
        <v>0</v>
      </c>
      <c r="AC278" s="25">
        <f>IF(T278="","",SUMIFS(Analytics!$U$5:$U$154,Analytics!$D$5:$D$154,T278,Analytics!$B$5:$B$154,"&gt;="&amp;DashStart,Analytics!$B$5:$B$154,"&lt;="&amp;DashEnd))</f>
        <v>0</v>
      </c>
      <c r="AD278" s="23">
        <f>IF(T278="","",COUNTIFS('Content Calendar'!$G$5:$G$604,T278,'Content Calendar'!$B$5:$B$604,"&gt;="&amp;DATE(PlanYear,1,1),'Content Calendar'!$B$5:$B$604,"&lt;="&amp;DATE(PlanYear,12,31)))</f>
        <v>0</v>
      </c>
      <c r="AE278" s="23">
        <f>IF(T278="","",SUMIFS(Analytics!$J$5:$J$154,Analytics!$D$5:$D$154,T278))</f>
        <v>0</v>
      </c>
      <c r="AF278" s="23">
        <f>IF(T278="","",SUMIFS(Analytics!$L$5:$L$154,Analytics!$D$5:$D$154,T278))</f>
        <v>0</v>
      </c>
      <c r="AG278" s="24">
        <f>IF(OR(AE278="",AE278=0),"",AF278/AE278)</f>
        <v>0</v>
      </c>
      <c r="AH278" s="23">
        <f>IF(T278="","",SUMIFS(Analytics!$X$5:$X$154,Analytics!$D$5:$D$154,T278))</f>
        <v>0</v>
      </c>
      <c r="AI278" s="32">
        <f>IF(T278="","",IF(AE278=0,"",AE278+ROW()/1000000))</f>
        <v>0</v>
      </c>
      <c r="AJ278" s="17">
        <f>IF('Content Pillars'!$B$278="","",'Content Pillars'!$B$278)</f>
        <v>0</v>
      </c>
      <c r="AK278" s="23">
        <f>IF(AJ278="","",COUNTIFS('Content Calendar'!$J$5:$J$604,AJ278,'Content Calendar'!$B$5:$B$604,"&gt;="&amp;DATE(PlanYear,1,1),'Content Calendar'!$B$5:$B$604,"&lt;="&amp;DATE(PlanYear,12,31)))</f>
        <v>0</v>
      </c>
      <c r="AL278" s="23">
        <f>IF(AJ278="","",SUMIFS(Performance!$O$5:$O$404,Performance!$H$5:$H$404,AJ278))</f>
        <v>0</v>
      </c>
      <c r="AM278" s="23">
        <f>IF(AJ278="","",SUMIFS(Performance!$Z$5:$Z$404,Performance!$H$5:$H$404,AJ278))</f>
        <v>0</v>
      </c>
      <c r="AN278" s="24">
        <f>IF(OR(AL278="",AL278=0),"",AM278/AL278)</f>
        <v>0</v>
      </c>
      <c r="AO278" s="32">
        <f>IF(AN278="","",AN278+ROW()/1000000)</f>
        <v>0</v>
      </c>
      <c r="AP278" s="17">
        <f>IF(Lists!$E278="","",Lists!$E278)</f>
        <v>0</v>
      </c>
      <c r="AQ278" s="23">
        <f>IF(AP278="","",COUNTIF(Performance!$G$5:$G$404,AP278))</f>
        <v>0</v>
      </c>
      <c r="AR278" s="23">
        <f>IF(AP278="","",SUMIFS(Performance!$O$5:$O$404,Performance!$G$5:$G$404,AP278))</f>
        <v>0</v>
      </c>
      <c r="AS278" s="23">
        <f>IF(AP278="","",SUMIFS(Performance!$Z$5:$Z$404,Performance!$G$5:$G$404,AP278))</f>
        <v>0</v>
      </c>
      <c r="AT278" s="24">
        <f>IF(OR(AR278="",AR278=0),"",AS278/AR278)</f>
        <v>0</v>
      </c>
      <c r="AU278" s="32">
        <f>IF(AQ278=0,"",IF(AT278="","",AT278+ROW()/1000000))</f>
        <v>0</v>
      </c>
      <c r="AV278" s="17">
        <f>IF(ROW()-4&gt;7,"",TEXT(DATE(2024,1,ROW()-4),"ddd"))</f>
        <v>0</v>
      </c>
      <c r="AW278" s="23">
        <f>IF(AV278="","",COUNTIF(Performance!$N$5:$N$404,AV278))</f>
        <v>0</v>
      </c>
      <c r="AX278" s="23">
        <f>IF(AV278="","",SUMIFS(Performance!$O$5:$O$404,Performance!$N$5:$N$404,AV278))</f>
        <v>0</v>
      </c>
      <c r="AY278" s="23">
        <f>IF(AV278="","",SUMIFS(Performance!$Z$5:$Z$404,Performance!$N$5:$N$404,AV278))</f>
        <v>0</v>
      </c>
      <c r="AZ278" s="24">
        <f>IF(OR(AX278="",AX278=0),"",AY278/AX278)</f>
        <v>0</v>
      </c>
      <c r="BA278" s="32">
        <f>IF(AW278=0,"",IF(AZ278="","",AZ278+ROW()/1000000))</f>
        <v>0</v>
      </c>
      <c r="BB278" s="17">
        <f>IF(Lists!$AL278="","",Lists!$AL278)</f>
        <v>0</v>
      </c>
      <c r="BC278" s="23">
        <f>IF(BB278="","",COUNTIF(Performance!$M$5:$M$404,BB278))</f>
        <v>0</v>
      </c>
      <c r="BD278" s="23">
        <f>IF(BB278="","",SUMIFS(Performance!$O$5:$O$404,Performance!$M$5:$M$404,BB278))</f>
        <v>0</v>
      </c>
      <c r="BE278" s="23">
        <f>IF(BB278="","",SUMIFS(Performance!$Z$5:$Z$404,Performance!$M$5:$M$404,BB278))</f>
        <v>0</v>
      </c>
      <c r="BF278" s="24">
        <f>IF(OR(BD278="",BD278=0),"",BE278/BD278)</f>
        <v>0</v>
      </c>
      <c r="BG278" s="32">
        <f>IF(BC278=0,"",IF(BF278="","",BF278+ROW()/1000000))</f>
        <v>0</v>
      </c>
      <c r="BH278" s="17">
        <f>IF(Performance!$C$278="","",Performance!$C$278)</f>
        <v>0</v>
      </c>
      <c r="BI278" s="17">
        <f>IF(Performance!$F$278="","",Performance!$F$278)</f>
        <v>0</v>
      </c>
      <c r="BJ278" s="17">
        <f>IF(Performance!$H$278="","",Performance!$H$278)</f>
        <v>0</v>
      </c>
      <c r="BK278" s="16">
        <f>IF(Performance!$D$278="","",Performance!$D$278)</f>
        <v>0</v>
      </c>
      <c r="BL278" s="17">
        <f>IF(Performance!$E$278="","",Performance!$E$278)</f>
        <v>0</v>
      </c>
      <c r="BM278" s="23">
        <f>IF(Performance!$O$278="","",Performance!$O$278)</f>
        <v>0</v>
      </c>
      <c r="BN278" s="24">
        <f>IF(Performance!$AA$278="","",Performance!$AA$278)</f>
        <v>0</v>
      </c>
      <c r="BO278" s="32">
        <f>IF(BH278="","",IF(BK278="","",IF(OR(BK278&lt;DashStart,BK278&gt;DashEnd),"",IF(BN278="","",BN278+ROW()/1000000))))</f>
        <v>0</v>
      </c>
      <c r="BP278" s="32">
        <f>IF(BM278="","",IF(BK278="","",IF(OR(BK278&lt;DashStart,BK278&gt;DashEnd),"",BM278+ROW()/1000000)))</f>
        <v>0</v>
      </c>
      <c r="BQ278" s="32">
        <f>IF(BH278="","",IF(BK278="","",IF(YEAR(BK278)&lt;&gt;PlanYear,"",IF(BN278="","",BN278+ROW()/1000000))))</f>
        <v>0</v>
      </c>
      <c r="BR278" s="32">
        <f>IF(BH278="","",IF(BK278="","",IF(OR(BK278&lt;RepFrom,BK278&gt;RepTo),"",IF(BN278="","",BN278+ROW()/1000000))))</f>
        <v>0</v>
      </c>
      <c r="BS278" s="32">
        <f>IF(BM278="","",IF(BK278="","",IF(YEAR(BK278)&lt;&gt;PlanYear,"",BM278+ROW()/1000000)))</f>
        <v>0</v>
      </c>
      <c r="BT278" s="17">
        <f>IF(Lists!$F278="","",Lists!$F278)</f>
        <v>0</v>
      </c>
      <c r="BU278" s="23">
        <f>IF(BT278="","",COUNTIF('Content Calendar'!$X$5:$X$604,BT278))</f>
        <v>0</v>
      </c>
      <c r="BV278" s="23">
        <f>IF(BT278="","",COUNTIFS('Content Calendar'!$X$5:$X$604,BT278,'Content Calendar'!$B$5:$B$604,"&gt;="&amp;DashStart,'Content Calendar'!$B$5:$B$604,"&lt;="&amp;DashEnd))</f>
        <v>0</v>
      </c>
      <c r="BW278" s="17">
        <f>IF(Team!$B$278="","",Team!$B$278)</f>
        <v>0</v>
      </c>
      <c r="BX278" s="23">
        <f>IF(BW278="","",COUNTIF('Content Calendar'!$W$5:$W$604,BW278))</f>
        <v>0</v>
      </c>
      <c r="BY278" s="23">
        <f>IF(BW278="","",COUNTIFS('Content Calendar'!$W$5:$W$604,BW278,'Content Calendar'!$X$5:$X$604,"&lt;&gt;Published"))</f>
        <v>0</v>
      </c>
      <c r="BZ278" s="23">
        <f>IF(BW278="","",COUNTIFS(Tasks!$C$5:$C$64,BW278,Tasks!$G$5:$G$64,"&lt;&gt;Complete"))</f>
        <v>0</v>
      </c>
      <c r="CA278" s="17">
        <f>IF(Campaigns!$B$278="","",Campaigns!$B$278)</f>
        <v>0</v>
      </c>
      <c r="CB278" s="25">
        <f>IF(Campaigns!$T$278="","",Campaigns!$T$278)</f>
        <v>0</v>
      </c>
      <c r="CC278" s="25">
        <f>IF(Campaigns!$Q$278="","",Campaigns!$Q$278)</f>
        <v>0</v>
      </c>
      <c r="CD278" s="23">
        <f>IF(Campaigns!$Y$278="","",Campaigns!$Y$278)</f>
        <v>0</v>
      </c>
      <c r="CE278" s="32">
        <f>IF(CA278="","",IF(N(CB278)&lt;=0,"",N(CB278)+ROW()/1000000))</f>
        <v>0</v>
      </c>
      <c r="CF278" s="17">
        <f>IF(Accounts!$C$278="","",Accounts!$C$278)</f>
        <v>0</v>
      </c>
      <c r="CG278" s="17">
        <f>IF(Accounts!$B$278="","",Accounts!$B$278)</f>
        <v>0</v>
      </c>
      <c r="CH278" s="23">
        <f>IF(Accounts!$J$278="","",Accounts!$J$278)</f>
        <v>0</v>
      </c>
      <c r="CI278" s="23">
        <f>IF(CF278="","",SUMIFS(Analytics!$X$5:$X$154,Analytics!$E$5:$E$154,CF278,Analytics!$B$5:$B$154,"&gt;="&amp;DashStart,Analytics!$B$5:$B$154,"&lt;="&amp;DashEnd))</f>
        <v>0</v>
      </c>
      <c r="CJ278" s="32">
        <f>IF(CH278="","",IF(CH278=0,"",CH278+ROW()/1000000))</f>
        <v>0</v>
      </c>
    </row>
    <row r="279" spans="1:88">
      <c r="A279" s="16">
        <f>IF(ROW()-4&gt;12,"",DATE(PlanYear,ROW()-4,1))</f>
        <v>0</v>
      </c>
      <c r="B279" s="16">
        <f>IF(A279="","",EOMONTH(A279,0))</f>
        <v>0</v>
      </c>
      <c r="C279" s="17">
        <f>IF(A279="","",TEXT(A279,"yyyy-mm"))</f>
        <v>0</v>
      </c>
      <c r="D279" s="17">
        <f>IF(A279="","",TEXT(A279,"mmm"))</f>
        <v>0</v>
      </c>
      <c r="E279" s="23">
        <f>IF(C279="","",COUNTIFS('Content Calendar'!$D$5:$D$604,C279))</f>
        <v>0</v>
      </c>
      <c r="F279" s="23">
        <f>IF(C279="","",COUNTIFS('Content Calendar'!$D$5:$D$604,C279,'Content Calendar'!$X$5:$X$604,"Published"))</f>
        <v>0</v>
      </c>
      <c r="G279" s="23">
        <f>IF(C279="","",SUMIFS(Analytics!$J$5:$J$154,Analytics!$C$5:$C$154,C279))</f>
        <v>0</v>
      </c>
      <c r="H279" s="23">
        <f>IF(C279="","",SUMIFS(Analytics!$K$5:$K$154,Analytics!$C$5:$C$154,C279))</f>
        <v>0</v>
      </c>
      <c r="I279" s="23">
        <f>IF(C279="","",SUMIFS(Analytics!$L$5:$L$154,Analytics!$C$5:$C$154,C279))</f>
        <v>0</v>
      </c>
      <c r="J279" s="24">
        <f>IF(OR(G279="",G279=0),"",I279/G279)</f>
        <v>0</v>
      </c>
      <c r="K279" s="23">
        <f>IF(C279="","",SUMIFS(Analytics!$G$5:$G$154,Analytics!$C$5:$C$154,C279))</f>
        <v>0</v>
      </c>
      <c r="L279" s="23">
        <f>IF(C279="","",SUMIFS(Analytics!$X$5:$X$154,Analytics!$C$5:$C$154,C279))</f>
        <v>0</v>
      </c>
      <c r="M279" s="23">
        <f>IF(C279="","",SUMIFS(Analytics!$R$5:$R$154,Analytics!$C$5:$C$154,C279))</f>
        <v>0</v>
      </c>
      <c r="N279" s="23">
        <f>IF(C279="","",SUMIFS(Analytics!$S$5:$S$154,Analytics!$C$5:$C$154,C279))</f>
        <v>0</v>
      </c>
      <c r="O279" s="23">
        <f>IF(C279="","",SUMIFS(Analytics!$T$5:$T$154,Analytics!$C$5:$C$154,C279))</f>
        <v>0</v>
      </c>
      <c r="P279" s="25">
        <f>IF(C279="","",SUMIFS(Analytics!$U$5:$U$154,Analytics!$C$5:$C$154,C279))</f>
        <v>0</v>
      </c>
      <c r="Q279" s="25">
        <f>IF(C279="","",SUMIFS(Budget!$H$5:$H$64,Budget!$C$5:$C$64,C279))</f>
        <v>0</v>
      </c>
      <c r="R279" s="25">
        <f>IF(C279="","",P279-Q279)</f>
        <v>0</v>
      </c>
      <c r="S279" s="23">
        <f>IF(C279="","",MonthlyPostTarget)</f>
        <v>0</v>
      </c>
      <c r="T279" s="17">
        <f>IF(Lists!$C279="","",Lists!$C279)</f>
        <v>0</v>
      </c>
      <c r="U279" s="23">
        <f>IF(T279="","",COUNTIFS('Content Calendar'!$G$5:$G$604,T279,'Content Calendar'!$B$5:$B$604,"&gt;="&amp;DashStart,'Content Calendar'!$B$5:$B$604,"&lt;="&amp;DashEnd))</f>
        <v>0</v>
      </c>
      <c r="V279" s="23">
        <f>IF(T279="","",COUNTIFS('Content Calendar'!$G$5:$G$604,T279,'Content Calendar'!$X$5:$X$604,"Published",'Content Calendar'!$B$5:$B$604,"&gt;="&amp;DashStart,'Content Calendar'!$B$5:$B$604,"&lt;="&amp;DashEnd))</f>
        <v>0</v>
      </c>
      <c r="W279" s="23">
        <f>IF(T279="","",SUMIFS(Analytics!$J$5:$J$154,Analytics!$D$5:$D$154,T279,Analytics!$B$5:$B$154,"&gt;="&amp;DashStart,Analytics!$B$5:$B$154,"&lt;="&amp;DashEnd))</f>
        <v>0</v>
      </c>
      <c r="X279" s="23">
        <f>IF(T279="","",SUMIFS(Analytics!$L$5:$L$154,Analytics!$D$5:$D$154,T279,Analytics!$B$5:$B$154,"&gt;="&amp;DashStart,Analytics!$B$5:$B$154,"&lt;="&amp;DashEnd))</f>
        <v>0</v>
      </c>
      <c r="Y279" s="24">
        <f>IF(OR(W279="",W279=0),"",X279/W279)</f>
        <v>0</v>
      </c>
      <c r="Z279" s="23">
        <f>IF(T279="","",SUMIFS(Analytics!$G$5:$G$154,Analytics!$D$5:$D$154,T279,Analytics!$B$5:$B$154,"&gt;="&amp;DashStart,Analytics!$B$5:$B$154,"&lt;="&amp;DashEnd))</f>
        <v>0</v>
      </c>
      <c r="AA279" s="23">
        <f>IF(T279="","",SUMIFS(Analytics!$X$5:$X$154,Analytics!$D$5:$D$154,T279,Analytics!$B$5:$B$154,"&gt;="&amp;DashStart,Analytics!$B$5:$B$154,"&lt;="&amp;DashEnd))</f>
        <v>0</v>
      </c>
      <c r="AB279" s="23">
        <f>IF(T279="","",SUMIFS(Analytics!$R$5:$R$154,Analytics!$D$5:$D$154,T279,Analytics!$B$5:$B$154,"&gt;="&amp;DashStart,Analytics!$B$5:$B$154,"&lt;="&amp;DashEnd))</f>
        <v>0</v>
      </c>
      <c r="AC279" s="25">
        <f>IF(T279="","",SUMIFS(Analytics!$U$5:$U$154,Analytics!$D$5:$D$154,T279,Analytics!$B$5:$B$154,"&gt;="&amp;DashStart,Analytics!$B$5:$B$154,"&lt;="&amp;DashEnd))</f>
        <v>0</v>
      </c>
      <c r="AD279" s="23">
        <f>IF(T279="","",COUNTIFS('Content Calendar'!$G$5:$G$604,T279,'Content Calendar'!$B$5:$B$604,"&gt;="&amp;DATE(PlanYear,1,1),'Content Calendar'!$B$5:$B$604,"&lt;="&amp;DATE(PlanYear,12,31)))</f>
        <v>0</v>
      </c>
      <c r="AE279" s="23">
        <f>IF(T279="","",SUMIFS(Analytics!$J$5:$J$154,Analytics!$D$5:$D$154,T279))</f>
        <v>0</v>
      </c>
      <c r="AF279" s="23">
        <f>IF(T279="","",SUMIFS(Analytics!$L$5:$L$154,Analytics!$D$5:$D$154,T279))</f>
        <v>0</v>
      </c>
      <c r="AG279" s="24">
        <f>IF(OR(AE279="",AE279=0),"",AF279/AE279)</f>
        <v>0</v>
      </c>
      <c r="AH279" s="23">
        <f>IF(T279="","",SUMIFS(Analytics!$X$5:$X$154,Analytics!$D$5:$D$154,T279))</f>
        <v>0</v>
      </c>
      <c r="AI279" s="32">
        <f>IF(T279="","",IF(AE279=0,"",AE279+ROW()/1000000))</f>
        <v>0</v>
      </c>
      <c r="AJ279" s="17">
        <f>IF('Content Pillars'!$B$279="","",'Content Pillars'!$B$279)</f>
        <v>0</v>
      </c>
      <c r="AK279" s="23">
        <f>IF(AJ279="","",COUNTIFS('Content Calendar'!$J$5:$J$604,AJ279,'Content Calendar'!$B$5:$B$604,"&gt;="&amp;DATE(PlanYear,1,1),'Content Calendar'!$B$5:$B$604,"&lt;="&amp;DATE(PlanYear,12,31)))</f>
        <v>0</v>
      </c>
      <c r="AL279" s="23">
        <f>IF(AJ279="","",SUMIFS(Performance!$O$5:$O$404,Performance!$H$5:$H$404,AJ279))</f>
        <v>0</v>
      </c>
      <c r="AM279" s="23">
        <f>IF(AJ279="","",SUMIFS(Performance!$Z$5:$Z$404,Performance!$H$5:$H$404,AJ279))</f>
        <v>0</v>
      </c>
      <c r="AN279" s="24">
        <f>IF(OR(AL279="",AL279=0),"",AM279/AL279)</f>
        <v>0</v>
      </c>
      <c r="AO279" s="32">
        <f>IF(AN279="","",AN279+ROW()/1000000)</f>
        <v>0</v>
      </c>
      <c r="AP279" s="17">
        <f>IF(Lists!$E279="","",Lists!$E279)</f>
        <v>0</v>
      </c>
      <c r="AQ279" s="23">
        <f>IF(AP279="","",COUNTIF(Performance!$G$5:$G$404,AP279))</f>
        <v>0</v>
      </c>
      <c r="AR279" s="23">
        <f>IF(AP279="","",SUMIFS(Performance!$O$5:$O$404,Performance!$G$5:$G$404,AP279))</f>
        <v>0</v>
      </c>
      <c r="AS279" s="23">
        <f>IF(AP279="","",SUMIFS(Performance!$Z$5:$Z$404,Performance!$G$5:$G$404,AP279))</f>
        <v>0</v>
      </c>
      <c r="AT279" s="24">
        <f>IF(OR(AR279="",AR279=0),"",AS279/AR279)</f>
        <v>0</v>
      </c>
      <c r="AU279" s="32">
        <f>IF(AQ279=0,"",IF(AT279="","",AT279+ROW()/1000000))</f>
        <v>0</v>
      </c>
      <c r="AV279" s="17">
        <f>IF(ROW()-4&gt;7,"",TEXT(DATE(2024,1,ROW()-4),"ddd"))</f>
        <v>0</v>
      </c>
      <c r="AW279" s="23">
        <f>IF(AV279="","",COUNTIF(Performance!$N$5:$N$404,AV279))</f>
        <v>0</v>
      </c>
      <c r="AX279" s="23">
        <f>IF(AV279="","",SUMIFS(Performance!$O$5:$O$404,Performance!$N$5:$N$404,AV279))</f>
        <v>0</v>
      </c>
      <c r="AY279" s="23">
        <f>IF(AV279="","",SUMIFS(Performance!$Z$5:$Z$404,Performance!$N$5:$N$404,AV279))</f>
        <v>0</v>
      </c>
      <c r="AZ279" s="24">
        <f>IF(OR(AX279="",AX279=0),"",AY279/AX279)</f>
        <v>0</v>
      </c>
      <c r="BA279" s="32">
        <f>IF(AW279=0,"",IF(AZ279="","",AZ279+ROW()/1000000))</f>
        <v>0</v>
      </c>
      <c r="BB279" s="17">
        <f>IF(Lists!$AL279="","",Lists!$AL279)</f>
        <v>0</v>
      </c>
      <c r="BC279" s="23">
        <f>IF(BB279="","",COUNTIF(Performance!$M$5:$M$404,BB279))</f>
        <v>0</v>
      </c>
      <c r="BD279" s="23">
        <f>IF(BB279="","",SUMIFS(Performance!$O$5:$O$404,Performance!$M$5:$M$404,BB279))</f>
        <v>0</v>
      </c>
      <c r="BE279" s="23">
        <f>IF(BB279="","",SUMIFS(Performance!$Z$5:$Z$404,Performance!$M$5:$M$404,BB279))</f>
        <v>0</v>
      </c>
      <c r="BF279" s="24">
        <f>IF(OR(BD279="",BD279=0),"",BE279/BD279)</f>
        <v>0</v>
      </c>
      <c r="BG279" s="32">
        <f>IF(BC279=0,"",IF(BF279="","",BF279+ROW()/1000000))</f>
        <v>0</v>
      </c>
      <c r="BH279" s="17">
        <f>IF(Performance!$C$279="","",Performance!$C$279)</f>
        <v>0</v>
      </c>
      <c r="BI279" s="17">
        <f>IF(Performance!$F$279="","",Performance!$F$279)</f>
        <v>0</v>
      </c>
      <c r="BJ279" s="17">
        <f>IF(Performance!$H$279="","",Performance!$H$279)</f>
        <v>0</v>
      </c>
      <c r="BK279" s="16">
        <f>IF(Performance!$D$279="","",Performance!$D$279)</f>
        <v>0</v>
      </c>
      <c r="BL279" s="17">
        <f>IF(Performance!$E$279="","",Performance!$E$279)</f>
        <v>0</v>
      </c>
      <c r="BM279" s="23">
        <f>IF(Performance!$O$279="","",Performance!$O$279)</f>
        <v>0</v>
      </c>
      <c r="BN279" s="24">
        <f>IF(Performance!$AA$279="","",Performance!$AA$279)</f>
        <v>0</v>
      </c>
      <c r="BO279" s="32">
        <f>IF(BH279="","",IF(BK279="","",IF(OR(BK279&lt;DashStart,BK279&gt;DashEnd),"",IF(BN279="","",BN279+ROW()/1000000))))</f>
        <v>0</v>
      </c>
      <c r="BP279" s="32">
        <f>IF(BM279="","",IF(BK279="","",IF(OR(BK279&lt;DashStart,BK279&gt;DashEnd),"",BM279+ROW()/1000000)))</f>
        <v>0</v>
      </c>
      <c r="BQ279" s="32">
        <f>IF(BH279="","",IF(BK279="","",IF(YEAR(BK279)&lt;&gt;PlanYear,"",IF(BN279="","",BN279+ROW()/1000000))))</f>
        <v>0</v>
      </c>
      <c r="BR279" s="32">
        <f>IF(BH279="","",IF(BK279="","",IF(OR(BK279&lt;RepFrom,BK279&gt;RepTo),"",IF(BN279="","",BN279+ROW()/1000000))))</f>
        <v>0</v>
      </c>
      <c r="BS279" s="32">
        <f>IF(BM279="","",IF(BK279="","",IF(YEAR(BK279)&lt;&gt;PlanYear,"",BM279+ROW()/1000000)))</f>
        <v>0</v>
      </c>
      <c r="BT279" s="17">
        <f>IF(Lists!$F279="","",Lists!$F279)</f>
        <v>0</v>
      </c>
      <c r="BU279" s="23">
        <f>IF(BT279="","",COUNTIF('Content Calendar'!$X$5:$X$604,BT279))</f>
        <v>0</v>
      </c>
      <c r="BV279" s="23">
        <f>IF(BT279="","",COUNTIFS('Content Calendar'!$X$5:$X$604,BT279,'Content Calendar'!$B$5:$B$604,"&gt;="&amp;DashStart,'Content Calendar'!$B$5:$B$604,"&lt;="&amp;DashEnd))</f>
        <v>0</v>
      </c>
      <c r="BW279" s="17">
        <f>IF(Team!$B$279="","",Team!$B$279)</f>
        <v>0</v>
      </c>
      <c r="BX279" s="23">
        <f>IF(BW279="","",COUNTIF('Content Calendar'!$W$5:$W$604,BW279))</f>
        <v>0</v>
      </c>
      <c r="BY279" s="23">
        <f>IF(BW279="","",COUNTIFS('Content Calendar'!$W$5:$W$604,BW279,'Content Calendar'!$X$5:$X$604,"&lt;&gt;Published"))</f>
        <v>0</v>
      </c>
      <c r="BZ279" s="23">
        <f>IF(BW279="","",COUNTIFS(Tasks!$C$5:$C$64,BW279,Tasks!$G$5:$G$64,"&lt;&gt;Complete"))</f>
        <v>0</v>
      </c>
      <c r="CA279" s="17">
        <f>IF(Campaigns!$B$279="","",Campaigns!$B$279)</f>
        <v>0</v>
      </c>
      <c r="CB279" s="25">
        <f>IF(Campaigns!$T$279="","",Campaigns!$T$279)</f>
        <v>0</v>
      </c>
      <c r="CC279" s="25">
        <f>IF(Campaigns!$Q$279="","",Campaigns!$Q$279)</f>
        <v>0</v>
      </c>
      <c r="CD279" s="23">
        <f>IF(Campaigns!$Y$279="","",Campaigns!$Y$279)</f>
        <v>0</v>
      </c>
      <c r="CE279" s="32">
        <f>IF(CA279="","",IF(N(CB279)&lt;=0,"",N(CB279)+ROW()/1000000))</f>
        <v>0</v>
      </c>
      <c r="CF279" s="17">
        <f>IF(Accounts!$C$279="","",Accounts!$C$279)</f>
        <v>0</v>
      </c>
      <c r="CG279" s="17">
        <f>IF(Accounts!$B$279="","",Accounts!$B$279)</f>
        <v>0</v>
      </c>
      <c r="CH279" s="23">
        <f>IF(Accounts!$J$279="","",Accounts!$J$279)</f>
        <v>0</v>
      </c>
      <c r="CI279" s="23">
        <f>IF(CF279="","",SUMIFS(Analytics!$X$5:$X$154,Analytics!$E$5:$E$154,CF279,Analytics!$B$5:$B$154,"&gt;="&amp;DashStart,Analytics!$B$5:$B$154,"&lt;="&amp;DashEnd))</f>
        <v>0</v>
      </c>
      <c r="CJ279" s="32">
        <f>IF(CH279="","",IF(CH279=0,"",CH279+ROW()/1000000))</f>
        <v>0</v>
      </c>
    </row>
    <row r="280" spans="1:88">
      <c r="A280" s="16">
        <f>IF(ROW()-4&gt;12,"",DATE(PlanYear,ROW()-4,1))</f>
        <v>0</v>
      </c>
      <c r="B280" s="16">
        <f>IF(A280="","",EOMONTH(A280,0))</f>
        <v>0</v>
      </c>
      <c r="C280" s="17">
        <f>IF(A280="","",TEXT(A280,"yyyy-mm"))</f>
        <v>0</v>
      </c>
      <c r="D280" s="17">
        <f>IF(A280="","",TEXT(A280,"mmm"))</f>
        <v>0</v>
      </c>
      <c r="E280" s="23">
        <f>IF(C280="","",COUNTIFS('Content Calendar'!$D$5:$D$604,C280))</f>
        <v>0</v>
      </c>
      <c r="F280" s="23">
        <f>IF(C280="","",COUNTIFS('Content Calendar'!$D$5:$D$604,C280,'Content Calendar'!$X$5:$X$604,"Published"))</f>
        <v>0</v>
      </c>
      <c r="G280" s="23">
        <f>IF(C280="","",SUMIFS(Analytics!$J$5:$J$154,Analytics!$C$5:$C$154,C280))</f>
        <v>0</v>
      </c>
      <c r="H280" s="23">
        <f>IF(C280="","",SUMIFS(Analytics!$K$5:$K$154,Analytics!$C$5:$C$154,C280))</f>
        <v>0</v>
      </c>
      <c r="I280" s="23">
        <f>IF(C280="","",SUMIFS(Analytics!$L$5:$L$154,Analytics!$C$5:$C$154,C280))</f>
        <v>0</v>
      </c>
      <c r="J280" s="24">
        <f>IF(OR(G280="",G280=0),"",I280/G280)</f>
        <v>0</v>
      </c>
      <c r="K280" s="23">
        <f>IF(C280="","",SUMIFS(Analytics!$G$5:$G$154,Analytics!$C$5:$C$154,C280))</f>
        <v>0</v>
      </c>
      <c r="L280" s="23">
        <f>IF(C280="","",SUMIFS(Analytics!$X$5:$X$154,Analytics!$C$5:$C$154,C280))</f>
        <v>0</v>
      </c>
      <c r="M280" s="23">
        <f>IF(C280="","",SUMIFS(Analytics!$R$5:$R$154,Analytics!$C$5:$C$154,C280))</f>
        <v>0</v>
      </c>
      <c r="N280" s="23">
        <f>IF(C280="","",SUMIFS(Analytics!$S$5:$S$154,Analytics!$C$5:$C$154,C280))</f>
        <v>0</v>
      </c>
      <c r="O280" s="23">
        <f>IF(C280="","",SUMIFS(Analytics!$T$5:$T$154,Analytics!$C$5:$C$154,C280))</f>
        <v>0</v>
      </c>
      <c r="P280" s="25">
        <f>IF(C280="","",SUMIFS(Analytics!$U$5:$U$154,Analytics!$C$5:$C$154,C280))</f>
        <v>0</v>
      </c>
      <c r="Q280" s="25">
        <f>IF(C280="","",SUMIFS(Budget!$H$5:$H$64,Budget!$C$5:$C$64,C280))</f>
        <v>0</v>
      </c>
      <c r="R280" s="25">
        <f>IF(C280="","",P280-Q280)</f>
        <v>0</v>
      </c>
      <c r="S280" s="23">
        <f>IF(C280="","",MonthlyPostTarget)</f>
        <v>0</v>
      </c>
      <c r="T280" s="17">
        <f>IF(Lists!$C280="","",Lists!$C280)</f>
        <v>0</v>
      </c>
      <c r="U280" s="23">
        <f>IF(T280="","",COUNTIFS('Content Calendar'!$G$5:$G$604,T280,'Content Calendar'!$B$5:$B$604,"&gt;="&amp;DashStart,'Content Calendar'!$B$5:$B$604,"&lt;="&amp;DashEnd))</f>
        <v>0</v>
      </c>
      <c r="V280" s="23">
        <f>IF(T280="","",COUNTIFS('Content Calendar'!$G$5:$G$604,T280,'Content Calendar'!$X$5:$X$604,"Published",'Content Calendar'!$B$5:$B$604,"&gt;="&amp;DashStart,'Content Calendar'!$B$5:$B$604,"&lt;="&amp;DashEnd))</f>
        <v>0</v>
      </c>
      <c r="W280" s="23">
        <f>IF(T280="","",SUMIFS(Analytics!$J$5:$J$154,Analytics!$D$5:$D$154,T280,Analytics!$B$5:$B$154,"&gt;="&amp;DashStart,Analytics!$B$5:$B$154,"&lt;="&amp;DashEnd))</f>
        <v>0</v>
      </c>
      <c r="X280" s="23">
        <f>IF(T280="","",SUMIFS(Analytics!$L$5:$L$154,Analytics!$D$5:$D$154,T280,Analytics!$B$5:$B$154,"&gt;="&amp;DashStart,Analytics!$B$5:$B$154,"&lt;="&amp;DashEnd))</f>
        <v>0</v>
      </c>
      <c r="Y280" s="24">
        <f>IF(OR(W280="",W280=0),"",X280/W280)</f>
        <v>0</v>
      </c>
      <c r="Z280" s="23">
        <f>IF(T280="","",SUMIFS(Analytics!$G$5:$G$154,Analytics!$D$5:$D$154,T280,Analytics!$B$5:$B$154,"&gt;="&amp;DashStart,Analytics!$B$5:$B$154,"&lt;="&amp;DashEnd))</f>
        <v>0</v>
      </c>
      <c r="AA280" s="23">
        <f>IF(T280="","",SUMIFS(Analytics!$X$5:$X$154,Analytics!$D$5:$D$154,T280,Analytics!$B$5:$B$154,"&gt;="&amp;DashStart,Analytics!$B$5:$B$154,"&lt;="&amp;DashEnd))</f>
        <v>0</v>
      </c>
      <c r="AB280" s="23">
        <f>IF(T280="","",SUMIFS(Analytics!$R$5:$R$154,Analytics!$D$5:$D$154,T280,Analytics!$B$5:$B$154,"&gt;="&amp;DashStart,Analytics!$B$5:$B$154,"&lt;="&amp;DashEnd))</f>
        <v>0</v>
      </c>
      <c r="AC280" s="25">
        <f>IF(T280="","",SUMIFS(Analytics!$U$5:$U$154,Analytics!$D$5:$D$154,T280,Analytics!$B$5:$B$154,"&gt;="&amp;DashStart,Analytics!$B$5:$B$154,"&lt;="&amp;DashEnd))</f>
        <v>0</v>
      </c>
      <c r="AD280" s="23">
        <f>IF(T280="","",COUNTIFS('Content Calendar'!$G$5:$G$604,T280,'Content Calendar'!$B$5:$B$604,"&gt;="&amp;DATE(PlanYear,1,1),'Content Calendar'!$B$5:$B$604,"&lt;="&amp;DATE(PlanYear,12,31)))</f>
        <v>0</v>
      </c>
      <c r="AE280" s="23">
        <f>IF(T280="","",SUMIFS(Analytics!$J$5:$J$154,Analytics!$D$5:$D$154,T280))</f>
        <v>0</v>
      </c>
      <c r="AF280" s="23">
        <f>IF(T280="","",SUMIFS(Analytics!$L$5:$L$154,Analytics!$D$5:$D$154,T280))</f>
        <v>0</v>
      </c>
      <c r="AG280" s="24">
        <f>IF(OR(AE280="",AE280=0),"",AF280/AE280)</f>
        <v>0</v>
      </c>
      <c r="AH280" s="23">
        <f>IF(T280="","",SUMIFS(Analytics!$X$5:$X$154,Analytics!$D$5:$D$154,T280))</f>
        <v>0</v>
      </c>
      <c r="AI280" s="32">
        <f>IF(T280="","",IF(AE280=0,"",AE280+ROW()/1000000))</f>
        <v>0</v>
      </c>
      <c r="AJ280" s="17">
        <f>IF('Content Pillars'!$B$280="","",'Content Pillars'!$B$280)</f>
        <v>0</v>
      </c>
      <c r="AK280" s="23">
        <f>IF(AJ280="","",COUNTIFS('Content Calendar'!$J$5:$J$604,AJ280,'Content Calendar'!$B$5:$B$604,"&gt;="&amp;DATE(PlanYear,1,1),'Content Calendar'!$B$5:$B$604,"&lt;="&amp;DATE(PlanYear,12,31)))</f>
        <v>0</v>
      </c>
      <c r="AL280" s="23">
        <f>IF(AJ280="","",SUMIFS(Performance!$O$5:$O$404,Performance!$H$5:$H$404,AJ280))</f>
        <v>0</v>
      </c>
      <c r="AM280" s="23">
        <f>IF(AJ280="","",SUMIFS(Performance!$Z$5:$Z$404,Performance!$H$5:$H$404,AJ280))</f>
        <v>0</v>
      </c>
      <c r="AN280" s="24">
        <f>IF(OR(AL280="",AL280=0),"",AM280/AL280)</f>
        <v>0</v>
      </c>
      <c r="AO280" s="32">
        <f>IF(AN280="","",AN280+ROW()/1000000)</f>
        <v>0</v>
      </c>
      <c r="AP280" s="17">
        <f>IF(Lists!$E280="","",Lists!$E280)</f>
        <v>0</v>
      </c>
      <c r="AQ280" s="23">
        <f>IF(AP280="","",COUNTIF(Performance!$G$5:$G$404,AP280))</f>
        <v>0</v>
      </c>
      <c r="AR280" s="23">
        <f>IF(AP280="","",SUMIFS(Performance!$O$5:$O$404,Performance!$G$5:$G$404,AP280))</f>
        <v>0</v>
      </c>
      <c r="AS280" s="23">
        <f>IF(AP280="","",SUMIFS(Performance!$Z$5:$Z$404,Performance!$G$5:$G$404,AP280))</f>
        <v>0</v>
      </c>
      <c r="AT280" s="24">
        <f>IF(OR(AR280="",AR280=0),"",AS280/AR280)</f>
        <v>0</v>
      </c>
      <c r="AU280" s="32">
        <f>IF(AQ280=0,"",IF(AT280="","",AT280+ROW()/1000000))</f>
        <v>0</v>
      </c>
      <c r="AV280" s="17">
        <f>IF(ROW()-4&gt;7,"",TEXT(DATE(2024,1,ROW()-4),"ddd"))</f>
        <v>0</v>
      </c>
      <c r="AW280" s="23">
        <f>IF(AV280="","",COUNTIF(Performance!$N$5:$N$404,AV280))</f>
        <v>0</v>
      </c>
      <c r="AX280" s="23">
        <f>IF(AV280="","",SUMIFS(Performance!$O$5:$O$404,Performance!$N$5:$N$404,AV280))</f>
        <v>0</v>
      </c>
      <c r="AY280" s="23">
        <f>IF(AV280="","",SUMIFS(Performance!$Z$5:$Z$404,Performance!$N$5:$N$404,AV280))</f>
        <v>0</v>
      </c>
      <c r="AZ280" s="24">
        <f>IF(OR(AX280="",AX280=0),"",AY280/AX280)</f>
        <v>0</v>
      </c>
      <c r="BA280" s="32">
        <f>IF(AW280=0,"",IF(AZ280="","",AZ280+ROW()/1000000))</f>
        <v>0</v>
      </c>
      <c r="BB280" s="17">
        <f>IF(Lists!$AL280="","",Lists!$AL280)</f>
        <v>0</v>
      </c>
      <c r="BC280" s="23">
        <f>IF(BB280="","",COUNTIF(Performance!$M$5:$M$404,BB280))</f>
        <v>0</v>
      </c>
      <c r="BD280" s="23">
        <f>IF(BB280="","",SUMIFS(Performance!$O$5:$O$404,Performance!$M$5:$M$404,BB280))</f>
        <v>0</v>
      </c>
      <c r="BE280" s="23">
        <f>IF(BB280="","",SUMIFS(Performance!$Z$5:$Z$404,Performance!$M$5:$M$404,BB280))</f>
        <v>0</v>
      </c>
      <c r="BF280" s="24">
        <f>IF(OR(BD280="",BD280=0),"",BE280/BD280)</f>
        <v>0</v>
      </c>
      <c r="BG280" s="32">
        <f>IF(BC280=0,"",IF(BF280="","",BF280+ROW()/1000000))</f>
        <v>0</v>
      </c>
      <c r="BH280" s="17">
        <f>IF(Performance!$C$280="","",Performance!$C$280)</f>
        <v>0</v>
      </c>
      <c r="BI280" s="17">
        <f>IF(Performance!$F$280="","",Performance!$F$280)</f>
        <v>0</v>
      </c>
      <c r="BJ280" s="17">
        <f>IF(Performance!$H$280="","",Performance!$H$280)</f>
        <v>0</v>
      </c>
      <c r="BK280" s="16">
        <f>IF(Performance!$D$280="","",Performance!$D$280)</f>
        <v>0</v>
      </c>
      <c r="BL280" s="17">
        <f>IF(Performance!$E$280="","",Performance!$E$280)</f>
        <v>0</v>
      </c>
      <c r="BM280" s="23">
        <f>IF(Performance!$O$280="","",Performance!$O$280)</f>
        <v>0</v>
      </c>
      <c r="BN280" s="24">
        <f>IF(Performance!$AA$280="","",Performance!$AA$280)</f>
        <v>0</v>
      </c>
      <c r="BO280" s="32">
        <f>IF(BH280="","",IF(BK280="","",IF(OR(BK280&lt;DashStart,BK280&gt;DashEnd),"",IF(BN280="","",BN280+ROW()/1000000))))</f>
        <v>0</v>
      </c>
      <c r="BP280" s="32">
        <f>IF(BM280="","",IF(BK280="","",IF(OR(BK280&lt;DashStart,BK280&gt;DashEnd),"",BM280+ROW()/1000000)))</f>
        <v>0</v>
      </c>
      <c r="BQ280" s="32">
        <f>IF(BH280="","",IF(BK280="","",IF(YEAR(BK280)&lt;&gt;PlanYear,"",IF(BN280="","",BN280+ROW()/1000000))))</f>
        <v>0</v>
      </c>
      <c r="BR280" s="32">
        <f>IF(BH280="","",IF(BK280="","",IF(OR(BK280&lt;RepFrom,BK280&gt;RepTo),"",IF(BN280="","",BN280+ROW()/1000000))))</f>
        <v>0</v>
      </c>
      <c r="BS280" s="32">
        <f>IF(BM280="","",IF(BK280="","",IF(YEAR(BK280)&lt;&gt;PlanYear,"",BM280+ROW()/1000000)))</f>
        <v>0</v>
      </c>
      <c r="BT280" s="17">
        <f>IF(Lists!$F280="","",Lists!$F280)</f>
        <v>0</v>
      </c>
      <c r="BU280" s="23">
        <f>IF(BT280="","",COUNTIF('Content Calendar'!$X$5:$X$604,BT280))</f>
        <v>0</v>
      </c>
      <c r="BV280" s="23">
        <f>IF(BT280="","",COUNTIFS('Content Calendar'!$X$5:$X$604,BT280,'Content Calendar'!$B$5:$B$604,"&gt;="&amp;DashStart,'Content Calendar'!$B$5:$B$604,"&lt;="&amp;DashEnd))</f>
        <v>0</v>
      </c>
      <c r="BW280" s="17">
        <f>IF(Team!$B$280="","",Team!$B$280)</f>
        <v>0</v>
      </c>
      <c r="BX280" s="23">
        <f>IF(BW280="","",COUNTIF('Content Calendar'!$W$5:$W$604,BW280))</f>
        <v>0</v>
      </c>
      <c r="BY280" s="23">
        <f>IF(BW280="","",COUNTIFS('Content Calendar'!$W$5:$W$604,BW280,'Content Calendar'!$X$5:$X$604,"&lt;&gt;Published"))</f>
        <v>0</v>
      </c>
      <c r="BZ280" s="23">
        <f>IF(BW280="","",COUNTIFS(Tasks!$C$5:$C$64,BW280,Tasks!$G$5:$G$64,"&lt;&gt;Complete"))</f>
        <v>0</v>
      </c>
      <c r="CA280" s="17">
        <f>IF(Campaigns!$B$280="","",Campaigns!$B$280)</f>
        <v>0</v>
      </c>
      <c r="CB280" s="25">
        <f>IF(Campaigns!$T$280="","",Campaigns!$T$280)</f>
        <v>0</v>
      </c>
      <c r="CC280" s="25">
        <f>IF(Campaigns!$Q$280="","",Campaigns!$Q$280)</f>
        <v>0</v>
      </c>
      <c r="CD280" s="23">
        <f>IF(Campaigns!$Y$280="","",Campaigns!$Y$280)</f>
        <v>0</v>
      </c>
      <c r="CE280" s="32">
        <f>IF(CA280="","",IF(N(CB280)&lt;=0,"",N(CB280)+ROW()/1000000))</f>
        <v>0</v>
      </c>
      <c r="CF280" s="17">
        <f>IF(Accounts!$C$280="","",Accounts!$C$280)</f>
        <v>0</v>
      </c>
      <c r="CG280" s="17">
        <f>IF(Accounts!$B$280="","",Accounts!$B$280)</f>
        <v>0</v>
      </c>
      <c r="CH280" s="23">
        <f>IF(Accounts!$J$280="","",Accounts!$J$280)</f>
        <v>0</v>
      </c>
      <c r="CI280" s="23">
        <f>IF(CF280="","",SUMIFS(Analytics!$X$5:$X$154,Analytics!$E$5:$E$154,CF280,Analytics!$B$5:$B$154,"&gt;="&amp;DashStart,Analytics!$B$5:$B$154,"&lt;="&amp;DashEnd))</f>
        <v>0</v>
      </c>
      <c r="CJ280" s="32">
        <f>IF(CH280="","",IF(CH280=0,"",CH280+ROW()/1000000))</f>
        <v>0</v>
      </c>
    </row>
    <row r="281" spans="1:88">
      <c r="A281" s="16">
        <f>IF(ROW()-4&gt;12,"",DATE(PlanYear,ROW()-4,1))</f>
        <v>0</v>
      </c>
      <c r="B281" s="16">
        <f>IF(A281="","",EOMONTH(A281,0))</f>
        <v>0</v>
      </c>
      <c r="C281" s="17">
        <f>IF(A281="","",TEXT(A281,"yyyy-mm"))</f>
        <v>0</v>
      </c>
      <c r="D281" s="17">
        <f>IF(A281="","",TEXT(A281,"mmm"))</f>
        <v>0</v>
      </c>
      <c r="E281" s="23">
        <f>IF(C281="","",COUNTIFS('Content Calendar'!$D$5:$D$604,C281))</f>
        <v>0</v>
      </c>
      <c r="F281" s="23">
        <f>IF(C281="","",COUNTIFS('Content Calendar'!$D$5:$D$604,C281,'Content Calendar'!$X$5:$X$604,"Published"))</f>
        <v>0</v>
      </c>
      <c r="G281" s="23">
        <f>IF(C281="","",SUMIFS(Analytics!$J$5:$J$154,Analytics!$C$5:$C$154,C281))</f>
        <v>0</v>
      </c>
      <c r="H281" s="23">
        <f>IF(C281="","",SUMIFS(Analytics!$K$5:$K$154,Analytics!$C$5:$C$154,C281))</f>
        <v>0</v>
      </c>
      <c r="I281" s="23">
        <f>IF(C281="","",SUMIFS(Analytics!$L$5:$L$154,Analytics!$C$5:$C$154,C281))</f>
        <v>0</v>
      </c>
      <c r="J281" s="24">
        <f>IF(OR(G281="",G281=0),"",I281/G281)</f>
        <v>0</v>
      </c>
      <c r="K281" s="23">
        <f>IF(C281="","",SUMIFS(Analytics!$G$5:$G$154,Analytics!$C$5:$C$154,C281))</f>
        <v>0</v>
      </c>
      <c r="L281" s="23">
        <f>IF(C281="","",SUMIFS(Analytics!$X$5:$X$154,Analytics!$C$5:$C$154,C281))</f>
        <v>0</v>
      </c>
      <c r="M281" s="23">
        <f>IF(C281="","",SUMIFS(Analytics!$R$5:$R$154,Analytics!$C$5:$C$154,C281))</f>
        <v>0</v>
      </c>
      <c r="N281" s="23">
        <f>IF(C281="","",SUMIFS(Analytics!$S$5:$S$154,Analytics!$C$5:$C$154,C281))</f>
        <v>0</v>
      </c>
      <c r="O281" s="23">
        <f>IF(C281="","",SUMIFS(Analytics!$T$5:$T$154,Analytics!$C$5:$C$154,C281))</f>
        <v>0</v>
      </c>
      <c r="P281" s="25">
        <f>IF(C281="","",SUMIFS(Analytics!$U$5:$U$154,Analytics!$C$5:$C$154,C281))</f>
        <v>0</v>
      </c>
      <c r="Q281" s="25">
        <f>IF(C281="","",SUMIFS(Budget!$H$5:$H$64,Budget!$C$5:$C$64,C281))</f>
        <v>0</v>
      </c>
      <c r="R281" s="25">
        <f>IF(C281="","",P281-Q281)</f>
        <v>0</v>
      </c>
      <c r="S281" s="23">
        <f>IF(C281="","",MonthlyPostTarget)</f>
        <v>0</v>
      </c>
      <c r="T281" s="17">
        <f>IF(Lists!$C281="","",Lists!$C281)</f>
        <v>0</v>
      </c>
      <c r="U281" s="23">
        <f>IF(T281="","",COUNTIFS('Content Calendar'!$G$5:$G$604,T281,'Content Calendar'!$B$5:$B$604,"&gt;="&amp;DashStart,'Content Calendar'!$B$5:$B$604,"&lt;="&amp;DashEnd))</f>
        <v>0</v>
      </c>
      <c r="V281" s="23">
        <f>IF(T281="","",COUNTIFS('Content Calendar'!$G$5:$G$604,T281,'Content Calendar'!$X$5:$X$604,"Published",'Content Calendar'!$B$5:$B$604,"&gt;="&amp;DashStart,'Content Calendar'!$B$5:$B$604,"&lt;="&amp;DashEnd))</f>
        <v>0</v>
      </c>
      <c r="W281" s="23">
        <f>IF(T281="","",SUMIFS(Analytics!$J$5:$J$154,Analytics!$D$5:$D$154,T281,Analytics!$B$5:$B$154,"&gt;="&amp;DashStart,Analytics!$B$5:$B$154,"&lt;="&amp;DashEnd))</f>
        <v>0</v>
      </c>
      <c r="X281" s="23">
        <f>IF(T281="","",SUMIFS(Analytics!$L$5:$L$154,Analytics!$D$5:$D$154,T281,Analytics!$B$5:$B$154,"&gt;="&amp;DashStart,Analytics!$B$5:$B$154,"&lt;="&amp;DashEnd))</f>
        <v>0</v>
      </c>
      <c r="Y281" s="24">
        <f>IF(OR(W281="",W281=0),"",X281/W281)</f>
        <v>0</v>
      </c>
      <c r="Z281" s="23">
        <f>IF(T281="","",SUMIFS(Analytics!$G$5:$G$154,Analytics!$D$5:$D$154,T281,Analytics!$B$5:$B$154,"&gt;="&amp;DashStart,Analytics!$B$5:$B$154,"&lt;="&amp;DashEnd))</f>
        <v>0</v>
      </c>
      <c r="AA281" s="23">
        <f>IF(T281="","",SUMIFS(Analytics!$X$5:$X$154,Analytics!$D$5:$D$154,T281,Analytics!$B$5:$B$154,"&gt;="&amp;DashStart,Analytics!$B$5:$B$154,"&lt;="&amp;DashEnd))</f>
        <v>0</v>
      </c>
      <c r="AB281" s="23">
        <f>IF(T281="","",SUMIFS(Analytics!$R$5:$R$154,Analytics!$D$5:$D$154,T281,Analytics!$B$5:$B$154,"&gt;="&amp;DashStart,Analytics!$B$5:$B$154,"&lt;="&amp;DashEnd))</f>
        <v>0</v>
      </c>
      <c r="AC281" s="25">
        <f>IF(T281="","",SUMIFS(Analytics!$U$5:$U$154,Analytics!$D$5:$D$154,T281,Analytics!$B$5:$B$154,"&gt;="&amp;DashStart,Analytics!$B$5:$B$154,"&lt;="&amp;DashEnd))</f>
        <v>0</v>
      </c>
      <c r="AD281" s="23">
        <f>IF(T281="","",COUNTIFS('Content Calendar'!$G$5:$G$604,T281,'Content Calendar'!$B$5:$B$604,"&gt;="&amp;DATE(PlanYear,1,1),'Content Calendar'!$B$5:$B$604,"&lt;="&amp;DATE(PlanYear,12,31)))</f>
        <v>0</v>
      </c>
      <c r="AE281" s="23">
        <f>IF(T281="","",SUMIFS(Analytics!$J$5:$J$154,Analytics!$D$5:$D$154,T281))</f>
        <v>0</v>
      </c>
      <c r="AF281" s="23">
        <f>IF(T281="","",SUMIFS(Analytics!$L$5:$L$154,Analytics!$D$5:$D$154,T281))</f>
        <v>0</v>
      </c>
      <c r="AG281" s="24">
        <f>IF(OR(AE281="",AE281=0),"",AF281/AE281)</f>
        <v>0</v>
      </c>
      <c r="AH281" s="23">
        <f>IF(T281="","",SUMIFS(Analytics!$X$5:$X$154,Analytics!$D$5:$D$154,T281))</f>
        <v>0</v>
      </c>
      <c r="AI281" s="32">
        <f>IF(T281="","",IF(AE281=0,"",AE281+ROW()/1000000))</f>
        <v>0</v>
      </c>
      <c r="AJ281" s="17">
        <f>IF('Content Pillars'!$B$281="","",'Content Pillars'!$B$281)</f>
        <v>0</v>
      </c>
      <c r="AK281" s="23">
        <f>IF(AJ281="","",COUNTIFS('Content Calendar'!$J$5:$J$604,AJ281,'Content Calendar'!$B$5:$B$604,"&gt;="&amp;DATE(PlanYear,1,1),'Content Calendar'!$B$5:$B$604,"&lt;="&amp;DATE(PlanYear,12,31)))</f>
        <v>0</v>
      </c>
      <c r="AL281" s="23">
        <f>IF(AJ281="","",SUMIFS(Performance!$O$5:$O$404,Performance!$H$5:$H$404,AJ281))</f>
        <v>0</v>
      </c>
      <c r="AM281" s="23">
        <f>IF(AJ281="","",SUMIFS(Performance!$Z$5:$Z$404,Performance!$H$5:$H$404,AJ281))</f>
        <v>0</v>
      </c>
      <c r="AN281" s="24">
        <f>IF(OR(AL281="",AL281=0),"",AM281/AL281)</f>
        <v>0</v>
      </c>
      <c r="AO281" s="32">
        <f>IF(AN281="","",AN281+ROW()/1000000)</f>
        <v>0</v>
      </c>
      <c r="AP281" s="17">
        <f>IF(Lists!$E281="","",Lists!$E281)</f>
        <v>0</v>
      </c>
      <c r="AQ281" s="23">
        <f>IF(AP281="","",COUNTIF(Performance!$G$5:$G$404,AP281))</f>
        <v>0</v>
      </c>
      <c r="AR281" s="23">
        <f>IF(AP281="","",SUMIFS(Performance!$O$5:$O$404,Performance!$G$5:$G$404,AP281))</f>
        <v>0</v>
      </c>
      <c r="AS281" s="23">
        <f>IF(AP281="","",SUMIFS(Performance!$Z$5:$Z$404,Performance!$G$5:$G$404,AP281))</f>
        <v>0</v>
      </c>
      <c r="AT281" s="24">
        <f>IF(OR(AR281="",AR281=0),"",AS281/AR281)</f>
        <v>0</v>
      </c>
      <c r="AU281" s="32">
        <f>IF(AQ281=0,"",IF(AT281="","",AT281+ROW()/1000000))</f>
        <v>0</v>
      </c>
      <c r="AV281" s="17">
        <f>IF(ROW()-4&gt;7,"",TEXT(DATE(2024,1,ROW()-4),"ddd"))</f>
        <v>0</v>
      </c>
      <c r="AW281" s="23">
        <f>IF(AV281="","",COUNTIF(Performance!$N$5:$N$404,AV281))</f>
        <v>0</v>
      </c>
      <c r="AX281" s="23">
        <f>IF(AV281="","",SUMIFS(Performance!$O$5:$O$404,Performance!$N$5:$N$404,AV281))</f>
        <v>0</v>
      </c>
      <c r="AY281" s="23">
        <f>IF(AV281="","",SUMIFS(Performance!$Z$5:$Z$404,Performance!$N$5:$N$404,AV281))</f>
        <v>0</v>
      </c>
      <c r="AZ281" s="24">
        <f>IF(OR(AX281="",AX281=0),"",AY281/AX281)</f>
        <v>0</v>
      </c>
      <c r="BA281" s="32">
        <f>IF(AW281=0,"",IF(AZ281="","",AZ281+ROW()/1000000))</f>
        <v>0</v>
      </c>
      <c r="BB281" s="17">
        <f>IF(Lists!$AL281="","",Lists!$AL281)</f>
        <v>0</v>
      </c>
      <c r="BC281" s="23">
        <f>IF(BB281="","",COUNTIF(Performance!$M$5:$M$404,BB281))</f>
        <v>0</v>
      </c>
      <c r="BD281" s="23">
        <f>IF(BB281="","",SUMIFS(Performance!$O$5:$O$404,Performance!$M$5:$M$404,BB281))</f>
        <v>0</v>
      </c>
      <c r="BE281" s="23">
        <f>IF(BB281="","",SUMIFS(Performance!$Z$5:$Z$404,Performance!$M$5:$M$404,BB281))</f>
        <v>0</v>
      </c>
      <c r="BF281" s="24">
        <f>IF(OR(BD281="",BD281=0),"",BE281/BD281)</f>
        <v>0</v>
      </c>
      <c r="BG281" s="32">
        <f>IF(BC281=0,"",IF(BF281="","",BF281+ROW()/1000000))</f>
        <v>0</v>
      </c>
      <c r="BH281" s="17">
        <f>IF(Performance!$C$281="","",Performance!$C$281)</f>
        <v>0</v>
      </c>
      <c r="BI281" s="17">
        <f>IF(Performance!$F$281="","",Performance!$F$281)</f>
        <v>0</v>
      </c>
      <c r="BJ281" s="17">
        <f>IF(Performance!$H$281="","",Performance!$H$281)</f>
        <v>0</v>
      </c>
      <c r="BK281" s="16">
        <f>IF(Performance!$D$281="","",Performance!$D$281)</f>
        <v>0</v>
      </c>
      <c r="BL281" s="17">
        <f>IF(Performance!$E$281="","",Performance!$E$281)</f>
        <v>0</v>
      </c>
      <c r="BM281" s="23">
        <f>IF(Performance!$O$281="","",Performance!$O$281)</f>
        <v>0</v>
      </c>
      <c r="BN281" s="24">
        <f>IF(Performance!$AA$281="","",Performance!$AA$281)</f>
        <v>0</v>
      </c>
      <c r="BO281" s="32">
        <f>IF(BH281="","",IF(BK281="","",IF(OR(BK281&lt;DashStart,BK281&gt;DashEnd),"",IF(BN281="","",BN281+ROW()/1000000))))</f>
        <v>0</v>
      </c>
      <c r="BP281" s="32">
        <f>IF(BM281="","",IF(BK281="","",IF(OR(BK281&lt;DashStart,BK281&gt;DashEnd),"",BM281+ROW()/1000000)))</f>
        <v>0</v>
      </c>
      <c r="BQ281" s="32">
        <f>IF(BH281="","",IF(BK281="","",IF(YEAR(BK281)&lt;&gt;PlanYear,"",IF(BN281="","",BN281+ROW()/1000000))))</f>
        <v>0</v>
      </c>
      <c r="BR281" s="32">
        <f>IF(BH281="","",IF(BK281="","",IF(OR(BK281&lt;RepFrom,BK281&gt;RepTo),"",IF(BN281="","",BN281+ROW()/1000000))))</f>
        <v>0</v>
      </c>
      <c r="BS281" s="32">
        <f>IF(BM281="","",IF(BK281="","",IF(YEAR(BK281)&lt;&gt;PlanYear,"",BM281+ROW()/1000000)))</f>
        <v>0</v>
      </c>
      <c r="BT281" s="17">
        <f>IF(Lists!$F281="","",Lists!$F281)</f>
        <v>0</v>
      </c>
      <c r="BU281" s="23">
        <f>IF(BT281="","",COUNTIF('Content Calendar'!$X$5:$X$604,BT281))</f>
        <v>0</v>
      </c>
      <c r="BV281" s="23">
        <f>IF(BT281="","",COUNTIFS('Content Calendar'!$X$5:$X$604,BT281,'Content Calendar'!$B$5:$B$604,"&gt;="&amp;DashStart,'Content Calendar'!$B$5:$B$604,"&lt;="&amp;DashEnd))</f>
        <v>0</v>
      </c>
      <c r="BW281" s="17">
        <f>IF(Team!$B$281="","",Team!$B$281)</f>
        <v>0</v>
      </c>
      <c r="BX281" s="23">
        <f>IF(BW281="","",COUNTIF('Content Calendar'!$W$5:$W$604,BW281))</f>
        <v>0</v>
      </c>
      <c r="BY281" s="23">
        <f>IF(BW281="","",COUNTIFS('Content Calendar'!$W$5:$W$604,BW281,'Content Calendar'!$X$5:$X$604,"&lt;&gt;Published"))</f>
        <v>0</v>
      </c>
      <c r="BZ281" s="23">
        <f>IF(BW281="","",COUNTIFS(Tasks!$C$5:$C$64,BW281,Tasks!$G$5:$G$64,"&lt;&gt;Complete"))</f>
        <v>0</v>
      </c>
      <c r="CA281" s="17">
        <f>IF(Campaigns!$B$281="","",Campaigns!$B$281)</f>
        <v>0</v>
      </c>
      <c r="CB281" s="25">
        <f>IF(Campaigns!$T$281="","",Campaigns!$T$281)</f>
        <v>0</v>
      </c>
      <c r="CC281" s="25">
        <f>IF(Campaigns!$Q$281="","",Campaigns!$Q$281)</f>
        <v>0</v>
      </c>
      <c r="CD281" s="23">
        <f>IF(Campaigns!$Y$281="","",Campaigns!$Y$281)</f>
        <v>0</v>
      </c>
      <c r="CE281" s="32">
        <f>IF(CA281="","",IF(N(CB281)&lt;=0,"",N(CB281)+ROW()/1000000))</f>
        <v>0</v>
      </c>
      <c r="CF281" s="17">
        <f>IF(Accounts!$C$281="","",Accounts!$C$281)</f>
        <v>0</v>
      </c>
      <c r="CG281" s="17">
        <f>IF(Accounts!$B$281="","",Accounts!$B$281)</f>
        <v>0</v>
      </c>
      <c r="CH281" s="23">
        <f>IF(Accounts!$J$281="","",Accounts!$J$281)</f>
        <v>0</v>
      </c>
      <c r="CI281" s="23">
        <f>IF(CF281="","",SUMIFS(Analytics!$X$5:$X$154,Analytics!$E$5:$E$154,CF281,Analytics!$B$5:$B$154,"&gt;="&amp;DashStart,Analytics!$B$5:$B$154,"&lt;="&amp;DashEnd))</f>
        <v>0</v>
      </c>
      <c r="CJ281" s="32">
        <f>IF(CH281="","",IF(CH281=0,"",CH281+ROW()/1000000))</f>
        <v>0</v>
      </c>
    </row>
    <row r="282" spans="1:88">
      <c r="A282" s="16">
        <f>IF(ROW()-4&gt;12,"",DATE(PlanYear,ROW()-4,1))</f>
        <v>0</v>
      </c>
      <c r="B282" s="16">
        <f>IF(A282="","",EOMONTH(A282,0))</f>
        <v>0</v>
      </c>
      <c r="C282" s="17">
        <f>IF(A282="","",TEXT(A282,"yyyy-mm"))</f>
        <v>0</v>
      </c>
      <c r="D282" s="17">
        <f>IF(A282="","",TEXT(A282,"mmm"))</f>
        <v>0</v>
      </c>
      <c r="E282" s="23">
        <f>IF(C282="","",COUNTIFS('Content Calendar'!$D$5:$D$604,C282))</f>
        <v>0</v>
      </c>
      <c r="F282" s="23">
        <f>IF(C282="","",COUNTIFS('Content Calendar'!$D$5:$D$604,C282,'Content Calendar'!$X$5:$X$604,"Published"))</f>
        <v>0</v>
      </c>
      <c r="G282" s="23">
        <f>IF(C282="","",SUMIFS(Analytics!$J$5:$J$154,Analytics!$C$5:$C$154,C282))</f>
        <v>0</v>
      </c>
      <c r="H282" s="23">
        <f>IF(C282="","",SUMIFS(Analytics!$K$5:$K$154,Analytics!$C$5:$C$154,C282))</f>
        <v>0</v>
      </c>
      <c r="I282" s="23">
        <f>IF(C282="","",SUMIFS(Analytics!$L$5:$L$154,Analytics!$C$5:$C$154,C282))</f>
        <v>0</v>
      </c>
      <c r="J282" s="24">
        <f>IF(OR(G282="",G282=0),"",I282/G282)</f>
        <v>0</v>
      </c>
      <c r="K282" s="23">
        <f>IF(C282="","",SUMIFS(Analytics!$G$5:$G$154,Analytics!$C$5:$C$154,C282))</f>
        <v>0</v>
      </c>
      <c r="L282" s="23">
        <f>IF(C282="","",SUMIFS(Analytics!$X$5:$X$154,Analytics!$C$5:$C$154,C282))</f>
        <v>0</v>
      </c>
      <c r="M282" s="23">
        <f>IF(C282="","",SUMIFS(Analytics!$R$5:$R$154,Analytics!$C$5:$C$154,C282))</f>
        <v>0</v>
      </c>
      <c r="N282" s="23">
        <f>IF(C282="","",SUMIFS(Analytics!$S$5:$S$154,Analytics!$C$5:$C$154,C282))</f>
        <v>0</v>
      </c>
      <c r="O282" s="23">
        <f>IF(C282="","",SUMIFS(Analytics!$T$5:$T$154,Analytics!$C$5:$C$154,C282))</f>
        <v>0</v>
      </c>
      <c r="P282" s="25">
        <f>IF(C282="","",SUMIFS(Analytics!$U$5:$U$154,Analytics!$C$5:$C$154,C282))</f>
        <v>0</v>
      </c>
      <c r="Q282" s="25">
        <f>IF(C282="","",SUMIFS(Budget!$H$5:$H$64,Budget!$C$5:$C$64,C282))</f>
        <v>0</v>
      </c>
      <c r="R282" s="25">
        <f>IF(C282="","",P282-Q282)</f>
        <v>0</v>
      </c>
      <c r="S282" s="23">
        <f>IF(C282="","",MonthlyPostTarget)</f>
        <v>0</v>
      </c>
      <c r="T282" s="17">
        <f>IF(Lists!$C282="","",Lists!$C282)</f>
        <v>0</v>
      </c>
      <c r="U282" s="23">
        <f>IF(T282="","",COUNTIFS('Content Calendar'!$G$5:$G$604,T282,'Content Calendar'!$B$5:$B$604,"&gt;="&amp;DashStart,'Content Calendar'!$B$5:$B$604,"&lt;="&amp;DashEnd))</f>
        <v>0</v>
      </c>
      <c r="V282" s="23">
        <f>IF(T282="","",COUNTIFS('Content Calendar'!$G$5:$G$604,T282,'Content Calendar'!$X$5:$X$604,"Published",'Content Calendar'!$B$5:$B$604,"&gt;="&amp;DashStart,'Content Calendar'!$B$5:$B$604,"&lt;="&amp;DashEnd))</f>
        <v>0</v>
      </c>
      <c r="W282" s="23">
        <f>IF(T282="","",SUMIFS(Analytics!$J$5:$J$154,Analytics!$D$5:$D$154,T282,Analytics!$B$5:$B$154,"&gt;="&amp;DashStart,Analytics!$B$5:$B$154,"&lt;="&amp;DashEnd))</f>
        <v>0</v>
      </c>
      <c r="X282" s="23">
        <f>IF(T282="","",SUMIFS(Analytics!$L$5:$L$154,Analytics!$D$5:$D$154,T282,Analytics!$B$5:$B$154,"&gt;="&amp;DashStart,Analytics!$B$5:$B$154,"&lt;="&amp;DashEnd))</f>
        <v>0</v>
      </c>
      <c r="Y282" s="24">
        <f>IF(OR(W282="",W282=0),"",X282/W282)</f>
        <v>0</v>
      </c>
      <c r="Z282" s="23">
        <f>IF(T282="","",SUMIFS(Analytics!$G$5:$G$154,Analytics!$D$5:$D$154,T282,Analytics!$B$5:$B$154,"&gt;="&amp;DashStart,Analytics!$B$5:$B$154,"&lt;="&amp;DashEnd))</f>
        <v>0</v>
      </c>
      <c r="AA282" s="23">
        <f>IF(T282="","",SUMIFS(Analytics!$X$5:$X$154,Analytics!$D$5:$D$154,T282,Analytics!$B$5:$B$154,"&gt;="&amp;DashStart,Analytics!$B$5:$B$154,"&lt;="&amp;DashEnd))</f>
        <v>0</v>
      </c>
      <c r="AB282" s="23">
        <f>IF(T282="","",SUMIFS(Analytics!$R$5:$R$154,Analytics!$D$5:$D$154,T282,Analytics!$B$5:$B$154,"&gt;="&amp;DashStart,Analytics!$B$5:$B$154,"&lt;="&amp;DashEnd))</f>
        <v>0</v>
      </c>
      <c r="AC282" s="25">
        <f>IF(T282="","",SUMIFS(Analytics!$U$5:$U$154,Analytics!$D$5:$D$154,T282,Analytics!$B$5:$B$154,"&gt;="&amp;DashStart,Analytics!$B$5:$B$154,"&lt;="&amp;DashEnd))</f>
        <v>0</v>
      </c>
      <c r="AD282" s="23">
        <f>IF(T282="","",COUNTIFS('Content Calendar'!$G$5:$G$604,T282,'Content Calendar'!$B$5:$B$604,"&gt;="&amp;DATE(PlanYear,1,1),'Content Calendar'!$B$5:$B$604,"&lt;="&amp;DATE(PlanYear,12,31)))</f>
        <v>0</v>
      </c>
      <c r="AE282" s="23">
        <f>IF(T282="","",SUMIFS(Analytics!$J$5:$J$154,Analytics!$D$5:$D$154,T282))</f>
        <v>0</v>
      </c>
      <c r="AF282" s="23">
        <f>IF(T282="","",SUMIFS(Analytics!$L$5:$L$154,Analytics!$D$5:$D$154,T282))</f>
        <v>0</v>
      </c>
      <c r="AG282" s="24">
        <f>IF(OR(AE282="",AE282=0),"",AF282/AE282)</f>
        <v>0</v>
      </c>
      <c r="AH282" s="23">
        <f>IF(T282="","",SUMIFS(Analytics!$X$5:$X$154,Analytics!$D$5:$D$154,T282))</f>
        <v>0</v>
      </c>
      <c r="AI282" s="32">
        <f>IF(T282="","",IF(AE282=0,"",AE282+ROW()/1000000))</f>
        <v>0</v>
      </c>
      <c r="AJ282" s="17">
        <f>IF('Content Pillars'!$B$282="","",'Content Pillars'!$B$282)</f>
        <v>0</v>
      </c>
      <c r="AK282" s="23">
        <f>IF(AJ282="","",COUNTIFS('Content Calendar'!$J$5:$J$604,AJ282,'Content Calendar'!$B$5:$B$604,"&gt;="&amp;DATE(PlanYear,1,1),'Content Calendar'!$B$5:$B$604,"&lt;="&amp;DATE(PlanYear,12,31)))</f>
        <v>0</v>
      </c>
      <c r="AL282" s="23">
        <f>IF(AJ282="","",SUMIFS(Performance!$O$5:$O$404,Performance!$H$5:$H$404,AJ282))</f>
        <v>0</v>
      </c>
      <c r="AM282" s="23">
        <f>IF(AJ282="","",SUMIFS(Performance!$Z$5:$Z$404,Performance!$H$5:$H$404,AJ282))</f>
        <v>0</v>
      </c>
      <c r="AN282" s="24">
        <f>IF(OR(AL282="",AL282=0),"",AM282/AL282)</f>
        <v>0</v>
      </c>
      <c r="AO282" s="32">
        <f>IF(AN282="","",AN282+ROW()/1000000)</f>
        <v>0</v>
      </c>
      <c r="AP282" s="17">
        <f>IF(Lists!$E282="","",Lists!$E282)</f>
        <v>0</v>
      </c>
      <c r="AQ282" s="23">
        <f>IF(AP282="","",COUNTIF(Performance!$G$5:$G$404,AP282))</f>
        <v>0</v>
      </c>
      <c r="AR282" s="23">
        <f>IF(AP282="","",SUMIFS(Performance!$O$5:$O$404,Performance!$G$5:$G$404,AP282))</f>
        <v>0</v>
      </c>
      <c r="AS282" s="23">
        <f>IF(AP282="","",SUMIFS(Performance!$Z$5:$Z$404,Performance!$G$5:$G$404,AP282))</f>
        <v>0</v>
      </c>
      <c r="AT282" s="24">
        <f>IF(OR(AR282="",AR282=0),"",AS282/AR282)</f>
        <v>0</v>
      </c>
      <c r="AU282" s="32">
        <f>IF(AQ282=0,"",IF(AT282="","",AT282+ROW()/1000000))</f>
        <v>0</v>
      </c>
      <c r="AV282" s="17">
        <f>IF(ROW()-4&gt;7,"",TEXT(DATE(2024,1,ROW()-4),"ddd"))</f>
        <v>0</v>
      </c>
      <c r="AW282" s="23">
        <f>IF(AV282="","",COUNTIF(Performance!$N$5:$N$404,AV282))</f>
        <v>0</v>
      </c>
      <c r="AX282" s="23">
        <f>IF(AV282="","",SUMIFS(Performance!$O$5:$O$404,Performance!$N$5:$N$404,AV282))</f>
        <v>0</v>
      </c>
      <c r="AY282" s="23">
        <f>IF(AV282="","",SUMIFS(Performance!$Z$5:$Z$404,Performance!$N$5:$N$404,AV282))</f>
        <v>0</v>
      </c>
      <c r="AZ282" s="24">
        <f>IF(OR(AX282="",AX282=0),"",AY282/AX282)</f>
        <v>0</v>
      </c>
      <c r="BA282" s="32">
        <f>IF(AW282=0,"",IF(AZ282="","",AZ282+ROW()/1000000))</f>
        <v>0</v>
      </c>
      <c r="BB282" s="17">
        <f>IF(Lists!$AL282="","",Lists!$AL282)</f>
        <v>0</v>
      </c>
      <c r="BC282" s="23">
        <f>IF(BB282="","",COUNTIF(Performance!$M$5:$M$404,BB282))</f>
        <v>0</v>
      </c>
      <c r="BD282" s="23">
        <f>IF(BB282="","",SUMIFS(Performance!$O$5:$O$404,Performance!$M$5:$M$404,BB282))</f>
        <v>0</v>
      </c>
      <c r="BE282" s="23">
        <f>IF(BB282="","",SUMIFS(Performance!$Z$5:$Z$404,Performance!$M$5:$M$404,BB282))</f>
        <v>0</v>
      </c>
      <c r="BF282" s="24">
        <f>IF(OR(BD282="",BD282=0),"",BE282/BD282)</f>
        <v>0</v>
      </c>
      <c r="BG282" s="32">
        <f>IF(BC282=0,"",IF(BF282="","",BF282+ROW()/1000000))</f>
        <v>0</v>
      </c>
      <c r="BH282" s="17">
        <f>IF(Performance!$C$282="","",Performance!$C$282)</f>
        <v>0</v>
      </c>
      <c r="BI282" s="17">
        <f>IF(Performance!$F$282="","",Performance!$F$282)</f>
        <v>0</v>
      </c>
      <c r="BJ282" s="17">
        <f>IF(Performance!$H$282="","",Performance!$H$282)</f>
        <v>0</v>
      </c>
      <c r="BK282" s="16">
        <f>IF(Performance!$D$282="","",Performance!$D$282)</f>
        <v>0</v>
      </c>
      <c r="BL282" s="17">
        <f>IF(Performance!$E$282="","",Performance!$E$282)</f>
        <v>0</v>
      </c>
      <c r="BM282" s="23">
        <f>IF(Performance!$O$282="","",Performance!$O$282)</f>
        <v>0</v>
      </c>
      <c r="BN282" s="24">
        <f>IF(Performance!$AA$282="","",Performance!$AA$282)</f>
        <v>0</v>
      </c>
      <c r="BO282" s="32">
        <f>IF(BH282="","",IF(BK282="","",IF(OR(BK282&lt;DashStart,BK282&gt;DashEnd),"",IF(BN282="","",BN282+ROW()/1000000))))</f>
        <v>0</v>
      </c>
      <c r="BP282" s="32">
        <f>IF(BM282="","",IF(BK282="","",IF(OR(BK282&lt;DashStart,BK282&gt;DashEnd),"",BM282+ROW()/1000000)))</f>
        <v>0</v>
      </c>
      <c r="BQ282" s="32">
        <f>IF(BH282="","",IF(BK282="","",IF(YEAR(BK282)&lt;&gt;PlanYear,"",IF(BN282="","",BN282+ROW()/1000000))))</f>
        <v>0</v>
      </c>
      <c r="BR282" s="32">
        <f>IF(BH282="","",IF(BK282="","",IF(OR(BK282&lt;RepFrom,BK282&gt;RepTo),"",IF(BN282="","",BN282+ROW()/1000000))))</f>
        <v>0</v>
      </c>
      <c r="BS282" s="32">
        <f>IF(BM282="","",IF(BK282="","",IF(YEAR(BK282)&lt;&gt;PlanYear,"",BM282+ROW()/1000000)))</f>
        <v>0</v>
      </c>
      <c r="BT282" s="17">
        <f>IF(Lists!$F282="","",Lists!$F282)</f>
        <v>0</v>
      </c>
      <c r="BU282" s="23">
        <f>IF(BT282="","",COUNTIF('Content Calendar'!$X$5:$X$604,BT282))</f>
        <v>0</v>
      </c>
      <c r="BV282" s="23">
        <f>IF(BT282="","",COUNTIFS('Content Calendar'!$X$5:$X$604,BT282,'Content Calendar'!$B$5:$B$604,"&gt;="&amp;DashStart,'Content Calendar'!$B$5:$B$604,"&lt;="&amp;DashEnd))</f>
        <v>0</v>
      </c>
      <c r="BW282" s="17">
        <f>IF(Team!$B$282="","",Team!$B$282)</f>
        <v>0</v>
      </c>
      <c r="BX282" s="23">
        <f>IF(BW282="","",COUNTIF('Content Calendar'!$W$5:$W$604,BW282))</f>
        <v>0</v>
      </c>
      <c r="BY282" s="23">
        <f>IF(BW282="","",COUNTIFS('Content Calendar'!$W$5:$W$604,BW282,'Content Calendar'!$X$5:$X$604,"&lt;&gt;Published"))</f>
        <v>0</v>
      </c>
      <c r="BZ282" s="23">
        <f>IF(BW282="","",COUNTIFS(Tasks!$C$5:$C$64,BW282,Tasks!$G$5:$G$64,"&lt;&gt;Complete"))</f>
        <v>0</v>
      </c>
      <c r="CA282" s="17">
        <f>IF(Campaigns!$B$282="","",Campaigns!$B$282)</f>
        <v>0</v>
      </c>
      <c r="CB282" s="25">
        <f>IF(Campaigns!$T$282="","",Campaigns!$T$282)</f>
        <v>0</v>
      </c>
      <c r="CC282" s="25">
        <f>IF(Campaigns!$Q$282="","",Campaigns!$Q$282)</f>
        <v>0</v>
      </c>
      <c r="CD282" s="23">
        <f>IF(Campaigns!$Y$282="","",Campaigns!$Y$282)</f>
        <v>0</v>
      </c>
      <c r="CE282" s="32">
        <f>IF(CA282="","",IF(N(CB282)&lt;=0,"",N(CB282)+ROW()/1000000))</f>
        <v>0</v>
      </c>
      <c r="CF282" s="17">
        <f>IF(Accounts!$C$282="","",Accounts!$C$282)</f>
        <v>0</v>
      </c>
      <c r="CG282" s="17">
        <f>IF(Accounts!$B$282="","",Accounts!$B$282)</f>
        <v>0</v>
      </c>
      <c r="CH282" s="23">
        <f>IF(Accounts!$J$282="","",Accounts!$J$282)</f>
        <v>0</v>
      </c>
      <c r="CI282" s="23">
        <f>IF(CF282="","",SUMIFS(Analytics!$X$5:$X$154,Analytics!$E$5:$E$154,CF282,Analytics!$B$5:$B$154,"&gt;="&amp;DashStart,Analytics!$B$5:$B$154,"&lt;="&amp;DashEnd))</f>
        <v>0</v>
      </c>
      <c r="CJ282" s="32">
        <f>IF(CH282="","",IF(CH282=0,"",CH282+ROW()/1000000))</f>
        <v>0</v>
      </c>
    </row>
    <row r="283" spans="1:88">
      <c r="A283" s="16">
        <f>IF(ROW()-4&gt;12,"",DATE(PlanYear,ROW()-4,1))</f>
        <v>0</v>
      </c>
      <c r="B283" s="16">
        <f>IF(A283="","",EOMONTH(A283,0))</f>
        <v>0</v>
      </c>
      <c r="C283" s="17">
        <f>IF(A283="","",TEXT(A283,"yyyy-mm"))</f>
        <v>0</v>
      </c>
      <c r="D283" s="17">
        <f>IF(A283="","",TEXT(A283,"mmm"))</f>
        <v>0</v>
      </c>
      <c r="E283" s="23">
        <f>IF(C283="","",COUNTIFS('Content Calendar'!$D$5:$D$604,C283))</f>
        <v>0</v>
      </c>
      <c r="F283" s="23">
        <f>IF(C283="","",COUNTIFS('Content Calendar'!$D$5:$D$604,C283,'Content Calendar'!$X$5:$X$604,"Published"))</f>
        <v>0</v>
      </c>
      <c r="G283" s="23">
        <f>IF(C283="","",SUMIFS(Analytics!$J$5:$J$154,Analytics!$C$5:$C$154,C283))</f>
        <v>0</v>
      </c>
      <c r="H283" s="23">
        <f>IF(C283="","",SUMIFS(Analytics!$K$5:$K$154,Analytics!$C$5:$C$154,C283))</f>
        <v>0</v>
      </c>
      <c r="I283" s="23">
        <f>IF(C283="","",SUMIFS(Analytics!$L$5:$L$154,Analytics!$C$5:$C$154,C283))</f>
        <v>0</v>
      </c>
      <c r="J283" s="24">
        <f>IF(OR(G283="",G283=0),"",I283/G283)</f>
        <v>0</v>
      </c>
      <c r="K283" s="23">
        <f>IF(C283="","",SUMIFS(Analytics!$G$5:$G$154,Analytics!$C$5:$C$154,C283))</f>
        <v>0</v>
      </c>
      <c r="L283" s="23">
        <f>IF(C283="","",SUMIFS(Analytics!$X$5:$X$154,Analytics!$C$5:$C$154,C283))</f>
        <v>0</v>
      </c>
      <c r="M283" s="23">
        <f>IF(C283="","",SUMIFS(Analytics!$R$5:$R$154,Analytics!$C$5:$C$154,C283))</f>
        <v>0</v>
      </c>
      <c r="N283" s="23">
        <f>IF(C283="","",SUMIFS(Analytics!$S$5:$S$154,Analytics!$C$5:$C$154,C283))</f>
        <v>0</v>
      </c>
      <c r="O283" s="23">
        <f>IF(C283="","",SUMIFS(Analytics!$T$5:$T$154,Analytics!$C$5:$C$154,C283))</f>
        <v>0</v>
      </c>
      <c r="P283" s="25">
        <f>IF(C283="","",SUMIFS(Analytics!$U$5:$U$154,Analytics!$C$5:$C$154,C283))</f>
        <v>0</v>
      </c>
      <c r="Q283" s="25">
        <f>IF(C283="","",SUMIFS(Budget!$H$5:$H$64,Budget!$C$5:$C$64,C283))</f>
        <v>0</v>
      </c>
      <c r="R283" s="25">
        <f>IF(C283="","",P283-Q283)</f>
        <v>0</v>
      </c>
      <c r="S283" s="23">
        <f>IF(C283="","",MonthlyPostTarget)</f>
        <v>0</v>
      </c>
      <c r="T283" s="17">
        <f>IF(Lists!$C283="","",Lists!$C283)</f>
        <v>0</v>
      </c>
      <c r="U283" s="23">
        <f>IF(T283="","",COUNTIFS('Content Calendar'!$G$5:$G$604,T283,'Content Calendar'!$B$5:$B$604,"&gt;="&amp;DashStart,'Content Calendar'!$B$5:$B$604,"&lt;="&amp;DashEnd))</f>
        <v>0</v>
      </c>
      <c r="V283" s="23">
        <f>IF(T283="","",COUNTIFS('Content Calendar'!$G$5:$G$604,T283,'Content Calendar'!$X$5:$X$604,"Published",'Content Calendar'!$B$5:$B$604,"&gt;="&amp;DashStart,'Content Calendar'!$B$5:$B$604,"&lt;="&amp;DashEnd))</f>
        <v>0</v>
      </c>
      <c r="W283" s="23">
        <f>IF(T283="","",SUMIFS(Analytics!$J$5:$J$154,Analytics!$D$5:$D$154,T283,Analytics!$B$5:$B$154,"&gt;="&amp;DashStart,Analytics!$B$5:$B$154,"&lt;="&amp;DashEnd))</f>
        <v>0</v>
      </c>
      <c r="X283" s="23">
        <f>IF(T283="","",SUMIFS(Analytics!$L$5:$L$154,Analytics!$D$5:$D$154,T283,Analytics!$B$5:$B$154,"&gt;="&amp;DashStart,Analytics!$B$5:$B$154,"&lt;="&amp;DashEnd))</f>
        <v>0</v>
      </c>
      <c r="Y283" s="24">
        <f>IF(OR(W283="",W283=0),"",X283/W283)</f>
        <v>0</v>
      </c>
      <c r="Z283" s="23">
        <f>IF(T283="","",SUMIFS(Analytics!$G$5:$G$154,Analytics!$D$5:$D$154,T283,Analytics!$B$5:$B$154,"&gt;="&amp;DashStart,Analytics!$B$5:$B$154,"&lt;="&amp;DashEnd))</f>
        <v>0</v>
      </c>
      <c r="AA283" s="23">
        <f>IF(T283="","",SUMIFS(Analytics!$X$5:$X$154,Analytics!$D$5:$D$154,T283,Analytics!$B$5:$B$154,"&gt;="&amp;DashStart,Analytics!$B$5:$B$154,"&lt;="&amp;DashEnd))</f>
        <v>0</v>
      </c>
      <c r="AB283" s="23">
        <f>IF(T283="","",SUMIFS(Analytics!$R$5:$R$154,Analytics!$D$5:$D$154,T283,Analytics!$B$5:$B$154,"&gt;="&amp;DashStart,Analytics!$B$5:$B$154,"&lt;="&amp;DashEnd))</f>
        <v>0</v>
      </c>
      <c r="AC283" s="25">
        <f>IF(T283="","",SUMIFS(Analytics!$U$5:$U$154,Analytics!$D$5:$D$154,T283,Analytics!$B$5:$B$154,"&gt;="&amp;DashStart,Analytics!$B$5:$B$154,"&lt;="&amp;DashEnd))</f>
        <v>0</v>
      </c>
      <c r="AD283" s="23">
        <f>IF(T283="","",COUNTIFS('Content Calendar'!$G$5:$G$604,T283,'Content Calendar'!$B$5:$B$604,"&gt;="&amp;DATE(PlanYear,1,1),'Content Calendar'!$B$5:$B$604,"&lt;="&amp;DATE(PlanYear,12,31)))</f>
        <v>0</v>
      </c>
      <c r="AE283" s="23">
        <f>IF(T283="","",SUMIFS(Analytics!$J$5:$J$154,Analytics!$D$5:$D$154,T283))</f>
        <v>0</v>
      </c>
      <c r="AF283" s="23">
        <f>IF(T283="","",SUMIFS(Analytics!$L$5:$L$154,Analytics!$D$5:$D$154,T283))</f>
        <v>0</v>
      </c>
      <c r="AG283" s="24">
        <f>IF(OR(AE283="",AE283=0),"",AF283/AE283)</f>
        <v>0</v>
      </c>
      <c r="AH283" s="23">
        <f>IF(T283="","",SUMIFS(Analytics!$X$5:$X$154,Analytics!$D$5:$D$154,T283))</f>
        <v>0</v>
      </c>
      <c r="AI283" s="32">
        <f>IF(T283="","",IF(AE283=0,"",AE283+ROW()/1000000))</f>
        <v>0</v>
      </c>
      <c r="AJ283" s="17">
        <f>IF('Content Pillars'!$B$283="","",'Content Pillars'!$B$283)</f>
        <v>0</v>
      </c>
      <c r="AK283" s="23">
        <f>IF(AJ283="","",COUNTIFS('Content Calendar'!$J$5:$J$604,AJ283,'Content Calendar'!$B$5:$B$604,"&gt;="&amp;DATE(PlanYear,1,1),'Content Calendar'!$B$5:$B$604,"&lt;="&amp;DATE(PlanYear,12,31)))</f>
        <v>0</v>
      </c>
      <c r="AL283" s="23">
        <f>IF(AJ283="","",SUMIFS(Performance!$O$5:$O$404,Performance!$H$5:$H$404,AJ283))</f>
        <v>0</v>
      </c>
      <c r="AM283" s="23">
        <f>IF(AJ283="","",SUMIFS(Performance!$Z$5:$Z$404,Performance!$H$5:$H$404,AJ283))</f>
        <v>0</v>
      </c>
      <c r="AN283" s="24">
        <f>IF(OR(AL283="",AL283=0),"",AM283/AL283)</f>
        <v>0</v>
      </c>
      <c r="AO283" s="32">
        <f>IF(AN283="","",AN283+ROW()/1000000)</f>
        <v>0</v>
      </c>
      <c r="AP283" s="17">
        <f>IF(Lists!$E283="","",Lists!$E283)</f>
        <v>0</v>
      </c>
      <c r="AQ283" s="23">
        <f>IF(AP283="","",COUNTIF(Performance!$G$5:$G$404,AP283))</f>
        <v>0</v>
      </c>
      <c r="AR283" s="23">
        <f>IF(AP283="","",SUMIFS(Performance!$O$5:$O$404,Performance!$G$5:$G$404,AP283))</f>
        <v>0</v>
      </c>
      <c r="AS283" s="23">
        <f>IF(AP283="","",SUMIFS(Performance!$Z$5:$Z$404,Performance!$G$5:$G$404,AP283))</f>
        <v>0</v>
      </c>
      <c r="AT283" s="24">
        <f>IF(OR(AR283="",AR283=0),"",AS283/AR283)</f>
        <v>0</v>
      </c>
      <c r="AU283" s="32">
        <f>IF(AQ283=0,"",IF(AT283="","",AT283+ROW()/1000000))</f>
        <v>0</v>
      </c>
      <c r="AV283" s="17">
        <f>IF(ROW()-4&gt;7,"",TEXT(DATE(2024,1,ROW()-4),"ddd"))</f>
        <v>0</v>
      </c>
      <c r="AW283" s="23">
        <f>IF(AV283="","",COUNTIF(Performance!$N$5:$N$404,AV283))</f>
        <v>0</v>
      </c>
      <c r="AX283" s="23">
        <f>IF(AV283="","",SUMIFS(Performance!$O$5:$O$404,Performance!$N$5:$N$404,AV283))</f>
        <v>0</v>
      </c>
      <c r="AY283" s="23">
        <f>IF(AV283="","",SUMIFS(Performance!$Z$5:$Z$404,Performance!$N$5:$N$404,AV283))</f>
        <v>0</v>
      </c>
      <c r="AZ283" s="24">
        <f>IF(OR(AX283="",AX283=0),"",AY283/AX283)</f>
        <v>0</v>
      </c>
      <c r="BA283" s="32">
        <f>IF(AW283=0,"",IF(AZ283="","",AZ283+ROW()/1000000))</f>
        <v>0</v>
      </c>
      <c r="BB283" s="17">
        <f>IF(Lists!$AL283="","",Lists!$AL283)</f>
        <v>0</v>
      </c>
      <c r="BC283" s="23">
        <f>IF(BB283="","",COUNTIF(Performance!$M$5:$M$404,BB283))</f>
        <v>0</v>
      </c>
      <c r="BD283" s="23">
        <f>IF(BB283="","",SUMIFS(Performance!$O$5:$O$404,Performance!$M$5:$M$404,BB283))</f>
        <v>0</v>
      </c>
      <c r="BE283" s="23">
        <f>IF(BB283="","",SUMIFS(Performance!$Z$5:$Z$404,Performance!$M$5:$M$404,BB283))</f>
        <v>0</v>
      </c>
      <c r="BF283" s="24">
        <f>IF(OR(BD283="",BD283=0),"",BE283/BD283)</f>
        <v>0</v>
      </c>
      <c r="BG283" s="32">
        <f>IF(BC283=0,"",IF(BF283="","",BF283+ROW()/1000000))</f>
        <v>0</v>
      </c>
      <c r="BH283" s="17">
        <f>IF(Performance!$C$283="","",Performance!$C$283)</f>
        <v>0</v>
      </c>
      <c r="BI283" s="17">
        <f>IF(Performance!$F$283="","",Performance!$F$283)</f>
        <v>0</v>
      </c>
      <c r="BJ283" s="17">
        <f>IF(Performance!$H$283="","",Performance!$H$283)</f>
        <v>0</v>
      </c>
      <c r="BK283" s="16">
        <f>IF(Performance!$D$283="","",Performance!$D$283)</f>
        <v>0</v>
      </c>
      <c r="BL283" s="17">
        <f>IF(Performance!$E$283="","",Performance!$E$283)</f>
        <v>0</v>
      </c>
      <c r="BM283" s="23">
        <f>IF(Performance!$O$283="","",Performance!$O$283)</f>
        <v>0</v>
      </c>
      <c r="BN283" s="24">
        <f>IF(Performance!$AA$283="","",Performance!$AA$283)</f>
        <v>0</v>
      </c>
      <c r="BO283" s="32">
        <f>IF(BH283="","",IF(BK283="","",IF(OR(BK283&lt;DashStart,BK283&gt;DashEnd),"",IF(BN283="","",BN283+ROW()/1000000))))</f>
        <v>0</v>
      </c>
      <c r="BP283" s="32">
        <f>IF(BM283="","",IF(BK283="","",IF(OR(BK283&lt;DashStart,BK283&gt;DashEnd),"",BM283+ROW()/1000000)))</f>
        <v>0</v>
      </c>
      <c r="BQ283" s="32">
        <f>IF(BH283="","",IF(BK283="","",IF(YEAR(BK283)&lt;&gt;PlanYear,"",IF(BN283="","",BN283+ROW()/1000000))))</f>
        <v>0</v>
      </c>
      <c r="BR283" s="32">
        <f>IF(BH283="","",IF(BK283="","",IF(OR(BK283&lt;RepFrom,BK283&gt;RepTo),"",IF(BN283="","",BN283+ROW()/1000000))))</f>
        <v>0</v>
      </c>
      <c r="BS283" s="32">
        <f>IF(BM283="","",IF(BK283="","",IF(YEAR(BK283)&lt;&gt;PlanYear,"",BM283+ROW()/1000000)))</f>
        <v>0</v>
      </c>
      <c r="BT283" s="17">
        <f>IF(Lists!$F283="","",Lists!$F283)</f>
        <v>0</v>
      </c>
      <c r="BU283" s="23">
        <f>IF(BT283="","",COUNTIF('Content Calendar'!$X$5:$X$604,BT283))</f>
        <v>0</v>
      </c>
      <c r="BV283" s="23">
        <f>IF(BT283="","",COUNTIFS('Content Calendar'!$X$5:$X$604,BT283,'Content Calendar'!$B$5:$B$604,"&gt;="&amp;DashStart,'Content Calendar'!$B$5:$B$604,"&lt;="&amp;DashEnd))</f>
        <v>0</v>
      </c>
      <c r="BW283" s="17">
        <f>IF(Team!$B$283="","",Team!$B$283)</f>
        <v>0</v>
      </c>
      <c r="BX283" s="23">
        <f>IF(BW283="","",COUNTIF('Content Calendar'!$W$5:$W$604,BW283))</f>
        <v>0</v>
      </c>
      <c r="BY283" s="23">
        <f>IF(BW283="","",COUNTIFS('Content Calendar'!$W$5:$W$604,BW283,'Content Calendar'!$X$5:$X$604,"&lt;&gt;Published"))</f>
        <v>0</v>
      </c>
      <c r="BZ283" s="23">
        <f>IF(BW283="","",COUNTIFS(Tasks!$C$5:$C$64,BW283,Tasks!$G$5:$G$64,"&lt;&gt;Complete"))</f>
        <v>0</v>
      </c>
      <c r="CA283" s="17">
        <f>IF(Campaigns!$B$283="","",Campaigns!$B$283)</f>
        <v>0</v>
      </c>
      <c r="CB283" s="25">
        <f>IF(Campaigns!$T$283="","",Campaigns!$T$283)</f>
        <v>0</v>
      </c>
      <c r="CC283" s="25">
        <f>IF(Campaigns!$Q$283="","",Campaigns!$Q$283)</f>
        <v>0</v>
      </c>
      <c r="CD283" s="23">
        <f>IF(Campaigns!$Y$283="","",Campaigns!$Y$283)</f>
        <v>0</v>
      </c>
      <c r="CE283" s="32">
        <f>IF(CA283="","",IF(N(CB283)&lt;=0,"",N(CB283)+ROW()/1000000))</f>
        <v>0</v>
      </c>
      <c r="CF283" s="17">
        <f>IF(Accounts!$C$283="","",Accounts!$C$283)</f>
        <v>0</v>
      </c>
      <c r="CG283" s="17">
        <f>IF(Accounts!$B$283="","",Accounts!$B$283)</f>
        <v>0</v>
      </c>
      <c r="CH283" s="23">
        <f>IF(Accounts!$J$283="","",Accounts!$J$283)</f>
        <v>0</v>
      </c>
      <c r="CI283" s="23">
        <f>IF(CF283="","",SUMIFS(Analytics!$X$5:$X$154,Analytics!$E$5:$E$154,CF283,Analytics!$B$5:$B$154,"&gt;="&amp;DashStart,Analytics!$B$5:$B$154,"&lt;="&amp;DashEnd))</f>
        <v>0</v>
      </c>
      <c r="CJ283" s="32">
        <f>IF(CH283="","",IF(CH283=0,"",CH283+ROW()/1000000))</f>
        <v>0</v>
      </c>
    </row>
    <row r="284" spans="1:88">
      <c r="A284" s="16">
        <f>IF(ROW()-4&gt;12,"",DATE(PlanYear,ROW()-4,1))</f>
        <v>0</v>
      </c>
      <c r="B284" s="16">
        <f>IF(A284="","",EOMONTH(A284,0))</f>
        <v>0</v>
      </c>
      <c r="C284" s="17">
        <f>IF(A284="","",TEXT(A284,"yyyy-mm"))</f>
        <v>0</v>
      </c>
      <c r="D284" s="17">
        <f>IF(A284="","",TEXT(A284,"mmm"))</f>
        <v>0</v>
      </c>
      <c r="E284" s="23">
        <f>IF(C284="","",COUNTIFS('Content Calendar'!$D$5:$D$604,C284))</f>
        <v>0</v>
      </c>
      <c r="F284" s="23">
        <f>IF(C284="","",COUNTIFS('Content Calendar'!$D$5:$D$604,C284,'Content Calendar'!$X$5:$X$604,"Published"))</f>
        <v>0</v>
      </c>
      <c r="G284" s="23">
        <f>IF(C284="","",SUMIFS(Analytics!$J$5:$J$154,Analytics!$C$5:$C$154,C284))</f>
        <v>0</v>
      </c>
      <c r="H284" s="23">
        <f>IF(C284="","",SUMIFS(Analytics!$K$5:$K$154,Analytics!$C$5:$C$154,C284))</f>
        <v>0</v>
      </c>
      <c r="I284" s="23">
        <f>IF(C284="","",SUMIFS(Analytics!$L$5:$L$154,Analytics!$C$5:$C$154,C284))</f>
        <v>0</v>
      </c>
      <c r="J284" s="24">
        <f>IF(OR(G284="",G284=0),"",I284/G284)</f>
        <v>0</v>
      </c>
      <c r="K284" s="23">
        <f>IF(C284="","",SUMIFS(Analytics!$G$5:$G$154,Analytics!$C$5:$C$154,C284))</f>
        <v>0</v>
      </c>
      <c r="L284" s="23">
        <f>IF(C284="","",SUMIFS(Analytics!$X$5:$X$154,Analytics!$C$5:$C$154,C284))</f>
        <v>0</v>
      </c>
      <c r="M284" s="23">
        <f>IF(C284="","",SUMIFS(Analytics!$R$5:$R$154,Analytics!$C$5:$C$154,C284))</f>
        <v>0</v>
      </c>
      <c r="N284" s="23">
        <f>IF(C284="","",SUMIFS(Analytics!$S$5:$S$154,Analytics!$C$5:$C$154,C284))</f>
        <v>0</v>
      </c>
      <c r="O284" s="23">
        <f>IF(C284="","",SUMIFS(Analytics!$T$5:$T$154,Analytics!$C$5:$C$154,C284))</f>
        <v>0</v>
      </c>
      <c r="P284" s="25">
        <f>IF(C284="","",SUMIFS(Analytics!$U$5:$U$154,Analytics!$C$5:$C$154,C284))</f>
        <v>0</v>
      </c>
      <c r="Q284" s="25">
        <f>IF(C284="","",SUMIFS(Budget!$H$5:$H$64,Budget!$C$5:$C$64,C284))</f>
        <v>0</v>
      </c>
      <c r="R284" s="25">
        <f>IF(C284="","",P284-Q284)</f>
        <v>0</v>
      </c>
      <c r="S284" s="23">
        <f>IF(C284="","",MonthlyPostTarget)</f>
        <v>0</v>
      </c>
      <c r="T284" s="17">
        <f>IF(Lists!$C284="","",Lists!$C284)</f>
        <v>0</v>
      </c>
      <c r="U284" s="23">
        <f>IF(T284="","",COUNTIFS('Content Calendar'!$G$5:$G$604,T284,'Content Calendar'!$B$5:$B$604,"&gt;="&amp;DashStart,'Content Calendar'!$B$5:$B$604,"&lt;="&amp;DashEnd))</f>
        <v>0</v>
      </c>
      <c r="V284" s="23">
        <f>IF(T284="","",COUNTIFS('Content Calendar'!$G$5:$G$604,T284,'Content Calendar'!$X$5:$X$604,"Published",'Content Calendar'!$B$5:$B$604,"&gt;="&amp;DashStart,'Content Calendar'!$B$5:$B$604,"&lt;="&amp;DashEnd))</f>
        <v>0</v>
      </c>
      <c r="W284" s="23">
        <f>IF(T284="","",SUMIFS(Analytics!$J$5:$J$154,Analytics!$D$5:$D$154,T284,Analytics!$B$5:$B$154,"&gt;="&amp;DashStart,Analytics!$B$5:$B$154,"&lt;="&amp;DashEnd))</f>
        <v>0</v>
      </c>
      <c r="X284" s="23">
        <f>IF(T284="","",SUMIFS(Analytics!$L$5:$L$154,Analytics!$D$5:$D$154,T284,Analytics!$B$5:$B$154,"&gt;="&amp;DashStart,Analytics!$B$5:$B$154,"&lt;="&amp;DashEnd))</f>
        <v>0</v>
      </c>
      <c r="Y284" s="24">
        <f>IF(OR(W284="",W284=0),"",X284/W284)</f>
        <v>0</v>
      </c>
      <c r="Z284" s="23">
        <f>IF(T284="","",SUMIFS(Analytics!$G$5:$G$154,Analytics!$D$5:$D$154,T284,Analytics!$B$5:$B$154,"&gt;="&amp;DashStart,Analytics!$B$5:$B$154,"&lt;="&amp;DashEnd))</f>
        <v>0</v>
      </c>
      <c r="AA284" s="23">
        <f>IF(T284="","",SUMIFS(Analytics!$X$5:$X$154,Analytics!$D$5:$D$154,T284,Analytics!$B$5:$B$154,"&gt;="&amp;DashStart,Analytics!$B$5:$B$154,"&lt;="&amp;DashEnd))</f>
        <v>0</v>
      </c>
      <c r="AB284" s="23">
        <f>IF(T284="","",SUMIFS(Analytics!$R$5:$R$154,Analytics!$D$5:$D$154,T284,Analytics!$B$5:$B$154,"&gt;="&amp;DashStart,Analytics!$B$5:$B$154,"&lt;="&amp;DashEnd))</f>
        <v>0</v>
      </c>
      <c r="AC284" s="25">
        <f>IF(T284="","",SUMIFS(Analytics!$U$5:$U$154,Analytics!$D$5:$D$154,T284,Analytics!$B$5:$B$154,"&gt;="&amp;DashStart,Analytics!$B$5:$B$154,"&lt;="&amp;DashEnd))</f>
        <v>0</v>
      </c>
      <c r="AD284" s="23">
        <f>IF(T284="","",COUNTIFS('Content Calendar'!$G$5:$G$604,T284,'Content Calendar'!$B$5:$B$604,"&gt;="&amp;DATE(PlanYear,1,1),'Content Calendar'!$B$5:$B$604,"&lt;="&amp;DATE(PlanYear,12,31)))</f>
        <v>0</v>
      </c>
      <c r="AE284" s="23">
        <f>IF(T284="","",SUMIFS(Analytics!$J$5:$J$154,Analytics!$D$5:$D$154,T284))</f>
        <v>0</v>
      </c>
      <c r="AF284" s="23">
        <f>IF(T284="","",SUMIFS(Analytics!$L$5:$L$154,Analytics!$D$5:$D$154,T284))</f>
        <v>0</v>
      </c>
      <c r="AG284" s="24">
        <f>IF(OR(AE284="",AE284=0),"",AF284/AE284)</f>
        <v>0</v>
      </c>
      <c r="AH284" s="23">
        <f>IF(T284="","",SUMIFS(Analytics!$X$5:$X$154,Analytics!$D$5:$D$154,T284))</f>
        <v>0</v>
      </c>
      <c r="AI284" s="32">
        <f>IF(T284="","",IF(AE284=0,"",AE284+ROW()/1000000))</f>
        <v>0</v>
      </c>
      <c r="AJ284" s="17">
        <f>IF('Content Pillars'!$B$284="","",'Content Pillars'!$B$284)</f>
        <v>0</v>
      </c>
      <c r="AK284" s="23">
        <f>IF(AJ284="","",COUNTIFS('Content Calendar'!$J$5:$J$604,AJ284,'Content Calendar'!$B$5:$B$604,"&gt;="&amp;DATE(PlanYear,1,1),'Content Calendar'!$B$5:$B$604,"&lt;="&amp;DATE(PlanYear,12,31)))</f>
        <v>0</v>
      </c>
      <c r="AL284" s="23">
        <f>IF(AJ284="","",SUMIFS(Performance!$O$5:$O$404,Performance!$H$5:$H$404,AJ284))</f>
        <v>0</v>
      </c>
      <c r="AM284" s="23">
        <f>IF(AJ284="","",SUMIFS(Performance!$Z$5:$Z$404,Performance!$H$5:$H$404,AJ284))</f>
        <v>0</v>
      </c>
      <c r="AN284" s="24">
        <f>IF(OR(AL284="",AL284=0),"",AM284/AL284)</f>
        <v>0</v>
      </c>
      <c r="AO284" s="32">
        <f>IF(AN284="","",AN284+ROW()/1000000)</f>
        <v>0</v>
      </c>
      <c r="AP284" s="17">
        <f>IF(Lists!$E284="","",Lists!$E284)</f>
        <v>0</v>
      </c>
      <c r="AQ284" s="23">
        <f>IF(AP284="","",COUNTIF(Performance!$G$5:$G$404,AP284))</f>
        <v>0</v>
      </c>
      <c r="AR284" s="23">
        <f>IF(AP284="","",SUMIFS(Performance!$O$5:$O$404,Performance!$G$5:$G$404,AP284))</f>
        <v>0</v>
      </c>
      <c r="AS284" s="23">
        <f>IF(AP284="","",SUMIFS(Performance!$Z$5:$Z$404,Performance!$G$5:$G$404,AP284))</f>
        <v>0</v>
      </c>
      <c r="AT284" s="24">
        <f>IF(OR(AR284="",AR284=0),"",AS284/AR284)</f>
        <v>0</v>
      </c>
      <c r="AU284" s="32">
        <f>IF(AQ284=0,"",IF(AT284="","",AT284+ROW()/1000000))</f>
        <v>0</v>
      </c>
      <c r="AV284" s="17">
        <f>IF(ROW()-4&gt;7,"",TEXT(DATE(2024,1,ROW()-4),"ddd"))</f>
        <v>0</v>
      </c>
      <c r="AW284" s="23">
        <f>IF(AV284="","",COUNTIF(Performance!$N$5:$N$404,AV284))</f>
        <v>0</v>
      </c>
      <c r="AX284" s="23">
        <f>IF(AV284="","",SUMIFS(Performance!$O$5:$O$404,Performance!$N$5:$N$404,AV284))</f>
        <v>0</v>
      </c>
      <c r="AY284" s="23">
        <f>IF(AV284="","",SUMIFS(Performance!$Z$5:$Z$404,Performance!$N$5:$N$404,AV284))</f>
        <v>0</v>
      </c>
      <c r="AZ284" s="24">
        <f>IF(OR(AX284="",AX284=0),"",AY284/AX284)</f>
        <v>0</v>
      </c>
      <c r="BA284" s="32">
        <f>IF(AW284=0,"",IF(AZ284="","",AZ284+ROW()/1000000))</f>
        <v>0</v>
      </c>
      <c r="BB284" s="17">
        <f>IF(Lists!$AL284="","",Lists!$AL284)</f>
        <v>0</v>
      </c>
      <c r="BC284" s="23">
        <f>IF(BB284="","",COUNTIF(Performance!$M$5:$M$404,BB284))</f>
        <v>0</v>
      </c>
      <c r="BD284" s="23">
        <f>IF(BB284="","",SUMIFS(Performance!$O$5:$O$404,Performance!$M$5:$M$404,BB284))</f>
        <v>0</v>
      </c>
      <c r="BE284" s="23">
        <f>IF(BB284="","",SUMIFS(Performance!$Z$5:$Z$404,Performance!$M$5:$M$404,BB284))</f>
        <v>0</v>
      </c>
      <c r="BF284" s="24">
        <f>IF(OR(BD284="",BD284=0),"",BE284/BD284)</f>
        <v>0</v>
      </c>
      <c r="BG284" s="32">
        <f>IF(BC284=0,"",IF(BF284="","",BF284+ROW()/1000000))</f>
        <v>0</v>
      </c>
      <c r="BH284" s="17">
        <f>IF(Performance!$C$284="","",Performance!$C$284)</f>
        <v>0</v>
      </c>
      <c r="BI284" s="17">
        <f>IF(Performance!$F$284="","",Performance!$F$284)</f>
        <v>0</v>
      </c>
      <c r="BJ284" s="17">
        <f>IF(Performance!$H$284="","",Performance!$H$284)</f>
        <v>0</v>
      </c>
      <c r="BK284" s="16">
        <f>IF(Performance!$D$284="","",Performance!$D$284)</f>
        <v>0</v>
      </c>
      <c r="BL284" s="17">
        <f>IF(Performance!$E$284="","",Performance!$E$284)</f>
        <v>0</v>
      </c>
      <c r="BM284" s="23">
        <f>IF(Performance!$O$284="","",Performance!$O$284)</f>
        <v>0</v>
      </c>
      <c r="BN284" s="24">
        <f>IF(Performance!$AA$284="","",Performance!$AA$284)</f>
        <v>0</v>
      </c>
      <c r="BO284" s="32">
        <f>IF(BH284="","",IF(BK284="","",IF(OR(BK284&lt;DashStart,BK284&gt;DashEnd),"",IF(BN284="","",BN284+ROW()/1000000))))</f>
        <v>0</v>
      </c>
      <c r="BP284" s="32">
        <f>IF(BM284="","",IF(BK284="","",IF(OR(BK284&lt;DashStart,BK284&gt;DashEnd),"",BM284+ROW()/1000000)))</f>
        <v>0</v>
      </c>
      <c r="BQ284" s="32">
        <f>IF(BH284="","",IF(BK284="","",IF(YEAR(BK284)&lt;&gt;PlanYear,"",IF(BN284="","",BN284+ROW()/1000000))))</f>
        <v>0</v>
      </c>
      <c r="BR284" s="32">
        <f>IF(BH284="","",IF(BK284="","",IF(OR(BK284&lt;RepFrom,BK284&gt;RepTo),"",IF(BN284="","",BN284+ROW()/1000000))))</f>
        <v>0</v>
      </c>
      <c r="BS284" s="32">
        <f>IF(BM284="","",IF(BK284="","",IF(YEAR(BK284)&lt;&gt;PlanYear,"",BM284+ROW()/1000000)))</f>
        <v>0</v>
      </c>
      <c r="BT284" s="17">
        <f>IF(Lists!$F284="","",Lists!$F284)</f>
        <v>0</v>
      </c>
      <c r="BU284" s="23">
        <f>IF(BT284="","",COUNTIF('Content Calendar'!$X$5:$X$604,BT284))</f>
        <v>0</v>
      </c>
      <c r="BV284" s="23">
        <f>IF(BT284="","",COUNTIFS('Content Calendar'!$X$5:$X$604,BT284,'Content Calendar'!$B$5:$B$604,"&gt;="&amp;DashStart,'Content Calendar'!$B$5:$B$604,"&lt;="&amp;DashEnd))</f>
        <v>0</v>
      </c>
      <c r="BW284" s="17">
        <f>IF(Team!$B$284="","",Team!$B$284)</f>
        <v>0</v>
      </c>
      <c r="BX284" s="23">
        <f>IF(BW284="","",COUNTIF('Content Calendar'!$W$5:$W$604,BW284))</f>
        <v>0</v>
      </c>
      <c r="BY284" s="23">
        <f>IF(BW284="","",COUNTIFS('Content Calendar'!$W$5:$W$604,BW284,'Content Calendar'!$X$5:$X$604,"&lt;&gt;Published"))</f>
        <v>0</v>
      </c>
      <c r="BZ284" s="23">
        <f>IF(BW284="","",COUNTIFS(Tasks!$C$5:$C$64,BW284,Tasks!$G$5:$G$64,"&lt;&gt;Complete"))</f>
        <v>0</v>
      </c>
      <c r="CA284" s="17">
        <f>IF(Campaigns!$B$284="","",Campaigns!$B$284)</f>
        <v>0</v>
      </c>
      <c r="CB284" s="25">
        <f>IF(Campaigns!$T$284="","",Campaigns!$T$284)</f>
        <v>0</v>
      </c>
      <c r="CC284" s="25">
        <f>IF(Campaigns!$Q$284="","",Campaigns!$Q$284)</f>
        <v>0</v>
      </c>
      <c r="CD284" s="23">
        <f>IF(Campaigns!$Y$284="","",Campaigns!$Y$284)</f>
        <v>0</v>
      </c>
      <c r="CE284" s="32">
        <f>IF(CA284="","",IF(N(CB284)&lt;=0,"",N(CB284)+ROW()/1000000))</f>
        <v>0</v>
      </c>
      <c r="CF284" s="17">
        <f>IF(Accounts!$C$284="","",Accounts!$C$284)</f>
        <v>0</v>
      </c>
      <c r="CG284" s="17">
        <f>IF(Accounts!$B$284="","",Accounts!$B$284)</f>
        <v>0</v>
      </c>
      <c r="CH284" s="23">
        <f>IF(Accounts!$J$284="","",Accounts!$J$284)</f>
        <v>0</v>
      </c>
      <c r="CI284" s="23">
        <f>IF(CF284="","",SUMIFS(Analytics!$X$5:$X$154,Analytics!$E$5:$E$154,CF284,Analytics!$B$5:$B$154,"&gt;="&amp;DashStart,Analytics!$B$5:$B$154,"&lt;="&amp;DashEnd))</f>
        <v>0</v>
      </c>
      <c r="CJ284" s="32">
        <f>IF(CH284="","",IF(CH284=0,"",CH284+ROW()/1000000))</f>
        <v>0</v>
      </c>
    </row>
    <row r="285" spans="1:88">
      <c r="A285" s="16">
        <f>IF(ROW()-4&gt;12,"",DATE(PlanYear,ROW()-4,1))</f>
        <v>0</v>
      </c>
      <c r="B285" s="16">
        <f>IF(A285="","",EOMONTH(A285,0))</f>
        <v>0</v>
      </c>
      <c r="C285" s="17">
        <f>IF(A285="","",TEXT(A285,"yyyy-mm"))</f>
        <v>0</v>
      </c>
      <c r="D285" s="17">
        <f>IF(A285="","",TEXT(A285,"mmm"))</f>
        <v>0</v>
      </c>
      <c r="E285" s="23">
        <f>IF(C285="","",COUNTIFS('Content Calendar'!$D$5:$D$604,C285))</f>
        <v>0</v>
      </c>
      <c r="F285" s="23">
        <f>IF(C285="","",COUNTIFS('Content Calendar'!$D$5:$D$604,C285,'Content Calendar'!$X$5:$X$604,"Published"))</f>
        <v>0</v>
      </c>
      <c r="G285" s="23">
        <f>IF(C285="","",SUMIFS(Analytics!$J$5:$J$154,Analytics!$C$5:$C$154,C285))</f>
        <v>0</v>
      </c>
      <c r="H285" s="23">
        <f>IF(C285="","",SUMIFS(Analytics!$K$5:$K$154,Analytics!$C$5:$C$154,C285))</f>
        <v>0</v>
      </c>
      <c r="I285" s="23">
        <f>IF(C285="","",SUMIFS(Analytics!$L$5:$L$154,Analytics!$C$5:$C$154,C285))</f>
        <v>0</v>
      </c>
      <c r="J285" s="24">
        <f>IF(OR(G285="",G285=0),"",I285/G285)</f>
        <v>0</v>
      </c>
      <c r="K285" s="23">
        <f>IF(C285="","",SUMIFS(Analytics!$G$5:$G$154,Analytics!$C$5:$C$154,C285))</f>
        <v>0</v>
      </c>
      <c r="L285" s="23">
        <f>IF(C285="","",SUMIFS(Analytics!$X$5:$X$154,Analytics!$C$5:$C$154,C285))</f>
        <v>0</v>
      </c>
      <c r="M285" s="23">
        <f>IF(C285="","",SUMIFS(Analytics!$R$5:$R$154,Analytics!$C$5:$C$154,C285))</f>
        <v>0</v>
      </c>
      <c r="N285" s="23">
        <f>IF(C285="","",SUMIFS(Analytics!$S$5:$S$154,Analytics!$C$5:$C$154,C285))</f>
        <v>0</v>
      </c>
      <c r="O285" s="23">
        <f>IF(C285="","",SUMIFS(Analytics!$T$5:$T$154,Analytics!$C$5:$C$154,C285))</f>
        <v>0</v>
      </c>
      <c r="P285" s="25">
        <f>IF(C285="","",SUMIFS(Analytics!$U$5:$U$154,Analytics!$C$5:$C$154,C285))</f>
        <v>0</v>
      </c>
      <c r="Q285" s="25">
        <f>IF(C285="","",SUMIFS(Budget!$H$5:$H$64,Budget!$C$5:$C$64,C285))</f>
        <v>0</v>
      </c>
      <c r="R285" s="25">
        <f>IF(C285="","",P285-Q285)</f>
        <v>0</v>
      </c>
      <c r="S285" s="23">
        <f>IF(C285="","",MonthlyPostTarget)</f>
        <v>0</v>
      </c>
      <c r="T285" s="17">
        <f>IF(Lists!$C285="","",Lists!$C285)</f>
        <v>0</v>
      </c>
      <c r="U285" s="23">
        <f>IF(T285="","",COUNTIFS('Content Calendar'!$G$5:$G$604,T285,'Content Calendar'!$B$5:$B$604,"&gt;="&amp;DashStart,'Content Calendar'!$B$5:$B$604,"&lt;="&amp;DashEnd))</f>
        <v>0</v>
      </c>
      <c r="V285" s="23">
        <f>IF(T285="","",COUNTIFS('Content Calendar'!$G$5:$G$604,T285,'Content Calendar'!$X$5:$X$604,"Published",'Content Calendar'!$B$5:$B$604,"&gt;="&amp;DashStart,'Content Calendar'!$B$5:$B$604,"&lt;="&amp;DashEnd))</f>
        <v>0</v>
      </c>
      <c r="W285" s="23">
        <f>IF(T285="","",SUMIFS(Analytics!$J$5:$J$154,Analytics!$D$5:$D$154,T285,Analytics!$B$5:$B$154,"&gt;="&amp;DashStart,Analytics!$B$5:$B$154,"&lt;="&amp;DashEnd))</f>
        <v>0</v>
      </c>
      <c r="X285" s="23">
        <f>IF(T285="","",SUMIFS(Analytics!$L$5:$L$154,Analytics!$D$5:$D$154,T285,Analytics!$B$5:$B$154,"&gt;="&amp;DashStart,Analytics!$B$5:$B$154,"&lt;="&amp;DashEnd))</f>
        <v>0</v>
      </c>
      <c r="Y285" s="24">
        <f>IF(OR(W285="",W285=0),"",X285/W285)</f>
        <v>0</v>
      </c>
      <c r="Z285" s="23">
        <f>IF(T285="","",SUMIFS(Analytics!$G$5:$G$154,Analytics!$D$5:$D$154,T285,Analytics!$B$5:$B$154,"&gt;="&amp;DashStart,Analytics!$B$5:$B$154,"&lt;="&amp;DashEnd))</f>
        <v>0</v>
      </c>
      <c r="AA285" s="23">
        <f>IF(T285="","",SUMIFS(Analytics!$X$5:$X$154,Analytics!$D$5:$D$154,T285,Analytics!$B$5:$B$154,"&gt;="&amp;DashStart,Analytics!$B$5:$B$154,"&lt;="&amp;DashEnd))</f>
        <v>0</v>
      </c>
      <c r="AB285" s="23">
        <f>IF(T285="","",SUMIFS(Analytics!$R$5:$R$154,Analytics!$D$5:$D$154,T285,Analytics!$B$5:$B$154,"&gt;="&amp;DashStart,Analytics!$B$5:$B$154,"&lt;="&amp;DashEnd))</f>
        <v>0</v>
      </c>
      <c r="AC285" s="25">
        <f>IF(T285="","",SUMIFS(Analytics!$U$5:$U$154,Analytics!$D$5:$D$154,T285,Analytics!$B$5:$B$154,"&gt;="&amp;DashStart,Analytics!$B$5:$B$154,"&lt;="&amp;DashEnd))</f>
        <v>0</v>
      </c>
      <c r="AD285" s="23">
        <f>IF(T285="","",COUNTIFS('Content Calendar'!$G$5:$G$604,T285,'Content Calendar'!$B$5:$B$604,"&gt;="&amp;DATE(PlanYear,1,1),'Content Calendar'!$B$5:$B$604,"&lt;="&amp;DATE(PlanYear,12,31)))</f>
        <v>0</v>
      </c>
      <c r="AE285" s="23">
        <f>IF(T285="","",SUMIFS(Analytics!$J$5:$J$154,Analytics!$D$5:$D$154,T285))</f>
        <v>0</v>
      </c>
      <c r="AF285" s="23">
        <f>IF(T285="","",SUMIFS(Analytics!$L$5:$L$154,Analytics!$D$5:$D$154,T285))</f>
        <v>0</v>
      </c>
      <c r="AG285" s="24">
        <f>IF(OR(AE285="",AE285=0),"",AF285/AE285)</f>
        <v>0</v>
      </c>
      <c r="AH285" s="23">
        <f>IF(T285="","",SUMIFS(Analytics!$X$5:$X$154,Analytics!$D$5:$D$154,T285))</f>
        <v>0</v>
      </c>
      <c r="AI285" s="32">
        <f>IF(T285="","",IF(AE285=0,"",AE285+ROW()/1000000))</f>
        <v>0</v>
      </c>
      <c r="AJ285" s="17">
        <f>IF('Content Pillars'!$B$285="","",'Content Pillars'!$B$285)</f>
        <v>0</v>
      </c>
      <c r="AK285" s="23">
        <f>IF(AJ285="","",COUNTIFS('Content Calendar'!$J$5:$J$604,AJ285,'Content Calendar'!$B$5:$B$604,"&gt;="&amp;DATE(PlanYear,1,1),'Content Calendar'!$B$5:$B$604,"&lt;="&amp;DATE(PlanYear,12,31)))</f>
        <v>0</v>
      </c>
      <c r="AL285" s="23">
        <f>IF(AJ285="","",SUMIFS(Performance!$O$5:$O$404,Performance!$H$5:$H$404,AJ285))</f>
        <v>0</v>
      </c>
      <c r="AM285" s="23">
        <f>IF(AJ285="","",SUMIFS(Performance!$Z$5:$Z$404,Performance!$H$5:$H$404,AJ285))</f>
        <v>0</v>
      </c>
      <c r="AN285" s="24">
        <f>IF(OR(AL285="",AL285=0),"",AM285/AL285)</f>
        <v>0</v>
      </c>
      <c r="AO285" s="32">
        <f>IF(AN285="","",AN285+ROW()/1000000)</f>
        <v>0</v>
      </c>
      <c r="AP285" s="17">
        <f>IF(Lists!$E285="","",Lists!$E285)</f>
        <v>0</v>
      </c>
      <c r="AQ285" s="23">
        <f>IF(AP285="","",COUNTIF(Performance!$G$5:$G$404,AP285))</f>
        <v>0</v>
      </c>
      <c r="AR285" s="23">
        <f>IF(AP285="","",SUMIFS(Performance!$O$5:$O$404,Performance!$G$5:$G$404,AP285))</f>
        <v>0</v>
      </c>
      <c r="AS285" s="23">
        <f>IF(AP285="","",SUMIFS(Performance!$Z$5:$Z$404,Performance!$G$5:$G$404,AP285))</f>
        <v>0</v>
      </c>
      <c r="AT285" s="24">
        <f>IF(OR(AR285="",AR285=0),"",AS285/AR285)</f>
        <v>0</v>
      </c>
      <c r="AU285" s="32">
        <f>IF(AQ285=0,"",IF(AT285="","",AT285+ROW()/1000000))</f>
        <v>0</v>
      </c>
      <c r="AV285" s="17">
        <f>IF(ROW()-4&gt;7,"",TEXT(DATE(2024,1,ROW()-4),"ddd"))</f>
        <v>0</v>
      </c>
      <c r="AW285" s="23">
        <f>IF(AV285="","",COUNTIF(Performance!$N$5:$N$404,AV285))</f>
        <v>0</v>
      </c>
      <c r="AX285" s="23">
        <f>IF(AV285="","",SUMIFS(Performance!$O$5:$O$404,Performance!$N$5:$N$404,AV285))</f>
        <v>0</v>
      </c>
      <c r="AY285" s="23">
        <f>IF(AV285="","",SUMIFS(Performance!$Z$5:$Z$404,Performance!$N$5:$N$404,AV285))</f>
        <v>0</v>
      </c>
      <c r="AZ285" s="24">
        <f>IF(OR(AX285="",AX285=0),"",AY285/AX285)</f>
        <v>0</v>
      </c>
      <c r="BA285" s="32">
        <f>IF(AW285=0,"",IF(AZ285="","",AZ285+ROW()/1000000))</f>
        <v>0</v>
      </c>
      <c r="BB285" s="17">
        <f>IF(Lists!$AL285="","",Lists!$AL285)</f>
        <v>0</v>
      </c>
      <c r="BC285" s="23">
        <f>IF(BB285="","",COUNTIF(Performance!$M$5:$M$404,BB285))</f>
        <v>0</v>
      </c>
      <c r="BD285" s="23">
        <f>IF(BB285="","",SUMIFS(Performance!$O$5:$O$404,Performance!$M$5:$M$404,BB285))</f>
        <v>0</v>
      </c>
      <c r="BE285" s="23">
        <f>IF(BB285="","",SUMIFS(Performance!$Z$5:$Z$404,Performance!$M$5:$M$404,BB285))</f>
        <v>0</v>
      </c>
      <c r="BF285" s="24">
        <f>IF(OR(BD285="",BD285=0),"",BE285/BD285)</f>
        <v>0</v>
      </c>
      <c r="BG285" s="32">
        <f>IF(BC285=0,"",IF(BF285="","",BF285+ROW()/1000000))</f>
        <v>0</v>
      </c>
      <c r="BH285" s="17">
        <f>IF(Performance!$C$285="","",Performance!$C$285)</f>
        <v>0</v>
      </c>
      <c r="BI285" s="17">
        <f>IF(Performance!$F$285="","",Performance!$F$285)</f>
        <v>0</v>
      </c>
      <c r="BJ285" s="17">
        <f>IF(Performance!$H$285="","",Performance!$H$285)</f>
        <v>0</v>
      </c>
      <c r="BK285" s="16">
        <f>IF(Performance!$D$285="","",Performance!$D$285)</f>
        <v>0</v>
      </c>
      <c r="BL285" s="17">
        <f>IF(Performance!$E$285="","",Performance!$E$285)</f>
        <v>0</v>
      </c>
      <c r="BM285" s="23">
        <f>IF(Performance!$O$285="","",Performance!$O$285)</f>
        <v>0</v>
      </c>
      <c r="BN285" s="24">
        <f>IF(Performance!$AA$285="","",Performance!$AA$285)</f>
        <v>0</v>
      </c>
      <c r="BO285" s="32">
        <f>IF(BH285="","",IF(BK285="","",IF(OR(BK285&lt;DashStart,BK285&gt;DashEnd),"",IF(BN285="","",BN285+ROW()/1000000))))</f>
        <v>0</v>
      </c>
      <c r="BP285" s="32">
        <f>IF(BM285="","",IF(BK285="","",IF(OR(BK285&lt;DashStart,BK285&gt;DashEnd),"",BM285+ROW()/1000000)))</f>
        <v>0</v>
      </c>
      <c r="BQ285" s="32">
        <f>IF(BH285="","",IF(BK285="","",IF(YEAR(BK285)&lt;&gt;PlanYear,"",IF(BN285="","",BN285+ROW()/1000000))))</f>
        <v>0</v>
      </c>
      <c r="BR285" s="32">
        <f>IF(BH285="","",IF(BK285="","",IF(OR(BK285&lt;RepFrom,BK285&gt;RepTo),"",IF(BN285="","",BN285+ROW()/1000000))))</f>
        <v>0</v>
      </c>
      <c r="BS285" s="32">
        <f>IF(BM285="","",IF(BK285="","",IF(YEAR(BK285)&lt;&gt;PlanYear,"",BM285+ROW()/1000000)))</f>
        <v>0</v>
      </c>
      <c r="BT285" s="17">
        <f>IF(Lists!$F285="","",Lists!$F285)</f>
        <v>0</v>
      </c>
      <c r="BU285" s="23">
        <f>IF(BT285="","",COUNTIF('Content Calendar'!$X$5:$X$604,BT285))</f>
        <v>0</v>
      </c>
      <c r="BV285" s="23">
        <f>IF(BT285="","",COUNTIFS('Content Calendar'!$X$5:$X$604,BT285,'Content Calendar'!$B$5:$B$604,"&gt;="&amp;DashStart,'Content Calendar'!$B$5:$B$604,"&lt;="&amp;DashEnd))</f>
        <v>0</v>
      </c>
      <c r="BW285" s="17">
        <f>IF(Team!$B$285="","",Team!$B$285)</f>
        <v>0</v>
      </c>
      <c r="BX285" s="23">
        <f>IF(BW285="","",COUNTIF('Content Calendar'!$W$5:$W$604,BW285))</f>
        <v>0</v>
      </c>
      <c r="BY285" s="23">
        <f>IF(BW285="","",COUNTIFS('Content Calendar'!$W$5:$W$604,BW285,'Content Calendar'!$X$5:$X$604,"&lt;&gt;Published"))</f>
        <v>0</v>
      </c>
      <c r="BZ285" s="23">
        <f>IF(BW285="","",COUNTIFS(Tasks!$C$5:$C$64,BW285,Tasks!$G$5:$G$64,"&lt;&gt;Complete"))</f>
        <v>0</v>
      </c>
      <c r="CA285" s="17">
        <f>IF(Campaigns!$B$285="","",Campaigns!$B$285)</f>
        <v>0</v>
      </c>
      <c r="CB285" s="25">
        <f>IF(Campaigns!$T$285="","",Campaigns!$T$285)</f>
        <v>0</v>
      </c>
      <c r="CC285" s="25">
        <f>IF(Campaigns!$Q$285="","",Campaigns!$Q$285)</f>
        <v>0</v>
      </c>
      <c r="CD285" s="23">
        <f>IF(Campaigns!$Y$285="","",Campaigns!$Y$285)</f>
        <v>0</v>
      </c>
      <c r="CE285" s="32">
        <f>IF(CA285="","",IF(N(CB285)&lt;=0,"",N(CB285)+ROW()/1000000))</f>
        <v>0</v>
      </c>
      <c r="CF285" s="17">
        <f>IF(Accounts!$C$285="","",Accounts!$C$285)</f>
        <v>0</v>
      </c>
      <c r="CG285" s="17">
        <f>IF(Accounts!$B$285="","",Accounts!$B$285)</f>
        <v>0</v>
      </c>
      <c r="CH285" s="23">
        <f>IF(Accounts!$J$285="","",Accounts!$J$285)</f>
        <v>0</v>
      </c>
      <c r="CI285" s="23">
        <f>IF(CF285="","",SUMIFS(Analytics!$X$5:$X$154,Analytics!$E$5:$E$154,CF285,Analytics!$B$5:$B$154,"&gt;="&amp;DashStart,Analytics!$B$5:$B$154,"&lt;="&amp;DashEnd))</f>
        <v>0</v>
      </c>
      <c r="CJ285" s="32">
        <f>IF(CH285="","",IF(CH285=0,"",CH285+ROW()/1000000))</f>
        <v>0</v>
      </c>
    </row>
    <row r="286" spans="1:88">
      <c r="A286" s="16">
        <f>IF(ROW()-4&gt;12,"",DATE(PlanYear,ROW()-4,1))</f>
        <v>0</v>
      </c>
      <c r="B286" s="16">
        <f>IF(A286="","",EOMONTH(A286,0))</f>
        <v>0</v>
      </c>
      <c r="C286" s="17">
        <f>IF(A286="","",TEXT(A286,"yyyy-mm"))</f>
        <v>0</v>
      </c>
      <c r="D286" s="17">
        <f>IF(A286="","",TEXT(A286,"mmm"))</f>
        <v>0</v>
      </c>
      <c r="E286" s="23">
        <f>IF(C286="","",COUNTIFS('Content Calendar'!$D$5:$D$604,C286))</f>
        <v>0</v>
      </c>
      <c r="F286" s="23">
        <f>IF(C286="","",COUNTIFS('Content Calendar'!$D$5:$D$604,C286,'Content Calendar'!$X$5:$X$604,"Published"))</f>
        <v>0</v>
      </c>
      <c r="G286" s="23">
        <f>IF(C286="","",SUMIFS(Analytics!$J$5:$J$154,Analytics!$C$5:$C$154,C286))</f>
        <v>0</v>
      </c>
      <c r="H286" s="23">
        <f>IF(C286="","",SUMIFS(Analytics!$K$5:$K$154,Analytics!$C$5:$C$154,C286))</f>
        <v>0</v>
      </c>
      <c r="I286" s="23">
        <f>IF(C286="","",SUMIFS(Analytics!$L$5:$L$154,Analytics!$C$5:$C$154,C286))</f>
        <v>0</v>
      </c>
      <c r="J286" s="24">
        <f>IF(OR(G286="",G286=0),"",I286/G286)</f>
        <v>0</v>
      </c>
      <c r="K286" s="23">
        <f>IF(C286="","",SUMIFS(Analytics!$G$5:$G$154,Analytics!$C$5:$C$154,C286))</f>
        <v>0</v>
      </c>
      <c r="L286" s="23">
        <f>IF(C286="","",SUMIFS(Analytics!$X$5:$X$154,Analytics!$C$5:$C$154,C286))</f>
        <v>0</v>
      </c>
      <c r="M286" s="23">
        <f>IF(C286="","",SUMIFS(Analytics!$R$5:$R$154,Analytics!$C$5:$C$154,C286))</f>
        <v>0</v>
      </c>
      <c r="N286" s="23">
        <f>IF(C286="","",SUMIFS(Analytics!$S$5:$S$154,Analytics!$C$5:$C$154,C286))</f>
        <v>0</v>
      </c>
      <c r="O286" s="23">
        <f>IF(C286="","",SUMIFS(Analytics!$T$5:$T$154,Analytics!$C$5:$C$154,C286))</f>
        <v>0</v>
      </c>
      <c r="P286" s="25">
        <f>IF(C286="","",SUMIFS(Analytics!$U$5:$U$154,Analytics!$C$5:$C$154,C286))</f>
        <v>0</v>
      </c>
      <c r="Q286" s="25">
        <f>IF(C286="","",SUMIFS(Budget!$H$5:$H$64,Budget!$C$5:$C$64,C286))</f>
        <v>0</v>
      </c>
      <c r="R286" s="25">
        <f>IF(C286="","",P286-Q286)</f>
        <v>0</v>
      </c>
      <c r="S286" s="23">
        <f>IF(C286="","",MonthlyPostTarget)</f>
        <v>0</v>
      </c>
      <c r="T286" s="17">
        <f>IF(Lists!$C286="","",Lists!$C286)</f>
        <v>0</v>
      </c>
      <c r="U286" s="23">
        <f>IF(T286="","",COUNTIFS('Content Calendar'!$G$5:$G$604,T286,'Content Calendar'!$B$5:$B$604,"&gt;="&amp;DashStart,'Content Calendar'!$B$5:$B$604,"&lt;="&amp;DashEnd))</f>
        <v>0</v>
      </c>
      <c r="V286" s="23">
        <f>IF(T286="","",COUNTIFS('Content Calendar'!$G$5:$G$604,T286,'Content Calendar'!$X$5:$X$604,"Published",'Content Calendar'!$B$5:$B$604,"&gt;="&amp;DashStart,'Content Calendar'!$B$5:$B$604,"&lt;="&amp;DashEnd))</f>
        <v>0</v>
      </c>
      <c r="W286" s="23">
        <f>IF(T286="","",SUMIFS(Analytics!$J$5:$J$154,Analytics!$D$5:$D$154,T286,Analytics!$B$5:$B$154,"&gt;="&amp;DashStart,Analytics!$B$5:$B$154,"&lt;="&amp;DashEnd))</f>
        <v>0</v>
      </c>
      <c r="X286" s="23">
        <f>IF(T286="","",SUMIFS(Analytics!$L$5:$L$154,Analytics!$D$5:$D$154,T286,Analytics!$B$5:$B$154,"&gt;="&amp;DashStart,Analytics!$B$5:$B$154,"&lt;="&amp;DashEnd))</f>
        <v>0</v>
      </c>
      <c r="Y286" s="24">
        <f>IF(OR(W286="",W286=0),"",X286/W286)</f>
        <v>0</v>
      </c>
      <c r="Z286" s="23">
        <f>IF(T286="","",SUMIFS(Analytics!$G$5:$G$154,Analytics!$D$5:$D$154,T286,Analytics!$B$5:$B$154,"&gt;="&amp;DashStart,Analytics!$B$5:$B$154,"&lt;="&amp;DashEnd))</f>
        <v>0</v>
      </c>
      <c r="AA286" s="23">
        <f>IF(T286="","",SUMIFS(Analytics!$X$5:$X$154,Analytics!$D$5:$D$154,T286,Analytics!$B$5:$B$154,"&gt;="&amp;DashStart,Analytics!$B$5:$B$154,"&lt;="&amp;DashEnd))</f>
        <v>0</v>
      </c>
      <c r="AB286" s="23">
        <f>IF(T286="","",SUMIFS(Analytics!$R$5:$R$154,Analytics!$D$5:$D$154,T286,Analytics!$B$5:$B$154,"&gt;="&amp;DashStart,Analytics!$B$5:$B$154,"&lt;="&amp;DashEnd))</f>
        <v>0</v>
      </c>
      <c r="AC286" s="25">
        <f>IF(T286="","",SUMIFS(Analytics!$U$5:$U$154,Analytics!$D$5:$D$154,T286,Analytics!$B$5:$B$154,"&gt;="&amp;DashStart,Analytics!$B$5:$B$154,"&lt;="&amp;DashEnd))</f>
        <v>0</v>
      </c>
      <c r="AD286" s="23">
        <f>IF(T286="","",COUNTIFS('Content Calendar'!$G$5:$G$604,T286,'Content Calendar'!$B$5:$B$604,"&gt;="&amp;DATE(PlanYear,1,1),'Content Calendar'!$B$5:$B$604,"&lt;="&amp;DATE(PlanYear,12,31)))</f>
        <v>0</v>
      </c>
      <c r="AE286" s="23">
        <f>IF(T286="","",SUMIFS(Analytics!$J$5:$J$154,Analytics!$D$5:$D$154,T286))</f>
        <v>0</v>
      </c>
      <c r="AF286" s="23">
        <f>IF(T286="","",SUMIFS(Analytics!$L$5:$L$154,Analytics!$D$5:$D$154,T286))</f>
        <v>0</v>
      </c>
      <c r="AG286" s="24">
        <f>IF(OR(AE286="",AE286=0),"",AF286/AE286)</f>
        <v>0</v>
      </c>
      <c r="AH286" s="23">
        <f>IF(T286="","",SUMIFS(Analytics!$X$5:$X$154,Analytics!$D$5:$D$154,T286))</f>
        <v>0</v>
      </c>
      <c r="AI286" s="32">
        <f>IF(T286="","",IF(AE286=0,"",AE286+ROW()/1000000))</f>
        <v>0</v>
      </c>
      <c r="AJ286" s="17">
        <f>IF('Content Pillars'!$B$286="","",'Content Pillars'!$B$286)</f>
        <v>0</v>
      </c>
      <c r="AK286" s="23">
        <f>IF(AJ286="","",COUNTIFS('Content Calendar'!$J$5:$J$604,AJ286,'Content Calendar'!$B$5:$B$604,"&gt;="&amp;DATE(PlanYear,1,1),'Content Calendar'!$B$5:$B$604,"&lt;="&amp;DATE(PlanYear,12,31)))</f>
        <v>0</v>
      </c>
      <c r="AL286" s="23">
        <f>IF(AJ286="","",SUMIFS(Performance!$O$5:$O$404,Performance!$H$5:$H$404,AJ286))</f>
        <v>0</v>
      </c>
      <c r="AM286" s="23">
        <f>IF(AJ286="","",SUMIFS(Performance!$Z$5:$Z$404,Performance!$H$5:$H$404,AJ286))</f>
        <v>0</v>
      </c>
      <c r="AN286" s="24">
        <f>IF(OR(AL286="",AL286=0),"",AM286/AL286)</f>
        <v>0</v>
      </c>
      <c r="AO286" s="32">
        <f>IF(AN286="","",AN286+ROW()/1000000)</f>
        <v>0</v>
      </c>
      <c r="AP286" s="17">
        <f>IF(Lists!$E286="","",Lists!$E286)</f>
        <v>0</v>
      </c>
      <c r="AQ286" s="23">
        <f>IF(AP286="","",COUNTIF(Performance!$G$5:$G$404,AP286))</f>
        <v>0</v>
      </c>
      <c r="AR286" s="23">
        <f>IF(AP286="","",SUMIFS(Performance!$O$5:$O$404,Performance!$G$5:$G$404,AP286))</f>
        <v>0</v>
      </c>
      <c r="AS286" s="23">
        <f>IF(AP286="","",SUMIFS(Performance!$Z$5:$Z$404,Performance!$G$5:$G$404,AP286))</f>
        <v>0</v>
      </c>
      <c r="AT286" s="24">
        <f>IF(OR(AR286="",AR286=0),"",AS286/AR286)</f>
        <v>0</v>
      </c>
      <c r="AU286" s="32">
        <f>IF(AQ286=0,"",IF(AT286="","",AT286+ROW()/1000000))</f>
        <v>0</v>
      </c>
      <c r="AV286" s="17">
        <f>IF(ROW()-4&gt;7,"",TEXT(DATE(2024,1,ROW()-4),"ddd"))</f>
        <v>0</v>
      </c>
      <c r="AW286" s="23">
        <f>IF(AV286="","",COUNTIF(Performance!$N$5:$N$404,AV286))</f>
        <v>0</v>
      </c>
      <c r="AX286" s="23">
        <f>IF(AV286="","",SUMIFS(Performance!$O$5:$O$404,Performance!$N$5:$N$404,AV286))</f>
        <v>0</v>
      </c>
      <c r="AY286" s="23">
        <f>IF(AV286="","",SUMIFS(Performance!$Z$5:$Z$404,Performance!$N$5:$N$404,AV286))</f>
        <v>0</v>
      </c>
      <c r="AZ286" s="24">
        <f>IF(OR(AX286="",AX286=0),"",AY286/AX286)</f>
        <v>0</v>
      </c>
      <c r="BA286" s="32">
        <f>IF(AW286=0,"",IF(AZ286="","",AZ286+ROW()/1000000))</f>
        <v>0</v>
      </c>
      <c r="BB286" s="17">
        <f>IF(Lists!$AL286="","",Lists!$AL286)</f>
        <v>0</v>
      </c>
      <c r="BC286" s="23">
        <f>IF(BB286="","",COUNTIF(Performance!$M$5:$M$404,BB286))</f>
        <v>0</v>
      </c>
      <c r="BD286" s="23">
        <f>IF(BB286="","",SUMIFS(Performance!$O$5:$O$404,Performance!$M$5:$M$404,BB286))</f>
        <v>0</v>
      </c>
      <c r="BE286" s="23">
        <f>IF(BB286="","",SUMIFS(Performance!$Z$5:$Z$404,Performance!$M$5:$M$404,BB286))</f>
        <v>0</v>
      </c>
      <c r="BF286" s="24">
        <f>IF(OR(BD286="",BD286=0),"",BE286/BD286)</f>
        <v>0</v>
      </c>
      <c r="BG286" s="32">
        <f>IF(BC286=0,"",IF(BF286="","",BF286+ROW()/1000000))</f>
        <v>0</v>
      </c>
      <c r="BH286" s="17">
        <f>IF(Performance!$C$286="","",Performance!$C$286)</f>
        <v>0</v>
      </c>
      <c r="BI286" s="17">
        <f>IF(Performance!$F$286="","",Performance!$F$286)</f>
        <v>0</v>
      </c>
      <c r="BJ286" s="17">
        <f>IF(Performance!$H$286="","",Performance!$H$286)</f>
        <v>0</v>
      </c>
      <c r="BK286" s="16">
        <f>IF(Performance!$D$286="","",Performance!$D$286)</f>
        <v>0</v>
      </c>
      <c r="BL286" s="17">
        <f>IF(Performance!$E$286="","",Performance!$E$286)</f>
        <v>0</v>
      </c>
      <c r="BM286" s="23">
        <f>IF(Performance!$O$286="","",Performance!$O$286)</f>
        <v>0</v>
      </c>
      <c r="BN286" s="24">
        <f>IF(Performance!$AA$286="","",Performance!$AA$286)</f>
        <v>0</v>
      </c>
      <c r="BO286" s="32">
        <f>IF(BH286="","",IF(BK286="","",IF(OR(BK286&lt;DashStart,BK286&gt;DashEnd),"",IF(BN286="","",BN286+ROW()/1000000))))</f>
        <v>0</v>
      </c>
      <c r="BP286" s="32">
        <f>IF(BM286="","",IF(BK286="","",IF(OR(BK286&lt;DashStart,BK286&gt;DashEnd),"",BM286+ROW()/1000000)))</f>
        <v>0</v>
      </c>
      <c r="BQ286" s="32">
        <f>IF(BH286="","",IF(BK286="","",IF(YEAR(BK286)&lt;&gt;PlanYear,"",IF(BN286="","",BN286+ROW()/1000000))))</f>
        <v>0</v>
      </c>
      <c r="BR286" s="32">
        <f>IF(BH286="","",IF(BK286="","",IF(OR(BK286&lt;RepFrom,BK286&gt;RepTo),"",IF(BN286="","",BN286+ROW()/1000000))))</f>
        <v>0</v>
      </c>
      <c r="BS286" s="32">
        <f>IF(BM286="","",IF(BK286="","",IF(YEAR(BK286)&lt;&gt;PlanYear,"",BM286+ROW()/1000000)))</f>
        <v>0</v>
      </c>
      <c r="BT286" s="17">
        <f>IF(Lists!$F286="","",Lists!$F286)</f>
        <v>0</v>
      </c>
      <c r="BU286" s="23">
        <f>IF(BT286="","",COUNTIF('Content Calendar'!$X$5:$X$604,BT286))</f>
        <v>0</v>
      </c>
      <c r="BV286" s="23">
        <f>IF(BT286="","",COUNTIFS('Content Calendar'!$X$5:$X$604,BT286,'Content Calendar'!$B$5:$B$604,"&gt;="&amp;DashStart,'Content Calendar'!$B$5:$B$604,"&lt;="&amp;DashEnd))</f>
        <v>0</v>
      </c>
      <c r="BW286" s="17">
        <f>IF(Team!$B$286="","",Team!$B$286)</f>
        <v>0</v>
      </c>
      <c r="BX286" s="23">
        <f>IF(BW286="","",COUNTIF('Content Calendar'!$W$5:$W$604,BW286))</f>
        <v>0</v>
      </c>
      <c r="BY286" s="23">
        <f>IF(BW286="","",COUNTIFS('Content Calendar'!$W$5:$W$604,BW286,'Content Calendar'!$X$5:$X$604,"&lt;&gt;Published"))</f>
        <v>0</v>
      </c>
      <c r="BZ286" s="23">
        <f>IF(BW286="","",COUNTIFS(Tasks!$C$5:$C$64,BW286,Tasks!$G$5:$G$64,"&lt;&gt;Complete"))</f>
        <v>0</v>
      </c>
      <c r="CA286" s="17">
        <f>IF(Campaigns!$B$286="","",Campaigns!$B$286)</f>
        <v>0</v>
      </c>
      <c r="CB286" s="25">
        <f>IF(Campaigns!$T$286="","",Campaigns!$T$286)</f>
        <v>0</v>
      </c>
      <c r="CC286" s="25">
        <f>IF(Campaigns!$Q$286="","",Campaigns!$Q$286)</f>
        <v>0</v>
      </c>
      <c r="CD286" s="23">
        <f>IF(Campaigns!$Y$286="","",Campaigns!$Y$286)</f>
        <v>0</v>
      </c>
      <c r="CE286" s="32">
        <f>IF(CA286="","",IF(N(CB286)&lt;=0,"",N(CB286)+ROW()/1000000))</f>
        <v>0</v>
      </c>
      <c r="CF286" s="17">
        <f>IF(Accounts!$C$286="","",Accounts!$C$286)</f>
        <v>0</v>
      </c>
      <c r="CG286" s="17">
        <f>IF(Accounts!$B$286="","",Accounts!$B$286)</f>
        <v>0</v>
      </c>
      <c r="CH286" s="23">
        <f>IF(Accounts!$J$286="","",Accounts!$J$286)</f>
        <v>0</v>
      </c>
      <c r="CI286" s="23">
        <f>IF(CF286="","",SUMIFS(Analytics!$X$5:$X$154,Analytics!$E$5:$E$154,CF286,Analytics!$B$5:$B$154,"&gt;="&amp;DashStart,Analytics!$B$5:$B$154,"&lt;="&amp;DashEnd))</f>
        <v>0</v>
      </c>
      <c r="CJ286" s="32">
        <f>IF(CH286="","",IF(CH286=0,"",CH286+ROW()/1000000))</f>
        <v>0</v>
      </c>
    </row>
    <row r="287" spans="1:88">
      <c r="A287" s="16">
        <f>IF(ROW()-4&gt;12,"",DATE(PlanYear,ROW()-4,1))</f>
        <v>0</v>
      </c>
      <c r="B287" s="16">
        <f>IF(A287="","",EOMONTH(A287,0))</f>
        <v>0</v>
      </c>
      <c r="C287" s="17">
        <f>IF(A287="","",TEXT(A287,"yyyy-mm"))</f>
        <v>0</v>
      </c>
      <c r="D287" s="17">
        <f>IF(A287="","",TEXT(A287,"mmm"))</f>
        <v>0</v>
      </c>
      <c r="E287" s="23">
        <f>IF(C287="","",COUNTIFS('Content Calendar'!$D$5:$D$604,C287))</f>
        <v>0</v>
      </c>
      <c r="F287" s="23">
        <f>IF(C287="","",COUNTIFS('Content Calendar'!$D$5:$D$604,C287,'Content Calendar'!$X$5:$X$604,"Published"))</f>
        <v>0</v>
      </c>
      <c r="G287" s="23">
        <f>IF(C287="","",SUMIFS(Analytics!$J$5:$J$154,Analytics!$C$5:$C$154,C287))</f>
        <v>0</v>
      </c>
      <c r="H287" s="23">
        <f>IF(C287="","",SUMIFS(Analytics!$K$5:$K$154,Analytics!$C$5:$C$154,C287))</f>
        <v>0</v>
      </c>
      <c r="I287" s="23">
        <f>IF(C287="","",SUMIFS(Analytics!$L$5:$L$154,Analytics!$C$5:$C$154,C287))</f>
        <v>0</v>
      </c>
      <c r="J287" s="24">
        <f>IF(OR(G287="",G287=0),"",I287/G287)</f>
        <v>0</v>
      </c>
      <c r="K287" s="23">
        <f>IF(C287="","",SUMIFS(Analytics!$G$5:$G$154,Analytics!$C$5:$C$154,C287))</f>
        <v>0</v>
      </c>
      <c r="L287" s="23">
        <f>IF(C287="","",SUMIFS(Analytics!$X$5:$X$154,Analytics!$C$5:$C$154,C287))</f>
        <v>0</v>
      </c>
      <c r="M287" s="23">
        <f>IF(C287="","",SUMIFS(Analytics!$R$5:$R$154,Analytics!$C$5:$C$154,C287))</f>
        <v>0</v>
      </c>
      <c r="N287" s="23">
        <f>IF(C287="","",SUMIFS(Analytics!$S$5:$S$154,Analytics!$C$5:$C$154,C287))</f>
        <v>0</v>
      </c>
      <c r="O287" s="23">
        <f>IF(C287="","",SUMIFS(Analytics!$T$5:$T$154,Analytics!$C$5:$C$154,C287))</f>
        <v>0</v>
      </c>
      <c r="P287" s="25">
        <f>IF(C287="","",SUMIFS(Analytics!$U$5:$U$154,Analytics!$C$5:$C$154,C287))</f>
        <v>0</v>
      </c>
      <c r="Q287" s="25">
        <f>IF(C287="","",SUMIFS(Budget!$H$5:$H$64,Budget!$C$5:$C$64,C287))</f>
        <v>0</v>
      </c>
      <c r="R287" s="25">
        <f>IF(C287="","",P287-Q287)</f>
        <v>0</v>
      </c>
      <c r="S287" s="23">
        <f>IF(C287="","",MonthlyPostTarget)</f>
        <v>0</v>
      </c>
      <c r="T287" s="17">
        <f>IF(Lists!$C287="","",Lists!$C287)</f>
        <v>0</v>
      </c>
      <c r="U287" s="23">
        <f>IF(T287="","",COUNTIFS('Content Calendar'!$G$5:$G$604,T287,'Content Calendar'!$B$5:$B$604,"&gt;="&amp;DashStart,'Content Calendar'!$B$5:$B$604,"&lt;="&amp;DashEnd))</f>
        <v>0</v>
      </c>
      <c r="V287" s="23">
        <f>IF(T287="","",COUNTIFS('Content Calendar'!$G$5:$G$604,T287,'Content Calendar'!$X$5:$X$604,"Published",'Content Calendar'!$B$5:$B$604,"&gt;="&amp;DashStart,'Content Calendar'!$B$5:$B$604,"&lt;="&amp;DashEnd))</f>
        <v>0</v>
      </c>
      <c r="W287" s="23">
        <f>IF(T287="","",SUMIFS(Analytics!$J$5:$J$154,Analytics!$D$5:$D$154,T287,Analytics!$B$5:$B$154,"&gt;="&amp;DashStart,Analytics!$B$5:$B$154,"&lt;="&amp;DashEnd))</f>
        <v>0</v>
      </c>
      <c r="X287" s="23">
        <f>IF(T287="","",SUMIFS(Analytics!$L$5:$L$154,Analytics!$D$5:$D$154,T287,Analytics!$B$5:$B$154,"&gt;="&amp;DashStart,Analytics!$B$5:$B$154,"&lt;="&amp;DashEnd))</f>
        <v>0</v>
      </c>
      <c r="Y287" s="24">
        <f>IF(OR(W287="",W287=0),"",X287/W287)</f>
        <v>0</v>
      </c>
      <c r="Z287" s="23">
        <f>IF(T287="","",SUMIFS(Analytics!$G$5:$G$154,Analytics!$D$5:$D$154,T287,Analytics!$B$5:$B$154,"&gt;="&amp;DashStart,Analytics!$B$5:$B$154,"&lt;="&amp;DashEnd))</f>
        <v>0</v>
      </c>
      <c r="AA287" s="23">
        <f>IF(T287="","",SUMIFS(Analytics!$X$5:$X$154,Analytics!$D$5:$D$154,T287,Analytics!$B$5:$B$154,"&gt;="&amp;DashStart,Analytics!$B$5:$B$154,"&lt;="&amp;DashEnd))</f>
        <v>0</v>
      </c>
      <c r="AB287" s="23">
        <f>IF(T287="","",SUMIFS(Analytics!$R$5:$R$154,Analytics!$D$5:$D$154,T287,Analytics!$B$5:$B$154,"&gt;="&amp;DashStart,Analytics!$B$5:$B$154,"&lt;="&amp;DashEnd))</f>
        <v>0</v>
      </c>
      <c r="AC287" s="25">
        <f>IF(T287="","",SUMIFS(Analytics!$U$5:$U$154,Analytics!$D$5:$D$154,T287,Analytics!$B$5:$B$154,"&gt;="&amp;DashStart,Analytics!$B$5:$B$154,"&lt;="&amp;DashEnd))</f>
        <v>0</v>
      </c>
      <c r="AD287" s="23">
        <f>IF(T287="","",COUNTIFS('Content Calendar'!$G$5:$G$604,T287,'Content Calendar'!$B$5:$B$604,"&gt;="&amp;DATE(PlanYear,1,1),'Content Calendar'!$B$5:$B$604,"&lt;="&amp;DATE(PlanYear,12,31)))</f>
        <v>0</v>
      </c>
      <c r="AE287" s="23">
        <f>IF(T287="","",SUMIFS(Analytics!$J$5:$J$154,Analytics!$D$5:$D$154,T287))</f>
        <v>0</v>
      </c>
      <c r="AF287" s="23">
        <f>IF(T287="","",SUMIFS(Analytics!$L$5:$L$154,Analytics!$D$5:$D$154,T287))</f>
        <v>0</v>
      </c>
      <c r="AG287" s="24">
        <f>IF(OR(AE287="",AE287=0),"",AF287/AE287)</f>
        <v>0</v>
      </c>
      <c r="AH287" s="23">
        <f>IF(T287="","",SUMIFS(Analytics!$X$5:$X$154,Analytics!$D$5:$D$154,T287))</f>
        <v>0</v>
      </c>
      <c r="AI287" s="32">
        <f>IF(T287="","",IF(AE287=0,"",AE287+ROW()/1000000))</f>
        <v>0</v>
      </c>
      <c r="AJ287" s="17">
        <f>IF('Content Pillars'!$B$287="","",'Content Pillars'!$B$287)</f>
        <v>0</v>
      </c>
      <c r="AK287" s="23">
        <f>IF(AJ287="","",COUNTIFS('Content Calendar'!$J$5:$J$604,AJ287,'Content Calendar'!$B$5:$B$604,"&gt;="&amp;DATE(PlanYear,1,1),'Content Calendar'!$B$5:$B$604,"&lt;="&amp;DATE(PlanYear,12,31)))</f>
        <v>0</v>
      </c>
      <c r="AL287" s="23">
        <f>IF(AJ287="","",SUMIFS(Performance!$O$5:$O$404,Performance!$H$5:$H$404,AJ287))</f>
        <v>0</v>
      </c>
      <c r="AM287" s="23">
        <f>IF(AJ287="","",SUMIFS(Performance!$Z$5:$Z$404,Performance!$H$5:$H$404,AJ287))</f>
        <v>0</v>
      </c>
      <c r="AN287" s="24">
        <f>IF(OR(AL287="",AL287=0),"",AM287/AL287)</f>
        <v>0</v>
      </c>
      <c r="AO287" s="32">
        <f>IF(AN287="","",AN287+ROW()/1000000)</f>
        <v>0</v>
      </c>
      <c r="AP287" s="17">
        <f>IF(Lists!$E287="","",Lists!$E287)</f>
        <v>0</v>
      </c>
      <c r="AQ287" s="23">
        <f>IF(AP287="","",COUNTIF(Performance!$G$5:$G$404,AP287))</f>
        <v>0</v>
      </c>
      <c r="AR287" s="23">
        <f>IF(AP287="","",SUMIFS(Performance!$O$5:$O$404,Performance!$G$5:$G$404,AP287))</f>
        <v>0</v>
      </c>
      <c r="AS287" s="23">
        <f>IF(AP287="","",SUMIFS(Performance!$Z$5:$Z$404,Performance!$G$5:$G$404,AP287))</f>
        <v>0</v>
      </c>
      <c r="AT287" s="24">
        <f>IF(OR(AR287="",AR287=0),"",AS287/AR287)</f>
        <v>0</v>
      </c>
      <c r="AU287" s="32">
        <f>IF(AQ287=0,"",IF(AT287="","",AT287+ROW()/1000000))</f>
        <v>0</v>
      </c>
      <c r="AV287" s="17">
        <f>IF(ROW()-4&gt;7,"",TEXT(DATE(2024,1,ROW()-4),"ddd"))</f>
        <v>0</v>
      </c>
      <c r="AW287" s="23">
        <f>IF(AV287="","",COUNTIF(Performance!$N$5:$N$404,AV287))</f>
        <v>0</v>
      </c>
      <c r="AX287" s="23">
        <f>IF(AV287="","",SUMIFS(Performance!$O$5:$O$404,Performance!$N$5:$N$404,AV287))</f>
        <v>0</v>
      </c>
      <c r="AY287" s="23">
        <f>IF(AV287="","",SUMIFS(Performance!$Z$5:$Z$404,Performance!$N$5:$N$404,AV287))</f>
        <v>0</v>
      </c>
      <c r="AZ287" s="24">
        <f>IF(OR(AX287="",AX287=0),"",AY287/AX287)</f>
        <v>0</v>
      </c>
      <c r="BA287" s="32">
        <f>IF(AW287=0,"",IF(AZ287="","",AZ287+ROW()/1000000))</f>
        <v>0</v>
      </c>
      <c r="BB287" s="17">
        <f>IF(Lists!$AL287="","",Lists!$AL287)</f>
        <v>0</v>
      </c>
      <c r="BC287" s="23">
        <f>IF(BB287="","",COUNTIF(Performance!$M$5:$M$404,BB287))</f>
        <v>0</v>
      </c>
      <c r="BD287" s="23">
        <f>IF(BB287="","",SUMIFS(Performance!$O$5:$O$404,Performance!$M$5:$M$404,BB287))</f>
        <v>0</v>
      </c>
      <c r="BE287" s="23">
        <f>IF(BB287="","",SUMIFS(Performance!$Z$5:$Z$404,Performance!$M$5:$M$404,BB287))</f>
        <v>0</v>
      </c>
      <c r="BF287" s="24">
        <f>IF(OR(BD287="",BD287=0),"",BE287/BD287)</f>
        <v>0</v>
      </c>
      <c r="BG287" s="32">
        <f>IF(BC287=0,"",IF(BF287="","",BF287+ROW()/1000000))</f>
        <v>0</v>
      </c>
      <c r="BH287" s="17">
        <f>IF(Performance!$C$287="","",Performance!$C$287)</f>
        <v>0</v>
      </c>
      <c r="BI287" s="17">
        <f>IF(Performance!$F$287="","",Performance!$F$287)</f>
        <v>0</v>
      </c>
      <c r="BJ287" s="17">
        <f>IF(Performance!$H$287="","",Performance!$H$287)</f>
        <v>0</v>
      </c>
      <c r="BK287" s="16">
        <f>IF(Performance!$D$287="","",Performance!$D$287)</f>
        <v>0</v>
      </c>
      <c r="BL287" s="17">
        <f>IF(Performance!$E$287="","",Performance!$E$287)</f>
        <v>0</v>
      </c>
      <c r="BM287" s="23">
        <f>IF(Performance!$O$287="","",Performance!$O$287)</f>
        <v>0</v>
      </c>
      <c r="BN287" s="24">
        <f>IF(Performance!$AA$287="","",Performance!$AA$287)</f>
        <v>0</v>
      </c>
      <c r="BO287" s="32">
        <f>IF(BH287="","",IF(BK287="","",IF(OR(BK287&lt;DashStart,BK287&gt;DashEnd),"",IF(BN287="","",BN287+ROW()/1000000))))</f>
        <v>0</v>
      </c>
      <c r="BP287" s="32">
        <f>IF(BM287="","",IF(BK287="","",IF(OR(BK287&lt;DashStart,BK287&gt;DashEnd),"",BM287+ROW()/1000000)))</f>
        <v>0</v>
      </c>
      <c r="BQ287" s="32">
        <f>IF(BH287="","",IF(BK287="","",IF(YEAR(BK287)&lt;&gt;PlanYear,"",IF(BN287="","",BN287+ROW()/1000000))))</f>
        <v>0</v>
      </c>
      <c r="BR287" s="32">
        <f>IF(BH287="","",IF(BK287="","",IF(OR(BK287&lt;RepFrom,BK287&gt;RepTo),"",IF(BN287="","",BN287+ROW()/1000000))))</f>
        <v>0</v>
      </c>
      <c r="BS287" s="32">
        <f>IF(BM287="","",IF(BK287="","",IF(YEAR(BK287)&lt;&gt;PlanYear,"",BM287+ROW()/1000000)))</f>
        <v>0</v>
      </c>
      <c r="BT287" s="17">
        <f>IF(Lists!$F287="","",Lists!$F287)</f>
        <v>0</v>
      </c>
      <c r="BU287" s="23">
        <f>IF(BT287="","",COUNTIF('Content Calendar'!$X$5:$X$604,BT287))</f>
        <v>0</v>
      </c>
      <c r="BV287" s="23">
        <f>IF(BT287="","",COUNTIFS('Content Calendar'!$X$5:$X$604,BT287,'Content Calendar'!$B$5:$B$604,"&gt;="&amp;DashStart,'Content Calendar'!$B$5:$B$604,"&lt;="&amp;DashEnd))</f>
        <v>0</v>
      </c>
      <c r="BW287" s="17">
        <f>IF(Team!$B$287="","",Team!$B$287)</f>
        <v>0</v>
      </c>
      <c r="BX287" s="23">
        <f>IF(BW287="","",COUNTIF('Content Calendar'!$W$5:$W$604,BW287))</f>
        <v>0</v>
      </c>
      <c r="BY287" s="23">
        <f>IF(BW287="","",COUNTIFS('Content Calendar'!$W$5:$W$604,BW287,'Content Calendar'!$X$5:$X$604,"&lt;&gt;Published"))</f>
        <v>0</v>
      </c>
      <c r="BZ287" s="23">
        <f>IF(BW287="","",COUNTIFS(Tasks!$C$5:$C$64,BW287,Tasks!$G$5:$G$64,"&lt;&gt;Complete"))</f>
        <v>0</v>
      </c>
      <c r="CA287" s="17">
        <f>IF(Campaigns!$B$287="","",Campaigns!$B$287)</f>
        <v>0</v>
      </c>
      <c r="CB287" s="25">
        <f>IF(Campaigns!$T$287="","",Campaigns!$T$287)</f>
        <v>0</v>
      </c>
      <c r="CC287" s="25">
        <f>IF(Campaigns!$Q$287="","",Campaigns!$Q$287)</f>
        <v>0</v>
      </c>
      <c r="CD287" s="23">
        <f>IF(Campaigns!$Y$287="","",Campaigns!$Y$287)</f>
        <v>0</v>
      </c>
      <c r="CE287" s="32">
        <f>IF(CA287="","",IF(N(CB287)&lt;=0,"",N(CB287)+ROW()/1000000))</f>
        <v>0</v>
      </c>
      <c r="CF287" s="17">
        <f>IF(Accounts!$C$287="","",Accounts!$C$287)</f>
        <v>0</v>
      </c>
      <c r="CG287" s="17">
        <f>IF(Accounts!$B$287="","",Accounts!$B$287)</f>
        <v>0</v>
      </c>
      <c r="CH287" s="23">
        <f>IF(Accounts!$J$287="","",Accounts!$J$287)</f>
        <v>0</v>
      </c>
      <c r="CI287" s="23">
        <f>IF(CF287="","",SUMIFS(Analytics!$X$5:$X$154,Analytics!$E$5:$E$154,CF287,Analytics!$B$5:$B$154,"&gt;="&amp;DashStart,Analytics!$B$5:$B$154,"&lt;="&amp;DashEnd))</f>
        <v>0</v>
      </c>
      <c r="CJ287" s="32">
        <f>IF(CH287="","",IF(CH287=0,"",CH287+ROW()/1000000))</f>
        <v>0</v>
      </c>
    </row>
    <row r="288" spans="1:88">
      <c r="A288" s="16">
        <f>IF(ROW()-4&gt;12,"",DATE(PlanYear,ROW()-4,1))</f>
        <v>0</v>
      </c>
      <c r="B288" s="16">
        <f>IF(A288="","",EOMONTH(A288,0))</f>
        <v>0</v>
      </c>
      <c r="C288" s="17">
        <f>IF(A288="","",TEXT(A288,"yyyy-mm"))</f>
        <v>0</v>
      </c>
      <c r="D288" s="17">
        <f>IF(A288="","",TEXT(A288,"mmm"))</f>
        <v>0</v>
      </c>
      <c r="E288" s="23">
        <f>IF(C288="","",COUNTIFS('Content Calendar'!$D$5:$D$604,C288))</f>
        <v>0</v>
      </c>
      <c r="F288" s="23">
        <f>IF(C288="","",COUNTIFS('Content Calendar'!$D$5:$D$604,C288,'Content Calendar'!$X$5:$X$604,"Published"))</f>
        <v>0</v>
      </c>
      <c r="G288" s="23">
        <f>IF(C288="","",SUMIFS(Analytics!$J$5:$J$154,Analytics!$C$5:$C$154,C288))</f>
        <v>0</v>
      </c>
      <c r="H288" s="23">
        <f>IF(C288="","",SUMIFS(Analytics!$K$5:$K$154,Analytics!$C$5:$C$154,C288))</f>
        <v>0</v>
      </c>
      <c r="I288" s="23">
        <f>IF(C288="","",SUMIFS(Analytics!$L$5:$L$154,Analytics!$C$5:$C$154,C288))</f>
        <v>0</v>
      </c>
      <c r="J288" s="24">
        <f>IF(OR(G288="",G288=0),"",I288/G288)</f>
        <v>0</v>
      </c>
      <c r="K288" s="23">
        <f>IF(C288="","",SUMIFS(Analytics!$G$5:$G$154,Analytics!$C$5:$C$154,C288))</f>
        <v>0</v>
      </c>
      <c r="L288" s="23">
        <f>IF(C288="","",SUMIFS(Analytics!$X$5:$X$154,Analytics!$C$5:$C$154,C288))</f>
        <v>0</v>
      </c>
      <c r="M288" s="23">
        <f>IF(C288="","",SUMIFS(Analytics!$R$5:$R$154,Analytics!$C$5:$C$154,C288))</f>
        <v>0</v>
      </c>
      <c r="N288" s="23">
        <f>IF(C288="","",SUMIFS(Analytics!$S$5:$S$154,Analytics!$C$5:$C$154,C288))</f>
        <v>0</v>
      </c>
      <c r="O288" s="23">
        <f>IF(C288="","",SUMIFS(Analytics!$T$5:$T$154,Analytics!$C$5:$C$154,C288))</f>
        <v>0</v>
      </c>
      <c r="P288" s="25">
        <f>IF(C288="","",SUMIFS(Analytics!$U$5:$U$154,Analytics!$C$5:$C$154,C288))</f>
        <v>0</v>
      </c>
      <c r="Q288" s="25">
        <f>IF(C288="","",SUMIFS(Budget!$H$5:$H$64,Budget!$C$5:$C$64,C288))</f>
        <v>0</v>
      </c>
      <c r="R288" s="25">
        <f>IF(C288="","",P288-Q288)</f>
        <v>0</v>
      </c>
      <c r="S288" s="23">
        <f>IF(C288="","",MonthlyPostTarget)</f>
        <v>0</v>
      </c>
      <c r="T288" s="17">
        <f>IF(Lists!$C288="","",Lists!$C288)</f>
        <v>0</v>
      </c>
      <c r="U288" s="23">
        <f>IF(T288="","",COUNTIFS('Content Calendar'!$G$5:$G$604,T288,'Content Calendar'!$B$5:$B$604,"&gt;="&amp;DashStart,'Content Calendar'!$B$5:$B$604,"&lt;="&amp;DashEnd))</f>
        <v>0</v>
      </c>
      <c r="V288" s="23">
        <f>IF(T288="","",COUNTIFS('Content Calendar'!$G$5:$G$604,T288,'Content Calendar'!$X$5:$X$604,"Published",'Content Calendar'!$B$5:$B$604,"&gt;="&amp;DashStart,'Content Calendar'!$B$5:$B$604,"&lt;="&amp;DashEnd))</f>
        <v>0</v>
      </c>
      <c r="W288" s="23">
        <f>IF(T288="","",SUMIFS(Analytics!$J$5:$J$154,Analytics!$D$5:$D$154,T288,Analytics!$B$5:$B$154,"&gt;="&amp;DashStart,Analytics!$B$5:$B$154,"&lt;="&amp;DashEnd))</f>
        <v>0</v>
      </c>
      <c r="X288" s="23">
        <f>IF(T288="","",SUMIFS(Analytics!$L$5:$L$154,Analytics!$D$5:$D$154,T288,Analytics!$B$5:$B$154,"&gt;="&amp;DashStart,Analytics!$B$5:$B$154,"&lt;="&amp;DashEnd))</f>
        <v>0</v>
      </c>
      <c r="Y288" s="24">
        <f>IF(OR(W288="",W288=0),"",X288/W288)</f>
        <v>0</v>
      </c>
      <c r="Z288" s="23">
        <f>IF(T288="","",SUMIFS(Analytics!$G$5:$G$154,Analytics!$D$5:$D$154,T288,Analytics!$B$5:$B$154,"&gt;="&amp;DashStart,Analytics!$B$5:$B$154,"&lt;="&amp;DashEnd))</f>
        <v>0</v>
      </c>
      <c r="AA288" s="23">
        <f>IF(T288="","",SUMIFS(Analytics!$X$5:$X$154,Analytics!$D$5:$D$154,T288,Analytics!$B$5:$B$154,"&gt;="&amp;DashStart,Analytics!$B$5:$B$154,"&lt;="&amp;DashEnd))</f>
        <v>0</v>
      </c>
      <c r="AB288" s="23">
        <f>IF(T288="","",SUMIFS(Analytics!$R$5:$R$154,Analytics!$D$5:$D$154,T288,Analytics!$B$5:$B$154,"&gt;="&amp;DashStart,Analytics!$B$5:$B$154,"&lt;="&amp;DashEnd))</f>
        <v>0</v>
      </c>
      <c r="AC288" s="25">
        <f>IF(T288="","",SUMIFS(Analytics!$U$5:$U$154,Analytics!$D$5:$D$154,T288,Analytics!$B$5:$B$154,"&gt;="&amp;DashStart,Analytics!$B$5:$B$154,"&lt;="&amp;DashEnd))</f>
        <v>0</v>
      </c>
      <c r="AD288" s="23">
        <f>IF(T288="","",COUNTIFS('Content Calendar'!$G$5:$G$604,T288,'Content Calendar'!$B$5:$B$604,"&gt;="&amp;DATE(PlanYear,1,1),'Content Calendar'!$B$5:$B$604,"&lt;="&amp;DATE(PlanYear,12,31)))</f>
        <v>0</v>
      </c>
      <c r="AE288" s="23">
        <f>IF(T288="","",SUMIFS(Analytics!$J$5:$J$154,Analytics!$D$5:$D$154,T288))</f>
        <v>0</v>
      </c>
      <c r="AF288" s="23">
        <f>IF(T288="","",SUMIFS(Analytics!$L$5:$L$154,Analytics!$D$5:$D$154,T288))</f>
        <v>0</v>
      </c>
      <c r="AG288" s="24">
        <f>IF(OR(AE288="",AE288=0),"",AF288/AE288)</f>
        <v>0</v>
      </c>
      <c r="AH288" s="23">
        <f>IF(T288="","",SUMIFS(Analytics!$X$5:$X$154,Analytics!$D$5:$D$154,T288))</f>
        <v>0</v>
      </c>
      <c r="AI288" s="32">
        <f>IF(T288="","",IF(AE288=0,"",AE288+ROW()/1000000))</f>
        <v>0</v>
      </c>
      <c r="AJ288" s="17">
        <f>IF('Content Pillars'!$B$288="","",'Content Pillars'!$B$288)</f>
        <v>0</v>
      </c>
      <c r="AK288" s="23">
        <f>IF(AJ288="","",COUNTIFS('Content Calendar'!$J$5:$J$604,AJ288,'Content Calendar'!$B$5:$B$604,"&gt;="&amp;DATE(PlanYear,1,1),'Content Calendar'!$B$5:$B$604,"&lt;="&amp;DATE(PlanYear,12,31)))</f>
        <v>0</v>
      </c>
      <c r="AL288" s="23">
        <f>IF(AJ288="","",SUMIFS(Performance!$O$5:$O$404,Performance!$H$5:$H$404,AJ288))</f>
        <v>0</v>
      </c>
      <c r="AM288" s="23">
        <f>IF(AJ288="","",SUMIFS(Performance!$Z$5:$Z$404,Performance!$H$5:$H$404,AJ288))</f>
        <v>0</v>
      </c>
      <c r="AN288" s="24">
        <f>IF(OR(AL288="",AL288=0),"",AM288/AL288)</f>
        <v>0</v>
      </c>
      <c r="AO288" s="32">
        <f>IF(AN288="","",AN288+ROW()/1000000)</f>
        <v>0</v>
      </c>
      <c r="AP288" s="17">
        <f>IF(Lists!$E288="","",Lists!$E288)</f>
        <v>0</v>
      </c>
      <c r="AQ288" s="23">
        <f>IF(AP288="","",COUNTIF(Performance!$G$5:$G$404,AP288))</f>
        <v>0</v>
      </c>
      <c r="AR288" s="23">
        <f>IF(AP288="","",SUMIFS(Performance!$O$5:$O$404,Performance!$G$5:$G$404,AP288))</f>
        <v>0</v>
      </c>
      <c r="AS288" s="23">
        <f>IF(AP288="","",SUMIFS(Performance!$Z$5:$Z$404,Performance!$G$5:$G$404,AP288))</f>
        <v>0</v>
      </c>
      <c r="AT288" s="24">
        <f>IF(OR(AR288="",AR288=0),"",AS288/AR288)</f>
        <v>0</v>
      </c>
      <c r="AU288" s="32">
        <f>IF(AQ288=0,"",IF(AT288="","",AT288+ROW()/1000000))</f>
        <v>0</v>
      </c>
      <c r="AV288" s="17">
        <f>IF(ROW()-4&gt;7,"",TEXT(DATE(2024,1,ROW()-4),"ddd"))</f>
        <v>0</v>
      </c>
      <c r="AW288" s="23">
        <f>IF(AV288="","",COUNTIF(Performance!$N$5:$N$404,AV288))</f>
        <v>0</v>
      </c>
      <c r="AX288" s="23">
        <f>IF(AV288="","",SUMIFS(Performance!$O$5:$O$404,Performance!$N$5:$N$404,AV288))</f>
        <v>0</v>
      </c>
      <c r="AY288" s="23">
        <f>IF(AV288="","",SUMIFS(Performance!$Z$5:$Z$404,Performance!$N$5:$N$404,AV288))</f>
        <v>0</v>
      </c>
      <c r="AZ288" s="24">
        <f>IF(OR(AX288="",AX288=0),"",AY288/AX288)</f>
        <v>0</v>
      </c>
      <c r="BA288" s="32">
        <f>IF(AW288=0,"",IF(AZ288="","",AZ288+ROW()/1000000))</f>
        <v>0</v>
      </c>
      <c r="BB288" s="17">
        <f>IF(Lists!$AL288="","",Lists!$AL288)</f>
        <v>0</v>
      </c>
      <c r="BC288" s="23">
        <f>IF(BB288="","",COUNTIF(Performance!$M$5:$M$404,BB288))</f>
        <v>0</v>
      </c>
      <c r="BD288" s="23">
        <f>IF(BB288="","",SUMIFS(Performance!$O$5:$O$404,Performance!$M$5:$M$404,BB288))</f>
        <v>0</v>
      </c>
      <c r="BE288" s="23">
        <f>IF(BB288="","",SUMIFS(Performance!$Z$5:$Z$404,Performance!$M$5:$M$404,BB288))</f>
        <v>0</v>
      </c>
      <c r="BF288" s="24">
        <f>IF(OR(BD288="",BD288=0),"",BE288/BD288)</f>
        <v>0</v>
      </c>
      <c r="BG288" s="32">
        <f>IF(BC288=0,"",IF(BF288="","",BF288+ROW()/1000000))</f>
        <v>0</v>
      </c>
      <c r="BH288" s="17">
        <f>IF(Performance!$C$288="","",Performance!$C$288)</f>
        <v>0</v>
      </c>
      <c r="BI288" s="17">
        <f>IF(Performance!$F$288="","",Performance!$F$288)</f>
        <v>0</v>
      </c>
      <c r="BJ288" s="17">
        <f>IF(Performance!$H$288="","",Performance!$H$288)</f>
        <v>0</v>
      </c>
      <c r="BK288" s="16">
        <f>IF(Performance!$D$288="","",Performance!$D$288)</f>
        <v>0</v>
      </c>
      <c r="BL288" s="17">
        <f>IF(Performance!$E$288="","",Performance!$E$288)</f>
        <v>0</v>
      </c>
      <c r="BM288" s="23">
        <f>IF(Performance!$O$288="","",Performance!$O$288)</f>
        <v>0</v>
      </c>
      <c r="BN288" s="24">
        <f>IF(Performance!$AA$288="","",Performance!$AA$288)</f>
        <v>0</v>
      </c>
      <c r="BO288" s="32">
        <f>IF(BH288="","",IF(BK288="","",IF(OR(BK288&lt;DashStart,BK288&gt;DashEnd),"",IF(BN288="","",BN288+ROW()/1000000))))</f>
        <v>0</v>
      </c>
      <c r="BP288" s="32">
        <f>IF(BM288="","",IF(BK288="","",IF(OR(BK288&lt;DashStart,BK288&gt;DashEnd),"",BM288+ROW()/1000000)))</f>
        <v>0</v>
      </c>
      <c r="BQ288" s="32">
        <f>IF(BH288="","",IF(BK288="","",IF(YEAR(BK288)&lt;&gt;PlanYear,"",IF(BN288="","",BN288+ROW()/1000000))))</f>
        <v>0</v>
      </c>
      <c r="BR288" s="32">
        <f>IF(BH288="","",IF(BK288="","",IF(OR(BK288&lt;RepFrom,BK288&gt;RepTo),"",IF(BN288="","",BN288+ROW()/1000000))))</f>
        <v>0</v>
      </c>
      <c r="BS288" s="32">
        <f>IF(BM288="","",IF(BK288="","",IF(YEAR(BK288)&lt;&gt;PlanYear,"",BM288+ROW()/1000000)))</f>
        <v>0</v>
      </c>
      <c r="BT288" s="17">
        <f>IF(Lists!$F288="","",Lists!$F288)</f>
        <v>0</v>
      </c>
      <c r="BU288" s="23">
        <f>IF(BT288="","",COUNTIF('Content Calendar'!$X$5:$X$604,BT288))</f>
        <v>0</v>
      </c>
      <c r="BV288" s="23">
        <f>IF(BT288="","",COUNTIFS('Content Calendar'!$X$5:$X$604,BT288,'Content Calendar'!$B$5:$B$604,"&gt;="&amp;DashStart,'Content Calendar'!$B$5:$B$604,"&lt;="&amp;DashEnd))</f>
        <v>0</v>
      </c>
      <c r="BW288" s="17">
        <f>IF(Team!$B$288="","",Team!$B$288)</f>
        <v>0</v>
      </c>
      <c r="BX288" s="23">
        <f>IF(BW288="","",COUNTIF('Content Calendar'!$W$5:$W$604,BW288))</f>
        <v>0</v>
      </c>
      <c r="BY288" s="23">
        <f>IF(BW288="","",COUNTIFS('Content Calendar'!$W$5:$W$604,BW288,'Content Calendar'!$X$5:$X$604,"&lt;&gt;Published"))</f>
        <v>0</v>
      </c>
      <c r="BZ288" s="23">
        <f>IF(BW288="","",COUNTIFS(Tasks!$C$5:$C$64,BW288,Tasks!$G$5:$G$64,"&lt;&gt;Complete"))</f>
        <v>0</v>
      </c>
      <c r="CA288" s="17">
        <f>IF(Campaigns!$B$288="","",Campaigns!$B$288)</f>
        <v>0</v>
      </c>
      <c r="CB288" s="25">
        <f>IF(Campaigns!$T$288="","",Campaigns!$T$288)</f>
        <v>0</v>
      </c>
      <c r="CC288" s="25">
        <f>IF(Campaigns!$Q$288="","",Campaigns!$Q$288)</f>
        <v>0</v>
      </c>
      <c r="CD288" s="23">
        <f>IF(Campaigns!$Y$288="","",Campaigns!$Y$288)</f>
        <v>0</v>
      </c>
      <c r="CE288" s="32">
        <f>IF(CA288="","",IF(N(CB288)&lt;=0,"",N(CB288)+ROW()/1000000))</f>
        <v>0</v>
      </c>
      <c r="CF288" s="17">
        <f>IF(Accounts!$C$288="","",Accounts!$C$288)</f>
        <v>0</v>
      </c>
      <c r="CG288" s="17">
        <f>IF(Accounts!$B$288="","",Accounts!$B$288)</f>
        <v>0</v>
      </c>
      <c r="CH288" s="23">
        <f>IF(Accounts!$J$288="","",Accounts!$J$288)</f>
        <v>0</v>
      </c>
      <c r="CI288" s="23">
        <f>IF(CF288="","",SUMIFS(Analytics!$X$5:$X$154,Analytics!$E$5:$E$154,CF288,Analytics!$B$5:$B$154,"&gt;="&amp;DashStart,Analytics!$B$5:$B$154,"&lt;="&amp;DashEnd))</f>
        <v>0</v>
      </c>
      <c r="CJ288" s="32">
        <f>IF(CH288="","",IF(CH288=0,"",CH288+ROW()/1000000))</f>
        <v>0</v>
      </c>
    </row>
    <row r="289" spans="1:88">
      <c r="A289" s="16">
        <f>IF(ROW()-4&gt;12,"",DATE(PlanYear,ROW()-4,1))</f>
        <v>0</v>
      </c>
      <c r="B289" s="16">
        <f>IF(A289="","",EOMONTH(A289,0))</f>
        <v>0</v>
      </c>
      <c r="C289" s="17">
        <f>IF(A289="","",TEXT(A289,"yyyy-mm"))</f>
        <v>0</v>
      </c>
      <c r="D289" s="17">
        <f>IF(A289="","",TEXT(A289,"mmm"))</f>
        <v>0</v>
      </c>
      <c r="E289" s="23">
        <f>IF(C289="","",COUNTIFS('Content Calendar'!$D$5:$D$604,C289))</f>
        <v>0</v>
      </c>
      <c r="F289" s="23">
        <f>IF(C289="","",COUNTIFS('Content Calendar'!$D$5:$D$604,C289,'Content Calendar'!$X$5:$X$604,"Published"))</f>
        <v>0</v>
      </c>
      <c r="G289" s="23">
        <f>IF(C289="","",SUMIFS(Analytics!$J$5:$J$154,Analytics!$C$5:$C$154,C289))</f>
        <v>0</v>
      </c>
      <c r="H289" s="23">
        <f>IF(C289="","",SUMIFS(Analytics!$K$5:$K$154,Analytics!$C$5:$C$154,C289))</f>
        <v>0</v>
      </c>
      <c r="I289" s="23">
        <f>IF(C289="","",SUMIFS(Analytics!$L$5:$L$154,Analytics!$C$5:$C$154,C289))</f>
        <v>0</v>
      </c>
      <c r="J289" s="24">
        <f>IF(OR(G289="",G289=0),"",I289/G289)</f>
        <v>0</v>
      </c>
      <c r="K289" s="23">
        <f>IF(C289="","",SUMIFS(Analytics!$G$5:$G$154,Analytics!$C$5:$C$154,C289))</f>
        <v>0</v>
      </c>
      <c r="L289" s="23">
        <f>IF(C289="","",SUMIFS(Analytics!$X$5:$X$154,Analytics!$C$5:$C$154,C289))</f>
        <v>0</v>
      </c>
      <c r="M289" s="23">
        <f>IF(C289="","",SUMIFS(Analytics!$R$5:$R$154,Analytics!$C$5:$C$154,C289))</f>
        <v>0</v>
      </c>
      <c r="N289" s="23">
        <f>IF(C289="","",SUMIFS(Analytics!$S$5:$S$154,Analytics!$C$5:$C$154,C289))</f>
        <v>0</v>
      </c>
      <c r="O289" s="23">
        <f>IF(C289="","",SUMIFS(Analytics!$T$5:$T$154,Analytics!$C$5:$C$154,C289))</f>
        <v>0</v>
      </c>
      <c r="P289" s="25">
        <f>IF(C289="","",SUMIFS(Analytics!$U$5:$U$154,Analytics!$C$5:$C$154,C289))</f>
        <v>0</v>
      </c>
      <c r="Q289" s="25">
        <f>IF(C289="","",SUMIFS(Budget!$H$5:$H$64,Budget!$C$5:$C$64,C289))</f>
        <v>0</v>
      </c>
      <c r="R289" s="25">
        <f>IF(C289="","",P289-Q289)</f>
        <v>0</v>
      </c>
      <c r="S289" s="23">
        <f>IF(C289="","",MonthlyPostTarget)</f>
        <v>0</v>
      </c>
      <c r="T289" s="17">
        <f>IF(Lists!$C289="","",Lists!$C289)</f>
        <v>0</v>
      </c>
      <c r="U289" s="23">
        <f>IF(T289="","",COUNTIFS('Content Calendar'!$G$5:$G$604,T289,'Content Calendar'!$B$5:$B$604,"&gt;="&amp;DashStart,'Content Calendar'!$B$5:$B$604,"&lt;="&amp;DashEnd))</f>
        <v>0</v>
      </c>
      <c r="V289" s="23">
        <f>IF(T289="","",COUNTIFS('Content Calendar'!$G$5:$G$604,T289,'Content Calendar'!$X$5:$X$604,"Published",'Content Calendar'!$B$5:$B$604,"&gt;="&amp;DashStart,'Content Calendar'!$B$5:$B$604,"&lt;="&amp;DashEnd))</f>
        <v>0</v>
      </c>
      <c r="W289" s="23">
        <f>IF(T289="","",SUMIFS(Analytics!$J$5:$J$154,Analytics!$D$5:$D$154,T289,Analytics!$B$5:$B$154,"&gt;="&amp;DashStart,Analytics!$B$5:$B$154,"&lt;="&amp;DashEnd))</f>
        <v>0</v>
      </c>
      <c r="X289" s="23">
        <f>IF(T289="","",SUMIFS(Analytics!$L$5:$L$154,Analytics!$D$5:$D$154,T289,Analytics!$B$5:$B$154,"&gt;="&amp;DashStart,Analytics!$B$5:$B$154,"&lt;="&amp;DashEnd))</f>
        <v>0</v>
      </c>
      <c r="Y289" s="24">
        <f>IF(OR(W289="",W289=0),"",X289/W289)</f>
        <v>0</v>
      </c>
      <c r="Z289" s="23">
        <f>IF(T289="","",SUMIFS(Analytics!$G$5:$G$154,Analytics!$D$5:$D$154,T289,Analytics!$B$5:$B$154,"&gt;="&amp;DashStart,Analytics!$B$5:$B$154,"&lt;="&amp;DashEnd))</f>
        <v>0</v>
      </c>
      <c r="AA289" s="23">
        <f>IF(T289="","",SUMIFS(Analytics!$X$5:$X$154,Analytics!$D$5:$D$154,T289,Analytics!$B$5:$B$154,"&gt;="&amp;DashStart,Analytics!$B$5:$B$154,"&lt;="&amp;DashEnd))</f>
        <v>0</v>
      </c>
      <c r="AB289" s="23">
        <f>IF(T289="","",SUMIFS(Analytics!$R$5:$R$154,Analytics!$D$5:$D$154,T289,Analytics!$B$5:$B$154,"&gt;="&amp;DashStart,Analytics!$B$5:$B$154,"&lt;="&amp;DashEnd))</f>
        <v>0</v>
      </c>
      <c r="AC289" s="25">
        <f>IF(T289="","",SUMIFS(Analytics!$U$5:$U$154,Analytics!$D$5:$D$154,T289,Analytics!$B$5:$B$154,"&gt;="&amp;DashStart,Analytics!$B$5:$B$154,"&lt;="&amp;DashEnd))</f>
        <v>0</v>
      </c>
      <c r="AD289" s="23">
        <f>IF(T289="","",COUNTIFS('Content Calendar'!$G$5:$G$604,T289,'Content Calendar'!$B$5:$B$604,"&gt;="&amp;DATE(PlanYear,1,1),'Content Calendar'!$B$5:$B$604,"&lt;="&amp;DATE(PlanYear,12,31)))</f>
        <v>0</v>
      </c>
      <c r="AE289" s="23">
        <f>IF(T289="","",SUMIFS(Analytics!$J$5:$J$154,Analytics!$D$5:$D$154,T289))</f>
        <v>0</v>
      </c>
      <c r="AF289" s="23">
        <f>IF(T289="","",SUMIFS(Analytics!$L$5:$L$154,Analytics!$D$5:$D$154,T289))</f>
        <v>0</v>
      </c>
      <c r="AG289" s="24">
        <f>IF(OR(AE289="",AE289=0),"",AF289/AE289)</f>
        <v>0</v>
      </c>
      <c r="AH289" s="23">
        <f>IF(T289="","",SUMIFS(Analytics!$X$5:$X$154,Analytics!$D$5:$D$154,T289))</f>
        <v>0</v>
      </c>
      <c r="AI289" s="32">
        <f>IF(T289="","",IF(AE289=0,"",AE289+ROW()/1000000))</f>
        <v>0</v>
      </c>
      <c r="AJ289" s="17">
        <f>IF('Content Pillars'!$B$289="","",'Content Pillars'!$B$289)</f>
        <v>0</v>
      </c>
      <c r="AK289" s="23">
        <f>IF(AJ289="","",COUNTIFS('Content Calendar'!$J$5:$J$604,AJ289,'Content Calendar'!$B$5:$B$604,"&gt;="&amp;DATE(PlanYear,1,1),'Content Calendar'!$B$5:$B$604,"&lt;="&amp;DATE(PlanYear,12,31)))</f>
        <v>0</v>
      </c>
      <c r="AL289" s="23">
        <f>IF(AJ289="","",SUMIFS(Performance!$O$5:$O$404,Performance!$H$5:$H$404,AJ289))</f>
        <v>0</v>
      </c>
      <c r="AM289" s="23">
        <f>IF(AJ289="","",SUMIFS(Performance!$Z$5:$Z$404,Performance!$H$5:$H$404,AJ289))</f>
        <v>0</v>
      </c>
      <c r="AN289" s="24">
        <f>IF(OR(AL289="",AL289=0),"",AM289/AL289)</f>
        <v>0</v>
      </c>
      <c r="AO289" s="32">
        <f>IF(AN289="","",AN289+ROW()/1000000)</f>
        <v>0</v>
      </c>
      <c r="AP289" s="17">
        <f>IF(Lists!$E289="","",Lists!$E289)</f>
        <v>0</v>
      </c>
      <c r="AQ289" s="23">
        <f>IF(AP289="","",COUNTIF(Performance!$G$5:$G$404,AP289))</f>
        <v>0</v>
      </c>
      <c r="AR289" s="23">
        <f>IF(AP289="","",SUMIFS(Performance!$O$5:$O$404,Performance!$G$5:$G$404,AP289))</f>
        <v>0</v>
      </c>
      <c r="AS289" s="23">
        <f>IF(AP289="","",SUMIFS(Performance!$Z$5:$Z$404,Performance!$G$5:$G$404,AP289))</f>
        <v>0</v>
      </c>
      <c r="AT289" s="24">
        <f>IF(OR(AR289="",AR289=0),"",AS289/AR289)</f>
        <v>0</v>
      </c>
      <c r="AU289" s="32">
        <f>IF(AQ289=0,"",IF(AT289="","",AT289+ROW()/1000000))</f>
        <v>0</v>
      </c>
      <c r="AV289" s="17">
        <f>IF(ROW()-4&gt;7,"",TEXT(DATE(2024,1,ROW()-4),"ddd"))</f>
        <v>0</v>
      </c>
      <c r="AW289" s="23">
        <f>IF(AV289="","",COUNTIF(Performance!$N$5:$N$404,AV289))</f>
        <v>0</v>
      </c>
      <c r="AX289" s="23">
        <f>IF(AV289="","",SUMIFS(Performance!$O$5:$O$404,Performance!$N$5:$N$404,AV289))</f>
        <v>0</v>
      </c>
      <c r="AY289" s="23">
        <f>IF(AV289="","",SUMIFS(Performance!$Z$5:$Z$404,Performance!$N$5:$N$404,AV289))</f>
        <v>0</v>
      </c>
      <c r="AZ289" s="24">
        <f>IF(OR(AX289="",AX289=0),"",AY289/AX289)</f>
        <v>0</v>
      </c>
      <c r="BA289" s="32">
        <f>IF(AW289=0,"",IF(AZ289="","",AZ289+ROW()/1000000))</f>
        <v>0</v>
      </c>
      <c r="BB289" s="17">
        <f>IF(Lists!$AL289="","",Lists!$AL289)</f>
        <v>0</v>
      </c>
      <c r="BC289" s="23">
        <f>IF(BB289="","",COUNTIF(Performance!$M$5:$M$404,BB289))</f>
        <v>0</v>
      </c>
      <c r="BD289" s="23">
        <f>IF(BB289="","",SUMIFS(Performance!$O$5:$O$404,Performance!$M$5:$M$404,BB289))</f>
        <v>0</v>
      </c>
      <c r="BE289" s="23">
        <f>IF(BB289="","",SUMIFS(Performance!$Z$5:$Z$404,Performance!$M$5:$M$404,BB289))</f>
        <v>0</v>
      </c>
      <c r="BF289" s="24">
        <f>IF(OR(BD289="",BD289=0),"",BE289/BD289)</f>
        <v>0</v>
      </c>
      <c r="BG289" s="32">
        <f>IF(BC289=0,"",IF(BF289="","",BF289+ROW()/1000000))</f>
        <v>0</v>
      </c>
      <c r="BH289" s="17">
        <f>IF(Performance!$C$289="","",Performance!$C$289)</f>
        <v>0</v>
      </c>
      <c r="BI289" s="17">
        <f>IF(Performance!$F$289="","",Performance!$F$289)</f>
        <v>0</v>
      </c>
      <c r="BJ289" s="17">
        <f>IF(Performance!$H$289="","",Performance!$H$289)</f>
        <v>0</v>
      </c>
      <c r="BK289" s="16">
        <f>IF(Performance!$D$289="","",Performance!$D$289)</f>
        <v>0</v>
      </c>
      <c r="BL289" s="17">
        <f>IF(Performance!$E$289="","",Performance!$E$289)</f>
        <v>0</v>
      </c>
      <c r="BM289" s="23">
        <f>IF(Performance!$O$289="","",Performance!$O$289)</f>
        <v>0</v>
      </c>
      <c r="BN289" s="24">
        <f>IF(Performance!$AA$289="","",Performance!$AA$289)</f>
        <v>0</v>
      </c>
      <c r="BO289" s="32">
        <f>IF(BH289="","",IF(BK289="","",IF(OR(BK289&lt;DashStart,BK289&gt;DashEnd),"",IF(BN289="","",BN289+ROW()/1000000))))</f>
        <v>0</v>
      </c>
      <c r="BP289" s="32">
        <f>IF(BM289="","",IF(BK289="","",IF(OR(BK289&lt;DashStart,BK289&gt;DashEnd),"",BM289+ROW()/1000000)))</f>
        <v>0</v>
      </c>
      <c r="BQ289" s="32">
        <f>IF(BH289="","",IF(BK289="","",IF(YEAR(BK289)&lt;&gt;PlanYear,"",IF(BN289="","",BN289+ROW()/1000000))))</f>
        <v>0</v>
      </c>
      <c r="BR289" s="32">
        <f>IF(BH289="","",IF(BK289="","",IF(OR(BK289&lt;RepFrom,BK289&gt;RepTo),"",IF(BN289="","",BN289+ROW()/1000000))))</f>
        <v>0</v>
      </c>
      <c r="BS289" s="32">
        <f>IF(BM289="","",IF(BK289="","",IF(YEAR(BK289)&lt;&gt;PlanYear,"",BM289+ROW()/1000000)))</f>
        <v>0</v>
      </c>
      <c r="BT289" s="17">
        <f>IF(Lists!$F289="","",Lists!$F289)</f>
        <v>0</v>
      </c>
      <c r="BU289" s="23">
        <f>IF(BT289="","",COUNTIF('Content Calendar'!$X$5:$X$604,BT289))</f>
        <v>0</v>
      </c>
      <c r="BV289" s="23">
        <f>IF(BT289="","",COUNTIFS('Content Calendar'!$X$5:$X$604,BT289,'Content Calendar'!$B$5:$B$604,"&gt;="&amp;DashStart,'Content Calendar'!$B$5:$B$604,"&lt;="&amp;DashEnd))</f>
        <v>0</v>
      </c>
      <c r="BW289" s="17">
        <f>IF(Team!$B$289="","",Team!$B$289)</f>
        <v>0</v>
      </c>
      <c r="BX289" s="23">
        <f>IF(BW289="","",COUNTIF('Content Calendar'!$W$5:$W$604,BW289))</f>
        <v>0</v>
      </c>
      <c r="BY289" s="23">
        <f>IF(BW289="","",COUNTIFS('Content Calendar'!$W$5:$W$604,BW289,'Content Calendar'!$X$5:$X$604,"&lt;&gt;Published"))</f>
        <v>0</v>
      </c>
      <c r="BZ289" s="23">
        <f>IF(BW289="","",COUNTIFS(Tasks!$C$5:$C$64,BW289,Tasks!$G$5:$G$64,"&lt;&gt;Complete"))</f>
        <v>0</v>
      </c>
      <c r="CA289" s="17">
        <f>IF(Campaigns!$B$289="","",Campaigns!$B$289)</f>
        <v>0</v>
      </c>
      <c r="CB289" s="25">
        <f>IF(Campaigns!$T$289="","",Campaigns!$T$289)</f>
        <v>0</v>
      </c>
      <c r="CC289" s="25">
        <f>IF(Campaigns!$Q$289="","",Campaigns!$Q$289)</f>
        <v>0</v>
      </c>
      <c r="CD289" s="23">
        <f>IF(Campaigns!$Y$289="","",Campaigns!$Y$289)</f>
        <v>0</v>
      </c>
      <c r="CE289" s="32">
        <f>IF(CA289="","",IF(N(CB289)&lt;=0,"",N(CB289)+ROW()/1000000))</f>
        <v>0</v>
      </c>
      <c r="CF289" s="17">
        <f>IF(Accounts!$C$289="","",Accounts!$C$289)</f>
        <v>0</v>
      </c>
      <c r="CG289" s="17">
        <f>IF(Accounts!$B$289="","",Accounts!$B$289)</f>
        <v>0</v>
      </c>
      <c r="CH289" s="23">
        <f>IF(Accounts!$J$289="","",Accounts!$J$289)</f>
        <v>0</v>
      </c>
      <c r="CI289" s="23">
        <f>IF(CF289="","",SUMIFS(Analytics!$X$5:$X$154,Analytics!$E$5:$E$154,CF289,Analytics!$B$5:$B$154,"&gt;="&amp;DashStart,Analytics!$B$5:$B$154,"&lt;="&amp;DashEnd))</f>
        <v>0</v>
      </c>
      <c r="CJ289" s="32">
        <f>IF(CH289="","",IF(CH289=0,"",CH289+ROW()/1000000))</f>
        <v>0</v>
      </c>
    </row>
    <row r="290" spans="1:88">
      <c r="A290" s="16">
        <f>IF(ROW()-4&gt;12,"",DATE(PlanYear,ROW()-4,1))</f>
        <v>0</v>
      </c>
      <c r="B290" s="16">
        <f>IF(A290="","",EOMONTH(A290,0))</f>
        <v>0</v>
      </c>
      <c r="C290" s="17">
        <f>IF(A290="","",TEXT(A290,"yyyy-mm"))</f>
        <v>0</v>
      </c>
      <c r="D290" s="17">
        <f>IF(A290="","",TEXT(A290,"mmm"))</f>
        <v>0</v>
      </c>
      <c r="E290" s="23">
        <f>IF(C290="","",COUNTIFS('Content Calendar'!$D$5:$D$604,C290))</f>
        <v>0</v>
      </c>
      <c r="F290" s="23">
        <f>IF(C290="","",COUNTIFS('Content Calendar'!$D$5:$D$604,C290,'Content Calendar'!$X$5:$X$604,"Published"))</f>
        <v>0</v>
      </c>
      <c r="G290" s="23">
        <f>IF(C290="","",SUMIFS(Analytics!$J$5:$J$154,Analytics!$C$5:$C$154,C290))</f>
        <v>0</v>
      </c>
      <c r="H290" s="23">
        <f>IF(C290="","",SUMIFS(Analytics!$K$5:$K$154,Analytics!$C$5:$C$154,C290))</f>
        <v>0</v>
      </c>
      <c r="I290" s="23">
        <f>IF(C290="","",SUMIFS(Analytics!$L$5:$L$154,Analytics!$C$5:$C$154,C290))</f>
        <v>0</v>
      </c>
      <c r="J290" s="24">
        <f>IF(OR(G290="",G290=0),"",I290/G290)</f>
        <v>0</v>
      </c>
      <c r="K290" s="23">
        <f>IF(C290="","",SUMIFS(Analytics!$G$5:$G$154,Analytics!$C$5:$C$154,C290))</f>
        <v>0</v>
      </c>
      <c r="L290" s="23">
        <f>IF(C290="","",SUMIFS(Analytics!$X$5:$X$154,Analytics!$C$5:$C$154,C290))</f>
        <v>0</v>
      </c>
      <c r="M290" s="23">
        <f>IF(C290="","",SUMIFS(Analytics!$R$5:$R$154,Analytics!$C$5:$C$154,C290))</f>
        <v>0</v>
      </c>
      <c r="N290" s="23">
        <f>IF(C290="","",SUMIFS(Analytics!$S$5:$S$154,Analytics!$C$5:$C$154,C290))</f>
        <v>0</v>
      </c>
      <c r="O290" s="23">
        <f>IF(C290="","",SUMIFS(Analytics!$T$5:$T$154,Analytics!$C$5:$C$154,C290))</f>
        <v>0</v>
      </c>
      <c r="P290" s="25">
        <f>IF(C290="","",SUMIFS(Analytics!$U$5:$U$154,Analytics!$C$5:$C$154,C290))</f>
        <v>0</v>
      </c>
      <c r="Q290" s="25">
        <f>IF(C290="","",SUMIFS(Budget!$H$5:$H$64,Budget!$C$5:$C$64,C290))</f>
        <v>0</v>
      </c>
      <c r="R290" s="25">
        <f>IF(C290="","",P290-Q290)</f>
        <v>0</v>
      </c>
      <c r="S290" s="23">
        <f>IF(C290="","",MonthlyPostTarget)</f>
        <v>0</v>
      </c>
      <c r="T290" s="17">
        <f>IF(Lists!$C290="","",Lists!$C290)</f>
        <v>0</v>
      </c>
      <c r="U290" s="23">
        <f>IF(T290="","",COUNTIFS('Content Calendar'!$G$5:$G$604,T290,'Content Calendar'!$B$5:$B$604,"&gt;="&amp;DashStart,'Content Calendar'!$B$5:$B$604,"&lt;="&amp;DashEnd))</f>
        <v>0</v>
      </c>
      <c r="V290" s="23">
        <f>IF(T290="","",COUNTIFS('Content Calendar'!$G$5:$G$604,T290,'Content Calendar'!$X$5:$X$604,"Published",'Content Calendar'!$B$5:$B$604,"&gt;="&amp;DashStart,'Content Calendar'!$B$5:$B$604,"&lt;="&amp;DashEnd))</f>
        <v>0</v>
      </c>
      <c r="W290" s="23">
        <f>IF(T290="","",SUMIFS(Analytics!$J$5:$J$154,Analytics!$D$5:$D$154,T290,Analytics!$B$5:$B$154,"&gt;="&amp;DashStart,Analytics!$B$5:$B$154,"&lt;="&amp;DashEnd))</f>
        <v>0</v>
      </c>
      <c r="X290" s="23">
        <f>IF(T290="","",SUMIFS(Analytics!$L$5:$L$154,Analytics!$D$5:$D$154,T290,Analytics!$B$5:$B$154,"&gt;="&amp;DashStart,Analytics!$B$5:$B$154,"&lt;="&amp;DashEnd))</f>
        <v>0</v>
      </c>
      <c r="Y290" s="24">
        <f>IF(OR(W290="",W290=0),"",X290/W290)</f>
        <v>0</v>
      </c>
      <c r="Z290" s="23">
        <f>IF(T290="","",SUMIFS(Analytics!$G$5:$G$154,Analytics!$D$5:$D$154,T290,Analytics!$B$5:$B$154,"&gt;="&amp;DashStart,Analytics!$B$5:$B$154,"&lt;="&amp;DashEnd))</f>
        <v>0</v>
      </c>
      <c r="AA290" s="23">
        <f>IF(T290="","",SUMIFS(Analytics!$X$5:$X$154,Analytics!$D$5:$D$154,T290,Analytics!$B$5:$B$154,"&gt;="&amp;DashStart,Analytics!$B$5:$B$154,"&lt;="&amp;DashEnd))</f>
        <v>0</v>
      </c>
      <c r="AB290" s="23">
        <f>IF(T290="","",SUMIFS(Analytics!$R$5:$R$154,Analytics!$D$5:$D$154,T290,Analytics!$B$5:$B$154,"&gt;="&amp;DashStart,Analytics!$B$5:$B$154,"&lt;="&amp;DashEnd))</f>
        <v>0</v>
      </c>
      <c r="AC290" s="25">
        <f>IF(T290="","",SUMIFS(Analytics!$U$5:$U$154,Analytics!$D$5:$D$154,T290,Analytics!$B$5:$B$154,"&gt;="&amp;DashStart,Analytics!$B$5:$B$154,"&lt;="&amp;DashEnd))</f>
        <v>0</v>
      </c>
      <c r="AD290" s="23">
        <f>IF(T290="","",COUNTIFS('Content Calendar'!$G$5:$G$604,T290,'Content Calendar'!$B$5:$B$604,"&gt;="&amp;DATE(PlanYear,1,1),'Content Calendar'!$B$5:$B$604,"&lt;="&amp;DATE(PlanYear,12,31)))</f>
        <v>0</v>
      </c>
      <c r="AE290" s="23">
        <f>IF(T290="","",SUMIFS(Analytics!$J$5:$J$154,Analytics!$D$5:$D$154,T290))</f>
        <v>0</v>
      </c>
      <c r="AF290" s="23">
        <f>IF(T290="","",SUMIFS(Analytics!$L$5:$L$154,Analytics!$D$5:$D$154,T290))</f>
        <v>0</v>
      </c>
      <c r="AG290" s="24">
        <f>IF(OR(AE290="",AE290=0),"",AF290/AE290)</f>
        <v>0</v>
      </c>
      <c r="AH290" s="23">
        <f>IF(T290="","",SUMIFS(Analytics!$X$5:$X$154,Analytics!$D$5:$D$154,T290))</f>
        <v>0</v>
      </c>
      <c r="AI290" s="32">
        <f>IF(T290="","",IF(AE290=0,"",AE290+ROW()/1000000))</f>
        <v>0</v>
      </c>
      <c r="AJ290" s="17">
        <f>IF('Content Pillars'!$B$290="","",'Content Pillars'!$B$290)</f>
        <v>0</v>
      </c>
      <c r="AK290" s="23">
        <f>IF(AJ290="","",COUNTIFS('Content Calendar'!$J$5:$J$604,AJ290,'Content Calendar'!$B$5:$B$604,"&gt;="&amp;DATE(PlanYear,1,1),'Content Calendar'!$B$5:$B$604,"&lt;="&amp;DATE(PlanYear,12,31)))</f>
        <v>0</v>
      </c>
      <c r="AL290" s="23">
        <f>IF(AJ290="","",SUMIFS(Performance!$O$5:$O$404,Performance!$H$5:$H$404,AJ290))</f>
        <v>0</v>
      </c>
      <c r="AM290" s="23">
        <f>IF(AJ290="","",SUMIFS(Performance!$Z$5:$Z$404,Performance!$H$5:$H$404,AJ290))</f>
        <v>0</v>
      </c>
      <c r="AN290" s="24">
        <f>IF(OR(AL290="",AL290=0),"",AM290/AL290)</f>
        <v>0</v>
      </c>
      <c r="AO290" s="32">
        <f>IF(AN290="","",AN290+ROW()/1000000)</f>
        <v>0</v>
      </c>
      <c r="AP290" s="17">
        <f>IF(Lists!$E290="","",Lists!$E290)</f>
        <v>0</v>
      </c>
      <c r="AQ290" s="23">
        <f>IF(AP290="","",COUNTIF(Performance!$G$5:$G$404,AP290))</f>
        <v>0</v>
      </c>
      <c r="AR290" s="23">
        <f>IF(AP290="","",SUMIFS(Performance!$O$5:$O$404,Performance!$G$5:$G$404,AP290))</f>
        <v>0</v>
      </c>
      <c r="AS290" s="23">
        <f>IF(AP290="","",SUMIFS(Performance!$Z$5:$Z$404,Performance!$G$5:$G$404,AP290))</f>
        <v>0</v>
      </c>
      <c r="AT290" s="24">
        <f>IF(OR(AR290="",AR290=0),"",AS290/AR290)</f>
        <v>0</v>
      </c>
      <c r="AU290" s="32">
        <f>IF(AQ290=0,"",IF(AT290="","",AT290+ROW()/1000000))</f>
        <v>0</v>
      </c>
      <c r="AV290" s="17">
        <f>IF(ROW()-4&gt;7,"",TEXT(DATE(2024,1,ROW()-4),"ddd"))</f>
        <v>0</v>
      </c>
      <c r="AW290" s="23">
        <f>IF(AV290="","",COUNTIF(Performance!$N$5:$N$404,AV290))</f>
        <v>0</v>
      </c>
      <c r="AX290" s="23">
        <f>IF(AV290="","",SUMIFS(Performance!$O$5:$O$404,Performance!$N$5:$N$404,AV290))</f>
        <v>0</v>
      </c>
      <c r="AY290" s="23">
        <f>IF(AV290="","",SUMIFS(Performance!$Z$5:$Z$404,Performance!$N$5:$N$404,AV290))</f>
        <v>0</v>
      </c>
      <c r="AZ290" s="24">
        <f>IF(OR(AX290="",AX290=0),"",AY290/AX290)</f>
        <v>0</v>
      </c>
      <c r="BA290" s="32">
        <f>IF(AW290=0,"",IF(AZ290="","",AZ290+ROW()/1000000))</f>
        <v>0</v>
      </c>
      <c r="BB290" s="17">
        <f>IF(Lists!$AL290="","",Lists!$AL290)</f>
        <v>0</v>
      </c>
      <c r="BC290" s="23">
        <f>IF(BB290="","",COUNTIF(Performance!$M$5:$M$404,BB290))</f>
        <v>0</v>
      </c>
      <c r="BD290" s="23">
        <f>IF(BB290="","",SUMIFS(Performance!$O$5:$O$404,Performance!$M$5:$M$404,BB290))</f>
        <v>0</v>
      </c>
      <c r="BE290" s="23">
        <f>IF(BB290="","",SUMIFS(Performance!$Z$5:$Z$404,Performance!$M$5:$M$404,BB290))</f>
        <v>0</v>
      </c>
      <c r="BF290" s="24">
        <f>IF(OR(BD290="",BD290=0),"",BE290/BD290)</f>
        <v>0</v>
      </c>
      <c r="BG290" s="32">
        <f>IF(BC290=0,"",IF(BF290="","",BF290+ROW()/1000000))</f>
        <v>0</v>
      </c>
      <c r="BH290" s="17">
        <f>IF(Performance!$C$290="","",Performance!$C$290)</f>
        <v>0</v>
      </c>
      <c r="BI290" s="17">
        <f>IF(Performance!$F$290="","",Performance!$F$290)</f>
        <v>0</v>
      </c>
      <c r="BJ290" s="17">
        <f>IF(Performance!$H$290="","",Performance!$H$290)</f>
        <v>0</v>
      </c>
      <c r="BK290" s="16">
        <f>IF(Performance!$D$290="","",Performance!$D$290)</f>
        <v>0</v>
      </c>
      <c r="BL290" s="17">
        <f>IF(Performance!$E$290="","",Performance!$E$290)</f>
        <v>0</v>
      </c>
      <c r="BM290" s="23">
        <f>IF(Performance!$O$290="","",Performance!$O$290)</f>
        <v>0</v>
      </c>
      <c r="BN290" s="24">
        <f>IF(Performance!$AA$290="","",Performance!$AA$290)</f>
        <v>0</v>
      </c>
      <c r="BO290" s="32">
        <f>IF(BH290="","",IF(BK290="","",IF(OR(BK290&lt;DashStart,BK290&gt;DashEnd),"",IF(BN290="","",BN290+ROW()/1000000))))</f>
        <v>0</v>
      </c>
      <c r="BP290" s="32">
        <f>IF(BM290="","",IF(BK290="","",IF(OR(BK290&lt;DashStart,BK290&gt;DashEnd),"",BM290+ROW()/1000000)))</f>
        <v>0</v>
      </c>
      <c r="BQ290" s="32">
        <f>IF(BH290="","",IF(BK290="","",IF(YEAR(BK290)&lt;&gt;PlanYear,"",IF(BN290="","",BN290+ROW()/1000000))))</f>
        <v>0</v>
      </c>
      <c r="BR290" s="32">
        <f>IF(BH290="","",IF(BK290="","",IF(OR(BK290&lt;RepFrom,BK290&gt;RepTo),"",IF(BN290="","",BN290+ROW()/1000000))))</f>
        <v>0</v>
      </c>
      <c r="BS290" s="32">
        <f>IF(BM290="","",IF(BK290="","",IF(YEAR(BK290)&lt;&gt;PlanYear,"",BM290+ROW()/1000000)))</f>
        <v>0</v>
      </c>
      <c r="BT290" s="17">
        <f>IF(Lists!$F290="","",Lists!$F290)</f>
        <v>0</v>
      </c>
      <c r="BU290" s="23">
        <f>IF(BT290="","",COUNTIF('Content Calendar'!$X$5:$X$604,BT290))</f>
        <v>0</v>
      </c>
      <c r="BV290" s="23">
        <f>IF(BT290="","",COUNTIFS('Content Calendar'!$X$5:$X$604,BT290,'Content Calendar'!$B$5:$B$604,"&gt;="&amp;DashStart,'Content Calendar'!$B$5:$B$604,"&lt;="&amp;DashEnd))</f>
        <v>0</v>
      </c>
      <c r="BW290" s="17">
        <f>IF(Team!$B$290="","",Team!$B$290)</f>
        <v>0</v>
      </c>
      <c r="BX290" s="23">
        <f>IF(BW290="","",COUNTIF('Content Calendar'!$W$5:$W$604,BW290))</f>
        <v>0</v>
      </c>
      <c r="BY290" s="23">
        <f>IF(BW290="","",COUNTIFS('Content Calendar'!$W$5:$W$604,BW290,'Content Calendar'!$X$5:$X$604,"&lt;&gt;Published"))</f>
        <v>0</v>
      </c>
      <c r="BZ290" s="23">
        <f>IF(BW290="","",COUNTIFS(Tasks!$C$5:$C$64,BW290,Tasks!$G$5:$G$64,"&lt;&gt;Complete"))</f>
        <v>0</v>
      </c>
      <c r="CA290" s="17">
        <f>IF(Campaigns!$B$290="","",Campaigns!$B$290)</f>
        <v>0</v>
      </c>
      <c r="CB290" s="25">
        <f>IF(Campaigns!$T$290="","",Campaigns!$T$290)</f>
        <v>0</v>
      </c>
      <c r="CC290" s="25">
        <f>IF(Campaigns!$Q$290="","",Campaigns!$Q$290)</f>
        <v>0</v>
      </c>
      <c r="CD290" s="23">
        <f>IF(Campaigns!$Y$290="","",Campaigns!$Y$290)</f>
        <v>0</v>
      </c>
      <c r="CE290" s="32">
        <f>IF(CA290="","",IF(N(CB290)&lt;=0,"",N(CB290)+ROW()/1000000))</f>
        <v>0</v>
      </c>
      <c r="CF290" s="17">
        <f>IF(Accounts!$C$290="","",Accounts!$C$290)</f>
        <v>0</v>
      </c>
      <c r="CG290" s="17">
        <f>IF(Accounts!$B$290="","",Accounts!$B$290)</f>
        <v>0</v>
      </c>
      <c r="CH290" s="23">
        <f>IF(Accounts!$J$290="","",Accounts!$J$290)</f>
        <v>0</v>
      </c>
      <c r="CI290" s="23">
        <f>IF(CF290="","",SUMIFS(Analytics!$X$5:$X$154,Analytics!$E$5:$E$154,CF290,Analytics!$B$5:$B$154,"&gt;="&amp;DashStart,Analytics!$B$5:$B$154,"&lt;="&amp;DashEnd))</f>
        <v>0</v>
      </c>
      <c r="CJ290" s="32">
        <f>IF(CH290="","",IF(CH290=0,"",CH290+ROW()/1000000))</f>
        <v>0</v>
      </c>
    </row>
    <row r="291" spans="1:88">
      <c r="A291" s="16">
        <f>IF(ROW()-4&gt;12,"",DATE(PlanYear,ROW()-4,1))</f>
        <v>0</v>
      </c>
      <c r="B291" s="16">
        <f>IF(A291="","",EOMONTH(A291,0))</f>
        <v>0</v>
      </c>
      <c r="C291" s="17">
        <f>IF(A291="","",TEXT(A291,"yyyy-mm"))</f>
        <v>0</v>
      </c>
      <c r="D291" s="17">
        <f>IF(A291="","",TEXT(A291,"mmm"))</f>
        <v>0</v>
      </c>
      <c r="E291" s="23">
        <f>IF(C291="","",COUNTIFS('Content Calendar'!$D$5:$D$604,C291))</f>
        <v>0</v>
      </c>
      <c r="F291" s="23">
        <f>IF(C291="","",COUNTIFS('Content Calendar'!$D$5:$D$604,C291,'Content Calendar'!$X$5:$X$604,"Published"))</f>
        <v>0</v>
      </c>
      <c r="G291" s="23">
        <f>IF(C291="","",SUMIFS(Analytics!$J$5:$J$154,Analytics!$C$5:$C$154,C291))</f>
        <v>0</v>
      </c>
      <c r="H291" s="23">
        <f>IF(C291="","",SUMIFS(Analytics!$K$5:$K$154,Analytics!$C$5:$C$154,C291))</f>
        <v>0</v>
      </c>
      <c r="I291" s="23">
        <f>IF(C291="","",SUMIFS(Analytics!$L$5:$L$154,Analytics!$C$5:$C$154,C291))</f>
        <v>0</v>
      </c>
      <c r="J291" s="24">
        <f>IF(OR(G291="",G291=0),"",I291/G291)</f>
        <v>0</v>
      </c>
      <c r="K291" s="23">
        <f>IF(C291="","",SUMIFS(Analytics!$G$5:$G$154,Analytics!$C$5:$C$154,C291))</f>
        <v>0</v>
      </c>
      <c r="L291" s="23">
        <f>IF(C291="","",SUMIFS(Analytics!$X$5:$X$154,Analytics!$C$5:$C$154,C291))</f>
        <v>0</v>
      </c>
      <c r="M291" s="23">
        <f>IF(C291="","",SUMIFS(Analytics!$R$5:$R$154,Analytics!$C$5:$C$154,C291))</f>
        <v>0</v>
      </c>
      <c r="N291" s="23">
        <f>IF(C291="","",SUMIFS(Analytics!$S$5:$S$154,Analytics!$C$5:$C$154,C291))</f>
        <v>0</v>
      </c>
      <c r="O291" s="23">
        <f>IF(C291="","",SUMIFS(Analytics!$T$5:$T$154,Analytics!$C$5:$C$154,C291))</f>
        <v>0</v>
      </c>
      <c r="P291" s="25">
        <f>IF(C291="","",SUMIFS(Analytics!$U$5:$U$154,Analytics!$C$5:$C$154,C291))</f>
        <v>0</v>
      </c>
      <c r="Q291" s="25">
        <f>IF(C291="","",SUMIFS(Budget!$H$5:$H$64,Budget!$C$5:$C$64,C291))</f>
        <v>0</v>
      </c>
      <c r="R291" s="25">
        <f>IF(C291="","",P291-Q291)</f>
        <v>0</v>
      </c>
      <c r="S291" s="23">
        <f>IF(C291="","",MonthlyPostTarget)</f>
        <v>0</v>
      </c>
      <c r="T291" s="17">
        <f>IF(Lists!$C291="","",Lists!$C291)</f>
        <v>0</v>
      </c>
      <c r="U291" s="23">
        <f>IF(T291="","",COUNTIFS('Content Calendar'!$G$5:$G$604,T291,'Content Calendar'!$B$5:$B$604,"&gt;="&amp;DashStart,'Content Calendar'!$B$5:$B$604,"&lt;="&amp;DashEnd))</f>
        <v>0</v>
      </c>
      <c r="V291" s="23">
        <f>IF(T291="","",COUNTIFS('Content Calendar'!$G$5:$G$604,T291,'Content Calendar'!$X$5:$X$604,"Published",'Content Calendar'!$B$5:$B$604,"&gt;="&amp;DashStart,'Content Calendar'!$B$5:$B$604,"&lt;="&amp;DashEnd))</f>
        <v>0</v>
      </c>
      <c r="W291" s="23">
        <f>IF(T291="","",SUMIFS(Analytics!$J$5:$J$154,Analytics!$D$5:$D$154,T291,Analytics!$B$5:$B$154,"&gt;="&amp;DashStart,Analytics!$B$5:$B$154,"&lt;="&amp;DashEnd))</f>
        <v>0</v>
      </c>
      <c r="X291" s="23">
        <f>IF(T291="","",SUMIFS(Analytics!$L$5:$L$154,Analytics!$D$5:$D$154,T291,Analytics!$B$5:$B$154,"&gt;="&amp;DashStart,Analytics!$B$5:$B$154,"&lt;="&amp;DashEnd))</f>
        <v>0</v>
      </c>
      <c r="Y291" s="24">
        <f>IF(OR(W291="",W291=0),"",X291/W291)</f>
        <v>0</v>
      </c>
      <c r="Z291" s="23">
        <f>IF(T291="","",SUMIFS(Analytics!$G$5:$G$154,Analytics!$D$5:$D$154,T291,Analytics!$B$5:$B$154,"&gt;="&amp;DashStart,Analytics!$B$5:$B$154,"&lt;="&amp;DashEnd))</f>
        <v>0</v>
      </c>
      <c r="AA291" s="23">
        <f>IF(T291="","",SUMIFS(Analytics!$X$5:$X$154,Analytics!$D$5:$D$154,T291,Analytics!$B$5:$B$154,"&gt;="&amp;DashStart,Analytics!$B$5:$B$154,"&lt;="&amp;DashEnd))</f>
        <v>0</v>
      </c>
      <c r="AB291" s="23">
        <f>IF(T291="","",SUMIFS(Analytics!$R$5:$R$154,Analytics!$D$5:$D$154,T291,Analytics!$B$5:$B$154,"&gt;="&amp;DashStart,Analytics!$B$5:$B$154,"&lt;="&amp;DashEnd))</f>
        <v>0</v>
      </c>
      <c r="AC291" s="25">
        <f>IF(T291="","",SUMIFS(Analytics!$U$5:$U$154,Analytics!$D$5:$D$154,T291,Analytics!$B$5:$B$154,"&gt;="&amp;DashStart,Analytics!$B$5:$B$154,"&lt;="&amp;DashEnd))</f>
        <v>0</v>
      </c>
      <c r="AD291" s="23">
        <f>IF(T291="","",COUNTIFS('Content Calendar'!$G$5:$G$604,T291,'Content Calendar'!$B$5:$B$604,"&gt;="&amp;DATE(PlanYear,1,1),'Content Calendar'!$B$5:$B$604,"&lt;="&amp;DATE(PlanYear,12,31)))</f>
        <v>0</v>
      </c>
      <c r="AE291" s="23">
        <f>IF(T291="","",SUMIFS(Analytics!$J$5:$J$154,Analytics!$D$5:$D$154,T291))</f>
        <v>0</v>
      </c>
      <c r="AF291" s="23">
        <f>IF(T291="","",SUMIFS(Analytics!$L$5:$L$154,Analytics!$D$5:$D$154,T291))</f>
        <v>0</v>
      </c>
      <c r="AG291" s="24">
        <f>IF(OR(AE291="",AE291=0),"",AF291/AE291)</f>
        <v>0</v>
      </c>
      <c r="AH291" s="23">
        <f>IF(T291="","",SUMIFS(Analytics!$X$5:$X$154,Analytics!$D$5:$D$154,T291))</f>
        <v>0</v>
      </c>
      <c r="AI291" s="32">
        <f>IF(T291="","",IF(AE291=0,"",AE291+ROW()/1000000))</f>
        <v>0</v>
      </c>
      <c r="AJ291" s="17">
        <f>IF('Content Pillars'!$B$291="","",'Content Pillars'!$B$291)</f>
        <v>0</v>
      </c>
      <c r="AK291" s="23">
        <f>IF(AJ291="","",COUNTIFS('Content Calendar'!$J$5:$J$604,AJ291,'Content Calendar'!$B$5:$B$604,"&gt;="&amp;DATE(PlanYear,1,1),'Content Calendar'!$B$5:$B$604,"&lt;="&amp;DATE(PlanYear,12,31)))</f>
        <v>0</v>
      </c>
      <c r="AL291" s="23">
        <f>IF(AJ291="","",SUMIFS(Performance!$O$5:$O$404,Performance!$H$5:$H$404,AJ291))</f>
        <v>0</v>
      </c>
      <c r="AM291" s="23">
        <f>IF(AJ291="","",SUMIFS(Performance!$Z$5:$Z$404,Performance!$H$5:$H$404,AJ291))</f>
        <v>0</v>
      </c>
      <c r="AN291" s="24">
        <f>IF(OR(AL291="",AL291=0),"",AM291/AL291)</f>
        <v>0</v>
      </c>
      <c r="AO291" s="32">
        <f>IF(AN291="","",AN291+ROW()/1000000)</f>
        <v>0</v>
      </c>
      <c r="AP291" s="17">
        <f>IF(Lists!$E291="","",Lists!$E291)</f>
        <v>0</v>
      </c>
      <c r="AQ291" s="23">
        <f>IF(AP291="","",COUNTIF(Performance!$G$5:$G$404,AP291))</f>
        <v>0</v>
      </c>
      <c r="AR291" s="23">
        <f>IF(AP291="","",SUMIFS(Performance!$O$5:$O$404,Performance!$G$5:$G$404,AP291))</f>
        <v>0</v>
      </c>
      <c r="AS291" s="23">
        <f>IF(AP291="","",SUMIFS(Performance!$Z$5:$Z$404,Performance!$G$5:$G$404,AP291))</f>
        <v>0</v>
      </c>
      <c r="AT291" s="24">
        <f>IF(OR(AR291="",AR291=0),"",AS291/AR291)</f>
        <v>0</v>
      </c>
      <c r="AU291" s="32">
        <f>IF(AQ291=0,"",IF(AT291="","",AT291+ROW()/1000000))</f>
        <v>0</v>
      </c>
      <c r="AV291" s="17">
        <f>IF(ROW()-4&gt;7,"",TEXT(DATE(2024,1,ROW()-4),"ddd"))</f>
        <v>0</v>
      </c>
      <c r="AW291" s="23">
        <f>IF(AV291="","",COUNTIF(Performance!$N$5:$N$404,AV291))</f>
        <v>0</v>
      </c>
      <c r="AX291" s="23">
        <f>IF(AV291="","",SUMIFS(Performance!$O$5:$O$404,Performance!$N$5:$N$404,AV291))</f>
        <v>0</v>
      </c>
      <c r="AY291" s="23">
        <f>IF(AV291="","",SUMIFS(Performance!$Z$5:$Z$404,Performance!$N$5:$N$404,AV291))</f>
        <v>0</v>
      </c>
      <c r="AZ291" s="24">
        <f>IF(OR(AX291="",AX291=0),"",AY291/AX291)</f>
        <v>0</v>
      </c>
      <c r="BA291" s="32">
        <f>IF(AW291=0,"",IF(AZ291="","",AZ291+ROW()/1000000))</f>
        <v>0</v>
      </c>
      <c r="BB291" s="17">
        <f>IF(Lists!$AL291="","",Lists!$AL291)</f>
        <v>0</v>
      </c>
      <c r="BC291" s="23">
        <f>IF(BB291="","",COUNTIF(Performance!$M$5:$M$404,BB291))</f>
        <v>0</v>
      </c>
      <c r="BD291" s="23">
        <f>IF(BB291="","",SUMIFS(Performance!$O$5:$O$404,Performance!$M$5:$M$404,BB291))</f>
        <v>0</v>
      </c>
      <c r="BE291" s="23">
        <f>IF(BB291="","",SUMIFS(Performance!$Z$5:$Z$404,Performance!$M$5:$M$404,BB291))</f>
        <v>0</v>
      </c>
      <c r="BF291" s="24">
        <f>IF(OR(BD291="",BD291=0),"",BE291/BD291)</f>
        <v>0</v>
      </c>
      <c r="BG291" s="32">
        <f>IF(BC291=0,"",IF(BF291="","",BF291+ROW()/1000000))</f>
        <v>0</v>
      </c>
      <c r="BH291" s="17">
        <f>IF(Performance!$C$291="","",Performance!$C$291)</f>
        <v>0</v>
      </c>
      <c r="BI291" s="17">
        <f>IF(Performance!$F$291="","",Performance!$F$291)</f>
        <v>0</v>
      </c>
      <c r="BJ291" s="17">
        <f>IF(Performance!$H$291="","",Performance!$H$291)</f>
        <v>0</v>
      </c>
      <c r="BK291" s="16">
        <f>IF(Performance!$D$291="","",Performance!$D$291)</f>
        <v>0</v>
      </c>
      <c r="BL291" s="17">
        <f>IF(Performance!$E$291="","",Performance!$E$291)</f>
        <v>0</v>
      </c>
      <c r="BM291" s="23">
        <f>IF(Performance!$O$291="","",Performance!$O$291)</f>
        <v>0</v>
      </c>
      <c r="BN291" s="24">
        <f>IF(Performance!$AA$291="","",Performance!$AA$291)</f>
        <v>0</v>
      </c>
      <c r="BO291" s="32">
        <f>IF(BH291="","",IF(BK291="","",IF(OR(BK291&lt;DashStart,BK291&gt;DashEnd),"",IF(BN291="","",BN291+ROW()/1000000))))</f>
        <v>0</v>
      </c>
      <c r="BP291" s="32">
        <f>IF(BM291="","",IF(BK291="","",IF(OR(BK291&lt;DashStart,BK291&gt;DashEnd),"",BM291+ROW()/1000000)))</f>
        <v>0</v>
      </c>
      <c r="BQ291" s="32">
        <f>IF(BH291="","",IF(BK291="","",IF(YEAR(BK291)&lt;&gt;PlanYear,"",IF(BN291="","",BN291+ROW()/1000000))))</f>
        <v>0</v>
      </c>
      <c r="BR291" s="32">
        <f>IF(BH291="","",IF(BK291="","",IF(OR(BK291&lt;RepFrom,BK291&gt;RepTo),"",IF(BN291="","",BN291+ROW()/1000000))))</f>
        <v>0</v>
      </c>
      <c r="BS291" s="32">
        <f>IF(BM291="","",IF(BK291="","",IF(YEAR(BK291)&lt;&gt;PlanYear,"",BM291+ROW()/1000000)))</f>
        <v>0</v>
      </c>
      <c r="BT291" s="17">
        <f>IF(Lists!$F291="","",Lists!$F291)</f>
        <v>0</v>
      </c>
      <c r="BU291" s="23">
        <f>IF(BT291="","",COUNTIF('Content Calendar'!$X$5:$X$604,BT291))</f>
        <v>0</v>
      </c>
      <c r="BV291" s="23">
        <f>IF(BT291="","",COUNTIFS('Content Calendar'!$X$5:$X$604,BT291,'Content Calendar'!$B$5:$B$604,"&gt;="&amp;DashStart,'Content Calendar'!$B$5:$B$604,"&lt;="&amp;DashEnd))</f>
        <v>0</v>
      </c>
      <c r="BW291" s="17">
        <f>IF(Team!$B$291="","",Team!$B$291)</f>
        <v>0</v>
      </c>
      <c r="BX291" s="23">
        <f>IF(BW291="","",COUNTIF('Content Calendar'!$W$5:$W$604,BW291))</f>
        <v>0</v>
      </c>
      <c r="BY291" s="23">
        <f>IF(BW291="","",COUNTIFS('Content Calendar'!$W$5:$W$604,BW291,'Content Calendar'!$X$5:$X$604,"&lt;&gt;Published"))</f>
        <v>0</v>
      </c>
      <c r="BZ291" s="23">
        <f>IF(BW291="","",COUNTIFS(Tasks!$C$5:$C$64,BW291,Tasks!$G$5:$G$64,"&lt;&gt;Complete"))</f>
        <v>0</v>
      </c>
      <c r="CA291" s="17">
        <f>IF(Campaigns!$B$291="","",Campaigns!$B$291)</f>
        <v>0</v>
      </c>
      <c r="CB291" s="25">
        <f>IF(Campaigns!$T$291="","",Campaigns!$T$291)</f>
        <v>0</v>
      </c>
      <c r="CC291" s="25">
        <f>IF(Campaigns!$Q$291="","",Campaigns!$Q$291)</f>
        <v>0</v>
      </c>
      <c r="CD291" s="23">
        <f>IF(Campaigns!$Y$291="","",Campaigns!$Y$291)</f>
        <v>0</v>
      </c>
      <c r="CE291" s="32">
        <f>IF(CA291="","",IF(N(CB291)&lt;=0,"",N(CB291)+ROW()/1000000))</f>
        <v>0</v>
      </c>
      <c r="CF291" s="17">
        <f>IF(Accounts!$C$291="","",Accounts!$C$291)</f>
        <v>0</v>
      </c>
      <c r="CG291" s="17">
        <f>IF(Accounts!$B$291="","",Accounts!$B$291)</f>
        <v>0</v>
      </c>
      <c r="CH291" s="23">
        <f>IF(Accounts!$J$291="","",Accounts!$J$291)</f>
        <v>0</v>
      </c>
      <c r="CI291" s="23">
        <f>IF(CF291="","",SUMIFS(Analytics!$X$5:$X$154,Analytics!$E$5:$E$154,CF291,Analytics!$B$5:$B$154,"&gt;="&amp;DashStart,Analytics!$B$5:$B$154,"&lt;="&amp;DashEnd))</f>
        <v>0</v>
      </c>
      <c r="CJ291" s="32">
        <f>IF(CH291="","",IF(CH291=0,"",CH291+ROW()/1000000))</f>
        <v>0</v>
      </c>
    </row>
    <row r="292" spans="1:88">
      <c r="A292" s="16">
        <f>IF(ROW()-4&gt;12,"",DATE(PlanYear,ROW()-4,1))</f>
        <v>0</v>
      </c>
      <c r="B292" s="16">
        <f>IF(A292="","",EOMONTH(A292,0))</f>
        <v>0</v>
      </c>
      <c r="C292" s="17">
        <f>IF(A292="","",TEXT(A292,"yyyy-mm"))</f>
        <v>0</v>
      </c>
      <c r="D292" s="17">
        <f>IF(A292="","",TEXT(A292,"mmm"))</f>
        <v>0</v>
      </c>
      <c r="E292" s="23">
        <f>IF(C292="","",COUNTIFS('Content Calendar'!$D$5:$D$604,C292))</f>
        <v>0</v>
      </c>
      <c r="F292" s="23">
        <f>IF(C292="","",COUNTIFS('Content Calendar'!$D$5:$D$604,C292,'Content Calendar'!$X$5:$X$604,"Published"))</f>
        <v>0</v>
      </c>
      <c r="G292" s="23">
        <f>IF(C292="","",SUMIFS(Analytics!$J$5:$J$154,Analytics!$C$5:$C$154,C292))</f>
        <v>0</v>
      </c>
      <c r="H292" s="23">
        <f>IF(C292="","",SUMIFS(Analytics!$K$5:$K$154,Analytics!$C$5:$C$154,C292))</f>
        <v>0</v>
      </c>
      <c r="I292" s="23">
        <f>IF(C292="","",SUMIFS(Analytics!$L$5:$L$154,Analytics!$C$5:$C$154,C292))</f>
        <v>0</v>
      </c>
      <c r="J292" s="24">
        <f>IF(OR(G292="",G292=0),"",I292/G292)</f>
        <v>0</v>
      </c>
      <c r="K292" s="23">
        <f>IF(C292="","",SUMIFS(Analytics!$G$5:$G$154,Analytics!$C$5:$C$154,C292))</f>
        <v>0</v>
      </c>
      <c r="L292" s="23">
        <f>IF(C292="","",SUMIFS(Analytics!$X$5:$X$154,Analytics!$C$5:$C$154,C292))</f>
        <v>0</v>
      </c>
      <c r="M292" s="23">
        <f>IF(C292="","",SUMIFS(Analytics!$R$5:$R$154,Analytics!$C$5:$C$154,C292))</f>
        <v>0</v>
      </c>
      <c r="N292" s="23">
        <f>IF(C292="","",SUMIFS(Analytics!$S$5:$S$154,Analytics!$C$5:$C$154,C292))</f>
        <v>0</v>
      </c>
      <c r="O292" s="23">
        <f>IF(C292="","",SUMIFS(Analytics!$T$5:$T$154,Analytics!$C$5:$C$154,C292))</f>
        <v>0</v>
      </c>
      <c r="P292" s="25">
        <f>IF(C292="","",SUMIFS(Analytics!$U$5:$U$154,Analytics!$C$5:$C$154,C292))</f>
        <v>0</v>
      </c>
      <c r="Q292" s="25">
        <f>IF(C292="","",SUMIFS(Budget!$H$5:$H$64,Budget!$C$5:$C$64,C292))</f>
        <v>0</v>
      </c>
      <c r="R292" s="25">
        <f>IF(C292="","",P292-Q292)</f>
        <v>0</v>
      </c>
      <c r="S292" s="23">
        <f>IF(C292="","",MonthlyPostTarget)</f>
        <v>0</v>
      </c>
      <c r="T292" s="17">
        <f>IF(Lists!$C292="","",Lists!$C292)</f>
        <v>0</v>
      </c>
      <c r="U292" s="23">
        <f>IF(T292="","",COUNTIFS('Content Calendar'!$G$5:$G$604,T292,'Content Calendar'!$B$5:$B$604,"&gt;="&amp;DashStart,'Content Calendar'!$B$5:$B$604,"&lt;="&amp;DashEnd))</f>
        <v>0</v>
      </c>
      <c r="V292" s="23">
        <f>IF(T292="","",COUNTIFS('Content Calendar'!$G$5:$G$604,T292,'Content Calendar'!$X$5:$X$604,"Published",'Content Calendar'!$B$5:$B$604,"&gt;="&amp;DashStart,'Content Calendar'!$B$5:$B$604,"&lt;="&amp;DashEnd))</f>
        <v>0</v>
      </c>
      <c r="W292" s="23">
        <f>IF(T292="","",SUMIFS(Analytics!$J$5:$J$154,Analytics!$D$5:$D$154,T292,Analytics!$B$5:$B$154,"&gt;="&amp;DashStart,Analytics!$B$5:$B$154,"&lt;="&amp;DashEnd))</f>
        <v>0</v>
      </c>
      <c r="X292" s="23">
        <f>IF(T292="","",SUMIFS(Analytics!$L$5:$L$154,Analytics!$D$5:$D$154,T292,Analytics!$B$5:$B$154,"&gt;="&amp;DashStart,Analytics!$B$5:$B$154,"&lt;="&amp;DashEnd))</f>
        <v>0</v>
      </c>
      <c r="Y292" s="24">
        <f>IF(OR(W292="",W292=0),"",X292/W292)</f>
        <v>0</v>
      </c>
      <c r="Z292" s="23">
        <f>IF(T292="","",SUMIFS(Analytics!$G$5:$G$154,Analytics!$D$5:$D$154,T292,Analytics!$B$5:$B$154,"&gt;="&amp;DashStart,Analytics!$B$5:$B$154,"&lt;="&amp;DashEnd))</f>
        <v>0</v>
      </c>
      <c r="AA292" s="23">
        <f>IF(T292="","",SUMIFS(Analytics!$X$5:$X$154,Analytics!$D$5:$D$154,T292,Analytics!$B$5:$B$154,"&gt;="&amp;DashStart,Analytics!$B$5:$B$154,"&lt;="&amp;DashEnd))</f>
        <v>0</v>
      </c>
      <c r="AB292" s="23">
        <f>IF(T292="","",SUMIFS(Analytics!$R$5:$R$154,Analytics!$D$5:$D$154,T292,Analytics!$B$5:$B$154,"&gt;="&amp;DashStart,Analytics!$B$5:$B$154,"&lt;="&amp;DashEnd))</f>
        <v>0</v>
      </c>
      <c r="AC292" s="25">
        <f>IF(T292="","",SUMIFS(Analytics!$U$5:$U$154,Analytics!$D$5:$D$154,T292,Analytics!$B$5:$B$154,"&gt;="&amp;DashStart,Analytics!$B$5:$B$154,"&lt;="&amp;DashEnd))</f>
        <v>0</v>
      </c>
      <c r="AD292" s="23">
        <f>IF(T292="","",COUNTIFS('Content Calendar'!$G$5:$G$604,T292,'Content Calendar'!$B$5:$B$604,"&gt;="&amp;DATE(PlanYear,1,1),'Content Calendar'!$B$5:$B$604,"&lt;="&amp;DATE(PlanYear,12,31)))</f>
        <v>0</v>
      </c>
      <c r="AE292" s="23">
        <f>IF(T292="","",SUMIFS(Analytics!$J$5:$J$154,Analytics!$D$5:$D$154,T292))</f>
        <v>0</v>
      </c>
      <c r="AF292" s="23">
        <f>IF(T292="","",SUMIFS(Analytics!$L$5:$L$154,Analytics!$D$5:$D$154,T292))</f>
        <v>0</v>
      </c>
      <c r="AG292" s="24">
        <f>IF(OR(AE292="",AE292=0),"",AF292/AE292)</f>
        <v>0</v>
      </c>
      <c r="AH292" s="23">
        <f>IF(T292="","",SUMIFS(Analytics!$X$5:$X$154,Analytics!$D$5:$D$154,T292))</f>
        <v>0</v>
      </c>
      <c r="AI292" s="32">
        <f>IF(T292="","",IF(AE292=0,"",AE292+ROW()/1000000))</f>
        <v>0</v>
      </c>
      <c r="AJ292" s="17">
        <f>IF('Content Pillars'!$B$292="","",'Content Pillars'!$B$292)</f>
        <v>0</v>
      </c>
      <c r="AK292" s="23">
        <f>IF(AJ292="","",COUNTIFS('Content Calendar'!$J$5:$J$604,AJ292,'Content Calendar'!$B$5:$B$604,"&gt;="&amp;DATE(PlanYear,1,1),'Content Calendar'!$B$5:$B$604,"&lt;="&amp;DATE(PlanYear,12,31)))</f>
        <v>0</v>
      </c>
      <c r="AL292" s="23">
        <f>IF(AJ292="","",SUMIFS(Performance!$O$5:$O$404,Performance!$H$5:$H$404,AJ292))</f>
        <v>0</v>
      </c>
      <c r="AM292" s="23">
        <f>IF(AJ292="","",SUMIFS(Performance!$Z$5:$Z$404,Performance!$H$5:$H$404,AJ292))</f>
        <v>0</v>
      </c>
      <c r="AN292" s="24">
        <f>IF(OR(AL292="",AL292=0),"",AM292/AL292)</f>
        <v>0</v>
      </c>
      <c r="AO292" s="32">
        <f>IF(AN292="","",AN292+ROW()/1000000)</f>
        <v>0</v>
      </c>
      <c r="AP292" s="17">
        <f>IF(Lists!$E292="","",Lists!$E292)</f>
        <v>0</v>
      </c>
      <c r="AQ292" s="23">
        <f>IF(AP292="","",COUNTIF(Performance!$G$5:$G$404,AP292))</f>
        <v>0</v>
      </c>
      <c r="AR292" s="23">
        <f>IF(AP292="","",SUMIFS(Performance!$O$5:$O$404,Performance!$G$5:$G$404,AP292))</f>
        <v>0</v>
      </c>
      <c r="AS292" s="23">
        <f>IF(AP292="","",SUMIFS(Performance!$Z$5:$Z$404,Performance!$G$5:$G$404,AP292))</f>
        <v>0</v>
      </c>
      <c r="AT292" s="24">
        <f>IF(OR(AR292="",AR292=0),"",AS292/AR292)</f>
        <v>0</v>
      </c>
      <c r="AU292" s="32">
        <f>IF(AQ292=0,"",IF(AT292="","",AT292+ROW()/1000000))</f>
        <v>0</v>
      </c>
      <c r="AV292" s="17">
        <f>IF(ROW()-4&gt;7,"",TEXT(DATE(2024,1,ROW()-4),"ddd"))</f>
        <v>0</v>
      </c>
      <c r="AW292" s="23">
        <f>IF(AV292="","",COUNTIF(Performance!$N$5:$N$404,AV292))</f>
        <v>0</v>
      </c>
      <c r="AX292" s="23">
        <f>IF(AV292="","",SUMIFS(Performance!$O$5:$O$404,Performance!$N$5:$N$404,AV292))</f>
        <v>0</v>
      </c>
      <c r="AY292" s="23">
        <f>IF(AV292="","",SUMIFS(Performance!$Z$5:$Z$404,Performance!$N$5:$N$404,AV292))</f>
        <v>0</v>
      </c>
      <c r="AZ292" s="24">
        <f>IF(OR(AX292="",AX292=0),"",AY292/AX292)</f>
        <v>0</v>
      </c>
      <c r="BA292" s="32">
        <f>IF(AW292=0,"",IF(AZ292="","",AZ292+ROW()/1000000))</f>
        <v>0</v>
      </c>
      <c r="BB292" s="17">
        <f>IF(Lists!$AL292="","",Lists!$AL292)</f>
        <v>0</v>
      </c>
      <c r="BC292" s="23">
        <f>IF(BB292="","",COUNTIF(Performance!$M$5:$M$404,BB292))</f>
        <v>0</v>
      </c>
      <c r="BD292" s="23">
        <f>IF(BB292="","",SUMIFS(Performance!$O$5:$O$404,Performance!$M$5:$M$404,BB292))</f>
        <v>0</v>
      </c>
      <c r="BE292" s="23">
        <f>IF(BB292="","",SUMIFS(Performance!$Z$5:$Z$404,Performance!$M$5:$M$404,BB292))</f>
        <v>0</v>
      </c>
      <c r="BF292" s="24">
        <f>IF(OR(BD292="",BD292=0),"",BE292/BD292)</f>
        <v>0</v>
      </c>
      <c r="BG292" s="32">
        <f>IF(BC292=0,"",IF(BF292="","",BF292+ROW()/1000000))</f>
        <v>0</v>
      </c>
      <c r="BH292" s="17">
        <f>IF(Performance!$C$292="","",Performance!$C$292)</f>
        <v>0</v>
      </c>
      <c r="BI292" s="17">
        <f>IF(Performance!$F$292="","",Performance!$F$292)</f>
        <v>0</v>
      </c>
      <c r="BJ292" s="17">
        <f>IF(Performance!$H$292="","",Performance!$H$292)</f>
        <v>0</v>
      </c>
      <c r="BK292" s="16">
        <f>IF(Performance!$D$292="","",Performance!$D$292)</f>
        <v>0</v>
      </c>
      <c r="BL292" s="17">
        <f>IF(Performance!$E$292="","",Performance!$E$292)</f>
        <v>0</v>
      </c>
      <c r="BM292" s="23">
        <f>IF(Performance!$O$292="","",Performance!$O$292)</f>
        <v>0</v>
      </c>
      <c r="BN292" s="24">
        <f>IF(Performance!$AA$292="","",Performance!$AA$292)</f>
        <v>0</v>
      </c>
      <c r="BO292" s="32">
        <f>IF(BH292="","",IF(BK292="","",IF(OR(BK292&lt;DashStart,BK292&gt;DashEnd),"",IF(BN292="","",BN292+ROW()/1000000))))</f>
        <v>0</v>
      </c>
      <c r="BP292" s="32">
        <f>IF(BM292="","",IF(BK292="","",IF(OR(BK292&lt;DashStart,BK292&gt;DashEnd),"",BM292+ROW()/1000000)))</f>
        <v>0</v>
      </c>
      <c r="BQ292" s="32">
        <f>IF(BH292="","",IF(BK292="","",IF(YEAR(BK292)&lt;&gt;PlanYear,"",IF(BN292="","",BN292+ROW()/1000000))))</f>
        <v>0</v>
      </c>
      <c r="BR292" s="32">
        <f>IF(BH292="","",IF(BK292="","",IF(OR(BK292&lt;RepFrom,BK292&gt;RepTo),"",IF(BN292="","",BN292+ROW()/1000000))))</f>
        <v>0</v>
      </c>
      <c r="BS292" s="32">
        <f>IF(BM292="","",IF(BK292="","",IF(YEAR(BK292)&lt;&gt;PlanYear,"",BM292+ROW()/1000000)))</f>
        <v>0</v>
      </c>
      <c r="BT292" s="17">
        <f>IF(Lists!$F292="","",Lists!$F292)</f>
        <v>0</v>
      </c>
      <c r="BU292" s="23">
        <f>IF(BT292="","",COUNTIF('Content Calendar'!$X$5:$X$604,BT292))</f>
        <v>0</v>
      </c>
      <c r="BV292" s="23">
        <f>IF(BT292="","",COUNTIFS('Content Calendar'!$X$5:$X$604,BT292,'Content Calendar'!$B$5:$B$604,"&gt;="&amp;DashStart,'Content Calendar'!$B$5:$B$604,"&lt;="&amp;DashEnd))</f>
        <v>0</v>
      </c>
      <c r="BW292" s="17">
        <f>IF(Team!$B$292="","",Team!$B$292)</f>
        <v>0</v>
      </c>
      <c r="BX292" s="23">
        <f>IF(BW292="","",COUNTIF('Content Calendar'!$W$5:$W$604,BW292))</f>
        <v>0</v>
      </c>
      <c r="BY292" s="23">
        <f>IF(BW292="","",COUNTIFS('Content Calendar'!$W$5:$W$604,BW292,'Content Calendar'!$X$5:$X$604,"&lt;&gt;Published"))</f>
        <v>0</v>
      </c>
      <c r="BZ292" s="23">
        <f>IF(BW292="","",COUNTIFS(Tasks!$C$5:$C$64,BW292,Tasks!$G$5:$G$64,"&lt;&gt;Complete"))</f>
        <v>0</v>
      </c>
      <c r="CA292" s="17">
        <f>IF(Campaigns!$B$292="","",Campaigns!$B$292)</f>
        <v>0</v>
      </c>
      <c r="CB292" s="25">
        <f>IF(Campaigns!$T$292="","",Campaigns!$T$292)</f>
        <v>0</v>
      </c>
      <c r="CC292" s="25">
        <f>IF(Campaigns!$Q$292="","",Campaigns!$Q$292)</f>
        <v>0</v>
      </c>
      <c r="CD292" s="23">
        <f>IF(Campaigns!$Y$292="","",Campaigns!$Y$292)</f>
        <v>0</v>
      </c>
      <c r="CE292" s="32">
        <f>IF(CA292="","",IF(N(CB292)&lt;=0,"",N(CB292)+ROW()/1000000))</f>
        <v>0</v>
      </c>
      <c r="CF292" s="17">
        <f>IF(Accounts!$C$292="","",Accounts!$C$292)</f>
        <v>0</v>
      </c>
      <c r="CG292" s="17">
        <f>IF(Accounts!$B$292="","",Accounts!$B$292)</f>
        <v>0</v>
      </c>
      <c r="CH292" s="23">
        <f>IF(Accounts!$J$292="","",Accounts!$J$292)</f>
        <v>0</v>
      </c>
      <c r="CI292" s="23">
        <f>IF(CF292="","",SUMIFS(Analytics!$X$5:$X$154,Analytics!$E$5:$E$154,CF292,Analytics!$B$5:$B$154,"&gt;="&amp;DashStart,Analytics!$B$5:$B$154,"&lt;="&amp;DashEnd))</f>
        <v>0</v>
      </c>
      <c r="CJ292" s="32">
        <f>IF(CH292="","",IF(CH292=0,"",CH292+ROW()/1000000))</f>
        <v>0</v>
      </c>
    </row>
    <row r="293" spans="1:88">
      <c r="A293" s="16">
        <f>IF(ROW()-4&gt;12,"",DATE(PlanYear,ROW()-4,1))</f>
        <v>0</v>
      </c>
      <c r="B293" s="16">
        <f>IF(A293="","",EOMONTH(A293,0))</f>
        <v>0</v>
      </c>
      <c r="C293" s="17">
        <f>IF(A293="","",TEXT(A293,"yyyy-mm"))</f>
        <v>0</v>
      </c>
      <c r="D293" s="17">
        <f>IF(A293="","",TEXT(A293,"mmm"))</f>
        <v>0</v>
      </c>
      <c r="E293" s="23">
        <f>IF(C293="","",COUNTIFS('Content Calendar'!$D$5:$D$604,C293))</f>
        <v>0</v>
      </c>
      <c r="F293" s="23">
        <f>IF(C293="","",COUNTIFS('Content Calendar'!$D$5:$D$604,C293,'Content Calendar'!$X$5:$X$604,"Published"))</f>
        <v>0</v>
      </c>
      <c r="G293" s="23">
        <f>IF(C293="","",SUMIFS(Analytics!$J$5:$J$154,Analytics!$C$5:$C$154,C293))</f>
        <v>0</v>
      </c>
      <c r="H293" s="23">
        <f>IF(C293="","",SUMIFS(Analytics!$K$5:$K$154,Analytics!$C$5:$C$154,C293))</f>
        <v>0</v>
      </c>
      <c r="I293" s="23">
        <f>IF(C293="","",SUMIFS(Analytics!$L$5:$L$154,Analytics!$C$5:$C$154,C293))</f>
        <v>0</v>
      </c>
      <c r="J293" s="24">
        <f>IF(OR(G293="",G293=0),"",I293/G293)</f>
        <v>0</v>
      </c>
      <c r="K293" s="23">
        <f>IF(C293="","",SUMIFS(Analytics!$G$5:$G$154,Analytics!$C$5:$C$154,C293))</f>
        <v>0</v>
      </c>
      <c r="L293" s="23">
        <f>IF(C293="","",SUMIFS(Analytics!$X$5:$X$154,Analytics!$C$5:$C$154,C293))</f>
        <v>0</v>
      </c>
      <c r="M293" s="23">
        <f>IF(C293="","",SUMIFS(Analytics!$R$5:$R$154,Analytics!$C$5:$C$154,C293))</f>
        <v>0</v>
      </c>
      <c r="N293" s="23">
        <f>IF(C293="","",SUMIFS(Analytics!$S$5:$S$154,Analytics!$C$5:$C$154,C293))</f>
        <v>0</v>
      </c>
      <c r="O293" s="23">
        <f>IF(C293="","",SUMIFS(Analytics!$T$5:$T$154,Analytics!$C$5:$C$154,C293))</f>
        <v>0</v>
      </c>
      <c r="P293" s="25">
        <f>IF(C293="","",SUMIFS(Analytics!$U$5:$U$154,Analytics!$C$5:$C$154,C293))</f>
        <v>0</v>
      </c>
      <c r="Q293" s="25">
        <f>IF(C293="","",SUMIFS(Budget!$H$5:$H$64,Budget!$C$5:$C$64,C293))</f>
        <v>0</v>
      </c>
      <c r="R293" s="25">
        <f>IF(C293="","",P293-Q293)</f>
        <v>0</v>
      </c>
      <c r="S293" s="23">
        <f>IF(C293="","",MonthlyPostTarget)</f>
        <v>0</v>
      </c>
      <c r="T293" s="17">
        <f>IF(Lists!$C293="","",Lists!$C293)</f>
        <v>0</v>
      </c>
      <c r="U293" s="23">
        <f>IF(T293="","",COUNTIFS('Content Calendar'!$G$5:$G$604,T293,'Content Calendar'!$B$5:$B$604,"&gt;="&amp;DashStart,'Content Calendar'!$B$5:$B$604,"&lt;="&amp;DashEnd))</f>
        <v>0</v>
      </c>
      <c r="V293" s="23">
        <f>IF(T293="","",COUNTIFS('Content Calendar'!$G$5:$G$604,T293,'Content Calendar'!$X$5:$X$604,"Published",'Content Calendar'!$B$5:$B$604,"&gt;="&amp;DashStart,'Content Calendar'!$B$5:$B$604,"&lt;="&amp;DashEnd))</f>
        <v>0</v>
      </c>
      <c r="W293" s="23">
        <f>IF(T293="","",SUMIFS(Analytics!$J$5:$J$154,Analytics!$D$5:$D$154,T293,Analytics!$B$5:$B$154,"&gt;="&amp;DashStart,Analytics!$B$5:$B$154,"&lt;="&amp;DashEnd))</f>
        <v>0</v>
      </c>
      <c r="X293" s="23">
        <f>IF(T293="","",SUMIFS(Analytics!$L$5:$L$154,Analytics!$D$5:$D$154,T293,Analytics!$B$5:$B$154,"&gt;="&amp;DashStart,Analytics!$B$5:$B$154,"&lt;="&amp;DashEnd))</f>
        <v>0</v>
      </c>
      <c r="Y293" s="24">
        <f>IF(OR(W293="",W293=0),"",X293/W293)</f>
        <v>0</v>
      </c>
      <c r="Z293" s="23">
        <f>IF(T293="","",SUMIFS(Analytics!$G$5:$G$154,Analytics!$D$5:$D$154,T293,Analytics!$B$5:$B$154,"&gt;="&amp;DashStart,Analytics!$B$5:$B$154,"&lt;="&amp;DashEnd))</f>
        <v>0</v>
      </c>
      <c r="AA293" s="23">
        <f>IF(T293="","",SUMIFS(Analytics!$X$5:$X$154,Analytics!$D$5:$D$154,T293,Analytics!$B$5:$B$154,"&gt;="&amp;DashStart,Analytics!$B$5:$B$154,"&lt;="&amp;DashEnd))</f>
        <v>0</v>
      </c>
      <c r="AB293" s="23">
        <f>IF(T293="","",SUMIFS(Analytics!$R$5:$R$154,Analytics!$D$5:$D$154,T293,Analytics!$B$5:$B$154,"&gt;="&amp;DashStart,Analytics!$B$5:$B$154,"&lt;="&amp;DashEnd))</f>
        <v>0</v>
      </c>
      <c r="AC293" s="25">
        <f>IF(T293="","",SUMIFS(Analytics!$U$5:$U$154,Analytics!$D$5:$D$154,T293,Analytics!$B$5:$B$154,"&gt;="&amp;DashStart,Analytics!$B$5:$B$154,"&lt;="&amp;DashEnd))</f>
        <v>0</v>
      </c>
      <c r="AD293" s="23">
        <f>IF(T293="","",COUNTIFS('Content Calendar'!$G$5:$G$604,T293,'Content Calendar'!$B$5:$B$604,"&gt;="&amp;DATE(PlanYear,1,1),'Content Calendar'!$B$5:$B$604,"&lt;="&amp;DATE(PlanYear,12,31)))</f>
        <v>0</v>
      </c>
      <c r="AE293" s="23">
        <f>IF(T293="","",SUMIFS(Analytics!$J$5:$J$154,Analytics!$D$5:$D$154,T293))</f>
        <v>0</v>
      </c>
      <c r="AF293" s="23">
        <f>IF(T293="","",SUMIFS(Analytics!$L$5:$L$154,Analytics!$D$5:$D$154,T293))</f>
        <v>0</v>
      </c>
      <c r="AG293" s="24">
        <f>IF(OR(AE293="",AE293=0),"",AF293/AE293)</f>
        <v>0</v>
      </c>
      <c r="AH293" s="23">
        <f>IF(T293="","",SUMIFS(Analytics!$X$5:$X$154,Analytics!$D$5:$D$154,T293))</f>
        <v>0</v>
      </c>
      <c r="AI293" s="32">
        <f>IF(T293="","",IF(AE293=0,"",AE293+ROW()/1000000))</f>
        <v>0</v>
      </c>
      <c r="AJ293" s="17">
        <f>IF('Content Pillars'!$B$293="","",'Content Pillars'!$B$293)</f>
        <v>0</v>
      </c>
      <c r="AK293" s="23">
        <f>IF(AJ293="","",COUNTIFS('Content Calendar'!$J$5:$J$604,AJ293,'Content Calendar'!$B$5:$B$604,"&gt;="&amp;DATE(PlanYear,1,1),'Content Calendar'!$B$5:$B$604,"&lt;="&amp;DATE(PlanYear,12,31)))</f>
        <v>0</v>
      </c>
      <c r="AL293" s="23">
        <f>IF(AJ293="","",SUMIFS(Performance!$O$5:$O$404,Performance!$H$5:$H$404,AJ293))</f>
        <v>0</v>
      </c>
      <c r="AM293" s="23">
        <f>IF(AJ293="","",SUMIFS(Performance!$Z$5:$Z$404,Performance!$H$5:$H$404,AJ293))</f>
        <v>0</v>
      </c>
      <c r="AN293" s="24">
        <f>IF(OR(AL293="",AL293=0),"",AM293/AL293)</f>
        <v>0</v>
      </c>
      <c r="AO293" s="32">
        <f>IF(AN293="","",AN293+ROW()/1000000)</f>
        <v>0</v>
      </c>
      <c r="AP293" s="17">
        <f>IF(Lists!$E293="","",Lists!$E293)</f>
        <v>0</v>
      </c>
      <c r="AQ293" s="23">
        <f>IF(AP293="","",COUNTIF(Performance!$G$5:$G$404,AP293))</f>
        <v>0</v>
      </c>
      <c r="AR293" s="23">
        <f>IF(AP293="","",SUMIFS(Performance!$O$5:$O$404,Performance!$G$5:$G$404,AP293))</f>
        <v>0</v>
      </c>
      <c r="AS293" s="23">
        <f>IF(AP293="","",SUMIFS(Performance!$Z$5:$Z$404,Performance!$G$5:$G$404,AP293))</f>
        <v>0</v>
      </c>
      <c r="AT293" s="24">
        <f>IF(OR(AR293="",AR293=0),"",AS293/AR293)</f>
        <v>0</v>
      </c>
      <c r="AU293" s="32">
        <f>IF(AQ293=0,"",IF(AT293="","",AT293+ROW()/1000000))</f>
        <v>0</v>
      </c>
      <c r="AV293" s="17">
        <f>IF(ROW()-4&gt;7,"",TEXT(DATE(2024,1,ROW()-4),"ddd"))</f>
        <v>0</v>
      </c>
      <c r="AW293" s="23">
        <f>IF(AV293="","",COUNTIF(Performance!$N$5:$N$404,AV293))</f>
        <v>0</v>
      </c>
      <c r="AX293" s="23">
        <f>IF(AV293="","",SUMIFS(Performance!$O$5:$O$404,Performance!$N$5:$N$404,AV293))</f>
        <v>0</v>
      </c>
      <c r="AY293" s="23">
        <f>IF(AV293="","",SUMIFS(Performance!$Z$5:$Z$404,Performance!$N$5:$N$404,AV293))</f>
        <v>0</v>
      </c>
      <c r="AZ293" s="24">
        <f>IF(OR(AX293="",AX293=0),"",AY293/AX293)</f>
        <v>0</v>
      </c>
      <c r="BA293" s="32">
        <f>IF(AW293=0,"",IF(AZ293="","",AZ293+ROW()/1000000))</f>
        <v>0</v>
      </c>
      <c r="BB293" s="17">
        <f>IF(Lists!$AL293="","",Lists!$AL293)</f>
        <v>0</v>
      </c>
      <c r="BC293" s="23">
        <f>IF(BB293="","",COUNTIF(Performance!$M$5:$M$404,BB293))</f>
        <v>0</v>
      </c>
      <c r="BD293" s="23">
        <f>IF(BB293="","",SUMIFS(Performance!$O$5:$O$404,Performance!$M$5:$M$404,BB293))</f>
        <v>0</v>
      </c>
      <c r="BE293" s="23">
        <f>IF(BB293="","",SUMIFS(Performance!$Z$5:$Z$404,Performance!$M$5:$M$404,BB293))</f>
        <v>0</v>
      </c>
      <c r="BF293" s="24">
        <f>IF(OR(BD293="",BD293=0),"",BE293/BD293)</f>
        <v>0</v>
      </c>
      <c r="BG293" s="32">
        <f>IF(BC293=0,"",IF(BF293="","",BF293+ROW()/1000000))</f>
        <v>0</v>
      </c>
      <c r="BH293" s="17">
        <f>IF(Performance!$C$293="","",Performance!$C$293)</f>
        <v>0</v>
      </c>
      <c r="BI293" s="17">
        <f>IF(Performance!$F$293="","",Performance!$F$293)</f>
        <v>0</v>
      </c>
      <c r="BJ293" s="17">
        <f>IF(Performance!$H$293="","",Performance!$H$293)</f>
        <v>0</v>
      </c>
      <c r="BK293" s="16">
        <f>IF(Performance!$D$293="","",Performance!$D$293)</f>
        <v>0</v>
      </c>
      <c r="BL293" s="17">
        <f>IF(Performance!$E$293="","",Performance!$E$293)</f>
        <v>0</v>
      </c>
      <c r="BM293" s="23">
        <f>IF(Performance!$O$293="","",Performance!$O$293)</f>
        <v>0</v>
      </c>
      <c r="BN293" s="24">
        <f>IF(Performance!$AA$293="","",Performance!$AA$293)</f>
        <v>0</v>
      </c>
      <c r="BO293" s="32">
        <f>IF(BH293="","",IF(BK293="","",IF(OR(BK293&lt;DashStart,BK293&gt;DashEnd),"",IF(BN293="","",BN293+ROW()/1000000))))</f>
        <v>0</v>
      </c>
      <c r="BP293" s="32">
        <f>IF(BM293="","",IF(BK293="","",IF(OR(BK293&lt;DashStart,BK293&gt;DashEnd),"",BM293+ROW()/1000000)))</f>
        <v>0</v>
      </c>
      <c r="BQ293" s="32">
        <f>IF(BH293="","",IF(BK293="","",IF(YEAR(BK293)&lt;&gt;PlanYear,"",IF(BN293="","",BN293+ROW()/1000000))))</f>
        <v>0</v>
      </c>
      <c r="BR293" s="32">
        <f>IF(BH293="","",IF(BK293="","",IF(OR(BK293&lt;RepFrom,BK293&gt;RepTo),"",IF(BN293="","",BN293+ROW()/1000000))))</f>
        <v>0</v>
      </c>
      <c r="BS293" s="32">
        <f>IF(BM293="","",IF(BK293="","",IF(YEAR(BK293)&lt;&gt;PlanYear,"",BM293+ROW()/1000000)))</f>
        <v>0</v>
      </c>
      <c r="BT293" s="17">
        <f>IF(Lists!$F293="","",Lists!$F293)</f>
        <v>0</v>
      </c>
      <c r="BU293" s="23">
        <f>IF(BT293="","",COUNTIF('Content Calendar'!$X$5:$X$604,BT293))</f>
        <v>0</v>
      </c>
      <c r="BV293" s="23">
        <f>IF(BT293="","",COUNTIFS('Content Calendar'!$X$5:$X$604,BT293,'Content Calendar'!$B$5:$B$604,"&gt;="&amp;DashStart,'Content Calendar'!$B$5:$B$604,"&lt;="&amp;DashEnd))</f>
        <v>0</v>
      </c>
      <c r="BW293" s="17">
        <f>IF(Team!$B$293="","",Team!$B$293)</f>
        <v>0</v>
      </c>
      <c r="BX293" s="23">
        <f>IF(BW293="","",COUNTIF('Content Calendar'!$W$5:$W$604,BW293))</f>
        <v>0</v>
      </c>
      <c r="BY293" s="23">
        <f>IF(BW293="","",COUNTIFS('Content Calendar'!$W$5:$W$604,BW293,'Content Calendar'!$X$5:$X$604,"&lt;&gt;Published"))</f>
        <v>0</v>
      </c>
      <c r="BZ293" s="23">
        <f>IF(BW293="","",COUNTIFS(Tasks!$C$5:$C$64,BW293,Tasks!$G$5:$G$64,"&lt;&gt;Complete"))</f>
        <v>0</v>
      </c>
      <c r="CA293" s="17">
        <f>IF(Campaigns!$B$293="","",Campaigns!$B$293)</f>
        <v>0</v>
      </c>
      <c r="CB293" s="25">
        <f>IF(Campaigns!$T$293="","",Campaigns!$T$293)</f>
        <v>0</v>
      </c>
      <c r="CC293" s="25">
        <f>IF(Campaigns!$Q$293="","",Campaigns!$Q$293)</f>
        <v>0</v>
      </c>
      <c r="CD293" s="23">
        <f>IF(Campaigns!$Y$293="","",Campaigns!$Y$293)</f>
        <v>0</v>
      </c>
      <c r="CE293" s="32">
        <f>IF(CA293="","",IF(N(CB293)&lt;=0,"",N(CB293)+ROW()/1000000))</f>
        <v>0</v>
      </c>
      <c r="CF293" s="17">
        <f>IF(Accounts!$C$293="","",Accounts!$C$293)</f>
        <v>0</v>
      </c>
      <c r="CG293" s="17">
        <f>IF(Accounts!$B$293="","",Accounts!$B$293)</f>
        <v>0</v>
      </c>
      <c r="CH293" s="23">
        <f>IF(Accounts!$J$293="","",Accounts!$J$293)</f>
        <v>0</v>
      </c>
      <c r="CI293" s="23">
        <f>IF(CF293="","",SUMIFS(Analytics!$X$5:$X$154,Analytics!$E$5:$E$154,CF293,Analytics!$B$5:$B$154,"&gt;="&amp;DashStart,Analytics!$B$5:$B$154,"&lt;="&amp;DashEnd))</f>
        <v>0</v>
      </c>
      <c r="CJ293" s="32">
        <f>IF(CH293="","",IF(CH293=0,"",CH293+ROW()/1000000))</f>
        <v>0</v>
      </c>
    </row>
    <row r="294" spans="1:88">
      <c r="A294" s="16">
        <f>IF(ROW()-4&gt;12,"",DATE(PlanYear,ROW()-4,1))</f>
        <v>0</v>
      </c>
      <c r="B294" s="16">
        <f>IF(A294="","",EOMONTH(A294,0))</f>
        <v>0</v>
      </c>
      <c r="C294" s="17">
        <f>IF(A294="","",TEXT(A294,"yyyy-mm"))</f>
        <v>0</v>
      </c>
      <c r="D294" s="17">
        <f>IF(A294="","",TEXT(A294,"mmm"))</f>
        <v>0</v>
      </c>
      <c r="E294" s="23">
        <f>IF(C294="","",COUNTIFS('Content Calendar'!$D$5:$D$604,C294))</f>
        <v>0</v>
      </c>
      <c r="F294" s="23">
        <f>IF(C294="","",COUNTIFS('Content Calendar'!$D$5:$D$604,C294,'Content Calendar'!$X$5:$X$604,"Published"))</f>
        <v>0</v>
      </c>
      <c r="G294" s="23">
        <f>IF(C294="","",SUMIFS(Analytics!$J$5:$J$154,Analytics!$C$5:$C$154,C294))</f>
        <v>0</v>
      </c>
      <c r="H294" s="23">
        <f>IF(C294="","",SUMIFS(Analytics!$K$5:$K$154,Analytics!$C$5:$C$154,C294))</f>
        <v>0</v>
      </c>
      <c r="I294" s="23">
        <f>IF(C294="","",SUMIFS(Analytics!$L$5:$L$154,Analytics!$C$5:$C$154,C294))</f>
        <v>0</v>
      </c>
      <c r="J294" s="24">
        <f>IF(OR(G294="",G294=0),"",I294/G294)</f>
        <v>0</v>
      </c>
      <c r="K294" s="23">
        <f>IF(C294="","",SUMIFS(Analytics!$G$5:$G$154,Analytics!$C$5:$C$154,C294))</f>
        <v>0</v>
      </c>
      <c r="L294" s="23">
        <f>IF(C294="","",SUMIFS(Analytics!$X$5:$X$154,Analytics!$C$5:$C$154,C294))</f>
        <v>0</v>
      </c>
      <c r="M294" s="23">
        <f>IF(C294="","",SUMIFS(Analytics!$R$5:$R$154,Analytics!$C$5:$C$154,C294))</f>
        <v>0</v>
      </c>
      <c r="N294" s="23">
        <f>IF(C294="","",SUMIFS(Analytics!$S$5:$S$154,Analytics!$C$5:$C$154,C294))</f>
        <v>0</v>
      </c>
      <c r="O294" s="23">
        <f>IF(C294="","",SUMIFS(Analytics!$T$5:$T$154,Analytics!$C$5:$C$154,C294))</f>
        <v>0</v>
      </c>
      <c r="P294" s="25">
        <f>IF(C294="","",SUMIFS(Analytics!$U$5:$U$154,Analytics!$C$5:$C$154,C294))</f>
        <v>0</v>
      </c>
      <c r="Q294" s="25">
        <f>IF(C294="","",SUMIFS(Budget!$H$5:$H$64,Budget!$C$5:$C$64,C294))</f>
        <v>0</v>
      </c>
      <c r="R294" s="25">
        <f>IF(C294="","",P294-Q294)</f>
        <v>0</v>
      </c>
      <c r="S294" s="23">
        <f>IF(C294="","",MonthlyPostTarget)</f>
        <v>0</v>
      </c>
      <c r="T294" s="17">
        <f>IF(Lists!$C294="","",Lists!$C294)</f>
        <v>0</v>
      </c>
      <c r="U294" s="23">
        <f>IF(T294="","",COUNTIFS('Content Calendar'!$G$5:$G$604,T294,'Content Calendar'!$B$5:$B$604,"&gt;="&amp;DashStart,'Content Calendar'!$B$5:$B$604,"&lt;="&amp;DashEnd))</f>
        <v>0</v>
      </c>
      <c r="V294" s="23">
        <f>IF(T294="","",COUNTIFS('Content Calendar'!$G$5:$G$604,T294,'Content Calendar'!$X$5:$X$604,"Published",'Content Calendar'!$B$5:$B$604,"&gt;="&amp;DashStart,'Content Calendar'!$B$5:$B$604,"&lt;="&amp;DashEnd))</f>
        <v>0</v>
      </c>
      <c r="W294" s="23">
        <f>IF(T294="","",SUMIFS(Analytics!$J$5:$J$154,Analytics!$D$5:$D$154,T294,Analytics!$B$5:$B$154,"&gt;="&amp;DashStart,Analytics!$B$5:$B$154,"&lt;="&amp;DashEnd))</f>
        <v>0</v>
      </c>
      <c r="X294" s="23">
        <f>IF(T294="","",SUMIFS(Analytics!$L$5:$L$154,Analytics!$D$5:$D$154,T294,Analytics!$B$5:$B$154,"&gt;="&amp;DashStart,Analytics!$B$5:$B$154,"&lt;="&amp;DashEnd))</f>
        <v>0</v>
      </c>
      <c r="Y294" s="24">
        <f>IF(OR(W294="",W294=0),"",X294/W294)</f>
        <v>0</v>
      </c>
      <c r="Z294" s="23">
        <f>IF(T294="","",SUMIFS(Analytics!$G$5:$G$154,Analytics!$D$5:$D$154,T294,Analytics!$B$5:$B$154,"&gt;="&amp;DashStart,Analytics!$B$5:$B$154,"&lt;="&amp;DashEnd))</f>
        <v>0</v>
      </c>
      <c r="AA294" s="23">
        <f>IF(T294="","",SUMIFS(Analytics!$X$5:$X$154,Analytics!$D$5:$D$154,T294,Analytics!$B$5:$B$154,"&gt;="&amp;DashStart,Analytics!$B$5:$B$154,"&lt;="&amp;DashEnd))</f>
        <v>0</v>
      </c>
      <c r="AB294" s="23">
        <f>IF(T294="","",SUMIFS(Analytics!$R$5:$R$154,Analytics!$D$5:$D$154,T294,Analytics!$B$5:$B$154,"&gt;="&amp;DashStart,Analytics!$B$5:$B$154,"&lt;="&amp;DashEnd))</f>
        <v>0</v>
      </c>
      <c r="AC294" s="25">
        <f>IF(T294="","",SUMIFS(Analytics!$U$5:$U$154,Analytics!$D$5:$D$154,T294,Analytics!$B$5:$B$154,"&gt;="&amp;DashStart,Analytics!$B$5:$B$154,"&lt;="&amp;DashEnd))</f>
        <v>0</v>
      </c>
      <c r="AD294" s="23">
        <f>IF(T294="","",COUNTIFS('Content Calendar'!$G$5:$G$604,T294,'Content Calendar'!$B$5:$B$604,"&gt;="&amp;DATE(PlanYear,1,1),'Content Calendar'!$B$5:$B$604,"&lt;="&amp;DATE(PlanYear,12,31)))</f>
        <v>0</v>
      </c>
      <c r="AE294" s="23">
        <f>IF(T294="","",SUMIFS(Analytics!$J$5:$J$154,Analytics!$D$5:$D$154,T294))</f>
        <v>0</v>
      </c>
      <c r="AF294" s="23">
        <f>IF(T294="","",SUMIFS(Analytics!$L$5:$L$154,Analytics!$D$5:$D$154,T294))</f>
        <v>0</v>
      </c>
      <c r="AG294" s="24">
        <f>IF(OR(AE294="",AE294=0),"",AF294/AE294)</f>
        <v>0</v>
      </c>
      <c r="AH294" s="23">
        <f>IF(T294="","",SUMIFS(Analytics!$X$5:$X$154,Analytics!$D$5:$D$154,T294))</f>
        <v>0</v>
      </c>
      <c r="AI294" s="32">
        <f>IF(T294="","",IF(AE294=0,"",AE294+ROW()/1000000))</f>
        <v>0</v>
      </c>
      <c r="AJ294" s="17">
        <f>IF('Content Pillars'!$B$294="","",'Content Pillars'!$B$294)</f>
        <v>0</v>
      </c>
      <c r="AK294" s="23">
        <f>IF(AJ294="","",COUNTIFS('Content Calendar'!$J$5:$J$604,AJ294,'Content Calendar'!$B$5:$B$604,"&gt;="&amp;DATE(PlanYear,1,1),'Content Calendar'!$B$5:$B$604,"&lt;="&amp;DATE(PlanYear,12,31)))</f>
        <v>0</v>
      </c>
      <c r="AL294" s="23">
        <f>IF(AJ294="","",SUMIFS(Performance!$O$5:$O$404,Performance!$H$5:$H$404,AJ294))</f>
        <v>0</v>
      </c>
      <c r="AM294" s="23">
        <f>IF(AJ294="","",SUMIFS(Performance!$Z$5:$Z$404,Performance!$H$5:$H$404,AJ294))</f>
        <v>0</v>
      </c>
      <c r="AN294" s="24">
        <f>IF(OR(AL294="",AL294=0),"",AM294/AL294)</f>
        <v>0</v>
      </c>
      <c r="AO294" s="32">
        <f>IF(AN294="","",AN294+ROW()/1000000)</f>
        <v>0</v>
      </c>
      <c r="AP294" s="17">
        <f>IF(Lists!$E294="","",Lists!$E294)</f>
        <v>0</v>
      </c>
      <c r="AQ294" s="23">
        <f>IF(AP294="","",COUNTIF(Performance!$G$5:$G$404,AP294))</f>
        <v>0</v>
      </c>
      <c r="AR294" s="23">
        <f>IF(AP294="","",SUMIFS(Performance!$O$5:$O$404,Performance!$G$5:$G$404,AP294))</f>
        <v>0</v>
      </c>
      <c r="AS294" s="23">
        <f>IF(AP294="","",SUMIFS(Performance!$Z$5:$Z$404,Performance!$G$5:$G$404,AP294))</f>
        <v>0</v>
      </c>
      <c r="AT294" s="24">
        <f>IF(OR(AR294="",AR294=0),"",AS294/AR294)</f>
        <v>0</v>
      </c>
      <c r="AU294" s="32">
        <f>IF(AQ294=0,"",IF(AT294="","",AT294+ROW()/1000000))</f>
        <v>0</v>
      </c>
      <c r="AV294" s="17">
        <f>IF(ROW()-4&gt;7,"",TEXT(DATE(2024,1,ROW()-4),"ddd"))</f>
        <v>0</v>
      </c>
      <c r="AW294" s="23">
        <f>IF(AV294="","",COUNTIF(Performance!$N$5:$N$404,AV294))</f>
        <v>0</v>
      </c>
      <c r="AX294" s="23">
        <f>IF(AV294="","",SUMIFS(Performance!$O$5:$O$404,Performance!$N$5:$N$404,AV294))</f>
        <v>0</v>
      </c>
      <c r="AY294" s="23">
        <f>IF(AV294="","",SUMIFS(Performance!$Z$5:$Z$404,Performance!$N$5:$N$404,AV294))</f>
        <v>0</v>
      </c>
      <c r="AZ294" s="24">
        <f>IF(OR(AX294="",AX294=0),"",AY294/AX294)</f>
        <v>0</v>
      </c>
      <c r="BA294" s="32">
        <f>IF(AW294=0,"",IF(AZ294="","",AZ294+ROW()/1000000))</f>
        <v>0</v>
      </c>
      <c r="BB294" s="17">
        <f>IF(Lists!$AL294="","",Lists!$AL294)</f>
        <v>0</v>
      </c>
      <c r="BC294" s="23">
        <f>IF(BB294="","",COUNTIF(Performance!$M$5:$M$404,BB294))</f>
        <v>0</v>
      </c>
      <c r="BD294" s="23">
        <f>IF(BB294="","",SUMIFS(Performance!$O$5:$O$404,Performance!$M$5:$M$404,BB294))</f>
        <v>0</v>
      </c>
      <c r="BE294" s="23">
        <f>IF(BB294="","",SUMIFS(Performance!$Z$5:$Z$404,Performance!$M$5:$M$404,BB294))</f>
        <v>0</v>
      </c>
      <c r="BF294" s="24">
        <f>IF(OR(BD294="",BD294=0),"",BE294/BD294)</f>
        <v>0</v>
      </c>
      <c r="BG294" s="32">
        <f>IF(BC294=0,"",IF(BF294="","",BF294+ROW()/1000000))</f>
        <v>0</v>
      </c>
      <c r="BH294" s="17">
        <f>IF(Performance!$C$294="","",Performance!$C$294)</f>
        <v>0</v>
      </c>
      <c r="BI294" s="17">
        <f>IF(Performance!$F$294="","",Performance!$F$294)</f>
        <v>0</v>
      </c>
      <c r="BJ294" s="17">
        <f>IF(Performance!$H$294="","",Performance!$H$294)</f>
        <v>0</v>
      </c>
      <c r="BK294" s="16">
        <f>IF(Performance!$D$294="","",Performance!$D$294)</f>
        <v>0</v>
      </c>
      <c r="BL294" s="17">
        <f>IF(Performance!$E$294="","",Performance!$E$294)</f>
        <v>0</v>
      </c>
      <c r="BM294" s="23">
        <f>IF(Performance!$O$294="","",Performance!$O$294)</f>
        <v>0</v>
      </c>
      <c r="BN294" s="24">
        <f>IF(Performance!$AA$294="","",Performance!$AA$294)</f>
        <v>0</v>
      </c>
      <c r="BO294" s="32">
        <f>IF(BH294="","",IF(BK294="","",IF(OR(BK294&lt;DashStart,BK294&gt;DashEnd),"",IF(BN294="","",BN294+ROW()/1000000))))</f>
        <v>0</v>
      </c>
      <c r="BP294" s="32">
        <f>IF(BM294="","",IF(BK294="","",IF(OR(BK294&lt;DashStart,BK294&gt;DashEnd),"",BM294+ROW()/1000000)))</f>
        <v>0</v>
      </c>
      <c r="BQ294" s="32">
        <f>IF(BH294="","",IF(BK294="","",IF(YEAR(BK294)&lt;&gt;PlanYear,"",IF(BN294="","",BN294+ROW()/1000000))))</f>
        <v>0</v>
      </c>
      <c r="BR294" s="32">
        <f>IF(BH294="","",IF(BK294="","",IF(OR(BK294&lt;RepFrom,BK294&gt;RepTo),"",IF(BN294="","",BN294+ROW()/1000000))))</f>
        <v>0</v>
      </c>
      <c r="BS294" s="32">
        <f>IF(BM294="","",IF(BK294="","",IF(YEAR(BK294)&lt;&gt;PlanYear,"",BM294+ROW()/1000000)))</f>
        <v>0</v>
      </c>
      <c r="BT294" s="17">
        <f>IF(Lists!$F294="","",Lists!$F294)</f>
        <v>0</v>
      </c>
      <c r="BU294" s="23">
        <f>IF(BT294="","",COUNTIF('Content Calendar'!$X$5:$X$604,BT294))</f>
        <v>0</v>
      </c>
      <c r="BV294" s="23">
        <f>IF(BT294="","",COUNTIFS('Content Calendar'!$X$5:$X$604,BT294,'Content Calendar'!$B$5:$B$604,"&gt;="&amp;DashStart,'Content Calendar'!$B$5:$B$604,"&lt;="&amp;DashEnd))</f>
        <v>0</v>
      </c>
      <c r="BW294" s="17">
        <f>IF(Team!$B$294="","",Team!$B$294)</f>
        <v>0</v>
      </c>
      <c r="BX294" s="23">
        <f>IF(BW294="","",COUNTIF('Content Calendar'!$W$5:$W$604,BW294))</f>
        <v>0</v>
      </c>
      <c r="BY294" s="23">
        <f>IF(BW294="","",COUNTIFS('Content Calendar'!$W$5:$W$604,BW294,'Content Calendar'!$X$5:$X$604,"&lt;&gt;Published"))</f>
        <v>0</v>
      </c>
      <c r="BZ294" s="23">
        <f>IF(BW294="","",COUNTIFS(Tasks!$C$5:$C$64,BW294,Tasks!$G$5:$G$64,"&lt;&gt;Complete"))</f>
        <v>0</v>
      </c>
      <c r="CA294" s="17">
        <f>IF(Campaigns!$B$294="","",Campaigns!$B$294)</f>
        <v>0</v>
      </c>
      <c r="CB294" s="25">
        <f>IF(Campaigns!$T$294="","",Campaigns!$T$294)</f>
        <v>0</v>
      </c>
      <c r="CC294" s="25">
        <f>IF(Campaigns!$Q$294="","",Campaigns!$Q$294)</f>
        <v>0</v>
      </c>
      <c r="CD294" s="23">
        <f>IF(Campaigns!$Y$294="","",Campaigns!$Y$294)</f>
        <v>0</v>
      </c>
      <c r="CE294" s="32">
        <f>IF(CA294="","",IF(N(CB294)&lt;=0,"",N(CB294)+ROW()/1000000))</f>
        <v>0</v>
      </c>
      <c r="CF294" s="17">
        <f>IF(Accounts!$C$294="","",Accounts!$C$294)</f>
        <v>0</v>
      </c>
      <c r="CG294" s="17">
        <f>IF(Accounts!$B$294="","",Accounts!$B$294)</f>
        <v>0</v>
      </c>
      <c r="CH294" s="23">
        <f>IF(Accounts!$J$294="","",Accounts!$J$294)</f>
        <v>0</v>
      </c>
      <c r="CI294" s="23">
        <f>IF(CF294="","",SUMIFS(Analytics!$X$5:$X$154,Analytics!$E$5:$E$154,CF294,Analytics!$B$5:$B$154,"&gt;="&amp;DashStart,Analytics!$B$5:$B$154,"&lt;="&amp;DashEnd))</f>
        <v>0</v>
      </c>
      <c r="CJ294" s="32">
        <f>IF(CH294="","",IF(CH294=0,"",CH294+ROW()/1000000))</f>
        <v>0</v>
      </c>
    </row>
    <row r="295" spans="1:88">
      <c r="A295" s="16">
        <f>IF(ROW()-4&gt;12,"",DATE(PlanYear,ROW()-4,1))</f>
        <v>0</v>
      </c>
      <c r="B295" s="16">
        <f>IF(A295="","",EOMONTH(A295,0))</f>
        <v>0</v>
      </c>
      <c r="C295" s="17">
        <f>IF(A295="","",TEXT(A295,"yyyy-mm"))</f>
        <v>0</v>
      </c>
      <c r="D295" s="17">
        <f>IF(A295="","",TEXT(A295,"mmm"))</f>
        <v>0</v>
      </c>
      <c r="E295" s="23">
        <f>IF(C295="","",COUNTIFS('Content Calendar'!$D$5:$D$604,C295))</f>
        <v>0</v>
      </c>
      <c r="F295" s="23">
        <f>IF(C295="","",COUNTIFS('Content Calendar'!$D$5:$D$604,C295,'Content Calendar'!$X$5:$X$604,"Published"))</f>
        <v>0</v>
      </c>
      <c r="G295" s="23">
        <f>IF(C295="","",SUMIFS(Analytics!$J$5:$J$154,Analytics!$C$5:$C$154,C295))</f>
        <v>0</v>
      </c>
      <c r="H295" s="23">
        <f>IF(C295="","",SUMIFS(Analytics!$K$5:$K$154,Analytics!$C$5:$C$154,C295))</f>
        <v>0</v>
      </c>
      <c r="I295" s="23">
        <f>IF(C295="","",SUMIFS(Analytics!$L$5:$L$154,Analytics!$C$5:$C$154,C295))</f>
        <v>0</v>
      </c>
      <c r="J295" s="24">
        <f>IF(OR(G295="",G295=0),"",I295/G295)</f>
        <v>0</v>
      </c>
      <c r="K295" s="23">
        <f>IF(C295="","",SUMIFS(Analytics!$G$5:$G$154,Analytics!$C$5:$C$154,C295))</f>
        <v>0</v>
      </c>
      <c r="L295" s="23">
        <f>IF(C295="","",SUMIFS(Analytics!$X$5:$X$154,Analytics!$C$5:$C$154,C295))</f>
        <v>0</v>
      </c>
      <c r="M295" s="23">
        <f>IF(C295="","",SUMIFS(Analytics!$R$5:$R$154,Analytics!$C$5:$C$154,C295))</f>
        <v>0</v>
      </c>
      <c r="N295" s="23">
        <f>IF(C295="","",SUMIFS(Analytics!$S$5:$S$154,Analytics!$C$5:$C$154,C295))</f>
        <v>0</v>
      </c>
      <c r="O295" s="23">
        <f>IF(C295="","",SUMIFS(Analytics!$T$5:$T$154,Analytics!$C$5:$C$154,C295))</f>
        <v>0</v>
      </c>
      <c r="P295" s="25">
        <f>IF(C295="","",SUMIFS(Analytics!$U$5:$U$154,Analytics!$C$5:$C$154,C295))</f>
        <v>0</v>
      </c>
      <c r="Q295" s="25">
        <f>IF(C295="","",SUMIFS(Budget!$H$5:$H$64,Budget!$C$5:$C$64,C295))</f>
        <v>0</v>
      </c>
      <c r="R295" s="25">
        <f>IF(C295="","",P295-Q295)</f>
        <v>0</v>
      </c>
      <c r="S295" s="23">
        <f>IF(C295="","",MonthlyPostTarget)</f>
        <v>0</v>
      </c>
      <c r="T295" s="17">
        <f>IF(Lists!$C295="","",Lists!$C295)</f>
        <v>0</v>
      </c>
      <c r="U295" s="23">
        <f>IF(T295="","",COUNTIFS('Content Calendar'!$G$5:$G$604,T295,'Content Calendar'!$B$5:$B$604,"&gt;="&amp;DashStart,'Content Calendar'!$B$5:$B$604,"&lt;="&amp;DashEnd))</f>
        <v>0</v>
      </c>
      <c r="V295" s="23">
        <f>IF(T295="","",COUNTIFS('Content Calendar'!$G$5:$G$604,T295,'Content Calendar'!$X$5:$X$604,"Published",'Content Calendar'!$B$5:$B$604,"&gt;="&amp;DashStart,'Content Calendar'!$B$5:$B$604,"&lt;="&amp;DashEnd))</f>
        <v>0</v>
      </c>
      <c r="W295" s="23">
        <f>IF(T295="","",SUMIFS(Analytics!$J$5:$J$154,Analytics!$D$5:$D$154,T295,Analytics!$B$5:$B$154,"&gt;="&amp;DashStart,Analytics!$B$5:$B$154,"&lt;="&amp;DashEnd))</f>
        <v>0</v>
      </c>
      <c r="X295" s="23">
        <f>IF(T295="","",SUMIFS(Analytics!$L$5:$L$154,Analytics!$D$5:$D$154,T295,Analytics!$B$5:$B$154,"&gt;="&amp;DashStart,Analytics!$B$5:$B$154,"&lt;="&amp;DashEnd))</f>
        <v>0</v>
      </c>
      <c r="Y295" s="24">
        <f>IF(OR(W295="",W295=0),"",X295/W295)</f>
        <v>0</v>
      </c>
      <c r="Z295" s="23">
        <f>IF(T295="","",SUMIFS(Analytics!$G$5:$G$154,Analytics!$D$5:$D$154,T295,Analytics!$B$5:$B$154,"&gt;="&amp;DashStart,Analytics!$B$5:$B$154,"&lt;="&amp;DashEnd))</f>
        <v>0</v>
      </c>
      <c r="AA295" s="23">
        <f>IF(T295="","",SUMIFS(Analytics!$X$5:$X$154,Analytics!$D$5:$D$154,T295,Analytics!$B$5:$B$154,"&gt;="&amp;DashStart,Analytics!$B$5:$B$154,"&lt;="&amp;DashEnd))</f>
        <v>0</v>
      </c>
      <c r="AB295" s="23">
        <f>IF(T295="","",SUMIFS(Analytics!$R$5:$R$154,Analytics!$D$5:$D$154,T295,Analytics!$B$5:$B$154,"&gt;="&amp;DashStart,Analytics!$B$5:$B$154,"&lt;="&amp;DashEnd))</f>
        <v>0</v>
      </c>
      <c r="AC295" s="25">
        <f>IF(T295="","",SUMIFS(Analytics!$U$5:$U$154,Analytics!$D$5:$D$154,T295,Analytics!$B$5:$B$154,"&gt;="&amp;DashStart,Analytics!$B$5:$B$154,"&lt;="&amp;DashEnd))</f>
        <v>0</v>
      </c>
      <c r="AD295" s="23">
        <f>IF(T295="","",COUNTIFS('Content Calendar'!$G$5:$G$604,T295,'Content Calendar'!$B$5:$B$604,"&gt;="&amp;DATE(PlanYear,1,1),'Content Calendar'!$B$5:$B$604,"&lt;="&amp;DATE(PlanYear,12,31)))</f>
        <v>0</v>
      </c>
      <c r="AE295" s="23">
        <f>IF(T295="","",SUMIFS(Analytics!$J$5:$J$154,Analytics!$D$5:$D$154,T295))</f>
        <v>0</v>
      </c>
      <c r="AF295" s="23">
        <f>IF(T295="","",SUMIFS(Analytics!$L$5:$L$154,Analytics!$D$5:$D$154,T295))</f>
        <v>0</v>
      </c>
      <c r="AG295" s="24">
        <f>IF(OR(AE295="",AE295=0),"",AF295/AE295)</f>
        <v>0</v>
      </c>
      <c r="AH295" s="23">
        <f>IF(T295="","",SUMIFS(Analytics!$X$5:$X$154,Analytics!$D$5:$D$154,T295))</f>
        <v>0</v>
      </c>
      <c r="AI295" s="32">
        <f>IF(T295="","",IF(AE295=0,"",AE295+ROW()/1000000))</f>
        <v>0</v>
      </c>
      <c r="AJ295" s="17">
        <f>IF('Content Pillars'!$B$295="","",'Content Pillars'!$B$295)</f>
        <v>0</v>
      </c>
      <c r="AK295" s="23">
        <f>IF(AJ295="","",COUNTIFS('Content Calendar'!$J$5:$J$604,AJ295,'Content Calendar'!$B$5:$B$604,"&gt;="&amp;DATE(PlanYear,1,1),'Content Calendar'!$B$5:$B$604,"&lt;="&amp;DATE(PlanYear,12,31)))</f>
        <v>0</v>
      </c>
      <c r="AL295" s="23">
        <f>IF(AJ295="","",SUMIFS(Performance!$O$5:$O$404,Performance!$H$5:$H$404,AJ295))</f>
        <v>0</v>
      </c>
      <c r="AM295" s="23">
        <f>IF(AJ295="","",SUMIFS(Performance!$Z$5:$Z$404,Performance!$H$5:$H$404,AJ295))</f>
        <v>0</v>
      </c>
      <c r="AN295" s="24">
        <f>IF(OR(AL295="",AL295=0),"",AM295/AL295)</f>
        <v>0</v>
      </c>
      <c r="AO295" s="32">
        <f>IF(AN295="","",AN295+ROW()/1000000)</f>
        <v>0</v>
      </c>
      <c r="AP295" s="17">
        <f>IF(Lists!$E295="","",Lists!$E295)</f>
        <v>0</v>
      </c>
      <c r="AQ295" s="23">
        <f>IF(AP295="","",COUNTIF(Performance!$G$5:$G$404,AP295))</f>
        <v>0</v>
      </c>
      <c r="AR295" s="23">
        <f>IF(AP295="","",SUMIFS(Performance!$O$5:$O$404,Performance!$G$5:$G$404,AP295))</f>
        <v>0</v>
      </c>
      <c r="AS295" s="23">
        <f>IF(AP295="","",SUMIFS(Performance!$Z$5:$Z$404,Performance!$G$5:$G$404,AP295))</f>
        <v>0</v>
      </c>
      <c r="AT295" s="24">
        <f>IF(OR(AR295="",AR295=0),"",AS295/AR295)</f>
        <v>0</v>
      </c>
      <c r="AU295" s="32">
        <f>IF(AQ295=0,"",IF(AT295="","",AT295+ROW()/1000000))</f>
        <v>0</v>
      </c>
      <c r="AV295" s="17">
        <f>IF(ROW()-4&gt;7,"",TEXT(DATE(2024,1,ROW()-4),"ddd"))</f>
        <v>0</v>
      </c>
      <c r="AW295" s="23">
        <f>IF(AV295="","",COUNTIF(Performance!$N$5:$N$404,AV295))</f>
        <v>0</v>
      </c>
      <c r="AX295" s="23">
        <f>IF(AV295="","",SUMIFS(Performance!$O$5:$O$404,Performance!$N$5:$N$404,AV295))</f>
        <v>0</v>
      </c>
      <c r="AY295" s="23">
        <f>IF(AV295="","",SUMIFS(Performance!$Z$5:$Z$404,Performance!$N$5:$N$404,AV295))</f>
        <v>0</v>
      </c>
      <c r="AZ295" s="24">
        <f>IF(OR(AX295="",AX295=0),"",AY295/AX295)</f>
        <v>0</v>
      </c>
      <c r="BA295" s="32">
        <f>IF(AW295=0,"",IF(AZ295="","",AZ295+ROW()/1000000))</f>
        <v>0</v>
      </c>
      <c r="BB295" s="17">
        <f>IF(Lists!$AL295="","",Lists!$AL295)</f>
        <v>0</v>
      </c>
      <c r="BC295" s="23">
        <f>IF(BB295="","",COUNTIF(Performance!$M$5:$M$404,BB295))</f>
        <v>0</v>
      </c>
      <c r="BD295" s="23">
        <f>IF(BB295="","",SUMIFS(Performance!$O$5:$O$404,Performance!$M$5:$M$404,BB295))</f>
        <v>0</v>
      </c>
      <c r="BE295" s="23">
        <f>IF(BB295="","",SUMIFS(Performance!$Z$5:$Z$404,Performance!$M$5:$M$404,BB295))</f>
        <v>0</v>
      </c>
      <c r="BF295" s="24">
        <f>IF(OR(BD295="",BD295=0),"",BE295/BD295)</f>
        <v>0</v>
      </c>
      <c r="BG295" s="32">
        <f>IF(BC295=0,"",IF(BF295="","",BF295+ROW()/1000000))</f>
        <v>0</v>
      </c>
      <c r="BH295" s="17">
        <f>IF(Performance!$C$295="","",Performance!$C$295)</f>
        <v>0</v>
      </c>
      <c r="BI295" s="17">
        <f>IF(Performance!$F$295="","",Performance!$F$295)</f>
        <v>0</v>
      </c>
      <c r="BJ295" s="17">
        <f>IF(Performance!$H$295="","",Performance!$H$295)</f>
        <v>0</v>
      </c>
      <c r="BK295" s="16">
        <f>IF(Performance!$D$295="","",Performance!$D$295)</f>
        <v>0</v>
      </c>
      <c r="BL295" s="17">
        <f>IF(Performance!$E$295="","",Performance!$E$295)</f>
        <v>0</v>
      </c>
      <c r="BM295" s="23">
        <f>IF(Performance!$O$295="","",Performance!$O$295)</f>
        <v>0</v>
      </c>
      <c r="BN295" s="24">
        <f>IF(Performance!$AA$295="","",Performance!$AA$295)</f>
        <v>0</v>
      </c>
      <c r="BO295" s="32">
        <f>IF(BH295="","",IF(BK295="","",IF(OR(BK295&lt;DashStart,BK295&gt;DashEnd),"",IF(BN295="","",BN295+ROW()/1000000))))</f>
        <v>0</v>
      </c>
      <c r="BP295" s="32">
        <f>IF(BM295="","",IF(BK295="","",IF(OR(BK295&lt;DashStart,BK295&gt;DashEnd),"",BM295+ROW()/1000000)))</f>
        <v>0</v>
      </c>
      <c r="BQ295" s="32">
        <f>IF(BH295="","",IF(BK295="","",IF(YEAR(BK295)&lt;&gt;PlanYear,"",IF(BN295="","",BN295+ROW()/1000000))))</f>
        <v>0</v>
      </c>
      <c r="BR295" s="32">
        <f>IF(BH295="","",IF(BK295="","",IF(OR(BK295&lt;RepFrom,BK295&gt;RepTo),"",IF(BN295="","",BN295+ROW()/1000000))))</f>
        <v>0</v>
      </c>
      <c r="BS295" s="32">
        <f>IF(BM295="","",IF(BK295="","",IF(YEAR(BK295)&lt;&gt;PlanYear,"",BM295+ROW()/1000000)))</f>
        <v>0</v>
      </c>
      <c r="BT295" s="17">
        <f>IF(Lists!$F295="","",Lists!$F295)</f>
        <v>0</v>
      </c>
      <c r="BU295" s="23">
        <f>IF(BT295="","",COUNTIF('Content Calendar'!$X$5:$X$604,BT295))</f>
        <v>0</v>
      </c>
      <c r="BV295" s="23">
        <f>IF(BT295="","",COUNTIFS('Content Calendar'!$X$5:$X$604,BT295,'Content Calendar'!$B$5:$B$604,"&gt;="&amp;DashStart,'Content Calendar'!$B$5:$B$604,"&lt;="&amp;DashEnd))</f>
        <v>0</v>
      </c>
      <c r="BW295" s="17">
        <f>IF(Team!$B$295="","",Team!$B$295)</f>
        <v>0</v>
      </c>
      <c r="BX295" s="23">
        <f>IF(BW295="","",COUNTIF('Content Calendar'!$W$5:$W$604,BW295))</f>
        <v>0</v>
      </c>
      <c r="BY295" s="23">
        <f>IF(BW295="","",COUNTIFS('Content Calendar'!$W$5:$W$604,BW295,'Content Calendar'!$X$5:$X$604,"&lt;&gt;Published"))</f>
        <v>0</v>
      </c>
      <c r="BZ295" s="23">
        <f>IF(BW295="","",COUNTIFS(Tasks!$C$5:$C$64,BW295,Tasks!$G$5:$G$64,"&lt;&gt;Complete"))</f>
        <v>0</v>
      </c>
      <c r="CA295" s="17">
        <f>IF(Campaigns!$B$295="","",Campaigns!$B$295)</f>
        <v>0</v>
      </c>
      <c r="CB295" s="25">
        <f>IF(Campaigns!$T$295="","",Campaigns!$T$295)</f>
        <v>0</v>
      </c>
      <c r="CC295" s="25">
        <f>IF(Campaigns!$Q$295="","",Campaigns!$Q$295)</f>
        <v>0</v>
      </c>
      <c r="CD295" s="23">
        <f>IF(Campaigns!$Y$295="","",Campaigns!$Y$295)</f>
        <v>0</v>
      </c>
      <c r="CE295" s="32">
        <f>IF(CA295="","",IF(N(CB295)&lt;=0,"",N(CB295)+ROW()/1000000))</f>
        <v>0</v>
      </c>
      <c r="CF295" s="17">
        <f>IF(Accounts!$C$295="","",Accounts!$C$295)</f>
        <v>0</v>
      </c>
      <c r="CG295" s="17">
        <f>IF(Accounts!$B$295="","",Accounts!$B$295)</f>
        <v>0</v>
      </c>
      <c r="CH295" s="23">
        <f>IF(Accounts!$J$295="","",Accounts!$J$295)</f>
        <v>0</v>
      </c>
      <c r="CI295" s="23">
        <f>IF(CF295="","",SUMIFS(Analytics!$X$5:$X$154,Analytics!$E$5:$E$154,CF295,Analytics!$B$5:$B$154,"&gt;="&amp;DashStart,Analytics!$B$5:$B$154,"&lt;="&amp;DashEnd))</f>
        <v>0</v>
      </c>
      <c r="CJ295" s="32">
        <f>IF(CH295="","",IF(CH295=0,"",CH295+ROW()/1000000))</f>
        <v>0</v>
      </c>
    </row>
    <row r="296" spans="1:88">
      <c r="A296" s="16">
        <f>IF(ROW()-4&gt;12,"",DATE(PlanYear,ROW()-4,1))</f>
        <v>0</v>
      </c>
      <c r="B296" s="16">
        <f>IF(A296="","",EOMONTH(A296,0))</f>
        <v>0</v>
      </c>
      <c r="C296" s="17">
        <f>IF(A296="","",TEXT(A296,"yyyy-mm"))</f>
        <v>0</v>
      </c>
      <c r="D296" s="17">
        <f>IF(A296="","",TEXT(A296,"mmm"))</f>
        <v>0</v>
      </c>
      <c r="E296" s="23">
        <f>IF(C296="","",COUNTIFS('Content Calendar'!$D$5:$D$604,C296))</f>
        <v>0</v>
      </c>
      <c r="F296" s="23">
        <f>IF(C296="","",COUNTIFS('Content Calendar'!$D$5:$D$604,C296,'Content Calendar'!$X$5:$X$604,"Published"))</f>
        <v>0</v>
      </c>
      <c r="G296" s="23">
        <f>IF(C296="","",SUMIFS(Analytics!$J$5:$J$154,Analytics!$C$5:$C$154,C296))</f>
        <v>0</v>
      </c>
      <c r="H296" s="23">
        <f>IF(C296="","",SUMIFS(Analytics!$K$5:$K$154,Analytics!$C$5:$C$154,C296))</f>
        <v>0</v>
      </c>
      <c r="I296" s="23">
        <f>IF(C296="","",SUMIFS(Analytics!$L$5:$L$154,Analytics!$C$5:$C$154,C296))</f>
        <v>0</v>
      </c>
      <c r="J296" s="24">
        <f>IF(OR(G296="",G296=0),"",I296/G296)</f>
        <v>0</v>
      </c>
      <c r="K296" s="23">
        <f>IF(C296="","",SUMIFS(Analytics!$G$5:$G$154,Analytics!$C$5:$C$154,C296))</f>
        <v>0</v>
      </c>
      <c r="L296" s="23">
        <f>IF(C296="","",SUMIFS(Analytics!$X$5:$X$154,Analytics!$C$5:$C$154,C296))</f>
        <v>0</v>
      </c>
      <c r="M296" s="23">
        <f>IF(C296="","",SUMIFS(Analytics!$R$5:$R$154,Analytics!$C$5:$C$154,C296))</f>
        <v>0</v>
      </c>
      <c r="N296" s="23">
        <f>IF(C296="","",SUMIFS(Analytics!$S$5:$S$154,Analytics!$C$5:$C$154,C296))</f>
        <v>0</v>
      </c>
      <c r="O296" s="23">
        <f>IF(C296="","",SUMIFS(Analytics!$T$5:$T$154,Analytics!$C$5:$C$154,C296))</f>
        <v>0</v>
      </c>
      <c r="P296" s="25">
        <f>IF(C296="","",SUMIFS(Analytics!$U$5:$U$154,Analytics!$C$5:$C$154,C296))</f>
        <v>0</v>
      </c>
      <c r="Q296" s="25">
        <f>IF(C296="","",SUMIFS(Budget!$H$5:$H$64,Budget!$C$5:$C$64,C296))</f>
        <v>0</v>
      </c>
      <c r="R296" s="25">
        <f>IF(C296="","",P296-Q296)</f>
        <v>0</v>
      </c>
      <c r="S296" s="23">
        <f>IF(C296="","",MonthlyPostTarget)</f>
        <v>0</v>
      </c>
      <c r="T296" s="17">
        <f>IF(Lists!$C296="","",Lists!$C296)</f>
        <v>0</v>
      </c>
      <c r="U296" s="23">
        <f>IF(T296="","",COUNTIFS('Content Calendar'!$G$5:$G$604,T296,'Content Calendar'!$B$5:$B$604,"&gt;="&amp;DashStart,'Content Calendar'!$B$5:$B$604,"&lt;="&amp;DashEnd))</f>
        <v>0</v>
      </c>
      <c r="V296" s="23">
        <f>IF(T296="","",COUNTIFS('Content Calendar'!$G$5:$G$604,T296,'Content Calendar'!$X$5:$X$604,"Published",'Content Calendar'!$B$5:$B$604,"&gt;="&amp;DashStart,'Content Calendar'!$B$5:$B$604,"&lt;="&amp;DashEnd))</f>
        <v>0</v>
      </c>
      <c r="W296" s="23">
        <f>IF(T296="","",SUMIFS(Analytics!$J$5:$J$154,Analytics!$D$5:$D$154,T296,Analytics!$B$5:$B$154,"&gt;="&amp;DashStart,Analytics!$B$5:$B$154,"&lt;="&amp;DashEnd))</f>
        <v>0</v>
      </c>
      <c r="X296" s="23">
        <f>IF(T296="","",SUMIFS(Analytics!$L$5:$L$154,Analytics!$D$5:$D$154,T296,Analytics!$B$5:$B$154,"&gt;="&amp;DashStart,Analytics!$B$5:$B$154,"&lt;="&amp;DashEnd))</f>
        <v>0</v>
      </c>
      <c r="Y296" s="24">
        <f>IF(OR(W296="",W296=0),"",X296/W296)</f>
        <v>0</v>
      </c>
      <c r="Z296" s="23">
        <f>IF(T296="","",SUMIFS(Analytics!$G$5:$G$154,Analytics!$D$5:$D$154,T296,Analytics!$B$5:$B$154,"&gt;="&amp;DashStart,Analytics!$B$5:$B$154,"&lt;="&amp;DashEnd))</f>
        <v>0</v>
      </c>
      <c r="AA296" s="23">
        <f>IF(T296="","",SUMIFS(Analytics!$X$5:$X$154,Analytics!$D$5:$D$154,T296,Analytics!$B$5:$B$154,"&gt;="&amp;DashStart,Analytics!$B$5:$B$154,"&lt;="&amp;DashEnd))</f>
        <v>0</v>
      </c>
      <c r="AB296" s="23">
        <f>IF(T296="","",SUMIFS(Analytics!$R$5:$R$154,Analytics!$D$5:$D$154,T296,Analytics!$B$5:$B$154,"&gt;="&amp;DashStart,Analytics!$B$5:$B$154,"&lt;="&amp;DashEnd))</f>
        <v>0</v>
      </c>
      <c r="AC296" s="25">
        <f>IF(T296="","",SUMIFS(Analytics!$U$5:$U$154,Analytics!$D$5:$D$154,T296,Analytics!$B$5:$B$154,"&gt;="&amp;DashStart,Analytics!$B$5:$B$154,"&lt;="&amp;DashEnd))</f>
        <v>0</v>
      </c>
      <c r="AD296" s="23">
        <f>IF(T296="","",COUNTIFS('Content Calendar'!$G$5:$G$604,T296,'Content Calendar'!$B$5:$B$604,"&gt;="&amp;DATE(PlanYear,1,1),'Content Calendar'!$B$5:$B$604,"&lt;="&amp;DATE(PlanYear,12,31)))</f>
        <v>0</v>
      </c>
      <c r="AE296" s="23">
        <f>IF(T296="","",SUMIFS(Analytics!$J$5:$J$154,Analytics!$D$5:$D$154,T296))</f>
        <v>0</v>
      </c>
      <c r="AF296" s="23">
        <f>IF(T296="","",SUMIFS(Analytics!$L$5:$L$154,Analytics!$D$5:$D$154,T296))</f>
        <v>0</v>
      </c>
      <c r="AG296" s="24">
        <f>IF(OR(AE296="",AE296=0),"",AF296/AE296)</f>
        <v>0</v>
      </c>
      <c r="AH296" s="23">
        <f>IF(T296="","",SUMIFS(Analytics!$X$5:$X$154,Analytics!$D$5:$D$154,T296))</f>
        <v>0</v>
      </c>
      <c r="AI296" s="32">
        <f>IF(T296="","",IF(AE296=0,"",AE296+ROW()/1000000))</f>
        <v>0</v>
      </c>
      <c r="AJ296" s="17">
        <f>IF('Content Pillars'!$B$296="","",'Content Pillars'!$B$296)</f>
        <v>0</v>
      </c>
      <c r="AK296" s="23">
        <f>IF(AJ296="","",COUNTIFS('Content Calendar'!$J$5:$J$604,AJ296,'Content Calendar'!$B$5:$B$604,"&gt;="&amp;DATE(PlanYear,1,1),'Content Calendar'!$B$5:$B$604,"&lt;="&amp;DATE(PlanYear,12,31)))</f>
        <v>0</v>
      </c>
      <c r="AL296" s="23">
        <f>IF(AJ296="","",SUMIFS(Performance!$O$5:$O$404,Performance!$H$5:$H$404,AJ296))</f>
        <v>0</v>
      </c>
      <c r="AM296" s="23">
        <f>IF(AJ296="","",SUMIFS(Performance!$Z$5:$Z$404,Performance!$H$5:$H$404,AJ296))</f>
        <v>0</v>
      </c>
      <c r="AN296" s="24">
        <f>IF(OR(AL296="",AL296=0),"",AM296/AL296)</f>
        <v>0</v>
      </c>
      <c r="AO296" s="32">
        <f>IF(AN296="","",AN296+ROW()/1000000)</f>
        <v>0</v>
      </c>
      <c r="AP296" s="17">
        <f>IF(Lists!$E296="","",Lists!$E296)</f>
        <v>0</v>
      </c>
      <c r="AQ296" s="23">
        <f>IF(AP296="","",COUNTIF(Performance!$G$5:$G$404,AP296))</f>
        <v>0</v>
      </c>
      <c r="AR296" s="23">
        <f>IF(AP296="","",SUMIFS(Performance!$O$5:$O$404,Performance!$G$5:$G$404,AP296))</f>
        <v>0</v>
      </c>
      <c r="AS296" s="23">
        <f>IF(AP296="","",SUMIFS(Performance!$Z$5:$Z$404,Performance!$G$5:$G$404,AP296))</f>
        <v>0</v>
      </c>
      <c r="AT296" s="24">
        <f>IF(OR(AR296="",AR296=0),"",AS296/AR296)</f>
        <v>0</v>
      </c>
      <c r="AU296" s="32">
        <f>IF(AQ296=0,"",IF(AT296="","",AT296+ROW()/1000000))</f>
        <v>0</v>
      </c>
      <c r="AV296" s="17">
        <f>IF(ROW()-4&gt;7,"",TEXT(DATE(2024,1,ROW()-4),"ddd"))</f>
        <v>0</v>
      </c>
      <c r="AW296" s="23">
        <f>IF(AV296="","",COUNTIF(Performance!$N$5:$N$404,AV296))</f>
        <v>0</v>
      </c>
      <c r="AX296" s="23">
        <f>IF(AV296="","",SUMIFS(Performance!$O$5:$O$404,Performance!$N$5:$N$404,AV296))</f>
        <v>0</v>
      </c>
      <c r="AY296" s="23">
        <f>IF(AV296="","",SUMIFS(Performance!$Z$5:$Z$404,Performance!$N$5:$N$404,AV296))</f>
        <v>0</v>
      </c>
      <c r="AZ296" s="24">
        <f>IF(OR(AX296="",AX296=0),"",AY296/AX296)</f>
        <v>0</v>
      </c>
      <c r="BA296" s="32">
        <f>IF(AW296=0,"",IF(AZ296="","",AZ296+ROW()/1000000))</f>
        <v>0</v>
      </c>
      <c r="BB296" s="17">
        <f>IF(Lists!$AL296="","",Lists!$AL296)</f>
        <v>0</v>
      </c>
      <c r="BC296" s="23">
        <f>IF(BB296="","",COUNTIF(Performance!$M$5:$M$404,BB296))</f>
        <v>0</v>
      </c>
      <c r="BD296" s="23">
        <f>IF(BB296="","",SUMIFS(Performance!$O$5:$O$404,Performance!$M$5:$M$404,BB296))</f>
        <v>0</v>
      </c>
      <c r="BE296" s="23">
        <f>IF(BB296="","",SUMIFS(Performance!$Z$5:$Z$404,Performance!$M$5:$M$404,BB296))</f>
        <v>0</v>
      </c>
      <c r="BF296" s="24">
        <f>IF(OR(BD296="",BD296=0),"",BE296/BD296)</f>
        <v>0</v>
      </c>
      <c r="BG296" s="32">
        <f>IF(BC296=0,"",IF(BF296="","",BF296+ROW()/1000000))</f>
        <v>0</v>
      </c>
      <c r="BH296" s="17">
        <f>IF(Performance!$C$296="","",Performance!$C$296)</f>
        <v>0</v>
      </c>
      <c r="BI296" s="17">
        <f>IF(Performance!$F$296="","",Performance!$F$296)</f>
        <v>0</v>
      </c>
      <c r="BJ296" s="17">
        <f>IF(Performance!$H$296="","",Performance!$H$296)</f>
        <v>0</v>
      </c>
      <c r="BK296" s="16">
        <f>IF(Performance!$D$296="","",Performance!$D$296)</f>
        <v>0</v>
      </c>
      <c r="BL296" s="17">
        <f>IF(Performance!$E$296="","",Performance!$E$296)</f>
        <v>0</v>
      </c>
      <c r="BM296" s="23">
        <f>IF(Performance!$O$296="","",Performance!$O$296)</f>
        <v>0</v>
      </c>
      <c r="BN296" s="24">
        <f>IF(Performance!$AA$296="","",Performance!$AA$296)</f>
        <v>0</v>
      </c>
      <c r="BO296" s="32">
        <f>IF(BH296="","",IF(BK296="","",IF(OR(BK296&lt;DashStart,BK296&gt;DashEnd),"",IF(BN296="","",BN296+ROW()/1000000))))</f>
        <v>0</v>
      </c>
      <c r="BP296" s="32">
        <f>IF(BM296="","",IF(BK296="","",IF(OR(BK296&lt;DashStart,BK296&gt;DashEnd),"",BM296+ROW()/1000000)))</f>
        <v>0</v>
      </c>
      <c r="BQ296" s="32">
        <f>IF(BH296="","",IF(BK296="","",IF(YEAR(BK296)&lt;&gt;PlanYear,"",IF(BN296="","",BN296+ROW()/1000000))))</f>
        <v>0</v>
      </c>
      <c r="BR296" s="32">
        <f>IF(BH296="","",IF(BK296="","",IF(OR(BK296&lt;RepFrom,BK296&gt;RepTo),"",IF(BN296="","",BN296+ROW()/1000000))))</f>
        <v>0</v>
      </c>
      <c r="BS296" s="32">
        <f>IF(BM296="","",IF(BK296="","",IF(YEAR(BK296)&lt;&gt;PlanYear,"",BM296+ROW()/1000000)))</f>
        <v>0</v>
      </c>
      <c r="BT296" s="17">
        <f>IF(Lists!$F296="","",Lists!$F296)</f>
        <v>0</v>
      </c>
      <c r="BU296" s="23">
        <f>IF(BT296="","",COUNTIF('Content Calendar'!$X$5:$X$604,BT296))</f>
        <v>0</v>
      </c>
      <c r="BV296" s="23">
        <f>IF(BT296="","",COUNTIFS('Content Calendar'!$X$5:$X$604,BT296,'Content Calendar'!$B$5:$B$604,"&gt;="&amp;DashStart,'Content Calendar'!$B$5:$B$604,"&lt;="&amp;DashEnd))</f>
        <v>0</v>
      </c>
      <c r="BW296" s="17">
        <f>IF(Team!$B$296="","",Team!$B$296)</f>
        <v>0</v>
      </c>
      <c r="BX296" s="23">
        <f>IF(BW296="","",COUNTIF('Content Calendar'!$W$5:$W$604,BW296))</f>
        <v>0</v>
      </c>
      <c r="BY296" s="23">
        <f>IF(BW296="","",COUNTIFS('Content Calendar'!$W$5:$W$604,BW296,'Content Calendar'!$X$5:$X$604,"&lt;&gt;Published"))</f>
        <v>0</v>
      </c>
      <c r="BZ296" s="23">
        <f>IF(BW296="","",COUNTIFS(Tasks!$C$5:$C$64,BW296,Tasks!$G$5:$G$64,"&lt;&gt;Complete"))</f>
        <v>0</v>
      </c>
      <c r="CA296" s="17">
        <f>IF(Campaigns!$B$296="","",Campaigns!$B$296)</f>
        <v>0</v>
      </c>
      <c r="CB296" s="25">
        <f>IF(Campaigns!$T$296="","",Campaigns!$T$296)</f>
        <v>0</v>
      </c>
      <c r="CC296" s="25">
        <f>IF(Campaigns!$Q$296="","",Campaigns!$Q$296)</f>
        <v>0</v>
      </c>
      <c r="CD296" s="23">
        <f>IF(Campaigns!$Y$296="","",Campaigns!$Y$296)</f>
        <v>0</v>
      </c>
      <c r="CE296" s="32">
        <f>IF(CA296="","",IF(N(CB296)&lt;=0,"",N(CB296)+ROW()/1000000))</f>
        <v>0</v>
      </c>
      <c r="CF296" s="17">
        <f>IF(Accounts!$C$296="","",Accounts!$C$296)</f>
        <v>0</v>
      </c>
      <c r="CG296" s="17">
        <f>IF(Accounts!$B$296="","",Accounts!$B$296)</f>
        <v>0</v>
      </c>
      <c r="CH296" s="23">
        <f>IF(Accounts!$J$296="","",Accounts!$J$296)</f>
        <v>0</v>
      </c>
      <c r="CI296" s="23">
        <f>IF(CF296="","",SUMIFS(Analytics!$X$5:$X$154,Analytics!$E$5:$E$154,CF296,Analytics!$B$5:$B$154,"&gt;="&amp;DashStart,Analytics!$B$5:$B$154,"&lt;="&amp;DashEnd))</f>
        <v>0</v>
      </c>
      <c r="CJ296" s="32">
        <f>IF(CH296="","",IF(CH296=0,"",CH296+ROW()/1000000))</f>
        <v>0</v>
      </c>
    </row>
    <row r="297" spans="1:88">
      <c r="A297" s="16">
        <f>IF(ROW()-4&gt;12,"",DATE(PlanYear,ROW()-4,1))</f>
        <v>0</v>
      </c>
      <c r="B297" s="16">
        <f>IF(A297="","",EOMONTH(A297,0))</f>
        <v>0</v>
      </c>
      <c r="C297" s="17">
        <f>IF(A297="","",TEXT(A297,"yyyy-mm"))</f>
        <v>0</v>
      </c>
      <c r="D297" s="17">
        <f>IF(A297="","",TEXT(A297,"mmm"))</f>
        <v>0</v>
      </c>
      <c r="E297" s="23">
        <f>IF(C297="","",COUNTIFS('Content Calendar'!$D$5:$D$604,C297))</f>
        <v>0</v>
      </c>
      <c r="F297" s="23">
        <f>IF(C297="","",COUNTIFS('Content Calendar'!$D$5:$D$604,C297,'Content Calendar'!$X$5:$X$604,"Published"))</f>
        <v>0</v>
      </c>
      <c r="G297" s="23">
        <f>IF(C297="","",SUMIFS(Analytics!$J$5:$J$154,Analytics!$C$5:$C$154,C297))</f>
        <v>0</v>
      </c>
      <c r="H297" s="23">
        <f>IF(C297="","",SUMIFS(Analytics!$K$5:$K$154,Analytics!$C$5:$C$154,C297))</f>
        <v>0</v>
      </c>
      <c r="I297" s="23">
        <f>IF(C297="","",SUMIFS(Analytics!$L$5:$L$154,Analytics!$C$5:$C$154,C297))</f>
        <v>0</v>
      </c>
      <c r="J297" s="24">
        <f>IF(OR(G297="",G297=0),"",I297/G297)</f>
        <v>0</v>
      </c>
      <c r="K297" s="23">
        <f>IF(C297="","",SUMIFS(Analytics!$G$5:$G$154,Analytics!$C$5:$C$154,C297))</f>
        <v>0</v>
      </c>
      <c r="L297" s="23">
        <f>IF(C297="","",SUMIFS(Analytics!$X$5:$X$154,Analytics!$C$5:$C$154,C297))</f>
        <v>0</v>
      </c>
      <c r="M297" s="23">
        <f>IF(C297="","",SUMIFS(Analytics!$R$5:$R$154,Analytics!$C$5:$C$154,C297))</f>
        <v>0</v>
      </c>
      <c r="N297" s="23">
        <f>IF(C297="","",SUMIFS(Analytics!$S$5:$S$154,Analytics!$C$5:$C$154,C297))</f>
        <v>0</v>
      </c>
      <c r="O297" s="23">
        <f>IF(C297="","",SUMIFS(Analytics!$T$5:$T$154,Analytics!$C$5:$C$154,C297))</f>
        <v>0</v>
      </c>
      <c r="P297" s="25">
        <f>IF(C297="","",SUMIFS(Analytics!$U$5:$U$154,Analytics!$C$5:$C$154,C297))</f>
        <v>0</v>
      </c>
      <c r="Q297" s="25">
        <f>IF(C297="","",SUMIFS(Budget!$H$5:$H$64,Budget!$C$5:$C$64,C297))</f>
        <v>0</v>
      </c>
      <c r="R297" s="25">
        <f>IF(C297="","",P297-Q297)</f>
        <v>0</v>
      </c>
      <c r="S297" s="23">
        <f>IF(C297="","",MonthlyPostTarget)</f>
        <v>0</v>
      </c>
      <c r="T297" s="17">
        <f>IF(Lists!$C297="","",Lists!$C297)</f>
        <v>0</v>
      </c>
      <c r="U297" s="23">
        <f>IF(T297="","",COUNTIFS('Content Calendar'!$G$5:$G$604,T297,'Content Calendar'!$B$5:$B$604,"&gt;="&amp;DashStart,'Content Calendar'!$B$5:$B$604,"&lt;="&amp;DashEnd))</f>
        <v>0</v>
      </c>
      <c r="V297" s="23">
        <f>IF(T297="","",COUNTIFS('Content Calendar'!$G$5:$G$604,T297,'Content Calendar'!$X$5:$X$604,"Published",'Content Calendar'!$B$5:$B$604,"&gt;="&amp;DashStart,'Content Calendar'!$B$5:$B$604,"&lt;="&amp;DashEnd))</f>
        <v>0</v>
      </c>
      <c r="W297" s="23">
        <f>IF(T297="","",SUMIFS(Analytics!$J$5:$J$154,Analytics!$D$5:$D$154,T297,Analytics!$B$5:$B$154,"&gt;="&amp;DashStart,Analytics!$B$5:$B$154,"&lt;="&amp;DashEnd))</f>
        <v>0</v>
      </c>
      <c r="X297" s="23">
        <f>IF(T297="","",SUMIFS(Analytics!$L$5:$L$154,Analytics!$D$5:$D$154,T297,Analytics!$B$5:$B$154,"&gt;="&amp;DashStart,Analytics!$B$5:$B$154,"&lt;="&amp;DashEnd))</f>
        <v>0</v>
      </c>
      <c r="Y297" s="24">
        <f>IF(OR(W297="",W297=0),"",X297/W297)</f>
        <v>0</v>
      </c>
      <c r="Z297" s="23">
        <f>IF(T297="","",SUMIFS(Analytics!$G$5:$G$154,Analytics!$D$5:$D$154,T297,Analytics!$B$5:$B$154,"&gt;="&amp;DashStart,Analytics!$B$5:$B$154,"&lt;="&amp;DashEnd))</f>
        <v>0</v>
      </c>
      <c r="AA297" s="23">
        <f>IF(T297="","",SUMIFS(Analytics!$X$5:$X$154,Analytics!$D$5:$D$154,T297,Analytics!$B$5:$B$154,"&gt;="&amp;DashStart,Analytics!$B$5:$B$154,"&lt;="&amp;DashEnd))</f>
        <v>0</v>
      </c>
      <c r="AB297" s="23">
        <f>IF(T297="","",SUMIFS(Analytics!$R$5:$R$154,Analytics!$D$5:$D$154,T297,Analytics!$B$5:$B$154,"&gt;="&amp;DashStart,Analytics!$B$5:$B$154,"&lt;="&amp;DashEnd))</f>
        <v>0</v>
      </c>
      <c r="AC297" s="25">
        <f>IF(T297="","",SUMIFS(Analytics!$U$5:$U$154,Analytics!$D$5:$D$154,T297,Analytics!$B$5:$B$154,"&gt;="&amp;DashStart,Analytics!$B$5:$B$154,"&lt;="&amp;DashEnd))</f>
        <v>0</v>
      </c>
      <c r="AD297" s="23">
        <f>IF(T297="","",COUNTIFS('Content Calendar'!$G$5:$G$604,T297,'Content Calendar'!$B$5:$B$604,"&gt;="&amp;DATE(PlanYear,1,1),'Content Calendar'!$B$5:$B$604,"&lt;="&amp;DATE(PlanYear,12,31)))</f>
        <v>0</v>
      </c>
      <c r="AE297" s="23">
        <f>IF(T297="","",SUMIFS(Analytics!$J$5:$J$154,Analytics!$D$5:$D$154,T297))</f>
        <v>0</v>
      </c>
      <c r="AF297" s="23">
        <f>IF(T297="","",SUMIFS(Analytics!$L$5:$L$154,Analytics!$D$5:$D$154,T297))</f>
        <v>0</v>
      </c>
      <c r="AG297" s="24">
        <f>IF(OR(AE297="",AE297=0),"",AF297/AE297)</f>
        <v>0</v>
      </c>
      <c r="AH297" s="23">
        <f>IF(T297="","",SUMIFS(Analytics!$X$5:$X$154,Analytics!$D$5:$D$154,T297))</f>
        <v>0</v>
      </c>
      <c r="AI297" s="32">
        <f>IF(T297="","",IF(AE297=0,"",AE297+ROW()/1000000))</f>
        <v>0</v>
      </c>
      <c r="AJ297" s="17">
        <f>IF('Content Pillars'!$B$297="","",'Content Pillars'!$B$297)</f>
        <v>0</v>
      </c>
      <c r="AK297" s="23">
        <f>IF(AJ297="","",COUNTIFS('Content Calendar'!$J$5:$J$604,AJ297,'Content Calendar'!$B$5:$B$604,"&gt;="&amp;DATE(PlanYear,1,1),'Content Calendar'!$B$5:$B$604,"&lt;="&amp;DATE(PlanYear,12,31)))</f>
        <v>0</v>
      </c>
      <c r="AL297" s="23">
        <f>IF(AJ297="","",SUMIFS(Performance!$O$5:$O$404,Performance!$H$5:$H$404,AJ297))</f>
        <v>0</v>
      </c>
      <c r="AM297" s="23">
        <f>IF(AJ297="","",SUMIFS(Performance!$Z$5:$Z$404,Performance!$H$5:$H$404,AJ297))</f>
        <v>0</v>
      </c>
      <c r="AN297" s="24">
        <f>IF(OR(AL297="",AL297=0),"",AM297/AL297)</f>
        <v>0</v>
      </c>
      <c r="AO297" s="32">
        <f>IF(AN297="","",AN297+ROW()/1000000)</f>
        <v>0</v>
      </c>
      <c r="AP297" s="17">
        <f>IF(Lists!$E297="","",Lists!$E297)</f>
        <v>0</v>
      </c>
      <c r="AQ297" s="23">
        <f>IF(AP297="","",COUNTIF(Performance!$G$5:$G$404,AP297))</f>
        <v>0</v>
      </c>
      <c r="AR297" s="23">
        <f>IF(AP297="","",SUMIFS(Performance!$O$5:$O$404,Performance!$G$5:$G$404,AP297))</f>
        <v>0</v>
      </c>
      <c r="AS297" s="23">
        <f>IF(AP297="","",SUMIFS(Performance!$Z$5:$Z$404,Performance!$G$5:$G$404,AP297))</f>
        <v>0</v>
      </c>
      <c r="AT297" s="24">
        <f>IF(OR(AR297="",AR297=0),"",AS297/AR297)</f>
        <v>0</v>
      </c>
      <c r="AU297" s="32">
        <f>IF(AQ297=0,"",IF(AT297="","",AT297+ROW()/1000000))</f>
        <v>0</v>
      </c>
      <c r="AV297" s="17">
        <f>IF(ROW()-4&gt;7,"",TEXT(DATE(2024,1,ROW()-4),"ddd"))</f>
        <v>0</v>
      </c>
      <c r="AW297" s="23">
        <f>IF(AV297="","",COUNTIF(Performance!$N$5:$N$404,AV297))</f>
        <v>0</v>
      </c>
      <c r="AX297" s="23">
        <f>IF(AV297="","",SUMIFS(Performance!$O$5:$O$404,Performance!$N$5:$N$404,AV297))</f>
        <v>0</v>
      </c>
      <c r="AY297" s="23">
        <f>IF(AV297="","",SUMIFS(Performance!$Z$5:$Z$404,Performance!$N$5:$N$404,AV297))</f>
        <v>0</v>
      </c>
      <c r="AZ297" s="24">
        <f>IF(OR(AX297="",AX297=0),"",AY297/AX297)</f>
        <v>0</v>
      </c>
      <c r="BA297" s="32">
        <f>IF(AW297=0,"",IF(AZ297="","",AZ297+ROW()/1000000))</f>
        <v>0</v>
      </c>
      <c r="BB297" s="17">
        <f>IF(Lists!$AL297="","",Lists!$AL297)</f>
        <v>0</v>
      </c>
      <c r="BC297" s="23">
        <f>IF(BB297="","",COUNTIF(Performance!$M$5:$M$404,BB297))</f>
        <v>0</v>
      </c>
      <c r="BD297" s="23">
        <f>IF(BB297="","",SUMIFS(Performance!$O$5:$O$404,Performance!$M$5:$M$404,BB297))</f>
        <v>0</v>
      </c>
      <c r="BE297" s="23">
        <f>IF(BB297="","",SUMIFS(Performance!$Z$5:$Z$404,Performance!$M$5:$M$404,BB297))</f>
        <v>0</v>
      </c>
      <c r="BF297" s="24">
        <f>IF(OR(BD297="",BD297=0),"",BE297/BD297)</f>
        <v>0</v>
      </c>
      <c r="BG297" s="32">
        <f>IF(BC297=0,"",IF(BF297="","",BF297+ROW()/1000000))</f>
        <v>0</v>
      </c>
      <c r="BH297" s="17">
        <f>IF(Performance!$C$297="","",Performance!$C$297)</f>
        <v>0</v>
      </c>
      <c r="BI297" s="17">
        <f>IF(Performance!$F$297="","",Performance!$F$297)</f>
        <v>0</v>
      </c>
      <c r="BJ297" s="17">
        <f>IF(Performance!$H$297="","",Performance!$H$297)</f>
        <v>0</v>
      </c>
      <c r="BK297" s="16">
        <f>IF(Performance!$D$297="","",Performance!$D$297)</f>
        <v>0</v>
      </c>
      <c r="BL297" s="17">
        <f>IF(Performance!$E$297="","",Performance!$E$297)</f>
        <v>0</v>
      </c>
      <c r="BM297" s="23">
        <f>IF(Performance!$O$297="","",Performance!$O$297)</f>
        <v>0</v>
      </c>
      <c r="BN297" s="24">
        <f>IF(Performance!$AA$297="","",Performance!$AA$297)</f>
        <v>0</v>
      </c>
      <c r="BO297" s="32">
        <f>IF(BH297="","",IF(BK297="","",IF(OR(BK297&lt;DashStart,BK297&gt;DashEnd),"",IF(BN297="","",BN297+ROW()/1000000))))</f>
        <v>0</v>
      </c>
      <c r="BP297" s="32">
        <f>IF(BM297="","",IF(BK297="","",IF(OR(BK297&lt;DashStart,BK297&gt;DashEnd),"",BM297+ROW()/1000000)))</f>
        <v>0</v>
      </c>
      <c r="BQ297" s="32">
        <f>IF(BH297="","",IF(BK297="","",IF(YEAR(BK297)&lt;&gt;PlanYear,"",IF(BN297="","",BN297+ROW()/1000000))))</f>
        <v>0</v>
      </c>
      <c r="BR297" s="32">
        <f>IF(BH297="","",IF(BK297="","",IF(OR(BK297&lt;RepFrom,BK297&gt;RepTo),"",IF(BN297="","",BN297+ROW()/1000000))))</f>
        <v>0</v>
      </c>
      <c r="BS297" s="32">
        <f>IF(BM297="","",IF(BK297="","",IF(YEAR(BK297)&lt;&gt;PlanYear,"",BM297+ROW()/1000000)))</f>
        <v>0</v>
      </c>
      <c r="BT297" s="17">
        <f>IF(Lists!$F297="","",Lists!$F297)</f>
        <v>0</v>
      </c>
      <c r="BU297" s="23">
        <f>IF(BT297="","",COUNTIF('Content Calendar'!$X$5:$X$604,BT297))</f>
        <v>0</v>
      </c>
      <c r="BV297" s="23">
        <f>IF(BT297="","",COUNTIFS('Content Calendar'!$X$5:$X$604,BT297,'Content Calendar'!$B$5:$B$604,"&gt;="&amp;DashStart,'Content Calendar'!$B$5:$B$604,"&lt;="&amp;DashEnd))</f>
        <v>0</v>
      </c>
      <c r="BW297" s="17">
        <f>IF(Team!$B$297="","",Team!$B$297)</f>
        <v>0</v>
      </c>
      <c r="BX297" s="23">
        <f>IF(BW297="","",COUNTIF('Content Calendar'!$W$5:$W$604,BW297))</f>
        <v>0</v>
      </c>
      <c r="BY297" s="23">
        <f>IF(BW297="","",COUNTIFS('Content Calendar'!$W$5:$W$604,BW297,'Content Calendar'!$X$5:$X$604,"&lt;&gt;Published"))</f>
        <v>0</v>
      </c>
      <c r="BZ297" s="23">
        <f>IF(BW297="","",COUNTIFS(Tasks!$C$5:$C$64,BW297,Tasks!$G$5:$G$64,"&lt;&gt;Complete"))</f>
        <v>0</v>
      </c>
      <c r="CA297" s="17">
        <f>IF(Campaigns!$B$297="","",Campaigns!$B$297)</f>
        <v>0</v>
      </c>
      <c r="CB297" s="25">
        <f>IF(Campaigns!$T$297="","",Campaigns!$T$297)</f>
        <v>0</v>
      </c>
      <c r="CC297" s="25">
        <f>IF(Campaigns!$Q$297="","",Campaigns!$Q$297)</f>
        <v>0</v>
      </c>
      <c r="CD297" s="23">
        <f>IF(Campaigns!$Y$297="","",Campaigns!$Y$297)</f>
        <v>0</v>
      </c>
      <c r="CE297" s="32">
        <f>IF(CA297="","",IF(N(CB297)&lt;=0,"",N(CB297)+ROW()/1000000))</f>
        <v>0</v>
      </c>
      <c r="CF297" s="17">
        <f>IF(Accounts!$C$297="","",Accounts!$C$297)</f>
        <v>0</v>
      </c>
      <c r="CG297" s="17">
        <f>IF(Accounts!$B$297="","",Accounts!$B$297)</f>
        <v>0</v>
      </c>
      <c r="CH297" s="23">
        <f>IF(Accounts!$J$297="","",Accounts!$J$297)</f>
        <v>0</v>
      </c>
      <c r="CI297" s="23">
        <f>IF(CF297="","",SUMIFS(Analytics!$X$5:$X$154,Analytics!$E$5:$E$154,CF297,Analytics!$B$5:$B$154,"&gt;="&amp;DashStart,Analytics!$B$5:$B$154,"&lt;="&amp;DashEnd))</f>
        <v>0</v>
      </c>
      <c r="CJ297" s="32">
        <f>IF(CH297="","",IF(CH297=0,"",CH297+ROW()/1000000))</f>
        <v>0</v>
      </c>
    </row>
    <row r="298" spans="1:88">
      <c r="A298" s="16">
        <f>IF(ROW()-4&gt;12,"",DATE(PlanYear,ROW()-4,1))</f>
        <v>0</v>
      </c>
      <c r="B298" s="16">
        <f>IF(A298="","",EOMONTH(A298,0))</f>
        <v>0</v>
      </c>
      <c r="C298" s="17">
        <f>IF(A298="","",TEXT(A298,"yyyy-mm"))</f>
        <v>0</v>
      </c>
      <c r="D298" s="17">
        <f>IF(A298="","",TEXT(A298,"mmm"))</f>
        <v>0</v>
      </c>
      <c r="E298" s="23">
        <f>IF(C298="","",COUNTIFS('Content Calendar'!$D$5:$D$604,C298))</f>
        <v>0</v>
      </c>
      <c r="F298" s="23">
        <f>IF(C298="","",COUNTIFS('Content Calendar'!$D$5:$D$604,C298,'Content Calendar'!$X$5:$X$604,"Published"))</f>
        <v>0</v>
      </c>
      <c r="G298" s="23">
        <f>IF(C298="","",SUMIFS(Analytics!$J$5:$J$154,Analytics!$C$5:$C$154,C298))</f>
        <v>0</v>
      </c>
      <c r="H298" s="23">
        <f>IF(C298="","",SUMIFS(Analytics!$K$5:$K$154,Analytics!$C$5:$C$154,C298))</f>
        <v>0</v>
      </c>
      <c r="I298" s="23">
        <f>IF(C298="","",SUMIFS(Analytics!$L$5:$L$154,Analytics!$C$5:$C$154,C298))</f>
        <v>0</v>
      </c>
      <c r="J298" s="24">
        <f>IF(OR(G298="",G298=0),"",I298/G298)</f>
        <v>0</v>
      </c>
      <c r="K298" s="23">
        <f>IF(C298="","",SUMIFS(Analytics!$G$5:$G$154,Analytics!$C$5:$C$154,C298))</f>
        <v>0</v>
      </c>
      <c r="L298" s="23">
        <f>IF(C298="","",SUMIFS(Analytics!$X$5:$X$154,Analytics!$C$5:$C$154,C298))</f>
        <v>0</v>
      </c>
      <c r="M298" s="23">
        <f>IF(C298="","",SUMIFS(Analytics!$R$5:$R$154,Analytics!$C$5:$C$154,C298))</f>
        <v>0</v>
      </c>
      <c r="N298" s="23">
        <f>IF(C298="","",SUMIFS(Analytics!$S$5:$S$154,Analytics!$C$5:$C$154,C298))</f>
        <v>0</v>
      </c>
      <c r="O298" s="23">
        <f>IF(C298="","",SUMIFS(Analytics!$T$5:$T$154,Analytics!$C$5:$C$154,C298))</f>
        <v>0</v>
      </c>
      <c r="P298" s="25">
        <f>IF(C298="","",SUMIFS(Analytics!$U$5:$U$154,Analytics!$C$5:$C$154,C298))</f>
        <v>0</v>
      </c>
      <c r="Q298" s="25">
        <f>IF(C298="","",SUMIFS(Budget!$H$5:$H$64,Budget!$C$5:$C$64,C298))</f>
        <v>0</v>
      </c>
      <c r="R298" s="25">
        <f>IF(C298="","",P298-Q298)</f>
        <v>0</v>
      </c>
      <c r="S298" s="23">
        <f>IF(C298="","",MonthlyPostTarget)</f>
        <v>0</v>
      </c>
      <c r="T298" s="17">
        <f>IF(Lists!$C298="","",Lists!$C298)</f>
        <v>0</v>
      </c>
      <c r="U298" s="23">
        <f>IF(T298="","",COUNTIFS('Content Calendar'!$G$5:$G$604,T298,'Content Calendar'!$B$5:$B$604,"&gt;="&amp;DashStart,'Content Calendar'!$B$5:$B$604,"&lt;="&amp;DashEnd))</f>
        <v>0</v>
      </c>
      <c r="V298" s="23">
        <f>IF(T298="","",COUNTIFS('Content Calendar'!$G$5:$G$604,T298,'Content Calendar'!$X$5:$X$604,"Published",'Content Calendar'!$B$5:$B$604,"&gt;="&amp;DashStart,'Content Calendar'!$B$5:$B$604,"&lt;="&amp;DashEnd))</f>
        <v>0</v>
      </c>
      <c r="W298" s="23">
        <f>IF(T298="","",SUMIFS(Analytics!$J$5:$J$154,Analytics!$D$5:$D$154,T298,Analytics!$B$5:$B$154,"&gt;="&amp;DashStart,Analytics!$B$5:$B$154,"&lt;="&amp;DashEnd))</f>
        <v>0</v>
      </c>
      <c r="X298" s="23">
        <f>IF(T298="","",SUMIFS(Analytics!$L$5:$L$154,Analytics!$D$5:$D$154,T298,Analytics!$B$5:$B$154,"&gt;="&amp;DashStart,Analytics!$B$5:$B$154,"&lt;="&amp;DashEnd))</f>
        <v>0</v>
      </c>
      <c r="Y298" s="24">
        <f>IF(OR(W298="",W298=0),"",X298/W298)</f>
        <v>0</v>
      </c>
      <c r="Z298" s="23">
        <f>IF(T298="","",SUMIFS(Analytics!$G$5:$G$154,Analytics!$D$5:$D$154,T298,Analytics!$B$5:$B$154,"&gt;="&amp;DashStart,Analytics!$B$5:$B$154,"&lt;="&amp;DashEnd))</f>
        <v>0</v>
      </c>
      <c r="AA298" s="23">
        <f>IF(T298="","",SUMIFS(Analytics!$X$5:$X$154,Analytics!$D$5:$D$154,T298,Analytics!$B$5:$B$154,"&gt;="&amp;DashStart,Analytics!$B$5:$B$154,"&lt;="&amp;DashEnd))</f>
        <v>0</v>
      </c>
      <c r="AB298" s="23">
        <f>IF(T298="","",SUMIFS(Analytics!$R$5:$R$154,Analytics!$D$5:$D$154,T298,Analytics!$B$5:$B$154,"&gt;="&amp;DashStart,Analytics!$B$5:$B$154,"&lt;="&amp;DashEnd))</f>
        <v>0</v>
      </c>
      <c r="AC298" s="25">
        <f>IF(T298="","",SUMIFS(Analytics!$U$5:$U$154,Analytics!$D$5:$D$154,T298,Analytics!$B$5:$B$154,"&gt;="&amp;DashStart,Analytics!$B$5:$B$154,"&lt;="&amp;DashEnd))</f>
        <v>0</v>
      </c>
      <c r="AD298" s="23">
        <f>IF(T298="","",COUNTIFS('Content Calendar'!$G$5:$G$604,T298,'Content Calendar'!$B$5:$B$604,"&gt;="&amp;DATE(PlanYear,1,1),'Content Calendar'!$B$5:$B$604,"&lt;="&amp;DATE(PlanYear,12,31)))</f>
        <v>0</v>
      </c>
      <c r="AE298" s="23">
        <f>IF(T298="","",SUMIFS(Analytics!$J$5:$J$154,Analytics!$D$5:$D$154,T298))</f>
        <v>0</v>
      </c>
      <c r="AF298" s="23">
        <f>IF(T298="","",SUMIFS(Analytics!$L$5:$L$154,Analytics!$D$5:$D$154,T298))</f>
        <v>0</v>
      </c>
      <c r="AG298" s="24">
        <f>IF(OR(AE298="",AE298=0),"",AF298/AE298)</f>
        <v>0</v>
      </c>
      <c r="AH298" s="23">
        <f>IF(T298="","",SUMIFS(Analytics!$X$5:$X$154,Analytics!$D$5:$D$154,T298))</f>
        <v>0</v>
      </c>
      <c r="AI298" s="32">
        <f>IF(T298="","",IF(AE298=0,"",AE298+ROW()/1000000))</f>
        <v>0</v>
      </c>
      <c r="AJ298" s="17">
        <f>IF('Content Pillars'!$B$298="","",'Content Pillars'!$B$298)</f>
        <v>0</v>
      </c>
      <c r="AK298" s="23">
        <f>IF(AJ298="","",COUNTIFS('Content Calendar'!$J$5:$J$604,AJ298,'Content Calendar'!$B$5:$B$604,"&gt;="&amp;DATE(PlanYear,1,1),'Content Calendar'!$B$5:$B$604,"&lt;="&amp;DATE(PlanYear,12,31)))</f>
        <v>0</v>
      </c>
      <c r="AL298" s="23">
        <f>IF(AJ298="","",SUMIFS(Performance!$O$5:$O$404,Performance!$H$5:$H$404,AJ298))</f>
        <v>0</v>
      </c>
      <c r="AM298" s="23">
        <f>IF(AJ298="","",SUMIFS(Performance!$Z$5:$Z$404,Performance!$H$5:$H$404,AJ298))</f>
        <v>0</v>
      </c>
      <c r="AN298" s="24">
        <f>IF(OR(AL298="",AL298=0),"",AM298/AL298)</f>
        <v>0</v>
      </c>
      <c r="AO298" s="32">
        <f>IF(AN298="","",AN298+ROW()/1000000)</f>
        <v>0</v>
      </c>
      <c r="AP298" s="17">
        <f>IF(Lists!$E298="","",Lists!$E298)</f>
        <v>0</v>
      </c>
      <c r="AQ298" s="23">
        <f>IF(AP298="","",COUNTIF(Performance!$G$5:$G$404,AP298))</f>
        <v>0</v>
      </c>
      <c r="AR298" s="23">
        <f>IF(AP298="","",SUMIFS(Performance!$O$5:$O$404,Performance!$G$5:$G$404,AP298))</f>
        <v>0</v>
      </c>
      <c r="AS298" s="23">
        <f>IF(AP298="","",SUMIFS(Performance!$Z$5:$Z$404,Performance!$G$5:$G$404,AP298))</f>
        <v>0</v>
      </c>
      <c r="AT298" s="24">
        <f>IF(OR(AR298="",AR298=0),"",AS298/AR298)</f>
        <v>0</v>
      </c>
      <c r="AU298" s="32">
        <f>IF(AQ298=0,"",IF(AT298="","",AT298+ROW()/1000000))</f>
        <v>0</v>
      </c>
      <c r="AV298" s="17">
        <f>IF(ROW()-4&gt;7,"",TEXT(DATE(2024,1,ROW()-4),"ddd"))</f>
        <v>0</v>
      </c>
      <c r="AW298" s="23">
        <f>IF(AV298="","",COUNTIF(Performance!$N$5:$N$404,AV298))</f>
        <v>0</v>
      </c>
      <c r="AX298" s="23">
        <f>IF(AV298="","",SUMIFS(Performance!$O$5:$O$404,Performance!$N$5:$N$404,AV298))</f>
        <v>0</v>
      </c>
      <c r="AY298" s="23">
        <f>IF(AV298="","",SUMIFS(Performance!$Z$5:$Z$404,Performance!$N$5:$N$404,AV298))</f>
        <v>0</v>
      </c>
      <c r="AZ298" s="24">
        <f>IF(OR(AX298="",AX298=0),"",AY298/AX298)</f>
        <v>0</v>
      </c>
      <c r="BA298" s="32">
        <f>IF(AW298=0,"",IF(AZ298="","",AZ298+ROW()/1000000))</f>
        <v>0</v>
      </c>
      <c r="BB298" s="17">
        <f>IF(Lists!$AL298="","",Lists!$AL298)</f>
        <v>0</v>
      </c>
      <c r="BC298" s="23">
        <f>IF(BB298="","",COUNTIF(Performance!$M$5:$M$404,BB298))</f>
        <v>0</v>
      </c>
      <c r="BD298" s="23">
        <f>IF(BB298="","",SUMIFS(Performance!$O$5:$O$404,Performance!$M$5:$M$404,BB298))</f>
        <v>0</v>
      </c>
      <c r="BE298" s="23">
        <f>IF(BB298="","",SUMIFS(Performance!$Z$5:$Z$404,Performance!$M$5:$M$404,BB298))</f>
        <v>0</v>
      </c>
      <c r="BF298" s="24">
        <f>IF(OR(BD298="",BD298=0),"",BE298/BD298)</f>
        <v>0</v>
      </c>
      <c r="BG298" s="32">
        <f>IF(BC298=0,"",IF(BF298="","",BF298+ROW()/1000000))</f>
        <v>0</v>
      </c>
      <c r="BH298" s="17">
        <f>IF(Performance!$C$298="","",Performance!$C$298)</f>
        <v>0</v>
      </c>
      <c r="BI298" s="17">
        <f>IF(Performance!$F$298="","",Performance!$F$298)</f>
        <v>0</v>
      </c>
      <c r="BJ298" s="17">
        <f>IF(Performance!$H$298="","",Performance!$H$298)</f>
        <v>0</v>
      </c>
      <c r="BK298" s="16">
        <f>IF(Performance!$D$298="","",Performance!$D$298)</f>
        <v>0</v>
      </c>
      <c r="BL298" s="17">
        <f>IF(Performance!$E$298="","",Performance!$E$298)</f>
        <v>0</v>
      </c>
      <c r="BM298" s="23">
        <f>IF(Performance!$O$298="","",Performance!$O$298)</f>
        <v>0</v>
      </c>
      <c r="BN298" s="24">
        <f>IF(Performance!$AA$298="","",Performance!$AA$298)</f>
        <v>0</v>
      </c>
      <c r="BO298" s="32">
        <f>IF(BH298="","",IF(BK298="","",IF(OR(BK298&lt;DashStart,BK298&gt;DashEnd),"",IF(BN298="","",BN298+ROW()/1000000))))</f>
        <v>0</v>
      </c>
      <c r="BP298" s="32">
        <f>IF(BM298="","",IF(BK298="","",IF(OR(BK298&lt;DashStart,BK298&gt;DashEnd),"",BM298+ROW()/1000000)))</f>
        <v>0</v>
      </c>
      <c r="BQ298" s="32">
        <f>IF(BH298="","",IF(BK298="","",IF(YEAR(BK298)&lt;&gt;PlanYear,"",IF(BN298="","",BN298+ROW()/1000000))))</f>
        <v>0</v>
      </c>
      <c r="BR298" s="32">
        <f>IF(BH298="","",IF(BK298="","",IF(OR(BK298&lt;RepFrom,BK298&gt;RepTo),"",IF(BN298="","",BN298+ROW()/1000000))))</f>
        <v>0</v>
      </c>
      <c r="BS298" s="32">
        <f>IF(BM298="","",IF(BK298="","",IF(YEAR(BK298)&lt;&gt;PlanYear,"",BM298+ROW()/1000000)))</f>
        <v>0</v>
      </c>
      <c r="BT298" s="17">
        <f>IF(Lists!$F298="","",Lists!$F298)</f>
        <v>0</v>
      </c>
      <c r="BU298" s="23">
        <f>IF(BT298="","",COUNTIF('Content Calendar'!$X$5:$X$604,BT298))</f>
        <v>0</v>
      </c>
      <c r="BV298" s="23">
        <f>IF(BT298="","",COUNTIFS('Content Calendar'!$X$5:$X$604,BT298,'Content Calendar'!$B$5:$B$604,"&gt;="&amp;DashStart,'Content Calendar'!$B$5:$B$604,"&lt;="&amp;DashEnd))</f>
        <v>0</v>
      </c>
      <c r="BW298" s="17">
        <f>IF(Team!$B$298="","",Team!$B$298)</f>
        <v>0</v>
      </c>
      <c r="BX298" s="23">
        <f>IF(BW298="","",COUNTIF('Content Calendar'!$W$5:$W$604,BW298))</f>
        <v>0</v>
      </c>
      <c r="BY298" s="23">
        <f>IF(BW298="","",COUNTIFS('Content Calendar'!$W$5:$W$604,BW298,'Content Calendar'!$X$5:$X$604,"&lt;&gt;Published"))</f>
        <v>0</v>
      </c>
      <c r="BZ298" s="23">
        <f>IF(BW298="","",COUNTIFS(Tasks!$C$5:$C$64,BW298,Tasks!$G$5:$G$64,"&lt;&gt;Complete"))</f>
        <v>0</v>
      </c>
      <c r="CA298" s="17">
        <f>IF(Campaigns!$B$298="","",Campaigns!$B$298)</f>
        <v>0</v>
      </c>
      <c r="CB298" s="25">
        <f>IF(Campaigns!$T$298="","",Campaigns!$T$298)</f>
        <v>0</v>
      </c>
      <c r="CC298" s="25">
        <f>IF(Campaigns!$Q$298="","",Campaigns!$Q$298)</f>
        <v>0</v>
      </c>
      <c r="CD298" s="23">
        <f>IF(Campaigns!$Y$298="","",Campaigns!$Y$298)</f>
        <v>0</v>
      </c>
      <c r="CE298" s="32">
        <f>IF(CA298="","",IF(N(CB298)&lt;=0,"",N(CB298)+ROW()/1000000))</f>
        <v>0</v>
      </c>
      <c r="CF298" s="17">
        <f>IF(Accounts!$C$298="","",Accounts!$C$298)</f>
        <v>0</v>
      </c>
      <c r="CG298" s="17">
        <f>IF(Accounts!$B$298="","",Accounts!$B$298)</f>
        <v>0</v>
      </c>
      <c r="CH298" s="23">
        <f>IF(Accounts!$J$298="","",Accounts!$J$298)</f>
        <v>0</v>
      </c>
      <c r="CI298" s="23">
        <f>IF(CF298="","",SUMIFS(Analytics!$X$5:$X$154,Analytics!$E$5:$E$154,CF298,Analytics!$B$5:$B$154,"&gt;="&amp;DashStart,Analytics!$B$5:$B$154,"&lt;="&amp;DashEnd))</f>
        <v>0</v>
      </c>
      <c r="CJ298" s="32">
        <f>IF(CH298="","",IF(CH298=0,"",CH298+ROW()/1000000))</f>
        <v>0</v>
      </c>
    </row>
    <row r="299" spans="1:88">
      <c r="A299" s="16">
        <f>IF(ROW()-4&gt;12,"",DATE(PlanYear,ROW()-4,1))</f>
        <v>0</v>
      </c>
      <c r="B299" s="16">
        <f>IF(A299="","",EOMONTH(A299,0))</f>
        <v>0</v>
      </c>
      <c r="C299" s="17">
        <f>IF(A299="","",TEXT(A299,"yyyy-mm"))</f>
        <v>0</v>
      </c>
      <c r="D299" s="17">
        <f>IF(A299="","",TEXT(A299,"mmm"))</f>
        <v>0</v>
      </c>
      <c r="E299" s="23">
        <f>IF(C299="","",COUNTIFS('Content Calendar'!$D$5:$D$604,C299))</f>
        <v>0</v>
      </c>
      <c r="F299" s="23">
        <f>IF(C299="","",COUNTIFS('Content Calendar'!$D$5:$D$604,C299,'Content Calendar'!$X$5:$X$604,"Published"))</f>
        <v>0</v>
      </c>
      <c r="G299" s="23">
        <f>IF(C299="","",SUMIFS(Analytics!$J$5:$J$154,Analytics!$C$5:$C$154,C299))</f>
        <v>0</v>
      </c>
      <c r="H299" s="23">
        <f>IF(C299="","",SUMIFS(Analytics!$K$5:$K$154,Analytics!$C$5:$C$154,C299))</f>
        <v>0</v>
      </c>
      <c r="I299" s="23">
        <f>IF(C299="","",SUMIFS(Analytics!$L$5:$L$154,Analytics!$C$5:$C$154,C299))</f>
        <v>0</v>
      </c>
      <c r="J299" s="24">
        <f>IF(OR(G299="",G299=0),"",I299/G299)</f>
        <v>0</v>
      </c>
      <c r="K299" s="23">
        <f>IF(C299="","",SUMIFS(Analytics!$G$5:$G$154,Analytics!$C$5:$C$154,C299))</f>
        <v>0</v>
      </c>
      <c r="L299" s="23">
        <f>IF(C299="","",SUMIFS(Analytics!$X$5:$X$154,Analytics!$C$5:$C$154,C299))</f>
        <v>0</v>
      </c>
      <c r="M299" s="23">
        <f>IF(C299="","",SUMIFS(Analytics!$R$5:$R$154,Analytics!$C$5:$C$154,C299))</f>
        <v>0</v>
      </c>
      <c r="N299" s="23">
        <f>IF(C299="","",SUMIFS(Analytics!$S$5:$S$154,Analytics!$C$5:$C$154,C299))</f>
        <v>0</v>
      </c>
      <c r="O299" s="23">
        <f>IF(C299="","",SUMIFS(Analytics!$T$5:$T$154,Analytics!$C$5:$C$154,C299))</f>
        <v>0</v>
      </c>
      <c r="P299" s="25">
        <f>IF(C299="","",SUMIFS(Analytics!$U$5:$U$154,Analytics!$C$5:$C$154,C299))</f>
        <v>0</v>
      </c>
      <c r="Q299" s="25">
        <f>IF(C299="","",SUMIFS(Budget!$H$5:$H$64,Budget!$C$5:$C$64,C299))</f>
        <v>0</v>
      </c>
      <c r="R299" s="25">
        <f>IF(C299="","",P299-Q299)</f>
        <v>0</v>
      </c>
      <c r="S299" s="23">
        <f>IF(C299="","",MonthlyPostTarget)</f>
        <v>0</v>
      </c>
      <c r="T299" s="17">
        <f>IF(Lists!$C299="","",Lists!$C299)</f>
        <v>0</v>
      </c>
      <c r="U299" s="23">
        <f>IF(T299="","",COUNTIFS('Content Calendar'!$G$5:$G$604,T299,'Content Calendar'!$B$5:$B$604,"&gt;="&amp;DashStart,'Content Calendar'!$B$5:$B$604,"&lt;="&amp;DashEnd))</f>
        <v>0</v>
      </c>
      <c r="V299" s="23">
        <f>IF(T299="","",COUNTIFS('Content Calendar'!$G$5:$G$604,T299,'Content Calendar'!$X$5:$X$604,"Published",'Content Calendar'!$B$5:$B$604,"&gt;="&amp;DashStart,'Content Calendar'!$B$5:$B$604,"&lt;="&amp;DashEnd))</f>
        <v>0</v>
      </c>
      <c r="W299" s="23">
        <f>IF(T299="","",SUMIFS(Analytics!$J$5:$J$154,Analytics!$D$5:$D$154,T299,Analytics!$B$5:$B$154,"&gt;="&amp;DashStart,Analytics!$B$5:$B$154,"&lt;="&amp;DashEnd))</f>
        <v>0</v>
      </c>
      <c r="X299" s="23">
        <f>IF(T299="","",SUMIFS(Analytics!$L$5:$L$154,Analytics!$D$5:$D$154,T299,Analytics!$B$5:$B$154,"&gt;="&amp;DashStart,Analytics!$B$5:$B$154,"&lt;="&amp;DashEnd))</f>
        <v>0</v>
      </c>
      <c r="Y299" s="24">
        <f>IF(OR(W299="",W299=0),"",X299/W299)</f>
        <v>0</v>
      </c>
      <c r="Z299" s="23">
        <f>IF(T299="","",SUMIFS(Analytics!$G$5:$G$154,Analytics!$D$5:$D$154,T299,Analytics!$B$5:$B$154,"&gt;="&amp;DashStart,Analytics!$B$5:$B$154,"&lt;="&amp;DashEnd))</f>
        <v>0</v>
      </c>
      <c r="AA299" s="23">
        <f>IF(T299="","",SUMIFS(Analytics!$X$5:$X$154,Analytics!$D$5:$D$154,T299,Analytics!$B$5:$B$154,"&gt;="&amp;DashStart,Analytics!$B$5:$B$154,"&lt;="&amp;DashEnd))</f>
        <v>0</v>
      </c>
      <c r="AB299" s="23">
        <f>IF(T299="","",SUMIFS(Analytics!$R$5:$R$154,Analytics!$D$5:$D$154,T299,Analytics!$B$5:$B$154,"&gt;="&amp;DashStart,Analytics!$B$5:$B$154,"&lt;="&amp;DashEnd))</f>
        <v>0</v>
      </c>
      <c r="AC299" s="25">
        <f>IF(T299="","",SUMIFS(Analytics!$U$5:$U$154,Analytics!$D$5:$D$154,T299,Analytics!$B$5:$B$154,"&gt;="&amp;DashStart,Analytics!$B$5:$B$154,"&lt;="&amp;DashEnd))</f>
        <v>0</v>
      </c>
      <c r="AD299" s="23">
        <f>IF(T299="","",COUNTIFS('Content Calendar'!$G$5:$G$604,T299,'Content Calendar'!$B$5:$B$604,"&gt;="&amp;DATE(PlanYear,1,1),'Content Calendar'!$B$5:$B$604,"&lt;="&amp;DATE(PlanYear,12,31)))</f>
        <v>0</v>
      </c>
      <c r="AE299" s="23">
        <f>IF(T299="","",SUMIFS(Analytics!$J$5:$J$154,Analytics!$D$5:$D$154,T299))</f>
        <v>0</v>
      </c>
      <c r="AF299" s="23">
        <f>IF(T299="","",SUMIFS(Analytics!$L$5:$L$154,Analytics!$D$5:$D$154,T299))</f>
        <v>0</v>
      </c>
      <c r="AG299" s="24">
        <f>IF(OR(AE299="",AE299=0),"",AF299/AE299)</f>
        <v>0</v>
      </c>
      <c r="AH299" s="23">
        <f>IF(T299="","",SUMIFS(Analytics!$X$5:$X$154,Analytics!$D$5:$D$154,T299))</f>
        <v>0</v>
      </c>
      <c r="AI299" s="32">
        <f>IF(T299="","",IF(AE299=0,"",AE299+ROW()/1000000))</f>
        <v>0</v>
      </c>
      <c r="AJ299" s="17">
        <f>IF('Content Pillars'!$B$299="","",'Content Pillars'!$B$299)</f>
        <v>0</v>
      </c>
      <c r="AK299" s="23">
        <f>IF(AJ299="","",COUNTIFS('Content Calendar'!$J$5:$J$604,AJ299,'Content Calendar'!$B$5:$B$604,"&gt;="&amp;DATE(PlanYear,1,1),'Content Calendar'!$B$5:$B$604,"&lt;="&amp;DATE(PlanYear,12,31)))</f>
        <v>0</v>
      </c>
      <c r="AL299" s="23">
        <f>IF(AJ299="","",SUMIFS(Performance!$O$5:$O$404,Performance!$H$5:$H$404,AJ299))</f>
        <v>0</v>
      </c>
      <c r="AM299" s="23">
        <f>IF(AJ299="","",SUMIFS(Performance!$Z$5:$Z$404,Performance!$H$5:$H$404,AJ299))</f>
        <v>0</v>
      </c>
      <c r="AN299" s="24">
        <f>IF(OR(AL299="",AL299=0),"",AM299/AL299)</f>
        <v>0</v>
      </c>
      <c r="AO299" s="32">
        <f>IF(AN299="","",AN299+ROW()/1000000)</f>
        <v>0</v>
      </c>
      <c r="AP299" s="17">
        <f>IF(Lists!$E299="","",Lists!$E299)</f>
        <v>0</v>
      </c>
      <c r="AQ299" s="23">
        <f>IF(AP299="","",COUNTIF(Performance!$G$5:$G$404,AP299))</f>
        <v>0</v>
      </c>
      <c r="AR299" s="23">
        <f>IF(AP299="","",SUMIFS(Performance!$O$5:$O$404,Performance!$G$5:$G$404,AP299))</f>
        <v>0</v>
      </c>
      <c r="AS299" s="23">
        <f>IF(AP299="","",SUMIFS(Performance!$Z$5:$Z$404,Performance!$G$5:$G$404,AP299))</f>
        <v>0</v>
      </c>
      <c r="AT299" s="24">
        <f>IF(OR(AR299="",AR299=0),"",AS299/AR299)</f>
        <v>0</v>
      </c>
      <c r="AU299" s="32">
        <f>IF(AQ299=0,"",IF(AT299="","",AT299+ROW()/1000000))</f>
        <v>0</v>
      </c>
      <c r="AV299" s="17">
        <f>IF(ROW()-4&gt;7,"",TEXT(DATE(2024,1,ROW()-4),"ddd"))</f>
        <v>0</v>
      </c>
      <c r="AW299" s="23">
        <f>IF(AV299="","",COUNTIF(Performance!$N$5:$N$404,AV299))</f>
        <v>0</v>
      </c>
      <c r="AX299" s="23">
        <f>IF(AV299="","",SUMIFS(Performance!$O$5:$O$404,Performance!$N$5:$N$404,AV299))</f>
        <v>0</v>
      </c>
      <c r="AY299" s="23">
        <f>IF(AV299="","",SUMIFS(Performance!$Z$5:$Z$404,Performance!$N$5:$N$404,AV299))</f>
        <v>0</v>
      </c>
      <c r="AZ299" s="24">
        <f>IF(OR(AX299="",AX299=0),"",AY299/AX299)</f>
        <v>0</v>
      </c>
      <c r="BA299" s="32">
        <f>IF(AW299=0,"",IF(AZ299="","",AZ299+ROW()/1000000))</f>
        <v>0</v>
      </c>
      <c r="BB299" s="17">
        <f>IF(Lists!$AL299="","",Lists!$AL299)</f>
        <v>0</v>
      </c>
      <c r="BC299" s="23">
        <f>IF(BB299="","",COUNTIF(Performance!$M$5:$M$404,BB299))</f>
        <v>0</v>
      </c>
      <c r="BD299" s="23">
        <f>IF(BB299="","",SUMIFS(Performance!$O$5:$O$404,Performance!$M$5:$M$404,BB299))</f>
        <v>0</v>
      </c>
      <c r="BE299" s="23">
        <f>IF(BB299="","",SUMIFS(Performance!$Z$5:$Z$404,Performance!$M$5:$M$404,BB299))</f>
        <v>0</v>
      </c>
      <c r="BF299" s="24">
        <f>IF(OR(BD299="",BD299=0),"",BE299/BD299)</f>
        <v>0</v>
      </c>
      <c r="BG299" s="32">
        <f>IF(BC299=0,"",IF(BF299="","",BF299+ROW()/1000000))</f>
        <v>0</v>
      </c>
      <c r="BH299" s="17">
        <f>IF(Performance!$C$299="","",Performance!$C$299)</f>
        <v>0</v>
      </c>
      <c r="BI299" s="17">
        <f>IF(Performance!$F$299="","",Performance!$F$299)</f>
        <v>0</v>
      </c>
      <c r="BJ299" s="17">
        <f>IF(Performance!$H$299="","",Performance!$H$299)</f>
        <v>0</v>
      </c>
      <c r="BK299" s="16">
        <f>IF(Performance!$D$299="","",Performance!$D$299)</f>
        <v>0</v>
      </c>
      <c r="BL299" s="17">
        <f>IF(Performance!$E$299="","",Performance!$E$299)</f>
        <v>0</v>
      </c>
      <c r="BM299" s="23">
        <f>IF(Performance!$O$299="","",Performance!$O$299)</f>
        <v>0</v>
      </c>
      <c r="BN299" s="24">
        <f>IF(Performance!$AA$299="","",Performance!$AA$299)</f>
        <v>0</v>
      </c>
      <c r="BO299" s="32">
        <f>IF(BH299="","",IF(BK299="","",IF(OR(BK299&lt;DashStart,BK299&gt;DashEnd),"",IF(BN299="","",BN299+ROW()/1000000))))</f>
        <v>0</v>
      </c>
      <c r="BP299" s="32">
        <f>IF(BM299="","",IF(BK299="","",IF(OR(BK299&lt;DashStart,BK299&gt;DashEnd),"",BM299+ROW()/1000000)))</f>
        <v>0</v>
      </c>
      <c r="BQ299" s="32">
        <f>IF(BH299="","",IF(BK299="","",IF(YEAR(BK299)&lt;&gt;PlanYear,"",IF(BN299="","",BN299+ROW()/1000000))))</f>
        <v>0</v>
      </c>
      <c r="BR299" s="32">
        <f>IF(BH299="","",IF(BK299="","",IF(OR(BK299&lt;RepFrom,BK299&gt;RepTo),"",IF(BN299="","",BN299+ROW()/1000000))))</f>
        <v>0</v>
      </c>
      <c r="BS299" s="32">
        <f>IF(BM299="","",IF(BK299="","",IF(YEAR(BK299)&lt;&gt;PlanYear,"",BM299+ROW()/1000000)))</f>
        <v>0</v>
      </c>
      <c r="BT299" s="17">
        <f>IF(Lists!$F299="","",Lists!$F299)</f>
        <v>0</v>
      </c>
      <c r="BU299" s="23">
        <f>IF(BT299="","",COUNTIF('Content Calendar'!$X$5:$X$604,BT299))</f>
        <v>0</v>
      </c>
      <c r="BV299" s="23">
        <f>IF(BT299="","",COUNTIFS('Content Calendar'!$X$5:$X$604,BT299,'Content Calendar'!$B$5:$B$604,"&gt;="&amp;DashStart,'Content Calendar'!$B$5:$B$604,"&lt;="&amp;DashEnd))</f>
        <v>0</v>
      </c>
      <c r="BW299" s="17">
        <f>IF(Team!$B$299="","",Team!$B$299)</f>
        <v>0</v>
      </c>
      <c r="BX299" s="23">
        <f>IF(BW299="","",COUNTIF('Content Calendar'!$W$5:$W$604,BW299))</f>
        <v>0</v>
      </c>
      <c r="BY299" s="23">
        <f>IF(BW299="","",COUNTIFS('Content Calendar'!$W$5:$W$604,BW299,'Content Calendar'!$X$5:$X$604,"&lt;&gt;Published"))</f>
        <v>0</v>
      </c>
      <c r="BZ299" s="23">
        <f>IF(BW299="","",COUNTIFS(Tasks!$C$5:$C$64,BW299,Tasks!$G$5:$G$64,"&lt;&gt;Complete"))</f>
        <v>0</v>
      </c>
      <c r="CA299" s="17">
        <f>IF(Campaigns!$B$299="","",Campaigns!$B$299)</f>
        <v>0</v>
      </c>
      <c r="CB299" s="25">
        <f>IF(Campaigns!$T$299="","",Campaigns!$T$299)</f>
        <v>0</v>
      </c>
      <c r="CC299" s="25">
        <f>IF(Campaigns!$Q$299="","",Campaigns!$Q$299)</f>
        <v>0</v>
      </c>
      <c r="CD299" s="23">
        <f>IF(Campaigns!$Y$299="","",Campaigns!$Y$299)</f>
        <v>0</v>
      </c>
      <c r="CE299" s="32">
        <f>IF(CA299="","",IF(N(CB299)&lt;=0,"",N(CB299)+ROW()/1000000))</f>
        <v>0</v>
      </c>
      <c r="CF299" s="17">
        <f>IF(Accounts!$C$299="","",Accounts!$C$299)</f>
        <v>0</v>
      </c>
      <c r="CG299" s="17">
        <f>IF(Accounts!$B$299="","",Accounts!$B$299)</f>
        <v>0</v>
      </c>
      <c r="CH299" s="23">
        <f>IF(Accounts!$J$299="","",Accounts!$J$299)</f>
        <v>0</v>
      </c>
      <c r="CI299" s="23">
        <f>IF(CF299="","",SUMIFS(Analytics!$X$5:$X$154,Analytics!$E$5:$E$154,CF299,Analytics!$B$5:$B$154,"&gt;="&amp;DashStart,Analytics!$B$5:$B$154,"&lt;="&amp;DashEnd))</f>
        <v>0</v>
      </c>
      <c r="CJ299" s="32">
        <f>IF(CH299="","",IF(CH299=0,"",CH299+ROW()/1000000))</f>
        <v>0</v>
      </c>
    </row>
    <row r="300" spans="1:88">
      <c r="A300" s="16">
        <f>IF(ROW()-4&gt;12,"",DATE(PlanYear,ROW()-4,1))</f>
        <v>0</v>
      </c>
      <c r="B300" s="16">
        <f>IF(A300="","",EOMONTH(A300,0))</f>
        <v>0</v>
      </c>
      <c r="C300" s="17">
        <f>IF(A300="","",TEXT(A300,"yyyy-mm"))</f>
        <v>0</v>
      </c>
      <c r="D300" s="17">
        <f>IF(A300="","",TEXT(A300,"mmm"))</f>
        <v>0</v>
      </c>
      <c r="E300" s="23">
        <f>IF(C300="","",COUNTIFS('Content Calendar'!$D$5:$D$604,C300))</f>
        <v>0</v>
      </c>
      <c r="F300" s="23">
        <f>IF(C300="","",COUNTIFS('Content Calendar'!$D$5:$D$604,C300,'Content Calendar'!$X$5:$X$604,"Published"))</f>
        <v>0</v>
      </c>
      <c r="G300" s="23">
        <f>IF(C300="","",SUMIFS(Analytics!$J$5:$J$154,Analytics!$C$5:$C$154,C300))</f>
        <v>0</v>
      </c>
      <c r="H300" s="23">
        <f>IF(C300="","",SUMIFS(Analytics!$K$5:$K$154,Analytics!$C$5:$C$154,C300))</f>
        <v>0</v>
      </c>
      <c r="I300" s="23">
        <f>IF(C300="","",SUMIFS(Analytics!$L$5:$L$154,Analytics!$C$5:$C$154,C300))</f>
        <v>0</v>
      </c>
      <c r="J300" s="24">
        <f>IF(OR(G300="",G300=0),"",I300/G300)</f>
        <v>0</v>
      </c>
      <c r="K300" s="23">
        <f>IF(C300="","",SUMIFS(Analytics!$G$5:$G$154,Analytics!$C$5:$C$154,C300))</f>
        <v>0</v>
      </c>
      <c r="L300" s="23">
        <f>IF(C300="","",SUMIFS(Analytics!$X$5:$X$154,Analytics!$C$5:$C$154,C300))</f>
        <v>0</v>
      </c>
      <c r="M300" s="23">
        <f>IF(C300="","",SUMIFS(Analytics!$R$5:$R$154,Analytics!$C$5:$C$154,C300))</f>
        <v>0</v>
      </c>
      <c r="N300" s="23">
        <f>IF(C300="","",SUMIFS(Analytics!$S$5:$S$154,Analytics!$C$5:$C$154,C300))</f>
        <v>0</v>
      </c>
      <c r="O300" s="23">
        <f>IF(C300="","",SUMIFS(Analytics!$T$5:$T$154,Analytics!$C$5:$C$154,C300))</f>
        <v>0</v>
      </c>
      <c r="P300" s="25">
        <f>IF(C300="","",SUMIFS(Analytics!$U$5:$U$154,Analytics!$C$5:$C$154,C300))</f>
        <v>0</v>
      </c>
      <c r="Q300" s="25">
        <f>IF(C300="","",SUMIFS(Budget!$H$5:$H$64,Budget!$C$5:$C$64,C300))</f>
        <v>0</v>
      </c>
      <c r="R300" s="25">
        <f>IF(C300="","",P300-Q300)</f>
        <v>0</v>
      </c>
      <c r="S300" s="23">
        <f>IF(C300="","",MonthlyPostTarget)</f>
        <v>0</v>
      </c>
      <c r="T300" s="17">
        <f>IF(Lists!$C300="","",Lists!$C300)</f>
        <v>0</v>
      </c>
      <c r="U300" s="23">
        <f>IF(T300="","",COUNTIFS('Content Calendar'!$G$5:$G$604,T300,'Content Calendar'!$B$5:$B$604,"&gt;="&amp;DashStart,'Content Calendar'!$B$5:$B$604,"&lt;="&amp;DashEnd))</f>
        <v>0</v>
      </c>
      <c r="V300" s="23">
        <f>IF(T300="","",COUNTIFS('Content Calendar'!$G$5:$G$604,T300,'Content Calendar'!$X$5:$X$604,"Published",'Content Calendar'!$B$5:$B$604,"&gt;="&amp;DashStart,'Content Calendar'!$B$5:$B$604,"&lt;="&amp;DashEnd))</f>
        <v>0</v>
      </c>
      <c r="W300" s="23">
        <f>IF(T300="","",SUMIFS(Analytics!$J$5:$J$154,Analytics!$D$5:$D$154,T300,Analytics!$B$5:$B$154,"&gt;="&amp;DashStart,Analytics!$B$5:$B$154,"&lt;="&amp;DashEnd))</f>
        <v>0</v>
      </c>
      <c r="X300" s="23">
        <f>IF(T300="","",SUMIFS(Analytics!$L$5:$L$154,Analytics!$D$5:$D$154,T300,Analytics!$B$5:$B$154,"&gt;="&amp;DashStart,Analytics!$B$5:$B$154,"&lt;="&amp;DashEnd))</f>
        <v>0</v>
      </c>
      <c r="Y300" s="24">
        <f>IF(OR(W300="",W300=0),"",X300/W300)</f>
        <v>0</v>
      </c>
      <c r="Z300" s="23">
        <f>IF(T300="","",SUMIFS(Analytics!$G$5:$G$154,Analytics!$D$5:$D$154,T300,Analytics!$B$5:$B$154,"&gt;="&amp;DashStart,Analytics!$B$5:$B$154,"&lt;="&amp;DashEnd))</f>
        <v>0</v>
      </c>
      <c r="AA300" s="23">
        <f>IF(T300="","",SUMIFS(Analytics!$X$5:$X$154,Analytics!$D$5:$D$154,T300,Analytics!$B$5:$B$154,"&gt;="&amp;DashStart,Analytics!$B$5:$B$154,"&lt;="&amp;DashEnd))</f>
        <v>0</v>
      </c>
      <c r="AB300" s="23">
        <f>IF(T300="","",SUMIFS(Analytics!$R$5:$R$154,Analytics!$D$5:$D$154,T300,Analytics!$B$5:$B$154,"&gt;="&amp;DashStart,Analytics!$B$5:$B$154,"&lt;="&amp;DashEnd))</f>
        <v>0</v>
      </c>
      <c r="AC300" s="25">
        <f>IF(T300="","",SUMIFS(Analytics!$U$5:$U$154,Analytics!$D$5:$D$154,T300,Analytics!$B$5:$B$154,"&gt;="&amp;DashStart,Analytics!$B$5:$B$154,"&lt;="&amp;DashEnd))</f>
        <v>0</v>
      </c>
      <c r="AD300" s="23">
        <f>IF(T300="","",COUNTIFS('Content Calendar'!$G$5:$G$604,T300,'Content Calendar'!$B$5:$B$604,"&gt;="&amp;DATE(PlanYear,1,1),'Content Calendar'!$B$5:$B$604,"&lt;="&amp;DATE(PlanYear,12,31)))</f>
        <v>0</v>
      </c>
      <c r="AE300" s="23">
        <f>IF(T300="","",SUMIFS(Analytics!$J$5:$J$154,Analytics!$D$5:$D$154,T300))</f>
        <v>0</v>
      </c>
      <c r="AF300" s="23">
        <f>IF(T300="","",SUMIFS(Analytics!$L$5:$L$154,Analytics!$D$5:$D$154,T300))</f>
        <v>0</v>
      </c>
      <c r="AG300" s="24">
        <f>IF(OR(AE300="",AE300=0),"",AF300/AE300)</f>
        <v>0</v>
      </c>
      <c r="AH300" s="23">
        <f>IF(T300="","",SUMIFS(Analytics!$X$5:$X$154,Analytics!$D$5:$D$154,T300))</f>
        <v>0</v>
      </c>
      <c r="AI300" s="32">
        <f>IF(T300="","",IF(AE300=0,"",AE300+ROW()/1000000))</f>
        <v>0</v>
      </c>
      <c r="AJ300" s="17">
        <f>IF('Content Pillars'!$B$300="","",'Content Pillars'!$B$300)</f>
        <v>0</v>
      </c>
      <c r="AK300" s="23">
        <f>IF(AJ300="","",COUNTIFS('Content Calendar'!$J$5:$J$604,AJ300,'Content Calendar'!$B$5:$B$604,"&gt;="&amp;DATE(PlanYear,1,1),'Content Calendar'!$B$5:$B$604,"&lt;="&amp;DATE(PlanYear,12,31)))</f>
        <v>0</v>
      </c>
      <c r="AL300" s="23">
        <f>IF(AJ300="","",SUMIFS(Performance!$O$5:$O$404,Performance!$H$5:$H$404,AJ300))</f>
        <v>0</v>
      </c>
      <c r="AM300" s="23">
        <f>IF(AJ300="","",SUMIFS(Performance!$Z$5:$Z$404,Performance!$H$5:$H$404,AJ300))</f>
        <v>0</v>
      </c>
      <c r="AN300" s="24">
        <f>IF(OR(AL300="",AL300=0),"",AM300/AL300)</f>
        <v>0</v>
      </c>
      <c r="AO300" s="32">
        <f>IF(AN300="","",AN300+ROW()/1000000)</f>
        <v>0</v>
      </c>
      <c r="AP300" s="17">
        <f>IF(Lists!$E300="","",Lists!$E300)</f>
        <v>0</v>
      </c>
      <c r="AQ300" s="23">
        <f>IF(AP300="","",COUNTIF(Performance!$G$5:$G$404,AP300))</f>
        <v>0</v>
      </c>
      <c r="AR300" s="23">
        <f>IF(AP300="","",SUMIFS(Performance!$O$5:$O$404,Performance!$G$5:$G$404,AP300))</f>
        <v>0</v>
      </c>
      <c r="AS300" s="23">
        <f>IF(AP300="","",SUMIFS(Performance!$Z$5:$Z$404,Performance!$G$5:$G$404,AP300))</f>
        <v>0</v>
      </c>
      <c r="AT300" s="24">
        <f>IF(OR(AR300="",AR300=0),"",AS300/AR300)</f>
        <v>0</v>
      </c>
      <c r="AU300" s="32">
        <f>IF(AQ300=0,"",IF(AT300="","",AT300+ROW()/1000000))</f>
        <v>0</v>
      </c>
      <c r="AV300" s="17">
        <f>IF(ROW()-4&gt;7,"",TEXT(DATE(2024,1,ROW()-4),"ddd"))</f>
        <v>0</v>
      </c>
      <c r="AW300" s="23">
        <f>IF(AV300="","",COUNTIF(Performance!$N$5:$N$404,AV300))</f>
        <v>0</v>
      </c>
      <c r="AX300" s="23">
        <f>IF(AV300="","",SUMIFS(Performance!$O$5:$O$404,Performance!$N$5:$N$404,AV300))</f>
        <v>0</v>
      </c>
      <c r="AY300" s="23">
        <f>IF(AV300="","",SUMIFS(Performance!$Z$5:$Z$404,Performance!$N$5:$N$404,AV300))</f>
        <v>0</v>
      </c>
      <c r="AZ300" s="24">
        <f>IF(OR(AX300="",AX300=0),"",AY300/AX300)</f>
        <v>0</v>
      </c>
      <c r="BA300" s="32">
        <f>IF(AW300=0,"",IF(AZ300="","",AZ300+ROW()/1000000))</f>
        <v>0</v>
      </c>
      <c r="BB300" s="17">
        <f>IF(Lists!$AL300="","",Lists!$AL300)</f>
        <v>0</v>
      </c>
      <c r="BC300" s="23">
        <f>IF(BB300="","",COUNTIF(Performance!$M$5:$M$404,BB300))</f>
        <v>0</v>
      </c>
      <c r="BD300" s="23">
        <f>IF(BB300="","",SUMIFS(Performance!$O$5:$O$404,Performance!$M$5:$M$404,BB300))</f>
        <v>0</v>
      </c>
      <c r="BE300" s="23">
        <f>IF(BB300="","",SUMIFS(Performance!$Z$5:$Z$404,Performance!$M$5:$M$404,BB300))</f>
        <v>0</v>
      </c>
      <c r="BF300" s="24">
        <f>IF(OR(BD300="",BD300=0),"",BE300/BD300)</f>
        <v>0</v>
      </c>
      <c r="BG300" s="32">
        <f>IF(BC300=0,"",IF(BF300="","",BF300+ROW()/1000000))</f>
        <v>0</v>
      </c>
      <c r="BH300" s="17">
        <f>IF(Performance!$C$300="","",Performance!$C$300)</f>
        <v>0</v>
      </c>
      <c r="BI300" s="17">
        <f>IF(Performance!$F$300="","",Performance!$F$300)</f>
        <v>0</v>
      </c>
      <c r="BJ300" s="17">
        <f>IF(Performance!$H$300="","",Performance!$H$300)</f>
        <v>0</v>
      </c>
      <c r="BK300" s="16">
        <f>IF(Performance!$D$300="","",Performance!$D$300)</f>
        <v>0</v>
      </c>
      <c r="BL300" s="17">
        <f>IF(Performance!$E$300="","",Performance!$E$300)</f>
        <v>0</v>
      </c>
      <c r="BM300" s="23">
        <f>IF(Performance!$O$300="","",Performance!$O$300)</f>
        <v>0</v>
      </c>
      <c r="BN300" s="24">
        <f>IF(Performance!$AA$300="","",Performance!$AA$300)</f>
        <v>0</v>
      </c>
      <c r="BO300" s="32">
        <f>IF(BH300="","",IF(BK300="","",IF(OR(BK300&lt;DashStart,BK300&gt;DashEnd),"",IF(BN300="","",BN300+ROW()/1000000))))</f>
        <v>0</v>
      </c>
      <c r="BP300" s="32">
        <f>IF(BM300="","",IF(BK300="","",IF(OR(BK300&lt;DashStart,BK300&gt;DashEnd),"",BM300+ROW()/1000000)))</f>
        <v>0</v>
      </c>
      <c r="BQ300" s="32">
        <f>IF(BH300="","",IF(BK300="","",IF(YEAR(BK300)&lt;&gt;PlanYear,"",IF(BN300="","",BN300+ROW()/1000000))))</f>
        <v>0</v>
      </c>
      <c r="BR300" s="32">
        <f>IF(BH300="","",IF(BK300="","",IF(OR(BK300&lt;RepFrom,BK300&gt;RepTo),"",IF(BN300="","",BN300+ROW()/1000000))))</f>
        <v>0</v>
      </c>
      <c r="BS300" s="32">
        <f>IF(BM300="","",IF(BK300="","",IF(YEAR(BK300)&lt;&gt;PlanYear,"",BM300+ROW()/1000000)))</f>
        <v>0</v>
      </c>
      <c r="BT300" s="17">
        <f>IF(Lists!$F300="","",Lists!$F300)</f>
        <v>0</v>
      </c>
      <c r="BU300" s="23">
        <f>IF(BT300="","",COUNTIF('Content Calendar'!$X$5:$X$604,BT300))</f>
        <v>0</v>
      </c>
      <c r="BV300" s="23">
        <f>IF(BT300="","",COUNTIFS('Content Calendar'!$X$5:$X$604,BT300,'Content Calendar'!$B$5:$B$604,"&gt;="&amp;DashStart,'Content Calendar'!$B$5:$B$604,"&lt;="&amp;DashEnd))</f>
        <v>0</v>
      </c>
      <c r="BW300" s="17">
        <f>IF(Team!$B$300="","",Team!$B$300)</f>
        <v>0</v>
      </c>
      <c r="BX300" s="23">
        <f>IF(BW300="","",COUNTIF('Content Calendar'!$W$5:$W$604,BW300))</f>
        <v>0</v>
      </c>
      <c r="BY300" s="23">
        <f>IF(BW300="","",COUNTIFS('Content Calendar'!$W$5:$W$604,BW300,'Content Calendar'!$X$5:$X$604,"&lt;&gt;Published"))</f>
        <v>0</v>
      </c>
      <c r="BZ300" s="23">
        <f>IF(BW300="","",COUNTIFS(Tasks!$C$5:$C$64,BW300,Tasks!$G$5:$G$64,"&lt;&gt;Complete"))</f>
        <v>0</v>
      </c>
      <c r="CA300" s="17">
        <f>IF(Campaigns!$B$300="","",Campaigns!$B$300)</f>
        <v>0</v>
      </c>
      <c r="CB300" s="25">
        <f>IF(Campaigns!$T$300="","",Campaigns!$T$300)</f>
        <v>0</v>
      </c>
      <c r="CC300" s="25">
        <f>IF(Campaigns!$Q$300="","",Campaigns!$Q$300)</f>
        <v>0</v>
      </c>
      <c r="CD300" s="23">
        <f>IF(Campaigns!$Y$300="","",Campaigns!$Y$300)</f>
        <v>0</v>
      </c>
      <c r="CE300" s="32">
        <f>IF(CA300="","",IF(N(CB300)&lt;=0,"",N(CB300)+ROW()/1000000))</f>
        <v>0</v>
      </c>
      <c r="CF300" s="17">
        <f>IF(Accounts!$C$300="","",Accounts!$C$300)</f>
        <v>0</v>
      </c>
      <c r="CG300" s="17">
        <f>IF(Accounts!$B$300="","",Accounts!$B$300)</f>
        <v>0</v>
      </c>
      <c r="CH300" s="23">
        <f>IF(Accounts!$J$300="","",Accounts!$J$300)</f>
        <v>0</v>
      </c>
      <c r="CI300" s="23">
        <f>IF(CF300="","",SUMIFS(Analytics!$X$5:$X$154,Analytics!$E$5:$E$154,CF300,Analytics!$B$5:$B$154,"&gt;="&amp;DashStart,Analytics!$B$5:$B$154,"&lt;="&amp;DashEnd))</f>
        <v>0</v>
      </c>
      <c r="CJ300" s="32">
        <f>IF(CH300="","",IF(CH300=0,"",CH300+ROW()/1000000))</f>
        <v>0</v>
      </c>
    </row>
    <row r="301" spans="1:88">
      <c r="A301" s="16">
        <f>IF(ROW()-4&gt;12,"",DATE(PlanYear,ROW()-4,1))</f>
        <v>0</v>
      </c>
      <c r="B301" s="16">
        <f>IF(A301="","",EOMONTH(A301,0))</f>
        <v>0</v>
      </c>
      <c r="C301" s="17">
        <f>IF(A301="","",TEXT(A301,"yyyy-mm"))</f>
        <v>0</v>
      </c>
      <c r="D301" s="17">
        <f>IF(A301="","",TEXT(A301,"mmm"))</f>
        <v>0</v>
      </c>
      <c r="E301" s="23">
        <f>IF(C301="","",COUNTIFS('Content Calendar'!$D$5:$D$604,C301))</f>
        <v>0</v>
      </c>
      <c r="F301" s="23">
        <f>IF(C301="","",COUNTIFS('Content Calendar'!$D$5:$D$604,C301,'Content Calendar'!$X$5:$X$604,"Published"))</f>
        <v>0</v>
      </c>
      <c r="G301" s="23">
        <f>IF(C301="","",SUMIFS(Analytics!$J$5:$J$154,Analytics!$C$5:$C$154,C301))</f>
        <v>0</v>
      </c>
      <c r="H301" s="23">
        <f>IF(C301="","",SUMIFS(Analytics!$K$5:$K$154,Analytics!$C$5:$C$154,C301))</f>
        <v>0</v>
      </c>
      <c r="I301" s="23">
        <f>IF(C301="","",SUMIFS(Analytics!$L$5:$L$154,Analytics!$C$5:$C$154,C301))</f>
        <v>0</v>
      </c>
      <c r="J301" s="24">
        <f>IF(OR(G301="",G301=0),"",I301/G301)</f>
        <v>0</v>
      </c>
      <c r="K301" s="23">
        <f>IF(C301="","",SUMIFS(Analytics!$G$5:$G$154,Analytics!$C$5:$C$154,C301))</f>
        <v>0</v>
      </c>
      <c r="L301" s="23">
        <f>IF(C301="","",SUMIFS(Analytics!$X$5:$X$154,Analytics!$C$5:$C$154,C301))</f>
        <v>0</v>
      </c>
      <c r="M301" s="23">
        <f>IF(C301="","",SUMIFS(Analytics!$R$5:$R$154,Analytics!$C$5:$C$154,C301))</f>
        <v>0</v>
      </c>
      <c r="N301" s="23">
        <f>IF(C301="","",SUMIFS(Analytics!$S$5:$S$154,Analytics!$C$5:$C$154,C301))</f>
        <v>0</v>
      </c>
      <c r="O301" s="23">
        <f>IF(C301="","",SUMIFS(Analytics!$T$5:$T$154,Analytics!$C$5:$C$154,C301))</f>
        <v>0</v>
      </c>
      <c r="P301" s="25">
        <f>IF(C301="","",SUMIFS(Analytics!$U$5:$U$154,Analytics!$C$5:$C$154,C301))</f>
        <v>0</v>
      </c>
      <c r="Q301" s="25">
        <f>IF(C301="","",SUMIFS(Budget!$H$5:$H$64,Budget!$C$5:$C$64,C301))</f>
        <v>0</v>
      </c>
      <c r="R301" s="25">
        <f>IF(C301="","",P301-Q301)</f>
        <v>0</v>
      </c>
      <c r="S301" s="23">
        <f>IF(C301="","",MonthlyPostTarget)</f>
        <v>0</v>
      </c>
      <c r="T301" s="17">
        <f>IF(Lists!$C301="","",Lists!$C301)</f>
        <v>0</v>
      </c>
      <c r="U301" s="23">
        <f>IF(T301="","",COUNTIFS('Content Calendar'!$G$5:$G$604,T301,'Content Calendar'!$B$5:$B$604,"&gt;="&amp;DashStart,'Content Calendar'!$B$5:$B$604,"&lt;="&amp;DashEnd))</f>
        <v>0</v>
      </c>
      <c r="V301" s="23">
        <f>IF(T301="","",COUNTIFS('Content Calendar'!$G$5:$G$604,T301,'Content Calendar'!$X$5:$X$604,"Published",'Content Calendar'!$B$5:$B$604,"&gt;="&amp;DashStart,'Content Calendar'!$B$5:$B$604,"&lt;="&amp;DashEnd))</f>
        <v>0</v>
      </c>
      <c r="W301" s="23">
        <f>IF(T301="","",SUMIFS(Analytics!$J$5:$J$154,Analytics!$D$5:$D$154,T301,Analytics!$B$5:$B$154,"&gt;="&amp;DashStart,Analytics!$B$5:$B$154,"&lt;="&amp;DashEnd))</f>
        <v>0</v>
      </c>
      <c r="X301" s="23">
        <f>IF(T301="","",SUMIFS(Analytics!$L$5:$L$154,Analytics!$D$5:$D$154,T301,Analytics!$B$5:$B$154,"&gt;="&amp;DashStart,Analytics!$B$5:$B$154,"&lt;="&amp;DashEnd))</f>
        <v>0</v>
      </c>
      <c r="Y301" s="24">
        <f>IF(OR(W301="",W301=0),"",X301/W301)</f>
        <v>0</v>
      </c>
      <c r="Z301" s="23">
        <f>IF(T301="","",SUMIFS(Analytics!$G$5:$G$154,Analytics!$D$5:$D$154,T301,Analytics!$B$5:$B$154,"&gt;="&amp;DashStart,Analytics!$B$5:$B$154,"&lt;="&amp;DashEnd))</f>
        <v>0</v>
      </c>
      <c r="AA301" s="23">
        <f>IF(T301="","",SUMIFS(Analytics!$X$5:$X$154,Analytics!$D$5:$D$154,T301,Analytics!$B$5:$B$154,"&gt;="&amp;DashStart,Analytics!$B$5:$B$154,"&lt;="&amp;DashEnd))</f>
        <v>0</v>
      </c>
      <c r="AB301" s="23">
        <f>IF(T301="","",SUMIFS(Analytics!$R$5:$R$154,Analytics!$D$5:$D$154,T301,Analytics!$B$5:$B$154,"&gt;="&amp;DashStart,Analytics!$B$5:$B$154,"&lt;="&amp;DashEnd))</f>
        <v>0</v>
      </c>
      <c r="AC301" s="25">
        <f>IF(T301="","",SUMIFS(Analytics!$U$5:$U$154,Analytics!$D$5:$D$154,T301,Analytics!$B$5:$B$154,"&gt;="&amp;DashStart,Analytics!$B$5:$B$154,"&lt;="&amp;DashEnd))</f>
        <v>0</v>
      </c>
      <c r="AD301" s="23">
        <f>IF(T301="","",COUNTIFS('Content Calendar'!$G$5:$G$604,T301,'Content Calendar'!$B$5:$B$604,"&gt;="&amp;DATE(PlanYear,1,1),'Content Calendar'!$B$5:$B$604,"&lt;="&amp;DATE(PlanYear,12,31)))</f>
        <v>0</v>
      </c>
      <c r="AE301" s="23">
        <f>IF(T301="","",SUMIFS(Analytics!$J$5:$J$154,Analytics!$D$5:$D$154,T301))</f>
        <v>0</v>
      </c>
      <c r="AF301" s="23">
        <f>IF(T301="","",SUMIFS(Analytics!$L$5:$L$154,Analytics!$D$5:$D$154,T301))</f>
        <v>0</v>
      </c>
      <c r="AG301" s="24">
        <f>IF(OR(AE301="",AE301=0),"",AF301/AE301)</f>
        <v>0</v>
      </c>
      <c r="AH301" s="23">
        <f>IF(T301="","",SUMIFS(Analytics!$X$5:$X$154,Analytics!$D$5:$D$154,T301))</f>
        <v>0</v>
      </c>
      <c r="AI301" s="32">
        <f>IF(T301="","",IF(AE301=0,"",AE301+ROW()/1000000))</f>
        <v>0</v>
      </c>
      <c r="AJ301" s="17">
        <f>IF('Content Pillars'!$B$301="","",'Content Pillars'!$B$301)</f>
        <v>0</v>
      </c>
      <c r="AK301" s="23">
        <f>IF(AJ301="","",COUNTIFS('Content Calendar'!$J$5:$J$604,AJ301,'Content Calendar'!$B$5:$B$604,"&gt;="&amp;DATE(PlanYear,1,1),'Content Calendar'!$B$5:$B$604,"&lt;="&amp;DATE(PlanYear,12,31)))</f>
        <v>0</v>
      </c>
      <c r="AL301" s="23">
        <f>IF(AJ301="","",SUMIFS(Performance!$O$5:$O$404,Performance!$H$5:$H$404,AJ301))</f>
        <v>0</v>
      </c>
      <c r="AM301" s="23">
        <f>IF(AJ301="","",SUMIFS(Performance!$Z$5:$Z$404,Performance!$H$5:$H$404,AJ301))</f>
        <v>0</v>
      </c>
      <c r="AN301" s="24">
        <f>IF(OR(AL301="",AL301=0),"",AM301/AL301)</f>
        <v>0</v>
      </c>
      <c r="AO301" s="32">
        <f>IF(AN301="","",AN301+ROW()/1000000)</f>
        <v>0</v>
      </c>
      <c r="AP301" s="17">
        <f>IF(Lists!$E301="","",Lists!$E301)</f>
        <v>0</v>
      </c>
      <c r="AQ301" s="23">
        <f>IF(AP301="","",COUNTIF(Performance!$G$5:$G$404,AP301))</f>
        <v>0</v>
      </c>
      <c r="AR301" s="23">
        <f>IF(AP301="","",SUMIFS(Performance!$O$5:$O$404,Performance!$G$5:$G$404,AP301))</f>
        <v>0</v>
      </c>
      <c r="AS301" s="23">
        <f>IF(AP301="","",SUMIFS(Performance!$Z$5:$Z$404,Performance!$G$5:$G$404,AP301))</f>
        <v>0</v>
      </c>
      <c r="AT301" s="24">
        <f>IF(OR(AR301="",AR301=0),"",AS301/AR301)</f>
        <v>0</v>
      </c>
      <c r="AU301" s="32">
        <f>IF(AQ301=0,"",IF(AT301="","",AT301+ROW()/1000000))</f>
        <v>0</v>
      </c>
      <c r="AV301" s="17">
        <f>IF(ROW()-4&gt;7,"",TEXT(DATE(2024,1,ROW()-4),"ddd"))</f>
        <v>0</v>
      </c>
      <c r="AW301" s="23">
        <f>IF(AV301="","",COUNTIF(Performance!$N$5:$N$404,AV301))</f>
        <v>0</v>
      </c>
      <c r="AX301" s="23">
        <f>IF(AV301="","",SUMIFS(Performance!$O$5:$O$404,Performance!$N$5:$N$404,AV301))</f>
        <v>0</v>
      </c>
      <c r="AY301" s="23">
        <f>IF(AV301="","",SUMIFS(Performance!$Z$5:$Z$404,Performance!$N$5:$N$404,AV301))</f>
        <v>0</v>
      </c>
      <c r="AZ301" s="24">
        <f>IF(OR(AX301="",AX301=0),"",AY301/AX301)</f>
        <v>0</v>
      </c>
      <c r="BA301" s="32">
        <f>IF(AW301=0,"",IF(AZ301="","",AZ301+ROW()/1000000))</f>
        <v>0</v>
      </c>
      <c r="BB301" s="17">
        <f>IF(Lists!$AL301="","",Lists!$AL301)</f>
        <v>0</v>
      </c>
      <c r="BC301" s="23">
        <f>IF(BB301="","",COUNTIF(Performance!$M$5:$M$404,BB301))</f>
        <v>0</v>
      </c>
      <c r="BD301" s="23">
        <f>IF(BB301="","",SUMIFS(Performance!$O$5:$O$404,Performance!$M$5:$M$404,BB301))</f>
        <v>0</v>
      </c>
      <c r="BE301" s="23">
        <f>IF(BB301="","",SUMIFS(Performance!$Z$5:$Z$404,Performance!$M$5:$M$404,BB301))</f>
        <v>0</v>
      </c>
      <c r="BF301" s="24">
        <f>IF(OR(BD301="",BD301=0),"",BE301/BD301)</f>
        <v>0</v>
      </c>
      <c r="BG301" s="32">
        <f>IF(BC301=0,"",IF(BF301="","",BF301+ROW()/1000000))</f>
        <v>0</v>
      </c>
      <c r="BH301" s="17">
        <f>IF(Performance!$C$301="","",Performance!$C$301)</f>
        <v>0</v>
      </c>
      <c r="BI301" s="17">
        <f>IF(Performance!$F$301="","",Performance!$F$301)</f>
        <v>0</v>
      </c>
      <c r="BJ301" s="17">
        <f>IF(Performance!$H$301="","",Performance!$H$301)</f>
        <v>0</v>
      </c>
      <c r="BK301" s="16">
        <f>IF(Performance!$D$301="","",Performance!$D$301)</f>
        <v>0</v>
      </c>
      <c r="BL301" s="17">
        <f>IF(Performance!$E$301="","",Performance!$E$301)</f>
        <v>0</v>
      </c>
      <c r="BM301" s="23">
        <f>IF(Performance!$O$301="","",Performance!$O$301)</f>
        <v>0</v>
      </c>
      <c r="BN301" s="24">
        <f>IF(Performance!$AA$301="","",Performance!$AA$301)</f>
        <v>0</v>
      </c>
      <c r="BO301" s="32">
        <f>IF(BH301="","",IF(BK301="","",IF(OR(BK301&lt;DashStart,BK301&gt;DashEnd),"",IF(BN301="","",BN301+ROW()/1000000))))</f>
        <v>0</v>
      </c>
      <c r="BP301" s="32">
        <f>IF(BM301="","",IF(BK301="","",IF(OR(BK301&lt;DashStart,BK301&gt;DashEnd),"",BM301+ROW()/1000000)))</f>
        <v>0</v>
      </c>
      <c r="BQ301" s="32">
        <f>IF(BH301="","",IF(BK301="","",IF(YEAR(BK301)&lt;&gt;PlanYear,"",IF(BN301="","",BN301+ROW()/1000000))))</f>
        <v>0</v>
      </c>
      <c r="BR301" s="32">
        <f>IF(BH301="","",IF(BK301="","",IF(OR(BK301&lt;RepFrom,BK301&gt;RepTo),"",IF(BN301="","",BN301+ROW()/1000000))))</f>
        <v>0</v>
      </c>
      <c r="BS301" s="32">
        <f>IF(BM301="","",IF(BK301="","",IF(YEAR(BK301)&lt;&gt;PlanYear,"",BM301+ROW()/1000000)))</f>
        <v>0</v>
      </c>
      <c r="BT301" s="17">
        <f>IF(Lists!$F301="","",Lists!$F301)</f>
        <v>0</v>
      </c>
      <c r="BU301" s="23">
        <f>IF(BT301="","",COUNTIF('Content Calendar'!$X$5:$X$604,BT301))</f>
        <v>0</v>
      </c>
      <c r="BV301" s="23">
        <f>IF(BT301="","",COUNTIFS('Content Calendar'!$X$5:$X$604,BT301,'Content Calendar'!$B$5:$B$604,"&gt;="&amp;DashStart,'Content Calendar'!$B$5:$B$604,"&lt;="&amp;DashEnd))</f>
        <v>0</v>
      </c>
      <c r="BW301" s="17">
        <f>IF(Team!$B$301="","",Team!$B$301)</f>
        <v>0</v>
      </c>
      <c r="BX301" s="23">
        <f>IF(BW301="","",COUNTIF('Content Calendar'!$W$5:$W$604,BW301))</f>
        <v>0</v>
      </c>
      <c r="BY301" s="23">
        <f>IF(BW301="","",COUNTIFS('Content Calendar'!$W$5:$W$604,BW301,'Content Calendar'!$X$5:$X$604,"&lt;&gt;Published"))</f>
        <v>0</v>
      </c>
      <c r="BZ301" s="23">
        <f>IF(BW301="","",COUNTIFS(Tasks!$C$5:$C$64,BW301,Tasks!$G$5:$G$64,"&lt;&gt;Complete"))</f>
        <v>0</v>
      </c>
      <c r="CA301" s="17">
        <f>IF(Campaigns!$B$301="","",Campaigns!$B$301)</f>
        <v>0</v>
      </c>
      <c r="CB301" s="25">
        <f>IF(Campaigns!$T$301="","",Campaigns!$T$301)</f>
        <v>0</v>
      </c>
      <c r="CC301" s="25">
        <f>IF(Campaigns!$Q$301="","",Campaigns!$Q$301)</f>
        <v>0</v>
      </c>
      <c r="CD301" s="23">
        <f>IF(Campaigns!$Y$301="","",Campaigns!$Y$301)</f>
        <v>0</v>
      </c>
      <c r="CE301" s="32">
        <f>IF(CA301="","",IF(N(CB301)&lt;=0,"",N(CB301)+ROW()/1000000))</f>
        <v>0</v>
      </c>
      <c r="CF301" s="17">
        <f>IF(Accounts!$C$301="","",Accounts!$C$301)</f>
        <v>0</v>
      </c>
      <c r="CG301" s="17">
        <f>IF(Accounts!$B$301="","",Accounts!$B$301)</f>
        <v>0</v>
      </c>
      <c r="CH301" s="23">
        <f>IF(Accounts!$J$301="","",Accounts!$J$301)</f>
        <v>0</v>
      </c>
      <c r="CI301" s="23">
        <f>IF(CF301="","",SUMIFS(Analytics!$X$5:$X$154,Analytics!$E$5:$E$154,CF301,Analytics!$B$5:$B$154,"&gt;="&amp;DashStart,Analytics!$B$5:$B$154,"&lt;="&amp;DashEnd))</f>
        <v>0</v>
      </c>
      <c r="CJ301" s="32">
        <f>IF(CH301="","",IF(CH301=0,"",CH301+ROW()/1000000))</f>
        <v>0</v>
      </c>
    </row>
    <row r="302" spans="1:88">
      <c r="A302" s="16">
        <f>IF(ROW()-4&gt;12,"",DATE(PlanYear,ROW()-4,1))</f>
        <v>0</v>
      </c>
      <c r="B302" s="16">
        <f>IF(A302="","",EOMONTH(A302,0))</f>
        <v>0</v>
      </c>
      <c r="C302" s="17">
        <f>IF(A302="","",TEXT(A302,"yyyy-mm"))</f>
        <v>0</v>
      </c>
      <c r="D302" s="17">
        <f>IF(A302="","",TEXT(A302,"mmm"))</f>
        <v>0</v>
      </c>
      <c r="E302" s="23">
        <f>IF(C302="","",COUNTIFS('Content Calendar'!$D$5:$D$604,C302))</f>
        <v>0</v>
      </c>
      <c r="F302" s="23">
        <f>IF(C302="","",COUNTIFS('Content Calendar'!$D$5:$D$604,C302,'Content Calendar'!$X$5:$X$604,"Published"))</f>
        <v>0</v>
      </c>
      <c r="G302" s="23">
        <f>IF(C302="","",SUMIFS(Analytics!$J$5:$J$154,Analytics!$C$5:$C$154,C302))</f>
        <v>0</v>
      </c>
      <c r="H302" s="23">
        <f>IF(C302="","",SUMIFS(Analytics!$K$5:$K$154,Analytics!$C$5:$C$154,C302))</f>
        <v>0</v>
      </c>
      <c r="I302" s="23">
        <f>IF(C302="","",SUMIFS(Analytics!$L$5:$L$154,Analytics!$C$5:$C$154,C302))</f>
        <v>0</v>
      </c>
      <c r="J302" s="24">
        <f>IF(OR(G302="",G302=0),"",I302/G302)</f>
        <v>0</v>
      </c>
      <c r="K302" s="23">
        <f>IF(C302="","",SUMIFS(Analytics!$G$5:$G$154,Analytics!$C$5:$C$154,C302))</f>
        <v>0</v>
      </c>
      <c r="L302" s="23">
        <f>IF(C302="","",SUMIFS(Analytics!$X$5:$X$154,Analytics!$C$5:$C$154,C302))</f>
        <v>0</v>
      </c>
      <c r="M302" s="23">
        <f>IF(C302="","",SUMIFS(Analytics!$R$5:$R$154,Analytics!$C$5:$C$154,C302))</f>
        <v>0</v>
      </c>
      <c r="N302" s="23">
        <f>IF(C302="","",SUMIFS(Analytics!$S$5:$S$154,Analytics!$C$5:$C$154,C302))</f>
        <v>0</v>
      </c>
      <c r="O302" s="23">
        <f>IF(C302="","",SUMIFS(Analytics!$T$5:$T$154,Analytics!$C$5:$C$154,C302))</f>
        <v>0</v>
      </c>
      <c r="P302" s="25">
        <f>IF(C302="","",SUMIFS(Analytics!$U$5:$U$154,Analytics!$C$5:$C$154,C302))</f>
        <v>0</v>
      </c>
      <c r="Q302" s="25">
        <f>IF(C302="","",SUMIFS(Budget!$H$5:$H$64,Budget!$C$5:$C$64,C302))</f>
        <v>0</v>
      </c>
      <c r="R302" s="25">
        <f>IF(C302="","",P302-Q302)</f>
        <v>0</v>
      </c>
      <c r="S302" s="23">
        <f>IF(C302="","",MonthlyPostTarget)</f>
        <v>0</v>
      </c>
      <c r="T302" s="17">
        <f>IF(Lists!$C302="","",Lists!$C302)</f>
        <v>0</v>
      </c>
      <c r="U302" s="23">
        <f>IF(T302="","",COUNTIFS('Content Calendar'!$G$5:$G$604,T302,'Content Calendar'!$B$5:$B$604,"&gt;="&amp;DashStart,'Content Calendar'!$B$5:$B$604,"&lt;="&amp;DashEnd))</f>
        <v>0</v>
      </c>
      <c r="V302" s="23">
        <f>IF(T302="","",COUNTIFS('Content Calendar'!$G$5:$G$604,T302,'Content Calendar'!$X$5:$X$604,"Published",'Content Calendar'!$B$5:$B$604,"&gt;="&amp;DashStart,'Content Calendar'!$B$5:$B$604,"&lt;="&amp;DashEnd))</f>
        <v>0</v>
      </c>
      <c r="W302" s="23">
        <f>IF(T302="","",SUMIFS(Analytics!$J$5:$J$154,Analytics!$D$5:$D$154,T302,Analytics!$B$5:$B$154,"&gt;="&amp;DashStart,Analytics!$B$5:$B$154,"&lt;="&amp;DashEnd))</f>
        <v>0</v>
      </c>
      <c r="X302" s="23">
        <f>IF(T302="","",SUMIFS(Analytics!$L$5:$L$154,Analytics!$D$5:$D$154,T302,Analytics!$B$5:$B$154,"&gt;="&amp;DashStart,Analytics!$B$5:$B$154,"&lt;="&amp;DashEnd))</f>
        <v>0</v>
      </c>
      <c r="Y302" s="24">
        <f>IF(OR(W302="",W302=0),"",X302/W302)</f>
        <v>0</v>
      </c>
      <c r="Z302" s="23">
        <f>IF(T302="","",SUMIFS(Analytics!$G$5:$G$154,Analytics!$D$5:$D$154,T302,Analytics!$B$5:$B$154,"&gt;="&amp;DashStart,Analytics!$B$5:$B$154,"&lt;="&amp;DashEnd))</f>
        <v>0</v>
      </c>
      <c r="AA302" s="23">
        <f>IF(T302="","",SUMIFS(Analytics!$X$5:$X$154,Analytics!$D$5:$D$154,T302,Analytics!$B$5:$B$154,"&gt;="&amp;DashStart,Analytics!$B$5:$B$154,"&lt;="&amp;DashEnd))</f>
        <v>0</v>
      </c>
      <c r="AB302" s="23">
        <f>IF(T302="","",SUMIFS(Analytics!$R$5:$R$154,Analytics!$D$5:$D$154,T302,Analytics!$B$5:$B$154,"&gt;="&amp;DashStart,Analytics!$B$5:$B$154,"&lt;="&amp;DashEnd))</f>
        <v>0</v>
      </c>
      <c r="AC302" s="25">
        <f>IF(T302="","",SUMIFS(Analytics!$U$5:$U$154,Analytics!$D$5:$D$154,T302,Analytics!$B$5:$B$154,"&gt;="&amp;DashStart,Analytics!$B$5:$B$154,"&lt;="&amp;DashEnd))</f>
        <v>0</v>
      </c>
      <c r="AD302" s="23">
        <f>IF(T302="","",COUNTIFS('Content Calendar'!$G$5:$G$604,T302,'Content Calendar'!$B$5:$B$604,"&gt;="&amp;DATE(PlanYear,1,1),'Content Calendar'!$B$5:$B$604,"&lt;="&amp;DATE(PlanYear,12,31)))</f>
        <v>0</v>
      </c>
      <c r="AE302" s="23">
        <f>IF(T302="","",SUMIFS(Analytics!$J$5:$J$154,Analytics!$D$5:$D$154,T302))</f>
        <v>0</v>
      </c>
      <c r="AF302" s="23">
        <f>IF(T302="","",SUMIFS(Analytics!$L$5:$L$154,Analytics!$D$5:$D$154,T302))</f>
        <v>0</v>
      </c>
      <c r="AG302" s="24">
        <f>IF(OR(AE302="",AE302=0),"",AF302/AE302)</f>
        <v>0</v>
      </c>
      <c r="AH302" s="23">
        <f>IF(T302="","",SUMIFS(Analytics!$X$5:$X$154,Analytics!$D$5:$D$154,T302))</f>
        <v>0</v>
      </c>
      <c r="AI302" s="32">
        <f>IF(T302="","",IF(AE302=0,"",AE302+ROW()/1000000))</f>
        <v>0</v>
      </c>
      <c r="AJ302" s="17">
        <f>IF('Content Pillars'!$B$302="","",'Content Pillars'!$B$302)</f>
        <v>0</v>
      </c>
      <c r="AK302" s="23">
        <f>IF(AJ302="","",COUNTIFS('Content Calendar'!$J$5:$J$604,AJ302,'Content Calendar'!$B$5:$B$604,"&gt;="&amp;DATE(PlanYear,1,1),'Content Calendar'!$B$5:$B$604,"&lt;="&amp;DATE(PlanYear,12,31)))</f>
        <v>0</v>
      </c>
      <c r="AL302" s="23">
        <f>IF(AJ302="","",SUMIFS(Performance!$O$5:$O$404,Performance!$H$5:$H$404,AJ302))</f>
        <v>0</v>
      </c>
      <c r="AM302" s="23">
        <f>IF(AJ302="","",SUMIFS(Performance!$Z$5:$Z$404,Performance!$H$5:$H$404,AJ302))</f>
        <v>0</v>
      </c>
      <c r="AN302" s="24">
        <f>IF(OR(AL302="",AL302=0),"",AM302/AL302)</f>
        <v>0</v>
      </c>
      <c r="AO302" s="32">
        <f>IF(AN302="","",AN302+ROW()/1000000)</f>
        <v>0</v>
      </c>
      <c r="AP302" s="17">
        <f>IF(Lists!$E302="","",Lists!$E302)</f>
        <v>0</v>
      </c>
      <c r="AQ302" s="23">
        <f>IF(AP302="","",COUNTIF(Performance!$G$5:$G$404,AP302))</f>
        <v>0</v>
      </c>
      <c r="AR302" s="23">
        <f>IF(AP302="","",SUMIFS(Performance!$O$5:$O$404,Performance!$G$5:$G$404,AP302))</f>
        <v>0</v>
      </c>
      <c r="AS302" s="23">
        <f>IF(AP302="","",SUMIFS(Performance!$Z$5:$Z$404,Performance!$G$5:$G$404,AP302))</f>
        <v>0</v>
      </c>
      <c r="AT302" s="24">
        <f>IF(OR(AR302="",AR302=0),"",AS302/AR302)</f>
        <v>0</v>
      </c>
      <c r="AU302" s="32">
        <f>IF(AQ302=0,"",IF(AT302="","",AT302+ROW()/1000000))</f>
        <v>0</v>
      </c>
      <c r="AV302" s="17">
        <f>IF(ROW()-4&gt;7,"",TEXT(DATE(2024,1,ROW()-4),"ddd"))</f>
        <v>0</v>
      </c>
      <c r="AW302" s="23">
        <f>IF(AV302="","",COUNTIF(Performance!$N$5:$N$404,AV302))</f>
        <v>0</v>
      </c>
      <c r="AX302" s="23">
        <f>IF(AV302="","",SUMIFS(Performance!$O$5:$O$404,Performance!$N$5:$N$404,AV302))</f>
        <v>0</v>
      </c>
      <c r="AY302" s="23">
        <f>IF(AV302="","",SUMIFS(Performance!$Z$5:$Z$404,Performance!$N$5:$N$404,AV302))</f>
        <v>0</v>
      </c>
      <c r="AZ302" s="24">
        <f>IF(OR(AX302="",AX302=0),"",AY302/AX302)</f>
        <v>0</v>
      </c>
      <c r="BA302" s="32">
        <f>IF(AW302=0,"",IF(AZ302="","",AZ302+ROW()/1000000))</f>
        <v>0</v>
      </c>
      <c r="BB302" s="17">
        <f>IF(Lists!$AL302="","",Lists!$AL302)</f>
        <v>0</v>
      </c>
      <c r="BC302" s="23">
        <f>IF(BB302="","",COUNTIF(Performance!$M$5:$M$404,BB302))</f>
        <v>0</v>
      </c>
      <c r="BD302" s="23">
        <f>IF(BB302="","",SUMIFS(Performance!$O$5:$O$404,Performance!$M$5:$M$404,BB302))</f>
        <v>0</v>
      </c>
      <c r="BE302" s="23">
        <f>IF(BB302="","",SUMIFS(Performance!$Z$5:$Z$404,Performance!$M$5:$M$404,BB302))</f>
        <v>0</v>
      </c>
      <c r="BF302" s="24">
        <f>IF(OR(BD302="",BD302=0),"",BE302/BD302)</f>
        <v>0</v>
      </c>
      <c r="BG302" s="32">
        <f>IF(BC302=0,"",IF(BF302="","",BF302+ROW()/1000000))</f>
        <v>0</v>
      </c>
      <c r="BH302" s="17">
        <f>IF(Performance!$C$302="","",Performance!$C$302)</f>
        <v>0</v>
      </c>
      <c r="BI302" s="17">
        <f>IF(Performance!$F$302="","",Performance!$F$302)</f>
        <v>0</v>
      </c>
      <c r="BJ302" s="17">
        <f>IF(Performance!$H$302="","",Performance!$H$302)</f>
        <v>0</v>
      </c>
      <c r="BK302" s="16">
        <f>IF(Performance!$D$302="","",Performance!$D$302)</f>
        <v>0</v>
      </c>
      <c r="BL302" s="17">
        <f>IF(Performance!$E$302="","",Performance!$E$302)</f>
        <v>0</v>
      </c>
      <c r="BM302" s="23">
        <f>IF(Performance!$O$302="","",Performance!$O$302)</f>
        <v>0</v>
      </c>
      <c r="BN302" s="24">
        <f>IF(Performance!$AA$302="","",Performance!$AA$302)</f>
        <v>0</v>
      </c>
      <c r="BO302" s="32">
        <f>IF(BH302="","",IF(BK302="","",IF(OR(BK302&lt;DashStart,BK302&gt;DashEnd),"",IF(BN302="","",BN302+ROW()/1000000))))</f>
        <v>0</v>
      </c>
      <c r="BP302" s="32">
        <f>IF(BM302="","",IF(BK302="","",IF(OR(BK302&lt;DashStart,BK302&gt;DashEnd),"",BM302+ROW()/1000000)))</f>
        <v>0</v>
      </c>
      <c r="BQ302" s="32">
        <f>IF(BH302="","",IF(BK302="","",IF(YEAR(BK302)&lt;&gt;PlanYear,"",IF(BN302="","",BN302+ROW()/1000000))))</f>
        <v>0</v>
      </c>
      <c r="BR302" s="32">
        <f>IF(BH302="","",IF(BK302="","",IF(OR(BK302&lt;RepFrom,BK302&gt;RepTo),"",IF(BN302="","",BN302+ROW()/1000000))))</f>
        <v>0</v>
      </c>
      <c r="BS302" s="32">
        <f>IF(BM302="","",IF(BK302="","",IF(YEAR(BK302)&lt;&gt;PlanYear,"",BM302+ROW()/1000000)))</f>
        <v>0</v>
      </c>
      <c r="BT302" s="17">
        <f>IF(Lists!$F302="","",Lists!$F302)</f>
        <v>0</v>
      </c>
      <c r="BU302" s="23">
        <f>IF(BT302="","",COUNTIF('Content Calendar'!$X$5:$X$604,BT302))</f>
        <v>0</v>
      </c>
      <c r="BV302" s="23">
        <f>IF(BT302="","",COUNTIFS('Content Calendar'!$X$5:$X$604,BT302,'Content Calendar'!$B$5:$B$604,"&gt;="&amp;DashStart,'Content Calendar'!$B$5:$B$604,"&lt;="&amp;DashEnd))</f>
        <v>0</v>
      </c>
      <c r="BW302" s="17">
        <f>IF(Team!$B$302="","",Team!$B$302)</f>
        <v>0</v>
      </c>
      <c r="BX302" s="23">
        <f>IF(BW302="","",COUNTIF('Content Calendar'!$W$5:$W$604,BW302))</f>
        <v>0</v>
      </c>
      <c r="BY302" s="23">
        <f>IF(BW302="","",COUNTIFS('Content Calendar'!$W$5:$W$604,BW302,'Content Calendar'!$X$5:$X$604,"&lt;&gt;Published"))</f>
        <v>0</v>
      </c>
      <c r="BZ302" s="23">
        <f>IF(BW302="","",COUNTIFS(Tasks!$C$5:$C$64,BW302,Tasks!$G$5:$G$64,"&lt;&gt;Complete"))</f>
        <v>0</v>
      </c>
      <c r="CA302" s="17">
        <f>IF(Campaigns!$B$302="","",Campaigns!$B$302)</f>
        <v>0</v>
      </c>
      <c r="CB302" s="25">
        <f>IF(Campaigns!$T$302="","",Campaigns!$T$302)</f>
        <v>0</v>
      </c>
      <c r="CC302" s="25">
        <f>IF(Campaigns!$Q$302="","",Campaigns!$Q$302)</f>
        <v>0</v>
      </c>
      <c r="CD302" s="23">
        <f>IF(Campaigns!$Y$302="","",Campaigns!$Y$302)</f>
        <v>0</v>
      </c>
      <c r="CE302" s="32">
        <f>IF(CA302="","",IF(N(CB302)&lt;=0,"",N(CB302)+ROW()/1000000))</f>
        <v>0</v>
      </c>
      <c r="CF302" s="17">
        <f>IF(Accounts!$C$302="","",Accounts!$C$302)</f>
        <v>0</v>
      </c>
      <c r="CG302" s="17">
        <f>IF(Accounts!$B$302="","",Accounts!$B$302)</f>
        <v>0</v>
      </c>
      <c r="CH302" s="23">
        <f>IF(Accounts!$J$302="","",Accounts!$J$302)</f>
        <v>0</v>
      </c>
      <c r="CI302" s="23">
        <f>IF(CF302="","",SUMIFS(Analytics!$X$5:$X$154,Analytics!$E$5:$E$154,CF302,Analytics!$B$5:$B$154,"&gt;="&amp;DashStart,Analytics!$B$5:$B$154,"&lt;="&amp;DashEnd))</f>
        <v>0</v>
      </c>
      <c r="CJ302" s="32">
        <f>IF(CH302="","",IF(CH302=0,"",CH302+ROW()/1000000))</f>
        <v>0</v>
      </c>
    </row>
    <row r="303" spans="1:88">
      <c r="A303" s="16">
        <f>IF(ROW()-4&gt;12,"",DATE(PlanYear,ROW()-4,1))</f>
        <v>0</v>
      </c>
      <c r="B303" s="16">
        <f>IF(A303="","",EOMONTH(A303,0))</f>
        <v>0</v>
      </c>
      <c r="C303" s="17">
        <f>IF(A303="","",TEXT(A303,"yyyy-mm"))</f>
        <v>0</v>
      </c>
      <c r="D303" s="17">
        <f>IF(A303="","",TEXT(A303,"mmm"))</f>
        <v>0</v>
      </c>
      <c r="E303" s="23">
        <f>IF(C303="","",COUNTIFS('Content Calendar'!$D$5:$D$604,C303))</f>
        <v>0</v>
      </c>
      <c r="F303" s="23">
        <f>IF(C303="","",COUNTIFS('Content Calendar'!$D$5:$D$604,C303,'Content Calendar'!$X$5:$X$604,"Published"))</f>
        <v>0</v>
      </c>
      <c r="G303" s="23">
        <f>IF(C303="","",SUMIFS(Analytics!$J$5:$J$154,Analytics!$C$5:$C$154,C303))</f>
        <v>0</v>
      </c>
      <c r="H303" s="23">
        <f>IF(C303="","",SUMIFS(Analytics!$K$5:$K$154,Analytics!$C$5:$C$154,C303))</f>
        <v>0</v>
      </c>
      <c r="I303" s="23">
        <f>IF(C303="","",SUMIFS(Analytics!$L$5:$L$154,Analytics!$C$5:$C$154,C303))</f>
        <v>0</v>
      </c>
      <c r="J303" s="24">
        <f>IF(OR(G303="",G303=0),"",I303/G303)</f>
        <v>0</v>
      </c>
      <c r="K303" s="23">
        <f>IF(C303="","",SUMIFS(Analytics!$G$5:$G$154,Analytics!$C$5:$C$154,C303))</f>
        <v>0</v>
      </c>
      <c r="L303" s="23">
        <f>IF(C303="","",SUMIFS(Analytics!$X$5:$X$154,Analytics!$C$5:$C$154,C303))</f>
        <v>0</v>
      </c>
      <c r="M303" s="23">
        <f>IF(C303="","",SUMIFS(Analytics!$R$5:$R$154,Analytics!$C$5:$C$154,C303))</f>
        <v>0</v>
      </c>
      <c r="N303" s="23">
        <f>IF(C303="","",SUMIFS(Analytics!$S$5:$S$154,Analytics!$C$5:$C$154,C303))</f>
        <v>0</v>
      </c>
      <c r="O303" s="23">
        <f>IF(C303="","",SUMIFS(Analytics!$T$5:$T$154,Analytics!$C$5:$C$154,C303))</f>
        <v>0</v>
      </c>
      <c r="P303" s="25">
        <f>IF(C303="","",SUMIFS(Analytics!$U$5:$U$154,Analytics!$C$5:$C$154,C303))</f>
        <v>0</v>
      </c>
      <c r="Q303" s="25">
        <f>IF(C303="","",SUMIFS(Budget!$H$5:$H$64,Budget!$C$5:$C$64,C303))</f>
        <v>0</v>
      </c>
      <c r="R303" s="25">
        <f>IF(C303="","",P303-Q303)</f>
        <v>0</v>
      </c>
      <c r="S303" s="23">
        <f>IF(C303="","",MonthlyPostTarget)</f>
        <v>0</v>
      </c>
      <c r="T303" s="17">
        <f>IF(Lists!$C303="","",Lists!$C303)</f>
        <v>0</v>
      </c>
      <c r="U303" s="23">
        <f>IF(T303="","",COUNTIFS('Content Calendar'!$G$5:$G$604,T303,'Content Calendar'!$B$5:$B$604,"&gt;="&amp;DashStart,'Content Calendar'!$B$5:$B$604,"&lt;="&amp;DashEnd))</f>
        <v>0</v>
      </c>
      <c r="V303" s="23">
        <f>IF(T303="","",COUNTIFS('Content Calendar'!$G$5:$G$604,T303,'Content Calendar'!$X$5:$X$604,"Published",'Content Calendar'!$B$5:$B$604,"&gt;="&amp;DashStart,'Content Calendar'!$B$5:$B$604,"&lt;="&amp;DashEnd))</f>
        <v>0</v>
      </c>
      <c r="W303" s="23">
        <f>IF(T303="","",SUMIFS(Analytics!$J$5:$J$154,Analytics!$D$5:$D$154,T303,Analytics!$B$5:$B$154,"&gt;="&amp;DashStart,Analytics!$B$5:$B$154,"&lt;="&amp;DashEnd))</f>
        <v>0</v>
      </c>
      <c r="X303" s="23">
        <f>IF(T303="","",SUMIFS(Analytics!$L$5:$L$154,Analytics!$D$5:$D$154,T303,Analytics!$B$5:$B$154,"&gt;="&amp;DashStart,Analytics!$B$5:$B$154,"&lt;="&amp;DashEnd))</f>
        <v>0</v>
      </c>
      <c r="Y303" s="24">
        <f>IF(OR(W303="",W303=0),"",X303/W303)</f>
        <v>0</v>
      </c>
      <c r="Z303" s="23">
        <f>IF(T303="","",SUMIFS(Analytics!$G$5:$G$154,Analytics!$D$5:$D$154,T303,Analytics!$B$5:$B$154,"&gt;="&amp;DashStart,Analytics!$B$5:$B$154,"&lt;="&amp;DashEnd))</f>
        <v>0</v>
      </c>
      <c r="AA303" s="23">
        <f>IF(T303="","",SUMIFS(Analytics!$X$5:$X$154,Analytics!$D$5:$D$154,T303,Analytics!$B$5:$B$154,"&gt;="&amp;DashStart,Analytics!$B$5:$B$154,"&lt;="&amp;DashEnd))</f>
        <v>0</v>
      </c>
      <c r="AB303" s="23">
        <f>IF(T303="","",SUMIFS(Analytics!$R$5:$R$154,Analytics!$D$5:$D$154,T303,Analytics!$B$5:$B$154,"&gt;="&amp;DashStart,Analytics!$B$5:$B$154,"&lt;="&amp;DashEnd))</f>
        <v>0</v>
      </c>
      <c r="AC303" s="25">
        <f>IF(T303="","",SUMIFS(Analytics!$U$5:$U$154,Analytics!$D$5:$D$154,T303,Analytics!$B$5:$B$154,"&gt;="&amp;DashStart,Analytics!$B$5:$B$154,"&lt;="&amp;DashEnd))</f>
        <v>0</v>
      </c>
      <c r="AD303" s="23">
        <f>IF(T303="","",COUNTIFS('Content Calendar'!$G$5:$G$604,T303,'Content Calendar'!$B$5:$B$604,"&gt;="&amp;DATE(PlanYear,1,1),'Content Calendar'!$B$5:$B$604,"&lt;="&amp;DATE(PlanYear,12,31)))</f>
        <v>0</v>
      </c>
      <c r="AE303" s="23">
        <f>IF(T303="","",SUMIFS(Analytics!$J$5:$J$154,Analytics!$D$5:$D$154,T303))</f>
        <v>0</v>
      </c>
      <c r="AF303" s="23">
        <f>IF(T303="","",SUMIFS(Analytics!$L$5:$L$154,Analytics!$D$5:$D$154,T303))</f>
        <v>0</v>
      </c>
      <c r="AG303" s="24">
        <f>IF(OR(AE303="",AE303=0),"",AF303/AE303)</f>
        <v>0</v>
      </c>
      <c r="AH303" s="23">
        <f>IF(T303="","",SUMIFS(Analytics!$X$5:$X$154,Analytics!$D$5:$D$154,T303))</f>
        <v>0</v>
      </c>
      <c r="AI303" s="32">
        <f>IF(T303="","",IF(AE303=0,"",AE303+ROW()/1000000))</f>
        <v>0</v>
      </c>
      <c r="AJ303" s="17">
        <f>IF('Content Pillars'!$B$303="","",'Content Pillars'!$B$303)</f>
        <v>0</v>
      </c>
      <c r="AK303" s="23">
        <f>IF(AJ303="","",COUNTIFS('Content Calendar'!$J$5:$J$604,AJ303,'Content Calendar'!$B$5:$B$604,"&gt;="&amp;DATE(PlanYear,1,1),'Content Calendar'!$B$5:$B$604,"&lt;="&amp;DATE(PlanYear,12,31)))</f>
        <v>0</v>
      </c>
      <c r="AL303" s="23">
        <f>IF(AJ303="","",SUMIFS(Performance!$O$5:$O$404,Performance!$H$5:$H$404,AJ303))</f>
        <v>0</v>
      </c>
      <c r="AM303" s="23">
        <f>IF(AJ303="","",SUMIFS(Performance!$Z$5:$Z$404,Performance!$H$5:$H$404,AJ303))</f>
        <v>0</v>
      </c>
      <c r="AN303" s="24">
        <f>IF(OR(AL303="",AL303=0),"",AM303/AL303)</f>
        <v>0</v>
      </c>
      <c r="AO303" s="32">
        <f>IF(AN303="","",AN303+ROW()/1000000)</f>
        <v>0</v>
      </c>
      <c r="AP303" s="17">
        <f>IF(Lists!$E303="","",Lists!$E303)</f>
        <v>0</v>
      </c>
      <c r="AQ303" s="23">
        <f>IF(AP303="","",COUNTIF(Performance!$G$5:$G$404,AP303))</f>
        <v>0</v>
      </c>
      <c r="AR303" s="23">
        <f>IF(AP303="","",SUMIFS(Performance!$O$5:$O$404,Performance!$G$5:$G$404,AP303))</f>
        <v>0</v>
      </c>
      <c r="AS303" s="23">
        <f>IF(AP303="","",SUMIFS(Performance!$Z$5:$Z$404,Performance!$G$5:$G$404,AP303))</f>
        <v>0</v>
      </c>
      <c r="AT303" s="24">
        <f>IF(OR(AR303="",AR303=0),"",AS303/AR303)</f>
        <v>0</v>
      </c>
      <c r="AU303" s="32">
        <f>IF(AQ303=0,"",IF(AT303="","",AT303+ROW()/1000000))</f>
        <v>0</v>
      </c>
      <c r="AV303" s="17">
        <f>IF(ROW()-4&gt;7,"",TEXT(DATE(2024,1,ROW()-4),"ddd"))</f>
        <v>0</v>
      </c>
      <c r="AW303" s="23">
        <f>IF(AV303="","",COUNTIF(Performance!$N$5:$N$404,AV303))</f>
        <v>0</v>
      </c>
      <c r="AX303" s="23">
        <f>IF(AV303="","",SUMIFS(Performance!$O$5:$O$404,Performance!$N$5:$N$404,AV303))</f>
        <v>0</v>
      </c>
      <c r="AY303" s="23">
        <f>IF(AV303="","",SUMIFS(Performance!$Z$5:$Z$404,Performance!$N$5:$N$404,AV303))</f>
        <v>0</v>
      </c>
      <c r="AZ303" s="24">
        <f>IF(OR(AX303="",AX303=0),"",AY303/AX303)</f>
        <v>0</v>
      </c>
      <c r="BA303" s="32">
        <f>IF(AW303=0,"",IF(AZ303="","",AZ303+ROW()/1000000))</f>
        <v>0</v>
      </c>
      <c r="BB303" s="17">
        <f>IF(Lists!$AL303="","",Lists!$AL303)</f>
        <v>0</v>
      </c>
      <c r="BC303" s="23">
        <f>IF(BB303="","",COUNTIF(Performance!$M$5:$M$404,BB303))</f>
        <v>0</v>
      </c>
      <c r="BD303" s="23">
        <f>IF(BB303="","",SUMIFS(Performance!$O$5:$O$404,Performance!$M$5:$M$404,BB303))</f>
        <v>0</v>
      </c>
      <c r="BE303" s="23">
        <f>IF(BB303="","",SUMIFS(Performance!$Z$5:$Z$404,Performance!$M$5:$M$404,BB303))</f>
        <v>0</v>
      </c>
      <c r="BF303" s="24">
        <f>IF(OR(BD303="",BD303=0),"",BE303/BD303)</f>
        <v>0</v>
      </c>
      <c r="BG303" s="32">
        <f>IF(BC303=0,"",IF(BF303="","",BF303+ROW()/1000000))</f>
        <v>0</v>
      </c>
      <c r="BH303" s="17">
        <f>IF(Performance!$C$303="","",Performance!$C$303)</f>
        <v>0</v>
      </c>
      <c r="BI303" s="17">
        <f>IF(Performance!$F$303="","",Performance!$F$303)</f>
        <v>0</v>
      </c>
      <c r="BJ303" s="17">
        <f>IF(Performance!$H$303="","",Performance!$H$303)</f>
        <v>0</v>
      </c>
      <c r="BK303" s="16">
        <f>IF(Performance!$D$303="","",Performance!$D$303)</f>
        <v>0</v>
      </c>
      <c r="BL303" s="17">
        <f>IF(Performance!$E$303="","",Performance!$E$303)</f>
        <v>0</v>
      </c>
      <c r="BM303" s="23">
        <f>IF(Performance!$O$303="","",Performance!$O$303)</f>
        <v>0</v>
      </c>
      <c r="BN303" s="24">
        <f>IF(Performance!$AA$303="","",Performance!$AA$303)</f>
        <v>0</v>
      </c>
      <c r="BO303" s="32">
        <f>IF(BH303="","",IF(BK303="","",IF(OR(BK303&lt;DashStart,BK303&gt;DashEnd),"",IF(BN303="","",BN303+ROW()/1000000))))</f>
        <v>0</v>
      </c>
      <c r="BP303" s="32">
        <f>IF(BM303="","",IF(BK303="","",IF(OR(BK303&lt;DashStart,BK303&gt;DashEnd),"",BM303+ROW()/1000000)))</f>
        <v>0</v>
      </c>
      <c r="BQ303" s="32">
        <f>IF(BH303="","",IF(BK303="","",IF(YEAR(BK303)&lt;&gt;PlanYear,"",IF(BN303="","",BN303+ROW()/1000000))))</f>
        <v>0</v>
      </c>
      <c r="BR303" s="32">
        <f>IF(BH303="","",IF(BK303="","",IF(OR(BK303&lt;RepFrom,BK303&gt;RepTo),"",IF(BN303="","",BN303+ROW()/1000000))))</f>
        <v>0</v>
      </c>
      <c r="BS303" s="32">
        <f>IF(BM303="","",IF(BK303="","",IF(YEAR(BK303)&lt;&gt;PlanYear,"",BM303+ROW()/1000000)))</f>
        <v>0</v>
      </c>
      <c r="BT303" s="17">
        <f>IF(Lists!$F303="","",Lists!$F303)</f>
        <v>0</v>
      </c>
      <c r="BU303" s="23">
        <f>IF(BT303="","",COUNTIF('Content Calendar'!$X$5:$X$604,BT303))</f>
        <v>0</v>
      </c>
      <c r="BV303" s="23">
        <f>IF(BT303="","",COUNTIFS('Content Calendar'!$X$5:$X$604,BT303,'Content Calendar'!$B$5:$B$604,"&gt;="&amp;DashStart,'Content Calendar'!$B$5:$B$604,"&lt;="&amp;DashEnd))</f>
        <v>0</v>
      </c>
      <c r="BW303" s="17">
        <f>IF(Team!$B$303="","",Team!$B$303)</f>
        <v>0</v>
      </c>
      <c r="BX303" s="23">
        <f>IF(BW303="","",COUNTIF('Content Calendar'!$W$5:$W$604,BW303))</f>
        <v>0</v>
      </c>
      <c r="BY303" s="23">
        <f>IF(BW303="","",COUNTIFS('Content Calendar'!$W$5:$W$604,BW303,'Content Calendar'!$X$5:$X$604,"&lt;&gt;Published"))</f>
        <v>0</v>
      </c>
      <c r="BZ303" s="23">
        <f>IF(BW303="","",COUNTIFS(Tasks!$C$5:$C$64,BW303,Tasks!$G$5:$G$64,"&lt;&gt;Complete"))</f>
        <v>0</v>
      </c>
      <c r="CA303" s="17">
        <f>IF(Campaigns!$B$303="","",Campaigns!$B$303)</f>
        <v>0</v>
      </c>
      <c r="CB303" s="25">
        <f>IF(Campaigns!$T$303="","",Campaigns!$T$303)</f>
        <v>0</v>
      </c>
      <c r="CC303" s="25">
        <f>IF(Campaigns!$Q$303="","",Campaigns!$Q$303)</f>
        <v>0</v>
      </c>
      <c r="CD303" s="23">
        <f>IF(Campaigns!$Y$303="","",Campaigns!$Y$303)</f>
        <v>0</v>
      </c>
      <c r="CE303" s="32">
        <f>IF(CA303="","",IF(N(CB303)&lt;=0,"",N(CB303)+ROW()/1000000))</f>
        <v>0</v>
      </c>
      <c r="CF303" s="17">
        <f>IF(Accounts!$C$303="","",Accounts!$C$303)</f>
        <v>0</v>
      </c>
      <c r="CG303" s="17">
        <f>IF(Accounts!$B$303="","",Accounts!$B$303)</f>
        <v>0</v>
      </c>
      <c r="CH303" s="23">
        <f>IF(Accounts!$J$303="","",Accounts!$J$303)</f>
        <v>0</v>
      </c>
      <c r="CI303" s="23">
        <f>IF(CF303="","",SUMIFS(Analytics!$X$5:$X$154,Analytics!$E$5:$E$154,CF303,Analytics!$B$5:$B$154,"&gt;="&amp;DashStart,Analytics!$B$5:$B$154,"&lt;="&amp;DashEnd))</f>
        <v>0</v>
      </c>
      <c r="CJ303" s="32">
        <f>IF(CH303="","",IF(CH303=0,"",CH303+ROW()/1000000))</f>
        <v>0</v>
      </c>
    </row>
    <row r="304" spans="1:88">
      <c r="A304" s="16">
        <f>IF(ROW()-4&gt;12,"",DATE(PlanYear,ROW()-4,1))</f>
        <v>0</v>
      </c>
      <c r="B304" s="16">
        <f>IF(A304="","",EOMONTH(A304,0))</f>
        <v>0</v>
      </c>
      <c r="C304" s="17">
        <f>IF(A304="","",TEXT(A304,"yyyy-mm"))</f>
        <v>0</v>
      </c>
      <c r="D304" s="17">
        <f>IF(A304="","",TEXT(A304,"mmm"))</f>
        <v>0</v>
      </c>
      <c r="E304" s="23">
        <f>IF(C304="","",COUNTIFS('Content Calendar'!$D$5:$D$604,C304))</f>
        <v>0</v>
      </c>
      <c r="F304" s="23">
        <f>IF(C304="","",COUNTIFS('Content Calendar'!$D$5:$D$604,C304,'Content Calendar'!$X$5:$X$604,"Published"))</f>
        <v>0</v>
      </c>
      <c r="G304" s="23">
        <f>IF(C304="","",SUMIFS(Analytics!$J$5:$J$154,Analytics!$C$5:$C$154,C304))</f>
        <v>0</v>
      </c>
      <c r="H304" s="23">
        <f>IF(C304="","",SUMIFS(Analytics!$K$5:$K$154,Analytics!$C$5:$C$154,C304))</f>
        <v>0</v>
      </c>
      <c r="I304" s="23">
        <f>IF(C304="","",SUMIFS(Analytics!$L$5:$L$154,Analytics!$C$5:$C$154,C304))</f>
        <v>0</v>
      </c>
      <c r="J304" s="24">
        <f>IF(OR(G304="",G304=0),"",I304/G304)</f>
        <v>0</v>
      </c>
      <c r="K304" s="23">
        <f>IF(C304="","",SUMIFS(Analytics!$G$5:$G$154,Analytics!$C$5:$C$154,C304))</f>
        <v>0</v>
      </c>
      <c r="L304" s="23">
        <f>IF(C304="","",SUMIFS(Analytics!$X$5:$X$154,Analytics!$C$5:$C$154,C304))</f>
        <v>0</v>
      </c>
      <c r="M304" s="23">
        <f>IF(C304="","",SUMIFS(Analytics!$R$5:$R$154,Analytics!$C$5:$C$154,C304))</f>
        <v>0</v>
      </c>
      <c r="N304" s="23">
        <f>IF(C304="","",SUMIFS(Analytics!$S$5:$S$154,Analytics!$C$5:$C$154,C304))</f>
        <v>0</v>
      </c>
      <c r="O304" s="23">
        <f>IF(C304="","",SUMIFS(Analytics!$T$5:$T$154,Analytics!$C$5:$C$154,C304))</f>
        <v>0</v>
      </c>
      <c r="P304" s="25">
        <f>IF(C304="","",SUMIFS(Analytics!$U$5:$U$154,Analytics!$C$5:$C$154,C304))</f>
        <v>0</v>
      </c>
      <c r="Q304" s="25">
        <f>IF(C304="","",SUMIFS(Budget!$H$5:$H$64,Budget!$C$5:$C$64,C304))</f>
        <v>0</v>
      </c>
      <c r="R304" s="25">
        <f>IF(C304="","",P304-Q304)</f>
        <v>0</v>
      </c>
      <c r="S304" s="23">
        <f>IF(C304="","",MonthlyPostTarget)</f>
        <v>0</v>
      </c>
      <c r="T304" s="17">
        <f>IF(Lists!$C304="","",Lists!$C304)</f>
        <v>0</v>
      </c>
      <c r="U304" s="23">
        <f>IF(T304="","",COUNTIFS('Content Calendar'!$G$5:$G$604,T304,'Content Calendar'!$B$5:$B$604,"&gt;="&amp;DashStart,'Content Calendar'!$B$5:$B$604,"&lt;="&amp;DashEnd))</f>
        <v>0</v>
      </c>
      <c r="V304" s="23">
        <f>IF(T304="","",COUNTIFS('Content Calendar'!$G$5:$G$604,T304,'Content Calendar'!$X$5:$X$604,"Published",'Content Calendar'!$B$5:$B$604,"&gt;="&amp;DashStart,'Content Calendar'!$B$5:$B$604,"&lt;="&amp;DashEnd))</f>
        <v>0</v>
      </c>
      <c r="W304" s="23">
        <f>IF(T304="","",SUMIFS(Analytics!$J$5:$J$154,Analytics!$D$5:$D$154,T304,Analytics!$B$5:$B$154,"&gt;="&amp;DashStart,Analytics!$B$5:$B$154,"&lt;="&amp;DashEnd))</f>
        <v>0</v>
      </c>
      <c r="X304" s="23">
        <f>IF(T304="","",SUMIFS(Analytics!$L$5:$L$154,Analytics!$D$5:$D$154,T304,Analytics!$B$5:$B$154,"&gt;="&amp;DashStart,Analytics!$B$5:$B$154,"&lt;="&amp;DashEnd))</f>
        <v>0</v>
      </c>
      <c r="Y304" s="24">
        <f>IF(OR(W304="",W304=0),"",X304/W304)</f>
        <v>0</v>
      </c>
      <c r="Z304" s="23">
        <f>IF(T304="","",SUMIFS(Analytics!$G$5:$G$154,Analytics!$D$5:$D$154,T304,Analytics!$B$5:$B$154,"&gt;="&amp;DashStart,Analytics!$B$5:$B$154,"&lt;="&amp;DashEnd))</f>
        <v>0</v>
      </c>
      <c r="AA304" s="23">
        <f>IF(T304="","",SUMIFS(Analytics!$X$5:$X$154,Analytics!$D$5:$D$154,T304,Analytics!$B$5:$B$154,"&gt;="&amp;DashStart,Analytics!$B$5:$B$154,"&lt;="&amp;DashEnd))</f>
        <v>0</v>
      </c>
      <c r="AB304" s="23">
        <f>IF(T304="","",SUMIFS(Analytics!$R$5:$R$154,Analytics!$D$5:$D$154,T304,Analytics!$B$5:$B$154,"&gt;="&amp;DashStart,Analytics!$B$5:$B$154,"&lt;="&amp;DashEnd))</f>
        <v>0</v>
      </c>
      <c r="AC304" s="25">
        <f>IF(T304="","",SUMIFS(Analytics!$U$5:$U$154,Analytics!$D$5:$D$154,T304,Analytics!$B$5:$B$154,"&gt;="&amp;DashStart,Analytics!$B$5:$B$154,"&lt;="&amp;DashEnd))</f>
        <v>0</v>
      </c>
      <c r="AD304" s="23">
        <f>IF(T304="","",COUNTIFS('Content Calendar'!$G$5:$G$604,T304,'Content Calendar'!$B$5:$B$604,"&gt;="&amp;DATE(PlanYear,1,1),'Content Calendar'!$B$5:$B$604,"&lt;="&amp;DATE(PlanYear,12,31)))</f>
        <v>0</v>
      </c>
      <c r="AE304" s="23">
        <f>IF(T304="","",SUMIFS(Analytics!$J$5:$J$154,Analytics!$D$5:$D$154,T304))</f>
        <v>0</v>
      </c>
      <c r="AF304" s="23">
        <f>IF(T304="","",SUMIFS(Analytics!$L$5:$L$154,Analytics!$D$5:$D$154,T304))</f>
        <v>0</v>
      </c>
      <c r="AG304" s="24">
        <f>IF(OR(AE304="",AE304=0),"",AF304/AE304)</f>
        <v>0</v>
      </c>
      <c r="AH304" s="23">
        <f>IF(T304="","",SUMIFS(Analytics!$X$5:$X$154,Analytics!$D$5:$D$154,T304))</f>
        <v>0</v>
      </c>
      <c r="AI304" s="32">
        <f>IF(T304="","",IF(AE304=0,"",AE304+ROW()/1000000))</f>
        <v>0</v>
      </c>
      <c r="AJ304" s="17">
        <f>IF('Content Pillars'!$B$304="","",'Content Pillars'!$B$304)</f>
        <v>0</v>
      </c>
      <c r="AK304" s="23">
        <f>IF(AJ304="","",COUNTIFS('Content Calendar'!$J$5:$J$604,AJ304,'Content Calendar'!$B$5:$B$604,"&gt;="&amp;DATE(PlanYear,1,1),'Content Calendar'!$B$5:$B$604,"&lt;="&amp;DATE(PlanYear,12,31)))</f>
        <v>0</v>
      </c>
      <c r="AL304" s="23">
        <f>IF(AJ304="","",SUMIFS(Performance!$O$5:$O$404,Performance!$H$5:$H$404,AJ304))</f>
        <v>0</v>
      </c>
      <c r="AM304" s="23">
        <f>IF(AJ304="","",SUMIFS(Performance!$Z$5:$Z$404,Performance!$H$5:$H$404,AJ304))</f>
        <v>0</v>
      </c>
      <c r="AN304" s="24">
        <f>IF(OR(AL304="",AL304=0),"",AM304/AL304)</f>
        <v>0</v>
      </c>
      <c r="AO304" s="32">
        <f>IF(AN304="","",AN304+ROW()/1000000)</f>
        <v>0</v>
      </c>
      <c r="AP304" s="17">
        <f>IF(Lists!$E304="","",Lists!$E304)</f>
        <v>0</v>
      </c>
      <c r="AQ304" s="23">
        <f>IF(AP304="","",COUNTIF(Performance!$G$5:$G$404,AP304))</f>
        <v>0</v>
      </c>
      <c r="AR304" s="23">
        <f>IF(AP304="","",SUMIFS(Performance!$O$5:$O$404,Performance!$G$5:$G$404,AP304))</f>
        <v>0</v>
      </c>
      <c r="AS304" s="23">
        <f>IF(AP304="","",SUMIFS(Performance!$Z$5:$Z$404,Performance!$G$5:$G$404,AP304))</f>
        <v>0</v>
      </c>
      <c r="AT304" s="24">
        <f>IF(OR(AR304="",AR304=0),"",AS304/AR304)</f>
        <v>0</v>
      </c>
      <c r="AU304" s="32">
        <f>IF(AQ304=0,"",IF(AT304="","",AT304+ROW()/1000000))</f>
        <v>0</v>
      </c>
      <c r="AV304" s="17">
        <f>IF(ROW()-4&gt;7,"",TEXT(DATE(2024,1,ROW()-4),"ddd"))</f>
        <v>0</v>
      </c>
      <c r="AW304" s="23">
        <f>IF(AV304="","",COUNTIF(Performance!$N$5:$N$404,AV304))</f>
        <v>0</v>
      </c>
      <c r="AX304" s="23">
        <f>IF(AV304="","",SUMIFS(Performance!$O$5:$O$404,Performance!$N$5:$N$404,AV304))</f>
        <v>0</v>
      </c>
      <c r="AY304" s="23">
        <f>IF(AV304="","",SUMIFS(Performance!$Z$5:$Z$404,Performance!$N$5:$N$404,AV304))</f>
        <v>0</v>
      </c>
      <c r="AZ304" s="24">
        <f>IF(OR(AX304="",AX304=0),"",AY304/AX304)</f>
        <v>0</v>
      </c>
      <c r="BA304" s="32">
        <f>IF(AW304=0,"",IF(AZ304="","",AZ304+ROW()/1000000))</f>
        <v>0</v>
      </c>
      <c r="BB304" s="17">
        <f>IF(Lists!$AL304="","",Lists!$AL304)</f>
        <v>0</v>
      </c>
      <c r="BC304" s="23">
        <f>IF(BB304="","",COUNTIF(Performance!$M$5:$M$404,BB304))</f>
        <v>0</v>
      </c>
      <c r="BD304" s="23">
        <f>IF(BB304="","",SUMIFS(Performance!$O$5:$O$404,Performance!$M$5:$M$404,BB304))</f>
        <v>0</v>
      </c>
      <c r="BE304" s="23">
        <f>IF(BB304="","",SUMIFS(Performance!$Z$5:$Z$404,Performance!$M$5:$M$404,BB304))</f>
        <v>0</v>
      </c>
      <c r="BF304" s="24">
        <f>IF(OR(BD304="",BD304=0),"",BE304/BD304)</f>
        <v>0</v>
      </c>
      <c r="BG304" s="32">
        <f>IF(BC304=0,"",IF(BF304="","",BF304+ROW()/1000000))</f>
        <v>0</v>
      </c>
      <c r="BH304" s="17">
        <f>IF(Performance!$C$304="","",Performance!$C$304)</f>
        <v>0</v>
      </c>
      <c r="BI304" s="17">
        <f>IF(Performance!$F$304="","",Performance!$F$304)</f>
        <v>0</v>
      </c>
      <c r="BJ304" s="17">
        <f>IF(Performance!$H$304="","",Performance!$H$304)</f>
        <v>0</v>
      </c>
      <c r="BK304" s="16">
        <f>IF(Performance!$D$304="","",Performance!$D$304)</f>
        <v>0</v>
      </c>
      <c r="BL304" s="17">
        <f>IF(Performance!$E$304="","",Performance!$E$304)</f>
        <v>0</v>
      </c>
      <c r="BM304" s="23">
        <f>IF(Performance!$O$304="","",Performance!$O$304)</f>
        <v>0</v>
      </c>
      <c r="BN304" s="24">
        <f>IF(Performance!$AA$304="","",Performance!$AA$304)</f>
        <v>0</v>
      </c>
      <c r="BO304" s="32">
        <f>IF(BH304="","",IF(BK304="","",IF(OR(BK304&lt;DashStart,BK304&gt;DashEnd),"",IF(BN304="","",BN304+ROW()/1000000))))</f>
        <v>0</v>
      </c>
      <c r="BP304" s="32">
        <f>IF(BM304="","",IF(BK304="","",IF(OR(BK304&lt;DashStart,BK304&gt;DashEnd),"",BM304+ROW()/1000000)))</f>
        <v>0</v>
      </c>
      <c r="BQ304" s="32">
        <f>IF(BH304="","",IF(BK304="","",IF(YEAR(BK304)&lt;&gt;PlanYear,"",IF(BN304="","",BN304+ROW()/1000000))))</f>
        <v>0</v>
      </c>
      <c r="BR304" s="32">
        <f>IF(BH304="","",IF(BK304="","",IF(OR(BK304&lt;RepFrom,BK304&gt;RepTo),"",IF(BN304="","",BN304+ROW()/1000000))))</f>
        <v>0</v>
      </c>
      <c r="BS304" s="32">
        <f>IF(BM304="","",IF(BK304="","",IF(YEAR(BK304)&lt;&gt;PlanYear,"",BM304+ROW()/1000000)))</f>
        <v>0</v>
      </c>
      <c r="BT304" s="17">
        <f>IF(Lists!$F304="","",Lists!$F304)</f>
        <v>0</v>
      </c>
      <c r="BU304" s="23">
        <f>IF(BT304="","",COUNTIF('Content Calendar'!$X$5:$X$604,BT304))</f>
        <v>0</v>
      </c>
      <c r="BV304" s="23">
        <f>IF(BT304="","",COUNTIFS('Content Calendar'!$X$5:$X$604,BT304,'Content Calendar'!$B$5:$B$604,"&gt;="&amp;DashStart,'Content Calendar'!$B$5:$B$604,"&lt;="&amp;DashEnd))</f>
        <v>0</v>
      </c>
      <c r="BW304" s="17">
        <f>IF(Team!$B$304="","",Team!$B$304)</f>
        <v>0</v>
      </c>
      <c r="BX304" s="23">
        <f>IF(BW304="","",COUNTIF('Content Calendar'!$W$5:$W$604,BW304))</f>
        <v>0</v>
      </c>
      <c r="BY304" s="23">
        <f>IF(BW304="","",COUNTIFS('Content Calendar'!$W$5:$W$604,BW304,'Content Calendar'!$X$5:$X$604,"&lt;&gt;Published"))</f>
        <v>0</v>
      </c>
      <c r="BZ304" s="23">
        <f>IF(BW304="","",COUNTIFS(Tasks!$C$5:$C$64,BW304,Tasks!$G$5:$G$64,"&lt;&gt;Complete"))</f>
        <v>0</v>
      </c>
      <c r="CA304" s="17">
        <f>IF(Campaigns!$B$304="","",Campaigns!$B$304)</f>
        <v>0</v>
      </c>
      <c r="CB304" s="25">
        <f>IF(Campaigns!$T$304="","",Campaigns!$T$304)</f>
        <v>0</v>
      </c>
      <c r="CC304" s="25">
        <f>IF(Campaigns!$Q$304="","",Campaigns!$Q$304)</f>
        <v>0</v>
      </c>
      <c r="CD304" s="23">
        <f>IF(Campaigns!$Y$304="","",Campaigns!$Y$304)</f>
        <v>0</v>
      </c>
      <c r="CE304" s="32">
        <f>IF(CA304="","",IF(N(CB304)&lt;=0,"",N(CB304)+ROW()/1000000))</f>
        <v>0</v>
      </c>
      <c r="CF304" s="17">
        <f>IF(Accounts!$C$304="","",Accounts!$C$304)</f>
        <v>0</v>
      </c>
      <c r="CG304" s="17">
        <f>IF(Accounts!$B$304="","",Accounts!$B$304)</f>
        <v>0</v>
      </c>
      <c r="CH304" s="23">
        <f>IF(Accounts!$J$304="","",Accounts!$J$304)</f>
        <v>0</v>
      </c>
      <c r="CI304" s="23">
        <f>IF(CF304="","",SUMIFS(Analytics!$X$5:$X$154,Analytics!$E$5:$E$154,CF304,Analytics!$B$5:$B$154,"&gt;="&amp;DashStart,Analytics!$B$5:$B$154,"&lt;="&amp;DashEnd))</f>
        <v>0</v>
      </c>
      <c r="CJ304" s="32">
        <f>IF(CH304="","",IF(CH304=0,"",CH304+ROW()/1000000))</f>
        <v>0</v>
      </c>
    </row>
    <row r="305" spans="1:88">
      <c r="A305" s="16">
        <f>IF(ROW()-4&gt;12,"",DATE(PlanYear,ROW()-4,1))</f>
        <v>0</v>
      </c>
      <c r="B305" s="16">
        <f>IF(A305="","",EOMONTH(A305,0))</f>
        <v>0</v>
      </c>
      <c r="C305" s="17">
        <f>IF(A305="","",TEXT(A305,"yyyy-mm"))</f>
        <v>0</v>
      </c>
      <c r="D305" s="17">
        <f>IF(A305="","",TEXT(A305,"mmm"))</f>
        <v>0</v>
      </c>
      <c r="E305" s="23">
        <f>IF(C305="","",COUNTIFS('Content Calendar'!$D$5:$D$604,C305))</f>
        <v>0</v>
      </c>
      <c r="F305" s="23">
        <f>IF(C305="","",COUNTIFS('Content Calendar'!$D$5:$D$604,C305,'Content Calendar'!$X$5:$X$604,"Published"))</f>
        <v>0</v>
      </c>
      <c r="G305" s="23">
        <f>IF(C305="","",SUMIFS(Analytics!$J$5:$J$154,Analytics!$C$5:$C$154,C305))</f>
        <v>0</v>
      </c>
      <c r="H305" s="23">
        <f>IF(C305="","",SUMIFS(Analytics!$K$5:$K$154,Analytics!$C$5:$C$154,C305))</f>
        <v>0</v>
      </c>
      <c r="I305" s="23">
        <f>IF(C305="","",SUMIFS(Analytics!$L$5:$L$154,Analytics!$C$5:$C$154,C305))</f>
        <v>0</v>
      </c>
      <c r="J305" s="24">
        <f>IF(OR(G305="",G305=0),"",I305/G305)</f>
        <v>0</v>
      </c>
      <c r="K305" s="23">
        <f>IF(C305="","",SUMIFS(Analytics!$G$5:$G$154,Analytics!$C$5:$C$154,C305))</f>
        <v>0</v>
      </c>
      <c r="L305" s="23">
        <f>IF(C305="","",SUMIFS(Analytics!$X$5:$X$154,Analytics!$C$5:$C$154,C305))</f>
        <v>0</v>
      </c>
      <c r="M305" s="23">
        <f>IF(C305="","",SUMIFS(Analytics!$R$5:$R$154,Analytics!$C$5:$C$154,C305))</f>
        <v>0</v>
      </c>
      <c r="N305" s="23">
        <f>IF(C305="","",SUMIFS(Analytics!$S$5:$S$154,Analytics!$C$5:$C$154,C305))</f>
        <v>0</v>
      </c>
      <c r="O305" s="23">
        <f>IF(C305="","",SUMIFS(Analytics!$T$5:$T$154,Analytics!$C$5:$C$154,C305))</f>
        <v>0</v>
      </c>
      <c r="P305" s="25">
        <f>IF(C305="","",SUMIFS(Analytics!$U$5:$U$154,Analytics!$C$5:$C$154,C305))</f>
        <v>0</v>
      </c>
      <c r="Q305" s="25">
        <f>IF(C305="","",SUMIFS(Budget!$H$5:$H$64,Budget!$C$5:$C$64,C305))</f>
        <v>0</v>
      </c>
      <c r="R305" s="25">
        <f>IF(C305="","",P305-Q305)</f>
        <v>0</v>
      </c>
      <c r="S305" s="23">
        <f>IF(C305="","",MonthlyPostTarget)</f>
        <v>0</v>
      </c>
      <c r="T305" s="17">
        <f>IF(Lists!$C305="","",Lists!$C305)</f>
        <v>0</v>
      </c>
      <c r="U305" s="23">
        <f>IF(T305="","",COUNTIFS('Content Calendar'!$G$5:$G$604,T305,'Content Calendar'!$B$5:$B$604,"&gt;="&amp;DashStart,'Content Calendar'!$B$5:$B$604,"&lt;="&amp;DashEnd))</f>
        <v>0</v>
      </c>
      <c r="V305" s="23">
        <f>IF(T305="","",COUNTIFS('Content Calendar'!$G$5:$G$604,T305,'Content Calendar'!$X$5:$X$604,"Published",'Content Calendar'!$B$5:$B$604,"&gt;="&amp;DashStart,'Content Calendar'!$B$5:$B$604,"&lt;="&amp;DashEnd))</f>
        <v>0</v>
      </c>
      <c r="W305" s="23">
        <f>IF(T305="","",SUMIFS(Analytics!$J$5:$J$154,Analytics!$D$5:$D$154,T305,Analytics!$B$5:$B$154,"&gt;="&amp;DashStart,Analytics!$B$5:$B$154,"&lt;="&amp;DashEnd))</f>
        <v>0</v>
      </c>
      <c r="X305" s="23">
        <f>IF(T305="","",SUMIFS(Analytics!$L$5:$L$154,Analytics!$D$5:$D$154,T305,Analytics!$B$5:$B$154,"&gt;="&amp;DashStart,Analytics!$B$5:$B$154,"&lt;="&amp;DashEnd))</f>
        <v>0</v>
      </c>
      <c r="Y305" s="24">
        <f>IF(OR(W305="",W305=0),"",X305/W305)</f>
        <v>0</v>
      </c>
      <c r="Z305" s="23">
        <f>IF(T305="","",SUMIFS(Analytics!$G$5:$G$154,Analytics!$D$5:$D$154,T305,Analytics!$B$5:$B$154,"&gt;="&amp;DashStart,Analytics!$B$5:$B$154,"&lt;="&amp;DashEnd))</f>
        <v>0</v>
      </c>
      <c r="AA305" s="23">
        <f>IF(T305="","",SUMIFS(Analytics!$X$5:$X$154,Analytics!$D$5:$D$154,T305,Analytics!$B$5:$B$154,"&gt;="&amp;DashStart,Analytics!$B$5:$B$154,"&lt;="&amp;DashEnd))</f>
        <v>0</v>
      </c>
      <c r="AB305" s="23">
        <f>IF(T305="","",SUMIFS(Analytics!$R$5:$R$154,Analytics!$D$5:$D$154,T305,Analytics!$B$5:$B$154,"&gt;="&amp;DashStart,Analytics!$B$5:$B$154,"&lt;="&amp;DashEnd))</f>
        <v>0</v>
      </c>
      <c r="AC305" s="25">
        <f>IF(T305="","",SUMIFS(Analytics!$U$5:$U$154,Analytics!$D$5:$D$154,T305,Analytics!$B$5:$B$154,"&gt;="&amp;DashStart,Analytics!$B$5:$B$154,"&lt;="&amp;DashEnd))</f>
        <v>0</v>
      </c>
      <c r="AD305" s="23">
        <f>IF(T305="","",COUNTIFS('Content Calendar'!$G$5:$G$604,T305,'Content Calendar'!$B$5:$B$604,"&gt;="&amp;DATE(PlanYear,1,1),'Content Calendar'!$B$5:$B$604,"&lt;="&amp;DATE(PlanYear,12,31)))</f>
        <v>0</v>
      </c>
      <c r="AE305" s="23">
        <f>IF(T305="","",SUMIFS(Analytics!$J$5:$J$154,Analytics!$D$5:$D$154,T305))</f>
        <v>0</v>
      </c>
      <c r="AF305" s="23">
        <f>IF(T305="","",SUMIFS(Analytics!$L$5:$L$154,Analytics!$D$5:$D$154,T305))</f>
        <v>0</v>
      </c>
      <c r="AG305" s="24">
        <f>IF(OR(AE305="",AE305=0),"",AF305/AE305)</f>
        <v>0</v>
      </c>
      <c r="AH305" s="23">
        <f>IF(T305="","",SUMIFS(Analytics!$X$5:$X$154,Analytics!$D$5:$D$154,T305))</f>
        <v>0</v>
      </c>
      <c r="AI305" s="32">
        <f>IF(T305="","",IF(AE305=0,"",AE305+ROW()/1000000))</f>
        <v>0</v>
      </c>
      <c r="AJ305" s="17">
        <f>IF('Content Pillars'!$B$305="","",'Content Pillars'!$B$305)</f>
        <v>0</v>
      </c>
      <c r="AK305" s="23">
        <f>IF(AJ305="","",COUNTIFS('Content Calendar'!$J$5:$J$604,AJ305,'Content Calendar'!$B$5:$B$604,"&gt;="&amp;DATE(PlanYear,1,1),'Content Calendar'!$B$5:$B$604,"&lt;="&amp;DATE(PlanYear,12,31)))</f>
        <v>0</v>
      </c>
      <c r="AL305" s="23">
        <f>IF(AJ305="","",SUMIFS(Performance!$O$5:$O$404,Performance!$H$5:$H$404,AJ305))</f>
        <v>0</v>
      </c>
      <c r="AM305" s="23">
        <f>IF(AJ305="","",SUMIFS(Performance!$Z$5:$Z$404,Performance!$H$5:$H$404,AJ305))</f>
        <v>0</v>
      </c>
      <c r="AN305" s="24">
        <f>IF(OR(AL305="",AL305=0),"",AM305/AL305)</f>
        <v>0</v>
      </c>
      <c r="AO305" s="32">
        <f>IF(AN305="","",AN305+ROW()/1000000)</f>
        <v>0</v>
      </c>
      <c r="AP305" s="17">
        <f>IF(Lists!$E305="","",Lists!$E305)</f>
        <v>0</v>
      </c>
      <c r="AQ305" s="23">
        <f>IF(AP305="","",COUNTIF(Performance!$G$5:$G$404,AP305))</f>
        <v>0</v>
      </c>
      <c r="AR305" s="23">
        <f>IF(AP305="","",SUMIFS(Performance!$O$5:$O$404,Performance!$G$5:$G$404,AP305))</f>
        <v>0</v>
      </c>
      <c r="AS305" s="23">
        <f>IF(AP305="","",SUMIFS(Performance!$Z$5:$Z$404,Performance!$G$5:$G$404,AP305))</f>
        <v>0</v>
      </c>
      <c r="AT305" s="24">
        <f>IF(OR(AR305="",AR305=0),"",AS305/AR305)</f>
        <v>0</v>
      </c>
      <c r="AU305" s="32">
        <f>IF(AQ305=0,"",IF(AT305="","",AT305+ROW()/1000000))</f>
        <v>0</v>
      </c>
      <c r="AV305" s="17">
        <f>IF(ROW()-4&gt;7,"",TEXT(DATE(2024,1,ROW()-4),"ddd"))</f>
        <v>0</v>
      </c>
      <c r="AW305" s="23">
        <f>IF(AV305="","",COUNTIF(Performance!$N$5:$N$404,AV305))</f>
        <v>0</v>
      </c>
      <c r="AX305" s="23">
        <f>IF(AV305="","",SUMIFS(Performance!$O$5:$O$404,Performance!$N$5:$N$404,AV305))</f>
        <v>0</v>
      </c>
      <c r="AY305" s="23">
        <f>IF(AV305="","",SUMIFS(Performance!$Z$5:$Z$404,Performance!$N$5:$N$404,AV305))</f>
        <v>0</v>
      </c>
      <c r="AZ305" s="24">
        <f>IF(OR(AX305="",AX305=0),"",AY305/AX305)</f>
        <v>0</v>
      </c>
      <c r="BA305" s="32">
        <f>IF(AW305=0,"",IF(AZ305="","",AZ305+ROW()/1000000))</f>
        <v>0</v>
      </c>
      <c r="BB305" s="17">
        <f>IF(Lists!$AL305="","",Lists!$AL305)</f>
        <v>0</v>
      </c>
      <c r="BC305" s="23">
        <f>IF(BB305="","",COUNTIF(Performance!$M$5:$M$404,BB305))</f>
        <v>0</v>
      </c>
      <c r="BD305" s="23">
        <f>IF(BB305="","",SUMIFS(Performance!$O$5:$O$404,Performance!$M$5:$M$404,BB305))</f>
        <v>0</v>
      </c>
      <c r="BE305" s="23">
        <f>IF(BB305="","",SUMIFS(Performance!$Z$5:$Z$404,Performance!$M$5:$M$404,BB305))</f>
        <v>0</v>
      </c>
      <c r="BF305" s="24">
        <f>IF(OR(BD305="",BD305=0),"",BE305/BD305)</f>
        <v>0</v>
      </c>
      <c r="BG305" s="32">
        <f>IF(BC305=0,"",IF(BF305="","",BF305+ROW()/1000000))</f>
        <v>0</v>
      </c>
      <c r="BH305" s="17">
        <f>IF(Performance!$C$305="","",Performance!$C$305)</f>
        <v>0</v>
      </c>
      <c r="BI305" s="17">
        <f>IF(Performance!$F$305="","",Performance!$F$305)</f>
        <v>0</v>
      </c>
      <c r="BJ305" s="17">
        <f>IF(Performance!$H$305="","",Performance!$H$305)</f>
        <v>0</v>
      </c>
      <c r="BK305" s="16">
        <f>IF(Performance!$D$305="","",Performance!$D$305)</f>
        <v>0</v>
      </c>
      <c r="BL305" s="17">
        <f>IF(Performance!$E$305="","",Performance!$E$305)</f>
        <v>0</v>
      </c>
      <c r="BM305" s="23">
        <f>IF(Performance!$O$305="","",Performance!$O$305)</f>
        <v>0</v>
      </c>
      <c r="BN305" s="24">
        <f>IF(Performance!$AA$305="","",Performance!$AA$305)</f>
        <v>0</v>
      </c>
      <c r="BO305" s="32">
        <f>IF(BH305="","",IF(BK305="","",IF(OR(BK305&lt;DashStart,BK305&gt;DashEnd),"",IF(BN305="","",BN305+ROW()/1000000))))</f>
        <v>0</v>
      </c>
      <c r="BP305" s="32">
        <f>IF(BM305="","",IF(BK305="","",IF(OR(BK305&lt;DashStart,BK305&gt;DashEnd),"",BM305+ROW()/1000000)))</f>
        <v>0</v>
      </c>
      <c r="BQ305" s="32">
        <f>IF(BH305="","",IF(BK305="","",IF(YEAR(BK305)&lt;&gt;PlanYear,"",IF(BN305="","",BN305+ROW()/1000000))))</f>
        <v>0</v>
      </c>
      <c r="BR305" s="32">
        <f>IF(BH305="","",IF(BK305="","",IF(OR(BK305&lt;RepFrom,BK305&gt;RepTo),"",IF(BN305="","",BN305+ROW()/1000000))))</f>
        <v>0</v>
      </c>
      <c r="BS305" s="32">
        <f>IF(BM305="","",IF(BK305="","",IF(YEAR(BK305)&lt;&gt;PlanYear,"",BM305+ROW()/1000000)))</f>
        <v>0</v>
      </c>
      <c r="BT305" s="17">
        <f>IF(Lists!$F305="","",Lists!$F305)</f>
        <v>0</v>
      </c>
      <c r="BU305" s="23">
        <f>IF(BT305="","",COUNTIF('Content Calendar'!$X$5:$X$604,BT305))</f>
        <v>0</v>
      </c>
      <c r="BV305" s="23">
        <f>IF(BT305="","",COUNTIFS('Content Calendar'!$X$5:$X$604,BT305,'Content Calendar'!$B$5:$B$604,"&gt;="&amp;DashStart,'Content Calendar'!$B$5:$B$604,"&lt;="&amp;DashEnd))</f>
        <v>0</v>
      </c>
      <c r="BW305" s="17">
        <f>IF(Team!$B$305="","",Team!$B$305)</f>
        <v>0</v>
      </c>
      <c r="BX305" s="23">
        <f>IF(BW305="","",COUNTIF('Content Calendar'!$W$5:$W$604,BW305))</f>
        <v>0</v>
      </c>
      <c r="BY305" s="23">
        <f>IF(BW305="","",COUNTIFS('Content Calendar'!$W$5:$W$604,BW305,'Content Calendar'!$X$5:$X$604,"&lt;&gt;Published"))</f>
        <v>0</v>
      </c>
      <c r="BZ305" s="23">
        <f>IF(BW305="","",COUNTIFS(Tasks!$C$5:$C$64,BW305,Tasks!$G$5:$G$64,"&lt;&gt;Complete"))</f>
        <v>0</v>
      </c>
      <c r="CA305" s="17">
        <f>IF(Campaigns!$B$305="","",Campaigns!$B$305)</f>
        <v>0</v>
      </c>
      <c r="CB305" s="25">
        <f>IF(Campaigns!$T$305="","",Campaigns!$T$305)</f>
        <v>0</v>
      </c>
      <c r="CC305" s="25">
        <f>IF(Campaigns!$Q$305="","",Campaigns!$Q$305)</f>
        <v>0</v>
      </c>
      <c r="CD305" s="23">
        <f>IF(Campaigns!$Y$305="","",Campaigns!$Y$305)</f>
        <v>0</v>
      </c>
      <c r="CE305" s="32">
        <f>IF(CA305="","",IF(N(CB305)&lt;=0,"",N(CB305)+ROW()/1000000))</f>
        <v>0</v>
      </c>
      <c r="CF305" s="17">
        <f>IF(Accounts!$C$305="","",Accounts!$C$305)</f>
        <v>0</v>
      </c>
      <c r="CG305" s="17">
        <f>IF(Accounts!$B$305="","",Accounts!$B$305)</f>
        <v>0</v>
      </c>
      <c r="CH305" s="23">
        <f>IF(Accounts!$J$305="","",Accounts!$J$305)</f>
        <v>0</v>
      </c>
      <c r="CI305" s="23">
        <f>IF(CF305="","",SUMIFS(Analytics!$X$5:$X$154,Analytics!$E$5:$E$154,CF305,Analytics!$B$5:$B$154,"&gt;="&amp;DashStart,Analytics!$B$5:$B$154,"&lt;="&amp;DashEnd))</f>
        <v>0</v>
      </c>
      <c r="CJ305" s="32">
        <f>IF(CH305="","",IF(CH305=0,"",CH305+ROW()/1000000))</f>
        <v>0</v>
      </c>
    </row>
    <row r="306" spans="1:88">
      <c r="A306" s="16">
        <f>IF(ROW()-4&gt;12,"",DATE(PlanYear,ROW()-4,1))</f>
        <v>0</v>
      </c>
      <c r="B306" s="16">
        <f>IF(A306="","",EOMONTH(A306,0))</f>
        <v>0</v>
      </c>
      <c r="C306" s="17">
        <f>IF(A306="","",TEXT(A306,"yyyy-mm"))</f>
        <v>0</v>
      </c>
      <c r="D306" s="17">
        <f>IF(A306="","",TEXT(A306,"mmm"))</f>
        <v>0</v>
      </c>
      <c r="E306" s="23">
        <f>IF(C306="","",COUNTIFS('Content Calendar'!$D$5:$D$604,C306))</f>
        <v>0</v>
      </c>
      <c r="F306" s="23">
        <f>IF(C306="","",COUNTIFS('Content Calendar'!$D$5:$D$604,C306,'Content Calendar'!$X$5:$X$604,"Published"))</f>
        <v>0</v>
      </c>
      <c r="G306" s="23">
        <f>IF(C306="","",SUMIFS(Analytics!$J$5:$J$154,Analytics!$C$5:$C$154,C306))</f>
        <v>0</v>
      </c>
      <c r="H306" s="23">
        <f>IF(C306="","",SUMIFS(Analytics!$K$5:$K$154,Analytics!$C$5:$C$154,C306))</f>
        <v>0</v>
      </c>
      <c r="I306" s="23">
        <f>IF(C306="","",SUMIFS(Analytics!$L$5:$L$154,Analytics!$C$5:$C$154,C306))</f>
        <v>0</v>
      </c>
      <c r="J306" s="24">
        <f>IF(OR(G306="",G306=0),"",I306/G306)</f>
        <v>0</v>
      </c>
      <c r="K306" s="23">
        <f>IF(C306="","",SUMIFS(Analytics!$G$5:$G$154,Analytics!$C$5:$C$154,C306))</f>
        <v>0</v>
      </c>
      <c r="L306" s="23">
        <f>IF(C306="","",SUMIFS(Analytics!$X$5:$X$154,Analytics!$C$5:$C$154,C306))</f>
        <v>0</v>
      </c>
      <c r="M306" s="23">
        <f>IF(C306="","",SUMIFS(Analytics!$R$5:$R$154,Analytics!$C$5:$C$154,C306))</f>
        <v>0</v>
      </c>
      <c r="N306" s="23">
        <f>IF(C306="","",SUMIFS(Analytics!$S$5:$S$154,Analytics!$C$5:$C$154,C306))</f>
        <v>0</v>
      </c>
      <c r="O306" s="23">
        <f>IF(C306="","",SUMIFS(Analytics!$T$5:$T$154,Analytics!$C$5:$C$154,C306))</f>
        <v>0</v>
      </c>
      <c r="P306" s="25">
        <f>IF(C306="","",SUMIFS(Analytics!$U$5:$U$154,Analytics!$C$5:$C$154,C306))</f>
        <v>0</v>
      </c>
      <c r="Q306" s="25">
        <f>IF(C306="","",SUMIFS(Budget!$H$5:$H$64,Budget!$C$5:$C$64,C306))</f>
        <v>0</v>
      </c>
      <c r="R306" s="25">
        <f>IF(C306="","",P306-Q306)</f>
        <v>0</v>
      </c>
      <c r="S306" s="23">
        <f>IF(C306="","",MonthlyPostTarget)</f>
        <v>0</v>
      </c>
      <c r="T306" s="17">
        <f>IF(Lists!$C306="","",Lists!$C306)</f>
        <v>0</v>
      </c>
      <c r="U306" s="23">
        <f>IF(T306="","",COUNTIFS('Content Calendar'!$G$5:$G$604,T306,'Content Calendar'!$B$5:$B$604,"&gt;="&amp;DashStart,'Content Calendar'!$B$5:$B$604,"&lt;="&amp;DashEnd))</f>
        <v>0</v>
      </c>
      <c r="V306" s="23">
        <f>IF(T306="","",COUNTIFS('Content Calendar'!$G$5:$G$604,T306,'Content Calendar'!$X$5:$X$604,"Published",'Content Calendar'!$B$5:$B$604,"&gt;="&amp;DashStart,'Content Calendar'!$B$5:$B$604,"&lt;="&amp;DashEnd))</f>
        <v>0</v>
      </c>
      <c r="W306" s="23">
        <f>IF(T306="","",SUMIFS(Analytics!$J$5:$J$154,Analytics!$D$5:$D$154,T306,Analytics!$B$5:$B$154,"&gt;="&amp;DashStart,Analytics!$B$5:$B$154,"&lt;="&amp;DashEnd))</f>
        <v>0</v>
      </c>
      <c r="X306" s="23">
        <f>IF(T306="","",SUMIFS(Analytics!$L$5:$L$154,Analytics!$D$5:$D$154,T306,Analytics!$B$5:$B$154,"&gt;="&amp;DashStart,Analytics!$B$5:$B$154,"&lt;="&amp;DashEnd))</f>
        <v>0</v>
      </c>
      <c r="Y306" s="24">
        <f>IF(OR(W306="",W306=0),"",X306/W306)</f>
        <v>0</v>
      </c>
      <c r="Z306" s="23">
        <f>IF(T306="","",SUMIFS(Analytics!$G$5:$G$154,Analytics!$D$5:$D$154,T306,Analytics!$B$5:$B$154,"&gt;="&amp;DashStart,Analytics!$B$5:$B$154,"&lt;="&amp;DashEnd))</f>
        <v>0</v>
      </c>
      <c r="AA306" s="23">
        <f>IF(T306="","",SUMIFS(Analytics!$X$5:$X$154,Analytics!$D$5:$D$154,T306,Analytics!$B$5:$B$154,"&gt;="&amp;DashStart,Analytics!$B$5:$B$154,"&lt;="&amp;DashEnd))</f>
        <v>0</v>
      </c>
      <c r="AB306" s="23">
        <f>IF(T306="","",SUMIFS(Analytics!$R$5:$R$154,Analytics!$D$5:$D$154,T306,Analytics!$B$5:$B$154,"&gt;="&amp;DashStart,Analytics!$B$5:$B$154,"&lt;="&amp;DashEnd))</f>
        <v>0</v>
      </c>
      <c r="AC306" s="25">
        <f>IF(T306="","",SUMIFS(Analytics!$U$5:$U$154,Analytics!$D$5:$D$154,T306,Analytics!$B$5:$B$154,"&gt;="&amp;DashStart,Analytics!$B$5:$B$154,"&lt;="&amp;DashEnd))</f>
        <v>0</v>
      </c>
      <c r="AD306" s="23">
        <f>IF(T306="","",COUNTIFS('Content Calendar'!$G$5:$G$604,T306,'Content Calendar'!$B$5:$B$604,"&gt;="&amp;DATE(PlanYear,1,1),'Content Calendar'!$B$5:$B$604,"&lt;="&amp;DATE(PlanYear,12,31)))</f>
        <v>0</v>
      </c>
      <c r="AE306" s="23">
        <f>IF(T306="","",SUMIFS(Analytics!$J$5:$J$154,Analytics!$D$5:$D$154,T306))</f>
        <v>0</v>
      </c>
      <c r="AF306" s="23">
        <f>IF(T306="","",SUMIFS(Analytics!$L$5:$L$154,Analytics!$D$5:$D$154,T306))</f>
        <v>0</v>
      </c>
      <c r="AG306" s="24">
        <f>IF(OR(AE306="",AE306=0),"",AF306/AE306)</f>
        <v>0</v>
      </c>
      <c r="AH306" s="23">
        <f>IF(T306="","",SUMIFS(Analytics!$X$5:$X$154,Analytics!$D$5:$D$154,T306))</f>
        <v>0</v>
      </c>
      <c r="AI306" s="32">
        <f>IF(T306="","",IF(AE306=0,"",AE306+ROW()/1000000))</f>
        <v>0</v>
      </c>
      <c r="AJ306" s="17">
        <f>IF('Content Pillars'!$B$306="","",'Content Pillars'!$B$306)</f>
        <v>0</v>
      </c>
      <c r="AK306" s="23">
        <f>IF(AJ306="","",COUNTIFS('Content Calendar'!$J$5:$J$604,AJ306,'Content Calendar'!$B$5:$B$604,"&gt;="&amp;DATE(PlanYear,1,1),'Content Calendar'!$B$5:$B$604,"&lt;="&amp;DATE(PlanYear,12,31)))</f>
        <v>0</v>
      </c>
      <c r="AL306" s="23">
        <f>IF(AJ306="","",SUMIFS(Performance!$O$5:$O$404,Performance!$H$5:$H$404,AJ306))</f>
        <v>0</v>
      </c>
      <c r="AM306" s="23">
        <f>IF(AJ306="","",SUMIFS(Performance!$Z$5:$Z$404,Performance!$H$5:$H$404,AJ306))</f>
        <v>0</v>
      </c>
      <c r="AN306" s="24">
        <f>IF(OR(AL306="",AL306=0),"",AM306/AL306)</f>
        <v>0</v>
      </c>
      <c r="AO306" s="32">
        <f>IF(AN306="","",AN306+ROW()/1000000)</f>
        <v>0</v>
      </c>
      <c r="AP306" s="17">
        <f>IF(Lists!$E306="","",Lists!$E306)</f>
        <v>0</v>
      </c>
      <c r="AQ306" s="23">
        <f>IF(AP306="","",COUNTIF(Performance!$G$5:$G$404,AP306))</f>
        <v>0</v>
      </c>
      <c r="AR306" s="23">
        <f>IF(AP306="","",SUMIFS(Performance!$O$5:$O$404,Performance!$G$5:$G$404,AP306))</f>
        <v>0</v>
      </c>
      <c r="AS306" s="23">
        <f>IF(AP306="","",SUMIFS(Performance!$Z$5:$Z$404,Performance!$G$5:$G$404,AP306))</f>
        <v>0</v>
      </c>
      <c r="AT306" s="24">
        <f>IF(OR(AR306="",AR306=0),"",AS306/AR306)</f>
        <v>0</v>
      </c>
      <c r="AU306" s="32">
        <f>IF(AQ306=0,"",IF(AT306="","",AT306+ROW()/1000000))</f>
        <v>0</v>
      </c>
      <c r="AV306" s="17">
        <f>IF(ROW()-4&gt;7,"",TEXT(DATE(2024,1,ROW()-4),"ddd"))</f>
        <v>0</v>
      </c>
      <c r="AW306" s="23">
        <f>IF(AV306="","",COUNTIF(Performance!$N$5:$N$404,AV306))</f>
        <v>0</v>
      </c>
      <c r="AX306" s="23">
        <f>IF(AV306="","",SUMIFS(Performance!$O$5:$O$404,Performance!$N$5:$N$404,AV306))</f>
        <v>0</v>
      </c>
      <c r="AY306" s="23">
        <f>IF(AV306="","",SUMIFS(Performance!$Z$5:$Z$404,Performance!$N$5:$N$404,AV306))</f>
        <v>0</v>
      </c>
      <c r="AZ306" s="24">
        <f>IF(OR(AX306="",AX306=0),"",AY306/AX306)</f>
        <v>0</v>
      </c>
      <c r="BA306" s="32">
        <f>IF(AW306=0,"",IF(AZ306="","",AZ306+ROW()/1000000))</f>
        <v>0</v>
      </c>
      <c r="BB306" s="17">
        <f>IF(Lists!$AL306="","",Lists!$AL306)</f>
        <v>0</v>
      </c>
      <c r="BC306" s="23">
        <f>IF(BB306="","",COUNTIF(Performance!$M$5:$M$404,BB306))</f>
        <v>0</v>
      </c>
      <c r="BD306" s="23">
        <f>IF(BB306="","",SUMIFS(Performance!$O$5:$O$404,Performance!$M$5:$M$404,BB306))</f>
        <v>0</v>
      </c>
      <c r="BE306" s="23">
        <f>IF(BB306="","",SUMIFS(Performance!$Z$5:$Z$404,Performance!$M$5:$M$404,BB306))</f>
        <v>0</v>
      </c>
      <c r="BF306" s="24">
        <f>IF(OR(BD306="",BD306=0),"",BE306/BD306)</f>
        <v>0</v>
      </c>
      <c r="BG306" s="32">
        <f>IF(BC306=0,"",IF(BF306="","",BF306+ROW()/1000000))</f>
        <v>0</v>
      </c>
      <c r="BH306" s="17">
        <f>IF(Performance!$C$306="","",Performance!$C$306)</f>
        <v>0</v>
      </c>
      <c r="BI306" s="17">
        <f>IF(Performance!$F$306="","",Performance!$F$306)</f>
        <v>0</v>
      </c>
      <c r="BJ306" s="17">
        <f>IF(Performance!$H$306="","",Performance!$H$306)</f>
        <v>0</v>
      </c>
      <c r="BK306" s="16">
        <f>IF(Performance!$D$306="","",Performance!$D$306)</f>
        <v>0</v>
      </c>
      <c r="BL306" s="17">
        <f>IF(Performance!$E$306="","",Performance!$E$306)</f>
        <v>0</v>
      </c>
      <c r="BM306" s="23">
        <f>IF(Performance!$O$306="","",Performance!$O$306)</f>
        <v>0</v>
      </c>
      <c r="BN306" s="24">
        <f>IF(Performance!$AA$306="","",Performance!$AA$306)</f>
        <v>0</v>
      </c>
      <c r="BO306" s="32">
        <f>IF(BH306="","",IF(BK306="","",IF(OR(BK306&lt;DashStart,BK306&gt;DashEnd),"",IF(BN306="","",BN306+ROW()/1000000))))</f>
        <v>0</v>
      </c>
      <c r="BP306" s="32">
        <f>IF(BM306="","",IF(BK306="","",IF(OR(BK306&lt;DashStart,BK306&gt;DashEnd),"",BM306+ROW()/1000000)))</f>
        <v>0</v>
      </c>
      <c r="BQ306" s="32">
        <f>IF(BH306="","",IF(BK306="","",IF(YEAR(BK306)&lt;&gt;PlanYear,"",IF(BN306="","",BN306+ROW()/1000000))))</f>
        <v>0</v>
      </c>
      <c r="BR306" s="32">
        <f>IF(BH306="","",IF(BK306="","",IF(OR(BK306&lt;RepFrom,BK306&gt;RepTo),"",IF(BN306="","",BN306+ROW()/1000000))))</f>
        <v>0</v>
      </c>
      <c r="BS306" s="32">
        <f>IF(BM306="","",IF(BK306="","",IF(YEAR(BK306)&lt;&gt;PlanYear,"",BM306+ROW()/1000000)))</f>
        <v>0</v>
      </c>
      <c r="BT306" s="17">
        <f>IF(Lists!$F306="","",Lists!$F306)</f>
        <v>0</v>
      </c>
      <c r="BU306" s="23">
        <f>IF(BT306="","",COUNTIF('Content Calendar'!$X$5:$X$604,BT306))</f>
        <v>0</v>
      </c>
      <c r="BV306" s="23">
        <f>IF(BT306="","",COUNTIFS('Content Calendar'!$X$5:$X$604,BT306,'Content Calendar'!$B$5:$B$604,"&gt;="&amp;DashStart,'Content Calendar'!$B$5:$B$604,"&lt;="&amp;DashEnd))</f>
        <v>0</v>
      </c>
      <c r="BW306" s="17">
        <f>IF(Team!$B$306="","",Team!$B$306)</f>
        <v>0</v>
      </c>
      <c r="BX306" s="23">
        <f>IF(BW306="","",COUNTIF('Content Calendar'!$W$5:$W$604,BW306))</f>
        <v>0</v>
      </c>
      <c r="BY306" s="23">
        <f>IF(BW306="","",COUNTIFS('Content Calendar'!$W$5:$W$604,BW306,'Content Calendar'!$X$5:$X$604,"&lt;&gt;Published"))</f>
        <v>0</v>
      </c>
      <c r="BZ306" s="23">
        <f>IF(BW306="","",COUNTIFS(Tasks!$C$5:$C$64,BW306,Tasks!$G$5:$G$64,"&lt;&gt;Complete"))</f>
        <v>0</v>
      </c>
      <c r="CA306" s="17">
        <f>IF(Campaigns!$B$306="","",Campaigns!$B$306)</f>
        <v>0</v>
      </c>
      <c r="CB306" s="25">
        <f>IF(Campaigns!$T$306="","",Campaigns!$T$306)</f>
        <v>0</v>
      </c>
      <c r="CC306" s="25">
        <f>IF(Campaigns!$Q$306="","",Campaigns!$Q$306)</f>
        <v>0</v>
      </c>
      <c r="CD306" s="23">
        <f>IF(Campaigns!$Y$306="","",Campaigns!$Y$306)</f>
        <v>0</v>
      </c>
      <c r="CE306" s="32">
        <f>IF(CA306="","",IF(N(CB306)&lt;=0,"",N(CB306)+ROW()/1000000))</f>
        <v>0</v>
      </c>
      <c r="CF306" s="17">
        <f>IF(Accounts!$C$306="","",Accounts!$C$306)</f>
        <v>0</v>
      </c>
      <c r="CG306" s="17">
        <f>IF(Accounts!$B$306="","",Accounts!$B$306)</f>
        <v>0</v>
      </c>
      <c r="CH306" s="23">
        <f>IF(Accounts!$J$306="","",Accounts!$J$306)</f>
        <v>0</v>
      </c>
      <c r="CI306" s="23">
        <f>IF(CF306="","",SUMIFS(Analytics!$X$5:$X$154,Analytics!$E$5:$E$154,CF306,Analytics!$B$5:$B$154,"&gt;="&amp;DashStart,Analytics!$B$5:$B$154,"&lt;="&amp;DashEnd))</f>
        <v>0</v>
      </c>
      <c r="CJ306" s="32">
        <f>IF(CH306="","",IF(CH306=0,"",CH306+ROW()/1000000))</f>
        <v>0</v>
      </c>
    </row>
    <row r="307" spans="1:88">
      <c r="A307" s="16">
        <f>IF(ROW()-4&gt;12,"",DATE(PlanYear,ROW()-4,1))</f>
        <v>0</v>
      </c>
      <c r="B307" s="16">
        <f>IF(A307="","",EOMONTH(A307,0))</f>
        <v>0</v>
      </c>
      <c r="C307" s="17">
        <f>IF(A307="","",TEXT(A307,"yyyy-mm"))</f>
        <v>0</v>
      </c>
      <c r="D307" s="17">
        <f>IF(A307="","",TEXT(A307,"mmm"))</f>
        <v>0</v>
      </c>
      <c r="E307" s="23">
        <f>IF(C307="","",COUNTIFS('Content Calendar'!$D$5:$D$604,C307))</f>
        <v>0</v>
      </c>
      <c r="F307" s="23">
        <f>IF(C307="","",COUNTIFS('Content Calendar'!$D$5:$D$604,C307,'Content Calendar'!$X$5:$X$604,"Published"))</f>
        <v>0</v>
      </c>
      <c r="G307" s="23">
        <f>IF(C307="","",SUMIFS(Analytics!$J$5:$J$154,Analytics!$C$5:$C$154,C307))</f>
        <v>0</v>
      </c>
      <c r="H307" s="23">
        <f>IF(C307="","",SUMIFS(Analytics!$K$5:$K$154,Analytics!$C$5:$C$154,C307))</f>
        <v>0</v>
      </c>
      <c r="I307" s="23">
        <f>IF(C307="","",SUMIFS(Analytics!$L$5:$L$154,Analytics!$C$5:$C$154,C307))</f>
        <v>0</v>
      </c>
      <c r="J307" s="24">
        <f>IF(OR(G307="",G307=0),"",I307/G307)</f>
        <v>0</v>
      </c>
      <c r="K307" s="23">
        <f>IF(C307="","",SUMIFS(Analytics!$G$5:$G$154,Analytics!$C$5:$C$154,C307))</f>
        <v>0</v>
      </c>
      <c r="L307" s="23">
        <f>IF(C307="","",SUMIFS(Analytics!$X$5:$X$154,Analytics!$C$5:$C$154,C307))</f>
        <v>0</v>
      </c>
      <c r="M307" s="23">
        <f>IF(C307="","",SUMIFS(Analytics!$R$5:$R$154,Analytics!$C$5:$C$154,C307))</f>
        <v>0</v>
      </c>
      <c r="N307" s="23">
        <f>IF(C307="","",SUMIFS(Analytics!$S$5:$S$154,Analytics!$C$5:$C$154,C307))</f>
        <v>0</v>
      </c>
      <c r="O307" s="23">
        <f>IF(C307="","",SUMIFS(Analytics!$T$5:$T$154,Analytics!$C$5:$C$154,C307))</f>
        <v>0</v>
      </c>
      <c r="P307" s="25">
        <f>IF(C307="","",SUMIFS(Analytics!$U$5:$U$154,Analytics!$C$5:$C$154,C307))</f>
        <v>0</v>
      </c>
      <c r="Q307" s="25">
        <f>IF(C307="","",SUMIFS(Budget!$H$5:$H$64,Budget!$C$5:$C$64,C307))</f>
        <v>0</v>
      </c>
      <c r="R307" s="25">
        <f>IF(C307="","",P307-Q307)</f>
        <v>0</v>
      </c>
      <c r="S307" s="23">
        <f>IF(C307="","",MonthlyPostTarget)</f>
        <v>0</v>
      </c>
      <c r="T307" s="17">
        <f>IF(Lists!$C307="","",Lists!$C307)</f>
        <v>0</v>
      </c>
      <c r="U307" s="23">
        <f>IF(T307="","",COUNTIFS('Content Calendar'!$G$5:$G$604,T307,'Content Calendar'!$B$5:$B$604,"&gt;="&amp;DashStart,'Content Calendar'!$B$5:$B$604,"&lt;="&amp;DashEnd))</f>
        <v>0</v>
      </c>
      <c r="V307" s="23">
        <f>IF(T307="","",COUNTIFS('Content Calendar'!$G$5:$G$604,T307,'Content Calendar'!$X$5:$X$604,"Published",'Content Calendar'!$B$5:$B$604,"&gt;="&amp;DashStart,'Content Calendar'!$B$5:$B$604,"&lt;="&amp;DashEnd))</f>
        <v>0</v>
      </c>
      <c r="W307" s="23">
        <f>IF(T307="","",SUMIFS(Analytics!$J$5:$J$154,Analytics!$D$5:$D$154,T307,Analytics!$B$5:$B$154,"&gt;="&amp;DashStart,Analytics!$B$5:$B$154,"&lt;="&amp;DashEnd))</f>
        <v>0</v>
      </c>
      <c r="X307" s="23">
        <f>IF(T307="","",SUMIFS(Analytics!$L$5:$L$154,Analytics!$D$5:$D$154,T307,Analytics!$B$5:$B$154,"&gt;="&amp;DashStart,Analytics!$B$5:$B$154,"&lt;="&amp;DashEnd))</f>
        <v>0</v>
      </c>
      <c r="Y307" s="24">
        <f>IF(OR(W307="",W307=0),"",X307/W307)</f>
        <v>0</v>
      </c>
      <c r="Z307" s="23">
        <f>IF(T307="","",SUMIFS(Analytics!$G$5:$G$154,Analytics!$D$5:$D$154,T307,Analytics!$B$5:$B$154,"&gt;="&amp;DashStart,Analytics!$B$5:$B$154,"&lt;="&amp;DashEnd))</f>
        <v>0</v>
      </c>
      <c r="AA307" s="23">
        <f>IF(T307="","",SUMIFS(Analytics!$X$5:$X$154,Analytics!$D$5:$D$154,T307,Analytics!$B$5:$B$154,"&gt;="&amp;DashStart,Analytics!$B$5:$B$154,"&lt;="&amp;DashEnd))</f>
        <v>0</v>
      </c>
      <c r="AB307" s="23">
        <f>IF(T307="","",SUMIFS(Analytics!$R$5:$R$154,Analytics!$D$5:$D$154,T307,Analytics!$B$5:$B$154,"&gt;="&amp;DashStart,Analytics!$B$5:$B$154,"&lt;="&amp;DashEnd))</f>
        <v>0</v>
      </c>
      <c r="AC307" s="25">
        <f>IF(T307="","",SUMIFS(Analytics!$U$5:$U$154,Analytics!$D$5:$D$154,T307,Analytics!$B$5:$B$154,"&gt;="&amp;DashStart,Analytics!$B$5:$B$154,"&lt;="&amp;DashEnd))</f>
        <v>0</v>
      </c>
      <c r="AD307" s="23">
        <f>IF(T307="","",COUNTIFS('Content Calendar'!$G$5:$G$604,T307,'Content Calendar'!$B$5:$B$604,"&gt;="&amp;DATE(PlanYear,1,1),'Content Calendar'!$B$5:$B$604,"&lt;="&amp;DATE(PlanYear,12,31)))</f>
        <v>0</v>
      </c>
      <c r="AE307" s="23">
        <f>IF(T307="","",SUMIFS(Analytics!$J$5:$J$154,Analytics!$D$5:$D$154,T307))</f>
        <v>0</v>
      </c>
      <c r="AF307" s="23">
        <f>IF(T307="","",SUMIFS(Analytics!$L$5:$L$154,Analytics!$D$5:$D$154,T307))</f>
        <v>0</v>
      </c>
      <c r="AG307" s="24">
        <f>IF(OR(AE307="",AE307=0),"",AF307/AE307)</f>
        <v>0</v>
      </c>
      <c r="AH307" s="23">
        <f>IF(T307="","",SUMIFS(Analytics!$X$5:$X$154,Analytics!$D$5:$D$154,T307))</f>
        <v>0</v>
      </c>
      <c r="AI307" s="32">
        <f>IF(T307="","",IF(AE307=0,"",AE307+ROW()/1000000))</f>
        <v>0</v>
      </c>
      <c r="AJ307" s="17">
        <f>IF('Content Pillars'!$B$307="","",'Content Pillars'!$B$307)</f>
        <v>0</v>
      </c>
      <c r="AK307" s="23">
        <f>IF(AJ307="","",COUNTIFS('Content Calendar'!$J$5:$J$604,AJ307,'Content Calendar'!$B$5:$B$604,"&gt;="&amp;DATE(PlanYear,1,1),'Content Calendar'!$B$5:$B$604,"&lt;="&amp;DATE(PlanYear,12,31)))</f>
        <v>0</v>
      </c>
      <c r="AL307" s="23">
        <f>IF(AJ307="","",SUMIFS(Performance!$O$5:$O$404,Performance!$H$5:$H$404,AJ307))</f>
        <v>0</v>
      </c>
      <c r="AM307" s="23">
        <f>IF(AJ307="","",SUMIFS(Performance!$Z$5:$Z$404,Performance!$H$5:$H$404,AJ307))</f>
        <v>0</v>
      </c>
      <c r="AN307" s="24">
        <f>IF(OR(AL307="",AL307=0),"",AM307/AL307)</f>
        <v>0</v>
      </c>
      <c r="AO307" s="32">
        <f>IF(AN307="","",AN307+ROW()/1000000)</f>
        <v>0</v>
      </c>
      <c r="AP307" s="17">
        <f>IF(Lists!$E307="","",Lists!$E307)</f>
        <v>0</v>
      </c>
      <c r="AQ307" s="23">
        <f>IF(AP307="","",COUNTIF(Performance!$G$5:$G$404,AP307))</f>
        <v>0</v>
      </c>
      <c r="AR307" s="23">
        <f>IF(AP307="","",SUMIFS(Performance!$O$5:$O$404,Performance!$G$5:$G$404,AP307))</f>
        <v>0</v>
      </c>
      <c r="AS307" s="23">
        <f>IF(AP307="","",SUMIFS(Performance!$Z$5:$Z$404,Performance!$G$5:$G$404,AP307))</f>
        <v>0</v>
      </c>
      <c r="AT307" s="24">
        <f>IF(OR(AR307="",AR307=0),"",AS307/AR307)</f>
        <v>0</v>
      </c>
      <c r="AU307" s="32">
        <f>IF(AQ307=0,"",IF(AT307="","",AT307+ROW()/1000000))</f>
        <v>0</v>
      </c>
      <c r="AV307" s="17">
        <f>IF(ROW()-4&gt;7,"",TEXT(DATE(2024,1,ROW()-4),"ddd"))</f>
        <v>0</v>
      </c>
      <c r="AW307" s="23">
        <f>IF(AV307="","",COUNTIF(Performance!$N$5:$N$404,AV307))</f>
        <v>0</v>
      </c>
      <c r="AX307" s="23">
        <f>IF(AV307="","",SUMIFS(Performance!$O$5:$O$404,Performance!$N$5:$N$404,AV307))</f>
        <v>0</v>
      </c>
      <c r="AY307" s="23">
        <f>IF(AV307="","",SUMIFS(Performance!$Z$5:$Z$404,Performance!$N$5:$N$404,AV307))</f>
        <v>0</v>
      </c>
      <c r="AZ307" s="24">
        <f>IF(OR(AX307="",AX307=0),"",AY307/AX307)</f>
        <v>0</v>
      </c>
      <c r="BA307" s="32">
        <f>IF(AW307=0,"",IF(AZ307="","",AZ307+ROW()/1000000))</f>
        <v>0</v>
      </c>
      <c r="BB307" s="17">
        <f>IF(Lists!$AL307="","",Lists!$AL307)</f>
        <v>0</v>
      </c>
      <c r="BC307" s="23">
        <f>IF(BB307="","",COUNTIF(Performance!$M$5:$M$404,BB307))</f>
        <v>0</v>
      </c>
      <c r="BD307" s="23">
        <f>IF(BB307="","",SUMIFS(Performance!$O$5:$O$404,Performance!$M$5:$M$404,BB307))</f>
        <v>0</v>
      </c>
      <c r="BE307" s="23">
        <f>IF(BB307="","",SUMIFS(Performance!$Z$5:$Z$404,Performance!$M$5:$M$404,BB307))</f>
        <v>0</v>
      </c>
      <c r="BF307" s="24">
        <f>IF(OR(BD307="",BD307=0),"",BE307/BD307)</f>
        <v>0</v>
      </c>
      <c r="BG307" s="32">
        <f>IF(BC307=0,"",IF(BF307="","",BF307+ROW()/1000000))</f>
        <v>0</v>
      </c>
      <c r="BH307" s="17">
        <f>IF(Performance!$C$307="","",Performance!$C$307)</f>
        <v>0</v>
      </c>
      <c r="BI307" s="17">
        <f>IF(Performance!$F$307="","",Performance!$F$307)</f>
        <v>0</v>
      </c>
      <c r="BJ307" s="17">
        <f>IF(Performance!$H$307="","",Performance!$H$307)</f>
        <v>0</v>
      </c>
      <c r="BK307" s="16">
        <f>IF(Performance!$D$307="","",Performance!$D$307)</f>
        <v>0</v>
      </c>
      <c r="BL307" s="17">
        <f>IF(Performance!$E$307="","",Performance!$E$307)</f>
        <v>0</v>
      </c>
      <c r="BM307" s="23">
        <f>IF(Performance!$O$307="","",Performance!$O$307)</f>
        <v>0</v>
      </c>
      <c r="BN307" s="24">
        <f>IF(Performance!$AA$307="","",Performance!$AA$307)</f>
        <v>0</v>
      </c>
      <c r="BO307" s="32">
        <f>IF(BH307="","",IF(BK307="","",IF(OR(BK307&lt;DashStart,BK307&gt;DashEnd),"",IF(BN307="","",BN307+ROW()/1000000))))</f>
        <v>0</v>
      </c>
      <c r="BP307" s="32">
        <f>IF(BM307="","",IF(BK307="","",IF(OR(BK307&lt;DashStart,BK307&gt;DashEnd),"",BM307+ROW()/1000000)))</f>
        <v>0</v>
      </c>
      <c r="BQ307" s="32">
        <f>IF(BH307="","",IF(BK307="","",IF(YEAR(BK307)&lt;&gt;PlanYear,"",IF(BN307="","",BN307+ROW()/1000000))))</f>
        <v>0</v>
      </c>
      <c r="BR307" s="32">
        <f>IF(BH307="","",IF(BK307="","",IF(OR(BK307&lt;RepFrom,BK307&gt;RepTo),"",IF(BN307="","",BN307+ROW()/1000000))))</f>
        <v>0</v>
      </c>
      <c r="BS307" s="32">
        <f>IF(BM307="","",IF(BK307="","",IF(YEAR(BK307)&lt;&gt;PlanYear,"",BM307+ROW()/1000000)))</f>
        <v>0</v>
      </c>
      <c r="BT307" s="17">
        <f>IF(Lists!$F307="","",Lists!$F307)</f>
        <v>0</v>
      </c>
      <c r="BU307" s="23">
        <f>IF(BT307="","",COUNTIF('Content Calendar'!$X$5:$X$604,BT307))</f>
        <v>0</v>
      </c>
      <c r="BV307" s="23">
        <f>IF(BT307="","",COUNTIFS('Content Calendar'!$X$5:$X$604,BT307,'Content Calendar'!$B$5:$B$604,"&gt;="&amp;DashStart,'Content Calendar'!$B$5:$B$604,"&lt;="&amp;DashEnd))</f>
        <v>0</v>
      </c>
      <c r="BW307" s="17">
        <f>IF(Team!$B$307="","",Team!$B$307)</f>
        <v>0</v>
      </c>
      <c r="BX307" s="23">
        <f>IF(BW307="","",COUNTIF('Content Calendar'!$W$5:$W$604,BW307))</f>
        <v>0</v>
      </c>
      <c r="BY307" s="23">
        <f>IF(BW307="","",COUNTIFS('Content Calendar'!$W$5:$W$604,BW307,'Content Calendar'!$X$5:$X$604,"&lt;&gt;Published"))</f>
        <v>0</v>
      </c>
      <c r="BZ307" s="23">
        <f>IF(BW307="","",COUNTIFS(Tasks!$C$5:$C$64,BW307,Tasks!$G$5:$G$64,"&lt;&gt;Complete"))</f>
        <v>0</v>
      </c>
      <c r="CA307" s="17">
        <f>IF(Campaigns!$B$307="","",Campaigns!$B$307)</f>
        <v>0</v>
      </c>
      <c r="CB307" s="25">
        <f>IF(Campaigns!$T$307="","",Campaigns!$T$307)</f>
        <v>0</v>
      </c>
      <c r="CC307" s="25">
        <f>IF(Campaigns!$Q$307="","",Campaigns!$Q$307)</f>
        <v>0</v>
      </c>
      <c r="CD307" s="23">
        <f>IF(Campaigns!$Y$307="","",Campaigns!$Y$307)</f>
        <v>0</v>
      </c>
      <c r="CE307" s="32">
        <f>IF(CA307="","",IF(N(CB307)&lt;=0,"",N(CB307)+ROW()/1000000))</f>
        <v>0</v>
      </c>
      <c r="CF307" s="17">
        <f>IF(Accounts!$C$307="","",Accounts!$C$307)</f>
        <v>0</v>
      </c>
      <c r="CG307" s="17">
        <f>IF(Accounts!$B$307="","",Accounts!$B$307)</f>
        <v>0</v>
      </c>
      <c r="CH307" s="23">
        <f>IF(Accounts!$J$307="","",Accounts!$J$307)</f>
        <v>0</v>
      </c>
      <c r="CI307" s="23">
        <f>IF(CF307="","",SUMIFS(Analytics!$X$5:$X$154,Analytics!$E$5:$E$154,CF307,Analytics!$B$5:$B$154,"&gt;="&amp;DashStart,Analytics!$B$5:$B$154,"&lt;="&amp;DashEnd))</f>
        <v>0</v>
      </c>
      <c r="CJ307" s="32">
        <f>IF(CH307="","",IF(CH307=0,"",CH307+ROW()/1000000))</f>
        <v>0</v>
      </c>
    </row>
    <row r="308" spans="1:88">
      <c r="A308" s="16">
        <f>IF(ROW()-4&gt;12,"",DATE(PlanYear,ROW()-4,1))</f>
        <v>0</v>
      </c>
      <c r="B308" s="16">
        <f>IF(A308="","",EOMONTH(A308,0))</f>
        <v>0</v>
      </c>
      <c r="C308" s="17">
        <f>IF(A308="","",TEXT(A308,"yyyy-mm"))</f>
        <v>0</v>
      </c>
      <c r="D308" s="17">
        <f>IF(A308="","",TEXT(A308,"mmm"))</f>
        <v>0</v>
      </c>
      <c r="E308" s="23">
        <f>IF(C308="","",COUNTIFS('Content Calendar'!$D$5:$D$604,C308))</f>
        <v>0</v>
      </c>
      <c r="F308" s="23">
        <f>IF(C308="","",COUNTIFS('Content Calendar'!$D$5:$D$604,C308,'Content Calendar'!$X$5:$X$604,"Published"))</f>
        <v>0</v>
      </c>
      <c r="G308" s="23">
        <f>IF(C308="","",SUMIFS(Analytics!$J$5:$J$154,Analytics!$C$5:$C$154,C308))</f>
        <v>0</v>
      </c>
      <c r="H308" s="23">
        <f>IF(C308="","",SUMIFS(Analytics!$K$5:$K$154,Analytics!$C$5:$C$154,C308))</f>
        <v>0</v>
      </c>
      <c r="I308" s="23">
        <f>IF(C308="","",SUMIFS(Analytics!$L$5:$L$154,Analytics!$C$5:$C$154,C308))</f>
        <v>0</v>
      </c>
      <c r="J308" s="24">
        <f>IF(OR(G308="",G308=0),"",I308/G308)</f>
        <v>0</v>
      </c>
      <c r="K308" s="23">
        <f>IF(C308="","",SUMIFS(Analytics!$G$5:$G$154,Analytics!$C$5:$C$154,C308))</f>
        <v>0</v>
      </c>
      <c r="L308" s="23">
        <f>IF(C308="","",SUMIFS(Analytics!$X$5:$X$154,Analytics!$C$5:$C$154,C308))</f>
        <v>0</v>
      </c>
      <c r="M308" s="23">
        <f>IF(C308="","",SUMIFS(Analytics!$R$5:$R$154,Analytics!$C$5:$C$154,C308))</f>
        <v>0</v>
      </c>
      <c r="N308" s="23">
        <f>IF(C308="","",SUMIFS(Analytics!$S$5:$S$154,Analytics!$C$5:$C$154,C308))</f>
        <v>0</v>
      </c>
      <c r="O308" s="23">
        <f>IF(C308="","",SUMIFS(Analytics!$T$5:$T$154,Analytics!$C$5:$C$154,C308))</f>
        <v>0</v>
      </c>
      <c r="P308" s="25">
        <f>IF(C308="","",SUMIFS(Analytics!$U$5:$U$154,Analytics!$C$5:$C$154,C308))</f>
        <v>0</v>
      </c>
      <c r="Q308" s="25">
        <f>IF(C308="","",SUMIFS(Budget!$H$5:$H$64,Budget!$C$5:$C$64,C308))</f>
        <v>0</v>
      </c>
      <c r="R308" s="25">
        <f>IF(C308="","",P308-Q308)</f>
        <v>0</v>
      </c>
      <c r="S308" s="23">
        <f>IF(C308="","",MonthlyPostTarget)</f>
        <v>0</v>
      </c>
      <c r="T308" s="17">
        <f>IF(Lists!$C308="","",Lists!$C308)</f>
        <v>0</v>
      </c>
      <c r="U308" s="23">
        <f>IF(T308="","",COUNTIFS('Content Calendar'!$G$5:$G$604,T308,'Content Calendar'!$B$5:$B$604,"&gt;="&amp;DashStart,'Content Calendar'!$B$5:$B$604,"&lt;="&amp;DashEnd))</f>
        <v>0</v>
      </c>
      <c r="V308" s="23">
        <f>IF(T308="","",COUNTIFS('Content Calendar'!$G$5:$G$604,T308,'Content Calendar'!$X$5:$X$604,"Published",'Content Calendar'!$B$5:$B$604,"&gt;="&amp;DashStart,'Content Calendar'!$B$5:$B$604,"&lt;="&amp;DashEnd))</f>
        <v>0</v>
      </c>
      <c r="W308" s="23">
        <f>IF(T308="","",SUMIFS(Analytics!$J$5:$J$154,Analytics!$D$5:$D$154,T308,Analytics!$B$5:$B$154,"&gt;="&amp;DashStart,Analytics!$B$5:$B$154,"&lt;="&amp;DashEnd))</f>
        <v>0</v>
      </c>
      <c r="X308" s="23">
        <f>IF(T308="","",SUMIFS(Analytics!$L$5:$L$154,Analytics!$D$5:$D$154,T308,Analytics!$B$5:$B$154,"&gt;="&amp;DashStart,Analytics!$B$5:$B$154,"&lt;="&amp;DashEnd))</f>
        <v>0</v>
      </c>
      <c r="Y308" s="24">
        <f>IF(OR(W308="",W308=0),"",X308/W308)</f>
        <v>0</v>
      </c>
      <c r="Z308" s="23">
        <f>IF(T308="","",SUMIFS(Analytics!$G$5:$G$154,Analytics!$D$5:$D$154,T308,Analytics!$B$5:$B$154,"&gt;="&amp;DashStart,Analytics!$B$5:$B$154,"&lt;="&amp;DashEnd))</f>
        <v>0</v>
      </c>
      <c r="AA308" s="23">
        <f>IF(T308="","",SUMIFS(Analytics!$X$5:$X$154,Analytics!$D$5:$D$154,T308,Analytics!$B$5:$B$154,"&gt;="&amp;DashStart,Analytics!$B$5:$B$154,"&lt;="&amp;DashEnd))</f>
        <v>0</v>
      </c>
      <c r="AB308" s="23">
        <f>IF(T308="","",SUMIFS(Analytics!$R$5:$R$154,Analytics!$D$5:$D$154,T308,Analytics!$B$5:$B$154,"&gt;="&amp;DashStart,Analytics!$B$5:$B$154,"&lt;="&amp;DashEnd))</f>
        <v>0</v>
      </c>
      <c r="AC308" s="25">
        <f>IF(T308="","",SUMIFS(Analytics!$U$5:$U$154,Analytics!$D$5:$D$154,T308,Analytics!$B$5:$B$154,"&gt;="&amp;DashStart,Analytics!$B$5:$B$154,"&lt;="&amp;DashEnd))</f>
        <v>0</v>
      </c>
      <c r="AD308" s="23">
        <f>IF(T308="","",COUNTIFS('Content Calendar'!$G$5:$G$604,T308,'Content Calendar'!$B$5:$B$604,"&gt;="&amp;DATE(PlanYear,1,1),'Content Calendar'!$B$5:$B$604,"&lt;="&amp;DATE(PlanYear,12,31)))</f>
        <v>0</v>
      </c>
      <c r="AE308" s="23">
        <f>IF(T308="","",SUMIFS(Analytics!$J$5:$J$154,Analytics!$D$5:$D$154,T308))</f>
        <v>0</v>
      </c>
      <c r="AF308" s="23">
        <f>IF(T308="","",SUMIFS(Analytics!$L$5:$L$154,Analytics!$D$5:$D$154,T308))</f>
        <v>0</v>
      </c>
      <c r="AG308" s="24">
        <f>IF(OR(AE308="",AE308=0),"",AF308/AE308)</f>
        <v>0</v>
      </c>
      <c r="AH308" s="23">
        <f>IF(T308="","",SUMIFS(Analytics!$X$5:$X$154,Analytics!$D$5:$D$154,T308))</f>
        <v>0</v>
      </c>
      <c r="AI308" s="32">
        <f>IF(T308="","",IF(AE308=0,"",AE308+ROW()/1000000))</f>
        <v>0</v>
      </c>
      <c r="AJ308" s="17">
        <f>IF('Content Pillars'!$B$308="","",'Content Pillars'!$B$308)</f>
        <v>0</v>
      </c>
      <c r="AK308" s="23">
        <f>IF(AJ308="","",COUNTIFS('Content Calendar'!$J$5:$J$604,AJ308,'Content Calendar'!$B$5:$B$604,"&gt;="&amp;DATE(PlanYear,1,1),'Content Calendar'!$B$5:$B$604,"&lt;="&amp;DATE(PlanYear,12,31)))</f>
        <v>0</v>
      </c>
      <c r="AL308" s="23">
        <f>IF(AJ308="","",SUMIFS(Performance!$O$5:$O$404,Performance!$H$5:$H$404,AJ308))</f>
        <v>0</v>
      </c>
      <c r="AM308" s="23">
        <f>IF(AJ308="","",SUMIFS(Performance!$Z$5:$Z$404,Performance!$H$5:$H$404,AJ308))</f>
        <v>0</v>
      </c>
      <c r="AN308" s="24">
        <f>IF(OR(AL308="",AL308=0),"",AM308/AL308)</f>
        <v>0</v>
      </c>
      <c r="AO308" s="32">
        <f>IF(AN308="","",AN308+ROW()/1000000)</f>
        <v>0</v>
      </c>
      <c r="AP308" s="17">
        <f>IF(Lists!$E308="","",Lists!$E308)</f>
        <v>0</v>
      </c>
      <c r="AQ308" s="23">
        <f>IF(AP308="","",COUNTIF(Performance!$G$5:$G$404,AP308))</f>
        <v>0</v>
      </c>
      <c r="AR308" s="23">
        <f>IF(AP308="","",SUMIFS(Performance!$O$5:$O$404,Performance!$G$5:$G$404,AP308))</f>
        <v>0</v>
      </c>
      <c r="AS308" s="23">
        <f>IF(AP308="","",SUMIFS(Performance!$Z$5:$Z$404,Performance!$G$5:$G$404,AP308))</f>
        <v>0</v>
      </c>
      <c r="AT308" s="24">
        <f>IF(OR(AR308="",AR308=0),"",AS308/AR308)</f>
        <v>0</v>
      </c>
      <c r="AU308" s="32">
        <f>IF(AQ308=0,"",IF(AT308="","",AT308+ROW()/1000000))</f>
        <v>0</v>
      </c>
      <c r="AV308" s="17">
        <f>IF(ROW()-4&gt;7,"",TEXT(DATE(2024,1,ROW()-4),"ddd"))</f>
        <v>0</v>
      </c>
      <c r="AW308" s="23">
        <f>IF(AV308="","",COUNTIF(Performance!$N$5:$N$404,AV308))</f>
        <v>0</v>
      </c>
      <c r="AX308" s="23">
        <f>IF(AV308="","",SUMIFS(Performance!$O$5:$O$404,Performance!$N$5:$N$404,AV308))</f>
        <v>0</v>
      </c>
      <c r="AY308" s="23">
        <f>IF(AV308="","",SUMIFS(Performance!$Z$5:$Z$404,Performance!$N$5:$N$404,AV308))</f>
        <v>0</v>
      </c>
      <c r="AZ308" s="24">
        <f>IF(OR(AX308="",AX308=0),"",AY308/AX308)</f>
        <v>0</v>
      </c>
      <c r="BA308" s="32">
        <f>IF(AW308=0,"",IF(AZ308="","",AZ308+ROW()/1000000))</f>
        <v>0</v>
      </c>
      <c r="BB308" s="17">
        <f>IF(Lists!$AL308="","",Lists!$AL308)</f>
        <v>0</v>
      </c>
      <c r="BC308" s="23">
        <f>IF(BB308="","",COUNTIF(Performance!$M$5:$M$404,BB308))</f>
        <v>0</v>
      </c>
      <c r="BD308" s="23">
        <f>IF(BB308="","",SUMIFS(Performance!$O$5:$O$404,Performance!$M$5:$M$404,BB308))</f>
        <v>0</v>
      </c>
      <c r="BE308" s="23">
        <f>IF(BB308="","",SUMIFS(Performance!$Z$5:$Z$404,Performance!$M$5:$M$404,BB308))</f>
        <v>0</v>
      </c>
      <c r="BF308" s="24">
        <f>IF(OR(BD308="",BD308=0),"",BE308/BD308)</f>
        <v>0</v>
      </c>
      <c r="BG308" s="32">
        <f>IF(BC308=0,"",IF(BF308="","",BF308+ROW()/1000000))</f>
        <v>0</v>
      </c>
      <c r="BH308" s="17">
        <f>IF(Performance!$C$308="","",Performance!$C$308)</f>
        <v>0</v>
      </c>
      <c r="BI308" s="17">
        <f>IF(Performance!$F$308="","",Performance!$F$308)</f>
        <v>0</v>
      </c>
      <c r="BJ308" s="17">
        <f>IF(Performance!$H$308="","",Performance!$H$308)</f>
        <v>0</v>
      </c>
      <c r="BK308" s="16">
        <f>IF(Performance!$D$308="","",Performance!$D$308)</f>
        <v>0</v>
      </c>
      <c r="BL308" s="17">
        <f>IF(Performance!$E$308="","",Performance!$E$308)</f>
        <v>0</v>
      </c>
      <c r="BM308" s="23">
        <f>IF(Performance!$O$308="","",Performance!$O$308)</f>
        <v>0</v>
      </c>
      <c r="BN308" s="24">
        <f>IF(Performance!$AA$308="","",Performance!$AA$308)</f>
        <v>0</v>
      </c>
      <c r="BO308" s="32">
        <f>IF(BH308="","",IF(BK308="","",IF(OR(BK308&lt;DashStart,BK308&gt;DashEnd),"",IF(BN308="","",BN308+ROW()/1000000))))</f>
        <v>0</v>
      </c>
      <c r="BP308" s="32">
        <f>IF(BM308="","",IF(BK308="","",IF(OR(BK308&lt;DashStart,BK308&gt;DashEnd),"",BM308+ROW()/1000000)))</f>
        <v>0</v>
      </c>
      <c r="BQ308" s="32">
        <f>IF(BH308="","",IF(BK308="","",IF(YEAR(BK308)&lt;&gt;PlanYear,"",IF(BN308="","",BN308+ROW()/1000000))))</f>
        <v>0</v>
      </c>
      <c r="BR308" s="32">
        <f>IF(BH308="","",IF(BK308="","",IF(OR(BK308&lt;RepFrom,BK308&gt;RepTo),"",IF(BN308="","",BN308+ROW()/1000000))))</f>
        <v>0</v>
      </c>
      <c r="BS308" s="32">
        <f>IF(BM308="","",IF(BK308="","",IF(YEAR(BK308)&lt;&gt;PlanYear,"",BM308+ROW()/1000000)))</f>
        <v>0</v>
      </c>
      <c r="BT308" s="17">
        <f>IF(Lists!$F308="","",Lists!$F308)</f>
        <v>0</v>
      </c>
      <c r="BU308" s="23">
        <f>IF(BT308="","",COUNTIF('Content Calendar'!$X$5:$X$604,BT308))</f>
        <v>0</v>
      </c>
      <c r="BV308" s="23">
        <f>IF(BT308="","",COUNTIFS('Content Calendar'!$X$5:$X$604,BT308,'Content Calendar'!$B$5:$B$604,"&gt;="&amp;DashStart,'Content Calendar'!$B$5:$B$604,"&lt;="&amp;DashEnd))</f>
        <v>0</v>
      </c>
      <c r="BW308" s="17">
        <f>IF(Team!$B$308="","",Team!$B$308)</f>
        <v>0</v>
      </c>
      <c r="BX308" s="23">
        <f>IF(BW308="","",COUNTIF('Content Calendar'!$W$5:$W$604,BW308))</f>
        <v>0</v>
      </c>
      <c r="BY308" s="23">
        <f>IF(BW308="","",COUNTIFS('Content Calendar'!$W$5:$W$604,BW308,'Content Calendar'!$X$5:$X$604,"&lt;&gt;Published"))</f>
        <v>0</v>
      </c>
      <c r="BZ308" s="23">
        <f>IF(BW308="","",COUNTIFS(Tasks!$C$5:$C$64,BW308,Tasks!$G$5:$G$64,"&lt;&gt;Complete"))</f>
        <v>0</v>
      </c>
      <c r="CA308" s="17">
        <f>IF(Campaigns!$B$308="","",Campaigns!$B$308)</f>
        <v>0</v>
      </c>
      <c r="CB308" s="25">
        <f>IF(Campaigns!$T$308="","",Campaigns!$T$308)</f>
        <v>0</v>
      </c>
      <c r="CC308" s="25">
        <f>IF(Campaigns!$Q$308="","",Campaigns!$Q$308)</f>
        <v>0</v>
      </c>
      <c r="CD308" s="23">
        <f>IF(Campaigns!$Y$308="","",Campaigns!$Y$308)</f>
        <v>0</v>
      </c>
      <c r="CE308" s="32">
        <f>IF(CA308="","",IF(N(CB308)&lt;=0,"",N(CB308)+ROW()/1000000))</f>
        <v>0</v>
      </c>
      <c r="CF308" s="17">
        <f>IF(Accounts!$C$308="","",Accounts!$C$308)</f>
        <v>0</v>
      </c>
      <c r="CG308" s="17">
        <f>IF(Accounts!$B$308="","",Accounts!$B$308)</f>
        <v>0</v>
      </c>
      <c r="CH308" s="23">
        <f>IF(Accounts!$J$308="","",Accounts!$J$308)</f>
        <v>0</v>
      </c>
      <c r="CI308" s="23">
        <f>IF(CF308="","",SUMIFS(Analytics!$X$5:$X$154,Analytics!$E$5:$E$154,CF308,Analytics!$B$5:$B$154,"&gt;="&amp;DashStart,Analytics!$B$5:$B$154,"&lt;="&amp;DashEnd))</f>
        <v>0</v>
      </c>
      <c r="CJ308" s="32">
        <f>IF(CH308="","",IF(CH308=0,"",CH308+ROW()/1000000))</f>
        <v>0</v>
      </c>
    </row>
    <row r="309" spans="1:88">
      <c r="A309" s="16">
        <f>IF(ROW()-4&gt;12,"",DATE(PlanYear,ROW()-4,1))</f>
        <v>0</v>
      </c>
      <c r="B309" s="16">
        <f>IF(A309="","",EOMONTH(A309,0))</f>
        <v>0</v>
      </c>
      <c r="C309" s="17">
        <f>IF(A309="","",TEXT(A309,"yyyy-mm"))</f>
        <v>0</v>
      </c>
      <c r="D309" s="17">
        <f>IF(A309="","",TEXT(A309,"mmm"))</f>
        <v>0</v>
      </c>
      <c r="E309" s="23">
        <f>IF(C309="","",COUNTIFS('Content Calendar'!$D$5:$D$604,C309))</f>
        <v>0</v>
      </c>
      <c r="F309" s="23">
        <f>IF(C309="","",COUNTIFS('Content Calendar'!$D$5:$D$604,C309,'Content Calendar'!$X$5:$X$604,"Published"))</f>
        <v>0</v>
      </c>
      <c r="G309" s="23">
        <f>IF(C309="","",SUMIFS(Analytics!$J$5:$J$154,Analytics!$C$5:$C$154,C309))</f>
        <v>0</v>
      </c>
      <c r="H309" s="23">
        <f>IF(C309="","",SUMIFS(Analytics!$K$5:$K$154,Analytics!$C$5:$C$154,C309))</f>
        <v>0</v>
      </c>
      <c r="I309" s="23">
        <f>IF(C309="","",SUMIFS(Analytics!$L$5:$L$154,Analytics!$C$5:$C$154,C309))</f>
        <v>0</v>
      </c>
      <c r="J309" s="24">
        <f>IF(OR(G309="",G309=0),"",I309/G309)</f>
        <v>0</v>
      </c>
      <c r="K309" s="23">
        <f>IF(C309="","",SUMIFS(Analytics!$G$5:$G$154,Analytics!$C$5:$C$154,C309))</f>
        <v>0</v>
      </c>
      <c r="L309" s="23">
        <f>IF(C309="","",SUMIFS(Analytics!$X$5:$X$154,Analytics!$C$5:$C$154,C309))</f>
        <v>0</v>
      </c>
      <c r="M309" s="23">
        <f>IF(C309="","",SUMIFS(Analytics!$R$5:$R$154,Analytics!$C$5:$C$154,C309))</f>
        <v>0</v>
      </c>
      <c r="N309" s="23">
        <f>IF(C309="","",SUMIFS(Analytics!$S$5:$S$154,Analytics!$C$5:$C$154,C309))</f>
        <v>0</v>
      </c>
      <c r="O309" s="23">
        <f>IF(C309="","",SUMIFS(Analytics!$T$5:$T$154,Analytics!$C$5:$C$154,C309))</f>
        <v>0</v>
      </c>
      <c r="P309" s="25">
        <f>IF(C309="","",SUMIFS(Analytics!$U$5:$U$154,Analytics!$C$5:$C$154,C309))</f>
        <v>0</v>
      </c>
      <c r="Q309" s="25">
        <f>IF(C309="","",SUMIFS(Budget!$H$5:$H$64,Budget!$C$5:$C$64,C309))</f>
        <v>0</v>
      </c>
      <c r="R309" s="25">
        <f>IF(C309="","",P309-Q309)</f>
        <v>0</v>
      </c>
      <c r="S309" s="23">
        <f>IF(C309="","",MonthlyPostTarget)</f>
        <v>0</v>
      </c>
      <c r="T309" s="17">
        <f>IF(Lists!$C309="","",Lists!$C309)</f>
        <v>0</v>
      </c>
      <c r="U309" s="23">
        <f>IF(T309="","",COUNTIFS('Content Calendar'!$G$5:$G$604,T309,'Content Calendar'!$B$5:$B$604,"&gt;="&amp;DashStart,'Content Calendar'!$B$5:$B$604,"&lt;="&amp;DashEnd))</f>
        <v>0</v>
      </c>
      <c r="V309" s="23">
        <f>IF(T309="","",COUNTIFS('Content Calendar'!$G$5:$G$604,T309,'Content Calendar'!$X$5:$X$604,"Published",'Content Calendar'!$B$5:$B$604,"&gt;="&amp;DashStart,'Content Calendar'!$B$5:$B$604,"&lt;="&amp;DashEnd))</f>
        <v>0</v>
      </c>
      <c r="W309" s="23">
        <f>IF(T309="","",SUMIFS(Analytics!$J$5:$J$154,Analytics!$D$5:$D$154,T309,Analytics!$B$5:$B$154,"&gt;="&amp;DashStart,Analytics!$B$5:$B$154,"&lt;="&amp;DashEnd))</f>
        <v>0</v>
      </c>
      <c r="X309" s="23">
        <f>IF(T309="","",SUMIFS(Analytics!$L$5:$L$154,Analytics!$D$5:$D$154,T309,Analytics!$B$5:$B$154,"&gt;="&amp;DashStart,Analytics!$B$5:$B$154,"&lt;="&amp;DashEnd))</f>
        <v>0</v>
      </c>
      <c r="Y309" s="24">
        <f>IF(OR(W309="",W309=0),"",X309/W309)</f>
        <v>0</v>
      </c>
      <c r="Z309" s="23">
        <f>IF(T309="","",SUMIFS(Analytics!$G$5:$G$154,Analytics!$D$5:$D$154,T309,Analytics!$B$5:$B$154,"&gt;="&amp;DashStart,Analytics!$B$5:$B$154,"&lt;="&amp;DashEnd))</f>
        <v>0</v>
      </c>
      <c r="AA309" s="23">
        <f>IF(T309="","",SUMIFS(Analytics!$X$5:$X$154,Analytics!$D$5:$D$154,T309,Analytics!$B$5:$B$154,"&gt;="&amp;DashStart,Analytics!$B$5:$B$154,"&lt;="&amp;DashEnd))</f>
        <v>0</v>
      </c>
      <c r="AB309" s="23">
        <f>IF(T309="","",SUMIFS(Analytics!$R$5:$R$154,Analytics!$D$5:$D$154,T309,Analytics!$B$5:$B$154,"&gt;="&amp;DashStart,Analytics!$B$5:$B$154,"&lt;="&amp;DashEnd))</f>
        <v>0</v>
      </c>
      <c r="AC309" s="25">
        <f>IF(T309="","",SUMIFS(Analytics!$U$5:$U$154,Analytics!$D$5:$D$154,T309,Analytics!$B$5:$B$154,"&gt;="&amp;DashStart,Analytics!$B$5:$B$154,"&lt;="&amp;DashEnd))</f>
        <v>0</v>
      </c>
      <c r="AD309" s="23">
        <f>IF(T309="","",COUNTIFS('Content Calendar'!$G$5:$G$604,T309,'Content Calendar'!$B$5:$B$604,"&gt;="&amp;DATE(PlanYear,1,1),'Content Calendar'!$B$5:$B$604,"&lt;="&amp;DATE(PlanYear,12,31)))</f>
        <v>0</v>
      </c>
      <c r="AE309" s="23">
        <f>IF(T309="","",SUMIFS(Analytics!$J$5:$J$154,Analytics!$D$5:$D$154,T309))</f>
        <v>0</v>
      </c>
      <c r="AF309" s="23">
        <f>IF(T309="","",SUMIFS(Analytics!$L$5:$L$154,Analytics!$D$5:$D$154,T309))</f>
        <v>0</v>
      </c>
      <c r="AG309" s="24">
        <f>IF(OR(AE309="",AE309=0),"",AF309/AE309)</f>
        <v>0</v>
      </c>
      <c r="AH309" s="23">
        <f>IF(T309="","",SUMIFS(Analytics!$X$5:$X$154,Analytics!$D$5:$D$154,T309))</f>
        <v>0</v>
      </c>
      <c r="AI309" s="32">
        <f>IF(T309="","",IF(AE309=0,"",AE309+ROW()/1000000))</f>
        <v>0</v>
      </c>
      <c r="AJ309" s="17">
        <f>IF('Content Pillars'!$B$309="","",'Content Pillars'!$B$309)</f>
        <v>0</v>
      </c>
      <c r="AK309" s="23">
        <f>IF(AJ309="","",COUNTIFS('Content Calendar'!$J$5:$J$604,AJ309,'Content Calendar'!$B$5:$B$604,"&gt;="&amp;DATE(PlanYear,1,1),'Content Calendar'!$B$5:$B$604,"&lt;="&amp;DATE(PlanYear,12,31)))</f>
        <v>0</v>
      </c>
      <c r="AL309" s="23">
        <f>IF(AJ309="","",SUMIFS(Performance!$O$5:$O$404,Performance!$H$5:$H$404,AJ309))</f>
        <v>0</v>
      </c>
      <c r="AM309" s="23">
        <f>IF(AJ309="","",SUMIFS(Performance!$Z$5:$Z$404,Performance!$H$5:$H$404,AJ309))</f>
        <v>0</v>
      </c>
      <c r="AN309" s="24">
        <f>IF(OR(AL309="",AL309=0),"",AM309/AL309)</f>
        <v>0</v>
      </c>
      <c r="AO309" s="32">
        <f>IF(AN309="","",AN309+ROW()/1000000)</f>
        <v>0</v>
      </c>
      <c r="AP309" s="17">
        <f>IF(Lists!$E309="","",Lists!$E309)</f>
        <v>0</v>
      </c>
      <c r="AQ309" s="23">
        <f>IF(AP309="","",COUNTIF(Performance!$G$5:$G$404,AP309))</f>
        <v>0</v>
      </c>
      <c r="AR309" s="23">
        <f>IF(AP309="","",SUMIFS(Performance!$O$5:$O$404,Performance!$G$5:$G$404,AP309))</f>
        <v>0</v>
      </c>
      <c r="AS309" s="23">
        <f>IF(AP309="","",SUMIFS(Performance!$Z$5:$Z$404,Performance!$G$5:$G$404,AP309))</f>
        <v>0</v>
      </c>
      <c r="AT309" s="24">
        <f>IF(OR(AR309="",AR309=0),"",AS309/AR309)</f>
        <v>0</v>
      </c>
      <c r="AU309" s="32">
        <f>IF(AQ309=0,"",IF(AT309="","",AT309+ROW()/1000000))</f>
        <v>0</v>
      </c>
      <c r="AV309" s="17">
        <f>IF(ROW()-4&gt;7,"",TEXT(DATE(2024,1,ROW()-4),"ddd"))</f>
        <v>0</v>
      </c>
      <c r="AW309" s="23">
        <f>IF(AV309="","",COUNTIF(Performance!$N$5:$N$404,AV309))</f>
        <v>0</v>
      </c>
      <c r="AX309" s="23">
        <f>IF(AV309="","",SUMIFS(Performance!$O$5:$O$404,Performance!$N$5:$N$404,AV309))</f>
        <v>0</v>
      </c>
      <c r="AY309" s="23">
        <f>IF(AV309="","",SUMIFS(Performance!$Z$5:$Z$404,Performance!$N$5:$N$404,AV309))</f>
        <v>0</v>
      </c>
      <c r="AZ309" s="24">
        <f>IF(OR(AX309="",AX309=0),"",AY309/AX309)</f>
        <v>0</v>
      </c>
      <c r="BA309" s="32">
        <f>IF(AW309=0,"",IF(AZ309="","",AZ309+ROW()/1000000))</f>
        <v>0</v>
      </c>
      <c r="BB309" s="17">
        <f>IF(Lists!$AL309="","",Lists!$AL309)</f>
        <v>0</v>
      </c>
      <c r="BC309" s="23">
        <f>IF(BB309="","",COUNTIF(Performance!$M$5:$M$404,BB309))</f>
        <v>0</v>
      </c>
      <c r="BD309" s="23">
        <f>IF(BB309="","",SUMIFS(Performance!$O$5:$O$404,Performance!$M$5:$M$404,BB309))</f>
        <v>0</v>
      </c>
      <c r="BE309" s="23">
        <f>IF(BB309="","",SUMIFS(Performance!$Z$5:$Z$404,Performance!$M$5:$M$404,BB309))</f>
        <v>0</v>
      </c>
      <c r="BF309" s="24">
        <f>IF(OR(BD309="",BD309=0),"",BE309/BD309)</f>
        <v>0</v>
      </c>
      <c r="BG309" s="32">
        <f>IF(BC309=0,"",IF(BF309="","",BF309+ROW()/1000000))</f>
        <v>0</v>
      </c>
      <c r="BH309" s="17">
        <f>IF(Performance!$C$309="","",Performance!$C$309)</f>
        <v>0</v>
      </c>
      <c r="BI309" s="17">
        <f>IF(Performance!$F$309="","",Performance!$F$309)</f>
        <v>0</v>
      </c>
      <c r="BJ309" s="17">
        <f>IF(Performance!$H$309="","",Performance!$H$309)</f>
        <v>0</v>
      </c>
      <c r="BK309" s="16">
        <f>IF(Performance!$D$309="","",Performance!$D$309)</f>
        <v>0</v>
      </c>
      <c r="BL309" s="17">
        <f>IF(Performance!$E$309="","",Performance!$E$309)</f>
        <v>0</v>
      </c>
      <c r="BM309" s="23">
        <f>IF(Performance!$O$309="","",Performance!$O$309)</f>
        <v>0</v>
      </c>
      <c r="BN309" s="24">
        <f>IF(Performance!$AA$309="","",Performance!$AA$309)</f>
        <v>0</v>
      </c>
      <c r="BO309" s="32">
        <f>IF(BH309="","",IF(BK309="","",IF(OR(BK309&lt;DashStart,BK309&gt;DashEnd),"",IF(BN309="","",BN309+ROW()/1000000))))</f>
        <v>0</v>
      </c>
      <c r="BP309" s="32">
        <f>IF(BM309="","",IF(BK309="","",IF(OR(BK309&lt;DashStart,BK309&gt;DashEnd),"",BM309+ROW()/1000000)))</f>
        <v>0</v>
      </c>
      <c r="BQ309" s="32">
        <f>IF(BH309="","",IF(BK309="","",IF(YEAR(BK309)&lt;&gt;PlanYear,"",IF(BN309="","",BN309+ROW()/1000000))))</f>
        <v>0</v>
      </c>
      <c r="BR309" s="32">
        <f>IF(BH309="","",IF(BK309="","",IF(OR(BK309&lt;RepFrom,BK309&gt;RepTo),"",IF(BN309="","",BN309+ROW()/1000000))))</f>
        <v>0</v>
      </c>
      <c r="BS309" s="32">
        <f>IF(BM309="","",IF(BK309="","",IF(YEAR(BK309)&lt;&gt;PlanYear,"",BM309+ROW()/1000000)))</f>
        <v>0</v>
      </c>
      <c r="BT309" s="17">
        <f>IF(Lists!$F309="","",Lists!$F309)</f>
        <v>0</v>
      </c>
      <c r="BU309" s="23">
        <f>IF(BT309="","",COUNTIF('Content Calendar'!$X$5:$X$604,BT309))</f>
        <v>0</v>
      </c>
      <c r="BV309" s="23">
        <f>IF(BT309="","",COUNTIFS('Content Calendar'!$X$5:$X$604,BT309,'Content Calendar'!$B$5:$B$604,"&gt;="&amp;DashStart,'Content Calendar'!$B$5:$B$604,"&lt;="&amp;DashEnd))</f>
        <v>0</v>
      </c>
      <c r="BW309" s="17">
        <f>IF(Team!$B$309="","",Team!$B$309)</f>
        <v>0</v>
      </c>
      <c r="BX309" s="23">
        <f>IF(BW309="","",COUNTIF('Content Calendar'!$W$5:$W$604,BW309))</f>
        <v>0</v>
      </c>
      <c r="BY309" s="23">
        <f>IF(BW309="","",COUNTIFS('Content Calendar'!$W$5:$W$604,BW309,'Content Calendar'!$X$5:$X$604,"&lt;&gt;Published"))</f>
        <v>0</v>
      </c>
      <c r="BZ309" s="23">
        <f>IF(BW309="","",COUNTIFS(Tasks!$C$5:$C$64,BW309,Tasks!$G$5:$G$64,"&lt;&gt;Complete"))</f>
        <v>0</v>
      </c>
      <c r="CA309" s="17">
        <f>IF(Campaigns!$B$309="","",Campaigns!$B$309)</f>
        <v>0</v>
      </c>
      <c r="CB309" s="25">
        <f>IF(Campaigns!$T$309="","",Campaigns!$T$309)</f>
        <v>0</v>
      </c>
      <c r="CC309" s="25">
        <f>IF(Campaigns!$Q$309="","",Campaigns!$Q$309)</f>
        <v>0</v>
      </c>
      <c r="CD309" s="23">
        <f>IF(Campaigns!$Y$309="","",Campaigns!$Y$309)</f>
        <v>0</v>
      </c>
      <c r="CE309" s="32">
        <f>IF(CA309="","",IF(N(CB309)&lt;=0,"",N(CB309)+ROW()/1000000))</f>
        <v>0</v>
      </c>
      <c r="CF309" s="17">
        <f>IF(Accounts!$C$309="","",Accounts!$C$309)</f>
        <v>0</v>
      </c>
      <c r="CG309" s="17">
        <f>IF(Accounts!$B$309="","",Accounts!$B$309)</f>
        <v>0</v>
      </c>
      <c r="CH309" s="23">
        <f>IF(Accounts!$J$309="","",Accounts!$J$309)</f>
        <v>0</v>
      </c>
      <c r="CI309" s="23">
        <f>IF(CF309="","",SUMIFS(Analytics!$X$5:$X$154,Analytics!$E$5:$E$154,CF309,Analytics!$B$5:$B$154,"&gt;="&amp;DashStart,Analytics!$B$5:$B$154,"&lt;="&amp;DashEnd))</f>
        <v>0</v>
      </c>
      <c r="CJ309" s="32">
        <f>IF(CH309="","",IF(CH309=0,"",CH309+ROW()/1000000))</f>
        <v>0</v>
      </c>
    </row>
    <row r="310" spans="1:88">
      <c r="A310" s="16">
        <f>IF(ROW()-4&gt;12,"",DATE(PlanYear,ROW()-4,1))</f>
        <v>0</v>
      </c>
      <c r="B310" s="16">
        <f>IF(A310="","",EOMONTH(A310,0))</f>
        <v>0</v>
      </c>
      <c r="C310" s="17">
        <f>IF(A310="","",TEXT(A310,"yyyy-mm"))</f>
        <v>0</v>
      </c>
      <c r="D310" s="17">
        <f>IF(A310="","",TEXT(A310,"mmm"))</f>
        <v>0</v>
      </c>
      <c r="E310" s="23">
        <f>IF(C310="","",COUNTIFS('Content Calendar'!$D$5:$D$604,C310))</f>
        <v>0</v>
      </c>
      <c r="F310" s="23">
        <f>IF(C310="","",COUNTIFS('Content Calendar'!$D$5:$D$604,C310,'Content Calendar'!$X$5:$X$604,"Published"))</f>
        <v>0</v>
      </c>
      <c r="G310" s="23">
        <f>IF(C310="","",SUMIFS(Analytics!$J$5:$J$154,Analytics!$C$5:$C$154,C310))</f>
        <v>0</v>
      </c>
      <c r="H310" s="23">
        <f>IF(C310="","",SUMIFS(Analytics!$K$5:$K$154,Analytics!$C$5:$C$154,C310))</f>
        <v>0</v>
      </c>
      <c r="I310" s="23">
        <f>IF(C310="","",SUMIFS(Analytics!$L$5:$L$154,Analytics!$C$5:$C$154,C310))</f>
        <v>0</v>
      </c>
      <c r="J310" s="24">
        <f>IF(OR(G310="",G310=0),"",I310/G310)</f>
        <v>0</v>
      </c>
      <c r="K310" s="23">
        <f>IF(C310="","",SUMIFS(Analytics!$G$5:$G$154,Analytics!$C$5:$C$154,C310))</f>
        <v>0</v>
      </c>
      <c r="L310" s="23">
        <f>IF(C310="","",SUMIFS(Analytics!$X$5:$X$154,Analytics!$C$5:$C$154,C310))</f>
        <v>0</v>
      </c>
      <c r="M310" s="23">
        <f>IF(C310="","",SUMIFS(Analytics!$R$5:$R$154,Analytics!$C$5:$C$154,C310))</f>
        <v>0</v>
      </c>
      <c r="N310" s="23">
        <f>IF(C310="","",SUMIFS(Analytics!$S$5:$S$154,Analytics!$C$5:$C$154,C310))</f>
        <v>0</v>
      </c>
      <c r="O310" s="23">
        <f>IF(C310="","",SUMIFS(Analytics!$T$5:$T$154,Analytics!$C$5:$C$154,C310))</f>
        <v>0</v>
      </c>
      <c r="P310" s="25">
        <f>IF(C310="","",SUMIFS(Analytics!$U$5:$U$154,Analytics!$C$5:$C$154,C310))</f>
        <v>0</v>
      </c>
      <c r="Q310" s="25">
        <f>IF(C310="","",SUMIFS(Budget!$H$5:$H$64,Budget!$C$5:$C$64,C310))</f>
        <v>0</v>
      </c>
      <c r="R310" s="25">
        <f>IF(C310="","",P310-Q310)</f>
        <v>0</v>
      </c>
      <c r="S310" s="23">
        <f>IF(C310="","",MonthlyPostTarget)</f>
        <v>0</v>
      </c>
      <c r="T310" s="17">
        <f>IF(Lists!$C310="","",Lists!$C310)</f>
        <v>0</v>
      </c>
      <c r="U310" s="23">
        <f>IF(T310="","",COUNTIFS('Content Calendar'!$G$5:$G$604,T310,'Content Calendar'!$B$5:$B$604,"&gt;="&amp;DashStart,'Content Calendar'!$B$5:$B$604,"&lt;="&amp;DashEnd))</f>
        <v>0</v>
      </c>
      <c r="V310" s="23">
        <f>IF(T310="","",COUNTIFS('Content Calendar'!$G$5:$G$604,T310,'Content Calendar'!$X$5:$X$604,"Published",'Content Calendar'!$B$5:$B$604,"&gt;="&amp;DashStart,'Content Calendar'!$B$5:$B$604,"&lt;="&amp;DashEnd))</f>
        <v>0</v>
      </c>
      <c r="W310" s="23">
        <f>IF(T310="","",SUMIFS(Analytics!$J$5:$J$154,Analytics!$D$5:$D$154,T310,Analytics!$B$5:$B$154,"&gt;="&amp;DashStart,Analytics!$B$5:$B$154,"&lt;="&amp;DashEnd))</f>
        <v>0</v>
      </c>
      <c r="X310" s="23">
        <f>IF(T310="","",SUMIFS(Analytics!$L$5:$L$154,Analytics!$D$5:$D$154,T310,Analytics!$B$5:$B$154,"&gt;="&amp;DashStart,Analytics!$B$5:$B$154,"&lt;="&amp;DashEnd))</f>
        <v>0</v>
      </c>
      <c r="Y310" s="24">
        <f>IF(OR(W310="",W310=0),"",X310/W310)</f>
        <v>0</v>
      </c>
      <c r="Z310" s="23">
        <f>IF(T310="","",SUMIFS(Analytics!$G$5:$G$154,Analytics!$D$5:$D$154,T310,Analytics!$B$5:$B$154,"&gt;="&amp;DashStart,Analytics!$B$5:$B$154,"&lt;="&amp;DashEnd))</f>
        <v>0</v>
      </c>
      <c r="AA310" s="23">
        <f>IF(T310="","",SUMIFS(Analytics!$X$5:$X$154,Analytics!$D$5:$D$154,T310,Analytics!$B$5:$B$154,"&gt;="&amp;DashStart,Analytics!$B$5:$B$154,"&lt;="&amp;DashEnd))</f>
        <v>0</v>
      </c>
      <c r="AB310" s="23">
        <f>IF(T310="","",SUMIFS(Analytics!$R$5:$R$154,Analytics!$D$5:$D$154,T310,Analytics!$B$5:$B$154,"&gt;="&amp;DashStart,Analytics!$B$5:$B$154,"&lt;="&amp;DashEnd))</f>
        <v>0</v>
      </c>
      <c r="AC310" s="25">
        <f>IF(T310="","",SUMIFS(Analytics!$U$5:$U$154,Analytics!$D$5:$D$154,T310,Analytics!$B$5:$B$154,"&gt;="&amp;DashStart,Analytics!$B$5:$B$154,"&lt;="&amp;DashEnd))</f>
        <v>0</v>
      </c>
      <c r="AD310" s="23">
        <f>IF(T310="","",COUNTIFS('Content Calendar'!$G$5:$G$604,T310,'Content Calendar'!$B$5:$B$604,"&gt;="&amp;DATE(PlanYear,1,1),'Content Calendar'!$B$5:$B$604,"&lt;="&amp;DATE(PlanYear,12,31)))</f>
        <v>0</v>
      </c>
      <c r="AE310" s="23">
        <f>IF(T310="","",SUMIFS(Analytics!$J$5:$J$154,Analytics!$D$5:$D$154,T310))</f>
        <v>0</v>
      </c>
      <c r="AF310" s="23">
        <f>IF(T310="","",SUMIFS(Analytics!$L$5:$L$154,Analytics!$D$5:$D$154,T310))</f>
        <v>0</v>
      </c>
      <c r="AG310" s="24">
        <f>IF(OR(AE310="",AE310=0),"",AF310/AE310)</f>
        <v>0</v>
      </c>
      <c r="AH310" s="23">
        <f>IF(T310="","",SUMIFS(Analytics!$X$5:$X$154,Analytics!$D$5:$D$154,T310))</f>
        <v>0</v>
      </c>
      <c r="AI310" s="32">
        <f>IF(T310="","",IF(AE310=0,"",AE310+ROW()/1000000))</f>
        <v>0</v>
      </c>
      <c r="AJ310" s="17">
        <f>IF('Content Pillars'!$B$310="","",'Content Pillars'!$B$310)</f>
        <v>0</v>
      </c>
      <c r="AK310" s="23">
        <f>IF(AJ310="","",COUNTIFS('Content Calendar'!$J$5:$J$604,AJ310,'Content Calendar'!$B$5:$B$604,"&gt;="&amp;DATE(PlanYear,1,1),'Content Calendar'!$B$5:$B$604,"&lt;="&amp;DATE(PlanYear,12,31)))</f>
        <v>0</v>
      </c>
      <c r="AL310" s="23">
        <f>IF(AJ310="","",SUMIFS(Performance!$O$5:$O$404,Performance!$H$5:$H$404,AJ310))</f>
        <v>0</v>
      </c>
      <c r="AM310" s="23">
        <f>IF(AJ310="","",SUMIFS(Performance!$Z$5:$Z$404,Performance!$H$5:$H$404,AJ310))</f>
        <v>0</v>
      </c>
      <c r="AN310" s="24">
        <f>IF(OR(AL310="",AL310=0),"",AM310/AL310)</f>
        <v>0</v>
      </c>
      <c r="AO310" s="32">
        <f>IF(AN310="","",AN310+ROW()/1000000)</f>
        <v>0</v>
      </c>
      <c r="AP310" s="17">
        <f>IF(Lists!$E310="","",Lists!$E310)</f>
        <v>0</v>
      </c>
      <c r="AQ310" s="23">
        <f>IF(AP310="","",COUNTIF(Performance!$G$5:$G$404,AP310))</f>
        <v>0</v>
      </c>
      <c r="AR310" s="23">
        <f>IF(AP310="","",SUMIFS(Performance!$O$5:$O$404,Performance!$G$5:$G$404,AP310))</f>
        <v>0</v>
      </c>
      <c r="AS310" s="23">
        <f>IF(AP310="","",SUMIFS(Performance!$Z$5:$Z$404,Performance!$G$5:$G$404,AP310))</f>
        <v>0</v>
      </c>
      <c r="AT310" s="24">
        <f>IF(OR(AR310="",AR310=0),"",AS310/AR310)</f>
        <v>0</v>
      </c>
      <c r="AU310" s="32">
        <f>IF(AQ310=0,"",IF(AT310="","",AT310+ROW()/1000000))</f>
        <v>0</v>
      </c>
      <c r="AV310" s="17">
        <f>IF(ROW()-4&gt;7,"",TEXT(DATE(2024,1,ROW()-4),"ddd"))</f>
        <v>0</v>
      </c>
      <c r="AW310" s="23">
        <f>IF(AV310="","",COUNTIF(Performance!$N$5:$N$404,AV310))</f>
        <v>0</v>
      </c>
      <c r="AX310" s="23">
        <f>IF(AV310="","",SUMIFS(Performance!$O$5:$O$404,Performance!$N$5:$N$404,AV310))</f>
        <v>0</v>
      </c>
      <c r="AY310" s="23">
        <f>IF(AV310="","",SUMIFS(Performance!$Z$5:$Z$404,Performance!$N$5:$N$404,AV310))</f>
        <v>0</v>
      </c>
      <c r="AZ310" s="24">
        <f>IF(OR(AX310="",AX310=0),"",AY310/AX310)</f>
        <v>0</v>
      </c>
      <c r="BA310" s="32">
        <f>IF(AW310=0,"",IF(AZ310="","",AZ310+ROW()/1000000))</f>
        <v>0</v>
      </c>
      <c r="BB310" s="17">
        <f>IF(Lists!$AL310="","",Lists!$AL310)</f>
        <v>0</v>
      </c>
      <c r="BC310" s="23">
        <f>IF(BB310="","",COUNTIF(Performance!$M$5:$M$404,BB310))</f>
        <v>0</v>
      </c>
      <c r="BD310" s="23">
        <f>IF(BB310="","",SUMIFS(Performance!$O$5:$O$404,Performance!$M$5:$M$404,BB310))</f>
        <v>0</v>
      </c>
      <c r="BE310" s="23">
        <f>IF(BB310="","",SUMIFS(Performance!$Z$5:$Z$404,Performance!$M$5:$M$404,BB310))</f>
        <v>0</v>
      </c>
      <c r="BF310" s="24">
        <f>IF(OR(BD310="",BD310=0),"",BE310/BD310)</f>
        <v>0</v>
      </c>
      <c r="BG310" s="32">
        <f>IF(BC310=0,"",IF(BF310="","",BF310+ROW()/1000000))</f>
        <v>0</v>
      </c>
      <c r="BH310" s="17">
        <f>IF(Performance!$C$310="","",Performance!$C$310)</f>
        <v>0</v>
      </c>
      <c r="BI310" s="17">
        <f>IF(Performance!$F$310="","",Performance!$F$310)</f>
        <v>0</v>
      </c>
      <c r="BJ310" s="17">
        <f>IF(Performance!$H$310="","",Performance!$H$310)</f>
        <v>0</v>
      </c>
      <c r="BK310" s="16">
        <f>IF(Performance!$D$310="","",Performance!$D$310)</f>
        <v>0</v>
      </c>
      <c r="BL310" s="17">
        <f>IF(Performance!$E$310="","",Performance!$E$310)</f>
        <v>0</v>
      </c>
      <c r="BM310" s="23">
        <f>IF(Performance!$O$310="","",Performance!$O$310)</f>
        <v>0</v>
      </c>
      <c r="BN310" s="24">
        <f>IF(Performance!$AA$310="","",Performance!$AA$310)</f>
        <v>0</v>
      </c>
      <c r="BO310" s="32">
        <f>IF(BH310="","",IF(BK310="","",IF(OR(BK310&lt;DashStart,BK310&gt;DashEnd),"",IF(BN310="","",BN310+ROW()/1000000))))</f>
        <v>0</v>
      </c>
      <c r="BP310" s="32">
        <f>IF(BM310="","",IF(BK310="","",IF(OR(BK310&lt;DashStart,BK310&gt;DashEnd),"",BM310+ROW()/1000000)))</f>
        <v>0</v>
      </c>
      <c r="BQ310" s="32">
        <f>IF(BH310="","",IF(BK310="","",IF(YEAR(BK310)&lt;&gt;PlanYear,"",IF(BN310="","",BN310+ROW()/1000000))))</f>
        <v>0</v>
      </c>
      <c r="BR310" s="32">
        <f>IF(BH310="","",IF(BK310="","",IF(OR(BK310&lt;RepFrom,BK310&gt;RepTo),"",IF(BN310="","",BN310+ROW()/1000000))))</f>
        <v>0</v>
      </c>
      <c r="BS310" s="32">
        <f>IF(BM310="","",IF(BK310="","",IF(YEAR(BK310)&lt;&gt;PlanYear,"",BM310+ROW()/1000000)))</f>
        <v>0</v>
      </c>
      <c r="BT310" s="17">
        <f>IF(Lists!$F310="","",Lists!$F310)</f>
        <v>0</v>
      </c>
      <c r="BU310" s="23">
        <f>IF(BT310="","",COUNTIF('Content Calendar'!$X$5:$X$604,BT310))</f>
        <v>0</v>
      </c>
      <c r="BV310" s="23">
        <f>IF(BT310="","",COUNTIFS('Content Calendar'!$X$5:$X$604,BT310,'Content Calendar'!$B$5:$B$604,"&gt;="&amp;DashStart,'Content Calendar'!$B$5:$B$604,"&lt;="&amp;DashEnd))</f>
        <v>0</v>
      </c>
      <c r="BW310" s="17">
        <f>IF(Team!$B$310="","",Team!$B$310)</f>
        <v>0</v>
      </c>
      <c r="BX310" s="23">
        <f>IF(BW310="","",COUNTIF('Content Calendar'!$W$5:$W$604,BW310))</f>
        <v>0</v>
      </c>
      <c r="BY310" s="23">
        <f>IF(BW310="","",COUNTIFS('Content Calendar'!$W$5:$W$604,BW310,'Content Calendar'!$X$5:$X$604,"&lt;&gt;Published"))</f>
        <v>0</v>
      </c>
      <c r="BZ310" s="23">
        <f>IF(BW310="","",COUNTIFS(Tasks!$C$5:$C$64,BW310,Tasks!$G$5:$G$64,"&lt;&gt;Complete"))</f>
        <v>0</v>
      </c>
      <c r="CA310" s="17">
        <f>IF(Campaigns!$B$310="","",Campaigns!$B$310)</f>
        <v>0</v>
      </c>
      <c r="CB310" s="25">
        <f>IF(Campaigns!$T$310="","",Campaigns!$T$310)</f>
        <v>0</v>
      </c>
      <c r="CC310" s="25">
        <f>IF(Campaigns!$Q$310="","",Campaigns!$Q$310)</f>
        <v>0</v>
      </c>
      <c r="CD310" s="23">
        <f>IF(Campaigns!$Y$310="","",Campaigns!$Y$310)</f>
        <v>0</v>
      </c>
      <c r="CE310" s="32">
        <f>IF(CA310="","",IF(N(CB310)&lt;=0,"",N(CB310)+ROW()/1000000))</f>
        <v>0</v>
      </c>
      <c r="CF310" s="17">
        <f>IF(Accounts!$C$310="","",Accounts!$C$310)</f>
        <v>0</v>
      </c>
      <c r="CG310" s="17">
        <f>IF(Accounts!$B$310="","",Accounts!$B$310)</f>
        <v>0</v>
      </c>
      <c r="CH310" s="23">
        <f>IF(Accounts!$J$310="","",Accounts!$J$310)</f>
        <v>0</v>
      </c>
      <c r="CI310" s="23">
        <f>IF(CF310="","",SUMIFS(Analytics!$X$5:$X$154,Analytics!$E$5:$E$154,CF310,Analytics!$B$5:$B$154,"&gt;="&amp;DashStart,Analytics!$B$5:$B$154,"&lt;="&amp;DashEnd))</f>
        <v>0</v>
      </c>
      <c r="CJ310" s="32">
        <f>IF(CH310="","",IF(CH310=0,"",CH310+ROW()/1000000))</f>
        <v>0</v>
      </c>
    </row>
    <row r="311" spans="1:88">
      <c r="A311" s="16">
        <f>IF(ROW()-4&gt;12,"",DATE(PlanYear,ROW()-4,1))</f>
        <v>0</v>
      </c>
      <c r="B311" s="16">
        <f>IF(A311="","",EOMONTH(A311,0))</f>
        <v>0</v>
      </c>
      <c r="C311" s="17">
        <f>IF(A311="","",TEXT(A311,"yyyy-mm"))</f>
        <v>0</v>
      </c>
      <c r="D311" s="17">
        <f>IF(A311="","",TEXT(A311,"mmm"))</f>
        <v>0</v>
      </c>
      <c r="E311" s="23">
        <f>IF(C311="","",COUNTIFS('Content Calendar'!$D$5:$D$604,C311))</f>
        <v>0</v>
      </c>
      <c r="F311" s="23">
        <f>IF(C311="","",COUNTIFS('Content Calendar'!$D$5:$D$604,C311,'Content Calendar'!$X$5:$X$604,"Published"))</f>
        <v>0</v>
      </c>
      <c r="G311" s="23">
        <f>IF(C311="","",SUMIFS(Analytics!$J$5:$J$154,Analytics!$C$5:$C$154,C311))</f>
        <v>0</v>
      </c>
      <c r="H311" s="23">
        <f>IF(C311="","",SUMIFS(Analytics!$K$5:$K$154,Analytics!$C$5:$C$154,C311))</f>
        <v>0</v>
      </c>
      <c r="I311" s="23">
        <f>IF(C311="","",SUMIFS(Analytics!$L$5:$L$154,Analytics!$C$5:$C$154,C311))</f>
        <v>0</v>
      </c>
      <c r="J311" s="24">
        <f>IF(OR(G311="",G311=0),"",I311/G311)</f>
        <v>0</v>
      </c>
      <c r="K311" s="23">
        <f>IF(C311="","",SUMIFS(Analytics!$G$5:$G$154,Analytics!$C$5:$C$154,C311))</f>
        <v>0</v>
      </c>
      <c r="L311" s="23">
        <f>IF(C311="","",SUMIFS(Analytics!$X$5:$X$154,Analytics!$C$5:$C$154,C311))</f>
        <v>0</v>
      </c>
      <c r="M311" s="23">
        <f>IF(C311="","",SUMIFS(Analytics!$R$5:$R$154,Analytics!$C$5:$C$154,C311))</f>
        <v>0</v>
      </c>
      <c r="N311" s="23">
        <f>IF(C311="","",SUMIFS(Analytics!$S$5:$S$154,Analytics!$C$5:$C$154,C311))</f>
        <v>0</v>
      </c>
      <c r="O311" s="23">
        <f>IF(C311="","",SUMIFS(Analytics!$T$5:$T$154,Analytics!$C$5:$C$154,C311))</f>
        <v>0</v>
      </c>
      <c r="P311" s="25">
        <f>IF(C311="","",SUMIFS(Analytics!$U$5:$U$154,Analytics!$C$5:$C$154,C311))</f>
        <v>0</v>
      </c>
      <c r="Q311" s="25">
        <f>IF(C311="","",SUMIFS(Budget!$H$5:$H$64,Budget!$C$5:$C$64,C311))</f>
        <v>0</v>
      </c>
      <c r="R311" s="25">
        <f>IF(C311="","",P311-Q311)</f>
        <v>0</v>
      </c>
      <c r="S311" s="23">
        <f>IF(C311="","",MonthlyPostTarget)</f>
        <v>0</v>
      </c>
      <c r="T311" s="17">
        <f>IF(Lists!$C311="","",Lists!$C311)</f>
        <v>0</v>
      </c>
      <c r="U311" s="23">
        <f>IF(T311="","",COUNTIFS('Content Calendar'!$G$5:$G$604,T311,'Content Calendar'!$B$5:$B$604,"&gt;="&amp;DashStart,'Content Calendar'!$B$5:$B$604,"&lt;="&amp;DashEnd))</f>
        <v>0</v>
      </c>
      <c r="V311" s="23">
        <f>IF(T311="","",COUNTIFS('Content Calendar'!$G$5:$G$604,T311,'Content Calendar'!$X$5:$X$604,"Published",'Content Calendar'!$B$5:$B$604,"&gt;="&amp;DashStart,'Content Calendar'!$B$5:$B$604,"&lt;="&amp;DashEnd))</f>
        <v>0</v>
      </c>
      <c r="W311" s="23">
        <f>IF(T311="","",SUMIFS(Analytics!$J$5:$J$154,Analytics!$D$5:$D$154,T311,Analytics!$B$5:$B$154,"&gt;="&amp;DashStart,Analytics!$B$5:$B$154,"&lt;="&amp;DashEnd))</f>
        <v>0</v>
      </c>
      <c r="X311" s="23">
        <f>IF(T311="","",SUMIFS(Analytics!$L$5:$L$154,Analytics!$D$5:$D$154,T311,Analytics!$B$5:$B$154,"&gt;="&amp;DashStart,Analytics!$B$5:$B$154,"&lt;="&amp;DashEnd))</f>
        <v>0</v>
      </c>
      <c r="Y311" s="24">
        <f>IF(OR(W311="",W311=0),"",X311/W311)</f>
        <v>0</v>
      </c>
      <c r="Z311" s="23">
        <f>IF(T311="","",SUMIFS(Analytics!$G$5:$G$154,Analytics!$D$5:$D$154,T311,Analytics!$B$5:$B$154,"&gt;="&amp;DashStart,Analytics!$B$5:$B$154,"&lt;="&amp;DashEnd))</f>
        <v>0</v>
      </c>
      <c r="AA311" s="23">
        <f>IF(T311="","",SUMIFS(Analytics!$X$5:$X$154,Analytics!$D$5:$D$154,T311,Analytics!$B$5:$B$154,"&gt;="&amp;DashStart,Analytics!$B$5:$B$154,"&lt;="&amp;DashEnd))</f>
        <v>0</v>
      </c>
      <c r="AB311" s="23">
        <f>IF(T311="","",SUMIFS(Analytics!$R$5:$R$154,Analytics!$D$5:$D$154,T311,Analytics!$B$5:$B$154,"&gt;="&amp;DashStart,Analytics!$B$5:$B$154,"&lt;="&amp;DashEnd))</f>
        <v>0</v>
      </c>
      <c r="AC311" s="25">
        <f>IF(T311="","",SUMIFS(Analytics!$U$5:$U$154,Analytics!$D$5:$D$154,T311,Analytics!$B$5:$B$154,"&gt;="&amp;DashStart,Analytics!$B$5:$B$154,"&lt;="&amp;DashEnd))</f>
        <v>0</v>
      </c>
      <c r="AD311" s="23">
        <f>IF(T311="","",COUNTIFS('Content Calendar'!$G$5:$G$604,T311,'Content Calendar'!$B$5:$B$604,"&gt;="&amp;DATE(PlanYear,1,1),'Content Calendar'!$B$5:$B$604,"&lt;="&amp;DATE(PlanYear,12,31)))</f>
        <v>0</v>
      </c>
      <c r="AE311" s="23">
        <f>IF(T311="","",SUMIFS(Analytics!$J$5:$J$154,Analytics!$D$5:$D$154,T311))</f>
        <v>0</v>
      </c>
      <c r="AF311" s="23">
        <f>IF(T311="","",SUMIFS(Analytics!$L$5:$L$154,Analytics!$D$5:$D$154,T311))</f>
        <v>0</v>
      </c>
      <c r="AG311" s="24">
        <f>IF(OR(AE311="",AE311=0),"",AF311/AE311)</f>
        <v>0</v>
      </c>
      <c r="AH311" s="23">
        <f>IF(T311="","",SUMIFS(Analytics!$X$5:$X$154,Analytics!$D$5:$D$154,T311))</f>
        <v>0</v>
      </c>
      <c r="AI311" s="32">
        <f>IF(T311="","",IF(AE311=0,"",AE311+ROW()/1000000))</f>
        <v>0</v>
      </c>
      <c r="AJ311" s="17">
        <f>IF('Content Pillars'!$B$311="","",'Content Pillars'!$B$311)</f>
        <v>0</v>
      </c>
      <c r="AK311" s="23">
        <f>IF(AJ311="","",COUNTIFS('Content Calendar'!$J$5:$J$604,AJ311,'Content Calendar'!$B$5:$B$604,"&gt;="&amp;DATE(PlanYear,1,1),'Content Calendar'!$B$5:$B$604,"&lt;="&amp;DATE(PlanYear,12,31)))</f>
        <v>0</v>
      </c>
      <c r="AL311" s="23">
        <f>IF(AJ311="","",SUMIFS(Performance!$O$5:$O$404,Performance!$H$5:$H$404,AJ311))</f>
        <v>0</v>
      </c>
      <c r="AM311" s="23">
        <f>IF(AJ311="","",SUMIFS(Performance!$Z$5:$Z$404,Performance!$H$5:$H$404,AJ311))</f>
        <v>0</v>
      </c>
      <c r="AN311" s="24">
        <f>IF(OR(AL311="",AL311=0),"",AM311/AL311)</f>
        <v>0</v>
      </c>
      <c r="AO311" s="32">
        <f>IF(AN311="","",AN311+ROW()/1000000)</f>
        <v>0</v>
      </c>
      <c r="AP311" s="17">
        <f>IF(Lists!$E311="","",Lists!$E311)</f>
        <v>0</v>
      </c>
      <c r="AQ311" s="23">
        <f>IF(AP311="","",COUNTIF(Performance!$G$5:$G$404,AP311))</f>
        <v>0</v>
      </c>
      <c r="AR311" s="23">
        <f>IF(AP311="","",SUMIFS(Performance!$O$5:$O$404,Performance!$G$5:$G$404,AP311))</f>
        <v>0</v>
      </c>
      <c r="AS311" s="23">
        <f>IF(AP311="","",SUMIFS(Performance!$Z$5:$Z$404,Performance!$G$5:$G$404,AP311))</f>
        <v>0</v>
      </c>
      <c r="AT311" s="24">
        <f>IF(OR(AR311="",AR311=0),"",AS311/AR311)</f>
        <v>0</v>
      </c>
      <c r="AU311" s="32">
        <f>IF(AQ311=0,"",IF(AT311="","",AT311+ROW()/1000000))</f>
        <v>0</v>
      </c>
      <c r="AV311" s="17">
        <f>IF(ROW()-4&gt;7,"",TEXT(DATE(2024,1,ROW()-4),"ddd"))</f>
        <v>0</v>
      </c>
      <c r="AW311" s="23">
        <f>IF(AV311="","",COUNTIF(Performance!$N$5:$N$404,AV311))</f>
        <v>0</v>
      </c>
      <c r="AX311" s="23">
        <f>IF(AV311="","",SUMIFS(Performance!$O$5:$O$404,Performance!$N$5:$N$404,AV311))</f>
        <v>0</v>
      </c>
      <c r="AY311" s="23">
        <f>IF(AV311="","",SUMIFS(Performance!$Z$5:$Z$404,Performance!$N$5:$N$404,AV311))</f>
        <v>0</v>
      </c>
      <c r="AZ311" s="24">
        <f>IF(OR(AX311="",AX311=0),"",AY311/AX311)</f>
        <v>0</v>
      </c>
      <c r="BA311" s="32">
        <f>IF(AW311=0,"",IF(AZ311="","",AZ311+ROW()/1000000))</f>
        <v>0</v>
      </c>
      <c r="BB311" s="17">
        <f>IF(Lists!$AL311="","",Lists!$AL311)</f>
        <v>0</v>
      </c>
      <c r="BC311" s="23">
        <f>IF(BB311="","",COUNTIF(Performance!$M$5:$M$404,BB311))</f>
        <v>0</v>
      </c>
      <c r="BD311" s="23">
        <f>IF(BB311="","",SUMIFS(Performance!$O$5:$O$404,Performance!$M$5:$M$404,BB311))</f>
        <v>0</v>
      </c>
      <c r="BE311" s="23">
        <f>IF(BB311="","",SUMIFS(Performance!$Z$5:$Z$404,Performance!$M$5:$M$404,BB311))</f>
        <v>0</v>
      </c>
      <c r="BF311" s="24">
        <f>IF(OR(BD311="",BD311=0),"",BE311/BD311)</f>
        <v>0</v>
      </c>
      <c r="BG311" s="32">
        <f>IF(BC311=0,"",IF(BF311="","",BF311+ROW()/1000000))</f>
        <v>0</v>
      </c>
      <c r="BH311" s="17">
        <f>IF(Performance!$C$311="","",Performance!$C$311)</f>
        <v>0</v>
      </c>
      <c r="BI311" s="17">
        <f>IF(Performance!$F$311="","",Performance!$F$311)</f>
        <v>0</v>
      </c>
      <c r="BJ311" s="17">
        <f>IF(Performance!$H$311="","",Performance!$H$311)</f>
        <v>0</v>
      </c>
      <c r="BK311" s="16">
        <f>IF(Performance!$D$311="","",Performance!$D$311)</f>
        <v>0</v>
      </c>
      <c r="BL311" s="17">
        <f>IF(Performance!$E$311="","",Performance!$E$311)</f>
        <v>0</v>
      </c>
      <c r="BM311" s="23">
        <f>IF(Performance!$O$311="","",Performance!$O$311)</f>
        <v>0</v>
      </c>
      <c r="BN311" s="24">
        <f>IF(Performance!$AA$311="","",Performance!$AA$311)</f>
        <v>0</v>
      </c>
      <c r="BO311" s="32">
        <f>IF(BH311="","",IF(BK311="","",IF(OR(BK311&lt;DashStart,BK311&gt;DashEnd),"",IF(BN311="","",BN311+ROW()/1000000))))</f>
        <v>0</v>
      </c>
      <c r="BP311" s="32">
        <f>IF(BM311="","",IF(BK311="","",IF(OR(BK311&lt;DashStart,BK311&gt;DashEnd),"",BM311+ROW()/1000000)))</f>
        <v>0</v>
      </c>
      <c r="BQ311" s="32">
        <f>IF(BH311="","",IF(BK311="","",IF(YEAR(BK311)&lt;&gt;PlanYear,"",IF(BN311="","",BN311+ROW()/1000000))))</f>
        <v>0</v>
      </c>
      <c r="BR311" s="32">
        <f>IF(BH311="","",IF(BK311="","",IF(OR(BK311&lt;RepFrom,BK311&gt;RepTo),"",IF(BN311="","",BN311+ROW()/1000000))))</f>
        <v>0</v>
      </c>
      <c r="BS311" s="32">
        <f>IF(BM311="","",IF(BK311="","",IF(YEAR(BK311)&lt;&gt;PlanYear,"",BM311+ROW()/1000000)))</f>
        <v>0</v>
      </c>
      <c r="BT311" s="17">
        <f>IF(Lists!$F311="","",Lists!$F311)</f>
        <v>0</v>
      </c>
      <c r="BU311" s="23">
        <f>IF(BT311="","",COUNTIF('Content Calendar'!$X$5:$X$604,BT311))</f>
        <v>0</v>
      </c>
      <c r="BV311" s="23">
        <f>IF(BT311="","",COUNTIFS('Content Calendar'!$X$5:$X$604,BT311,'Content Calendar'!$B$5:$B$604,"&gt;="&amp;DashStart,'Content Calendar'!$B$5:$B$604,"&lt;="&amp;DashEnd))</f>
        <v>0</v>
      </c>
      <c r="BW311" s="17">
        <f>IF(Team!$B$311="","",Team!$B$311)</f>
        <v>0</v>
      </c>
      <c r="BX311" s="23">
        <f>IF(BW311="","",COUNTIF('Content Calendar'!$W$5:$W$604,BW311))</f>
        <v>0</v>
      </c>
      <c r="BY311" s="23">
        <f>IF(BW311="","",COUNTIFS('Content Calendar'!$W$5:$W$604,BW311,'Content Calendar'!$X$5:$X$604,"&lt;&gt;Published"))</f>
        <v>0</v>
      </c>
      <c r="BZ311" s="23">
        <f>IF(BW311="","",COUNTIFS(Tasks!$C$5:$C$64,BW311,Tasks!$G$5:$G$64,"&lt;&gt;Complete"))</f>
        <v>0</v>
      </c>
      <c r="CA311" s="17">
        <f>IF(Campaigns!$B$311="","",Campaigns!$B$311)</f>
        <v>0</v>
      </c>
      <c r="CB311" s="25">
        <f>IF(Campaigns!$T$311="","",Campaigns!$T$311)</f>
        <v>0</v>
      </c>
      <c r="CC311" s="25">
        <f>IF(Campaigns!$Q$311="","",Campaigns!$Q$311)</f>
        <v>0</v>
      </c>
      <c r="CD311" s="23">
        <f>IF(Campaigns!$Y$311="","",Campaigns!$Y$311)</f>
        <v>0</v>
      </c>
      <c r="CE311" s="32">
        <f>IF(CA311="","",IF(N(CB311)&lt;=0,"",N(CB311)+ROW()/1000000))</f>
        <v>0</v>
      </c>
      <c r="CF311" s="17">
        <f>IF(Accounts!$C$311="","",Accounts!$C$311)</f>
        <v>0</v>
      </c>
      <c r="CG311" s="17">
        <f>IF(Accounts!$B$311="","",Accounts!$B$311)</f>
        <v>0</v>
      </c>
      <c r="CH311" s="23">
        <f>IF(Accounts!$J$311="","",Accounts!$J$311)</f>
        <v>0</v>
      </c>
      <c r="CI311" s="23">
        <f>IF(CF311="","",SUMIFS(Analytics!$X$5:$X$154,Analytics!$E$5:$E$154,CF311,Analytics!$B$5:$B$154,"&gt;="&amp;DashStart,Analytics!$B$5:$B$154,"&lt;="&amp;DashEnd))</f>
        <v>0</v>
      </c>
      <c r="CJ311" s="32">
        <f>IF(CH311="","",IF(CH311=0,"",CH311+ROW()/1000000))</f>
        <v>0</v>
      </c>
    </row>
    <row r="312" spans="1:88">
      <c r="A312" s="16">
        <f>IF(ROW()-4&gt;12,"",DATE(PlanYear,ROW()-4,1))</f>
        <v>0</v>
      </c>
      <c r="B312" s="16">
        <f>IF(A312="","",EOMONTH(A312,0))</f>
        <v>0</v>
      </c>
      <c r="C312" s="17">
        <f>IF(A312="","",TEXT(A312,"yyyy-mm"))</f>
        <v>0</v>
      </c>
      <c r="D312" s="17">
        <f>IF(A312="","",TEXT(A312,"mmm"))</f>
        <v>0</v>
      </c>
      <c r="E312" s="23">
        <f>IF(C312="","",COUNTIFS('Content Calendar'!$D$5:$D$604,C312))</f>
        <v>0</v>
      </c>
      <c r="F312" s="23">
        <f>IF(C312="","",COUNTIFS('Content Calendar'!$D$5:$D$604,C312,'Content Calendar'!$X$5:$X$604,"Published"))</f>
        <v>0</v>
      </c>
      <c r="G312" s="23">
        <f>IF(C312="","",SUMIFS(Analytics!$J$5:$J$154,Analytics!$C$5:$C$154,C312))</f>
        <v>0</v>
      </c>
      <c r="H312" s="23">
        <f>IF(C312="","",SUMIFS(Analytics!$K$5:$K$154,Analytics!$C$5:$C$154,C312))</f>
        <v>0</v>
      </c>
      <c r="I312" s="23">
        <f>IF(C312="","",SUMIFS(Analytics!$L$5:$L$154,Analytics!$C$5:$C$154,C312))</f>
        <v>0</v>
      </c>
      <c r="J312" s="24">
        <f>IF(OR(G312="",G312=0),"",I312/G312)</f>
        <v>0</v>
      </c>
      <c r="K312" s="23">
        <f>IF(C312="","",SUMIFS(Analytics!$G$5:$G$154,Analytics!$C$5:$C$154,C312))</f>
        <v>0</v>
      </c>
      <c r="L312" s="23">
        <f>IF(C312="","",SUMIFS(Analytics!$X$5:$X$154,Analytics!$C$5:$C$154,C312))</f>
        <v>0</v>
      </c>
      <c r="M312" s="23">
        <f>IF(C312="","",SUMIFS(Analytics!$R$5:$R$154,Analytics!$C$5:$C$154,C312))</f>
        <v>0</v>
      </c>
      <c r="N312" s="23">
        <f>IF(C312="","",SUMIFS(Analytics!$S$5:$S$154,Analytics!$C$5:$C$154,C312))</f>
        <v>0</v>
      </c>
      <c r="O312" s="23">
        <f>IF(C312="","",SUMIFS(Analytics!$T$5:$T$154,Analytics!$C$5:$C$154,C312))</f>
        <v>0</v>
      </c>
      <c r="P312" s="25">
        <f>IF(C312="","",SUMIFS(Analytics!$U$5:$U$154,Analytics!$C$5:$C$154,C312))</f>
        <v>0</v>
      </c>
      <c r="Q312" s="25">
        <f>IF(C312="","",SUMIFS(Budget!$H$5:$H$64,Budget!$C$5:$C$64,C312))</f>
        <v>0</v>
      </c>
      <c r="R312" s="25">
        <f>IF(C312="","",P312-Q312)</f>
        <v>0</v>
      </c>
      <c r="S312" s="23">
        <f>IF(C312="","",MonthlyPostTarget)</f>
        <v>0</v>
      </c>
      <c r="T312" s="17">
        <f>IF(Lists!$C312="","",Lists!$C312)</f>
        <v>0</v>
      </c>
      <c r="U312" s="23">
        <f>IF(T312="","",COUNTIFS('Content Calendar'!$G$5:$G$604,T312,'Content Calendar'!$B$5:$B$604,"&gt;="&amp;DashStart,'Content Calendar'!$B$5:$B$604,"&lt;="&amp;DashEnd))</f>
        <v>0</v>
      </c>
      <c r="V312" s="23">
        <f>IF(T312="","",COUNTIFS('Content Calendar'!$G$5:$G$604,T312,'Content Calendar'!$X$5:$X$604,"Published",'Content Calendar'!$B$5:$B$604,"&gt;="&amp;DashStart,'Content Calendar'!$B$5:$B$604,"&lt;="&amp;DashEnd))</f>
        <v>0</v>
      </c>
      <c r="W312" s="23">
        <f>IF(T312="","",SUMIFS(Analytics!$J$5:$J$154,Analytics!$D$5:$D$154,T312,Analytics!$B$5:$B$154,"&gt;="&amp;DashStart,Analytics!$B$5:$B$154,"&lt;="&amp;DashEnd))</f>
        <v>0</v>
      </c>
      <c r="X312" s="23">
        <f>IF(T312="","",SUMIFS(Analytics!$L$5:$L$154,Analytics!$D$5:$D$154,T312,Analytics!$B$5:$B$154,"&gt;="&amp;DashStart,Analytics!$B$5:$B$154,"&lt;="&amp;DashEnd))</f>
        <v>0</v>
      </c>
      <c r="Y312" s="24">
        <f>IF(OR(W312="",W312=0),"",X312/W312)</f>
        <v>0</v>
      </c>
      <c r="Z312" s="23">
        <f>IF(T312="","",SUMIFS(Analytics!$G$5:$G$154,Analytics!$D$5:$D$154,T312,Analytics!$B$5:$B$154,"&gt;="&amp;DashStart,Analytics!$B$5:$B$154,"&lt;="&amp;DashEnd))</f>
        <v>0</v>
      </c>
      <c r="AA312" s="23">
        <f>IF(T312="","",SUMIFS(Analytics!$X$5:$X$154,Analytics!$D$5:$D$154,T312,Analytics!$B$5:$B$154,"&gt;="&amp;DashStart,Analytics!$B$5:$B$154,"&lt;="&amp;DashEnd))</f>
        <v>0</v>
      </c>
      <c r="AB312" s="23">
        <f>IF(T312="","",SUMIFS(Analytics!$R$5:$R$154,Analytics!$D$5:$D$154,T312,Analytics!$B$5:$B$154,"&gt;="&amp;DashStart,Analytics!$B$5:$B$154,"&lt;="&amp;DashEnd))</f>
        <v>0</v>
      </c>
      <c r="AC312" s="25">
        <f>IF(T312="","",SUMIFS(Analytics!$U$5:$U$154,Analytics!$D$5:$D$154,T312,Analytics!$B$5:$B$154,"&gt;="&amp;DashStart,Analytics!$B$5:$B$154,"&lt;="&amp;DashEnd))</f>
        <v>0</v>
      </c>
      <c r="AD312" s="23">
        <f>IF(T312="","",COUNTIFS('Content Calendar'!$G$5:$G$604,T312,'Content Calendar'!$B$5:$B$604,"&gt;="&amp;DATE(PlanYear,1,1),'Content Calendar'!$B$5:$B$604,"&lt;="&amp;DATE(PlanYear,12,31)))</f>
        <v>0</v>
      </c>
      <c r="AE312" s="23">
        <f>IF(T312="","",SUMIFS(Analytics!$J$5:$J$154,Analytics!$D$5:$D$154,T312))</f>
        <v>0</v>
      </c>
      <c r="AF312" s="23">
        <f>IF(T312="","",SUMIFS(Analytics!$L$5:$L$154,Analytics!$D$5:$D$154,T312))</f>
        <v>0</v>
      </c>
      <c r="AG312" s="24">
        <f>IF(OR(AE312="",AE312=0),"",AF312/AE312)</f>
        <v>0</v>
      </c>
      <c r="AH312" s="23">
        <f>IF(T312="","",SUMIFS(Analytics!$X$5:$X$154,Analytics!$D$5:$D$154,T312))</f>
        <v>0</v>
      </c>
      <c r="AI312" s="32">
        <f>IF(T312="","",IF(AE312=0,"",AE312+ROW()/1000000))</f>
        <v>0</v>
      </c>
      <c r="AJ312" s="17">
        <f>IF('Content Pillars'!$B$312="","",'Content Pillars'!$B$312)</f>
        <v>0</v>
      </c>
      <c r="AK312" s="23">
        <f>IF(AJ312="","",COUNTIFS('Content Calendar'!$J$5:$J$604,AJ312,'Content Calendar'!$B$5:$B$604,"&gt;="&amp;DATE(PlanYear,1,1),'Content Calendar'!$B$5:$B$604,"&lt;="&amp;DATE(PlanYear,12,31)))</f>
        <v>0</v>
      </c>
      <c r="AL312" s="23">
        <f>IF(AJ312="","",SUMIFS(Performance!$O$5:$O$404,Performance!$H$5:$H$404,AJ312))</f>
        <v>0</v>
      </c>
      <c r="AM312" s="23">
        <f>IF(AJ312="","",SUMIFS(Performance!$Z$5:$Z$404,Performance!$H$5:$H$404,AJ312))</f>
        <v>0</v>
      </c>
      <c r="AN312" s="24">
        <f>IF(OR(AL312="",AL312=0),"",AM312/AL312)</f>
        <v>0</v>
      </c>
      <c r="AO312" s="32">
        <f>IF(AN312="","",AN312+ROW()/1000000)</f>
        <v>0</v>
      </c>
      <c r="AP312" s="17">
        <f>IF(Lists!$E312="","",Lists!$E312)</f>
        <v>0</v>
      </c>
      <c r="AQ312" s="23">
        <f>IF(AP312="","",COUNTIF(Performance!$G$5:$G$404,AP312))</f>
        <v>0</v>
      </c>
      <c r="AR312" s="23">
        <f>IF(AP312="","",SUMIFS(Performance!$O$5:$O$404,Performance!$G$5:$G$404,AP312))</f>
        <v>0</v>
      </c>
      <c r="AS312" s="23">
        <f>IF(AP312="","",SUMIFS(Performance!$Z$5:$Z$404,Performance!$G$5:$G$404,AP312))</f>
        <v>0</v>
      </c>
      <c r="AT312" s="24">
        <f>IF(OR(AR312="",AR312=0),"",AS312/AR312)</f>
        <v>0</v>
      </c>
      <c r="AU312" s="32">
        <f>IF(AQ312=0,"",IF(AT312="","",AT312+ROW()/1000000))</f>
        <v>0</v>
      </c>
      <c r="AV312" s="17">
        <f>IF(ROW()-4&gt;7,"",TEXT(DATE(2024,1,ROW()-4),"ddd"))</f>
        <v>0</v>
      </c>
      <c r="AW312" s="23">
        <f>IF(AV312="","",COUNTIF(Performance!$N$5:$N$404,AV312))</f>
        <v>0</v>
      </c>
      <c r="AX312" s="23">
        <f>IF(AV312="","",SUMIFS(Performance!$O$5:$O$404,Performance!$N$5:$N$404,AV312))</f>
        <v>0</v>
      </c>
      <c r="AY312" s="23">
        <f>IF(AV312="","",SUMIFS(Performance!$Z$5:$Z$404,Performance!$N$5:$N$404,AV312))</f>
        <v>0</v>
      </c>
      <c r="AZ312" s="24">
        <f>IF(OR(AX312="",AX312=0),"",AY312/AX312)</f>
        <v>0</v>
      </c>
      <c r="BA312" s="32">
        <f>IF(AW312=0,"",IF(AZ312="","",AZ312+ROW()/1000000))</f>
        <v>0</v>
      </c>
      <c r="BB312" s="17">
        <f>IF(Lists!$AL312="","",Lists!$AL312)</f>
        <v>0</v>
      </c>
      <c r="BC312" s="23">
        <f>IF(BB312="","",COUNTIF(Performance!$M$5:$M$404,BB312))</f>
        <v>0</v>
      </c>
      <c r="BD312" s="23">
        <f>IF(BB312="","",SUMIFS(Performance!$O$5:$O$404,Performance!$M$5:$M$404,BB312))</f>
        <v>0</v>
      </c>
      <c r="BE312" s="23">
        <f>IF(BB312="","",SUMIFS(Performance!$Z$5:$Z$404,Performance!$M$5:$M$404,BB312))</f>
        <v>0</v>
      </c>
      <c r="BF312" s="24">
        <f>IF(OR(BD312="",BD312=0),"",BE312/BD312)</f>
        <v>0</v>
      </c>
      <c r="BG312" s="32">
        <f>IF(BC312=0,"",IF(BF312="","",BF312+ROW()/1000000))</f>
        <v>0</v>
      </c>
      <c r="BH312" s="17">
        <f>IF(Performance!$C$312="","",Performance!$C$312)</f>
        <v>0</v>
      </c>
      <c r="BI312" s="17">
        <f>IF(Performance!$F$312="","",Performance!$F$312)</f>
        <v>0</v>
      </c>
      <c r="BJ312" s="17">
        <f>IF(Performance!$H$312="","",Performance!$H$312)</f>
        <v>0</v>
      </c>
      <c r="BK312" s="16">
        <f>IF(Performance!$D$312="","",Performance!$D$312)</f>
        <v>0</v>
      </c>
      <c r="BL312" s="17">
        <f>IF(Performance!$E$312="","",Performance!$E$312)</f>
        <v>0</v>
      </c>
      <c r="BM312" s="23">
        <f>IF(Performance!$O$312="","",Performance!$O$312)</f>
        <v>0</v>
      </c>
      <c r="BN312" s="24">
        <f>IF(Performance!$AA$312="","",Performance!$AA$312)</f>
        <v>0</v>
      </c>
      <c r="BO312" s="32">
        <f>IF(BH312="","",IF(BK312="","",IF(OR(BK312&lt;DashStart,BK312&gt;DashEnd),"",IF(BN312="","",BN312+ROW()/1000000))))</f>
        <v>0</v>
      </c>
      <c r="BP312" s="32">
        <f>IF(BM312="","",IF(BK312="","",IF(OR(BK312&lt;DashStart,BK312&gt;DashEnd),"",BM312+ROW()/1000000)))</f>
        <v>0</v>
      </c>
      <c r="BQ312" s="32">
        <f>IF(BH312="","",IF(BK312="","",IF(YEAR(BK312)&lt;&gt;PlanYear,"",IF(BN312="","",BN312+ROW()/1000000))))</f>
        <v>0</v>
      </c>
      <c r="BR312" s="32">
        <f>IF(BH312="","",IF(BK312="","",IF(OR(BK312&lt;RepFrom,BK312&gt;RepTo),"",IF(BN312="","",BN312+ROW()/1000000))))</f>
        <v>0</v>
      </c>
      <c r="BS312" s="32">
        <f>IF(BM312="","",IF(BK312="","",IF(YEAR(BK312)&lt;&gt;PlanYear,"",BM312+ROW()/1000000)))</f>
        <v>0</v>
      </c>
      <c r="BT312" s="17">
        <f>IF(Lists!$F312="","",Lists!$F312)</f>
        <v>0</v>
      </c>
      <c r="BU312" s="23">
        <f>IF(BT312="","",COUNTIF('Content Calendar'!$X$5:$X$604,BT312))</f>
        <v>0</v>
      </c>
      <c r="BV312" s="23">
        <f>IF(BT312="","",COUNTIFS('Content Calendar'!$X$5:$X$604,BT312,'Content Calendar'!$B$5:$B$604,"&gt;="&amp;DashStart,'Content Calendar'!$B$5:$B$604,"&lt;="&amp;DashEnd))</f>
        <v>0</v>
      </c>
      <c r="BW312" s="17">
        <f>IF(Team!$B$312="","",Team!$B$312)</f>
        <v>0</v>
      </c>
      <c r="BX312" s="23">
        <f>IF(BW312="","",COUNTIF('Content Calendar'!$W$5:$W$604,BW312))</f>
        <v>0</v>
      </c>
      <c r="BY312" s="23">
        <f>IF(BW312="","",COUNTIFS('Content Calendar'!$W$5:$W$604,BW312,'Content Calendar'!$X$5:$X$604,"&lt;&gt;Published"))</f>
        <v>0</v>
      </c>
      <c r="BZ312" s="23">
        <f>IF(BW312="","",COUNTIFS(Tasks!$C$5:$C$64,BW312,Tasks!$G$5:$G$64,"&lt;&gt;Complete"))</f>
        <v>0</v>
      </c>
      <c r="CA312" s="17">
        <f>IF(Campaigns!$B$312="","",Campaigns!$B$312)</f>
        <v>0</v>
      </c>
      <c r="CB312" s="25">
        <f>IF(Campaigns!$T$312="","",Campaigns!$T$312)</f>
        <v>0</v>
      </c>
      <c r="CC312" s="25">
        <f>IF(Campaigns!$Q$312="","",Campaigns!$Q$312)</f>
        <v>0</v>
      </c>
      <c r="CD312" s="23">
        <f>IF(Campaigns!$Y$312="","",Campaigns!$Y$312)</f>
        <v>0</v>
      </c>
      <c r="CE312" s="32">
        <f>IF(CA312="","",IF(N(CB312)&lt;=0,"",N(CB312)+ROW()/1000000))</f>
        <v>0</v>
      </c>
      <c r="CF312" s="17">
        <f>IF(Accounts!$C$312="","",Accounts!$C$312)</f>
        <v>0</v>
      </c>
      <c r="CG312" s="17">
        <f>IF(Accounts!$B$312="","",Accounts!$B$312)</f>
        <v>0</v>
      </c>
      <c r="CH312" s="23">
        <f>IF(Accounts!$J$312="","",Accounts!$J$312)</f>
        <v>0</v>
      </c>
      <c r="CI312" s="23">
        <f>IF(CF312="","",SUMIFS(Analytics!$X$5:$X$154,Analytics!$E$5:$E$154,CF312,Analytics!$B$5:$B$154,"&gt;="&amp;DashStart,Analytics!$B$5:$B$154,"&lt;="&amp;DashEnd))</f>
        <v>0</v>
      </c>
      <c r="CJ312" s="32">
        <f>IF(CH312="","",IF(CH312=0,"",CH312+ROW()/1000000))</f>
        <v>0</v>
      </c>
    </row>
    <row r="313" spans="1:88">
      <c r="A313" s="16">
        <f>IF(ROW()-4&gt;12,"",DATE(PlanYear,ROW()-4,1))</f>
        <v>0</v>
      </c>
      <c r="B313" s="16">
        <f>IF(A313="","",EOMONTH(A313,0))</f>
        <v>0</v>
      </c>
      <c r="C313" s="17">
        <f>IF(A313="","",TEXT(A313,"yyyy-mm"))</f>
        <v>0</v>
      </c>
      <c r="D313" s="17">
        <f>IF(A313="","",TEXT(A313,"mmm"))</f>
        <v>0</v>
      </c>
      <c r="E313" s="23">
        <f>IF(C313="","",COUNTIFS('Content Calendar'!$D$5:$D$604,C313))</f>
        <v>0</v>
      </c>
      <c r="F313" s="23">
        <f>IF(C313="","",COUNTIFS('Content Calendar'!$D$5:$D$604,C313,'Content Calendar'!$X$5:$X$604,"Published"))</f>
        <v>0</v>
      </c>
      <c r="G313" s="23">
        <f>IF(C313="","",SUMIFS(Analytics!$J$5:$J$154,Analytics!$C$5:$C$154,C313))</f>
        <v>0</v>
      </c>
      <c r="H313" s="23">
        <f>IF(C313="","",SUMIFS(Analytics!$K$5:$K$154,Analytics!$C$5:$C$154,C313))</f>
        <v>0</v>
      </c>
      <c r="I313" s="23">
        <f>IF(C313="","",SUMIFS(Analytics!$L$5:$L$154,Analytics!$C$5:$C$154,C313))</f>
        <v>0</v>
      </c>
      <c r="J313" s="24">
        <f>IF(OR(G313="",G313=0),"",I313/G313)</f>
        <v>0</v>
      </c>
      <c r="K313" s="23">
        <f>IF(C313="","",SUMIFS(Analytics!$G$5:$G$154,Analytics!$C$5:$C$154,C313))</f>
        <v>0</v>
      </c>
      <c r="L313" s="23">
        <f>IF(C313="","",SUMIFS(Analytics!$X$5:$X$154,Analytics!$C$5:$C$154,C313))</f>
        <v>0</v>
      </c>
      <c r="M313" s="23">
        <f>IF(C313="","",SUMIFS(Analytics!$R$5:$R$154,Analytics!$C$5:$C$154,C313))</f>
        <v>0</v>
      </c>
      <c r="N313" s="23">
        <f>IF(C313="","",SUMIFS(Analytics!$S$5:$S$154,Analytics!$C$5:$C$154,C313))</f>
        <v>0</v>
      </c>
      <c r="O313" s="23">
        <f>IF(C313="","",SUMIFS(Analytics!$T$5:$T$154,Analytics!$C$5:$C$154,C313))</f>
        <v>0</v>
      </c>
      <c r="P313" s="25">
        <f>IF(C313="","",SUMIFS(Analytics!$U$5:$U$154,Analytics!$C$5:$C$154,C313))</f>
        <v>0</v>
      </c>
      <c r="Q313" s="25">
        <f>IF(C313="","",SUMIFS(Budget!$H$5:$H$64,Budget!$C$5:$C$64,C313))</f>
        <v>0</v>
      </c>
      <c r="R313" s="25">
        <f>IF(C313="","",P313-Q313)</f>
        <v>0</v>
      </c>
      <c r="S313" s="23">
        <f>IF(C313="","",MonthlyPostTarget)</f>
        <v>0</v>
      </c>
      <c r="T313" s="17">
        <f>IF(Lists!$C313="","",Lists!$C313)</f>
        <v>0</v>
      </c>
      <c r="U313" s="23">
        <f>IF(T313="","",COUNTIFS('Content Calendar'!$G$5:$G$604,T313,'Content Calendar'!$B$5:$B$604,"&gt;="&amp;DashStart,'Content Calendar'!$B$5:$B$604,"&lt;="&amp;DashEnd))</f>
        <v>0</v>
      </c>
      <c r="V313" s="23">
        <f>IF(T313="","",COUNTIFS('Content Calendar'!$G$5:$G$604,T313,'Content Calendar'!$X$5:$X$604,"Published",'Content Calendar'!$B$5:$B$604,"&gt;="&amp;DashStart,'Content Calendar'!$B$5:$B$604,"&lt;="&amp;DashEnd))</f>
        <v>0</v>
      </c>
      <c r="W313" s="23">
        <f>IF(T313="","",SUMIFS(Analytics!$J$5:$J$154,Analytics!$D$5:$D$154,T313,Analytics!$B$5:$B$154,"&gt;="&amp;DashStart,Analytics!$B$5:$B$154,"&lt;="&amp;DashEnd))</f>
        <v>0</v>
      </c>
      <c r="X313" s="23">
        <f>IF(T313="","",SUMIFS(Analytics!$L$5:$L$154,Analytics!$D$5:$D$154,T313,Analytics!$B$5:$B$154,"&gt;="&amp;DashStart,Analytics!$B$5:$B$154,"&lt;="&amp;DashEnd))</f>
        <v>0</v>
      </c>
      <c r="Y313" s="24">
        <f>IF(OR(W313="",W313=0),"",X313/W313)</f>
        <v>0</v>
      </c>
      <c r="Z313" s="23">
        <f>IF(T313="","",SUMIFS(Analytics!$G$5:$G$154,Analytics!$D$5:$D$154,T313,Analytics!$B$5:$B$154,"&gt;="&amp;DashStart,Analytics!$B$5:$B$154,"&lt;="&amp;DashEnd))</f>
        <v>0</v>
      </c>
      <c r="AA313" s="23">
        <f>IF(T313="","",SUMIFS(Analytics!$X$5:$X$154,Analytics!$D$5:$D$154,T313,Analytics!$B$5:$B$154,"&gt;="&amp;DashStart,Analytics!$B$5:$B$154,"&lt;="&amp;DashEnd))</f>
        <v>0</v>
      </c>
      <c r="AB313" s="23">
        <f>IF(T313="","",SUMIFS(Analytics!$R$5:$R$154,Analytics!$D$5:$D$154,T313,Analytics!$B$5:$B$154,"&gt;="&amp;DashStart,Analytics!$B$5:$B$154,"&lt;="&amp;DashEnd))</f>
        <v>0</v>
      </c>
      <c r="AC313" s="25">
        <f>IF(T313="","",SUMIFS(Analytics!$U$5:$U$154,Analytics!$D$5:$D$154,T313,Analytics!$B$5:$B$154,"&gt;="&amp;DashStart,Analytics!$B$5:$B$154,"&lt;="&amp;DashEnd))</f>
        <v>0</v>
      </c>
      <c r="AD313" s="23">
        <f>IF(T313="","",COUNTIFS('Content Calendar'!$G$5:$G$604,T313,'Content Calendar'!$B$5:$B$604,"&gt;="&amp;DATE(PlanYear,1,1),'Content Calendar'!$B$5:$B$604,"&lt;="&amp;DATE(PlanYear,12,31)))</f>
        <v>0</v>
      </c>
      <c r="AE313" s="23">
        <f>IF(T313="","",SUMIFS(Analytics!$J$5:$J$154,Analytics!$D$5:$D$154,T313))</f>
        <v>0</v>
      </c>
      <c r="AF313" s="23">
        <f>IF(T313="","",SUMIFS(Analytics!$L$5:$L$154,Analytics!$D$5:$D$154,T313))</f>
        <v>0</v>
      </c>
      <c r="AG313" s="24">
        <f>IF(OR(AE313="",AE313=0),"",AF313/AE313)</f>
        <v>0</v>
      </c>
      <c r="AH313" s="23">
        <f>IF(T313="","",SUMIFS(Analytics!$X$5:$X$154,Analytics!$D$5:$D$154,T313))</f>
        <v>0</v>
      </c>
      <c r="AI313" s="32">
        <f>IF(T313="","",IF(AE313=0,"",AE313+ROW()/1000000))</f>
        <v>0</v>
      </c>
      <c r="AJ313" s="17">
        <f>IF('Content Pillars'!$B$313="","",'Content Pillars'!$B$313)</f>
        <v>0</v>
      </c>
      <c r="AK313" s="23">
        <f>IF(AJ313="","",COUNTIFS('Content Calendar'!$J$5:$J$604,AJ313,'Content Calendar'!$B$5:$B$604,"&gt;="&amp;DATE(PlanYear,1,1),'Content Calendar'!$B$5:$B$604,"&lt;="&amp;DATE(PlanYear,12,31)))</f>
        <v>0</v>
      </c>
      <c r="AL313" s="23">
        <f>IF(AJ313="","",SUMIFS(Performance!$O$5:$O$404,Performance!$H$5:$H$404,AJ313))</f>
        <v>0</v>
      </c>
      <c r="AM313" s="23">
        <f>IF(AJ313="","",SUMIFS(Performance!$Z$5:$Z$404,Performance!$H$5:$H$404,AJ313))</f>
        <v>0</v>
      </c>
      <c r="AN313" s="24">
        <f>IF(OR(AL313="",AL313=0),"",AM313/AL313)</f>
        <v>0</v>
      </c>
      <c r="AO313" s="32">
        <f>IF(AN313="","",AN313+ROW()/1000000)</f>
        <v>0</v>
      </c>
      <c r="AP313" s="17">
        <f>IF(Lists!$E313="","",Lists!$E313)</f>
        <v>0</v>
      </c>
      <c r="AQ313" s="23">
        <f>IF(AP313="","",COUNTIF(Performance!$G$5:$G$404,AP313))</f>
        <v>0</v>
      </c>
      <c r="AR313" s="23">
        <f>IF(AP313="","",SUMIFS(Performance!$O$5:$O$404,Performance!$G$5:$G$404,AP313))</f>
        <v>0</v>
      </c>
      <c r="AS313" s="23">
        <f>IF(AP313="","",SUMIFS(Performance!$Z$5:$Z$404,Performance!$G$5:$G$404,AP313))</f>
        <v>0</v>
      </c>
      <c r="AT313" s="24">
        <f>IF(OR(AR313="",AR313=0),"",AS313/AR313)</f>
        <v>0</v>
      </c>
      <c r="AU313" s="32">
        <f>IF(AQ313=0,"",IF(AT313="","",AT313+ROW()/1000000))</f>
        <v>0</v>
      </c>
      <c r="AV313" s="17">
        <f>IF(ROW()-4&gt;7,"",TEXT(DATE(2024,1,ROW()-4),"ddd"))</f>
        <v>0</v>
      </c>
      <c r="AW313" s="23">
        <f>IF(AV313="","",COUNTIF(Performance!$N$5:$N$404,AV313))</f>
        <v>0</v>
      </c>
      <c r="AX313" s="23">
        <f>IF(AV313="","",SUMIFS(Performance!$O$5:$O$404,Performance!$N$5:$N$404,AV313))</f>
        <v>0</v>
      </c>
      <c r="AY313" s="23">
        <f>IF(AV313="","",SUMIFS(Performance!$Z$5:$Z$404,Performance!$N$5:$N$404,AV313))</f>
        <v>0</v>
      </c>
      <c r="AZ313" s="24">
        <f>IF(OR(AX313="",AX313=0),"",AY313/AX313)</f>
        <v>0</v>
      </c>
      <c r="BA313" s="32">
        <f>IF(AW313=0,"",IF(AZ313="","",AZ313+ROW()/1000000))</f>
        <v>0</v>
      </c>
      <c r="BB313" s="17">
        <f>IF(Lists!$AL313="","",Lists!$AL313)</f>
        <v>0</v>
      </c>
      <c r="BC313" s="23">
        <f>IF(BB313="","",COUNTIF(Performance!$M$5:$M$404,BB313))</f>
        <v>0</v>
      </c>
      <c r="BD313" s="23">
        <f>IF(BB313="","",SUMIFS(Performance!$O$5:$O$404,Performance!$M$5:$M$404,BB313))</f>
        <v>0</v>
      </c>
      <c r="BE313" s="23">
        <f>IF(BB313="","",SUMIFS(Performance!$Z$5:$Z$404,Performance!$M$5:$M$404,BB313))</f>
        <v>0</v>
      </c>
      <c r="BF313" s="24">
        <f>IF(OR(BD313="",BD313=0),"",BE313/BD313)</f>
        <v>0</v>
      </c>
      <c r="BG313" s="32">
        <f>IF(BC313=0,"",IF(BF313="","",BF313+ROW()/1000000))</f>
        <v>0</v>
      </c>
      <c r="BH313" s="17">
        <f>IF(Performance!$C$313="","",Performance!$C$313)</f>
        <v>0</v>
      </c>
      <c r="BI313" s="17">
        <f>IF(Performance!$F$313="","",Performance!$F$313)</f>
        <v>0</v>
      </c>
      <c r="BJ313" s="17">
        <f>IF(Performance!$H$313="","",Performance!$H$313)</f>
        <v>0</v>
      </c>
      <c r="BK313" s="16">
        <f>IF(Performance!$D$313="","",Performance!$D$313)</f>
        <v>0</v>
      </c>
      <c r="BL313" s="17">
        <f>IF(Performance!$E$313="","",Performance!$E$313)</f>
        <v>0</v>
      </c>
      <c r="BM313" s="23">
        <f>IF(Performance!$O$313="","",Performance!$O$313)</f>
        <v>0</v>
      </c>
      <c r="BN313" s="24">
        <f>IF(Performance!$AA$313="","",Performance!$AA$313)</f>
        <v>0</v>
      </c>
      <c r="BO313" s="32">
        <f>IF(BH313="","",IF(BK313="","",IF(OR(BK313&lt;DashStart,BK313&gt;DashEnd),"",IF(BN313="","",BN313+ROW()/1000000))))</f>
        <v>0</v>
      </c>
      <c r="BP313" s="32">
        <f>IF(BM313="","",IF(BK313="","",IF(OR(BK313&lt;DashStart,BK313&gt;DashEnd),"",BM313+ROW()/1000000)))</f>
        <v>0</v>
      </c>
      <c r="BQ313" s="32">
        <f>IF(BH313="","",IF(BK313="","",IF(YEAR(BK313)&lt;&gt;PlanYear,"",IF(BN313="","",BN313+ROW()/1000000))))</f>
        <v>0</v>
      </c>
      <c r="BR313" s="32">
        <f>IF(BH313="","",IF(BK313="","",IF(OR(BK313&lt;RepFrom,BK313&gt;RepTo),"",IF(BN313="","",BN313+ROW()/1000000))))</f>
        <v>0</v>
      </c>
      <c r="BS313" s="32">
        <f>IF(BM313="","",IF(BK313="","",IF(YEAR(BK313)&lt;&gt;PlanYear,"",BM313+ROW()/1000000)))</f>
        <v>0</v>
      </c>
      <c r="BT313" s="17">
        <f>IF(Lists!$F313="","",Lists!$F313)</f>
        <v>0</v>
      </c>
      <c r="BU313" s="23">
        <f>IF(BT313="","",COUNTIF('Content Calendar'!$X$5:$X$604,BT313))</f>
        <v>0</v>
      </c>
      <c r="BV313" s="23">
        <f>IF(BT313="","",COUNTIFS('Content Calendar'!$X$5:$X$604,BT313,'Content Calendar'!$B$5:$B$604,"&gt;="&amp;DashStart,'Content Calendar'!$B$5:$B$604,"&lt;="&amp;DashEnd))</f>
        <v>0</v>
      </c>
      <c r="BW313" s="17">
        <f>IF(Team!$B$313="","",Team!$B$313)</f>
        <v>0</v>
      </c>
      <c r="BX313" s="23">
        <f>IF(BW313="","",COUNTIF('Content Calendar'!$W$5:$W$604,BW313))</f>
        <v>0</v>
      </c>
      <c r="BY313" s="23">
        <f>IF(BW313="","",COUNTIFS('Content Calendar'!$W$5:$W$604,BW313,'Content Calendar'!$X$5:$X$604,"&lt;&gt;Published"))</f>
        <v>0</v>
      </c>
      <c r="BZ313" s="23">
        <f>IF(BW313="","",COUNTIFS(Tasks!$C$5:$C$64,BW313,Tasks!$G$5:$G$64,"&lt;&gt;Complete"))</f>
        <v>0</v>
      </c>
      <c r="CA313" s="17">
        <f>IF(Campaigns!$B$313="","",Campaigns!$B$313)</f>
        <v>0</v>
      </c>
      <c r="CB313" s="25">
        <f>IF(Campaigns!$T$313="","",Campaigns!$T$313)</f>
        <v>0</v>
      </c>
      <c r="CC313" s="25">
        <f>IF(Campaigns!$Q$313="","",Campaigns!$Q$313)</f>
        <v>0</v>
      </c>
      <c r="CD313" s="23">
        <f>IF(Campaigns!$Y$313="","",Campaigns!$Y$313)</f>
        <v>0</v>
      </c>
      <c r="CE313" s="32">
        <f>IF(CA313="","",IF(N(CB313)&lt;=0,"",N(CB313)+ROW()/1000000))</f>
        <v>0</v>
      </c>
      <c r="CF313" s="17">
        <f>IF(Accounts!$C$313="","",Accounts!$C$313)</f>
        <v>0</v>
      </c>
      <c r="CG313" s="17">
        <f>IF(Accounts!$B$313="","",Accounts!$B$313)</f>
        <v>0</v>
      </c>
      <c r="CH313" s="23">
        <f>IF(Accounts!$J$313="","",Accounts!$J$313)</f>
        <v>0</v>
      </c>
      <c r="CI313" s="23">
        <f>IF(CF313="","",SUMIFS(Analytics!$X$5:$X$154,Analytics!$E$5:$E$154,CF313,Analytics!$B$5:$B$154,"&gt;="&amp;DashStart,Analytics!$B$5:$B$154,"&lt;="&amp;DashEnd))</f>
        <v>0</v>
      </c>
      <c r="CJ313" s="32">
        <f>IF(CH313="","",IF(CH313=0,"",CH313+ROW()/1000000))</f>
        <v>0</v>
      </c>
    </row>
    <row r="314" spans="1:88">
      <c r="A314" s="16">
        <f>IF(ROW()-4&gt;12,"",DATE(PlanYear,ROW()-4,1))</f>
        <v>0</v>
      </c>
      <c r="B314" s="16">
        <f>IF(A314="","",EOMONTH(A314,0))</f>
        <v>0</v>
      </c>
      <c r="C314" s="17">
        <f>IF(A314="","",TEXT(A314,"yyyy-mm"))</f>
        <v>0</v>
      </c>
      <c r="D314" s="17">
        <f>IF(A314="","",TEXT(A314,"mmm"))</f>
        <v>0</v>
      </c>
      <c r="E314" s="23">
        <f>IF(C314="","",COUNTIFS('Content Calendar'!$D$5:$D$604,C314))</f>
        <v>0</v>
      </c>
      <c r="F314" s="23">
        <f>IF(C314="","",COUNTIFS('Content Calendar'!$D$5:$D$604,C314,'Content Calendar'!$X$5:$X$604,"Published"))</f>
        <v>0</v>
      </c>
      <c r="G314" s="23">
        <f>IF(C314="","",SUMIFS(Analytics!$J$5:$J$154,Analytics!$C$5:$C$154,C314))</f>
        <v>0</v>
      </c>
      <c r="H314" s="23">
        <f>IF(C314="","",SUMIFS(Analytics!$K$5:$K$154,Analytics!$C$5:$C$154,C314))</f>
        <v>0</v>
      </c>
      <c r="I314" s="23">
        <f>IF(C314="","",SUMIFS(Analytics!$L$5:$L$154,Analytics!$C$5:$C$154,C314))</f>
        <v>0</v>
      </c>
      <c r="J314" s="24">
        <f>IF(OR(G314="",G314=0),"",I314/G314)</f>
        <v>0</v>
      </c>
      <c r="K314" s="23">
        <f>IF(C314="","",SUMIFS(Analytics!$G$5:$G$154,Analytics!$C$5:$C$154,C314))</f>
        <v>0</v>
      </c>
      <c r="L314" s="23">
        <f>IF(C314="","",SUMIFS(Analytics!$X$5:$X$154,Analytics!$C$5:$C$154,C314))</f>
        <v>0</v>
      </c>
      <c r="M314" s="23">
        <f>IF(C314="","",SUMIFS(Analytics!$R$5:$R$154,Analytics!$C$5:$C$154,C314))</f>
        <v>0</v>
      </c>
      <c r="N314" s="23">
        <f>IF(C314="","",SUMIFS(Analytics!$S$5:$S$154,Analytics!$C$5:$C$154,C314))</f>
        <v>0</v>
      </c>
      <c r="O314" s="23">
        <f>IF(C314="","",SUMIFS(Analytics!$T$5:$T$154,Analytics!$C$5:$C$154,C314))</f>
        <v>0</v>
      </c>
      <c r="P314" s="25">
        <f>IF(C314="","",SUMIFS(Analytics!$U$5:$U$154,Analytics!$C$5:$C$154,C314))</f>
        <v>0</v>
      </c>
      <c r="Q314" s="25">
        <f>IF(C314="","",SUMIFS(Budget!$H$5:$H$64,Budget!$C$5:$C$64,C314))</f>
        <v>0</v>
      </c>
      <c r="R314" s="25">
        <f>IF(C314="","",P314-Q314)</f>
        <v>0</v>
      </c>
      <c r="S314" s="23">
        <f>IF(C314="","",MonthlyPostTarget)</f>
        <v>0</v>
      </c>
      <c r="T314" s="17">
        <f>IF(Lists!$C314="","",Lists!$C314)</f>
        <v>0</v>
      </c>
      <c r="U314" s="23">
        <f>IF(T314="","",COUNTIFS('Content Calendar'!$G$5:$G$604,T314,'Content Calendar'!$B$5:$B$604,"&gt;="&amp;DashStart,'Content Calendar'!$B$5:$B$604,"&lt;="&amp;DashEnd))</f>
        <v>0</v>
      </c>
      <c r="V314" s="23">
        <f>IF(T314="","",COUNTIFS('Content Calendar'!$G$5:$G$604,T314,'Content Calendar'!$X$5:$X$604,"Published",'Content Calendar'!$B$5:$B$604,"&gt;="&amp;DashStart,'Content Calendar'!$B$5:$B$604,"&lt;="&amp;DashEnd))</f>
        <v>0</v>
      </c>
      <c r="W314" s="23">
        <f>IF(T314="","",SUMIFS(Analytics!$J$5:$J$154,Analytics!$D$5:$D$154,T314,Analytics!$B$5:$B$154,"&gt;="&amp;DashStart,Analytics!$B$5:$B$154,"&lt;="&amp;DashEnd))</f>
        <v>0</v>
      </c>
      <c r="X314" s="23">
        <f>IF(T314="","",SUMIFS(Analytics!$L$5:$L$154,Analytics!$D$5:$D$154,T314,Analytics!$B$5:$B$154,"&gt;="&amp;DashStart,Analytics!$B$5:$B$154,"&lt;="&amp;DashEnd))</f>
        <v>0</v>
      </c>
      <c r="Y314" s="24">
        <f>IF(OR(W314="",W314=0),"",X314/W314)</f>
        <v>0</v>
      </c>
      <c r="Z314" s="23">
        <f>IF(T314="","",SUMIFS(Analytics!$G$5:$G$154,Analytics!$D$5:$D$154,T314,Analytics!$B$5:$B$154,"&gt;="&amp;DashStart,Analytics!$B$5:$B$154,"&lt;="&amp;DashEnd))</f>
        <v>0</v>
      </c>
      <c r="AA314" s="23">
        <f>IF(T314="","",SUMIFS(Analytics!$X$5:$X$154,Analytics!$D$5:$D$154,T314,Analytics!$B$5:$B$154,"&gt;="&amp;DashStart,Analytics!$B$5:$B$154,"&lt;="&amp;DashEnd))</f>
        <v>0</v>
      </c>
      <c r="AB314" s="23">
        <f>IF(T314="","",SUMIFS(Analytics!$R$5:$R$154,Analytics!$D$5:$D$154,T314,Analytics!$B$5:$B$154,"&gt;="&amp;DashStart,Analytics!$B$5:$B$154,"&lt;="&amp;DashEnd))</f>
        <v>0</v>
      </c>
      <c r="AC314" s="25">
        <f>IF(T314="","",SUMIFS(Analytics!$U$5:$U$154,Analytics!$D$5:$D$154,T314,Analytics!$B$5:$B$154,"&gt;="&amp;DashStart,Analytics!$B$5:$B$154,"&lt;="&amp;DashEnd))</f>
        <v>0</v>
      </c>
      <c r="AD314" s="23">
        <f>IF(T314="","",COUNTIFS('Content Calendar'!$G$5:$G$604,T314,'Content Calendar'!$B$5:$B$604,"&gt;="&amp;DATE(PlanYear,1,1),'Content Calendar'!$B$5:$B$604,"&lt;="&amp;DATE(PlanYear,12,31)))</f>
        <v>0</v>
      </c>
      <c r="AE314" s="23">
        <f>IF(T314="","",SUMIFS(Analytics!$J$5:$J$154,Analytics!$D$5:$D$154,T314))</f>
        <v>0</v>
      </c>
      <c r="AF314" s="23">
        <f>IF(T314="","",SUMIFS(Analytics!$L$5:$L$154,Analytics!$D$5:$D$154,T314))</f>
        <v>0</v>
      </c>
      <c r="AG314" s="24">
        <f>IF(OR(AE314="",AE314=0),"",AF314/AE314)</f>
        <v>0</v>
      </c>
      <c r="AH314" s="23">
        <f>IF(T314="","",SUMIFS(Analytics!$X$5:$X$154,Analytics!$D$5:$D$154,T314))</f>
        <v>0</v>
      </c>
      <c r="AI314" s="32">
        <f>IF(T314="","",IF(AE314=0,"",AE314+ROW()/1000000))</f>
        <v>0</v>
      </c>
      <c r="AJ314" s="17">
        <f>IF('Content Pillars'!$B$314="","",'Content Pillars'!$B$314)</f>
        <v>0</v>
      </c>
      <c r="AK314" s="23">
        <f>IF(AJ314="","",COUNTIFS('Content Calendar'!$J$5:$J$604,AJ314,'Content Calendar'!$B$5:$B$604,"&gt;="&amp;DATE(PlanYear,1,1),'Content Calendar'!$B$5:$B$604,"&lt;="&amp;DATE(PlanYear,12,31)))</f>
        <v>0</v>
      </c>
      <c r="AL314" s="23">
        <f>IF(AJ314="","",SUMIFS(Performance!$O$5:$O$404,Performance!$H$5:$H$404,AJ314))</f>
        <v>0</v>
      </c>
      <c r="AM314" s="23">
        <f>IF(AJ314="","",SUMIFS(Performance!$Z$5:$Z$404,Performance!$H$5:$H$404,AJ314))</f>
        <v>0</v>
      </c>
      <c r="AN314" s="24">
        <f>IF(OR(AL314="",AL314=0),"",AM314/AL314)</f>
        <v>0</v>
      </c>
      <c r="AO314" s="32">
        <f>IF(AN314="","",AN314+ROW()/1000000)</f>
        <v>0</v>
      </c>
      <c r="AP314" s="17">
        <f>IF(Lists!$E314="","",Lists!$E314)</f>
        <v>0</v>
      </c>
      <c r="AQ314" s="23">
        <f>IF(AP314="","",COUNTIF(Performance!$G$5:$G$404,AP314))</f>
        <v>0</v>
      </c>
      <c r="AR314" s="23">
        <f>IF(AP314="","",SUMIFS(Performance!$O$5:$O$404,Performance!$G$5:$G$404,AP314))</f>
        <v>0</v>
      </c>
      <c r="AS314" s="23">
        <f>IF(AP314="","",SUMIFS(Performance!$Z$5:$Z$404,Performance!$G$5:$G$404,AP314))</f>
        <v>0</v>
      </c>
      <c r="AT314" s="24">
        <f>IF(OR(AR314="",AR314=0),"",AS314/AR314)</f>
        <v>0</v>
      </c>
      <c r="AU314" s="32">
        <f>IF(AQ314=0,"",IF(AT314="","",AT314+ROW()/1000000))</f>
        <v>0</v>
      </c>
      <c r="AV314" s="17">
        <f>IF(ROW()-4&gt;7,"",TEXT(DATE(2024,1,ROW()-4),"ddd"))</f>
        <v>0</v>
      </c>
      <c r="AW314" s="23">
        <f>IF(AV314="","",COUNTIF(Performance!$N$5:$N$404,AV314))</f>
        <v>0</v>
      </c>
      <c r="AX314" s="23">
        <f>IF(AV314="","",SUMIFS(Performance!$O$5:$O$404,Performance!$N$5:$N$404,AV314))</f>
        <v>0</v>
      </c>
      <c r="AY314" s="23">
        <f>IF(AV314="","",SUMIFS(Performance!$Z$5:$Z$404,Performance!$N$5:$N$404,AV314))</f>
        <v>0</v>
      </c>
      <c r="AZ314" s="24">
        <f>IF(OR(AX314="",AX314=0),"",AY314/AX314)</f>
        <v>0</v>
      </c>
      <c r="BA314" s="32">
        <f>IF(AW314=0,"",IF(AZ314="","",AZ314+ROW()/1000000))</f>
        <v>0</v>
      </c>
      <c r="BB314" s="17">
        <f>IF(Lists!$AL314="","",Lists!$AL314)</f>
        <v>0</v>
      </c>
      <c r="BC314" s="23">
        <f>IF(BB314="","",COUNTIF(Performance!$M$5:$M$404,BB314))</f>
        <v>0</v>
      </c>
      <c r="BD314" s="23">
        <f>IF(BB314="","",SUMIFS(Performance!$O$5:$O$404,Performance!$M$5:$M$404,BB314))</f>
        <v>0</v>
      </c>
      <c r="BE314" s="23">
        <f>IF(BB314="","",SUMIFS(Performance!$Z$5:$Z$404,Performance!$M$5:$M$404,BB314))</f>
        <v>0</v>
      </c>
      <c r="BF314" s="24">
        <f>IF(OR(BD314="",BD314=0),"",BE314/BD314)</f>
        <v>0</v>
      </c>
      <c r="BG314" s="32">
        <f>IF(BC314=0,"",IF(BF314="","",BF314+ROW()/1000000))</f>
        <v>0</v>
      </c>
      <c r="BH314" s="17">
        <f>IF(Performance!$C$314="","",Performance!$C$314)</f>
        <v>0</v>
      </c>
      <c r="BI314" s="17">
        <f>IF(Performance!$F$314="","",Performance!$F$314)</f>
        <v>0</v>
      </c>
      <c r="BJ314" s="17">
        <f>IF(Performance!$H$314="","",Performance!$H$314)</f>
        <v>0</v>
      </c>
      <c r="BK314" s="16">
        <f>IF(Performance!$D$314="","",Performance!$D$314)</f>
        <v>0</v>
      </c>
      <c r="BL314" s="17">
        <f>IF(Performance!$E$314="","",Performance!$E$314)</f>
        <v>0</v>
      </c>
      <c r="BM314" s="23">
        <f>IF(Performance!$O$314="","",Performance!$O$314)</f>
        <v>0</v>
      </c>
      <c r="BN314" s="24">
        <f>IF(Performance!$AA$314="","",Performance!$AA$314)</f>
        <v>0</v>
      </c>
      <c r="BO314" s="32">
        <f>IF(BH314="","",IF(BK314="","",IF(OR(BK314&lt;DashStart,BK314&gt;DashEnd),"",IF(BN314="","",BN314+ROW()/1000000))))</f>
        <v>0</v>
      </c>
      <c r="BP314" s="32">
        <f>IF(BM314="","",IF(BK314="","",IF(OR(BK314&lt;DashStart,BK314&gt;DashEnd),"",BM314+ROW()/1000000)))</f>
        <v>0</v>
      </c>
      <c r="BQ314" s="32">
        <f>IF(BH314="","",IF(BK314="","",IF(YEAR(BK314)&lt;&gt;PlanYear,"",IF(BN314="","",BN314+ROW()/1000000))))</f>
        <v>0</v>
      </c>
      <c r="BR314" s="32">
        <f>IF(BH314="","",IF(BK314="","",IF(OR(BK314&lt;RepFrom,BK314&gt;RepTo),"",IF(BN314="","",BN314+ROW()/1000000))))</f>
        <v>0</v>
      </c>
      <c r="BS314" s="32">
        <f>IF(BM314="","",IF(BK314="","",IF(YEAR(BK314)&lt;&gt;PlanYear,"",BM314+ROW()/1000000)))</f>
        <v>0</v>
      </c>
      <c r="BT314" s="17">
        <f>IF(Lists!$F314="","",Lists!$F314)</f>
        <v>0</v>
      </c>
      <c r="BU314" s="23">
        <f>IF(BT314="","",COUNTIF('Content Calendar'!$X$5:$X$604,BT314))</f>
        <v>0</v>
      </c>
      <c r="BV314" s="23">
        <f>IF(BT314="","",COUNTIFS('Content Calendar'!$X$5:$X$604,BT314,'Content Calendar'!$B$5:$B$604,"&gt;="&amp;DashStart,'Content Calendar'!$B$5:$B$604,"&lt;="&amp;DashEnd))</f>
        <v>0</v>
      </c>
      <c r="BW314" s="17">
        <f>IF(Team!$B$314="","",Team!$B$314)</f>
        <v>0</v>
      </c>
      <c r="BX314" s="23">
        <f>IF(BW314="","",COUNTIF('Content Calendar'!$W$5:$W$604,BW314))</f>
        <v>0</v>
      </c>
      <c r="BY314" s="23">
        <f>IF(BW314="","",COUNTIFS('Content Calendar'!$W$5:$W$604,BW314,'Content Calendar'!$X$5:$X$604,"&lt;&gt;Published"))</f>
        <v>0</v>
      </c>
      <c r="BZ314" s="23">
        <f>IF(BW314="","",COUNTIFS(Tasks!$C$5:$C$64,BW314,Tasks!$G$5:$G$64,"&lt;&gt;Complete"))</f>
        <v>0</v>
      </c>
      <c r="CA314" s="17">
        <f>IF(Campaigns!$B$314="","",Campaigns!$B$314)</f>
        <v>0</v>
      </c>
      <c r="CB314" s="25">
        <f>IF(Campaigns!$T$314="","",Campaigns!$T$314)</f>
        <v>0</v>
      </c>
      <c r="CC314" s="25">
        <f>IF(Campaigns!$Q$314="","",Campaigns!$Q$314)</f>
        <v>0</v>
      </c>
      <c r="CD314" s="23">
        <f>IF(Campaigns!$Y$314="","",Campaigns!$Y$314)</f>
        <v>0</v>
      </c>
      <c r="CE314" s="32">
        <f>IF(CA314="","",IF(N(CB314)&lt;=0,"",N(CB314)+ROW()/1000000))</f>
        <v>0</v>
      </c>
      <c r="CF314" s="17">
        <f>IF(Accounts!$C$314="","",Accounts!$C$314)</f>
        <v>0</v>
      </c>
      <c r="CG314" s="17">
        <f>IF(Accounts!$B$314="","",Accounts!$B$314)</f>
        <v>0</v>
      </c>
      <c r="CH314" s="23">
        <f>IF(Accounts!$J$314="","",Accounts!$J$314)</f>
        <v>0</v>
      </c>
      <c r="CI314" s="23">
        <f>IF(CF314="","",SUMIFS(Analytics!$X$5:$X$154,Analytics!$E$5:$E$154,CF314,Analytics!$B$5:$B$154,"&gt;="&amp;DashStart,Analytics!$B$5:$B$154,"&lt;="&amp;DashEnd))</f>
        <v>0</v>
      </c>
      <c r="CJ314" s="32">
        <f>IF(CH314="","",IF(CH314=0,"",CH314+ROW()/1000000))</f>
        <v>0</v>
      </c>
    </row>
    <row r="315" spans="1:88">
      <c r="A315" s="16">
        <f>IF(ROW()-4&gt;12,"",DATE(PlanYear,ROW()-4,1))</f>
        <v>0</v>
      </c>
      <c r="B315" s="16">
        <f>IF(A315="","",EOMONTH(A315,0))</f>
        <v>0</v>
      </c>
      <c r="C315" s="17">
        <f>IF(A315="","",TEXT(A315,"yyyy-mm"))</f>
        <v>0</v>
      </c>
      <c r="D315" s="17">
        <f>IF(A315="","",TEXT(A315,"mmm"))</f>
        <v>0</v>
      </c>
      <c r="E315" s="23">
        <f>IF(C315="","",COUNTIFS('Content Calendar'!$D$5:$D$604,C315))</f>
        <v>0</v>
      </c>
      <c r="F315" s="23">
        <f>IF(C315="","",COUNTIFS('Content Calendar'!$D$5:$D$604,C315,'Content Calendar'!$X$5:$X$604,"Published"))</f>
        <v>0</v>
      </c>
      <c r="G315" s="23">
        <f>IF(C315="","",SUMIFS(Analytics!$J$5:$J$154,Analytics!$C$5:$C$154,C315))</f>
        <v>0</v>
      </c>
      <c r="H315" s="23">
        <f>IF(C315="","",SUMIFS(Analytics!$K$5:$K$154,Analytics!$C$5:$C$154,C315))</f>
        <v>0</v>
      </c>
      <c r="I315" s="23">
        <f>IF(C315="","",SUMIFS(Analytics!$L$5:$L$154,Analytics!$C$5:$C$154,C315))</f>
        <v>0</v>
      </c>
      <c r="J315" s="24">
        <f>IF(OR(G315="",G315=0),"",I315/G315)</f>
        <v>0</v>
      </c>
      <c r="K315" s="23">
        <f>IF(C315="","",SUMIFS(Analytics!$G$5:$G$154,Analytics!$C$5:$C$154,C315))</f>
        <v>0</v>
      </c>
      <c r="L315" s="23">
        <f>IF(C315="","",SUMIFS(Analytics!$X$5:$X$154,Analytics!$C$5:$C$154,C315))</f>
        <v>0</v>
      </c>
      <c r="M315" s="23">
        <f>IF(C315="","",SUMIFS(Analytics!$R$5:$R$154,Analytics!$C$5:$C$154,C315))</f>
        <v>0</v>
      </c>
      <c r="N315" s="23">
        <f>IF(C315="","",SUMIFS(Analytics!$S$5:$S$154,Analytics!$C$5:$C$154,C315))</f>
        <v>0</v>
      </c>
      <c r="O315" s="23">
        <f>IF(C315="","",SUMIFS(Analytics!$T$5:$T$154,Analytics!$C$5:$C$154,C315))</f>
        <v>0</v>
      </c>
      <c r="P315" s="25">
        <f>IF(C315="","",SUMIFS(Analytics!$U$5:$U$154,Analytics!$C$5:$C$154,C315))</f>
        <v>0</v>
      </c>
      <c r="Q315" s="25">
        <f>IF(C315="","",SUMIFS(Budget!$H$5:$H$64,Budget!$C$5:$C$64,C315))</f>
        <v>0</v>
      </c>
      <c r="R315" s="25">
        <f>IF(C315="","",P315-Q315)</f>
        <v>0</v>
      </c>
      <c r="S315" s="23">
        <f>IF(C315="","",MonthlyPostTarget)</f>
        <v>0</v>
      </c>
      <c r="T315" s="17">
        <f>IF(Lists!$C315="","",Lists!$C315)</f>
        <v>0</v>
      </c>
      <c r="U315" s="23">
        <f>IF(T315="","",COUNTIFS('Content Calendar'!$G$5:$G$604,T315,'Content Calendar'!$B$5:$B$604,"&gt;="&amp;DashStart,'Content Calendar'!$B$5:$B$604,"&lt;="&amp;DashEnd))</f>
        <v>0</v>
      </c>
      <c r="V315" s="23">
        <f>IF(T315="","",COUNTIFS('Content Calendar'!$G$5:$G$604,T315,'Content Calendar'!$X$5:$X$604,"Published",'Content Calendar'!$B$5:$B$604,"&gt;="&amp;DashStart,'Content Calendar'!$B$5:$B$604,"&lt;="&amp;DashEnd))</f>
        <v>0</v>
      </c>
      <c r="W315" s="23">
        <f>IF(T315="","",SUMIFS(Analytics!$J$5:$J$154,Analytics!$D$5:$D$154,T315,Analytics!$B$5:$B$154,"&gt;="&amp;DashStart,Analytics!$B$5:$B$154,"&lt;="&amp;DashEnd))</f>
        <v>0</v>
      </c>
      <c r="X315" s="23">
        <f>IF(T315="","",SUMIFS(Analytics!$L$5:$L$154,Analytics!$D$5:$D$154,T315,Analytics!$B$5:$B$154,"&gt;="&amp;DashStart,Analytics!$B$5:$B$154,"&lt;="&amp;DashEnd))</f>
        <v>0</v>
      </c>
      <c r="Y315" s="24">
        <f>IF(OR(W315="",W315=0),"",X315/W315)</f>
        <v>0</v>
      </c>
      <c r="Z315" s="23">
        <f>IF(T315="","",SUMIFS(Analytics!$G$5:$G$154,Analytics!$D$5:$D$154,T315,Analytics!$B$5:$B$154,"&gt;="&amp;DashStart,Analytics!$B$5:$B$154,"&lt;="&amp;DashEnd))</f>
        <v>0</v>
      </c>
      <c r="AA315" s="23">
        <f>IF(T315="","",SUMIFS(Analytics!$X$5:$X$154,Analytics!$D$5:$D$154,T315,Analytics!$B$5:$B$154,"&gt;="&amp;DashStart,Analytics!$B$5:$B$154,"&lt;="&amp;DashEnd))</f>
        <v>0</v>
      </c>
      <c r="AB315" s="23">
        <f>IF(T315="","",SUMIFS(Analytics!$R$5:$R$154,Analytics!$D$5:$D$154,T315,Analytics!$B$5:$B$154,"&gt;="&amp;DashStart,Analytics!$B$5:$B$154,"&lt;="&amp;DashEnd))</f>
        <v>0</v>
      </c>
      <c r="AC315" s="25">
        <f>IF(T315="","",SUMIFS(Analytics!$U$5:$U$154,Analytics!$D$5:$D$154,T315,Analytics!$B$5:$B$154,"&gt;="&amp;DashStart,Analytics!$B$5:$B$154,"&lt;="&amp;DashEnd))</f>
        <v>0</v>
      </c>
      <c r="AD315" s="23">
        <f>IF(T315="","",COUNTIFS('Content Calendar'!$G$5:$G$604,T315,'Content Calendar'!$B$5:$B$604,"&gt;="&amp;DATE(PlanYear,1,1),'Content Calendar'!$B$5:$B$604,"&lt;="&amp;DATE(PlanYear,12,31)))</f>
        <v>0</v>
      </c>
      <c r="AE315" s="23">
        <f>IF(T315="","",SUMIFS(Analytics!$J$5:$J$154,Analytics!$D$5:$D$154,T315))</f>
        <v>0</v>
      </c>
      <c r="AF315" s="23">
        <f>IF(T315="","",SUMIFS(Analytics!$L$5:$L$154,Analytics!$D$5:$D$154,T315))</f>
        <v>0</v>
      </c>
      <c r="AG315" s="24">
        <f>IF(OR(AE315="",AE315=0),"",AF315/AE315)</f>
        <v>0</v>
      </c>
      <c r="AH315" s="23">
        <f>IF(T315="","",SUMIFS(Analytics!$X$5:$X$154,Analytics!$D$5:$D$154,T315))</f>
        <v>0</v>
      </c>
      <c r="AI315" s="32">
        <f>IF(T315="","",IF(AE315=0,"",AE315+ROW()/1000000))</f>
        <v>0</v>
      </c>
      <c r="AJ315" s="17">
        <f>IF('Content Pillars'!$B$315="","",'Content Pillars'!$B$315)</f>
        <v>0</v>
      </c>
      <c r="AK315" s="23">
        <f>IF(AJ315="","",COUNTIFS('Content Calendar'!$J$5:$J$604,AJ315,'Content Calendar'!$B$5:$B$604,"&gt;="&amp;DATE(PlanYear,1,1),'Content Calendar'!$B$5:$B$604,"&lt;="&amp;DATE(PlanYear,12,31)))</f>
        <v>0</v>
      </c>
      <c r="AL315" s="23">
        <f>IF(AJ315="","",SUMIFS(Performance!$O$5:$O$404,Performance!$H$5:$H$404,AJ315))</f>
        <v>0</v>
      </c>
      <c r="AM315" s="23">
        <f>IF(AJ315="","",SUMIFS(Performance!$Z$5:$Z$404,Performance!$H$5:$H$404,AJ315))</f>
        <v>0</v>
      </c>
      <c r="AN315" s="24">
        <f>IF(OR(AL315="",AL315=0),"",AM315/AL315)</f>
        <v>0</v>
      </c>
      <c r="AO315" s="32">
        <f>IF(AN315="","",AN315+ROW()/1000000)</f>
        <v>0</v>
      </c>
      <c r="AP315" s="17">
        <f>IF(Lists!$E315="","",Lists!$E315)</f>
        <v>0</v>
      </c>
      <c r="AQ315" s="23">
        <f>IF(AP315="","",COUNTIF(Performance!$G$5:$G$404,AP315))</f>
        <v>0</v>
      </c>
      <c r="AR315" s="23">
        <f>IF(AP315="","",SUMIFS(Performance!$O$5:$O$404,Performance!$G$5:$G$404,AP315))</f>
        <v>0</v>
      </c>
      <c r="AS315" s="23">
        <f>IF(AP315="","",SUMIFS(Performance!$Z$5:$Z$404,Performance!$G$5:$G$404,AP315))</f>
        <v>0</v>
      </c>
      <c r="AT315" s="24">
        <f>IF(OR(AR315="",AR315=0),"",AS315/AR315)</f>
        <v>0</v>
      </c>
      <c r="AU315" s="32">
        <f>IF(AQ315=0,"",IF(AT315="","",AT315+ROW()/1000000))</f>
        <v>0</v>
      </c>
      <c r="AV315" s="17">
        <f>IF(ROW()-4&gt;7,"",TEXT(DATE(2024,1,ROW()-4),"ddd"))</f>
        <v>0</v>
      </c>
      <c r="AW315" s="23">
        <f>IF(AV315="","",COUNTIF(Performance!$N$5:$N$404,AV315))</f>
        <v>0</v>
      </c>
      <c r="AX315" s="23">
        <f>IF(AV315="","",SUMIFS(Performance!$O$5:$O$404,Performance!$N$5:$N$404,AV315))</f>
        <v>0</v>
      </c>
      <c r="AY315" s="23">
        <f>IF(AV315="","",SUMIFS(Performance!$Z$5:$Z$404,Performance!$N$5:$N$404,AV315))</f>
        <v>0</v>
      </c>
      <c r="AZ315" s="24">
        <f>IF(OR(AX315="",AX315=0),"",AY315/AX315)</f>
        <v>0</v>
      </c>
      <c r="BA315" s="32">
        <f>IF(AW315=0,"",IF(AZ315="","",AZ315+ROW()/1000000))</f>
        <v>0</v>
      </c>
      <c r="BB315" s="17">
        <f>IF(Lists!$AL315="","",Lists!$AL315)</f>
        <v>0</v>
      </c>
      <c r="BC315" s="23">
        <f>IF(BB315="","",COUNTIF(Performance!$M$5:$M$404,BB315))</f>
        <v>0</v>
      </c>
      <c r="BD315" s="23">
        <f>IF(BB315="","",SUMIFS(Performance!$O$5:$O$404,Performance!$M$5:$M$404,BB315))</f>
        <v>0</v>
      </c>
      <c r="BE315" s="23">
        <f>IF(BB315="","",SUMIFS(Performance!$Z$5:$Z$404,Performance!$M$5:$M$404,BB315))</f>
        <v>0</v>
      </c>
      <c r="BF315" s="24">
        <f>IF(OR(BD315="",BD315=0),"",BE315/BD315)</f>
        <v>0</v>
      </c>
      <c r="BG315" s="32">
        <f>IF(BC315=0,"",IF(BF315="","",BF315+ROW()/1000000))</f>
        <v>0</v>
      </c>
      <c r="BH315" s="17">
        <f>IF(Performance!$C$315="","",Performance!$C$315)</f>
        <v>0</v>
      </c>
      <c r="BI315" s="17">
        <f>IF(Performance!$F$315="","",Performance!$F$315)</f>
        <v>0</v>
      </c>
      <c r="BJ315" s="17">
        <f>IF(Performance!$H$315="","",Performance!$H$315)</f>
        <v>0</v>
      </c>
      <c r="BK315" s="16">
        <f>IF(Performance!$D$315="","",Performance!$D$315)</f>
        <v>0</v>
      </c>
      <c r="BL315" s="17">
        <f>IF(Performance!$E$315="","",Performance!$E$315)</f>
        <v>0</v>
      </c>
      <c r="BM315" s="23">
        <f>IF(Performance!$O$315="","",Performance!$O$315)</f>
        <v>0</v>
      </c>
      <c r="BN315" s="24">
        <f>IF(Performance!$AA$315="","",Performance!$AA$315)</f>
        <v>0</v>
      </c>
      <c r="BO315" s="32">
        <f>IF(BH315="","",IF(BK315="","",IF(OR(BK315&lt;DashStart,BK315&gt;DashEnd),"",IF(BN315="","",BN315+ROW()/1000000))))</f>
        <v>0</v>
      </c>
      <c r="BP315" s="32">
        <f>IF(BM315="","",IF(BK315="","",IF(OR(BK315&lt;DashStart,BK315&gt;DashEnd),"",BM315+ROW()/1000000)))</f>
        <v>0</v>
      </c>
      <c r="BQ315" s="32">
        <f>IF(BH315="","",IF(BK315="","",IF(YEAR(BK315)&lt;&gt;PlanYear,"",IF(BN315="","",BN315+ROW()/1000000))))</f>
        <v>0</v>
      </c>
      <c r="BR315" s="32">
        <f>IF(BH315="","",IF(BK315="","",IF(OR(BK315&lt;RepFrom,BK315&gt;RepTo),"",IF(BN315="","",BN315+ROW()/1000000))))</f>
        <v>0</v>
      </c>
      <c r="BS315" s="32">
        <f>IF(BM315="","",IF(BK315="","",IF(YEAR(BK315)&lt;&gt;PlanYear,"",BM315+ROW()/1000000)))</f>
        <v>0</v>
      </c>
      <c r="BT315" s="17">
        <f>IF(Lists!$F315="","",Lists!$F315)</f>
        <v>0</v>
      </c>
      <c r="BU315" s="23">
        <f>IF(BT315="","",COUNTIF('Content Calendar'!$X$5:$X$604,BT315))</f>
        <v>0</v>
      </c>
      <c r="BV315" s="23">
        <f>IF(BT315="","",COUNTIFS('Content Calendar'!$X$5:$X$604,BT315,'Content Calendar'!$B$5:$B$604,"&gt;="&amp;DashStart,'Content Calendar'!$B$5:$B$604,"&lt;="&amp;DashEnd))</f>
        <v>0</v>
      </c>
      <c r="BW315" s="17">
        <f>IF(Team!$B$315="","",Team!$B$315)</f>
        <v>0</v>
      </c>
      <c r="BX315" s="23">
        <f>IF(BW315="","",COUNTIF('Content Calendar'!$W$5:$W$604,BW315))</f>
        <v>0</v>
      </c>
      <c r="BY315" s="23">
        <f>IF(BW315="","",COUNTIFS('Content Calendar'!$W$5:$W$604,BW315,'Content Calendar'!$X$5:$X$604,"&lt;&gt;Published"))</f>
        <v>0</v>
      </c>
      <c r="BZ315" s="23">
        <f>IF(BW315="","",COUNTIFS(Tasks!$C$5:$C$64,BW315,Tasks!$G$5:$G$64,"&lt;&gt;Complete"))</f>
        <v>0</v>
      </c>
      <c r="CA315" s="17">
        <f>IF(Campaigns!$B$315="","",Campaigns!$B$315)</f>
        <v>0</v>
      </c>
      <c r="CB315" s="25">
        <f>IF(Campaigns!$T$315="","",Campaigns!$T$315)</f>
        <v>0</v>
      </c>
      <c r="CC315" s="25">
        <f>IF(Campaigns!$Q$315="","",Campaigns!$Q$315)</f>
        <v>0</v>
      </c>
      <c r="CD315" s="23">
        <f>IF(Campaigns!$Y$315="","",Campaigns!$Y$315)</f>
        <v>0</v>
      </c>
      <c r="CE315" s="32">
        <f>IF(CA315="","",IF(N(CB315)&lt;=0,"",N(CB315)+ROW()/1000000))</f>
        <v>0</v>
      </c>
      <c r="CF315" s="17">
        <f>IF(Accounts!$C$315="","",Accounts!$C$315)</f>
        <v>0</v>
      </c>
      <c r="CG315" s="17">
        <f>IF(Accounts!$B$315="","",Accounts!$B$315)</f>
        <v>0</v>
      </c>
      <c r="CH315" s="23">
        <f>IF(Accounts!$J$315="","",Accounts!$J$315)</f>
        <v>0</v>
      </c>
      <c r="CI315" s="23">
        <f>IF(CF315="","",SUMIFS(Analytics!$X$5:$X$154,Analytics!$E$5:$E$154,CF315,Analytics!$B$5:$B$154,"&gt;="&amp;DashStart,Analytics!$B$5:$B$154,"&lt;="&amp;DashEnd))</f>
        <v>0</v>
      </c>
      <c r="CJ315" s="32">
        <f>IF(CH315="","",IF(CH315=0,"",CH315+ROW()/1000000))</f>
        <v>0</v>
      </c>
    </row>
    <row r="316" spans="1:88">
      <c r="A316" s="16">
        <f>IF(ROW()-4&gt;12,"",DATE(PlanYear,ROW()-4,1))</f>
        <v>0</v>
      </c>
      <c r="B316" s="16">
        <f>IF(A316="","",EOMONTH(A316,0))</f>
        <v>0</v>
      </c>
      <c r="C316" s="17">
        <f>IF(A316="","",TEXT(A316,"yyyy-mm"))</f>
        <v>0</v>
      </c>
      <c r="D316" s="17">
        <f>IF(A316="","",TEXT(A316,"mmm"))</f>
        <v>0</v>
      </c>
      <c r="E316" s="23">
        <f>IF(C316="","",COUNTIFS('Content Calendar'!$D$5:$D$604,C316))</f>
        <v>0</v>
      </c>
      <c r="F316" s="23">
        <f>IF(C316="","",COUNTIFS('Content Calendar'!$D$5:$D$604,C316,'Content Calendar'!$X$5:$X$604,"Published"))</f>
        <v>0</v>
      </c>
      <c r="G316" s="23">
        <f>IF(C316="","",SUMIFS(Analytics!$J$5:$J$154,Analytics!$C$5:$C$154,C316))</f>
        <v>0</v>
      </c>
      <c r="H316" s="23">
        <f>IF(C316="","",SUMIFS(Analytics!$K$5:$K$154,Analytics!$C$5:$C$154,C316))</f>
        <v>0</v>
      </c>
      <c r="I316" s="23">
        <f>IF(C316="","",SUMIFS(Analytics!$L$5:$L$154,Analytics!$C$5:$C$154,C316))</f>
        <v>0</v>
      </c>
      <c r="J316" s="24">
        <f>IF(OR(G316="",G316=0),"",I316/G316)</f>
        <v>0</v>
      </c>
      <c r="K316" s="23">
        <f>IF(C316="","",SUMIFS(Analytics!$G$5:$G$154,Analytics!$C$5:$C$154,C316))</f>
        <v>0</v>
      </c>
      <c r="L316" s="23">
        <f>IF(C316="","",SUMIFS(Analytics!$X$5:$X$154,Analytics!$C$5:$C$154,C316))</f>
        <v>0</v>
      </c>
      <c r="M316" s="23">
        <f>IF(C316="","",SUMIFS(Analytics!$R$5:$R$154,Analytics!$C$5:$C$154,C316))</f>
        <v>0</v>
      </c>
      <c r="N316" s="23">
        <f>IF(C316="","",SUMIFS(Analytics!$S$5:$S$154,Analytics!$C$5:$C$154,C316))</f>
        <v>0</v>
      </c>
      <c r="O316" s="23">
        <f>IF(C316="","",SUMIFS(Analytics!$T$5:$T$154,Analytics!$C$5:$C$154,C316))</f>
        <v>0</v>
      </c>
      <c r="P316" s="25">
        <f>IF(C316="","",SUMIFS(Analytics!$U$5:$U$154,Analytics!$C$5:$C$154,C316))</f>
        <v>0</v>
      </c>
      <c r="Q316" s="25">
        <f>IF(C316="","",SUMIFS(Budget!$H$5:$H$64,Budget!$C$5:$C$64,C316))</f>
        <v>0</v>
      </c>
      <c r="R316" s="25">
        <f>IF(C316="","",P316-Q316)</f>
        <v>0</v>
      </c>
      <c r="S316" s="23">
        <f>IF(C316="","",MonthlyPostTarget)</f>
        <v>0</v>
      </c>
      <c r="T316" s="17">
        <f>IF(Lists!$C316="","",Lists!$C316)</f>
        <v>0</v>
      </c>
      <c r="U316" s="23">
        <f>IF(T316="","",COUNTIFS('Content Calendar'!$G$5:$G$604,T316,'Content Calendar'!$B$5:$B$604,"&gt;="&amp;DashStart,'Content Calendar'!$B$5:$B$604,"&lt;="&amp;DashEnd))</f>
        <v>0</v>
      </c>
      <c r="V316" s="23">
        <f>IF(T316="","",COUNTIFS('Content Calendar'!$G$5:$G$604,T316,'Content Calendar'!$X$5:$X$604,"Published",'Content Calendar'!$B$5:$B$604,"&gt;="&amp;DashStart,'Content Calendar'!$B$5:$B$604,"&lt;="&amp;DashEnd))</f>
        <v>0</v>
      </c>
      <c r="W316" s="23">
        <f>IF(T316="","",SUMIFS(Analytics!$J$5:$J$154,Analytics!$D$5:$D$154,T316,Analytics!$B$5:$B$154,"&gt;="&amp;DashStart,Analytics!$B$5:$B$154,"&lt;="&amp;DashEnd))</f>
        <v>0</v>
      </c>
      <c r="X316" s="23">
        <f>IF(T316="","",SUMIFS(Analytics!$L$5:$L$154,Analytics!$D$5:$D$154,T316,Analytics!$B$5:$B$154,"&gt;="&amp;DashStart,Analytics!$B$5:$B$154,"&lt;="&amp;DashEnd))</f>
        <v>0</v>
      </c>
      <c r="Y316" s="24">
        <f>IF(OR(W316="",W316=0),"",X316/W316)</f>
        <v>0</v>
      </c>
      <c r="Z316" s="23">
        <f>IF(T316="","",SUMIFS(Analytics!$G$5:$G$154,Analytics!$D$5:$D$154,T316,Analytics!$B$5:$B$154,"&gt;="&amp;DashStart,Analytics!$B$5:$B$154,"&lt;="&amp;DashEnd))</f>
        <v>0</v>
      </c>
      <c r="AA316" s="23">
        <f>IF(T316="","",SUMIFS(Analytics!$X$5:$X$154,Analytics!$D$5:$D$154,T316,Analytics!$B$5:$B$154,"&gt;="&amp;DashStart,Analytics!$B$5:$B$154,"&lt;="&amp;DashEnd))</f>
        <v>0</v>
      </c>
      <c r="AB316" s="23">
        <f>IF(T316="","",SUMIFS(Analytics!$R$5:$R$154,Analytics!$D$5:$D$154,T316,Analytics!$B$5:$B$154,"&gt;="&amp;DashStart,Analytics!$B$5:$B$154,"&lt;="&amp;DashEnd))</f>
        <v>0</v>
      </c>
      <c r="AC316" s="25">
        <f>IF(T316="","",SUMIFS(Analytics!$U$5:$U$154,Analytics!$D$5:$D$154,T316,Analytics!$B$5:$B$154,"&gt;="&amp;DashStart,Analytics!$B$5:$B$154,"&lt;="&amp;DashEnd))</f>
        <v>0</v>
      </c>
      <c r="AD316" s="23">
        <f>IF(T316="","",COUNTIFS('Content Calendar'!$G$5:$G$604,T316,'Content Calendar'!$B$5:$B$604,"&gt;="&amp;DATE(PlanYear,1,1),'Content Calendar'!$B$5:$B$604,"&lt;="&amp;DATE(PlanYear,12,31)))</f>
        <v>0</v>
      </c>
      <c r="AE316" s="23">
        <f>IF(T316="","",SUMIFS(Analytics!$J$5:$J$154,Analytics!$D$5:$D$154,T316))</f>
        <v>0</v>
      </c>
      <c r="AF316" s="23">
        <f>IF(T316="","",SUMIFS(Analytics!$L$5:$L$154,Analytics!$D$5:$D$154,T316))</f>
        <v>0</v>
      </c>
      <c r="AG316" s="24">
        <f>IF(OR(AE316="",AE316=0),"",AF316/AE316)</f>
        <v>0</v>
      </c>
      <c r="AH316" s="23">
        <f>IF(T316="","",SUMIFS(Analytics!$X$5:$X$154,Analytics!$D$5:$D$154,T316))</f>
        <v>0</v>
      </c>
      <c r="AI316" s="32">
        <f>IF(T316="","",IF(AE316=0,"",AE316+ROW()/1000000))</f>
        <v>0</v>
      </c>
      <c r="AJ316" s="17">
        <f>IF('Content Pillars'!$B$316="","",'Content Pillars'!$B$316)</f>
        <v>0</v>
      </c>
      <c r="AK316" s="23">
        <f>IF(AJ316="","",COUNTIFS('Content Calendar'!$J$5:$J$604,AJ316,'Content Calendar'!$B$5:$B$604,"&gt;="&amp;DATE(PlanYear,1,1),'Content Calendar'!$B$5:$B$604,"&lt;="&amp;DATE(PlanYear,12,31)))</f>
        <v>0</v>
      </c>
      <c r="AL316" s="23">
        <f>IF(AJ316="","",SUMIFS(Performance!$O$5:$O$404,Performance!$H$5:$H$404,AJ316))</f>
        <v>0</v>
      </c>
      <c r="AM316" s="23">
        <f>IF(AJ316="","",SUMIFS(Performance!$Z$5:$Z$404,Performance!$H$5:$H$404,AJ316))</f>
        <v>0</v>
      </c>
      <c r="AN316" s="24">
        <f>IF(OR(AL316="",AL316=0),"",AM316/AL316)</f>
        <v>0</v>
      </c>
      <c r="AO316" s="32">
        <f>IF(AN316="","",AN316+ROW()/1000000)</f>
        <v>0</v>
      </c>
      <c r="AP316" s="17">
        <f>IF(Lists!$E316="","",Lists!$E316)</f>
        <v>0</v>
      </c>
      <c r="AQ316" s="23">
        <f>IF(AP316="","",COUNTIF(Performance!$G$5:$G$404,AP316))</f>
        <v>0</v>
      </c>
      <c r="AR316" s="23">
        <f>IF(AP316="","",SUMIFS(Performance!$O$5:$O$404,Performance!$G$5:$G$404,AP316))</f>
        <v>0</v>
      </c>
      <c r="AS316" s="23">
        <f>IF(AP316="","",SUMIFS(Performance!$Z$5:$Z$404,Performance!$G$5:$G$404,AP316))</f>
        <v>0</v>
      </c>
      <c r="AT316" s="24">
        <f>IF(OR(AR316="",AR316=0),"",AS316/AR316)</f>
        <v>0</v>
      </c>
      <c r="AU316" s="32">
        <f>IF(AQ316=0,"",IF(AT316="","",AT316+ROW()/1000000))</f>
        <v>0</v>
      </c>
      <c r="AV316" s="17">
        <f>IF(ROW()-4&gt;7,"",TEXT(DATE(2024,1,ROW()-4),"ddd"))</f>
        <v>0</v>
      </c>
      <c r="AW316" s="23">
        <f>IF(AV316="","",COUNTIF(Performance!$N$5:$N$404,AV316))</f>
        <v>0</v>
      </c>
      <c r="AX316" s="23">
        <f>IF(AV316="","",SUMIFS(Performance!$O$5:$O$404,Performance!$N$5:$N$404,AV316))</f>
        <v>0</v>
      </c>
      <c r="AY316" s="23">
        <f>IF(AV316="","",SUMIFS(Performance!$Z$5:$Z$404,Performance!$N$5:$N$404,AV316))</f>
        <v>0</v>
      </c>
      <c r="AZ316" s="24">
        <f>IF(OR(AX316="",AX316=0),"",AY316/AX316)</f>
        <v>0</v>
      </c>
      <c r="BA316" s="32">
        <f>IF(AW316=0,"",IF(AZ316="","",AZ316+ROW()/1000000))</f>
        <v>0</v>
      </c>
      <c r="BB316" s="17">
        <f>IF(Lists!$AL316="","",Lists!$AL316)</f>
        <v>0</v>
      </c>
      <c r="BC316" s="23">
        <f>IF(BB316="","",COUNTIF(Performance!$M$5:$M$404,BB316))</f>
        <v>0</v>
      </c>
      <c r="BD316" s="23">
        <f>IF(BB316="","",SUMIFS(Performance!$O$5:$O$404,Performance!$M$5:$M$404,BB316))</f>
        <v>0</v>
      </c>
      <c r="BE316" s="23">
        <f>IF(BB316="","",SUMIFS(Performance!$Z$5:$Z$404,Performance!$M$5:$M$404,BB316))</f>
        <v>0</v>
      </c>
      <c r="BF316" s="24">
        <f>IF(OR(BD316="",BD316=0),"",BE316/BD316)</f>
        <v>0</v>
      </c>
      <c r="BG316" s="32">
        <f>IF(BC316=0,"",IF(BF316="","",BF316+ROW()/1000000))</f>
        <v>0</v>
      </c>
      <c r="BH316" s="17">
        <f>IF(Performance!$C$316="","",Performance!$C$316)</f>
        <v>0</v>
      </c>
      <c r="BI316" s="17">
        <f>IF(Performance!$F$316="","",Performance!$F$316)</f>
        <v>0</v>
      </c>
      <c r="BJ316" s="17">
        <f>IF(Performance!$H$316="","",Performance!$H$316)</f>
        <v>0</v>
      </c>
      <c r="BK316" s="16">
        <f>IF(Performance!$D$316="","",Performance!$D$316)</f>
        <v>0</v>
      </c>
      <c r="BL316" s="17">
        <f>IF(Performance!$E$316="","",Performance!$E$316)</f>
        <v>0</v>
      </c>
      <c r="BM316" s="23">
        <f>IF(Performance!$O$316="","",Performance!$O$316)</f>
        <v>0</v>
      </c>
      <c r="BN316" s="24">
        <f>IF(Performance!$AA$316="","",Performance!$AA$316)</f>
        <v>0</v>
      </c>
      <c r="BO316" s="32">
        <f>IF(BH316="","",IF(BK316="","",IF(OR(BK316&lt;DashStart,BK316&gt;DashEnd),"",IF(BN316="","",BN316+ROW()/1000000))))</f>
        <v>0</v>
      </c>
      <c r="BP316" s="32">
        <f>IF(BM316="","",IF(BK316="","",IF(OR(BK316&lt;DashStart,BK316&gt;DashEnd),"",BM316+ROW()/1000000)))</f>
        <v>0</v>
      </c>
      <c r="BQ316" s="32">
        <f>IF(BH316="","",IF(BK316="","",IF(YEAR(BK316)&lt;&gt;PlanYear,"",IF(BN316="","",BN316+ROW()/1000000))))</f>
        <v>0</v>
      </c>
      <c r="BR316" s="32">
        <f>IF(BH316="","",IF(BK316="","",IF(OR(BK316&lt;RepFrom,BK316&gt;RepTo),"",IF(BN316="","",BN316+ROW()/1000000))))</f>
        <v>0</v>
      </c>
      <c r="BS316" s="32">
        <f>IF(BM316="","",IF(BK316="","",IF(YEAR(BK316)&lt;&gt;PlanYear,"",BM316+ROW()/1000000)))</f>
        <v>0</v>
      </c>
      <c r="BT316" s="17">
        <f>IF(Lists!$F316="","",Lists!$F316)</f>
        <v>0</v>
      </c>
      <c r="BU316" s="23">
        <f>IF(BT316="","",COUNTIF('Content Calendar'!$X$5:$X$604,BT316))</f>
        <v>0</v>
      </c>
      <c r="BV316" s="23">
        <f>IF(BT316="","",COUNTIFS('Content Calendar'!$X$5:$X$604,BT316,'Content Calendar'!$B$5:$B$604,"&gt;="&amp;DashStart,'Content Calendar'!$B$5:$B$604,"&lt;="&amp;DashEnd))</f>
        <v>0</v>
      </c>
      <c r="BW316" s="17">
        <f>IF(Team!$B$316="","",Team!$B$316)</f>
        <v>0</v>
      </c>
      <c r="BX316" s="23">
        <f>IF(BW316="","",COUNTIF('Content Calendar'!$W$5:$W$604,BW316))</f>
        <v>0</v>
      </c>
      <c r="BY316" s="23">
        <f>IF(BW316="","",COUNTIFS('Content Calendar'!$W$5:$W$604,BW316,'Content Calendar'!$X$5:$X$604,"&lt;&gt;Published"))</f>
        <v>0</v>
      </c>
      <c r="BZ316" s="23">
        <f>IF(BW316="","",COUNTIFS(Tasks!$C$5:$C$64,BW316,Tasks!$G$5:$G$64,"&lt;&gt;Complete"))</f>
        <v>0</v>
      </c>
      <c r="CA316" s="17">
        <f>IF(Campaigns!$B$316="","",Campaigns!$B$316)</f>
        <v>0</v>
      </c>
      <c r="CB316" s="25">
        <f>IF(Campaigns!$T$316="","",Campaigns!$T$316)</f>
        <v>0</v>
      </c>
      <c r="CC316" s="25">
        <f>IF(Campaigns!$Q$316="","",Campaigns!$Q$316)</f>
        <v>0</v>
      </c>
      <c r="CD316" s="23">
        <f>IF(Campaigns!$Y$316="","",Campaigns!$Y$316)</f>
        <v>0</v>
      </c>
      <c r="CE316" s="32">
        <f>IF(CA316="","",IF(N(CB316)&lt;=0,"",N(CB316)+ROW()/1000000))</f>
        <v>0</v>
      </c>
      <c r="CF316" s="17">
        <f>IF(Accounts!$C$316="","",Accounts!$C$316)</f>
        <v>0</v>
      </c>
      <c r="CG316" s="17">
        <f>IF(Accounts!$B$316="","",Accounts!$B$316)</f>
        <v>0</v>
      </c>
      <c r="CH316" s="23">
        <f>IF(Accounts!$J$316="","",Accounts!$J$316)</f>
        <v>0</v>
      </c>
      <c r="CI316" s="23">
        <f>IF(CF316="","",SUMIFS(Analytics!$X$5:$X$154,Analytics!$E$5:$E$154,CF316,Analytics!$B$5:$B$154,"&gt;="&amp;DashStart,Analytics!$B$5:$B$154,"&lt;="&amp;DashEnd))</f>
        <v>0</v>
      </c>
      <c r="CJ316" s="32">
        <f>IF(CH316="","",IF(CH316=0,"",CH316+ROW()/1000000))</f>
        <v>0</v>
      </c>
    </row>
    <row r="317" spans="1:88">
      <c r="A317" s="16">
        <f>IF(ROW()-4&gt;12,"",DATE(PlanYear,ROW()-4,1))</f>
        <v>0</v>
      </c>
      <c r="B317" s="16">
        <f>IF(A317="","",EOMONTH(A317,0))</f>
        <v>0</v>
      </c>
      <c r="C317" s="17">
        <f>IF(A317="","",TEXT(A317,"yyyy-mm"))</f>
        <v>0</v>
      </c>
      <c r="D317" s="17">
        <f>IF(A317="","",TEXT(A317,"mmm"))</f>
        <v>0</v>
      </c>
      <c r="E317" s="23">
        <f>IF(C317="","",COUNTIFS('Content Calendar'!$D$5:$D$604,C317))</f>
        <v>0</v>
      </c>
      <c r="F317" s="23">
        <f>IF(C317="","",COUNTIFS('Content Calendar'!$D$5:$D$604,C317,'Content Calendar'!$X$5:$X$604,"Published"))</f>
        <v>0</v>
      </c>
      <c r="G317" s="23">
        <f>IF(C317="","",SUMIFS(Analytics!$J$5:$J$154,Analytics!$C$5:$C$154,C317))</f>
        <v>0</v>
      </c>
      <c r="H317" s="23">
        <f>IF(C317="","",SUMIFS(Analytics!$K$5:$K$154,Analytics!$C$5:$C$154,C317))</f>
        <v>0</v>
      </c>
      <c r="I317" s="23">
        <f>IF(C317="","",SUMIFS(Analytics!$L$5:$L$154,Analytics!$C$5:$C$154,C317))</f>
        <v>0</v>
      </c>
      <c r="J317" s="24">
        <f>IF(OR(G317="",G317=0),"",I317/G317)</f>
        <v>0</v>
      </c>
      <c r="K317" s="23">
        <f>IF(C317="","",SUMIFS(Analytics!$G$5:$G$154,Analytics!$C$5:$C$154,C317))</f>
        <v>0</v>
      </c>
      <c r="L317" s="23">
        <f>IF(C317="","",SUMIFS(Analytics!$X$5:$X$154,Analytics!$C$5:$C$154,C317))</f>
        <v>0</v>
      </c>
      <c r="M317" s="23">
        <f>IF(C317="","",SUMIFS(Analytics!$R$5:$R$154,Analytics!$C$5:$C$154,C317))</f>
        <v>0</v>
      </c>
      <c r="N317" s="23">
        <f>IF(C317="","",SUMIFS(Analytics!$S$5:$S$154,Analytics!$C$5:$C$154,C317))</f>
        <v>0</v>
      </c>
      <c r="O317" s="23">
        <f>IF(C317="","",SUMIFS(Analytics!$T$5:$T$154,Analytics!$C$5:$C$154,C317))</f>
        <v>0</v>
      </c>
      <c r="P317" s="25">
        <f>IF(C317="","",SUMIFS(Analytics!$U$5:$U$154,Analytics!$C$5:$C$154,C317))</f>
        <v>0</v>
      </c>
      <c r="Q317" s="25">
        <f>IF(C317="","",SUMIFS(Budget!$H$5:$H$64,Budget!$C$5:$C$64,C317))</f>
        <v>0</v>
      </c>
      <c r="R317" s="25">
        <f>IF(C317="","",P317-Q317)</f>
        <v>0</v>
      </c>
      <c r="S317" s="23">
        <f>IF(C317="","",MonthlyPostTarget)</f>
        <v>0</v>
      </c>
      <c r="T317" s="17">
        <f>IF(Lists!$C317="","",Lists!$C317)</f>
        <v>0</v>
      </c>
      <c r="U317" s="23">
        <f>IF(T317="","",COUNTIFS('Content Calendar'!$G$5:$G$604,T317,'Content Calendar'!$B$5:$B$604,"&gt;="&amp;DashStart,'Content Calendar'!$B$5:$B$604,"&lt;="&amp;DashEnd))</f>
        <v>0</v>
      </c>
      <c r="V317" s="23">
        <f>IF(T317="","",COUNTIFS('Content Calendar'!$G$5:$G$604,T317,'Content Calendar'!$X$5:$X$604,"Published",'Content Calendar'!$B$5:$B$604,"&gt;="&amp;DashStart,'Content Calendar'!$B$5:$B$604,"&lt;="&amp;DashEnd))</f>
        <v>0</v>
      </c>
      <c r="W317" s="23">
        <f>IF(T317="","",SUMIFS(Analytics!$J$5:$J$154,Analytics!$D$5:$D$154,T317,Analytics!$B$5:$B$154,"&gt;="&amp;DashStart,Analytics!$B$5:$B$154,"&lt;="&amp;DashEnd))</f>
        <v>0</v>
      </c>
      <c r="X317" s="23">
        <f>IF(T317="","",SUMIFS(Analytics!$L$5:$L$154,Analytics!$D$5:$D$154,T317,Analytics!$B$5:$B$154,"&gt;="&amp;DashStart,Analytics!$B$5:$B$154,"&lt;="&amp;DashEnd))</f>
        <v>0</v>
      </c>
      <c r="Y317" s="24">
        <f>IF(OR(W317="",W317=0),"",X317/W317)</f>
        <v>0</v>
      </c>
      <c r="Z317" s="23">
        <f>IF(T317="","",SUMIFS(Analytics!$G$5:$G$154,Analytics!$D$5:$D$154,T317,Analytics!$B$5:$B$154,"&gt;="&amp;DashStart,Analytics!$B$5:$B$154,"&lt;="&amp;DashEnd))</f>
        <v>0</v>
      </c>
      <c r="AA317" s="23">
        <f>IF(T317="","",SUMIFS(Analytics!$X$5:$X$154,Analytics!$D$5:$D$154,T317,Analytics!$B$5:$B$154,"&gt;="&amp;DashStart,Analytics!$B$5:$B$154,"&lt;="&amp;DashEnd))</f>
        <v>0</v>
      </c>
      <c r="AB317" s="23">
        <f>IF(T317="","",SUMIFS(Analytics!$R$5:$R$154,Analytics!$D$5:$D$154,T317,Analytics!$B$5:$B$154,"&gt;="&amp;DashStart,Analytics!$B$5:$B$154,"&lt;="&amp;DashEnd))</f>
        <v>0</v>
      </c>
      <c r="AC317" s="25">
        <f>IF(T317="","",SUMIFS(Analytics!$U$5:$U$154,Analytics!$D$5:$D$154,T317,Analytics!$B$5:$B$154,"&gt;="&amp;DashStart,Analytics!$B$5:$B$154,"&lt;="&amp;DashEnd))</f>
        <v>0</v>
      </c>
      <c r="AD317" s="23">
        <f>IF(T317="","",COUNTIFS('Content Calendar'!$G$5:$G$604,T317,'Content Calendar'!$B$5:$B$604,"&gt;="&amp;DATE(PlanYear,1,1),'Content Calendar'!$B$5:$B$604,"&lt;="&amp;DATE(PlanYear,12,31)))</f>
        <v>0</v>
      </c>
      <c r="AE317" s="23">
        <f>IF(T317="","",SUMIFS(Analytics!$J$5:$J$154,Analytics!$D$5:$D$154,T317))</f>
        <v>0</v>
      </c>
      <c r="AF317" s="23">
        <f>IF(T317="","",SUMIFS(Analytics!$L$5:$L$154,Analytics!$D$5:$D$154,T317))</f>
        <v>0</v>
      </c>
      <c r="AG317" s="24">
        <f>IF(OR(AE317="",AE317=0),"",AF317/AE317)</f>
        <v>0</v>
      </c>
      <c r="AH317" s="23">
        <f>IF(T317="","",SUMIFS(Analytics!$X$5:$X$154,Analytics!$D$5:$D$154,T317))</f>
        <v>0</v>
      </c>
      <c r="AI317" s="32">
        <f>IF(T317="","",IF(AE317=0,"",AE317+ROW()/1000000))</f>
        <v>0</v>
      </c>
      <c r="AJ317" s="17">
        <f>IF('Content Pillars'!$B$317="","",'Content Pillars'!$B$317)</f>
        <v>0</v>
      </c>
      <c r="AK317" s="23">
        <f>IF(AJ317="","",COUNTIFS('Content Calendar'!$J$5:$J$604,AJ317,'Content Calendar'!$B$5:$B$604,"&gt;="&amp;DATE(PlanYear,1,1),'Content Calendar'!$B$5:$B$604,"&lt;="&amp;DATE(PlanYear,12,31)))</f>
        <v>0</v>
      </c>
      <c r="AL317" s="23">
        <f>IF(AJ317="","",SUMIFS(Performance!$O$5:$O$404,Performance!$H$5:$H$404,AJ317))</f>
        <v>0</v>
      </c>
      <c r="AM317" s="23">
        <f>IF(AJ317="","",SUMIFS(Performance!$Z$5:$Z$404,Performance!$H$5:$H$404,AJ317))</f>
        <v>0</v>
      </c>
      <c r="AN317" s="24">
        <f>IF(OR(AL317="",AL317=0),"",AM317/AL317)</f>
        <v>0</v>
      </c>
      <c r="AO317" s="32">
        <f>IF(AN317="","",AN317+ROW()/1000000)</f>
        <v>0</v>
      </c>
      <c r="AP317" s="17">
        <f>IF(Lists!$E317="","",Lists!$E317)</f>
        <v>0</v>
      </c>
      <c r="AQ317" s="23">
        <f>IF(AP317="","",COUNTIF(Performance!$G$5:$G$404,AP317))</f>
        <v>0</v>
      </c>
      <c r="AR317" s="23">
        <f>IF(AP317="","",SUMIFS(Performance!$O$5:$O$404,Performance!$G$5:$G$404,AP317))</f>
        <v>0</v>
      </c>
      <c r="AS317" s="23">
        <f>IF(AP317="","",SUMIFS(Performance!$Z$5:$Z$404,Performance!$G$5:$G$404,AP317))</f>
        <v>0</v>
      </c>
      <c r="AT317" s="24">
        <f>IF(OR(AR317="",AR317=0),"",AS317/AR317)</f>
        <v>0</v>
      </c>
      <c r="AU317" s="32">
        <f>IF(AQ317=0,"",IF(AT317="","",AT317+ROW()/1000000))</f>
        <v>0</v>
      </c>
      <c r="AV317" s="17">
        <f>IF(ROW()-4&gt;7,"",TEXT(DATE(2024,1,ROW()-4),"ddd"))</f>
        <v>0</v>
      </c>
      <c r="AW317" s="23">
        <f>IF(AV317="","",COUNTIF(Performance!$N$5:$N$404,AV317))</f>
        <v>0</v>
      </c>
      <c r="AX317" s="23">
        <f>IF(AV317="","",SUMIFS(Performance!$O$5:$O$404,Performance!$N$5:$N$404,AV317))</f>
        <v>0</v>
      </c>
      <c r="AY317" s="23">
        <f>IF(AV317="","",SUMIFS(Performance!$Z$5:$Z$404,Performance!$N$5:$N$404,AV317))</f>
        <v>0</v>
      </c>
      <c r="AZ317" s="24">
        <f>IF(OR(AX317="",AX317=0),"",AY317/AX317)</f>
        <v>0</v>
      </c>
      <c r="BA317" s="32">
        <f>IF(AW317=0,"",IF(AZ317="","",AZ317+ROW()/1000000))</f>
        <v>0</v>
      </c>
      <c r="BB317" s="17">
        <f>IF(Lists!$AL317="","",Lists!$AL317)</f>
        <v>0</v>
      </c>
      <c r="BC317" s="23">
        <f>IF(BB317="","",COUNTIF(Performance!$M$5:$M$404,BB317))</f>
        <v>0</v>
      </c>
      <c r="BD317" s="23">
        <f>IF(BB317="","",SUMIFS(Performance!$O$5:$O$404,Performance!$M$5:$M$404,BB317))</f>
        <v>0</v>
      </c>
      <c r="BE317" s="23">
        <f>IF(BB317="","",SUMIFS(Performance!$Z$5:$Z$404,Performance!$M$5:$M$404,BB317))</f>
        <v>0</v>
      </c>
      <c r="BF317" s="24">
        <f>IF(OR(BD317="",BD317=0),"",BE317/BD317)</f>
        <v>0</v>
      </c>
      <c r="BG317" s="32">
        <f>IF(BC317=0,"",IF(BF317="","",BF317+ROW()/1000000))</f>
        <v>0</v>
      </c>
      <c r="BH317" s="17">
        <f>IF(Performance!$C$317="","",Performance!$C$317)</f>
        <v>0</v>
      </c>
      <c r="BI317" s="17">
        <f>IF(Performance!$F$317="","",Performance!$F$317)</f>
        <v>0</v>
      </c>
      <c r="BJ317" s="17">
        <f>IF(Performance!$H$317="","",Performance!$H$317)</f>
        <v>0</v>
      </c>
      <c r="BK317" s="16">
        <f>IF(Performance!$D$317="","",Performance!$D$317)</f>
        <v>0</v>
      </c>
      <c r="BL317" s="17">
        <f>IF(Performance!$E$317="","",Performance!$E$317)</f>
        <v>0</v>
      </c>
      <c r="BM317" s="23">
        <f>IF(Performance!$O$317="","",Performance!$O$317)</f>
        <v>0</v>
      </c>
      <c r="BN317" s="24">
        <f>IF(Performance!$AA$317="","",Performance!$AA$317)</f>
        <v>0</v>
      </c>
      <c r="BO317" s="32">
        <f>IF(BH317="","",IF(BK317="","",IF(OR(BK317&lt;DashStart,BK317&gt;DashEnd),"",IF(BN317="","",BN317+ROW()/1000000))))</f>
        <v>0</v>
      </c>
      <c r="BP317" s="32">
        <f>IF(BM317="","",IF(BK317="","",IF(OR(BK317&lt;DashStart,BK317&gt;DashEnd),"",BM317+ROW()/1000000)))</f>
        <v>0</v>
      </c>
      <c r="BQ317" s="32">
        <f>IF(BH317="","",IF(BK317="","",IF(YEAR(BK317)&lt;&gt;PlanYear,"",IF(BN317="","",BN317+ROW()/1000000))))</f>
        <v>0</v>
      </c>
      <c r="BR317" s="32">
        <f>IF(BH317="","",IF(BK317="","",IF(OR(BK317&lt;RepFrom,BK317&gt;RepTo),"",IF(BN317="","",BN317+ROW()/1000000))))</f>
        <v>0</v>
      </c>
      <c r="BS317" s="32">
        <f>IF(BM317="","",IF(BK317="","",IF(YEAR(BK317)&lt;&gt;PlanYear,"",BM317+ROW()/1000000)))</f>
        <v>0</v>
      </c>
      <c r="BT317" s="17">
        <f>IF(Lists!$F317="","",Lists!$F317)</f>
        <v>0</v>
      </c>
      <c r="BU317" s="23">
        <f>IF(BT317="","",COUNTIF('Content Calendar'!$X$5:$X$604,BT317))</f>
        <v>0</v>
      </c>
      <c r="BV317" s="23">
        <f>IF(BT317="","",COUNTIFS('Content Calendar'!$X$5:$X$604,BT317,'Content Calendar'!$B$5:$B$604,"&gt;="&amp;DashStart,'Content Calendar'!$B$5:$B$604,"&lt;="&amp;DashEnd))</f>
        <v>0</v>
      </c>
      <c r="BW317" s="17">
        <f>IF(Team!$B$317="","",Team!$B$317)</f>
        <v>0</v>
      </c>
      <c r="BX317" s="23">
        <f>IF(BW317="","",COUNTIF('Content Calendar'!$W$5:$W$604,BW317))</f>
        <v>0</v>
      </c>
      <c r="BY317" s="23">
        <f>IF(BW317="","",COUNTIFS('Content Calendar'!$W$5:$W$604,BW317,'Content Calendar'!$X$5:$X$604,"&lt;&gt;Published"))</f>
        <v>0</v>
      </c>
      <c r="BZ317" s="23">
        <f>IF(BW317="","",COUNTIFS(Tasks!$C$5:$C$64,BW317,Tasks!$G$5:$G$64,"&lt;&gt;Complete"))</f>
        <v>0</v>
      </c>
      <c r="CA317" s="17">
        <f>IF(Campaigns!$B$317="","",Campaigns!$B$317)</f>
        <v>0</v>
      </c>
      <c r="CB317" s="25">
        <f>IF(Campaigns!$T$317="","",Campaigns!$T$317)</f>
        <v>0</v>
      </c>
      <c r="CC317" s="25">
        <f>IF(Campaigns!$Q$317="","",Campaigns!$Q$317)</f>
        <v>0</v>
      </c>
      <c r="CD317" s="23">
        <f>IF(Campaigns!$Y$317="","",Campaigns!$Y$317)</f>
        <v>0</v>
      </c>
      <c r="CE317" s="32">
        <f>IF(CA317="","",IF(N(CB317)&lt;=0,"",N(CB317)+ROW()/1000000))</f>
        <v>0</v>
      </c>
      <c r="CF317" s="17">
        <f>IF(Accounts!$C$317="","",Accounts!$C$317)</f>
        <v>0</v>
      </c>
      <c r="CG317" s="17">
        <f>IF(Accounts!$B$317="","",Accounts!$B$317)</f>
        <v>0</v>
      </c>
      <c r="CH317" s="23">
        <f>IF(Accounts!$J$317="","",Accounts!$J$317)</f>
        <v>0</v>
      </c>
      <c r="CI317" s="23">
        <f>IF(CF317="","",SUMIFS(Analytics!$X$5:$X$154,Analytics!$E$5:$E$154,CF317,Analytics!$B$5:$B$154,"&gt;="&amp;DashStart,Analytics!$B$5:$B$154,"&lt;="&amp;DashEnd))</f>
        <v>0</v>
      </c>
      <c r="CJ317" s="32">
        <f>IF(CH317="","",IF(CH317=0,"",CH317+ROW()/1000000))</f>
        <v>0</v>
      </c>
    </row>
    <row r="318" spans="1:88">
      <c r="A318" s="16">
        <f>IF(ROW()-4&gt;12,"",DATE(PlanYear,ROW()-4,1))</f>
        <v>0</v>
      </c>
      <c r="B318" s="16">
        <f>IF(A318="","",EOMONTH(A318,0))</f>
        <v>0</v>
      </c>
      <c r="C318" s="17">
        <f>IF(A318="","",TEXT(A318,"yyyy-mm"))</f>
        <v>0</v>
      </c>
      <c r="D318" s="17">
        <f>IF(A318="","",TEXT(A318,"mmm"))</f>
        <v>0</v>
      </c>
      <c r="E318" s="23">
        <f>IF(C318="","",COUNTIFS('Content Calendar'!$D$5:$D$604,C318))</f>
        <v>0</v>
      </c>
      <c r="F318" s="23">
        <f>IF(C318="","",COUNTIFS('Content Calendar'!$D$5:$D$604,C318,'Content Calendar'!$X$5:$X$604,"Published"))</f>
        <v>0</v>
      </c>
      <c r="G318" s="23">
        <f>IF(C318="","",SUMIFS(Analytics!$J$5:$J$154,Analytics!$C$5:$C$154,C318))</f>
        <v>0</v>
      </c>
      <c r="H318" s="23">
        <f>IF(C318="","",SUMIFS(Analytics!$K$5:$K$154,Analytics!$C$5:$C$154,C318))</f>
        <v>0</v>
      </c>
      <c r="I318" s="23">
        <f>IF(C318="","",SUMIFS(Analytics!$L$5:$L$154,Analytics!$C$5:$C$154,C318))</f>
        <v>0</v>
      </c>
      <c r="J318" s="24">
        <f>IF(OR(G318="",G318=0),"",I318/G318)</f>
        <v>0</v>
      </c>
      <c r="K318" s="23">
        <f>IF(C318="","",SUMIFS(Analytics!$G$5:$G$154,Analytics!$C$5:$C$154,C318))</f>
        <v>0</v>
      </c>
      <c r="L318" s="23">
        <f>IF(C318="","",SUMIFS(Analytics!$X$5:$X$154,Analytics!$C$5:$C$154,C318))</f>
        <v>0</v>
      </c>
      <c r="M318" s="23">
        <f>IF(C318="","",SUMIFS(Analytics!$R$5:$R$154,Analytics!$C$5:$C$154,C318))</f>
        <v>0</v>
      </c>
      <c r="N318" s="23">
        <f>IF(C318="","",SUMIFS(Analytics!$S$5:$S$154,Analytics!$C$5:$C$154,C318))</f>
        <v>0</v>
      </c>
      <c r="O318" s="23">
        <f>IF(C318="","",SUMIFS(Analytics!$T$5:$T$154,Analytics!$C$5:$C$154,C318))</f>
        <v>0</v>
      </c>
      <c r="P318" s="25">
        <f>IF(C318="","",SUMIFS(Analytics!$U$5:$U$154,Analytics!$C$5:$C$154,C318))</f>
        <v>0</v>
      </c>
      <c r="Q318" s="25">
        <f>IF(C318="","",SUMIFS(Budget!$H$5:$H$64,Budget!$C$5:$C$64,C318))</f>
        <v>0</v>
      </c>
      <c r="R318" s="25">
        <f>IF(C318="","",P318-Q318)</f>
        <v>0</v>
      </c>
      <c r="S318" s="23">
        <f>IF(C318="","",MonthlyPostTarget)</f>
        <v>0</v>
      </c>
      <c r="T318" s="17">
        <f>IF(Lists!$C318="","",Lists!$C318)</f>
        <v>0</v>
      </c>
      <c r="U318" s="23">
        <f>IF(T318="","",COUNTIFS('Content Calendar'!$G$5:$G$604,T318,'Content Calendar'!$B$5:$B$604,"&gt;="&amp;DashStart,'Content Calendar'!$B$5:$B$604,"&lt;="&amp;DashEnd))</f>
        <v>0</v>
      </c>
      <c r="V318" s="23">
        <f>IF(T318="","",COUNTIFS('Content Calendar'!$G$5:$G$604,T318,'Content Calendar'!$X$5:$X$604,"Published",'Content Calendar'!$B$5:$B$604,"&gt;="&amp;DashStart,'Content Calendar'!$B$5:$B$604,"&lt;="&amp;DashEnd))</f>
        <v>0</v>
      </c>
      <c r="W318" s="23">
        <f>IF(T318="","",SUMIFS(Analytics!$J$5:$J$154,Analytics!$D$5:$D$154,T318,Analytics!$B$5:$B$154,"&gt;="&amp;DashStart,Analytics!$B$5:$B$154,"&lt;="&amp;DashEnd))</f>
        <v>0</v>
      </c>
      <c r="X318" s="23">
        <f>IF(T318="","",SUMIFS(Analytics!$L$5:$L$154,Analytics!$D$5:$D$154,T318,Analytics!$B$5:$B$154,"&gt;="&amp;DashStart,Analytics!$B$5:$B$154,"&lt;="&amp;DashEnd))</f>
        <v>0</v>
      </c>
      <c r="Y318" s="24">
        <f>IF(OR(W318="",W318=0),"",X318/W318)</f>
        <v>0</v>
      </c>
      <c r="Z318" s="23">
        <f>IF(T318="","",SUMIFS(Analytics!$G$5:$G$154,Analytics!$D$5:$D$154,T318,Analytics!$B$5:$B$154,"&gt;="&amp;DashStart,Analytics!$B$5:$B$154,"&lt;="&amp;DashEnd))</f>
        <v>0</v>
      </c>
      <c r="AA318" s="23">
        <f>IF(T318="","",SUMIFS(Analytics!$X$5:$X$154,Analytics!$D$5:$D$154,T318,Analytics!$B$5:$B$154,"&gt;="&amp;DashStart,Analytics!$B$5:$B$154,"&lt;="&amp;DashEnd))</f>
        <v>0</v>
      </c>
      <c r="AB318" s="23">
        <f>IF(T318="","",SUMIFS(Analytics!$R$5:$R$154,Analytics!$D$5:$D$154,T318,Analytics!$B$5:$B$154,"&gt;="&amp;DashStart,Analytics!$B$5:$B$154,"&lt;="&amp;DashEnd))</f>
        <v>0</v>
      </c>
      <c r="AC318" s="25">
        <f>IF(T318="","",SUMIFS(Analytics!$U$5:$U$154,Analytics!$D$5:$D$154,T318,Analytics!$B$5:$B$154,"&gt;="&amp;DashStart,Analytics!$B$5:$B$154,"&lt;="&amp;DashEnd))</f>
        <v>0</v>
      </c>
      <c r="AD318" s="23">
        <f>IF(T318="","",COUNTIFS('Content Calendar'!$G$5:$G$604,T318,'Content Calendar'!$B$5:$B$604,"&gt;="&amp;DATE(PlanYear,1,1),'Content Calendar'!$B$5:$B$604,"&lt;="&amp;DATE(PlanYear,12,31)))</f>
        <v>0</v>
      </c>
      <c r="AE318" s="23">
        <f>IF(T318="","",SUMIFS(Analytics!$J$5:$J$154,Analytics!$D$5:$D$154,T318))</f>
        <v>0</v>
      </c>
      <c r="AF318" s="23">
        <f>IF(T318="","",SUMIFS(Analytics!$L$5:$L$154,Analytics!$D$5:$D$154,T318))</f>
        <v>0</v>
      </c>
      <c r="AG318" s="24">
        <f>IF(OR(AE318="",AE318=0),"",AF318/AE318)</f>
        <v>0</v>
      </c>
      <c r="AH318" s="23">
        <f>IF(T318="","",SUMIFS(Analytics!$X$5:$X$154,Analytics!$D$5:$D$154,T318))</f>
        <v>0</v>
      </c>
      <c r="AI318" s="32">
        <f>IF(T318="","",IF(AE318=0,"",AE318+ROW()/1000000))</f>
        <v>0</v>
      </c>
      <c r="AJ318" s="17">
        <f>IF('Content Pillars'!$B$318="","",'Content Pillars'!$B$318)</f>
        <v>0</v>
      </c>
      <c r="AK318" s="23">
        <f>IF(AJ318="","",COUNTIFS('Content Calendar'!$J$5:$J$604,AJ318,'Content Calendar'!$B$5:$B$604,"&gt;="&amp;DATE(PlanYear,1,1),'Content Calendar'!$B$5:$B$604,"&lt;="&amp;DATE(PlanYear,12,31)))</f>
        <v>0</v>
      </c>
      <c r="AL318" s="23">
        <f>IF(AJ318="","",SUMIFS(Performance!$O$5:$O$404,Performance!$H$5:$H$404,AJ318))</f>
        <v>0</v>
      </c>
      <c r="AM318" s="23">
        <f>IF(AJ318="","",SUMIFS(Performance!$Z$5:$Z$404,Performance!$H$5:$H$404,AJ318))</f>
        <v>0</v>
      </c>
      <c r="AN318" s="24">
        <f>IF(OR(AL318="",AL318=0),"",AM318/AL318)</f>
        <v>0</v>
      </c>
      <c r="AO318" s="32">
        <f>IF(AN318="","",AN318+ROW()/1000000)</f>
        <v>0</v>
      </c>
      <c r="AP318" s="17">
        <f>IF(Lists!$E318="","",Lists!$E318)</f>
        <v>0</v>
      </c>
      <c r="AQ318" s="23">
        <f>IF(AP318="","",COUNTIF(Performance!$G$5:$G$404,AP318))</f>
        <v>0</v>
      </c>
      <c r="AR318" s="23">
        <f>IF(AP318="","",SUMIFS(Performance!$O$5:$O$404,Performance!$G$5:$G$404,AP318))</f>
        <v>0</v>
      </c>
      <c r="AS318" s="23">
        <f>IF(AP318="","",SUMIFS(Performance!$Z$5:$Z$404,Performance!$G$5:$G$404,AP318))</f>
        <v>0</v>
      </c>
      <c r="AT318" s="24">
        <f>IF(OR(AR318="",AR318=0),"",AS318/AR318)</f>
        <v>0</v>
      </c>
      <c r="AU318" s="32">
        <f>IF(AQ318=0,"",IF(AT318="","",AT318+ROW()/1000000))</f>
        <v>0</v>
      </c>
      <c r="AV318" s="17">
        <f>IF(ROW()-4&gt;7,"",TEXT(DATE(2024,1,ROW()-4),"ddd"))</f>
        <v>0</v>
      </c>
      <c r="AW318" s="23">
        <f>IF(AV318="","",COUNTIF(Performance!$N$5:$N$404,AV318))</f>
        <v>0</v>
      </c>
      <c r="AX318" s="23">
        <f>IF(AV318="","",SUMIFS(Performance!$O$5:$O$404,Performance!$N$5:$N$404,AV318))</f>
        <v>0</v>
      </c>
      <c r="AY318" s="23">
        <f>IF(AV318="","",SUMIFS(Performance!$Z$5:$Z$404,Performance!$N$5:$N$404,AV318))</f>
        <v>0</v>
      </c>
      <c r="AZ318" s="24">
        <f>IF(OR(AX318="",AX318=0),"",AY318/AX318)</f>
        <v>0</v>
      </c>
      <c r="BA318" s="32">
        <f>IF(AW318=0,"",IF(AZ318="","",AZ318+ROW()/1000000))</f>
        <v>0</v>
      </c>
      <c r="BB318" s="17">
        <f>IF(Lists!$AL318="","",Lists!$AL318)</f>
        <v>0</v>
      </c>
      <c r="BC318" s="23">
        <f>IF(BB318="","",COUNTIF(Performance!$M$5:$M$404,BB318))</f>
        <v>0</v>
      </c>
      <c r="BD318" s="23">
        <f>IF(BB318="","",SUMIFS(Performance!$O$5:$O$404,Performance!$M$5:$M$404,BB318))</f>
        <v>0</v>
      </c>
      <c r="BE318" s="23">
        <f>IF(BB318="","",SUMIFS(Performance!$Z$5:$Z$404,Performance!$M$5:$M$404,BB318))</f>
        <v>0</v>
      </c>
      <c r="BF318" s="24">
        <f>IF(OR(BD318="",BD318=0),"",BE318/BD318)</f>
        <v>0</v>
      </c>
      <c r="BG318" s="32">
        <f>IF(BC318=0,"",IF(BF318="","",BF318+ROW()/1000000))</f>
        <v>0</v>
      </c>
      <c r="BH318" s="17">
        <f>IF(Performance!$C$318="","",Performance!$C$318)</f>
        <v>0</v>
      </c>
      <c r="BI318" s="17">
        <f>IF(Performance!$F$318="","",Performance!$F$318)</f>
        <v>0</v>
      </c>
      <c r="BJ318" s="17">
        <f>IF(Performance!$H$318="","",Performance!$H$318)</f>
        <v>0</v>
      </c>
      <c r="BK318" s="16">
        <f>IF(Performance!$D$318="","",Performance!$D$318)</f>
        <v>0</v>
      </c>
      <c r="BL318" s="17">
        <f>IF(Performance!$E$318="","",Performance!$E$318)</f>
        <v>0</v>
      </c>
      <c r="BM318" s="23">
        <f>IF(Performance!$O$318="","",Performance!$O$318)</f>
        <v>0</v>
      </c>
      <c r="BN318" s="24">
        <f>IF(Performance!$AA$318="","",Performance!$AA$318)</f>
        <v>0</v>
      </c>
      <c r="BO318" s="32">
        <f>IF(BH318="","",IF(BK318="","",IF(OR(BK318&lt;DashStart,BK318&gt;DashEnd),"",IF(BN318="","",BN318+ROW()/1000000))))</f>
        <v>0</v>
      </c>
      <c r="BP318" s="32">
        <f>IF(BM318="","",IF(BK318="","",IF(OR(BK318&lt;DashStart,BK318&gt;DashEnd),"",BM318+ROW()/1000000)))</f>
        <v>0</v>
      </c>
      <c r="BQ318" s="32">
        <f>IF(BH318="","",IF(BK318="","",IF(YEAR(BK318)&lt;&gt;PlanYear,"",IF(BN318="","",BN318+ROW()/1000000))))</f>
        <v>0</v>
      </c>
      <c r="BR318" s="32">
        <f>IF(BH318="","",IF(BK318="","",IF(OR(BK318&lt;RepFrom,BK318&gt;RepTo),"",IF(BN318="","",BN318+ROW()/1000000))))</f>
        <v>0</v>
      </c>
      <c r="BS318" s="32">
        <f>IF(BM318="","",IF(BK318="","",IF(YEAR(BK318)&lt;&gt;PlanYear,"",BM318+ROW()/1000000)))</f>
        <v>0</v>
      </c>
      <c r="BT318" s="17">
        <f>IF(Lists!$F318="","",Lists!$F318)</f>
        <v>0</v>
      </c>
      <c r="BU318" s="23">
        <f>IF(BT318="","",COUNTIF('Content Calendar'!$X$5:$X$604,BT318))</f>
        <v>0</v>
      </c>
      <c r="BV318" s="23">
        <f>IF(BT318="","",COUNTIFS('Content Calendar'!$X$5:$X$604,BT318,'Content Calendar'!$B$5:$B$604,"&gt;="&amp;DashStart,'Content Calendar'!$B$5:$B$604,"&lt;="&amp;DashEnd))</f>
        <v>0</v>
      </c>
      <c r="BW318" s="17">
        <f>IF(Team!$B$318="","",Team!$B$318)</f>
        <v>0</v>
      </c>
      <c r="BX318" s="23">
        <f>IF(BW318="","",COUNTIF('Content Calendar'!$W$5:$W$604,BW318))</f>
        <v>0</v>
      </c>
      <c r="BY318" s="23">
        <f>IF(BW318="","",COUNTIFS('Content Calendar'!$W$5:$W$604,BW318,'Content Calendar'!$X$5:$X$604,"&lt;&gt;Published"))</f>
        <v>0</v>
      </c>
      <c r="BZ318" s="23">
        <f>IF(BW318="","",COUNTIFS(Tasks!$C$5:$C$64,BW318,Tasks!$G$5:$G$64,"&lt;&gt;Complete"))</f>
        <v>0</v>
      </c>
      <c r="CA318" s="17">
        <f>IF(Campaigns!$B$318="","",Campaigns!$B$318)</f>
        <v>0</v>
      </c>
      <c r="CB318" s="25">
        <f>IF(Campaigns!$T$318="","",Campaigns!$T$318)</f>
        <v>0</v>
      </c>
      <c r="CC318" s="25">
        <f>IF(Campaigns!$Q$318="","",Campaigns!$Q$318)</f>
        <v>0</v>
      </c>
      <c r="CD318" s="23">
        <f>IF(Campaigns!$Y$318="","",Campaigns!$Y$318)</f>
        <v>0</v>
      </c>
      <c r="CE318" s="32">
        <f>IF(CA318="","",IF(N(CB318)&lt;=0,"",N(CB318)+ROW()/1000000))</f>
        <v>0</v>
      </c>
      <c r="CF318" s="17">
        <f>IF(Accounts!$C$318="","",Accounts!$C$318)</f>
        <v>0</v>
      </c>
      <c r="CG318" s="17">
        <f>IF(Accounts!$B$318="","",Accounts!$B$318)</f>
        <v>0</v>
      </c>
      <c r="CH318" s="23">
        <f>IF(Accounts!$J$318="","",Accounts!$J$318)</f>
        <v>0</v>
      </c>
      <c r="CI318" s="23">
        <f>IF(CF318="","",SUMIFS(Analytics!$X$5:$X$154,Analytics!$E$5:$E$154,CF318,Analytics!$B$5:$B$154,"&gt;="&amp;DashStart,Analytics!$B$5:$B$154,"&lt;="&amp;DashEnd))</f>
        <v>0</v>
      </c>
      <c r="CJ318" s="32">
        <f>IF(CH318="","",IF(CH318=0,"",CH318+ROW()/1000000))</f>
        <v>0</v>
      </c>
    </row>
    <row r="319" spans="1:88">
      <c r="A319" s="16">
        <f>IF(ROW()-4&gt;12,"",DATE(PlanYear,ROW()-4,1))</f>
        <v>0</v>
      </c>
      <c r="B319" s="16">
        <f>IF(A319="","",EOMONTH(A319,0))</f>
        <v>0</v>
      </c>
      <c r="C319" s="17">
        <f>IF(A319="","",TEXT(A319,"yyyy-mm"))</f>
        <v>0</v>
      </c>
      <c r="D319" s="17">
        <f>IF(A319="","",TEXT(A319,"mmm"))</f>
        <v>0</v>
      </c>
      <c r="E319" s="23">
        <f>IF(C319="","",COUNTIFS('Content Calendar'!$D$5:$D$604,C319))</f>
        <v>0</v>
      </c>
      <c r="F319" s="23">
        <f>IF(C319="","",COUNTIFS('Content Calendar'!$D$5:$D$604,C319,'Content Calendar'!$X$5:$X$604,"Published"))</f>
        <v>0</v>
      </c>
      <c r="G319" s="23">
        <f>IF(C319="","",SUMIFS(Analytics!$J$5:$J$154,Analytics!$C$5:$C$154,C319))</f>
        <v>0</v>
      </c>
      <c r="H319" s="23">
        <f>IF(C319="","",SUMIFS(Analytics!$K$5:$K$154,Analytics!$C$5:$C$154,C319))</f>
        <v>0</v>
      </c>
      <c r="I319" s="23">
        <f>IF(C319="","",SUMIFS(Analytics!$L$5:$L$154,Analytics!$C$5:$C$154,C319))</f>
        <v>0</v>
      </c>
      <c r="J319" s="24">
        <f>IF(OR(G319="",G319=0),"",I319/G319)</f>
        <v>0</v>
      </c>
      <c r="K319" s="23">
        <f>IF(C319="","",SUMIFS(Analytics!$G$5:$G$154,Analytics!$C$5:$C$154,C319))</f>
        <v>0</v>
      </c>
      <c r="L319" s="23">
        <f>IF(C319="","",SUMIFS(Analytics!$X$5:$X$154,Analytics!$C$5:$C$154,C319))</f>
        <v>0</v>
      </c>
      <c r="M319" s="23">
        <f>IF(C319="","",SUMIFS(Analytics!$R$5:$R$154,Analytics!$C$5:$C$154,C319))</f>
        <v>0</v>
      </c>
      <c r="N319" s="23">
        <f>IF(C319="","",SUMIFS(Analytics!$S$5:$S$154,Analytics!$C$5:$C$154,C319))</f>
        <v>0</v>
      </c>
      <c r="O319" s="23">
        <f>IF(C319="","",SUMIFS(Analytics!$T$5:$T$154,Analytics!$C$5:$C$154,C319))</f>
        <v>0</v>
      </c>
      <c r="P319" s="25">
        <f>IF(C319="","",SUMIFS(Analytics!$U$5:$U$154,Analytics!$C$5:$C$154,C319))</f>
        <v>0</v>
      </c>
      <c r="Q319" s="25">
        <f>IF(C319="","",SUMIFS(Budget!$H$5:$H$64,Budget!$C$5:$C$64,C319))</f>
        <v>0</v>
      </c>
      <c r="R319" s="25">
        <f>IF(C319="","",P319-Q319)</f>
        <v>0</v>
      </c>
      <c r="S319" s="23">
        <f>IF(C319="","",MonthlyPostTarget)</f>
        <v>0</v>
      </c>
      <c r="T319" s="17">
        <f>IF(Lists!$C319="","",Lists!$C319)</f>
        <v>0</v>
      </c>
      <c r="U319" s="23">
        <f>IF(T319="","",COUNTIFS('Content Calendar'!$G$5:$G$604,T319,'Content Calendar'!$B$5:$B$604,"&gt;="&amp;DashStart,'Content Calendar'!$B$5:$B$604,"&lt;="&amp;DashEnd))</f>
        <v>0</v>
      </c>
      <c r="V319" s="23">
        <f>IF(T319="","",COUNTIFS('Content Calendar'!$G$5:$G$604,T319,'Content Calendar'!$X$5:$X$604,"Published",'Content Calendar'!$B$5:$B$604,"&gt;="&amp;DashStart,'Content Calendar'!$B$5:$B$604,"&lt;="&amp;DashEnd))</f>
        <v>0</v>
      </c>
      <c r="W319" s="23">
        <f>IF(T319="","",SUMIFS(Analytics!$J$5:$J$154,Analytics!$D$5:$D$154,T319,Analytics!$B$5:$B$154,"&gt;="&amp;DashStart,Analytics!$B$5:$B$154,"&lt;="&amp;DashEnd))</f>
        <v>0</v>
      </c>
      <c r="X319" s="23">
        <f>IF(T319="","",SUMIFS(Analytics!$L$5:$L$154,Analytics!$D$5:$D$154,T319,Analytics!$B$5:$B$154,"&gt;="&amp;DashStart,Analytics!$B$5:$B$154,"&lt;="&amp;DashEnd))</f>
        <v>0</v>
      </c>
      <c r="Y319" s="24">
        <f>IF(OR(W319="",W319=0),"",X319/W319)</f>
        <v>0</v>
      </c>
      <c r="Z319" s="23">
        <f>IF(T319="","",SUMIFS(Analytics!$G$5:$G$154,Analytics!$D$5:$D$154,T319,Analytics!$B$5:$B$154,"&gt;="&amp;DashStart,Analytics!$B$5:$B$154,"&lt;="&amp;DashEnd))</f>
        <v>0</v>
      </c>
      <c r="AA319" s="23">
        <f>IF(T319="","",SUMIFS(Analytics!$X$5:$X$154,Analytics!$D$5:$D$154,T319,Analytics!$B$5:$B$154,"&gt;="&amp;DashStart,Analytics!$B$5:$B$154,"&lt;="&amp;DashEnd))</f>
        <v>0</v>
      </c>
      <c r="AB319" s="23">
        <f>IF(T319="","",SUMIFS(Analytics!$R$5:$R$154,Analytics!$D$5:$D$154,T319,Analytics!$B$5:$B$154,"&gt;="&amp;DashStart,Analytics!$B$5:$B$154,"&lt;="&amp;DashEnd))</f>
        <v>0</v>
      </c>
      <c r="AC319" s="25">
        <f>IF(T319="","",SUMIFS(Analytics!$U$5:$U$154,Analytics!$D$5:$D$154,T319,Analytics!$B$5:$B$154,"&gt;="&amp;DashStart,Analytics!$B$5:$B$154,"&lt;="&amp;DashEnd))</f>
        <v>0</v>
      </c>
      <c r="AD319" s="23">
        <f>IF(T319="","",COUNTIFS('Content Calendar'!$G$5:$G$604,T319,'Content Calendar'!$B$5:$B$604,"&gt;="&amp;DATE(PlanYear,1,1),'Content Calendar'!$B$5:$B$604,"&lt;="&amp;DATE(PlanYear,12,31)))</f>
        <v>0</v>
      </c>
      <c r="AE319" s="23">
        <f>IF(T319="","",SUMIFS(Analytics!$J$5:$J$154,Analytics!$D$5:$D$154,T319))</f>
        <v>0</v>
      </c>
      <c r="AF319" s="23">
        <f>IF(T319="","",SUMIFS(Analytics!$L$5:$L$154,Analytics!$D$5:$D$154,T319))</f>
        <v>0</v>
      </c>
      <c r="AG319" s="24">
        <f>IF(OR(AE319="",AE319=0),"",AF319/AE319)</f>
        <v>0</v>
      </c>
      <c r="AH319" s="23">
        <f>IF(T319="","",SUMIFS(Analytics!$X$5:$X$154,Analytics!$D$5:$D$154,T319))</f>
        <v>0</v>
      </c>
      <c r="AI319" s="32">
        <f>IF(T319="","",IF(AE319=0,"",AE319+ROW()/1000000))</f>
        <v>0</v>
      </c>
      <c r="AJ319" s="17">
        <f>IF('Content Pillars'!$B$319="","",'Content Pillars'!$B$319)</f>
        <v>0</v>
      </c>
      <c r="AK319" s="23">
        <f>IF(AJ319="","",COUNTIFS('Content Calendar'!$J$5:$J$604,AJ319,'Content Calendar'!$B$5:$B$604,"&gt;="&amp;DATE(PlanYear,1,1),'Content Calendar'!$B$5:$B$604,"&lt;="&amp;DATE(PlanYear,12,31)))</f>
        <v>0</v>
      </c>
      <c r="AL319" s="23">
        <f>IF(AJ319="","",SUMIFS(Performance!$O$5:$O$404,Performance!$H$5:$H$404,AJ319))</f>
        <v>0</v>
      </c>
      <c r="AM319" s="23">
        <f>IF(AJ319="","",SUMIFS(Performance!$Z$5:$Z$404,Performance!$H$5:$H$404,AJ319))</f>
        <v>0</v>
      </c>
      <c r="AN319" s="24">
        <f>IF(OR(AL319="",AL319=0),"",AM319/AL319)</f>
        <v>0</v>
      </c>
      <c r="AO319" s="32">
        <f>IF(AN319="","",AN319+ROW()/1000000)</f>
        <v>0</v>
      </c>
      <c r="AP319" s="17">
        <f>IF(Lists!$E319="","",Lists!$E319)</f>
        <v>0</v>
      </c>
      <c r="AQ319" s="23">
        <f>IF(AP319="","",COUNTIF(Performance!$G$5:$G$404,AP319))</f>
        <v>0</v>
      </c>
      <c r="AR319" s="23">
        <f>IF(AP319="","",SUMIFS(Performance!$O$5:$O$404,Performance!$G$5:$G$404,AP319))</f>
        <v>0</v>
      </c>
      <c r="AS319" s="23">
        <f>IF(AP319="","",SUMIFS(Performance!$Z$5:$Z$404,Performance!$G$5:$G$404,AP319))</f>
        <v>0</v>
      </c>
      <c r="AT319" s="24">
        <f>IF(OR(AR319="",AR319=0),"",AS319/AR319)</f>
        <v>0</v>
      </c>
      <c r="AU319" s="32">
        <f>IF(AQ319=0,"",IF(AT319="","",AT319+ROW()/1000000))</f>
        <v>0</v>
      </c>
      <c r="AV319" s="17">
        <f>IF(ROW()-4&gt;7,"",TEXT(DATE(2024,1,ROW()-4),"ddd"))</f>
        <v>0</v>
      </c>
      <c r="AW319" s="23">
        <f>IF(AV319="","",COUNTIF(Performance!$N$5:$N$404,AV319))</f>
        <v>0</v>
      </c>
      <c r="AX319" s="23">
        <f>IF(AV319="","",SUMIFS(Performance!$O$5:$O$404,Performance!$N$5:$N$404,AV319))</f>
        <v>0</v>
      </c>
      <c r="AY319" s="23">
        <f>IF(AV319="","",SUMIFS(Performance!$Z$5:$Z$404,Performance!$N$5:$N$404,AV319))</f>
        <v>0</v>
      </c>
      <c r="AZ319" s="24">
        <f>IF(OR(AX319="",AX319=0),"",AY319/AX319)</f>
        <v>0</v>
      </c>
      <c r="BA319" s="32">
        <f>IF(AW319=0,"",IF(AZ319="","",AZ319+ROW()/1000000))</f>
        <v>0</v>
      </c>
      <c r="BB319" s="17">
        <f>IF(Lists!$AL319="","",Lists!$AL319)</f>
        <v>0</v>
      </c>
      <c r="BC319" s="23">
        <f>IF(BB319="","",COUNTIF(Performance!$M$5:$M$404,BB319))</f>
        <v>0</v>
      </c>
      <c r="BD319" s="23">
        <f>IF(BB319="","",SUMIFS(Performance!$O$5:$O$404,Performance!$M$5:$M$404,BB319))</f>
        <v>0</v>
      </c>
      <c r="BE319" s="23">
        <f>IF(BB319="","",SUMIFS(Performance!$Z$5:$Z$404,Performance!$M$5:$M$404,BB319))</f>
        <v>0</v>
      </c>
      <c r="BF319" s="24">
        <f>IF(OR(BD319="",BD319=0),"",BE319/BD319)</f>
        <v>0</v>
      </c>
      <c r="BG319" s="32">
        <f>IF(BC319=0,"",IF(BF319="","",BF319+ROW()/1000000))</f>
        <v>0</v>
      </c>
      <c r="BH319" s="17">
        <f>IF(Performance!$C$319="","",Performance!$C$319)</f>
        <v>0</v>
      </c>
      <c r="BI319" s="17">
        <f>IF(Performance!$F$319="","",Performance!$F$319)</f>
        <v>0</v>
      </c>
      <c r="BJ319" s="17">
        <f>IF(Performance!$H$319="","",Performance!$H$319)</f>
        <v>0</v>
      </c>
      <c r="BK319" s="16">
        <f>IF(Performance!$D$319="","",Performance!$D$319)</f>
        <v>0</v>
      </c>
      <c r="BL319" s="17">
        <f>IF(Performance!$E$319="","",Performance!$E$319)</f>
        <v>0</v>
      </c>
      <c r="BM319" s="23">
        <f>IF(Performance!$O$319="","",Performance!$O$319)</f>
        <v>0</v>
      </c>
      <c r="BN319" s="24">
        <f>IF(Performance!$AA$319="","",Performance!$AA$319)</f>
        <v>0</v>
      </c>
      <c r="BO319" s="32">
        <f>IF(BH319="","",IF(BK319="","",IF(OR(BK319&lt;DashStart,BK319&gt;DashEnd),"",IF(BN319="","",BN319+ROW()/1000000))))</f>
        <v>0</v>
      </c>
      <c r="BP319" s="32">
        <f>IF(BM319="","",IF(BK319="","",IF(OR(BK319&lt;DashStart,BK319&gt;DashEnd),"",BM319+ROW()/1000000)))</f>
        <v>0</v>
      </c>
      <c r="BQ319" s="32">
        <f>IF(BH319="","",IF(BK319="","",IF(YEAR(BK319)&lt;&gt;PlanYear,"",IF(BN319="","",BN319+ROW()/1000000))))</f>
        <v>0</v>
      </c>
      <c r="BR319" s="32">
        <f>IF(BH319="","",IF(BK319="","",IF(OR(BK319&lt;RepFrom,BK319&gt;RepTo),"",IF(BN319="","",BN319+ROW()/1000000))))</f>
        <v>0</v>
      </c>
      <c r="BS319" s="32">
        <f>IF(BM319="","",IF(BK319="","",IF(YEAR(BK319)&lt;&gt;PlanYear,"",BM319+ROW()/1000000)))</f>
        <v>0</v>
      </c>
      <c r="BT319" s="17">
        <f>IF(Lists!$F319="","",Lists!$F319)</f>
        <v>0</v>
      </c>
      <c r="BU319" s="23">
        <f>IF(BT319="","",COUNTIF('Content Calendar'!$X$5:$X$604,BT319))</f>
        <v>0</v>
      </c>
      <c r="BV319" s="23">
        <f>IF(BT319="","",COUNTIFS('Content Calendar'!$X$5:$X$604,BT319,'Content Calendar'!$B$5:$B$604,"&gt;="&amp;DashStart,'Content Calendar'!$B$5:$B$604,"&lt;="&amp;DashEnd))</f>
        <v>0</v>
      </c>
      <c r="BW319" s="17">
        <f>IF(Team!$B$319="","",Team!$B$319)</f>
        <v>0</v>
      </c>
      <c r="BX319" s="23">
        <f>IF(BW319="","",COUNTIF('Content Calendar'!$W$5:$W$604,BW319))</f>
        <v>0</v>
      </c>
      <c r="BY319" s="23">
        <f>IF(BW319="","",COUNTIFS('Content Calendar'!$W$5:$W$604,BW319,'Content Calendar'!$X$5:$X$604,"&lt;&gt;Published"))</f>
        <v>0</v>
      </c>
      <c r="BZ319" s="23">
        <f>IF(BW319="","",COUNTIFS(Tasks!$C$5:$C$64,BW319,Tasks!$G$5:$G$64,"&lt;&gt;Complete"))</f>
        <v>0</v>
      </c>
      <c r="CA319" s="17">
        <f>IF(Campaigns!$B$319="","",Campaigns!$B$319)</f>
        <v>0</v>
      </c>
      <c r="CB319" s="25">
        <f>IF(Campaigns!$T$319="","",Campaigns!$T$319)</f>
        <v>0</v>
      </c>
      <c r="CC319" s="25">
        <f>IF(Campaigns!$Q$319="","",Campaigns!$Q$319)</f>
        <v>0</v>
      </c>
      <c r="CD319" s="23">
        <f>IF(Campaigns!$Y$319="","",Campaigns!$Y$319)</f>
        <v>0</v>
      </c>
      <c r="CE319" s="32">
        <f>IF(CA319="","",IF(N(CB319)&lt;=0,"",N(CB319)+ROW()/1000000))</f>
        <v>0</v>
      </c>
      <c r="CF319" s="17">
        <f>IF(Accounts!$C$319="","",Accounts!$C$319)</f>
        <v>0</v>
      </c>
      <c r="CG319" s="17">
        <f>IF(Accounts!$B$319="","",Accounts!$B$319)</f>
        <v>0</v>
      </c>
      <c r="CH319" s="23">
        <f>IF(Accounts!$J$319="","",Accounts!$J$319)</f>
        <v>0</v>
      </c>
      <c r="CI319" s="23">
        <f>IF(CF319="","",SUMIFS(Analytics!$X$5:$X$154,Analytics!$E$5:$E$154,CF319,Analytics!$B$5:$B$154,"&gt;="&amp;DashStart,Analytics!$B$5:$B$154,"&lt;="&amp;DashEnd))</f>
        <v>0</v>
      </c>
      <c r="CJ319" s="32">
        <f>IF(CH319="","",IF(CH319=0,"",CH319+ROW()/1000000))</f>
        <v>0</v>
      </c>
    </row>
    <row r="320" spans="1:88">
      <c r="A320" s="16">
        <f>IF(ROW()-4&gt;12,"",DATE(PlanYear,ROW()-4,1))</f>
        <v>0</v>
      </c>
      <c r="B320" s="16">
        <f>IF(A320="","",EOMONTH(A320,0))</f>
        <v>0</v>
      </c>
      <c r="C320" s="17">
        <f>IF(A320="","",TEXT(A320,"yyyy-mm"))</f>
        <v>0</v>
      </c>
      <c r="D320" s="17">
        <f>IF(A320="","",TEXT(A320,"mmm"))</f>
        <v>0</v>
      </c>
      <c r="E320" s="23">
        <f>IF(C320="","",COUNTIFS('Content Calendar'!$D$5:$D$604,C320))</f>
        <v>0</v>
      </c>
      <c r="F320" s="23">
        <f>IF(C320="","",COUNTIFS('Content Calendar'!$D$5:$D$604,C320,'Content Calendar'!$X$5:$X$604,"Published"))</f>
        <v>0</v>
      </c>
      <c r="G320" s="23">
        <f>IF(C320="","",SUMIFS(Analytics!$J$5:$J$154,Analytics!$C$5:$C$154,C320))</f>
        <v>0</v>
      </c>
      <c r="H320" s="23">
        <f>IF(C320="","",SUMIFS(Analytics!$K$5:$K$154,Analytics!$C$5:$C$154,C320))</f>
        <v>0</v>
      </c>
      <c r="I320" s="23">
        <f>IF(C320="","",SUMIFS(Analytics!$L$5:$L$154,Analytics!$C$5:$C$154,C320))</f>
        <v>0</v>
      </c>
      <c r="J320" s="24">
        <f>IF(OR(G320="",G320=0),"",I320/G320)</f>
        <v>0</v>
      </c>
      <c r="K320" s="23">
        <f>IF(C320="","",SUMIFS(Analytics!$G$5:$G$154,Analytics!$C$5:$C$154,C320))</f>
        <v>0</v>
      </c>
      <c r="L320" s="23">
        <f>IF(C320="","",SUMIFS(Analytics!$X$5:$X$154,Analytics!$C$5:$C$154,C320))</f>
        <v>0</v>
      </c>
      <c r="M320" s="23">
        <f>IF(C320="","",SUMIFS(Analytics!$R$5:$R$154,Analytics!$C$5:$C$154,C320))</f>
        <v>0</v>
      </c>
      <c r="N320" s="23">
        <f>IF(C320="","",SUMIFS(Analytics!$S$5:$S$154,Analytics!$C$5:$C$154,C320))</f>
        <v>0</v>
      </c>
      <c r="O320" s="23">
        <f>IF(C320="","",SUMIFS(Analytics!$T$5:$T$154,Analytics!$C$5:$C$154,C320))</f>
        <v>0</v>
      </c>
      <c r="P320" s="25">
        <f>IF(C320="","",SUMIFS(Analytics!$U$5:$U$154,Analytics!$C$5:$C$154,C320))</f>
        <v>0</v>
      </c>
      <c r="Q320" s="25">
        <f>IF(C320="","",SUMIFS(Budget!$H$5:$H$64,Budget!$C$5:$C$64,C320))</f>
        <v>0</v>
      </c>
      <c r="R320" s="25">
        <f>IF(C320="","",P320-Q320)</f>
        <v>0</v>
      </c>
      <c r="S320" s="23">
        <f>IF(C320="","",MonthlyPostTarget)</f>
        <v>0</v>
      </c>
      <c r="T320" s="17">
        <f>IF(Lists!$C320="","",Lists!$C320)</f>
        <v>0</v>
      </c>
      <c r="U320" s="23">
        <f>IF(T320="","",COUNTIFS('Content Calendar'!$G$5:$G$604,T320,'Content Calendar'!$B$5:$B$604,"&gt;="&amp;DashStart,'Content Calendar'!$B$5:$B$604,"&lt;="&amp;DashEnd))</f>
        <v>0</v>
      </c>
      <c r="V320" s="23">
        <f>IF(T320="","",COUNTIFS('Content Calendar'!$G$5:$G$604,T320,'Content Calendar'!$X$5:$X$604,"Published",'Content Calendar'!$B$5:$B$604,"&gt;="&amp;DashStart,'Content Calendar'!$B$5:$B$604,"&lt;="&amp;DashEnd))</f>
        <v>0</v>
      </c>
      <c r="W320" s="23">
        <f>IF(T320="","",SUMIFS(Analytics!$J$5:$J$154,Analytics!$D$5:$D$154,T320,Analytics!$B$5:$B$154,"&gt;="&amp;DashStart,Analytics!$B$5:$B$154,"&lt;="&amp;DashEnd))</f>
        <v>0</v>
      </c>
      <c r="X320" s="23">
        <f>IF(T320="","",SUMIFS(Analytics!$L$5:$L$154,Analytics!$D$5:$D$154,T320,Analytics!$B$5:$B$154,"&gt;="&amp;DashStart,Analytics!$B$5:$B$154,"&lt;="&amp;DashEnd))</f>
        <v>0</v>
      </c>
      <c r="Y320" s="24">
        <f>IF(OR(W320="",W320=0),"",X320/W320)</f>
        <v>0</v>
      </c>
      <c r="Z320" s="23">
        <f>IF(T320="","",SUMIFS(Analytics!$G$5:$G$154,Analytics!$D$5:$D$154,T320,Analytics!$B$5:$B$154,"&gt;="&amp;DashStart,Analytics!$B$5:$B$154,"&lt;="&amp;DashEnd))</f>
        <v>0</v>
      </c>
      <c r="AA320" s="23">
        <f>IF(T320="","",SUMIFS(Analytics!$X$5:$X$154,Analytics!$D$5:$D$154,T320,Analytics!$B$5:$B$154,"&gt;="&amp;DashStart,Analytics!$B$5:$B$154,"&lt;="&amp;DashEnd))</f>
        <v>0</v>
      </c>
      <c r="AB320" s="23">
        <f>IF(T320="","",SUMIFS(Analytics!$R$5:$R$154,Analytics!$D$5:$D$154,T320,Analytics!$B$5:$B$154,"&gt;="&amp;DashStart,Analytics!$B$5:$B$154,"&lt;="&amp;DashEnd))</f>
        <v>0</v>
      </c>
      <c r="AC320" s="25">
        <f>IF(T320="","",SUMIFS(Analytics!$U$5:$U$154,Analytics!$D$5:$D$154,T320,Analytics!$B$5:$B$154,"&gt;="&amp;DashStart,Analytics!$B$5:$B$154,"&lt;="&amp;DashEnd))</f>
        <v>0</v>
      </c>
      <c r="AD320" s="23">
        <f>IF(T320="","",COUNTIFS('Content Calendar'!$G$5:$G$604,T320,'Content Calendar'!$B$5:$B$604,"&gt;="&amp;DATE(PlanYear,1,1),'Content Calendar'!$B$5:$B$604,"&lt;="&amp;DATE(PlanYear,12,31)))</f>
        <v>0</v>
      </c>
      <c r="AE320" s="23">
        <f>IF(T320="","",SUMIFS(Analytics!$J$5:$J$154,Analytics!$D$5:$D$154,T320))</f>
        <v>0</v>
      </c>
      <c r="AF320" s="23">
        <f>IF(T320="","",SUMIFS(Analytics!$L$5:$L$154,Analytics!$D$5:$D$154,T320))</f>
        <v>0</v>
      </c>
      <c r="AG320" s="24">
        <f>IF(OR(AE320="",AE320=0),"",AF320/AE320)</f>
        <v>0</v>
      </c>
      <c r="AH320" s="23">
        <f>IF(T320="","",SUMIFS(Analytics!$X$5:$X$154,Analytics!$D$5:$D$154,T320))</f>
        <v>0</v>
      </c>
      <c r="AI320" s="32">
        <f>IF(T320="","",IF(AE320=0,"",AE320+ROW()/1000000))</f>
        <v>0</v>
      </c>
      <c r="AJ320" s="17">
        <f>IF('Content Pillars'!$B$320="","",'Content Pillars'!$B$320)</f>
        <v>0</v>
      </c>
      <c r="AK320" s="23">
        <f>IF(AJ320="","",COUNTIFS('Content Calendar'!$J$5:$J$604,AJ320,'Content Calendar'!$B$5:$B$604,"&gt;="&amp;DATE(PlanYear,1,1),'Content Calendar'!$B$5:$B$604,"&lt;="&amp;DATE(PlanYear,12,31)))</f>
        <v>0</v>
      </c>
      <c r="AL320" s="23">
        <f>IF(AJ320="","",SUMIFS(Performance!$O$5:$O$404,Performance!$H$5:$H$404,AJ320))</f>
        <v>0</v>
      </c>
      <c r="AM320" s="23">
        <f>IF(AJ320="","",SUMIFS(Performance!$Z$5:$Z$404,Performance!$H$5:$H$404,AJ320))</f>
        <v>0</v>
      </c>
      <c r="AN320" s="24">
        <f>IF(OR(AL320="",AL320=0),"",AM320/AL320)</f>
        <v>0</v>
      </c>
      <c r="AO320" s="32">
        <f>IF(AN320="","",AN320+ROW()/1000000)</f>
        <v>0</v>
      </c>
      <c r="AP320" s="17">
        <f>IF(Lists!$E320="","",Lists!$E320)</f>
        <v>0</v>
      </c>
      <c r="AQ320" s="23">
        <f>IF(AP320="","",COUNTIF(Performance!$G$5:$G$404,AP320))</f>
        <v>0</v>
      </c>
      <c r="AR320" s="23">
        <f>IF(AP320="","",SUMIFS(Performance!$O$5:$O$404,Performance!$G$5:$G$404,AP320))</f>
        <v>0</v>
      </c>
      <c r="AS320" s="23">
        <f>IF(AP320="","",SUMIFS(Performance!$Z$5:$Z$404,Performance!$G$5:$G$404,AP320))</f>
        <v>0</v>
      </c>
      <c r="AT320" s="24">
        <f>IF(OR(AR320="",AR320=0),"",AS320/AR320)</f>
        <v>0</v>
      </c>
      <c r="AU320" s="32">
        <f>IF(AQ320=0,"",IF(AT320="","",AT320+ROW()/1000000))</f>
        <v>0</v>
      </c>
      <c r="AV320" s="17">
        <f>IF(ROW()-4&gt;7,"",TEXT(DATE(2024,1,ROW()-4),"ddd"))</f>
        <v>0</v>
      </c>
      <c r="AW320" s="23">
        <f>IF(AV320="","",COUNTIF(Performance!$N$5:$N$404,AV320))</f>
        <v>0</v>
      </c>
      <c r="AX320" s="23">
        <f>IF(AV320="","",SUMIFS(Performance!$O$5:$O$404,Performance!$N$5:$N$404,AV320))</f>
        <v>0</v>
      </c>
      <c r="AY320" s="23">
        <f>IF(AV320="","",SUMIFS(Performance!$Z$5:$Z$404,Performance!$N$5:$N$404,AV320))</f>
        <v>0</v>
      </c>
      <c r="AZ320" s="24">
        <f>IF(OR(AX320="",AX320=0),"",AY320/AX320)</f>
        <v>0</v>
      </c>
      <c r="BA320" s="32">
        <f>IF(AW320=0,"",IF(AZ320="","",AZ320+ROW()/1000000))</f>
        <v>0</v>
      </c>
      <c r="BB320" s="17">
        <f>IF(Lists!$AL320="","",Lists!$AL320)</f>
        <v>0</v>
      </c>
      <c r="BC320" s="23">
        <f>IF(BB320="","",COUNTIF(Performance!$M$5:$M$404,BB320))</f>
        <v>0</v>
      </c>
      <c r="BD320" s="23">
        <f>IF(BB320="","",SUMIFS(Performance!$O$5:$O$404,Performance!$M$5:$M$404,BB320))</f>
        <v>0</v>
      </c>
      <c r="BE320" s="23">
        <f>IF(BB320="","",SUMIFS(Performance!$Z$5:$Z$404,Performance!$M$5:$M$404,BB320))</f>
        <v>0</v>
      </c>
      <c r="BF320" s="24">
        <f>IF(OR(BD320="",BD320=0),"",BE320/BD320)</f>
        <v>0</v>
      </c>
      <c r="BG320" s="32">
        <f>IF(BC320=0,"",IF(BF320="","",BF320+ROW()/1000000))</f>
        <v>0</v>
      </c>
      <c r="BH320" s="17">
        <f>IF(Performance!$C$320="","",Performance!$C$320)</f>
        <v>0</v>
      </c>
      <c r="BI320" s="17">
        <f>IF(Performance!$F$320="","",Performance!$F$320)</f>
        <v>0</v>
      </c>
      <c r="BJ320" s="17">
        <f>IF(Performance!$H$320="","",Performance!$H$320)</f>
        <v>0</v>
      </c>
      <c r="BK320" s="16">
        <f>IF(Performance!$D$320="","",Performance!$D$320)</f>
        <v>0</v>
      </c>
      <c r="BL320" s="17">
        <f>IF(Performance!$E$320="","",Performance!$E$320)</f>
        <v>0</v>
      </c>
      <c r="BM320" s="23">
        <f>IF(Performance!$O$320="","",Performance!$O$320)</f>
        <v>0</v>
      </c>
      <c r="BN320" s="24">
        <f>IF(Performance!$AA$320="","",Performance!$AA$320)</f>
        <v>0</v>
      </c>
      <c r="BO320" s="32">
        <f>IF(BH320="","",IF(BK320="","",IF(OR(BK320&lt;DashStart,BK320&gt;DashEnd),"",IF(BN320="","",BN320+ROW()/1000000))))</f>
        <v>0</v>
      </c>
      <c r="BP320" s="32">
        <f>IF(BM320="","",IF(BK320="","",IF(OR(BK320&lt;DashStart,BK320&gt;DashEnd),"",BM320+ROW()/1000000)))</f>
        <v>0</v>
      </c>
      <c r="BQ320" s="32">
        <f>IF(BH320="","",IF(BK320="","",IF(YEAR(BK320)&lt;&gt;PlanYear,"",IF(BN320="","",BN320+ROW()/1000000))))</f>
        <v>0</v>
      </c>
      <c r="BR320" s="32">
        <f>IF(BH320="","",IF(BK320="","",IF(OR(BK320&lt;RepFrom,BK320&gt;RepTo),"",IF(BN320="","",BN320+ROW()/1000000))))</f>
        <v>0</v>
      </c>
      <c r="BS320" s="32">
        <f>IF(BM320="","",IF(BK320="","",IF(YEAR(BK320)&lt;&gt;PlanYear,"",BM320+ROW()/1000000)))</f>
        <v>0</v>
      </c>
      <c r="BT320" s="17">
        <f>IF(Lists!$F320="","",Lists!$F320)</f>
        <v>0</v>
      </c>
      <c r="BU320" s="23">
        <f>IF(BT320="","",COUNTIF('Content Calendar'!$X$5:$X$604,BT320))</f>
        <v>0</v>
      </c>
      <c r="BV320" s="23">
        <f>IF(BT320="","",COUNTIFS('Content Calendar'!$X$5:$X$604,BT320,'Content Calendar'!$B$5:$B$604,"&gt;="&amp;DashStart,'Content Calendar'!$B$5:$B$604,"&lt;="&amp;DashEnd))</f>
        <v>0</v>
      </c>
      <c r="BW320" s="17">
        <f>IF(Team!$B$320="","",Team!$B$320)</f>
        <v>0</v>
      </c>
      <c r="BX320" s="23">
        <f>IF(BW320="","",COUNTIF('Content Calendar'!$W$5:$W$604,BW320))</f>
        <v>0</v>
      </c>
      <c r="BY320" s="23">
        <f>IF(BW320="","",COUNTIFS('Content Calendar'!$W$5:$W$604,BW320,'Content Calendar'!$X$5:$X$604,"&lt;&gt;Published"))</f>
        <v>0</v>
      </c>
      <c r="BZ320" s="23">
        <f>IF(BW320="","",COUNTIFS(Tasks!$C$5:$C$64,BW320,Tasks!$G$5:$G$64,"&lt;&gt;Complete"))</f>
        <v>0</v>
      </c>
      <c r="CA320" s="17">
        <f>IF(Campaigns!$B$320="","",Campaigns!$B$320)</f>
        <v>0</v>
      </c>
      <c r="CB320" s="25">
        <f>IF(Campaigns!$T$320="","",Campaigns!$T$320)</f>
        <v>0</v>
      </c>
      <c r="CC320" s="25">
        <f>IF(Campaigns!$Q$320="","",Campaigns!$Q$320)</f>
        <v>0</v>
      </c>
      <c r="CD320" s="23">
        <f>IF(Campaigns!$Y$320="","",Campaigns!$Y$320)</f>
        <v>0</v>
      </c>
      <c r="CE320" s="32">
        <f>IF(CA320="","",IF(N(CB320)&lt;=0,"",N(CB320)+ROW()/1000000))</f>
        <v>0</v>
      </c>
      <c r="CF320" s="17">
        <f>IF(Accounts!$C$320="","",Accounts!$C$320)</f>
        <v>0</v>
      </c>
      <c r="CG320" s="17">
        <f>IF(Accounts!$B$320="","",Accounts!$B$320)</f>
        <v>0</v>
      </c>
      <c r="CH320" s="23">
        <f>IF(Accounts!$J$320="","",Accounts!$J$320)</f>
        <v>0</v>
      </c>
      <c r="CI320" s="23">
        <f>IF(CF320="","",SUMIFS(Analytics!$X$5:$X$154,Analytics!$E$5:$E$154,CF320,Analytics!$B$5:$B$154,"&gt;="&amp;DashStart,Analytics!$B$5:$B$154,"&lt;="&amp;DashEnd))</f>
        <v>0</v>
      </c>
      <c r="CJ320" s="32">
        <f>IF(CH320="","",IF(CH320=0,"",CH320+ROW()/1000000))</f>
        <v>0</v>
      </c>
    </row>
    <row r="321" spans="1:88">
      <c r="A321" s="16">
        <f>IF(ROW()-4&gt;12,"",DATE(PlanYear,ROW()-4,1))</f>
        <v>0</v>
      </c>
      <c r="B321" s="16">
        <f>IF(A321="","",EOMONTH(A321,0))</f>
        <v>0</v>
      </c>
      <c r="C321" s="17">
        <f>IF(A321="","",TEXT(A321,"yyyy-mm"))</f>
        <v>0</v>
      </c>
      <c r="D321" s="17">
        <f>IF(A321="","",TEXT(A321,"mmm"))</f>
        <v>0</v>
      </c>
      <c r="E321" s="23">
        <f>IF(C321="","",COUNTIFS('Content Calendar'!$D$5:$D$604,C321))</f>
        <v>0</v>
      </c>
      <c r="F321" s="23">
        <f>IF(C321="","",COUNTIFS('Content Calendar'!$D$5:$D$604,C321,'Content Calendar'!$X$5:$X$604,"Published"))</f>
        <v>0</v>
      </c>
      <c r="G321" s="23">
        <f>IF(C321="","",SUMIFS(Analytics!$J$5:$J$154,Analytics!$C$5:$C$154,C321))</f>
        <v>0</v>
      </c>
      <c r="H321" s="23">
        <f>IF(C321="","",SUMIFS(Analytics!$K$5:$K$154,Analytics!$C$5:$C$154,C321))</f>
        <v>0</v>
      </c>
      <c r="I321" s="23">
        <f>IF(C321="","",SUMIFS(Analytics!$L$5:$L$154,Analytics!$C$5:$C$154,C321))</f>
        <v>0</v>
      </c>
      <c r="J321" s="24">
        <f>IF(OR(G321="",G321=0),"",I321/G321)</f>
        <v>0</v>
      </c>
      <c r="K321" s="23">
        <f>IF(C321="","",SUMIFS(Analytics!$G$5:$G$154,Analytics!$C$5:$C$154,C321))</f>
        <v>0</v>
      </c>
      <c r="L321" s="23">
        <f>IF(C321="","",SUMIFS(Analytics!$X$5:$X$154,Analytics!$C$5:$C$154,C321))</f>
        <v>0</v>
      </c>
      <c r="M321" s="23">
        <f>IF(C321="","",SUMIFS(Analytics!$R$5:$R$154,Analytics!$C$5:$C$154,C321))</f>
        <v>0</v>
      </c>
      <c r="N321" s="23">
        <f>IF(C321="","",SUMIFS(Analytics!$S$5:$S$154,Analytics!$C$5:$C$154,C321))</f>
        <v>0</v>
      </c>
      <c r="O321" s="23">
        <f>IF(C321="","",SUMIFS(Analytics!$T$5:$T$154,Analytics!$C$5:$C$154,C321))</f>
        <v>0</v>
      </c>
      <c r="P321" s="25">
        <f>IF(C321="","",SUMIFS(Analytics!$U$5:$U$154,Analytics!$C$5:$C$154,C321))</f>
        <v>0</v>
      </c>
      <c r="Q321" s="25">
        <f>IF(C321="","",SUMIFS(Budget!$H$5:$H$64,Budget!$C$5:$C$64,C321))</f>
        <v>0</v>
      </c>
      <c r="R321" s="25">
        <f>IF(C321="","",P321-Q321)</f>
        <v>0</v>
      </c>
      <c r="S321" s="23">
        <f>IF(C321="","",MonthlyPostTarget)</f>
        <v>0</v>
      </c>
      <c r="T321" s="17">
        <f>IF(Lists!$C321="","",Lists!$C321)</f>
        <v>0</v>
      </c>
      <c r="U321" s="23">
        <f>IF(T321="","",COUNTIFS('Content Calendar'!$G$5:$G$604,T321,'Content Calendar'!$B$5:$B$604,"&gt;="&amp;DashStart,'Content Calendar'!$B$5:$B$604,"&lt;="&amp;DashEnd))</f>
        <v>0</v>
      </c>
      <c r="V321" s="23">
        <f>IF(T321="","",COUNTIFS('Content Calendar'!$G$5:$G$604,T321,'Content Calendar'!$X$5:$X$604,"Published",'Content Calendar'!$B$5:$B$604,"&gt;="&amp;DashStart,'Content Calendar'!$B$5:$B$604,"&lt;="&amp;DashEnd))</f>
        <v>0</v>
      </c>
      <c r="W321" s="23">
        <f>IF(T321="","",SUMIFS(Analytics!$J$5:$J$154,Analytics!$D$5:$D$154,T321,Analytics!$B$5:$B$154,"&gt;="&amp;DashStart,Analytics!$B$5:$B$154,"&lt;="&amp;DashEnd))</f>
        <v>0</v>
      </c>
      <c r="X321" s="23">
        <f>IF(T321="","",SUMIFS(Analytics!$L$5:$L$154,Analytics!$D$5:$D$154,T321,Analytics!$B$5:$B$154,"&gt;="&amp;DashStart,Analytics!$B$5:$B$154,"&lt;="&amp;DashEnd))</f>
        <v>0</v>
      </c>
      <c r="Y321" s="24">
        <f>IF(OR(W321="",W321=0),"",X321/W321)</f>
        <v>0</v>
      </c>
      <c r="Z321" s="23">
        <f>IF(T321="","",SUMIFS(Analytics!$G$5:$G$154,Analytics!$D$5:$D$154,T321,Analytics!$B$5:$B$154,"&gt;="&amp;DashStart,Analytics!$B$5:$B$154,"&lt;="&amp;DashEnd))</f>
        <v>0</v>
      </c>
      <c r="AA321" s="23">
        <f>IF(T321="","",SUMIFS(Analytics!$X$5:$X$154,Analytics!$D$5:$D$154,T321,Analytics!$B$5:$B$154,"&gt;="&amp;DashStart,Analytics!$B$5:$B$154,"&lt;="&amp;DashEnd))</f>
        <v>0</v>
      </c>
      <c r="AB321" s="23">
        <f>IF(T321="","",SUMIFS(Analytics!$R$5:$R$154,Analytics!$D$5:$D$154,T321,Analytics!$B$5:$B$154,"&gt;="&amp;DashStart,Analytics!$B$5:$B$154,"&lt;="&amp;DashEnd))</f>
        <v>0</v>
      </c>
      <c r="AC321" s="25">
        <f>IF(T321="","",SUMIFS(Analytics!$U$5:$U$154,Analytics!$D$5:$D$154,T321,Analytics!$B$5:$B$154,"&gt;="&amp;DashStart,Analytics!$B$5:$B$154,"&lt;="&amp;DashEnd))</f>
        <v>0</v>
      </c>
      <c r="AD321" s="23">
        <f>IF(T321="","",COUNTIFS('Content Calendar'!$G$5:$G$604,T321,'Content Calendar'!$B$5:$B$604,"&gt;="&amp;DATE(PlanYear,1,1),'Content Calendar'!$B$5:$B$604,"&lt;="&amp;DATE(PlanYear,12,31)))</f>
        <v>0</v>
      </c>
      <c r="AE321" s="23">
        <f>IF(T321="","",SUMIFS(Analytics!$J$5:$J$154,Analytics!$D$5:$D$154,T321))</f>
        <v>0</v>
      </c>
      <c r="AF321" s="23">
        <f>IF(T321="","",SUMIFS(Analytics!$L$5:$L$154,Analytics!$D$5:$D$154,T321))</f>
        <v>0</v>
      </c>
      <c r="AG321" s="24">
        <f>IF(OR(AE321="",AE321=0),"",AF321/AE321)</f>
        <v>0</v>
      </c>
      <c r="AH321" s="23">
        <f>IF(T321="","",SUMIFS(Analytics!$X$5:$X$154,Analytics!$D$5:$D$154,T321))</f>
        <v>0</v>
      </c>
      <c r="AI321" s="32">
        <f>IF(T321="","",IF(AE321=0,"",AE321+ROW()/1000000))</f>
        <v>0</v>
      </c>
      <c r="AJ321" s="17">
        <f>IF('Content Pillars'!$B$321="","",'Content Pillars'!$B$321)</f>
        <v>0</v>
      </c>
      <c r="AK321" s="23">
        <f>IF(AJ321="","",COUNTIFS('Content Calendar'!$J$5:$J$604,AJ321,'Content Calendar'!$B$5:$B$604,"&gt;="&amp;DATE(PlanYear,1,1),'Content Calendar'!$B$5:$B$604,"&lt;="&amp;DATE(PlanYear,12,31)))</f>
        <v>0</v>
      </c>
      <c r="AL321" s="23">
        <f>IF(AJ321="","",SUMIFS(Performance!$O$5:$O$404,Performance!$H$5:$H$404,AJ321))</f>
        <v>0</v>
      </c>
      <c r="AM321" s="23">
        <f>IF(AJ321="","",SUMIFS(Performance!$Z$5:$Z$404,Performance!$H$5:$H$404,AJ321))</f>
        <v>0</v>
      </c>
      <c r="AN321" s="24">
        <f>IF(OR(AL321="",AL321=0),"",AM321/AL321)</f>
        <v>0</v>
      </c>
      <c r="AO321" s="32">
        <f>IF(AN321="","",AN321+ROW()/1000000)</f>
        <v>0</v>
      </c>
      <c r="AP321" s="17">
        <f>IF(Lists!$E321="","",Lists!$E321)</f>
        <v>0</v>
      </c>
      <c r="AQ321" s="23">
        <f>IF(AP321="","",COUNTIF(Performance!$G$5:$G$404,AP321))</f>
        <v>0</v>
      </c>
      <c r="AR321" s="23">
        <f>IF(AP321="","",SUMIFS(Performance!$O$5:$O$404,Performance!$G$5:$G$404,AP321))</f>
        <v>0</v>
      </c>
      <c r="AS321" s="23">
        <f>IF(AP321="","",SUMIFS(Performance!$Z$5:$Z$404,Performance!$G$5:$G$404,AP321))</f>
        <v>0</v>
      </c>
      <c r="AT321" s="24">
        <f>IF(OR(AR321="",AR321=0),"",AS321/AR321)</f>
        <v>0</v>
      </c>
      <c r="AU321" s="32">
        <f>IF(AQ321=0,"",IF(AT321="","",AT321+ROW()/1000000))</f>
        <v>0</v>
      </c>
      <c r="AV321" s="17">
        <f>IF(ROW()-4&gt;7,"",TEXT(DATE(2024,1,ROW()-4),"ddd"))</f>
        <v>0</v>
      </c>
      <c r="AW321" s="23">
        <f>IF(AV321="","",COUNTIF(Performance!$N$5:$N$404,AV321))</f>
        <v>0</v>
      </c>
      <c r="AX321" s="23">
        <f>IF(AV321="","",SUMIFS(Performance!$O$5:$O$404,Performance!$N$5:$N$404,AV321))</f>
        <v>0</v>
      </c>
      <c r="AY321" s="23">
        <f>IF(AV321="","",SUMIFS(Performance!$Z$5:$Z$404,Performance!$N$5:$N$404,AV321))</f>
        <v>0</v>
      </c>
      <c r="AZ321" s="24">
        <f>IF(OR(AX321="",AX321=0),"",AY321/AX321)</f>
        <v>0</v>
      </c>
      <c r="BA321" s="32">
        <f>IF(AW321=0,"",IF(AZ321="","",AZ321+ROW()/1000000))</f>
        <v>0</v>
      </c>
      <c r="BB321" s="17">
        <f>IF(Lists!$AL321="","",Lists!$AL321)</f>
        <v>0</v>
      </c>
      <c r="BC321" s="23">
        <f>IF(BB321="","",COUNTIF(Performance!$M$5:$M$404,BB321))</f>
        <v>0</v>
      </c>
      <c r="BD321" s="23">
        <f>IF(BB321="","",SUMIFS(Performance!$O$5:$O$404,Performance!$M$5:$M$404,BB321))</f>
        <v>0</v>
      </c>
      <c r="BE321" s="23">
        <f>IF(BB321="","",SUMIFS(Performance!$Z$5:$Z$404,Performance!$M$5:$M$404,BB321))</f>
        <v>0</v>
      </c>
      <c r="BF321" s="24">
        <f>IF(OR(BD321="",BD321=0),"",BE321/BD321)</f>
        <v>0</v>
      </c>
      <c r="BG321" s="32">
        <f>IF(BC321=0,"",IF(BF321="","",BF321+ROW()/1000000))</f>
        <v>0</v>
      </c>
      <c r="BH321" s="17">
        <f>IF(Performance!$C$321="","",Performance!$C$321)</f>
        <v>0</v>
      </c>
      <c r="BI321" s="17">
        <f>IF(Performance!$F$321="","",Performance!$F$321)</f>
        <v>0</v>
      </c>
      <c r="BJ321" s="17">
        <f>IF(Performance!$H$321="","",Performance!$H$321)</f>
        <v>0</v>
      </c>
      <c r="BK321" s="16">
        <f>IF(Performance!$D$321="","",Performance!$D$321)</f>
        <v>0</v>
      </c>
      <c r="BL321" s="17">
        <f>IF(Performance!$E$321="","",Performance!$E$321)</f>
        <v>0</v>
      </c>
      <c r="BM321" s="23">
        <f>IF(Performance!$O$321="","",Performance!$O$321)</f>
        <v>0</v>
      </c>
      <c r="BN321" s="24">
        <f>IF(Performance!$AA$321="","",Performance!$AA$321)</f>
        <v>0</v>
      </c>
      <c r="BO321" s="32">
        <f>IF(BH321="","",IF(BK321="","",IF(OR(BK321&lt;DashStart,BK321&gt;DashEnd),"",IF(BN321="","",BN321+ROW()/1000000))))</f>
        <v>0</v>
      </c>
      <c r="BP321" s="32">
        <f>IF(BM321="","",IF(BK321="","",IF(OR(BK321&lt;DashStart,BK321&gt;DashEnd),"",BM321+ROW()/1000000)))</f>
        <v>0</v>
      </c>
      <c r="BQ321" s="32">
        <f>IF(BH321="","",IF(BK321="","",IF(YEAR(BK321)&lt;&gt;PlanYear,"",IF(BN321="","",BN321+ROW()/1000000))))</f>
        <v>0</v>
      </c>
      <c r="BR321" s="32">
        <f>IF(BH321="","",IF(BK321="","",IF(OR(BK321&lt;RepFrom,BK321&gt;RepTo),"",IF(BN321="","",BN321+ROW()/1000000))))</f>
        <v>0</v>
      </c>
      <c r="BS321" s="32">
        <f>IF(BM321="","",IF(BK321="","",IF(YEAR(BK321)&lt;&gt;PlanYear,"",BM321+ROW()/1000000)))</f>
        <v>0</v>
      </c>
      <c r="BT321" s="17">
        <f>IF(Lists!$F321="","",Lists!$F321)</f>
        <v>0</v>
      </c>
      <c r="BU321" s="23">
        <f>IF(BT321="","",COUNTIF('Content Calendar'!$X$5:$X$604,BT321))</f>
        <v>0</v>
      </c>
      <c r="BV321" s="23">
        <f>IF(BT321="","",COUNTIFS('Content Calendar'!$X$5:$X$604,BT321,'Content Calendar'!$B$5:$B$604,"&gt;="&amp;DashStart,'Content Calendar'!$B$5:$B$604,"&lt;="&amp;DashEnd))</f>
        <v>0</v>
      </c>
      <c r="BW321" s="17">
        <f>IF(Team!$B$321="","",Team!$B$321)</f>
        <v>0</v>
      </c>
      <c r="BX321" s="23">
        <f>IF(BW321="","",COUNTIF('Content Calendar'!$W$5:$W$604,BW321))</f>
        <v>0</v>
      </c>
      <c r="BY321" s="23">
        <f>IF(BW321="","",COUNTIFS('Content Calendar'!$W$5:$W$604,BW321,'Content Calendar'!$X$5:$X$604,"&lt;&gt;Published"))</f>
        <v>0</v>
      </c>
      <c r="BZ321" s="23">
        <f>IF(BW321="","",COUNTIFS(Tasks!$C$5:$C$64,BW321,Tasks!$G$5:$G$64,"&lt;&gt;Complete"))</f>
        <v>0</v>
      </c>
      <c r="CA321" s="17">
        <f>IF(Campaigns!$B$321="","",Campaigns!$B$321)</f>
        <v>0</v>
      </c>
      <c r="CB321" s="25">
        <f>IF(Campaigns!$T$321="","",Campaigns!$T$321)</f>
        <v>0</v>
      </c>
      <c r="CC321" s="25">
        <f>IF(Campaigns!$Q$321="","",Campaigns!$Q$321)</f>
        <v>0</v>
      </c>
      <c r="CD321" s="23">
        <f>IF(Campaigns!$Y$321="","",Campaigns!$Y$321)</f>
        <v>0</v>
      </c>
      <c r="CE321" s="32">
        <f>IF(CA321="","",IF(N(CB321)&lt;=0,"",N(CB321)+ROW()/1000000))</f>
        <v>0</v>
      </c>
      <c r="CF321" s="17">
        <f>IF(Accounts!$C$321="","",Accounts!$C$321)</f>
        <v>0</v>
      </c>
      <c r="CG321" s="17">
        <f>IF(Accounts!$B$321="","",Accounts!$B$321)</f>
        <v>0</v>
      </c>
      <c r="CH321" s="23">
        <f>IF(Accounts!$J$321="","",Accounts!$J$321)</f>
        <v>0</v>
      </c>
      <c r="CI321" s="23">
        <f>IF(CF321="","",SUMIFS(Analytics!$X$5:$X$154,Analytics!$E$5:$E$154,CF321,Analytics!$B$5:$B$154,"&gt;="&amp;DashStart,Analytics!$B$5:$B$154,"&lt;="&amp;DashEnd))</f>
        <v>0</v>
      </c>
      <c r="CJ321" s="32">
        <f>IF(CH321="","",IF(CH321=0,"",CH321+ROW()/1000000))</f>
        <v>0</v>
      </c>
    </row>
    <row r="322" spans="1:88">
      <c r="A322" s="16">
        <f>IF(ROW()-4&gt;12,"",DATE(PlanYear,ROW()-4,1))</f>
        <v>0</v>
      </c>
      <c r="B322" s="16">
        <f>IF(A322="","",EOMONTH(A322,0))</f>
        <v>0</v>
      </c>
      <c r="C322" s="17">
        <f>IF(A322="","",TEXT(A322,"yyyy-mm"))</f>
        <v>0</v>
      </c>
      <c r="D322" s="17">
        <f>IF(A322="","",TEXT(A322,"mmm"))</f>
        <v>0</v>
      </c>
      <c r="E322" s="23">
        <f>IF(C322="","",COUNTIFS('Content Calendar'!$D$5:$D$604,C322))</f>
        <v>0</v>
      </c>
      <c r="F322" s="23">
        <f>IF(C322="","",COUNTIFS('Content Calendar'!$D$5:$D$604,C322,'Content Calendar'!$X$5:$X$604,"Published"))</f>
        <v>0</v>
      </c>
      <c r="G322" s="23">
        <f>IF(C322="","",SUMIFS(Analytics!$J$5:$J$154,Analytics!$C$5:$C$154,C322))</f>
        <v>0</v>
      </c>
      <c r="H322" s="23">
        <f>IF(C322="","",SUMIFS(Analytics!$K$5:$K$154,Analytics!$C$5:$C$154,C322))</f>
        <v>0</v>
      </c>
      <c r="I322" s="23">
        <f>IF(C322="","",SUMIFS(Analytics!$L$5:$L$154,Analytics!$C$5:$C$154,C322))</f>
        <v>0</v>
      </c>
      <c r="J322" s="24">
        <f>IF(OR(G322="",G322=0),"",I322/G322)</f>
        <v>0</v>
      </c>
      <c r="K322" s="23">
        <f>IF(C322="","",SUMIFS(Analytics!$G$5:$G$154,Analytics!$C$5:$C$154,C322))</f>
        <v>0</v>
      </c>
      <c r="L322" s="23">
        <f>IF(C322="","",SUMIFS(Analytics!$X$5:$X$154,Analytics!$C$5:$C$154,C322))</f>
        <v>0</v>
      </c>
      <c r="M322" s="23">
        <f>IF(C322="","",SUMIFS(Analytics!$R$5:$R$154,Analytics!$C$5:$C$154,C322))</f>
        <v>0</v>
      </c>
      <c r="N322" s="23">
        <f>IF(C322="","",SUMIFS(Analytics!$S$5:$S$154,Analytics!$C$5:$C$154,C322))</f>
        <v>0</v>
      </c>
      <c r="O322" s="23">
        <f>IF(C322="","",SUMIFS(Analytics!$T$5:$T$154,Analytics!$C$5:$C$154,C322))</f>
        <v>0</v>
      </c>
      <c r="P322" s="25">
        <f>IF(C322="","",SUMIFS(Analytics!$U$5:$U$154,Analytics!$C$5:$C$154,C322))</f>
        <v>0</v>
      </c>
      <c r="Q322" s="25">
        <f>IF(C322="","",SUMIFS(Budget!$H$5:$H$64,Budget!$C$5:$C$64,C322))</f>
        <v>0</v>
      </c>
      <c r="R322" s="25">
        <f>IF(C322="","",P322-Q322)</f>
        <v>0</v>
      </c>
      <c r="S322" s="23">
        <f>IF(C322="","",MonthlyPostTarget)</f>
        <v>0</v>
      </c>
      <c r="T322" s="17">
        <f>IF(Lists!$C322="","",Lists!$C322)</f>
        <v>0</v>
      </c>
      <c r="U322" s="23">
        <f>IF(T322="","",COUNTIFS('Content Calendar'!$G$5:$G$604,T322,'Content Calendar'!$B$5:$B$604,"&gt;="&amp;DashStart,'Content Calendar'!$B$5:$B$604,"&lt;="&amp;DashEnd))</f>
        <v>0</v>
      </c>
      <c r="V322" s="23">
        <f>IF(T322="","",COUNTIFS('Content Calendar'!$G$5:$G$604,T322,'Content Calendar'!$X$5:$X$604,"Published",'Content Calendar'!$B$5:$B$604,"&gt;="&amp;DashStart,'Content Calendar'!$B$5:$B$604,"&lt;="&amp;DashEnd))</f>
        <v>0</v>
      </c>
      <c r="W322" s="23">
        <f>IF(T322="","",SUMIFS(Analytics!$J$5:$J$154,Analytics!$D$5:$D$154,T322,Analytics!$B$5:$B$154,"&gt;="&amp;DashStart,Analytics!$B$5:$B$154,"&lt;="&amp;DashEnd))</f>
        <v>0</v>
      </c>
      <c r="X322" s="23">
        <f>IF(T322="","",SUMIFS(Analytics!$L$5:$L$154,Analytics!$D$5:$D$154,T322,Analytics!$B$5:$B$154,"&gt;="&amp;DashStart,Analytics!$B$5:$B$154,"&lt;="&amp;DashEnd))</f>
        <v>0</v>
      </c>
      <c r="Y322" s="24">
        <f>IF(OR(W322="",W322=0),"",X322/W322)</f>
        <v>0</v>
      </c>
      <c r="Z322" s="23">
        <f>IF(T322="","",SUMIFS(Analytics!$G$5:$G$154,Analytics!$D$5:$D$154,T322,Analytics!$B$5:$B$154,"&gt;="&amp;DashStart,Analytics!$B$5:$B$154,"&lt;="&amp;DashEnd))</f>
        <v>0</v>
      </c>
      <c r="AA322" s="23">
        <f>IF(T322="","",SUMIFS(Analytics!$X$5:$X$154,Analytics!$D$5:$D$154,T322,Analytics!$B$5:$B$154,"&gt;="&amp;DashStart,Analytics!$B$5:$B$154,"&lt;="&amp;DashEnd))</f>
        <v>0</v>
      </c>
      <c r="AB322" s="23">
        <f>IF(T322="","",SUMIFS(Analytics!$R$5:$R$154,Analytics!$D$5:$D$154,T322,Analytics!$B$5:$B$154,"&gt;="&amp;DashStart,Analytics!$B$5:$B$154,"&lt;="&amp;DashEnd))</f>
        <v>0</v>
      </c>
      <c r="AC322" s="25">
        <f>IF(T322="","",SUMIFS(Analytics!$U$5:$U$154,Analytics!$D$5:$D$154,T322,Analytics!$B$5:$B$154,"&gt;="&amp;DashStart,Analytics!$B$5:$B$154,"&lt;="&amp;DashEnd))</f>
        <v>0</v>
      </c>
      <c r="AD322" s="23">
        <f>IF(T322="","",COUNTIFS('Content Calendar'!$G$5:$G$604,T322,'Content Calendar'!$B$5:$B$604,"&gt;="&amp;DATE(PlanYear,1,1),'Content Calendar'!$B$5:$B$604,"&lt;="&amp;DATE(PlanYear,12,31)))</f>
        <v>0</v>
      </c>
      <c r="AE322" s="23">
        <f>IF(T322="","",SUMIFS(Analytics!$J$5:$J$154,Analytics!$D$5:$D$154,T322))</f>
        <v>0</v>
      </c>
      <c r="AF322" s="23">
        <f>IF(T322="","",SUMIFS(Analytics!$L$5:$L$154,Analytics!$D$5:$D$154,T322))</f>
        <v>0</v>
      </c>
      <c r="AG322" s="24">
        <f>IF(OR(AE322="",AE322=0),"",AF322/AE322)</f>
        <v>0</v>
      </c>
      <c r="AH322" s="23">
        <f>IF(T322="","",SUMIFS(Analytics!$X$5:$X$154,Analytics!$D$5:$D$154,T322))</f>
        <v>0</v>
      </c>
      <c r="AI322" s="32">
        <f>IF(T322="","",IF(AE322=0,"",AE322+ROW()/1000000))</f>
        <v>0</v>
      </c>
      <c r="AJ322" s="17">
        <f>IF('Content Pillars'!$B$322="","",'Content Pillars'!$B$322)</f>
        <v>0</v>
      </c>
      <c r="AK322" s="23">
        <f>IF(AJ322="","",COUNTIFS('Content Calendar'!$J$5:$J$604,AJ322,'Content Calendar'!$B$5:$B$604,"&gt;="&amp;DATE(PlanYear,1,1),'Content Calendar'!$B$5:$B$604,"&lt;="&amp;DATE(PlanYear,12,31)))</f>
        <v>0</v>
      </c>
      <c r="AL322" s="23">
        <f>IF(AJ322="","",SUMIFS(Performance!$O$5:$O$404,Performance!$H$5:$H$404,AJ322))</f>
        <v>0</v>
      </c>
      <c r="AM322" s="23">
        <f>IF(AJ322="","",SUMIFS(Performance!$Z$5:$Z$404,Performance!$H$5:$H$404,AJ322))</f>
        <v>0</v>
      </c>
      <c r="AN322" s="24">
        <f>IF(OR(AL322="",AL322=0),"",AM322/AL322)</f>
        <v>0</v>
      </c>
      <c r="AO322" s="32">
        <f>IF(AN322="","",AN322+ROW()/1000000)</f>
        <v>0</v>
      </c>
      <c r="AP322" s="17">
        <f>IF(Lists!$E322="","",Lists!$E322)</f>
        <v>0</v>
      </c>
      <c r="AQ322" s="23">
        <f>IF(AP322="","",COUNTIF(Performance!$G$5:$G$404,AP322))</f>
        <v>0</v>
      </c>
      <c r="AR322" s="23">
        <f>IF(AP322="","",SUMIFS(Performance!$O$5:$O$404,Performance!$G$5:$G$404,AP322))</f>
        <v>0</v>
      </c>
      <c r="AS322" s="23">
        <f>IF(AP322="","",SUMIFS(Performance!$Z$5:$Z$404,Performance!$G$5:$G$404,AP322))</f>
        <v>0</v>
      </c>
      <c r="AT322" s="24">
        <f>IF(OR(AR322="",AR322=0),"",AS322/AR322)</f>
        <v>0</v>
      </c>
      <c r="AU322" s="32">
        <f>IF(AQ322=0,"",IF(AT322="","",AT322+ROW()/1000000))</f>
        <v>0</v>
      </c>
      <c r="AV322" s="17">
        <f>IF(ROW()-4&gt;7,"",TEXT(DATE(2024,1,ROW()-4),"ddd"))</f>
        <v>0</v>
      </c>
      <c r="AW322" s="23">
        <f>IF(AV322="","",COUNTIF(Performance!$N$5:$N$404,AV322))</f>
        <v>0</v>
      </c>
      <c r="AX322" s="23">
        <f>IF(AV322="","",SUMIFS(Performance!$O$5:$O$404,Performance!$N$5:$N$404,AV322))</f>
        <v>0</v>
      </c>
      <c r="AY322" s="23">
        <f>IF(AV322="","",SUMIFS(Performance!$Z$5:$Z$404,Performance!$N$5:$N$404,AV322))</f>
        <v>0</v>
      </c>
      <c r="AZ322" s="24">
        <f>IF(OR(AX322="",AX322=0),"",AY322/AX322)</f>
        <v>0</v>
      </c>
      <c r="BA322" s="32">
        <f>IF(AW322=0,"",IF(AZ322="","",AZ322+ROW()/1000000))</f>
        <v>0</v>
      </c>
      <c r="BB322" s="17">
        <f>IF(Lists!$AL322="","",Lists!$AL322)</f>
        <v>0</v>
      </c>
      <c r="BC322" s="23">
        <f>IF(BB322="","",COUNTIF(Performance!$M$5:$M$404,BB322))</f>
        <v>0</v>
      </c>
      <c r="BD322" s="23">
        <f>IF(BB322="","",SUMIFS(Performance!$O$5:$O$404,Performance!$M$5:$M$404,BB322))</f>
        <v>0</v>
      </c>
      <c r="BE322" s="23">
        <f>IF(BB322="","",SUMIFS(Performance!$Z$5:$Z$404,Performance!$M$5:$M$404,BB322))</f>
        <v>0</v>
      </c>
      <c r="BF322" s="24">
        <f>IF(OR(BD322="",BD322=0),"",BE322/BD322)</f>
        <v>0</v>
      </c>
      <c r="BG322" s="32">
        <f>IF(BC322=0,"",IF(BF322="","",BF322+ROW()/1000000))</f>
        <v>0</v>
      </c>
      <c r="BH322" s="17">
        <f>IF(Performance!$C$322="","",Performance!$C$322)</f>
        <v>0</v>
      </c>
      <c r="BI322" s="17">
        <f>IF(Performance!$F$322="","",Performance!$F$322)</f>
        <v>0</v>
      </c>
      <c r="BJ322" s="17">
        <f>IF(Performance!$H$322="","",Performance!$H$322)</f>
        <v>0</v>
      </c>
      <c r="BK322" s="16">
        <f>IF(Performance!$D$322="","",Performance!$D$322)</f>
        <v>0</v>
      </c>
      <c r="BL322" s="17">
        <f>IF(Performance!$E$322="","",Performance!$E$322)</f>
        <v>0</v>
      </c>
      <c r="BM322" s="23">
        <f>IF(Performance!$O$322="","",Performance!$O$322)</f>
        <v>0</v>
      </c>
      <c r="BN322" s="24">
        <f>IF(Performance!$AA$322="","",Performance!$AA$322)</f>
        <v>0</v>
      </c>
      <c r="BO322" s="32">
        <f>IF(BH322="","",IF(BK322="","",IF(OR(BK322&lt;DashStart,BK322&gt;DashEnd),"",IF(BN322="","",BN322+ROW()/1000000))))</f>
        <v>0</v>
      </c>
      <c r="BP322" s="32">
        <f>IF(BM322="","",IF(BK322="","",IF(OR(BK322&lt;DashStart,BK322&gt;DashEnd),"",BM322+ROW()/1000000)))</f>
        <v>0</v>
      </c>
      <c r="BQ322" s="32">
        <f>IF(BH322="","",IF(BK322="","",IF(YEAR(BK322)&lt;&gt;PlanYear,"",IF(BN322="","",BN322+ROW()/1000000))))</f>
        <v>0</v>
      </c>
      <c r="BR322" s="32">
        <f>IF(BH322="","",IF(BK322="","",IF(OR(BK322&lt;RepFrom,BK322&gt;RepTo),"",IF(BN322="","",BN322+ROW()/1000000))))</f>
        <v>0</v>
      </c>
      <c r="BS322" s="32">
        <f>IF(BM322="","",IF(BK322="","",IF(YEAR(BK322)&lt;&gt;PlanYear,"",BM322+ROW()/1000000)))</f>
        <v>0</v>
      </c>
      <c r="BT322" s="17">
        <f>IF(Lists!$F322="","",Lists!$F322)</f>
        <v>0</v>
      </c>
      <c r="BU322" s="23">
        <f>IF(BT322="","",COUNTIF('Content Calendar'!$X$5:$X$604,BT322))</f>
        <v>0</v>
      </c>
      <c r="BV322" s="23">
        <f>IF(BT322="","",COUNTIFS('Content Calendar'!$X$5:$X$604,BT322,'Content Calendar'!$B$5:$B$604,"&gt;="&amp;DashStart,'Content Calendar'!$B$5:$B$604,"&lt;="&amp;DashEnd))</f>
        <v>0</v>
      </c>
      <c r="BW322" s="17">
        <f>IF(Team!$B$322="","",Team!$B$322)</f>
        <v>0</v>
      </c>
      <c r="BX322" s="23">
        <f>IF(BW322="","",COUNTIF('Content Calendar'!$W$5:$W$604,BW322))</f>
        <v>0</v>
      </c>
      <c r="BY322" s="23">
        <f>IF(BW322="","",COUNTIFS('Content Calendar'!$W$5:$W$604,BW322,'Content Calendar'!$X$5:$X$604,"&lt;&gt;Published"))</f>
        <v>0</v>
      </c>
      <c r="BZ322" s="23">
        <f>IF(BW322="","",COUNTIFS(Tasks!$C$5:$C$64,BW322,Tasks!$G$5:$G$64,"&lt;&gt;Complete"))</f>
        <v>0</v>
      </c>
      <c r="CA322" s="17">
        <f>IF(Campaigns!$B$322="","",Campaigns!$B$322)</f>
        <v>0</v>
      </c>
      <c r="CB322" s="25">
        <f>IF(Campaigns!$T$322="","",Campaigns!$T$322)</f>
        <v>0</v>
      </c>
      <c r="CC322" s="25">
        <f>IF(Campaigns!$Q$322="","",Campaigns!$Q$322)</f>
        <v>0</v>
      </c>
      <c r="CD322" s="23">
        <f>IF(Campaigns!$Y$322="","",Campaigns!$Y$322)</f>
        <v>0</v>
      </c>
      <c r="CE322" s="32">
        <f>IF(CA322="","",IF(N(CB322)&lt;=0,"",N(CB322)+ROW()/1000000))</f>
        <v>0</v>
      </c>
      <c r="CF322" s="17">
        <f>IF(Accounts!$C$322="","",Accounts!$C$322)</f>
        <v>0</v>
      </c>
      <c r="CG322" s="17">
        <f>IF(Accounts!$B$322="","",Accounts!$B$322)</f>
        <v>0</v>
      </c>
      <c r="CH322" s="23">
        <f>IF(Accounts!$J$322="","",Accounts!$J$322)</f>
        <v>0</v>
      </c>
      <c r="CI322" s="23">
        <f>IF(CF322="","",SUMIFS(Analytics!$X$5:$X$154,Analytics!$E$5:$E$154,CF322,Analytics!$B$5:$B$154,"&gt;="&amp;DashStart,Analytics!$B$5:$B$154,"&lt;="&amp;DashEnd))</f>
        <v>0</v>
      </c>
      <c r="CJ322" s="32">
        <f>IF(CH322="","",IF(CH322=0,"",CH322+ROW()/1000000))</f>
        <v>0</v>
      </c>
    </row>
    <row r="323" spans="1:88">
      <c r="A323" s="16">
        <f>IF(ROW()-4&gt;12,"",DATE(PlanYear,ROW()-4,1))</f>
        <v>0</v>
      </c>
      <c r="B323" s="16">
        <f>IF(A323="","",EOMONTH(A323,0))</f>
        <v>0</v>
      </c>
      <c r="C323" s="17">
        <f>IF(A323="","",TEXT(A323,"yyyy-mm"))</f>
        <v>0</v>
      </c>
      <c r="D323" s="17">
        <f>IF(A323="","",TEXT(A323,"mmm"))</f>
        <v>0</v>
      </c>
      <c r="E323" s="23">
        <f>IF(C323="","",COUNTIFS('Content Calendar'!$D$5:$D$604,C323))</f>
        <v>0</v>
      </c>
      <c r="F323" s="23">
        <f>IF(C323="","",COUNTIFS('Content Calendar'!$D$5:$D$604,C323,'Content Calendar'!$X$5:$X$604,"Published"))</f>
        <v>0</v>
      </c>
      <c r="G323" s="23">
        <f>IF(C323="","",SUMIFS(Analytics!$J$5:$J$154,Analytics!$C$5:$C$154,C323))</f>
        <v>0</v>
      </c>
      <c r="H323" s="23">
        <f>IF(C323="","",SUMIFS(Analytics!$K$5:$K$154,Analytics!$C$5:$C$154,C323))</f>
        <v>0</v>
      </c>
      <c r="I323" s="23">
        <f>IF(C323="","",SUMIFS(Analytics!$L$5:$L$154,Analytics!$C$5:$C$154,C323))</f>
        <v>0</v>
      </c>
      <c r="J323" s="24">
        <f>IF(OR(G323="",G323=0),"",I323/G323)</f>
        <v>0</v>
      </c>
      <c r="K323" s="23">
        <f>IF(C323="","",SUMIFS(Analytics!$G$5:$G$154,Analytics!$C$5:$C$154,C323))</f>
        <v>0</v>
      </c>
      <c r="L323" s="23">
        <f>IF(C323="","",SUMIFS(Analytics!$X$5:$X$154,Analytics!$C$5:$C$154,C323))</f>
        <v>0</v>
      </c>
      <c r="M323" s="23">
        <f>IF(C323="","",SUMIFS(Analytics!$R$5:$R$154,Analytics!$C$5:$C$154,C323))</f>
        <v>0</v>
      </c>
      <c r="N323" s="23">
        <f>IF(C323="","",SUMIFS(Analytics!$S$5:$S$154,Analytics!$C$5:$C$154,C323))</f>
        <v>0</v>
      </c>
      <c r="O323" s="23">
        <f>IF(C323="","",SUMIFS(Analytics!$T$5:$T$154,Analytics!$C$5:$C$154,C323))</f>
        <v>0</v>
      </c>
      <c r="P323" s="25">
        <f>IF(C323="","",SUMIFS(Analytics!$U$5:$U$154,Analytics!$C$5:$C$154,C323))</f>
        <v>0</v>
      </c>
      <c r="Q323" s="25">
        <f>IF(C323="","",SUMIFS(Budget!$H$5:$H$64,Budget!$C$5:$C$64,C323))</f>
        <v>0</v>
      </c>
      <c r="R323" s="25">
        <f>IF(C323="","",P323-Q323)</f>
        <v>0</v>
      </c>
      <c r="S323" s="23">
        <f>IF(C323="","",MonthlyPostTarget)</f>
        <v>0</v>
      </c>
      <c r="T323" s="17">
        <f>IF(Lists!$C323="","",Lists!$C323)</f>
        <v>0</v>
      </c>
      <c r="U323" s="23">
        <f>IF(T323="","",COUNTIFS('Content Calendar'!$G$5:$G$604,T323,'Content Calendar'!$B$5:$B$604,"&gt;="&amp;DashStart,'Content Calendar'!$B$5:$B$604,"&lt;="&amp;DashEnd))</f>
        <v>0</v>
      </c>
      <c r="V323" s="23">
        <f>IF(T323="","",COUNTIFS('Content Calendar'!$G$5:$G$604,T323,'Content Calendar'!$X$5:$X$604,"Published",'Content Calendar'!$B$5:$B$604,"&gt;="&amp;DashStart,'Content Calendar'!$B$5:$B$604,"&lt;="&amp;DashEnd))</f>
        <v>0</v>
      </c>
      <c r="W323" s="23">
        <f>IF(T323="","",SUMIFS(Analytics!$J$5:$J$154,Analytics!$D$5:$D$154,T323,Analytics!$B$5:$B$154,"&gt;="&amp;DashStart,Analytics!$B$5:$B$154,"&lt;="&amp;DashEnd))</f>
        <v>0</v>
      </c>
      <c r="X323" s="23">
        <f>IF(T323="","",SUMIFS(Analytics!$L$5:$L$154,Analytics!$D$5:$D$154,T323,Analytics!$B$5:$B$154,"&gt;="&amp;DashStart,Analytics!$B$5:$B$154,"&lt;="&amp;DashEnd))</f>
        <v>0</v>
      </c>
      <c r="Y323" s="24">
        <f>IF(OR(W323="",W323=0),"",X323/W323)</f>
        <v>0</v>
      </c>
      <c r="Z323" s="23">
        <f>IF(T323="","",SUMIFS(Analytics!$G$5:$G$154,Analytics!$D$5:$D$154,T323,Analytics!$B$5:$B$154,"&gt;="&amp;DashStart,Analytics!$B$5:$B$154,"&lt;="&amp;DashEnd))</f>
        <v>0</v>
      </c>
      <c r="AA323" s="23">
        <f>IF(T323="","",SUMIFS(Analytics!$X$5:$X$154,Analytics!$D$5:$D$154,T323,Analytics!$B$5:$B$154,"&gt;="&amp;DashStart,Analytics!$B$5:$B$154,"&lt;="&amp;DashEnd))</f>
        <v>0</v>
      </c>
      <c r="AB323" s="23">
        <f>IF(T323="","",SUMIFS(Analytics!$R$5:$R$154,Analytics!$D$5:$D$154,T323,Analytics!$B$5:$B$154,"&gt;="&amp;DashStart,Analytics!$B$5:$B$154,"&lt;="&amp;DashEnd))</f>
        <v>0</v>
      </c>
      <c r="AC323" s="25">
        <f>IF(T323="","",SUMIFS(Analytics!$U$5:$U$154,Analytics!$D$5:$D$154,T323,Analytics!$B$5:$B$154,"&gt;="&amp;DashStart,Analytics!$B$5:$B$154,"&lt;="&amp;DashEnd))</f>
        <v>0</v>
      </c>
      <c r="AD323" s="23">
        <f>IF(T323="","",COUNTIFS('Content Calendar'!$G$5:$G$604,T323,'Content Calendar'!$B$5:$B$604,"&gt;="&amp;DATE(PlanYear,1,1),'Content Calendar'!$B$5:$B$604,"&lt;="&amp;DATE(PlanYear,12,31)))</f>
        <v>0</v>
      </c>
      <c r="AE323" s="23">
        <f>IF(T323="","",SUMIFS(Analytics!$J$5:$J$154,Analytics!$D$5:$D$154,T323))</f>
        <v>0</v>
      </c>
      <c r="AF323" s="23">
        <f>IF(T323="","",SUMIFS(Analytics!$L$5:$L$154,Analytics!$D$5:$D$154,T323))</f>
        <v>0</v>
      </c>
      <c r="AG323" s="24">
        <f>IF(OR(AE323="",AE323=0),"",AF323/AE323)</f>
        <v>0</v>
      </c>
      <c r="AH323" s="23">
        <f>IF(T323="","",SUMIFS(Analytics!$X$5:$X$154,Analytics!$D$5:$D$154,T323))</f>
        <v>0</v>
      </c>
      <c r="AI323" s="32">
        <f>IF(T323="","",IF(AE323=0,"",AE323+ROW()/1000000))</f>
        <v>0</v>
      </c>
      <c r="AJ323" s="17">
        <f>IF('Content Pillars'!$B$323="","",'Content Pillars'!$B$323)</f>
        <v>0</v>
      </c>
      <c r="AK323" s="23">
        <f>IF(AJ323="","",COUNTIFS('Content Calendar'!$J$5:$J$604,AJ323,'Content Calendar'!$B$5:$B$604,"&gt;="&amp;DATE(PlanYear,1,1),'Content Calendar'!$B$5:$B$604,"&lt;="&amp;DATE(PlanYear,12,31)))</f>
        <v>0</v>
      </c>
      <c r="AL323" s="23">
        <f>IF(AJ323="","",SUMIFS(Performance!$O$5:$O$404,Performance!$H$5:$H$404,AJ323))</f>
        <v>0</v>
      </c>
      <c r="AM323" s="23">
        <f>IF(AJ323="","",SUMIFS(Performance!$Z$5:$Z$404,Performance!$H$5:$H$404,AJ323))</f>
        <v>0</v>
      </c>
      <c r="AN323" s="24">
        <f>IF(OR(AL323="",AL323=0),"",AM323/AL323)</f>
        <v>0</v>
      </c>
      <c r="AO323" s="32">
        <f>IF(AN323="","",AN323+ROW()/1000000)</f>
        <v>0</v>
      </c>
      <c r="AP323" s="17">
        <f>IF(Lists!$E323="","",Lists!$E323)</f>
        <v>0</v>
      </c>
      <c r="AQ323" s="23">
        <f>IF(AP323="","",COUNTIF(Performance!$G$5:$G$404,AP323))</f>
        <v>0</v>
      </c>
      <c r="AR323" s="23">
        <f>IF(AP323="","",SUMIFS(Performance!$O$5:$O$404,Performance!$G$5:$G$404,AP323))</f>
        <v>0</v>
      </c>
      <c r="AS323" s="23">
        <f>IF(AP323="","",SUMIFS(Performance!$Z$5:$Z$404,Performance!$G$5:$G$404,AP323))</f>
        <v>0</v>
      </c>
      <c r="AT323" s="24">
        <f>IF(OR(AR323="",AR323=0),"",AS323/AR323)</f>
        <v>0</v>
      </c>
      <c r="AU323" s="32">
        <f>IF(AQ323=0,"",IF(AT323="","",AT323+ROW()/1000000))</f>
        <v>0</v>
      </c>
      <c r="AV323" s="17">
        <f>IF(ROW()-4&gt;7,"",TEXT(DATE(2024,1,ROW()-4),"ddd"))</f>
        <v>0</v>
      </c>
      <c r="AW323" s="23">
        <f>IF(AV323="","",COUNTIF(Performance!$N$5:$N$404,AV323))</f>
        <v>0</v>
      </c>
      <c r="AX323" s="23">
        <f>IF(AV323="","",SUMIFS(Performance!$O$5:$O$404,Performance!$N$5:$N$404,AV323))</f>
        <v>0</v>
      </c>
      <c r="AY323" s="23">
        <f>IF(AV323="","",SUMIFS(Performance!$Z$5:$Z$404,Performance!$N$5:$N$404,AV323))</f>
        <v>0</v>
      </c>
      <c r="AZ323" s="24">
        <f>IF(OR(AX323="",AX323=0),"",AY323/AX323)</f>
        <v>0</v>
      </c>
      <c r="BA323" s="32">
        <f>IF(AW323=0,"",IF(AZ323="","",AZ323+ROW()/1000000))</f>
        <v>0</v>
      </c>
      <c r="BB323" s="17">
        <f>IF(Lists!$AL323="","",Lists!$AL323)</f>
        <v>0</v>
      </c>
      <c r="BC323" s="23">
        <f>IF(BB323="","",COUNTIF(Performance!$M$5:$M$404,BB323))</f>
        <v>0</v>
      </c>
      <c r="BD323" s="23">
        <f>IF(BB323="","",SUMIFS(Performance!$O$5:$O$404,Performance!$M$5:$M$404,BB323))</f>
        <v>0</v>
      </c>
      <c r="BE323" s="23">
        <f>IF(BB323="","",SUMIFS(Performance!$Z$5:$Z$404,Performance!$M$5:$M$404,BB323))</f>
        <v>0</v>
      </c>
      <c r="BF323" s="24">
        <f>IF(OR(BD323="",BD323=0),"",BE323/BD323)</f>
        <v>0</v>
      </c>
      <c r="BG323" s="32">
        <f>IF(BC323=0,"",IF(BF323="","",BF323+ROW()/1000000))</f>
        <v>0</v>
      </c>
      <c r="BH323" s="17">
        <f>IF(Performance!$C$323="","",Performance!$C$323)</f>
        <v>0</v>
      </c>
      <c r="BI323" s="17">
        <f>IF(Performance!$F$323="","",Performance!$F$323)</f>
        <v>0</v>
      </c>
      <c r="BJ323" s="17">
        <f>IF(Performance!$H$323="","",Performance!$H$323)</f>
        <v>0</v>
      </c>
      <c r="BK323" s="16">
        <f>IF(Performance!$D$323="","",Performance!$D$323)</f>
        <v>0</v>
      </c>
      <c r="BL323" s="17">
        <f>IF(Performance!$E$323="","",Performance!$E$323)</f>
        <v>0</v>
      </c>
      <c r="BM323" s="23">
        <f>IF(Performance!$O$323="","",Performance!$O$323)</f>
        <v>0</v>
      </c>
      <c r="BN323" s="24">
        <f>IF(Performance!$AA$323="","",Performance!$AA$323)</f>
        <v>0</v>
      </c>
      <c r="BO323" s="32">
        <f>IF(BH323="","",IF(BK323="","",IF(OR(BK323&lt;DashStart,BK323&gt;DashEnd),"",IF(BN323="","",BN323+ROW()/1000000))))</f>
        <v>0</v>
      </c>
      <c r="BP323" s="32">
        <f>IF(BM323="","",IF(BK323="","",IF(OR(BK323&lt;DashStart,BK323&gt;DashEnd),"",BM323+ROW()/1000000)))</f>
        <v>0</v>
      </c>
      <c r="BQ323" s="32">
        <f>IF(BH323="","",IF(BK323="","",IF(YEAR(BK323)&lt;&gt;PlanYear,"",IF(BN323="","",BN323+ROW()/1000000))))</f>
        <v>0</v>
      </c>
      <c r="BR323" s="32">
        <f>IF(BH323="","",IF(BK323="","",IF(OR(BK323&lt;RepFrom,BK323&gt;RepTo),"",IF(BN323="","",BN323+ROW()/1000000))))</f>
        <v>0</v>
      </c>
      <c r="BS323" s="32">
        <f>IF(BM323="","",IF(BK323="","",IF(YEAR(BK323)&lt;&gt;PlanYear,"",BM323+ROW()/1000000)))</f>
        <v>0</v>
      </c>
      <c r="BT323" s="17">
        <f>IF(Lists!$F323="","",Lists!$F323)</f>
        <v>0</v>
      </c>
      <c r="BU323" s="23">
        <f>IF(BT323="","",COUNTIF('Content Calendar'!$X$5:$X$604,BT323))</f>
        <v>0</v>
      </c>
      <c r="BV323" s="23">
        <f>IF(BT323="","",COUNTIFS('Content Calendar'!$X$5:$X$604,BT323,'Content Calendar'!$B$5:$B$604,"&gt;="&amp;DashStart,'Content Calendar'!$B$5:$B$604,"&lt;="&amp;DashEnd))</f>
        <v>0</v>
      </c>
      <c r="BW323" s="17">
        <f>IF(Team!$B$323="","",Team!$B$323)</f>
        <v>0</v>
      </c>
      <c r="BX323" s="23">
        <f>IF(BW323="","",COUNTIF('Content Calendar'!$W$5:$W$604,BW323))</f>
        <v>0</v>
      </c>
      <c r="BY323" s="23">
        <f>IF(BW323="","",COUNTIFS('Content Calendar'!$W$5:$W$604,BW323,'Content Calendar'!$X$5:$X$604,"&lt;&gt;Published"))</f>
        <v>0</v>
      </c>
      <c r="BZ323" s="23">
        <f>IF(BW323="","",COUNTIFS(Tasks!$C$5:$C$64,BW323,Tasks!$G$5:$G$64,"&lt;&gt;Complete"))</f>
        <v>0</v>
      </c>
      <c r="CA323" s="17">
        <f>IF(Campaigns!$B$323="","",Campaigns!$B$323)</f>
        <v>0</v>
      </c>
      <c r="CB323" s="25">
        <f>IF(Campaigns!$T$323="","",Campaigns!$T$323)</f>
        <v>0</v>
      </c>
      <c r="CC323" s="25">
        <f>IF(Campaigns!$Q$323="","",Campaigns!$Q$323)</f>
        <v>0</v>
      </c>
      <c r="CD323" s="23">
        <f>IF(Campaigns!$Y$323="","",Campaigns!$Y$323)</f>
        <v>0</v>
      </c>
      <c r="CE323" s="32">
        <f>IF(CA323="","",IF(N(CB323)&lt;=0,"",N(CB323)+ROW()/1000000))</f>
        <v>0</v>
      </c>
      <c r="CF323" s="17">
        <f>IF(Accounts!$C$323="","",Accounts!$C$323)</f>
        <v>0</v>
      </c>
      <c r="CG323" s="17">
        <f>IF(Accounts!$B$323="","",Accounts!$B$323)</f>
        <v>0</v>
      </c>
      <c r="CH323" s="23">
        <f>IF(Accounts!$J$323="","",Accounts!$J$323)</f>
        <v>0</v>
      </c>
      <c r="CI323" s="23">
        <f>IF(CF323="","",SUMIFS(Analytics!$X$5:$X$154,Analytics!$E$5:$E$154,CF323,Analytics!$B$5:$B$154,"&gt;="&amp;DashStart,Analytics!$B$5:$B$154,"&lt;="&amp;DashEnd))</f>
        <v>0</v>
      </c>
      <c r="CJ323" s="32">
        <f>IF(CH323="","",IF(CH323=0,"",CH323+ROW()/1000000))</f>
        <v>0</v>
      </c>
    </row>
    <row r="324" spans="1:88">
      <c r="A324" s="16">
        <f>IF(ROW()-4&gt;12,"",DATE(PlanYear,ROW()-4,1))</f>
        <v>0</v>
      </c>
      <c r="B324" s="16">
        <f>IF(A324="","",EOMONTH(A324,0))</f>
        <v>0</v>
      </c>
      <c r="C324" s="17">
        <f>IF(A324="","",TEXT(A324,"yyyy-mm"))</f>
        <v>0</v>
      </c>
      <c r="D324" s="17">
        <f>IF(A324="","",TEXT(A324,"mmm"))</f>
        <v>0</v>
      </c>
      <c r="E324" s="23">
        <f>IF(C324="","",COUNTIFS('Content Calendar'!$D$5:$D$604,C324))</f>
        <v>0</v>
      </c>
      <c r="F324" s="23">
        <f>IF(C324="","",COUNTIFS('Content Calendar'!$D$5:$D$604,C324,'Content Calendar'!$X$5:$X$604,"Published"))</f>
        <v>0</v>
      </c>
      <c r="G324" s="23">
        <f>IF(C324="","",SUMIFS(Analytics!$J$5:$J$154,Analytics!$C$5:$C$154,C324))</f>
        <v>0</v>
      </c>
      <c r="H324" s="23">
        <f>IF(C324="","",SUMIFS(Analytics!$K$5:$K$154,Analytics!$C$5:$C$154,C324))</f>
        <v>0</v>
      </c>
      <c r="I324" s="23">
        <f>IF(C324="","",SUMIFS(Analytics!$L$5:$L$154,Analytics!$C$5:$C$154,C324))</f>
        <v>0</v>
      </c>
      <c r="J324" s="24">
        <f>IF(OR(G324="",G324=0),"",I324/G324)</f>
        <v>0</v>
      </c>
      <c r="K324" s="23">
        <f>IF(C324="","",SUMIFS(Analytics!$G$5:$G$154,Analytics!$C$5:$C$154,C324))</f>
        <v>0</v>
      </c>
      <c r="L324" s="23">
        <f>IF(C324="","",SUMIFS(Analytics!$X$5:$X$154,Analytics!$C$5:$C$154,C324))</f>
        <v>0</v>
      </c>
      <c r="M324" s="23">
        <f>IF(C324="","",SUMIFS(Analytics!$R$5:$R$154,Analytics!$C$5:$C$154,C324))</f>
        <v>0</v>
      </c>
      <c r="N324" s="23">
        <f>IF(C324="","",SUMIFS(Analytics!$S$5:$S$154,Analytics!$C$5:$C$154,C324))</f>
        <v>0</v>
      </c>
      <c r="O324" s="23">
        <f>IF(C324="","",SUMIFS(Analytics!$T$5:$T$154,Analytics!$C$5:$C$154,C324))</f>
        <v>0</v>
      </c>
      <c r="P324" s="25">
        <f>IF(C324="","",SUMIFS(Analytics!$U$5:$U$154,Analytics!$C$5:$C$154,C324))</f>
        <v>0</v>
      </c>
      <c r="Q324" s="25">
        <f>IF(C324="","",SUMIFS(Budget!$H$5:$H$64,Budget!$C$5:$C$64,C324))</f>
        <v>0</v>
      </c>
      <c r="R324" s="25">
        <f>IF(C324="","",P324-Q324)</f>
        <v>0</v>
      </c>
      <c r="S324" s="23">
        <f>IF(C324="","",MonthlyPostTarget)</f>
        <v>0</v>
      </c>
      <c r="T324" s="17">
        <f>IF(Lists!$C324="","",Lists!$C324)</f>
        <v>0</v>
      </c>
      <c r="U324" s="23">
        <f>IF(T324="","",COUNTIFS('Content Calendar'!$G$5:$G$604,T324,'Content Calendar'!$B$5:$B$604,"&gt;="&amp;DashStart,'Content Calendar'!$B$5:$B$604,"&lt;="&amp;DashEnd))</f>
        <v>0</v>
      </c>
      <c r="V324" s="23">
        <f>IF(T324="","",COUNTIFS('Content Calendar'!$G$5:$G$604,T324,'Content Calendar'!$X$5:$X$604,"Published",'Content Calendar'!$B$5:$B$604,"&gt;="&amp;DashStart,'Content Calendar'!$B$5:$B$604,"&lt;="&amp;DashEnd))</f>
        <v>0</v>
      </c>
      <c r="W324" s="23">
        <f>IF(T324="","",SUMIFS(Analytics!$J$5:$J$154,Analytics!$D$5:$D$154,T324,Analytics!$B$5:$B$154,"&gt;="&amp;DashStart,Analytics!$B$5:$B$154,"&lt;="&amp;DashEnd))</f>
        <v>0</v>
      </c>
      <c r="X324" s="23">
        <f>IF(T324="","",SUMIFS(Analytics!$L$5:$L$154,Analytics!$D$5:$D$154,T324,Analytics!$B$5:$B$154,"&gt;="&amp;DashStart,Analytics!$B$5:$B$154,"&lt;="&amp;DashEnd))</f>
        <v>0</v>
      </c>
      <c r="Y324" s="24">
        <f>IF(OR(W324="",W324=0),"",X324/W324)</f>
        <v>0</v>
      </c>
      <c r="Z324" s="23">
        <f>IF(T324="","",SUMIFS(Analytics!$G$5:$G$154,Analytics!$D$5:$D$154,T324,Analytics!$B$5:$B$154,"&gt;="&amp;DashStart,Analytics!$B$5:$B$154,"&lt;="&amp;DashEnd))</f>
        <v>0</v>
      </c>
      <c r="AA324" s="23">
        <f>IF(T324="","",SUMIFS(Analytics!$X$5:$X$154,Analytics!$D$5:$D$154,T324,Analytics!$B$5:$B$154,"&gt;="&amp;DashStart,Analytics!$B$5:$B$154,"&lt;="&amp;DashEnd))</f>
        <v>0</v>
      </c>
      <c r="AB324" s="23">
        <f>IF(T324="","",SUMIFS(Analytics!$R$5:$R$154,Analytics!$D$5:$D$154,T324,Analytics!$B$5:$B$154,"&gt;="&amp;DashStart,Analytics!$B$5:$B$154,"&lt;="&amp;DashEnd))</f>
        <v>0</v>
      </c>
      <c r="AC324" s="25">
        <f>IF(T324="","",SUMIFS(Analytics!$U$5:$U$154,Analytics!$D$5:$D$154,T324,Analytics!$B$5:$B$154,"&gt;="&amp;DashStart,Analytics!$B$5:$B$154,"&lt;="&amp;DashEnd))</f>
        <v>0</v>
      </c>
      <c r="AD324" s="23">
        <f>IF(T324="","",COUNTIFS('Content Calendar'!$G$5:$G$604,T324,'Content Calendar'!$B$5:$B$604,"&gt;="&amp;DATE(PlanYear,1,1),'Content Calendar'!$B$5:$B$604,"&lt;="&amp;DATE(PlanYear,12,31)))</f>
        <v>0</v>
      </c>
      <c r="AE324" s="23">
        <f>IF(T324="","",SUMIFS(Analytics!$J$5:$J$154,Analytics!$D$5:$D$154,T324))</f>
        <v>0</v>
      </c>
      <c r="AF324" s="23">
        <f>IF(T324="","",SUMIFS(Analytics!$L$5:$L$154,Analytics!$D$5:$D$154,T324))</f>
        <v>0</v>
      </c>
      <c r="AG324" s="24">
        <f>IF(OR(AE324="",AE324=0),"",AF324/AE324)</f>
        <v>0</v>
      </c>
      <c r="AH324" s="23">
        <f>IF(T324="","",SUMIFS(Analytics!$X$5:$X$154,Analytics!$D$5:$D$154,T324))</f>
        <v>0</v>
      </c>
      <c r="AI324" s="32">
        <f>IF(T324="","",IF(AE324=0,"",AE324+ROW()/1000000))</f>
        <v>0</v>
      </c>
      <c r="AJ324" s="17">
        <f>IF('Content Pillars'!$B$324="","",'Content Pillars'!$B$324)</f>
        <v>0</v>
      </c>
      <c r="AK324" s="23">
        <f>IF(AJ324="","",COUNTIFS('Content Calendar'!$J$5:$J$604,AJ324,'Content Calendar'!$B$5:$B$604,"&gt;="&amp;DATE(PlanYear,1,1),'Content Calendar'!$B$5:$B$604,"&lt;="&amp;DATE(PlanYear,12,31)))</f>
        <v>0</v>
      </c>
      <c r="AL324" s="23">
        <f>IF(AJ324="","",SUMIFS(Performance!$O$5:$O$404,Performance!$H$5:$H$404,AJ324))</f>
        <v>0</v>
      </c>
      <c r="AM324" s="23">
        <f>IF(AJ324="","",SUMIFS(Performance!$Z$5:$Z$404,Performance!$H$5:$H$404,AJ324))</f>
        <v>0</v>
      </c>
      <c r="AN324" s="24">
        <f>IF(OR(AL324="",AL324=0),"",AM324/AL324)</f>
        <v>0</v>
      </c>
      <c r="AO324" s="32">
        <f>IF(AN324="","",AN324+ROW()/1000000)</f>
        <v>0</v>
      </c>
      <c r="AP324" s="17">
        <f>IF(Lists!$E324="","",Lists!$E324)</f>
        <v>0</v>
      </c>
      <c r="AQ324" s="23">
        <f>IF(AP324="","",COUNTIF(Performance!$G$5:$G$404,AP324))</f>
        <v>0</v>
      </c>
      <c r="AR324" s="23">
        <f>IF(AP324="","",SUMIFS(Performance!$O$5:$O$404,Performance!$G$5:$G$404,AP324))</f>
        <v>0</v>
      </c>
      <c r="AS324" s="23">
        <f>IF(AP324="","",SUMIFS(Performance!$Z$5:$Z$404,Performance!$G$5:$G$404,AP324))</f>
        <v>0</v>
      </c>
      <c r="AT324" s="24">
        <f>IF(OR(AR324="",AR324=0),"",AS324/AR324)</f>
        <v>0</v>
      </c>
      <c r="AU324" s="32">
        <f>IF(AQ324=0,"",IF(AT324="","",AT324+ROW()/1000000))</f>
        <v>0</v>
      </c>
      <c r="AV324" s="17">
        <f>IF(ROW()-4&gt;7,"",TEXT(DATE(2024,1,ROW()-4),"ddd"))</f>
        <v>0</v>
      </c>
      <c r="AW324" s="23">
        <f>IF(AV324="","",COUNTIF(Performance!$N$5:$N$404,AV324))</f>
        <v>0</v>
      </c>
      <c r="AX324" s="23">
        <f>IF(AV324="","",SUMIFS(Performance!$O$5:$O$404,Performance!$N$5:$N$404,AV324))</f>
        <v>0</v>
      </c>
      <c r="AY324" s="23">
        <f>IF(AV324="","",SUMIFS(Performance!$Z$5:$Z$404,Performance!$N$5:$N$404,AV324))</f>
        <v>0</v>
      </c>
      <c r="AZ324" s="24">
        <f>IF(OR(AX324="",AX324=0),"",AY324/AX324)</f>
        <v>0</v>
      </c>
      <c r="BA324" s="32">
        <f>IF(AW324=0,"",IF(AZ324="","",AZ324+ROW()/1000000))</f>
        <v>0</v>
      </c>
      <c r="BB324" s="17">
        <f>IF(Lists!$AL324="","",Lists!$AL324)</f>
        <v>0</v>
      </c>
      <c r="BC324" s="23">
        <f>IF(BB324="","",COUNTIF(Performance!$M$5:$M$404,BB324))</f>
        <v>0</v>
      </c>
      <c r="BD324" s="23">
        <f>IF(BB324="","",SUMIFS(Performance!$O$5:$O$404,Performance!$M$5:$M$404,BB324))</f>
        <v>0</v>
      </c>
      <c r="BE324" s="23">
        <f>IF(BB324="","",SUMIFS(Performance!$Z$5:$Z$404,Performance!$M$5:$M$404,BB324))</f>
        <v>0</v>
      </c>
      <c r="BF324" s="24">
        <f>IF(OR(BD324="",BD324=0),"",BE324/BD324)</f>
        <v>0</v>
      </c>
      <c r="BG324" s="32">
        <f>IF(BC324=0,"",IF(BF324="","",BF324+ROW()/1000000))</f>
        <v>0</v>
      </c>
      <c r="BH324" s="17">
        <f>IF(Performance!$C$324="","",Performance!$C$324)</f>
        <v>0</v>
      </c>
      <c r="BI324" s="17">
        <f>IF(Performance!$F$324="","",Performance!$F$324)</f>
        <v>0</v>
      </c>
      <c r="BJ324" s="17">
        <f>IF(Performance!$H$324="","",Performance!$H$324)</f>
        <v>0</v>
      </c>
      <c r="BK324" s="16">
        <f>IF(Performance!$D$324="","",Performance!$D$324)</f>
        <v>0</v>
      </c>
      <c r="BL324" s="17">
        <f>IF(Performance!$E$324="","",Performance!$E$324)</f>
        <v>0</v>
      </c>
      <c r="BM324" s="23">
        <f>IF(Performance!$O$324="","",Performance!$O$324)</f>
        <v>0</v>
      </c>
      <c r="BN324" s="24">
        <f>IF(Performance!$AA$324="","",Performance!$AA$324)</f>
        <v>0</v>
      </c>
      <c r="BO324" s="32">
        <f>IF(BH324="","",IF(BK324="","",IF(OR(BK324&lt;DashStart,BK324&gt;DashEnd),"",IF(BN324="","",BN324+ROW()/1000000))))</f>
        <v>0</v>
      </c>
      <c r="BP324" s="32">
        <f>IF(BM324="","",IF(BK324="","",IF(OR(BK324&lt;DashStart,BK324&gt;DashEnd),"",BM324+ROW()/1000000)))</f>
        <v>0</v>
      </c>
      <c r="BQ324" s="32">
        <f>IF(BH324="","",IF(BK324="","",IF(YEAR(BK324)&lt;&gt;PlanYear,"",IF(BN324="","",BN324+ROW()/1000000))))</f>
        <v>0</v>
      </c>
      <c r="BR324" s="32">
        <f>IF(BH324="","",IF(BK324="","",IF(OR(BK324&lt;RepFrom,BK324&gt;RepTo),"",IF(BN324="","",BN324+ROW()/1000000))))</f>
        <v>0</v>
      </c>
      <c r="BS324" s="32">
        <f>IF(BM324="","",IF(BK324="","",IF(YEAR(BK324)&lt;&gt;PlanYear,"",BM324+ROW()/1000000)))</f>
        <v>0</v>
      </c>
      <c r="BT324" s="17">
        <f>IF(Lists!$F324="","",Lists!$F324)</f>
        <v>0</v>
      </c>
      <c r="BU324" s="23">
        <f>IF(BT324="","",COUNTIF('Content Calendar'!$X$5:$X$604,BT324))</f>
        <v>0</v>
      </c>
      <c r="BV324" s="23">
        <f>IF(BT324="","",COUNTIFS('Content Calendar'!$X$5:$X$604,BT324,'Content Calendar'!$B$5:$B$604,"&gt;="&amp;DashStart,'Content Calendar'!$B$5:$B$604,"&lt;="&amp;DashEnd))</f>
        <v>0</v>
      </c>
      <c r="BW324" s="17">
        <f>IF(Team!$B$324="","",Team!$B$324)</f>
        <v>0</v>
      </c>
      <c r="BX324" s="23">
        <f>IF(BW324="","",COUNTIF('Content Calendar'!$W$5:$W$604,BW324))</f>
        <v>0</v>
      </c>
      <c r="BY324" s="23">
        <f>IF(BW324="","",COUNTIFS('Content Calendar'!$W$5:$W$604,BW324,'Content Calendar'!$X$5:$X$604,"&lt;&gt;Published"))</f>
        <v>0</v>
      </c>
      <c r="BZ324" s="23">
        <f>IF(BW324="","",COUNTIFS(Tasks!$C$5:$C$64,BW324,Tasks!$G$5:$G$64,"&lt;&gt;Complete"))</f>
        <v>0</v>
      </c>
      <c r="CA324" s="17">
        <f>IF(Campaigns!$B$324="","",Campaigns!$B$324)</f>
        <v>0</v>
      </c>
      <c r="CB324" s="25">
        <f>IF(Campaigns!$T$324="","",Campaigns!$T$324)</f>
        <v>0</v>
      </c>
      <c r="CC324" s="25">
        <f>IF(Campaigns!$Q$324="","",Campaigns!$Q$324)</f>
        <v>0</v>
      </c>
      <c r="CD324" s="23">
        <f>IF(Campaigns!$Y$324="","",Campaigns!$Y$324)</f>
        <v>0</v>
      </c>
      <c r="CE324" s="32">
        <f>IF(CA324="","",IF(N(CB324)&lt;=0,"",N(CB324)+ROW()/1000000))</f>
        <v>0</v>
      </c>
      <c r="CF324" s="17">
        <f>IF(Accounts!$C$324="","",Accounts!$C$324)</f>
        <v>0</v>
      </c>
      <c r="CG324" s="17">
        <f>IF(Accounts!$B$324="","",Accounts!$B$324)</f>
        <v>0</v>
      </c>
      <c r="CH324" s="23">
        <f>IF(Accounts!$J$324="","",Accounts!$J$324)</f>
        <v>0</v>
      </c>
      <c r="CI324" s="23">
        <f>IF(CF324="","",SUMIFS(Analytics!$X$5:$X$154,Analytics!$E$5:$E$154,CF324,Analytics!$B$5:$B$154,"&gt;="&amp;DashStart,Analytics!$B$5:$B$154,"&lt;="&amp;DashEnd))</f>
        <v>0</v>
      </c>
      <c r="CJ324" s="32">
        <f>IF(CH324="","",IF(CH324=0,"",CH324+ROW()/1000000))</f>
        <v>0</v>
      </c>
    </row>
    <row r="325" spans="1:88">
      <c r="A325" s="16">
        <f>IF(ROW()-4&gt;12,"",DATE(PlanYear,ROW()-4,1))</f>
        <v>0</v>
      </c>
      <c r="B325" s="16">
        <f>IF(A325="","",EOMONTH(A325,0))</f>
        <v>0</v>
      </c>
      <c r="C325" s="17">
        <f>IF(A325="","",TEXT(A325,"yyyy-mm"))</f>
        <v>0</v>
      </c>
      <c r="D325" s="17">
        <f>IF(A325="","",TEXT(A325,"mmm"))</f>
        <v>0</v>
      </c>
      <c r="E325" s="23">
        <f>IF(C325="","",COUNTIFS('Content Calendar'!$D$5:$D$604,C325))</f>
        <v>0</v>
      </c>
      <c r="F325" s="23">
        <f>IF(C325="","",COUNTIFS('Content Calendar'!$D$5:$D$604,C325,'Content Calendar'!$X$5:$X$604,"Published"))</f>
        <v>0</v>
      </c>
      <c r="G325" s="23">
        <f>IF(C325="","",SUMIFS(Analytics!$J$5:$J$154,Analytics!$C$5:$C$154,C325))</f>
        <v>0</v>
      </c>
      <c r="H325" s="23">
        <f>IF(C325="","",SUMIFS(Analytics!$K$5:$K$154,Analytics!$C$5:$C$154,C325))</f>
        <v>0</v>
      </c>
      <c r="I325" s="23">
        <f>IF(C325="","",SUMIFS(Analytics!$L$5:$L$154,Analytics!$C$5:$C$154,C325))</f>
        <v>0</v>
      </c>
      <c r="J325" s="24">
        <f>IF(OR(G325="",G325=0),"",I325/G325)</f>
        <v>0</v>
      </c>
      <c r="K325" s="23">
        <f>IF(C325="","",SUMIFS(Analytics!$G$5:$G$154,Analytics!$C$5:$C$154,C325))</f>
        <v>0</v>
      </c>
      <c r="L325" s="23">
        <f>IF(C325="","",SUMIFS(Analytics!$X$5:$X$154,Analytics!$C$5:$C$154,C325))</f>
        <v>0</v>
      </c>
      <c r="M325" s="23">
        <f>IF(C325="","",SUMIFS(Analytics!$R$5:$R$154,Analytics!$C$5:$C$154,C325))</f>
        <v>0</v>
      </c>
      <c r="N325" s="23">
        <f>IF(C325="","",SUMIFS(Analytics!$S$5:$S$154,Analytics!$C$5:$C$154,C325))</f>
        <v>0</v>
      </c>
      <c r="O325" s="23">
        <f>IF(C325="","",SUMIFS(Analytics!$T$5:$T$154,Analytics!$C$5:$C$154,C325))</f>
        <v>0</v>
      </c>
      <c r="P325" s="25">
        <f>IF(C325="","",SUMIFS(Analytics!$U$5:$U$154,Analytics!$C$5:$C$154,C325))</f>
        <v>0</v>
      </c>
      <c r="Q325" s="25">
        <f>IF(C325="","",SUMIFS(Budget!$H$5:$H$64,Budget!$C$5:$C$64,C325))</f>
        <v>0</v>
      </c>
      <c r="R325" s="25">
        <f>IF(C325="","",P325-Q325)</f>
        <v>0</v>
      </c>
      <c r="S325" s="23">
        <f>IF(C325="","",MonthlyPostTarget)</f>
        <v>0</v>
      </c>
      <c r="T325" s="17">
        <f>IF(Lists!$C325="","",Lists!$C325)</f>
        <v>0</v>
      </c>
      <c r="U325" s="23">
        <f>IF(T325="","",COUNTIFS('Content Calendar'!$G$5:$G$604,T325,'Content Calendar'!$B$5:$B$604,"&gt;="&amp;DashStart,'Content Calendar'!$B$5:$B$604,"&lt;="&amp;DashEnd))</f>
        <v>0</v>
      </c>
      <c r="V325" s="23">
        <f>IF(T325="","",COUNTIFS('Content Calendar'!$G$5:$G$604,T325,'Content Calendar'!$X$5:$X$604,"Published",'Content Calendar'!$B$5:$B$604,"&gt;="&amp;DashStart,'Content Calendar'!$B$5:$B$604,"&lt;="&amp;DashEnd))</f>
        <v>0</v>
      </c>
      <c r="W325" s="23">
        <f>IF(T325="","",SUMIFS(Analytics!$J$5:$J$154,Analytics!$D$5:$D$154,T325,Analytics!$B$5:$B$154,"&gt;="&amp;DashStart,Analytics!$B$5:$B$154,"&lt;="&amp;DashEnd))</f>
        <v>0</v>
      </c>
      <c r="X325" s="23">
        <f>IF(T325="","",SUMIFS(Analytics!$L$5:$L$154,Analytics!$D$5:$D$154,T325,Analytics!$B$5:$B$154,"&gt;="&amp;DashStart,Analytics!$B$5:$B$154,"&lt;="&amp;DashEnd))</f>
        <v>0</v>
      </c>
      <c r="Y325" s="24">
        <f>IF(OR(W325="",W325=0),"",X325/W325)</f>
        <v>0</v>
      </c>
      <c r="Z325" s="23">
        <f>IF(T325="","",SUMIFS(Analytics!$G$5:$G$154,Analytics!$D$5:$D$154,T325,Analytics!$B$5:$B$154,"&gt;="&amp;DashStart,Analytics!$B$5:$B$154,"&lt;="&amp;DashEnd))</f>
        <v>0</v>
      </c>
      <c r="AA325" s="23">
        <f>IF(T325="","",SUMIFS(Analytics!$X$5:$X$154,Analytics!$D$5:$D$154,T325,Analytics!$B$5:$B$154,"&gt;="&amp;DashStart,Analytics!$B$5:$B$154,"&lt;="&amp;DashEnd))</f>
        <v>0</v>
      </c>
      <c r="AB325" s="23">
        <f>IF(T325="","",SUMIFS(Analytics!$R$5:$R$154,Analytics!$D$5:$D$154,T325,Analytics!$B$5:$B$154,"&gt;="&amp;DashStart,Analytics!$B$5:$B$154,"&lt;="&amp;DashEnd))</f>
        <v>0</v>
      </c>
      <c r="AC325" s="25">
        <f>IF(T325="","",SUMIFS(Analytics!$U$5:$U$154,Analytics!$D$5:$D$154,T325,Analytics!$B$5:$B$154,"&gt;="&amp;DashStart,Analytics!$B$5:$B$154,"&lt;="&amp;DashEnd))</f>
        <v>0</v>
      </c>
      <c r="AD325" s="23">
        <f>IF(T325="","",COUNTIFS('Content Calendar'!$G$5:$G$604,T325,'Content Calendar'!$B$5:$B$604,"&gt;="&amp;DATE(PlanYear,1,1),'Content Calendar'!$B$5:$B$604,"&lt;="&amp;DATE(PlanYear,12,31)))</f>
        <v>0</v>
      </c>
      <c r="AE325" s="23">
        <f>IF(T325="","",SUMIFS(Analytics!$J$5:$J$154,Analytics!$D$5:$D$154,T325))</f>
        <v>0</v>
      </c>
      <c r="AF325" s="23">
        <f>IF(T325="","",SUMIFS(Analytics!$L$5:$L$154,Analytics!$D$5:$D$154,T325))</f>
        <v>0</v>
      </c>
      <c r="AG325" s="24">
        <f>IF(OR(AE325="",AE325=0),"",AF325/AE325)</f>
        <v>0</v>
      </c>
      <c r="AH325" s="23">
        <f>IF(T325="","",SUMIFS(Analytics!$X$5:$X$154,Analytics!$D$5:$D$154,T325))</f>
        <v>0</v>
      </c>
      <c r="AI325" s="32">
        <f>IF(T325="","",IF(AE325=0,"",AE325+ROW()/1000000))</f>
        <v>0</v>
      </c>
      <c r="AJ325" s="17">
        <f>IF('Content Pillars'!$B$325="","",'Content Pillars'!$B$325)</f>
        <v>0</v>
      </c>
      <c r="AK325" s="23">
        <f>IF(AJ325="","",COUNTIFS('Content Calendar'!$J$5:$J$604,AJ325,'Content Calendar'!$B$5:$B$604,"&gt;="&amp;DATE(PlanYear,1,1),'Content Calendar'!$B$5:$B$604,"&lt;="&amp;DATE(PlanYear,12,31)))</f>
        <v>0</v>
      </c>
      <c r="AL325" s="23">
        <f>IF(AJ325="","",SUMIFS(Performance!$O$5:$O$404,Performance!$H$5:$H$404,AJ325))</f>
        <v>0</v>
      </c>
      <c r="AM325" s="23">
        <f>IF(AJ325="","",SUMIFS(Performance!$Z$5:$Z$404,Performance!$H$5:$H$404,AJ325))</f>
        <v>0</v>
      </c>
      <c r="AN325" s="24">
        <f>IF(OR(AL325="",AL325=0),"",AM325/AL325)</f>
        <v>0</v>
      </c>
      <c r="AO325" s="32">
        <f>IF(AN325="","",AN325+ROW()/1000000)</f>
        <v>0</v>
      </c>
      <c r="AP325" s="17">
        <f>IF(Lists!$E325="","",Lists!$E325)</f>
        <v>0</v>
      </c>
      <c r="AQ325" s="23">
        <f>IF(AP325="","",COUNTIF(Performance!$G$5:$G$404,AP325))</f>
        <v>0</v>
      </c>
      <c r="AR325" s="23">
        <f>IF(AP325="","",SUMIFS(Performance!$O$5:$O$404,Performance!$G$5:$G$404,AP325))</f>
        <v>0</v>
      </c>
      <c r="AS325" s="23">
        <f>IF(AP325="","",SUMIFS(Performance!$Z$5:$Z$404,Performance!$G$5:$G$404,AP325))</f>
        <v>0</v>
      </c>
      <c r="AT325" s="24">
        <f>IF(OR(AR325="",AR325=0),"",AS325/AR325)</f>
        <v>0</v>
      </c>
      <c r="AU325" s="32">
        <f>IF(AQ325=0,"",IF(AT325="","",AT325+ROW()/1000000))</f>
        <v>0</v>
      </c>
      <c r="AV325" s="17">
        <f>IF(ROW()-4&gt;7,"",TEXT(DATE(2024,1,ROW()-4),"ddd"))</f>
        <v>0</v>
      </c>
      <c r="AW325" s="23">
        <f>IF(AV325="","",COUNTIF(Performance!$N$5:$N$404,AV325))</f>
        <v>0</v>
      </c>
      <c r="AX325" s="23">
        <f>IF(AV325="","",SUMIFS(Performance!$O$5:$O$404,Performance!$N$5:$N$404,AV325))</f>
        <v>0</v>
      </c>
      <c r="AY325" s="23">
        <f>IF(AV325="","",SUMIFS(Performance!$Z$5:$Z$404,Performance!$N$5:$N$404,AV325))</f>
        <v>0</v>
      </c>
      <c r="AZ325" s="24">
        <f>IF(OR(AX325="",AX325=0),"",AY325/AX325)</f>
        <v>0</v>
      </c>
      <c r="BA325" s="32">
        <f>IF(AW325=0,"",IF(AZ325="","",AZ325+ROW()/1000000))</f>
        <v>0</v>
      </c>
      <c r="BB325" s="17">
        <f>IF(Lists!$AL325="","",Lists!$AL325)</f>
        <v>0</v>
      </c>
      <c r="BC325" s="23">
        <f>IF(BB325="","",COUNTIF(Performance!$M$5:$M$404,BB325))</f>
        <v>0</v>
      </c>
      <c r="BD325" s="23">
        <f>IF(BB325="","",SUMIFS(Performance!$O$5:$O$404,Performance!$M$5:$M$404,BB325))</f>
        <v>0</v>
      </c>
      <c r="BE325" s="23">
        <f>IF(BB325="","",SUMIFS(Performance!$Z$5:$Z$404,Performance!$M$5:$M$404,BB325))</f>
        <v>0</v>
      </c>
      <c r="BF325" s="24">
        <f>IF(OR(BD325="",BD325=0),"",BE325/BD325)</f>
        <v>0</v>
      </c>
      <c r="BG325" s="32">
        <f>IF(BC325=0,"",IF(BF325="","",BF325+ROW()/1000000))</f>
        <v>0</v>
      </c>
      <c r="BH325" s="17">
        <f>IF(Performance!$C$325="","",Performance!$C$325)</f>
        <v>0</v>
      </c>
      <c r="BI325" s="17">
        <f>IF(Performance!$F$325="","",Performance!$F$325)</f>
        <v>0</v>
      </c>
      <c r="BJ325" s="17">
        <f>IF(Performance!$H$325="","",Performance!$H$325)</f>
        <v>0</v>
      </c>
      <c r="BK325" s="16">
        <f>IF(Performance!$D$325="","",Performance!$D$325)</f>
        <v>0</v>
      </c>
      <c r="BL325" s="17">
        <f>IF(Performance!$E$325="","",Performance!$E$325)</f>
        <v>0</v>
      </c>
      <c r="BM325" s="23">
        <f>IF(Performance!$O$325="","",Performance!$O$325)</f>
        <v>0</v>
      </c>
      <c r="BN325" s="24">
        <f>IF(Performance!$AA$325="","",Performance!$AA$325)</f>
        <v>0</v>
      </c>
      <c r="BO325" s="32">
        <f>IF(BH325="","",IF(BK325="","",IF(OR(BK325&lt;DashStart,BK325&gt;DashEnd),"",IF(BN325="","",BN325+ROW()/1000000))))</f>
        <v>0</v>
      </c>
      <c r="BP325" s="32">
        <f>IF(BM325="","",IF(BK325="","",IF(OR(BK325&lt;DashStart,BK325&gt;DashEnd),"",BM325+ROW()/1000000)))</f>
        <v>0</v>
      </c>
      <c r="BQ325" s="32">
        <f>IF(BH325="","",IF(BK325="","",IF(YEAR(BK325)&lt;&gt;PlanYear,"",IF(BN325="","",BN325+ROW()/1000000))))</f>
        <v>0</v>
      </c>
      <c r="BR325" s="32">
        <f>IF(BH325="","",IF(BK325="","",IF(OR(BK325&lt;RepFrom,BK325&gt;RepTo),"",IF(BN325="","",BN325+ROW()/1000000))))</f>
        <v>0</v>
      </c>
      <c r="BS325" s="32">
        <f>IF(BM325="","",IF(BK325="","",IF(YEAR(BK325)&lt;&gt;PlanYear,"",BM325+ROW()/1000000)))</f>
        <v>0</v>
      </c>
      <c r="BT325" s="17">
        <f>IF(Lists!$F325="","",Lists!$F325)</f>
        <v>0</v>
      </c>
      <c r="BU325" s="23">
        <f>IF(BT325="","",COUNTIF('Content Calendar'!$X$5:$X$604,BT325))</f>
        <v>0</v>
      </c>
      <c r="BV325" s="23">
        <f>IF(BT325="","",COUNTIFS('Content Calendar'!$X$5:$X$604,BT325,'Content Calendar'!$B$5:$B$604,"&gt;="&amp;DashStart,'Content Calendar'!$B$5:$B$604,"&lt;="&amp;DashEnd))</f>
        <v>0</v>
      </c>
      <c r="BW325" s="17">
        <f>IF(Team!$B$325="","",Team!$B$325)</f>
        <v>0</v>
      </c>
      <c r="BX325" s="23">
        <f>IF(BW325="","",COUNTIF('Content Calendar'!$W$5:$W$604,BW325))</f>
        <v>0</v>
      </c>
      <c r="BY325" s="23">
        <f>IF(BW325="","",COUNTIFS('Content Calendar'!$W$5:$W$604,BW325,'Content Calendar'!$X$5:$X$604,"&lt;&gt;Published"))</f>
        <v>0</v>
      </c>
      <c r="BZ325" s="23">
        <f>IF(BW325="","",COUNTIFS(Tasks!$C$5:$C$64,BW325,Tasks!$G$5:$G$64,"&lt;&gt;Complete"))</f>
        <v>0</v>
      </c>
      <c r="CA325" s="17">
        <f>IF(Campaigns!$B$325="","",Campaigns!$B$325)</f>
        <v>0</v>
      </c>
      <c r="CB325" s="25">
        <f>IF(Campaigns!$T$325="","",Campaigns!$T$325)</f>
        <v>0</v>
      </c>
      <c r="CC325" s="25">
        <f>IF(Campaigns!$Q$325="","",Campaigns!$Q$325)</f>
        <v>0</v>
      </c>
      <c r="CD325" s="23">
        <f>IF(Campaigns!$Y$325="","",Campaigns!$Y$325)</f>
        <v>0</v>
      </c>
      <c r="CE325" s="32">
        <f>IF(CA325="","",IF(N(CB325)&lt;=0,"",N(CB325)+ROW()/1000000))</f>
        <v>0</v>
      </c>
      <c r="CF325" s="17">
        <f>IF(Accounts!$C$325="","",Accounts!$C$325)</f>
        <v>0</v>
      </c>
      <c r="CG325" s="17">
        <f>IF(Accounts!$B$325="","",Accounts!$B$325)</f>
        <v>0</v>
      </c>
      <c r="CH325" s="23">
        <f>IF(Accounts!$J$325="","",Accounts!$J$325)</f>
        <v>0</v>
      </c>
      <c r="CI325" s="23">
        <f>IF(CF325="","",SUMIFS(Analytics!$X$5:$X$154,Analytics!$E$5:$E$154,CF325,Analytics!$B$5:$B$154,"&gt;="&amp;DashStart,Analytics!$B$5:$B$154,"&lt;="&amp;DashEnd))</f>
        <v>0</v>
      </c>
      <c r="CJ325" s="32">
        <f>IF(CH325="","",IF(CH325=0,"",CH325+ROW()/1000000))</f>
        <v>0</v>
      </c>
    </row>
    <row r="326" spans="1:88">
      <c r="A326" s="16">
        <f>IF(ROW()-4&gt;12,"",DATE(PlanYear,ROW()-4,1))</f>
        <v>0</v>
      </c>
      <c r="B326" s="16">
        <f>IF(A326="","",EOMONTH(A326,0))</f>
        <v>0</v>
      </c>
      <c r="C326" s="17">
        <f>IF(A326="","",TEXT(A326,"yyyy-mm"))</f>
        <v>0</v>
      </c>
      <c r="D326" s="17">
        <f>IF(A326="","",TEXT(A326,"mmm"))</f>
        <v>0</v>
      </c>
      <c r="E326" s="23">
        <f>IF(C326="","",COUNTIFS('Content Calendar'!$D$5:$D$604,C326))</f>
        <v>0</v>
      </c>
      <c r="F326" s="23">
        <f>IF(C326="","",COUNTIFS('Content Calendar'!$D$5:$D$604,C326,'Content Calendar'!$X$5:$X$604,"Published"))</f>
        <v>0</v>
      </c>
      <c r="G326" s="23">
        <f>IF(C326="","",SUMIFS(Analytics!$J$5:$J$154,Analytics!$C$5:$C$154,C326))</f>
        <v>0</v>
      </c>
      <c r="H326" s="23">
        <f>IF(C326="","",SUMIFS(Analytics!$K$5:$K$154,Analytics!$C$5:$C$154,C326))</f>
        <v>0</v>
      </c>
      <c r="I326" s="23">
        <f>IF(C326="","",SUMIFS(Analytics!$L$5:$L$154,Analytics!$C$5:$C$154,C326))</f>
        <v>0</v>
      </c>
      <c r="J326" s="24">
        <f>IF(OR(G326="",G326=0),"",I326/G326)</f>
        <v>0</v>
      </c>
      <c r="K326" s="23">
        <f>IF(C326="","",SUMIFS(Analytics!$G$5:$G$154,Analytics!$C$5:$C$154,C326))</f>
        <v>0</v>
      </c>
      <c r="L326" s="23">
        <f>IF(C326="","",SUMIFS(Analytics!$X$5:$X$154,Analytics!$C$5:$C$154,C326))</f>
        <v>0</v>
      </c>
      <c r="M326" s="23">
        <f>IF(C326="","",SUMIFS(Analytics!$R$5:$R$154,Analytics!$C$5:$C$154,C326))</f>
        <v>0</v>
      </c>
      <c r="N326" s="23">
        <f>IF(C326="","",SUMIFS(Analytics!$S$5:$S$154,Analytics!$C$5:$C$154,C326))</f>
        <v>0</v>
      </c>
      <c r="O326" s="23">
        <f>IF(C326="","",SUMIFS(Analytics!$T$5:$T$154,Analytics!$C$5:$C$154,C326))</f>
        <v>0</v>
      </c>
      <c r="P326" s="25">
        <f>IF(C326="","",SUMIFS(Analytics!$U$5:$U$154,Analytics!$C$5:$C$154,C326))</f>
        <v>0</v>
      </c>
      <c r="Q326" s="25">
        <f>IF(C326="","",SUMIFS(Budget!$H$5:$H$64,Budget!$C$5:$C$64,C326))</f>
        <v>0</v>
      </c>
      <c r="R326" s="25">
        <f>IF(C326="","",P326-Q326)</f>
        <v>0</v>
      </c>
      <c r="S326" s="23">
        <f>IF(C326="","",MonthlyPostTarget)</f>
        <v>0</v>
      </c>
      <c r="T326" s="17">
        <f>IF(Lists!$C326="","",Lists!$C326)</f>
        <v>0</v>
      </c>
      <c r="U326" s="23">
        <f>IF(T326="","",COUNTIFS('Content Calendar'!$G$5:$G$604,T326,'Content Calendar'!$B$5:$B$604,"&gt;="&amp;DashStart,'Content Calendar'!$B$5:$B$604,"&lt;="&amp;DashEnd))</f>
        <v>0</v>
      </c>
      <c r="V326" s="23">
        <f>IF(T326="","",COUNTIFS('Content Calendar'!$G$5:$G$604,T326,'Content Calendar'!$X$5:$X$604,"Published",'Content Calendar'!$B$5:$B$604,"&gt;="&amp;DashStart,'Content Calendar'!$B$5:$B$604,"&lt;="&amp;DashEnd))</f>
        <v>0</v>
      </c>
      <c r="W326" s="23">
        <f>IF(T326="","",SUMIFS(Analytics!$J$5:$J$154,Analytics!$D$5:$D$154,T326,Analytics!$B$5:$B$154,"&gt;="&amp;DashStart,Analytics!$B$5:$B$154,"&lt;="&amp;DashEnd))</f>
        <v>0</v>
      </c>
      <c r="X326" s="23">
        <f>IF(T326="","",SUMIFS(Analytics!$L$5:$L$154,Analytics!$D$5:$D$154,T326,Analytics!$B$5:$B$154,"&gt;="&amp;DashStart,Analytics!$B$5:$B$154,"&lt;="&amp;DashEnd))</f>
        <v>0</v>
      </c>
      <c r="Y326" s="24">
        <f>IF(OR(W326="",W326=0),"",X326/W326)</f>
        <v>0</v>
      </c>
      <c r="Z326" s="23">
        <f>IF(T326="","",SUMIFS(Analytics!$G$5:$G$154,Analytics!$D$5:$D$154,T326,Analytics!$B$5:$B$154,"&gt;="&amp;DashStart,Analytics!$B$5:$B$154,"&lt;="&amp;DashEnd))</f>
        <v>0</v>
      </c>
      <c r="AA326" s="23">
        <f>IF(T326="","",SUMIFS(Analytics!$X$5:$X$154,Analytics!$D$5:$D$154,T326,Analytics!$B$5:$B$154,"&gt;="&amp;DashStart,Analytics!$B$5:$B$154,"&lt;="&amp;DashEnd))</f>
        <v>0</v>
      </c>
      <c r="AB326" s="23">
        <f>IF(T326="","",SUMIFS(Analytics!$R$5:$R$154,Analytics!$D$5:$D$154,T326,Analytics!$B$5:$B$154,"&gt;="&amp;DashStart,Analytics!$B$5:$B$154,"&lt;="&amp;DashEnd))</f>
        <v>0</v>
      </c>
      <c r="AC326" s="25">
        <f>IF(T326="","",SUMIFS(Analytics!$U$5:$U$154,Analytics!$D$5:$D$154,T326,Analytics!$B$5:$B$154,"&gt;="&amp;DashStart,Analytics!$B$5:$B$154,"&lt;="&amp;DashEnd))</f>
        <v>0</v>
      </c>
      <c r="AD326" s="23">
        <f>IF(T326="","",COUNTIFS('Content Calendar'!$G$5:$G$604,T326,'Content Calendar'!$B$5:$B$604,"&gt;="&amp;DATE(PlanYear,1,1),'Content Calendar'!$B$5:$B$604,"&lt;="&amp;DATE(PlanYear,12,31)))</f>
        <v>0</v>
      </c>
      <c r="AE326" s="23">
        <f>IF(T326="","",SUMIFS(Analytics!$J$5:$J$154,Analytics!$D$5:$D$154,T326))</f>
        <v>0</v>
      </c>
      <c r="AF326" s="23">
        <f>IF(T326="","",SUMIFS(Analytics!$L$5:$L$154,Analytics!$D$5:$D$154,T326))</f>
        <v>0</v>
      </c>
      <c r="AG326" s="24">
        <f>IF(OR(AE326="",AE326=0),"",AF326/AE326)</f>
        <v>0</v>
      </c>
      <c r="AH326" s="23">
        <f>IF(T326="","",SUMIFS(Analytics!$X$5:$X$154,Analytics!$D$5:$D$154,T326))</f>
        <v>0</v>
      </c>
      <c r="AI326" s="32">
        <f>IF(T326="","",IF(AE326=0,"",AE326+ROW()/1000000))</f>
        <v>0</v>
      </c>
      <c r="AJ326" s="17">
        <f>IF('Content Pillars'!$B$326="","",'Content Pillars'!$B$326)</f>
        <v>0</v>
      </c>
      <c r="AK326" s="23">
        <f>IF(AJ326="","",COUNTIFS('Content Calendar'!$J$5:$J$604,AJ326,'Content Calendar'!$B$5:$B$604,"&gt;="&amp;DATE(PlanYear,1,1),'Content Calendar'!$B$5:$B$604,"&lt;="&amp;DATE(PlanYear,12,31)))</f>
        <v>0</v>
      </c>
      <c r="AL326" s="23">
        <f>IF(AJ326="","",SUMIFS(Performance!$O$5:$O$404,Performance!$H$5:$H$404,AJ326))</f>
        <v>0</v>
      </c>
      <c r="AM326" s="23">
        <f>IF(AJ326="","",SUMIFS(Performance!$Z$5:$Z$404,Performance!$H$5:$H$404,AJ326))</f>
        <v>0</v>
      </c>
      <c r="AN326" s="24">
        <f>IF(OR(AL326="",AL326=0),"",AM326/AL326)</f>
        <v>0</v>
      </c>
      <c r="AO326" s="32">
        <f>IF(AN326="","",AN326+ROW()/1000000)</f>
        <v>0</v>
      </c>
      <c r="AP326" s="17">
        <f>IF(Lists!$E326="","",Lists!$E326)</f>
        <v>0</v>
      </c>
      <c r="AQ326" s="23">
        <f>IF(AP326="","",COUNTIF(Performance!$G$5:$G$404,AP326))</f>
        <v>0</v>
      </c>
      <c r="AR326" s="23">
        <f>IF(AP326="","",SUMIFS(Performance!$O$5:$O$404,Performance!$G$5:$G$404,AP326))</f>
        <v>0</v>
      </c>
      <c r="AS326" s="23">
        <f>IF(AP326="","",SUMIFS(Performance!$Z$5:$Z$404,Performance!$G$5:$G$404,AP326))</f>
        <v>0</v>
      </c>
      <c r="AT326" s="24">
        <f>IF(OR(AR326="",AR326=0),"",AS326/AR326)</f>
        <v>0</v>
      </c>
      <c r="AU326" s="32">
        <f>IF(AQ326=0,"",IF(AT326="","",AT326+ROW()/1000000))</f>
        <v>0</v>
      </c>
      <c r="AV326" s="17">
        <f>IF(ROW()-4&gt;7,"",TEXT(DATE(2024,1,ROW()-4),"ddd"))</f>
        <v>0</v>
      </c>
      <c r="AW326" s="23">
        <f>IF(AV326="","",COUNTIF(Performance!$N$5:$N$404,AV326))</f>
        <v>0</v>
      </c>
      <c r="AX326" s="23">
        <f>IF(AV326="","",SUMIFS(Performance!$O$5:$O$404,Performance!$N$5:$N$404,AV326))</f>
        <v>0</v>
      </c>
      <c r="AY326" s="23">
        <f>IF(AV326="","",SUMIFS(Performance!$Z$5:$Z$404,Performance!$N$5:$N$404,AV326))</f>
        <v>0</v>
      </c>
      <c r="AZ326" s="24">
        <f>IF(OR(AX326="",AX326=0),"",AY326/AX326)</f>
        <v>0</v>
      </c>
      <c r="BA326" s="32">
        <f>IF(AW326=0,"",IF(AZ326="","",AZ326+ROW()/1000000))</f>
        <v>0</v>
      </c>
      <c r="BB326" s="17">
        <f>IF(Lists!$AL326="","",Lists!$AL326)</f>
        <v>0</v>
      </c>
      <c r="BC326" s="23">
        <f>IF(BB326="","",COUNTIF(Performance!$M$5:$M$404,BB326))</f>
        <v>0</v>
      </c>
      <c r="BD326" s="23">
        <f>IF(BB326="","",SUMIFS(Performance!$O$5:$O$404,Performance!$M$5:$M$404,BB326))</f>
        <v>0</v>
      </c>
      <c r="BE326" s="23">
        <f>IF(BB326="","",SUMIFS(Performance!$Z$5:$Z$404,Performance!$M$5:$M$404,BB326))</f>
        <v>0</v>
      </c>
      <c r="BF326" s="24">
        <f>IF(OR(BD326="",BD326=0),"",BE326/BD326)</f>
        <v>0</v>
      </c>
      <c r="BG326" s="32">
        <f>IF(BC326=0,"",IF(BF326="","",BF326+ROW()/1000000))</f>
        <v>0</v>
      </c>
      <c r="BH326" s="17">
        <f>IF(Performance!$C$326="","",Performance!$C$326)</f>
        <v>0</v>
      </c>
      <c r="BI326" s="17">
        <f>IF(Performance!$F$326="","",Performance!$F$326)</f>
        <v>0</v>
      </c>
      <c r="BJ326" s="17">
        <f>IF(Performance!$H$326="","",Performance!$H$326)</f>
        <v>0</v>
      </c>
      <c r="BK326" s="16">
        <f>IF(Performance!$D$326="","",Performance!$D$326)</f>
        <v>0</v>
      </c>
      <c r="BL326" s="17">
        <f>IF(Performance!$E$326="","",Performance!$E$326)</f>
        <v>0</v>
      </c>
      <c r="BM326" s="23">
        <f>IF(Performance!$O$326="","",Performance!$O$326)</f>
        <v>0</v>
      </c>
      <c r="BN326" s="24">
        <f>IF(Performance!$AA$326="","",Performance!$AA$326)</f>
        <v>0</v>
      </c>
      <c r="BO326" s="32">
        <f>IF(BH326="","",IF(BK326="","",IF(OR(BK326&lt;DashStart,BK326&gt;DashEnd),"",IF(BN326="","",BN326+ROW()/1000000))))</f>
        <v>0</v>
      </c>
      <c r="BP326" s="32">
        <f>IF(BM326="","",IF(BK326="","",IF(OR(BK326&lt;DashStart,BK326&gt;DashEnd),"",BM326+ROW()/1000000)))</f>
        <v>0</v>
      </c>
      <c r="BQ326" s="32">
        <f>IF(BH326="","",IF(BK326="","",IF(YEAR(BK326)&lt;&gt;PlanYear,"",IF(BN326="","",BN326+ROW()/1000000))))</f>
        <v>0</v>
      </c>
      <c r="BR326" s="32">
        <f>IF(BH326="","",IF(BK326="","",IF(OR(BK326&lt;RepFrom,BK326&gt;RepTo),"",IF(BN326="","",BN326+ROW()/1000000))))</f>
        <v>0</v>
      </c>
      <c r="BS326" s="32">
        <f>IF(BM326="","",IF(BK326="","",IF(YEAR(BK326)&lt;&gt;PlanYear,"",BM326+ROW()/1000000)))</f>
        <v>0</v>
      </c>
      <c r="BT326" s="17">
        <f>IF(Lists!$F326="","",Lists!$F326)</f>
        <v>0</v>
      </c>
      <c r="BU326" s="23">
        <f>IF(BT326="","",COUNTIF('Content Calendar'!$X$5:$X$604,BT326))</f>
        <v>0</v>
      </c>
      <c r="BV326" s="23">
        <f>IF(BT326="","",COUNTIFS('Content Calendar'!$X$5:$X$604,BT326,'Content Calendar'!$B$5:$B$604,"&gt;="&amp;DashStart,'Content Calendar'!$B$5:$B$604,"&lt;="&amp;DashEnd))</f>
        <v>0</v>
      </c>
      <c r="BW326" s="17">
        <f>IF(Team!$B$326="","",Team!$B$326)</f>
        <v>0</v>
      </c>
      <c r="BX326" s="23">
        <f>IF(BW326="","",COUNTIF('Content Calendar'!$W$5:$W$604,BW326))</f>
        <v>0</v>
      </c>
      <c r="BY326" s="23">
        <f>IF(BW326="","",COUNTIFS('Content Calendar'!$W$5:$W$604,BW326,'Content Calendar'!$X$5:$X$604,"&lt;&gt;Published"))</f>
        <v>0</v>
      </c>
      <c r="BZ326" s="23">
        <f>IF(BW326="","",COUNTIFS(Tasks!$C$5:$C$64,BW326,Tasks!$G$5:$G$64,"&lt;&gt;Complete"))</f>
        <v>0</v>
      </c>
      <c r="CA326" s="17">
        <f>IF(Campaigns!$B$326="","",Campaigns!$B$326)</f>
        <v>0</v>
      </c>
      <c r="CB326" s="25">
        <f>IF(Campaigns!$T$326="","",Campaigns!$T$326)</f>
        <v>0</v>
      </c>
      <c r="CC326" s="25">
        <f>IF(Campaigns!$Q$326="","",Campaigns!$Q$326)</f>
        <v>0</v>
      </c>
      <c r="CD326" s="23">
        <f>IF(Campaigns!$Y$326="","",Campaigns!$Y$326)</f>
        <v>0</v>
      </c>
      <c r="CE326" s="32">
        <f>IF(CA326="","",IF(N(CB326)&lt;=0,"",N(CB326)+ROW()/1000000))</f>
        <v>0</v>
      </c>
      <c r="CF326" s="17">
        <f>IF(Accounts!$C$326="","",Accounts!$C$326)</f>
        <v>0</v>
      </c>
      <c r="CG326" s="17">
        <f>IF(Accounts!$B$326="","",Accounts!$B$326)</f>
        <v>0</v>
      </c>
      <c r="CH326" s="23">
        <f>IF(Accounts!$J$326="","",Accounts!$J$326)</f>
        <v>0</v>
      </c>
      <c r="CI326" s="23">
        <f>IF(CF326="","",SUMIFS(Analytics!$X$5:$X$154,Analytics!$E$5:$E$154,CF326,Analytics!$B$5:$B$154,"&gt;="&amp;DashStart,Analytics!$B$5:$B$154,"&lt;="&amp;DashEnd))</f>
        <v>0</v>
      </c>
      <c r="CJ326" s="32">
        <f>IF(CH326="","",IF(CH326=0,"",CH326+ROW()/1000000))</f>
        <v>0</v>
      </c>
    </row>
    <row r="327" spans="1:88">
      <c r="A327" s="16">
        <f>IF(ROW()-4&gt;12,"",DATE(PlanYear,ROW()-4,1))</f>
        <v>0</v>
      </c>
      <c r="B327" s="16">
        <f>IF(A327="","",EOMONTH(A327,0))</f>
        <v>0</v>
      </c>
      <c r="C327" s="17">
        <f>IF(A327="","",TEXT(A327,"yyyy-mm"))</f>
        <v>0</v>
      </c>
      <c r="D327" s="17">
        <f>IF(A327="","",TEXT(A327,"mmm"))</f>
        <v>0</v>
      </c>
      <c r="E327" s="23">
        <f>IF(C327="","",COUNTIFS('Content Calendar'!$D$5:$D$604,C327))</f>
        <v>0</v>
      </c>
      <c r="F327" s="23">
        <f>IF(C327="","",COUNTIFS('Content Calendar'!$D$5:$D$604,C327,'Content Calendar'!$X$5:$X$604,"Published"))</f>
        <v>0</v>
      </c>
      <c r="G327" s="23">
        <f>IF(C327="","",SUMIFS(Analytics!$J$5:$J$154,Analytics!$C$5:$C$154,C327))</f>
        <v>0</v>
      </c>
      <c r="H327" s="23">
        <f>IF(C327="","",SUMIFS(Analytics!$K$5:$K$154,Analytics!$C$5:$C$154,C327))</f>
        <v>0</v>
      </c>
      <c r="I327" s="23">
        <f>IF(C327="","",SUMIFS(Analytics!$L$5:$L$154,Analytics!$C$5:$C$154,C327))</f>
        <v>0</v>
      </c>
      <c r="J327" s="24">
        <f>IF(OR(G327="",G327=0),"",I327/G327)</f>
        <v>0</v>
      </c>
      <c r="K327" s="23">
        <f>IF(C327="","",SUMIFS(Analytics!$G$5:$G$154,Analytics!$C$5:$C$154,C327))</f>
        <v>0</v>
      </c>
      <c r="L327" s="23">
        <f>IF(C327="","",SUMIFS(Analytics!$X$5:$X$154,Analytics!$C$5:$C$154,C327))</f>
        <v>0</v>
      </c>
      <c r="M327" s="23">
        <f>IF(C327="","",SUMIFS(Analytics!$R$5:$R$154,Analytics!$C$5:$C$154,C327))</f>
        <v>0</v>
      </c>
      <c r="N327" s="23">
        <f>IF(C327="","",SUMIFS(Analytics!$S$5:$S$154,Analytics!$C$5:$C$154,C327))</f>
        <v>0</v>
      </c>
      <c r="O327" s="23">
        <f>IF(C327="","",SUMIFS(Analytics!$T$5:$T$154,Analytics!$C$5:$C$154,C327))</f>
        <v>0</v>
      </c>
      <c r="P327" s="25">
        <f>IF(C327="","",SUMIFS(Analytics!$U$5:$U$154,Analytics!$C$5:$C$154,C327))</f>
        <v>0</v>
      </c>
      <c r="Q327" s="25">
        <f>IF(C327="","",SUMIFS(Budget!$H$5:$H$64,Budget!$C$5:$C$64,C327))</f>
        <v>0</v>
      </c>
      <c r="R327" s="25">
        <f>IF(C327="","",P327-Q327)</f>
        <v>0</v>
      </c>
      <c r="S327" s="23">
        <f>IF(C327="","",MonthlyPostTarget)</f>
        <v>0</v>
      </c>
      <c r="T327" s="17">
        <f>IF(Lists!$C327="","",Lists!$C327)</f>
        <v>0</v>
      </c>
      <c r="U327" s="23">
        <f>IF(T327="","",COUNTIFS('Content Calendar'!$G$5:$G$604,T327,'Content Calendar'!$B$5:$B$604,"&gt;="&amp;DashStart,'Content Calendar'!$B$5:$B$604,"&lt;="&amp;DashEnd))</f>
        <v>0</v>
      </c>
      <c r="V327" s="23">
        <f>IF(T327="","",COUNTIFS('Content Calendar'!$G$5:$G$604,T327,'Content Calendar'!$X$5:$X$604,"Published",'Content Calendar'!$B$5:$B$604,"&gt;="&amp;DashStart,'Content Calendar'!$B$5:$B$604,"&lt;="&amp;DashEnd))</f>
        <v>0</v>
      </c>
      <c r="W327" s="23">
        <f>IF(T327="","",SUMIFS(Analytics!$J$5:$J$154,Analytics!$D$5:$D$154,T327,Analytics!$B$5:$B$154,"&gt;="&amp;DashStart,Analytics!$B$5:$B$154,"&lt;="&amp;DashEnd))</f>
        <v>0</v>
      </c>
      <c r="X327" s="23">
        <f>IF(T327="","",SUMIFS(Analytics!$L$5:$L$154,Analytics!$D$5:$D$154,T327,Analytics!$B$5:$B$154,"&gt;="&amp;DashStart,Analytics!$B$5:$B$154,"&lt;="&amp;DashEnd))</f>
        <v>0</v>
      </c>
      <c r="Y327" s="24">
        <f>IF(OR(W327="",W327=0),"",X327/W327)</f>
        <v>0</v>
      </c>
      <c r="Z327" s="23">
        <f>IF(T327="","",SUMIFS(Analytics!$G$5:$G$154,Analytics!$D$5:$D$154,T327,Analytics!$B$5:$B$154,"&gt;="&amp;DashStart,Analytics!$B$5:$B$154,"&lt;="&amp;DashEnd))</f>
        <v>0</v>
      </c>
      <c r="AA327" s="23">
        <f>IF(T327="","",SUMIFS(Analytics!$X$5:$X$154,Analytics!$D$5:$D$154,T327,Analytics!$B$5:$B$154,"&gt;="&amp;DashStart,Analytics!$B$5:$B$154,"&lt;="&amp;DashEnd))</f>
        <v>0</v>
      </c>
      <c r="AB327" s="23">
        <f>IF(T327="","",SUMIFS(Analytics!$R$5:$R$154,Analytics!$D$5:$D$154,T327,Analytics!$B$5:$B$154,"&gt;="&amp;DashStart,Analytics!$B$5:$B$154,"&lt;="&amp;DashEnd))</f>
        <v>0</v>
      </c>
      <c r="AC327" s="25">
        <f>IF(T327="","",SUMIFS(Analytics!$U$5:$U$154,Analytics!$D$5:$D$154,T327,Analytics!$B$5:$B$154,"&gt;="&amp;DashStart,Analytics!$B$5:$B$154,"&lt;="&amp;DashEnd))</f>
        <v>0</v>
      </c>
      <c r="AD327" s="23">
        <f>IF(T327="","",COUNTIFS('Content Calendar'!$G$5:$G$604,T327,'Content Calendar'!$B$5:$B$604,"&gt;="&amp;DATE(PlanYear,1,1),'Content Calendar'!$B$5:$B$604,"&lt;="&amp;DATE(PlanYear,12,31)))</f>
        <v>0</v>
      </c>
      <c r="AE327" s="23">
        <f>IF(T327="","",SUMIFS(Analytics!$J$5:$J$154,Analytics!$D$5:$D$154,T327))</f>
        <v>0</v>
      </c>
      <c r="AF327" s="23">
        <f>IF(T327="","",SUMIFS(Analytics!$L$5:$L$154,Analytics!$D$5:$D$154,T327))</f>
        <v>0</v>
      </c>
      <c r="AG327" s="24">
        <f>IF(OR(AE327="",AE327=0),"",AF327/AE327)</f>
        <v>0</v>
      </c>
      <c r="AH327" s="23">
        <f>IF(T327="","",SUMIFS(Analytics!$X$5:$X$154,Analytics!$D$5:$D$154,T327))</f>
        <v>0</v>
      </c>
      <c r="AI327" s="32">
        <f>IF(T327="","",IF(AE327=0,"",AE327+ROW()/1000000))</f>
        <v>0</v>
      </c>
      <c r="AJ327" s="17">
        <f>IF('Content Pillars'!$B$327="","",'Content Pillars'!$B$327)</f>
        <v>0</v>
      </c>
      <c r="AK327" s="23">
        <f>IF(AJ327="","",COUNTIFS('Content Calendar'!$J$5:$J$604,AJ327,'Content Calendar'!$B$5:$B$604,"&gt;="&amp;DATE(PlanYear,1,1),'Content Calendar'!$B$5:$B$604,"&lt;="&amp;DATE(PlanYear,12,31)))</f>
        <v>0</v>
      </c>
      <c r="AL327" s="23">
        <f>IF(AJ327="","",SUMIFS(Performance!$O$5:$O$404,Performance!$H$5:$H$404,AJ327))</f>
        <v>0</v>
      </c>
      <c r="AM327" s="23">
        <f>IF(AJ327="","",SUMIFS(Performance!$Z$5:$Z$404,Performance!$H$5:$H$404,AJ327))</f>
        <v>0</v>
      </c>
      <c r="AN327" s="24">
        <f>IF(OR(AL327="",AL327=0),"",AM327/AL327)</f>
        <v>0</v>
      </c>
      <c r="AO327" s="32">
        <f>IF(AN327="","",AN327+ROW()/1000000)</f>
        <v>0</v>
      </c>
      <c r="AP327" s="17">
        <f>IF(Lists!$E327="","",Lists!$E327)</f>
        <v>0</v>
      </c>
      <c r="AQ327" s="23">
        <f>IF(AP327="","",COUNTIF(Performance!$G$5:$G$404,AP327))</f>
        <v>0</v>
      </c>
      <c r="AR327" s="23">
        <f>IF(AP327="","",SUMIFS(Performance!$O$5:$O$404,Performance!$G$5:$G$404,AP327))</f>
        <v>0</v>
      </c>
      <c r="AS327" s="23">
        <f>IF(AP327="","",SUMIFS(Performance!$Z$5:$Z$404,Performance!$G$5:$G$404,AP327))</f>
        <v>0</v>
      </c>
      <c r="AT327" s="24">
        <f>IF(OR(AR327="",AR327=0),"",AS327/AR327)</f>
        <v>0</v>
      </c>
      <c r="AU327" s="32">
        <f>IF(AQ327=0,"",IF(AT327="","",AT327+ROW()/1000000))</f>
        <v>0</v>
      </c>
      <c r="AV327" s="17">
        <f>IF(ROW()-4&gt;7,"",TEXT(DATE(2024,1,ROW()-4),"ddd"))</f>
        <v>0</v>
      </c>
      <c r="AW327" s="23">
        <f>IF(AV327="","",COUNTIF(Performance!$N$5:$N$404,AV327))</f>
        <v>0</v>
      </c>
      <c r="AX327" s="23">
        <f>IF(AV327="","",SUMIFS(Performance!$O$5:$O$404,Performance!$N$5:$N$404,AV327))</f>
        <v>0</v>
      </c>
      <c r="AY327" s="23">
        <f>IF(AV327="","",SUMIFS(Performance!$Z$5:$Z$404,Performance!$N$5:$N$404,AV327))</f>
        <v>0</v>
      </c>
      <c r="AZ327" s="24">
        <f>IF(OR(AX327="",AX327=0),"",AY327/AX327)</f>
        <v>0</v>
      </c>
      <c r="BA327" s="32">
        <f>IF(AW327=0,"",IF(AZ327="","",AZ327+ROW()/1000000))</f>
        <v>0</v>
      </c>
      <c r="BB327" s="17">
        <f>IF(Lists!$AL327="","",Lists!$AL327)</f>
        <v>0</v>
      </c>
      <c r="BC327" s="23">
        <f>IF(BB327="","",COUNTIF(Performance!$M$5:$M$404,BB327))</f>
        <v>0</v>
      </c>
      <c r="BD327" s="23">
        <f>IF(BB327="","",SUMIFS(Performance!$O$5:$O$404,Performance!$M$5:$M$404,BB327))</f>
        <v>0</v>
      </c>
      <c r="BE327" s="23">
        <f>IF(BB327="","",SUMIFS(Performance!$Z$5:$Z$404,Performance!$M$5:$M$404,BB327))</f>
        <v>0</v>
      </c>
      <c r="BF327" s="24">
        <f>IF(OR(BD327="",BD327=0),"",BE327/BD327)</f>
        <v>0</v>
      </c>
      <c r="BG327" s="32">
        <f>IF(BC327=0,"",IF(BF327="","",BF327+ROW()/1000000))</f>
        <v>0</v>
      </c>
      <c r="BH327" s="17">
        <f>IF(Performance!$C$327="","",Performance!$C$327)</f>
        <v>0</v>
      </c>
      <c r="BI327" s="17">
        <f>IF(Performance!$F$327="","",Performance!$F$327)</f>
        <v>0</v>
      </c>
      <c r="BJ327" s="17">
        <f>IF(Performance!$H$327="","",Performance!$H$327)</f>
        <v>0</v>
      </c>
      <c r="BK327" s="16">
        <f>IF(Performance!$D$327="","",Performance!$D$327)</f>
        <v>0</v>
      </c>
      <c r="BL327" s="17">
        <f>IF(Performance!$E$327="","",Performance!$E$327)</f>
        <v>0</v>
      </c>
      <c r="BM327" s="23">
        <f>IF(Performance!$O$327="","",Performance!$O$327)</f>
        <v>0</v>
      </c>
      <c r="BN327" s="24">
        <f>IF(Performance!$AA$327="","",Performance!$AA$327)</f>
        <v>0</v>
      </c>
      <c r="BO327" s="32">
        <f>IF(BH327="","",IF(BK327="","",IF(OR(BK327&lt;DashStart,BK327&gt;DashEnd),"",IF(BN327="","",BN327+ROW()/1000000))))</f>
        <v>0</v>
      </c>
      <c r="BP327" s="32">
        <f>IF(BM327="","",IF(BK327="","",IF(OR(BK327&lt;DashStart,BK327&gt;DashEnd),"",BM327+ROW()/1000000)))</f>
        <v>0</v>
      </c>
      <c r="BQ327" s="32">
        <f>IF(BH327="","",IF(BK327="","",IF(YEAR(BK327)&lt;&gt;PlanYear,"",IF(BN327="","",BN327+ROW()/1000000))))</f>
        <v>0</v>
      </c>
      <c r="BR327" s="32">
        <f>IF(BH327="","",IF(BK327="","",IF(OR(BK327&lt;RepFrom,BK327&gt;RepTo),"",IF(BN327="","",BN327+ROW()/1000000))))</f>
        <v>0</v>
      </c>
      <c r="BS327" s="32">
        <f>IF(BM327="","",IF(BK327="","",IF(YEAR(BK327)&lt;&gt;PlanYear,"",BM327+ROW()/1000000)))</f>
        <v>0</v>
      </c>
      <c r="BT327" s="17">
        <f>IF(Lists!$F327="","",Lists!$F327)</f>
        <v>0</v>
      </c>
      <c r="BU327" s="23">
        <f>IF(BT327="","",COUNTIF('Content Calendar'!$X$5:$X$604,BT327))</f>
        <v>0</v>
      </c>
      <c r="BV327" s="23">
        <f>IF(BT327="","",COUNTIFS('Content Calendar'!$X$5:$X$604,BT327,'Content Calendar'!$B$5:$B$604,"&gt;="&amp;DashStart,'Content Calendar'!$B$5:$B$604,"&lt;="&amp;DashEnd))</f>
        <v>0</v>
      </c>
      <c r="BW327" s="17">
        <f>IF(Team!$B$327="","",Team!$B$327)</f>
        <v>0</v>
      </c>
      <c r="BX327" s="23">
        <f>IF(BW327="","",COUNTIF('Content Calendar'!$W$5:$W$604,BW327))</f>
        <v>0</v>
      </c>
      <c r="BY327" s="23">
        <f>IF(BW327="","",COUNTIFS('Content Calendar'!$W$5:$W$604,BW327,'Content Calendar'!$X$5:$X$604,"&lt;&gt;Published"))</f>
        <v>0</v>
      </c>
      <c r="BZ327" s="23">
        <f>IF(BW327="","",COUNTIFS(Tasks!$C$5:$C$64,BW327,Tasks!$G$5:$G$64,"&lt;&gt;Complete"))</f>
        <v>0</v>
      </c>
      <c r="CA327" s="17">
        <f>IF(Campaigns!$B$327="","",Campaigns!$B$327)</f>
        <v>0</v>
      </c>
      <c r="CB327" s="25">
        <f>IF(Campaigns!$T$327="","",Campaigns!$T$327)</f>
        <v>0</v>
      </c>
      <c r="CC327" s="25">
        <f>IF(Campaigns!$Q$327="","",Campaigns!$Q$327)</f>
        <v>0</v>
      </c>
      <c r="CD327" s="23">
        <f>IF(Campaigns!$Y$327="","",Campaigns!$Y$327)</f>
        <v>0</v>
      </c>
      <c r="CE327" s="32">
        <f>IF(CA327="","",IF(N(CB327)&lt;=0,"",N(CB327)+ROW()/1000000))</f>
        <v>0</v>
      </c>
      <c r="CF327" s="17">
        <f>IF(Accounts!$C$327="","",Accounts!$C$327)</f>
        <v>0</v>
      </c>
      <c r="CG327" s="17">
        <f>IF(Accounts!$B$327="","",Accounts!$B$327)</f>
        <v>0</v>
      </c>
      <c r="CH327" s="23">
        <f>IF(Accounts!$J$327="","",Accounts!$J$327)</f>
        <v>0</v>
      </c>
      <c r="CI327" s="23">
        <f>IF(CF327="","",SUMIFS(Analytics!$X$5:$X$154,Analytics!$E$5:$E$154,CF327,Analytics!$B$5:$B$154,"&gt;="&amp;DashStart,Analytics!$B$5:$B$154,"&lt;="&amp;DashEnd))</f>
        <v>0</v>
      </c>
      <c r="CJ327" s="32">
        <f>IF(CH327="","",IF(CH327=0,"",CH327+ROW()/1000000))</f>
        <v>0</v>
      </c>
    </row>
    <row r="328" spans="1:88">
      <c r="A328" s="16">
        <f>IF(ROW()-4&gt;12,"",DATE(PlanYear,ROW()-4,1))</f>
        <v>0</v>
      </c>
      <c r="B328" s="16">
        <f>IF(A328="","",EOMONTH(A328,0))</f>
        <v>0</v>
      </c>
      <c r="C328" s="17">
        <f>IF(A328="","",TEXT(A328,"yyyy-mm"))</f>
        <v>0</v>
      </c>
      <c r="D328" s="17">
        <f>IF(A328="","",TEXT(A328,"mmm"))</f>
        <v>0</v>
      </c>
      <c r="E328" s="23">
        <f>IF(C328="","",COUNTIFS('Content Calendar'!$D$5:$D$604,C328))</f>
        <v>0</v>
      </c>
      <c r="F328" s="23">
        <f>IF(C328="","",COUNTIFS('Content Calendar'!$D$5:$D$604,C328,'Content Calendar'!$X$5:$X$604,"Published"))</f>
        <v>0</v>
      </c>
      <c r="G328" s="23">
        <f>IF(C328="","",SUMIFS(Analytics!$J$5:$J$154,Analytics!$C$5:$C$154,C328))</f>
        <v>0</v>
      </c>
      <c r="H328" s="23">
        <f>IF(C328="","",SUMIFS(Analytics!$K$5:$K$154,Analytics!$C$5:$C$154,C328))</f>
        <v>0</v>
      </c>
      <c r="I328" s="23">
        <f>IF(C328="","",SUMIFS(Analytics!$L$5:$L$154,Analytics!$C$5:$C$154,C328))</f>
        <v>0</v>
      </c>
      <c r="J328" s="24">
        <f>IF(OR(G328="",G328=0),"",I328/G328)</f>
        <v>0</v>
      </c>
      <c r="K328" s="23">
        <f>IF(C328="","",SUMIFS(Analytics!$G$5:$G$154,Analytics!$C$5:$C$154,C328))</f>
        <v>0</v>
      </c>
      <c r="L328" s="23">
        <f>IF(C328="","",SUMIFS(Analytics!$X$5:$X$154,Analytics!$C$5:$C$154,C328))</f>
        <v>0</v>
      </c>
      <c r="M328" s="23">
        <f>IF(C328="","",SUMIFS(Analytics!$R$5:$R$154,Analytics!$C$5:$C$154,C328))</f>
        <v>0</v>
      </c>
      <c r="N328" s="23">
        <f>IF(C328="","",SUMIFS(Analytics!$S$5:$S$154,Analytics!$C$5:$C$154,C328))</f>
        <v>0</v>
      </c>
      <c r="O328" s="23">
        <f>IF(C328="","",SUMIFS(Analytics!$T$5:$T$154,Analytics!$C$5:$C$154,C328))</f>
        <v>0</v>
      </c>
      <c r="P328" s="25">
        <f>IF(C328="","",SUMIFS(Analytics!$U$5:$U$154,Analytics!$C$5:$C$154,C328))</f>
        <v>0</v>
      </c>
      <c r="Q328" s="25">
        <f>IF(C328="","",SUMIFS(Budget!$H$5:$H$64,Budget!$C$5:$C$64,C328))</f>
        <v>0</v>
      </c>
      <c r="R328" s="25">
        <f>IF(C328="","",P328-Q328)</f>
        <v>0</v>
      </c>
      <c r="S328" s="23">
        <f>IF(C328="","",MonthlyPostTarget)</f>
        <v>0</v>
      </c>
      <c r="T328" s="17">
        <f>IF(Lists!$C328="","",Lists!$C328)</f>
        <v>0</v>
      </c>
      <c r="U328" s="23">
        <f>IF(T328="","",COUNTIFS('Content Calendar'!$G$5:$G$604,T328,'Content Calendar'!$B$5:$B$604,"&gt;="&amp;DashStart,'Content Calendar'!$B$5:$B$604,"&lt;="&amp;DashEnd))</f>
        <v>0</v>
      </c>
      <c r="V328" s="23">
        <f>IF(T328="","",COUNTIFS('Content Calendar'!$G$5:$G$604,T328,'Content Calendar'!$X$5:$X$604,"Published",'Content Calendar'!$B$5:$B$604,"&gt;="&amp;DashStart,'Content Calendar'!$B$5:$B$604,"&lt;="&amp;DashEnd))</f>
        <v>0</v>
      </c>
      <c r="W328" s="23">
        <f>IF(T328="","",SUMIFS(Analytics!$J$5:$J$154,Analytics!$D$5:$D$154,T328,Analytics!$B$5:$B$154,"&gt;="&amp;DashStart,Analytics!$B$5:$B$154,"&lt;="&amp;DashEnd))</f>
        <v>0</v>
      </c>
      <c r="X328" s="23">
        <f>IF(T328="","",SUMIFS(Analytics!$L$5:$L$154,Analytics!$D$5:$D$154,T328,Analytics!$B$5:$B$154,"&gt;="&amp;DashStart,Analytics!$B$5:$B$154,"&lt;="&amp;DashEnd))</f>
        <v>0</v>
      </c>
      <c r="Y328" s="24">
        <f>IF(OR(W328="",W328=0),"",X328/W328)</f>
        <v>0</v>
      </c>
      <c r="Z328" s="23">
        <f>IF(T328="","",SUMIFS(Analytics!$G$5:$G$154,Analytics!$D$5:$D$154,T328,Analytics!$B$5:$B$154,"&gt;="&amp;DashStart,Analytics!$B$5:$B$154,"&lt;="&amp;DashEnd))</f>
        <v>0</v>
      </c>
      <c r="AA328" s="23">
        <f>IF(T328="","",SUMIFS(Analytics!$X$5:$X$154,Analytics!$D$5:$D$154,T328,Analytics!$B$5:$B$154,"&gt;="&amp;DashStart,Analytics!$B$5:$B$154,"&lt;="&amp;DashEnd))</f>
        <v>0</v>
      </c>
      <c r="AB328" s="23">
        <f>IF(T328="","",SUMIFS(Analytics!$R$5:$R$154,Analytics!$D$5:$D$154,T328,Analytics!$B$5:$B$154,"&gt;="&amp;DashStart,Analytics!$B$5:$B$154,"&lt;="&amp;DashEnd))</f>
        <v>0</v>
      </c>
      <c r="AC328" s="25">
        <f>IF(T328="","",SUMIFS(Analytics!$U$5:$U$154,Analytics!$D$5:$D$154,T328,Analytics!$B$5:$B$154,"&gt;="&amp;DashStart,Analytics!$B$5:$B$154,"&lt;="&amp;DashEnd))</f>
        <v>0</v>
      </c>
      <c r="AD328" s="23">
        <f>IF(T328="","",COUNTIFS('Content Calendar'!$G$5:$G$604,T328,'Content Calendar'!$B$5:$B$604,"&gt;="&amp;DATE(PlanYear,1,1),'Content Calendar'!$B$5:$B$604,"&lt;="&amp;DATE(PlanYear,12,31)))</f>
        <v>0</v>
      </c>
      <c r="AE328" s="23">
        <f>IF(T328="","",SUMIFS(Analytics!$J$5:$J$154,Analytics!$D$5:$D$154,T328))</f>
        <v>0</v>
      </c>
      <c r="AF328" s="23">
        <f>IF(T328="","",SUMIFS(Analytics!$L$5:$L$154,Analytics!$D$5:$D$154,T328))</f>
        <v>0</v>
      </c>
      <c r="AG328" s="24">
        <f>IF(OR(AE328="",AE328=0),"",AF328/AE328)</f>
        <v>0</v>
      </c>
      <c r="AH328" s="23">
        <f>IF(T328="","",SUMIFS(Analytics!$X$5:$X$154,Analytics!$D$5:$D$154,T328))</f>
        <v>0</v>
      </c>
      <c r="AI328" s="32">
        <f>IF(T328="","",IF(AE328=0,"",AE328+ROW()/1000000))</f>
        <v>0</v>
      </c>
      <c r="AJ328" s="17">
        <f>IF('Content Pillars'!$B$328="","",'Content Pillars'!$B$328)</f>
        <v>0</v>
      </c>
      <c r="AK328" s="23">
        <f>IF(AJ328="","",COUNTIFS('Content Calendar'!$J$5:$J$604,AJ328,'Content Calendar'!$B$5:$B$604,"&gt;="&amp;DATE(PlanYear,1,1),'Content Calendar'!$B$5:$B$604,"&lt;="&amp;DATE(PlanYear,12,31)))</f>
        <v>0</v>
      </c>
      <c r="AL328" s="23">
        <f>IF(AJ328="","",SUMIFS(Performance!$O$5:$O$404,Performance!$H$5:$H$404,AJ328))</f>
        <v>0</v>
      </c>
      <c r="AM328" s="23">
        <f>IF(AJ328="","",SUMIFS(Performance!$Z$5:$Z$404,Performance!$H$5:$H$404,AJ328))</f>
        <v>0</v>
      </c>
      <c r="AN328" s="24">
        <f>IF(OR(AL328="",AL328=0),"",AM328/AL328)</f>
        <v>0</v>
      </c>
      <c r="AO328" s="32">
        <f>IF(AN328="","",AN328+ROW()/1000000)</f>
        <v>0</v>
      </c>
      <c r="AP328" s="17">
        <f>IF(Lists!$E328="","",Lists!$E328)</f>
        <v>0</v>
      </c>
      <c r="AQ328" s="23">
        <f>IF(AP328="","",COUNTIF(Performance!$G$5:$G$404,AP328))</f>
        <v>0</v>
      </c>
      <c r="AR328" s="23">
        <f>IF(AP328="","",SUMIFS(Performance!$O$5:$O$404,Performance!$G$5:$G$404,AP328))</f>
        <v>0</v>
      </c>
      <c r="AS328" s="23">
        <f>IF(AP328="","",SUMIFS(Performance!$Z$5:$Z$404,Performance!$G$5:$G$404,AP328))</f>
        <v>0</v>
      </c>
      <c r="AT328" s="24">
        <f>IF(OR(AR328="",AR328=0),"",AS328/AR328)</f>
        <v>0</v>
      </c>
      <c r="AU328" s="32">
        <f>IF(AQ328=0,"",IF(AT328="","",AT328+ROW()/1000000))</f>
        <v>0</v>
      </c>
      <c r="AV328" s="17">
        <f>IF(ROW()-4&gt;7,"",TEXT(DATE(2024,1,ROW()-4),"ddd"))</f>
        <v>0</v>
      </c>
      <c r="AW328" s="23">
        <f>IF(AV328="","",COUNTIF(Performance!$N$5:$N$404,AV328))</f>
        <v>0</v>
      </c>
      <c r="AX328" s="23">
        <f>IF(AV328="","",SUMIFS(Performance!$O$5:$O$404,Performance!$N$5:$N$404,AV328))</f>
        <v>0</v>
      </c>
      <c r="AY328" s="23">
        <f>IF(AV328="","",SUMIFS(Performance!$Z$5:$Z$404,Performance!$N$5:$N$404,AV328))</f>
        <v>0</v>
      </c>
      <c r="AZ328" s="24">
        <f>IF(OR(AX328="",AX328=0),"",AY328/AX328)</f>
        <v>0</v>
      </c>
      <c r="BA328" s="32">
        <f>IF(AW328=0,"",IF(AZ328="","",AZ328+ROW()/1000000))</f>
        <v>0</v>
      </c>
      <c r="BB328" s="17">
        <f>IF(Lists!$AL328="","",Lists!$AL328)</f>
        <v>0</v>
      </c>
      <c r="BC328" s="23">
        <f>IF(BB328="","",COUNTIF(Performance!$M$5:$M$404,BB328))</f>
        <v>0</v>
      </c>
      <c r="BD328" s="23">
        <f>IF(BB328="","",SUMIFS(Performance!$O$5:$O$404,Performance!$M$5:$M$404,BB328))</f>
        <v>0</v>
      </c>
      <c r="BE328" s="23">
        <f>IF(BB328="","",SUMIFS(Performance!$Z$5:$Z$404,Performance!$M$5:$M$404,BB328))</f>
        <v>0</v>
      </c>
      <c r="BF328" s="24">
        <f>IF(OR(BD328="",BD328=0),"",BE328/BD328)</f>
        <v>0</v>
      </c>
      <c r="BG328" s="32">
        <f>IF(BC328=0,"",IF(BF328="","",BF328+ROW()/1000000))</f>
        <v>0</v>
      </c>
      <c r="BH328" s="17">
        <f>IF(Performance!$C$328="","",Performance!$C$328)</f>
        <v>0</v>
      </c>
      <c r="BI328" s="17">
        <f>IF(Performance!$F$328="","",Performance!$F$328)</f>
        <v>0</v>
      </c>
      <c r="BJ328" s="17">
        <f>IF(Performance!$H$328="","",Performance!$H$328)</f>
        <v>0</v>
      </c>
      <c r="BK328" s="16">
        <f>IF(Performance!$D$328="","",Performance!$D$328)</f>
        <v>0</v>
      </c>
      <c r="BL328" s="17">
        <f>IF(Performance!$E$328="","",Performance!$E$328)</f>
        <v>0</v>
      </c>
      <c r="BM328" s="23">
        <f>IF(Performance!$O$328="","",Performance!$O$328)</f>
        <v>0</v>
      </c>
      <c r="BN328" s="24">
        <f>IF(Performance!$AA$328="","",Performance!$AA$328)</f>
        <v>0</v>
      </c>
      <c r="BO328" s="32">
        <f>IF(BH328="","",IF(BK328="","",IF(OR(BK328&lt;DashStart,BK328&gt;DashEnd),"",IF(BN328="","",BN328+ROW()/1000000))))</f>
        <v>0</v>
      </c>
      <c r="BP328" s="32">
        <f>IF(BM328="","",IF(BK328="","",IF(OR(BK328&lt;DashStart,BK328&gt;DashEnd),"",BM328+ROW()/1000000)))</f>
        <v>0</v>
      </c>
      <c r="BQ328" s="32">
        <f>IF(BH328="","",IF(BK328="","",IF(YEAR(BK328)&lt;&gt;PlanYear,"",IF(BN328="","",BN328+ROW()/1000000))))</f>
        <v>0</v>
      </c>
      <c r="BR328" s="32">
        <f>IF(BH328="","",IF(BK328="","",IF(OR(BK328&lt;RepFrom,BK328&gt;RepTo),"",IF(BN328="","",BN328+ROW()/1000000))))</f>
        <v>0</v>
      </c>
      <c r="BS328" s="32">
        <f>IF(BM328="","",IF(BK328="","",IF(YEAR(BK328)&lt;&gt;PlanYear,"",BM328+ROW()/1000000)))</f>
        <v>0</v>
      </c>
      <c r="BT328" s="17">
        <f>IF(Lists!$F328="","",Lists!$F328)</f>
        <v>0</v>
      </c>
      <c r="BU328" s="23">
        <f>IF(BT328="","",COUNTIF('Content Calendar'!$X$5:$X$604,BT328))</f>
        <v>0</v>
      </c>
      <c r="BV328" s="23">
        <f>IF(BT328="","",COUNTIFS('Content Calendar'!$X$5:$X$604,BT328,'Content Calendar'!$B$5:$B$604,"&gt;="&amp;DashStart,'Content Calendar'!$B$5:$B$604,"&lt;="&amp;DashEnd))</f>
        <v>0</v>
      </c>
      <c r="BW328" s="17">
        <f>IF(Team!$B$328="","",Team!$B$328)</f>
        <v>0</v>
      </c>
      <c r="BX328" s="23">
        <f>IF(BW328="","",COUNTIF('Content Calendar'!$W$5:$W$604,BW328))</f>
        <v>0</v>
      </c>
      <c r="BY328" s="23">
        <f>IF(BW328="","",COUNTIFS('Content Calendar'!$W$5:$W$604,BW328,'Content Calendar'!$X$5:$X$604,"&lt;&gt;Published"))</f>
        <v>0</v>
      </c>
      <c r="BZ328" s="23">
        <f>IF(BW328="","",COUNTIFS(Tasks!$C$5:$C$64,BW328,Tasks!$G$5:$G$64,"&lt;&gt;Complete"))</f>
        <v>0</v>
      </c>
      <c r="CA328" s="17">
        <f>IF(Campaigns!$B$328="","",Campaigns!$B$328)</f>
        <v>0</v>
      </c>
      <c r="CB328" s="25">
        <f>IF(Campaigns!$T$328="","",Campaigns!$T$328)</f>
        <v>0</v>
      </c>
      <c r="CC328" s="25">
        <f>IF(Campaigns!$Q$328="","",Campaigns!$Q$328)</f>
        <v>0</v>
      </c>
      <c r="CD328" s="23">
        <f>IF(Campaigns!$Y$328="","",Campaigns!$Y$328)</f>
        <v>0</v>
      </c>
      <c r="CE328" s="32">
        <f>IF(CA328="","",IF(N(CB328)&lt;=0,"",N(CB328)+ROW()/1000000))</f>
        <v>0</v>
      </c>
      <c r="CF328" s="17">
        <f>IF(Accounts!$C$328="","",Accounts!$C$328)</f>
        <v>0</v>
      </c>
      <c r="CG328" s="17">
        <f>IF(Accounts!$B$328="","",Accounts!$B$328)</f>
        <v>0</v>
      </c>
      <c r="CH328" s="23">
        <f>IF(Accounts!$J$328="","",Accounts!$J$328)</f>
        <v>0</v>
      </c>
      <c r="CI328" s="23">
        <f>IF(CF328="","",SUMIFS(Analytics!$X$5:$X$154,Analytics!$E$5:$E$154,CF328,Analytics!$B$5:$B$154,"&gt;="&amp;DashStart,Analytics!$B$5:$B$154,"&lt;="&amp;DashEnd))</f>
        <v>0</v>
      </c>
      <c r="CJ328" s="32">
        <f>IF(CH328="","",IF(CH328=0,"",CH328+ROW()/1000000))</f>
        <v>0</v>
      </c>
    </row>
    <row r="329" spans="1:88">
      <c r="A329" s="16">
        <f>IF(ROW()-4&gt;12,"",DATE(PlanYear,ROW()-4,1))</f>
        <v>0</v>
      </c>
      <c r="B329" s="16">
        <f>IF(A329="","",EOMONTH(A329,0))</f>
        <v>0</v>
      </c>
      <c r="C329" s="17">
        <f>IF(A329="","",TEXT(A329,"yyyy-mm"))</f>
        <v>0</v>
      </c>
      <c r="D329" s="17">
        <f>IF(A329="","",TEXT(A329,"mmm"))</f>
        <v>0</v>
      </c>
      <c r="E329" s="23">
        <f>IF(C329="","",COUNTIFS('Content Calendar'!$D$5:$D$604,C329))</f>
        <v>0</v>
      </c>
      <c r="F329" s="23">
        <f>IF(C329="","",COUNTIFS('Content Calendar'!$D$5:$D$604,C329,'Content Calendar'!$X$5:$X$604,"Published"))</f>
        <v>0</v>
      </c>
      <c r="G329" s="23">
        <f>IF(C329="","",SUMIFS(Analytics!$J$5:$J$154,Analytics!$C$5:$C$154,C329))</f>
        <v>0</v>
      </c>
      <c r="H329" s="23">
        <f>IF(C329="","",SUMIFS(Analytics!$K$5:$K$154,Analytics!$C$5:$C$154,C329))</f>
        <v>0</v>
      </c>
      <c r="I329" s="23">
        <f>IF(C329="","",SUMIFS(Analytics!$L$5:$L$154,Analytics!$C$5:$C$154,C329))</f>
        <v>0</v>
      </c>
      <c r="J329" s="24">
        <f>IF(OR(G329="",G329=0),"",I329/G329)</f>
        <v>0</v>
      </c>
      <c r="K329" s="23">
        <f>IF(C329="","",SUMIFS(Analytics!$G$5:$G$154,Analytics!$C$5:$C$154,C329))</f>
        <v>0</v>
      </c>
      <c r="L329" s="23">
        <f>IF(C329="","",SUMIFS(Analytics!$X$5:$X$154,Analytics!$C$5:$C$154,C329))</f>
        <v>0</v>
      </c>
      <c r="M329" s="23">
        <f>IF(C329="","",SUMIFS(Analytics!$R$5:$R$154,Analytics!$C$5:$C$154,C329))</f>
        <v>0</v>
      </c>
      <c r="N329" s="23">
        <f>IF(C329="","",SUMIFS(Analytics!$S$5:$S$154,Analytics!$C$5:$C$154,C329))</f>
        <v>0</v>
      </c>
      <c r="O329" s="23">
        <f>IF(C329="","",SUMIFS(Analytics!$T$5:$T$154,Analytics!$C$5:$C$154,C329))</f>
        <v>0</v>
      </c>
      <c r="P329" s="25">
        <f>IF(C329="","",SUMIFS(Analytics!$U$5:$U$154,Analytics!$C$5:$C$154,C329))</f>
        <v>0</v>
      </c>
      <c r="Q329" s="25">
        <f>IF(C329="","",SUMIFS(Budget!$H$5:$H$64,Budget!$C$5:$C$64,C329))</f>
        <v>0</v>
      </c>
      <c r="R329" s="25">
        <f>IF(C329="","",P329-Q329)</f>
        <v>0</v>
      </c>
      <c r="S329" s="23">
        <f>IF(C329="","",MonthlyPostTarget)</f>
        <v>0</v>
      </c>
      <c r="T329" s="17">
        <f>IF(Lists!$C329="","",Lists!$C329)</f>
        <v>0</v>
      </c>
      <c r="U329" s="23">
        <f>IF(T329="","",COUNTIFS('Content Calendar'!$G$5:$G$604,T329,'Content Calendar'!$B$5:$B$604,"&gt;="&amp;DashStart,'Content Calendar'!$B$5:$B$604,"&lt;="&amp;DashEnd))</f>
        <v>0</v>
      </c>
      <c r="V329" s="23">
        <f>IF(T329="","",COUNTIFS('Content Calendar'!$G$5:$G$604,T329,'Content Calendar'!$X$5:$X$604,"Published",'Content Calendar'!$B$5:$B$604,"&gt;="&amp;DashStart,'Content Calendar'!$B$5:$B$604,"&lt;="&amp;DashEnd))</f>
        <v>0</v>
      </c>
      <c r="W329" s="23">
        <f>IF(T329="","",SUMIFS(Analytics!$J$5:$J$154,Analytics!$D$5:$D$154,T329,Analytics!$B$5:$B$154,"&gt;="&amp;DashStart,Analytics!$B$5:$B$154,"&lt;="&amp;DashEnd))</f>
        <v>0</v>
      </c>
      <c r="X329" s="23">
        <f>IF(T329="","",SUMIFS(Analytics!$L$5:$L$154,Analytics!$D$5:$D$154,T329,Analytics!$B$5:$B$154,"&gt;="&amp;DashStart,Analytics!$B$5:$B$154,"&lt;="&amp;DashEnd))</f>
        <v>0</v>
      </c>
      <c r="Y329" s="24">
        <f>IF(OR(W329="",W329=0),"",X329/W329)</f>
        <v>0</v>
      </c>
      <c r="Z329" s="23">
        <f>IF(T329="","",SUMIFS(Analytics!$G$5:$G$154,Analytics!$D$5:$D$154,T329,Analytics!$B$5:$B$154,"&gt;="&amp;DashStart,Analytics!$B$5:$B$154,"&lt;="&amp;DashEnd))</f>
        <v>0</v>
      </c>
      <c r="AA329" s="23">
        <f>IF(T329="","",SUMIFS(Analytics!$X$5:$X$154,Analytics!$D$5:$D$154,T329,Analytics!$B$5:$B$154,"&gt;="&amp;DashStart,Analytics!$B$5:$B$154,"&lt;="&amp;DashEnd))</f>
        <v>0</v>
      </c>
      <c r="AB329" s="23">
        <f>IF(T329="","",SUMIFS(Analytics!$R$5:$R$154,Analytics!$D$5:$D$154,T329,Analytics!$B$5:$B$154,"&gt;="&amp;DashStart,Analytics!$B$5:$B$154,"&lt;="&amp;DashEnd))</f>
        <v>0</v>
      </c>
      <c r="AC329" s="25">
        <f>IF(T329="","",SUMIFS(Analytics!$U$5:$U$154,Analytics!$D$5:$D$154,T329,Analytics!$B$5:$B$154,"&gt;="&amp;DashStart,Analytics!$B$5:$B$154,"&lt;="&amp;DashEnd))</f>
        <v>0</v>
      </c>
      <c r="AD329" s="23">
        <f>IF(T329="","",COUNTIFS('Content Calendar'!$G$5:$G$604,T329,'Content Calendar'!$B$5:$B$604,"&gt;="&amp;DATE(PlanYear,1,1),'Content Calendar'!$B$5:$B$604,"&lt;="&amp;DATE(PlanYear,12,31)))</f>
        <v>0</v>
      </c>
      <c r="AE329" s="23">
        <f>IF(T329="","",SUMIFS(Analytics!$J$5:$J$154,Analytics!$D$5:$D$154,T329))</f>
        <v>0</v>
      </c>
      <c r="AF329" s="23">
        <f>IF(T329="","",SUMIFS(Analytics!$L$5:$L$154,Analytics!$D$5:$D$154,T329))</f>
        <v>0</v>
      </c>
      <c r="AG329" s="24">
        <f>IF(OR(AE329="",AE329=0),"",AF329/AE329)</f>
        <v>0</v>
      </c>
      <c r="AH329" s="23">
        <f>IF(T329="","",SUMIFS(Analytics!$X$5:$X$154,Analytics!$D$5:$D$154,T329))</f>
        <v>0</v>
      </c>
      <c r="AI329" s="32">
        <f>IF(T329="","",IF(AE329=0,"",AE329+ROW()/1000000))</f>
        <v>0</v>
      </c>
      <c r="AJ329" s="17">
        <f>IF('Content Pillars'!$B$329="","",'Content Pillars'!$B$329)</f>
        <v>0</v>
      </c>
      <c r="AK329" s="23">
        <f>IF(AJ329="","",COUNTIFS('Content Calendar'!$J$5:$J$604,AJ329,'Content Calendar'!$B$5:$B$604,"&gt;="&amp;DATE(PlanYear,1,1),'Content Calendar'!$B$5:$B$604,"&lt;="&amp;DATE(PlanYear,12,31)))</f>
        <v>0</v>
      </c>
      <c r="AL329" s="23">
        <f>IF(AJ329="","",SUMIFS(Performance!$O$5:$O$404,Performance!$H$5:$H$404,AJ329))</f>
        <v>0</v>
      </c>
      <c r="AM329" s="23">
        <f>IF(AJ329="","",SUMIFS(Performance!$Z$5:$Z$404,Performance!$H$5:$H$404,AJ329))</f>
        <v>0</v>
      </c>
      <c r="AN329" s="24">
        <f>IF(OR(AL329="",AL329=0),"",AM329/AL329)</f>
        <v>0</v>
      </c>
      <c r="AO329" s="32">
        <f>IF(AN329="","",AN329+ROW()/1000000)</f>
        <v>0</v>
      </c>
      <c r="AP329" s="17">
        <f>IF(Lists!$E329="","",Lists!$E329)</f>
        <v>0</v>
      </c>
      <c r="AQ329" s="23">
        <f>IF(AP329="","",COUNTIF(Performance!$G$5:$G$404,AP329))</f>
        <v>0</v>
      </c>
      <c r="AR329" s="23">
        <f>IF(AP329="","",SUMIFS(Performance!$O$5:$O$404,Performance!$G$5:$G$404,AP329))</f>
        <v>0</v>
      </c>
      <c r="AS329" s="23">
        <f>IF(AP329="","",SUMIFS(Performance!$Z$5:$Z$404,Performance!$G$5:$G$404,AP329))</f>
        <v>0</v>
      </c>
      <c r="AT329" s="24">
        <f>IF(OR(AR329="",AR329=0),"",AS329/AR329)</f>
        <v>0</v>
      </c>
      <c r="AU329" s="32">
        <f>IF(AQ329=0,"",IF(AT329="","",AT329+ROW()/1000000))</f>
        <v>0</v>
      </c>
      <c r="AV329" s="17">
        <f>IF(ROW()-4&gt;7,"",TEXT(DATE(2024,1,ROW()-4),"ddd"))</f>
        <v>0</v>
      </c>
      <c r="AW329" s="23">
        <f>IF(AV329="","",COUNTIF(Performance!$N$5:$N$404,AV329))</f>
        <v>0</v>
      </c>
      <c r="AX329" s="23">
        <f>IF(AV329="","",SUMIFS(Performance!$O$5:$O$404,Performance!$N$5:$N$404,AV329))</f>
        <v>0</v>
      </c>
      <c r="AY329" s="23">
        <f>IF(AV329="","",SUMIFS(Performance!$Z$5:$Z$404,Performance!$N$5:$N$404,AV329))</f>
        <v>0</v>
      </c>
      <c r="AZ329" s="24">
        <f>IF(OR(AX329="",AX329=0),"",AY329/AX329)</f>
        <v>0</v>
      </c>
      <c r="BA329" s="32">
        <f>IF(AW329=0,"",IF(AZ329="","",AZ329+ROW()/1000000))</f>
        <v>0</v>
      </c>
      <c r="BB329" s="17">
        <f>IF(Lists!$AL329="","",Lists!$AL329)</f>
        <v>0</v>
      </c>
      <c r="BC329" s="23">
        <f>IF(BB329="","",COUNTIF(Performance!$M$5:$M$404,BB329))</f>
        <v>0</v>
      </c>
      <c r="BD329" s="23">
        <f>IF(BB329="","",SUMIFS(Performance!$O$5:$O$404,Performance!$M$5:$M$404,BB329))</f>
        <v>0</v>
      </c>
      <c r="BE329" s="23">
        <f>IF(BB329="","",SUMIFS(Performance!$Z$5:$Z$404,Performance!$M$5:$M$404,BB329))</f>
        <v>0</v>
      </c>
      <c r="BF329" s="24">
        <f>IF(OR(BD329="",BD329=0),"",BE329/BD329)</f>
        <v>0</v>
      </c>
      <c r="BG329" s="32">
        <f>IF(BC329=0,"",IF(BF329="","",BF329+ROW()/1000000))</f>
        <v>0</v>
      </c>
      <c r="BH329" s="17">
        <f>IF(Performance!$C$329="","",Performance!$C$329)</f>
        <v>0</v>
      </c>
      <c r="BI329" s="17">
        <f>IF(Performance!$F$329="","",Performance!$F$329)</f>
        <v>0</v>
      </c>
      <c r="BJ329" s="17">
        <f>IF(Performance!$H$329="","",Performance!$H$329)</f>
        <v>0</v>
      </c>
      <c r="BK329" s="16">
        <f>IF(Performance!$D$329="","",Performance!$D$329)</f>
        <v>0</v>
      </c>
      <c r="BL329" s="17">
        <f>IF(Performance!$E$329="","",Performance!$E$329)</f>
        <v>0</v>
      </c>
      <c r="BM329" s="23">
        <f>IF(Performance!$O$329="","",Performance!$O$329)</f>
        <v>0</v>
      </c>
      <c r="BN329" s="24">
        <f>IF(Performance!$AA$329="","",Performance!$AA$329)</f>
        <v>0</v>
      </c>
      <c r="BO329" s="32">
        <f>IF(BH329="","",IF(BK329="","",IF(OR(BK329&lt;DashStart,BK329&gt;DashEnd),"",IF(BN329="","",BN329+ROW()/1000000))))</f>
        <v>0</v>
      </c>
      <c r="BP329" s="32">
        <f>IF(BM329="","",IF(BK329="","",IF(OR(BK329&lt;DashStart,BK329&gt;DashEnd),"",BM329+ROW()/1000000)))</f>
        <v>0</v>
      </c>
      <c r="BQ329" s="32">
        <f>IF(BH329="","",IF(BK329="","",IF(YEAR(BK329)&lt;&gt;PlanYear,"",IF(BN329="","",BN329+ROW()/1000000))))</f>
        <v>0</v>
      </c>
      <c r="BR329" s="32">
        <f>IF(BH329="","",IF(BK329="","",IF(OR(BK329&lt;RepFrom,BK329&gt;RepTo),"",IF(BN329="","",BN329+ROW()/1000000))))</f>
        <v>0</v>
      </c>
      <c r="BS329" s="32">
        <f>IF(BM329="","",IF(BK329="","",IF(YEAR(BK329)&lt;&gt;PlanYear,"",BM329+ROW()/1000000)))</f>
        <v>0</v>
      </c>
      <c r="BT329" s="17">
        <f>IF(Lists!$F329="","",Lists!$F329)</f>
        <v>0</v>
      </c>
      <c r="BU329" s="23">
        <f>IF(BT329="","",COUNTIF('Content Calendar'!$X$5:$X$604,BT329))</f>
        <v>0</v>
      </c>
      <c r="BV329" s="23">
        <f>IF(BT329="","",COUNTIFS('Content Calendar'!$X$5:$X$604,BT329,'Content Calendar'!$B$5:$B$604,"&gt;="&amp;DashStart,'Content Calendar'!$B$5:$B$604,"&lt;="&amp;DashEnd))</f>
        <v>0</v>
      </c>
      <c r="BW329" s="17">
        <f>IF(Team!$B$329="","",Team!$B$329)</f>
        <v>0</v>
      </c>
      <c r="BX329" s="23">
        <f>IF(BW329="","",COUNTIF('Content Calendar'!$W$5:$W$604,BW329))</f>
        <v>0</v>
      </c>
      <c r="BY329" s="23">
        <f>IF(BW329="","",COUNTIFS('Content Calendar'!$W$5:$W$604,BW329,'Content Calendar'!$X$5:$X$604,"&lt;&gt;Published"))</f>
        <v>0</v>
      </c>
      <c r="BZ329" s="23">
        <f>IF(BW329="","",COUNTIFS(Tasks!$C$5:$C$64,BW329,Tasks!$G$5:$G$64,"&lt;&gt;Complete"))</f>
        <v>0</v>
      </c>
      <c r="CA329" s="17">
        <f>IF(Campaigns!$B$329="","",Campaigns!$B$329)</f>
        <v>0</v>
      </c>
      <c r="CB329" s="25">
        <f>IF(Campaigns!$T$329="","",Campaigns!$T$329)</f>
        <v>0</v>
      </c>
      <c r="CC329" s="25">
        <f>IF(Campaigns!$Q$329="","",Campaigns!$Q$329)</f>
        <v>0</v>
      </c>
      <c r="CD329" s="23">
        <f>IF(Campaigns!$Y$329="","",Campaigns!$Y$329)</f>
        <v>0</v>
      </c>
      <c r="CE329" s="32">
        <f>IF(CA329="","",IF(N(CB329)&lt;=0,"",N(CB329)+ROW()/1000000))</f>
        <v>0</v>
      </c>
      <c r="CF329" s="17">
        <f>IF(Accounts!$C$329="","",Accounts!$C$329)</f>
        <v>0</v>
      </c>
      <c r="CG329" s="17">
        <f>IF(Accounts!$B$329="","",Accounts!$B$329)</f>
        <v>0</v>
      </c>
      <c r="CH329" s="23">
        <f>IF(Accounts!$J$329="","",Accounts!$J$329)</f>
        <v>0</v>
      </c>
      <c r="CI329" s="23">
        <f>IF(CF329="","",SUMIFS(Analytics!$X$5:$X$154,Analytics!$E$5:$E$154,CF329,Analytics!$B$5:$B$154,"&gt;="&amp;DashStart,Analytics!$B$5:$B$154,"&lt;="&amp;DashEnd))</f>
        <v>0</v>
      </c>
      <c r="CJ329" s="32">
        <f>IF(CH329="","",IF(CH329=0,"",CH329+ROW()/1000000))</f>
        <v>0</v>
      </c>
    </row>
    <row r="330" spans="1:88">
      <c r="A330" s="16">
        <f>IF(ROW()-4&gt;12,"",DATE(PlanYear,ROW()-4,1))</f>
        <v>0</v>
      </c>
      <c r="B330" s="16">
        <f>IF(A330="","",EOMONTH(A330,0))</f>
        <v>0</v>
      </c>
      <c r="C330" s="17">
        <f>IF(A330="","",TEXT(A330,"yyyy-mm"))</f>
        <v>0</v>
      </c>
      <c r="D330" s="17">
        <f>IF(A330="","",TEXT(A330,"mmm"))</f>
        <v>0</v>
      </c>
      <c r="E330" s="23">
        <f>IF(C330="","",COUNTIFS('Content Calendar'!$D$5:$D$604,C330))</f>
        <v>0</v>
      </c>
      <c r="F330" s="23">
        <f>IF(C330="","",COUNTIFS('Content Calendar'!$D$5:$D$604,C330,'Content Calendar'!$X$5:$X$604,"Published"))</f>
        <v>0</v>
      </c>
      <c r="G330" s="23">
        <f>IF(C330="","",SUMIFS(Analytics!$J$5:$J$154,Analytics!$C$5:$C$154,C330))</f>
        <v>0</v>
      </c>
      <c r="H330" s="23">
        <f>IF(C330="","",SUMIFS(Analytics!$K$5:$K$154,Analytics!$C$5:$C$154,C330))</f>
        <v>0</v>
      </c>
      <c r="I330" s="23">
        <f>IF(C330="","",SUMIFS(Analytics!$L$5:$L$154,Analytics!$C$5:$C$154,C330))</f>
        <v>0</v>
      </c>
      <c r="J330" s="24">
        <f>IF(OR(G330="",G330=0),"",I330/G330)</f>
        <v>0</v>
      </c>
      <c r="K330" s="23">
        <f>IF(C330="","",SUMIFS(Analytics!$G$5:$G$154,Analytics!$C$5:$C$154,C330))</f>
        <v>0</v>
      </c>
      <c r="L330" s="23">
        <f>IF(C330="","",SUMIFS(Analytics!$X$5:$X$154,Analytics!$C$5:$C$154,C330))</f>
        <v>0</v>
      </c>
      <c r="M330" s="23">
        <f>IF(C330="","",SUMIFS(Analytics!$R$5:$R$154,Analytics!$C$5:$C$154,C330))</f>
        <v>0</v>
      </c>
      <c r="N330" s="23">
        <f>IF(C330="","",SUMIFS(Analytics!$S$5:$S$154,Analytics!$C$5:$C$154,C330))</f>
        <v>0</v>
      </c>
      <c r="O330" s="23">
        <f>IF(C330="","",SUMIFS(Analytics!$T$5:$T$154,Analytics!$C$5:$C$154,C330))</f>
        <v>0</v>
      </c>
      <c r="P330" s="25">
        <f>IF(C330="","",SUMIFS(Analytics!$U$5:$U$154,Analytics!$C$5:$C$154,C330))</f>
        <v>0</v>
      </c>
      <c r="Q330" s="25">
        <f>IF(C330="","",SUMIFS(Budget!$H$5:$H$64,Budget!$C$5:$C$64,C330))</f>
        <v>0</v>
      </c>
      <c r="R330" s="25">
        <f>IF(C330="","",P330-Q330)</f>
        <v>0</v>
      </c>
      <c r="S330" s="23">
        <f>IF(C330="","",MonthlyPostTarget)</f>
        <v>0</v>
      </c>
      <c r="T330" s="17">
        <f>IF(Lists!$C330="","",Lists!$C330)</f>
        <v>0</v>
      </c>
      <c r="U330" s="23">
        <f>IF(T330="","",COUNTIFS('Content Calendar'!$G$5:$G$604,T330,'Content Calendar'!$B$5:$B$604,"&gt;="&amp;DashStart,'Content Calendar'!$B$5:$B$604,"&lt;="&amp;DashEnd))</f>
        <v>0</v>
      </c>
      <c r="V330" s="23">
        <f>IF(T330="","",COUNTIFS('Content Calendar'!$G$5:$G$604,T330,'Content Calendar'!$X$5:$X$604,"Published",'Content Calendar'!$B$5:$B$604,"&gt;="&amp;DashStart,'Content Calendar'!$B$5:$B$604,"&lt;="&amp;DashEnd))</f>
        <v>0</v>
      </c>
      <c r="W330" s="23">
        <f>IF(T330="","",SUMIFS(Analytics!$J$5:$J$154,Analytics!$D$5:$D$154,T330,Analytics!$B$5:$B$154,"&gt;="&amp;DashStart,Analytics!$B$5:$B$154,"&lt;="&amp;DashEnd))</f>
        <v>0</v>
      </c>
      <c r="X330" s="23">
        <f>IF(T330="","",SUMIFS(Analytics!$L$5:$L$154,Analytics!$D$5:$D$154,T330,Analytics!$B$5:$B$154,"&gt;="&amp;DashStart,Analytics!$B$5:$B$154,"&lt;="&amp;DashEnd))</f>
        <v>0</v>
      </c>
      <c r="Y330" s="24">
        <f>IF(OR(W330="",W330=0),"",X330/W330)</f>
        <v>0</v>
      </c>
      <c r="Z330" s="23">
        <f>IF(T330="","",SUMIFS(Analytics!$G$5:$G$154,Analytics!$D$5:$D$154,T330,Analytics!$B$5:$B$154,"&gt;="&amp;DashStart,Analytics!$B$5:$B$154,"&lt;="&amp;DashEnd))</f>
        <v>0</v>
      </c>
      <c r="AA330" s="23">
        <f>IF(T330="","",SUMIFS(Analytics!$X$5:$X$154,Analytics!$D$5:$D$154,T330,Analytics!$B$5:$B$154,"&gt;="&amp;DashStart,Analytics!$B$5:$B$154,"&lt;="&amp;DashEnd))</f>
        <v>0</v>
      </c>
      <c r="AB330" s="23">
        <f>IF(T330="","",SUMIFS(Analytics!$R$5:$R$154,Analytics!$D$5:$D$154,T330,Analytics!$B$5:$B$154,"&gt;="&amp;DashStart,Analytics!$B$5:$B$154,"&lt;="&amp;DashEnd))</f>
        <v>0</v>
      </c>
      <c r="AC330" s="25">
        <f>IF(T330="","",SUMIFS(Analytics!$U$5:$U$154,Analytics!$D$5:$D$154,T330,Analytics!$B$5:$B$154,"&gt;="&amp;DashStart,Analytics!$B$5:$B$154,"&lt;="&amp;DashEnd))</f>
        <v>0</v>
      </c>
      <c r="AD330" s="23">
        <f>IF(T330="","",COUNTIFS('Content Calendar'!$G$5:$G$604,T330,'Content Calendar'!$B$5:$B$604,"&gt;="&amp;DATE(PlanYear,1,1),'Content Calendar'!$B$5:$B$604,"&lt;="&amp;DATE(PlanYear,12,31)))</f>
        <v>0</v>
      </c>
      <c r="AE330" s="23">
        <f>IF(T330="","",SUMIFS(Analytics!$J$5:$J$154,Analytics!$D$5:$D$154,T330))</f>
        <v>0</v>
      </c>
      <c r="AF330" s="23">
        <f>IF(T330="","",SUMIFS(Analytics!$L$5:$L$154,Analytics!$D$5:$D$154,T330))</f>
        <v>0</v>
      </c>
      <c r="AG330" s="24">
        <f>IF(OR(AE330="",AE330=0),"",AF330/AE330)</f>
        <v>0</v>
      </c>
      <c r="AH330" s="23">
        <f>IF(T330="","",SUMIFS(Analytics!$X$5:$X$154,Analytics!$D$5:$D$154,T330))</f>
        <v>0</v>
      </c>
      <c r="AI330" s="32">
        <f>IF(T330="","",IF(AE330=0,"",AE330+ROW()/1000000))</f>
        <v>0</v>
      </c>
      <c r="AJ330" s="17">
        <f>IF('Content Pillars'!$B$330="","",'Content Pillars'!$B$330)</f>
        <v>0</v>
      </c>
      <c r="AK330" s="23">
        <f>IF(AJ330="","",COUNTIFS('Content Calendar'!$J$5:$J$604,AJ330,'Content Calendar'!$B$5:$B$604,"&gt;="&amp;DATE(PlanYear,1,1),'Content Calendar'!$B$5:$B$604,"&lt;="&amp;DATE(PlanYear,12,31)))</f>
        <v>0</v>
      </c>
      <c r="AL330" s="23">
        <f>IF(AJ330="","",SUMIFS(Performance!$O$5:$O$404,Performance!$H$5:$H$404,AJ330))</f>
        <v>0</v>
      </c>
      <c r="AM330" s="23">
        <f>IF(AJ330="","",SUMIFS(Performance!$Z$5:$Z$404,Performance!$H$5:$H$404,AJ330))</f>
        <v>0</v>
      </c>
      <c r="AN330" s="24">
        <f>IF(OR(AL330="",AL330=0),"",AM330/AL330)</f>
        <v>0</v>
      </c>
      <c r="AO330" s="32">
        <f>IF(AN330="","",AN330+ROW()/1000000)</f>
        <v>0</v>
      </c>
      <c r="AP330" s="17">
        <f>IF(Lists!$E330="","",Lists!$E330)</f>
        <v>0</v>
      </c>
      <c r="AQ330" s="23">
        <f>IF(AP330="","",COUNTIF(Performance!$G$5:$G$404,AP330))</f>
        <v>0</v>
      </c>
      <c r="AR330" s="23">
        <f>IF(AP330="","",SUMIFS(Performance!$O$5:$O$404,Performance!$G$5:$G$404,AP330))</f>
        <v>0</v>
      </c>
      <c r="AS330" s="23">
        <f>IF(AP330="","",SUMIFS(Performance!$Z$5:$Z$404,Performance!$G$5:$G$404,AP330))</f>
        <v>0</v>
      </c>
      <c r="AT330" s="24">
        <f>IF(OR(AR330="",AR330=0),"",AS330/AR330)</f>
        <v>0</v>
      </c>
      <c r="AU330" s="32">
        <f>IF(AQ330=0,"",IF(AT330="","",AT330+ROW()/1000000))</f>
        <v>0</v>
      </c>
      <c r="AV330" s="17">
        <f>IF(ROW()-4&gt;7,"",TEXT(DATE(2024,1,ROW()-4),"ddd"))</f>
        <v>0</v>
      </c>
      <c r="AW330" s="23">
        <f>IF(AV330="","",COUNTIF(Performance!$N$5:$N$404,AV330))</f>
        <v>0</v>
      </c>
      <c r="AX330" s="23">
        <f>IF(AV330="","",SUMIFS(Performance!$O$5:$O$404,Performance!$N$5:$N$404,AV330))</f>
        <v>0</v>
      </c>
      <c r="AY330" s="23">
        <f>IF(AV330="","",SUMIFS(Performance!$Z$5:$Z$404,Performance!$N$5:$N$404,AV330))</f>
        <v>0</v>
      </c>
      <c r="AZ330" s="24">
        <f>IF(OR(AX330="",AX330=0),"",AY330/AX330)</f>
        <v>0</v>
      </c>
      <c r="BA330" s="32">
        <f>IF(AW330=0,"",IF(AZ330="","",AZ330+ROW()/1000000))</f>
        <v>0</v>
      </c>
      <c r="BB330" s="17">
        <f>IF(Lists!$AL330="","",Lists!$AL330)</f>
        <v>0</v>
      </c>
      <c r="BC330" s="23">
        <f>IF(BB330="","",COUNTIF(Performance!$M$5:$M$404,BB330))</f>
        <v>0</v>
      </c>
      <c r="BD330" s="23">
        <f>IF(BB330="","",SUMIFS(Performance!$O$5:$O$404,Performance!$M$5:$M$404,BB330))</f>
        <v>0</v>
      </c>
      <c r="BE330" s="23">
        <f>IF(BB330="","",SUMIFS(Performance!$Z$5:$Z$404,Performance!$M$5:$M$404,BB330))</f>
        <v>0</v>
      </c>
      <c r="BF330" s="24">
        <f>IF(OR(BD330="",BD330=0),"",BE330/BD330)</f>
        <v>0</v>
      </c>
      <c r="BG330" s="32">
        <f>IF(BC330=0,"",IF(BF330="","",BF330+ROW()/1000000))</f>
        <v>0</v>
      </c>
      <c r="BH330" s="17">
        <f>IF(Performance!$C$330="","",Performance!$C$330)</f>
        <v>0</v>
      </c>
      <c r="BI330" s="17">
        <f>IF(Performance!$F$330="","",Performance!$F$330)</f>
        <v>0</v>
      </c>
      <c r="BJ330" s="17">
        <f>IF(Performance!$H$330="","",Performance!$H$330)</f>
        <v>0</v>
      </c>
      <c r="BK330" s="16">
        <f>IF(Performance!$D$330="","",Performance!$D$330)</f>
        <v>0</v>
      </c>
      <c r="BL330" s="17">
        <f>IF(Performance!$E$330="","",Performance!$E$330)</f>
        <v>0</v>
      </c>
      <c r="BM330" s="23">
        <f>IF(Performance!$O$330="","",Performance!$O$330)</f>
        <v>0</v>
      </c>
      <c r="BN330" s="24">
        <f>IF(Performance!$AA$330="","",Performance!$AA$330)</f>
        <v>0</v>
      </c>
      <c r="BO330" s="32">
        <f>IF(BH330="","",IF(BK330="","",IF(OR(BK330&lt;DashStart,BK330&gt;DashEnd),"",IF(BN330="","",BN330+ROW()/1000000))))</f>
        <v>0</v>
      </c>
      <c r="BP330" s="32">
        <f>IF(BM330="","",IF(BK330="","",IF(OR(BK330&lt;DashStart,BK330&gt;DashEnd),"",BM330+ROW()/1000000)))</f>
        <v>0</v>
      </c>
      <c r="BQ330" s="32">
        <f>IF(BH330="","",IF(BK330="","",IF(YEAR(BK330)&lt;&gt;PlanYear,"",IF(BN330="","",BN330+ROW()/1000000))))</f>
        <v>0</v>
      </c>
      <c r="BR330" s="32">
        <f>IF(BH330="","",IF(BK330="","",IF(OR(BK330&lt;RepFrom,BK330&gt;RepTo),"",IF(BN330="","",BN330+ROW()/1000000))))</f>
        <v>0</v>
      </c>
      <c r="BS330" s="32">
        <f>IF(BM330="","",IF(BK330="","",IF(YEAR(BK330)&lt;&gt;PlanYear,"",BM330+ROW()/1000000)))</f>
        <v>0</v>
      </c>
      <c r="BT330" s="17">
        <f>IF(Lists!$F330="","",Lists!$F330)</f>
        <v>0</v>
      </c>
      <c r="BU330" s="23">
        <f>IF(BT330="","",COUNTIF('Content Calendar'!$X$5:$X$604,BT330))</f>
        <v>0</v>
      </c>
      <c r="BV330" s="23">
        <f>IF(BT330="","",COUNTIFS('Content Calendar'!$X$5:$X$604,BT330,'Content Calendar'!$B$5:$B$604,"&gt;="&amp;DashStart,'Content Calendar'!$B$5:$B$604,"&lt;="&amp;DashEnd))</f>
        <v>0</v>
      </c>
      <c r="BW330" s="17">
        <f>IF(Team!$B$330="","",Team!$B$330)</f>
        <v>0</v>
      </c>
      <c r="BX330" s="23">
        <f>IF(BW330="","",COUNTIF('Content Calendar'!$W$5:$W$604,BW330))</f>
        <v>0</v>
      </c>
      <c r="BY330" s="23">
        <f>IF(BW330="","",COUNTIFS('Content Calendar'!$W$5:$W$604,BW330,'Content Calendar'!$X$5:$X$604,"&lt;&gt;Published"))</f>
        <v>0</v>
      </c>
      <c r="BZ330" s="23">
        <f>IF(BW330="","",COUNTIFS(Tasks!$C$5:$C$64,BW330,Tasks!$G$5:$G$64,"&lt;&gt;Complete"))</f>
        <v>0</v>
      </c>
      <c r="CA330" s="17">
        <f>IF(Campaigns!$B$330="","",Campaigns!$B$330)</f>
        <v>0</v>
      </c>
      <c r="CB330" s="25">
        <f>IF(Campaigns!$T$330="","",Campaigns!$T$330)</f>
        <v>0</v>
      </c>
      <c r="CC330" s="25">
        <f>IF(Campaigns!$Q$330="","",Campaigns!$Q$330)</f>
        <v>0</v>
      </c>
      <c r="CD330" s="23">
        <f>IF(Campaigns!$Y$330="","",Campaigns!$Y$330)</f>
        <v>0</v>
      </c>
      <c r="CE330" s="32">
        <f>IF(CA330="","",IF(N(CB330)&lt;=0,"",N(CB330)+ROW()/1000000))</f>
        <v>0</v>
      </c>
      <c r="CF330" s="17">
        <f>IF(Accounts!$C$330="","",Accounts!$C$330)</f>
        <v>0</v>
      </c>
      <c r="CG330" s="17">
        <f>IF(Accounts!$B$330="","",Accounts!$B$330)</f>
        <v>0</v>
      </c>
      <c r="CH330" s="23">
        <f>IF(Accounts!$J$330="","",Accounts!$J$330)</f>
        <v>0</v>
      </c>
      <c r="CI330" s="23">
        <f>IF(CF330="","",SUMIFS(Analytics!$X$5:$X$154,Analytics!$E$5:$E$154,CF330,Analytics!$B$5:$B$154,"&gt;="&amp;DashStart,Analytics!$B$5:$B$154,"&lt;="&amp;DashEnd))</f>
        <v>0</v>
      </c>
      <c r="CJ330" s="32">
        <f>IF(CH330="","",IF(CH330=0,"",CH330+ROW()/1000000))</f>
        <v>0</v>
      </c>
    </row>
    <row r="331" spans="1:88">
      <c r="A331" s="16">
        <f>IF(ROW()-4&gt;12,"",DATE(PlanYear,ROW()-4,1))</f>
        <v>0</v>
      </c>
      <c r="B331" s="16">
        <f>IF(A331="","",EOMONTH(A331,0))</f>
        <v>0</v>
      </c>
      <c r="C331" s="17">
        <f>IF(A331="","",TEXT(A331,"yyyy-mm"))</f>
        <v>0</v>
      </c>
      <c r="D331" s="17">
        <f>IF(A331="","",TEXT(A331,"mmm"))</f>
        <v>0</v>
      </c>
      <c r="E331" s="23">
        <f>IF(C331="","",COUNTIFS('Content Calendar'!$D$5:$D$604,C331))</f>
        <v>0</v>
      </c>
      <c r="F331" s="23">
        <f>IF(C331="","",COUNTIFS('Content Calendar'!$D$5:$D$604,C331,'Content Calendar'!$X$5:$X$604,"Published"))</f>
        <v>0</v>
      </c>
      <c r="G331" s="23">
        <f>IF(C331="","",SUMIFS(Analytics!$J$5:$J$154,Analytics!$C$5:$C$154,C331))</f>
        <v>0</v>
      </c>
      <c r="H331" s="23">
        <f>IF(C331="","",SUMIFS(Analytics!$K$5:$K$154,Analytics!$C$5:$C$154,C331))</f>
        <v>0</v>
      </c>
      <c r="I331" s="23">
        <f>IF(C331="","",SUMIFS(Analytics!$L$5:$L$154,Analytics!$C$5:$C$154,C331))</f>
        <v>0</v>
      </c>
      <c r="J331" s="24">
        <f>IF(OR(G331="",G331=0),"",I331/G331)</f>
        <v>0</v>
      </c>
      <c r="K331" s="23">
        <f>IF(C331="","",SUMIFS(Analytics!$G$5:$G$154,Analytics!$C$5:$C$154,C331))</f>
        <v>0</v>
      </c>
      <c r="L331" s="23">
        <f>IF(C331="","",SUMIFS(Analytics!$X$5:$X$154,Analytics!$C$5:$C$154,C331))</f>
        <v>0</v>
      </c>
      <c r="M331" s="23">
        <f>IF(C331="","",SUMIFS(Analytics!$R$5:$R$154,Analytics!$C$5:$C$154,C331))</f>
        <v>0</v>
      </c>
      <c r="N331" s="23">
        <f>IF(C331="","",SUMIFS(Analytics!$S$5:$S$154,Analytics!$C$5:$C$154,C331))</f>
        <v>0</v>
      </c>
      <c r="O331" s="23">
        <f>IF(C331="","",SUMIFS(Analytics!$T$5:$T$154,Analytics!$C$5:$C$154,C331))</f>
        <v>0</v>
      </c>
      <c r="P331" s="25">
        <f>IF(C331="","",SUMIFS(Analytics!$U$5:$U$154,Analytics!$C$5:$C$154,C331))</f>
        <v>0</v>
      </c>
      <c r="Q331" s="25">
        <f>IF(C331="","",SUMIFS(Budget!$H$5:$H$64,Budget!$C$5:$C$64,C331))</f>
        <v>0</v>
      </c>
      <c r="R331" s="25">
        <f>IF(C331="","",P331-Q331)</f>
        <v>0</v>
      </c>
      <c r="S331" s="23">
        <f>IF(C331="","",MonthlyPostTarget)</f>
        <v>0</v>
      </c>
      <c r="T331" s="17">
        <f>IF(Lists!$C331="","",Lists!$C331)</f>
        <v>0</v>
      </c>
      <c r="U331" s="23">
        <f>IF(T331="","",COUNTIFS('Content Calendar'!$G$5:$G$604,T331,'Content Calendar'!$B$5:$B$604,"&gt;="&amp;DashStart,'Content Calendar'!$B$5:$B$604,"&lt;="&amp;DashEnd))</f>
        <v>0</v>
      </c>
      <c r="V331" s="23">
        <f>IF(T331="","",COUNTIFS('Content Calendar'!$G$5:$G$604,T331,'Content Calendar'!$X$5:$X$604,"Published",'Content Calendar'!$B$5:$B$604,"&gt;="&amp;DashStart,'Content Calendar'!$B$5:$B$604,"&lt;="&amp;DashEnd))</f>
        <v>0</v>
      </c>
      <c r="W331" s="23">
        <f>IF(T331="","",SUMIFS(Analytics!$J$5:$J$154,Analytics!$D$5:$D$154,T331,Analytics!$B$5:$B$154,"&gt;="&amp;DashStart,Analytics!$B$5:$B$154,"&lt;="&amp;DashEnd))</f>
        <v>0</v>
      </c>
      <c r="X331" s="23">
        <f>IF(T331="","",SUMIFS(Analytics!$L$5:$L$154,Analytics!$D$5:$D$154,T331,Analytics!$B$5:$B$154,"&gt;="&amp;DashStart,Analytics!$B$5:$B$154,"&lt;="&amp;DashEnd))</f>
        <v>0</v>
      </c>
      <c r="Y331" s="24">
        <f>IF(OR(W331="",W331=0),"",X331/W331)</f>
        <v>0</v>
      </c>
      <c r="Z331" s="23">
        <f>IF(T331="","",SUMIFS(Analytics!$G$5:$G$154,Analytics!$D$5:$D$154,T331,Analytics!$B$5:$B$154,"&gt;="&amp;DashStart,Analytics!$B$5:$B$154,"&lt;="&amp;DashEnd))</f>
        <v>0</v>
      </c>
      <c r="AA331" s="23">
        <f>IF(T331="","",SUMIFS(Analytics!$X$5:$X$154,Analytics!$D$5:$D$154,T331,Analytics!$B$5:$B$154,"&gt;="&amp;DashStart,Analytics!$B$5:$B$154,"&lt;="&amp;DashEnd))</f>
        <v>0</v>
      </c>
      <c r="AB331" s="23">
        <f>IF(T331="","",SUMIFS(Analytics!$R$5:$R$154,Analytics!$D$5:$D$154,T331,Analytics!$B$5:$B$154,"&gt;="&amp;DashStart,Analytics!$B$5:$B$154,"&lt;="&amp;DashEnd))</f>
        <v>0</v>
      </c>
      <c r="AC331" s="25">
        <f>IF(T331="","",SUMIFS(Analytics!$U$5:$U$154,Analytics!$D$5:$D$154,T331,Analytics!$B$5:$B$154,"&gt;="&amp;DashStart,Analytics!$B$5:$B$154,"&lt;="&amp;DashEnd))</f>
        <v>0</v>
      </c>
      <c r="AD331" s="23">
        <f>IF(T331="","",COUNTIFS('Content Calendar'!$G$5:$G$604,T331,'Content Calendar'!$B$5:$B$604,"&gt;="&amp;DATE(PlanYear,1,1),'Content Calendar'!$B$5:$B$604,"&lt;="&amp;DATE(PlanYear,12,31)))</f>
        <v>0</v>
      </c>
      <c r="AE331" s="23">
        <f>IF(T331="","",SUMIFS(Analytics!$J$5:$J$154,Analytics!$D$5:$D$154,T331))</f>
        <v>0</v>
      </c>
      <c r="AF331" s="23">
        <f>IF(T331="","",SUMIFS(Analytics!$L$5:$L$154,Analytics!$D$5:$D$154,T331))</f>
        <v>0</v>
      </c>
      <c r="AG331" s="24">
        <f>IF(OR(AE331="",AE331=0),"",AF331/AE331)</f>
        <v>0</v>
      </c>
      <c r="AH331" s="23">
        <f>IF(T331="","",SUMIFS(Analytics!$X$5:$X$154,Analytics!$D$5:$D$154,T331))</f>
        <v>0</v>
      </c>
      <c r="AI331" s="32">
        <f>IF(T331="","",IF(AE331=0,"",AE331+ROW()/1000000))</f>
        <v>0</v>
      </c>
      <c r="AJ331" s="17">
        <f>IF('Content Pillars'!$B$331="","",'Content Pillars'!$B$331)</f>
        <v>0</v>
      </c>
      <c r="AK331" s="23">
        <f>IF(AJ331="","",COUNTIFS('Content Calendar'!$J$5:$J$604,AJ331,'Content Calendar'!$B$5:$B$604,"&gt;="&amp;DATE(PlanYear,1,1),'Content Calendar'!$B$5:$B$604,"&lt;="&amp;DATE(PlanYear,12,31)))</f>
        <v>0</v>
      </c>
      <c r="AL331" s="23">
        <f>IF(AJ331="","",SUMIFS(Performance!$O$5:$O$404,Performance!$H$5:$H$404,AJ331))</f>
        <v>0</v>
      </c>
      <c r="AM331" s="23">
        <f>IF(AJ331="","",SUMIFS(Performance!$Z$5:$Z$404,Performance!$H$5:$H$404,AJ331))</f>
        <v>0</v>
      </c>
      <c r="AN331" s="24">
        <f>IF(OR(AL331="",AL331=0),"",AM331/AL331)</f>
        <v>0</v>
      </c>
      <c r="AO331" s="32">
        <f>IF(AN331="","",AN331+ROW()/1000000)</f>
        <v>0</v>
      </c>
      <c r="AP331" s="17">
        <f>IF(Lists!$E331="","",Lists!$E331)</f>
        <v>0</v>
      </c>
      <c r="AQ331" s="23">
        <f>IF(AP331="","",COUNTIF(Performance!$G$5:$G$404,AP331))</f>
        <v>0</v>
      </c>
      <c r="AR331" s="23">
        <f>IF(AP331="","",SUMIFS(Performance!$O$5:$O$404,Performance!$G$5:$G$404,AP331))</f>
        <v>0</v>
      </c>
      <c r="AS331" s="23">
        <f>IF(AP331="","",SUMIFS(Performance!$Z$5:$Z$404,Performance!$G$5:$G$404,AP331))</f>
        <v>0</v>
      </c>
      <c r="AT331" s="24">
        <f>IF(OR(AR331="",AR331=0),"",AS331/AR331)</f>
        <v>0</v>
      </c>
      <c r="AU331" s="32">
        <f>IF(AQ331=0,"",IF(AT331="","",AT331+ROW()/1000000))</f>
        <v>0</v>
      </c>
      <c r="AV331" s="17">
        <f>IF(ROW()-4&gt;7,"",TEXT(DATE(2024,1,ROW()-4),"ddd"))</f>
        <v>0</v>
      </c>
      <c r="AW331" s="23">
        <f>IF(AV331="","",COUNTIF(Performance!$N$5:$N$404,AV331))</f>
        <v>0</v>
      </c>
      <c r="AX331" s="23">
        <f>IF(AV331="","",SUMIFS(Performance!$O$5:$O$404,Performance!$N$5:$N$404,AV331))</f>
        <v>0</v>
      </c>
      <c r="AY331" s="23">
        <f>IF(AV331="","",SUMIFS(Performance!$Z$5:$Z$404,Performance!$N$5:$N$404,AV331))</f>
        <v>0</v>
      </c>
      <c r="AZ331" s="24">
        <f>IF(OR(AX331="",AX331=0),"",AY331/AX331)</f>
        <v>0</v>
      </c>
      <c r="BA331" s="32">
        <f>IF(AW331=0,"",IF(AZ331="","",AZ331+ROW()/1000000))</f>
        <v>0</v>
      </c>
      <c r="BB331" s="17">
        <f>IF(Lists!$AL331="","",Lists!$AL331)</f>
        <v>0</v>
      </c>
      <c r="BC331" s="23">
        <f>IF(BB331="","",COUNTIF(Performance!$M$5:$M$404,BB331))</f>
        <v>0</v>
      </c>
      <c r="BD331" s="23">
        <f>IF(BB331="","",SUMIFS(Performance!$O$5:$O$404,Performance!$M$5:$M$404,BB331))</f>
        <v>0</v>
      </c>
      <c r="BE331" s="23">
        <f>IF(BB331="","",SUMIFS(Performance!$Z$5:$Z$404,Performance!$M$5:$M$404,BB331))</f>
        <v>0</v>
      </c>
      <c r="BF331" s="24">
        <f>IF(OR(BD331="",BD331=0),"",BE331/BD331)</f>
        <v>0</v>
      </c>
      <c r="BG331" s="32">
        <f>IF(BC331=0,"",IF(BF331="","",BF331+ROW()/1000000))</f>
        <v>0</v>
      </c>
      <c r="BH331" s="17">
        <f>IF(Performance!$C$331="","",Performance!$C$331)</f>
        <v>0</v>
      </c>
      <c r="BI331" s="17">
        <f>IF(Performance!$F$331="","",Performance!$F$331)</f>
        <v>0</v>
      </c>
      <c r="BJ331" s="17">
        <f>IF(Performance!$H$331="","",Performance!$H$331)</f>
        <v>0</v>
      </c>
      <c r="BK331" s="16">
        <f>IF(Performance!$D$331="","",Performance!$D$331)</f>
        <v>0</v>
      </c>
      <c r="BL331" s="17">
        <f>IF(Performance!$E$331="","",Performance!$E$331)</f>
        <v>0</v>
      </c>
      <c r="BM331" s="23">
        <f>IF(Performance!$O$331="","",Performance!$O$331)</f>
        <v>0</v>
      </c>
      <c r="BN331" s="24">
        <f>IF(Performance!$AA$331="","",Performance!$AA$331)</f>
        <v>0</v>
      </c>
      <c r="BO331" s="32">
        <f>IF(BH331="","",IF(BK331="","",IF(OR(BK331&lt;DashStart,BK331&gt;DashEnd),"",IF(BN331="","",BN331+ROW()/1000000))))</f>
        <v>0</v>
      </c>
      <c r="BP331" s="32">
        <f>IF(BM331="","",IF(BK331="","",IF(OR(BK331&lt;DashStart,BK331&gt;DashEnd),"",BM331+ROW()/1000000)))</f>
        <v>0</v>
      </c>
      <c r="BQ331" s="32">
        <f>IF(BH331="","",IF(BK331="","",IF(YEAR(BK331)&lt;&gt;PlanYear,"",IF(BN331="","",BN331+ROW()/1000000))))</f>
        <v>0</v>
      </c>
      <c r="BR331" s="32">
        <f>IF(BH331="","",IF(BK331="","",IF(OR(BK331&lt;RepFrom,BK331&gt;RepTo),"",IF(BN331="","",BN331+ROW()/1000000))))</f>
        <v>0</v>
      </c>
      <c r="BS331" s="32">
        <f>IF(BM331="","",IF(BK331="","",IF(YEAR(BK331)&lt;&gt;PlanYear,"",BM331+ROW()/1000000)))</f>
        <v>0</v>
      </c>
      <c r="BT331" s="17">
        <f>IF(Lists!$F331="","",Lists!$F331)</f>
        <v>0</v>
      </c>
      <c r="BU331" s="23">
        <f>IF(BT331="","",COUNTIF('Content Calendar'!$X$5:$X$604,BT331))</f>
        <v>0</v>
      </c>
      <c r="BV331" s="23">
        <f>IF(BT331="","",COUNTIFS('Content Calendar'!$X$5:$X$604,BT331,'Content Calendar'!$B$5:$B$604,"&gt;="&amp;DashStart,'Content Calendar'!$B$5:$B$604,"&lt;="&amp;DashEnd))</f>
        <v>0</v>
      </c>
      <c r="BW331" s="17">
        <f>IF(Team!$B$331="","",Team!$B$331)</f>
        <v>0</v>
      </c>
      <c r="BX331" s="23">
        <f>IF(BW331="","",COUNTIF('Content Calendar'!$W$5:$W$604,BW331))</f>
        <v>0</v>
      </c>
      <c r="BY331" s="23">
        <f>IF(BW331="","",COUNTIFS('Content Calendar'!$W$5:$W$604,BW331,'Content Calendar'!$X$5:$X$604,"&lt;&gt;Published"))</f>
        <v>0</v>
      </c>
      <c r="BZ331" s="23">
        <f>IF(BW331="","",COUNTIFS(Tasks!$C$5:$C$64,BW331,Tasks!$G$5:$G$64,"&lt;&gt;Complete"))</f>
        <v>0</v>
      </c>
      <c r="CA331" s="17">
        <f>IF(Campaigns!$B$331="","",Campaigns!$B$331)</f>
        <v>0</v>
      </c>
      <c r="CB331" s="25">
        <f>IF(Campaigns!$T$331="","",Campaigns!$T$331)</f>
        <v>0</v>
      </c>
      <c r="CC331" s="25">
        <f>IF(Campaigns!$Q$331="","",Campaigns!$Q$331)</f>
        <v>0</v>
      </c>
      <c r="CD331" s="23">
        <f>IF(Campaigns!$Y$331="","",Campaigns!$Y$331)</f>
        <v>0</v>
      </c>
      <c r="CE331" s="32">
        <f>IF(CA331="","",IF(N(CB331)&lt;=0,"",N(CB331)+ROW()/1000000))</f>
        <v>0</v>
      </c>
      <c r="CF331" s="17">
        <f>IF(Accounts!$C$331="","",Accounts!$C$331)</f>
        <v>0</v>
      </c>
      <c r="CG331" s="17">
        <f>IF(Accounts!$B$331="","",Accounts!$B$331)</f>
        <v>0</v>
      </c>
      <c r="CH331" s="23">
        <f>IF(Accounts!$J$331="","",Accounts!$J$331)</f>
        <v>0</v>
      </c>
      <c r="CI331" s="23">
        <f>IF(CF331="","",SUMIFS(Analytics!$X$5:$X$154,Analytics!$E$5:$E$154,CF331,Analytics!$B$5:$B$154,"&gt;="&amp;DashStart,Analytics!$B$5:$B$154,"&lt;="&amp;DashEnd))</f>
        <v>0</v>
      </c>
      <c r="CJ331" s="32">
        <f>IF(CH331="","",IF(CH331=0,"",CH331+ROW()/1000000))</f>
        <v>0</v>
      </c>
    </row>
    <row r="332" spans="1:88">
      <c r="A332" s="16">
        <f>IF(ROW()-4&gt;12,"",DATE(PlanYear,ROW()-4,1))</f>
        <v>0</v>
      </c>
      <c r="B332" s="16">
        <f>IF(A332="","",EOMONTH(A332,0))</f>
        <v>0</v>
      </c>
      <c r="C332" s="17">
        <f>IF(A332="","",TEXT(A332,"yyyy-mm"))</f>
        <v>0</v>
      </c>
      <c r="D332" s="17">
        <f>IF(A332="","",TEXT(A332,"mmm"))</f>
        <v>0</v>
      </c>
      <c r="E332" s="23">
        <f>IF(C332="","",COUNTIFS('Content Calendar'!$D$5:$D$604,C332))</f>
        <v>0</v>
      </c>
      <c r="F332" s="23">
        <f>IF(C332="","",COUNTIFS('Content Calendar'!$D$5:$D$604,C332,'Content Calendar'!$X$5:$X$604,"Published"))</f>
        <v>0</v>
      </c>
      <c r="G332" s="23">
        <f>IF(C332="","",SUMIFS(Analytics!$J$5:$J$154,Analytics!$C$5:$C$154,C332))</f>
        <v>0</v>
      </c>
      <c r="H332" s="23">
        <f>IF(C332="","",SUMIFS(Analytics!$K$5:$K$154,Analytics!$C$5:$C$154,C332))</f>
        <v>0</v>
      </c>
      <c r="I332" s="23">
        <f>IF(C332="","",SUMIFS(Analytics!$L$5:$L$154,Analytics!$C$5:$C$154,C332))</f>
        <v>0</v>
      </c>
      <c r="J332" s="24">
        <f>IF(OR(G332="",G332=0),"",I332/G332)</f>
        <v>0</v>
      </c>
      <c r="K332" s="23">
        <f>IF(C332="","",SUMIFS(Analytics!$G$5:$G$154,Analytics!$C$5:$C$154,C332))</f>
        <v>0</v>
      </c>
      <c r="L332" s="23">
        <f>IF(C332="","",SUMIFS(Analytics!$X$5:$X$154,Analytics!$C$5:$C$154,C332))</f>
        <v>0</v>
      </c>
      <c r="M332" s="23">
        <f>IF(C332="","",SUMIFS(Analytics!$R$5:$R$154,Analytics!$C$5:$C$154,C332))</f>
        <v>0</v>
      </c>
      <c r="N332" s="23">
        <f>IF(C332="","",SUMIFS(Analytics!$S$5:$S$154,Analytics!$C$5:$C$154,C332))</f>
        <v>0</v>
      </c>
      <c r="O332" s="23">
        <f>IF(C332="","",SUMIFS(Analytics!$T$5:$T$154,Analytics!$C$5:$C$154,C332))</f>
        <v>0</v>
      </c>
      <c r="P332" s="25">
        <f>IF(C332="","",SUMIFS(Analytics!$U$5:$U$154,Analytics!$C$5:$C$154,C332))</f>
        <v>0</v>
      </c>
      <c r="Q332" s="25">
        <f>IF(C332="","",SUMIFS(Budget!$H$5:$H$64,Budget!$C$5:$C$64,C332))</f>
        <v>0</v>
      </c>
      <c r="R332" s="25">
        <f>IF(C332="","",P332-Q332)</f>
        <v>0</v>
      </c>
      <c r="S332" s="23">
        <f>IF(C332="","",MonthlyPostTarget)</f>
        <v>0</v>
      </c>
      <c r="T332" s="17">
        <f>IF(Lists!$C332="","",Lists!$C332)</f>
        <v>0</v>
      </c>
      <c r="U332" s="23">
        <f>IF(T332="","",COUNTIFS('Content Calendar'!$G$5:$G$604,T332,'Content Calendar'!$B$5:$B$604,"&gt;="&amp;DashStart,'Content Calendar'!$B$5:$B$604,"&lt;="&amp;DashEnd))</f>
        <v>0</v>
      </c>
      <c r="V332" s="23">
        <f>IF(T332="","",COUNTIFS('Content Calendar'!$G$5:$G$604,T332,'Content Calendar'!$X$5:$X$604,"Published",'Content Calendar'!$B$5:$B$604,"&gt;="&amp;DashStart,'Content Calendar'!$B$5:$B$604,"&lt;="&amp;DashEnd))</f>
        <v>0</v>
      </c>
      <c r="W332" s="23">
        <f>IF(T332="","",SUMIFS(Analytics!$J$5:$J$154,Analytics!$D$5:$D$154,T332,Analytics!$B$5:$B$154,"&gt;="&amp;DashStart,Analytics!$B$5:$B$154,"&lt;="&amp;DashEnd))</f>
        <v>0</v>
      </c>
      <c r="X332" s="23">
        <f>IF(T332="","",SUMIFS(Analytics!$L$5:$L$154,Analytics!$D$5:$D$154,T332,Analytics!$B$5:$B$154,"&gt;="&amp;DashStart,Analytics!$B$5:$B$154,"&lt;="&amp;DashEnd))</f>
        <v>0</v>
      </c>
      <c r="Y332" s="24">
        <f>IF(OR(W332="",W332=0),"",X332/W332)</f>
        <v>0</v>
      </c>
      <c r="Z332" s="23">
        <f>IF(T332="","",SUMIFS(Analytics!$G$5:$G$154,Analytics!$D$5:$D$154,T332,Analytics!$B$5:$B$154,"&gt;="&amp;DashStart,Analytics!$B$5:$B$154,"&lt;="&amp;DashEnd))</f>
        <v>0</v>
      </c>
      <c r="AA332" s="23">
        <f>IF(T332="","",SUMIFS(Analytics!$X$5:$X$154,Analytics!$D$5:$D$154,T332,Analytics!$B$5:$B$154,"&gt;="&amp;DashStart,Analytics!$B$5:$B$154,"&lt;="&amp;DashEnd))</f>
        <v>0</v>
      </c>
      <c r="AB332" s="23">
        <f>IF(T332="","",SUMIFS(Analytics!$R$5:$R$154,Analytics!$D$5:$D$154,T332,Analytics!$B$5:$B$154,"&gt;="&amp;DashStart,Analytics!$B$5:$B$154,"&lt;="&amp;DashEnd))</f>
        <v>0</v>
      </c>
      <c r="AC332" s="25">
        <f>IF(T332="","",SUMIFS(Analytics!$U$5:$U$154,Analytics!$D$5:$D$154,T332,Analytics!$B$5:$B$154,"&gt;="&amp;DashStart,Analytics!$B$5:$B$154,"&lt;="&amp;DashEnd))</f>
        <v>0</v>
      </c>
      <c r="AD332" s="23">
        <f>IF(T332="","",COUNTIFS('Content Calendar'!$G$5:$G$604,T332,'Content Calendar'!$B$5:$B$604,"&gt;="&amp;DATE(PlanYear,1,1),'Content Calendar'!$B$5:$B$604,"&lt;="&amp;DATE(PlanYear,12,31)))</f>
        <v>0</v>
      </c>
      <c r="AE332" s="23">
        <f>IF(T332="","",SUMIFS(Analytics!$J$5:$J$154,Analytics!$D$5:$D$154,T332))</f>
        <v>0</v>
      </c>
      <c r="AF332" s="23">
        <f>IF(T332="","",SUMIFS(Analytics!$L$5:$L$154,Analytics!$D$5:$D$154,T332))</f>
        <v>0</v>
      </c>
      <c r="AG332" s="24">
        <f>IF(OR(AE332="",AE332=0),"",AF332/AE332)</f>
        <v>0</v>
      </c>
      <c r="AH332" s="23">
        <f>IF(T332="","",SUMIFS(Analytics!$X$5:$X$154,Analytics!$D$5:$D$154,T332))</f>
        <v>0</v>
      </c>
      <c r="AI332" s="32">
        <f>IF(T332="","",IF(AE332=0,"",AE332+ROW()/1000000))</f>
        <v>0</v>
      </c>
      <c r="AJ332" s="17">
        <f>IF('Content Pillars'!$B$332="","",'Content Pillars'!$B$332)</f>
        <v>0</v>
      </c>
      <c r="AK332" s="23">
        <f>IF(AJ332="","",COUNTIFS('Content Calendar'!$J$5:$J$604,AJ332,'Content Calendar'!$B$5:$B$604,"&gt;="&amp;DATE(PlanYear,1,1),'Content Calendar'!$B$5:$B$604,"&lt;="&amp;DATE(PlanYear,12,31)))</f>
        <v>0</v>
      </c>
      <c r="AL332" s="23">
        <f>IF(AJ332="","",SUMIFS(Performance!$O$5:$O$404,Performance!$H$5:$H$404,AJ332))</f>
        <v>0</v>
      </c>
      <c r="AM332" s="23">
        <f>IF(AJ332="","",SUMIFS(Performance!$Z$5:$Z$404,Performance!$H$5:$H$404,AJ332))</f>
        <v>0</v>
      </c>
      <c r="AN332" s="24">
        <f>IF(OR(AL332="",AL332=0),"",AM332/AL332)</f>
        <v>0</v>
      </c>
      <c r="AO332" s="32">
        <f>IF(AN332="","",AN332+ROW()/1000000)</f>
        <v>0</v>
      </c>
      <c r="AP332" s="17">
        <f>IF(Lists!$E332="","",Lists!$E332)</f>
        <v>0</v>
      </c>
      <c r="AQ332" s="23">
        <f>IF(AP332="","",COUNTIF(Performance!$G$5:$G$404,AP332))</f>
        <v>0</v>
      </c>
      <c r="AR332" s="23">
        <f>IF(AP332="","",SUMIFS(Performance!$O$5:$O$404,Performance!$G$5:$G$404,AP332))</f>
        <v>0</v>
      </c>
      <c r="AS332" s="23">
        <f>IF(AP332="","",SUMIFS(Performance!$Z$5:$Z$404,Performance!$G$5:$G$404,AP332))</f>
        <v>0</v>
      </c>
      <c r="AT332" s="24">
        <f>IF(OR(AR332="",AR332=0),"",AS332/AR332)</f>
        <v>0</v>
      </c>
      <c r="AU332" s="32">
        <f>IF(AQ332=0,"",IF(AT332="","",AT332+ROW()/1000000))</f>
        <v>0</v>
      </c>
      <c r="AV332" s="17">
        <f>IF(ROW()-4&gt;7,"",TEXT(DATE(2024,1,ROW()-4),"ddd"))</f>
        <v>0</v>
      </c>
      <c r="AW332" s="23">
        <f>IF(AV332="","",COUNTIF(Performance!$N$5:$N$404,AV332))</f>
        <v>0</v>
      </c>
      <c r="AX332" s="23">
        <f>IF(AV332="","",SUMIFS(Performance!$O$5:$O$404,Performance!$N$5:$N$404,AV332))</f>
        <v>0</v>
      </c>
      <c r="AY332" s="23">
        <f>IF(AV332="","",SUMIFS(Performance!$Z$5:$Z$404,Performance!$N$5:$N$404,AV332))</f>
        <v>0</v>
      </c>
      <c r="AZ332" s="24">
        <f>IF(OR(AX332="",AX332=0),"",AY332/AX332)</f>
        <v>0</v>
      </c>
      <c r="BA332" s="32">
        <f>IF(AW332=0,"",IF(AZ332="","",AZ332+ROW()/1000000))</f>
        <v>0</v>
      </c>
      <c r="BB332" s="17">
        <f>IF(Lists!$AL332="","",Lists!$AL332)</f>
        <v>0</v>
      </c>
      <c r="BC332" s="23">
        <f>IF(BB332="","",COUNTIF(Performance!$M$5:$M$404,BB332))</f>
        <v>0</v>
      </c>
      <c r="BD332" s="23">
        <f>IF(BB332="","",SUMIFS(Performance!$O$5:$O$404,Performance!$M$5:$M$404,BB332))</f>
        <v>0</v>
      </c>
      <c r="BE332" s="23">
        <f>IF(BB332="","",SUMIFS(Performance!$Z$5:$Z$404,Performance!$M$5:$M$404,BB332))</f>
        <v>0</v>
      </c>
      <c r="BF332" s="24">
        <f>IF(OR(BD332="",BD332=0),"",BE332/BD332)</f>
        <v>0</v>
      </c>
      <c r="BG332" s="32">
        <f>IF(BC332=0,"",IF(BF332="","",BF332+ROW()/1000000))</f>
        <v>0</v>
      </c>
      <c r="BH332" s="17">
        <f>IF(Performance!$C$332="","",Performance!$C$332)</f>
        <v>0</v>
      </c>
      <c r="BI332" s="17">
        <f>IF(Performance!$F$332="","",Performance!$F$332)</f>
        <v>0</v>
      </c>
      <c r="BJ332" s="17">
        <f>IF(Performance!$H$332="","",Performance!$H$332)</f>
        <v>0</v>
      </c>
      <c r="BK332" s="16">
        <f>IF(Performance!$D$332="","",Performance!$D$332)</f>
        <v>0</v>
      </c>
      <c r="BL332" s="17">
        <f>IF(Performance!$E$332="","",Performance!$E$332)</f>
        <v>0</v>
      </c>
      <c r="BM332" s="23">
        <f>IF(Performance!$O$332="","",Performance!$O$332)</f>
        <v>0</v>
      </c>
      <c r="BN332" s="24">
        <f>IF(Performance!$AA$332="","",Performance!$AA$332)</f>
        <v>0</v>
      </c>
      <c r="BO332" s="32">
        <f>IF(BH332="","",IF(BK332="","",IF(OR(BK332&lt;DashStart,BK332&gt;DashEnd),"",IF(BN332="","",BN332+ROW()/1000000))))</f>
        <v>0</v>
      </c>
      <c r="BP332" s="32">
        <f>IF(BM332="","",IF(BK332="","",IF(OR(BK332&lt;DashStart,BK332&gt;DashEnd),"",BM332+ROW()/1000000)))</f>
        <v>0</v>
      </c>
      <c r="BQ332" s="32">
        <f>IF(BH332="","",IF(BK332="","",IF(YEAR(BK332)&lt;&gt;PlanYear,"",IF(BN332="","",BN332+ROW()/1000000))))</f>
        <v>0</v>
      </c>
      <c r="BR332" s="32">
        <f>IF(BH332="","",IF(BK332="","",IF(OR(BK332&lt;RepFrom,BK332&gt;RepTo),"",IF(BN332="","",BN332+ROW()/1000000))))</f>
        <v>0</v>
      </c>
      <c r="BS332" s="32">
        <f>IF(BM332="","",IF(BK332="","",IF(YEAR(BK332)&lt;&gt;PlanYear,"",BM332+ROW()/1000000)))</f>
        <v>0</v>
      </c>
      <c r="BT332" s="17">
        <f>IF(Lists!$F332="","",Lists!$F332)</f>
        <v>0</v>
      </c>
      <c r="BU332" s="23">
        <f>IF(BT332="","",COUNTIF('Content Calendar'!$X$5:$X$604,BT332))</f>
        <v>0</v>
      </c>
      <c r="BV332" s="23">
        <f>IF(BT332="","",COUNTIFS('Content Calendar'!$X$5:$X$604,BT332,'Content Calendar'!$B$5:$B$604,"&gt;="&amp;DashStart,'Content Calendar'!$B$5:$B$604,"&lt;="&amp;DashEnd))</f>
        <v>0</v>
      </c>
      <c r="BW332" s="17">
        <f>IF(Team!$B$332="","",Team!$B$332)</f>
        <v>0</v>
      </c>
      <c r="BX332" s="23">
        <f>IF(BW332="","",COUNTIF('Content Calendar'!$W$5:$W$604,BW332))</f>
        <v>0</v>
      </c>
      <c r="BY332" s="23">
        <f>IF(BW332="","",COUNTIFS('Content Calendar'!$W$5:$W$604,BW332,'Content Calendar'!$X$5:$X$604,"&lt;&gt;Published"))</f>
        <v>0</v>
      </c>
      <c r="BZ332" s="23">
        <f>IF(BW332="","",COUNTIFS(Tasks!$C$5:$C$64,BW332,Tasks!$G$5:$G$64,"&lt;&gt;Complete"))</f>
        <v>0</v>
      </c>
      <c r="CA332" s="17">
        <f>IF(Campaigns!$B$332="","",Campaigns!$B$332)</f>
        <v>0</v>
      </c>
      <c r="CB332" s="25">
        <f>IF(Campaigns!$T$332="","",Campaigns!$T$332)</f>
        <v>0</v>
      </c>
      <c r="CC332" s="25">
        <f>IF(Campaigns!$Q$332="","",Campaigns!$Q$332)</f>
        <v>0</v>
      </c>
      <c r="CD332" s="23">
        <f>IF(Campaigns!$Y$332="","",Campaigns!$Y$332)</f>
        <v>0</v>
      </c>
      <c r="CE332" s="32">
        <f>IF(CA332="","",IF(N(CB332)&lt;=0,"",N(CB332)+ROW()/1000000))</f>
        <v>0</v>
      </c>
      <c r="CF332" s="17">
        <f>IF(Accounts!$C$332="","",Accounts!$C$332)</f>
        <v>0</v>
      </c>
      <c r="CG332" s="17">
        <f>IF(Accounts!$B$332="","",Accounts!$B$332)</f>
        <v>0</v>
      </c>
      <c r="CH332" s="23">
        <f>IF(Accounts!$J$332="","",Accounts!$J$332)</f>
        <v>0</v>
      </c>
      <c r="CI332" s="23">
        <f>IF(CF332="","",SUMIFS(Analytics!$X$5:$X$154,Analytics!$E$5:$E$154,CF332,Analytics!$B$5:$B$154,"&gt;="&amp;DashStart,Analytics!$B$5:$B$154,"&lt;="&amp;DashEnd))</f>
        <v>0</v>
      </c>
      <c r="CJ332" s="32">
        <f>IF(CH332="","",IF(CH332=0,"",CH332+ROW()/1000000))</f>
        <v>0</v>
      </c>
    </row>
    <row r="333" spans="1:88">
      <c r="A333" s="16">
        <f>IF(ROW()-4&gt;12,"",DATE(PlanYear,ROW()-4,1))</f>
        <v>0</v>
      </c>
      <c r="B333" s="16">
        <f>IF(A333="","",EOMONTH(A333,0))</f>
        <v>0</v>
      </c>
      <c r="C333" s="17">
        <f>IF(A333="","",TEXT(A333,"yyyy-mm"))</f>
        <v>0</v>
      </c>
      <c r="D333" s="17">
        <f>IF(A333="","",TEXT(A333,"mmm"))</f>
        <v>0</v>
      </c>
      <c r="E333" s="23">
        <f>IF(C333="","",COUNTIFS('Content Calendar'!$D$5:$D$604,C333))</f>
        <v>0</v>
      </c>
      <c r="F333" s="23">
        <f>IF(C333="","",COUNTIFS('Content Calendar'!$D$5:$D$604,C333,'Content Calendar'!$X$5:$X$604,"Published"))</f>
        <v>0</v>
      </c>
      <c r="G333" s="23">
        <f>IF(C333="","",SUMIFS(Analytics!$J$5:$J$154,Analytics!$C$5:$C$154,C333))</f>
        <v>0</v>
      </c>
      <c r="H333" s="23">
        <f>IF(C333="","",SUMIFS(Analytics!$K$5:$K$154,Analytics!$C$5:$C$154,C333))</f>
        <v>0</v>
      </c>
      <c r="I333" s="23">
        <f>IF(C333="","",SUMIFS(Analytics!$L$5:$L$154,Analytics!$C$5:$C$154,C333))</f>
        <v>0</v>
      </c>
      <c r="J333" s="24">
        <f>IF(OR(G333="",G333=0),"",I333/G333)</f>
        <v>0</v>
      </c>
      <c r="K333" s="23">
        <f>IF(C333="","",SUMIFS(Analytics!$G$5:$G$154,Analytics!$C$5:$C$154,C333))</f>
        <v>0</v>
      </c>
      <c r="L333" s="23">
        <f>IF(C333="","",SUMIFS(Analytics!$X$5:$X$154,Analytics!$C$5:$C$154,C333))</f>
        <v>0</v>
      </c>
      <c r="M333" s="23">
        <f>IF(C333="","",SUMIFS(Analytics!$R$5:$R$154,Analytics!$C$5:$C$154,C333))</f>
        <v>0</v>
      </c>
      <c r="N333" s="23">
        <f>IF(C333="","",SUMIFS(Analytics!$S$5:$S$154,Analytics!$C$5:$C$154,C333))</f>
        <v>0</v>
      </c>
      <c r="O333" s="23">
        <f>IF(C333="","",SUMIFS(Analytics!$T$5:$T$154,Analytics!$C$5:$C$154,C333))</f>
        <v>0</v>
      </c>
      <c r="P333" s="25">
        <f>IF(C333="","",SUMIFS(Analytics!$U$5:$U$154,Analytics!$C$5:$C$154,C333))</f>
        <v>0</v>
      </c>
      <c r="Q333" s="25">
        <f>IF(C333="","",SUMIFS(Budget!$H$5:$H$64,Budget!$C$5:$C$64,C333))</f>
        <v>0</v>
      </c>
      <c r="R333" s="25">
        <f>IF(C333="","",P333-Q333)</f>
        <v>0</v>
      </c>
      <c r="S333" s="23">
        <f>IF(C333="","",MonthlyPostTarget)</f>
        <v>0</v>
      </c>
      <c r="T333" s="17">
        <f>IF(Lists!$C333="","",Lists!$C333)</f>
        <v>0</v>
      </c>
      <c r="U333" s="23">
        <f>IF(T333="","",COUNTIFS('Content Calendar'!$G$5:$G$604,T333,'Content Calendar'!$B$5:$B$604,"&gt;="&amp;DashStart,'Content Calendar'!$B$5:$B$604,"&lt;="&amp;DashEnd))</f>
        <v>0</v>
      </c>
      <c r="V333" s="23">
        <f>IF(T333="","",COUNTIFS('Content Calendar'!$G$5:$G$604,T333,'Content Calendar'!$X$5:$X$604,"Published",'Content Calendar'!$B$5:$B$604,"&gt;="&amp;DashStart,'Content Calendar'!$B$5:$B$604,"&lt;="&amp;DashEnd))</f>
        <v>0</v>
      </c>
      <c r="W333" s="23">
        <f>IF(T333="","",SUMIFS(Analytics!$J$5:$J$154,Analytics!$D$5:$D$154,T333,Analytics!$B$5:$B$154,"&gt;="&amp;DashStart,Analytics!$B$5:$B$154,"&lt;="&amp;DashEnd))</f>
        <v>0</v>
      </c>
      <c r="X333" s="23">
        <f>IF(T333="","",SUMIFS(Analytics!$L$5:$L$154,Analytics!$D$5:$D$154,T333,Analytics!$B$5:$B$154,"&gt;="&amp;DashStart,Analytics!$B$5:$B$154,"&lt;="&amp;DashEnd))</f>
        <v>0</v>
      </c>
      <c r="Y333" s="24">
        <f>IF(OR(W333="",W333=0),"",X333/W333)</f>
        <v>0</v>
      </c>
      <c r="Z333" s="23">
        <f>IF(T333="","",SUMIFS(Analytics!$G$5:$G$154,Analytics!$D$5:$D$154,T333,Analytics!$B$5:$B$154,"&gt;="&amp;DashStart,Analytics!$B$5:$B$154,"&lt;="&amp;DashEnd))</f>
        <v>0</v>
      </c>
      <c r="AA333" s="23">
        <f>IF(T333="","",SUMIFS(Analytics!$X$5:$X$154,Analytics!$D$5:$D$154,T333,Analytics!$B$5:$B$154,"&gt;="&amp;DashStart,Analytics!$B$5:$B$154,"&lt;="&amp;DashEnd))</f>
        <v>0</v>
      </c>
      <c r="AB333" s="23">
        <f>IF(T333="","",SUMIFS(Analytics!$R$5:$R$154,Analytics!$D$5:$D$154,T333,Analytics!$B$5:$B$154,"&gt;="&amp;DashStart,Analytics!$B$5:$B$154,"&lt;="&amp;DashEnd))</f>
        <v>0</v>
      </c>
      <c r="AC333" s="25">
        <f>IF(T333="","",SUMIFS(Analytics!$U$5:$U$154,Analytics!$D$5:$D$154,T333,Analytics!$B$5:$B$154,"&gt;="&amp;DashStart,Analytics!$B$5:$B$154,"&lt;="&amp;DashEnd))</f>
        <v>0</v>
      </c>
      <c r="AD333" s="23">
        <f>IF(T333="","",COUNTIFS('Content Calendar'!$G$5:$G$604,T333,'Content Calendar'!$B$5:$B$604,"&gt;="&amp;DATE(PlanYear,1,1),'Content Calendar'!$B$5:$B$604,"&lt;="&amp;DATE(PlanYear,12,31)))</f>
        <v>0</v>
      </c>
      <c r="AE333" s="23">
        <f>IF(T333="","",SUMIFS(Analytics!$J$5:$J$154,Analytics!$D$5:$D$154,T333))</f>
        <v>0</v>
      </c>
      <c r="AF333" s="23">
        <f>IF(T333="","",SUMIFS(Analytics!$L$5:$L$154,Analytics!$D$5:$D$154,T333))</f>
        <v>0</v>
      </c>
      <c r="AG333" s="24">
        <f>IF(OR(AE333="",AE333=0),"",AF333/AE333)</f>
        <v>0</v>
      </c>
      <c r="AH333" s="23">
        <f>IF(T333="","",SUMIFS(Analytics!$X$5:$X$154,Analytics!$D$5:$D$154,T333))</f>
        <v>0</v>
      </c>
      <c r="AI333" s="32">
        <f>IF(T333="","",IF(AE333=0,"",AE333+ROW()/1000000))</f>
        <v>0</v>
      </c>
      <c r="AJ333" s="17">
        <f>IF('Content Pillars'!$B$333="","",'Content Pillars'!$B$333)</f>
        <v>0</v>
      </c>
      <c r="AK333" s="23">
        <f>IF(AJ333="","",COUNTIFS('Content Calendar'!$J$5:$J$604,AJ333,'Content Calendar'!$B$5:$B$604,"&gt;="&amp;DATE(PlanYear,1,1),'Content Calendar'!$B$5:$B$604,"&lt;="&amp;DATE(PlanYear,12,31)))</f>
        <v>0</v>
      </c>
      <c r="AL333" s="23">
        <f>IF(AJ333="","",SUMIFS(Performance!$O$5:$O$404,Performance!$H$5:$H$404,AJ333))</f>
        <v>0</v>
      </c>
      <c r="AM333" s="23">
        <f>IF(AJ333="","",SUMIFS(Performance!$Z$5:$Z$404,Performance!$H$5:$H$404,AJ333))</f>
        <v>0</v>
      </c>
      <c r="AN333" s="24">
        <f>IF(OR(AL333="",AL333=0),"",AM333/AL333)</f>
        <v>0</v>
      </c>
      <c r="AO333" s="32">
        <f>IF(AN333="","",AN333+ROW()/1000000)</f>
        <v>0</v>
      </c>
      <c r="AP333" s="17">
        <f>IF(Lists!$E333="","",Lists!$E333)</f>
        <v>0</v>
      </c>
      <c r="AQ333" s="23">
        <f>IF(AP333="","",COUNTIF(Performance!$G$5:$G$404,AP333))</f>
        <v>0</v>
      </c>
      <c r="AR333" s="23">
        <f>IF(AP333="","",SUMIFS(Performance!$O$5:$O$404,Performance!$G$5:$G$404,AP333))</f>
        <v>0</v>
      </c>
      <c r="AS333" s="23">
        <f>IF(AP333="","",SUMIFS(Performance!$Z$5:$Z$404,Performance!$G$5:$G$404,AP333))</f>
        <v>0</v>
      </c>
      <c r="AT333" s="24">
        <f>IF(OR(AR333="",AR333=0),"",AS333/AR333)</f>
        <v>0</v>
      </c>
      <c r="AU333" s="32">
        <f>IF(AQ333=0,"",IF(AT333="","",AT333+ROW()/1000000))</f>
        <v>0</v>
      </c>
      <c r="AV333" s="17">
        <f>IF(ROW()-4&gt;7,"",TEXT(DATE(2024,1,ROW()-4),"ddd"))</f>
        <v>0</v>
      </c>
      <c r="AW333" s="23">
        <f>IF(AV333="","",COUNTIF(Performance!$N$5:$N$404,AV333))</f>
        <v>0</v>
      </c>
      <c r="AX333" s="23">
        <f>IF(AV333="","",SUMIFS(Performance!$O$5:$O$404,Performance!$N$5:$N$404,AV333))</f>
        <v>0</v>
      </c>
      <c r="AY333" s="23">
        <f>IF(AV333="","",SUMIFS(Performance!$Z$5:$Z$404,Performance!$N$5:$N$404,AV333))</f>
        <v>0</v>
      </c>
      <c r="AZ333" s="24">
        <f>IF(OR(AX333="",AX333=0),"",AY333/AX333)</f>
        <v>0</v>
      </c>
      <c r="BA333" s="32">
        <f>IF(AW333=0,"",IF(AZ333="","",AZ333+ROW()/1000000))</f>
        <v>0</v>
      </c>
      <c r="BB333" s="17">
        <f>IF(Lists!$AL333="","",Lists!$AL333)</f>
        <v>0</v>
      </c>
      <c r="BC333" s="23">
        <f>IF(BB333="","",COUNTIF(Performance!$M$5:$M$404,BB333))</f>
        <v>0</v>
      </c>
      <c r="BD333" s="23">
        <f>IF(BB333="","",SUMIFS(Performance!$O$5:$O$404,Performance!$M$5:$M$404,BB333))</f>
        <v>0</v>
      </c>
      <c r="BE333" s="23">
        <f>IF(BB333="","",SUMIFS(Performance!$Z$5:$Z$404,Performance!$M$5:$M$404,BB333))</f>
        <v>0</v>
      </c>
      <c r="BF333" s="24">
        <f>IF(OR(BD333="",BD333=0),"",BE333/BD333)</f>
        <v>0</v>
      </c>
      <c r="BG333" s="32">
        <f>IF(BC333=0,"",IF(BF333="","",BF333+ROW()/1000000))</f>
        <v>0</v>
      </c>
      <c r="BH333" s="17">
        <f>IF(Performance!$C$333="","",Performance!$C$333)</f>
        <v>0</v>
      </c>
      <c r="BI333" s="17">
        <f>IF(Performance!$F$333="","",Performance!$F$333)</f>
        <v>0</v>
      </c>
      <c r="BJ333" s="17">
        <f>IF(Performance!$H$333="","",Performance!$H$333)</f>
        <v>0</v>
      </c>
      <c r="BK333" s="16">
        <f>IF(Performance!$D$333="","",Performance!$D$333)</f>
        <v>0</v>
      </c>
      <c r="BL333" s="17">
        <f>IF(Performance!$E$333="","",Performance!$E$333)</f>
        <v>0</v>
      </c>
      <c r="BM333" s="23">
        <f>IF(Performance!$O$333="","",Performance!$O$333)</f>
        <v>0</v>
      </c>
      <c r="BN333" s="24">
        <f>IF(Performance!$AA$333="","",Performance!$AA$333)</f>
        <v>0</v>
      </c>
      <c r="BO333" s="32">
        <f>IF(BH333="","",IF(BK333="","",IF(OR(BK333&lt;DashStart,BK333&gt;DashEnd),"",IF(BN333="","",BN333+ROW()/1000000))))</f>
        <v>0</v>
      </c>
      <c r="BP333" s="32">
        <f>IF(BM333="","",IF(BK333="","",IF(OR(BK333&lt;DashStart,BK333&gt;DashEnd),"",BM333+ROW()/1000000)))</f>
        <v>0</v>
      </c>
      <c r="BQ333" s="32">
        <f>IF(BH333="","",IF(BK333="","",IF(YEAR(BK333)&lt;&gt;PlanYear,"",IF(BN333="","",BN333+ROW()/1000000))))</f>
        <v>0</v>
      </c>
      <c r="BR333" s="32">
        <f>IF(BH333="","",IF(BK333="","",IF(OR(BK333&lt;RepFrom,BK333&gt;RepTo),"",IF(BN333="","",BN333+ROW()/1000000))))</f>
        <v>0</v>
      </c>
      <c r="BS333" s="32">
        <f>IF(BM333="","",IF(BK333="","",IF(YEAR(BK333)&lt;&gt;PlanYear,"",BM333+ROW()/1000000)))</f>
        <v>0</v>
      </c>
      <c r="BT333" s="17">
        <f>IF(Lists!$F333="","",Lists!$F333)</f>
        <v>0</v>
      </c>
      <c r="BU333" s="23">
        <f>IF(BT333="","",COUNTIF('Content Calendar'!$X$5:$X$604,BT333))</f>
        <v>0</v>
      </c>
      <c r="BV333" s="23">
        <f>IF(BT333="","",COUNTIFS('Content Calendar'!$X$5:$X$604,BT333,'Content Calendar'!$B$5:$B$604,"&gt;="&amp;DashStart,'Content Calendar'!$B$5:$B$604,"&lt;="&amp;DashEnd))</f>
        <v>0</v>
      </c>
      <c r="BW333" s="17">
        <f>IF(Team!$B$333="","",Team!$B$333)</f>
        <v>0</v>
      </c>
      <c r="BX333" s="23">
        <f>IF(BW333="","",COUNTIF('Content Calendar'!$W$5:$W$604,BW333))</f>
        <v>0</v>
      </c>
      <c r="BY333" s="23">
        <f>IF(BW333="","",COUNTIFS('Content Calendar'!$W$5:$W$604,BW333,'Content Calendar'!$X$5:$X$604,"&lt;&gt;Published"))</f>
        <v>0</v>
      </c>
      <c r="BZ333" s="23">
        <f>IF(BW333="","",COUNTIFS(Tasks!$C$5:$C$64,BW333,Tasks!$G$5:$G$64,"&lt;&gt;Complete"))</f>
        <v>0</v>
      </c>
      <c r="CA333" s="17">
        <f>IF(Campaigns!$B$333="","",Campaigns!$B$333)</f>
        <v>0</v>
      </c>
      <c r="CB333" s="25">
        <f>IF(Campaigns!$T$333="","",Campaigns!$T$333)</f>
        <v>0</v>
      </c>
      <c r="CC333" s="25">
        <f>IF(Campaigns!$Q$333="","",Campaigns!$Q$333)</f>
        <v>0</v>
      </c>
      <c r="CD333" s="23">
        <f>IF(Campaigns!$Y$333="","",Campaigns!$Y$333)</f>
        <v>0</v>
      </c>
      <c r="CE333" s="32">
        <f>IF(CA333="","",IF(N(CB333)&lt;=0,"",N(CB333)+ROW()/1000000))</f>
        <v>0</v>
      </c>
      <c r="CF333" s="17">
        <f>IF(Accounts!$C$333="","",Accounts!$C$333)</f>
        <v>0</v>
      </c>
      <c r="CG333" s="17">
        <f>IF(Accounts!$B$333="","",Accounts!$B$333)</f>
        <v>0</v>
      </c>
      <c r="CH333" s="23">
        <f>IF(Accounts!$J$333="","",Accounts!$J$333)</f>
        <v>0</v>
      </c>
      <c r="CI333" s="23">
        <f>IF(CF333="","",SUMIFS(Analytics!$X$5:$X$154,Analytics!$E$5:$E$154,CF333,Analytics!$B$5:$B$154,"&gt;="&amp;DashStart,Analytics!$B$5:$B$154,"&lt;="&amp;DashEnd))</f>
        <v>0</v>
      </c>
      <c r="CJ333" s="32">
        <f>IF(CH333="","",IF(CH333=0,"",CH333+ROW()/1000000))</f>
        <v>0</v>
      </c>
    </row>
    <row r="334" spans="1:88">
      <c r="A334" s="16">
        <f>IF(ROW()-4&gt;12,"",DATE(PlanYear,ROW()-4,1))</f>
        <v>0</v>
      </c>
      <c r="B334" s="16">
        <f>IF(A334="","",EOMONTH(A334,0))</f>
        <v>0</v>
      </c>
      <c r="C334" s="17">
        <f>IF(A334="","",TEXT(A334,"yyyy-mm"))</f>
        <v>0</v>
      </c>
      <c r="D334" s="17">
        <f>IF(A334="","",TEXT(A334,"mmm"))</f>
        <v>0</v>
      </c>
      <c r="E334" s="23">
        <f>IF(C334="","",COUNTIFS('Content Calendar'!$D$5:$D$604,C334))</f>
        <v>0</v>
      </c>
      <c r="F334" s="23">
        <f>IF(C334="","",COUNTIFS('Content Calendar'!$D$5:$D$604,C334,'Content Calendar'!$X$5:$X$604,"Published"))</f>
        <v>0</v>
      </c>
      <c r="G334" s="23">
        <f>IF(C334="","",SUMIFS(Analytics!$J$5:$J$154,Analytics!$C$5:$C$154,C334))</f>
        <v>0</v>
      </c>
      <c r="H334" s="23">
        <f>IF(C334="","",SUMIFS(Analytics!$K$5:$K$154,Analytics!$C$5:$C$154,C334))</f>
        <v>0</v>
      </c>
      <c r="I334" s="23">
        <f>IF(C334="","",SUMIFS(Analytics!$L$5:$L$154,Analytics!$C$5:$C$154,C334))</f>
        <v>0</v>
      </c>
      <c r="J334" s="24">
        <f>IF(OR(G334="",G334=0),"",I334/G334)</f>
        <v>0</v>
      </c>
      <c r="K334" s="23">
        <f>IF(C334="","",SUMIFS(Analytics!$G$5:$G$154,Analytics!$C$5:$C$154,C334))</f>
        <v>0</v>
      </c>
      <c r="L334" s="23">
        <f>IF(C334="","",SUMIFS(Analytics!$X$5:$X$154,Analytics!$C$5:$C$154,C334))</f>
        <v>0</v>
      </c>
      <c r="M334" s="23">
        <f>IF(C334="","",SUMIFS(Analytics!$R$5:$R$154,Analytics!$C$5:$C$154,C334))</f>
        <v>0</v>
      </c>
      <c r="N334" s="23">
        <f>IF(C334="","",SUMIFS(Analytics!$S$5:$S$154,Analytics!$C$5:$C$154,C334))</f>
        <v>0</v>
      </c>
      <c r="O334" s="23">
        <f>IF(C334="","",SUMIFS(Analytics!$T$5:$T$154,Analytics!$C$5:$C$154,C334))</f>
        <v>0</v>
      </c>
      <c r="P334" s="25">
        <f>IF(C334="","",SUMIFS(Analytics!$U$5:$U$154,Analytics!$C$5:$C$154,C334))</f>
        <v>0</v>
      </c>
      <c r="Q334" s="25">
        <f>IF(C334="","",SUMIFS(Budget!$H$5:$H$64,Budget!$C$5:$C$64,C334))</f>
        <v>0</v>
      </c>
      <c r="R334" s="25">
        <f>IF(C334="","",P334-Q334)</f>
        <v>0</v>
      </c>
      <c r="S334" s="23">
        <f>IF(C334="","",MonthlyPostTarget)</f>
        <v>0</v>
      </c>
      <c r="T334" s="17">
        <f>IF(Lists!$C334="","",Lists!$C334)</f>
        <v>0</v>
      </c>
      <c r="U334" s="23">
        <f>IF(T334="","",COUNTIFS('Content Calendar'!$G$5:$G$604,T334,'Content Calendar'!$B$5:$B$604,"&gt;="&amp;DashStart,'Content Calendar'!$B$5:$B$604,"&lt;="&amp;DashEnd))</f>
        <v>0</v>
      </c>
      <c r="V334" s="23">
        <f>IF(T334="","",COUNTIFS('Content Calendar'!$G$5:$G$604,T334,'Content Calendar'!$X$5:$X$604,"Published",'Content Calendar'!$B$5:$B$604,"&gt;="&amp;DashStart,'Content Calendar'!$B$5:$B$604,"&lt;="&amp;DashEnd))</f>
        <v>0</v>
      </c>
      <c r="W334" s="23">
        <f>IF(T334="","",SUMIFS(Analytics!$J$5:$J$154,Analytics!$D$5:$D$154,T334,Analytics!$B$5:$B$154,"&gt;="&amp;DashStart,Analytics!$B$5:$B$154,"&lt;="&amp;DashEnd))</f>
        <v>0</v>
      </c>
      <c r="X334" s="23">
        <f>IF(T334="","",SUMIFS(Analytics!$L$5:$L$154,Analytics!$D$5:$D$154,T334,Analytics!$B$5:$B$154,"&gt;="&amp;DashStart,Analytics!$B$5:$B$154,"&lt;="&amp;DashEnd))</f>
        <v>0</v>
      </c>
      <c r="Y334" s="24">
        <f>IF(OR(W334="",W334=0),"",X334/W334)</f>
        <v>0</v>
      </c>
      <c r="Z334" s="23">
        <f>IF(T334="","",SUMIFS(Analytics!$G$5:$G$154,Analytics!$D$5:$D$154,T334,Analytics!$B$5:$B$154,"&gt;="&amp;DashStart,Analytics!$B$5:$B$154,"&lt;="&amp;DashEnd))</f>
        <v>0</v>
      </c>
      <c r="AA334" s="23">
        <f>IF(T334="","",SUMIFS(Analytics!$X$5:$X$154,Analytics!$D$5:$D$154,T334,Analytics!$B$5:$B$154,"&gt;="&amp;DashStart,Analytics!$B$5:$B$154,"&lt;="&amp;DashEnd))</f>
        <v>0</v>
      </c>
      <c r="AB334" s="23">
        <f>IF(T334="","",SUMIFS(Analytics!$R$5:$R$154,Analytics!$D$5:$D$154,T334,Analytics!$B$5:$B$154,"&gt;="&amp;DashStart,Analytics!$B$5:$B$154,"&lt;="&amp;DashEnd))</f>
        <v>0</v>
      </c>
      <c r="AC334" s="25">
        <f>IF(T334="","",SUMIFS(Analytics!$U$5:$U$154,Analytics!$D$5:$D$154,T334,Analytics!$B$5:$B$154,"&gt;="&amp;DashStart,Analytics!$B$5:$B$154,"&lt;="&amp;DashEnd))</f>
        <v>0</v>
      </c>
      <c r="AD334" s="23">
        <f>IF(T334="","",COUNTIFS('Content Calendar'!$G$5:$G$604,T334,'Content Calendar'!$B$5:$B$604,"&gt;="&amp;DATE(PlanYear,1,1),'Content Calendar'!$B$5:$B$604,"&lt;="&amp;DATE(PlanYear,12,31)))</f>
        <v>0</v>
      </c>
      <c r="AE334" s="23">
        <f>IF(T334="","",SUMIFS(Analytics!$J$5:$J$154,Analytics!$D$5:$D$154,T334))</f>
        <v>0</v>
      </c>
      <c r="AF334" s="23">
        <f>IF(T334="","",SUMIFS(Analytics!$L$5:$L$154,Analytics!$D$5:$D$154,T334))</f>
        <v>0</v>
      </c>
      <c r="AG334" s="24">
        <f>IF(OR(AE334="",AE334=0),"",AF334/AE334)</f>
        <v>0</v>
      </c>
      <c r="AH334" s="23">
        <f>IF(T334="","",SUMIFS(Analytics!$X$5:$X$154,Analytics!$D$5:$D$154,T334))</f>
        <v>0</v>
      </c>
      <c r="AI334" s="32">
        <f>IF(T334="","",IF(AE334=0,"",AE334+ROW()/1000000))</f>
        <v>0</v>
      </c>
      <c r="AJ334" s="17">
        <f>IF('Content Pillars'!$B$334="","",'Content Pillars'!$B$334)</f>
        <v>0</v>
      </c>
      <c r="AK334" s="23">
        <f>IF(AJ334="","",COUNTIFS('Content Calendar'!$J$5:$J$604,AJ334,'Content Calendar'!$B$5:$B$604,"&gt;="&amp;DATE(PlanYear,1,1),'Content Calendar'!$B$5:$B$604,"&lt;="&amp;DATE(PlanYear,12,31)))</f>
        <v>0</v>
      </c>
      <c r="AL334" s="23">
        <f>IF(AJ334="","",SUMIFS(Performance!$O$5:$O$404,Performance!$H$5:$H$404,AJ334))</f>
        <v>0</v>
      </c>
      <c r="AM334" s="23">
        <f>IF(AJ334="","",SUMIFS(Performance!$Z$5:$Z$404,Performance!$H$5:$H$404,AJ334))</f>
        <v>0</v>
      </c>
      <c r="AN334" s="24">
        <f>IF(OR(AL334="",AL334=0),"",AM334/AL334)</f>
        <v>0</v>
      </c>
      <c r="AO334" s="32">
        <f>IF(AN334="","",AN334+ROW()/1000000)</f>
        <v>0</v>
      </c>
      <c r="AP334" s="17">
        <f>IF(Lists!$E334="","",Lists!$E334)</f>
        <v>0</v>
      </c>
      <c r="AQ334" s="23">
        <f>IF(AP334="","",COUNTIF(Performance!$G$5:$G$404,AP334))</f>
        <v>0</v>
      </c>
      <c r="AR334" s="23">
        <f>IF(AP334="","",SUMIFS(Performance!$O$5:$O$404,Performance!$G$5:$G$404,AP334))</f>
        <v>0</v>
      </c>
      <c r="AS334" s="23">
        <f>IF(AP334="","",SUMIFS(Performance!$Z$5:$Z$404,Performance!$G$5:$G$404,AP334))</f>
        <v>0</v>
      </c>
      <c r="AT334" s="24">
        <f>IF(OR(AR334="",AR334=0),"",AS334/AR334)</f>
        <v>0</v>
      </c>
      <c r="AU334" s="32">
        <f>IF(AQ334=0,"",IF(AT334="","",AT334+ROW()/1000000))</f>
        <v>0</v>
      </c>
      <c r="AV334" s="17">
        <f>IF(ROW()-4&gt;7,"",TEXT(DATE(2024,1,ROW()-4),"ddd"))</f>
        <v>0</v>
      </c>
      <c r="AW334" s="23">
        <f>IF(AV334="","",COUNTIF(Performance!$N$5:$N$404,AV334))</f>
        <v>0</v>
      </c>
      <c r="AX334" s="23">
        <f>IF(AV334="","",SUMIFS(Performance!$O$5:$O$404,Performance!$N$5:$N$404,AV334))</f>
        <v>0</v>
      </c>
      <c r="AY334" s="23">
        <f>IF(AV334="","",SUMIFS(Performance!$Z$5:$Z$404,Performance!$N$5:$N$404,AV334))</f>
        <v>0</v>
      </c>
      <c r="AZ334" s="24">
        <f>IF(OR(AX334="",AX334=0),"",AY334/AX334)</f>
        <v>0</v>
      </c>
      <c r="BA334" s="32">
        <f>IF(AW334=0,"",IF(AZ334="","",AZ334+ROW()/1000000))</f>
        <v>0</v>
      </c>
      <c r="BB334" s="17">
        <f>IF(Lists!$AL334="","",Lists!$AL334)</f>
        <v>0</v>
      </c>
      <c r="BC334" s="23">
        <f>IF(BB334="","",COUNTIF(Performance!$M$5:$M$404,BB334))</f>
        <v>0</v>
      </c>
      <c r="BD334" s="23">
        <f>IF(BB334="","",SUMIFS(Performance!$O$5:$O$404,Performance!$M$5:$M$404,BB334))</f>
        <v>0</v>
      </c>
      <c r="BE334" s="23">
        <f>IF(BB334="","",SUMIFS(Performance!$Z$5:$Z$404,Performance!$M$5:$M$404,BB334))</f>
        <v>0</v>
      </c>
      <c r="BF334" s="24">
        <f>IF(OR(BD334="",BD334=0),"",BE334/BD334)</f>
        <v>0</v>
      </c>
      <c r="BG334" s="32">
        <f>IF(BC334=0,"",IF(BF334="","",BF334+ROW()/1000000))</f>
        <v>0</v>
      </c>
      <c r="BH334" s="17">
        <f>IF(Performance!$C$334="","",Performance!$C$334)</f>
        <v>0</v>
      </c>
      <c r="BI334" s="17">
        <f>IF(Performance!$F$334="","",Performance!$F$334)</f>
        <v>0</v>
      </c>
      <c r="BJ334" s="17">
        <f>IF(Performance!$H$334="","",Performance!$H$334)</f>
        <v>0</v>
      </c>
      <c r="BK334" s="16">
        <f>IF(Performance!$D$334="","",Performance!$D$334)</f>
        <v>0</v>
      </c>
      <c r="BL334" s="17">
        <f>IF(Performance!$E$334="","",Performance!$E$334)</f>
        <v>0</v>
      </c>
      <c r="BM334" s="23">
        <f>IF(Performance!$O$334="","",Performance!$O$334)</f>
        <v>0</v>
      </c>
      <c r="BN334" s="24">
        <f>IF(Performance!$AA$334="","",Performance!$AA$334)</f>
        <v>0</v>
      </c>
      <c r="BO334" s="32">
        <f>IF(BH334="","",IF(BK334="","",IF(OR(BK334&lt;DashStart,BK334&gt;DashEnd),"",IF(BN334="","",BN334+ROW()/1000000))))</f>
        <v>0</v>
      </c>
      <c r="BP334" s="32">
        <f>IF(BM334="","",IF(BK334="","",IF(OR(BK334&lt;DashStart,BK334&gt;DashEnd),"",BM334+ROW()/1000000)))</f>
        <v>0</v>
      </c>
      <c r="BQ334" s="32">
        <f>IF(BH334="","",IF(BK334="","",IF(YEAR(BK334)&lt;&gt;PlanYear,"",IF(BN334="","",BN334+ROW()/1000000))))</f>
        <v>0</v>
      </c>
      <c r="BR334" s="32">
        <f>IF(BH334="","",IF(BK334="","",IF(OR(BK334&lt;RepFrom,BK334&gt;RepTo),"",IF(BN334="","",BN334+ROW()/1000000))))</f>
        <v>0</v>
      </c>
      <c r="BS334" s="32">
        <f>IF(BM334="","",IF(BK334="","",IF(YEAR(BK334)&lt;&gt;PlanYear,"",BM334+ROW()/1000000)))</f>
        <v>0</v>
      </c>
      <c r="BT334" s="17">
        <f>IF(Lists!$F334="","",Lists!$F334)</f>
        <v>0</v>
      </c>
      <c r="BU334" s="23">
        <f>IF(BT334="","",COUNTIF('Content Calendar'!$X$5:$X$604,BT334))</f>
        <v>0</v>
      </c>
      <c r="BV334" s="23">
        <f>IF(BT334="","",COUNTIFS('Content Calendar'!$X$5:$X$604,BT334,'Content Calendar'!$B$5:$B$604,"&gt;="&amp;DashStart,'Content Calendar'!$B$5:$B$604,"&lt;="&amp;DashEnd))</f>
        <v>0</v>
      </c>
      <c r="BW334" s="17">
        <f>IF(Team!$B$334="","",Team!$B$334)</f>
        <v>0</v>
      </c>
      <c r="BX334" s="23">
        <f>IF(BW334="","",COUNTIF('Content Calendar'!$W$5:$W$604,BW334))</f>
        <v>0</v>
      </c>
      <c r="BY334" s="23">
        <f>IF(BW334="","",COUNTIFS('Content Calendar'!$W$5:$W$604,BW334,'Content Calendar'!$X$5:$X$604,"&lt;&gt;Published"))</f>
        <v>0</v>
      </c>
      <c r="BZ334" s="23">
        <f>IF(BW334="","",COUNTIFS(Tasks!$C$5:$C$64,BW334,Tasks!$G$5:$G$64,"&lt;&gt;Complete"))</f>
        <v>0</v>
      </c>
      <c r="CA334" s="17">
        <f>IF(Campaigns!$B$334="","",Campaigns!$B$334)</f>
        <v>0</v>
      </c>
      <c r="CB334" s="25">
        <f>IF(Campaigns!$T$334="","",Campaigns!$T$334)</f>
        <v>0</v>
      </c>
      <c r="CC334" s="25">
        <f>IF(Campaigns!$Q$334="","",Campaigns!$Q$334)</f>
        <v>0</v>
      </c>
      <c r="CD334" s="23">
        <f>IF(Campaigns!$Y$334="","",Campaigns!$Y$334)</f>
        <v>0</v>
      </c>
      <c r="CE334" s="32">
        <f>IF(CA334="","",IF(N(CB334)&lt;=0,"",N(CB334)+ROW()/1000000))</f>
        <v>0</v>
      </c>
      <c r="CF334" s="17">
        <f>IF(Accounts!$C$334="","",Accounts!$C$334)</f>
        <v>0</v>
      </c>
      <c r="CG334" s="17">
        <f>IF(Accounts!$B$334="","",Accounts!$B$334)</f>
        <v>0</v>
      </c>
      <c r="CH334" s="23">
        <f>IF(Accounts!$J$334="","",Accounts!$J$334)</f>
        <v>0</v>
      </c>
      <c r="CI334" s="23">
        <f>IF(CF334="","",SUMIFS(Analytics!$X$5:$X$154,Analytics!$E$5:$E$154,CF334,Analytics!$B$5:$B$154,"&gt;="&amp;DashStart,Analytics!$B$5:$B$154,"&lt;="&amp;DashEnd))</f>
        <v>0</v>
      </c>
      <c r="CJ334" s="32">
        <f>IF(CH334="","",IF(CH334=0,"",CH334+ROW()/1000000))</f>
        <v>0</v>
      </c>
    </row>
    <row r="335" spans="1:88">
      <c r="A335" s="16">
        <f>IF(ROW()-4&gt;12,"",DATE(PlanYear,ROW()-4,1))</f>
        <v>0</v>
      </c>
      <c r="B335" s="16">
        <f>IF(A335="","",EOMONTH(A335,0))</f>
        <v>0</v>
      </c>
      <c r="C335" s="17">
        <f>IF(A335="","",TEXT(A335,"yyyy-mm"))</f>
        <v>0</v>
      </c>
      <c r="D335" s="17">
        <f>IF(A335="","",TEXT(A335,"mmm"))</f>
        <v>0</v>
      </c>
      <c r="E335" s="23">
        <f>IF(C335="","",COUNTIFS('Content Calendar'!$D$5:$D$604,C335))</f>
        <v>0</v>
      </c>
      <c r="F335" s="23">
        <f>IF(C335="","",COUNTIFS('Content Calendar'!$D$5:$D$604,C335,'Content Calendar'!$X$5:$X$604,"Published"))</f>
        <v>0</v>
      </c>
      <c r="G335" s="23">
        <f>IF(C335="","",SUMIFS(Analytics!$J$5:$J$154,Analytics!$C$5:$C$154,C335))</f>
        <v>0</v>
      </c>
      <c r="H335" s="23">
        <f>IF(C335="","",SUMIFS(Analytics!$K$5:$K$154,Analytics!$C$5:$C$154,C335))</f>
        <v>0</v>
      </c>
      <c r="I335" s="23">
        <f>IF(C335="","",SUMIFS(Analytics!$L$5:$L$154,Analytics!$C$5:$C$154,C335))</f>
        <v>0</v>
      </c>
      <c r="J335" s="24">
        <f>IF(OR(G335="",G335=0),"",I335/G335)</f>
        <v>0</v>
      </c>
      <c r="K335" s="23">
        <f>IF(C335="","",SUMIFS(Analytics!$G$5:$G$154,Analytics!$C$5:$C$154,C335))</f>
        <v>0</v>
      </c>
      <c r="L335" s="23">
        <f>IF(C335="","",SUMIFS(Analytics!$X$5:$X$154,Analytics!$C$5:$C$154,C335))</f>
        <v>0</v>
      </c>
      <c r="M335" s="23">
        <f>IF(C335="","",SUMIFS(Analytics!$R$5:$R$154,Analytics!$C$5:$C$154,C335))</f>
        <v>0</v>
      </c>
      <c r="N335" s="23">
        <f>IF(C335="","",SUMIFS(Analytics!$S$5:$S$154,Analytics!$C$5:$C$154,C335))</f>
        <v>0</v>
      </c>
      <c r="O335" s="23">
        <f>IF(C335="","",SUMIFS(Analytics!$T$5:$T$154,Analytics!$C$5:$C$154,C335))</f>
        <v>0</v>
      </c>
      <c r="P335" s="25">
        <f>IF(C335="","",SUMIFS(Analytics!$U$5:$U$154,Analytics!$C$5:$C$154,C335))</f>
        <v>0</v>
      </c>
      <c r="Q335" s="25">
        <f>IF(C335="","",SUMIFS(Budget!$H$5:$H$64,Budget!$C$5:$C$64,C335))</f>
        <v>0</v>
      </c>
      <c r="R335" s="25">
        <f>IF(C335="","",P335-Q335)</f>
        <v>0</v>
      </c>
      <c r="S335" s="23">
        <f>IF(C335="","",MonthlyPostTarget)</f>
        <v>0</v>
      </c>
      <c r="T335" s="17">
        <f>IF(Lists!$C335="","",Lists!$C335)</f>
        <v>0</v>
      </c>
      <c r="U335" s="23">
        <f>IF(T335="","",COUNTIFS('Content Calendar'!$G$5:$G$604,T335,'Content Calendar'!$B$5:$B$604,"&gt;="&amp;DashStart,'Content Calendar'!$B$5:$B$604,"&lt;="&amp;DashEnd))</f>
        <v>0</v>
      </c>
      <c r="V335" s="23">
        <f>IF(T335="","",COUNTIFS('Content Calendar'!$G$5:$G$604,T335,'Content Calendar'!$X$5:$X$604,"Published",'Content Calendar'!$B$5:$B$604,"&gt;="&amp;DashStart,'Content Calendar'!$B$5:$B$604,"&lt;="&amp;DashEnd))</f>
        <v>0</v>
      </c>
      <c r="W335" s="23">
        <f>IF(T335="","",SUMIFS(Analytics!$J$5:$J$154,Analytics!$D$5:$D$154,T335,Analytics!$B$5:$B$154,"&gt;="&amp;DashStart,Analytics!$B$5:$B$154,"&lt;="&amp;DashEnd))</f>
        <v>0</v>
      </c>
      <c r="X335" s="23">
        <f>IF(T335="","",SUMIFS(Analytics!$L$5:$L$154,Analytics!$D$5:$D$154,T335,Analytics!$B$5:$B$154,"&gt;="&amp;DashStart,Analytics!$B$5:$B$154,"&lt;="&amp;DashEnd))</f>
        <v>0</v>
      </c>
      <c r="Y335" s="24">
        <f>IF(OR(W335="",W335=0),"",X335/W335)</f>
        <v>0</v>
      </c>
      <c r="Z335" s="23">
        <f>IF(T335="","",SUMIFS(Analytics!$G$5:$G$154,Analytics!$D$5:$D$154,T335,Analytics!$B$5:$B$154,"&gt;="&amp;DashStart,Analytics!$B$5:$B$154,"&lt;="&amp;DashEnd))</f>
        <v>0</v>
      </c>
      <c r="AA335" s="23">
        <f>IF(T335="","",SUMIFS(Analytics!$X$5:$X$154,Analytics!$D$5:$D$154,T335,Analytics!$B$5:$B$154,"&gt;="&amp;DashStart,Analytics!$B$5:$B$154,"&lt;="&amp;DashEnd))</f>
        <v>0</v>
      </c>
      <c r="AB335" s="23">
        <f>IF(T335="","",SUMIFS(Analytics!$R$5:$R$154,Analytics!$D$5:$D$154,T335,Analytics!$B$5:$B$154,"&gt;="&amp;DashStart,Analytics!$B$5:$B$154,"&lt;="&amp;DashEnd))</f>
        <v>0</v>
      </c>
      <c r="AC335" s="25">
        <f>IF(T335="","",SUMIFS(Analytics!$U$5:$U$154,Analytics!$D$5:$D$154,T335,Analytics!$B$5:$B$154,"&gt;="&amp;DashStart,Analytics!$B$5:$B$154,"&lt;="&amp;DashEnd))</f>
        <v>0</v>
      </c>
      <c r="AD335" s="23">
        <f>IF(T335="","",COUNTIFS('Content Calendar'!$G$5:$G$604,T335,'Content Calendar'!$B$5:$B$604,"&gt;="&amp;DATE(PlanYear,1,1),'Content Calendar'!$B$5:$B$604,"&lt;="&amp;DATE(PlanYear,12,31)))</f>
        <v>0</v>
      </c>
      <c r="AE335" s="23">
        <f>IF(T335="","",SUMIFS(Analytics!$J$5:$J$154,Analytics!$D$5:$D$154,T335))</f>
        <v>0</v>
      </c>
      <c r="AF335" s="23">
        <f>IF(T335="","",SUMIFS(Analytics!$L$5:$L$154,Analytics!$D$5:$D$154,T335))</f>
        <v>0</v>
      </c>
      <c r="AG335" s="24">
        <f>IF(OR(AE335="",AE335=0),"",AF335/AE335)</f>
        <v>0</v>
      </c>
      <c r="AH335" s="23">
        <f>IF(T335="","",SUMIFS(Analytics!$X$5:$X$154,Analytics!$D$5:$D$154,T335))</f>
        <v>0</v>
      </c>
      <c r="AI335" s="32">
        <f>IF(T335="","",IF(AE335=0,"",AE335+ROW()/1000000))</f>
        <v>0</v>
      </c>
      <c r="AJ335" s="17">
        <f>IF('Content Pillars'!$B$335="","",'Content Pillars'!$B$335)</f>
        <v>0</v>
      </c>
      <c r="AK335" s="23">
        <f>IF(AJ335="","",COUNTIFS('Content Calendar'!$J$5:$J$604,AJ335,'Content Calendar'!$B$5:$B$604,"&gt;="&amp;DATE(PlanYear,1,1),'Content Calendar'!$B$5:$B$604,"&lt;="&amp;DATE(PlanYear,12,31)))</f>
        <v>0</v>
      </c>
      <c r="AL335" s="23">
        <f>IF(AJ335="","",SUMIFS(Performance!$O$5:$O$404,Performance!$H$5:$H$404,AJ335))</f>
        <v>0</v>
      </c>
      <c r="AM335" s="23">
        <f>IF(AJ335="","",SUMIFS(Performance!$Z$5:$Z$404,Performance!$H$5:$H$404,AJ335))</f>
        <v>0</v>
      </c>
      <c r="AN335" s="24">
        <f>IF(OR(AL335="",AL335=0),"",AM335/AL335)</f>
        <v>0</v>
      </c>
      <c r="AO335" s="32">
        <f>IF(AN335="","",AN335+ROW()/1000000)</f>
        <v>0</v>
      </c>
      <c r="AP335" s="17">
        <f>IF(Lists!$E335="","",Lists!$E335)</f>
        <v>0</v>
      </c>
      <c r="AQ335" s="23">
        <f>IF(AP335="","",COUNTIF(Performance!$G$5:$G$404,AP335))</f>
        <v>0</v>
      </c>
      <c r="AR335" s="23">
        <f>IF(AP335="","",SUMIFS(Performance!$O$5:$O$404,Performance!$G$5:$G$404,AP335))</f>
        <v>0</v>
      </c>
      <c r="AS335" s="23">
        <f>IF(AP335="","",SUMIFS(Performance!$Z$5:$Z$404,Performance!$G$5:$G$404,AP335))</f>
        <v>0</v>
      </c>
      <c r="AT335" s="24">
        <f>IF(OR(AR335="",AR335=0),"",AS335/AR335)</f>
        <v>0</v>
      </c>
      <c r="AU335" s="32">
        <f>IF(AQ335=0,"",IF(AT335="","",AT335+ROW()/1000000))</f>
        <v>0</v>
      </c>
      <c r="AV335" s="17">
        <f>IF(ROW()-4&gt;7,"",TEXT(DATE(2024,1,ROW()-4),"ddd"))</f>
        <v>0</v>
      </c>
      <c r="AW335" s="23">
        <f>IF(AV335="","",COUNTIF(Performance!$N$5:$N$404,AV335))</f>
        <v>0</v>
      </c>
      <c r="AX335" s="23">
        <f>IF(AV335="","",SUMIFS(Performance!$O$5:$O$404,Performance!$N$5:$N$404,AV335))</f>
        <v>0</v>
      </c>
      <c r="AY335" s="23">
        <f>IF(AV335="","",SUMIFS(Performance!$Z$5:$Z$404,Performance!$N$5:$N$404,AV335))</f>
        <v>0</v>
      </c>
      <c r="AZ335" s="24">
        <f>IF(OR(AX335="",AX335=0),"",AY335/AX335)</f>
        <v>0</v>
      </c>
      <c r="BA335" s="32">
        <f>IF(AW335=0,"",IF(AZ335="","",AZ335+ROW()/1000000))</f>
        <v>0</v>
      </c>
      <c r="BB335" s="17">
        <f>IF(Lists!$AL335="","",Lists!$AL335)</f>
        <v>0</v>
      </c>
      <c r="BC335" s="23">
        <f>IF(BB335="","",COUNTIF(Performance!$M$5:$M$404,BB335))</f>
        <v>0</v>
      </c>
      <c r="BD335" s="23">
        <f>IF(BB335="","",SUMIFS(Performance!$O$5:$O$404,Performance!$M$5:$M$404,BB335))</f>
        <v>0</v>
      </c>
      <c r="BE335" s="23">
        <f>IF(BB335="","",SUMIFS(Performance!$Z$5:$Z$404,Performance!$M$5:$M$404,BB335))</f>
        <v>0</v>
      </c>
      <c r="BF335" s="24">
        <f>IF(OR(BD335="",BD335=0),"",BE335/BD335)</f>
        <v>0</v>
      </c>
      <c r="BG335" s="32">
        <f>IF(BC335=0,"",IF(BF335="","",BF335+ROW()/1000000))</f>
        <v>0</v>
      </c>
      <c r="BH335" s="17">
        <f>IF(Performance!$C$335="","",Performance!$C$335)</f>
        <v>0</v>
      </c>
      <c r="BI335" s="17">
        <f>IF(Performance!$F$335="","",Performance!$F$335)</f>
        <v>0</v>
      </c>
      <c r="BJ335" s="17">
        <f>IF(Performance!$H$335="","",Performance!$H$335)</f>
        <v>0</v>
      </c>
      <c r="BK335" s="16">
        <f>IF(Performance!$D$335="","",Performance!$D$335)</f>
        <v>0</v>
      </c>
      <c r="BL335" s="17">
        <f>IF(Performance!$E$335="","",Performance!$E$335)</f>
        <v>0</v>
      </c>
      <c r="BM335" s="23">
        <f>IF(Performance!$O$335="","",Performance!$O$335)</f>
        <v>0</v>
      </c>
      <c r="BN335" s="24">
        <f>IF(Performance!$AA$335="","",Performance!$AA$335)</f>
        <v>0</v>
      </c>
      <c r="BO335" s="32">
        <f>IF(BH335="","",IF(BK335="","",IF(OR(BK335&lt;DashStart,BK335&gt;DashEnd),"",IF(BN335="","",BN335+ROW()/1000000))))</f>
        <v>0</v>
      </c>
      <c r="BP335" s="32">
        <f>IF(BM335="","",IF(BK335="","",IF(OR(BK335&lt;DashStart,BK335&gt;DashEnd),"",BM335+ROW()/1000000)))</f>
        <v>0</v>
      </c>
      <c r="BQ335" s="32">
        <f>IF(BH335="","",IF(BK335="","",IF(YEAR(BK335)&lt;&gt;PlanYear,"",IF(BN335="","",BN335+ROW()/1000000))))</f>
        <v>0</v>
      </c>
      <c r="BR335" s="32">
        <f>IF(BH335="","",IF(BK335="","",IF(OR(BK335&lt;RepFrom,BK335&gt;RepTo),"",IF(BN335="","",BN335+ROW()/1000000))))</f>
        <v>0</v>
      </c>
      <c r="BS335" s="32">
        <f>IF(BM335="","",IF(BK335="","",IF(YEAR(BK335)&lt;&gt;PlanYear,"",BM335+ROW()/1000000)))</f>
        <v>0</v>
      </c>
      <c r="BT335" s="17">
        <f>IF(Lists!$F335="","",Lists!$F335)</f>
        <v>0</v>
      </c>
      <c r="BU335" s="23">
        <f>IF(BT335="","",COUNTIF('Content Calendar'!$X$5:$X$604,BT335))</f>
        <v>0</v>
      </c>
      <c r="BV335" s="23">
        <f>IF(BT335="","",COUNTIFS('Content Calendar'!$X$5:$X$604,BT335,'Content Calendar'!$B$5:$B$604,"&gt;="&amp;DashStart,'Content Calendar'!$B$5:$B$604,"&lt;="&amp;DashEnd))</f>
        <v>0</v>
      </c>
      <c r="BW335" s="17">
        <f>IF(Team!$B$335="","",Team!$B$335)</f>
        <v>0</v>
      </c>
      <c r="BX335" s="23">
        <f>IF(BW335="","",COUNTIF('Content Calendar'!$W$5:$W$604,BW335))</f>
        <v>0</v>
      </c>
      <c r="BY335" s="23">
        <f>IF(BW335="","",COUNTIFS('Content Calendar'!$W$5:$W$604,BW335,'Content Calendar'!$X$5:$X$604,"&lt;&gt;Published"))</f>
        <v>0</v>
      </c>
      <c r="BZ335" s="23">
        <f>IF(BW335="","",COUNTIFS(Tasks!$C$5:$C$64,BW335,Tasks!$G$5:$G$64,"&lt;&gt;Complete"))</f>
        <v>0</v>
      </c>
      <c r="CA335" s="17">
        <f>IF(Campaigns!$B$335="","",Campaigns!$B$335)</f>
        <v>0</v>
      </c>
      <c r="CB335" s="25">
        <f>IF(Campaigns!$T$335="","",Campaigns!$T$335)</f>
        <v>0</v>
      </c>
      <c r="CC335" s="25">
        <f>IF(Campaigns!$Q$335="","",Campaigns!$Q$335)</f>
        <v>0</v>
      </c>
      <c r="CD335" s="23">
        <f>IF(Campaigns!$Y$335="","",Campaigns!$Y$335)</f>
        <v>0</v>
      </c>
      <c r="CE335" s="32">
        <f>IF(CA335="","",IF(N(CB335)&lt;=0,"",N(CB335)+ROW()/1000000))</f>
        <v>0</v>
      </c>
      <c r="CF335" s="17">
        <f>IF(Accounts!$C$335="","",Accounts!$C$335)</f>
        <v>0</v>
      </c>
      <c r="CG335" s="17">
        <f>IF(Accounts!$B$335="","",Accounts!$B$335)</f>
        <v>0</v>
      </c>
      <c r="CH335" s="23">
        <f>IF(Accounts!$J$335="","",Accounts!$J$335)</f>
        <v>0</v>
      </c>
      <c r="CI335" s="23">
        <f>IF(CF335="","",SUMIFS(Analytics!$X$5:$X$154,Analytics!$E$5:$E$154,CF335,Analytics!$B$5:$B$154,"&gt;="&amp;DashStart,Analytics!$B$5:$B$154,"&lt;="&amp;DashEnd))</f>
        <v>0</v>
      </c>
      <c r="CJ335" s="32">
        <f>IF(CH335="","",IF(CH335=0,"",CH335+ROW()/1000000))</f>
        <v>0</v>
      </c>
    </row>
    <row r="336" spans="1:88">
      <c r="A336" s="16">
        <f>IF(ROW()-4&gt;12,"",DATE(PlanYear,ROW()-4,1))</f>
        <v>0</v>
      </c>
      <c r="B336" s="16">
        <f>IF(A336="","",EOMONTH(A336,0))</f>
        <v>0</v>
      </c>
      <c r="C336" s="17">
        <f>IF(A336="","",TEXT(A336,"yyyy-mm"))</f>
        <v>0</v>
      </c>
      <c r="D336" s="17">
        <f>IF(A336="","",TEXT(A336,"mmm"))</f>
        <v>0</v>
      </c>
      <c r="E336" s="23">
        <f>IF(C336="","",COUNTIFS('Content Calendar'!$D$5:$D$604,C336))</f>
        <v>0</v>
      </c>
      <c r="F336" s="23">
        <f>IF(C336="","",COUNTIFS('Content Calendar'!$D$5:$D$604,C336,'Content Calendar'!$X$5:$X$604,"Published"))</f>
        <v>0</v>
      </c>
      <c r="G336" s="23">
        <f>IF(C336="","",SUMIFS(Analytics!$J$5:$J$154,Analytics!$C$5:$C$154,C336))</f>
        <v>0</v>
      </c>
      <c r="H336" s="23">
        <f>IF(C336="","",SUMIFS(Analytics!$K$5:$K$154,Analytics!$C$5:$C$154,C336))</f>
        <v>0</v>
      </c>
      <c r="I336" s="23">
        <f>IF(C336="","",SUMIFS(Analytics!$L$5:$L$154,Analytics!$C$5:$C$154,C336))</f>
        <v>0</v>
      </c>
      <c r="J336" s="24">
        <f>IF(OR(G336="",G336=0),"",I336/G336)</f>
        <v>0</v>
      </c>
      <c r="K336" s="23">
        <f>IF(C336="","",SUMIFS(Analytics!$G$5:$G$154,Analytics!$C$5:$C$154,C336))</f>
        <v>0</v>
      </c>
      <c r="L336" s="23">
        <f>IF(C336="","",SUMIFS(Analytics!$X$5:$X$154,Analytics!$C$5:$C$154,C336))</f>
        <v>0</v>
      </c>
      <c r="M336" s="23">
        <f>IF(C336="","",SUMIFS(Analytics!$R$5:$R$154,Analytics!$C$5:$C$154,C336))</f>
        <v>0</v>
      </c>
      <c r="N336" s="23">
        <f>IF(C336="","",SUMIFS(Analytics!$S$5:$S$154,Analytics!$C$5:$C$154,C336))</f>
        <v>0</v>
      </c>
      <c r="O336" s="23">
        <f>IF(C336="","",SUMIFS(Analytics!$T$5:$T$154,Analytics!$C$5:$C$154,C336))</f>
        <v>0</v>
      </c>
      <c r="P336" s="25">
        <f>IF(C336="","",SUMIFS(Analytics!$U$5:$U$154,Analytics!$C$5:$C$154,C336))</f>
        <v>0</v>
      </c>
      <c r="Q336" s="25">
        <f>IF(C336="","",SUMIFS(Budget!$H$5:$H$64,Budget!$C$5:$C$64,C336))</f>
        <v>0</v>
      </c>
      <c r="R336" s="25">
        <f>IF(C336="","",P336-Q336)</f>
        <v>0</v>
      </c>
      <c r="S336" s="23">
        <f>IF(C336="","",MonthlyPostTarget)</f>
        <v>0</v>
      </c>
      <c r="T336" s="17">
        <f>IF(Lists!$C336="","",Lists!$C336)</f>
        <v>0</v>
      </c>
      <c r="U336" s="23">
        <f>IF(T336="","",COUNTIFS('Content Calendar'!$G$5:$G$604,T336,'Content Calendar'!$B$5:$B$604,"&gt;="&amp;DashStart,'Content Calendar'!$B$5:$B$604,"&lt;="&amp;DashEnd))</f>
        <v>0</v>
      </c>
      <c r="V336" s="23">
        <f>IF(T336="","",COUNTIFS('Content Calendar'!$G$5:$G$604,T336,'Content Calendar'!$X$5:$X$604,"Published",'Content Calendar'!$B$5:$B$604,"&gt;="&amp;DashStart,'Content Calendar'!$B$5:$B$604,"&lt;="&amp;DashEnd))</f>
        <v>0</v>
      </c>
      <c r="W336" s="23">
        <f>IF(T336="","",SUMIFS(Analytics!$J$5:$J$154,Analytics!$D$5:$D$154,T336,Analytics!$B$5:$B$154,"&gt;="&amp;DashStart,Analytics!$B$5:$B$154,"&lt;="&amp;DashEnd))</f>
        <v>0</v>
      </c>
      <c r="X336" s="23">
        <f>IF(T336="","",SUMIFS(Analytics!$L$5:$L$154,Analytics!$D$5:$D$154,T336,Analytics!$B$5:$B$154,"&gt;="&amp;DashStart,Analytics!$B$5:$B$154,"&lt;="&amp;DashEnd))</f>
        <v>0</v>
      </c>
      <c r="Y336" s="24">
        <f>IF(OR(W336="",W336=0),"",X336/W336)</f>
        <v>0</v>
      </c>
      <c r="Z336" s="23">
        <f>IF(T336="","",SUMIFS(Analytics!$G$5:$G$154,Analytics!$D$5:$D$154,T336,Analytics!$B$5:$B$154,"&gt;="&amp;DashStart,Analytics!$B$5:$B$154,"&lt;="&amp;DashEnd))</f>
        <v>0</v>
      </c>
      <c r="AA336" s="23">
        <f>IF(T336="","",SUMIFS(Analytics!$X$5:$X$154,Analytics!$D$5:$D$154,T336,Analytics!$B$5:$B$154,"&gt;="&amp;DashStart,Analytics!$B$5:$B$154,"&lt;="&amp;DashEnd))</f>
        <v>0</v>
      </c>
      <c r="AB336" s="23">
        <f>IF(T336="","",SUMIFS(Analytics!$R$5:$R$154,Analytics!$D$5:$D$154,T336,Analytics!$B$5:$B$154,"&gt;="&amp;DashStart,Analytics!$B$5:$B$154,"&lt;="&amp;DashEnd))</f>
        <v>0</v>
      </c>
      <c r="AC336" s="25">
        <f>IF(T336="","",SUMIFS(Analytics!$U$5:$U$154,Analytics!$D$5:$D$154,T336,Analytics!$B$5:$B$154,"&gt;="&amp;DashStart,Analytics!$B$5:$B$154,"&lt;="&amp;DashEnd))</f>
        <v>0</v>
      </c>
      <c r="AD336" s="23">
        <f>IF(T336="","",COUNTIFS('Content Calendar'!$G$5:$G$604,T336,'Content Calendar'!$B$5:$B$604,"&gt;="&amp;DATE(PlanYear,1,1),'Content Calendar'!$B$5:$B$604,"&lt;="&amp;DATE(PlanYear,12,31)))</f>
        <v>0</v>
      </c>
      <c r="AE336" s="23">
        <f>IF(T336="","",SUMIFS(Analytics!$J$5:$J$154,Analytics!$D$5:$D$154,T336))</f>
        <v>0</v>
      </c>
      <c r="AF336" s="23">
        <f>IF(T336="","",SUMIFS(Analytics!$L$5:$L$154,Analytics!$D$5:$D$154,T336))</f>
        <v>0</v>
      </c>
      <c r="AG336" s="24">
        <f>IF(OR(AE336="",AE336=0),"",AF336/AE336)</f>
        <v>0</v>
      </c>
      <c r="AH336" s="23">
        <f>IF(T336="","",SUMIFS(Analytics!$X$5:$X$154,Analytics!$D$5:$D$154,T336))</f>
        <v>0</v>
      </c>
      <c r="AI336" s="32">
        <f>IF(T336="","",IF(AE336=0,"",AE336+ROW()/1000000))</f>
        <v>0</v>
      </c>
      <c r="AJ336" s="17">
        <f>IF('Content Pillars'!$B$336="","",'Content Pillars'!$B$336)</f>
        <v>0</v>
      </c>
      <c r="AK336" s="23">
        <f>IF(AJ336="","",COUNTIFS('Content Calendar'!$J$5:$J$604,AJ336,'Content Calendar'!$B$5:$B$604,"&gt;="&amp;DATE(PlanYear,1,1),'Content Calendar'!$B$5:$B$604,"&lt;="&amp;DATE(PlanYear,12,31)))</f>
        <v>0</v>
      </c>
      <c r="AL336" s="23">
        <f>IF(AJ336="","",SUMIFS(Performance!$O$5:$O$404,Performance!$H$5:$H$404,AJ336))</f>
        <v>0</v>
      </c>
      <c r="AM336" s="23">
        <f>IF(AJ336="","",SUMIFS(Performance!$Z$5:$Z$404,Performance!$H$5:$H$404,AJ336))</f>
        <v>0</v>
      </c>
      <c r="AN336" s="24">
        <f>IF(OR(AL336="",AL336=0),"",AM336/AL336)</f>
        <v>0</v>
      </c>
      <c r="AO336" s="32">
        <f>IF(AN336="","",AN336+ROW()/1000000)</f>
        <v>0</v>
      </c>
      <c r="AP336" s="17">
        <f>IF(Lists!$E336="","",Lists!$E336)</f>
        <v>0</v>
      </c>
      <c r="AQ336" s="23">
        <f>IF(AP336="","",COUNTIF(Performance!$G$5:$G$404,AP336))</f>
        <v>0</v>
      </c>
      <c r="AR336" s="23">
        <f>IF(AP336="","",SUMIFS(Performance!$O$5:$O$404,Performance!$G$5:$G$404,AP336))</f>
        <v>0</v>
      </c>
      <c r="AS336" s="23">
        <f>IF(AP336="","",SUMIFS(Performance!$Z$5:$Z$404,Performance!$G$5:$G$404,AP336))</f>
        <v>0</v>
      </c>
      <c r="AT336" s="24">
        <f>IF(OR(AR336="",AR336=0),"",AS336/AR336)</f>
        <v>0</v>
      </c>
      <c r="AU336" s="32">
        <f>IF(AQ336=0,"",IF(AT336="","",AT336+ROW()/1000000))</f>
        <v>0</v>
      </c>
      <c r="AV336" s="17">
        <f>IF(ROW()-4&gt;7,"",TEXT(DATE(2024,1,ROW()-4),"ddd"))</f>
        <v>0</v>
      </c>
      <c r="AW336" s="23">
        <f>IF(AV336="","",COUNTIF(Performance!$N$5:$N$404,AV336))</f>
        <v>0</v>
      </c>
      <c r="AX336" s="23">
        <f>IF(AV336="","",SUMIFS(Performance!$O$5:$O$404,Performance!$N$5:$N$404,AV336))</f>
        <v>0</v>
      </c>
      <c r="AY336" s="23">
        <f>IF(AV336="","",SUMIFS(Performance!$Z$5:$Z$404,Performance!$N$5:$N$404,AV336))</f>
        <v>0</v>
      </c>
      <c r="AZ336" s="24">
        <f>IF(OR(AX336="",AX336=0),"",AY336/AX336)</f>
        <v>0</v>
      </c>
      <c r="BA336" s="32">
        <f>IF(AW336=0,"",IF(AZ336="","",AZ336+ROW()/1000000))</f>
        <v>0</v>
      </c>
      <c r="BB336" s="17">
        <f>IF(Lists!$AL336="","",Lists!$AL336)</f>
        <v>0</v>
      </c>
      <c r="BC336" s="23">
        <f>IF(BB336="","",COUNTIF(Performance!$M$5:$M$404,BB336))</f>
        <v>0</v>
      </c>
      <c r="BD336" s="23">
        <f>IF(BB336="","",SUMIFS(Performance!$O$5:$O$404,Performance!$M$5:$M$404,BB336))</f>
        <v>0</v>
      </c>
      <c r="BE336" s="23">
        <f>IF(BB336="","",SUMIFS(Performance!$Z$5:$Z$404,Performance!$M$5:$M$404,BB336))</f>
        <v>0</v>
      </c>
      <c r="BF336" s="24">
        <f>IF(OR(BD336="",BD336=0),"",BE336/BD336)</f>
        <v>0</v>
      </c>
      <c r="BG336" s="32">
        <f>IF(BC336=0,"",IF(BF336="","",BF336+ROW()/1000000))</f>
        <v>0</v>
      </c>
      <c r="BH336" s="17">
        <f>IF(Performance!$C$336="","",Performance!$C$336)</f>
        <v>0</v>
      </c>
      <c r="BI336" s="17">
        <f>IF(Performance!$F$336="","",Performance!$F$336)</f>
        <v>0</v>
      </c>
      <c r="BJ336" s="17">
        <f>IF(Performance!$H$336="","",Performance!$H$336)</f>
        <v>0</v>
      </c>
      <c r="BK336" s="16">
        <f>IF(Performance!$D$336="","",Performance!$D$336)</f>
        <v>0</v>
      </c>
      <c r="BL336" s="17">
        <f>IF(Performance!$E$336="","",Performance!$E$336)</f>
        <v>0</v>
      </c>
      <c r="BM336" s="23">
        <f>IF(Performance!$O$336="","",Performance!$O$336)</f>
        <v>0</v>
      </c>
      <c r="BN336" s="24">
        <f>IF(Performance!$AA$336="","",Performance!$AA$336)</f>
        <v>0</v>
      </c>
      <c r="BO336" s="32">
        <f>IF(BH336="","",IF(BK336="","",IF(OR(BK336&lt;DashStart,BK336&gt;DashEnd),"",IF(BN336="","",BN336+ROW()/1000000))))</f>
        <v>0</v>
      </c>
      <c r="BP336" s="32">
        <f>IF(BM336="","",IF(BK336="","",IF(OR(BK336&lt;DashStart,BK336&gt;DashEnd),"",BM336+ROW()/1000000)))</f>
        <v>0</v>
      </c>
      <c r="BQ336" s="32">
        <f>IF(BH336="","",IF(BK336="","",IF(YEAR(BK336)&lt;&gt;PlanYear,"",IF(BN336="","",BN336+ROW()/1000000))))</f>
        <v>0</v>
      </c>
      <c r="BR336" s="32">
        <f>IF(BH336="","",IF(BK336="","",IF(OR(BK336&lt;RepFrom,BK336&gt;RepTo),"",IF(BN336="","",BN336+ROW()/1000000))))</f>
        <v>0</v>
      </c>
      <c r="BS336" s="32">
        <f>IF(BM336="","",IF(BK336="","",IF(YEAR(BK336)&lt;&gt;PlanYear,"",BM336+ROW()/1000000)))</f>
        <v>0</v>
      </c>
      <c r="BT336" s="17">
        <f>IF(Lists!$F336="","",Lists!$F336)</f>
        <v>0</v>
      </c>
      <c r="BU336" s="23">
        <f>IF(BT336="","",COUNTIF('Content Calendar'!$X$5:$X$604,BT336))</f>
        <v>0</v>
      </c>
      <c r="BV336" s="23">
        <f>IF(BT336="","",COUNTIFS('Content Calendar'!$X$5:$X$604,BT336,'Content Calendar'!$B$5:$B$604,"&gt;="&amp;DashStart,'Content Calendar'!$B$5:$B$604,"&lt;="&amp;DashEnd))</f>
        <v>0</v>
      </c>
      <c r="BW336" s="17">
        <f>IF(Team!$B$336="","",Team!$B$336)</f>
        <v>0</v>
      </c>
      <c r="BX336" s="23">
        <f>IF(BW336="","",COUNTIF('Content Calendar'!$W$5:$W$604,BW336))</f>
        <v>0</v>
      </c>
      <c r="BY336" s="23">
        <f>IF(BW336="","",COUNTIFS('Content Calendar'!$W$5:$W$604,BW336,'Content Calendar'!$X$5:$X$604,"&lt;&gt;Published"))</f>
        <v>0</v>
      </c>
      <c r="BZ336" s="23">
        <f>IF(BW336="","",COUNTIFS(Tasks!$C$5:$C$64,BW336,Tasks!$G$5:$G$64,"&lt;&gt;Complete"))</f>
        <v>0</v>
      </c>
      <c r="CA336" s="17">
        <f>IF(Campaigns!$B$336="","",Campaigns!$B$336)</f>
        <v>0</v>
      </c>
      <c r="CB336" s="25">
        <f>IF(Campaigns!$T$336="","",Campaigns!$T$336)</f>
        <v>0</v>
      </c>
      <c r="CC336" s="25">
        <f>IF(Campaigns!$Q$336="","",Campaigns!$Q$336)</f>
        <v>0</v>
      </c>
      <c r="CD336" s="23">
        <f>IF(Campaigns!$Y$336="","",Campaigns!$Y$336)</f>
        <v>0</v>
      </c>
      <c r="CE336" s="32">
        <f>IF(CA336="","",IF(N(CB336)&lt;=0,"",N(CB336)+ROW()/1000000))</f>
        <v>0</v>
      </c>
      <c r="CF336" s="17">
        <f>IF(Accounts!$C$336="","",Accounts!$C$336)</f>
        <v>0</v>
      </c>
      <c r="CG336" s="17">
        <f>IF(Accounts!$B$336="","",Accounts!$B$336)</f>
        <v>0</v>
      </c>
      <c r="CH336" s="23">
        <f>IF(Accounts!$J$336="","",Accounts!$J$336)</f>
        <v>0</v>
      </c>
      <c r="CI336" s="23">
        <f>IF(CF336="","",SUMIFS(Analytics!$X$5:$X$154,Analytics!$E$5:$E$154,CF336,Analytics!$B$5:$B$154,"&gt;="&amp;DashStart,Analytics!$B$5:$B$154,"&lt;="&amp;DashEnd))</f>
        <v>0</v>
      </c>
      <c r="CJ336" s="32">
        <f>IF(CH336="","",IF(CH336=0,"",CH336+ROW()/1000000))</f>
        <v>0</v>
      </c>
    </row>
    <row r="337" spans="1:88">
      <c r="A337" s="16">
        <f>IF(ROW()-4&gt;12,"",DATE(PlanYear,ROW()-4,1))</f>
        <v>0</v>
      </c>
      <c r="B337" s="16">
        <f>IF(A337="","",EOMONTH(A337,0))</f>
        <v>0</v>
      </c>
      <c r="C337" s="17">
        <f>IF(A337="","",TEXT(A337,"yyyy-mm"))</f>
        <v>0</v>
      </c>
      <c r="D337" s="17">
        <f>IF(A337="","",TEXT(A337,"mmm"))</f>
        <v>0</v>
      </c>
      <c r="E337" s="23">
        <f>IF(C337="","",COUNTIFS('Content Calendar'!$D$5:$D$604,C337))</f>
        <v>0</v>
      </c>
      <c r="F337" s="23">
        <f>IF(C337="","",COUNTIFS('Content Calendar'!$D$5:$D$604,C337,'Content Calendar'!$X$5:$X$604,"Published"))</f>
        <v>0</v>
      </c>
      <c r="G337" s="23">
        <f>IF(C337="","",SUMIFS(Analytics!$J$5:$J$154,Analytics!$C$5:$C$154,C337))</f>
        <v>0</v>
      </c>
      <c r="H337" s="23">
        <f>IF(C337="","",SUMIFS(Analytics!$K$5:$K$154,Analytics!$C$5:$C$154,C337))</f>
        <v>0</v>
      </c>
      <c r="I337" s="23">
        <f>IF(C337="","",SUMIFS(Analytics!$L$5:$L$154,Analytics!$C$5:$C$154,C337))</f>
        <v>0</v>
      </c>
      <c r="J337" s="24">
        <f>IF(OR(G337="",G337=0),"",I337/G337)</f>
        <v>0</v>
      </c>
      <c r="K337" s="23">
        <f>IF(C337="","",SUMIFS(Analytics!$G$5:$G$154,Analytics!$C$5:$C$154,C337))</f>
        <v>0</v>
      </c>
      <c r="L337" s="23">
        <f>IF(C337="","",SUMIFS(Analytics!$X$5:$X$154,Analytics!$C$5:$C$154,C337))</f>
        <v>0</v>
      </c>
      <c r="M337" s="23">
        <f>IF(C337="","",SUMIFS(Analytics!$R$5:$R$154,Analytics!$C$5:$C$154,C337))</f>
        <v>0</v>
      </c>
      <c r="N337" s="23">
        <f>IF(C337="","",SUMIFS(Analytics!$S$5:$S$154,Analytics!$C$5:$C$154,C337))</f>
        <v>0</v>
      </c>
      <c r="O337" s="23">
        <f>IF(C337="","",SUMIFS(Analytics!$T$5:$T$154,Analytics!$C$5:$C$154,C337))</f>
        <v>0</v>
      </c>
      <c r="P337" s="25">
        <f>IF(C337="","",SUMIFS(Analytics!$U$5:$U$154,Analytics!$C$5:$C$154,C337))</f>
        <v>0</v>
      </c>
      <c r="Q337" s="25">
        <f>IF(C337="","",SUMIFS(Budget!$H$5:$H$64,Budget!$C$5:$C$64,C337))</f>
        <v>0</v>
      </c>
      <c r="R337" s="25">
        <f>IF(C337="","",P337-Q337)</f>
        <v>0</v>
      </c>
      <c r="S337" s="23">
        <f>IF(C337="","",MonthlyPostTarget)</f>
        <v>0</v>
      </c>
      <c r="T337" s="17">
        <f>IF(Lists!$C337="","",Lists!$C337)</f>
        <v>0</v>
      </c>
      <c r="U337" s="23">
        <f>IF(T337="","",COUNTIFS('Content Calendar'!$G$5:$G$604,T337,'Content Calendar'!$B$5:$B$604,"&gt;="&amp;DashStart,'Content Calendar'!$B$5:$B$604,"&lt;="&amp;DashEnd))</f>
        <v>0</v>
      </c>
      <c r="V337" s="23">
        <f>IF(T337="","",COUNTIFS('Content Calendar'!$G$5:$G$604,T337,'Content Calendar'!$X$5:$X$604,"Published",'Content Calendar'!$B$5:$B$604,"&gt;="&amp;DashStart,'Content Calendar'!$B$5:$B$604,"&lt;="&amp;DashEnd))</f>
        <v>0</v>
      </c>
      <c r="W337" s="23">
        <f>IF(T337="","",SUMIFS(Analytics!$J$5:$J$154,Analytics!$D$5:$D$154,T337,Analytics!$B$5:$B$154,"&gt;="&amp;DashStart,Analytics!$B$5:$B$154,"&lt;="&amp;DashEnd))</f>
        <v>0</v>
      </c>
      <c r="X337" s="23">
        <f>IF(T337="","",SUMIFS(Analytics!$L$5:$L$154,Analytics!$D$5:$D$154,T337,Analytics!$B$5:$B$154,"&gt;="&amp;DashStart,Analytics!$B$5:$B$154,"&lt;="&amp;DashEnd))</f>
        <v>0</v>
      </c>
      <c r="Y337" s="24">
        <f>IF(OR(W337="",W337=0),"",X337/W337)</f>
        <v>0</v>
      </c>
      <c r="Z337" s="23">
        <f>IF(T337="","",SUMIFS(Analytics!$G$5:$G$154,Analytics!$D$5:$D$154,T337,Analytics!$B$5:$B$154,"&gt;="&amp;DashStart,Analytics!$B$5:$B$154,"&lt;="&amp;DashEnd))</f>
        <v>0</v>
      </c>
      <c r="AA337" s="23">
        <f>IF(T337="","",SUMIFS(Analytics!$X$5:$X$154,Analytics!$D$5:$D$154,T337,Analytics!$B$5:$B$154,"&gt;="&amp;DashStart,Analytics!$B$5:$B$154,"&lt;="&amp;DashEnd))</f>
        <v>0</v>
      </c>
      <c r="AB337" s="23">
        <f>IF(T337="","",SUMIFS(Analytics!$R$5:$R$154,Analytics!$D$5:$D$154,T337,Analytics!$B$5:$B$154,"&gt;="&amp;DashStart,Analytics!$B$5:$B$154,"&lt;="&amp;DashEnd))</f>
        <v>0</v>
      </c>
      <c r="AC337" s="25">
        <f>IF(T337="","",SUMIFS(Analytics!$U$5:$U$154,Analytics!$D$5:$D$154,T337,Analytics!$B$5:$B$154,"&gt;="&amp;DashStart,Analytics!$B$5:$B$154,"&lt;="&amp;DashEnd))</f>
        <v>0</v>
      </c>
      <c r="AD337" s="23">
        <f>IF(T337="","",COUNTIFS('Content Calendar'!$G$5:$G$604,T337,'Content Calendar'!$B$5:$B$604,"&gt;="&amp;DATE(PlanYear,1,1),'Content Calendar'!$B$5:$B$604,"&lt;="&amp;DATE(PlanYear,12,31)))</f>
        <v>0</v>
      </c>
      <c r="AE337" s="23">
        <f>IF(T337="","",SUMIFS(Analytics!$J$5:$J$154,Analytics!$D$5:$D$154,T337))</f>
        <v>0</v>
      </c>
      <c r="AF337" s="23">
        <f>IF(T337="","",SUMIFS(Analytics!$L$5:$L$154,Analytics!$D$5:$D$154,T337))</f>
        <v>0</v>
      </c>
      <c r="AG337" s="24">
        <f>IF(OR(AE337="",AE337=0),"",AF337/AE337)</f>
        <v>0</v>
      </c>
      <c r="AH337" s="23">
        <f>IF(T337="","",SUMIFS(Analytics!$X$5:$X$154,Analytics!$D$5:$D$154,T337))</f>
        <v>0</v>
      </c>
      <c r="AI337" s="32">
        <f>IF(T337="","",IF(AE337=0,"",AE337+ROW()/1000000))</f>
        <v>0</v>
      </c>
      <c r="AJ337" s="17">
        <f>IF('Content Pillars'!$B$337="","",'Content Pillars'!$B$337)</f>
        <v>0</v>
      </c>
      <c r="AK337" s="23">
        <f>IF(AJ337="","",COUNTIFS('Content Calendar'!$J$5:$J$604,AJ337,'Content Calendar'!$B$5:$B$604,"&gt;="&amp;DATE(PlanYear,1,1),'Content Calendar'!$B$5:$B$604,"&lt;="&amp;DATE(PlanYear,12,31)))</f>
        <v>0</v>
      </c>
      <c r="AL337" s="23">
        <f>IF(AJ337="","",SUMIFS(Performance!$O$5:$O$404,Performance!$H$5:$H$404,AJ337))</f>
        <v>0</v>
      </c>
      <c r="AM337" s="23">
        <f>IF(AJ337="","",SUMIFS(Performance!$Z$5:$Z$404,Performance!$H$5:$H$404,AJ337))</f>
        <v>0</v>
      </c>
      <c r="AN337" s="24">
        <f>IF(OR(AL337="",AL337=0),"",AM337/AL337)</f>
        <v>0</v>
      </c>
      <c r="AO337" s="32">
        <f>IF(AN337="","",AN337+ROW()/1000000)</f>
        <v>0</v>
      </c>
      <c r="AP337" s="17">
        <f>IF(Lists!$E337="","",Lists!$E337)</f>
        <v>0</v>
      </c>
      <c r="AQ337" s="23">
        <f>IF(AP337="","",COUNTIF(Performance!$G$5:$G$404,AP337))</f>
        <v>0</v>
      </c>
      <c r="AR337" s="23">
        <f>IF(AP337="","",SUMIFS(Performance!$O$5:$O$404,Performance!$G$5:$G$404,AP337))</f>
        <v>0</v>
      </c>
      <c r="AS337" s="23">
        <f>IF(AP337="","",SUMIFS(Performance!$Z$5:$Z$404,Performance!$G$5:$G$404,AP337))</f>
        <v>0</v>
      </c>
      <c r="AT337" s="24">
        <f>IF(OR(AR337="",AR337=0),"",AS337/AR337)</f>
        <v>0</v>
      </c>
      <c r="AU337" s="32">
        <f>IF(AQ337=0,"",IF(AT337="","",AT337+ROW()/1000000))</f>
        <v>0</v>
      </c>
      <c r="AV337" s="17">
        <f>IF(ROW()-4&gt;7,"",TEXT(DATE(2024,1,ROW()-4),"ddd"))</f>
        <v>0</v>
      </c>
      <c r="AW337" s="23">
        <f>IF(AV337="","",COUNTIF(Performance!$N$5:$N$404,AV337))</f>
        <v>0</v>
      </c>
      <c r="AX337" s="23">
        <f>IF(AV337="","",SUMIFS(Performance!$O$5:$O$404,Performance!$N$5:$N$404,AV337))</f>
        <v>0</v>
      </c>
      <c r="AY337" s="23">
        <f>IF(AV337="","",SUMIFS(Performance!$Z$5:$Z$404,Performance!$N$5:$N$404,AV337))</f>
        <v>0</v>
      </c>
      <c r="AZ337" s="24">
        <f>IF(OR(AX337="",AX337=0),"",AY337/AX337)</f>
        <v>0</v>
      </c>
      <c r="BA337" s="32">
        <f>IF(AW337=0,"",IF(AZ337="","",AZ337+ROW()/1000000))</f>
        <v>0</v>
      </c>
      <c r="BB337" s="17">
        <f>IF(Lists!$AL337="","",Lists!$AL337)</f>
        <v>0</v>
      </c>
      <c r="BC337" s="23">
        <f>IF(BB337="","",COUNTIF(Performance!$M$5:$M$404,BB337))</f>
        <v>0</v>
      </c>
      <c r="BD337" s="23">
        <f>IF(BB337="","",SUMIFS(Performance!$O$5:$O$404,Performance!$M$5:$M$404,BB337))</f>
        <v>0</v>
      </c>
      <c r="BE337" s="23">
        <f>IF(BB337="","",SUMIFS(Performance!$Z$5:$Z$404,Performance!$M$5:$M$404,BB337))</f>
        <v>0</v>
      </c>
      <c r="BF337" s="24">
        <f>IF(OR(BD337="",BD337=0),"",BE337/BD337)</f>
        <v>0</v>
      </c>
      <c r="BG337" s="32">
        <f>IF(BC337=0,"",IF(BF337="","",BF337+ROW()/1000000))</f>
        <v>0</v>
      </c>
      <c r="BH337" s="17">
        <f>IF(Performance!$C$337="","",Performance!$C$337)</f>
        <v>0</v>
      </c>
      <c r="BI337" s="17">
        <f>IF(Performance!$F$337="","",Performance!$F$337)</f>
        <v>0</v>
      </c>
      <c r="BJ337" s="17">
        <f>IF(Performance!$H$337="","",Performance!$H$337)</f>
        <v>0</v>
      </c>
      <c r="BK337" s="16">
        <f>IF(Performance!$D$337="","",Performance!$D$337)</f>
        <v>0</v>
      </c>
      <c r="BL337" s="17">
        <f>IF(Performance!$E$337="","",Performance!$E$337)</f>
        <v>0</v>
      </c>
      <c r="BM337" s="23">
        <f>IF(Performance!$O$337="","",Performance!$O$337)</f>
        <v>0</v>
      </c>
      <c r="BN337" s="24">
        <f>IF(Performance!$AA$337="","",Performance!$AA$337)</f>
        <v>0</v>
      </c>
      <c r="BO337" s="32">
        <f>IF(BH337="","",IF(BK337="","",IF(OR(BK337&lt;DashStart,BK337&gt;DashEnd),"",IF(BN337="","",BN337+ROW()/1000000))))</f>
        <v>0</v>
      </c>
      <c r="BP337" s="32">
        <f>IF(BM337="","",IF(BK337="","",IF(OR(BK337&lt;DashStart,BK337&gt;DashEnd),"",BM337+ROW()/1000000)))</f>
        <v>0</v>
      </c>
      <c r="BQ337" s="32">
        <f>IF(BH337="","",IF(BK337="","",IF(YEAR(BK337)&lt;&gt;PlanYear,"",IF(BN337="","",BN337+ROW()/1000000))))</f>
        <v>0</v>
      </c>
      <c r="BR337" s="32">
        <f>IF(BH337="","",IF(BK337="","",IF(OR(BK337&lt;RepFrom,BK337&gt;RepTo),"",IF(BN337="","",BN337+ROW()/1000000))))</f>
        <v>0</v>
      </c>
      <c r="BS337" s="32">
        <f>IF(BM337="","",IF(BK337="","",IF(YEAR(BK337)&lt;&gt;PlanYear,"",BM337+ROW()/1000000)))</f>
        <v>0</v>
      </c>
      <c r="BT337" s="17">
        <f>IF(Lists!$F337="","",Lists!$F337)</f>
        <v>0</v>
      </c>
      <c r="BU337" s="23">
        <f>IF(BT337="","",COUNTIF('Content Calendar'!$X$5:$X$604,BT337))</f>
        <v>0</v>
      </c>
      <c r="BV337" s="23">
        <f>IF(BT337="","",COUNTIFS('Content Calendar'!$X$5:$X$604,BT337,'Content Calendar'!$B$5:$B$604,"&gt;="&amp;DashStart,'Content Calendar'!$B$5:$B$604,"&lt;="&amp;DashEnd))</f>
        <v>0</v>
      </c>
      <c r="BW337" s="17">
        <f>IF(Team!$B$337="","",Team!$B$337)</f>
        <v>0</v>
      </c>
      <c r="BX337" s="23">
        <f>IF(BW337="","",COUNTIF('Content Calendar'!$W$5:$W$604,BW337))</f>
        <v>0</v>
      </c>
      <c r="BY337" s="23">
        <f>IF(BW337="","",COUNTIFS('Content Calendar'!$W$5:$W$604,BW337,'Content Calendar'!$X$5:$X$604,"&lt;&gt;Published"))</f>
        <v>0</v>
      </c>
      <c r="BZ337" s="23">
        <f>IF(BW337="","",COUNTIFS(Tasks!$C$5:$C$64,BW337,Tasks!$G$5:$G$64,"&lt;&gt;Complete"))</f>
        <v>0</v>
      </c>
      <c r="CA337" s="17">
        <f>IF(Campaigns!$B$337="","",Campaigns!$B$337)</f>
        <v>0</v>
      </c>
      <c r="CB337" s="25">
        <f>IF(Campaigns!$T$337="","",Campaigns!$T$337)</f>
        <v>0</v>
      </c>
      <c r="CC337" s="25">
        <f>IF(Campaigns!$Q$337="","",Campaigns!$Q$337)</f>
        <v>0</v>
      </c>
      <c r="CD337" s="23">
        <f>IF(Campaigns!$Y$337="","",Campaigns!$Y$337)</f>
        <v>0</v>
      </c>
      <c r="CE337" s="32">
        <f>IF(CA337="","",IF(N(CB337)&lt;=0,"",N(CB337)+ROW()/1000000))</f>
        <v>0</v>
      </c>
      <c r="CF337" s="17">
        <f>IF(Accounts!$C$337="","",Accounts!$C$337)</f>
        <v>0</v>
      </c>
      <c r="CG337" s="17">
        <f>IF(Accounts!$B$337="","",Accounts!$B$337)</f>
        <v>0</v>
      </c>
      <c r="CH337" s="23">
        <f>IF(Accounts!$J$337="","",Accounts!$J$337)</f>
        <v>0</v>
      </c>
      <c r="CI337" s="23">
        <f>IF(CF337="","",SUMIFS(Analytics!$X$5:$X$154,Analytics!$E$5:$E$154,CF337,Analytics!$B$5:$B$154,"&gt;="&amp;DashStart,Analytics!$B$5:$B$154,"&lt;="&amp;DashEnd))</f>
        <v>0</v>
      </c>
      <c r="CJ337" s="32">
        <f>IF(CH337="","",IF(CH337=0,"",CH337+ROW()/1000000))</f>
        <v>0</v>
      </c>
    </row>
    <row r="338" spans="1:88">
      <c r="A338" s="16">
        <f>IF(ROW()-4&gt;12,"",DATE(PlanYear,ROW()-4,1))</f>
        <v>0</v>
      </c>
      <c r="B338" s="16">
        <f>IF(A338="","",EOMONTH(A338,0))</f>
        <v>0</v>
      </c>
      <c r="C338" s="17">
        <f>IF(A338="","",TEXT(A338,"yyyy-mm"))</f>
        <v>0</v>
      </c>
      <c r="D338" s="17">
        <f>IF(A338="","",TEXT(A338,"mmm"))</f>
        <v>0</v>
      </c>
      <c r="E338" s="23">
        <f>IF(C338="","",COUNTIFS('Content Calendar'!$D$5:$D$604,C338))</f>
        <v>0</v>
      </c>
      <c r="F338" s="23">
        <f>IF(C338="","",COUNTIFS('Content Calendar'!$D$5:$D$604,C338,'Content Calendar'!$X$5:$X$604,"Published"))</f>
        <v>0</v>
      </c>
      <c r="G338" s="23">
        <f>IF(C338="","",SUMIFS(Analytics!$J$5:$J$154,Analytics!$C$5:$C$154,C338))</f>
        <v>0</v>
      </c>
      <c r="H338" s="23">
        <f>IF(C338="","",SUMIFS(Analytics!$K$5:$K$154,Analytics!$C$5:$C$154,C338))</f>
        <v>0</v>
      </c>
      <c r="I338" s="23">
        <f>IF(C338="","",SUMIFS(Analytics!$L$5:$L$154,Analytics!$C$5:$C$154,C338))</f>
        <v>0</v>
      </c>
      <c r="J338" s="24">
        <f>IF(OR(G338="",G338=0),"",I338/G338)</f>
        <v>0</v>
      </c>
      <c r="K338" s="23">
        <f>IF(C338="","",SUMIFS(Analytics!$G$5:$G$154,Analytics!$C$5:$C$154,C338))</f>
        <v>0</v>
      </c>
      <c r="L338" s="23">
        <f>IF(C338="","",SUMIFS(Analytics!$X$5:$X$154,Analytics!$C$5:$C$154,C338))</f>
        <v>0</v>
      </c>
      <c r="M338" s="23">
        <f>IF(C338="","",SUMIFS(Analytics!$R$5:$R$154,Analytics!$C$5:$C$154,C338))</f>
        <v>0</v>
      </c>
      <c r="N338" s="23">
        <f>IF(C338="","",SUMIFS(Analytics!$S$5:$S$154,Analytics!$C$5:$C$154,C338))</f>
        <v>0</v>
      </c>
      <c r="O338" s="23">
        <f>IF(C338="","",SUMIFS(Analytics!$T$5:$T$154,Analytics!$C$5:$C$154,C338))</f>
        <v>0</v>
      </c>
      <c r="P338" s="25">
        <f>IF(C338="","",SUMIFS(Analytics!$U$5:$U$154,Analytics!$C$5:$C$154,C338))</f>
        <v>0</v>
      </c>
      <c r="Q338" s="25">
        <f>IF(C338="","",SUMIFS(Budget!$H$5:$H$64,Budget!$C$5:$C$64,C338))</f>
        <v>0</v>
      </c>
      <c r="R338" s="25">
        <f>IF(C338="","",P338-Q338)</f>
        <v>0</v>
      </c>
      <c r="S338" s="23">
        <f>IF(C338="","",MonthlyPostTarget)</f>
        <v>0</v>
      </c>
      <c r="T338" s="17">
        <f>IF(Lists!$C338="","",Lists!$C338)</f>
        <v>0</v>
      </c>
      <c r="U338" s="23">
        <f>IF(T338="","",COUNTIFS('Content Calendar'!$G$5:$G$604,T338,'Content Calendar'!$B$5:$B$604,"&gt;="&amp;DashStart,'Content Calendar'!$B$5:$B$604,"&lt;="&amp;DashEnd))</f>
        <v>0</v>
      </c>
      <c r="V338" s="23">
        <f>IF(T338="","",COUNTIFS('Content Calendar'!$G$5:$G$604,T338,'Content Calendar'!$X$5:$X$604,"Published",'Content Calendar'!$B$5:$B$604,"&gt;="&amp;DashStart,'Content Calendar'!$B$5:$B$604,"&lt;="&amp;DashEnd))</f>
        <v>0</v>
      </c>
      <c r="W338" s="23">
        <f>IF(T338="","",SUMIFS(Analytics!$J$5:$J$154,Analytics!$D$5:$D$154,T338,Analytics!$B$5:$B$154,"&gt;="&amp;DashStart,Analytics!$B$5:$B$154,"&lt;="&amp;DashEnd))</f>
        <v>0</v>
      </c>
      <c r="X338" s="23">
        <f>IF(T338="","",SUMIFS(Analytics!$L$5:$L$154,Analytics!$D$5:$D$154,T338,Analytics!$B$5:$B$154,"&gt;="&amp;DashStart,Analytics!$B$5:$B$154,"&lt;="&amp;DashEnd))</f>
        <v>0</v>
      </c>
      <c r="Y338" s="24">
        <f>IF(OR(W338="",W338=0),"",X338/W338)</f>
        <v>0</v>
      </c>
      <c r="Z338" s="23">
        <f>IF(T338="","",SUMIFS(Analytics!$G$5:$G$154,Analytics!$D$5:$D$154,T338,Analytics!$B$5:$B$154,"&gt;="&amp;DashStart,Analytics!$B$5:$B$154,"&lt;="&amp;DashEnd))</f>
        <v>0</v>
      </c>
      <c r="AA338" s="23">
        <f>IF(T338="","",SUMIFS(Analytics!$X$5:$X$154,Analytics!$D$5:$D$154,T338,Analytics!$B$5:$B$154,"&gt;="&amp;DashStart,Analytics!$B$5:$B$154,"&lt;="&amp;DashEnd))</f>
        <v>0</v>
      </c>
      <c r="AB338" s="23">
        <f>IF(T338="","",SUMIFS(Analytics!$R$5:$R$154,Analytics!$D$5:$D$154,T338,Analytics!$B$5:$B$154,"&gt;="&amp;DashStart,Analytics!$B$5:$B$154,"&lt;="&amp;DashEnd))</f>
        <v>0</v>
      </c>
      <c r="AC338" s="25">
        <f>IF(T338="","",SUMIFS(Analytics!$U$5:$U$154,Analytics!$D$5:$D$154,T338,Analytics!$B$5:$B$154,"&gt;="&amp;DashStart,Analytics!$B$5:$B$154,"&lt;="&amp;DashEnd))</f>
        <v>0</v>
      </c>
      <c r="AD338" s="23">
        <f>IF(T338="","",COUNTIFS('Content Calendar'!$G$5:$G$604,T338,'Content Calendar'!$B$5:$B$604,"&gt;="&amp;DATE(PlanYear,1,1),'Content Calendar'!$B$5:$B$604,"&lt;="&amp;DATE(PlanYear,12,31)))</f>
        <v>0</v>
      </c>
      <c r="AE338" s="23">
        <f>IF(T338="","",SUMIFS(Analytics!$J$5:$J$154,Analytics!$D$5:$D$154,T338))</f>
        <v>0</v>
      </c>
      <c r="AF338" s="23">
        <f>IF(T338="","",SUMIFS(Analytics!$L$5:$L$154,Analytics!$D$5:$D$154,T338))</f>
        <v>0</v>
      </c>
      <c r="AG338" s="24">
        <f>IF(OR(AE338="",AE338=0),"",AF338/AE338)</f>
        <v>0</v>
      </c>
      <c r="AH338" s="23">
        <f>IF(T338="","",SUMIFS(Analytics!$X$5:$X$154,Analytics!$D$5:$D$154,T338))</f>
        <v>0</v>
      </c>
      <c r="AI338" s="32">
        <f>IF(T338="","",IF(AE338=0,"",AE338+ROW()/1000000))</f>
        <v>0</v>
      </c>
      <c r="AJ338" s="17">
        <f>IF('Content Pillars'!$B$338="","",'Content Pillars'!$B$338)</f>
        <v>0</v>
      </c>
      <c r="AK338" s="23">
        <f>IF(AJ338="","",COUNTIFS('Content Calendar'!$J$5:$J$604,AJ338,'Content Calendar'!$B$5:$B$604,"&gt;="&amp;DATE(PlanYear,1,1),'Content Calendar'!$B$5:$B$604,"&lt;="&amp;DATE(PlanYear,12,31)))</f>
        <v>0</v>
      </c>
      <c r="AL338" s="23">
        <f>IF(AJ338="","",SUMIFS(Performance!$O$5:$O$404,Performance!$H$5:$H$404,AJ338))</f>
        <v>0</v>
      </c>
      <c r="AM338" s="23">
        <f>IF(AJ338="","",SUMIFS(Performance!$Z$5:$Z$404,Performance!$H$5:$H$404,AJ338))</f>
        <v>0</v>
      </c>
      <c r="AN338" s="24">
        <f>IF(OR(AL338="",AL338=0),"",AM338/AL338)</f>
        <v>0</v>
      </c>
      <c r="AO338" s="32">
        <f>IF(AN338="","",AN338+ROW()/1000000)</f>
        <v>0</v>
      </c>
      <c r="AP338" s="17">
        <f>IF(Lists!$E338="","",Lists!$E338)</f>
        <v>0</v>
      </c>
      <c r="AQ338" s="23">
        <f>IF(AP338="","",COUNTIF(Performance!$G$5:$G$404,AP338))</f>
        <v>0</v>
      </c>
      <c r="AR338" s="23">
        <f>IF(AP338="","",SUMIFS(Performance!$O$5:$O$404,Performance!$G$5:$G$404,AP338))</f>
        <v>0</v>
      </c>
      <c r="AS338" s="23">
        <f>IF(AP338="","",SUMIFS(Performance!$Z$5:$Z$404,Performance!$G$5:$G$404,AP338))</f>
        <v>0</v>
      </c>
      <c r="AT338" s="24">
        <f>IF(OR(AR338="",AR338=0),"",AS338/AR338)</f>
        <v>0</v>
      </c>
      <c r="AU338" s="32">
        <f>IF(AQ338=0,"",IF(AT338="","",AT338+ROW()/1000000))</f>
        <v>0</v>
      </c>
      <c r="AV338" s="17">
        <f>IF(ROW()-4&gt;7,"",TEXT(DATE(2024,1,ROW()-4),"ddd"))</f>
        <v>0</v>
      </c>
      <c r="AW338" s="23">
        <f>IF(AV338="","",COUNTIF(Performance!$N$5:$N$404,AV338))</f>
        <v>0</v>
      </c>
      <c r="AX338" s="23">
        <f>IF(AV338="","",SUMIFS(Performance!$O$5:$O$404,Performance!$N$5:$N$404,AV338))</f>
        <v>0</v>
      </c>
      <c r="AY338" s="23">
        <f>IF(AV338="","",SUMIFS(Performance!$Z$5:$Z$404,Performance!$N$5:$N$404,AV338))</f>
        <v>0</v>
      </c>
      <c r="AZ338" s="24">
        <f>IF(OR(AX338="",AX338=0),"",AY338/AX338)</f>
        <v>0</v>
      </c>
      <c r="BA338" s="32">
        <f>IF(AW338=0,"",IF(AZ338="","",AZ338+ROW()/1000000))</f>
        <v>0</v>
      </c>
      <c r="BB338" s="17">
        <f>IF(Lists!$AL338="","",Lists!$AL338)</f>
        <v>0</v>
      </c>
      <c r="BC338" s="23">
        <f>IF(BB338="","",COUNTIF(Performance!$M$5:$M$404,BB338))</f>
        <v>0</v>
      </c>
      <c r="BD338" s="23">
        <f>IF(BB338="","",SUMIFS(Performance!$O$5:$O$404,Performance!$M$5:$M$404,BB338))</f>
        <v>0</v>
      </c>
      <c r="BE338" s="23">
        <f>IF(BB338="","",SUMIFS(Performance!$Z$5:$Z$404,Performance!$M$5:$M$404,BB338))</f>
        <v>0</v>
      </c>
      <c r="BF338" s="24">
        <f>IF(OR(BD338="",BD338=0),"",BE338/BD338)</f>
        <v>0</v>
      </c>
      <c r="BG338" s="32">
        <f>IF(BC338=0,"",IF(BF338="","",BF338+ROW()/1000000))</f>
        <v>0</v>
      </c>
      <c r="BH338" s="17">
        <f>IF(Performance!$C$338="","",Performance!$C$338)</f>
        <v>0</v>
      </c>
      <c r="BI338" s="17">
        <f>IF(Performance!$F$338="","",Performance!$F$338)</f>
        <v>0</v>
      </c>
      <c r="BJ338" s="17">
        <f>IF(Performance!$H$338="","",Performance!$H$338)</f>
        <v>0</v>
      </c>
      <c r="BK338" s="16">
        <f>IF(Performance!$D$338="","",Performance!$D$338)</f>
        <v>0</v>
      </c>
      <c r="BL338" s="17">
        <f>IF(Performance!$E$338="","",Performance!$E$338)</f>
        <v>0</v>
      </c>
      <c r="BM338" s="23">
        <f>IF(Performance!$O$338="","",Performance!$O$338)</f>
        <v>0</v>
      </c>
      <c r="BN338" s="24">
        <f>IF(Performance!$AA$338="","",Performance!$AA$338)</f>
        <v>0</v>
      </c>
      <c r="BO338" s="32">
        <f>IF(BH338="","",IF(BK338="","",IF(OR(BK338&lt;DashStart,BK338&gt;DashEnd),"",IF(BN338="","",BN338+ROW()/1000000))))</f>
        <v>0</v>
      </c>
      <c r="BP338" s="32">
        <f>IF(BM338="","",IF(BK338="","",IF(OR(BK338&lt;DashStart,BK338&gt;DashEnd),"",BM338+ROW()/1000000)))</f>
        <v>0</v>
      </c>
      <c r="BQ338" s="32">
        <f>IF(BH338="","",IF(BK338="","",IF(YEAR(BK338)&lt;&gt;PlanYear,"",IF(BN338="","",BN338+ROW()/1000000))))</f>
        <v>0</v>
      </c>
      <c r="BR338" s="32">
        <f>IF(BH338="","",IF(BK338="","",IF(OR(BK338&lt;RepFrom,BK338&gt;RepTo),"",IF(BN338="","",BN338+ROW()/1000000))))</f>
        <v>0</v>
      </c>
      <c r="BS338" s="32">
        <f>IF(BM338="","",IF(BK338="","",IF(YEAR(BK338)&lt;&gt;PlanYear,"",BM338+ROW()/1000000)))</f>
        <v>0</v>
      </c>
      <c r="BT338" s="17">
        <f>IF(Lists!$F338="","",Lists!$F338)</f>
        <v>0</v>
      </c>
      <c r="BU338" s="23">
        <f>IF(BT338="","",COUNTIF('Content Calendar'!$X$5:$X$604,BT338))</f>
        <v>0</v>
      </c>
      <c r="BV338" s="23">
        <f>IF(BT338="","",COUNTIFS('Content Calendar'!$X$5:$X$604,BT338,'Content Calendar'!$B$5:$B$604,"&gt;="&amp;DashStart,'Content Calendar'!$B$5:$B$604,"&lt;="&amp;DashEnd))</f>
        <v>0</v>
      </c>
      <c r="BW338" s="17">
        <f>IF(Team!$B$338="","",Team!$B$338)</f>
        <v>0</v>
      </c>
      <c r="BX338" s="23">
        <f>IF(BW338="","",COUNTIF('Content Calendar'!$W$5:$W$604,BW338))</f>
        <v>0</v>
      </c>
      <c r="BY338" s="23">
        <f>IF(BW338="","",COUNTIFS('Content Calendar'!$W$5:$W$604,BW338,'Content Calendar'!$X$5:$X$604,"&lt;&gt;Published"))</f>
        <v>0</v>
      </c>
      <c r="BZ338" s="23">
        <f>IF(BW338="","",COUNTIFS(Tasks!$C$5:$C$64,BW338,Tasks!$G$5:$G$64,"&lt;&gt;Complete"))</f>
        <v>0</v>
      </c>
      <c r="CA338" s="17">
        <f>IF(Campaigns!$B$338="","",Campaigns!$B$338)</f>
        <v>0</v>
      </c>
      <c r="CB338" s="25">
        <f>IF(Campaigns!$T$338="","",Campaigns!$T$338)</f>
        <v>0</v>
      </c>
      <c r="CC338" s="25">
        <f>IF(Campaigns!$Q$338="","",Campaigns!$Q$338)</f>
        <v>0</v>
      </c>
      <c r="CD338" s="23">
        <f>IF(Campaigns!$Y$338="","",Campaigns!$Y$338)</f>
        <v>0</v>
      </c>
      <c r="CE338" s="32">
        <f>IF(CA338="","",IF(N(CB338)&lt;=0,"",N(CB338)+ROW()/1000000))</f>
        <v>0</v>
      </c>
      <c r="CF338" s="17">
        <f>IF(Accounts!$C$338="","",Accounts!$C$338)</f>
        <v>0</v>
      </c>
      <c r="CG338" s="17">
        <f>IF(Accounts!$B$338="","",Accounts!$B$338)</f>
        <v>0</v>
      </c>
      <c r="CH338" s="23">
        <f>IF(Accounts!$J$338="","",Accounts!$J$338)</f>
        <v>0</v>
      </c>
      <c r="CI338" s="23">
        <f>IF(CF338="","",SUMIFS(Analytics!$X$5:$X$154,Analytics!$E$5:$E$154,CF338,Analytics!$B$5:$B$154,"&gt;="&amp;DashStart,Analytics!$B$5:$B$154,"&lt;="&amp;DashEnd))</f>
        <v>0</v>
      </c>
      <c r="CJ338" s="32">
        <f>IF(CH338="","",IF(CH338=0,"",CH338+ROW()/1000000))</f>
        <v>0</v>
      </c>
    </row>
    <row r="339" spans="1:88">
      <c r="A339" s="16">
        <f>IF(ROW()-4&gt;12,"",DATE(PlanYear,ROW()-4,1))</f>
        <v>0</v>
      </c>
      <c r="B339" s="16">
        <f>IF(A339="","",EOMONTH(A339,0))</f>
        <v>0</v>
      </c>
      <c r="C339" s="17">
        <f>IF(A339="","",TEXT(A339,"yyyy-mm"))</f>
        <v>0</v>
      </c>
      <c r="D339" s="17">
        <f>IF(A339="","",TEXT(A339,"mmm"))</f>
        <v>0</v>
      </c>
      <c r="E339" s="23">
        <f>IF(C339="","",COUNTIFS('Content Calendar'!$D$5:$D$604,C339))</f>
        <v>0</v>
      </c>
      <c r="F339" s="23">
        <f>IF(C339="","",COUNTIFS('Content Calendar'!$D$5:$D$604,C339,'Content Calendar'!$X$5:$X$604,"Published"))</f>
        <v>0</v>
      </c>
      <c r="G339" s="23">
        <f>IF(C339="","",SUMIFS(Analytics!$J$5:$J$154,Analytics!$C$5:$C$154,C339))</f>
        <v>0</v>
      </c>
      <c r="H339" s="23">
        <f>IF(C339="","",SUMIFS(Analytics!$K$5:$K$154,Analytics!$C$5:$C$154,C339))</f>
        <v>0</v>
      </c>
      <c r="I339" s="23">
        <f>IF(C339="","",SUMIFS(Analytics!$L$5:$L$154,Analytics!$C$5:$C$154,C339))</f>
        <v>0</v>
      </c>
      <c r="J339" s="24">
        <f>IF(OR(G339="",G339=0),"",I339/G339)</f>
        <v>0</v>
      </c>
      <c r="K339" s="23">
        <f>IF(C339="","",SUMIFS(Analytics!$G$5:$G$154,Analytics!$C$5:$C$154,C339))</f>
        <v>0</v>
      </c>
      <c r="L339" s="23">
        <f>IF(C339="","",SUMIFS(Analytics!$X$5:$X$154,Analytics!$C$5:$C$154,C339))</f>
        <v>0</v>
      </c>
      <c r="M339" s="23">
        <f>IF(C339="","",SUMIFS(Analytics!$R$5:$R$154,Analytics!$C$5:$C$154,C339))</f>
        <v>0</v>
      </c>
      <c r="N339" s="23">
        <f>IF(C339="","",SUMIFS(Analytics!$S$5:$S$154,Analytics!$C$5:$C$154,C339))</f>
        <v>0</v>
      </c>
      <c r="O339" s="23">
        <f>IF(C339="","",SUMIFS(Analytics!$T$5:$T$154,Analytics!$C$5:$C$154,C339))</f>
        <v>0</v>
      </c>
      <c r="P339" s="25">
        <f>IF(C339="","",SUMIFS(Analytics!$U$5:$U$154,Analytics!$C$5:$C$154,C339))</f>
        <v>0</v>
      </c>
      <c r="Q339" s="25">
        <f>IF(C339="","",SUMIFS(Budget!$H$5:$H$64,Budget!$C$5:$C$64,C339))</f>
        <v>0</v>
      </c>
      <c r="R339" s="25">
        <f>IF(C339="","",P339-Q339)</f>
        <v>0</v>
      </c>
      <c r="S339" s="23">
        <f>IF(C339="","",MonthlyPostTarget)</f>
        <v>0</v>
      </c>
      <c r="T339" s="17">
        <f>IF(Lists!$C339="","",Lists!$C339)</f>
        <v>0</v>
      </c>
      <c r="U339" s="23">
        <f>IF(T339="","",COUNTIFS('Content Calendar'!$G$5:$G$604,T339,'Content Calendar'!$B$5:$B$604,"&gt;="&amp;DashStart,'Content Calendar'!$B$5:$B$604,"&lt;="&amp;DashEnd))</f>
        <v>0</v>
      </c>
      <c r="V339" s="23">
        <f>IF(T339="","",COUNTIFS('Content Calendar'!$G$5:$G$604,T339,'Content Calendar'!$X$5:$X$604,"Published",'Content Calendar'!$B$5:$B$604,"&gt;="&amp;DashStart,'Content Calendar'!$B$5:$B$604,"&lt;="&amp;DashEnd))</f>
        <v>0</v>
      </c>
      <c r="W339" s="23">
        <f>IF(T339="","",SUMIFS(Analytics!$J$5:$J$154,Analytics!$D$5:$D$154,T339,Analytics!$B$5:$B$154,"&gt;="&amp;DashStart,Analytics!$B$5:$B$154,"&lt;="&amp;DashEnd))</f>
        <v>0</v>
      </c>
      <c r="X339" s="23">
        <f>IF(T339="","",SUMIFS(Analytics!$L$5:$L$154,Analytics!$D$5:$D$154,T339,Analytics!$B$5:$B$154,"&gt;="&amp;DashStart,Analytics!$B$5:$B$154,"&lt;="&amp;DashEnd))</f>
        <v>0</v>
      </c>
      <c r="Y339" s="24">
        <f>IF(OR(W339="",W339=0),"",X339/W339)</f>
        <v>0</v>
      </c>
      <c r="Z339" s="23">
        <f>IF(T339="","",SUMIFS(Analytics!$G$5:$G$154,Analytics!$D$5:$D$154,T339,Analytics!$B$5:$B$154,"&gt;="&amp;DashStart,Analytics!$B$5:$B$154,"&lt;="&amp;DashEnd))</f>
        <v>0</v>
      </c>
      <c r="AA339" s="23">
        <f>IF(T339="","",SUMIFS(Analytics!$X$5:$X$154,Analytics!$D$5:$D$154,T339,Analytics!$B$5:$B$154,"&gt;="&amp;DashStart,Analytics!$B$5:$B$154,"&lt;="&amp;DashEnd))</f>
        <v>0</v>
      </c>
      <c r="AB339" s="23">
        <f>IF(T339="","",SUMIFS(Analytics!$R$5:$R$154,Analytics!$D$5:$D$154,T339,Analytics!$B$5:$B$154,"&gt;="&amp;DashStart,Analytics!$B$5:$B$154,"&lt;="&amp;DashEnd))</f>
        <v>0</v>
      </c>
      <c r="AC339" s="25">
        <f>IF(T339="","",SUMIFS(Analytics!$U$5:$U$154,Analytics!$D$5:$D$154,T339,Analytics!$B$5:$B$154,"&gt;="&amp;DashStart,Analytics!$B$5:$B$154,"&lt;="&amp;DashEnd))</f>
        <v>0</v>
      </c>
      <c r="AD339" s="23">
        <f>IF(T339="","",COUNTIFS('Content Calendar'!$G$5:$G$604,T339,'Content Calendar'!$B$5:$B$604,"&gt;="&amp;DATE(PlanYear,1,1),'Content Calendar'!$B$5:$B$604,"&lt;="&amp;DATE(PlanYear,12,31)))</f>
        <v>0</v>
      </c>
      <c r="AE339" s="23">
        <f>IF(T339="","",SUMIFS(Analytics!$J$5:$J$154,Analytics!$D$5:$D$154,T339))</f>
        <v>0</v>
      </c>
      <c r="AF339" s="23">
        <f>IF(T339="","",SUMIFS(Analytics!$L$5:$L$154,Analytics!$D$5:$D$154,T339))</f>
        <v>0</v>
      </c>
      <c r="AG339" s="24">
        <f>IF(OR(AE339="",AE339=0),"",AF339/AE339)</f>
        <v>0</v>
      </c>
      <c r="AH339" s="23">
        <f>IF(T339="","",SUMIFS(Analytics!$X$5:$X$154,Analytics!$D$5:$D$154,T339))</f>
        <v>0</v>
      </c>
      <c r="AI339" s="32">
        <f>IF(T339="","",IF(AE339=0,"",AE339+ROW()/1000000))</f>
        <v>0</v>
      </c>
      <c r="AJ339" s="17">
        <f>IF('Content Pillars'!$B$339="","",'Content Pillars'!$B$339)</f>
        <v>0</v>
      </c>
      <c r="AK339" s="23">
        <f>IF(AJ339="","",COUNTIFS('Content Calendar'!$J$5:$J$604,AJ339,'Content Calendar'!$B$5:$B$604,"&gt;="&amp;DATE(PlanYear,1,1),'Content Calendar'!$B$5:$B$604,"&lt;="&amp;DATE(PlanYear,12,31)))</f>
        <v>0</v>
      </c>
      <c r="AL339" s="23">
        <f>IF(AJ339="","",SUMIFS(Performance!$O$5:$O$404,Performance!$H$5:$H$404,AJ339))</f>
        <v>0</v>
      </c>
      <c r="AM339" s="23">
        <f>IF(AJ339="","",SUMIFS(Performance!$Z$5:$Z$404,Performance!$H$5:$H$404,AJ339))</f>
        <v>0</v>
      </c>
      <c r="AN339" s="24">
        <f>IF(OR(AL339="",AL339=0),"",AM339/AL339)</f>
        <v>0</v>
      </c>
      <c r="AO339" s="32">
        <f>IF(AN339="","",AN339+ROW()/1000000)</f>
        <v>0</v>
      </c>
      <c r="AP339" s="17">
        <f>IF(Lists!$E339="","",Lists!$E339)</f>
        <v>0</v>
      </c>
      <c r="AQ339" s="23">
        <f>IF(AP339="","",COUNTIF(Performance!$G$5:$G$404,AP339))</f>
        <v>0</v>
      </c>
      <c r="AR339" s="23">
        <f>IF(AP339="","",SUMIFS(Performance!$O$5:$O$404,Performance!$G$5:$G$404,AP339))</f>
        <v>0</v>
      </c>
      <c r="AS339" s="23">
        <f>IF(AP339="","",SUMIFS(Performance!$Z$5:$Z$404,Performance!$G$5:$G$404,AP339))</f>
        <v>0</v>
      </c>
      <c r="AT339" s="24">
        <f>IF(OR(AR339="",AR339=0),"",AS339/AR339)</f>
        <v>0</v>
      </c>
      <c r="AU339" s="32">
        <f>IF(AQ339=0,"",IF(AT339="","",AT339+ROW()/1000000))</f>
        <v>0</v>
      </c>
      <c r="AV339" s="17">
        <f>IF(ROW()-4&gt;7,"",TEXT(DATE(2024,1,ROW()-4),"ddd"))</f>
        <v>0</v>
      </c>
      <c r="AW339" s="23">
        <f>IF(AV339="","",COUNTIF(Performance!$N$5:$N$404,AV339))</f>
        <v>0</v>
      </c>
      <c r="AX339" s="23">
        <f>IF(AV339="","",SUMIFS(Performance!$O$5:$O$404,Performance!$N$5:$N$404,AV339))</f>
        <v>0</v>
      </c>
      <c r="AY339" s="23">
        <f>IF(AV339="","",SUMIFS(Performance!$Z$5:$Z$404,Performance!$N$5:$N$404,AV339))</f>
        <v>0</v>
      </c>
      <c r="AZ339" s="24">
        <f>IF(OR(AX339="",AX339=0),"",AY339/AX339)</f>
        <v>0</v>
      </c>
      <c r="BA339" s="32">
        <f>IF(AW339=0,"",IF(AZ339="","",AZ339+ROW()/1000000))</f>
        <v>0</v>
      </c>
      <c r="BB339" s="17">
        <f>IF(Lists!$AL339="","",Lists!$AL339)</f>
        <v>0</v>
      </c>
      <c r="BC339" s="23">
        <f>IF(BB339="","",COUNTIF(Performance!$M$5:$M$404,BB339))</f>
        <v>0</v>
      </c>
      <c r="BD339" s="23">
        <f>IF(BB339="","",SUMIFS(Performance!$O$5:$O$404,Performance!$M$5:$M$404,BB339))</f>
        <v>0</v>
      </c>
      <c r="BE339" s="23">
        <f>IF(BB339="","",SUMIFS(Performance!$Z$5:$Z$404,Performance!$M$5:$M$404,BB339))</f>
        <v>0</v>
      </c>
      <c r="BF339" s="24">
        <f>IF(OR(BD339="",BD339=0),"",BE339/BD339)</f>
        <v>0</v>
      </c>
      <c r="BG339" s="32">
        <f>IF(BC339=0,"",IF(BF339="","",BF339+ROW()/1000000))</f>
        <v>0</v>
      </c>
      <c r="BH339" s="17">
        <f>IF(Performance!$C$339="","",Performance!$C$339)</f>
        <v>0</v>
      </c>
      <c r="BI339" s="17">
        <f>IF(Performance!$F$339="","",Performance!$F$339)</f>
        <v>0</v>
      </c>
      <c r="BJ339" s="17">
        <f>IF(Performance!$H$339="","",Performance!$H$339)</f>
        <v>0</v>
      </c>
      <c r="BK339" s="16">
        <f>IF(Performance!$D$339="","",Performance!$D$339)</f>
        <v>0</v>
      </c>
      <c r="BL339" s="17">
        <f>IF(Performance!$E$339="","",Performance!$E$339)</f>
        <v>0</v>
      </c>
      <c r="BM339" s="23">
        <f>IF(Performance!$O$339="","",Performance!$O$339)</f>
        <v>0</v>
      </c>
      <c r="BN339" s="24">
        <f>IF(Performance!$AA$339="","",Performance!$AA$339)</f>
        <v>0</v>
      </c>
      <c r="BO339" s="32">
        <f>IF(BH339="","",IF(BK339="","",IF(OR(BK339&lt;DashStart,BK339&gt;DashEnd),"",IF(BN339="","",BN339+ROW()/1000000))))</f>
        <v>0</v>
      </c>
      <c r="BP339" s="32">
        <f>IF(BM339="","",IF(BK339="","",IF(OR(BK339&lt;DashStart,BK339&gt;DashEnd),"",BM339+ROW()/1000000)))</f>
        <v>0</v>
      </c>
      <c r="BQ339" s="32">
        <f>IF(BH339="","",IF(BK339="","",IF(YEAR(BK339)&lt;&gt;PlanYear,"",IF(BN339="","",BN339+ROW()/1000000))))</f>
        <v>0</v>
      </c>
      <c r="BR339" s="32">
        <f>IF(BH339="","",IF(BK339="","",IF(OR(BK339&lt;RepFrom,BK339&gt;RepTo),"",IF(BN339="","",BN339+ROW()/1000000))))</f>
        <v>0</v>
      </c>
      <c r="BS339" s="32">
        <f>IF(BM339="","",IF(BK339="","",IF(YEAR(BK339)&lt;&gt;PlanYear,"",BM339+ROW()/1000000)))</f>
        <v>0</v>
      </c>
      <c r="BT339" s="17">
        <f>IF(Lists!$F339="","",Lists!$F339)</f>
        <v>0</v>
      </c>
      <c r="BU339" s="23">
        <f>IF(BT339="","",COUNTIF('Content Calendar'!$X$5:$X$604,BT339))</f>
        <v>0</v>
      </c>
      <c r="BV339" s="23">
        <f>IF(BT339="","",COUNTIFS('Content Calendar'!$X$5:$X$604,BT339,'Content Calendar'!$B$5:$B$604,"&gt;="&amp;DashStart,'Content Calendar'!$B$5:$B$604,"&lt;="&amp;DashEnd))</f>
        <v>0</v>
      </c>
      <c r="BW339" s="17">
        <f>IF(Team!$B$339="","",Team!$B$339)</f>
        <v>0</v>
      </c>
      <c r="BX339" s="23">
        <f>IF(BW339="","",COUNTIF('Content Calendar'!$W$5:$W$604,BW339))</f>
        <v>0</v>
      </c>
      <c r="BY339" s="23">
        <f>IF(BW339="","",COUNTIFS('Content Calendar'!$W$5:$W$604,BW339,'Content Calendar'!$X$5:$X$604,"&lt;&gt;Published"))</f>
        <v>0</v>
      </c>
      <c r="BZ339" s="23">
        <f>IF(BW339="","",COUNTIFS(Tasks!$C$5:$C$64,BW339,Tasks!$G$5:$G$64,"&lt;&gt;Complete"))</f>
        <v>0</v>
      </c>
      <c r="CA339" s="17">
        <f>IF(Campaigns!$B$339="","",Campaigns!$B$339)</f>
        <v>0</v>
      </c>
      <c r="CB339" s="25">
        <f>IF(Campaigns!$T$339="","",Campaigns!$T$339)</f>
        <v>0</v>
      </c>
      <c r="CC339" s="25">
        <f>IF(Campaigns!$Q$339="","",Campaigns!$Q$339)</f>
        <v>0</v>
      </c>
      <c r="CD339" s="23">
        <f>IF(Campaigns!$Y$339="","",Campaigns!$Y$339)</f>
        <v>0</v>
      </c>
      <c r="CE339" s="32">
        <f>IF(CA339="","",IF(N(CB339)&lt;=0,"",N(CB339)+ROW()/1000000))</f>
        <v>0</v>
      </c>
      <c r="CF339" s="17">
        <f>IF(Accounts!$C$339="","",Accounts!$C$339)</f>
        <v>0</v>
      </c>
      <c r="CG339" s="17">
        <f>IF(Accounts!$B$339="","",Accounts!$B$339)</f>
        <v>0</v>
      </c>
      <c r="CH339" s="23">
        <f>IF(Accounts!$J$339="","",Accounts!$J$339)</f>
        <v>0</v>
      </c>
      <c r="CI339" s="23">
        <f>IF(CF339="","",SUMIFS(Analytics!$X$5:$X$154,Analytics!$E$5:$E$154,CF339,Analytics!$B$5:$B$154,"&gt;="&amp;DashStart,Analytics!$B$5:$B$154,"&lt;="&amp;DashEnd))</f>
        <v>0</v>
      </c>
      <c r="CJ339" s="32">
        <f>IF(CH339="","",IF(CH339=0,"",CH339+ROW()/1000000))</f>
        <v>0</v>
      </c>
    </row>
    <row r="340" spans="1:88">
      <c r="A340" s="16">
        <f>IF(ROW()-4&gt;12,"",DATE(PlanYear,ROW()-4,1))</f>
        <v>0</v>
      </c>
      <c r="B340" s="16">
        <f>IF(A340="","",EOMONTH(A340,0))</f>
        <v>0</v>
      </c>
      <c r="C340" s="17">
        <f>IF(A340="","",TEXT(A340,"yyyy-mm"))</f>
        <v>0</v>
      </c>
      <c r="D340" s="17">
        <f>IF(A340="","",TEXT(A340,"mmm"))</f>
        <v>0</v>
      </c>
      <c r="E340" s="23">
        <f>IF(C340="","",COUNTIFS('Content Calendar'!$D$5:$D$604,C340))</f>
        <v>0</v>
      </c>
      <c r="F340" s="23">
        <f>IF(C340="","",COUNTIFS('Content Calendar'!$D$5:$D$604,C340,'Content Calendar'!$X$5:$X$604,"Published"))</f>
        <v>0</v>
      </c>
      <c r="G340" s="23">
        <f>IF(C340="","",SUMIFS(Analytics!$J$5:$J$154,Analytics!$C$5:$C$154,C340))</f>
        <v>0</v>
      </c>
      <c r="H340" s="23">
        <f>IF(C340="","",SUMIFS(Analytics!$K$5:$K$154,Analytics!$C$5:$C$154,C340))</f>
        <v>0</v>
      </c>
      <c r="I340" s="23">
        <f>IF(C340="","",SUMIFS(Analytics!$L$5:$L$154,Analytics!$C$5:$C$154,C340))</f>
        <v>0</v>
      </c>
      <c r="J340" s="24">
        <f>IF(OR(G340="",G340=0),"",I340/G340)</f>
        <v>0</v>
      </c>
      <c r="K340" s="23">
        <f>IF(C340="","",SUMIFS(Analytics!$G$5:$G$154,Analytics!$C$5:$C$154,C340))</f>
        <v>0</v>
      </c>
      <c r="L340" s="23">
        <f>IF(C340="","",SUMIFS(Analytics!$X$5:$X$154,Analytics!$C$5:$C$154,C340))</f>
        <v>0</v>
      </c>
      <c r="M340" s="23">
        <f>IF(C340="","",SUMIFS(Analytics!$R$5:$R$154,Analytics!$C$5:$C$154,C340))</f>
        <v>0</v>
      </c>
      <c r="N340" s="23">
        <f>IF(C340="","",SUMIFS(Analytics!$S$5:$S$154,Analytics!$C$5:$C$154,C340))</f>
        <v>0</v>
      </c>
      <c r="O340" s="23">
        <f>IF(C340="","",SUMIFS(Analytics!$T$5:$T$154,Analytics!$C$5:$C$154,C340))</f>
        <v>0</v>
      </c>
      <c r="P340" s="25">
        <f>IF(C340="","",SUMIFS(Analytics!$U$5:$U$154,Analytics!$C$5:$C$154,C340))</f>
        <v>0</v>
      </c>
      <c r="Q340" s="25">
        <f>IF(C340="","",SUMIFS(Budget!$H$5:$H$64,Budget!$C$5:$C$64,C340))</f>
        <v>0</v>
      </c>
      <c r="R340" s="25">
        <f>IF(C340="","",P340-Q340)</f>
        <v>0</v>
      </c>
      <c r="S340" s="23">
        <f>IF(C340="","",MonthlyPostTarget)</f>
        <v>0</v>
      </c>
      <c r="T340" s="17">
        <f>IF(Lists!$C340="","",Lists!$C340)</f>
        <v>0</v>
      </c>
      <c r="U340" s="23">
        <f>IF(T340="","",COUNTIFS('Content Calendar'!$G$5:$G$604,T340,'Content Calendar'!$B$5:$B$604,"&gt;="&amp;DashStart,'Content Calendar'!$B$5:$B$604,"&lt;="&amp;DashEnd))</f>
        <v>0</v>
      </c>
      <c r="V340" s="23">
        <f>IF(T340="","",COUNTIFS('Content Calendar'!$G$5:$G$604,T340,'Content Calendar'!$X$5:$X$604,"Published",'Content Calendar'!$B$5:$B$604,"&gt;="&amp;DashStart,'Content Calendar'!$B$5:$B$604,"&lt;="&amp;DashEnd))</f>
        <v>0</v>
      </c>
      <c r="W340" s="23">
        <f>IF(T340="","",SUMIFS(Analytics!$J$5:$J$154,Analytics!$D$5:$D$154,T340,Analytics!$B$5:$B$154,"&gt;="&amp;DashStart,Analytics!$B$5:$B$154,"&lt;="&amp;DashEnd))</f>
        <v>0</v>
      </c>
      <c r="X340" s="23">
        <f>IF(T340="","",SUMIFS(Analytics!$L$5:$L$154,Analytics!$D$5:$D$154,T340,Analytics!$B$5:$B$154,"&gt;="&amp;DashStart,Analytics!$B$5:$B$154,"&lt;="&amp;DashEnd))</f>
        <v>0</v>
      </c>
      <c r="Y340" s="24">
        <f>IF(OR(W340="",W340=0),"",X340/W340)</f>
        <v>0</v>
      </c>
      <c r="Z340" s="23">
        <f>IF(T340="","",SUMIFS(Analytics!$G$5:$G$154,Analytics!$D$5:$D$154,T340,Analytics!$B$5:$B$154,"&gt;="&amp;DashStart,Analytics!$B$5:$B$154,"&lt;="&amp;DashEnd))</f>
        <v>0</v>
      </c>
      <c r="AA340" s="23">
        <f>IF(T340="","",SUMIFS(Analytics!$X$5:$X$154,Analytics!$D$5:$D$154,T340,Analytics!$B$5:$B$154,"&gt;="&amp;DashStart,Analytics!$B$5:$B$154,"&lt;="&amp;DashEnd))</f>
        <v>0</v>
      </c>
      <c r="AB340" s="23">
        <f>IF(T340="","",SUMIFS(Analytics!$R$5:$R$154,Analytics!$D$5:$D$154,T340,Analytics!$B$5:$B$154,"&gt;="&amp;DashStart,Analytics!$B$5:$B$154,"&lt;="&amp;DashEnd))</f>
        <v>0</v>
      </c>
      <c r="AC340" s="25">
        <f>IF(T340="","",SUMIFS(Analytics!$U$5:$U$154,Analytics!$D$5:$D$154,T340,Analytics!$B$5:$B$154,"&gt;="&amp;DashStart,Analytics!$B$5:$B$154,"&lt;="&amp;DashEnd))</f>
        <v>0</v>
      </c>
      <c r="AD340" s="23">
        <f>IF(T340="","",COUNTIFS('Content Calendar'!$G$5:$G$604,T340,'Content Calendar'!$B$5:$B$604,"&gt;="&amp;DATE(PlanYear,1,1),'Content Calendar'!$B$5:$B$604,"&lt;="&amp;DATE(PlanYear,12,31)))</f>
        <v>0</v>
      </c>
      <c r="AE340" s="23">
        <f>IF(T340="","",SUMIFS(Analytics!$J$5:$J$154,Analytics!$D$5:$D$154,T340))</f>
        <v>0</v>
      </c>
      <c r="AF340" s="23">
        <f>IF(T340="","",SUMIFS(Analytics!$L$5:$L$154,Analytics!$D$5:$D$154,T340))</f>
        <v>0</v>
      </c>
      <c r="AG340" s="24">
        <f>IF(OR(AE340="",AE340=0),"",AF340/AE340)</f>
        <v>0</v>
      </c>
      <c r="AH340" s="23">
        <f>IF(T340="","",SUMIFS(Analytics!$X$5:$X$154,Analytics!$D$5:$D$154,T340))</f>
        <v>0</v>
      </c>
      <c r="AI340" s="32">
        <f>IF(T340="","",IF(AE340=0,"",AE340+ROW()/1000000))</f>
        <v>0</v>
      </c>
      <c r="AJ340" s="17">
        <f>IF('Content Pillars'!$B$340="","",'Content Pillars'!$B$340)</f>
        <v>0</v>
      </c>
      <c r="AK340" s="23">
        <f>IF(AJ340="","",COUNTIFS('Content Calendar'!$J$5:$J$604,AJ340,'Content Calendar'!$B$5:$B$604,"&gt;="&amp;DATE(PlanYear,1,1),'Content Calendar'!$B$5:$B$604,"&lt;="&amp;DATE(PlanYear,12,31)))</f>
        <v>0</v>
      </c>
      <c r="AL340" s="23">
        <f>IF(AJ340="","",SUMIFS(Performance!$O$5:$O$404,Performance!$H$5:$H$404,AJ340))</f>
        <v>0</v>
      </c>
      <c r="AM340" s="23">
        <f>IF(AJ340="","",SUMIFS(Performance!$Z$5:$Z$404,Performance!$H$5:$H$404,AJ340))</f>
        <v>0</v>
      </c>
      <c r="AN340" s="24">
        <f>IF(OR(AL340="",AL340=0),"",AM340/AL340)</f>
        <v>0</v>
      </c>
      <c r="AO340" s="32">
        <f>IF(AN340="","",AN340+ROW()/1000000)</f>
        <v>0</v>
      </c>
      <c r="AP340" s="17">
        <f>IF(Lists!$E340="","",Lists!$E340)</f>
        <v>0</v>
      </c>
      <c r="AQ340" s="23">
        <f>IF(AP340="","",COUNTIF(Performance!$G$5:$G$404,AP340))</f>
        <v>0</v>
      </c>
      <c r="AR340" s="23">
        <f>IF(AP340="","",SUMIFS(Performance!$O$5:$O$404,Performance!$G$5:$G$404,AP340))</f>
        <v>0</v>
      </c>
      <c r="AS340" s="23">
        <f>IF(AP340="","",SUMIFS(Performance!$Z$5:$Z$404,Performance!$G$5:$G$404,AP340))</f>
        <v>0</v>
      </c>
      <c r="AT340" s="24">
        <f>IF(OR(AR340="",AR340=0),"",AS340/AR340)</f>
        <v>0</v>
      </c>
      <c r="AU340" s="32">
        <f>IF(AQ340=0,"",IF(AT340="","",AT340+ROW()/1000000))</f>
        <v>0</v>
      </c>
      <c r="AV340" s="17">
        <f>IF(ROW()-4&gt;7,"",TEXT(DATE(2024,1,ROW()-4),"ddd"))</f>
        <v>0</v>
      </c>
      <c r="AW340" s="23">
        <f>IF(AV340="","",COUNTIF(Performance!$N$5:$N$404,AV340))</f>
        <v>0</v>
      </c>
      <c r="AX340" s="23">
        <f>IF(AV340="","",SUMIFS(Performance!$O$5:$O$404,Performance!$N$5:$N$404,AV340))</f>
        <v>0</v>
      </c>
      <c r="AY340" s="23">
        <f>IF(AV340="","",SUMIFS(Performance!$Z$5:$Z$404,Performance!$N$5:$N$404,AV340))</f>
        <v>0</v>
      </c>
      <c r="AZ340" s="24">
        <f>IF(OR(AX340="",AX340=0),"",AY340/AX340)</f>
        <v>0</v>
      </c>
      <c r="BA340" s="32">
        <f>IF(AW340=0,"",IF(AZ340="","",AZ340+ROW()/1000000))</f>
        <v>0</v>
      </c>
      <c r="BB340" s="17">
        <f>IF(Lists!$AL340="","",Lists!$AL340)</f>
        <v>0</v>
      </c>
      <c r="BC340" s="23">
        <f>IF(BB340="","",COUNTIF(Performance!$M$5:$M$404,BB340))</f>
        <v>0</v>
      </c>
      <c r="BD340" s="23">
        <f>IF(BB340="","",SUMIFS(Performance!$O$5:$O$404,Performance!$M$5:$M$404,BB340))</f>
        <v>0</v>
      </c>
      <c r="BE340" s="23">
        <f>IF(BB340="","",SUMIFS(Performance!$Z$5:$Z$404,Performance!$M$5:$M$404,BB340))</f>
        <v>0</v>
      </c>
      <c r="BF340" s="24">
        <f>IF(OR(BD340="",BD340=0),"",BE340/BD340)</f>
        <v>0</v>
      </c>
      <c r="BG340" s="32">
        <f>IF(BC340=0,"",IF(BF340="","",BF340+ROW()/1000000))</f>
        <v>0</v>
      </c>
      <c r="BH340" s="17">
        <f>IF(Performance!$C$340="","",Performance!$C$340)</f>
        <v>0</v>
      </c>
      <c r="BI340" s="17">
        <f>IF(Performance!$F$340="","",Performance!$F$340)</f>
        <v>0</v>
      </c>
      <c r="BJ340" s="17">
        <f>IF(Performance!$H$340="","",Performance!$H$340)</f>
        <v>0</v>
      </c>
      <c r="BK340" s="16">
        <f>IF(Performance!$D$340="","",Performance!$D$340)</f>
        <v>0</v>
      </c>
      <c r="BL340" s="17">
        <f>IF(Performance!$E$340="","",Performance!$E$340)</f>
        <v>0</v>
      </c>
      <c r="BM340" s="23">
        <f>IF(Performance!$O$340="","",Performance!$O$340)</f>
        <v>0</v>
      </c>
      <c r="BN340" s="24">
        <f>IF(Performance!$AA$340="","",Performance!$AA$340)</f>
        <v>0</v>
      </c>
      <c r="BO340" s="32">
        <f>IF(BH340="","",IF(BK340="","",IF(OR(BK340&lt;DashStart,BK340&gt;DashEnd),"",IF(BN340="","",BN340+ROW()/1000000))))</f>
        <v>0</v>
      </c>
      <c r="BP340" s="32">
        <f>IF(BM340="","",IF(BK340="","",IF(OR(BK340&lt;DashStart,BK340&gt;DashEnd),"",BM340+ROW()/1000000)))</f>
        <v>0</v>
      </c>
      <c r="BQ340" s="32">
        <f>IF(BH340="","",IF(BK340="","",IF(YEAR(BK340)&lt;&gt;PlanYear,"",IF(BN340="","",BN340+ROW()/1000000))))</f>
        <v>0</v>
      </c>
      <c r="BR340" s="32">
        <f>IF(BH340="","",IF(BK340="","",IF(OR(BK340&lt;RepFrom,BK340&gt;RepTo),"",IF(BN340="","",BN340+ROW()/1000000))))</f>
        <v>0</v>
      </c>
      <c r="BS340" s="32">
        <f>IF(BM340="","",IF(BK340="","",IF(YEAR(BK340)&lt;&gt;PlanYear,"",BM340+ROW()/1000000)))</f>
        <v>0</v>
      </c>
      <c r="BT340" s="17">
        <f>IF(Lists!$F340="","",Lists!$F340)</f>
        <v>0</v>
      </c>
      <c r="BU340" s="23">
        <f>IF(BT340="","",COUNTIF('Content Calendar'!$X$5:$X$604,BT340))</f>
        <v>0</v>
      </c>
      <c r="BV340" s="23">
        <f>IF(BT340="","",COUNTIFS('Content Calendar'!$X$5:$X$604,BT340,'Content Calendar'!$B$5:$B$604,"&gt;="&amp;DashStart,'Content Calendar'!$B$5:$B$604,"&lt;="&amp;DashEnd))</f>
        <v>0</v>
      </c>
      <c r="BW340" s="17">
        <f>IF(Team!$B$340="","",Team!$B$340)</f>
        <v>0</v>
      </c>
      <c r="BX340" s="23">
        <f>IF(BW340="","",COUNTIF('Content Calendar'!$W$5:$W$604,BW340))</f>
        <v>0</v>
      </c>
      <c r="BY340" s="23">
        <f>IF(BW340="","",COUNTIFS('Content Calendar'!$W$5:$W$604,BW340,'Content Calendar'!$X$5:$X$604,"&lt;&gt;Published"))</f>
        <v>0</v>
      </c>
      <c r="BZ340" s="23">
        <f>IF(BW340="","",COUNTIFS(Tasks!$C$5:$C$64,BW340,Tasks!$G$5:$G$64,"&lt;&gt;Complete"))</f>
        <v>0</v>
      </c>
      <c r="CA340" s="17">
        <f>IF(Campaigns!$B$340="","",Campaigns!$B$340)</f>
        <v>0</v>
      </c>
      <c r="CB340" s="25">
        <f>IF(Campaigns!$T$340="","",Campaigns!$T$340)</f>
        <v>0</v>
      </c>
      <c r="CC340" s="25">
        <f>IF(Campaigns!$Q$340="","",Campaigns!$Q$340)</f>
        <v>0</v>
      </c>
      <c r="CD340" s="23">
        <f>IF(Campaigns!$Y$340="","",Campaigns!$Y$340)</f>
        <v>0</v>
      </c>
      <c r="CE340" s="32">
        <f>IF(CA340="","",IF(N(CB340)&lt;=0,"",N(CB340)+ROW()/1000000))</f>
        <v>0</v>
      </c>
      <c r="CF340" s="17">
        <f>IF(Accounts!$C$340="","",Accounts!$C$340)</f>
        <v>0</v>
      </c>
      <c r="CG340" s="17">
        <f>IF(Accounts!$B$340="","",Accounts!$B$340)</f>
        <v>0</v>
      </c>
      <c r="CH340" s="23">
        <f>IF(Accounts!$J$340="","",Accounts!$J$340)</f>
        <v>0</v>
      </c>
      <c r="CI340" s="23">
        <f>IF(CF340="","",SUMIFS(Analytics!$X$5:$X$154,Analytics!$E$5:$E$154,CF340,Analytics!$B$5:$B$154,"&gt;="&amp;DashStart,Analytics!$B$5:$B$154,"&lt;="&amp;DashEnd))</f>
        <v>0</v>
      </c>
      <c r="CJ340" s="32">
        <f>IF(CH340="","",IF(CH340=0,"",CH340+ROW()/1000000))</f>
        <v>0</v>
      </c>
    </row>
    <row r="341" spans="1:88">
      <c r="A341" s="16">
        <f>IF(ROW()-4&gt;12,"",DATE(PlanYear,ROW()-4,1))</f>
        <v>0</v>
      </c>
      <c r="B341" s="16">
        <f>IF(A341="","",EOMONTH(A341,0))</f>
        <v>0</v>
      </c>
      <c r="C341" s="17">
        <f>IF(A341="","",TEXT(A341,"yyyy-mm"))</f>
        <v>0</v>
      </c>
      <c r="D341" s="17">
        <f>IF(A341="","",TEXT(A341,"mmm"))</f>
        <v>0</v>
      </c>
      <c r="E341" s="23">
        <f>IF(C341="","",COUNTIFS('Content Calendar'!$D$5:$D$604,C341))</f>
        <v>0</v>
      </c>
      <c r="F341" s="23">
        <f>IF(C341="","",COUNTIFS('Content Calendar'!$D$5:$D$604,C341,'Content Calendar'!$X$5:$X$604,"Published"))</f>
        <v>0</v>
      </c>
      <c r="G341" s="23">
        <f>IF(C341="","",SUMIFS(Analytics!$J$5:$J$154,Analytics!$C$5:$C$154,C341))</f>
        <v>0</v>
      </c>
      <c r="H341" s="23">
        <f>IF(C341="","",SUMIFS(Analytics!$K$5:$K$154,Analytics!$C$5:$C$154,C341))</f>
        <v>0</v>
      </c>
      <c r="I341" s="23">
        <f>IF(C341="","",SUMIFS(Analytics!$L$5:$L$154,Analytics!$C$5:$C$154,C341))</f>
        <v>0</v>
      </c>
      <c r="J341" s="24">
        <f>IF(OR(G341="",G341=0),"",I341/G341)</f>
        <v>0</v>
      </c>
      <c r="K341" s="23">
        <f>IF(C341="","",SUMIFS(Analytics!$G$5:$G$154,Analytics!$C$5:$C$154,C341))</f>
        <v>0</v>
      </c>
      <c r="L341" s="23">
        <f>IF(C341="","",SUMIFS(Analytics!$X$5:$X$154,Analytics!$C$5:$C$154,C341))</f>
        <v>0</v>
      </c>
      <c r="M341" s="23">
        <f>IF(C341="","",SUMIFS(Analytics!$R$5:$R$154,Analytics!$C$5:$C$154,C341))</f>
        <v>0</v>
      </c>
      <c r="N341" s="23">
        <f>IF(C341="","",SUMIFS(Analytics!$S$5:$S$154,Analytics!$C$5:$C$154,C341))</f>
        <v>0</v>
      </c>
      <c r="O341" s="23">
        <f>IF(C341="","",SUMIFS(Analytics!$T$5:$T$154,Analytics!$C$5:$C$154,C341))</f>
        <v>0</v>
      </c>
      <c r="P341" s="25">
        <f>IF(C341="","",SUMIFS(Analytics!$U$5:$U$154,Analytics!$C$5:$C$154,C341))</f>
        <v>0</v>
      </c>
      <c r="Q341" s="25">
        <f>IF(C341="","",SUMIFS(Budget!$H$5:$H$64,Budget!$C$5:$C$64,C341))</f>
        <v>0</v>
      </c>
      <c r="R341" s="25">
        <f>IF(C341="","",P341-Q341)</f>
        <v>0</v>
      </c>
      <c r="S341" s="23">
        <f>IF(C341="","",MonthlyPostTarget)</f>
        <v>0</v>
      </c>
      <c r="T341" s="17">
        <f>IF(Lists!$C341="","",Lists!$C341)</f>
        <v>0</v>
      </c>
      <c r="U341" s="23">
        <f>IF(T341="","",COUNTIFS('Content Calendar'!$G$5:$G$604,T341,'Content Calendar'!$B$5:$B$604,"&gt;="&amp;DashStart,'Content Calendar'!$B$5:$B$604,"&lt;="&amp;DashEnd))</f>
        <v>0</v>
      </c>
      <c r="V341" s="23">
        <f>IF(T341="","",COUNTIFS('Content Calendar'!$G$5:$G$604,T341,'Content Calendar'!$X$5:$X$604,"Published",'Content Calendar'!$B$5:$B$604,"&gt;="&amp;DashStart,'Content Calendar'!$B$5:$B$604,"&lt;="&amp;DashEnd))</f>
        <v>0</v>
      </c>
      <c r="W341" s="23">
        <f>IF(T341="","",SUMIFS(Analytics!$J$5:$J$154,Analytics!$D$5:$D$154,T341,Analytics!$B$5:$B$154,"&gt;="&amp;DashStart,Analytics!$B$5:$B$154,"&lt;="&amp;DashEnd))</f>
        <v>0</v>
      </c>
      <c r="X341" s="23">
        <f>IF(T341="","",SUMIFS(Analytics!$L$5:$L$154,Analytics!$D$5:$D$154,T341,Analytics!$B$5:$B$154,"&gt;="&amp;DashStart,Analytics!$B$5:$B$154,"&lt;="&amp;DashEnd))</f>
        <v>0</v>
      </c>
      <c r="Y341" s="24">
        <f>IF(OR(W341="",W341=0),"",X341/W341)</f>
        <v>0</v>
      </c>
      <c r="Z341" s="23">
        <f>IF(T341="","",SUMIFS(Analytics!$G$5:$G$154,Analytics!$D$5:$D$154,T341,Analytics!$B$5:$B$154,"&gt;="&amp;DashStart,Analytics!$B$5:$B$154,"&lt;="&amp;DashEnd))</f>
        <v>0</v>
      </c>
      <c r="AA341" s="23">
        <f>IF(T341="","",SUMIFS(Analytics!$X$5:$X$154,Analytics!$D$5:$D$154,T341,Analytics!$B$5:$B$154,"&gt;="&amp;DashStart,Analytics!$B$5:$B$154,"&lt;="&amp;DashEnd))</f>
        <v>0</v>
      </c>
      <c r="AB341" s="23">
        <f>IF(T341="","",SUMIFS(Analytics!$R$5:$R$154,Analytics!$D$5:$D$154,T341,Analytics!$B$5:$B$154,"&gt;="&amp;DashStart,Analytics!$B$5:$B$154,"&lt;="&amp;DashEnd))</f>
        <v>0</v>
      </c>
      <c r="AC341" s="25">
        <f>IF(T341="","",SUMIFS(Analytics!$U$5:$U$154,Analytics!$D$5:$D$154,T341,Analytics!$B$5:$B$154,"&gt;="&amp;DashStart,Analytics!$B$5:$B$154,"&lt;="&amp;DashEnd))</f>
        <v>0</v>
      </c>
      <c r="AD341" s="23">
        <f>IF(T341="","",COUNTIFS('Content Calendar'!$G$5:$G$604,T341,'Content Calendar'!$B$5:$B$604,"&gt;="&amp;DATE(PlanYear,1,1),'Content Calendar'!$B$5:$B$604,"&lt;="&amp;DATE(PlanYear,12,31)))</f>
        <v>0</v>
      </c>
      <c r="AE341" s="23">
        <f>IF(T341="","",SUMIFS(Analytics!$J$5:$J$154,Analytics!$D$5:$D$154,T341))</f>
        <v>0</v>
      </c>
      <c r="AF341" s="23">
        <f>IF(T341="","",SUMIFS(Analytics!$L$5:$L$154,Analytics!$D$5:$D$154,T341))</f>
        <v>0</v>
      </c>
      <c r="AG341" s="24">
        <f>IF(OR(AE341="",AE341=0),"",AF341/AE341)</f>
        <v>0</v>
      </c>
      <c r="AH341" s="23">
        <f>IF(T341="","",SUMIFS(Analytics!$X$5:$X$154,Analytics!$D$5:$D$154,T341))</f>
        <v>0</v>
      </c>
      <c r="AI341" s="32">
        <f>IF(T341="","",IF(AE341=0,"",AE341+ROW()/1000000))</f>
        <v>0</v>
      </c>
      <c r="AJ341" s="17">
        <f>IF('Content Pillars'!$B$341="","",'Content Pillars'!$B$341)</f>
        <v>0</v>
      </c>
      <c r="AK341" s="23">
        <f>IF(AJ341="","",COUNTIFS('Content Calendar'!$J$5:$J$604,AJ341,'Content Calendar'!$B$5:$B$604,"&gt;="&amp;DATE(PlanYear,1,1),'Content Calendar'!$B$5:$B$604,"&lt;="&amp;DATE(PlanYear,12,31)))</f>
        <v>0</v>
      </c>
      <c r="AL341" s="23">
        <f>IF(AJ341="","",SUMIFS(Performance!$O$5:$O$404,Performance!$H$5:$H$404,AJ341))</f>
        <v>0</v>
      </c>
      <c r="AM341" s="23">
        <f>IF(AJ341="","",SUMIFS(Performance!$Z$5:$Z$404,Performance!$H$5:$H$404,AJ341))</f>
        <v>0</v>
      </c>
      <c r="AN341" s="24">
        <f>IF(OR(AL341="",AL341=0),"",AM341/AL341)</f>
        <v>0</v>
      </c>
      <c r="AO341" s="32">
        <f>IF(AN341="","",AN341+ROW()/1000000)</f>
        <v>0</v>
      </c>
      <c r="AP341" s="17">
        <f>IF(Lists!$E341="","",Lists!$E341)</f>
        <v>0</v>
      </c>
      <c r="AQ341" s="23">
        <f>IF(AP341="","",COUNTIF(Performance!$G$5:$G$404,AP341))</f>
        <v>0</v>
      </c>
      <c r="AR341" s="23">
        <f>IF(AP341="","",SUMIFS(Performance!$O$5:$O$404,Performance!$G$5:$G$404,AP341))</f>
        <v>0</v>
      </c>
      <c r="AS341" s="23">
        <f>IF(AP341="","",SUMIFS(Performance!$Z$5:$Z$404,Performance!$G$5:$G$404,AP341))</f>
        <v>0</v>
      </c>
      <c r="AT341" s="24">
        <f>IF(OR(AR341="",AR341=0),"",AS341/AR341)</f>
        <v>0</v>
      </c>
      <c r="AU341" s="32">
        <f>IF(AQ341=0,"",IF(AT341="","",AT341+ROW()/1000000))</f>
        <v>0</v>
      </c>
      <c r="AV341" s="17">
        <f>IF(ROW()-4&gt;7,"",TEXT(DATE(2024,1,ROW()-4),"ddd"))</f>
        <v>0</v>
      </c>
      <c r="AW341" s="23">
        <f>IF(AV341="","",COUNTIF(Performance!$N$5:$N$404,AV341))</f>
        <v>0</v>
      </c>
      <c r="AX341" s="23">
        <f>IF(AV341="","",SUMIFS(Performance!$O$5:$O$404,Performance!$N$5:$N$404,AV341))</f>
        <v>0</v>
      </c>
      <c r="AY341" s="23">
        <f>IF(AV341="","",SUMIFS(Performance!$Z$5:$Z$404,Performance!$N$5:$N$404,AV341))</f>
        <v>0</v>
      </c>
      <c r="AZ341" s="24">
        <f>IF(OR(AX341="",AX341=0),"",AY341/AX341)</f>
        <v>0</v>
      </c>
      <c r="BA341" s="32">
        <f>IF(AW341=0,"",IF(AZ341="","",AZ341+ROW()/1000000))</f>
        <v>0</v>
      </c>
      <c r="BB341" s="17">
        <f>IF(Lists!$AL341="","",Lists!$AL341)</f>
        <v>0</v>
      </c>
      <c r="BC341" s="23">
        <f>IF(BB341="","",COUNTIF(Performance!$M$5:$M$404,BB341))</f>
        <v>0</v>
      </c>
      <c r="BD341" s="23">
        <f>IF(BB341="","",SUMIFS(Performance!$O$5:$O$404,Performance!$M$5:$M$404,BB341))</f>
        <v>0</v>
      </c>
      <c r="BE341" s="23">
        <f>IF(BB341="","",SUMIFS(Performance!$Z$5:$Z$404,Performance!$M$5:$M$404,BB341))</f>
        <v>0</v>
      </c>
      <c r="BF341" s="24">
        <f>IF(OR(BD341="",BD341=0),"",BE341/BD341)</f>
        <v>0</v>
      </c>
      <c r="BG341" s="32">
        <f>IF(BC341=0,"",IF(BF341="","",BF341+ROW()/1000000))</f>
        <v>0</v>
      </c>
      <c r="BH341" s="17">
        <f>IF(Performance!$C$341="","",Performance!$C$341)</f>
        <v>0</v>
      </c>
      <c r="BI341" s="17">
        <f>IF(Performance!$F$341="","",Performance!$F$341)</f>
        <v>0</v>
      </c>
      <c r="BJ341" s="17">
        <f>IF(Performance!$H$341="","",Performance!$H$341)</f>
        <v>0</v>
      </c>
      <c r="BK341" s="16">
        <f>IF(Performance!$D$341="","",Performance!$D$341)</f>
        <v>0</v>
      </c>
      <c r="BL341" s="17">
        <f>IF(Performance!$E$341="","",Performance!$E$341)</f>
        <v>0</v>
      </c>
      <c r="BM341" s="23">
        <f>IF(Performance!$O$341="","",Performance!$O$341)</f>
        <v>0</v>
      </c>
      <c r="BN341" s="24">
        <f>IF(Performance!$AA$341="","",Performance!$AA$341)</f>
        <v>0</v>
      </c>
      <c r="BO341" s="32">
        <f>IF(BH341="","",IF(BK341="","",IF(OR(BK341&lt;DashStart,BK341&gt;DashEnd),"",IF(BN341="","",BN341+ROW()/1000000))))</f>
        <v>0</v>
      </c>
      <c r="BP341" s="32">
        <f>IF(BM341="","",IF(BK341="","",IF(OR(BK341&lt;DashStart,BK341&gt;DashEnd),"",BM341+ROW()/1000000)))</f>
        <v>0</v>
      </c>
      <c r="BQ341" s="32">
        <f>IF(BH341="","",IF(BK341="","",IF(YEAR(BK341)&lt;&gt;PlanYear,"",IF(BN341="","",BN341+ROW()/1000000))))</f>
        <v>0</v>
      </c>
      <c r="BR341" s="32">
        <f>IF(BH341="","",IF(BK341="","",IF(OR(BK341&lt;RepFrom,BK341&gt;RepTo),"",IF(BN341="","",BN341+ROW()/1000000))))</f>
        <v>0</v>
      </c>
      <c r="BS341" s="32">
        <f>IF(BM341="","",IF(BK341="","",IF(YEAR(BK341)&lt;&gt;PlanYear,"",BM341+ROW()/1000000)))</f>
        <v>0</v>
      </c>
      <c r="BT341" s="17">
        <f>IF(Lists!$F341="","",Lists!$F341)</f>
        <v>0</v>
      </c>
      <c r="BU341" s="23">
        <f>IF(BT341="","",COUNTIF('Content Calendar'!$X$5:$X$604,BT341))</f>
        <v>0</v>
      </c>
      <c r="BV341" s="23">
        <f>IF(BT341="","",COUNTIFS('Content Calendar'!$X$5:$X$604,BT341,'Content Calendar'!$B$5:$B$604,"&gt;="&amp;DashStart,'Content Calendar'!$B$5:$B$604,"&lt;="&amp;DashEnd))</f>
        <v>0</v>
      </c>
      <c r="BW341" s="17">
        <f>IF(Team!$B$341="","",Team!$B$341)</f>
        <v>0</v>
      </c>
      <c r="BX341" s="23">
        <f>IF(BW341="","",COUNTIF('Content Calendar'!$W$5:$W$604,BW341))</f>
        <v>0</v>
      </c>
      <c r="BY341" s="23">
        <f>IF(BW341="","",COUNTIFS('Content Calendar'!$W$5:$W$604,BW341,'Content Calendar'!$X$5:$X$604,"&lt;&gt;Published"))</f>
        <v>0</v>
      </c>
      <c r="BZ341" s="23">
        <f>IF(BW341="","",COUNTIFS(Tasks!$C$5:$C$64,BW341,Tasks!$G$5:$G$64,"&lt;&gt;Complete"))</f>
        <v>0</v>
      </c>
      <c r="CA341" s="17">
        <f>IF(Campaigns!$B$341="","",Campaigns!$B$341)</f>
        <v>0</v>
      </c>
      <c r="CB341" s="25">
        <f>IF(Campaigns!$T$341="","",Campaigns!$T$341)</f>
        <v>0</v>
      </c>
      <c r="CC341" s="25">
        <f>IF(Campaigns!$Q$341="","",Campaigns!$Q$341)</f>
        <v>0</v>
      </c>
      <c r="CD341" s="23">
        <f>IF(Campaigns!$Y$341="","",Campaigns!$Y$341)</f>
        <v>0</v>
      </c>
      <c r="CE341" s="32">
        <f>IF(CA341="","",IF(N(CB341)&lt;=0,"",N(CB341)+ROW()/1000000))</f>
        <v>0</v>
      </c>
      <c r="CF341" s="17">
        <f>IF(Accounts!$C$341="","",Accounts!$C$341)</f>
        <v>0</v>
      </c>
      <c r="CG341" s="17">
        <f>IF(Accounts!$B$341="","",Accounts!$B$341)</f>
        <v>0</v>
      </c>
      <c r="CH341" s="23">
        <f>IF(Accounts!$J$341="","",Accounts!$J$341)</f>
        <v>0</v>
      </c>
      <c r="CI341" s="23">
        <f>IF(CF341="","",SUMIFS(Analytics!$X$5:$X$154,Analytics!$E$5:$E$154,CF341,Analytics!$B$5:$B$154,"&gt;="&amp;DashStart,Analytics!$B$5:$B$154,"&lt;="&amp;DashEnd))</f>
        <v>0</v>
      </c>
      <c r="CJ341" s="32">
        <f>IF(CH341="","",IF(CH341=0,"",CH341+ROW()/1000000))</f>
        <v>0</v>
      </c>
    </row>
    <row r="342" spans="1:88">
      <c r="A342" s="16">
        <f>IF(ROW()-4&gt;12,"",DATE(PlanYear,ROW()-4,1))</f>
        <v>0</v>
      </c>
      <c r="B342" s="16">
        <f>IF(A342="","",EOMONTH(A342,0))</f>
        <v>0</v>
      </c>
      <c r="C342" s="17">
        <f>IF(A342="","",TEXT(A342,"yyyy-mm"))</f>
        <v>0</v>
      </c>
      <c r="D342" s="17">
        <f>IF(A342="","",TEXT(A342,"mmm"))</f>
        <v>0</v>
      </c>
      <c r="E342" s="23">
        <f>IF(C342="","",COUNTIFS('Content Calendar'!$D$5:$D$604,C342))</f>
        <v>0</v>
      </c>
      <c r="F342" s="23">
        <f>IF(C342="","",COUNTIFS('Content Calendar'!$D$5:$D$604,C342,'Content Calendar'!$X$5:$X$604,"Published"))</f>
        <v>0</v>
      </c>
      <c r="G342" s="23">
        <f>IF(C342="","",SUMIFS(Analytics!$J$5:$J$154,Analytics!$C$5:$C$154,C342))</f>
        <v>0</v>
      </c>
      <c r="H342" s="23">
        <f>IF(C342="","",SUMIFS(Analytics!$K$5:$K$154,Analytics!$C$5:$C$154,C342))</f>
        <v>0</v>
      </c>
      <c r="I342" s="23">
        <f>IF(C342="","",SUMIFS(Analytics!$L$5:$L$154,Analytics!$C$5:$C$154,C342))</f>
        <v>0</v>
      </c>
      <c r="J342" s="24">
        <f>IF(OR(G342="",G342=0),"",I342/G342)</f>
        <v>0</v>
      </c>
      <c r="K342" s="23">
        <f>IF(C342="","",SUMIFS(Analytics!$G$5:$G$154,Analytics!$C$5:$C$154,C342))</f>
        <v>0</v>
      </c>
      <c r="L342" s="23">
        <f>IF(C342="","",SUMIFS(Analytics!$X$5:$X$154,Analytics!$C$5:$C$154,C342))</f>
        <v>0</v>
      </c>
      <c r="M342" s="23">
        <f>IF(C342="","",SUMIFS(Analytics!$R$5:$R$154,Analytics!$C$5:$C$154,C342))</f>
        <v>0</v>
      </c>
      <c r="N342" s="23">
        <f>IF(C342="","",SUMIFS(Analytics!$S$5:$S$154,Analytics!$C$5:$C$154,C342))</f>
        <v>0</v>
      </c>
      <c r="O342" s="23">
        <f>IF(C342="","",SUMIFS(Analytics!$T$5:$T$154,Analytics!$C$5:$C$154,C342))</f>
        <v>0</v>
      </c>
      <c r="P342" s="25">
        <f>IF(C342="","",SUMIFS(Analytics!$U$5:$U$154,Analytics!$C$5:$C$154,C342))</f>
        <v>0</v>
      </c>
      <c r="Q342" s="25">
        <f>IF(C342="","",SUMIFS(Budget!$H$5:$H$64,Budget!$C$5:$C$64,C342))</f>
        <v>0</v>
      </c>
      <c r="R342" s="25">
        <f>IF(C342="","",P342-Q342)</f>
        <v>0</v>
      </c>
      <c r="S342" s="23">
        <f>IF(C342="","",MonthlyPostTarget)</f>
        <v>0</v>
      </c>
      <c r="T342" s="17">
        <f>IF(Lists!$C342="","",Lists!$C342)</f>
        <v>0</v>
      </c>
      <c r="U342" s="23">
        <f>IF(T342="","",COUNTIFS('Content Calendar'!$G$5:$G$604,T342,'Content Calendar'!$B$5:$B$604,"&gt;="&amp;DashStart,'Content Calendar'!$B$5:$B$604,"&lt;="&amp;DashEnd))</f>
        <v>0</v>
      </c>
      <c r="V342" s="23">
        <f>IF(T342="","",COUNTIFS('Content Calendar'!$G$5:$G$604,T342,'Content Calendar'!$X$5:$X$604,"Published",'Content Calendar'!$B$5:$B$604,"&gt;="&amp;DashStart,'Content Calendar'!$B$5:$B$604,"&lt;="&amp;DashEnd))</f>
        <v>0</v>
      </c>
      <c r="W342" s="23">
        <f>IF(T342="","",SUMIFS(Analytics!$J$5:$J$154,Analytics!$D$5:$D$154,T342,Analytics!$B$5:$B$154,"&gt;="&amp;DashStart,Analytics!$B$5:$B$154,"&lt;="&amp;DashEnd))</f>
        <v>0</v>
      </c>
      <c r="X342" s="23">
        <f>IF(T342="","",SUMIFS(Analytics!$L$5:$L$154,Analytics!$D$5:$D$154,T342,Analytics!$B$5:$B$154,"&gt;="&amp;DashStart,Analytics!$B$5:$B$154,"&lt;="&amp;DashEnd))</f>
        <v>0</v>
      </c>
      <c r="Y342" s="24">
        <f>IF(OR(W342="",W342=0),"",X342/W342)</f>
        <v>0</v>
      </c>
      <c r="Z342" s="23">
        <f>IF(T342="","",SUMIFS(Analytics!$G$5:$G$154,Analytics!$D$5:$D$154,T342,Analytics!$B$5:$B$154,"&gt;="&amp;DashStart,Analytics!$B$5:$B$154,"&lt;="&amp;DashEnd))</f>
        <v>0</v>
      </c>
      <c r="AA342" s="23">
        <f>IF(T342="","",SUMIFS(Analytics!$X$5:$X$154,Analytics!$D$5:$D$154,T342,Analytics!$B$5:$B$154,"&gt;="&amp;DashStart,Analytics!$B$5:$B$154,"&lt;="&amp;DashEnd))</f>
        <v>0</v>
      </c>
      <c r="AB342" s="23">
        <f>IF(T342="","",SUMIFS(Analytics!$R$5:$R$154,Analytics!$D$5:$D$154,T342,Analytics!$B$5:$B$154,"&gt;="&amp;DashStart,Analytics!$B$5:$B$154,"&lt;="&amp;DashEnd))</f>
        <v>0</v>
      </c>
      <c r="AC342" s="25">
        <f>IF(T342="","",SUMIFS(Analytics!$U$5:$U$154,Analytics!$D$5:$D$154,T342,Analytics!$B$5:$B$154,"&gt;="&amp;DashStart,Analytics!$B$5:$B$154,"&lt;="&amp;DashEnd))</f>
        <v>0</v>
      </c>
      <c r="AD342" s="23">
        <f>IF(T342="","",COUNTIFS('Content Calendar'!$G$5:$G$604,T342,'Content Calendar'!$B$5:$B$604,"&gt;="&amp;DATE(PlanYear,1,1),'Content Calendar'!$B$5:$B$604,"&lt;="&amp;DATE(PlanYear,12,31)))</f>
        <v>0</v>
      </c>
      <c r="AE342" s="23">
        <f>IF(T342="","",SUMIFS(Analytics!$J$5:$J$154,Analytics!$D$5:$D$154,T342))</f>
        <v>0</v>
      </c>
      <c r="AF342" s="23">
        <f>IF(T342="","",SUMIFS(Analytics!$L$5:$L$154,Analytics!$D$5:$D$154,T342))</f>
        <v>0</v>
      </c>
      <c r="AG342" s="24">
        <f>IF(OR(AE342="",AE342=0),"",AF342/AE342)</f>
        <v>0</v>
      </c>
      <c r="AH342" s="23">
        <f>IF(T342="","",SUMIFS(Analytics!$X$5:$X$154,Analytics!$D$5:$D$154,T342))</f>
        <v>0</v>
      </c>
      <c r="AI342" s="32">
        <f>IF(T342="","",IF(AE342=0,"",AE342+ROW()/1000000))</f>
        <v>0</v>
      </c>
      <c r="AJ342" s="17">
        <f>IF('Content Pillars'!$B$342="","",'Content Pillars'!$B$342)</f>
        <v>0</v>
      </c>
      <c r="AK342" s="23">
        <f>IF(AJ342="","",COUNTIFS('Content Calendar'!$J$5:$J$604,AJ342,'Content Calendar'!$B$5:$B$604,"&gt;="&amp;DATE(PlanYear,1,1),'Content Calendar'!$B$5:$B$604,"&lt;="&amp;DATE(PlanYear,12,31)))</f>
        <v>0</v>
      </c>
      <c r="AL342" s="23">
        <f>IF(AJ342="","",SUMIFS(Performance!$O$5:$O$404,Performance!$H$5:$H$404,AJ342))</f>
        <v>0</v>
      </c>
      <c r="AM342" s="23">
        <f>IF(AJ342="","",SUMIFS(Performance!$Z$5:$Z$404,Performance!$H$5:$H$404,AJ342))</f>
        <v>0</v>
      </c>
      <c r="AN342" s="24">
        <f>IF(OR(AL342="",AL342=0),"",AM342/AL342)</f>
        <v>0</v>
      </c>
      <c r="AO342" s="32">
        <f>IF(AN342="","",AN342+ROW()/1000000)</f>
        <v>0</v>
      </c>
      <c r="AP342" s="17">
        <f>IF(Lists!$E342="","",Lists!$E342)</f>
        <v>0</v>
      </c>
      <c r="AQ342" s="23">
        <f>IF(AP342="","",COUNTIF(Performance!$G$5:$G$404,AP342))</f>
        <v>0</v>
      </c>
      <c r="AR342" s="23">
        <f>IF(AP342="","",SUMIFS(Performance!$O$5:$O$404,Performance!$G$5:$G$404,AP342))</f>
        <v>0</v>
      </c>
      <c r="AS342" s="23">
        <f>IF(AP342="","",SUMIFS(Performance!$Z$5:$Z$404,Performance!$G$5:$G$404,AP342))</f>
        <v>0</v>
      </c>
      <c r="AT342" s="24">
        <f>IF(OR(AR342="",AR342=0),"",AS342/AR342)</f>
        <v>0</v>
      </c>
      <c r="AU342" s="32">
        <f>IF(AQ342=0,"",IF(AT342="","",AT342+ROW()/1000000))</f>
        <v>0</v>
      </c>
      <c r="AV342" s="17">
        <f>IF(ROW()-4&gt;7,"",TEXT(DATE(2024,1,ROW()-4),"ddd"))</f>
        <v>0</v>
      </c>
      <c r="AW342" s="23">
        <f>IF(AV342="","",COUNTIF(Performance!$N$5:$N$404,AV342))</f>
        <v>0</v>
      </c>
      <c r="AX342" s="23">
        <f>IF(AV342="","",SUMIFS(Performance!$O$5:$O$404,Performance!$N$5:$N$404,AV342))</f>
        <v>0</v>
      </c>
      <c r="AY342" s="23">
        <f>IF(AV342="","",SUMIFS(Performance!$Z$5:$Z$404,Performance!$N$5:$N$404,AV342))</f>
        <v>0</v>
      </c>
      <c r="AZ342" s="24">
        <f>IF(OR(AX342="",AX342=0),"",AY342/AX342)</f>
        <v>0</v>
      </c>
      <c r="BA342" s="32">
        <f>IF(AW342=0,"",IF(AZ342="","",AZ342+ROW()/1000000))</f>
        <v>0</v>
      </c>
      <c r="BB342" s="17">
        <f>IF(Lists!$AL342="","",Lists!$AL342)</f>
        <v>0</v>
      </c>
      <c r="BC342" s="23">
        <f>IF(BB342="","",COUNTIF(Performance!$M$5:$M$404,BB342))</f>
        <v>0</v>
      </c>
      <c r="BD342" s="23">
        <f>IF(BB342="","",SUMIFS(Performance!$O$5:$O$404,Performance!$M$5:$M$404,BB342))</f>
        <v>0</v>
      </c>
      <c r="BE342" s="23">
        <f>IF(BB342="","",SUMIFS(Performance!$Z$5:$Z$404,Performance!$M$5:$M$404,BB342))</f>
        <v>0</v>
      </c>
      <c r="BF342" s="24">
        <f>IF(OR(BD342="",BD342=0),"",BE342/BD342)</f>
        <v>0</v>
      </c>
      <c r="BG342" s="32">
        <f>IF(BC342=0,"",IF(BF342="","",BF342+ROW()/1000000))</f>
        <v>0</v>
      </c>
      <c r="BH342" s="17">
        <f>IF(Performance!$C$342="","",Performance!$C$342)</f>
        <v>0</v>
      </c>
      <c r="BI342" s="17">
        <f>IF(Performance!$F$342="","",Performance!$F$342)</f>
        <v>0</v>
      </c>
      <c r="BJ342" s="17">
        <f>IF(Performance!$H$342="","",Performance!$H$342)</f>
        <v>0</v>
      </c>
      <c r="BK342" s="16">
        <f>IF(Performance!$D$342="","",Performance!$D$342)</f>
        <v>0</v>
      </c>
      <c r="BL342" s="17">
        <f>IF(Performance!$E$342="","",Performance!$E$342)</f>
        <v>0</v>
      </c>
      <c r="BM342" s="23">
        <f>IF(Performance!$O$342="","",Performance!$O$342)</f>
        <v>0</v>
      </c>
      <c r="BN342" s="24">
        <f>IF(Performance!$AA$342="","",Performance!$AA$342)</f>
        <v>0</v>
      </c>
      <c r="BO342" s="32">
        <f>IF(BH342="","",IF(BK342="","",IF(OR(BK342&lt;DashStart,BK342&gt;DashEnd),"",IF(BN342="","",BN342+ROW()/1000000))))</f>
        <v>0</v>
      </c>
      <c r="BP342" s="32">
        <f>IF(BM342="","",IF(BK342="","",IF(OR(BK342&lt;DashStart,BK342&gt;DashEnd),"",BM342+ROW()/1000000)))</f>
        <v>0</v>
      </c>
      <c r="BQ342" s="32">
        <f>IF(BH342="","",IF(BK342="","",IF(YEAR(BK342)&lt;&gt;PlanYear,"",IF(BN342="","",BN342+ROW()/1000000))))</f>
        <v>0</v>
      </c>
      <c r="BR342" s="32">
        <f>IF(BH342="","",IF(BK342="","",IF(OR(BK342&lt;RepFrom,BK342&gt;RepTo),"",IF(BN342="","",BN342+ROW()/1000000))))</f>
        <v>0</v>
      </c>
      <c r="BS342" s="32">
        <f>IF(BM342="","",IF(BK342="","",IF(YEAR(BK342)&lt;&gt;PlanYear,"",BM342+ROW()/1000000)))</f>
        <v>0</v>
      </c>
      <c r="BT342" s="17">
        <f>IF(Lists!$F342="","",Lists!$F342)</f>
        <v>0</v>
      </c>
      <c r="BU342" s="23">
        <f>IF(BT342="","",COUNTIF('Content Calendar'!$X$5:$X$604,BT342))</f>
        <v>0</v>
      </c>
      <c r="BV342" s="23">
        <f>IF(BT342="","",COUNTIFS('Content Calendar'!$X$5:$X$604,BT342,'Content Calendar'!$B$5:$B$604,"&gt;="&amp;DashStart,'Content Calendar'!$B$5:$B$604,"&lt;="&amp;DashEnd))</f>
        <v>0</v>
      </c>
      <c r="BW342" s="17">
        <f>IF(Team!$B$342="","",Team!$B$342)</f>
        <v>0</v>
      </c>
      <c r="BX342" s="23">
        <f>IF(BW342="","",COUNTIF('Content Calendar'!$W$5:$W$604,BW342))</f>
        <v>0</v>
      </c>
      <c r="BY342" s="23">
        <f>IF(BW342="","",COUNTIFS('Content Calendar'!$W$5:$W$604,BW342,'Content Calendar'!$X$5:$X$604,"&lt;&gt;Published"))</f>
        <v>0</v>
      </c>
      <c r="BZ342" s="23">
        <f>IF(BW342="","",COUNTIFS(Tasks!$C$5:$C$64,BW342,Tasks!$G$5:$G$64,"&lt;&gt;Complete"))</f>
        <v>0</v>
      </c>
      <c r="CA342" s="17">
        <f>IF(Campaigns!$B$342="","",Campaigns!$B$342)</f>
        <v>0</v>
      </c>
      <c r="CB342" s="25">
        <f>IF(Campaigns!$T$342="","",Campaigns!$T$342)</f>
        <v>0</v>
      </c>
      <c r="CC342" s="25">
        <f>IF(Campaigns!$Q$342="","",Campaigns!$Q$342)</f>
        <v>0</v>
      </c>
      <c r="CD342" s="23">
        <f>IF(Campaigns!$Y$342="","",Campaigns!$Y$342)</f>
        <v>0</v>
      </c>
      <c r="CE342" s="32">
        <f>IF(CA342="","",IF(N(CB342)&lt;=0,"",N(CB342)+ROW()/1000000))</f>
        <v>0</v>
      </c>
      <c r="CF342" s="17">
        <f>IF(Accounts!$C$342="","",Accounts!$C$342)</f>
        <v>0</v>
      </c>
      <c r="CG342" s="17">
        <f>IF(Accounts!$B$342="","",Accounts!$B$342)</f>
        <v>0</v>
      </c>
      <c r="CH342" s="23">
        <f>IF(Accounts!$J$342="","",Accounts!$J$342)</f>
        <v>0</v>
      </c>
      <c r="CI342" s="23">
        <f>IF(CF342="","",SUMIFS(Analytics!$X$5:$X$154,Analytics!$E$5:$E$154,CF342,Analytics!$B$5:$B$154,"&gt;="&amp;DashStart,Analytics!$B$5:$B$154,"&lt;="&amp;DashEnd))</f>
        <v>0</v>
      </c>
      <c r="CJ342" s="32">
        <f>IF(CH342="","",IF(CH342=0,"",CH342+ROW()/1000000))</f>
        <v>0</v>
      </c>
    </row>
    <row r="343" spans="1:88">
      <c r="A343" s="16">
        <f>IF(ROW()-4&gt;12,"",DATE(PlanYear,ROW()-4,1))</f>
        <v>0</v>
      </c>
      <c r="B343" s="16">
        <f>IF(A343="","",EOMONTH(A343,0))</f>
        <v>0</v>
      </c>
      <c r="C343" s="17">
        <f>IF(A343="","",TEXT(A343,"yyyy-mm"))</f>
        <v>0</v>
      </c>
      <c r="D343" s="17">
        <f>IF(A343="","",TEXT(A343,"mmm"))</f>
        <v>0</v>
      </c>
      <c r="E343" s="23">
        <f>IF(C343="","",COUNTIFS('Content Calendar'!$D$5:$D$604,C343))</f>
        <v>0</v>
      </c>
      <c r="F343" s="23">
        <f>IF(C343="","",COUNTIFS('Content Calendar'!$D$5:$D$604,C343,'Content Calendar'!$X$5:$X$604,"Published"))</f>
        <v>0</v>
      </c>
      <c r="G343" s="23">
        <f>IF(C343="","",SUMIFS(Analytics!$J$5:$J$154,Analytics!$C$5:$C$154,C343))</f>
        <v>0</v>
      </c>
      <c r="H343" s="23">
        <f>IF(C343="","",SUMIFS(Analytics!$K$5:$K$154,Analytics!$C$5:$C$154,C343))</f>
        <v>0</v>
      </c>
      <c r="I343" s="23">
        <f>IF(C343="","",SUMIFS(Analytics!$L$5:$L$154,Analytics!$C$5:$C$154,C343))</f>
        <v>0</v>
      </c>
      <c r="J343" s="24">
        <f>IF(OR(G343="",G343=0),"",I343/G343)</f>
        <v>0</v>
      </c>
      <c r="K343" s="23">
        <f>IF(C343="","",SUMIFS(Analytics!$G$5:$G$154,Analytics!$C$5:$C$154,C343))</f>
        <v>0</v>
      </c>
      <c r="L343" s="23">
        <f>IF(C343="","",SUMIFS(Analytics!$X$5:$X$154,Analytics!$C$5:$C$154,C343))</f>
        <v>0</v>
      </c>
      <c r="M343" s="23">
        <f>IF(C343="","",SUMIFS(Analytics!$R$5:$R$154,Analytics!$C$5:$C$154,C343))</f>
        <v>0</v>
      </c>
      <c r="N343" s="23">
        <f>IF(C343="","",SUMIFS(Analytics!$S$5:$S$154,Analytics!$C$5:$C$154,C343))</f>
        <v>0</v>
      </c>
      <c r="O343" s="23">
        <f>IF(C343="","",SUMIFS(Analytics!$T$5:$T$154,Analytics!$C$5:$C$154,C343))</f>
        <v>0</v>
      </c>
      <c r="P343" s="25">
        <f>IF(C343="","",SUMIFS(Analytics!$U$5:$U$154,Analytics!$C$5:$C$154,C343))</f>
        <v>0</v>
      </c>
      <c r="Q343" s="25">
        <f>IF(C343="","",SUMIFS(Budget!$H$5:$H$64,Budget!$C$5:$C$64,C343))</f>
        <v>0</v>
      </c>
      <c r="R343" s="25">
        <f>IF(C343="","",P343-Q343)</f>
        <v>0</v>
      </c>
      <c r="S343" s="23">
        <f>IF(C343="","",MonthlyPostTarget)</f>
        <v>0</v>
      </c>
      <c r="T343" s="17">
        <f>IF(Lists!$C343="","",Lists!$C343)</f>
        <v>0</v>
      </c>
      <c r="U343" s="23">
        <f>IF(T343="","",COUNTIFS('Content Calendar'!$G$5:$G$604,T343,'Content Calendar'!$B$5:$B$604,"&gt;="&amp;DashStart,'Content Calendar'!$B$5:$B$604,"&lt;="&amp;DashEnd))</f>
        <v>0</v>
      </c>
      <c r="V343" s="23">
        <f>IF(T343="","",COUNTIFS('Content Calendar'!$G$5:$G$604,T343,'Content Calendar'!$X$5:$X$604,"Published",'Content Calendar'!$B$5:$B$604,"&gt;="&amp;DashStart,'Content Calendar'!$B$5:$B$604,"&lt;="&amp;DashEnd))</f>
        <v>0</v>
      </c>
      <c r="W343" s="23">
        <f>IF(T343="","",SUMIFS(Analytics!$J$5:$J$154,Analytics!$D$5:$D$154,T343,Analytics!$B$5:$B$154,"&gt;="&amp;DashStart,Analytics!$B$5:$B$154,"&lt;="&amp;DashEnd))</f>
        <v>0</v>
      </c>
      <c r="X343" s="23">
        <f>IF(T343="","",SUMIFS(Analytics!$L$5:$L$154,Analytics!$D$5:$D$154,T343,Analytics!$B$5:$B$154,"&gt;="&amp;DashStart,Analytics!$B$5:$B$154,"&lt;="&amp;DashEnd))</f>
        <v>0</v>
      </c>
      <c r="Y343" s="24">
        <f>IF(OR(W343="",W343=0),"",X343/W343)</f>
        <v>0</v>
      </c>
      <c r="Z343" s="23">
        <f>IF(T343="","",SUMIFS(Analytics!$G$5:$G$154,Analytics!$D$5:$D$154,T343,Analytics!$B$5:$B$154,"&gt;="&amp;DashStart,Analytics!$B$5:$B$154,"&lt;="&amp;DashEnd))</f>
        <v>0</v>
      </c>
      <c r="AA343" s="23">
        <f>IF(T343="","",SUMIFS(Analytics!$X$5:$X$154,Analytics!$D$5:$D$154,T343,Analytics!$B$5:$B$154,"&gt;="&amp;DashStart,Analytics!$B$5:$B$154,"&lt;="&amp;DashEnd))</f>
        <v>0</v>
      </c>
      <c r="AB343" s="23">
        <f>IF(T343="","",SUMIFS(Analytics!$R$5:$R$154,Analytics!$D$5:$D$154,T343,Analytics!$B$5:$B$154,"&gt;="&amp;DashStart,Analytics!$B$5:$B$154,"&lt;="&amp;DashEnd))</f>
        <v>0</v>
      </c>
      <c r="AC343" s="25">
        <f>IF(T343="","",SUMIFS(Analytics!$U$5:$U$154,Analytics!$D$5:$D$154,T343,Analytics!$B$5:$B$154,"&gt;="&amp;DashStart,Analytics!$B$5:$B$154,"&lt;="&amp;DashEnd))</f>
        <v>0</v>
      </c>
      <c r="AD343" s="23">
        <f>IF(T343="","",COUNTIFS('Content Calendar'!$G$5:$G$604,T343,'Content Calendar'!$B$5:$B$604,"&gt;="&amp;DATE(PlanYear,1,1),'Content Calendar'!$B$5:$B$604,"&lt;="&amp;DATE(PlanYear,12,31)))</f>
        <v>0</v>
      </c>
      <c r="AE343" s="23">
        <f>IF(T343="","",SUMIFS(Analytics!$J$5:$J$154,Analytics!$D$5:$D$154,T343))</f>
        <v>0</v>
      </c>
      <c r="AF343" s="23">
        <f>IF(T343="","",SUMIFS(Analytics!$L$5:$L$154,Analytics!$D$5:$D$154,T343))</f>
        <v>0</v>
      </c>
      <c r="AG343" s="24">
        <f>IF(OR(AE343="",AE343=0),"",AF343/AE343)</f>
        <v>0</v>
      </c>
      <c r="AH343" s="23">
        <f>IF(T343="","",SUMIFS(Analytics!$X$5:$X$154,Analytics!$D$5:$D$154,T343))</f>
        <v>0</v>
      </c>
      <c r="AI343" s="32">
        <f>IF(T343="","",IF(AE343=0,"",AE343+ROW()/1000000))</f>
        <v>0</v>
      </c>
      <c r="AJ343" s="17">
        <f>IF('Content Pillars'!$B$343="","",'Content Pillars'!$B$343)</f>
        <v>0</v>
      </c>
      <c r="AK343" s="23">
        <f>IF(AJ343="","",COUNTIFS('Content Calendar'!$J$5:$J$604,AJ343,'Content Calendar'!$B$5:$B$604,"&gt;="&amp;DATE(PlanYear,1,1),'Content Calendar'!$B$5:$B$604,"&lt;="&amp;DATE(PlanYear,12,31)))</f>
        <v>0</v>
      </c>
      <c r="AL343" s="23">
        <f>IF(AJ343="","",SUMIFS(Performance!$O$5:$O$404,Performance!$H$5:$H$404,AJ343))</f>
        <v>0</v>
      </c>
      <c r="AM343" s="23">
        <f>IF(AJ343="","",SUMIFS(Performance!$Z$5:$Z$404,Performance!$H$5:$H$404,AJ343))</f>
        <v>0</v>
      </c>
      <c r="AN343" s="24">
        <f>IF(OR(AL343="",AL343=0),"",AM343/AL343)</f>
        <v>0</v>
      </c>
      <c r="AO343" s="32">
        <f>IF(AN343="","",AN343+ROW()/1000000)</f>
        <v>0</v>
      </c>
      <c r="AP343" s="17">
        <f>IF(Lists!$E343="","",Lists!$E343)</f>
        <v>0</v>
      </c>
      <c r="AQ343" s="23">
        <f>IF(AP343="","",COUNTIF(Performance!$G$5:$G$404,AP343))</f>
        <v>0</v>
      </c>
      <c r="AR343" s="23">
        <f>IF(AP343="","",SUMIFS(Performance!$O$5:$O$404,Performance!$G$5:$G$404,AP343))</f>
        <v>0</v>
      </c>
      <c r="AS343" s="23">
        <f>IF(AP343="","",SUMIFS(Performance!$Z$5:$Z$404,Performance!$G$5:$G$404,AP343))</f>
        <v>0</v>
      </c>
      <c r="AT343" s="24">
        <f>IF(OR(AR343="",AR343=0),"",AS343/AR343)</f>
        <v>0</v>
      </c>
      <c r="AU343" s="32">
        <f>IF(AQ343=0,"",IF(AT343="","",AT343+ROW()/1000000))</f>
        <v>0</v>
      </c>
      <c r="AV343" s="17">
        <f>IF(ROW()-4&gt;7,"",TEXT(DATE(2024,1,ROW()-4),"ddd"))</f>
        <v>0</v>
      </c>
      <c r="AW343" s="23">
        <f>IF(AV343="","",COUNTIF(Performance!$N$5:$N$404,AV343))</f>
        <v>0</v>
      </c>
      <c r="AX343" s="23">
        <f>IF(AV343="","",SUMIFS(Performance!$O$5:$O$404,Performance!$N$5:$N$404,AV343))</f>
        <v>0</v>
      </c>
      <c r="AY343" s="23">
        <f>IF(AV343="","",SUMIFS(Performance!$Z$5:$Z$404,Performance!$N$5:$N$404,AV343))</f>
        <v>0</v>
      </c>
      <c r="AZ343" s="24">
        <f>IF(OR(AX343="",AX343=0),"",AY343/AX343)</f>
        <v>0</v>
      </c>
      <c r="BA343" s="32">
        <f>IF(AW343=0,"",IF(AZ343="","",AZ343+ROW()/1000000))</f>
        <v>0</v>
      </c>
      <c r="BB343" s="17">
        <f>IF(Lists!$AL343="","",Lists!$AL343)</f>
        <v>0</v>
      </c>
      <c r="BC343" s="23">
        <f>IF(BB343="","",COUNTIF(Performance!$M$5:$M$404,BB343))</f>
        <v>0</v>
      </c>
      <c r="BD343" s="23">
        <f>IF(BB343="","",SUMIFS(Performance!$O$5:$O$404,Performance!$M$5:$M$404,BB343))</f>
        <v>0</v>
      </c>
      <c r="BE343" s="23">
        <f>IF(BB343="","",SUMIFS(Performance!$Z$5:$Z$404,Performance!$M$5:$M$404,BB343))</f>
        <v>0</v>
      </c>
      <c r="BF343" s="24">
        <f>IF(OR(BD343="",BD343=0),"",BE343/BD343)</f>
        <v>0</v>
      </c>
      <c r="BG343" s="32">
        <f>IF(BC343=0,"",IF(BF343="","",BF343+ROW()/1000000))</f>
        <v>0</v>
      </c>
      <c r="BH343" s="17">
        <f>IF(Performance!$C$343="","",Performance!$C$343)</f>
        <v>0</v>
      </c>
      <c r="BI343" s="17">
        <f>IF(Performance!$F$343="","",Performance!$F$343)</f>
        <v>0</v>
      </c>
      <c r="BJ343" s="17">
        <f>IF(Performance!$H$343="","",Performance!$H$343)</f>
        <v>0</v>
      </c>
      <c r="BK343" s="16">
        <f>IF(Performance!$D$343="","",Performance!$D$343)</f>
        <v>0</v>
      </c>
      <c r="BL343" s="17">
        <f>IF(Performance!$E$343="","",Performance!$E$343)</f>
        <v>0</v>
      </c>
      <c r="BM343" s="23">
        <f>IF(Performance!$O$343="","",Performance!$O$343)</f>
        <v>0</v>
      </c>
      <c r="BN343" s="24">
        <f>IF(Performance!$AA$343="","",Performance!$AA$343)</f>
        <v>0</v>
      </c>
      <c r="BO343" s="32">
        <f>IF(BH343="","",IF(BK343="","",IF(OR(BK343&lt;DashStart,BK343&gt;DashEnd),"",IF(BN343="","",BN343+ROW()/1000000))))</f>
        <v>0</v>
      </c>
      <c r="BP343" s="32">
        <f>IF(BM343="","",IF(BK343="","",IF(OR(BK343&lt;DashStart,BK343&gt;DashEnd),"",BM343+ROW()/1000000)))</f>
        <v>0</v>
      </c>
      <c r="BQ343" s="32">
        <f>IF(BH343="","",IF(BK343="","",IF(YEAR(BK343)&lt;&gt;PlanYear,"",IF(BN343="","",BN343+ROW()/1000000))))</f>
        <v>0</v>
      </c>
      <c r="BR343" s="32">
        <f>IF(BH343="","",IF(BK343="","",IF(OR(BK343&lt;RepFrom,BK343&gt;RepTo),"",IF(BN343="","",BN343+ROW()/1000000))))</f>
        <v>0</v>
      </c>
      <c r="BS343" s="32">
        <f>IF(BM343="","",IF(BK343="","",IF(YEAR(BK343)&lt;&gt;PlanYear,"",BM343+ROW()/1000000)))</f>
        <v>0</v>
      </c>
      <c r="BT343" s="17">
        <f>IF(Lists!$F343="","",Lists!$F343)</f>
        <v>0</v>
      </c>
      <c r="BU343" s="23">
        <f>IF(BT343="","",COUNTIF('Content Calendar'!$X$5:$X$604,BT343))</f>
        <v>0</v>
      </c>
      <c r="BV343" s="23">
        <f>IF(BT343="","",COUNTIFS('Content Calendar'!$X$5:$X$604,BT343,'Content Calendar'!$B$5:$B$604,"&gt;="&amp;DashStart,'Content Calendar'!$B$5:$B$604,"&lt;="&amp;DashEnd))</f>
        <v>0</v>
      </c>
      <c r="BW343" s="17">
        <f>IF(Team!$B$343="","",Team!$B$343)</f>
        <v>0</v>
      </c>
      <c r="BX343" s="23">
        <f>IF(BW343="","",COUNTIF('Content Calendar'!$W$5:$W$604,BW343))</f>
        <v>0</v>
      </c>
      <c r="BY343" s="23">
        <f>IF(BW343="","",COUNTIFS('Content Calendar'!$W$5:$W$604,BW343,'Content Calendar'!$X$5:$X$604,"&lt;&gt;Published"))</f>
        <v>0</v>
      </c>
      <c r="BZ343" s="23">
        <f>IF(BW343="","",COUNTIFS(Tasks!$C$5:$C$64,BW343,Tasks!$G$5:$G$64,"&lt;&gt;Complete"))</f>
        <v>0</v>
      </c>
      <c r="CA343" s="17">
        <f>IF(Campaigns!$B$343="","",Campaigns!$B$343)</f>
        <v>0</v>
      </c>
      <c r="CB343" s="25">
        <f>IF(Campaigns!$T$343="","",Campaigns!$T$343)</f>
        <v>0</v>
      </c>
      <c r="CC343" s="25">
        <f>IF(Campaigns!$Q$343="","",Campaigns!$Q$343)</f>
        <v>0</v>
      </c>
      <c r="CD343" s="23">
        <f>IF(Campaigns!$Y$343="","",Campaigns!$Y$343)</f>
        <v>0</v>
      </c>
      <c r="CE343" s="32">
        <f>IF(CA343="","",IF(N(CB343)&lt;=0,"",N(CB343)+ROW()/1000000))</f>
        <v>0</v>
      </c>
      <c r="CF343" s="17">
        <f>IF(Accounts!$C$343="","",Accounts!$C$343)</f>
        <v>0</v>
      </c>
      <c r="CG343" s="17">
        <f>IF(Accounts!$B$343="","",Accounts!$B$343)</f>
        <v>0</v>
      </c>
      <c r="CH343" s="23">
        <f>IF(Accounts!$J$343="","",Accounts!$J$343)</f>
        <v>0</v>
      </c>
      <c r="CI343" s="23">
        <f>IF(CF343="","",SUMIFS(Analytics!$X$5:$X$154,Analytics!$E$5:$E$154,CF343,Analytics!$B$5:$B$154,"&gt;="&amp;DashStart,Analytics!$B$5:$B$154,"&lt;="&amp;DashEnd))</f>
        <v>0</v>
      </c>
      <c r="CJ343" s="32">
        <f>IF(CH343="","",IF(CH343=0,"",CH343+ROW()/1000000))</f>
        <v>0</v>
      </c>
    </row>
    <row r="344" spans="1:88">
      <c r="A344" s="16">
        <f>IF(ROW()-4&gt;12,"",DATE(PlanYear,ROW()-4,1))</f>
        <v>0</v>
      </c>
      <c r="B344" s="16">
        <f>IF(A344="","",EOMONTH(A344,0))</f>
        <v>0</v>
      </c>
      <c r="C344" s="17">
        <f>IF(A344="","",TEXT(A344,"yyyy-mm"))</f>
        <v>0</v>
      </c>
      <c r="D344" s="17">
        <f>IF(A344="","",TEXT(A344,"mmm"))</f>
        <v>0</v>
      </c>
      <c r="E344" s="23">
        <f>IF(C344="","",COUNTIFS('Content Calendar'!$D$5:$D$604,C344))</f>
        <v>0</v>
      </c>
      <c r="F344" s="23">
        <f>IF(C344="","",COUNTIFS('Content Calendar'!$D$5:$D$604,C344,'Content Calendar'!$X$5:$X$604,"Published"))</f>
        <v>0</v>
      </c>
      <c r="G344" s="23">
        <f>IF(C344="","",SUMIFS(Analytics!$J$5:$J$154,Analytics!$C$5:$C$154,C344))</f>
        <v>0</v>
      </c>
      <c r="H344" s="23">
        <f>IF(C344="","",SUMIFS(Analytics!$K$5:$K$154,Analytics!$C$5:$C$154,C344))</f>
        <v>0</v>
      </c>
      <c r="I344" s="23">
        <f>IF(C344="","",SUMIFS(Analytics!$L$5:$L$154,Analytics!$C$5:$C$154,C344))</f>
        <v>0</v>
      </c>
      <c r="J344" s="24">
        <f>IF(OR(G344="",G344=0),"",I344/G344)</f>
        <v>0</v>
      </c>
      <c r="K344" s="23">
        <f>IF(C344="","",SUMIFS(Analytics!$G$5:$G$154,Analytics!$C$5:$C$154,C344))</f>
        <v>0</v>
      </c>
      <c r="L344" s="23">
        <f>IF(C344="","",SUMIFS(Analytics!$X$5:$X$154,Analytics!$C$5:$C$154,C344))</f>
        <v>0</v>
      </c>
      <c r="M344" s="23">
        <f>IF(C344="","",SUMIFS(Analytics!$R$5:$R$154,Analytics!$C$5:$C$154,C344))</f>
        <v>0</v>
      </c>
      <c r="N344" s="23">
        <f>IF(C344="","",SUMIFS(Analytics!$S$5:$S$154,Analytics!$C$5:$C$154,C344))</f>
        <v>0</v>
      </c>
      <c r="O344" s="23">
        <f>IF(C344="","",SUMIFS(Analytics!$T$5:$T$154,Analytics!$C$5:$C$154,C344))</f>
        <v>0</v>
      </c>
      <c r="P344" s="25">
        <f>IF(C344="","",SUMIFS(Analytics!$U$5:$U$154,Analytics!$C$5:$C$154,C344))</f>
        <v>0</v>
      </c>
      <c r="Q344" s="25">
        <f>IF(C344="","",SUMIFS(Budget!$H$5:$H$64,Budget!$C$5:$C$64,C344))</f>
        <v>0</v>
      </c>
      <c r="R344" s="25">
        <f>IF(C344="","",P344-Q344)</f>
        <v>0</v>
      </c>
      <c r="S344" s="23">
        <f>IF(C344="","",MonthlyPostTarget)</f>
        <v>0</v>
      </c>
      <c r="T344" s="17">
        <f>IF(Lists!$C344="","",Lists!$C344)</f>
        <v>0</v>
      </c>
      <c r="U344" s="23">
        <f>IF(T344="","",COUNTIFS('Content Calendar'!$G$5:$G$604,T344,'Content Calendar'!$B$5:$B$604,"&gt;="&amp;DashStart,'Content Calendar'!$B$5:$B$604,"&lt;="&amp;DashEnd))</f>
        <v>0</v>
      </c>
      <c r="V344" s="23">
        <f>IF(T344="","",COUNTIFS('Content Calendar'!$G$5:$G$604,T344,'Content Calendar'!$X$5:$X$604,"Published",'Content Calendar'!$B$5:$B$604,"&gt;="&amp;DashStart,'Content Calendar'!$B$5:$B$604,"&lt;="&amp;DashEnd))</f>
        <v>0</v>
      </c>
      <c r="W344" s="23">
        <f>IF(T344="","",SUMIFS(Analytics!$J$5:$J$154,Analytics!$D$5:$D$154,T344,Analytics!$B$5:$B$154,"&gt;="&amp;DashStart,Analytics!$B$5:$B$154,"&lt;="&amp;DashEnd))</f>
        <v>0</v>
      </c>
      <c r="X344" s="23">
        <f>IF(T344="","",SUMIFS(Analytics!$L$5:$L$154,Analytics!$D$5:$D$154,T344,Analytics!$B$5:$B$154,"&gt;="&amp;DashStart,Analytics!$B$5:$B$154,"&lt;="&amp;DashEnd))</f>
        <v>0</v>
      </c>
      <c r="Y344" s="24">
        <f>IF(OR(W344="",W344=0),"",X344/W344)</f>
        <v>0</v>
      </c>
      <c r="Z344" s="23">
        <f>IF(T344="","",SUMIFS(Analytics!$G$5:$G$154,Analytics!$D$5:$D$154,T344,Analytics!$B$5:$B$154,"&gt;="&amp;DashStart,Analytics!$B$5:$B$154,"&lt;="&amp;DashEnd))</f>
        <v>0</v>
      </c>
      <c r="AA344" s="23">
        <f>IF(T344="","",SUMIFS(Analytics!$X$5:$X$154,Analytics!$D$5:$D$154,T344,Analytics!$B$5:$B$154,"&gt;="&amp;DashStart,Analytics!$B$5:$B$154,"&lt;="&amp;DashEnd))</f>
        <v>0</v>
      </c>
      <c r="AB344" s="23">
        <f>IF(T344="","",SUMIFS(Analytics!$R$5:$R$154,Analytics!$D$5:$D$154,T344,Analytics!$B$5:$B$154,"&gt;="&amp;DashStart,Analytics!$B$5:$B$154,"&lt;="&amp;DashEnd))</f>
        <v>0</v>
      </c>
      <c r="AC344" s="25">
        <f>IF(T344="","",SUMIFS(Analytics!$U$5:$U$154,Analytics!$D$5:$D$154,T344,Analytics!$B$5:$B$154,"&gt;="&amp;DashStart,Analytics!$B$5:$B$154,"&lt;="&amp;DashEnd))</f>
        <v>0</v>
      </c>
      <c r="AD344" s="23">
        <f>IF(T344="","",COUNTIFS('Content Calendar'!$G$5:$G$604,T344,'Content Calendar'!$B$5:$B$604,"&gt;="&amp;DATE(PlanYear,1,1),'Content Calendar'!$B$5:$B$604,"&lt;="&amp;DATE(PlanYear,12,31)))</f>
        <v>0</v>
      </c>
      <c r="AE344" s="23">
        <f>IF(T344="","",SUMIFS(Analytics!$J$5:$J$154,Analytics!$D$5:$D$154,T344))</f>
        <v>0</v>
      </c>
      <c r="AF344" s="23">
        <f>IF(T344="","",SUMIFS(Analytics!$L$5:$L$154,Analytics!$D$5:$D$154,T344))</f>
        <v>0</v>
      </c>
      <c r="AG344" s="24">
        <f>IF(OR(AE344="",AE344=0),"",AF344/AE344)</f>
        <v>0</v>
      </c>
      <c r="AH344" s="23">
        <f>IF(T344="","",SUMIFS(Analytics!$X$5:$X$154,Analytics!$D$5:$D$154,T344))</f>
        <v>0</v>
      </c>
      <c r="AI344" s="32">
        <f>IF(T344="","",IF(AE344=0,"",AE344+ROW()/1000000))</f>
        <v>0</v>
      </c>
      <c r="AJ344" s="17">
        <f>IF('Content Pillars'!$B$344="","",'Content Pillars'!$B$344)</f>
        <v>0</v>
      </c>
      <c r="AK344" s="23">
        <f>IF(AJ344="","",COUNTIFS('Content Calendar'!$J$5:$J$604,AJ344,'Content Calendar'!$B$5:$B$604,"&gt;="&amp;DATE(PlanYear,1,1),'Content Calendar'!$B$5:$B$604,"&lt;="&amp;DATE(PlanYear,12,31)))</f>
        <v>0</v>
      </c>
      <c r="AL344" s="23">
        <f>IF(AJ344="","",SUMIFS(Performance!$O$5:$O$404,Performance!$H$5:$H$404,AJ344))</f>
        <v>0</v>
      </c>
      <c r="AM344" s="23">
        <f>IF(AJ344="","",SUMIFS(Performance!$Z$5:$Z$404,Performance!$H$5:$H$404,AJ344))</f>
        <v>0</v>
      </c>
      <c r="AN344" s="24">
        <f>IF(OR(AL344="",AL344=0),"",AM344/AL344)</f>
        <v>0</v>
      </c>
      <c r="AO344" s="32">
        <f>IF(AN344="","",AN344+ROW()/1000000)</f>
        <v>0</v>
      </c>
      <c r="AP344" s="17">
        <f>IF(Lists!$E344="","",Lists!$E344)</f>
        <v>0</v>
      </c>
      <c r="AQ344" s="23">
        <f>IF(AP344="","",COUNTIF(Performance!$G$5:$G$404,AP344))</f>
        <v>0</v>
      </c>
      <c r="AR344" s="23">
        <f>IF(AP344="","",SUMIFS(Performance!$O$5:$O$404,Performance!$G$5:$G$404,AP344))</f>
        <v>0</v>
      </c>
      <c r="AS344" s="23">
        <f>IF(AP344="","",SUMIFS(Performance!$Z$5:$Z$404,Performance!$G$5:$G$404,AP344))</f>
        <v>0</v>
      </c>
      <c r="AT344" s="24">
        <f>IF(OR(AR344="",AR344=0),"",AS344/AR344)</f>
        <v>0</v>
      </c>
      <c r="AU344" s="32">
        <f>IF(AQ344=0,"",IF(AT344="","",AT344+ROW()/1000000))</f>
        <v>0</v>
      </c>
      <c r="AV344" s="17">
        <f>IF(ROW()-4&gt;7,"",TEXT(DATE(2024,1,ROW()-4),"ddd"))</f>
        <v>0</v>
      </c>
      <c r="AW344" s="23">
        <f>IF(AV344="","",COUNTIF(Performance!$N$5:$N$404,AV344))</f>
        <v>0</v>
      </c>
      <c r="AX344" s="23">
        <f>IF(AV344="","",SUMIFS(Performance!$O$5:$O$404,Performance!$N$5:$N$404,AV344))</f>
        <v>0</v>
      </c>
      <c r="AY344" s="23">
        <f>IF(AV344="","",SUMIFS(Performance!$Z$5:$Z$404,Performance!$N$5:$N$404,AV344))</f>
        <v>0</v>
      </c>
      <c r="AZ344" s="24">
        <f>IF(OR(AX344="",AX344=0),"",AY344/AX344)</f>
        <v>0</v>
      </c>
      <c r="BA344" s="32">
        <f>IF(AW344=0,"",IF(AZ344="","",AZ344+ROW()/1000000))</f>
        <v>0</v>
      </c>
      <c r="BB344" s="17">
        <f>IF(Lists!$AL344="","",Lists!$AL344)</f>
        <v>0</v>
      </c>
      <c r="BC344" s="23">
        <f>IF(BB344="","",COUNTIF(Performance!$M$5:$M$404,BB344))</f>
        <v>0</v>
      </c>
      <c r="BD344" s="23">
        <f>IF(BB344="","",SUMIFS(Performance!$O$5:$O$404,Performance!$M$5:$M$404,BB344))</f>
        <v>0</v>
      </c>
      <c r="BE344" s="23">
        <f>IF(BB344="","",SUMIFS(Performance!$Z$5:$Z$404,Performance!$M$5:$M$404,BB344))</f>
        <v>0</v>
      </c>
      <c r="BF344" s="24">
        <f>IF(OR(BD344="",BD344=0),"",BE344/BD344)</f>
        <v>0</v>
      </c>
      <c r="BG344" s="32">
        <f>IF(BC344=0,"",IF(BF344="","",BF344+ROW()/1000000))</f>
        <v>0</v>
      </c>
      <c r="BH344" s="17">
        <f>IF(Performance!$C$344="","",Performance!$C$344)</f>
        <v>0</v>
      </c>
      <c r="BI344" s="17">
        <f>IF(Performance!$F$344="","",Performance!$F$344)</f>
        <v>0</v>
      </c>
      <c r="BJ344" s="17">
        <f>IF(Performance!$H$344="","",Performance!$H$344)</f>
        <v>0</v>
      </c>
      <c r="BK344" s="16">
        <f>IF(Performance!$D$344="","",Performance!$D$344)</f>
        <v>0</v>
      </c>
      <c r="BL344" s="17">
        <f>IF(Performance!$E$344="","",Performance!$E$344)</f>
        <v>0</v>
      </c>
      <c r="BM344" s="23">
        <f>IF(Performance!$O$344="","",Performance!$O$344)</f>
        <v>0</v>
      </c>
      <c r="BN344" s="24">
        <f>IF(Performance!$AA$344="","",Performance!$AA$344)</f>
        <v>0</v>
      </c>
      <c r="BO344" s="32">
        <f>IF(BH344="","",IF(BK344="","",IF(OR(BK344&lt;DashStart,BK344&gt;DashEnd),"",IF(BN344="","",BN344+ROW()/1000000))))</f>
        <v>0</v>
      </c>
      <c r="BP344" s="32">
        <f>IF(BM344="","",IF(BK344="","",IF(OR(BK344&lt;DashStart,BK344&gt;DashEnd),"",BM344+ROW()/1000000)))</f>
        <v>0</v>
      </c>
      <c r="BQ344" s="32">
        <f>IF(BH344="","",IF(BK344="","",IF(YEAR(BK344)&lt;&gt;PlanYear,"",IF(BN344="","",BN344+ROW()/1000000))))</f>
        <v>0</v>
      </c>
      <c r="BR344" s="32">
        <f>IF(BH344="","",IF(BK344="","",IF(OR(BK344&lt;RepFrom,BK344&gt;RepTo),"",IF(BN344="","",BN344+ROW()/1000000))))</f>
        <v>0</v>
      </c>
      <c r="BS344" s="32">
        <f>IF(BM344="","",IF(BK344="","",IF(YEAR(BK344)&lt;&gt;PlanYear,"",BM344+ROW()/1000000)))</f>
        <v>0</v>
      </c>
      <c r="BT344" s="17">
        <f>IF(Lists!$F344="","",Lists!$F344)</f>
        <v>0</v>
      </c>
      <c r="BU344" s="23">
        <f>IF(BT344="","",COUNTIF('Content Calendar'!$X$5:$X$604,BT344))</f>
        <v>0</v>
      </c>
      <c r="BV344" s="23">
        <f>IF(BT344="","",COUNTIFS('Content Calendar'!$X$5:$X$604,BT344,'Content Calendar'!$B$5:$B$604,"&gt;="&amp;DashStart,'Content Calendar'!$B$5:$B$604,"&lt;="&amp;DashEnd))</f>
        <v>0</v>
      </c>
      <c r="BW344" s="17">
        <f>IF(Team!$B$344="","",Team!$B$344)</f>
        <v>0</v>
      </c>
      <c r="BX344" s="23">
        <f>IF(BW344="","",COUNTIF('Content Calendar'!$W$5:$W$604,BW344))</f>
        <v>0</v>
      </c>
      <c r="BY344" s="23">
        <f>IF(BW344="","",COUNTIFS('Content Calendar'!$W$5:$W$604,BW344,'Content Calendar'!$X$5:$X$604,"&lt;&gt;Published"))</f>
        <v>0</v>
      </c>
      <c r="BZ344" s="23">
        <f>IF(BW344="","",COUNTIFS(Tasks!$C$5:$C$64,BW344,Tasks!$G$5:$G$64,"&lt;&gt;Complete"))</f>
        <v>0</v>
      </c>
      <c r="CA344" s="17">
        <f>IF(Campaigns!$B$344="","",Campaigns!$B$344)</f>
        <v>0</v>
      </c>
      <c r="CB344" s="25">
        <f>IF(Campaigns!$T$344="","",Campaigns!$T$344)</f>
        <v>0</v>
      </c>
      <c r="CC344" s="25">
        <f>IF(Campaigns!$Q$344="","",Campaigns!$Q$344)</f>
        <v>0</v>
      </c>
      <c r="CD344" s="23">
        <f>IF(Campaigns!$Y$344="","",Campaigns!$Y$344)</f>
        <v>0</v>
      </c>
      <c r="CE344" s="32">
        <f>IF(CA344="","",IF(N(CB344)&lt;=0,"",N(CB344)+ROW()/1000000))</f>
        <v>0</v>
      </c>
      <c r="CF344" s="17">
        <f>IF(Accounts!$C$344="","",Accounts!$C$344)</f>
        <v>0</v>
      </c>
      <c r="CG344" s="17">
        <f>IF(Accounts!$B$344="","",Accounts!$B$344)</f>
        <v>0</v>
      </c>
      <c r="CH344" s="23">
        <f>IF(Accounts!$J$344="","",Accounts!$J$344)</f>
        <v>0</v>
      </c>
      <c r="CI344" s="23">
        <f>IF(CF344="","",SUMIFS(Analytics!$X$5:$X$154,Analytics!$E$5:$E$154,CF344,Analytics!$B$5:$B$154,"&gt;="&amp;DashStart,Analytics!$B$5:$B$154,"&lt;="&amp;DashEnd))</f>
        <v>0</v>
      </c>
      <c r="CJ344" s="32">
        <f>IF(CH344="","",IF(CH344=0,"",CH344+ROW()/1000000))</f>
        <v>0</v>
      </c>
    </row>
    <row r="345" spans="1:88">
      <c r="A345" s="16">
        <f>IF(ROW()-4&gt;12,"",DATE(PlanYear,ROW()-4,1))</f>
        <v>0</v>
      </c>
      <c r="B345" s="16">
        <f>IF(A345="","",EOMONTH(A345,0))</f>
        <v>0</v>
      </c>
      <c r="C345" s="17">
        <f>IF(A345="","",TEXT(A345,"yyyy-mm"))</f>
        <v>0</v>
      </c>
      <c r="D345" s="17">
        <f>IF(A345="","",TEXT(A345,"mmm"))</f>
        <v>0</v>
      </c>
      <c r="E345" s="23">
        <f>IF(C345="","",COUNTIFS('Content Calendar'!$D$5:$D$604,C345))</f>
        <v>0</v>
      </c>
      <c r="F345" s="23">
        <f>IF(C345="","",COUNTIFS('Content Calendar'!$D$5:$D$604,C345,'Content Calendar'!$X$5:$X$604,"Published"))</f>
        <v>0</v>
      </c>
      <c r="G345" s="23">
        <f>IF(C345="","",SUMIFS(Analytics!$J$5:$J$154,Analytics!$C$5:$C$154,C345))</f>
        <v>0</v>
      </c>
      <c r="H345" s="23">
        <f>IF(C345="","",SUMIFS(Analytics!$K$5:$K$154,Analytics!$C$5:$C$154,C345))</f>
        <v>0</v>
      </c>
      <c r="I345" s="23">
        <f>IF(C345="","",SUMIFS(Analytics!$L$5:$L$154,Analytics!$C$5:$C$154,C345))</f>
        <v>0</v>
      </c>
      <c r="J345" s="24">
        <f>IF(OR(G345="",G345=0),"",I345/G345)</f>
        <v>0</v>
      </c>
      <c r="K345" s="23">
        <f>IF(C345="","",SUMIFS(Analytics!$G$5:$G$154,Analytics!$C$5:$C$154,C345))</f>
        <v>0</v>
      </c>
      <c r="L345" s="23">
        <f>IF(C345="","",SUMIFS(Analytics!$X$5:$X$154,Analytics!$C$5:$C$154,C345))</f>
        <v>0</v>
      </c>
      <c r="M345" s="23">
        <f>IF(C345="","",SUMIFS(Analytics!$R$5:$R$154,Analytics!$C$5:$C$154,C345))</f>
        <v>0</v>
      </c>
      <c r="N345" s="23">
        <f>IF(C345="","",SUMIFS(Analytics!$S$5:$S$154,Analytics!$C$5:$C$154,C345))</f>
        <v>0</v>
      </c>
      <c r="O345" s="23">
        <f>IF(C345="","",SUMIFS(Analytics!$T$5:$T$154,Analytics!$C$5:$C$154,C345))</f>
        <v>0</v>
      </c>
      <c r="P345" s="25">
        <f>IF(C345="","",SUMIFS(Analytics!$U$5:$U$154,Analytics!$C$5:$C$154,C345))</f>
        <v>0</v>
      </c>
      <c r="Q345" s="25">
        <f>IF(C345="","",SUMIFS(Budget!$H$5:$H$64,Budget!$C$5:$C$64,C345))</f>
        <v>0</v>
      </c>
      <c r="R345" s="25">
        <f>IF(C345="","",P345-Q345)</f>
        <v>0</v>
      </c>
      <c r="S345" s="23">
        <f>IF(C345="","",MonthlyPostTarget)</f>
        <v>0</v>
      </c>
      <c r="T345" s="17">
        <f>IF(Lists!$C345="","",Lists!$C345)</f>
        <v>0</v>
      </c>
      <c r="U345" s="23">
        <f>IF(T345="","",COUNTIFS('Content Calendar'!$G$5:$G$604,T345,'Content Calendar'!$B$5:$B$604,"&gt;="&amp;DashStart,'Content Calendar'!$B$5:$B$604,"&lt;="&amp;DashEnd))</f>
        <v>0</v>
      </c>
      <c r="V345" s="23">
        <f>IF(T345="","",COUNTIFS('Content Calendar'!$G$5:$G$604,T345,'Content Calendar'!$X$5:$X$604,"Published",'Content Calendar'!$B$5:$B$604,"&gt;="&amp;DashStart,'Content Calendar'!$B$5:$B$604,"&lt;="&amp;DashEnd))</f>
        <v>0</v>
      </c>
      <c r="W345" s="23">
        <f>IF(T345="","",SUMIFS(Analytics!$J$5:$J$154,Analytics!$D$5:$D$154,T345,Analytics!$B$5:$B$154,"&gt;="&amp;DashStart,Analytics!$B$5:$B$154,"&lt;="&amp;DashEnd))</f>
        <v>0</v>
      </c>
      <c r="X345" s="23">
        <f>IF(T345="","",SUMIFS(Analytics!$L$5:$L$154,Analytics!$D$5:$D$154,T345,Analytics!$B$5:$B$154,"&gt;="&amp;DashStart,Analytics!$B$5:$B$154,"&lt;="&amp;DashEnd))</f>
        <v>0</v>
      </c>
      <c r="Y345" s="24">
        <f>IF(OR(W345="",W345=0),"",X345/W345)</f>
        <v>0</v>
      </c>
      <c r="Z345" s="23">
        <f>IF(T345="","",SUMIFS(Analytics!$G$5:$G$154,Analytics!$D$5:$D$154,T345,Analytics!$B$5:$B$154,"&gt;="&amp;DashStart,Analytics!$B$5:$B$154,"&lt;="&amp;DashEnd))</f>
        <v>0</v>
      </c>
      <c r="AA345" s="23">
        <f>IF(T345="","",SUMIFS(Analytics!$X$5:$X$154,Analytics!$D$5:$D$154,T345,Analytics!$B$5:$B$154,"&gt;="&amp;DashStart,Analytics!$B$5:$B$154,"&lt;="&amp;DashEnd))</f>
        <v>0</v>
      </c>
      <c r="AB345" s="23">
        <f>IF(T345="","",SUMIFS(Analytics!$R$5:$R$154,Analytics!$D$5:$D$154,T345,Analytics!$B$5:$B$154,"&gt;="&amp;DashStart,Analytics!$B$5:$B$154,"&lt;="&amp;DashEnd))</f>
        <v>0</v>
      </c>
      <c r="AC345" s="25">
        <f>IF(T345="","",SUMIFS(Analytics!$U$5:$U$154,Analytics!$D$5:$D$154,T345,Analytics!$B$5:$B$154,"&gt;="&amp;DashStart,Analytics!$B$5:$B$154,"&lt;="&amp;DashEnd))</f>
        <v>0</v>
      </c>
      <c r="AD345" s="23">
        <f>IF(T345="","",COUNTIFS('Content Calendar'!$G$5:$G$604,T345,'Content Calendar'!$B$5:$B$604,"&gt;="&amp;DATE(PlanYear,1,1),'Content Calendar'!$B$5:$B$604,"&lt;="&amp;DATE(PlanYear,12,31)))</f>
        <v>0</v>
      </c>
      <c r="AE345" s="23">
        <f>IF(T345="","",SUMIFS(Analytics!$J$5:$J$154,Analytics!$D$5:$D$154,T345))</f>
        <v>0</v>
      </c>
      <c r="AF345" s="23">
        <f>IF(T345="","",SUMIFS(Analytics!$L$5:$L$154,Analytics!$D$5:$D$154,T345))</f>
        <v>0</v>
      </c>
      <c r="AG345" s="24">
        <f>IF(OR(AE345="",AE345=0),"",AF345/AE345)</f>
        <v>0</v>
      </c>
      <c r="AH345" s="23">
        <f>IF(T345="","",SUMIFS(Analytics!$X$5:$X$154,Analytics!$D$5:$D$154,T345))</f>
        <v>0</v>
      </c>
      <c r="AI345" s="32">
        <f>IF(T345="","",IF(AE345=0,"",AE345+ROW()/1000000))</f>
        <v>0</v>
      </c>
      <c r="AJ345" s="17">
        <f>IF('Content Pillars'!$B$345="","",'Content Pillars'!$B$345)</f>
        <v>0</v>
      </c>
      <c r="AK345" s="23">
        <f>IF(AJ345="","",COUNTIFS('Content Calendar'!$J$5:$J$604,AJ345,'Content Calendar'!$B$5:$B$604,"&gt;="&amp;DATE(PlanYear,1,1),'Content Calendar'!$B$5:$B$604,"&lt;="&amp;DATE(PlanYear,12,31)))</f>
        <v>0</v>
      </c>
      <c r="AL345" s="23">
        <f>IF(AJ345="","",SUMIFS(Performance!$O$5:$O$404,Performance!$H$5:$H$404,AJ345))</f>
        <v>0</v>
      </c>
      <c r="AM345" s="23">
        <f>IF(AJ345="","",SUMIFS(Performance!$Z$5:$Z$404,Performance!$H$5:$H$404,AJ345))</f>
        <v>0</v>
      </c>
      <c r="AN345" s="24">
        <f>IF(OR(AL345="",AL345=0),"",AM345/AL345)</f>
        <v>0</v>
      </c>
      <c r="AO345" s="32">
        <f>IF(AN345="","",AN345+ROW()/1000000)</f>
        <v>0</v>
      </c>
      <c r="AP345" s="17">
        <f>IF(Lists!$E345="","",Lists!$E345)</f>
        <v>0</v>
      </c>
      <c r="AQ345" s="23">
        <f>IF(AP345="","",COUNTIF(Performance!$G$5:$G$404,AP345))</f>
        <v>0</v>
      </c>
      <c r="AR345" s="23">
        <f>IF(AP345="","",SUMIFS(Performance!$O$5:$O$404,Performance!$G$5:$G$404,AP345))</f>
        <v>0</v>
      </c>
      <c r="AS345" s="23">
        <f>IF(AP345="","",SUMIFS(Performance!$Z$5:$Z$404,Performance!$G$5:$G$404,AP345))</f>
        <v>0</v>
      </c>
      <c r="AT345" s="24">
        <f>IF(OR(AR345="",AR345=0),"",AS345/AR345)</f>
        <v>0</v>
      </c>
      <c r="AU345" s="32">
        <f>IF(AQ345=0,"",IF(AT345="","",AT345+ROW()/1000000))</f>
        <v>0</v>
      </c>
      <c r="AV345" s="17">
        <f>IF(ROW()-4&gt;7,"",TEXT(DATE(2024,1,ROW()-4),"ddd"))</f>
        <v>0</v>
      </c>
      <c r="AW345" s="23">
        <f>IF(AV345="","",COUNTIF(Performance!$N$5:$N$404,AV345))</f>
        <v>0</v>
      </c>
      <c r="AX345" s="23">
        <f>IF(AV345="","",SUMIFS(Performance!$O$5:$O$404,Performance!$N$5:$N$404,AV345))</f>
        <v>0</v>
      </c>
      <c r="AY345" s="23">
        <f>IF(AV345="","",SUMIFS(Performance!$Z$5:$Z$404,Performance!$N$5:$N$404,AV345))</f>
        <v>0</v>
      </c>
      <c r="AZ345" s="24">
        <f>IF(OR(AX345="",AX345=0),"",AY345/AX345)</f>
        <v>0</v>
      </c>
      <c r="BA345" s="32">
        <f>IF(AW345=0,"",IF(AZ345="","",AZ345+ROW()/1000000))</f>
        <v>0</v>
      </c>
      <c r="BB345" s="17">
        <f>IF(Lists!$AL345="","",Lists!$AL345)</f>
        <v>0</v>
      </c>
      <c r="BC345" s="23">
        <f>IF(BB345="","",COUNTIF(Performance!$M$5:$M$404,BB345))</f>
        <v>0</v>
      </c>
      <c r="BD345" s="23">
        <f>IF(BB345="","",SUMIFS(Performance!$O$5:$O$404,Performance!$M$5:$M$404,BB345))</f>
        <v>0</v>
      </c>
      <c r="BE345" s="23">
        <f>IF(BB345="","",SUMIFS(Performance!$Z$5:$Z$404,Performance!$M$5:$M$404,BB345))</f>
        <v>0</v>
      </c>
      <c r="BF345" s="24">
        <f>IF(OR(BD345="",BD345=0),"",BE345/BD345)</f>
        <v>0</v>
      </c>
      <c r="BG345" s="32">
        <f>IF(BC345=0,"",IF(BF345="","",BF345+ROW()/1000000))</f>
        <v>0</v>
      </c>
      <c r="BH345" s="17">
        <f>IF(Performance!$C$345="","",Performance!$C$345)</f>
        <v>0</v>
      </c>
      <c r="BI345" s="17">
        <f>IF(Performance!$F$345="","",Performance!$F$345)</f>
        <v>0</v>
      </c>
      <c r="BJ345" s="17">
        <f>IF(Performance!$H$345="","",Performance!$H$345)</f>
        <v>0</v>
      </c>
      <c r="BK345" s="16">
        <f>IF(Performance!$D$345="","",Performance!$D$345)</f>
        <v>0</v>
      </c>
      <c r="BL345" s="17">
        <f>IF(Performance!$E$345="","",Performance!$E$345)</f>
        <v>0</v>
      </c>
      <c r="BM345" s="23">
        <f>IF(Performance!$O$345="","",Performance!$O$345)</f>
        <v>0</v>
      </c>
      <c r="BN345" s="24">
        <f>IF(Performance!$AA$345="","",Performance!$AA$345)</f>
        <v>0</v>
      </c>
      <c r="BO345" s="32">
        <f>IF(BH345="","",IF(BK345="","",IF(OR(BK345&lt;DashStart,BK345&gt;DashEnd),"",IF(BN345="","",BN345+ROW()/1000000))))</f>
        <v>0</v>
      </c>
      <c r="BP345" s="32">
        <f>IF(BM345="","",IF(BK345="","",IF(OR(BK345&lt;DashStart,BK345&gt;DashEnd),"",BM345+ROW()/1000000)))</f>
        <v>0</v>
      </c>
      <c r="BQ345" s="32">
        <f>IF(BH345="","",IF(BK345="","",IF(YEAR(BK345)&lt;&gt;PlanYear,"",IF(BN345="","",BN345+ROW()/1000000))))</f>
        <v>0</v>
      </c>
      <c r="BR345" s="32">
        <f>IF(BH345="","",IF(BK345="","",IF(OR(BK345&lt;RepFrom,BK345&gt;RepTo),"",IF(BN345="","",BN345+ROW()/1000000))))</f>
        <v>0</v>
      </c>
      <c r="BS345" s="32">
        <f>IF(BM345="","",IF(BK345="","",IF(YEAR(BK345)&lt;&gt;PlanYear,"",BM345+ROW()/1000000)))</f>
        <v>0</v>
      </c>
      <c r="BT345" s="17">
        <f>IF(Lists!$F345="","",Lists!$F345)</f>
        <v>0</v>
      </c>
      <c r="BU345" s="23">
        <f>IF(BT345="","",COUNTIF('Content Calendar'!$X$5:$X$604,BT345))</f>
        <v>0</v>
      </c>
      <c r="BV345" s="23">
        <f>IF(BT345="","",COUNTIFS('Content Calendar'!$X$5:$X$604,BT345,'Content Calendar'!$B$5:$B$604,"&gt;="&amp;DashStart,'Content Calendar'!$B$5:$B$604,"&lt;="&amp;DashEnd))</f>
        <v>0</v>
      </c>
      <c r="BW345" s="17">
        <f>IF(Team!$B$345="","",Team!$B$345)</f>
        <v>0</v>
      </c>
      <c r="BX345" s="23">
        <f>IF(BW345="","",COUNTIF('Content Calendar'!$W$5:$W$604,BW345))</f>
        <v>0</v>
      </c>
      <c r="BY345" s="23">
        <f>IF(BW345="","",COUNTIFS('Content Calendar'!$W$5:$W$604,BW345,'Content Calendar'!$X$5:$X$604,"&lt;&gt;Published"))</f>
        <v>0</v>
      </c>
      <c r="BZ345" s="23">
        <f>IF(BW345="","",COUNTIFS(Tasks!$C$5:$C$64,BW345,Tasks!$G$5:$G$64,"&lt;&gt;Complete"))</f>
        <v>0</v>
      </c>
      <c r="CA345" s="17">
        <f>IF(Campaigns!$B$345="","",Campaigns!$B$345)</f>
        <v>0</v>
      </c>
      <c r="CB345" s="25">
        <f>IF(Campaigns!$T$345="","",Campaigns!$T$345)</f>
        <v>0</v>
      </c>
      <c r="CC345" s="25">
        <f>IF(Campaigns!$Q$345="","",Campaigns!$Q$345)</f>
        <v>0</v>
      </c>
      <c r="CD345" s="23">
        <f>IF(Campaigns!$Y$345="","",Campaigns!$Y$345)</f>
        <v>0</v>
      </c>
      <c r="CE345" s="32">
        <f>IF(CA345="","",IF(N(CB345)&lt;=0,"",N(CB345)+ROW()/1000000))</f>
        <v>0</v>
      </c>
      <c r="CF345" s="17">
        <f>IF(Accounts!$C$345="","",Accounts!$C$345)</f>
        <v>0</v>
      </c>
      <c r="CG345" s="17">
        <f>IF(Accounts!$B$345="","",Accounts!$B$345)</f>
        <v>0</v>
      </c>
      <c r="CH345" s="23">
        <f>IF(Accounts!$J$345="","",Accounts!$J$345)</f>
        <v>0</v>
      </c>
      <c r="CI345" s="23">
        <f>IF(CF345="","",SUMIFS(Analytics!$X$5:$X$154,Analytics!$E$5:$E$154,CF345,Analytics!$B$5:$B$154,"&gt;="&amp;DashStart,Analytics!$B$5:$B$154,"&lt;="&amp;DashEnd))</f>
        <v>0</v>
      </c>
      <c r="CJ345" s="32">
        <f>IF(CH345="","",IF(CH345=0,"",CH345+ROW()/1000000))</f>
        <v>0</v>
      </c>
    </row>
    <row r="346" spans="1:88">
      <c r="A346" s="16">
        <f>IF(ROW()-4&gt;12,"",DATE(PlanYear,ROW()-4,1))</f>
        <v>0</v>
      </c>
      <c r="B346" s="16">
        <f>IF(A346="","",EOMONTH(A346,0))</f>
        <v>0</v>
      </c>
      <c r="C346" s="17">
        <f>IF(A346="","",TEXT(A346,"yyyy-mm"))</f>
        <v>0</v>
      </c>
      <c r="D346" s="17">
        <f>IF(A346="","",TEXT(A346,"mmm"))</f>
        <v>0</v>
      </c>
      <c r="E346" s="23">
        <f>IF(C346="","",COUNTIFS('Content Calendar'!$D$5:$D$604,C346))</f>
        <v>0</v>
      </c>
      <c r="F346" s="23">
        <f>IF(C346="","",COUNTIFS('Content Calendar'!$D$5:$D$604,C346,'Content Calendar'!$X$5:$X$604,"Published"))</f>
        <v>0</v>
      </c>
      <c r="G346" s="23">
        <f>IF(C346="","",SUMIFS(Analytics!$J$5:$J$154,Analytics!$C$5:$C$154,C346))</f>
        <v>0</v>
      </c>
      <c r="H346" s="23">
        <f>IF(C346="","",SUMIFS(Analytics!$K$5:$K$154,Analytics!$C$5:$C$154,C346))</f>
        <v>0</v>
      </c>
      <c r="I346" s="23">
        <f>IF(C346="","",SUMIFS(Analytics!$L$5:$L$154,Analytics!$C$5:$C$154,C346))</f>
        <v>0</v>
      </c>
      <c r="J346" s="24">
        <f>IF(OR(G346="",G346=0),"",I346/G346)</f>
        <v>0</v>
      </c>
      <c r="K346" s="23">
        <f>IF(C346="","",SUMIFS(Analytics!$G$5:$G$154,Analytics!$C$5:$C$154,C346))</f>
        <v>0</v>
      </c>
      <c r="L346" s="23">
        <f>IF(C346="","",SUMIFS(Analytics!$X$5:$X$154,Analytics!$C$5:$C$154,C346))</f>
        <v>0</v>
      </c>
      <c r="M346" s="23">
        <f>IF(C346="","",SUMIFS(Analytics!$R$5:$R$154,Analytics!$C$5:$C$154,C346))</f>
        <v>0</v>
      </c>
      <c r="N346" s="23">
        <f>IF(C346="","",SUMIFS(Analytics!$S$5:$S$154,Analytics!$C$5:$C$154,C346))</f>
        <v>0</v>
      </c>
      <c r="O346" s="23">
        <f>IF(C346="","",SUMIFS(Analytics!$T$5:$T$154,Analytics!$C$5:$C$154,C346))</f>
        <v>0</v>
      </c>
      <c r="P346" s="25">
        <f>IF(C346="","",SUMIFS(Analytics!$U$5:$U$154,Analytics!$C$5:$C$154,C346))</f>
        <v>0</v>
      </c>
      <c r="Q346" s="25">
        <f>IF(C346="","",SUMIFS(Budget!$H$5:$H$64,Budget!$C$5:$C$64,C346))</f>
        <v>0</v>
      </c>
      <c r="R346" s="25">
        <f>IF(C346="","",P346-Q346)</f>
        <v>0</v>
      </c>
      <c r="S346" s="23">
        <f>IF(C346="","",MonthlyPostTarget)</f>
        <v>0</v>
      </c>
      <c r="T346" s="17">
        <f>IF(Lists!$C346="","",Lists!$C346)</f>
        <v>0</v>
      </c>
      <c r="U346" s="23">
        <f>IF(T346="","",COUNTIFS('Content Calendar'!$G$5:$G$604,T346,'Content Calendar'!$B$5:$B$604,"&gt;="&amp;DashStart,'Content Calendar'!$B$5:$B$604,"&lt;="&amp;DashEnd))</f>
        <v>0</v>
      </c>
      <c r="V346" s="23">
        <f>IF(T346="","",COUNTIFS('Content Calendar'!$G$5:$G$604,T346,'Content Calendar'!$X$5:$X$604,"Published",'Content Calendar'!$B$5:$B$604,"&gt;="&amp;DashStart,'Content Calendar'!$B$5:$B$604,"&lt;="&amp;DashEnd))</f>
        <v>0</v>
      </c>
      <c r="W346" s="23">
        <f>IF(T346="","",SUMIFS(Analytics!$J$5:$J$154,Analytics!$D$5:$D$154,T346,Analytics!$B$5:$B$154,"&gt;="&amp;DashStart,Analytics!$B$5:$B$154,"&lt;="&amp;DashEnd))</f>
        <v>0</v>
      </c>
      <c r="X346" s="23">
        <f>IF(T346="","",SUMIFS(Analytics!$L$5:$L$154,Analytics!$D$5:$D$154,T346,Analytics!$B$5:$B$154,"&gt;="&amp;DashStart,Analytics!$B$5:$B$154,"&lt;="&amp;DashEnd))</f>
        <v>0</v>
      </c>
      <c r="Y346" s="24">
        <f>IF(OR(W346="",W346=0),"",X346/W346)</f>
        <v>0</v>
      </c>
      <c r="Z346" s="23">
        <f>IF(T346="","",SUMIFS(Analytics!$G$5:$G$154,Analytics!$D$5:$D$154,T346,Analytics!$B$5:$B$154,"&gt;="&amp;DashStart,Analytics!$B$5:$B$154,"&lt;="&amp;DashEnd))</f>
        <v>0</v>
      </c>
      <c r="AA346" s="23">
        <f>IF(T346="","",SUMIFS(Analytics!$X$5:$X$154,Analytics!$D$5:$D$154,T346,Analytics!$B$5:$B$154,"&gt;="&amp;DashStart,Analytics!$B$5:$B$154,"&lt;="&amp;DashEnd))</f>
        <v>0</v>
      </c>
      <c r="AB346" s="23">
        <f>IF(T346="","",SUMIFS(Analytics!$R$5:$R$154,Analytics!$D$5:$D$154,T346,Analytics!$B$5:$B$154,"&gt;="&amp;DashStart,Analytics!$B$5:$B$154,"&lt;="&amp;DashEnd))</f>
        <v>0</v>
      </c>
      <c r="AC346" s="25">
        <f>IF(T346="","",SUMIFS(Analytics!$U$5:$U$154,Analytics!$D$5:$D$154,T346,Analytics!$B$5:$B$154,"&gt;="&amp;DashStart,Analytics!$B$5:$B$154,"&lt;="&amp;DashEnd))</f>
        <v>0</v>
      </c>
      <c r="AD346" s="23">
        <f>IF(T346="","",COUNTIFS('Content Calendar'!$G$5:$G$604,T346,'Content Calendar'!$B$5:$B$604,"&gt;="&amp;DATE(PlanYear,1,1),'Content Calendar'!$B$5:$B$604,"&lt;="&amp;DATE(PlanYear,12,31)))</f>
        <v>0</v>
      </c>
      <c r="AE346" s="23">
        <f>IF(T346="","",SUMIFS(Analytics!$J$5:$J$154,Analytics!$D$5:$D$154,T346))</f>
        <v>0</v>
      </c>
      <c r="AF346" s="23">
        <f>IF(T346="","",SUMIFS(Analytics!$L$5:$L$154,Analytics!$D$5:$D$154,T346))</f>
        <v>0</v>
      </c>
      <c r="AG346" s="24">
        <f>IF(OR(AE346="",AE346=0),"",AF346/AE346)</f>
        <v>0</v>
      </c>
      <c r="AH346" s="23">
        <f>IF(T346="","",SUMIFS(Analytics!$X$5:$X$154,Analytics!$D$5:$D$154,T346))</f>
        <v>0</v>
      </c>
      <c r="AI346" s="32">
        <f>IF(T346="","",IF(AE346=0,"",AE346+ROW()/1000000))</f>
        <v>0</v>
      </c>
      <c r="AJ346" s="17">
        <f>IF('Content Pillars'!$B$346="","",'Content Pillars'!$B$346)</f>
        <v>0</v>
      </c>
      <c r="AK346" s="23">
        <f>IF(AJ346="","",COUNTIFS('Content Calendar'!$J$5:$J$604,AJ346,'Content Calendar'!$B$5:$B$604,"&gt;="&amp;DATE(PlanYear,1,1),'Content Calendar'!$B$5:$B$604,"&lt;="&amp;DATE(PlanYear,12,31)))</f>
        <v>0</v>
      </c>
      <c r="AL346" s="23">
        <f>IF(AJ346="","",SUMIFS(Performance!$O$5:$O$404,Performance!$H$5:$H$404,AJ346))</f>
        <v>0</v>
      </c>
      <c r="AM346" s="23">
        <f>IF(AJ346="","",SUMIFS(Performance!$Z$5:$Z$404,Performance!$H$5:$H$404,AJ346))</f>
        <v>0</v>
      </c>
      <c r="AN346" s="24">
        <f>IF(OR(AL346="",AL346=0),"",AM346/AL346)</f>
        <v>0</v>
      </c>
      <c r="AO346" s="32">
        <f>IF(AN346="","",AN346+ROW()/1000000)</f>
        <v>0</v>
      </c>
      <c r="AP346" s="17">
        <f>IF(Lists!$E346="","",Lists!$E346)</f>
        <v>0</v>
      </c>
      <c r="AQ346" s="23">
        <f>IF(AP346="","",COUNTIF(Performance!$G$5:$G$404,AP346))</f>
        <v>0</v>
      </c>
      <c r="AR346" s="23">
        <f>IF(AP346="","",SUMIFS(Performance!$O$5:$O$404,Performance!$G$5:$G$404,AP346))</f>
        <v>0</v>
      </c>
      <c r="AS346" s="23">
        <f>IF(AP346="","",SUMIFS(Performance!$Z$5:$Z$404,Performance!$G$5:$G$404,AP346))</f>
        <v>0</v>
      </c>
      <c r="AT346" s="24">
        <f>IF(OR(AR346="",AR346=0),"",AS346/AR346)</f>
        <v>0</v>
      </c>
      <c r="AU346" s="32">
        <f>IF(AQ346=0,"",IF(AT346="","",AT346+ROW()/1000000))</f>
        <v>0</v>
      </c>
      <c r="AV346" s="17">
        <f>IF(ROW()-4&gt;7,"",TEXT(DATE(2024,1,ROW()-4),"ddd"))</f>
        <v>0</v>
      </c>
      <c r="AW346" s="23">
        <f>IF(AV346="","",COUNTIF(Performance!$N$5:$N$404,AV346))</f>
        <v>0</v>
      </c>
      <c r="AX346" s="23">
        <f>IF(AV346="","",SUMIFS(Performance!$O$5:$O$404,Performance!$N$5:$N$404,AV346))</f>
        <v>0</v>
      </c>
      <c r="AY346" s="23">
        <f>IF(AV346="","",SUMIFS(Performance!$Z$5:$Z$404,Performance!$N$5:$N$404,AV346))</f>
        <v>0</v>
      </c>
      <c r="AZ346" s="24">
        <f>IF(OR(AX346="",AX346=0),"",AY346/AX346)</f>
        <v>0</v>
      </c>
      <c r="BA346" s="32">
        <f>IF(AW346=0,"",IF(AZ346="","",AZ346+ROW()/1000000))</f>
        <v>0</v>
      </c>
      <c r="BB346" s="17">
        <f>IF(Lists!$AL346="","",Lists!$AL346)</f>
        <v>0</v>
      </c>
      <c r="BC346" s="23">
        <f>IF(BB346="","",COUNTIF(Performance!$M$5:$M$404,BB346))</f>
        <v>0</v>
      </c>
      <c r="BD346" s="23">
        <f>IF(BB346="","",SUMIFS(Performance!$O$5:$O$404,Performance!$M$5:$M$404,BB346))</f>
        <v>0</v>
      </c>
      <c r="BE346" s="23">
        <f>IF(BB346="","",SUMIFS(Performance!$Z$5:$Z$404,Performance!$M$5:$M$404,BB346))</f>
        <v>0</v>
      </c>
      <c r="BF346" s="24">
        <f>IF(OR(BD346="",BD346=0),"",BE346/BD346)</f>
        <v>0</v>
      </c>
      <c r="BG346" s="32">
        <f>IF(BC346=0,"",IF(BF346="","",BF346+ROW()/1000000))</f>
        <v>0</v>
      </c>
      <c r="BH346" s="17">
        <f>IF(Performance!$C$346="","",Performance!$C$346)</f>
        <v>0</v>
      </c>
      <c r="BI346" s="17">
        <f>IF(Performance!$F$346="","",Performance!$F$346)</f>
        <v>0</v>
      </c>
      <c r="BJ346" s="17">
        <f>IF(Performance!$H$346="","",Performance!$H$346)</f>
        <v>0</v>
      </c>
      <c r="BK346" s="16">
        <f>IF(Performance!$D$346="","",Performance!$D$346)</f>
        <v>0</v>
      </c>
      <c r="BL346" s="17">
        <f>IF(Performance!$E$346="","",Performance!$E$346)</f>
        <v>0</v>
      </c>
      <c r="BM346" s="23">
        <f>IF(Performance!$O$346="","",Performance!$O$346)</f>
        <v>0</v>
      </c>
      <c r="BN346" s="24">
        <f>IF(Performance!$AA$346="","",Performance!$AA$346)</f>
        <v>0</v>
      </c>
      <c r="BO346" s="32">
        <f>IF(BH346="","",IF(BK346="","",IF(OR(BK346&lt;DashStart,BK346&gt;DashEnd),"",IF(BN346="","",BN346+ROW()/1000000))))</f>
        <v>0</v>
      </c>
      <c r="BP346" s="32">
        <f>IF(BM346="","",IF(BK346="","",IF(OR(BK346&lt;DashStart,BK346&gt;DashEnd),"",BM346+ROW()/1000000)))</f>
        <v>0</v>
      </c>
      <c r="BQ346" s="32">
        <f>IF(BH346="","",IF(BK346="","",IF(YEAR(BK346)&lt;&gt;PlanYear,"",IF(BN346="","",BN346+ROW()/1000000))))</f>
        <v>0</v>
      </c>
      <c r="BR346" s="32">
        <f>IF(BH346="","",IF(BK346="","",IF(OR(BK346&lt;RepFrom,BK346&gt;RepTo),"",IF(BN346="","",BN346+ROW()/1000000))))</f>
        <v>0</v>
      </c>
      <c r="BS346" s="32">
        <f>IF(BM346="","",IF(BK346="","",IF(YEAR(BK346)&lt;&gt;PlanYear,"",BM346+ROW()/1000000)))</f>
        <v>0</v>
      </c>
      <c r="BT346" s="17">
        <f>IF(Lists!$F346="","",Lists!$F346)</f>
        <v>0</v>
      </c>
      <c r="BU346" s="23">
        <f>IF(BT346="","",COUNTIF('Content Calendar'!$X$5:$X$604,BT346))</f>
        <v>0</v>
      </c>
      <c r="BV346" s="23">
        <f>IF(BT346="","",COUNTIFS('Content Calendar'!$X$5:$X$604,BT346,'Content Calendar'!$B$5:$B$604,"&gt;="&amp;DashStart,'Content Calendar'!$B$5:$B$604,"&lt;="&amp;DashEnd))</f>
        <v>0</v>
      </c>
      <c r="BW346" s="17">
        <f>IF(Team!$B$346="","",Team!$B$346)</f>
        <v>0</v>
      </c>
      <c r="BX346" s="23">
        <f>IF(BW346="","",COUNTIF('Content Calendar'!$W$5:$W$604,BW346))</f>
        <v>0</v>
      </c>
      <c r="BY346" s="23">
        <f>IF(BW346="","",COUNTIFS('Content Calendar'!$W$5:$W$604,BW346,'Content Calendar'!$X$5:$X$604,"&lt;&gt;Published"))</f>
        <v>0</v>
      </c>
      <c r="BZ346" s="23">
        <f>IF(BW346="","",COUNTIFS(Tasks!$C$5:$C$64,BW346,Tasks!$G$5:$G$64,"&lt;&gt;Complete"))</f>
        <v>0</v>
      </c>
      <c r="CA346" s="17">
        <f>IF(Campaigns!$B$346="","",Campaigns!$B$346)</f>
        <v>0</v>
      </c>
      <c r="CB346" s="25">
        <f>IF(Campaigns!$T$346="","",Campaigns!$T$346)</f>
        <v>0</v>
      </c>
      <c r="CC346" s="25">
        <f>IF(Campaigns!$Q$346="","",Campaigns!$Q$346)</f>
        <v>0</v>
      </c>
      <c r="CD346" s="23">
        <f>IF(Campaigns!$Y$346="","",Campaigns!$Y$346)</f>
        <v>0</v>
      </c>
      <c r="CE346" s="32">
        <f>IF(CA346="","",IF(N(CB346)&lt;=0,"",N(CB346)+ROW()/1000000))</f>
        <v>0</v>
      </c>
      <c r="CF346" s="17">
        <f>IF(Accounts!$C$346="","",Accounts!$C$346)</f>
        <v>0</v>
      </c>
      <c r="CG346" s="17">
        <f>IF(Accounts!$B$346="","",Accounts!$B$346)</f>
        <v>0</v>
      </c>
      <c r="CH346" s="23">
        <f>IF(Accounts!$J$346="","",Accounts!$J$346)</f>
        <v>0</v>
      </c>
      <c r="CI346" s="23">
        <f>IF(CF346="","",SUMIFS(Analytics!$X$5:$X$154,Analytics!$E$5:$E$154,CF346,Analytics!$B$5:$B$154,"&gt;="&amp;DashStart,Analytics!$B$5:$B$154,"&lt;="&amp;DashEnd))</f>
        <v>0</v>
      </c>
      <c r="CJ346" s="32">
        <f>IF(CH346="","",IF(CH346=0,"",CH346+ROW()/1000000))</f>
        <v>0</v>
      </c>
    </row>
    <row r="347" spans="1:88">
      <c r="A347" s="16">
        <f>IF(ROW()-4&gt;12,"",DATE(PlanYear,ROW()-4,1))</f>
        <v>0</v>
      </c>
      <c r="B347" s="16">
        <f>IF(A347="","",EOMONTH(A347,0))</f>
        <v>0</v>
      </c>
      <c r="C347" s="17">
        <f>IF(A347="","",TEXT(A347,"yyyy-mm"))</f>
        <v>0</v>
      </c>
      <c r="D347" s="17">
        <f>IF(A347="","",TEXT(A347,"mmm"))</f>
        <v>0</v>
      </c>
      <c r="E347" s="23">
        <f>IF(C347="","",COUNTIFS('Content Calendar'!$D$5:$D$604,C347))</f>
        <v>0</v>
      </c>
      <c r="F347" s="23">
        <f>IF(C347="","",COUNTIFS('Content Calendar'!$D$5:$D$604,C347,'Content Calendar'!$X$5:$X$604,"Published"))</f>
        <v>0</v>
      </c>
      <c r="G347" s="23">
        <f>IF(C347="","",SUMIFS(Analytics!$J$5:$J$154,Analytics!$C$5:$C$154,C347))</f>
        <v>0</v>
      </c>
      <c r="H347" s="23">
        <f>IF(C347="","",SUMIFS(Analytics!$K$5:$K$154,Analytics!$C$5:$C$154,C347))</f>
        <v>0</v>
      </c>
      <c r="I347" s="23">
        <f>IF(C347="","",SUMIFS(Analytics!$L$5:$L$154,Analytics!$C$5:$C$154,C347))</f>
        <v>0</v>
      </c>
      <c r="J347" s="24">
        <f>IF(OR(G347="",G347=0),"",I347/G347)</f>
        <v>0</v>
      </c>
      <c r="K347" s="23">
        <f>IF(C347="","",SUMIFS(Analytics!$G$5:$G$154,Analytics!$C$5:$C$154,C347))</f>
        <v>0</v>
      </c>
      <c r="L347" s="23">
        <f>IF(C347="","",SUMIFS(Analytics!$X$5:$X$154,Analytics!$C$5:$C$154,C347))</f>
        <v>0</v>
      </c>
      <c r="M347" s="23">
        <f>IF(C347="","",SUMIFS(Analytics!$R$5:$R$154,Analytics!$C$5:$C$154,C347))</f>
        <v>0</v>
      </c>
      <c r="N347" s="23">
        <f>IF(C347="","",SUMIFS(Analytics!$S$5:$S$154,Analytics!$C$5:$C$154,C347))</f>
        <v>0</v>
      </c>
      <c r="O347" s="23">
        <f>IF(C347="","",SUMIFS(Analytics!$T$5:$T$154,Analytics!$C$5:$C$154,C347))</f>
        <v>0</v>
      </c>
      <c r="P347" s="25">
        <f>IF(C347="","",SUMIFS(Analytics!$U$5:$U$154,Analytics!$C$5:$C$154,C347))</f>
        <v>0</v>
      </c>
      <c r="Q347" s="25">
        <f>IF(C347="","",SUMIFS(Budget!$H$5:$H$64,Budget!$C$5:$C$64,C347))</f>
        <v>0</v>
      </c>
      <c r="R347" s="25">
        <f>IF(C347="","",P347-Q347)</f>
        <v>0</v>
      </c>
      <c r="S347" s="23">
        <f>IF(C347="","",MonthlyPostTarget)</f>
        <v>0</v>
      </c>
      <c r="T347" s="17">
        <f>IF(Lists!$C347="","",Lists!$C347)</f>
        <v>0</v>
      </c>
      <c r="U347" s="23">
        <f>IF(T347="","",COUNTIFS('Content Calendar'!$G$5:$G$604,T347,'Content Calendar'!$B$5:$B$604,"&gt;="&amp;DashStart,'Content Calendar'!$B$5:$B$604,"&lt;="&amp;DashEnd))</f>
        <v>0</v>
      </c>
      <c r="V347" s="23">
        <f>IF(T347="","",COUNTIFS('Content Calendar'!$G$5:$G$604,T347,'Content Calendar'!$X$5:$X$604,"Published",'Content Calendar'!$B$5:$B$604,"&gt;="&amp;DashStart,'Content Calendar'!$B$5:$B$604,"&lt;="&amp;DashEnd))</f>
        <v>0</v>
      </c>
      <c r="W347" s="23">
        <f>IF(T347="","",SUMIFS(Analytics!$J$5:$J$154,Analytics!$D$5:$D$154,T347,Analytics!$B$5:$B$154,"&gt;="&amp;DashStart,Analytics!$B$5:$B$154,"&lt;="&amp;DashEnd))</f>
        <v>0</v>
      </c>
      <c r="X347" s="23">
        <f>IF(T347="","",SUMIFS(Analytics!$L$5:$L$154,Analytics!$D$5:$D$154,T347,Analytics!$B$5:$B$154,"&gt;="&amp;DashStart,Analytics!$B$5:$B$154,"&lt;="&amp;DashEnd))</f>
        <v>0</v>
      </c>
      <c r="Y347" s="24">
        <f>IF(OR(W347="",W347=0),"",X347/W347)</f>
        <v>0</v>
      </c>
      <c r="Z347" s="23">
        <f>IF(T347="","",SUMIFS(Analytics!$G$5:$G$154,Analytics!$D$5:$D$154,T347,Analytics!$B$5:$B$154,"&gt;="&amp;DashStart,Analytics!$B$5:$B$154,"&lt;="&amp;DashEnd))</f>
        <v>0</v>
      </c>
      <c r="AA347" s="23">
        <f>IF(T347="","",SUMIFS(Analytics!$X$5:$X$154,Analytics!$D$5:$D$154,T347,Analytics!$B$5:$B$154,"&gt;="&amp;DashStart,Analytics!$B$5:$B$154,"&lt;="&amp;DashEnd))</f>
        <v>0</v>
      </c>
      <c r="AB347" s="23">
        <f>IF(T347="","",SUMIFS(Analytics!$R$5:$R$154,Analytics!$D$5:$D$154,T347,Analytics!$B$5:$B$154,"&gt;="&amp;DashStart,Analytics!$B$5:$B$154,"&lt;="&amp;DashEnd))</f>
        <v>0</v>
      </c>
      <c r="AC347" s="25">
        <f>IF(T347="","",SUMIFS(Analytics!$U$5:$U$154,Analytics!$D$5:$D$154,T347,Analytics!$B$5:$B$154,"&gt;="&amp;DashStart,Analytics!$B$5:$B$154,"&lt;="&amp;DashEnd))</f>
        <v>0</v>
      </c>
      <c r="AD347" s="23">
        <f>IF(T347="","",COUNTIFS('Content Calendar'!$G$5:$G$604,T347,'Content Calendar'!$B$5:$B$604,"&gt;="&amp;DATE(PlanYear,1,1),'Content Calendar'!$B$5:$B$604,"&lt;="&amp;DATE(PlanYear,12,31)))</f>
        <v>0</v>
      </c>
      <c r="AE347" s="23">
        <f>IF(T347="","",SUMIFS(Analytics!$J$5:$J$154,Analytics!$D$5:$D$154,T347))</f>
        <v>0</v>
      </c>
      <c r="AF347" s="23">
        <f>IF(T347="","",SUMIFS(Analytics!$L$5:$L$154,Analytics!$D$5:$D$154,T347))</f>
        <v>0</v>
      </c>
      <c r="AG347" s="24">
        <f>IF(OR(AE347="",AE347=0),"",AF347/AE347)</f>
        <v>0</v>
      </c>
      <c r="AH347" s="23">
        <f>IF(T347="","",SUMIFS(Analytics!$X$5:$X$154,Analytics!$D$5:$D$154,T347))</f>
        <v>0</v>
      </c>
      <c r="AI347" s="32">
        <f>IF(T347="","",IF(AE347=0,"",AE347+ROW()/1000000))</f>
        <v>0</v>
      </c>
      <c r="AJ347" s="17">
        <f>IF('Content Pillars'!$B$347="","",'Content Pillars'!$B$347)</f>
        <v>0</v>
      </c>
      <c r="AK347" s="23">
        <f>IF(AJ347="","",COUNTIFS('Content Calendar'!$J$5:$J$604,AJ347,'Content Calendar'!$B$5:$B$604,"&gt;="&amp;DATE(PlanYear,1,1),'Content Calendar'!$B$5:$B$604,"&lt;="&amp;DATE(PlanYear,12,31)))</f>
        <v>0</v>
      </c>
      <c r="AL347" s="23">
        <f>IF(AJ347="","",SUMIFS(Performance!$O$5:$O$404,Performance!$H$5:$H$404,AJ347))</f>
        <v>0</v>
      </c>
      <c r="AM347" s="23">
        <f>IF(AJ347="","",SUMIFS(Performance!$Z$5:$Z$404,Performance!$H$5:$H$404,AJ347))</f>
        <v>0</v>
      </c>
      <c r="AN347" s="24">
        <f>IF(OR(AL347="",AL347=0),"",AM347/AL347)</f>
        <v>0</v>
      </c>
      <c r="AO347" s="32">
        <f>IF(AN347="","",AN347+ROW()/1000000)</f>
        <v>0</v>
      </c>
      <c r="AP347" s="17">
        <f>IF(Lists!$E347="","",Lists!$E347)</f>
        <v>0</v>
      </c>
      <c r="AQ347" s="23">
        <f>IF(AP347="","",COUNTIF(Performance!$G$5:$G$404,AP347))</f>
        <v>0</v>
      </c>
      <c r="AR347" s="23">
        <f>IF(AP347="","",SUMIFS(Performance!$O$5:$O$404,Performance!$G$5:$G$404,AP347))</f>
        <v>0</v>
      </c>
      <c r="AS347" s="23">
        <f>IF(AP347="","",SUMIFS(Performance!$Z$5:$Z$404,Performance!$G$5:$G$404,AP347))</f>
        <v>0</v>
      </c>
      <c r="AT347" s="24">
        <f>IF(OR(AR347="",AR347=0),"",AS347/AR347)</f>
        <v>0</v>
      </c>
      <c r="AU347" s="32">
        <f>IF(AQ347=0,"",IF(AT347="","",AT347+ROW()/1000000))</f>
        <v>0</v>
      </c>
      <c r="AV347" s="17">
        <f>IF(ROW()-4&gt;7,"",TEXT(DATE(2024,1,ROW()-4),"ddd"))</f>
        <v>0</v>
      </c>
      <c r="AW347" s="23">
        <f>IF(AV347="","",COUNTIF(Performance!$N$5:$N$404,AV347))</f>
        <v>0</v>
      </c>
      <c r="AX347" s="23">
        <f>IF(AV347="","",SUMIFS(Performance!$O$5:$O$404,Performance!$N$5:$N$404,AV347))</f>
        <v>0</v>
      </c>
      <c r="AY347" s="23">
        <f>IF(AV347="","",SUMIFS(Performance!$Z$5:$Z$404,Performance!$N$5:$N$404,AV347))</f>
        <v>0</v>
      </c>
      <c r="AZ347" s="24">
        <f>IF(OR(AX347="",AX347=0),"",AY347/AX347)</f>
        <v>0</v>
      </c>
      <c r="BA347" s="32">
        <f>IF(AW347=0,"",IF(AZ347="","",AZ347+ROW()/1000000))</f>
        <v>0</v>
      </c>
      <c r="BB347" s="17">
        <f>IF(Lists!$AL347="","",Lists!$AL347)</f>
        <v>0</v>
      </c>
      <c r="BC347" s="23">
        <f>IF(BB347="","",COUNTIF(Performance!$M$5:$M$404,BB347))</f>
        <v>0</v>
      </c>
      <c r="BD347" s="23">
        <f>IF(BB347="","",SUMIFS(Performance!$O$5:$O$404,Performance!$M$5:$M$404,BB347))</f>
        <v>0</v>
      </c>
      <c r="BE347" s="23">
        <f>IF(BB347="","",SUMIFS(Performance!$Z$5:$Z$404,Performance!$M$5:$M$404,BB347))</f>
        <v>0</v>
      </c>
      <c r="BF347" s="24">
        <f>IF(OR(BD347="",BD347=0),"",BE347/BD347)</f>
        <v>0</v>
      </c>
      <c r="BG347" s="32">
        <f>IF(BC347=0,"",IF(BF347="","",BF347+ROW()/1000000))</f>
        <v>0</v>
      </c>
      <c r="BH347" s="17">
        <f>IF(Performance!$C$347="","",Performance!$C$347)</f>
        <v>0</v>
      </c>
      <c r="BI347" s="17">
        <f>IF(Performance!$F$347="","",Performance!$F$347)</f>
        <v>0</v>
      </c>
      <c r="BJ347" s="17">
        <f>IF(Performance!$H$347="","",Performance!$H$347)</f>
        <v>0</v>
      </c>
      <c r="BK347" s="16">
        <f>IF(Performance!$D$347="","",Performance!$D$347)</f>
        <v>0</v>
      </c>
      <c r="BL347" s="17">
        <f>IF(Performance!$E$347="","",Performance!$E$347)</f>
        <v>0</v>
      </c>
      <c r="BM347" s="23">
        <f>IF(Performance!$O$347="","",Performance!$O$347)</f>
        <v>0</v>
      </c>
      <c r="BN347" s="24">
        <f>IF(Performance!$AA$347="","",Performance!$AA$347)</f>
        <v>0</v>
      </c>
      <c r="BO347" s="32">
        <f>IF(BH347="","",IF(BK347="","",IF(OR(BK347&lt;DashStart,BK347&gt;DashEnd),"",IF(BN347="","",BN347+ROW()/1000000))))</f>
        <v>0</v>
      </c>
      <c r="BP347" s="32">
        <f>IF(BM347="","",IF(BK347="","",IF(OR(BK347&lt;DashStart,BK347&gt;DashEnd),"",BM347+ROW()/1000000)))</f>
        <v>0</v>
      </c>
      <c r="BQ347" s="32">
        <f>IF(BH347="","",IF(BK347="","",IF(YEAR(BK347)&lt;&gt;PlanYear,"",IF(BN347="","",BN347+ROW()/1000000))))</f>
        <v>0</v>
      </c>
      <c r="BR347" s="32">
        <f>IF(BH347="","",IF(BK347="","",IF(OR(BK347&lt;RepFrom,BK347&gt;RepTo),"",IF(BN347="","",BN347+ROW()/1000000))))</f>
        <v>0</v>
      </c>
      <c r="BS347" s="32">
        <f>IF(BM347="","",IF(BK347="","",IF(YEAR(BK347)&lt;&gt;PlanYear,"",BM347+ROW()/1000000)))</f>
        <v>0</v>
      </c>
      <c r="BT347" s="17">
        <f>IF(Lists!$F347="","",Lists!$F347)</f>
        <v>0</v>
      </c>
      <c r="BU347" s="23">
        <f>IF(BT347="","",COUNTIF('Content Calendar'!$X$5:$X$604,BT347))</f>
        <v>0</v>
      </c>
      <c r="BV347" s="23">
        <f>IF(BT347="","",COUNTIFS('Content Calendar'!$X$5:$X$604,BT347,'Content Calendar'!$B$5:$B$604,"&gt;="&amp;DashStart,'Content Calendar'!$B$5:$B$604,"&lt;="&amp;DashEnd))</f>
        <v>0</v>
      </c>
      <c r="BW347" s="17">
        <f>IF(Team!$B$347="","",Team!$B$347)</f>
        <v>0</v>
      </c>
      <c r="BX347" s="23">
        <f>IF(BW347="","",COUNTIF('Content Calendar'!$W$5:$W$604,BW347))</f>
        <v>0</v>
      </c>
      <c r="BY347" s="23">
        <f>IF(BW347="","",COUNTIFS('Content Calendar'!$W$5:$W$604,BW347,'Content Calendar'!$X$5:$X$604,"&lt;&gt;Published"))</f>
        <v>0</v>
      </c>
      <c r="BZ347" s="23">
        <f>IF(BW347="","",COUNTIFS(Tasks!$C$5:$C$64,BW347,Tasks!$G$5:$G$64,"&lt;&gt;Complete"))</f>
        <v>0</v>
      </c>
      <c r="CA347" s="17">
        <f>IF(Campaigns!$B$347="","",Campaigns!$B$347)</f>
        <v>0</v>
      </c>
      <c r="CB347" s="25">
        <f>IF(Campaigns!$T$347="","",Campaigns!$T$347)</f>
        <v>0</v>
      </c>
      <c r="CC347" s="25">
        <f>IF(Campaigns!$Q$347="","",Campaigns!$Q$347)</f>
        <v>0</v>
      </c>
      <c r="CD347" s="23">
        <f>IF(Campaigns!$Y$347="","",Campaigns!$Y$347)</f>
        <v>0</v>
      </c>
      <c r="CE347" s="32">
        <f>IF(CA347="","",IF(N(CB347)&lt;=0,"",N(CB347)+ROW()/1000000))</f>
        <v>0</v>
      </c>
      <c r="CF347" s="17">
        <f>IF(Accounts!$C$347="","",Accounts!$C$347)</f>
        <v>0</v>
      </c>
      <c r="CG347" s="17">
        <f>IF(Accounts!$B$347="","",Accounts!$B$347)</f>
        <v>0</v>
      </c>
      <c r="CH347" s="23">
        <f>IF(Accounts!$J$347="","",Accounts!$J$347)</f>
        <v>0</v>
      </c>
      <c r="CI347" s="23">
        <f>IF(CF347="","",SUMIFS(Analytics!$X$5:$X$154,Analytics!$E$5:$E$154,CF347,Analytics!$B$5:$B$154,"&gt;="&amp;DashStart,Analytics!$B$5:$B$154,"&lt;="&amp;DashEnd))</f>
        <v>0</v>
      </c>
      <c r="CJ347" s="32">
        <f>IF(CH347="","",IF(CH347=0,"",CH347+ROW()/1000000))</f>
        <v>0</v>
      </c>
    </row>
    <row r="348" spans="1:88">
      <c r="A348" s="16">
        <f>IF(ROW()-4&gt;12,"",DATE(PlanYear,ROW()-4,1))</f>
        <v>0</v>
      </c>
      <c r="B348" s="16">
        <f>IF(A348="","",EOMONTH(A348,0))</f>
        <v>0</v>
      </c>
      <c r="C348" s="17">
        <f>IF(A348="","",TEXT(A348,"yyyy-mm"))</f>
        <v>0</v>
      </c>
      <c r="D348" s="17">
        <f>IF(A348="","",TEXT(A348,"mmm"))</f>
        <v>0</v>
      </c>
      <c r="E348" s="23">
        <f>IF(C348="","",COUNTIFS('Content Calendar'!$D$5:$D$604,C348))</f>
        <v>0</v>
      </c>
      <c r="F348" s="23">
        <f>IF(C348="","",COUNTIFS('Content Calendar'!$D$5:$D$604,C348,'Content Calendar'!$X$5:$X$604,"Published"))</f>
        <v>0</v>
      </c>
      <c r="G348" s="23">
        <f>IF(C348="","",SUMIFS(Analytics!$J$5:$J$154,Analytics!$C$5:$C$154,C348))</f>
        <v>0</v>
      </c>
      <c r="H348" s="23">
        <f>IF(C348="","",SUMIFS(Analytics!$K$5:$K$154,Analytics!$C$5:$C$154,C348))</f>
        <v>0</v>
      </c>
      <c r="I348" s="23">
        <f>IF(C348="","",SUMIFS(Analytics!$L$5:$L$154,Analytics!$C$5:$C$154,C348))</f>
        <v>0</v>
      </c>
      <c r="J348" s="24">
        <f>IF(OR(G348="",G348=0),"",I348/G348)</f>
        <v>0</v>
      </c>
      <c r="K348" s="23">
        <f>IF(C348="","",SUMIFS(Analytics!$G$5:$G$154,Analytics!$C$5:$C$154,C348))</f>
        <v>0</v>
      </c>
      <c r="L348" s="23">
        <f>IF(C348="","",SUMIFS(Analytics!$X$5:$X$154,Analytics!$C$5:$C$154,C348))</f>
        <v>0</v>
      </c>
      <c r="M348" s="23">
        <f>IF(C348="","",SUMIFS(Analytics!$R$5:$R$154,Analytics!$C$5:$C$154,C348))</f>
        <v>0</v>
      </c>
      <c r="N348" s="23">
        <f>IF(C348="","",SUMIFS(Analytics!$S$5:$S$154,Analytics!$C$5:$C$154,C348))</f>
        <v>0</v>
      </c>
      <c r="O348" s="23">
        <f>IF(C348="","",SUMIFS(Analytics!$T$5:$T$154,Analytics!$C$5:$C$154,C348))</f>
        <v>0</v>
      </c>
      <c r="P348" s="25">
        <f>IF(C348="","",SUMIFS(Analytics!$U$5:$U$154,Analytics!$C$5:$C$154,C348))</f>
        <v>0</v>
      </c>
      <c r="Q348" s="25">
        <f>IF(C348="","",SUMIFS(Budget!$H$5:$H$64,Budget!$C$5:$C$64,C348))</f>
        <v>0</v>
      </c>
      <c r="R348" s="25">
        <f>IF(C348="","",P348-Q348)</f>
        <v>0</v>
      </c>
      <c r="S348" s="23">
        <f>IF(C348="","",MonthlyPostTarget)</f>
        <v>0</v>
      </c>
      <c r="T348" s="17">
        <f>IF(Lists!$C348="","",Lists!$C348)</f>
        <v>0</v>
      </c>
      <c r="U348" s="23">
        <f>IF(T348="","",COUNTIFS('Content Calendar'!$G$5:$G$604,T348,'Content Calendar'!$B$5:$B$604,"&gt;="&amp;DashStart,'Content Calendar'!$B$5:$B$604,"&lt;="&amp;DashEnd))</f>
        <v>0</v>
      </c>
      <c r="V348" s="23">
        <f>IF(T348="","",COUNTIFS('Content Calendar'!$G$5:$G$604,T348,'Content Calendar'!$X$5:$X$604,"Published",'Content Calendar'!$B$5:$B$604,"&gt;="&amp;DashStart,'Content Calendar'!$B$5:$B$604,"&lt;="&amp;DashEnd))</f>
        <v>0</v>
      </c>
      <c r="W348" s="23">
        <f>IF(T348="","",SUMIFS(Analytics!$J$5:$J$154,Analytics!$D$5:$D$154,T348,Analytics!$B$5:$B$154,"&gt;="&amp;DashStart,Analytics!$B$5:$B$154,"&lt;="&amp;DashEnd))</f>
        <v>0</v>
      </c>
      <c r="X348" s="23">
        <f>IF(T348="","",SUMIFS(Analytics!$L$5:$L$154,Analytics!$D$5:$D$154,T348,Analytics!$B$5:$B$154,"&gt;="&amp;DashStart,Analytics!$B$5:$B$154,"&lt;="&amp;DashEnd))</f>
        <v>0</v>
      </c>
      <c r="Y348" s="24">
        <f>IF(OR(W348="",W348=0),"",X348/W348)</f>
        <v>0</v>
      </c>
      <c r="Z348" s="23">
        <f>IF(T348="","",SUMIFS(Analytics!$G$5:$G$154,Analytics!$D$5:$D$154,T348,Analytics!$B$5:$B$154,"&gt;="&amp;DashStart,Analytics!$B$5:$B$154,"&lt;="&amp;DashEnd))</f>
        <v>0</v>
      </c>
      <c r="AA348" s="23">
        <f>IF(T348="","",SUMIFS(Analytics!$X$5:$X$154,Analytics!$D$5:$D$154,T348,Analytics!$B$5:$B$154,"&gt;="&amp;DashStart,Analytics!$B$5:$B$154,"&lt;="&amp;DashEnd))</f>
        <v>0</v>
      </c>
      <c r="AB348" s="23">
        <f>IF(T348="","",SUMIFS(Analytics!$R$5:$R$154,Analytics!$D$5:$D$154,T348,Analytics!$B$5:$B$154,"&gt;="&amp;DashStart,Analytics!$B$5:$B$154,"&lt;="&amp;DashEnd))</f>
        <v>0</v>
      </c>
      <c r="AC348" s="25">
        <f>IF(T348="","",SUMIFS(Analytics!$U$5:$U$154,Analytics!$D$5:$D$154,T348,Analytics!$B$5:$B$154,"&gt;="&amp;DashStart,Analytics!$B$5:$B$154,"&lt;="&amp;DashEnd))</f>
        <v>0</v>
      </c>
      <c r="AD348" s="23">
        <f>IF(T348="","",COUNTIFS('Content Calendar'!$G$5:$G$604,T348,'Content Calendar'!$B$5:$B$604,"&gt;="&amp;DATE(PlanYear,1,1),'Content Calendar'!$B$5:$B$604,"&lt;="&amp;DATE(PlanYear,12,31)))</f>
        <v>0</v>
      </c>
      <c r="AE348" s="23">
        <f>IF(T348="","",SUMIFS(Analytics!$J$5:$J$154,Analytics!$D$5:$D$154,T348))</f>
        <v>0</v>
      </c>
      <c r="AF348" s="23">
        <f>IF(T348="","",SUMIFS(Analytics!$L$5:$L$154,Analytics!$D$5:$D$154,T348))</f>
        <v>0</v>
      </c>
      <c r="AG348" s="24">
        <f>IF(OR(AE348="",AE348=0),"",AF348/AE348)</f>
        <v>0</v>
      </c>
      <c r="AH348" s="23">
        <f>IF(T348="","",SUMIFS(Analytics!$X$5:$X$154,Analytics!$D$5:$D$154,T348))</f>
        <v>0</v>
      </c>
      <c r="AI348" s="32">
        <f>IF(T348="","",IF(AE348=0,"",AE348+ROW()/1000000))</f>
        <v>0</v>
      </c>
      <c r="AJ348" s="17">
        <f>IF('Content Pillars'!$B$348="","",'Content Pillars'!$B$348)</f>
        <v>0</v>
      </c>
      <c r="AK348" s="23">
        <f>IF(AJ348="","",COUNTIFS('Content Calendar'!$J$5:$J$604,AJ348,'Content Calendar'!$B$5:$B$604,"&gt;="&amp;DATE(PlanYear,1,1),'Content Calendar'!$B$5:$B$604,"&lt;="&amp;DATE(PlanYear,12,31)))</f>
        <v>0</v>
      </c>
      <c r="AL348" s="23">
        <f>IF(AJ348="","",SUMIFS(Performance!$O$5:$O$404,Performance!$H$5:$H$404,AJ348))</f>
        <v>0</v>
      </c>
      <c r="AM348" s="23">
        <f>IF(AJ348="","",SUMIFS(Performance!$Z$5:$Z$404,Performance!$H$5:$H$404,AJ348))</f>
        <v>0</v>
      </c>
      <c r="AN348" s="24">
        <f>IF(OR(AL348="",AL348=0),"",AM348/AL348)</f>
        <v>0</v>
      </c>
      <c r="AO348" s="32">
        <f>IF(AN348="","",AN348+ROW()/1000000)</f>
        <v>0</v>
      </c>
      <c r="AP348" s="17">
        <f>IF(Lists!$E348="","",Lists!$E348)</f>
        <v>0</v>
      </c>
      <c r="AQ348" s="23">
        <f>IF(AP348="","",COUNTIF(Performance!$G$5:$G$404,AP348))</f>
        <v>0</v>
      </c>
      <c r="AR348" s="23">
        <f>IF(AP348="","",SUMIFS(Performance!$O$5:$O$404,Performance!$G$5:$G$404,AP348))</f>
        <v>0</v>
      </c>
      <c r="AS348" s="23">
        <f>IF(AP348="","",SUMIFS(Performance!$Z$5:$Z$404,Performance!$G$5:$G$404,AP348))</f>
        <v>0</v>
      </c>
      <c r="AT348" s="24">
        <f>IF(OR(AR348="",AR348=0),"",AS348/AR348)</f>
        <v>0</v>
      </c>
      <c r="AU348" s="32">
        <f>IF(AQ348=0,"",IF(AT348="","",AT348+ROW()/1000000))</f>
        <v>0</v>
      </c>
      <c r="AV348" s="17">
        <f>IF(ROW()-4&gt;7,"",TEXT(DATE(2024,1,ROW()-4),"ddd"))</f>
        <v>0</v>
      </c>
      <c r="AW348" s="23">
        <f>IF(AV348="","",COUNTIF(Performance!$N$5:$N$404,AV348))</f>
        <v>0</v>
      </c>
      <c r="AX348" s="23">
        <f>IF(AV348="","",SUMIFS(Performance!$O$5:$O$404,Performance!$N$5:$N$404,AV348))</f>
        <v>0</v>
      </c>
      <c r="AY348" s="23">
        <f>IF(AV348="","",SUMIFS(Performance!$Z$5:$Z$404,Performance!$N$5:$N$404,AV348))</f>
        <v>0</v>
      </c>
      <c r="AZ348" s="24">
        <f>IF(OR(AX348="",AX348=0),"",AY348/AX348)</f>
        <v>0</v>
      </c>
      <c r="BA348" s="32">
        <f>IF(AW348=0,"",IF(AZ348="","",AZ348+ROW()/1000000))</f>
        <v>0</v>
      </c>
      <c r="BB348" s="17">
        <f>IF(Lists!$AL348="","",Lists!$AL348)</f>
        <v>0</v>
      </c>
      <c r="BC348" s="23">
        <f>IF(BB348="","",COUNTIF(Performance!$M$5:$M$404,BB348))</f>
        <v>0</v>
      </c>
      <c r="BD348" s="23">
        <f>IF(BB348="","",SUMIFS(Performance!$O$5:$O$404,Performance!$M$5:$M$404,BB348))</f>
        <v>0</v>
      </c>
      <c r="BE348" s="23">
        <f>IF(BB348="","",SUMIFS(Performance!$Z$5:$Z$404,Performance!$M$5:$M$404,BB348))</f>
        <v>0</v>
      </c>
      <c r="BF348" s="24">
        <f>IF(OR(BD348="",BD348=0),"",BE348/BD348)</f>
        <v>0</v>
      </c>
      <c r="BG348" s="32">
        <f>IF(BC348=0,"",IF(BF348="","",BF348+ROW()/1000000))</f>
        <v>0</v>
      </c>
      <c r="BH348" s="17">
        <f>IF(Performance!$C$348="","",Performance!$C$348)</f>
        <v>0</v>
      </c>
      <c r="BI348" s="17">
        <f>IF(Performance!$F$348="","",Performance!$F$348)</f>
        <v>0</v>
      </c>
      <c r="BJ348" s="17">
        <f>IF(Performance!$H$348="","",Performance!$H$348)</f>
        <v>0</v>
      </c>
      <c r="BK348" s="16">
        <f>IF(Performance!$D$348="","",Performance!$D$348)</f>
        <v>0</v>
      </c>
      <c r="BL348" s="17">
        <f>IF(Performance!$E$348="","",Performance!$E$348)</f>
        <v>0</v>
      </c>
      <c r="BM348" s="23">
        <f>IF(Performance!$O$348="","",Performance!$O$348)</f>
        <v>0</v>
      </c>
      <c r="BN348" s="24">
        <f>IF(Performance!$AA$348="","",Performance!$AA$348)</f>
        <v>0</v>
      </c>
      <c r="BO348" s="32">
        <f>IF(BH348="","",IF(BK348="","",IF(OR(BK348&lt;DashStart,BK348&gt;DashEnd),"",IF(BN348="","",BN348+ROW()/1000000))))</f>
        <v>0</v>
      </c>
      <c r="BP348" s="32">
        <f>IF(BM348="","",IF(BK348="","",IF(OR(BK348&lt;DashStart,BK348&gt;DashEnd),"",BM348+ROW()/1000000)))</f>
        <v>0</v>
      </c>
      <c r="BQ348" s="32">
        <f>IF(BH348="","",IF(BK348="","",IF(YEAR(BK348)&lt;&gt;PlanYear,"",IF(BN348="","",BN348+ROW()/1000000))))</f>
        <v>0</v>
      </c>
      <c r="BR348" s="32">
        <f>IF(BH348="","",IF(BK348="","",IF(OR(BK348&lt;RepFrom,BK348&gt;RepTo),"",IF(BN348="","",BN348+ROW()/1000000))))</f>
        <v>0</v>
      </c>
      <c r="BS348" s="32">
        <f>IF(BM348="","",IF(BK348="","",IF(YEAR(BK348)&lt;&gt;PlanYear,"",BM348+ROW()/1000000)))</f>
        <v>0</v>
      </c>
      <c r="BT348" s="17">
        <f>IF(Lists!$F348="","",Lists!$F348)</f>
        <v>0</v>
      </c>
      <c r="BU348" s="23">
        <f>IF(BT348="","",COUNTIF('Content Calendar'!$X$5:$X$604,BT348))</f>
        <v>0</v>
      </c>
      <c r="BV348" s="23">
        <f>IF(BT348="","",COUNTIFS('Content Calendar'!$X$5:$X$604,BT348,'Content Calendar'!$B$5:$B$604,"&gt;="&amp;DashStart,'Content Calendar'!$B$5:$B$604,"&lt;="&amp;DashEnd))</f>
        <v>0</v>
      </c>
      <c r="BW348" s="17">
        <f>IF(Team!$B$348="","",Team!$B$348)</f>
        <v>0</v>
      </c>
      <c r="BX348" s="23">
        <f>IF(BW348="","",COUNTIF('Content Calendar'!$W$5:$W$604,BW348))</f>
        <v>0</v>
      </c>
      <c r="BY348" s="23">
        <f>IF(BW348="","",COUNTIFS('Content Calendar'!$W$5:$W$604,BW348,'Content Calendar'!$X$5:$X$604,"&lt;&gt;Published"))</f>
        <v>0</v>
      </c>
      <c r="BZ348" s="23">
        <f>IF(BW348="","",COUNTIFS(Tasks!$C$5:$C$64,BW348,Tasks!$G$5:$G$64,"&lt;&gt;Complete"))</f>
        <v>0</v>
      </c>
      <c r="CA348" s="17">
        <f>IF(Campaigns!$B$348="","",Campaigns!$B$348)</f>
        <v>0</v>
      </c>
      <c r="CB348" s="25">
        <f>IF(Campaigns!$T$348="","",Campaigns!$T$348)</f>
        <v>0</v>
      </c>
      <c r="CC348" s="25">
        <f>IF(Campaigns!$Q$348="","",Campaigns!$Q$348)</f>
        <v>0</v>
      </c>
      <c r="CD348" s="23">
        <f>IF(Campaigns!$Y$348="","",Campaigns!$Y$348)</f>
        <v>0</v>
      </c>
      <c r="CE348" s="32">
        <f>IF(CA348="","",IF(N(CB348)&lt;=0,"",N(CB348)+ROW()/1000000))</f>
        <v>0</v>
      </c>
      <c r="CF348" s="17">
        <f>IF(Accounts!$C$348="","",Accounts!$C$348)</f>
        <v>0</v>
      </c>
      <c r="CG348" s="17">
        <f>IF(Accounts!$B$348="","",Accounts!$B$348)</f>
        <v>0</v>
      </c>
      <c r="CH348" s="23">
        <f>IF(Accounts!$J$348="","",Accounts!$J$348)</f>
        <v>0</v>
      </c>
      <c r="CI348" s="23">
        <f>IF(CF348="","",SUMIFS(Analytics!$X$5:$X$154,Analytics!$E$5:$E$154,CF348,Analytics!$B$5:$B$154,"&gt;="&amp;DashStart,Analytics!$B$5:$B$154,"&lt;="&amp;DashEnd))</f>
        <v>0</v>
      </c>
      <c r="CJ348" s="32">
        <f>IF(CH348="","",IF(CH348=0,"",CH348+ROW()/1000000))</f>
        <v>0</v>
      </c>
    </row>
    <row r="349" spans="1:88">
      <c r="A349" s="16">
        <f>IF(ROW()-4&gt;12,"",DATE(PlanYear,ROW()-4,1))</f>
        <v>0</v>
      </c>
      <c r="B349" s="16">
        <f>IF(A349="","",EOMONTH(A349,0))</f>
        <v>0</v>
      </c>
      <c r="C349" s="17">
        <f>IF(A349="","",TEXT(A349,"yyyy-mm"))</f>
        <v>0</v>
      </c>
      <c r="D349" s="17">
        <f>IF(A349="","",TEXT(A349,"mmm"))</f>
        <v>0</v>
      </c>
      <c r="E349" s="23">
        <f>IF(C349="","",COUNTIFS('Content Calendar'!$D$5:$D$604,C349))</f>
        <v>0</v>
      </c>
      <c r="F349" s="23">
        <f>IF(C349="","",COUNTIFS('Content Calendar'!$D$5:$D$604,C349,'Content Calendar'!$X$5:$X$604,"Published"))</f>
        <v>0</v>
      </c>
      <c r="G349" s="23">
        <f>IF(C349="","",SUMIFS(Analytics!$J$5:$J$154,Analytics!$C$5:$C$154,C349))</f>
        <v>0</v>
      </c>
      <c r="H349" s="23">
        <f>IF(C349="","",SUMIFS(Analytics!$K$5:$K$154,Analytics!$C$5:$C$154,C349))</f>
        <v>0</v>
      </c>
      <c r="I349" s="23">
        <f>IF(C349="","",SUMIFS(Analytics!$L$5:$L$154,Analytics!$C$5:$C$154,C349))</f>
        <v>0</v>
      </c>
      <c r="J349" s="24">
        <f>IF(OR(G349="",G349=0),"",I349/G349)</f>
        <v>0</v>
      </c>
      <c r="K349" s="23">
        <f>IF(C349="","",SUMIFS(Analytics!$G$5:$G$154,Analytics!$C$5:$C$154,C349))</f>
        <v>0</v>
      </c>
      <c r="L349" s="23">
        <f>IF(C349="","",SUMIFS(Analytics!$X$5:$X$154,Analytics!$C$5:$C$154,C349))</f>
        <v>0</v>
      </c>
      <c r="M349" s="23">
        <f>IF(C349="","",SUMIFS(Analytics!$R$5:$R$154,Analytics!$C$5:$C$154,C349))</f>
        <v>0</v>
      </c>
      <c r="N349" s="23">
        <f>IF(C349="","",SUMIFS(Analytics!$S$5:$S$154,Analytics!$C$5:$C$154,C349))</f>
        <v>0</v>
      </c>
      <c r="O349" s="23">
        <f>IF(C349="","",SUMIFS(Analytics!$T$5:$T$154,Analytics!$C$5:$C$154,C349))</f>
        <v>0</v>
      </c>
      <c r="P349" s="25">
        <f>IF(C349="","",SUMIFS(Analytics!$U$5:$U$154,Analytics!$C$5:$C$154,C349))</f>
        <v>0</v>
      </c>
      <c r="Q349" s="25">
        <f>IF(C349="","",SUMIFS(Budget!$H$5:$H$64,Budget!$C$5:$C$64,C349))</f>
        <v>0</v>
      </c>
      <c r="R349" s="25">
        <f>IF(C349="","",P349-Q349)</f>
        <v>0</v>
      </c>
      <c r="S349" s="23">
        <f>IF(C349="","",MonthlyPostTarget)</f>
        <v>0</v>
      </c>
      <c r="T349" s="17">
        <f>IF(Lists!$C349="","",Lists!$C349)</f>
        <v>0</v>
      </c>
      <c r="U349" s="23">
        <f>IF(T349="","",COUNTIFS('Content Calendar'!$G$5:$G$604,T349,'Content Calendar'!$B$5:$B$604,"&gt;="&amp;DashStart,'Content Calendar'!$B$5:$B$604,"&lt;="&amp;DashEnd))</f>
        <v>0</v>
      </c>
      <c r="V349" s="23">
        <f>IF(T349="","",COUNTIFS('Content Calendar'!$G$5:$G$604,T349,'Content Calendar'!$X$5:$X$604,"Published",'Content Calendar'!$B$5:$B$604,"&gt;="&amp;DashStart,'Content Calendar'!$B$5:$B$604,"&lt;="&amp;DashEnd))</f>
        <v>0</v>
      </c>
      <c r="W349" s="23">
        <f>IF(T349="","",SUMIFS(Analytics!$J$5:$J$154,Analytics!$D$5:$D$154,T349,Analytics!$B$5:$B$154,"&gt;="&amp;DashStart,Analytics!$B$5:$B$154,"&lt;="&amp;DashEnd))</f>
        <v>0</v>
      </c>
      <c r="X349" s="23">
        <f>IF(T349="","",SUMIFS(Analytics!$L$5:$L$154,Analytics!$D$5:$D$154,T349,Analytics!$B$5:$B$154,"&gt;="&amp;DashStart,Analytics!$B$5:$B$154,"&lt;="&amp;DashEnd))</f>
        <v>0</v>
      </c>
      <c r="Y349" s="24">
        <f>IF(OR(W349="",W349=0),"",X349/W349)</f>
        <v>0</v>
      </c>
      <c r="Z349" s="23">
        <f>IF(T349="","",SUMIFS(Analytics!$G$5:$G$154,Analytics!$D$5:$D$154,T349,Analytics!$B$5:$B$154,"&gt;="&amp;DashStart,Analytics!$B$5:$B$154,"&lt;="&amp;DashEnd))</f>
        <v>0</v>
      </c>
      <c r="AA349" s="23">
        <f>IF(T349="","",SUMIFS(Analytics!$X$5:$X$154,Analytics!$D$5:$D$154,T349,Analytics!$B$5:$B$154,"&gt;="&amp;DashStart,Analytics!$B$5:$B$154,"&lt;="&amp;DashEnd))</f>
        <v>0</v>
      </c>
      <c r="AB349" s="23">
        <f>IF(T349="","",SUMIFS(Analytics!$R$5:$R$154,Analytics!$D$5:$D$154,T349,Analytics!$B$5:$B$154,"&gt;="&amp;DashStart,Analytics!$B$5:$B$154,"&lt;="&amp;DashEnd))</f>
        <v>0</v>
      </c>
      <c r="AC349" s="25">
        <f>IF(T349="","",SUMIFS(Analytics!$U$5:$U$154,Analytics!$D$5:$D$154,T349,Analytics!$B$5:$B$154,"&gt;="&amp;DashStart,Analytics!$B$5:$B$154,"&lt;="&amp;DashEnd))</f>
        <v>0</v>
      </c>
      <c r="AD349" s="23">
        <f>IF(T349="","",COUNTIFS('Content Calendar'!$G$5:$G$604,T349,'Content Calendar'!$B$5:$B$604,"&gt;="&amp;DATE(PlanYear,1,1),'Content Calendar'!$B$5:$B$604,"&lt;="&amp;DATE(PlanYear,12,31)))</f>
        <v>0</v>
      </c>
      <c r="AE349" s="23">
        <f>IF(T349="","",SUMIFS(Analytics!$J$5:$J$154,Analytics!$D$5:$D$154,T349))</f>
        <v>0</v>
      </c>
      <c r="AF349" s="23">
        <f>IF(T349="","",SUMIFS(Analytics!$L$5:$L$154,Analytics!$D$5:$D$154,T349))</f>
        <v>0</v>
      </c>
      <c r="AG349" s="24">
        <f>IF(OR(AE349="",AE349=0),"",AF349/AE349)</f>
        <v>0</v>
      </c>
      <c r="AH349" s="23">
        <f>IF(T349="","",SUMIFS(Analytics!$X$5:$X$154,Analytics!$D$5:$D$154,T349))</f>
        <v>0</v>
      </c>
      <c r="AI349" s="32">
        <f>IF(T349="","",IF(AE349=0,"",AE349+ROW()/1000000))</f>
        <v>0</v>
      </c>
      <c r="AJ349" s="17">
        <f>IF('Content Pillars'!$B$349="","",'Content Pillars'!$B$349)</f>
        <v>0</v>
      </c>
      <c r="AK349" s="23">
        <f>IF(AJ349="","",COUNTIFS('Content Calendar'!$J$5:$J$604,AJ349,'Content Calendar'!$B$5:$B$604,"&gt;="&amp;DATE(PlanYear,1,1),'Content Calendar'!$B$5:$B$604,"&lt;="&amp;DATE(PlanYear,12,31)))</f>
        <v>0</v>
      </c>
      <c r="AL349" s="23">
        <f>IF(AJ349="","",SUMIFS(Performance!$O$5:$O$404,Performance!$H$5:$H$404,AJ349))</f>
        <v>0</v>
      </c>
      <c r="AM349" s="23">
        <f>IF(AJ349="","",SUMIFS(Performance!$Z$5:$Z$404,Performance!$H$5:$H$404,AJ349))</f>
        <v>0</v>
      </c>
      <c r="AN349" s="24">
        <f>IF(OR(AL349="",AL349=0),"",AM349/AL349)</f>
        <v>0</v>
      </c>
      <c r="AO349" s="32">
        <f>IF(AN349="","",AN349+ROW()/1000000)</f>
        <v>0</v>
      </c>
      <c r="AP349" s="17">
        <f>IF(Lists!$E349="","",Lists!$E349)</f>
        <v>0</v>
      </c>
      <c r="AQ349" s="23">
        <f>IF(AP349="","",COUNTIF(Performance!$G$5:$G$404,AP349))</f>
        <v>0</v>
      </c>
      <c r="AR349" s="23">
        <f>IF(AP349="","",SUMIFS(Performance!$O$5:$O$404,Performance!$G$5:$G$404,AP349))</f>
        <v>0</v>
      </c>
      <c r="AS349" s="23">
        <f>IF(AP349="","",SUMIFS(Performance!$Z$5:$Z$404,Performance!$G$5:$G$404,AP349))</f>
        <v>0</v>
      </c>
      <c r="AT349" s="24">
        <f>IF(OR(AR349="",AR349=0),"",AS349/AR349)</f>
        <v>0</v>
      </c>
      <c r="AU349" s="32">
        <f>IF(AQ349=0,"",IF(AT349="","",AT349+ROW()/1000000))</f>
        <v>0</v>
      </c>
      <c r="AV349" s="17">
        <f>IF(ROW()-4&gt;7,"",TEXT(DATE(2024,1,ROW()-4),"ddd"))</f>
        <v>0</v>
      </c>
      <c r="AW349" s="23">
        <f>IF(AV349="","",COUNTIF(Performance!$N$5:$N$404,AV349))</f>
        <v>0</v>
      </c>
      <c r="AX349" s="23">
        <f>IF(AV349="","",SUMIFS(Performance!$O$5:$O$404,Performance!$N$5:$N$404,AV349))</f>
        <v>0</v>
      </c>
      <c r="AY349" s="23">
        <f>IF(AV349="","",SUMIFS(Performance!$Z$5:$Z$404,Performance!$N$5:$N$404,AV349))</f>
        <v>0</v>
      </c>
      <c r="AZ349" s="24">
        <f>IF(OR(AX349="",AX349=0),"",AY349/AX349)</f>
        <v>0</v>
      </c>
      <c r="BA349" s="32">
        <f>IF(AW349=0,"",IF(AZ349="","",AZ349+ROW()/1000000))</f>
        <v>0</v>
      </c>
      <c r="BB349" s="17">
        <f>IF(Lists!$AL349="","",Lists!$AL349)</f>
        <v>0</v>
      </c>
      <c r="BC349" s="23">
        <f>IF(BB349="","",COUNTIF(Performance!$M$5:$M$404,BB349))</f>
        <v>0</v>
      </c>
      <c r="BD349" s="23">
        <f>IF(BB349="","",SUMIFS(Performance!$O$5:$O$404,Performance!$M$5:$M$404,BB349))</f>
        <v>0</v>
      </c>
      <c r="BE349" s="23">
        <f>IF(BB349="","",SUMIFS(Performance!$Z$5:$Z$404,Performance!$M$5:$M$404,BB349))</f>
        <v>0</v>
      </c>
      <c r="BF349" s="24">
        <f>IF(OR(BD349="",BD349=0),"",BE349/BD349)</f>
        <v>0</v>
      </c>
      <c r="BG349" s="32">
        <f>IF(BC349=0,"",IF(BF349="","",BF349+ROW()/1000000))</f>
        <v>0</v>
      </c>
      <c r="BH349" s="17">
        <f>IF(Performance!$C$349="","",Performance!$C$349)</f>
        <v>0</v>
      </c>
      <c r="BI349" s="17">
        <f>IF(Performance!$F$349="","",Performance!$F$349)</f>
        <v>0</v>
      </c>
      <c r="BJ349" s="17">
        <f>IF(Performance!$H$349="","",Performance!$H$349)</f>
        <v>0</v>
      </c>
      <c r="BK349" s="16">
        <f>IF(Performance!$D$349="","",Performance!$D$349)</f>
        <v>0</v>
      </c>
      <c r="BL349" s="17">
        <f>IF(Performance!$E$349="","",Performance!$E$349)</f>
        <v>0</v>
      </c>
      <c r="BM349" s="23">
        <f>IF(Performance!$O$349="","",Performance!$O$349)</f>
        <v>0</v>
      </c>
      <c r="BN349" s="24">
        <f>IF(Performance!$AA$349="","",Performance!$AA$349)</f>
        <v>0</v>
      </c>
      <c r="BO349" s="32">
        <f>IF(BH349="","",IF(BK349="","",IF(OR(BK349&lt;DashStart,BK349&gt;DashEnd),"",IF(BN349="","",BN349+ROW()/1000000))))</f>
        <v>0</v>
      </c>
      <c r="BP349" s="32">
        <f>IF(BM349="","",IF(BK349="","",IF(OR(BK349&lt;DashStart,BK349&gt;DashEnd),"",BM349+ROW()/1000000)))</f>
        <v>0</v>
      </c>
      <c r="BQ349" s="32">
        <f>IF(BH349="","",IF(BK349="","",IF(YEAR(BK349)&lt;&gt;PlanYear,"",IF(BN349="","",BN349+ROW()/1000000))))</f>
        <v>0</v>
      </c>
      <c r="BR349" s="32">
        <f>IF(BH349="","",IF(BK349="","",IF(OR(BK349&lt;RepFrom,BK349&gt;RepTo),"",IF(BN349="","",BN349+ROW()/1000000))))</f>
        <v>0</v>
      </c>
      <c r="BS349" s="32">
        <f>IF(BM349="","",IF(BK349="","",IF(YEAR(BK349)&lt;&gt;PlanYear,"",BM349+ROW()/1000000)))</f>
        <v>0</v>
      </c>
      <c r="BT349" s="17">
        <f>IF(Lists!$F349="","",Lists!$F349)</f>
        <v>0</v>
      </c>
      <c r="BU349" s="23">
        <f>IF(BT349="","",COUNTIF('Content Calendar'!$X$5:$X$604,BT349))</f>
        <v>0</v>
      </c>
      <c r="BV349" s="23">
        <f>IF(BT349="","",COUNTIFS('Content Calendar'!$X$5:$X$604,BT349,'Content Calendar'!$B$5:$B$604,"&gt;="&amp;DashStart,'Content Calendar'!$B$5:$B$604,"&lt;="&amp;DashEnd))</f>
        <v>0</v>
      </c>
      <c r="BW349" s="17">
        <f>IF(Team!$B$349="","",Team!$B$349)</f>
        <v>0</v>
      </c>
      <c r="BX349" s="23">
        <f>IF(BW349="","",COUNTIF('Content Calendar'!$W$5:$W$604,BW349))</f>
        <v>0</v>
      </c>
      <c r="BY349" s="23">
        <f>IF(BW349="","",COUNTIFS('Content Calendar'!$W$5:$W$604,BW349,'Content Calendar'!$X$5:$X$604,"&lt;&gt;Published"))</f>
        <v>0</v>
      </c>
      <c r="BZ349" s="23">
        <f>IF(BW349="","",COUNTIFS(Tasks!$C$5:$C$64,BW349,Tasks!$G$5:$G$64,"&lt;&gt;Complete"))</f>
        <v>0</v>
      </c>
      <c r="CA349" s="17">
        <f>IF(Campaigns!$B$349="","",Campaigns!$B$349)</f>
        <v>0</v>
      </c>
      <c r="CB349" s="25">
        <f>IF(Campaigns!$T$349="","",Campaigns!$T$349)</f>
        <v>0</v>
      </c>
      <c r="CC349" s="25">
        <f>IF(Campaigns!$Q$349="","",Campaigns!$Q$349)</f>
        <v>0</v>
      </c>
      <c r="CD349" s="23">
        <f>IF(Campaigns!$Y$349="","",Campaigns!$Y$349)</f>
        <v>0</v>
      </c>
      <c r="CE349" s="32">
        <f>IF(CA349="","",IF(N(CB349)&lt;=0,"",N(CB349)+ROW()/1000000))</f>
        <v>0</v>
      </c>
      <c r="CF349" s="17">
        <f>IF(Accounts!$C$349="","",Accounts!$C$349)</f>
        <v>0</v>
      </c>
      <c r="CG349" s="17">
        <f>IF(Accounts!$B$349="","",Accounts!$B$349)</f>
        <v>0</v>
      </c>
      <c r="CH349" s="23">
        <f>IF(Accounts!$J$349="","",Accounts!$J$349)</f>
        <v>0</v>
      </c>
      <c r="CI349" s="23">
        <f>IF(CF349="","",SUMIFS(Analytics!$X$5:$X$154,Analytics!$E$5:$E$154,CF349,Analytics!$B$5:$B$154,"&gt;="&amp;DashStart,Analytics!$B$5:$B$154,"&lt;="&amp;DashEnd))</f>
        <v>0</v>
      </c>
      <c r="CJ349" s="32">
        <f>IF(CH349="","",IF(CH349=0,"",CH349+ROW()/1000000))</f>
        <v>0</v>
      </c>
    </row>
    <row r="350" spans="1:88">
      <c r="A350" s="16">
        <f>IF(ROW()-4&gt;12,"",DATE(PlanYear,ROW()-4,1))</f>
        <v>0</v>
      </c>
      <c r="B350" s="16">
        <f>IF(A350="","",EOMONTH(A350,0))</f>
        <v>0</v>
      </c>
      <c r="C350" s="17">
        <f>IF(A350="","",TEXT(A350,"yyyy-mm"))</f>
        <v>0</v>
      </c>
      <c r="D350" s="17">
        <f>IF(A350="","",TEXT(A350,"mmm"))</f>
        <v>0</v>
      </c>
      <c r="E350" s="23">
        <f>IF(C350="","",COUNTIFS('Content Calendar'!$D$5:$D$604,C350))</f>
        <v>0</v>
      </c>
      <c r="F350" s="23">
        <f>IF(C350="","",COUNTIFS('Content Calendar'!$D$5:$D$604,C350,'Content Calendar'!$X$5:$X$604,"Published"))</f>
        <v>0</v>
      </c>
      <c r="G350" s="23">
        <f>IF(C350="","",SUMIFS(Analytics!$J$5:$J$154,Analytics!$C$5:$C$154,C350))</f>
        <v>0</v>
      </c>
      <c r="H350" s="23">
        <f>IF(C350="","",SUMIFS(Analytics!$K$5:$K$154,Analytics!$C$5:$C$154,C350))</f>
        <v>0</v>
      </c>
      <c r="I350" s="23">
        <f>IF(C350="","",SUMIFS(Analytics!$L$5:$L$154,Analytics!$C$5:$C$154,C350))</f>
        <v>0</v>
      </c>
      <c r="J350" s="24">
        <f>IF(OR(G350="",G350=0),"",I350/G350)</f>
        <v>0</v>
      </c>
      <c r="K350" s="23">
        <f>IF(C350="","",SUMIFS(Analytics!$G$5:$G$154,Analytics!$C$5:$C$154,C350))</f>
        <v>0</v>
      </c>
      <c r="L350" s="23">
        <f>IF(C350="","",SUMIFS(Analytics!$X$5:$X$154,Analytics!$C$5:$C$154,C350))</f>
        <v>0</v>
      </c>
      <c r="M350" s="23">
        <f>IF(C350="","",SUMIFS(Analytics!$R$5:$R$154,Analytics!$C$5:$C$154,C350))</f>
        <v>0</v>
      </c>
      <c r="N350" s="23">
        <f>IF(C350="","",SUMIFS(Analytics!$S$5:$S$154,Analytics!$C$5:$C$154,C350))</f>
        <v>0</v>
      </c>
      <c r="O350" s="23">
        <f>IF(C350="","",SUMIFS(Analytics!$T$5:$T$154,Analytics!$C$5:$C$154,C350))</f>
        <v>0</v>
      </c>
      <c r="P350" s="25">
        <f>IF(C350="","",SUMIFS(Analytics!$U$5:$U$154,Analytics!$C$5:$C$154,C350))</f>
        <v>0</v>
      </c>
      <c r="Q350" s="25">
        <f>IF(C350="","",SUMIFS(Budget!$H$5:$H$64,Budget!$C$5:$C$64,C350))</f>
        <v>0</v>
      </c>
      <c r="R350" s="25">
        <f>IF(C350="","",P350-Q350)</f>
        <v>0</v>
      </c>
      <c r="S350" s="23">
        <f>IF(C350="","",MonthlyPostTarget)</f>
        <v>0</v>
      </c>
      <c r="T350" s="17">
        <f>IF(Lists!$C350="","",Lists!$C350)</f>
        <v>0</v>
      </c>
      <c r="U350" s="23">
        <f>IF(T350="","",COUNTIFS('Content Calendar'!$G$5:$G$604,T350,'Content Calendar'!$B$5:$B$604,"&gt;="&amp;DashStart,'Content Calendar'!$B$5:$B$604,"&lt;="&amp;DashEnd))</f>
        <v>0</v>
      </c>
      <c r="V350" s="23">
        <f>IF(T350="","",COUNTIFS('Content Calendar'!$G$5:$G$604,T350,'Content Calendar'!$X$5:$X$604,"Published",'Content Calendar'!$B$5:$B$604,"&gt;="&amp;DashStart,'Content Calendar'!$B$5:$B$604,"&lt;="&amp;DashEnd))</f>
        <v>0</v>
      </c>
      <c r="W350" s="23">
        <f>IF(T350="","",SUMIFS(Analytics!$J$5:$J$154,Analytics!$D$5:$D$154,T350,Analytics!$B$5:$B$154,"&gt;="&amp;DashStart,Analytics!$B$5:$B$154,"&lt;="&amp;DashEnd))</f>
        <v>0</v>
      </c>
      <c r="X350" s="23">
        <f>IF(T350="","",SUMIFS(Analytics!$L$5:$L$154,Analytics!$D$5:$D$154,T350,Analytics!$B$5:$B$154,"&gt;="&amp;DashStart,Analytics!$B$5:$B$154,"&lt;="&amp;DashEnd))</f>
        <v>0</v>
      </c>
      <c r="Y350" s="24">
        <f>IF(OR(W350="",W350=0),"",X350/W350)</f>
        <v>0</v>
      </c>
      <c r="Z350" s="23">
        <f>IF(T350="","",SUMIFS(Analytics!$G$5:$G$154,Analytics!$D$5:$D$154,T350,Analytics!$B$5:$B$154,"&gt;="&amp;DashStart,Analytics!$B$5:$B$154,"&lt;="&amp;DashEnd))</f>
        <v>0</v>
      </c>
      <c r="AA350" s="23">
        <f>IF(T350="","",SUMIFS(Analytics!$X$5:$X$154,Analytics!$D$5:$D$154,T350,Analytics!$B$5:$B$154,"&gt;="&amp;DashStart,Analytics!$B$5:$B$154,"&lt;="&amp;DashEnd))</f>
        <v>0</v>
      </c>
      <c r="AB350" s="23">
        <f>IF(T350="","",SUMIFS(Analytics!$R$5:$R$154,Analytics!$D$5:$D$154,T350,Analytics!$B$5:$B$154,"&gt;="&amp;DashStart,Analytics!$B$5:$B$154,"&lt;="&amp;DashEnd))</f>
        <v>0</v>
      </c>
      <c r="AC350" s="25">
        <f>IF(T350="","",SUMIFS(Analytics!$U$5:$U$154,Analytics!$D$5:$D$154,T350,Analytics!$B$5:$B$154,"&gt;="&amp;DashStart,Analytics!$B$5:$B$154,"&lt;="&amp;DashEnd))</f>
        <v>0</v>
      </c>
      <c r="AD350" s="23">
        <f>IF(T350="","",COUNTIFS('Content Calendar'!$G$5:$G$604,T350,'Content Calendar'!$B$5:$B$604,"&gt;="&amp;DATE(PlanYear,1,1),'Content Calendar'!$B$5:$B$604,"&lt;="&amp;DATE(PlanYear,12,31)))</f>
        <v>0</v>
      </c>
      <c r="AE350" s="23">
        <f>IF(T350="","",SUMIFS(Analytics!$J$5:$J$154,Analytics!$D$5:$D$154,T350))</f>
        <v>0</v>
      </c>
      <c r="AF350" s="23">
        <f>IF(T350="","",SUMIFS(Analytics!$L$5:$L$154,Analytics!$D$5:$D$154,T350))</f>
        <v>0</v>
      </c>
      <c r="AG350" s="24">
        <f>IF(OR(AE350="",AE350=0),"",AF350/AE350)</f>
        <v>0</v>
      </c>
      <c r="AH350" s="23">
        <f>IF(T350="","",SUMIFS(Analytics!$X$5:$X$154,Analytics!$D$5:$D$154,T350))</f>
        <v>0</v>
      </c>
      <c r="AI350" s="32">
        <f>IF(T350="","",IF(AE350=0,"",AE350+ROW()/1000000))</f>
        <v>0</v>
      </c>
      <c r="AJ350" s="17">
        <f>IF('Content Pillars'!$B$350="","",'Content Pillars'!$B$350)</f>
        <v>0</v>
      </c>
      <c r="AK350" s="23">
        <f>IF(AJ350="","",COUNTIFS('Content Calendar'!$J$5:$J$604,AJ350,'Content Calendar'!$B$5:$B$604,"&gt;="&amp;DATE(PlanYear,1,1),'Content Calendar'!$B$5:$B$604,"&lt;="&amp;DATE(PlanYear,12,31)))</f>
        <v>0</v>
      </c>
      <c r="AL350" s="23">
        <f>IF(AJ350="","",SUMIFS(Performance!$O$5:$O$404,Performance!$H$5:$H$404,AJ350))</f>
        <v>0</v>
      </c>
      <c r="AM350" s="23">
        <f>IF(AJ350="","",SUMIFS(Performance!$Z$5:$Z$404,Performance!$H$5:$H$404,AJ350))</f>
        <v>0</v>
      </c>
      <c r="AN350" s="24">
        <f>IF(OR(AL350="",AL350=0),"",AM350/AL350)</f>
        <v>0</v>
      </c>
      <c r="AO350" s="32">
        <f>IF(AN350="","",AN350+ROW()/1000000)</f>
        <v>0</v>
      </c>
      <c r="AP350" s="17">
        <f>IF(Lists!$E350="","",Lists!$E350)</f>
        <v>0</v>
      </c>
      <c r="AQ350" s="23">
        <f>IF(AP350="","",COUNTIF(Performance!$G$5:$G$404,AP350))</f>
        <v>0</v>
      </c>
      <c r="AR350" s="23">
        <f>IF(AP350="","",SUMIFS(Performance!$O$5:$O$404,Performance!$G$5:$G$404,AP350))</f>
        <v>0</v>
      </c>
      <c r="AS350" s="23">
        <f>IF(AP350="","",SUMIFS(Performance!$Z$5:$Z$404,Performance!$G$5:$G$404,AP350))</f>
        <v>0</v>
      </c>
      <c r="AT350" s="24">
        <f>IF(OR(AR350="",AR350=0),"",AS350/AR350)</f>
        <v>0</v>
      </c>
      <c r="AU350" s="32">
        <f>IF(AQ350=0,"",IF(AT350="","",AT350+ROW()/1000000))</f>
        <v>0</v>
      </c>
      <c r="AV350" s="17">
        <f>IF(ROW()-4&gt;7,"",TEXT(DATE(2024,1,ROW()-4),"ddd"))</f>
        <v>0</v>
      </c>
      <c r="AW350" s="23">
        <f>IF(AV350="","",COUNTIF(Performance!$N$5:$N$404,AV350))</f>
        <v>0</v>
      </c>
      <c r="AX350" s="23">
        <f>IF(AV350="","",SUMIFS(Performance!$O$5:$O$404,Performance!$N$5:$N$404,AV350))</f>
        <v>0</v>
      </c>
      <c r="AY350" s="23">
        <f>IF(AV350="","",SUMIFS(Performance!$Z$5:$Z$404,Performance!$N$5:$N$404,AV350))</f>
        <v>0</v>
      </c>
      <c r="AZ350" s="24">
        <f>IF(OR(AX350="",AX350=0),"",AY350/AX350)</f>
        <v>0</v>
      </c>
      <c r="BA350" s="32">
        <f>IF(AW350=0,"",IF(AZ350="","",AZ350+ROW()/1000000))</f>
        <v>0</v>
      </c>
      <c r="BB350" s="17">
        <f>IF(Lists!$AL350="","",Lists!$AL350)</f>
        <v>0</v>
      </c>
      <c r="BC350" s="23">
        <f>IF(BB350="","",COUNTIF(Performance!$M$5:$M$404,BB350))</f>
        <v>0</v>
      </c>
      <c r="BD350" s="23">
        <f>IF(BB350="","",SUMIFS(Performance!$O$5:$O$404,Performance!$M$5:$M$404,BB350))</f>
        <v>0</v>
      </c>
      <c r="BE350" s="23">
        <f>IF(BB350="","",SUMIFS(Performance!$Z$5:$Z$404,Performance!$M$5:$M$404,BB350))</f>
        <v>0</v>
      </c>
      <c r="BF350" s="24">
        <f>IF(OR(BD350="",BD350=0),"",BE350/BD350)</f>
        <v>0</v>
      </c>
      <c r="BG350" s="32">
        <f>IF(BC350=0,"",IF(BF350="","",BF350+ROW()/1000000))</f>
        <v>0</v>
      </c>
      <c r="BH350" s="17">
        <f>IF(Performance!$C$350="","",Performance!$C$350)</f>
        <v>0</v>
      </c>
      <c r="BI350" s="17">
        <f>IF(Performance!$F$350="","",Performance!$F$350)</f>
        <v>0</v>
      </c>
      <c r="BJ350" s="17">
        <f>IF(Performance!$H$350="","",Performance!$H$350)</f>
        <v>0</v>
      </c>
      <c r="BK350" s="16">
        <f>IF(Performance!$D$350="","",Performance!$D$350)</f>
        <v>0</v>
      </c>
      <c r="BL350" s="17">
        <f>IF(Performance!$E$350="","",Performance!$E$350)</f>
        <v>0</v>
      </c>
      <c r="BM350" s="23">
        <f>IF(Performance!$O$350="","",Performance!$O$350)</f>
        <v>0</v>
      </c>
      <c r="BN350" s="24">
        <f>IF(Performance!$AA$350="","",Performance!$AA$350)</f>
        <v>0</v>
      </c>
      <c r="BO350" s="32">
        <f>IF(BH350="","",IF(BK350="","",IF(OR(BK350&lt;DashStart,BK350&gt;DashEnd),"",IF(BN350="","",BN350+ROW()/1000000))))</f>
        <v>0</v>
      </c>
      <c r="BP350" s="32">
        <f>IF(BM350="","",IF(BK350="","",IF(OR(BK350&lt;DashStart,BK350&gt;DashEnd),"",BM350+ROW()/1000000)))</f>
        <v>0</v>
      </c>
      <c r="BQ350" s="32">
        <f>IF(BH350="","",IF(BK350="","",IF(YEAR(BK350)&lt;&gt;PlanYear,"",IF(BN350="","",BN350+ROW()/1000000))))</f>
        <v>0</v>
      </c>
      <c r="BR350" s="32">
        <f>IF(BH350="","",IF(BK350="","",IF(OR(BK350&lt;RepFrom,BK350&gt;RepTo),"",IF(BN350="","",BN350+ROW()/1000000))))</f>
        <v>0</v>
      </c>
      <c r="BS350" s="32">
        <f>IF(BM350="","",IF(BK350="","",IF(YEAR(BK350)&lt;&gt;PlanYear,"",BM350+ROW()/1000000)))</f>
        <v>0</v>
      </c>
      <c r="BT350" s="17">
        <f>IF(Lists!$F350="","",Lists!$F350)</f>
        <v>0</v>
      </c>
      <c r="BU350" s="23">
        <f>IF(BT350="","",COUNTIF('Content Calendar'!$X$5:$X$604,BT350))</f>
        <v>0</v>
      </c>
      <c r="BV350" s="23">
        <f>IF(BT350="","",COUNTIFS('Content Calendar'!$X$5:$X$604,BT350,'Content Calendar'!$B$5:$B$604,"&gt;="&amp;DashStart,'Content Calendar'!$B$5:$B$604,"&lt;="&amp;DashEnd))</f>
        <v>0</v>
      </c>
      <c r="BW350" s="17">
        <f>IF(Team!$B$350="","",Team!$B$350)</f>
        <v>0</v>
      </c>
      <c r="BX350" s="23">
        <f>IF(BW350="","",COUNTIF('Content Calendar'!$W$5:$W$604,BW350))</f>
        <v>0</v>
      </c>
      <c r="BY350" s="23">
        <f>IF(BW350="","",COUNTIFS('Content Calendar'!$W$5:$W$604,BW350,'Content Calendar'!$X$5:$X$604,"&lt;&gt;Published"))</f>
        <v>0</v>
      </c>
      <c r="BZ350" s="23">
        <f>IF(BW350="","",COUNTIFS(Tasks!$C$5:$C$64,BW350,Tasks!$G$5:$G$64,"&lt;&gt;Complete"))</f>
        <v>0</v>
      </c>
      <c r="CA350" s="17">
        <f>IF(Campaigns!$B$350="","",Campaigns!$B$350)</f>
        <v>0</v>
      </c>
      <c r="CB350" s="25">
        <f>IF(Campaigns!$T$350="","",Campaigns!$T$350)</f>
        <v>0</v>
      </c>
      <c r="CC350" s="25">
        <f>IF(Campaigns!$Q$350="","",Campaigns!$Q$350)</f>
        <v>0</v>
      </c>
      <c r="CD350" s="23">
        <f>IF(Campaigns!$Y$350="","",Campaigns!$Y$350)</f>
        <v>0</v>
      </c>
      <c r="CE350" s="32">
        <f>IF(CA350="","",IF(N(CB350)&lt;=0,"",N(CB350)+ROW()/1000000))</f>
        <v>0</v>
      </c>
      <c r="CF350" s="17">
        <f>IF(Accounts!$C$350="","",Accounts!$C$350)</f>
        <v>0</v>
      </c>
      <c r="CG350" s="17">
        <f>IF(Accounts!$B$350="","",Accounts!$B$350)</f>
        <v>0</v>
      </c>
      <c r="CH350" s="23">
        <f>IF(Accounts!$J$350="","",Accounts!$J$350)</f>
        <v>0</v>
      </c>
      <c r="CI350" s="23">
        <f>IF(CF350="","",SUMIFS(Analytics!$X$5:$X$154,Analytics!$E$5:$E$154,CF350,Analytics!$B$5:$B$154,"&gt;="&amp;DashStart,Analytics!$B$5:$B$154,"&lt;="&amp;DashEnd))</f>
        <v>0</v>
      </c>
      <c r="CJ350" s="32">
        <f>IF(CH350="","",IF(CH350=0,"",CH350+ROW()/1000000))</f>
        <v>0</v>
      </c>
    </row>
    <row r="351" spans="1:88">
      <c r="A351" s="16">
        <f>IF(ROW()-4&gt;12,"",DATE(PlanYear,ROW()-4,1))</f>
        <v>0</v>
      </c>
      <c r="B351" s="16">
        <f>IF(A351="","",EOMONTH(A351,0))</f>
        <v>0</v>
      </c>
      <c r="C351" s="17">
        <f>IF(A351="","",TEXT(A351,"yyyy-mm"))</f>
        <v>0</v>
      </c>
      <c r="D351" s="17">
        <f>IF(A351="","",TEXT(A351,"mmm"))</f>
        <v>0</v>
      </c>
      <c r="E351" s="23">
        <f>IF(C351="","",COUNTIFS('Content Calendar'!$D$5:$D$604,C351))</f>
        <v>0</v>
      </c>
      <c r="F351" s="23">
        <f>IF(C351="","",COUNTIFS('Content Calendar'!$D$5:$D$604,C351,'Content Calendar'!$X$5:$X$604,"Published"))</f>
        <v>0</v>
      </c>
      <c r="G351" s="23">
        <f>IF(C351="","",SUMIFS(Analytics!$J$5:$J$154,Analytics!$C$5:$C$154,C351))</f>
        <v>0</v>
      </c>
      <c r="H351" s="23">
        <f>IF(C351="","",SUMIFS(Analytics!$K$5:$K$154,Analytics!$C$5:$C$154,C351))</f>
        <v>0</v>
      </c>
      <c r="I351" s="23">
        <f>IF(C351="","",SUMIFS(Analytics!$L$5:$L$154,Analytics!$C$5:$C$154,C351))</f>
        <v>0</v>
      </c>
      <c r="J351" s="24">
        <f>IF(OR(G351="",G351=0),"",I351/G351)</f>
        <v>0</v>
      </c>
      <c r="K351" s="23">
        <f>IF(C351="","",SUMIFS(Analytics!$G$5:$G$154,Analytics!$C$5:$C$154,C351))</f>
        <v>0</v>
      </c>
      <c r="L351" s="23">
        <f>IF(C351="","",SUMIFS(Analytics!$X$5:$X$154,Analytics!$C$5:$C$154,C351))</f>
        <v>0</v>
      </c>
      <c r="M351" s="23">
        <f>IF(C351="","",SUMIFS(Analytics!$R$5:$R$154,Analytics!$C$5:$C$154,C351))</f>
        <v>0</v>
      </c>
      <c r="N351" s="23">
        <f>IF(C351="","",SUMIFS(Analytics!$S$5:$S$154,Analytics!$C$5:$C$154,C351))</f>
        <v>0</v>
      </c>
      <c r="O351" s="23">
        <f>IF(C351="","",SUMIFS(Analytics!$T$5:$T$154,Analytics!$C$5:$C$154,C351))</f>
        <v>0</v>
      </c>
      <c r="P351" s="25">
        <f>IF(C351="","",SUMIFS(Analytics!$U$5:$U$154,Analytics!$C$5:$C$154,C351))</f>
        <v>0</v>
      </c>
      <c r="Q351" s="25">
        <f>IF(C351="","",SUMIFS(Budget!$H$5:$H$64,Budget!$C$5:$C$64,C351))</f>
        <v>0</v>
      </c>
      <c r="R351" s="25">
        <f>IF(C351="","",P351-Q351)</f>
        <v>0</v>
      </c>
      <c r="S351" s="23">
        <f>IF(C351="","",MonthlyPostTarget)</f>
        <v>0</v>
      </c>
      <c r="T351" s="17">
        <f>IF(Lists!$C351="","",Lists!$C351)</f>
        <v>0</v>
      </c>
      <c r="U351" s="23">
        <f>IF(T351="","",COUNTIFS('Content Calendar'!$G$5:$G$604,T351,'Content Calendar'!$B$5:$B$604,"&gt;="&amp;DashStart,'Content Calendar'!$B$5:$B$604,"&lt;="&amp;DashEnd))</f>
        <v>0</v>
      </c>
      <c r="V351" s="23">
        <f>IF(T351="","",COUNTIFS('Content Calendar'!$G$5:$G$604,T351,'Content Calendar'!$X$5:$X$604,"Published",'Content Calendar'!$B$5:$B$604,"&gt;="&amp;DashStart,'Content Calendar'!$B$5:$B$604,"&lt;="&amp;DashEnd))</f>
        <v>0</v>
      </c>
      <c r="W351" s="23">
        <f>IF(T351="","",SUMIFS(Analytics!$J$5:$J$154,Analytics!$D$5:$D$154,T351,Analytics!$B$5:$B$154,"&gt;="&amp;DashStart,Analytics!$B$5:$B$154,"&lt;="&amp;DashEnd))</f>
        <v>0</v>
      </c>
      <c r="X351" s="23">
        <f>IF(T351="","",SUMIFS(Analytics!$L$5:$L$154,Analytics!$D$5:$D$154,T351,Analytics!$B$5:$B$154,"&gt;="&amp;DashStart,Analytics!$B$5:$B$154,"&lt;="&amp;DashEnd))</f>
        <v>0</v>
      </c>
      <c r="Y351" s="24">
        <f>IF(OR(W351="",W351=0),"",X351/W351)</f>
        <v>0</v>
      </c>
      <c r="Z351" s="23">
        <f>IF(T351="","",SUMIFS(Analytics!$G$5:$G$154,Analytics!$D$5:$D$154,T351,Analytics!$B$5:$B$154,"&gt;="&amp;DashStart,Analytics!$B$5:$B$154,"&lt;="&amp;DashEnd))</f>
        <v>0</v>
      </c>
      <c r="AA351" s="23">
        <f>IF(T351="","",SUMIFS(Analytics!$X$5:$X$154,Analytics!$D$5:$D$154,T351,Analytics!$B$5:$B$154,"&gt;="&amp;DashStart,Analytics!$B$5:$B$154,"&lt;="&amp;DashEnd))</f>
        <v>0</v>
      </c>
      <c r="AB351" s="23">
        <f>IF(T351="","",SUMIFS(Analytics!$R$5:$R$154,Analytics!$D$5:$D$154,T351,Analytics!$B$5:$B$154,"&gt;="&amp;DashStart,Analytics!$B$5:$B$154,"&lt;="&amp;DashEnd))</f>
        <v>0</v>
      </c>
      <c r="AC351" s="25">
        <f>IF(T351="","",SUMIFS(Analytics!$U$5:$U$154,Analytics!$D$5:$D$154,T351,Analytics!$B$5:$B$154,"&gt;="&amp;DashStart,Analytics!$B$5:$B$154,"&lt;="&amp;DashEnd))</f>
        <v>0</v>
      </c>
      <c r="AD351" s="23">
        <f>IF(T351="","",COUNTIFS('Content Calendar'!$G$5:$G$604,T351,'Content Calendar'!$B$5:$B$604,"&gt;="&amp;DATE(PlanYear,1,1),'Content Calendar'!$B$5:$B$604,"&lt;="&amp;DATE(PlanYear,12,31)))</f>
        <v>0</v>
      </c>
      <c r="AE351" s="23">
        <f>IF(T351="","",SUMIFS(Analytics!$J$5:$J$154,Analytics!$D$5:$D$154,T351))</f>
        <v>0</v>
      </c>
      <c r="AF351" s="23">
        <f>IF(T351="","",SUMIFS(Analytics!$L$5:$L$154,Analytics!$D$5:$D$154,T351))</f>
        <v>0</v>
      </c>
      <c r="AG351" s="24">
        <f>IF(OR(AE351="",AE351=0),"",AF351/AE351)</f>
        <v>0</v>
      </c>
      <c r="AH351" s="23">
        <f>IF(T351="","",SUMIFS(Analytics!$X$5:$X$154,Analytics!$D$5:$D$154,T351))</f>
        <v>0</v>
      </c>
      <c r="AI351" s="32">
        <f>IF(T351="","",IF(AE351=0,"",AE351+ROW()/1000000))</f>
        <v>0</v>
      </c>
      <c r="AJ351" s="17">
        <f>IF('Content Pillars'!$B$351="","",'Content Pillars'!$B$351)</f>
        <v>0</v>
      </c>
      <c r="AK351" s="23">
        <f>IF(AJ351="","",COUNTIFS('Content Calendar'!$J$5:$J$604,AJ351,'Content Calendar'!$B$5:$B$604,"&gt;="&amp;DATE(PlanYear,1,1),'Content Calendar'!$B$5:$B$604,"&lt;="&amp;DATE(PlanYear,12,31)))</f>
        <v>0</v>
      </c>
      <c r="AL351" s="23">
        <f>IF(AJ351="","",SUMIFS(Performance!$O$5:$O$404,Performance!$H$5:$H$404,AJ351))</f>
        <v>0</v>
      </c>
      <c r="AM351" s="23">
        <f>IF(AJ351="","",SUMIFS(Performance!$Z$5:$Z$404,Performance!$H$5:$H$404,AJ351))</f>
        <v>0</v>
      </c>
      <c r="AN351" s="24">
        <f>IF(OR(AL351="",AL351=0),"",AM351/AL351)</f>
        <v>0</v>
      </c>
      <c r="AO351" s="32">
        <f>IF(AN351="","",AN351+ROW()/1000000)</f>
        <v>0</v>
      </c>
      <c r="AP351" s="17">
        <f>IF(Lists!$E351="","",Lists!$E351)</f>
        <v>0</v>
      </c>
      <c r="AQ351" s="23">
        <f>IF(AP351="","",COUNTIF(Performance!$G$5:$G$404,AP351))</f>
        <v>0</v>
      </c>
      <c r="AR351" s="23">
        <f>IF(AP351="","",SUMIFS(Performance!$O$5:$O$404,Performance!$G$5:$G$404,AP351))</f>
        <v>0</v>
      </c>
      <c r="AS351" s="23">
        <f>IF(AP351="","",SUMIFS(Performance!$Z$5:$Z$404,Performance!$G$5:$G$404,AP351))</f>
        <v>0</v>
      </c>
      <c r="AT351" s="24">
        <f>IF(OR(AR351="",AR351=0),"",AS351/AR351)</f>
        <v>0</v>
      </c>
      <c r="AU351" s="32">
        <f>IF(AQ351=0,"",IF(AT351="","",AT351+ROW()/1000000))</f>
        <v>0</v>
      </c>
      <c r="AV351" s="17">
        <f>IF(ROW()-4&gt;7,"",TEXT(DATE(2024,1,ROW()-4),"ddd"))</f>
        <v>0</v>
      </c>
      <c r="AW351" s="23">
        <f>IF(AV351="","",COUNTIF(Performance!$N$5:$N$404,AV351))</f>
        <v>0</v>
      </c>
      <c r="AX351" s="23">
        <f>IF(AV351="","",SUMIFS(Performance!$O$5:$O$404,Performance!$N$5:$N$404,AV351))</f>
        <v>0</v>
      </c>
      <c r="AY351" s="23">
        <f>IF(AV351="","",SUMIFS(Performance!$Z$5:$Z$404,Performance!$N$5:$N$404,AV351))</f>
        <v>0</v>
      </c>
      <c r="AZ351" s="24">
        <f>IF(OR(AX351="",AX351=0),"",AY351/AX351)</f>
        <v>0</v>
      </c>
      <c r="BA351" s="32">
        <f>IF(AW351=0,"",IF(AZ351="","",AZ351+ROW()/1000000))</f>
        <v>0</v>
      </c>
      <c r="BB351" s="17">
        <f>IF(Lists!$AL351="","",Lists!$AL351)</f>
        <v>0</v>
      </c>
      <c r="BC351" s="23">
        <f>IF(BB351="","",COUNTIF(Performance!$M$5:$M$404,BB351))</f>
        <v>0</v>
      </c>
      <c r="BD351" s="23">
        <f>IF(BB351="","",SUMIFS(Performance!$O$5:$O$404,Performance!$M$5:$M$404,BB351))</f>
        <v>0</v>
      </c>
      <c r="BE351" s="23">
        <f>IF(BB351="","",SUMIFS(Performance!$Z$5:$Z$404,Performance!$M$5:$M$404,BB351))</f>
        <v>0</v>
      </c>
      <c r="BF351" s="24">
        <f>IF(OR(BD351="",BD351=0),"",BE351/BD351)</f>
        <v>0</v>
      </c>
      <c r="BG351" s="32">
        <f>IF(BC351=0,"",IF(BF351="","",BF351+ROW()/1000000))</f>
        <v>0</v>
      </c>
      <c r="BH351" s="17">
        <f>IF(Performance!$C$351="","",Performance!$C$351)</f>
        <v>0</v>
      </c>
      <c r="BI351" s="17">
        <f>IF(Performance!$F$351="","",Performance!$F$351)</f>
        <v>0</v>
      </c>
      <c r="BJ351" s="17">
        <f>IF(Performance!$H$351="","",Performance!$H$351)</f>
        <v>0</v>
      </c>
      <c r="BK351" s="16">
        <f>IF(Performance!$D$351="","",Performance!$D$351)</f>
        <v>0</v>
      </c>
      <c r="BL351" s="17">
        <f>IF(Performance!$E$351="","",Performance!$E$351)</f>
        <v>0</v>
      </c>
      <c r="BM351" s="23">
        <f>IF(Performance!$O$351="","",Performance!$O$351)</f>
        <v>0</v>
      </c>
      <c r="BN351" s="24">
        <f>IF(Performance!$AA$351="","",Performance!$AA$351)</f>
        <v>0</v>
      </c>
      <c r="BO351" s="32">
        <f>IF(BH351="","",IF(BK351="","",IF(OR(BK351&lt;DashStart,BK351&gt;DashEnd),"",IF(BN351="","",BN351+ROW()/1000000))))</f>
        <v>0</v>
      </c>
      <c r="BP351" s="32">
        <f>IF(BM351="","",IF(BK351="","",IF(OR(BK351&lt;DashStart,BK351&gt;DashEnd),"",BM351+ROW()/1000000)))</f>
        <v>0</v>
      </c>
      <c r="BQ351" s="32">
        <f>IF(BH351="","",IF(BK351="","",IF(YEAR(BK351)&lt;&gt;PlanYear,"",IF(BN351="","",BN351+ROW()/1000000))))</f>
        <v>0</v>
      </c>
      <c r="BR351" s="32">
        <f>IF(BH351="","",IF(BK351="","",IF(OR(BK351&lt;RepFrom,BK351&gt;RepTo),"",IF(BN351="","",BN351+ROW()/1000000))))</f>
        <v>0</v>
      </c>
      <c r="BS351" s="32">
        <f>IF(BM351="","",IF(BK351="","",IF(YEAR(BK351)&lt;&gt;PlanYear,"",BM351+ROW()/1000000)))</f>
        <v>0</v>
      </c>
      <c r="BT351" s="17">
        <f>IF(Lists!$F351="","",Lists!$F351)</f>
        <v>0</v>
      </c>
      <c r="BU351" s="23">
        <f>IF(BT351="","",COUNTIF('Content Calendar'!$X$5:$X$604,BT351))</f>
        <v>0</v>
      </c>
      <c r="BV351" s="23">
        <f>IF(BT351="","",COUNTIFS('Content Calendar'!$X$5:$X$604,BT351,'Content Calendar'!$B$5:$B$604,"&gt;="&amp;DashStart,'Content Calendar'!$B$5:$B$604,"&lt;="&amp;DashEnd))</f>
        <v>0</v>
      </c>
      <c r="BW351" s="17">
        <f>IF(Team!$B$351="","",Team!$B$351)</f>
        <v>0</v>
      </c>
      <c r="BX351" s="23">
        <f>IF(BW351="","",COUNTIF('Content Calendar'!$W$5:$W$604,BW351))</f>
        <v>0</v>
      </c>
      <c r="BY351" s="23">
        <f>IF(BW351="","",COUNTIFS('Content Calendar'!$W$5:$W$604,BW351,'Content Calendar'!$X$5:$X$604,"&lt;&gt;Published"))</f>
        <v>0</v>
      </c>
      <c r="BZ351" s="23">
        <f>IF(BW351="","",COUNTIFS(Tasks!$C$5:$C$64,BW351,Tasks!$G$5:$G$64,"&lt;&gt;Complete"))</f>
        <v>0</v>
      </c>
      <c r="CA351" s="17">
        <f>IF(Campaigns!$B$351="","",Campaigns!$B$351)</f>
        <v>0</v>
      </c>
      <c r="CB351" s="25">
        <f>IF(Campaigns!$T$351="","",Campaigns!$T$351)</f>
        <v>0</v>
      </c>
      <c r="CC351" s="25">
        <f>IF(Campaigns!$Q$351="","",Campaigns!$Q$351)</f>
        <v>0</v>
      </c>
      <c r="CD351" s="23">
        <f>IF(Campaigns!$Y$351="","",Campaigns!$Y$351)</f>
        <v>0</v>
      </c>
      <c r="CE351" s="32">
        <f>IF(CA351="","",IF(N(CB351)&lt;=0,"",N(CB351)+ROW()/1000000))</f>
        <v>0</v>
      </c>
      <c r="CF351" s="17">
        <f>IF(Accounts!$C$351="","",Accounts!$C$351)</f>
        <v>0</v>
      </c>
      <c r="CG351" s="17">
        <f>IF(Accounts!$B$351="","",Accounts!$B$351)</f>
        <v>0</v>
      </c>
      <c r="CH351" s="23">
        <f>IF(Accounts!$J$351="","",Accounts!$J$351)</f>
        <v>0</v>
      </c>
      <c r="CI351" s="23">
        <f>IF(CF351="","",SUMIFS(Analytics!$X$5:$X$154,Analytics!$E$5:$E$154,CF351,Analytics!$B$5:$B$154,"&gt;="&amp;DashStart,Analytics!$B$5:$B$154,"&lt;="&amp;DashEnd))</f>
        <v>0</v>
      </c>
      <c r="CJ351" s="32">
        <f>IF(CH351="","",IF(CH351=0,"",CH351+ROW()/1000000))</f>
        <v>0</v>
      </c>
    </row>
    <row r="352" spans="1:88">
      <c r="A352" s="16">
        <f>IF(ROW()-4&gt;12,"",DATE(PlanYear,ROW()-4,1))</f>
        <v>0</v>
      </c>
      <c r="B352" s="16">
        <f>IF(A352="","",EOMONTH(A352,0))</f>
        <v>0</v>
      </c>
      <c r="C352" s="17">
        <f>IF(A352="","",TEXT(A352,"yyyy-mm"))</f>
        <v>0</v>
      </c>
      <c r="D352" s="17">
        <f>IF(A352="","",TEXT(A352,"mmm"))</f>
        <v>0</v>
      </c>
      <c r="E352" s="23">
        <f>IF(C352="","",COUNTIFS('Content Calendar'!$D$5:$D$604,C352))</f>
        <v>0</v>
      </c>
      <c r="F352" s="23">
        <f>IF(C352="","",COUNTIFS('Content Calendar'!$D$5:$D$604,C352,'Content Calendar'!$X$5:$X$604,"Published"))</f>
        <v>0</v>
      </c>
      <c r="G352" s="23">
        <f>IF(C352="","",SUMIFS(Analytics!$J$5:$J$154,Analytics!$C$5:$C$154,C352))</f>
        <v>0</v>
      </c>
      <c r="H352" s="23">
        <f>IF(C352="","",SUMIFS(Analytics!$K$5:$K$154,Analytics!$C$5:$C$154,C352))</f>
        <v>0</v>
      </c>
      <c r="I352" s="23">
        <f>IF(C352="","",SUMIFS(Analytics!$L$5:$L$154,Analytics!$C$5:$C$154,C352))</f>
        <v>0</v>
      </c>
      <c r="J352" s="24">
        <f>IF(OR(G352="",G352=0),"",I352/G352)</f>
        <v>0</v>
      </c>
      <c r="K352" s="23">
        <f>IF(C352="","",SUMIFS(Analytics!$G$5:$G$154,Analytics!$C$5:$C$154,C352))</f>
        <v>0</v>
      </c>
      <c r="L352" s="23">
        <f>IF(C352="","",SUMIFS(Analytics!$X$5:$X$154,Analytics!$C$5:$C$154,C352))</f>
        <v>0</v>
      </c>
      <c r="M352" s="23">
        <f>IF(C352="","",SUMIFS(Analytics!$R$5:$R$154,Analytics!$C$5:$C$154,C352))</f>
        <v>0</v>
      </c>
      <c r="N352" s="23">
        <f>IF(C352="","",SUMIFS(Analytics!$S$5:$S$154,Analytics!$C$5:$C$154,C352))</f>
        <v>0</v>
      </c>
      <c r="O352" s="23">
        <f>IF(C352="","",SUMIFS(Analytics!$T$5:$T$154,Analytics!$C$5:$C$154,C352))</f>
        <v>0</v>
      </c>
      <c r="P352" s="25">
        <f>IF(C352="","",SUMIFS(Analytics!$U$5:$U$154,Analytics!$C$5:$C$154,C352))</f>
        <v>0</v>
      </c>
      <c r="Q352" s="25">
        <f>IF(C352="","",SUMIFS(Budget!$H$5:$H$64,Budget!$C$5:$C$64,C352))</f>
        <v>0</v>
      </c>
      <c r="R352" s="25">
        <f>IF(C352="","",P352-Q352)</f>
        <v>0</v>
      </c>
      <c r="S352" s="23">
        <f>IF(C352="","",MonthlyPostTarget)</f>
        <v>0</v>
      </c>
      <c r="T352" s="17">
        <f>IF(Lists!$C352="","",Lists!$C352)</f>
        <v>0</v>
      </c>
      <c r="U352" s="23">
        <f>IF(T352="","",COUNTIFS('Content Calendar'!$G$5:$G$604,T352,'Content Calendar'!$B$5:$B$604,"&gt;="&amp;DashStart,'Content Calendar'!$B$5:$B$604,"&lt;="&amp;DashEnd))</f>
        <v>0</v>
      </c>
      <c r="V352" s="23">
        <f>IF(T352="","",COUNTIFS('Content Calendar'!$G$5:$G$604,T352,'Content Calendar'!$X$5:$X$604,"Published",'Content Calendar'!$B$5:$B$604,"&gt;="&amp;DashStart,'Content Calendar'!$B$5:$B$604,"&lt;="&amp;DashEnd))</f>
        <v>0</v>
      </c>
      <c r="W352" s="23">
        <f>IF(T352="","",SUMIFS(Analytics!$J$5:$J$154,Analytics!$D$5:$D$154,T352,Analytics!$B$5:$B$154,"&gt;="&amp;DashStart,Analytics!$B$5:$B$154,"&lt;="&amp;DashEnd))</f>
        <v>0</v>
      </c>
      <c r="X352" s="23">
        <f>IF(T352="","",SUMIFS(Analytics!$L$5:$L$154,Analytics!$D$5:$D$154,T352,Analytics!$B$5:$B$154,"&gt;="&amp;DashStart,Analytics!$B$5:$B$154,"&lt;="&amp;DashEnd))</f>
        <v>0</v>
      </c>
      <c r="Y352" s="24">
        <f>IF(OR(W352="",W352=0),"",X352/W352)</f>
        <v>0</v>
      </c>
      <c r="Z352" s="23">
        <f>IF(T352="","",SUMIFS(Analytics!$G$5:$G$154,Analytics!$D$5:$D$154,T352,Analytics!$B$5:$B$154,"&gt;="&amp;DashStart,Analytics!$B$5:$B$154,"&lt;="&amp;DashEnd))</f>
        <v>0</v>
      </c>
      <c r="AA352" s="23">
        <f>IF(T352="","",SUMIFS(Analytics!$X$5:$X$154,Analytics!$D$5:$D$154,T352,Analytics!$B$5:$B$154,"&gt;="&amp;DashStart,Analytics!$B$5:$B$154,"&lt;="&amp;DashEnd))</f>
        <v>0</v>
      </c>
      <c r="AB352" s="23">
        <f>IF(T352="","",SUMIFS(Analytics!$R$5:$R$154,Analytics!$D$5:$D$154,T352,Analytics!$B$5:$B$154,"&gt;="&amp;DashStart,Analytics!$B$5:$B$154,"&lt;="&amp;DashEnd))</f>
        <v>0</v>
      </c>
      <c r="AC352" s="25">
        <f>IF(T352="","",SUMIFS(Analytics!$U$5:$U$154,Analytics!$D$5:$D$154,T352,Analytics!$B$5:$B$154,"&gt;="&amp;DashStart,Analytics!$B$5:$B$154,"&lt;="&amp;DashEnd))</f>
        <v>0</v>
      </c>
      <c r="AD352" s="23">
        <f>IF(T352="","",COUNTIFS('Content Calendar'!$G$5:$G$604,T352,'Content Calendar'!$B$5:$B$604,"&gt;="&amp;DATE(PlanYear,1,1),'Content Calendar'!$B$5:$B$604,"&lt;="&amp;DATE(PlanYear,12,31)))</f>
        <v>0</v>
      </c>
      <c r="AE352" s="23">
        <f>IF(T352="","",SUMIFS(Analytics!$J$5:$J$154,Analytics!$D$5:$D$154,T352))</f>
        <v>0</v>
      </c>
      <c r="AF352" s="23">
        <f>IF(T352="","",SUMIFS(Analytics!$L$5:$L$154,Analytics!$D$5:$D$154,T352))</f>
        <v>0</v>
      </c>
      <c r="AG352" s="24">
        <f>IF(OR(AE352="",AE352=0),"",AF352/AE352)</f>
        <v>0</v>
      </c>
      <c r="AH352" s="23">
        <f>IF(T352="","",SUMIFS(Analytics!$X$5:$X$154,Analytics!$D$5:$D$154,T352))</f>
        <v>0</v>
      </c>
      <c r="AI352" s="32">
        <f>IF(T352="","",IF(AE352=0,"",AE352+ROW()/1000000))</f>
        <v>0</v>
      </c>
      <c r="AJ352" s="17">
        <f>IF('Content Pillars'!$B$352="","",'Content Pillars'!$B$352)</f>
        <v>0</v>
      </c>
      <c r="AK352" s="23">
        <f>IF(AJ352="","",COUNTIFS('Content Calendar'!$J$5:$J$604,AJ352,'Content Calendar'!$B$5:$B$604,"&gt;="&amp;DATE(PlanYear,1,1),'Content Calendar'!$B$5:$B$604,"&lt;="&amp;DATE(PlanYear,12,31)))</f>
        <v>0</v>
      </c>
      <c r="AL352" s="23">
        <f>IF(AJ352="","",SUMIFS(Performance!$O$5:$O$404,Performance!$H$5:$H$404,AJ352))</f>
        <v>0</v>
      </c>
      <c r="AM352" s="23">
        <f>IF(AJ352="","",SUMIFS(Performance!$Z$5:$Z$404,Performance!$H$5:$H$404,AJ352))</f>
        <v>0</v>
      </c>
      <c r="AN352" s="24">
        <f>IF(OR(AL352="",AL352=0),"",AM352/AL352)</f>
        <v>0</v>
      </c>
      <c r="AO352" s="32">
        <f>IF(AN352="","",AN352+ROW()/1000000)</f>
        <v>0</v>
      </c>
      <c r="AP352" s="17">
        <f>IF(Lists!$E352="","",Lists!$E352)</f>
        <v>0</v>
      </c>
      <c r="AQ352" s="23">
        <f>IF(AP352="","",COUNTIF(Performance!$G$5:$G$404,AP352))</f>
        <v>0</v>
      </c>
      <c r="AR352" s="23">
        <f>IF(AP352="","",SUMIFS(Performance!$O$5:$O$404,Performance!$G$5:$G$404,AP352))</f>
        <v>0</v>
      </c>
      <c r="AS352" s="23">
        <f>IF(AP352="","",SUMIFS(Performance!$Z$5:$Z$404,Performance!$G$5:$G$404,AP352))</f>
        <v>0</v>
      </c>
      <c r="AT352" s="24">
        <f>IF(OR(AR352="",AR352=0),"",AS352/AR352)</f>
        <v>0</v>
      </c>
      <c r="AU352" s="32">
        <f>IF(AQ352=0,"",IF(AT352="","",AT352+ROW()/1000000))</f>
        <v>0</v>
      </c>
      <c r="AV352" s="17">
        <f>IF(ROW()-4&gt;7,"",TEXT(DATE(2024,1,ROW()-4),"ddd"))</f>
        <v>0</v>
      </c>
      <c r="AW352" s="23">
        <f>IF(AV352="","",COUNTIF(Performance!$N$5:$N$404,AV352))</f>
        <v>0</v>
      </c>
      <c r="AX352" s="23">
        <f>IF(AV352="","",SUMIFS(Performance!$O$5:$O$404,Performance!$N$5:$N$404,AV352))</f>
        <v>0</v>
      </c>
      <c r="AY352" s="23">
        <f>IF(AV352="","",SUMIFS(Performance!$Z$5:$Z$404,Performance!$N$5:$N$404,AV352))</f>
        <v>0</v>
      </c>
      <c r="AZ352" s="24">
        <f>IF(OR(AX352="",AX352=0),"",AY352/AX352)</f>
        <v>0</v>
      </c>
      <c r="BA352" s="32">
        <f>IF(AW352=0,"",IF(AZ352="","",AZ352+ROW()/1000000))</f>
        <v>0</v>
      </c>
      <c r="BB352" s="17">
        <f>IF(Lists!$AL352="","",Lists!$AL352)</f>
        <v>0</v>
      </c>
      <c r="BC352" s="23">
        <f>IF(BB352="","",COUNTIF(Performance!$M$5:$M$404,BB352))</f>
        <v>0</v>
      </c>
      <c r="BD352" s="23">
        <f>IF(BB352="","",SUMIFS(Performance!$O$5:$O$404,Performance!$M$5:$M$404,BB352))</f>
        <v>0</v>
      </c>
      <c r="BE352" s="23">
        <f>IF(BB352="","",SUMIFS(Performance!$Z$5:$Z$404,Performance!$M$5:$M$404,BB352))</f>
        <v>0</v>
      </c>
      <c r="BF352" s="24">
        <f>IF(OR(BD352="",BD352=0),"",BE352/BD352)</f>
        <v>0</v>
      </c>
      <c r="BG352" s="32">
        <f>IF(BC352=0,"",IF(BF352="","",BF352+ROW()/1000000))</f>
        <v>0</v>
      </c>
      <c r="BH352" s="17">
        <f>IF(Performance!$C$352="","",Performance!$C$352)</f>
        <v>0</v>
      </c>
      <c r="BI352" s="17">
        <f>IF(Performance!$F$352="","",Performance!$F$352)</f>
        <v>0</v>
      </c>
      <c r="BJ352" s="17">
        <f>IF(Performance!$H$352="","",Performance!$H$352)</f>
        <v>0</v>
      </c>
      <c r="BK352" s="16">
        <f>IF(Performance!$D$352="","",Performance!$D$352)</f>
        <v>0</v>
      </c>
      <c r="BL352" s="17">
        <f>IF(Performance!$E$352="","",Performance!$E$352)</f>
        <v>0</v>
      </c>
      <c r="BM352" s="23">
        <f>IF(Performance!$O$352="","",Performance!$O$352)</f>
        <v>0</v>
      </c>
      <c r="BN352" s="24">
        <f>IF(Performance!$AA$352="","",Performance!$AA$352)</f>
        <v>0</v>
      </c>
      <c r="BO352" s="32">
        <f>IF(BH352="","",IF(BK352="","",IF(OR(BK352&lt;DashStart,BK352&gt;DashEnd),"",IF(BN352="","",BN352+ROW()/1000000))))</f>
        <v>0</v>
      </c>
      <c r="BP352" s="32">
        <f>IF(BM352="","",IF(BK352="","",IF(OR(BK352&lt;DashStart,BK352&gt;DashEnd),"",BM352+ROW()/1000000)))</f>
        <v>0</v>
      </c>
      <c r="BQ352" s="32">
        <f>IF(BH352="","",IF(BK352="","",IF(YEAR(BK352)&lt;&gt;PlanYear,"",IF(BN352="","",BN352+ROW()/1000000))))</f>
        <v>0</v>
      </c>
      <c r="BR352" s="32">
        <f>IF(BH352="","",IF(BK352="","",IF(OR(BK352&lt;RepFrom,BK352&gt;RepTo),"",IF(BN352="","",BN352+ROW()/1000000))))</f>
        <v>0</v>
      </c>
      <c r="BS352" s="32">
        <f>IF(BM352="","",IF(BK352="","",IF(YEAR(BK352)&lt;&gt;PlanYear,"",BM352+ROW()/1000000)))</f>
        <v>0</v>
      </c>
      <c r="BT352" s="17">
        <f>IF(Lists!$F352="","",Lists!$F352)</f>
        <v>0</v>
      </c>
      <c r="BU352" s="23">
        <f>IF(BT352="","",COUNTIF('Content Calendar'!$X$5:$X$604,BT352))</f>
        <v>0</v>
      </c>
      <c r="BV352" s="23">
        <f>IF(BT352="","",COUNTIFS('Content Calendar'!$X$5:$X$604,BT352,'Content Calendar'!$B$5:$B$604,"&gt;="&amp;DashStart,'Content Calendar'!$B$5:$B$604,"&lt;="&amp;DashEnd))</f>
        <v>0</v>
      </c>
      <c r="BW352" s="17">
        <f>IF(Team!$B$352="","",Team!$B$352)</f>
        <v>0</v>
      </c>
      <c r="BX352" s="23">
        <f>IF(BW352="","",COUNTIF('Content Calendar'!$W$5:$W$604,BW352))</f>
        <v>0</v>
      </c>
      <c r="BY352" s="23">
        <f>IF(BW352="","",COUNTIFS('Content Calendar'!$W$5:$W$604,BW352,'Content Calendar'!$X$5:$X$604,"&lt;&gt;Published"))</f>
        <v>0</v>
      </c>
      <c r="BZ352" s="23">
        <f>IF(BW352="","",COUNTIFS(Tasks!$C$5:$C$64,BW352,Tasks!$G$5:$G$64,"&lt;&gt;Complete"))</f>
        <v>0</v>
      </c>
      <c r="CA352" s="17">
        <f>IF(Campaigns!$B$352="","",Campaigns!$B$352)</f>
        <v>0</v>
      </c>
      <c r="CB352" s="25">
        <f>IF(Campaigns!$T$352="","",Campaigns!$T$352)</f>
        <v>0</v>
      </c>
      <c r="CC352" s="25">
        <f>IF(Campaigns!$Q$352="","",Campaigns!$Q$352)</f>
        <v>0</v>
      </c>
      <c r="CD352" s="23">
        <f>IF(Campaigns!$Y$352="","",Campaigns!$Y$352)</f>
        <v>0</v>
      </c>
      <c r="CE352" s="32">
        <f>IF(CA352="","",IF(N(CB352)&lt;=0,"",N(CB352)+ROW()/1000000))</f>
        <v>0</v>
      </c>
      <c r="CF352" s="17">
        <f>IF(Accounts!$C$352="","",Accounts!$C$352)</f>
        <v>0</v>
      </c>
      <c r="CG352" s="17">
        <f>IF(Accounts!$B$352="","",Accounts!$B$352)</f>
        <v>0</v>
      </c>
      <c r="CH352" s="23">
        <f>IF(Accounts!$J$352="","",Accounts!$J$352)</f>
        <v>0</v>
      </c>
      <c r="CI352" s="23">
        <f>IF(CF352="","",SUMIFS(Analytics!$X$5:$X$154,Analytics!$E$5:$E$154,CF352,Analytics!$B$5:$B$154,"&gt;="&amp;DashStart,Analytics!$B$5:$B$154,"&lt;="&amp;DashEnd))</f>
        <v>0</v>
      </c>
      <c r="CJ352" s="32">
        <f>IF(CH352="","",IF(CH352=0,"",CH352+ROW()/1000000))</f>
        <v>0</v>
      </c>
    </row>
    <row r="353" spans="1:88">
      <c r="A353" s="16">
        <f>IF(ROW()-4&gt;12,"",DATE(PlanYear,ROW()-4,1))</f>
        <v>0</v>
      </c>
      <c r="B353" s="16">
        <f>IF(A353="","",EOMONTH(A353,0))</f>
        <v>0</v>
      </c>
      <c r="C353" s="17">
        <f>IF(A353="","",TEXT(A353,"yyyy-mm"))</f>
        <v>0</v>
      </c>
      <c r="D353" s="17">
        <f>IF(A353="","",TEXT(A353,"mmm"))</f>
        <v>0</v>
      </c>
      <c r="E353" s="23">
        <f>IF(C353="","",COUNTIFS('Content Calendar'!$D$5:$D$604,C353))</f>
        <v>0</v>
      </c>
      <c r="F353" s="23">
        <f>IF(C353="","",COUNTIFS('Content Calendar'!$D$5:$D$604,C353,'Content Calendar'!$X$5:$X$604,"Published"))</f>
        <v>0</v>
      </c>
      <c r="G353" s="23">
        <f>IF(C353="","",SUMIFS(Analytics!$J$5:$J$154,Analytics!$C$5:$C$154,C353))</f>
        <v>0</v>
      </c>
      <c r="H353" s="23">
        <f>IF(C353="","",SUMIFS(Analytics!$K$5:$K$154,Analytics!$C$5:$C$154,C353))</f>
        <v>0</v>
      </c>
      <c r="I353" s="23">
        <f>IF(C353="","",SUMIFS(Analytics!$L$5:$L$154,Analytics!$C$5:$C$154,C353))</f>
        <v>0</v>
      </c>
      <c r="J353" s="24">
        <f>IF(OR(G353="",G353=0),"",I353/G353)</f>
        <v>0</v>
      </c>
      <c r="K353" s="23">
        <f>IF(C353="","",SUMIFS(Analytics!$G$5:$G$154,Analytics!$C$5:$C$154,C353))</f>
        <v>0</v>
      </c>
      <c r="L353" s="23">
        <f>IF(C353="","",SUMIFS(Analytics!$X$5:$X$154,Analytics!$C$5:$C$154,C353))</f>
        <v>0</v>
      </c>
      <c r="M353" s="23">
        <f>IF(C353="","",SUMIFS(Analytics!$R$5:$R$154,Analytics!$C$5:$C$154,C353))</f>
        <v>0</v>
      </c>
      <c r="N353" s="23">
        <f>IF(C353="","",SUMIFS(Analytics!$S$5:$S$154,Analytics!$C$5:$C$154,C353))</f>
        <v>0</v>
      </c>
      <c r="O353" s="23">
        <f>IF(C353="","",SUMIFS(Analytics!$T$5:$T$154,Analytics!$C$5:$C$154,C353))</f>
        <v>0</v>
      </c>
      <c r="P353" s="25">
        <f>IF(C353="","",SUMIFS(Analytics!$U$5:$U$154,Analytics!$C$5:$C$154,C353))</f>
        <v>0</v>
      </c>
      <c r="Q353" s="25">
        <f>IF(C353="","",SUMIFS(Budget!$H$5:$H$64,Budget!$C$5:$C$64,C353))</f>
        <v>0</v>
      </c>
      <c r="R353" s="25">
        <f>IF(C353="","",P353-Q353)</f>
        <v>0</v>
      </c>
      <c r="S353" s="23">
        <f>IF(C353="","",MonthlyPostTarget)</f>
        <v>0</v>
      </c>
      <c r="T353" s="17">
        <f>IF(Lists!$C353="","",Lists!$C353)</f>
        <v>0</v>
      </c>
      <c r="U353" s="23">
        <f>IF(T353="","",COUNTIFS('Content Calendar'!$G$5:$G$604,T353,'Content Calendar'!$B$5:$B$604,"&gt;="&amp;DashStart,'Content Calendar'!$B$5:$B$604,"&lt;="&amp;DashEnd))</f>
        <v>0</v>
      </c>
      <c r="V353" s="23">
        <f>IF(T353="","",COUNTIFS('Content Calendar'!$G$5:$G$604,T353,'Content Calendar'!$X$5:$X$604,"Published",'Content Calendar'!$B$5:$B$604,"&gt;="&amp;DashStart,'Content Calendar'!$B$5:$B$604,"&lt;="&amp;DashEnd))</f>
        <v>0</v>
      </c>
      <c r="W353" s="23">
        <f>IF(T353="","",SUMIFS(Analytics!$J$5:$J$154,Analytics!$D$5:$D$154,T353,Analytics!$B$5:$B$154,"&gt;="&amp;DashStart,Analytics!$B$5:$B$154,"&lt;="&amp;DashEnd))</f>
        <v>0</v>
      </c>
      <c r="X353" s="23">
        <f>IF(T353="","",SUMIFS(Analytics!$L$5:$L$154,Analytics!$D$5:$D$154,T353,Analytics!$B$5:$B$154,"&gt;="&amp;DashStart,Analytics!$B$5:$B$154,"&lt;="&amp;DashEnd))</f>
        <v>0</v>
      </c>
      <c r="Y353" s="24">
        <f>IF(OR(W353="",W353=0),"",X353/W353)</f>
        <v>0</v>
      </c>
      <c r="Z353" s="23">
        <f>IF(T353="","",SUMIFS(Analytics!$G$5:$G$154,Analytics!$D$5:$D$154,T353,Analytics!$B$5:$B$154,"&gt;="&amp;DashStart,Analytics!$B$5:$B$154,"&lt;="&amp;DashEnd))</f>
        <v>0</v>
      </c>
      <c r="AA353" s="23">
        <f>IF(T353="","",SUMIFS(Analytics!$X$5:$X$154,Analytics!$D$5:$D$154,T353,Analytics!$B$5:$B$154,"&gt;="&amp;DashStart,Analytics!$B$5:$B$154,"&lt;="&amp;DashEnd))</f>
        <v>0</v>
      </c>
      <c r="AB353" s="23">
        <f>IF(T353="","",SUMIFS(Analytics!$R$5:$R$154,Analytics!$D$5:$D$154,T353,Analytics!$B$5:$B$154,"&gt;="&amp;DashStart,Analytics!$B$5:$B$154,"&lt;="&amp;DashEnd))</f>
        <v>0</v>
      </c>
      <c r="AC353" s="25">
        <f>IF(T353="","",SUMIFS(Analytics!$U$5:$U$154,Analytics!$D$5:$D$154,T353,Analytics!$B$5:$B$154,"&gt;="&amp;DashStart,Analytics!$B$5:$B$154,"&lt;="&amp;DashEnd))</f>
        <v>0</v>
      </c>
      <c r="AD353" s="23">
        <f>IF(T353="","",COUNTIFS('Content Calendar'!$G$5:$G$604,T353,'Content Calendar'!$B$5:$B$604,"&gt;="&amp;DATE(PlanYear,1,1),'Content Calendar'!$B$5:$B$604,"&lt;="&amp;DATE(PlanYear,12,31)))</f>
        <v>0</v>
      </c>
      <c r="AE353" s="23">
        <f>IF(T353="","",SUMIFS(Analytics!$J$5:$J$154,Analytics!$D$5:$D$154,T353))</f>
        <v>0</v>
      </c>
      <c r="AF353" s="23">
        <f>IF(T353="","",SUMIFS(Analytics!$L$5:$L$154,Analytics!$D$5:$D$154,T353))</f>
        <v>0</v>
      </c>
      <c r="AG353" s="24">
        <f>IF(OR(AE353="",AE353=0),"",AF353/AE353)</f>
        <v>0</v>
      </c>
      <c r="AH353" s="23">
        <f>IF(T353="","",SUMIFS(Analytics!$X$5:$X$154,Analytics!$D$5:$D$154,T353))</f>
        <v>0</v>
      </c>
      <c r="AI353" s="32">
        <f>IF(T353="","",IF(AE353=0,"",AE353+ROW()/1000000))</f>
        <v>0</v>
      </c>
      <c r="AJ353" s="17">
        <f>IF('Content Pillars'!$B$353="","",'Content Pillars'!$B$353)</f>
        <v>0</v>
      </c>
      <c r="AK353" s="23">
        <f>IF(AJ353="","",COUNTIFS('Content Calendar'!$J$5:$J$604,AJ353,'Content Calendar'!$B$5:$B$604,"&gt;="&amp;DATE(PlanYear,1,1),'Content Calendar'!$B$5:$B$604,"&lt;="&amp;DATE(PlanYear,12,31)))</f>
        <v>0</v>
      </c>
      <c r="AL353" s="23">
        <f>IF(AJ353="","",SUMIFS(Performance!$O$5:$O$404,Performance!$H$5:$H$404,AJ353))</f>
        <v>0</v>
      </c>
      <c r="AM353" s="23">
        <f>IF(AJ353="","",SUMIFS(Performance!$Z$5:$Z$404,Performance!$H$5:$H$404,AJ353))</f>
        <v>0</v>
      </c>
      <c r="AN353" s="24">
        <f>IF(OR(AL353="",AL353=0),"",AM353/AL353)</f>
        <v>0</v>
      </c>
      <c r="AO353" s="32">
        <f>IF(AN353="","",AN353+ROW()/1000000)</f>
        <v>0</v>
      </c>
      <c r="AP353" s="17">
        <f>IF(Lists!$E353="","",Lists!$E353)</f>
        <v>0</v>
      </c>
      <c r="AQ353" s="23">
        <f>IF(AP353="","",COUNTIF(Performance!$G$5:$G$404,AP353))</f>
        <v>0</v>
      </c>
      <c r="AR353" s="23">
        <f>IF(AP353="","",SUMIFS(Performance!$O$5:$O$404,Performance!$G$5:$G$404,AP353))</f>
        <v>0</v>
      </c>
      <c r="AS353" s="23">
        <f>IF(AP353="","",SUMIFS(Performance!$Z$5:$Z$404,Performance!$G$5:$G$404,AP353))</f>
        <v>0</v>
      </c>
      <c r="AT353" s="24">
        <f>IF(OR(AR353="",AR353=0),"",AS353/AR353)</f>
        <v>0</v>
      </c>
      <c r="AU353" s="32">
        <f>IF(AQ353=0,"",IF(AT353="","",AT353+ROW()/1000000))</f>
        <v>0</v>
      </c>
      <c r="AV353" s="17">
        <f>IF(ROW()-4&gt;7,"",TEXT(DATE(2024,1,ROW()-4),"ddd"))</f>
        <v>0</v>
      </c>
      <c r="AW353" s="23">
        <f>IF(AV353="","",COUNTIF(Performance!$N$5:$N$404,AV353))</f>
        <v>0</v>
      </c>
      <c r="AX353" s="23">
        <f>IF(AV353="","",SUMIFS(Performance!$O$5:$O$404,Performance!$N$5:$N$404,AV353))</f>
        <v>0</v>
      </c>
      <c r="AY353" s="23">
        <f>IF(AV353="","",SUMIFS(Performance!$Z$5:$Z$404,Performance!$N$5:$N$404,AV353))</f>
        <v>0</v>
      </c>
      <c r="AZ353" s="24">
        <f>IF(OR(AX353="",AX353=0),"",AY353/AX353)</f>
        <v>0</v>
      </c>
      <c r="BA353" s="32">
        <f>IF(AW353=0,"",IF(AZ353="","",AZ353+ROW()/1000000))</f>
        <v>0</v>
      </c>
      <c r="BB353" s="17">
        <f>IF(Lists!$AL353="","",Lists!$AL353)</f>
        <v>0</v>
      </c>
      <c r="BC353" s="23">
        <f>IF(BB353="","",COUNTIF(Performance!$M$5:$M$404,BB353))</f>
        <v>0</v>
      </c>
      <c r="BD353" s="23">
        <f>IF(BB353="","",SUMIFS(Performance!$O$5:$O$404,Performance!$M$5:$M$404,BB353))</f>
        <v>0</v>
      </c>
      <c r="BE353" s="23">
        <f>IF(BB353="","",SUMIFS(Performance!$Z$5:$Z$404,Performance!$M$5:$M$404,BB353))</f>
        <v>0</v>
      </c>
      <c r="BF353" s="24">
        <f>IF(OR(BD353="",BD353=0),"",BE353/BD353)</f>
        <v>0</v>
      </c>
      <c r="BG353" s="32">
        <f>IF(BC353=0,"",IF(BF353="","",BF353+ROW()/1000000))</f>
        <v>0</v>
      </c>
      <c r="BH353" s="17">
        <f>IF(Performance!$C$353="","",Performance!$C$353)</f>
        <v>0</v>
      </c>
      <c r="BI353" s="17">
        <f>IF(Performance!$F$353="","",Performance!$F$353)</f>
        <v>0</v>
      </c>
      <c r="BJ353" s="17">
        <f>IF(Performance!$H$353="","",Performance!$H$353)</f>
        <v>0</v>
      </c>
      <c r="BK353" s="16">
        <f>IF(Performance!$D$353="","",Performance!$D$353)</f>
        <v>0</v>
      </c>
      <c r="BL353" s="17">
        <f>IF(Performance!$E$353="","",Performance!$E$353)</f>
        <v>0</v>
      </c>
      <c r="BM353" s="23">
        <f>IF(Performance!$O$353="","",Performance!$O$353)</f>
        <v>0</v>
      </c>
      <c r="BN353" s="24">
        <f>IF(Performance!$AA$353="","",Performance!$AA$353)</f>
        <v>0</v>
      </c>
      <c r="BO353" s="32">
        <f>IF(BH353="","",IF(BK353="","",IF(OR(BK353&lt;DashStart,BK353&gt;DashEnd),"",IF(BN353="","",BN353+ROW()/1000000))))</f>
        <v>0</v>
      </c>
      <c r="BP353" s="32">
        <f>IF(BM353="","",IF(BK353="","",IF(OR(BK353&lt;DashStart,BK353&gt;DashEnd),"",BM353+ROW()/1000000)))</f>
        <v>0</v>
      </c>
      <c r="BQ353" s="32">
        <f>IF(BH353="","",IF(BK353="","",IF(YEAR(BK353)&lt;&gt;PlanYear,"",IF(BN353="","",BN353+ROW()/1000000))))</f>
        <v>0</v>
      </c>
      <c r="BR353" s="32">
        <f>IF(BH353="","",IF(BK353="","",IF(OR(BK353&lt;RepFrom,BK353&gt;RepTo),"",IF(BN353="","",BN353+ROW()/1000000))))</f>
        <v>0</v>
      </c>
      <c r="BS353" s="32">
        <f>IF(BM353="","",IF(BK353="","",IF(YEAR(BK353)&lt;&gt;PlanYear,"",BM353+ROW()/1000000)))</f>
        <v>0</v>
      </c>
      <c r="BT353" s="17">
        <f>IF(Lists!$F353="","",Lists!$F353)</f>
        <v>0</v>
      </c>
      <c r="BU353" s="23">
        <f>IF(BT353="","",COUNTIF('Content Calendar'!$X$5:$X$604,BT353))</f>
        <v>0</v>
      </c>
      <c r="BV353" s="23">
        <f>IF(BT353="","",COUNTIFS('Content Calendar'!$X$5:$X$604,BT353,'Content Calendar'!$B$5:$B$604,"&gt;="&amp;DashStart,'Content Calendar'!$B$5:$B$604,"&lt;="&amp;DashEnd))</f>
        <v>0</v>
      </c>
      <c r="BW353" s="17">
        <f>IF(Team!$B$353="","",Team!$B$353)</f>
        <v>0</v>
      </c>
      <c r="BX353" s="23">
        <f>IF(BW353="","",COUNTIF('Content Calendar'!$W$5:$W$604,BW353))</f>
        <v>0</v>
      </c>
      <c r="BY353" s="23">
        <f>IF(BW353="","",COUNTIFS('Content Calendar'!$W$5:$W$604,BW353,'Content Calendar'!$X$5:$X$604,"&lt;&gt;Published"))</f>
        <v>0</v>
      </c>
      <c r="BZ353" s="23">
        <f>IF(BW353="","",COUNTIFS(Tasks!$C$5:$C$64,BW353,Tasks!$G$5:$G$64,"&lt;&gt;Complete"))</f>
        <v>0</v>
      </c>
      <c r="CA353" s="17">
        <f>IF(Campaigns!$B$353="","",Campaigns!$B$353)</f>
        <v>0</v>
      </c>
      <c r="CB353" s="25">
        <f>IF(Campaigns!$T$353="","",Campaigns!$T$353)</f>
        <v>0</v>
      </c>
      <c r="CC353" s="25">
        <f>IF(Campaigns!$Q$353="","",Campaigns!$Q$353)</f>
        <v>0</v>
      </c>
      <c r="CD353" s="23">
        <f>IF(Campaigns!$Y$353="","",Campaigns!$Y$353)</f>
        <v>0</v>
      </c>
      <c r="CE353" s="32">
        <f>IF(CA353="","",IF(N(CB353)&lt;=0,"",N(CB353)+ROW()/1000000))</f>
        <v>0</v>
      </c>
      <c r="CF353" s="17">
        <f>IF(Accounts!$C$353="","",Accounts!$C$353)</f>
        <v>0</v>
      </c>
      <c r="CG353" s="17">
        <f>IF(Accounts!$B$353="","",Accounts!$B$353)</f>
        <v>0</v>
      </c>
      <c r="CH353" s="23">
        <f>IF(Accounts!$J$353="","",Accounts!$J$353)</f>
        <v>0</v>
      </c>
      <c r="CI353" s="23">
        <f>IF(CF353="","",SUMIFS(Analytics!$X$5:$X$154,Analytics!$E$5:$E$154,CF353,Analytics!$B$5:$B$154,"&gt;="&amp;DashStart,Analytics!$B$5:$B$154,"&lt;="&amp;DashEnd))</f>
        <v>0</v>
      </c>
      <c r="CJ353" s="32">
        <f>IF(CH353="","",IF(CH353=0,"",CH353+ROW()/1000000))</f>
        <v>0</v>
      </c>
    </row>
    <row r="354" spans="1:88">
      <c r="A354" s="16">
        <f>IF(ROW()-4&gt;12,"",DATE(PlanYear,ROW()-4,1))</f>
        <v>0</v>
      </c>
      <c r="B354" s="16">
        <f>IF(A354="","",EOMONTH(A354,0))</f>
        <v>0</v>
      </c>
      <c r="C354" s="17">
        <f>IF(A354="","",TEXT(A354,"yyyy-mm"))</f>
        <v>0</v>
      </c>
      <c r="D354" s="17">
        <f>IF(A354="","",TEXT(A354,"mmm"))</f>
        <v>0</v>
      </c>
      <c r="E354" s="23">
        <f>IF(C354="","",COUNTIFS('Content Calendar'!$D$5:$D$604,C354))</f>
        <v>0</v>
      </c>
      <c r="F354" s="23">
        <f>IF(C354="","",COUNTIFS('Content Calendar'!$D$5:$D$604,C354,'Content Calendar'!$X$5:$X$604,"Published"))</f>
        <v>0</v>
      </c>
      <c r="G354" s="23">
        <f>IF(C354="","",SUMIFS(Analytics!$J$5:$J$154,Analytics!$C$5:$C$154,C354))</f>
        <v>0</v>
      </c>
      <c r="H354" s="23">
        <f>IF(C354="","",SUMIFS(Analytics!$K$5:$K$154,Analytics!$C$5:$C$154,C354))</f>
        <v>0</v>
      </c>
      <c r="I354" s="23">
        <f>IF(C354="","",SUMIFS(Analytics!$L$5:$L$154,Analytics!$C$5:$C$154,C354))</f>
        <v>0</v>
      </c>
      <c r="J354" s="24">
        <f>IF(OR(G354="",G354=0),"",I354/G354)</f>
        <v>0</v>
      </c>
      <c r="K354" s="23">
        <f>IF(C354="","",SUMIFS(Analytics!$G$5:$G$154,Analytics!$C$5:$C$154,C354))</f>
        <v>0</v>
      </c>
      <c r="L354" s="23">
        <f>IF(C354="","",SUMIFS(Analytics!$X$5:$X$154,Analytics!$C$5:$C$154,C354))</f>
        <v>0</v>
      </c>
      <c r="M354" s="23">
        <f>IF(C354="","",SUMIFS(Analytics!$R$5:$R$154,Analytics!$C$5:$C$154,C354))</f>
        <v>0</v>
      </c>
      <c r="N354" s="23">
        <f>IF(C354="","",SUMIFS(Analytics!$S$5:$S$154,Analytics!$C$5:$C$154,C354))</f>
        <v>0</v>
      </c>
      <c r="O354" s="23">
        <f>IF(C354="","",SUMIFS(Analytics!$T$5:$T$154,Analytics!$C$5:$C$154,C354))</f>
        <v>0</v>
      </c>
      <c r="P354" s="25">
        <f>IF(C354="","",SUMIFS(Analytics!$U$5:$U$154,Analytics!$C$5:$C$154,C354))</f>
        <v>0</v>
      </c>
      <c r="Q354" s="25">
        <f>IF(C354="","",SUMIFS(Budget!$H$5:$H$64,Budget!$C$5:$C$64,C354))</f>
        <v>0</v>
      </c>
      <c r="R354" s="25">
        <f>IF(C354="","",P354-Q354)</f>
        <v>0</v>
      </c>
      <c r="S354" s="23">
        <f>IF(C354="","",MonthlyPostTarget)</f>
        <v>0</v>
      </c>
      <c r="T354" s="17">
        <f>IF(Lists!$C354="","",Lists!$C354)</f>
        <v>0</v>
      </c>
      <c r="U354" s="23">
        <f>IF(T354="","",COUNTIFS('Content Calendar'!$G$5:$G$604,T354,'Content Calendar'!$B$5:$B$604,"&gt;="&amp;DashStart,'Content Calendar'!$B$5:$B$604,"&lt;="&amp;DashEnd))</f>
        <v>0</v>
      </c>
      <c r="V354" s="23">
        <f>IF(T354="","",COUNTIFS('Content Calendar'!$G$5:$G$604,T354,'Content Calendar'!$X$5:$X$604,"Published",'Content Calendar'!$B$5:$B$604,"&gt;="&amp;DashStart,'Content Calendar'!$B$5:$B$604,"&lt;="&amp;DashEnd))</f>
        <v>0</v>
      </c>
      <c r="W354" s="23">
        <f>IF(T354="","",SUMIFS(Analytics!$J$5:$J$154,Analytics!$D$5:$D$154,T354,Analytics!$B$5:$B$154,"&gt;="&amp;DashStart,Analytics!$B$5:$B$154,"&lt;="&amp;DashEnd))</f>
        <v>0</v>
      </c>
      <c r="X354" s="23">
        <f>IF(T354="","",SUMIFS(Analytics!$L$5:$L$154,Analytics!$D$5:$D$154,T354,Analytics!$B$5:$B$154,"&gt;="&amp;DashStart,Analytics!$B$5:$B$154,"&lt;="&amp;DashEnd))</f>
        <v>0</v>
      </c>
      <c r="Y354" s="24">
        <f>IF(OR(W354="",W354=0),"",X354/W354)</f>
        <v>0</v>
      </c>
      <c r="Z354" s="23">
        <f>IF(T354="","",SUMIFS(Analytics!$G$5:$G$154,Analytics!$D$5:$D$154,T354,Analytics!$B$5:$B$154,"&gt;="&amp;DashStart,Analytics!$B$5:$B$154,"&lt;="&amp;DashEnd))</f>
        <v>0</v>
      </c>
      <c r="AA354" s="23">
        <f>IF(T354="","",SUMIFS(Analytics!$X$5:$X$154,Analytics!$D$5:$D$154,T354,Analytics!$B$5:$B$154,"&gt;="&amp;DashStart,Analytics!$B$5:$B$154,"&lt;="&amp;DashEnd))</f>
        <v>0</v>
      </c>
      <c r="AB354" s="23">
        <f>IF(T354="","",SUMIFS(Analytics!$R$5:$R$154,Analytics!$D$5:$D$154,T354,Analytics!$B$5:$B$154,"&gt;="&amp;DashStart,Analytics!$B$5:$B$154,"&lt;="&amp;DashEnd))</f>
        <v>0</v>
      </c>
      <c r="AC354" s="25">
        <f>IF(T354="","",SUMIFS(Analytics!$U$5:$U$154,Analytics!$D$5:$D$154,T354,Analytics!$B$5:$B$154,"&gt;="&amp;DashStart,Analytics!$B$5:$B$154,"&lt;="&amp;DashEnd))</f>
        <v>0</v>
      </c>
      <c r="AD354" s="23">
        <f>IF(T354="","",COUNTIFS('Content Calendar'!$G$5:$G$604,T354,'Content Calendar'!$B$5:$B$604,"&gt;="&amp;DATE(PlanYear,1,1),'Content Calendar'!$B$5:$B$604,"&lt;="&amp;DATE(PlanYear,12,31)))</f>
        <v>0</v>
      </c>
      <c r="AE354" s="23">
        <f>IF(T354="","",SUMIFS(Analytics!$J$5:$J$154,Analytics!$D$5:$D$154,T354))</f>
        <v>0</v>
      </c>
      <c r="AF354" s="23">
        <f>IF(T354="","",SUMIFS(Analytics!$L$5:$L$154,Analytics!$D$5:$D$154,T354))</f>
        <v>0</v>
      </c>
      <c r="AG354" s="24">
        <f>IF(OR(AE354="",AE354=0),"",AF354/AE354)</f>
        <v>0</v>
      </c>
      <c r="AH354" s="23">
        <f>IF(T354="","",SUMIFS(Analytics!$X$5:$X$154,Analytics!$D$5:$D$154,T354))</f>
        <v>0</v>
      </c>
      <c r="AI354" s="32">
        <f>IF(T354="","",IF(AE354=0,"",AE354+ROW()/1000000))</f>
        <v>0</v>
      </c>
      <c r="AJ354" s="17">
        <f>IF('Content Pillars'!$B$354="","",'Content Pillars'!$B$354)</f>
        <v>0</v>
      </c>
      <c r="AK354" s="23">
        <f>IF(AJ354="","",COUNTIFS('Content Calendar'!$J$5:$J$604,AJ354,'Content Calendar'!$B$5:$B$604,"&gt;="&amp;DATE(PlanYear,1,1),'Content Calendar'!$B$5:$B$604,"&lt;="&amp;DATE(PlanYear,12,31)))</f>
        <v>0</v>
      </c>
      <c r="AL354" s="23">
        <f>IF(AJ354="","",SUMIFS(Performance!$O$5:$O$404,Performance!$H$5:$H$404,AJ354))</f>
        <v>0</v>
      </c>
      <c r="AM354" s="23">
        <f>IF(AJ354="","",SUMIFS(Performance!$Z$5:$Z$404,Performance!$H$5:$H$404,AJ354))</f>
        <v>0</v>
      </c>
      <c r="AN354" s="24">
        <f>IF(OR(AL354="",AL354=0),"",AM354/AL354)</f>
        <v>0</v>
      </c>
      <c r="AO354" s="32">
        <f>IF(AN354="","",AN354+ROW()/1000000)</f>
        <v>0</v>
      </c>
      <c r="AP354" s="17">
        <f>IF(Lists!$E354="","",Lists!$E354)</f>
        <v>0</v>
      </c>
      <c r="AQ354" s="23">
        <f>IF(AP354="","",COUNTIF(Performance!$G$5:$G$404,AP354))</f>
        <v>0</v>
      </c>
      <c r="AR354" s="23">
        <f>IF(AP354="","",SUMIFS(Performance!$O$5:$O$404,Performance!$G$5:$G$404,AP354))</f>
        <v>0</v>
      </c>
      <c r="AS354" s="23">
        <f>IF(AP354="","",SUMIFS(Performance!$Z$5:$Z$404,Performance!$G$5:$G$404,AP354))</f>
        <v>0</v>
      </c>
      <c r="AT354" s="24">
        <f>IF(OR(AR354="",AR354=0),"",AS354/AR354)</f>
        <v>0</v>
      </c>
      <c r="AU354" s="32">
        <f>IF(AQ354=0,"",IF(AT354="","",AT354+ROW()/1000000))</f>
        <v>0</v>
      </c>
      <c r="AV354" s="17">
        <f>IF(ROW()-4&gt;7,"",TEXT(DATE(2024,1,ROW()-4),"ddd"))</f>
        <v>0</v>
      </c>
      <c r="AW354" s="23">
        <f>IF(AV354="","",COUNTIF(Performance!$N$5:$N$404,AV354))</f>
        <v>0</v>
      </c>
      <c r="AX354" s="23">
        <f>IF(AV354="","",SUMIFS(Performance!$O$5:$O$404,Performance!$N$5:$N$404,AV354))</f>
        <v>0</v>
      </c>
      <c r="AY354" s="23">
        <f>IF(AV354="","",SUMIFS(Performance!$Z$5:$Z$404,Performance!$N$5:$N$404,AV354))</f>
        <v>0</v>
      </c>
      <c r="AZ354" s="24">
        <f>IF(OR(AX354="",AX354=0),"",AY354/AX354)</f>
        <v>0</v>
      </c>
      <c r="BA354" s="32">
        <f>IF(AW354=0,"",IF(AZ354="","",AZ354+ROW()/1000000))</f>
        <v>0</v>
      </c>
      <c r="BB354" s="17">
        <f>IF(Lists!$AL354="","",Lists!$AL354)</f>
        <v>0</v>
      </c>
      <c r="BC354" s="23">
        <f>IF(BB354="","",COUNTIF(Performance!$M$5:$M$404,BB354))</f>
        <v>0</v>
      </c>
      <c r="BD354" s="23">
        <f>IF(BB354="","",SUMIFS(Performance!$O$5:$O$404,Performance!$M$5:$M$404,BB354))</f>
        <v>0</v>
      </c>
      <c r="BE354" s="23">
        <f>IF(BB354="","",SUMIFS(Performance!$Z$5:$Z$404,Performance!$M$5:$M$404,BB354))</f>
        <v>0</v>
      </c>
      <c r="BF354" s="24">
        <f>IF(OR(BD354="",BD354=0),"",BE354/BD354)</f>
        <v>0</v>
      </c>
      <c r="BG354" s="32">
        <f>IF(BC354=0,"",IF(BF354="","",BF354+ROW()/1000000))</f>
        <v>0</v>
      </c>
      <c r="BH354" s="17">
        <f>IF(Performance!$C$354="","",Performance!$C$354)</f>
        <v>0</v>
      </c>
      <c r="BI354" s="17">
        <f>IF(Performance!$F$354="","",Performance!$F$354)</f>
        <v>0</v>
      </c>
      <c r="BJ354" s="17">
        <f>IF(Performance!$H$354="","",Performance!$H$354)</f>
        <v>0</v>
      </c>
      <c r="BK354" s="16">
        <f>IF(Performance!$D$354="","",Performance!$D$354)</f>
        <v>0</v>
      </c>
      <c r="BL354" s="17">
        <f>IF(Performance!$E$354="","",Performance!$E$354)</f>
        <v>0</v>
      </c>
      <c r="BM354" s="23">
        <f>IF(Performance!$O$354="","",Performance!$O$354)</f>
        <v>0</v>
      </c>
      <c r="BN354" s="24">
        <f>IF(Performance!$AA$354="","",Performance!$AA$354)</f>
        <v>0</v>
      </c>
      <c r="BO354" s="32">
        <f>IF(BH354="","",IF(BK354="","",IF(OR(BK354&lt;DashStart,BK354&gt;DashEnd),"",IF(BN354="","",BN354+ROW()/1000000))))</f>
        <v>0</v>
      </c>
      <c r="BP354" s="32">
        <f>IF(BM354="","",IF(BK354="","",IF(OR(BK354&lt;DashStart,BK354&gt;DashEnd),"",BM354+ROW()/1000000)))</f>
        <v>0</v>
      </c>
      <c r="BQ354" s="32">
        <f>IF(BH354="","",IF(BK354="","",IF(YEAR(BK354)&lt;&gt;PlanYear,"",IF(BN354="","",BN354+ROW()/1000000))))</f>
        <v>0</v>
      </c>
      <c r="BR354" s="32">
        <f>IF(BH354="","",IF(BK354="","",IF(OR(BK354&lt;RepFrom,BK354&gt;RepTo),"",IF(BN354="","",BN354+ROW()/1000000))))</f>
        <v>0</v>
      </c>
      <c r="BS354" s="32">
        <f>IF(BM354="","",IF(BK354="","",IF(YEAR(BK354)&lt;&gt;PlanYear,"",BM354+ROW()/1000000)))</f>
        <v>0</v>
      </c>
      <c r="BT354" s="17">
        <f>IF(Lists!$F354="","",Lists!$F354)</f>
        <v>0</v>
      </c>
      <c r="BU354" s="23">
        <f>IF(BT354="","",COUNTIF('Content Calendar'!$X$5:$X$604,BT354))</f>
        <v>0</v>
      </c>
      <c r="BV354" s="23">
        <f>IF(BT354="","",COUNTIFS('Content Calendar'!$X$5:$X$604,BT354,'Content Calendar'!$B$5:$B$604,"&gt;="&amp;DashStart,'Content Calendar'!$B$5:$B$604,"&lt;="&amp;DashEnd))</f>
        <v>0</v>
      </c>
      <c r="BW354" s="17">
        <f>IF(Team!$B$354="","",Team!$B$354)</f>
        <v>0</v>
      </c>
      <c r="BX354" s="23">
        <f>IF(BW354="","",COUNTIF('Content Calendar'!$W$5:$W$604,BW354))</f>
        <v>0</v>
      </c>
      <c r="BY354" s="23">
        <f>IF(BW354="","",COUNTIFS('Content Calendar'!$W$5:$W$604,BW354,'Content Calendar'!$X$5:$X$604,"&lt;&gt;Published"))</f>
        <v>0</v>
      </c>
      <c r="BZ354" s="23">
        <f>IF(BW354="","",COUNTIFS(Tasks!$C$5:$C$64,BW354,Tasks!$G$5:$G$64,"&lt;&gt;Complete"))</f>
        <v>0</v>
      </c>
      <c r="CA354" s="17">
        <f>IF(Campaigns!$B$354="","",Campaigns!$B$354)</f>
        <v>0</v>
      </c>
      <c r="CB354" s="25">
        <f>IF(Campaigns!$T$354="","",Campaigns!$T$354)</f>
        <v>0</v>
      </c>
      <c r="CC354" s="25">
        <f>IF(Campaigns!$Q$354="","",Campaigns!$Q$354)</f>
        <v>0</v>
      </c>
      <c r="CD354" s="23">
        <f>IF(Campaigns!$Y$354="","",Campaigns!$Y$354)</f>
        <v>0</v>
      </c>
      <c r="CE354" s="32">
        <f>IF(CA354="","",IF(N(CB354)&lt;=0,"",N(CB354)+ROW()/1000000))</f>
        <v>0</v>
      </c>
      <c r="CF354" s="17">
        <f>IF(Accounts!$C$354="","",Accounts!$C$354)</f>
        <v>0</v>
      </c>
      <c r="CG354" s="17">
        <f>IF(Accounts!$B$354="","",Accounts!$B$354)</f>
        <v>0</v>
      </c>
      <c r="CH354" s="23">
        <f>IF(Accounts!$J$354="","",Accounts!$J$354)</f>
        <v>0</v>
      </c>
      <c r="CI354" s="23">
        <f>IF(CF354="","",SUMIFS(Analytics!$X$5:$X$154,Analytics!$E$5:$E$154,CF354,Analytics!$B$5:$B$154,"&gt;="&amp;DashStart,Analytics!$B$5:$B$154,"&lt;="&amp;DashEnd))</f>
        <v>0</v>
      </c>
      <c r="CJ354" s="32">
        <f>IF(CH354="","",IF(CH354=0,"",CH354+ROW()/1000000))</f>
        <v>0</v>
      </c>
    </row>
    <row r="355" spans="1:88">
      <c r="A355" s="16">
        <f>IF(ROW()-4&gt;12,"",DATE(PlanYear,ROW()-4,1))</f>
        <v>0</v>
      </c>
      <c r="B355" s="16">
        <f>IF(A355="","",EOMONTH(A355,0))</f>
        <v>0</v>
      </c>
      <c r="C355" s="17">
        <f>IF(A355="","",TEXT(A355,"yyyy-mm"))</f>
        <v>0</v>
      </c>
      <c r="D355" s="17">
        <f>IF(A355="","",TEXT(A355,"mmm"))</f>
        <v>0</v>
      </c>
      <c r="E355" s="23">
        <f>IF(C355="","",COUNTIFS('Content Calendar'!$D$5:$D$604,C355))</f>
        <v>0</v>
      </c>
      <c r="F355" s="23">
        <f>IF(C355="","",COUNTIFS('Content Calendar'!$D$5:$D$604,C355,'Content Calendar'!$X$5:$X$604,"Published"))</f>
        <v>0</v>
      </c>
      <c r="G355" s="23">
        <f>IF(C355="","",SUMIFS(Analytics!$J$5:$J$154,Analytics!$C$5:$C$154,C355))</f>
        <v>0</v>
      </c>
      <c r="H355" s="23">
        <f>IF(C355="","",SUMIFS(Analytics!$K$5:$K$154,Analytics!$C$5:$C$154,C355))</f>
        <v>0</v>
      </c>
      <c r="I355" s="23">
        <f>IF(C355="","",SUMIFS(Analytics!$L$5:$L$154,Analytics!$C$5:$C$154,C355))</f>
        <v>0</v>
      </c>
      <c r="J355" s="24">
        <f>IF(OR(G355="",G355=0),"",I355/G355)</f>
        <v>0</v>
      </c>
      <c r="K355" s="23">
        <f>IF(C355="","",SUMIFS(Analytics!$G$5:$G$154,Analytics!$C$5:$C$154,C355))</f>
        <v>0</v>
      </c>
      <c r="L355" s="23">
        <f>IF(C355="","",SUMIFS(Analytics!$X$5:$X$154,Analytics!$C$5:$C$154,C355))</f>
        <v>0</v>
      </c>
      <c r="M355" s="23">
        <f>IF(C355="","",SUMIFS(Analytics!$R$5:$R$154,Analytics!$C$5:$C$154,C355))</f>
        <v>0</v>
      </c>
      <c r="N355" s="23">
        <f>IF(C355="","",SUMIFS(Analytics!$S$5:$S$154,Analytics!$C$5:$C$154,C355))</f>
        <v>0</v>
      </c>
      <c r="O355" s="23">
        <f>IF(C355="","",SUMIFS(Analytics!$T$5:$T$154,Analytics!$C$5:$C$154,C355))</f>
        <v>0</v>
      </c>
      <c r="P355" s="25">
        <f>IF(C355="","",SUMIFS(Analytics!$U$5:$U$154,Analytics!$C$5:$C$154,C355))</f>
        <v>0</v>
      </c>
      <c r="Q355" s="25">
        <f>IF(C355="","",SUMIFS(Budget!$H$5:$H$64,Budget!$C$5:$C$64,C355))</f>
        <v>0</v>
      </c>
      <c r="R355" s="25">
        <f>IF(C355="","",P355-Q355)</f>
        <v>0</v>
      </c>
      <c r="S355" s="23">
        <f>IF(C355="","",MonthlyPostTarget)</f>
        <v>0</v>
      </c>
      <c r="T355" s="17">
        <f>IF(Lists!$C355="","",Lists!$C355)</f>
        <v>0</v>
      </c>
      <c r="U355" s="23">
        <f>IF(T355="","",COUNTIFS('Content Calendar'!$G$5:$G$604,T355,'Content Calendar'!$B$5:$B$604,"&gt;="&amp;DashStart,'Content Calendar'!$B$5:$B$604,"&lt;="&amp;DashEnd))</f>
        <v>0</v>
      </c>
      <c r="V355" s="23">
        <f>IF(T355="","",COUNTIFS('Content Calendar'!$G$5:$G$604,T355,'Content Calendar'!$X$5:$X$604,"Published",'Content Calendar'!$B$5:$B$604,"&gt;="&amp;DashStart,'Content Calendar'!$B$5:$B$604,"&lt;="&amp;DashEnd))</f>
        <v>0</v>
      </c>
      <c r="W355" s="23">
        <f>IF(T355="","",SUMIFS(Analytics!$J$5:$J$154,Analytics!$D$5:$D$154,T355,Analytics!$B$5:$B$154,"&gt;="&amp;DashStart,Analytics!$B$5:$B$154,"&lt;="&amp;DashEnd))</f>
        <v>0</v>
      </c>
      <c r="X355" s="23">
        <f>IF(T355="","",SUMIFS(Analytics!$L$5:$L$154,Analytics!$D$5:$D$154,T355,Analytics!$B$5:$B$154,"&gt;="&amp;DashStart,Analytics!$B$5:$B$154,"&lt;="&amp;DashEnd))</f>
        <v>0</v>
      </c>
      <c r="Y355" s="24">
        <f>IF(OR(W355="",W355=0),"",X355/W355)</f>
        <v>0</v>
      </c>
      <c r="Z355" s="23">
        <f>IF(T355="","",SUMIFS(Analytics!$G$5:$G$154,Analytics!$D$5:$D$154,T355,Analytics!$B$5:$B$154,"&gt;="&amp;DashStart,Analytics!$B$5:$B$154,"&lt;="&amp;DashEnd))</f>
        <v>0</v>
      </c>
      <c r="AA355" s="23">
        <f>IF(T355="","",SUMIFS(Analytics!$X$5:$X$154,Analytics!$D$5:$D$154,T355,Analytics!$B$5:$B$154,"&gt;="&amp;DashStart,Analytics!$B$5:$B$154,"&lt;="&amp;DashEnd))</f>
        <v>0</v>
      </c>
      <c r="AB355" s="23">
        <f>IF(T355="","",SUMIFS(Analytics!$R$5:$R$154,Analytics!$D$5:$D$154,T355,Analytics!$B$5:$B$154,"&gt;="&amp;DashStart,Analytics!$B$5:$B$154,"&lt;="&amp;DashEnd))</f>
        <v>0</v>
      </c>
      <c r="AC355" s="25">
        <f>IF(T355="","",SUMIFS(Analytics!$U$5:$U$154,Analytics!$D$5:$D$154,T355,Analytics!$B$5:$B$154,"&gt;="&amp;DashStart,Analytics!$B$5:$B$154,"&lt;="&amp;DashEnd))</f>
        <v>0</v>
      </c>
      <c r="AD355" s="23">
        <f>IF(T355="","",COUNTIFS('Content Calendar'!$G$5:$G$604,T355,'Content Calendar'!$B$5:$B$604,"&gt;="&amp;DATE(PlanYear,1,1),'Content Calendar'!$B$5:$B$604,"&lt;="&amp;DATE(PlanYear,12,31)))</f>
        <v>0</v>
      </c>
      <c r="AE355" s="23">
        <f>IF(T355="","",SUMIFS(Analytics!$J$5:$J$154,Analytics!$D$5:$D$154,T355))</f>
        <v>0</v>
      </c>
      <c r="AF355" s="23">
        <f>IF(T355="","",SUMIFS(Analytics!$L$5:$L$154,Analytics!$D$5:$D$154,T355))</f>
        <v>0</v>
      </c>
      <c r="AG355" s="24">
        <f>IF(OR(AE355="",AE355=0),"",AF355/AE355)</f>
        <v>0</v>
      </c>
      <c r="AH355" s="23">
        <f>IF(T355="","",SUMIFS(Analytics!$X$5:$X$154,Analytics!$D$5:$D$154,T355))</f>
        <v>0</v>
      </c>
      <c r="AI355" s="32">
        <f>IF(T355="","",IF(AE355=0,"",AE355+ROW()/1000000))</f>
        <v>0</v>
      </c>
      <c r="AJ355" s="17">
        <f>IF('Content Pillars'!$B$355="","",'Content Pillars'!$B$355)</f>
        <v>0</v>
      </c>
      <c r="AK355" s="23">
        <f>IF(AJ355="","",COUNTIFS('Content Calendar'!$J$5:$J$604,AJ355,'Content Calendar'!$B$5:$B$604,"&gt;="&amp;DATE(PlanYear,1,1),'Content Calendar'!$B$5:$B$604,"&lt;="&amp;DATE(PlanYear,12,31)))</f>
        <v>0</v>
      </c>
      <c r="AL355" s="23">
        <f>IF(AJ355="","",SUMIFS(Performance!$O$5:$O$404,Performance!$H$5:$H$404,AJ355))</f>
        <v>0</v>
      </c>
      <c r="AM355" s="23">
        <f>IF(AJ355="","",SUMIFS(Performance!$Z$5:$Z$404,Performance!$H$5:$H$404,AJ355))</f>
        <v>0</v>
      </c>
      <c r="AN355" s="24">
        <f>IF(OR(AL355="",AL355=0),"",AM355/AL355)</f>
        <v>0</v>
      </c>
      <c r="AO355" s="32">
        <f>IF(AN355="","",AN355+ROW()/1000000)</f>
        <v>0</v>
      </c>
      <c r="AP355" s="17">
        <f>IF(Lists!$E355="","",Lists!$E355)</f>
        <v>0</v>
      </c>
      <c r="AQ355" s="23">
        <f>IF(AP355="","",COUNTIF(Performance!$G$5:$G$404,AP355))</f>
        <v>0</v>
      </c>
      <c r="AR355" s="23">
        <f>IF(AP355="","",SUMIFS(Performance!$O$5:$O$404,Performance!$G$5:$G$404,AP355))</f>
        <v>0</v>
      </c>
      <c r="AS355" s="23">
        <f>IF(AP355="","",SUMIFS(Performance!$Z$5:$Z$404,Performance!$G$5:$G$404,AP355))</f>
        <v>0</v>
      </c>
      <c r="AT355" s="24">
        <f>IF(OR(AR355="",AR355=0),"",AS355/AR355)</f>
        <v>0</v>
      </c>
      <c r="AU355" s="32">
        <f>IF(AQ355=0,"",IF(AT355="","",AT355+ROW()/1000000))</f>
        <v>0</v>
      </c>
      <c r="AV355" s="17">
        <f>IF(ROW()-4&gt;7,"",TEXT(DATE(2024,1,ROW()-4),"ddd"))</f>
        <v>0</v>
      </c>
      <c r="AW355" s="23">
        <f>IF(AV355="","",COUNTIF(Performance!$N$5:$N$404,AV355))</f>
        <v>0</v>
      </c>
      <c r="AX355" s="23">
        <f>IF(AV355="","",SUMIFS(Performance!$O$5:$O$404,Performance!$N$5:$N$404,AV355))</f>
        <v>0</v>
      </c>
      <c r="AY355" s="23">
        <f>IF(AV355="","",SUMIFS(Performance!$Z$5:$Z$404,Performance!$N$5:$N$404,AV355))</f>
        <v>0</v>
      </c>
      <c r="AZ355" s="24">
        <f>IF(OR(AX355="",AX355=0),"",AY355/AX355)</f>
        <v>0</v>
      </c>
      <c r="BA355" s="32">
        <f>IF(AW355=0,"",IF(AZ355="","",AZ355+ROW()/1000000))</f>
        <v>0</v>
      </c>
      <c r="BB355" s="17">
        <f>IF(Lists!$AL355="","",Lists!$AL355)</f>
        <v>0</v>
      </c>
      <c r="BC355" s="23">
        <f>IF(BB355="","",COUNTIF(Performance!$M$5:$M$404,BB355))</f>
        <v>0</v>
      </c>
      <c r="BD355" s="23">
        <f>IF(BB355="","",SUMIFS(Performance!$O$5:$O$404,Performance!$M$5:$M$404,BB355))</f>
        <v>0</v>
      </c>
      <c r="BE355" s="23">
        <f>IF(BB355="","",SUMIFS(Performance!$Z$5:$Z$404,Performance!$M$5:$M$404,BB355))</f>
        <v>0</v>
      </c>
      <c r="BF355" s="24">
        <f>IF(OR(BD355="",BD355=0),"",BE355/BD355)</f>
        <v>0</v>
      </c>
      <c r="BG355" s="32">
        <f>IF(BC355=0,"",IF(BF355="","",BF355+ROW()/1000000))</f>
        <v>0</v>
      </c>
      <c r="BH355" s="17">
        <f>IF(Performance!$C$355="","",Performance!$C$355)</f>
        <v>0</v>
      </c>
      <c r="BI355" s="17">
        <f>IF(Performance!$F$355="","",Performance!$F$355)</f>
        <v>0</v>
      </c>
      <c r="BJ355" s="17">
        <f>IF(Performance!$H$355="","",Performance!$H$355)</f>
        <v>0</v>
      </c>
      <c r="BK355" s="16">
        <f>IF(Performance!$D$355="","",Performance!$D$355)</f>
        <v>0</v>
      </c>
      <c r="BL355" s="17">
        <f>IF(Performance!$E$355="","",Performance!$E$355)</f>
        <v>0</v>
      </c>
      <c r="BM355" s="23">
        <f>IF(Performance!$O$355="","",Performance!$O$355)</f>
        <v>0</v>
      </c>
      <c r="BN355" s="24">
        <f>IF(Performance!$AA$355="","",Performance!$AA$355)</f>
        <v>0</v>
      </c>
      <c r="BO355" s="32">
        <f>IF(BH355="","",IF(BK355="","",IF(OR(BK355&lt;DashStart,BK355&gt;DashEnd),"",IF(BN355="","",BN355+ROW()/1000000))))</f>
        <v>0</v>
      </c>
      <c r="BP355" s="32">
        <f>IF(BM355="","",IF(BK355="","",IF(OR(BK355&lt;DashStart,BK355&gt;DashEnd),"",BM355+ROW()/1000000)))</f>
        <v>0</v>
      </c>
      <c r="BQ355" s="32">
        <f>IF(BH355="","",IF(BK355="","",IF(YEAR(BK355)&lt;&gt;PlanYear,"",IF(BN355="","",BN355+ROW()/1000000))))</f>
        <v>0</v>
      </c>
      <c r="BR355" s="32">
        <f>IF(BH355="","",IF(BK355="","",IF(OR(BK355&lt;RepFrom,BK355&gt;RepTo),"",IF(BN355="","",BN355+ROW()/1000000))))</f>
        <v>0</v>
      </c>
      <c r="BS355" s="32">
        <f>IF(BM355="","",IF(BK355="","",IF(YEAR(BK355)&lt;&gt;PlanYear,"",BM355+ROW()/1000000)))</f>
        <v>0</v>
      </c>
      <c r="BT355" s="17">
        <f>IF(Lists!$F355="","",Lists!$F355)</f>
        <v>0</v>
      </c>
      <c r="BU355" s="23">
        <f>IF(BT355="","",COUNTIF('Content Calendar'!$X$5:$X$604,BT355))</f>
        <v>0</v>
      </c>
      <c r="BV355" s="23">
        <f>IF(BT355="","",COUNTIFS('Content Calendar'!$X$5:$X$604,BT355,'Content Calendar'!$B$5:$B$604,"&gt;="&amp;DashStart,'Content Calendar'!$B$5:$B$604,"&lt;="&amp;DashEnd))</f>
        <v>0</v>
      </c>
      <c r="BW355" s="17">
        <f>IF(Team!$B$355="","",Team!$B$355)</f>
        <v>0</v>
      </c>
      <c r="BX355" s="23">
        <f>IF(BW355="","",COUNTIF('Content Calendar'!$W$5:$W$604,BW355))</f>
        <v>0</v>
      </c>
      <c r="BY355" s="23">
        <f>IF(BW355="","",COUNTIFS('Content Calendar'!$W$5:$W$604,BW355,'Content Calendar'!$X$5:$X$604,"&lt;&gt;Published"))</f>
        <v>0</v>
      </c>
      <c r="BZ355" s="23">
        <f>IF(BW355="","",COUNTIFS(Tasks!$C$5:$C$64,BW355,Tasks!$G$5:$G$64,"&lt;&gt;Complete"))</f>
        <v>0</v>
      </c>
      <c r="CA355" s="17">
        <f>IF(Campaigns!$B$355="","",Campaigns!$B$355)</f>
        <v>0</v>
      </c>
      <c r="CB355" s="25">
        <f>IF(Campaigns!$T$355="","",Campaigns!$T$355)</f>
        <v>0</v>
      </c>
      <c r="CC355" s="25">
        <f>IF(Campaigns!$Q$355="","",Campaigns!$Q$355)</f>
        <v>0</v>
      </c>
      <c r="CD355" s="23">
        <f>IF(Campaigns!$Y$355="","",Campaigns!$Y$355)</f>
        <v>0</v>
      </c>
      <c r="CE355" s="32">
        <f>IF(CA355="","",IF(N(CB355)&lt;=0,"",N(CB355)+ROW()/1000000))</f>
        <v>0</v>
      </c>
      <c r="CF355" s="17">
        <f>IF(Accounts!$C$355="","",Accounts!$C$355)</f>
        <v>0</v>
      </c>
      <c r="CG355" s="17">
        <f>IF(Accounts!$B$355="","",Accounts!$B$355)</f>
        <v>0</v>
      </c>
      <c r="CH355" s="23">
        <f>IF(Accounts!$J$355="","",Accounts!$J$355)</f>
        <v>0</v>
      </c>
      <c r="CI355" s="23">
        <f>IF(CF355="","",SUMIFS(Analytics!$X$5:$X$154,Analytics!$E$5:$E$154,CF355,Analytics!$B$5:$B$154,"&gt;="&amp;DashStart,Analytics!$B$5:$B$154,"&lt;="&amp;DashEnd))</f>
        <v>0</v>
      </c>
      <c r="CJ355" s="32">
        <f>IF(CH355="","",IF(CH355=0,"",CH355+ROW()/1000000))</f>
        <v>0</v>
      </c>
    </row>
    <row r="356" spans="1:88">
      <c r="A356" s="16">
        <f>IF(ROW()-4&gt;12,"",DATE(PlanYear,ROW()-4,1))</f>
        <v>0</v>
      </c>
      <c r="B356" s="16">
        <f>IF(A356="","",EOMONTH(A356,0))</f>
        <v>0</v>
      </c>
      <c r="C356" s="17">
        <f>IF(A356="","",TEXT(A356,"yyyy-mm"))</f>
        <v>0</v>
      </c>
      <c r="D356" s="17">
        <f>IF(A356="","",TEXT(A356,"mmm"))</f>
        <v>0</v>
      </c>
      <c r="E356" s="23">
        <f>IF(C356="","",COUNTIFS('Content Calendar'!$D$5:$D$604,C356))</f>
        <v>0</v>
      </c>
      <c r="F356" s="23">
        <f>IF(C356="","",COUNTIFS('Content Calendar'!$D$5:$D$604,C356,'Content Calendar'!$X$5:$X$604,"Published"))</f>
        <v>0</v>
      </c>
      <c r="G356" s="23">
        <f>IF(C356="","",SUMIFS(Analytics!$J$5:$J$154,Analytics!$C$5:$C$154,C356))</f>
        <v>0</v>
      </c>
      <c r="H356" s="23">
        <f>IF(C356="","",SUMIFS(Analytics!$K$5:$K$154,Analytics!$C$5:$C$154,C356))</f>
        <v>0</v>
      </c>
      <c r="I356" s="23">
        <f>IF(C356="","",SUMIFS(Analytics!$L$5:$L$154,Analytics!$C$5:$C$154,C356))</f>
        <v>0</v>
      </c>
      <c r="J356" s="24">
        <f>IF(OR(G356="",G356=0),"",I356/G356)</f>
        <v>0</v>
      </c>
      <c r="K356" s="23">
        <f>IF(C356="","",SUMIFS(Analytics!$G$5:$G$154,Analytics!$C$5:$C$154,C356))</f>
        <v>0</v>
      </c>
      <c r="L356" s="23">
        <f>IF(C356="","",SUMIFS(Analytics!$X$5:$X$154,Analytics!$C$5:$C$154,C356))</f>
        <v>0</v>
      </c>
      <c r="M356" s="23">
        <f>IF(C356="","",SUMIFS(Analytics!$R$5:$R$154,Analytics!$C$5:$C$154,C356))</f>
        <v>0</v>
      </c>
      <c r="N356" s="23">
        <f>IF(C356="","",SUMIFS(Analytics!$S$5:$S$154,Analytics!$C$5:$C$154,C356))</f>
        <v>0</v>
      </c>
      <c r="O356" s="23">
        <f>IF(C356="","",SUMIFS(Analytics!$T$5:$T$154,Analytics!$C$5:$C$154,C356))</f>
        <v>0</v>
      </c>
      <c r="P356" s="25">
        <f>IF(C356="","",SUMIFS(Analytics!$U$5:$U$154,Analytics!$C$5:$C$154,C356))</f>
        <v>0</v>
      </c>
      <c r="Q356" s="25">
        <f>IF(C356="","",SUMIFS(Budget!$H$5:$H$64,Budget!$C$5:$C$64,C356))</f>
        <v>0</v>
      </c>
      <c r="R356" s="25">
        <f>IF(C356="","",P356-Q356)</f>
        <v>0</v>
      </c>
      <c r="S356" s="23">
        <f>IF(C356="","",MonthlyPostTarget)</f>
        <v>0</v>
      </c>
      <c r="T356" s="17">
        <f>IF(Lists!$C356="","",Lists!$C356)</f>
        <v>0</v>
      </c>
      <c r="U356" s="23">
        <f>IF(T356="","",COUNTIFS('Content Calendar'!$G$5:$G$604,T356,'Content Calendar'!$B$5:$B$604,"&gt;="&amp;DashStart,'Content Calendar'!$B$5:$B$604,"&lt;="&amp;DashEnd))</f>
        <v>0</v>
      </c>
      <c r="V356" s="23">
        <f>IF(T356="","",COUNTIFS('Content Calendar'!$G$5:$G$604,T356,'Content Calendar'!$X$5:$X$604,"Published",'Content Calendar'!$B$5:$B$604,"&gt;="&amp;DashStart,'Content Calendar'!$B$5:$B$604,"&lt;="&amp;DashEnd))</f>
        <v>0</v>
      </c>
      <c r="W356" s="23">
        <f>IF(T356="","",SUMIFS(Analytics!$J$5:$J$154,Analytics!$D$5:$D$154,T356,Analytics!$B$5:$B$154,"&gt;="&amp;DashStart,Analytics!$B$5:$B$154,"&lt;="&amp;DashEnd))</f>
        <v>0</v>
      </c>
      <c r="X356" s="23">
        <f>IF(T356="","",SUMIFS(Analytics!$L$5:$L$154,Analytics!$D$5:$D$154,T356,Analytics!$B$5:$B$154,"&gt;="&amp;DashStart,Analytics!$B$5:$B$154,"&lt;="&amp;DashEnd))</f>
        <v>0</v>
      </c>
      <c r="Y356" s="24">
        <f>IF(OR(W356="",W356=0),"",X356/W356)</f>
        <v>0</v>
      </c>
      <c r="Z356" s="23">
        <f>IF(T356="","",SUMIFS(Analytics!$G$5:$G$154,Analytics!$D$5:$D$154,T356,Analytics!$B$5:$B$154,"&gt;="&amp;DashStart,Analytics!$B$5:$B$154,"&lt;="&amp;DashEnd))</f>
        <v>0</v>
      </c>
      <c r="AA356" s="23">
        <f>IF(T356="","",SUMIFS(Analytics!$X$5:$X$154,Analytics!$D$5:$D$154,T356,Analytics!$B$5:$B$154,"&gt;="&amp;DashStart,Analytics!$B$5:$B$154,"&lt;="&amp;DashEnd))</f>
        <v>0</v>
      </c>
      <c r="AB356" s="23">
        <f>IF(T356="","",SUMIFS(Analytics!$R$5:$R$154,Analytics!$D$5:$D$154,T356,Analytics!$B$5:$B$154,"&gt;="&amp;DashStart,Analytics!$B$5:$B$154,"&lt;="&amp;DashEnd))</f>
        <v>0</v>
      </c>
      <c r="AC356" s="25">
        <f>IF(T356="","",SUMIFS(Analytics!$U$5:$U$154,Analytics!$D$5:$D$154,T356,Analytics!$B$5:$B$154,"&gt;="&amp;DashStart,Analytics!$B$5:$B$154,"&lt;="&amp;DashEnd))</f>
        <v>0</v>
      </c>
      <c r="AD356" s="23">
        <f>IF(T356="","",COUNTIFS('Content Calendar'!$G$5:$G$604,T356,'Content Calendar'!$B$5:$B$604,"&gt;="&amp;DATE(PlanYear,1,1),'Content Calendar'!$B$5:$B$604,"&lt;="&amp;DATE(PlanYear,12,31)))</f>
        <v>0</v>
      </c>
      <c r="AE356" s="23">
        <f>IF(T356="","",SUMIFS(Analytics!$J$5:$J$154,Analytics!$D$5:$D$154,T356))</f>
        <v>0</v>
      </c>
      <c r="AF356" s="23">
        <f>IF(T356="","",SUMIFS(Analytics!$L$5:$L$154,Analytics!$D$5:$D$154,T356))</f>
        <v>0</v>
      </c>
      <c r="AG356" s="24">
        <f>IF(OR(AE356="",AE356=0),"",AF356/AE356)</f>
        <v>0</v>
      </c>
      <c r="AH356" s="23">
        <f>IF(T356="","",SUMIFS(Analytics!$X$5:$X$154,Analytics!$D$5:$D$154,T356))</f>
        <v>0</v>
      </c>
      <c r="AI356" s="32">
        <f>IF(T356="","",IF(AE356=0,"",AE356+ROW()/1000000))</f>
        <v>0</v>
      </c>
      <c r="AJ356" s="17">
        <f>IF('Content Pillars'!$B$356="","",'Content Pillars'!$B$356)</f>
        <v>0</v>
      </c>
      <c r="AK356" s="23">
        <f>IF(AJ356="","",COUNTIFS('Content Calendar'!$J$5:$J$604,AJ356,'Content Calendar'!$B$5:$B$604,"&gt;="&amp;DATE(PlanYear,1,1),'Content Calendar'!$B$5:$B$604,"&lt;="&amp;DATE(PlanYear,12,31)))</f>
        <v>0</v>
      </c>
      <c r="AL356" s="23">
        <f>IF(AJ356="","",SUMIFS(Performance!$O$5:$O$404,Performance!$H$5:$H$404,AJ356))</f>
        <v>0</v>
      </c>
      <c r="AM356" s="23">
        <f>IF(AJ356="","",SUMIFS(Performance!$Z$5:$Z$404,Performance!$H$5:$H$404,AJ356))</f>
        <v>0</v>
      </c>
      <c r="AN356" s="24">
        <f>IF(OR(AL356="",AL356=0),"",AM356/AL356)</f>
        <v>0</v>
      </c>
      <c r="AO356" s="32">
        <f>IF(AN356="","",AN356+ROW()/1000000)</f>
        <v>0</v>
      </c>
      <c r="AP356" s="17">
        <f>IF(Lists!$E356="","",Lists!$E356)</f>
        <v>0</v>
      </c>
      <c r="AQ356" s="23">
        <f>IF(AP356="","",COUNTIF(Performance!$G$5:$G$404,AP356))</f>
        <v>0</v>
      </c>
      <c r="AR356" s="23">
        <f>IF(AP356="","",SUMIFS(Performance!$O$5:$O$404,Performance!$G$5:$G$404,AP356))</f>
        <v>0</v>
      </c>
      <c r="AS356" s="23">
        <f>IF(AP356="","",SUMIFS(Performance!$Z$5:$Z$404,Performance!$G$5:$G$404,AP356))</f>
        <v>0</v>
      </c>
      <c r="AT356" s="24">
        <f>IF(OR(AR356="",AR356=0),"",AS356/AR356)</f>
        <v>0</v>
      </c>
      <c r="AU356" s="32">
        <f>IF(AQ356=0,"",IF(AT356="","",AT356+ROW()/1000000))</f>
        <v>0</v>
      </c>
      <c r="AV356" s="17">
        <f>IF(ROW()-4&gt;7,"",TEXT(DATE(2024,1,ROW()-4),"ddd"))</f>
        <v>0</v>
      </c>
      <c r="AW356" s="23">
        <f>IF(AV356="","",COUNTIF(Performance!$N$5:$N$404,AV356))</f>
        <v>0</v>
      </c>
      <c r="AX356" s="23">
        <f>IF(AV356="","",SUMIFS(Performance!$O$5:$O$404,Performance!$N$5:$N$404,AV356))</f>
        <v>0</v>
      </c>
      <c r="AY356" s="23">
        <f>IF(AV356="","",SUMIFS(Performance!$Z$5:$Z$404,Performance!$N$5:$N$404,AV356))</f>
        <v>0</v>
      </c>
      <c r="AZ356" s="24">
        <f>IF(OR(AX356="",AX356=0),"",AY356/AX356)</f>
        <v>0</v>
      </c>
      <c r="BA356" s="32">
        <f>IF(AW356=0,"",IF(AZ356="","",AZ356+ROW()/1000000))</f>
        <v>0</v>
      </c>
      <c r="BB356" s="17">
        <f>IF(Lists!$AL356="","",Lists!$AL356)</f>
        <v>0</v>
      </c>
      <c r="BC356" s="23">
        <f>IF(BB356="","",COUNTIF(Performance!$M$5:$M$404,BB356))</f>
        <v>0</v>
      </c>
      <c r="BD356" s="23">
        <f>IF(BB356="","",SUMIFS(Performance!$O$5:$O$404,Performance!$M$5:$M$404,BB356))</f>
        <v>0</v>
      </c>
      <c r="BE356" s="23">
        <f>IF(BB356="","",SUMIFS(Performance!$Z$5:$Z$404,Performance!$M$5:$M$404,BB356))</f>
        <v>0</v>
      </c>
      <c r="BF356" s="24">
        <f>IF(OR(BD356="",BD356=0),"",BE356/BD356)</f>
        <v>0</v>
      </c>
      <c r="BG356" s="32">
        <f>IF(BC356=0,"",IF(BF356="","",BF356+ROW()/1000000))</f>
        <v>0</v>
      </c>
      <c r="BH356" s="17">
        <f>IF(Performance!$C$356="","",Performance!$C$356)</f>
        <v>0</v>
      </c>
      <c r="BI356" s="17">
        <f>IF(Performance!$F$356="","",Performance!$F$356)</f>
        <v>0</v>
      </c>
      <c r="BJ356" s="17">
        <f>IF(Performance!$H$356="","",Performance!$H$356)</f>
        <v>0</v>
      </c>
      <c r="BK356" s="16">
        <f>IF(Performance!$D$356="","",Performance!$D$356)</f>
        <v>0</v>
      </c>
      <c r="BL356" s="17">
        <f>IF(Performance!$E$356="","",Performance!$E$356)</f>
        <v>0</v>
      </c>
      <c r="BM356" s="23">
        <f>IF(Performance!$O$356="","",Performance!$O$356)</f>
        <v>0</v>
      </c>
      <c r="BN356" s="24">
        <f>IF(Performance!$AA$356="","",Performance!$AA$356)</f>
        <v>0</v>
      </c>
      <c r="BO356" s="32">
        <f>IF(BH356="","",IF(BK356="","",IF(OR(BK356&lt;DashStart,BK356&gt;DashEnd),"",IF(BN356="","",BN356+ROW()/1000000))))</f>
        <v>0</v>
      </c>
      <c r="BP356" s="32">
        <f>IF(BM356="","",IF(BK356="","",IF(OR(BK356&lt;DashStart,BK356&gt;DashEnd),"",BM356+ROW()/1000000)))</f>
        <v>0</v>
      </c>
      <c r="BQ356" s="32">
        <f>IF(BH356="","",IF(BK356="","",IF(YEAR(BK356)&lt;&gt;PlanYear,"",IF(BN356="","",BN356+ROW()/1000000))))</f>
        <v>0</v>
      </c>
      <c r="BR356" s="32">
        <f>IF(BH356="","",IF(BK356="","",IF(OR(BK356&lt;RepFrom,BK356&gt;RepTo),"",IF(BN356="","",BN356+ROW()/1000000))))</f>
        <v>0</v>
      </c>
      <c r="BS356" s="32">
        <f>IF(BM356="","",IF(BK356="","",IF(YEAR(BK356)&lt;&gt;PlanYear,"",BM356+ROW()/1000000)))</f>
        <v>0</v>
      </c>
      <c r="BT356" s="17">
        <f>IF(Lists!$F356="","",Lists!$F356)</f>
        <v>0</v>
      </c>
      <c r="BU356" s="23">
        <f>IF(BT356="","",COUNTIF('Content Calendar'!$X$5:$X$604,BT356))</f>
        <v>0</v>
      </c>
      <c r="BV356" s="23">
        <f>IF(BT356="","",COUNTIFS('Content Calendar'!$X$5:$X$604,BT356,'Content Calendar'!$B$5:$B$604,"&gt;="&amp;DashStart,'Content Calendar'!$B$5:$B$604,"&lt;="&amp;DashEnd))</f>
        <v>0</v>
      </c>
      <c r="BW356" s="17">
        <f>IF(Team!$B$356="","",Team!$B$356)</f>
        <v>0</v>
      </c>
      <c r="BX356" s="23">
        <f>IF(BW356="","",COUNTIF('Content Calendar'!$W$5:$W$604,BW356))</f>
        <v>0</v>
      </c>
      <c r="BY356" s="23">
        <f>IF(BW356="","",COUNTIFS('Content Calendar'!$W$5:$W$604,BW356,'Content Calendar'!$X$5:$X$604,"&lt;&gt;Published"))</f>
        <v>0</v>
      </c>
      <c r="BZ356" s="23">
        <f>IF(BW356="","",COUNTIFS(Tasks!$C$5:$C$64,BW356,Tasks!$G$5:$G$64,"&lt;&gt;Complete"))</f>
        <v>0</v>
      </c>
      <c r="CA356" s="17">
        <f>IF(Campaigns!$B$356="","",Campaigns!$B$356)</f>
        <v>0</v>
      </c>
      <c r="CB356" s="25">
        <f>IF(Campaigns!$T$356="","",Campaigns!$T$356)</f>
        <v>0</v>
      </c>
      <c r="CC356" s="25">
        <f>IF(Campaigns!$Q$356="","",Campaigns!$Q$356)</f>
        <v>0</v>
      </c>
      <c r="CD356" s="23">
        <f>IF(Campaigns!$Y$356="","",Campaigns!$Y$356)</f>
        <v>0</v>
      </c>
      <c r="CE356" s="32">
        <f>IF(CA356="","",IF(N(CB356)&lt;=0,"",N(CB356)+ROW()/1000000))</f>
        <v>0</v>
      </c>
      <c r="CF356" s="17">
        <f>IF(Accounts!$C$356="","",Accounts!$C$356)</f>
        <v>0</v>
      </c>
      <c r="CG356" s="17">
        <f>IF(Accounts!$B$356="","",Accounts!$B$356)</f>
        <v>0</v>
      </c>
      <c r="CH356" s="23">
        <f>IF(Accounts!$J$356="","",Accounts!$J$356)</f>
        <v>0</v>
      </c>
      <c r="CI356" s="23">
        <f>IF(CF356="","",SUMIFS(Analytics!$X$5:$X$154,Analytics!$E$5:$E$154,CF356,Analytics!$B$5:$B$154,"&gt;="&amp;DashStart,Analytics!$B$5:$B$154,"&lt;="&amp;DashEnd))</f>
        <v>0</v>
      </c>
      <c r="CJ356" s="32">
        <f>IF(CH356="","",IF(CH356=0,"",CH356+ROW()/1000000))</f>
        <v>0</v>
      </c>
    </row>
    <row r="357" spans="1:88">
      <c r="A357" s="16">
        <f>IF(ROW()-4&gt;12,"",DATE(PlanYear,ROW()-4,1))</f>
        <v>0</v>
      </c>
      <c r="B357" s="16">
        <f>IF(A357="","",EOMONTH(A357,0))</f>
        <v>0</v>
      </c>
      <c r="C357" s="17">
        <f>IF(A357="","",TEXT(A357,"yyyy-mm"))</f>
        <v>0</v>
      </c>
      <c r="D357" s="17">
        <f>IF(A357="","",TEXT(A357,"mmm"))</f>
        <v>0</v>
      </c>
      <c r="E357" s="23">
        <f>IF(C357="","",COUNTIFS('Content Calendar'!$D$5:$D$604,C357))</f>
        <v>0</v>
      </c>
      <c r="F357" s="23">
        <f>IF(C357="","",COUNTIFS('Content Calendar'!$D$5:$D$604,C357,'Content Calendar'!$X$5:$X$604,"Published"))</f>
        <v>0</v>
      </c>
      <c r="G357" s="23">
        <f>IF(C357="","",SUMIFS(Analytics!$J$5:$J$154,Analytics!$C$5:$C$154,C357))</f>
        <v>0</v>
      </c>
      <c r="H357" s="23">
        <f>IF(C357="","",SUMIFS(Analytics!$K$5:$K$154,Analytics!$C$5:$C$154,C357))</f>
        <v>0</v>
      </c>
      <c r="I357" s="23">
        <f>IF(C357="","",SUMIFS(Analytics!$L$5:$L$154,Analytics!$C$5:$C$154,C357))</f>
        <v>0</v>
      </c>
      <c r="J357" s="24">
        <f>IF(OR(G357="",G357=0),"",I357/G357)</f>
        <v>0</v>
      </c>
      <c r="K357" s="23">
        <f>IF(C357="","",SUMIFS(Analytics!$G$5:$G$154,Analytics!$C$5:$C$154,C357))</f>
        <v>0</v>
      </c>
      <c r="L357" s="23">
        <f>IF(C357="","",SUMIFS(Analytics!$X$5:$X$154,Analytics!$C$5:$C$154,C357))</f>
        <v>0</v>
      </c>
      <c r="M357" s="23">
        <f>IF(C357="","",SUMIFS(Analytics!$R$5:$R$154,Analytics!$C$5:$C$154,C357))</f>
        <v>0</v>
      </c>
      <c r="N357" s="23">
        <f>IF(C357="","",SUMIFS(Analytics!$S$5:$S$154,Analytics!$C$5:$C$154,C357))</f>
        <v>0</v>
      </c>
      <c r="O357" s="23">
        <f>IF(C357="","",SUMIFS(Analytics!$T$5:$T$154,Analytics!$C$5:$C$154,C357))</f>
        <v>0</v>
      </c>
      <c r="P357" s="25">
        <f>IF(C357="","",SUMIFS(Analytics!$U$5:$U$154,Analytics!$C$5:$C$154,C357))</f>
        <v>0</v>
      </c>
      <c r="Q357" s="25">
        <f>IF(C357="","",SUMIFS(Budget!$H$5:$H$64,Budget!$C$5:$C$64,C357))</f>
        <v>0</v>
      </c>
      <c r="R357" s="25">
        <f>IF(C357="","",P357-Q357)</f>
        <v>0</v>
      </c>
      <c r="S357" s="23">
        <f>IF(C357="","",MonthlyPostTarget)</f>
        <v>0</v>
      </c>
      <c r="T357" s="17">
        <f>IF(Lists!$C357="","",Lists!$C357)</f>
        <v>0</v>
      </c>
      <c r="U357" s="23">
        <f>IF(T357="","",COUNTIFS('Content Calendar'!$G$5:$G$604,T357,'Content Calendar'!$B$5:$B$604,"&gt;="&amp;DashStart,'Content Calendar'!$B$5:$B$604,"&lt;="&amp;DashEnd))</f>
        <v>0</v>
      </c>
      <c r="V357" s="23">
        <f>IF(T357="","",COUNTIFS('Content Calendar'!$G$5:$G$604,T357,'Content Calendar'!$X$5:$X$604,"Published",'Content Calendar'!$B$5:$B$604,"&gt;="&amp;DashStart,'Content Calendar'!$B$5:$B$604,"&lt;="&amp;DashEnd))</f>
        <v>0</v>
      </c>
      <c r="W357" s="23">
        <f>IF(T357="","",SUMIFS(Analytics!$J$5:$J$154,Analytics!$D$5:$D$154,T357,Analytics!$B$5:$B$154,"&gt;="&amp;DashStart,Analytics!$B$5:$B$154,"&lt;="&amp;DashEnd))</f>
        <v>0</v>
      </c>
      <c r="X357" s="23">
        <f>IF(T357="","",SUMIFS(Analytics!$L$5:$L$154,Analytics!$D$5:$D$154,T357,Analytics!$B$5:$B$154,"&gt;="&amp;DashStart,Analytics!$B$5:$B$154,"&lt;="&amp;DashEnd))</f>
        <v>0</v>
      </c>
      <c r="Y357" s="24">
        <f>IF(OR(W357="",W357=0),"",X357/W357)</f>
        <v>0</v>
      </c>
      <c r="Z357" s="23">
        <f>IF(T357="","",SUMIFS(Analytics!$G$5:$G$154,Analytics!$D$5:$D$154,T357,Analytics!$B$5:$B$154,"&gt;="&amp;DashStart,Analytics!$B$5:$B$154,"&lt;="&amp;DashEnd))</f>
        <v>0</v>
      </c>
      <c r="AA357" s="23">
        <f>IF(T357="","",SUMIFS(Analytics!$X$5:$X$154,Analytics!$D$5:$D$154,T357,Analytics!$B$5:$B$154,"&gt;="&amp;DashStart,Analytics!$B$5:$B$154,"&lt;="&amp;DashEnd))</f>
        <v>0</v>
      </c>
      <c r="AB357" s="23">
        <f>IF(T357="","",SUMIFS(Analytics!$R$5:$R$154,Analytics!$D$5:$D$154,T357,Analytics!$B$5:$B$154,"&gt;="&amp;DashStart,Analytics!$B$5:$B$154,"&lt;="&amp;DashEnd))</f>
        <v>0</v>
      </c>
      <c r="AC357" s="25">
        <f>IF(T357="","",SUMIFS(Analytics!$U$5:$U$154,Analytics!$D$5:$D$154,T357,Analytics!$B$5:$B$154,"&gt;="&amp;DashStart,Analytics!$B$5:$B$154,"&lt;="&amp;DashEnd))</f>
        <v>0</v>
      </c>
      <c r="AD357" s="23">
        <f>IF(T357="","",COUNTIFS('Content Calendar'!$G$5:$G$604,T357,'Content Calendar'!$B$5:$B$604,"&gt;="&amp;DATE(PlanYear,1,1),'Content Calendar'!$B$5:$B$604,"&lt;="&amp;DATE(PlanYear,12,31)))</f>
        <v>0</v>
      </c>
      <c r="AE357" s="23">
        <f>IF(T357="","",SUMIFS(Analytics!$J$5:$J$154,Analytics!$D$5:$D$154,T357))</f>
        <v>0</v>
      </c>
      <c r="AF357" s="23">
        <f>IF(T357="","",SUMIFS(Analytics!$L$5:$L$154,Analytics!$D$5:$D$154,T357))</f>
        <v>0</v>
      </c>
      <c r="AG357" s="24">
        <f>IF(OR(AE357="",AE357=0),"",AF357/AE357)</f>
        <v>0</v>
      </c>
      <c r="AH357" s="23">
        <f>IF(T357="","",SUMIFS(Analytics!$X$5:$X$154,Analytics!$D$5:$D$154,T357))</f>
        <v>0</v>
      </c>
      <c r="AI357" s="32">
        <f>IF(T357="","",IF(AE357=0,"",AE357+ROW()/1000000))</f>
        <v>0</v>
      </c>
      <c r="AJ357" s="17">
        <f>IF('Content Pillars'!$B$357="","",'Content Pillars'!$B$357)</f>
        <v>0</v>
      </c>
      <c r="AK357" s="23">
        <f>IF(AJ357="","",COUNTIFS('Content Calendar'!$J$5:$J$604,AJ357,'Content Calendar'!$B$5:$B$604,"&gt;="&amp;DATE(PlanYear,1,1),'Content Calendar'!$B$5:$B$604,"&lt;="&amp;DATE(PlanYear,12,31)))</f>
        <v>0</v>
      </c>
      <c r="AL357" s="23">
        <f>IF(AJ357="","",SUMIFS(Performance!$O$5:$O$404,Performance!$H$5:$H$404,AJ357))</f>
        <v>0</v>
      </c>
      <c r="AM357" s="23">
        <f>IF(AJ357="","",SUMIFS(Performance!$Z$5:$Z$404,Performance!$H$5:$H$404,AJ357))</f>
        <v>0</v>
      </c>
      <c r="AN357" s="24">
        <f>IF(OR(AL357="",AL357=0),"",AM357/AL357)</f>
        <v>0</v>
      </c>
      <c r="AO357" s="32">
        <f>IF(AN357="","",AN357+ROW()/1000000)</f>
        <v>0</v>
      </c>
      <c r="AP357" s="17">
        <f>IF(Lists!$E357="","",Lists!$E357)</f>
        <v>0</v>
      </c>
      <c r="AQ357" s="23">
        <f>IF(AP357="","",COUNTIF(Performance!$G$5:$G$404,AP357))</f>
        <v>0</v>
      </c>
      <c r="AR357" s="23">
        <f>IF(AP357="","",SUMIFS(Performance!$O$5:$O$404,Performance!$G$5:$G$404,AP357))</f>
        <v>0</v>
      </c>
      <c r="AS357" s="23">
        <f>IF(AP357="","",SUMIFS(Performance!$Z$5:$Z$404,Performance!$G$5:$G$404,AP357))</f>
        <v>0</v>
      </c>
      <c r="AT357" s="24">
        <f>IF(OR(AR357="",AR357=0),"",AS357/AR357)</f>
        <v>0</v>
      </c>
      <c r="AU357" s="32">
        <f>IF(AQ357=0,"",IF(AT357="","",AT357+ROW()/1000000))</f>
        <v>0</v>
      </c>
      <c r="AV357" s="17">
        <f>IF(ROW()-4&gt;7,"",TEXT(DATE(2024,1,ROW()-4),"ddd"))</f>
        <v>0</v>
      </c>
      <c r="AW357" s="23">
        <f>IF(AV357="","",COUNTIF(Performance!$N$5:$N$404,AV357))</f>
        <v>0</v>
      </c>
      <c r="AX357" s="23">
        <f>IF(AV357="","",SUMIFS(Performance!$O$5:$O$404,Performance!$N$5:$N$404,AV357))</f>
        <v>0</v>
      </c>
      <c r="AY357" s="23">
        <f>IF(AV357="","",SUMIFS(Performance!$Z$5:$Z$404,Performance!$N$5:$N$404,AV357))</f>
        <v>0</v>
      </c>
      <c r="AZ357" s="24">
        <f>IF(OR(AX357="",AX357=0),"",AY357/AX357)</f>
        <v>0</v>
      </c>
      <c r="BA357" s="32">
        <f>IF(AW357=0,"",IF(AZ357="","",AZ357+ROW()/1000000))</f>
        <v>0</v>
      </c>
      <c r="BB357" s="17">
        <f>IF(Lists!$AL357="","",Lists!$AL357)</f>
        <v>0</v>
      </c>
      <c r="BC357" s="23">
        <f>IF(BB357="","",COUNTIF(Performance!$M$5:$M$404,BB357))</f>
        <v>0</v>
      </c>
      <c r="BD357" s="23">
        <f>IF(BB357="","",SUMIFS(Performance!$O$5:$O$404,Performance!$M$5:$M$404,BB357))</f>
        <v>0</v>
      </c>
      <c r="BE357" s="23">
        <f>IF(BB357="","",SUMIFS(Performance!$Z$5:$Z$404,Performance!$M$5:$M$404,BB357))</f>
        <v>0</v>
      </c>
      <c r="BF357" s="24">
        <f>IF(OR(BD357="",BD357=0),"",BE357/BD357)</f>
        <v>0</v>
      </c>
      <c r="BG357" s="32">
        <f>IF(BC357=0,"",IF(BF357="","",BF357+ROW()/1000000))</f>
        <v>0</v>
      </c>
      <c r="BH357" s="17">
        <f>IF(Performance!$C$357="","",Performance!$C$357)</f>
        <v>0</v>
      </c>
      <c r="BI357" s="17">
        <f>IF(Performance!$F$357="","",Performance!$F$357)</f>
        <v>0</v>
      </c>
      <c r="BJ357" s="17">
        <f>IF(Performance!$H$357="","",Performance!$H$357)</f>
        <v>0</v>
      </c>
      <c r="BK357" s="16">
        <f>IF(Performance!$D$357="","",Performance!$D$357)</f>
        <v>0</v>
      </c>
      <c r="BL357" s="17">
        <f>IF(Performance!$E$357="","",Performance!$E$357)</f>
        <v>0</v>
      </c>
      <c r="BM357" s="23">
        <f>IF(Performance!$O$357="","",Performance!$O$357)</f>
        <v>0</v>
      </c>
      <c r="BN357" s="24">
        <f>IF(Performance!$AA$357="","",Performance!$AA$357)</f>
        <v>0</v>
      </c>
      <c r="BO357" s="32">
        <f>IF(BH357="","",IF(BK357="","",IF(OR(BK357&lt;DashStart,BK357&gt;DashEnd),"",IF(BN357="","",BN357+ROW()/1000000))))</f>
        <v>0</v>
      </c>
      <c r="BP357" s="32">
        <f>IF(BM357="","",IF(BK357="","",IF(OR(BK357&lt;DashStart,BK357&gt;DashEnd),"",BM357+ROW()/1000000)))</f>
        <v>0</v>
      </c>
      <c r="BQ357" s="32">
        <f>IF(BH357="","",IF(BK357="","",IF(YEAR(BK357)&lt;&gt;PlanYear,"",IF(BN357="","",BN357+ROW()/1000000))))</f>
        <v>0</v>
      </c>
      <c r="BR357" s="32">
        <f>IF(BH357="","",IF(BK357="","",IF(OR(BK357&lt;RepFrom,BK357&gt;RepTo),"",IF(BN357="","",BN357+ROW()/1000000))))</f>
        <v>0</v>
      </c>
      <c r="BS357" s="32">
        <f>IF(BM357="","",IF(BK357="","",IF(YEAR(BK357)&lt;&gt;PlanYear,"",BM357+ROW()/1000000)))</f>
        <v>0</v>
      </c>
      <c r="BT357" s="17">
        <f>IF(Lists!$F357="","",Lists!$F357)</f>
        <v>0</v>
      </c>
      <c r="BU357" s="23">
        <f>IF(BT357="","",COUNTIF('Content Calendar'!$X$5:$X$604,BT357))</f>
        <v>0</v>
      </c>
      <c r="BV357" s="23">
        <f>IF(BT357="","",COUNTIFS('Content Calendar'!$X$5:$X$604,BT357,'Content Calendar'!$B$5:$B$604,"&gt;="&amp;DashStart,'Content Calendar'!$B$5:$B$604,"&lt;="&amp;DashEnd))</f>
        <v>0</v>
      </c>
      <c r="BW357" s="17">
        <f>IF(Team!$B$357="","",Team!$B$357)</f>
        <v>0</v>
      </c>
      <c r="BX357" s="23">
        <f>IF(BW357="","",COUNTIF('Content Calendar'!$W$5:$W$604,BW357))</f>
        <v>0</v>
      </c>
      <c r="BY357" s="23">
        <f>IF(BW357="","",COUNTIFS('Content Calendar'!$W$5:$W$604,BW357,'Content Calendar'!$X$5:$X$604,"&lt;&gt;Published"))</f>
        <v>0</v>
      </c>
      <c r="BZ357" s="23">
        <f>IF(BW357="","",COUNTIFS(Tasks!$C$5:$C$64,BW357,Tasks!$G$5:$G$64,"&lt;&gt;Complete"))</f>
        <v>0</v>
      </c>
      <c r="CA357" s="17">
        <f>IF(Campaigns!$B$357="","",Campaigns!$B$357)</f>
        <v>0</v>
      </c>
      <c r="CB357" s="25">
        <f>IF(Campaigns!$T$357="","",Campaigns!$T$357)</f>
        <v>0</v>
      </c>
      <c r="CC357" s="25">
        <f>IF(Campaigns!$Q$357="","",Campaigns!$Q$357)</f>
        <v>0</v>
      </c>
      <c r="CD357" s="23">
        <f>IF(Campaigns!$Y$357="","",Campaigns!$Y$357)</f>
        <v>0</v>
      </c>
      <c r="CE357" s="32">
        <f>IF(CA357="","",IF(N(CB357)&lt;=0,"",N(CB357)+ROW()/1000000))</f>
        <v>0</v>
      </c>
      <c r="CF357" s="17">
        <f>IF(Accounts!$C$357="","",Accounts!$C$357)</f>
        <v>0</v>
      </c>
      <c r="CG357" s="17">
        <f>IF(Accounts!$B$357="","",Accounts!$B$357)</f>
        <v>0</v>
      </c>
      <c r="CH357" s="23">
        <f>IF(Accounts!$J$357="","",Accounts!$J$357)</f>
        <v>0</v>
      </c>
      <c r="CI357" s="23">
        <f>IF(CF357="","",SUMIFS(Analytics!$X$5:$X$154,Analytics!$E$5:$E$154,CF357,Analytics!$B$5:$B$154,"&gt;="&amp;DashStart,Analytics!$B$5:$B$154,"&lt;="&amp;DashEnd))</f>
        <v>0</v>
      </c>
      <c r="CJ357" s="32">
        <f>IF(CH357="","",IF(CH357=0,"",CH357+ROW()/1000000))</f>
        <v>0</v>
      </c>
    </row>
    <row r="358" spans="1:88">
      <c r="A358" s="16">
        <f>IF(ROW()-4&gt;12,"",DATE(PlanYear,ROW()-4,1))</f>
        <v>0</v>
      </c>
      <c r="B358" s="16">
        <f>IF(A358="","",EOMONTH(A358,0))</f>
        <v>0</v>
      </c>
      <c r="C358" s="17">
        <f>IF(A358="","",TEXT(A358,"yyyy-mm"))</f>
        <v>0</v>
      </c>
      <c r="D358" s="17">
        <f>IF(A358="","",TEXT(A358,"mmm"))</f>
        <v>0</v>
      </c>
      <c r="E358" s="23">
        <f>IF(C358="","",COUNTIFS('Content Calendar'!$D$5:$D$604,C358))</f>
        <v>0</v>
      </c>
      <c r="F358" s="23">
        <f>IF(C358="","",COUNTIFS('Content Calendar'!$D$5:$D$604,C358,'Content Calendar'!$X$5:$X$604,"Published"))</f>
        <v>0</v>
      </c>
      <c r="G358" s="23">
        <f>IF(C358="","",SUMIFS(Analytics!$J$5:$J$154,Analytics!$C$5:$C$154,C358))</f>
        <v>0</v>
      </c>
      <c r="H358" s="23">
        <f>IF(C358="","",SUMIFS(Analytics!$K$5:$K$154,Analytics!$C$5:$C$154,C358))</f>
        <v>0</v>
      </c>
      <c r="I358" s="23">
        <f>IF(C358="","",SUMIFS(Analytics!$L$5:$L$154,Analytics!$C$5:$C$154,C358))</f>
        <v>0</v>
      </c>
      <c r="J358" s="24">
        <f>IF(OR(G358="",G358=0),"",I358/G358)</f>
        <v>0</v>
      </c>
      <c r="K358" s="23">
        <f>IF(C358="","",SUMIFS(Analytics!$G$5:$G$154,Analytics!$C$5:$C$154,C358))</f>
        <v>0</v>
      </c>
      <c r="L358" s="23">
        <f>IF(C358="","",SUMIFS(Analytics!$X$5:$X$154,Analytics!$C$5:$C$154,C358))</f>
        <v>0</v>
      </c>
      <c r="M358" s="23">
        <f>IF(C358="","",SUMIFS(Analytics!$R$5:$R$154,Analytics!$C$5:$C$154,C358))</f>
        <v>0</v>
      </c>
      <c r="N358" s="23">
        <f>IF(C358="","",SUMIFS(Analytics!$S$5:$S$154,Analytics!$C$5:$C$154,C358))</f>
        <v>0</v>
      </c>
      <c r="O358" s="23">
        <f>IF(C358="","",SUMIFS(Analytics!$T$5:$T$154,Analytics!$C$5:$C$154,C358))</f>
        <v>0</v>
      </c>
      <c r="P358" s="25">
        <f>IF(C358="","",SUMIFS(Analytics!$U$5:$U$154,Analytics!$C$5:$C$154,C358))</f>
        <v>0</v>
      </c>
      <c r="Q358" s="25">
        <f>IF(C358="","",SUMIFS(Budget!$H$5:$H$64,Budget!$C$5:$C$64,C358))</f>
        <v>0</v>
      </c>
      <c r="R358" s="25">
        <f>IF(C358="","",P358-Q358)</f>
        <v>0</v>
      </c>
      <c r="S358" s="23">
        <f>IF(C358="","",MonthlyPostTarget)</f>
        <v>0</v>
      </c>
      <c r="T358" s="17">
        <f>IF(Lists!$C358="","",Lists!$C358)</f>
        <v>0</v>
      </c>
      <c r="U358" s="23">
        <f>IF(T358="","",COUNTIFS('Content Calendar'!$G$5:$G$604,T358,'Content Calendar'!$B$5:$B$604,"&gt;="&amp;DashStart,'Content Calendar'!$B$5:$B$604,"&lt;="&amp;DashEnd))</f>
        <v>0</v>
      </c>
      <c r="V358" s="23">
        <f>IF(T358="","",COUNTIFS('Content Calendar'!$G$5:$G$604,T358,'Content Calendar'!$X$5:$X$604,"Published",'Content Calendar'!$B$5:$B$604,"&gt;="&amp;DashStart,'Content Calendar'!$B$5:$B$604,"&lt;="&amp;DashEnd))</f>
        <v>0</v>
      </c>
      <c r="W358" s="23">
        <f>IF(T358="","",SUMIFS(Analytics!$J$5:$J$154,Analytics!$D$5:$D$154,T358,Analytics!$B$5:$B$154,"&gt;="&amp;DashStart,Analytics!$B$5:$B$154,"&lt;="&amp;DashEnd))</f>
        <v>0</v>
      </c>
      <c r="X358" s="23">
        <f>IF(T358="","",SUMIFS(Analytics!$L$5:$L$154,Analytics!$D$5:$D$154,T358,Analytics!$B$5:$B$154,"&gt;="&amp;DashStart,Analytics!$B$5:$B$154,"&lt;="&amp;DashEnd))</f>
        <v>0</v>
      </c>
      <c r="Y358" s="24">
        <f>IF(OR(W358="",W358=0),"",X358/W358)</f>
        <v>0</v>
      </c>
      <c r="Z358" s="23">
        <f>IF(T358="","",SUMIFS(Analytics!$G$5:$G$154,Analytics!$D$5:$D$154,T358,Analytics!$B$5:$B$154,"&gt;="&amp;DashStart,Analytics!$B$5:$B$154,"&lt;="&amp;DashEnd))</f>
        <v>0</v>
      </c>
      <c r="AA358" s="23">
        <f>IF(T358="","",SUMIFS(Analytics!$X$5:$X$154,Analytics!$D$5:$D$154,T358,Analytics!$B$5:$B$154,"&gt;="&amp;DashStart,Analytics!$B$5:$B$154,"&lt;="&amp;DashEnd))</f>
        <v>0</v>
      </c>
      <c r="AB358" s="23">
        <f>IF(T358="","",SUMIFS(Analytics!$R$5:$R$154,Analytics!$D$5:$D$154,T358,Analytics!$B$5:$B$154,"&gt;="&amp;DashStart,Analytics!$B$5:$B$154,"&lt;="&amp;DashEnd))</f>
        <v>0</v>
      </c>
      <c r="AC358" s="25">
        <f>IF(T358="","",SUMIFS(Analytics!$U$5:$U$154,Analytics!$D$5:$D$154,T358,Analytics!$B$5:$B$154,"&gt;="&amp;DashStart,Analytics!$B$5:$B$154,"&lt;="&amp;DashEnd))</f>
        <v>0</v>
      </c>
      <c r="AD358" s="23">
        <f>IF(T358="","",COUNTIFS('Content Calendar'!$G$5:$G$604,T358,'Content Calendar'!$B$5:$B$604,"&gt;="&amp;DATE(PlanYear,1,1),'Content Calendar'!$B$5:$B$604,"&lt;="&amp;DATE(PlanYear,12,31)))</f>
        <v>0</v>
      </c>
      <c r="AE358" s="23">
        <f>IF(T358="","",SUMIFS(Analytics!$J$5:$J$154,Analytics!$D$5:$D$154,T358))</f>
        <v>0</v>
      </c>
      <c r="AF358" s="23">
        <f>IF(T358="","",SUMIFS(Analytics!$L$5:$L$154,Analytics!$D$5:$D$154,T358))</f>
        <v>0</v>
      </c>
      <c r="AG358" s="24">
        <f>IF(OR(AE358="",AE358=0),"",AF358/AE358)</f>
        <v>0</v>
      </c>
      <c r="AH358" s="23">
        <f>IF(T358="","",SUMIFS(Analytics!$X$5:$X$154,Analytics!$D$5:$D$154,T358))</f>
        <v>0</v>
      </c>
      <c r="AI358" s="32">
        <f>IF(T358="","",IF(AE358=0,"",AE358+ROW()/1000000))</f>
        <v>0</v>
      </c>
      <c r="AJ358" s="17">
        <f>IF('Content Pillars'!$B$358="","",'Content Pillars'!$B$358)</f>
        <v>0</v>
      </c>
      <c r="AK358" s="23">
        <f>IF(AJ358="","",COUNTIFS('Content Calendar'!$J$5:$J$604,AJ358,'Content Calendar'!$B$5:$B$604,"&gt;="&amp;DATE(PlanYear,1,1),'Content Calendar'!$B$5:$B$604,"&lt;="&amp;DATE(PlanYear,12,31)))</f>
        <v>0</v>
      </c>
      <c r="AL358" s="23">
        <f>IF(AJ358="","",SUMIFS(Performance!$O$5:$O$404,Performance!$H$5:$H$404,AJ358))</f>
        <v>0</v>
      </c>
      <c r="AM358" s="23">
        <f>IF(AJ358="","",SUMIFS(Performance!$Z$5:$Z$404,Performance!$H$5:$H$404,AJ358))</f>
        <v>0</v>
      </c>
      <c r="AN358" s="24">
        <f>IF(OR(AL358="",AL358=0),"",AM358/AL358)</f>
        <v>0</v>
      </c>
      <c r="AO358" s="32">
        <f>IF(AN358="","",AN358+ROW()/1000000)</f>
        <v>0</v>
      </c>
      <c r="AP358" s="17">
        <f>IF(Lists!$E358="","",Lists!$E358)</f>
        <v>0</v>
      </c>
      <c r="AQ358" s="23">
        <f>IF(AP358="","",COUNTIF(Performance!$G$5:$G$404,AP358))</f>
        <v>0</v>
      </c>
      <c r="AR358" s="23">
        <f>IF(AP358="","",SUMIFS(Performance!$O$5:$O$404,Performance!$G$5:$G$404,AP358))</f>
        <v>0</v>
      </c>
      <c r="AS358" s="23">
        <f>IF(AP358="","",SUMIFS(Performance!$Z$5:$Z$404,Performance!$G$5:$G$404,AP358))</f>
        <v>0</v>
      </c>
      <c r="AT358" s="24">
        <f>IF(OR(AR358="",AR358=0),"",AS358/AR358)</f>
        <v>0</v>
      </c>
      <c r="AU358" s="32">
        <f>IF(AQ358=0,"",IF(AT358="","",AT358+ROW()/1000000))</f>
        <v>0</v>
      </c>
      <c r="AV358" s="17">
        <f>IF(ROW()-4&gt;7,"",TEXT(DATE(2024,1,ROW()-4),"ddd"))</f>
        <v>0</v>
      </c>
      <c r="AW358" s="23">
        <f>IF(AV358="","",COUNTIF(Performance!$N$5:$N$404,AV358))</f>
        <v>0</v>
      </c>
      <c r="AX358" s="23">
        <f>IF(AV358="","",SUMIFS(Performance!$O$5:$O$404,Performance!$N$5:$N$404,AV358))</f>
        <v>0</v>
      </c>
      <c r="AY358" s="23">
        <f>IF(AV358="","",SUMIFS(Performance!$Z$5:$Z$404,Performance!$N$5:$N$404,AV358))</f>
        <v>0</v>
      </c>
      <c r="AZ358" s="24">
        <f>IF(OR(AX358="",AX358=0),"",AY358/AX358)</f>
        <v>0</v>
      </c>
      <c r="BA358" s="32">
        <f>IF(AW358=0,"",IF(AZ358="","",AZ358+ROW()/1000000))</f>
        <v>0</v>
      </c>
      <c r="BB358" s="17">
        <f>IF(Lists!$AL358="","",Lists!$AL358)</f>
        <v>0</v>
      </c>
      <c r="BC358" s="23">
        <f>IF(BB358="","",COUNTIF(Performance!$M$5:$M$404,BB358))</f>
        <v>0</v>
      </c>
      <c r="BD358" s="23">
        <f>IF(BB358="","",SUMIFS(Performance!$O$5:$O$404,Performance!$M$5:$M$404,BB358))</f>
        <v>0</v>
      </c>
      <c r="BE358" s="23">
        <f>IF(BB358="","",SUMIFS(Performance!$Z$5:$Z$404,Performance!$M$5:$M$404,BB358))</f>
        <v>0</v>
      </c>
      <c r="BF358" s="24">
        <f>IF(OR(BD358="",BD358=0),"",BE358/BD358)</f>
        <v>0</v>
      </c>
      <c r="BG358" s="32">
        <f>IF(BC358=0,"",IF(BF358="","",BF358+ROW()/1000000))</f>
        <v>0</v>
      </c>
      <c r="BH358" s="17">
        <f>IF(Performance!$C$358="","",Performance!$C$358)</f>
        <v>0</v>
      </c>
      <c r="BI358" s="17">
        <f>IF(Performance!$F$358="","",Performance!$F$358)</f>
        <v>0</v>
      </c>
      <c r="BJ358" s="17">
        <f>IF(Performance!$H$358="","",Performance!$H$358)</f>
        <v>0</v>
      </c>
      <c r="BK358" s="16">
        <f>IF(Performance!$D$358="","",Performance!$D$358)</f>
        <v>0</v>
      </c>
      <c r="BL358" s="17">
        <f>IF(Performance!$E$358="","",Performance!$E$358)</f>
        <v>0</v>
      </c>
      <c r="BM358" s="23">
        <f>IF(Performance!$O$358="","",Performance!$O$358)</f>
        <v>0</v>
      </c>
      <c r="BN358" s="24">
        <f>IF(Performance!$AA$358="","",Performance!$AA$358)</f>
        <v>0</v>
      </c>
      <c r="BO358" s="32">
        <f>IF(BH358="","",IF(BK358="","",IF(OR(BK358&lt;DashStart,BK358&gt;DashEnd),"",IF(BN358="","",BN358+ROW()/1000000))))</f>
        <v>0</v>
      </c>
      <c r="BP358" s="32">
        <f>IF(BM358="","",IF(BK358="","",IF(OR(BK358&lt;DashStart,BK358&gt;DashEnd),"",BM358+ROW()/1000000)))</f>
        <v>0</v>
      </c>
      <c r="BQ358" s="32">
        <f>IF(BH358="","",IF(BK358="","",IF(YEAR(BK358)&lt;&gt;PlanYear,"",IF(BN358="","",BN358+ROW()/1000000))))</f>
        <v>0</v>
      </c>
      <c r="BR358" s="32">
        <f>IF(BH358="","",IF(BK358="","",IF(OR(BK358&lt;RepFrom,BK358&gt;RepTo),"",IF(BN358="","",BN358+ROW()/1000000))))</f>
        <v>0</v>
      </c>
      <c r="BS358" s="32">
        <f>IF(BM358="","",IF(BK358="","",IF(YEAR(BK358)&lt;&gt;PlanYear,"",BM358+ROW()/1000000)))</f>
        <v>0</v>
      </c>
      <c r="BT358" s="17">
        <f>IF(Lists!$F358="","",Lists!$F358)</f>
        <v>0</v>
      </c>
      <c r="BU358" s="23">
        <f>IF(BT358="","",COUNTIF('Content Calendar'!$X$5:$X$604,BT358))</f>
        <v>0</v>
      </c>
      <c r="BV358" s="23">
        <f>IF(BT358="","",COUNTIFS('Content Calendar'!$X$5:$X$604,BT358,'Content Calendar'!$B$5:$B$604,"&gt;="&amp;DashStart,'Content Calendar'!$B$5:$B$604,"&lt;="&amp;DashEnd))</f>
        <v>0</v>
      </c>
      <c r="BW358" s="17">
        <f>IF(Team!$B$358="","",Team!$B$358)</f>
        <v>0</v>
      </c>
      <c r="BX358" s="23">
        <f>IF(BW358="","",COUNTIF('Content Calendar'!$W$5:$W$604,BW358))</f>
        <v>0</v>
      </c>
      <c r="BY358" s="23">
        <f>IF(BW358="","",COUNTIFS('Content Calendar'!$W$5:$W$604,BW358,'Content Calendar'!$X$5:$X$604,"&lt;&gt;Published"))</f>
        <v>0</v>
      </c>
      <c r="BZ358" s="23">
        <f>IF(BW358="","",COUNTIFS(Tasks!$C$5:$C$64,BW358,Tasks!$G$5:$G$64,"&lt;&gt;Complete"))</f>
        <v>0</v>
      </c>
      <c r="CA358" s="17">
        <f>IF(Campaigns!$B$358="","",Campaigns!$B$358)</f>
        <v>0</v>
      </c>
      <c r="CB358" s="25">
        <f>IF(Campaigns!$T$358="","",Campaigns!$T$358)</f>
        <v>0</v>
      </c>
      <c r="CC358" s="25">
        <f>IF(Campaigns!$Q$358="","",Campaigns!$Q$358)</f>
        <v>0</v>
      </c>
      <c r="CD358" s="23">
        <f>IF(Campaigns!$Y$358="","",Campaigns!$Y$358)</f>
        <v>0</v>
      </c>
      <c r="CE358" s="32">
        <f>IF(CA358="","",IF(N(CB358)&lt;=0,"",N(CB358)+ROW()/1000000))</f>
        <v>0</v>
      </c>
      <c r="CF358" s="17">
        <f>IF(Accounts!$C$358="","",Accounts!$C$358)</f>
        <v>0</v>
      </c>
      <c r="CG358" s="17">
        <f>IF(Accounts!$B$358="","",Accounts!$B$358)</f>
        <v>0</v>
      </c>
      <c r="CH358" s="23">
        <f>IF(Accounts!$J$358="","",Accounts!$J$358)</f>
        <v>0</v>
      </c>
      <c r="CI358" s="23">
        <f>IF(CF358="","",SUMIFS(Analytics!$X$5:$X$154,Analytics!$E$5:$E$154,CF358,Analytics!$B$5:$B$154,"&gt;="&amp;DashStart,Analytics!$B$5:$B$154,"&lt;="&amp;DashEnd))</f>
        <v>0</v>
      </c>
      <c r="CJ358" s="32">
        <f>IF(CH358="","",IF(CH358=0,"",CH358+ROW()/1000000))</f>
        <v>0</v>
      </c>
    </row>
    <row r="359" spans="1:88">
      <c r="A359" s="16">
        <f>IF(ROW()-4&gt;12,"",DATE(PlanYear,ROW()-4,1))</f>
        <v>0</v>
      </c>
      <c r="B359" s="16">
        <f>IF(A359="","",EOMONTH(A359,0))</f>
        <v>0</v>
      </c>
      <c r="C359" s="17">
        <f>IF(A359="","",TEXT(A359,"yyyy-mm"))</f>
        <v>0</v>
      </c>
      <c r="D359" s="17">
        <f>IF(A359="","",TEXT(A359,"mmm"))</f>
        <v>0</v>
      </c>
      <c r="E359" s="23">
        <f>IF(C359="","",COUNTIFS('Content Calendar'!$D$5:$D$604,C359))</f>
        <v>0</v>
      </c>
      <c r="F359" s="23">
        <f>IF(C359="","",COUNTIFS('Content Calendar'!$D$5:$D$604,C359,'Content Calendar'!$X$5:$X$604,"Published"))</f>
        <v>0</v>
      </c>
      <c r="G359" s="23">
        <f>IF(C359="","",SUMIFS(Analytics!$J$5:$J$154,Analytics!$C$5:$C$154,C359))</f>
        <v>0</v>
      </c>
      <c r="H359" s="23">
        <f>IF(C359="","",SUMIFS(Analytics!$K$5:$K$154,Analytics!$C$5:$C$154,C359))</f>
        <v>0</v>
      </c>
      <c r="I359" s="23">
        <f>IF(C359="","",SUMIFS(Analytics!$L$5:$L$154,Analytics!$C$5:$C$154,C359))</f>
        <v>0</v>
      </c>
      <c r="J359" s="24">
        <f>IF(OR(G359="",G359=0),"",I359/G359)</f>
        <v>0</v>
      </c>
      <c r="K359" s="23">
        <f>IF(C359="","",SUMIFS(Analytics!$G$5:$G$154,Analytics!$C$5:$C$154,C359))</f>
        <v>0</v>
      </c>
      <c r="L359" s="23">
        <f>IF(C359="","",SUMIFS(Analytics!$X$5:$X$154,Analytics!$C$5:$C$154,C359))</f>
        <v>0</v>
      </c>
      <c r="M359" s="23">
        <f>IF(C359="","",SUMIFS(Analytics!$R$5:$R$154,Analytics!$C$5:$C$154,C359))</f>
        <v>0</v>
      </c>
      <c r="N359" s="23">
        <f>IF(C359="","",SUMIFS(Analytics!$S$5:$S$154,Analytics!$C$5:$C$154,C359))</f>
        <v>0</v>
      </c>
      <c r="O359" s="23">
        <f>IF(C359="","",SUMIFS(Analytics!$T$5:$T$154,Analytics!$C$5:$C$154,C359))</f>
        <v>0</v>
      </c>
      <c r="P359" s="25">
        <f>IF(C359="","",SUMIFS(Analytics!$U$5:$U$154,Analytics!$C$5:$C$154,C359))</f>
        <v>0</v>
      </c>
      <c r="Q359" s="25">
        <f>IF(C359="","",SUMIFS(Budget!$H$5:$H$64,Budget!$C$5:$C$64,C359))</f>
        <v>0</v>
      </c>
      <c r="R359" s="25">
        <f>IF(C359="","",P359-Q359)</f>
        <v>0</v>
      </c>
      <c r="S359" s="23">
        <f>IF(C359="","",MonthlyPostTarget)</f>
        <v>0</v>
      </c>
      <c r="T359" s="17">
        <f>IF(Lists!$C359="","",Lists!$C359)</f>
        <v>0</v>
      </c>
      <c r="U359" s="23">
        <f>IF(T359="","",COUNTIFS('Content Calendar'!$G$5:$G$604,T359,'Content Calendar'!$B$5:$B$604,"&gt;="&amp;DashStart,'Content Calendar'!$B$5:$B$604,"&lt;="&amp;DashEnd))</f>
        <v>0</v>
      </c>
      <c r="V359" s="23">
        <f>IF(T359="","",COUNTIFS('Content Calendar'!$G$5:$G$604,T359,'Content Calendar'!$X$5:$X$604,"Published",'Content Calendar'!$B$5:$B$604,"&gt;="&amp;DashStart,'Content Calendar'!$B$5:$B$604,"&lt;="&amp;DashEnd))</f>
        <v>0</v>
      </c>
      <c r="W359" s="23">
        <f>IF(T359="","",SUMIFS(Analytics!$J$5:$J$154,Analytics!$D$5:$D$154,T359,Analytics!$B$5:$B$154,"&gt;="&amp;DashStart,Analytics!$B$5:$B$154,"&lt;="&amp;DashEnd))</f>
        <v>0</v>
      </c>
      <c r="X359" s="23">
        <f>IF(T359="","",SUMIFS(Analytics!$L$5:$L$154,Analytics!$D$5:$D$154,T359,Analytics!$B$5:$B$154,"&gt;="&amp;DashStart,Analytics!$B$5:$B$154,"&lt;="&amp;DashEnd))</f>
        <v>0</v>
      </c>
      <c r="Y359" s="24">
        <f>IF(OR(W359="",W359=0),"",X359/W359)</f>
        <v>0</v>
      </c>
      <c r="Z359" s="23">
        <f>IF(T359="","",SUMIFS(Analytics!$G$5:$G$154,Analytics!$D$5:$D$154,T359,Analytics!$B$5:$B$154,"&gt;="&amp;DashStart,Analytics!$B$5:$B$154,"&lt;="&amp;DashEnd))</f>
        <v>0</v>
      </c>
      <c r="AA359" s="23">
        <f>IF(T359="","",SUMIFS(Analytics!$X$5:$X$154,Analytics!$D$5:$D$154,T359,Analytics!$B$5:$B$154,"&gt;="&amp;DashStart,Analytics!$B$5:$B$154,"&lt;="&amp;DashEnd))</f>
        <v>0</v>
      </c>
      <c r="AB359" s="23">
        <f>IF(T359="","",SUMIFS(Analytics!$R$5:$R$154,Analytics!$D$5:$D$154,T359,Analytics!$B$5:$B$154,"&gt;="&amp;DashStart,Analytics!$B$5:$B$154,"&lt;="&amp;DashEnd))</f>
        <v>0</v>
      </c>
      <c r="AC359" s="25">
        <f>IF(T359="","",SUMIFS(Analytics!$U$5:$U$154,Analytics!$D$5:$D$154,T359,Analytics!$B$5:$B$154,"&gt;="&amp;DashStart,Analytics!$B$5:$B$154,"&lt;="&amp;DashEnd))</f>
        <v>0</v>
      </c>
      <c r="AD359" s="23">
        <f>IF(T359="","",COUNTIFS('Content Calendar'!$G$5:$G$604,T359,'Content Calendar'!$B$5:$B$604,"&gt;="&amp;DATE(PlanYear,1,1),'Content Calendar'!$B$5:$B$604,"&lt;="&amp;DATE(PlanYear,12,31)))</f>
        <v>0</v>
      </c>
      <c r="AE359" s="23">
        <f>IF(T359="","",SUMIFS(Analytics!$J$5:$J$154,Analytics!$D$5:$D$154,T359))</f>
        <v>0</v>
      </c>
      <c r="AF359" s="23">
        <f>IF(T359="","",SUMIFS(Analytics!$L$5:$L$154,Analytics!$D$5:$D$154,T359))</f>
        <v>0</v>
      </c>
      <c r="AG359" s="24">
        <f>IF(OR(AE359="",AE359=0),"",AF359/AE359)</f>
        <v>0</v>
      </c>
      <c r="AH359" s="23">
        <f>IF(T359="","",SUMIFS(Analytics!$X$5:$X$154,Analytics!$D$5:$D$154,T359))</f>
        <v>0</v>
      </c>
      <c r="AI359" s="32">
        <f>IF(T359="","",IF(AE359=0,"",AE359+ROW()/1000000))</f>
        <v>0</v>
      </c>
      <c r="AJ359" s="17">
        <f>IF('Content Pillars'!$B$359="","",'Content Pillars'!$B$359)</f>
        <v>0</v>
      </c>
      <c r="AK359" s="23">
        <f>IF(AJ359="","",COUNTIFS('Content Calendar'!$J$5:$J$604,AJ359,'Content Calendar'!$B$5:$B$604,"&gt;="&amp;DATE(PlanYear,1,1),'Content Calendar'!$B$5:$B$604,"&lt;="&amp;DATE(PlanYear,12,31)))</f>
        <v>0</v>
      </c>
      <c r="AL359" s="23">
        <f>IF(AJ359="","",SUMIFS(Performance!$O$5:$O$404,Performance!$H$5:$H$404,AJ359))</f>
        <v>0</v>
      </c>
      <c r="AM359" s="23">
        <f>IF(AJ359="","",SUMIFS(Performance!$Z$5:$Z$404,Performance!$H$5:$H$404,AJ359))</f>
        <v>0</v>
      </c>
      <c r="AN359" s="24">
        <f>IF(OR(AL359="",AL359=0),"",AM359/AL359)</f>
        <v>0</v>
      </c>
      <c r="AO359" s="32">
        <f>IF(AN359="","",AN359+ROW()/1000000)</f>
        <v>0</v>
      </c>
      <c r="AP359" s="17">
        <f>IF(Lists!$E359="","",Lists!$E359)</f>
        <v>0</v>
      </c>
      <c r="AQ359" s="23">
        <f>IF(AP359="","",COUNTIF(Performance!$G$5:$G$404,AP359))</f>
        <v>0</v>
      </c>
      <c r="AR359" s="23">
        <f>IF(AP359="","",SUMIFS(Performance!$O$5:$O$404,Performance!$G$5:$G$404,AP359))</f>
        <v>0</v>
      </c>
      <c r="AS359" s="23">
        <f>IF(AP359="","",SUMIFS(Performance!$Z$5:$Z$404,Performance!$G$5:$G$404,AP359))</f>
        <v>0</v>
      </c>
      <c r="AT359" s="24">
        <f>IF(OR(AR359="",AR359=0),"",AS359/AR359)</f>
        <v>0</v>
      </c>
      <c r="AU359" s="32">
        <f>IF(AQ359=0,"",IF(AT359="","",AT359+ROW()/1000000))</f>
        <v>0</v>
      </c>
      <c r="AV359" s="17">
        <f>IF(ROW()-4&gt;7,"",TEXT(DATE(2024,1,ROW()-4),"ddd"))</f>
        <v>0</v>
      </c>
      <c r="AW359" s="23">
        <f>IF(AV359="","",COUNTIF(Performance!$N$5:$N$404,AV359))</f>
        <v>0</v>
      </c>
      <c r="AX359" s="23">
        <f>IF(AV359="","",SUMIFS(Performance!$O$5:$O$404,Performance!$N$5:$N$404,AV359))</f>
        <v>0</v>
      </c>
      <c r="AY359" s="23">
        <f>IF(AV359="","",SUMIFS(Performance!$Z$5:$Z$404,Performance!$N$5:$N$404,AV359))</f>
        <v>0</v>
      </c>
      <c r="AZ359" s="24">
        <f>IF(OR(AX359="",AX359=0),"",AY359/AX359)</f>
        <v>0</v>
      </c>
      <c r="BA359" s="32">
        <f>IF(AW359=0,"",IF(AZ359="","",AZ359+ROW()/1000000))</f>
        <v>0</v>
      </c>
      <c r="BB359" s="17">
        <f>IF(Lists!$AL359="","",Lists!$AL359)</f>
        <v>0</v>
      </c>
      <c r="BC359" s="23">
        <f>IF(BB359="","",COUNTIF(Performance!$M$5:$M$404,BB359))</f>
        <v>0</v>
      </c>
      <c r="BD359" s="23">
        <f>IF(BB359="","",SUMIFS(Performance!$O$5:$O$404,Performance!$M$5:$M$404,BB359))</f>
        <v>0</v>
      </c>
      <c r="BE359" s="23">
        <f>IF(BB359="","",SUMIFS(Performance!$Z$5:$Z$404,Performance!$M$5:$M$404,BB359))</f>
        <v>0</v>
      </c>
      <c r="BF359" s="24">
        <f>IF(OR(BD359="",BD359=0),"",BE359/BD359)</f>
        <v>0</v>
      </c>
      <c r="BG359" s="32">
        <f>IF(BC359=0,"",IF(BF359="","",BF359+ROW()/1000000))</f>
        <v>0</v>
      </c>
      <c r="BH359" s="17">
        <f>IF(Performance!$C$359="","",Performance!$C$359)</f>
        <v>0</v>
      </c>
      <c r="BI359" s="17">
        <f>IF(Performance!$F$359="","",Performance!$F$359)</f>
        <v>0</v>
      </c>
      <c r="BJ359" s="17">
        <f>IF(Performance!$H$359="","",Performance!$H$359)</f>
        <v>0</v>
      </c>
      <c r="BK359" s="16">
        <f>IF(Performance!$D$359="","",Performance!$D$359)</f>
        <v>0</v>
      </c>
      <c r="BL359" s="17">
        <f>IF(Performance!$E$359="","",Performance!$E$359)</f>
        <v>0</v>
      </c>
      <c r="BM359" s="23">
        <f>IF(Performance!$O$359="","",Performance!$O$359)</f>
        <v>0</v>
      </c>
      <c r="BN359" s="24">
        <f>IF(Performance!$AA$359="","",Performance!$AA$359)</f>
        <v>0</v>
      </c>
      <c r="BO359" s="32">
        <f>IF(BH359="","",IF(BK359="","",IF(OR(BK359&lt;DashStart,BK359&gt;DashEnd),"",IF(BN359="","",BN359+ROW()/1000000))))</f>
        <v>0</v>
      </c>
      <c r="BP359" s="32">
        <f>IF(BM359="","",IF(BK359="","",IF(OR(BK359&lt;DashStart,BK359&gt;DashEnd),"",BM359+ROW()/1000000)))</f>
        <v>0</v>
      </c>
      <c r="BQ359" s="32">
        <f>IF(BH359="","",IF(BK359="","",IF(YEAR(BK359)&lt;&gt;PlanYear,"",IF(BN359="","",BN359+ROW()/1000000))))</f>
        <v>0</v>
      </c>
      <c r="BR359" s="32">
        <f>IF(BH359="","",IF(BK359="","",IF(OR(BK359&lt;RepFrom,BK359&gt;RepTo),"",IF(BN359="","",BN359+ROW()/1000000))))</f>
        <v>0</v>
      </c>
      <c r="BS359" s="32">
        <f>IF(BM359="","",IF(BK359="","",IF(YEAR(BK359)&lt;&gt;PlanYear,"",BM359+ROW()/1000000)))</f>
        <v>0</v>
      </c>
      <c r="BT359" s="17">
        <f>IF(Lists!$F359="","",Lists!$F359)</f>
        <v>0</v>
      </c>
      <c r="BU359" s="23">
        <f>IF(BT359="","",COUNTIF('Content Calendar'!$X$5:$X$604,BT359))</f>
        <v>0</v>
      </c>
      <c r="BV359" s="23">
        <f>IF(BT359="","",COUNTIFS('Content Calendar'!$X$5:$X$604,BT359,'Content Calendar'!$B$5:$B$604,"&gt;="&amp;DashStart,'Content Calendar'!$B$5:$B$604,"&lt;="&amp;DashEnd))</f>
        <v>0</v>
      </c>
      <c r="BW359" s="17">
        <f>IF(Team!$B$359="","",Team!$B$359)</f>
        <v>0</v>
      </c>
      <c r="BX359" s="23">
        <f>IF(BW359="","",COUNTIF('Content Calendar'!$W$5:$W$604,BW359))</f>
        <v>0</v>
      </c>
      <c r="BY359" s="23">
        <f>IF(BW359="","",COUNTIFS('Content Calendar'!$W$5:$W$604,BW359,'Content Calendar'!$X$5:$X$604,"&lt;&gt;Published"))</f>
        <v>0</v>
      </c>
      <c r="BZ359" s="23">
        <f>IF(BW359="","",COUNTIFS(Tasks!$C$5:$C$64,BW359,Tasks!$G$5:$G$64,"&lt;&gt;Complete"))</f>
        <v>0</v>
      </c>
      <c r="CA359" s="17">
        <f>IF(Campaigns!$B$359="","",Campaigns!$B$359)</f>
        <v>0</v>
      </c>
      <c r="CB359" s="25">
        <f>IF(Campaigns!$T$359="","",Campaigns!$T$359)</f>
        <v>0</v>
      </c>
      <c r="CC359" s="25">
        <f>IF(Campaigns!$Q$359="","",Campaigns!$Q$359)</f>
        <v>0</v>
      </c>
      <c r="CD359" s="23">
        <f>IF(Campaigns!$Y$359="","",Campaigns!$Y$359)</f>
        <v>0</v>
      </c>
      <c r="CE359" s="32">
        <f>IF(CA359="","",IF(N(CB359)&lt;=0,"",N(CB359)+ROW()/1000000))</f>
        <v>0</v>
      </c>
      <c r="CF359" s="17">
        <f>IF(Accounts!$C$359="","",Accounts!$C$359)</f>
        <v>0</v>
      </c>
      <c r="CG359" s="17">
        <f>IF(Accounts!$B$359="","",Accounts!$B$359)</f>
        <v>0</v>
      </c>
      <c r="CH359" s="23">
        <f>IF(Accounts!$J$359="","",Accounts!$J$359)</f>
        <v>0</v>
      </c>
      <c r="CI359" s="23">
        <f>IF(CF359="","",SUMIFS(Analytics!$X$5:$X$154,Analytics!$E$5:$E$154,CF359,Analytics!$B$5:$B$154,"&gt;="&amp;DashStart,Analytics!$B$5:$B$154,"&lt;="&amp;DashEnd))</f>
        <v>0</v>
      </c>
      <c r="CJ359" s="32">
        <f>IF(CH359="","",IF(CH359=0,"",CH359+ROW()/1000000))</f>
        <v>0</v>
      </c>
    </row>
    <row r="360" spans="1:88">
      <c r="A360" s="16">
        <f>IF(ROW()-4&gt;12,"",DATE(PlanYear,ROW()-4,1))</f>
        <v>0</v>
      </c>
      <c r="B360" s="16">
        <f>IF(A360="","",EOMONTH(A360,0))</f>
        <v>0</v>
      </c>
      <c r="C360" s="17">
        <f>IF(A360="","",TEXT(A360,"yyyy-mm"))</f>
        <v>0</v>
      </c>
      <c r="D360" s="17">
        <f>IF(A360="","",TEXT(A360,"mmm"))</f>
        <v>0</v>
      </c>
      <c r="E360" s="23">
        <f>IF(C360="","",COUNTIFS('Content Calendar'!$D$5:$D$604,C360))</f>
        <v>0</v>
      </c>
      <c r="F360" s="23">
        <f>IF(C360="","",COUNTIFS('Content Calendar'!$D$5:$D$604,C360,'Content Calendar'!$X$5:$X$604,"Published"))</f>
        <v>0</v>
      </c>
      <c r="G360" s="23">
        <f>IF(C360="","",SUMIFS(Analytics!$J$5:$J$154,Analytics!$C$5:$C$154,C360))</f>
        <v>0</v>
      </c>
      <c r="H360" s="23">
        <f>IF(C360="","",SUMIFS(Analytics!$K$5:$K$154,Analytics!$C$5:$C$154,C360))</f>
        <v>0</v>
      </c>
      <c r="I360" s="23">
        <f>IF(C360="","",SUMIFS(Analytics!$L$5:$L$154,Analytics!$C$5:$C$154,C360))</f>
        <v>0</v>
      </c>
      <c r="J360" s="24">
        <f>IF(OR(G360="",G360=0),"",I360/G360)</f>
        <v>0</v>
      </c>
      <c r="K360" s="23">
        <f>IF(C360="","",SUMIFS(Analytics!$G$5:$G$154,Analytics!$C$5:$C$154,C360))</f>
        <v>0</v>
      </c>
      <c r="L360" s="23">
        <f>IF(C360="","",SUMIFS(Analytics!$X$5:$X$154,Analytics!$C$5:$C$154,C360))</f>
        <v>0</v>
      </c>
      <c r="M360" s="23">
        <f>IF(C360="","",SUMIFS(Analytics!$R$5:$R$154,Analytics!$C$5:$C$154,C360))</f>
        <v>0</v>
      </c>
      <c r="N360" s="23">
        <f>IF(C360="","",SUMIFS(Analytics!$S$5:$S$154,Analytics!$C$5:$C$154,C360))</f>
        <v>0</v>
      </c>
      <c r="O360" s="23">
        <f>IF(C360="","",SUMIFS(Analytics!$T$5:$T$154,Analytics!$C$5:$C$154,C360))</f>
        <v>0</v>
      </c>
      <c r="P360" s="25">
        <f>IF(C360="","",SUMIFS(Analytics!$U$5:$U$154,Analytics!$C$5:$C$154,C360))</f>
        <v>0</v>
      </c>
      <c r="Q360" s="25">
        <f>IF(C360="","",SUMIFS(Budget!$H$5:$H$64,Budget!$C$5:$C$64,C360))</f>
        <v>0</v>
      </c>
      <c r="R360" s="25">
        <f>IF(C360="","",P360-Q360)</f>
        <v>0</v>
      </c>
      <c r="S360" s="23">
        <f>IF(C360="","",MonthlyPostTarget)</f>
        <v>0</v>
      </c>
      <c r="T360" s="17">
        <f>IF(Lists!$C360="","",Lists!$C360)</f>
        <v>0</v>
      </c>
      <c r="U360" s="23">
        <f>IF(T360="","",COUNTIFS('Content Calendar'!$G$5:$G$604,T360,'Content Calendar'!$B$5:$B$604,"&gt;="&amp;DashStart,'Content Calendar'!$B$5:$B$604,"&lt;="&amp;DashEnd))</f>
        <v>0</v>
      </c>
      <c r="V360" s="23">
        <f>IF(T360="","",COUNTIFS('Content Calendar'!$G$5:$G$604,T360,'Content Calendar'!$X$5:$X$604,"Published",'Content Calendar'!$B$5:$B$604,"&gt;="&amp;DashStart,'Content Calendar'!$B$5:$B$604,"&lt;="&amp;DashEnd))</f>
        <v>0</v>
      </c>
      <c r="W360" s="23">
        <f>IF(T360="","",SUMIFS(Analytics!$J$5:$J$154,Analytics!$D$5:$D$154,T360,Analytics!$B$5:$B$154,"&gt;="&amp;DashStart,Analytics!$B$5:$B$154,"&lt;="&amp;DashEnd))</f>
        <v>0</v>
      </c>
      <c r="X360" s="23">
        <f>IF(T360="","",SUMIFS(Analytics!$L$5:$L$154,Analytics!$D$5:$D$154,T360,Analytics!$B$5:$B$154,"&gt;="&amp;DashStart,Analytics!$B$5:$B$154,"&lt;="&amp;DashEnd))</f>
        <v>0</v>
      </c>
      <c r="Y360" s="24">
        <f>IF(OR(W360="",W360=0),"",X360/W360)</f>
        <v>0</v>
      </c>
      <c r="Z360" s="23">
        <f>IF(T360="","",SUMIFS(Analytics!$G$5:$G$154,Analytics!$D$5:$D$154,T360,Analytics!$B$5:$B$154,"&gt;="&amp;DashStart,Analytics!$B$5:$B$154,"&lt;="&amp;DashEnd))</f>
        <v>0</v>
      </c>
      <c r="AA360" s="23">
        <f>IF(T360="","",SUMIFS(Analytics!$X$5:$X$154,Analytics!$D$5:$D$154,T360,Analytics!$B$5:$B$154,"&gt;="&amp;DashStart,Analytics!$B$5:$B$154,"&lt;="&amp;DashEnd))</f>
        <v>0</v>
      </c>
      <c r="AB360" s="23">
        <f>IF(T360="","",SUMIFS(Analytics!$R$5:$R$154,Analytics!$D$5:$D$154,T360,Analytics!$B$5:$B$154,"&gt;="&amp;DashStart,Analytics!$B$5:$B$154,"&lt;="&amp;DashEnd))</f>
        <v>0</v>
      </c>
      <c r="AC360" s="25">
        <f>IF(T360="","",SUMIFS(Analytics!$U$5:$U$154,Analytics!$D$5:$D$154,T360,Analytics!$B$5:$B$154,"&gt;="&amp;DashStart,Analytics!$B$5:$B$154,"&lt;="&amp;DashEnd))</f>
        <v>0</v>
      </c>
      <c r="AD360" s="23">
        <f>IF(T360="","",COUNTIFS('Content Calendar'!$G$5:$G$604,T360,'Content Calendar'!$B$5:$B$604,"&gt;="&amp;DATE(PlanYear,1,1),'Content Calendar'!$B$5:$B$604,"&lt;="&amp;DATE(PlanYear,12,31)))</f>
        <v>0</v>
      </c>
      <c r="AE360" s="23">
        <f>IF(T360="","",SUMIFS(Analytics!$J$5:$J$154,Analytics!$D$5:$D$154,T360))</f>
        <v>0</v>
      </c>
      <c r="AF360" s="23">
        <f>IF(T360="","",SUMIFS(Analytics!$L$5:$L$154,Analytics!$D$5:$D$154,T360))</f>
        <v>0</v>
      </c>
      <c r="AG360" s="24">
        <f>IF(OR(AE360="",AE360=0),"",AF360/AE360)</f>
        <v>0</v>
      </c>
      <c r="AH360" s="23">
        <f>IF(T360="","",SUMIFS(Analytics!$X$5:$X$154,Analytics!$D$5:$D$154,T360))</f>
        <v>0</v>
      </c>
      <c r="AI360" s="32">
        <f>IF(T360="","",IF(AE360=0,"",AE360+ROW()/1000000))</f>
        <v>0</v>
      </c>
      <c r="AJ360" s="17">
        <f>IF('Content Pillars'!$B$360="","",'Content Pillars'!$B$360)</f>
        <v>0</v>
      </c>
      <c r="AK360" s="23">
        <f>IF(AJ360="","",COUNTIFS('Content Calendar'!$J$5:$J$604,AJ360,'Content Calendar'!$B$5:$B$604,"&gt;="&amp;DATE(PlanYear,1,1),'Content Calendar'!$B$5:$B$604,"&lt;="&amp;DATE(PlanYear,12,31)))</f>
        <v>0</v>
      </c>
      <c r="AL360" s="23">
        <f>IF(AJ360="","",SUMIFS(Performance!$O$5:$O$404,Performance!$H$5:$H$404,AJ360))</f>
        <v>0</v>
      </c>
      <c r="AM360" s="23">
        <f>IF(AJ360="","",SUMIFS(Performance!$Z$5:$Z$404,Performance!$H$5:$H$404,AJ360))</f>
        <v>0</v>
      </c>
      <c r="AN360" s="24">
        <f>IF(OR(AL360="",AL360=0),"",AM360/AL360)</f>
        <v>0</v>
      </c>
      <c r="AO360" s="32">
        <f>IF(AN360="","",AN360+ROW()/1000000)</f>
        <v>0</v>
      </c>
      <c r="AP360" s="17">
        <f>IF(Lists!$E360="","",Lists!$E360)</f>
        <v>0</v>
      </c>
      <c r="AQ360" s="23">
        <f>IF(AP360="","",COUNTIF(Performance!$G$5:$G$404,AP360))</f>
        <v>0</v>
      </c>
      <c r="AR360" s="23">
        <f>IF(AP360="","",SUMIFS(Performance!$O$5:$O$404,Performance!$G$5:$G$404,AP360))</f>
        <v>0</v>
      </c>
      <c r="AS360" s="23">
        <f>IF(AP360="","",SUMIFS(Performance!$Z$5:$Z$404,Performance!$G$5:$G$404,AP360))</f>
        <v>0</v>
      </c>
      <c r="AT360" s="24">
        <f>IF(OR(AR360="",AR360=0),"",AS360/AR360)</f>
        <v>0</v>
      </c>
      <c r="AU360" s="32">
        <f>IF(AQ360=0,"",IF(AT360="","",AT360+ROW()/1000000))</f>
        <v>0</v>
      </c>
      <c r="AV360" s="17">
        <f>IF(ROW()-4&gt;7,"",TEXT(DATE(2024,1,ROW()-4),"ddd"))</f>
        <v>0</v>
      </c>
      <c r="AW360" s="23">
        <f>IF(AV360="","",COUNTIF(Performance!$N$5:$N$404,AV360))</f>
        <v>0</v>
      </c>
      <c r="AX360" s="23">
        <f>IF(AV360="","",SUMIFS(Performance!$O$5:$O$404,Performance!$N$5:$N$404,AV360))</f>
        <v>0</v>
      </c>
      <c r="AY360" s="23">
        <f>IF(AV360="","",SUMIFS(Performance!$Z$5:$Z$404,Performance!$N$5:$N$404,AV360))</f>
        <v>0</v>
      </c>
      <c r="AZ360" s="24">
        <f>IF(OR(AX360="",AX360=0),"",AY360/AX360)</f>
        <v>0</v>
      </c>
      <c r="BA360" s="32">
        <f>IF(AW360=0,"",IF(AZ360="","",AZ360+ROW()/1000000))</f>
        <v>0</v>
      </c>
      <c r="BB360" s="17">
        <f>IF(Lists!$AL360="","",Lists!$AL360)</f>
        <v>0</v>
      </c>
      <c r="BC360" s="23">
        <f>IF(BB360="","",COUNTIF(Performance!$M$5:$M$404,BB360))</f>
        <v>0</v>
      </c>
      <c r="BD360" s="23">
        <f>IF(BB360="","",SUMIFS(Performance!$O$5:$O$404,Performance!$M$5:$M$404,BB360))</f>
        <v>0</v>
      </c>
      <c r="BE360" s="23">
        <f>IF(BB360="","",SUMIFS(Performance!$Z$5:$Z$404,Performance!$M$5:$M$404,BB360))</f>
        <v>0</v>
      </c>
      <c r="BF360" s="24">
        <f>IF(OR(BD360="",BD360=0),"",BE360/BD360)</f>
        <v>0</v>
      </c>
      <c r="BG360" s="32">
        <f>IF(BC360=0,"",IF(BF360="","",BF360+ROW()/1000000))</f>
        <v>0</v>
      </c>
      <c r="BH360" s="17">
        <f>IF(Performance!$C$360="","",Performance!$C$360)</f>
        <v>0</v>
      </c>
      <c r="BI360" s="17">
        <f>IF(Performance!$F$360="","",Performance!$F$360)</f>
        <v>0</v>
      </c>
      <c r="BJ360" s="17">
        <f>IF(Performance!$H$360="","",Performance!$H$360)</f>
        <v>0</v>
      </c>
      <c r="BK360" s="16">
        <f>IF(Performance!$D$360="","",Performance!$D$360)</f>
        <v>0</v>
      </c>
      <c r="BL360" s="17">
        <f>IF(Performance!$E$360="","",Performance!$E$360)</f>
        <v>0</v>
      </c>
      <c r="BM360" s="23">
        <f>IF(Performance!$O$360="","",Performance!$O$360)</f>
        <v>0</v>
      </c>
      <c r="BN360" s="24">
        <f>IF(Performance!$AA$360="","",Performance!$AA$360)</f>
        <v>0</v>
      </c>
      <c r="BO360" s="32">
        <f>IF(BH360="","",IF(BK360="","",IF(OR(BK360&lt;DashStart,BK360&gt;DashEnd),"",IF(BN360="","",BN360+ROW()/1000000))))</f>
        <v>0</v>
      </c>
      <c r="BP360" s="32">
        <f>IF(BM360="","",IF(BK360="","",IF(OR(BK360&lt;DashStart,BK360&gt;DashEnd),"",BM360+ROW()/1000000)))</f>
        <v>0</v>
      </c>
      <c r="BQ360" s="32">
        <f>IF(BH360="","",IF(BK360="","",IF(YEAR(BK360)&lt;&gt;PlanYear,"",IF(BN360="","",BN360+ROW()/1000000))))</f>
        <v>0</v>
      </c>
      <c r="BR360" s="32">
        <f>IF(BH360="","",IF(BK360="","",IF(OR(BK360&lt;RepFrom,BK360&gt;RepTo),"",IF(BN360="","",BN360+ROW()/1000000))))</f>
        <v>0</v>
      </c>
      <c r="BS360" s="32">
        <f>IF(BM360="","",IF(BK360="","",IF(YEAR(BK360)&lt;&gt;PlanYear,"",BM360+ROW()/1000000)))</f>
        <v>0</v>
      </c>
      <c r="BT360" s="17">
        <f>IF(Lists!$F360="","",Lists!$F360)</f>
        <v>0</v>
      </c>
      <c r="BU360" s="23">
        <f>IF(BT360="","",COUNTIF('Content Calendar'!$X$5:$X$604,BT360))</f>
        <v>0</v>
      </c>
      <c r="BV360" s="23">
        <f>IF(BT360="","",COUNTIFS('Content Calendar'!$X$5:$X$604,BT360,'Content Calendar'!$B$5:$B$604,"&gt;="&amp;DashStart,'Content Calendar'!$B$5:$B$604,"&lt;="&amp;DashEnd))</f>
        <v>0</v>
      </c>
      <c r="BW360" s="17">
        <f>IF(Team!$B$360="","",Team!$B$360)</f>
        <v>0</v>
      </c>
      <c r="BX360" s="23">
        <f>IF(BW360="","",COUNTIF('Content Calendar'!$W$5:$W$604,BW360))</f>
        <v>0</v>
      </c>
      <c r="BY360" s="23">
        <f>IF(BW360="","",COUNTIFS('Content Calendar'!$W$5:$W$604,BW360,'Content Calendar'!$X$5:$X$604,"&lt;&gt;Published"))</f>
        <v>0</v>
      </c>
      <c r="BZ360" s="23">
        <f>IF(BW360="","",COUNTIFS(Tasks!$C$5:$C$64,BW360,Tasks!$G$5:$G$64,"&lt;&gt;Complete"))</f>
        <v>0</v>
      </c>
      <c r="CA360" s="17">
        <f>IF(Campaigns!$B$360="","",Campaigns!$B$360)</f>
        <v>0</v>
      </c>
      <c r="CB360" s="25">
        <f>IF(Campaigns!$T$360="","",Campaigns!$T$360)</f>
        <v>0</v>
      </c>
      <c r="CC360" s="25">
        <f>IF(Campaigns!$Q$360="","",Campaigns!$Q$360)</f>
        <v>0</v>
      </c>
      <c r="CD360" s="23">
        <f>IF(Campaigns!$Y$360="","",Campaigns!$Y$360)</f>
        <v>0</v>
      </c>
      <c r="CE360" s="32">
        <f>IF(CA360="","",IF(N(CB360)&lt;=0,"",N(CB360)+ROW()/1000000))</f>
        <v>0</v>
      </c>
      <c r="CF360" s="17">
        <f>IF(Accounts!$C$360="","",Accounts!$C$360)</f>
        <v>0</v>
      </c>
      <c r="CG360" s="17">
        <f>IF(Accounts!$B$360="","",Accounts!$B$360)</f>
        <v>0</v>
      </c>
      <c r="CH360" s="23">
        <f>IF(Accounts!$J$360="","",Accounts!$J$360)</f>
        <v>0</v>
      </c>
      <c r="CI360" s="23">
        <f>IF(CF360="","",SUMIFS(Analytics!$X$5:$X$154,Analytics!$E$5:$E$154,CF360,Analytics!$B$5:$B$154,"&gt;="&amp;DashStart,Analytics!$B$5:$B$154,"&lt;="&amp;DashEnd))</f>
        <v>0</v>
      </c>
      <c r="CJ360" s="32">
        <f>IF(CH360="","",IF(CH360=0,"",CH360+ROW()/1000000))</f>
        <v>0</v>
      </c>
    </row>
    <row r="361" spans="1:88">
      <c r="A361" s="16">
        <f>IF(ROW()-4&gt;12,"",DATE(PlanYear,ROW()-4,1))</f>
        <v>0</v>
      </c>
      <c r="B361" s="16">
        <f>IF(A361="","",EOMONTH(A361,0))</f>
        <v>0</v>
      </c>
      <c r="C361" s="17">
        <f>IF(A361="","",TEXT(A361,"yyyy-mm"))</f>
        <v>0</v>
      </c>
      <c r="D361" s="17">
        <f>IF(A361="","",TEXT(A361,"mmm"))</f>
        <v>0</v>
      </c>
      <c r="E361" s="23">
        <f>IF(C361="","",COUNTIFS('Content Calendar'!$D$5:$D$604,C361))</f>
        <v>0</v>
      </c>
      <c r="F361" s="23">
        <f>IF(C361="","",COUNTIFS('Content Calendar'!$D$5:$D$604,C361,'Content Calendar'!$X$5:$X$604,"Published"))</f>
        <v>0</v>
      </c>
      <c r="G361" s="23">
        <f>IF(C361="","",SUMIFS(Analytics!$J$5:$J$154,Analytics!$C$5:$C$154,C361))</f>
        <v>0</v>
      </c>
      <c r="H361" s="23">
        <f>IF(C361="","",SUMIFS(Analytics!$K$5:$K$154,Analytics!$C$5:$C$154,C361))</f>
        <v>0</v>
      </c>
      <c r="I361" s="23">
        <f>IF(C361="","",SUMIFS(Analytics!$L$5:$L$154,Analytics!$C$5:$C$154,C361))</f>
        <v>0</v>
      </c>
      <c r="J361" s="24">
        <f>IF(OR(G361="",G361=0),"",I361/G361)</f>
        <v>0</v>
      </c>
      <c r="K361" s="23">
        <f>IF(C361="","",SUMIFS(Analytics!$G$5:$G$154,Analytics!$C$5:$C$154,C361))</f>
        <v>0</v>
      </c>
      <c r="L361" s="23">
        <f>IF(C361="","",SUMIFS(Analytics!$X$5:$X$154,Analytics!$C$5:$C$154,C361))</f>
        <v>0</v>
      </c>
      <c r="M361" s="23">
        <f>IF(C361="","",SUMIFS(Analytics!$R$5:$R$154,Analytics!$C$5:$C$154,C361))</f>
        <v>0</v>
      </c>
      <c r="N361" s="23">
        <f>IF(C361="","",SUMIFS(Analytics!$S$5:$S$154,Analytics!$C$5:$C$154,C361))</f>
        <v>0</v>
      </c>
      <c r="O361" s="23">
        <f>IF(C361="","",SUMIFS(Analytics!$T$5:$T$154,Analytics!$C$5:$C$154,C361))</f>
        <v>0</v>
      </c>
      <c r="P361" s="25">
        <f>IF(C361="","",SUMIFS(Analytics!$U$5:$U$154,Analytics!$C$5:$C$154,C361))</f>
        <v>0</v>
      </c>
      <c r="Q361" s="25">
        <f>IF(C361="","",SUMIFS(Budget!$H$5:$H$64,Budget!$C$5:$C$64,C361))</f>
        <v>0</v>
      </c>
      <c r="R361" s="25">
        <f>IF(C361="","",P361-Q361)</f>
        <v>0</v>
      </c>
      <c r="S361" s="23">
        <f>IF(C361="","",MonthlyPostTarget)</f>
        <v>0</v>
      </c>
      <c r="T361" s="17">
        <f>IF(Lists!$C361="","",Lists!$C361)</f>
        <v>0</v>
      </c>
      <c r="U361" s="23">
        <f>IF(T361="","",COUNTIFS('Content Calendar'!$G$5:$G$604,T361,'Content Calendar'!$B$5:$B$604,"&gt;="&amp;DashStart,'Content Calendar'!$B$5:$B$604,"&lt;="&amp;DashEnd))</f>
        <v>0</v>
      </c>
      <c r="V361" s="23">
        <f>IF(T361="","",COUNTIFS('Content Calendar'!$G$5:$G$604,T361,'Content Calendar'!$X$5:$X$604,"Published",'Content Calendar'!$B$5:$B$604,"&gt;="&amp;DashStart,'Content Calendar'!$B$5:$B$604,"&lt;="&amp;DashEnd))</f>
        <v>0</v>
      </c>
      <c r="W361" s="23">
        <f>IF(T361="","",SUMIFS(Analytics!$J$5:$J$154,Analytics!$D$5:$D$154,T361,Analytics!$B$5:$B$154,"&gt;="&amp;DashStart,Analytics!$B$5:$B$154,"&lt;="&amp;DashEnd))</f>
        <v>0</v>
      </c>
      <c r="X361" s="23">
        <f>IF(T361="","",SUMIFS(Analytics!$L$5:$L$154,Analytics!$D$5:$D$154,T361,Analytics!$B$5:$B$154,"&gt;="&amp;DashStart,Analytics!$B$5:$B$154,"&lt;="&amp;DashEnd))</f>
        <v>0</v>
      </c>
      <c r="Y361" s="24">
        <f>IF(OR(W361="",W361=0),"",X361/W361)</f>
        <v>0</v>
      </c>
      <c r="Z361" s="23">
        <f>IF(T361="","",SUMIFS(Analytics!$G$5:$G$154,Analytics!$D$5:$D$154,T361,Analytics!$B$5:$B$154,"&gt;="&amp;DashStart,Analytics!$B$5:$B$154,"&lt;="&amp;DashEnd))</f>
        <v>0</v>
      </c>
      <c r="AA361" s="23">
        <f>IF(T361="","",SUMIFS(Analytics!$X$5:$X$154,Analytics!$D$5:$D$154,T361,Analytics!$B$5:$B$154,"&gt;="&amp;DashStart,Analytics!$B$5:$B$154,"&lt;="&amp;DashEnd))</f>
        <v>0</v>
      </c>
      <c r="AB361" s="23">
        <f>IF(T361="","",SUMIFS(Analytics!$R$5:$R$154,Analytics!$D$5:$D$154,T361,Analytics!$B$5:$B$154,"&gt;="&amp;DashStart,Analytics!$B$5:$B$154,"&lt;="&amp;DashEnd))</f>
        <v>0</v>
      </c>
      <c r="AC361" s="25">
        <f>IF(T361="","",SUMIFS(Analytics!$U$5:$U$154,Analytics!$D$5:$D$154,T361,Analytics!$B$5:$B$154,"&gt;="&amp;DashStart,Analytics!$B$5:$B$154,"&lt;="&amp;DashEnd))</f>
        <v>0</v>
      </c>
      <c r="AD361" s="23">
        <f>IF(T361="","",COUNTIFS('Content Calendar'!$G$5:$G$604,T361,'Content Calendar'!$B$5:$B$604,"&gt;="&amp;DATE(PlanYear,1,1),'Content Calendar'!$B$5:$B$604,"&lt;="&amp;DATE(PlanYear,12,31)))</f>
        <v>0</v>
      </c>
      <c r="AE361" s="23">
        <f>IF(T361="","",SUMIFS(Analytics!$J$5:$J$154,Analytics!$D$5:$D$154,T361))</f>
        <v>0</v>
      </c>
      <c r="AF361" s="23">
        <f>IF(T361="","",SUMIFS(Analytics!$L$5:$L$154,Analytics!$D$5:$D$154,T361))</f>
        <v>0</v>
      </c>
      <c r="AG361" s="24">
        <f>IF(OR(AE361="",AE361=0),"",AF361/AE361)</f>
        <v>0</v>
      </c>
      <c r="AH361" s="23">
        <f>IF(T361="","",SUMIFS(Analytics!$X$5:$X$154,Analytics!$D$5:$D$154,T361))</f>
        <v>0</v>
      </c>
      <c r="AI361" s="32">
        <f>IF(T361="","",IF(AE361=0,"",AE361+ROW()/1000000))</f>
        <v>0</v>
      </c>
      <c r="AJ361" s="17">
        <f>IF('Content Pillars'!$B$361="","",'Content Pillars'!$B$361)</f>
        <v>0</v>
      </c>
      <c r="AK361" s="23">
        <f>IF(AJ361="","",COUNTIFS('Content Calendar'!$J$5:$J$604,AJ361,'Content Calendar'!$B$5:$B$604,"&gt;="&amp;DATE(PlanYear,1,1),'Content Calendar'!$B$5:$B$604,"&lt;="&amp;DATE(PlanYear,12,31)))</f>
        <v>0</v>
      </c>
      <c r="AL361" s="23">
        <f>IF(AJ361="","",SUMIFS(Performance!$O$5:$O$404,Performance!$H$5:$H$404,AJ361))</f>
        <v>0</v>
      </c>
      <c r="AM361" s="23">
        <f>IF(AJ361="","",SUMIFS(Performance!$Z$5:$Z$404,Performance!$H$5:$H$404,AJ361))</f>
        <v>0</v>
      </c>
      <c r="AN361" s="24">
        <f>IF(OR(AL361="",AL361=0),"",AM361/AL361)</f>
        <v>0</v>
      </c>
      <c r="AO361" s="32">
        <f>IF(AN361="","",AN361+ROW()/1000000)</f>
        <v>0</v>
      </c>
      <c r="AP361" s="17">
        <f>IF(Lists!$E361="","",Lists!$E361)</f>
        <v>0</v>
      </c>
      <c r="AQ361" s="23">
        <f>IF(AP361="","",COUNTIF(Performance!$G$5:$G$404,AP361))</f>
        <v>0</v>
      </c>
      <c r="AR361" s="23">
        <f>IF(AP361="","",SUMIFS(Performance!$O$5:$O$404,Performance!$G$5:$G$404,AP361))</f>
        <v>0</v>
      </c>
      <c r="AS361" s="23">
        <f>IF(AP361="","",SUMIFS(Performance!$Z$5:$Z$404,Performance!$G$5:$G$404,AP361))</f>
        <v>0</v>
      </c>
      <c r="AT361" s="24">
        <f>IF(OR(AR361="",AR361=0),"",AS361/AR361)</f>
        <v>0</v>
      </c>
      <c r="AU361" s="32">
        <f>IF(AQ361=0,"",IF(AT361="","",AT361+ROW()/1000000))</f>
        <v>0</v>
      </c>
      <c r="AV361" s="17">
        <f>IF(ROW()-4&gt;7,"",TEXT(DATE(2024,1,ROW()-4),"ddd"))</f>
        <v>0</v>
      </c>
      <c r="AW361" s="23">
        <f>IF(AV361="","",COUNTIF(Performance!$N$5:$N$404,AV361))</f>
        <v>0</v>
      </c>
      <c r="AX361" s="23">
        <f>IF(AV361="","",SUMIFS(Performance!$O$5:$O$404,Performance!$N$5:$N$404,AV361))</f>
        <v>0</v>
      </c>
      <c r="AY361" s="23">
        <f>IF(AV361="","",SUMIFS(Performance!$Z$5:$Z$404,Performance!$N$5:$N$404,AV361))</f>
        <v>0</v>
      </c>
      <c r="AZ361" s="24">
        <f>IF(OR(AX361="",AX361=0),"",AY361/AX361)</f>
        <v>0</v>
      </c>
      <c r="BA361" s="32">
        <f>IF(AW361=0,"",IF(AZ361="","",AZ361+ROW()/1000000))</f>
        <v>0</v>
      </c>
      <c r="BB361" s="17">
        <f>IF(Lists!$AL361="","",Lists!$AL361)</f>
        <v>0</v>
      </c>
      <c r="BC361" s="23">
        <f>IF(BB361="","",COUNTIF(Performance!$M$5:$M$404,BB361))</f>
        <v>0</v>
      </c>
      <c r="BD361" s="23">
        <f>IF(BB361="","",SUMIFS(Performance!$O$5:$O$404,Performance!$M$5:$M$404,BB361))</f>
        <v>0</v>
      </c>
      <c r="BE361" s="23">
        <f>IF(BB361="","",SUMIFS(Performance!$Z$5:$Z$404,Performance!$M$5:$M$404,BB361))</f>
        <v>0</v>
      </c>
      <c r="BF361" s="24">
        <f>IF(OR(BD361="",BD361=0),"",BE361/BD361)</f>
        <v>0</v>
      </c>
      <c r="BG361" s="32">
        <f>IF(BC361=0,"",IF(BF361="","",BF361+ROW()/1000000))</f>
        <v>0</v>
      </c>
      <c r="BH361" s="17">
        <f>IF(Performance!$C$361="","",Performance!$C$361)</f>
        <v>0</v>
      </c>
      <c r="BI361" s="17">
        <f>IF(Performance!$F$361="","",Performance!$F$361)</f>
        <v>0</v>
      </c>
      <c r="BJ361" s="17">
        <f>IF(Performance!$H$361="","",Performance!$H$361)</f>
        <v>0</v>
      </c>
      <c r="BK361" s="16">
        <f>IF(Performance!$D$361="","",Performance!$D$361)</f>
        <v>0</v>
      </c>
      <c r="BL361" s="17">
        <f>IF(Performance!$E$361="","",Performance!$E$361)</f>
        <v>0</v>
      </c>
      <c r="BM361" s="23">
        <f>IF(Performance!$O$361="","",Performance!$O$361)</f>
        <v>0</v>
      </c>
      <c r="BN361" s="24">
        <f>IF(Performance!$AA$361="","",Performance!$AA$361)</f>
        <v>0</v>
      </c>
      <c r="BO361" s="32">
        <f>IF(BH361="","",IF(BK361="","",IF(OR(BK361&lt;DashStart,BK361&gt;DashEnd),"",IF(BN361="","",BN361+ROW()/1000000))))</f>
        <v>0</v>
      </c>
      <c r="BP361" s="32">
        <f>IF(BM361="","",IF(BK361="","",IF(OR(BK361&lt;DashStart,BK361&gt;DashEnd),"",BM361+ROW()/1000000)))</f>
        <v>0</v>
      </c>
      <c r="BQ361" s="32">
        <f>IF(BH361="","",IF(BK361="","",IF(YEAR(BK361)&lt;&gt;PlanYear,"",IF(BN361="","",BN361+ROW()/1000000))))</f>
        <v>0</v>
      </c>
      <c r="BR361" s="32">
        <f>IF(BH361="","",IF(BK361="","",IF(OR(BK361&lt;RepFrom,BK361&gt;RepTo),"",IF(BN361="","",BN361+ROW()/1000000))))</f>
        <v>0</v>
      </c>
      <c r="BS361" s="32">
        <f>IF(BM361="","",IF(BK361="","",IF(YEAR(BK361)&lt;&gt;PlanYear,"",BM361+ROW()/1000000)))</f>
        <v>0</v>
      </c>
      <c r="BT361" s="17">
        <f>IF(Lists!$F361="","",Lists!$F361)</f>
        <v>0</v>
      </c>
      <c r="BU361" s="23">
        <f>IF(BT361="","",COUNTIF('Content Calendar'!$X$5:$X$604,BT361))</f>
        <v>0</v>
      </c>
      <c r="BV361" s="23">
        <f>IF(BT361="","",COUNTIFS('Content Calendar'!$X$5:$X$604,BT361,'Content Calendar'!$B$5:$B$604,"&gt;="&amp;DashStart,'Content Calendar'!$B$5:$B$604,"&lt;="&amp;DashEnd))</f>
        <v>0</v>
      </c>
      <c r="BW361" s="17">
        <f>IF(Team!$B$361="","",Team!$B$361)</f>
        <v>0</v>
      </c>
      <c r="BX361" s="23">
        <f>IF(BW361="","",COUNTIF('Content Calendar'!$W$5:$W$604,BW361))</f>
        <v>0</v>
      </c>
      <c r="BY361" s="23">
        <f>IF(BW361="","",COUNTIFS('Content Calendar'!$W$5:$W$604,BW361,'Content Calendar'!$X$5:$X$604,"&lt;&gt;Published"))</f>
        <v>0</v>
      </c>
      <c r="BZ361" s="23">
        <f>IF(BW361="","",COUNTIFS(Tasks!$C$5:$C$64,BW361,Tasks!$G$5:$G$64,"&lt;&gt;Complete"))</f>
        <v>0</v>
      </c>
      <c r="CA361" s="17">
        <f>IF(Campaigns!$B$361="","",Campaigns!$B$361)</f>
        <v>0</v>
      </c>
      <c r="CB361" s="25">
        <f>IF(Campaigns!$T$361="","",Campaigns!$T$361)</f>
        <v>0</v>
      </c>
      <c r="CC361" s="25">
        <f>IF(Campaigns!$Q$361="","",Campaigns!$Q$361)</f>
        <v>0</v>
      </c>
      <c r="CD361" s="23">
        <f>IF(Campaigns!$Y$361="","",Campaigns!$Y$361)</f>
        <v>0</v>
      </c>
      <c r="CE361" s="32">
        <f>IF(CA361="","",IF(N(CB361)&lt;=0,"",N(CB361)+ROW()/1000000))</f>
        <v>0</v>
      </c>
      <c r="CF361" s="17">
        <f>IF(Accounts!$C$361="","",Accounts!$C$361)</f>
        <v>0</v>
      </c>
      <c r="CG361" s="17">
        <f>IF(Accounts!$B$361="","",Accounts!$B$361)</f>
        <v>0</v>
      </c>
      <c r="CH361" s="23">
        <f>IF(Accounts!$J$361="","",Accounts!$J$361)</f>
        <v>0</v>
      </c>
      <c r="CI361" s="23">
        <f>IF(CF361="","",SUMIFS(Analytics!$X$5:$X$154,Analytics!$E$5:$E$154,CF361,Analytics!$B$5:$B$154,"&gt;="&amp;DashStart,Analytics!$B$5:$B$154,"&lt;="&amp;DashEnd))</f>
        <v>0</v>
      </c>
      <c r="CJ361" s="32">
        <f>IF(CH361="","",IF(CH361=0,"",CH361+ROW()/1000000))</f>
        <v>0</v>
      </c>
    </row>
    <row r="362" spans="1:88">
      <c r="A362" s="16">
        <f>IF(ROW()-4&gt;12,"",DATE(PlanYear,ROW()-4,1))</f>
        <v>0</v>
      </c>
      <c r="B362" s="16">
        <f>IF(A362="","",EOMONTH(A362,0))</f>
        <v>0</v>
      </c>
      <c r="C362" s="17">
        <f>IF(A362="","",TEXT(A362,"yyyy-mm"))</f>
        <v>0</v>
      </c>
      <c r="D362" s="17">
        <f>IF(A362="","",TEXT(A362,"mmm"))</f>
        <v>0</v>
      </c>
      <c r="E362" s="23">
        <f>IF(C362="","",COUNTIFS('Content Calendar'!$D$5:$D$604,C362))</f>
        <v>0</v>
      </c>
      <c r="F362" s="23">
        <f>IF(C362="","",COUNTIFS('Content Calendar'!$D$5:$D$604,C362,'Content Calendar'!$X$5:$X$604,"Published"))</f>
        <v>0</v>
      </c>
      <c r="G362" s="23">
        <f>IF(C362="","",SUMIFS(Analytics!$J$5:$J$154,Analytics!$C$5:$C$154,C362))</f>
        <v>0</v>
      </c>
      <c r="H362" s="23">
        <f>IF(C362="","",SUMIFS(Analytics!$K$5:$K$154,Analytics!$C$5:$C$154,C362))</f>
        <v>0</v>
      </c>
      <c r="I362" s="23">
        <f>IF(C362="","",SUMIFS(Analytics!$L$5:$L$154,Analytics!$C$5:$C$154,C362))</f>
        <v>0</v>
      </c>
      <c r="J362" s="24">
        <f>IF(OR(G362="",G362=0),"",I362/G362)</f>
        <v>0</v>
      </c>
      <c r="K362" s="23">
        <f>IF(C362="","",SUMIFS(Analytics!$G$5:$G$154,Analytics!$C$5:$C$154,C362))</f>
        <v>0</v>
      </c>
      <c r="L362" s="23">
        <f>IF(C362="","",SUMIFS(Analytics!$X$5:$X$154,Analytics!$C$5:$C$154,C362))</f>
        <v>0</v>
      </c>
      <c r="M362" s="23">
        <f>IF(C362="","",SUMIFS(Analytics!$R$5:$R$154,Analytics!$C$5:$C$154,C362))</f>
        <v>0</v>
      </c>
      <c r="N362" s="23">
        <f>IF(C362="","",SUMIFS(Analytics!$S$5:$S$154,Analytics!$C$5:$C$154,C362))</f>
        <v>0</v>
      </c>
      <c r="O362" s="23">
        <f>IF(C362="","",SUMIFS(Analytics!$T$5:$T$154,Analytics!$C$5:$C$154,C362))</f>
        <v>0</v>
      </c>
      <c r="P362" s="25">
        <f>IF(C362="","",SUMIFS(Analytics!$U$5:$U$154,Analytics!$C$5:$C$154,C362))</f>
        <v>0</v>
      </c>
      <c r="Q362" s="25">
        <f>IF(C362="","",SUMIFS(Budget!$H$5:$H$64,Budget!$C$5:$C$64,C362))</f>
        <v>0</v>
      </c>
      <c r="R362" s="25">
        <f>IF(C362="","",P362-Q362)</f>
        <v>0</v>
      </c>
      <c r="S362" s="23">
        <f>IF(C362="","",MonthlyPostTarget)</f>
        <v>0</v>
      </c>
      <c r="T362" s="17">
        <f>IF(Lists!$C362="","",Lists!$C362)</f>
        <v>0</v>
      </c>
      <c r="U362" s="23">
        <f>IF(T362="","",COUNTIFS('Content Calendar'!$G$5:$G$604,T362,'Content Calendar'!$B$5:$B$604,"&gt;="&amp;DashStart,'Content Calendar'!$B$5:$B$604,"&lt;="&amp;DashEnd))</f>
        <v>0</v>
      </c>
      <c r="V362" s="23">
        <f>IF(T362="","",COUNTIFS('Content Calendar'!$G$5:$G$604,T362,'Content Calendar'!$X$5:$X$604,"Published",'Content Calendar'!$B$5:$B$604,"&gt;="&amp;DashStart,'Content Calendar'!$B$5:$B$604,"&lt;="&amp;DashEnd))</f>
        <v>0</v>
      </c>
      <c r="W362" s="23">
        <f>IF(T362="","",SUMIFS(Analytics!$J$5:$J$154,Analytics!$D$5:$D$154,T362,Analytics!$B$5:$B$154,"&gt;="&amp;DashStart,Analytics!$B$5:$B$154,"&lt;="&amp;DashEnd))</f>
        <v>0</v>
      </c>
      <c r="X362" s="23">
        <f>IF(T362="","",SUMIFS(Analytics!$L$5:$L$154,Analytics!$D$5:$D$154,T362,Analytics!$B$5:$B$154,"&gt;="&amp;DashStart,Analytics!$B$5:$B$154,"&lt;="&amp;DashEnd))</f>
        <v>0</v>
      </c>
      <c r="Y362" s="24">
        <f>IF(OR(W362="",W362=0),"",X362/W362)</f>
        <v>0</v>
      </c>
      <c r="Z362" s="23">
        <f>IF(T362="","",SUMIFS(Analytics!$G$5:$G$154,Analytics!$D$5:$D$154,T362,Analytics!$B$5:$B$154,"&gt;="&amp;DashStart,Analytics!$B$5:$B$154,"&lt;="&amp;DashEnd))</f>
        <v>0</v>
      </c>
      <c r="AA362" s="23">
        <f>IF(T362="","",SUMIFS(Analytics!$X$5:$X$154,Analytics!$D$5:$D$154,T362,Analytics!$B$5:$B$154,"&gt;="&amp;DashStart,Analytics!$B$5:$B$154,"&lt;="&amp;DashEnd))</f>
        <v>0</v>
      </c>
      <c r="AB362" s="23">
        <f>IF(T362="","",SUMIFS(Analytics!$R$5:$R$154,Analytics!$D$5:$D$154,T362,Analytics!$B$5:$B$154,"&gt;="&amp;DashStart,Analytics!$B$5:$B$154,"&lt;="&amp;DashEnd))</f>
        <v>0</v>
      </c>
      <c r="AC362" s="25">
        <f>IF(T362="","",SUMIFS(Analytics!$U$5:$U$154,Analytics!$D$5:$D$154,T362,Analytics!$B$5:$B$154,"&gt;="&amp;DashStart,Analytics!$B$5:$B$154,"&lt;="&amp;DashEnd))</f>
        <v>0</v>
      </c>
      <c r="AD362" s="23">
        <f>IF(T362="","",COUNTIFS('Content Calendar'!$G$5:$G$604,T362,'Content Calendar'!$B$5:$B$604,"&gt;="&amp;DATE(PlanYear,1,1),'Content Calendar'!$B$5:$B$604,"&lt;="&amp;DATE(PlanYear,12,31)))</f>
        <v>0</v>
      </c>
      <c r="AE362" s="23">
        <f>IF(T362="","",SUMIFS(Analytics!$J$5:$J$154,Analytics!$D$5:$D$154,T362))</f>
        <v>0</v>
      </c>
      <c r="AF362" s="23">
        <f>IF(T362="","",SUMIFS(Analytics!$L$5:$L$154,Analytics!$D$5:$D$154,T362))</f>
        <v>0</v>
      </c>
      <c r="AG362" s="24">
        <f>IF(OR(AE362="",AE362=0),"",AF362/AE362)</f>
        <v>0</v>
      </c>
      <c r="AH362" s="23">
        <f>IF(T362="","",SUMIFS(Analytics!$X$5:$X$154,Analytics!$D$5:$D$154,T362))</f>
        <v>0</v>
      </c>
      <c r="AI362" s="32">
        <f>IF(T362="","",IF(AE362=0,"",AE362+ROW()/1000000))</f>
        <v>0</v>
      </c>
      <c r="AJ362" s="17">
        <f>IF('Content Pillars'!$B$362="","",'Content Pillars'!$B$362)</f>
        <v>0</v>
      </c>
      <c r="AK362" s="23">
        <f>IF(AJ362="","",COUNTIFS('Content Calendar'!$J$5:$J$604,AJ362,'Content Calendar'!$B$5:$B$604,"&gt;="&amp;DATE(PlanYear,1,1),'Content Calendar'!$B$5:$B$604,"&lt;="&amp;DATE(PlanYear,12,31)))</f>
        <v>0</v>
      </c>
      <c r="AL362" s="23">
        <f>IF(AJ362="","",SUMIFS(Performance!$O$5:$O$404,Performance!$H$5:$H$404,AJ362))</f>
        <v>0</v>
      </c>
      <c r="AM362" s="23">
        <f>IF(AJ362="","",SUMIFS(Performance!$Z$5:$Z$404,Performance!$H$5:$H$404,AJ362))</f>
        <v>0</v>
      </c>
      <c r="AN362" s="24">
        <f>IF(OR(AL362="",AL362=0),"",AM362/AL362)</f>
        <v>0</v>
      </c>
      <c r="AO362" s="32">
        <f>IF(AN362="","",AN362+ROW()/1000000)</f>
        <v>0</v>
      </c>
      <c r="AP362" s="17">
        <f>IF(Lists!$E362="","",Lists!$E362)</f>
        <v>0</v>
      </c>
      <c r="AQ362" s="23">
        <f>IF(AP362="","",COUNTIF(Performance!$G$5:$G$404,AP362))</f>
        <v>0</v>
      </c>
      <c r="AR362" s="23">
        <f>IF(AP362="","",SUMIFS(Performance!$O$5:$O$404,Performance!$G$5:$G$404,AP362))</f>
        <v>0</v>
      </c>
      <c r="AS362" s="23">
        <f>IF(AP362="","",SUMIFS(Performance!$Z$5:$Z$404,Performance!$G$5:$G$404,AP362))</f>
        <v>0</v>
      </c>
      <c r="AT362" s="24">
        <f>IF(OR(AR362="",AR362=0),"",AS362/AR362)</f>
        <v>0</v>
      </c>
      <c r="AU362" s="32">
        <f>IF(AQ362=0,"",IF(AT362="","",AT362+ROW()/1000000))</f>
        <v>0</v>
      </c>
      <c r="AV362" s="17">
        <f>IF(ROW()-4&gt;7,"",TEXT(DATE(2024,1,ROW()-4),"ddd"))</f>
        <v>0</v>
      </c>
      <c r="AW362" s="23">
        <f>IF(AV362="","",COUNTIF(Performance!$N$5:$N$404,AV362))</f>
        <v>0</v>
      </c>
      <c r="AX362" s="23">
        <f>IF(AV362="","",SUMIFS(Performance!$O$5:$O$404,Performance!$N$5:$N$404,AV362))</f>
        <v>0</v>
      </c>
      <c r="AY362" s="23">
        <f>IF(AV362="","",SUMIFS(Performance!$Z$5:$Z$404,Performance!$N$5:$N$404,AV362))</f>
        <v>0</v>
      </c>
      <c r="AZ362" s="24">
        <f>IF(OR(AX362="",AX362=0),"",AY362/AX362)</f>
        <v>0</v>
      </c>
      <c r="BA362" s="32">
        <f>IF(AW362=0,"",IF(AZ362="","",AZ362+ROW()/1000000))</f>
        <v>0</v>
      </c>
      <c r="BB362" s="17">
        <f>IF(Lists!$AL362="","",Lists!$AL362)</f>
        <v>0</v>
      </c>
      <c r="BC362" s="23">
        <f>IF(BB362="","",COUNTIF(Performance!$M$5:$M$404,BB362))</f>
        <v>0</v>
      </c>
      <c r="BD362" s="23">
        <f>IF(BB362="","",SUMIFS(Performance!$O$5:$O$404,Performance!$M$5:$M$404,BB362))</f>
        <v>0</v>
      </c>
      <c r="BE362" s="23">
        <f>IF(BB362="","",SUMIFS(Performance!$Z$5:$Z$404,Performance!$M$5:$M$404,BB362))</f>
        <v>0</v>
      </c>
      <c r="BF362" s="24">
        <f>IF(OR(BD362="",BD362=0),"",BE362/BD362)</f>
        <v>0</v>
      </c>
      <c r="BG362" s="32">
        <f>IF(BC362=0,"",IF(BF362="","",BF362+ROW()/1000000))</f>
        <v>0</v>
      </c>
      <c r="BH362" s="17">
        <f>IF(Performance!$C$362="","",Performance!$C$362)</f>
        <v>0</v>
      </c>
      <c r="BI362" s="17">
        <f>IF(Performance!$F$362="","",Performance!$F$362)</f>
        <v>0</v>
      </c>
      <c r="BJ362" s="17">
        <f>IF(Performance!$H$362="","",Performance!$H$362)</f>
        <v>0</v>
      </c>
      <c r="BK362" s="16">
        <f>IF(Performance!$D$362="","",Performance!$D$362)</f>
        <v>0</v>
      </c>
      <c r="BL362" s="17">
        <f>IF(Performance!$E$362="","",Performance!$E$362)</f>
        <v>0</v>
      </c>
      <c r="BM362" s="23">
        <f>IF(Performance!$O$362="","",Performance!$O$362)</f>
        <v>0</v>
      </c>
      <c r="BN362" s="24">
        <f>IF(Performance!$AA$362="","",Performance!$AA$362)</f>
        <v>0</v>
      </c>
      <c r="BO362" s="32">
        <f>IF(BH362="","",IF(BK362="","",IF(OR(BK362&lt;DashStart,BK362&gt;DashEnd),"",IF(BN362="","",BN362+ROW()/1000000))))</f>
        <v>0</v>
      </c>
      <c r="BP362" s="32">
        <f>IF(BM362="","",IF(BK362="","",IF(OR(BK362&lt;DashStart,BK362&gt;DashEnd),"",BM362+ROW()/1000000)))</f>
        <v>0</v>
      </c>
      <c r="BQ362" s="32">
        <f>IF(BH362="","",IF(BK362="","",IF(YEAR(BK362)&lt;&gt;PlanYear,"",IF(BN362="","",BN362+ROW()/1000000))))</f>
        <v>0</v>
      </c>
      <c r="BR362" s="32">
        <f>IF(BH362="","",IF(BK362="","",IF(OR(BK362&lt;RepFrom,BK362&gt;RepTo),"",IF(BN362="","",BN362+ROW()/1000000))))</f>
        <v>0</v>
      </c>
      <c r="BS362" s="32">
        <f>IF(BM362="","",IF(BK362="","",IF(YEAR(BK362)&lt;&gt;PlanYear,"",BM362+ROW()/1000000)))</f>
        <v>0</v>
      </c>
      <c r="BT362" s="17">
        <f>IF(Lists!$F362="","",Lists!$F362)</f>
        <v>0</v>
      </c>
      <c r="BU362" s="23">
        <f>IF(BT362="","",COUNTIF('Content Calendar'!$X$5:$X$604,BT362))</f>
        <v>0</v>
      </c>
      <c r="BV362" s="23">
        <f>IF(BT362="","",COUNTIFS('Content Calendar'!$X$5:$X$604,BT362,'Content Calendar'!$B$5:$B$604,"&gt;="&amp;DashStart,'Content Calendar'!$B$5:$B$604,"&lt;="&amp;DashEnd))</f>
        <v>0</v>
      </c>
      <c r="BW362" s="17">
        <f>IF(Team!$B$362="","",Team!$B$362)</f>
        <v>0</v>
      </c>
      <c r="BX362" s="23">
        <f>IF(BW362="","",COUNTIF('Content Calendar'!$W$5:$W$604,BW362))</f>
        <v>0</v>
      </c>
      <c r="BY362" s="23">
        <f>IF(BW362="","",COUNTIFS('Content Calendar'!$W$5:$W$604,BW362,'Content Calendar'!$X$5:$X$604,"&lt;&gt;Published"))</f>
        <v>0</v>
      </c>
      <c r="BZ362" s="23">
        <f>IF(BW362="","",COUNTIFS(Tasks!$C$5:$C$64,BW362,Tasks!$G$5:$G$64,"&lt;&gt;Complete"))</f>
        <v>0</v>
      </c>
      <c r="CA362" s="17">
        <f>IF(Campaigns!$B$362="","",Campaigns!$B$362)</f>
        <v>0</v>
      </c>
      <c r="CB362" s="25">
        <f>IF(Campaigns!$T$362="","",Campaigns!$T$362)</f>
        <v>0</v>
      </c>
      <c r="CC362" s="25">
        <f>IF(Campaigns!$Q$362="","",Campaigns!$Q$362)</f>
        <v>0</v>
      </c>
      <c r="CD362" s="23">
        <f>IF(Campaigns!$Y$362="","",Campaigns!$Y$362)</f>
        <v>0</v>
      </c>
      <c r="CE362" s="32">
        <f>IF(CA362="","",IF(N(CB362)&lt;=0,"",N(CB362)+ROW()/1000000))</f>
        <v>0</v>
      </c>
      <c r="CF362" s="17">
        <f>IF(Accounts!$C$362="","",Accounts!$C$362)</f>
        <v>0</v>
      </c>
      <c r="CG362" s="17">
        <f>IF(Accounts!$B$362="","",Accounts!$B$362)</f>
        <v>0</v>
      </c>
      <c r="CH362" s="23">
        <f>IF(Accounts!$J$362="","",Accounts!$J$362)</f>
        <v>0</v>
      </c>
      <c r="CI362" s="23">
        <f>IF(CF362="","",SUMIFS(Analytics!$X$5:$X$154,Analytics!$E$5:$E$154,CF362,Analytics!$B$5:$B$154,"&gt;="&amp;DashStart,Analytics!$B$5:$B$154,"&lt;="&amp;DashEnd))</f>
        <v>0</v>
      </c>
      <c r="CJ362" s="32">
        <f>IF(CH362="","",IF(CH362=0,"",CH362+ROW()/1000000))</f>
        <v>0</v>
      </c>
    </row>
    <row r="363" spans="1:88">
      <c r="A363" s="16">
        <f>IF(ROW()-4&gt;12,"",DATE(PlanYear,ROW()-4,1))</f>
        <v>0</v>
      </c>
      <c r="B363" s="16">
        <f>IF(A363="","",EOMONTH(A363,0))</f>
        <v>0</v>
      </c>
      <c r="C363" s="17">
        <f>IF(A363="","",TEXT(A363,"yyyy-mm"))</f>
        <v>0</v>
      </c>
      <c r="D363" s="17">
        <f>IF(A363="","",TEXT(A363,"mmm"))</f>
        <v>0</v>
      </c>
      <c r="E363" s="23">
        <f>IF(C363="","",COUNTIFS('Content Calendar'!$D$5:$D$604,C363))</f>
        <v>0</v>
      </c>
      <c r="F363" s="23">
        <f>IF(C363="","",COUNTIFS('Content Calendar'!$D$5:$D$604,C363,'Content Calendar'!$X$5:$X$604,"Published"))</f>
        <v>0</v>
      </c>
      <c r="G363" s="23">
        <f>IF(C363="","",SUMIFS(Analytics!$J$5:$J$154,Analytics!$C$5:$C$154,C363))</f>
        <v>0</v>
      </c>
      <c r="H363" s="23">
        <f>IF(C363="","",SUMIFS(Analytics!$K$5:$K$154,Analytics!$C$5:$C$154,C363))</f>
        <v>0</v>
      </c>
      <c r="I363" s="23">
        <f>IF(C363="","",SUMIFS(Analytics!$L$5:$L$154,Analytics!$C$5:$C$154,C363))</f>
        <v>0</v>
      </c>
      <c r="J363" s="24">
        <f>IF(OR(G363="",G363=0),"",I363/G363)</f>
        <v>0</v>
      </c>
      <c r="K363" s="23">
        <f>IF(C363="","",SUMIFS(Analytics!$G$5:$G$154,Analytics!$C$5:$C$154,C363))</f>
        <v>0</v>
      </c>
      <c r="L363" s="23">
        <f>IF(C363="","",SUMIFS(Analytics!$X$5:$X$154,Analytics!$C$5:$C$154,C363))</f>
        <v>0</v>
      </c>
      <c r="M363" s="23">
        <f>IF(C363="","",SUMIFS(Analytics!$R$5:$R$154,Analytics!$C$5:$C$154,C363))</f>
        <v>0</v>
      </c>
      <c r="N363" s="23">
        <f>IF(C363="","",SUMIFS(Analytics!$S$5:$S$154,Analytics!$C$5:$C$154,C363))</f>
        <v>0</v>
      </c>
      <c r="O363" s="23">
        <f>IF(C363="","",SUMIFS(Analytics!$T$5:$T$154,Analytics!$C$5:$C$154,C363))</f>
        <v>0</v>
      </c>
      <c r="P363" s="25">
        <f>IF(C363="","",SUMIFS(Analytics!$U$5:$U$154,Analytics!$C$5:$C$154,C363))</f>
        <v>0</v>
      </c>
      <c r="Q363" s="25">
        <f>IF(C363="","",SUMIFS(Budget!$H$5:$H$64,Budget!$C$5:$C$64,C363))</f>
        <v>0</v>
      </c>
      <c r="R363" s="25">
        <f>IF(C363="","",P363-Q363)</f>
        <v>0</v>
      </c>
      <c r="S363" s="23">
        <f>IF(C363="","",MonthlyPostTarget)</f>
        <v>0</v>
      </c>
      <c r="T363" s="17">
        <f>IF(Lists!$C363="","",Lists!$C363)</f>
        <v>0</v>
      </c>
      <c r="U363" s="23">
        <f>IF(T363="","",COUNTIFS('Content Calendar'!$G$5:$G$604,T363,'Content Calendar'!$B$5:$B$604,"&gt;="&amp;DashStart,'Content Calendar'!$B$5:$B$604,"&lt;="&amp;DashEnd))</f>
        <v>0</v>
      </c>
      <c r="V363" s="23">
        <f>IF(T363="","",COUNTIFS('Content Calendar'!$G$5:$G$604,T363,'Content Calendar'!$X$5:$X$604,"Published",'Content Calendar'!$B$5:$B$604,"&gt;="&amp;DashStart,'Content Calendar'!$B$5:$B$604,"&lt;="&amp;DashEnd))</f>
        <v>0</v>
      </c>
      <c r="W363" s="23">
        <f>IF(T363="","",SUMIFS(Analytics!$J$5:$J$154,Analytics!$D$5:$D$154,T363,Analytics!$B$5:$B$154,"&gt;="&amp;DashStart,Analytics!$B$5:$B$154,"&lt;="&amp;DashEnd))</f>
        <v>0</v>
      </c>
      <c r="X363" s="23">
        <f>IF(T363="","",SUMIFS(Analytics!$L$5:$L$154,Analytics!$D$5:$D$154,T363,Analytics!$B$5:$B$154,"&gt;="&amp;DashStart,Analytics!$B$5:$B$154,"&lt;="&amp;DashEnd))</f>
        <v>0</v>
      </c>
      <c r="Y363" s="24">
        <f>IF(OR(W363="",W363=0),"",X363/W363)</f>
        <v>0</v>
      </c>
      <c r="Z363" s="23">
        <f>IF(T363="","",SUMIFS(Analytics!$G$5:$G$154,Analytics!$D$5:$D$154,T363,Analytics!$B$5:$B$154,"&gt;="&amp;DashStart,Analytics!$B$5:$B$154,"&lt;="&amp;DashEnd))</f>
        <v>0</v>
      </c>
      <c r="AA363" s="23">
        <f>IF(T363="","",SUMIFS(Analytics!$X$5:$X$154,Analytics!$D$5:$D$154,T363,Analytics!$B$5:$B$154,"&gt;="&amp;DashStart,Analytics!$B$5:$B$154,"&lt;="&amp;DashEnd))</f>
        <v>0</v>
      </c>
      <c r="AB363" s="23">
        <f>IF(T363="","",SUMIFS(Analytics!$R$5:$R$154,Analytics!$D$5:$D$154,T363,Analytics!$B$5:$B$154,"&gt;="&amp;DashStart,Analytics!$B$5:$B$154,"&lt;="&amp;DashEnd))</f>
        <v>0</v>
      </c>
      <c r="AC363" s="25">
        <f>IF(T363="","",SUMIFS(Analytics!$U$5:$U$154,Analytics!$D$5:$D$154,T363,Analytics!$B$5:$B$154,"&gt;="&amp;DashStart,Analytics!$B$5:$B$154,"&lt;="&amp;DashEnd))</f>
        <v>0</v>
      </c>
      <c r="AD363" s="23">
        <f>IF(T363="","",COUNTIFS('Content Calendar'!$G$5:$G$604,T363,'Content Calendar'!$B$5:$B$604,"&gt;="&amp;DATE(PlanYear,1,1),'Content Calendar'!$B$5:$B$604,"&lt;="&amp;DATE(PlanYear,12,31)))</f>
        <v>0</v>
      </c>
      <c r="AE363" s="23">
        <f>IF(T363="","",SUMIFS(Analytics!$J$5:$J$154,Analytics!$D$5:$D$154,T363))</f>
        <v>0</v>
      </c>
      <c r="AF363" s="23">
        <f>IF(T363="","",SUMIFS(Analytics!$L$5:$L$154,Analytics!$D$5:$D$154,T363))</f>
        <v>0</v>
      </c>
      <c r="AG363" s="24">
        <f>IF(OR(AE363="",AE363=0),"",AF363/AE363)</f>
        <v>0</v>
      </c>
      <c r="AH363" s="23">
        <f>IF(T363="","",SUMIFS(Analytics!$X$5:$X$154,Analytics!$D$5:$D$154,T363))</f>
        <v>0</v>
      </c>
      <c r="AI363" s="32">
        <f>IF(T363="","",IF(AE363=0,"",AE363+ROW()/1000000))</f>
        <v>0</v>
      </c>
      <c r="AJ363" s="17">
        <f>IF('Content Pillars'!$B$363="","",'Content Pillars'!$B$363)</f>
        <v>0</v>
      </c>
      <c r="AK363" s="23">
        <f>IF(AJ363="","",COUNTIFS('Content Calendar'!$J$5:$J$604,AJ363,'Content Calendar'!$B$5:$B$604,"&gt;="&amp;DATE(PlanYear,1,1),'Content Calendar'!$B$5:$B$604,"&lt;="&amp;DATE(PlanYear,12,31)))</f>
        <v>0</v>
      </c>
      <c r="AL363" s="23">
        <f>IF(AJ363="","",SUMIFS(Performance!$O$5:$O$404,Performance!$H$5:$H$404,AJ363))</f>
        <v>0</v>
      </c>
      <c r="AM363" s="23">
        <f>IF(AJ363="","",SUMIFS(Performance!$Z$5:$Z$404,Performance!$H$5:$H$404,AJ363))</f>
        <v>0</v>
      </c>
      <c r="AN363" s="24">
        <f>IF(OR(AL363="",AL363=0),"",AM363/AL363)</f>
        <v>0</v>
      </c>
      <c r="AO363" s="32">
        <f>IF(AN363="","",AN363+ROW()/1000000)</f>
        <v>0</v>
      </c>
      <c r="AP363" s="17">
        <f>IF(Lists!$E363="","",Lists!$E363)</f>
        <v>0</v>
      </c>
      <c r="AQ363" s="23">
        <f>IF(AP363="","",COUNTIF(Performance!$G$5:$G$404,AP363))</f>
        <v>0</v>
      </c>
      <c r="AR363" s="23">
        <f>IF(AP363="","",SUMIFS(Performance!$O$5:$O$404,Performance!$G$5:$G$404,AP363))</f>
        <v>0</v>
      </c>
      <c r="AS363" s="23">
        <f>IF(AP363="","",SUMIFS(Performance!$Z$5:$Z$404,Performance!$G$5:$G$404,AP363))</f>
        <v>0</v>
      </c>
      <c r="AT363" s="24">
        <f>IF(OR(AR363="",AR363=0),"",AS363/AR363)</f>
        <v>0</v>
      </c>
      <c r="AU363" s="32">
        <f>IF(AQ363=0,"",IF(AT363="","",AT363+ROW()/1000000))</f>
        <v>0</v>
      </c>
      <c r="AV363" s="17">
        <f>IF(ROW()-4&gt;7,"",TEXT(DATE(2024,1,ROW()-4),"ddd"))</f>
        <v>0</v>
      </c>
      <c r="AW363" s="23">
        <f>IF(AV363="","",COUNTIF(Performance!$N$5:$N$404,AV363))</f>
        <v>0</v>
      </c>
      <c r="AX363" s="23">
        <f>IF(AV363="","",SUMIFS(Performance!$O$5:$O$404,Performance!$N$5:$N$404,AV363))</f>
        <v>0</v>
      </c>
      <c r="AY363" s="23">
        <f>IF(AV363="","",SUMIFS(Performance!$Z$5:$Z$404,Performance!$N$5:$N$404,AV363))</f>
        <v>0</v>
      </c>
      <c r="AZ363" s="24">
        <f>IF(OR(AX363="",AX363=0),"",AY363/AX363)</f>
        <v>0</v>
      </c>
      <c r="BA363" s="32">
        <f>IF(AW363=0,"",IF(AZ363="","",AZ363+ROW()/1000000))</f>
        <v>0</v>
      </c>
      <c r="BB363" s="17">
        <f>IF(Lists!$AL363="","",Lists!$AL363)</f>
        <v>0</v>
      </c>
      <c r="BC363" s="23">
        <f>IF(BB363="","",COUNTIF(Performance!$M$5:$M$404,BB363))</f>
        <v>0</v>
      </c>
      <c r="BD363" s="23">
        <f>IF(BB363="","",SUMIFS(Performance!$O$5:$O$404,Performance!$M$5:$M$404,BB363))</f>
        <v>0</v>
      </c>
      <c r="BE363" s="23">
        <f>IF(BB363="","",SUMIFS(Performance!$Z$5:$Z$404,Performance!$M$5:$M$404,BB363))</f>
        <v>0</v>
      </c>
      <c r="BF363" s="24">
        <f>IF(OR(BD363="",BD363=0),"",BE363/BD363)</f>
        <v>0</v>
      </c>
      <c r="BG363" s="32">
        <f>IF(BC363=0,"",IF(BF363="","",BF363+ROW()/1000000))</f>
        <v>0</v>
      </c>
      <c r="BH363" s="17">
        <f>IF(Performance!$C$363="","",Performance!$C$363)</f>
        <v>0</v>
      </c>
      <c r="BI363" s="17">
        <f>IF(Performance!$F$363="","",Performance!$F$363)</f>
        <v>0</v>
      </c>
      <c r="BJ363" s="17">
        <f>IF(Performance!$H$363="","",Performance!$H$363)</f>
        <v>0</v>
      </c>
      <c r="BK363" s="16">
        <f>IF(Performance!$D$363="","",Performance!$D$363)</f>
        <v>0</v>
      </c>
      <c r="BL363" s="17">
        <f>IF(Performance!$E$363="","",Performance!$E$363)</f>
        <v>0</v>
      </c>
      <c r="BM363" s="23">
        <f>IF(Performance!$O$363="","",Performance!$O$363)</f>
        <v>0</v>
      </c>
      <c r="BN363" s="24">
        <f>IF(Performance!$AA$363="","",Performance!$AA$363)</f>
        <v>0</v>
      </c>
      <c r="BO363" s="32">
        <f>IF(BH363="","",IF(BK363="","",IF(OR(BK363&lt;DashStart,BK363&gt;DashEnd),"",IF(BN363="","",BN363+ROW()/1000000))))</f>
        <v>0</v>
      </c>
      <c r="BP363" s="32">
        <f>IF(BM363="","",IF(BK363="","",IF(OR(BK363&lt;DashStart,BK363&gt;DashEnd),"",BM363+ROW()/1000000)))</f>
        <v>0</v>
      </c>
      <c r="BQ363" s="32">
        <f>IF(BH363="","",IF(BK363="","",IF(YEAR(BK363)&lt;&gt;PlanYear,"",IF(BN363="","",BN363+ROW()/1000000))))</f>
        <v>0</v>
      </c>
      <c r="BR363" s="32">
        <f>IF(BH363="","",IF(BK363="","",IF(OR(BK363&lt;RepFrom,BK363&gt;RepTo),"",IF(BN363="","",BN363+ROW()/1000000))))</f>
        <v>0</v>
      </c>
      <c r="BS363" s="32">
        <f>IF(BM363="","",IF(BK363="","",IF(YEAR(BK363)&lt;&gt;PlanYear,"",BM363+ROW()/1000000)))</f>
        <v>0</v>
      </c>
      <c r="BT363" s="17">
        <f>IF(Lists!$F363="","",Lists!$F363)</f>
        <v>0</v>
      </c>
      <c r="BU363" s="23">
        <f>IF(BT363="","",COUNTIF('Content Calendar'!$X$5:$X$604,BT363))</f>
        <v>0</v>
      </c>
      <c r="BV363" s="23">
        <f>IF(BT363="","",COUNTIFS('Content Calendar'!$X$5:$X$604,BT363,'Content Calendar'!$B$5:$B$604,"&gt;="&amp;DashStart,'Content Calendar'!$B$5:$B$604,"&lt;="&amp;DashEnd))</f>
        <v>0</v>
      </c>
      <c r="BW363" s="17">
        <f>IF(Team!$B$363="","",Team!$B$363)</f>
        <v>0</v>
      </c>
      <c r="BX363" s="23">
        <f>IF(BW363="","",COUNTIF('Content Calendar'!$W$5:$W$604,BW363))</f>
        <v>0</v>
      </c>
      <c r="BY363" s="23">
        <f>IF(BW363="","",COUNTIFS('Content Calendar'!$W$5:$W$604,BW363,'Content Calendar'!$X$5:$X$604,"&lt;&gt;Published"))</f>
        <v>0</v>
      </c>
      <c r="BZ363" s="23">
        <f>IF(BW363="","",COUNTIFS(Tasks!$C$5:$C$64,BW363,Tasks!$G$5:$G$64,"&lt;&gt;Complete"))</f>
        <v>0</v>
      </c>
      <c r="CA363" s="17">
        <f>IF(Campaigns!$B$363="","",Campaigns!$B$363)</f>
        <v>0</v>
      </c>
      <c r="CB363" s="25">
        <f>IF(Campaigns!$T$363="","",Campaigns!$T$363)</f>
        <v>0</v>
      </c>
      <c r="CC363" s="25">
        <f>IF(Campaigns!$Q$363="","",Campaigns!$Q$363)</f>
        <v>0</v>
      </c>
      <c r="CD363" s="23">
        <f>IF(Campaigns!$Y$363="","",Campaigns!$Y$363)</f>
        <v>0</v>
      </c>
      <c r="CE363" s="32">
        <f>IF(CA363="","",IF(N(CB363)&lt;=0,"",N(CB363)+ROW()/1000000))</f>
        <v>0</v>
      </c>
      <c r="CF363" s="17">
        <f>IF(Accounts!$C$363="","",Accounts!$C$363)</f>
        <v>0</v>
      </c>
      <c r="CG363" s="17">
        <f>IF(Accounts!$B$363="","",Accounts!$B$363)</f>
        <v>0</v>
      </c>
      <c r="CH363" s="23">
        <f>IF(Accounts!$J$363="","",Accounts!$J$363)</f>
        <v>0</v>
      </c>
      <c r="CI363" s="23">
        <f>IF(CF363="","",SUMIFS(Analytics!$X$5:$X$154,Analytics!$E$5:$E$154,CF363,Analytics!$B$5:$B$154,"&gt;="&amp;DashStart,Analytics!$B$5:$B$154,"&lt;="&amp;DashEnd))</f>
        <v>0</v>
      </c>
      <c r="CJ363" s="32">
        <f>IF(CH363="","",IF(CH363=0,"",CH363+ROW()/1000000))</f>
        <v>0</v>
      </c>
    </row>
    <row r="364" spans="1:88">
      <c r="A364" s="16">
        <f>IF(ROW()-4&gt;12,"",DATE(PlanYear,ROW()-4,1))</f>
        <v>0</v>
      </c>
      <c r="B364" s="16">
        <f>IF(A364="","",EOMONTH(A364,0))</f>
        <v>0</v>
      </c>
      <c r="C364" s="17">
        <f>IF(A364="","",TEXT(A364,"yyyy-mm"))</f>
        <v>0</v>
      </c>
      <c r="D364" s="17">
        <f>IF(A364="","",TEXT(A364,"mmm"))</f>
        <v>0</v>
      </c>
      <c r="E364" s="23">
        <f>IF(C364="","",COUNTIFS('Content Calendar'!$D$5:$D$604,C364))</f>
        <v>0</v>
      </c>
      <c r="F364" s="23">
        <f>IF(C364="","",COUNTIFS('Content Calendar'!$D$5:$D$604,C364,'Content Calendar'!$X$5:$X$604,"Published"))</f>
        <v>0</v>
      </c>
      <c r="G364" s="23">
        <f>IF(C364="","",SUMIFS(Analytics!$J$5:$J$154,Analytics!$C$5:$C$154,C364))</f>
        <v>0</v>
      </c>
      <c r="H364" s="23">
        <f>IF(C364="","",SUMIFS(Analytics!$K$5:$K$154,Analytics!$C$5:$C$154,C364))</f>
        <v>0</v>
      </c>
      <c r="I364" s="23">
        <f>IF(C364="","",SUMIFS(Analytics!$L$5:$L$154,Analytics!$C$5:$C$154,C364))</f>
        <v>0</v>
      </c>
      <c r="J364" s="24">
        <f>IF(OR(G364="",G364=0),"",I364/G364)</f>
        <v>0</v>
      </c>
      <c r="K364" s="23">
        <f>IF(C364="","",SUMIFS(Analytics!$G$5:$G$154,Analytics!$C$5:$C$154,C364))</f>
        <v>0</v>
      </c>
      <c r="L364" s="23">
        <f>IF(C364="","",SUMIFS(Analytics!$X$5:$X$154,Analytics!$C$5:$C$154,C364))</f>
        <v>0</v>
      </c>
      <c r="M364" s="23">
        <f>IF(C364="","",SUMIFS(Analytics!$R$5:$R$154,Analytics!$C$5:$C$154,C364))</f>
        <v>0</v>
      </c>
      <c r="N364" s="23">
        <f>IF(C364="","",SUMIFS(Analytics!$S$5:$S$154,Analytics!$C$5:$C$154,C364))</f>
        <v>0</v>
      </c>
      <c r="O364" s="23">
        <f>IF(C364="","",SUMIFS(Analytics!$T$5:$T$154,Analytics!$C$5:$C$154,C364))</f>
        <v>0</v>
      </c>
      <c r="P364" s="25">
        <f>IF(C364="","",SUMIFS(Analytics!$U$5:$U$154,Analytics!$C$5:$C$154,C364))</f>
        <v>0</v>
      </c>
      <c r="Q364" s="25">
        <f>IF(C364="","",SUMIFS(Budget!$H$5:$H$64,Budget!$C$5:$C$64,C364))</f>
        <v>0</v>
      </c>
      <c r="R364" s="25">
        <f>IF(C364="","",P364-Q364)</f>
        <v>0</v>
      </c>
      <c r="S364" s="23">
        <f>IF(C364="","",MonthlyPostTarget)</f>
        <v>0</v>
      </c>
      <c r="T364" s="17">
        <f>IF(Lists!$C364="","",Lists!$C364)</f>
        <v>0</v>
      </c>
      <c r="U364" s="23">
        <f>IF(T364="","",COUNTIFS('Content Calendar'!$G$5:$G$604,T364,'Content Calendar'!$B$5:$B$604,"&gt;="&amp;DashStart,'Content Calendar'!$B$5:$B$604,"&lt;="&amp;DashEnd))</f>
        <v>0</v>
      </c>
      <c r="V364" s="23">
        <f>IF(T364="","",COUNTIFS('Content Calendar'!$G$5:$G$604,T364,'Content Calendar'!$X$5:$X$604,"Published",'Content Calendar'!$B$5:$B$604,"&gt;="&amp;DashStart,'Content Calendar'!$B$5:$B$604,"&lt;="&amp;DashEnd))</f>
        <v>0</v>
      </c>
      <c r="W364" s="23">
        <f>IF(T364="","",SUMIFS(Analytics!$J$5:$J$154,Analytics!$D$5:$D$154,T364,Analytics!$B$5:$B$154,"&gt;="&amp;DashStart,Analytics!$B$5:$B$154,"&lt;="&amp;DashEnd))</f>
        <v>0</v>
      </c>
      <c r="X364" s="23">
        <f>IF(T364="","",SUMIFS(Analytics!$L$5:$L$154,Analytics!$D$5:$D$154,T364,Analytics!$B$5:$B$154,"&gt;="&amp;DashStart,Analytics!$B$5:$B$154,"&lt;="&amp;DashEnd))</f>
        <v>0</v>
      </c>
      <c r="Y364" s="24">
        <f>IF(OR(W364="",W364=0),"",X364/W364)</f>
        <v>0</v>
      </c>
      <c r="Z364" s="23">
        <f>IF(T364="","",SUMIFS(Analytics!$G$5:$G$154,Analytics!$D$5:$D$154,T364,Analytics!$B$5:$B$154,"&gt;="&amp;DashStart,Analytics!$B$5:$B$154,"&lt;="&amp;DashEnd))</f>
        <v>0</v>
      </c>
      <c r="AA364" s="23">
        <f>IF(T364="","",SUMIFS(Analytics!$X$5:$X$154,Analytics!$D$5:$D$154,T364,Analytics!$B$5:$B$154,"&gt;="&amp;DashStart,Analytics!$B$5:$B$154,"&lt;="&amp;DashEnd))</f>
        <v>0</v>
      </c>
      <c r="AB364" s="23">
        <f>IF(T364="","",SUMIFS(Analytics!$R$5:$R$154,Analytics!$D$5:$D$154,T364,Analytics!$B$5:$B$154,"&gt;="&amp;DashStart,Analytics!$B$5:$B$154,"&lt;="&amp;DashEnd))</f>
        <v>0</v>
      </c>
      <c r="AC364" s="25">
        <f>IF(T364="","",SUMIFS(Analytics!$U$5:$U$154,Analytics!$D$5:$D$154,T364,Analytics!$B$5:$B$154,"&gt;="&amp;DashStart,Analytics!$B$5:$B$154,"&lt;="&amp;DashEnd))</f>
        <v>0</v>
      </c>
      <c r="AD364" s="23">
        <f>IF(T364="","",COUNTIFS('Content Calendar'!$G$5:$G$604,T364,'Content Calendar'!$B$5:$B$604,"&gt;="&amp;DATE(PlanYear,1,1),'Content Calendar'!$B$5:$B$604,"&lt;="&amp;DATE(PlanYear,12,31)))</f>
        <v>0</v>
      </c>
      <c r="AE364" s="23">
        <f>IF(T364="","",SUMIFS(Analytics!$J$5:$J$154,Analytics!$D$5:$D$154,T364))</f>
        <v>0</v>
      </c>
      <c r="AF364" s="23">
        <f>IF(T364="","",SUMIFS(Analytics!$L$5:$L$154,Analytics!$D$5:$D$154,T364))</f>
        <v>0</v>
      </c>
      <c r="AG364" s="24">
        <f>IF(OR(AE364="",AE364=0),"",AF364/AE364)</f>
        <v>0</v>
      </c>
      <c r="AH364" s="23">
        <f>IF(T364="","",SUMIFS(Analytics!$X$5:$X$154,Analytics!$D$5:$D$154,T364))</f>
        <v>0</v>
      </c>
      <c r="AI364" s="32">
        <f>IF(T364="","",IF(AE364=0,"",AE364+ROW()/1000000))</f>
        <v>0</v>
      </c>
      <c r="AJ364" s="17">
        <f>IF('Content Pillars'!$B$364="","",'Content Pillars'!$B$364)</f>
        <v>0</v>
      </c>
      <c r="AK364" s="23">
        <f>IF(AJ364="","",COUNTIFS('Content Calendar'!$J$5:$J$604,AJ364,'Content Calendar'!$B$5:$B$604,"&gt;="&amp;DATE(PlanYear,1,1),'Content Calendar'!$B$5:$B$604,"&lt;="&amp;DATE(PlanYear,12,31)))</f>
        <v>0</v>
      </c>
      <c r="AL364" s="23">
        <f>IF(AJ364="","",SUMIFS(Performance!$O$5:$O$404,Performance!$H$5:$H$404,AJ364))</f>
        <v>0</v>
      </c>
      <c r="AM364" s="23">
        <f>IF(AJ364="","",SUMIFS(Performance!$Z$5:$Z$404,Performance!$H$5:$H$404,AJ364))</f>
        <v>0</v>
      </c>
      <c r="AN364" s="24">
        <f>IF(OR(AL364="",AL364=0),"",AM364/AL364)</f>
        <v>0</v>
      </c>
      <c r="AO364" s="32">
        <f>IF(AN364="","",AN364+ROW()/1000000)</f>
        <v>0</v>
      </c>
      <c r="AP364" s="17">
        <f>IF(Lists!$E364="","",Lists!$E364)</f>
        <v>0</v>
      </c>
      <c r="AQ364" s="23">
        <f>IF(AP364="","",COUNTIF(Performance!$G$5:$G$404,AP364))</f>
        <v>0</v>
      </c>
      <c r="AR364" s="23">
        <f>IF(AP364="","",SUMIFS(Performance!$O$5:$O$404,Performance!$G$5:$G$404,AP364))</f>
        <v>0</v>
      </c>
      <c r="AS364" s="23">
        <f>IF(AP364="","",SUMIFS(Performance!$Z$5:$Z$404,Performance!$G$5:$G$404,AP364))</f>
        <v>0</v>
      </c>
      <c r="AT364" s="24">
        <f>IF(OR(AR364="",AR364=0),"",AS364/AR364)</f>
        <v>0</v>
      </c>
      <c r="AU364" s="32">
        <f>IF(AQ364=0,"",IF(AT364="","",AT364+ROW()/1000000))</f>
        <v>0</v>
      </c>
      <c r="AV364" s="17">
        <f>IF(ROW()-4&gt;7,"",TEXT(DATE(2024,1,ROW()-4),"ddd"))</f>
        <v>0</v>
      </c>
      <c r="AW364" s="23">
        <f>IF(AV364="","",COUNTIF(Performance!$N$5:$N$404,AV364))</f>
        <v>0</v>
      </c>
      <c r="AX364" s="23">
        <f>IF(AV364="","",SUMIFS(Performance!$O$5:$O$404,Performance!$N$5:$N$404,AV364))</f>
        <v>0</v>
      </c>
      <c r="AY364" s="23">
        <f>IF(AV364="","",SUMIFS(Performance!$Z$5:$Z$404,Performance!$N$5:$N$404,AV364))</f>
        <v>0</v>
      </c>
      <c r="AZ364" s="24">
        <f>IF(OR(AX364="",AX364=0),"",AY364/AX364)</f>
        <v>0</v>
      </c>
      <c r="BA364" s="32">
        <f>IF(AW364=0,"",IF(AZ364="","",AZ364+ROW()/1000000))</f>
        <v>0</v>
      </c>
      <c r="BB364" s="17">
        <f>IF(Lists!$AL364="","",Lists!$AL364)</f>
        <v>0</v>
      </c>
      <c r="BC364" s="23">
        <f>IF(BB364="","",COUNTIF(Performance!$M$5:$M$404,BB364))</f>
        <v>0</v>
      </c>
      <c r="BD364" s="23">
        <f>IF(BB364="","",SUMIFS(Performance!$O$5:$O$404,Performance!$M$5:$M$404,BB364))</f>
        <v>0</v>
      </c>
      <c r="BE364" s="23">
        <f>IF(BB364="","",SUMIFS(Performance!$Z$5:$Z$404,Performance!$M$5:$M$404,BB364))</f>
        <v>0</v>
      </c>
      <c r="BF364" s="24">
        <f>IF(OR(BD364="",BD364=0),"",BE364/BD364)</f>
        <v>0</v>
      </c>
      <c r="BG364" s="32">
        <f>IF(BC364=0,"",IF(BF364="","",BF364+ROW()/1000000))</f>
        <v>0</v>
      </c>
      <c r="BH364" s="17">
        <f>IF(Performance!$C$364="","",Performance!$C$364)</f>
        <v>0</v>
      </c>
      <c r="BI364" s="17">
        <f>IF(Performance!$F$364="","",Performance!$F$364)</f>
        <v>0</v>
      </c>
      <c r="BJ364" s="17">
        <f>IF(Performance!$H$364="","",Performance!$H$364)</f>
        <v>0</v>
      </c>
      <c r="BK364" s="16">
        <f>IF(Performance!$D$364="","",Performance!$D$364)</f>
        <v>0</v>
      </c>
      <c r="BL364" s="17">
        <f>IF(Performance!$E$364="","",Performance!$E$364)</f>
        <v>0</v>
      </c>
      <c r="BM364" s="23">
        <f>IF(Performance!$O$364="","",Performance!$O$364)</f>
        <v>0</v>
      </c>
      <c r="BN364" s="24">
        <f>IF(Performance!$AA$364="","",Performance!$AA$364)</f>
        <v>0</v>
      </c>
      <c r="BO364" s="32">
        <f>IF(BH364="","",IF(BK364="","",IF(OR(BK364&lt;DashStart,BK364&gt;DashEnd),"",IF(BN364="","",BN364+ROW()/1000000))))</f>
        <v>0</v>
      </c>
      <c r="BP364" s="32">
        <f>IF(BM364="","",IF(BK364="","",IF(OR(BK364&lt;DashStart,BK364&gt;DashEnd),"",BM364+ROW()/1000000)))</f>
        <v>0</v>
      </c>
      <c r="BQ364" s="32">
        <f>IF(BH364="","",IF(BK364="","",IF(YEAR(BK364)&lt;&gt;PlanYear,"",IF(BN364="","",BN364+ROW()/1000000))))</f>
        <v>0</v>
      </c>
      <c r="BR364" s="32">
        <f>IF(BH364="","",IF(BK364="","",IF(OR(BK364&lt;RepFrom,BK364&gt;RepTo),"",IF(BN364="","",BN364+ROW()/1000000))))</f>
        <v>0</v>
      </c>
      <c r="BS364" s="32">
        <f>IF(BM364="","",IF(BK364="","",IF(YEAR(BK364)&lt;&gt;PlanYear,"",BM364+ROW()/1000000)))</f>
        <v>0</v>
      </c>
      <c r="BT364" s="17">
        <f>IF(Lists!$F364="","",Lists!$F364)</f>
        <v>0</v>
      </c>
      <c r="BU364" s="23">
        <f>IF(BT364="","",COUNTIF('Content Calendar'!$X$5:$X$604,BT364))</f>
        <v>0</v>
      </c>
      <c r="BV364" s="23">
        <f>IF(BT364="","",COUNTIFS('Content Calendar'!$X$5:$X$604,BT364,'Content Calendar'!$B$5:$B$604,"&gt;="&amp;DashStart,'Content Calendar'!$B$5:$B$604,"&lt;="&amp;DashEnd))</f>
        <v>0</v>
      </c>
      <c r="BW364" s="17">
        <f>IF(Team!$B$364="","",Team!$B$364)</f>
        <v>0</v>
      </c>
      <c r="BX364" s="23">
        <f>IF(BW364="","",COUNTIF('Content Calendar'!$W$5:$W$604,BW364))</f>
        <v>0</v>
      </c>
      <c r="BY364" s="23">
        <f>IF(BW364="","",COUNTIFS('Content Calendar'!$W$5:$W$604,BW364,'Content Calendar'!$X$5:$X$604,"&lt;&gt;Published"))</f>
        <v>0</v>
      </c>
      <c r="BZ364" s="23">
        <f>IF(BW364="","",COUNTIFS(Tasks!$C$5:$C$64,BW364,Tasks!$G$5:$G$64,"&lt;&gt;Complete"))</f>
        <v>0</v>
      </c>
      <c r="CA364" s="17">
        <f>IF(Campaigns!$B$364="","",Campaigns!$B$364)</f>
        <v>0</v>
      </c>
      <c r="CB364" s="25">
        <f>IF(Campaigns!$T$364="","",Campaigns!$T$364)</f>
        <v>0</v>
      </c>
      <c r="CC364" s="25">
        <f>IF(Campaigns!$Q$364="","",Campaigns!$Q$364)</f>
        <v>0</v>
      </c>
      <c r="CD364" s="23">
        <f>IF(Campaigns!$Y$364="","",Campaigns!$Y$364)</f>
        <v>0</v>
      </c>
      <c r="CE364" s="32">
        <f>IF(CA364="","",IF(N(CB364)&lt;=0,"",N(CB364)+ROW()/1000000))</f>
        <v>0</v>
      </c>
      <c r="CF364" s="17">
        <f>IF(Accounts!$C$364="","",Accounts!$C$364)</f>
        <v>0</v>
      </c>
      <c r="CG364" s="17">
        <f>IF(Accounts!$B$364="","",Accounts!$B$364)</f>
        <v>0</v>
      </c>
      <c r="CH364" s="23">
        <f>IF(Accounts!$J$364="","",Accounts!$J$364)</f>
        <v>0</v>
      </c>
      <c r="CI364" s="23">
        <f>IF(CF364="","",SUMIFS(Analytics!$X$5:$X$154,Analytics!$E$5:$E$154,CF364,Analytics!$B$5:$B$154,"&gt;="&amp;DashStart,Analytics!$B$5:$B$154,"&lt;="&amp;DashEnd))</f>
        <v>0</v>
      </c>
      <c r="CJ364" s="32">
        <f>IF(CH364="","",IF(CH364=0,"",CH364+ROW()/1000000))</f>
        <v>0</v>
      </c>
    </row>
    <row r="365" spans="1:88">
      <c r="A365" s="16">
        <f>IF(ROW()-4&gt;12,"",DATE(PlanYear,ROW()-4,1))</f>
        <v>0</v>
      </c>
      <c r="B365" s="16">
        <f>IF(A365="","",EOMONTH(A365,0))</f>
        <v>0</v>
      </c>
      <c r="C365" s="17">
        <f>IF(A365="","",TEXT(A365,"yyyy-mm"))</f>
        <v>0</v>
      </c>
      <c r="D365" s="17">
        <f>IF(A365="","",TEXT(A365,"mmm"))</f>
        <v>0</v>
      </c>
      <c r="E365" s="23">
        <f>IF(C365="","",COUNTIFS('Content Calendar'!$D$5:$D$604,C365))</f>
        <v>0</v>
      </c>
      <c r="F365" s="23">
        <f>IF(C365="","",COUNTIFS('Content Calendar'!$D$5:$D$604,C365,'Content Calendar'!$X$5:$X$604,"Published"))</f>
        <v>0</v>
      </c>
      <c r="G365" s="23">
        <f>IF(C365="","",SUMIFS(Analytics!$J$5:$J$154,Analytics!$C$5:$C$154,C365))</f>
        <v>0</v>
      </c>
      <c r="H365" s="23">
        <f>IF(C365="","",SUMIFS(Analytics!$K$5:$K$154,Analytics!$C$5:$C$154,C365))</f>
        <v>0</v>
      </c>
      <c r="I365" s="23">
        <f>IF(C365="","",SUMIFS(Analytics!$L$5:$L$154,Analytics!$C$5:$C$154,C365))</f>
        <v>0</v>
      </c>
      <c r="J365" s="24">
        <f>IF(OR(G365="",G365=0),"",I365/G365)</f>
        <v>0</v>
      </c>
      <c r="K365" s="23">
        <f>IF(C365="","",SUMIFS(Analytics!$G$5:$G$154,Analytics!$C$5:$C$154,C365))</f>
        <v>0</v>
      </c>
      <c r="L365" s="23">
        <f>IF(C365="","",SUMIFS(Analytics!$X$5:$X$154,Analytics!$C$5:$C$154,C365))</f>
        <v>0</v>
      </c>
      <c r="M365" s="23">
        <f>IF(C365="","",SUMIFS(Analytics!$R$5:$R$154,Analytics!$C$5:$C$154,C365))</f>
        <v>0</v>
      </c>
      <c r="N365" s="23">
        <f>IF(C365="","",SUMIFS(Analytics!$S$5:$S$154,Analytics!$C$5:$C$154,C365))</f>
        <v>0</v>
      </c>
      <c r="O365" s="23">
        <f>IF(C365="","",SUMIFS(Analytics!$T$5:$T$154,Analytics!$C$5:$C$154,C365))</f>
        <v>0</v>
      </c>
      <c r="P365" s="25">
        <f>IF(C365="","",SUMIFS(Analytics!$U$5:$U$154,Analytics!$C$5:$C$154,C365))</f>
        <v>0</v>
      </c>
      <c r="Q365" s="25">
        <f>IF(C365="","",SUMIFS(Budget!$H$5:$H$64,Budget!$C$5:$C$64,C365))</f>
        <v>0</v>
      </c>
      <c r="R365" s="25">
        <f>IF(C365="","",P365-Q365)</f>
        <v>0</v>
      </c>
      <c r="S365" s="23">
        <f>IF(C365="","",MonthlyPostTarget)</f>
        <v>0</v>
      </c>
      <c r="T365" s="17">
        <f>IF(Lists!$C365="","",Lists!$C365)</f>
        <v>0</v>
      </c>
      <c r="U365" s="23">
        <f>IF(T365="","",COUNTIFS('Content Calendar'!$G$5:$G$604,T365,'Content Calendar'!$B$5:$B$604,"&gt;="&amp;DashStart,'Content Calendar'!$B$5:$B$604,"&lt;="&amp;DashEnd))</f>
        <v>0</v>
      </c>
      <c r="V365" s="23">
        <f>IF(T365="","",COUNTIFS('Content Calendar'!$G$5:$G$604,T365,'Content Calendar'!$X$5:$X$604,"Published",'Content Calendar'!$B$5:$B$604,"&gt;="&amp;DashStart,'Content Calendar'!$B$5:$B$604,"&lt;="&amp;DashEnd))</f>
        <v>0</v>
      </c>
      <c r="W365" s="23">
        <f>IF(T365="","",SUMIFS(Analytics!$J$5:$J$154,Analytics!$D$5:$D$154,T365,Analytics!$B$5:$B$154,"&gt;="&amp;DashStart,Analytics!$B$5:$B$154,"&lt;="&amp;DashEnd))</f>
        <v>0</v>
      </c>
      <c r="X365" s="23">
        <f>IF(T365="","",SUMIFS(Analytics!$L$5:$L$154,Analytics!$D$5:$D$154,T365,Analytics!$B$5:$B$154,"&gt;="&amp;DashStart,Analytics!$B$5:$B$154,"&lt;="&amp;DashEnd))</f>
        <v>0</v>
      </c>
      <c r="Y365" s="24">
        <f>IF(OR(W365="",W365=0),"",X365/W365)</f>
        <v>0</v>
      </c>
      <c r="Z365" s="23">
        <f>IF(T365="","",SUMIFS(Analytics!$G$5:$G$154,Analytics!$D$5:$D$154,T365,Analytics!$B$5:$B$154,"&gt;="&amp;DashStart,Analytics!$B$5:$B$154,"&lt;="&amp;DashEnd))</f>
        <v>0</v>
      </c>
      <c r="AA365" s="23">
        <f>IF(T365="","",SUMIFS(Analytics!$X$5:$X$154,Analytics!$D$5:$D$154,T365,Analytics!$B$5:$B$154,"&gt;="&amp;DashStart,Analytics!$B$5:$B$154,"&lt;="&amp;DashEnd))</f>
        <v>0</v>
      </c>
      <c r="AB365" s="23">
        <f>IF(T365="","",SUMIFS(Analytics!$R$5:$R$154,Analytics!$D$5:$D$154,T365,Analytics!$B$5:$B$154,"&gt;="&amp;DashStart,Analytics!$B$5:$B$154,"&lt;="&amp;DashEnd))</f>
        <v>0</v>
      </c>
      <c r="AC365" s="25">
        <f>IF(T365="","",SUMIFS(Analytics!$U$5:$U$154,Analytics!$D$5:$D$154,T365,Analytics!$B$5:$B$154,"&gt;="&amp;DashStart,Analytics!$B$5:$B$154,"&lt;="&amp;DashEnd))</f>
        <v>0</v>
      </c>
      <c r="AD365" s="23">
        <f>IF(T365="","",COUNTIFS('Content Calendar'!$G$5:$G$604,T365,'Content Calendar'!$B$5:$B$604,"&gt;="&amp;DATE(PlanYear,1,1),'Content Calendar'!$B$5:$B$604,"&lt;="&amp;DATE(PlanYear,12,31)))</f>
        <v>0</v>
      </c>
      <c r="AE365" s="23">
        <f>IF(T365="","",SUMIFS(Analytics!$J$5:$J$154,Analytics!$D$5:$D$154,T365))</f>
        <v>0</v>
      </c>
      <c r="AF365" s="23">
        <f>IF(T365="","",SUMIFS(Analytics!$L$5:$L$154,Analytics!$D$5:$D$154,T365))</f>
        <v>0</v>
      </c>
      <c r="AG365" s="24">
        <f>IF(OR(AE365="",AE365=0),"",AF365/AE365)</f>
        <v>0</v>
      </c>
      <c r="AH365" s="23">
        <f>IF(T365="","",SUMIFS(Analytics!$X$5:$X$154,Analytics!$D$5:$D$154,T365))</f>
        <v>0</v>
      </c>
      <c r="AI365" s="32">
        <f>IF(T365="","",IF(AE365=0,"",AE365+ROW()/1000000))</f>
        <v>0</v>
      </c>
      <c r="AJ365" s="17">
        <f>IF('Content Pillars'!$B$365="","",'Content Pillars'!$B$365)</f>
        <v>0</v>
      </c>
      <c r="AK365" s="23">
        <f>IF(AJ365="","",COUNTIFS('Content Calendar'!$J$5:$J$604,AJ365,'Content Calendar'!$B$5:$B$604,"&gt;="&amp;DATE(PlanYear,1,1),'Content Calendar'!$B$5:$B$604,"&lt;="&amp;DATE(PlanYear,12,31)))</f>
        <v>0</v>
      </c>
      <c r="AL365" s="23">
        <f>IF(AJ365="","",SUMIFS(Performance!$O$5:$O$404,Performance!$H$5:$H$404,AJ365))</f>
        <v>0</v>
      </c>
      <c r="AM365" s="23">
        <f>IF(AJ365="","",SUMIFS(Performance!$Z$5:$Z$404,Performance!$H$5:$H$404,AJ365))</f>
        <v>0</v>
      </c>
      <c r="AN365" s="24">
        <f>IF(OR(AL365="",AL365=0),"",AM365/AL365)</f>
        <v>0</v>
      </c>
      <c r="AO365" s="32">
        <f>IF(AN365="","",AN365+ROW()/1000000)</f>
        <v>0</v>
      </c>
      <c r="AP365" s="17">
        <f>IF(Lists!$E365="","",Lists!$E365)</f>
        <v>0</v>
      </c>
      <c r="AQ365" s="23">
        <f>IF(AP365="","",COUNTIF(Performance!$G$5:$G$404,AP365))</f>
        <v>0</v>
      </c>
      <c r="AR365" s="23">
        <f>IF(AP365="","",SUMIFS(Performance!$O$5:$O$404,Performance!$G$5:$G$404,AP365))</f>
        <v>0</v>
      </c>
      <c r="AS365" s="23">
        <f>IF(AP365="","",SUMIFS(Performance!$Z$5:$Z$404,Performance!$G$5:$G$404,AP365))</f>
        <v>0</v>
      </c>
      <c r="AT365" s="24">
        <f>IF(OR(AR365="",AR365=0),"",AS365/AR365)</f>
        <v>0</v>
      </c>
      <c r="AU365" s="32">
        <f>IF(AQ365=0,"",IF(AT365="","",AT365+ROW()/1000000))</f>
        <v>0</v>
      </c>
      <c r="AV365" s="17">
        <f>IF(ROW()-4&gt;7,"",TEXT(DATE(2024,1,ROW()-4),"ddd"))</f>
        <v>0</v>
      </c>
      <c r="AW365" s="23">
        <f>IF(AV365="","",COUNTIF(Performance!$N$5:$N$404,AV365))</f>
        <v>0</v>
      </c>
      <c r="AX365" s="23">
        <f>IF(AV365="","",SUMIFS(Performance!$O$5:$O$404,Performance!$N$5:$N$404,AV365))</f>
        <v>0</v>
      </c>
      <c r="AY365" s="23">
        <f>IF(AV365="","",SUMIFS(Performance!$Z$5:$Z$404,Performance!$N$5:$N$404,AV365))</f>
        <v>0</v>
      </c>
      <c r="AZ365" s="24">
        <f>IF(OR(AX365="",AX365=0),"",AY365/AX365)</f>
        <v>0</v>
      </c>
      <c r="BA365" s="32">
        <f>IF(AW365=0,"",IF(AZ365="","",AZ365+ROW()/1000000))</f>
        <v>0</v>
      </c>
      <c r="BB365" s="17">
        <f>IF(Lists!$AL365="","",Lists!$AL365)</f>
        <v>0</v>
      </c>
      <c r="BC365" s="23">
        <f>IF(BB365="","",COUNTIF(Performance!$M$5:$M$404,BB365))</f>
        <v>0</v>
      </c>
      <c r="BD365" s="23">
        <f>IF(BB365="","",SUMIFS(Performance!$O$5:$O$404,Performance!$M$5:$M$404,BB365))</f>
        <v>0</v>
      </c>
      <c r="BE365" s="23">
        <f>IF(BB365="","",SUMIFS(Performance!$Z$5:$Z$404,Performance!$M$5:$M$404,BB365))</f>
        <v>0</v>
      </c>
      <c r="BF365" s="24">
        <f>IF(OR(BD365="",BD365=0),"",BE365/BD365)</f>
        <v>0</v>
      </c>
      <c r="BG365" s="32">
        <f>IF(BC365=0,"",IF(BF365="","",BF365+ROW()/1000000))</f>
        <v>0</v>
      </c>
      <c r="BH365" s="17">
        <f>IF(Performance!$C$365="","",Performance!$C$365)</f>
        <v>0</v>
      </c>
      <c r="BI365" s="17">
        <f>IF(Performance!$F$365="","",Performance!$F$365)</f>
        <v>0</v>
      </c>
      <c r="BJ365" s="17">
        <f>IF(Performance!$H$365="","",Performance!$H$365)</f>
        <v>0</v>
      </c>
      <c r="BK365" s="16">
        <f>IF(Performance!$D$365="","",Performance!$D$365)</f>
        <v>0</v>
      </c>
      <c r="BL365" s="17">
        <f>IF(Performance!$E$365="","",Performance!$E$365)</f>
        <v>0</v>
      </c>
      <c r="BM365" s="23">
        <f>IF(Performance!$O$365="","",Performance!$O$365)</f>
        <v>0</v>
      </c>
      <c r="BN365" s="24">
        <f>IF(Performance!$AA$365="","",Performance!$AA$365)</f>
        <v>0</v>
      </c>
      <c r="BO365" s="32">
        <f>IF(BH365="","",IF(BK365="","",IF(OR(BK365&lt;DashStart,BK365&gt;DashEnd),"",IF(BN365="","",BN365+ROW()/1000000))))</f>
        <v>0</v>
      </c>
      <c r="BP365" s="32">
        <f>IF(BM365="","",IF(BK365="","",IF(OR(BK365&lt;DashStart,BK365&gt;DashEnd),"",BM365+ROW()/1000000)))</f>
        <v>0</v>
      </c>
      <c r="BQ365" s="32">
        <f>IF(BH365="","",IF(BK365="","",IF(YEAR(BK365)&lt;&gt;PlanYear,"",IF(BN365="","",BN365+ROW()/1000000))))</f>
        <v>0</v>
      </c>
      <c r="BR365" s="32">
        <f>IF(BH365="","",IF(BK365="","",IF(OR(BK365&lt;RepFrom,BK365&gt;RepTo),"",IF(BN365="","",BN365+ROW()/1000000))))</f>
        <v>0</v>
      </c>
      <c r="BS365" s="32">
        <f>IF(BM365="","",IF(BK365="","",IF(YEAR(BK365)&lt;&gt;PlanYear,"",BM365+ROW()/1000000)))</f>
        <v>0</v>
      </c>
      <c r="BT365" s="17">
        <f>IF(Lists!$F365="","",Lists!$F365)</f>
        <v>0</v>
      </c>
      <c r="BU365" s="23">
        <f>IF(BT365="","",COUNTIF('Content Calendar'!$X$5:$X$604,BT365))</f>
        <v>0</v>
      </c>
      <c r="BV365" s="23">
        <f>IF(BT365="","",COUNTIFS('Content Calendar'!$X$5:$X$604,BT365,'Content Calendar'!$B$5:$B$604,"&gt;="&amp;DashStart,'Content Calendar'!$B$5:$B$604,"&lt;="&amp;DashEnd))</f>
        <v>0</v>
      </c>
      <c r="BW365" s="17">
        <f>IF(Team!$B$365="","",Team!$B$365)</f>
        <v>0</v>
      </c>
      <c r="BX365" s="23">
        <f>IF(BW365="","",COUNTIF('Content Calendar'!$W$5:$W$604,BW365))</f>
        <v>0</v>
      </c>
      <c r="BY365" s="23">
        <f>IF(BW365="","",COUNTIFS('Content Calendar'!$W$5:$W$604,BW365,'Content Calendar'!$X$5:$X$604,"&lt;&gt;Published"))</f>
        <v>0</v>
      </c>
      <c r="BZ365" s="23">
        <f>IF(BW365="","",COUNTIFS(Tasks!$C$5:$C$64,BW365,Tasks!$G$5:$G$64,"&lt;&gt;Complete"))</f>
        <v>0</v>
      </c>
      <c r="CA365" s="17">
        <f>IF(Campaigns!$B$365="","",Campaigns!$B$365)</f>
        <v>0</v>
      </c>
      <c r="CB365" s="25">
        <f>IF(Campaigns!$T$365="","",Campaigns!$T$365)</f>
        <v>0</v>
      </c>
      <c r="CC365" s="25">
        <f>IF(Campaigns!$Q$365="","",Campaigns!$Q$365)</f>
        <v>0</v>
      </c>
      <c r="CD365" s="23">
        <f>IF(Campaigns!$Y$365="","",Campaigns!$Y$365)</f>
        <v>0</v>
      </c>
      <c r="CE365" s="32">
        <f>IF(CA365="","",IF(N(CB365)&lt;=0,"",N(CB365)+ROW()/1000000))</f>
        <v>0</v>
      </c>
      <c r="CF365" s="17">
        <f>IF(Accounts!$C$365="","",Accounts!$C$365)</f>
        <v>0</v>
      </c>
      <c r="CG365" s="17">
        <f>IF(Accounts!$B$365="","",Accounts!$B$365)</f>
        <v>0</v>
      </c>
      <c r="CH365" s="23">
        <f>IF(Accounts!$J$365="","",Accounts!$J$365)</f>
        <v>0</v>
      </c>
      <c r="CI365" s="23">
        <f>IF(CF365="","",SUMIFS(Analytics!$X$5:$X$154,Analytics!$E$5:$E$154,CF365,Analytics!$B$5:$B$154,"&gt;="&amp;DashStart,Analytics!$B$5:$B$154,"&lt;="&amp;DashEnd))</f>
        <v>0</v>
      </c>
      <c r="CJ365" s="32">
        <f>IF(CH365="","",IF(CH365=0,"",CH365+ROW()/1000000))</f>
        <v>0</v>
      </c>
    </row>
    <row r="366" spans="1:88">
      <c r="A366" s="16">
        <f>IF(ROW()-4&gt;12,"",DATE(PlanYear,ROW()-4,1))</f>
        <v>0</v>
      </c>
      <c r="B366" s="16">
        <f>IF(A366="","",EOMONTH(A366,0))</f>
        <v>0</v>
      </c>
      <c r="C366" s="17">
        <f>IF(A366="","",TEXT(A366,"yyyy-mm"))</f>
        <v>0</v>
      </c>
      <c r="D366" s="17">
        <f>IF(A366="","",TEXT(A366,"mmm"))</f>
        <v>0</v>
      </c>
      <c r="E366" s="23">
        <f>IF(C366="","",COUNTIFS('Content Calendar'!$D$5:$D$604,C366))</f>
        <v>0</v>
      </c>
      <c r="F366" s="23">
        <f>IF(C366="","",COUNTIFS('Content Calendar'!$D$5:$D$604,C366,'Content Calendar'!$X$5:$X$604,"Published"))</f>
        <v>0</v>
      </c>
      <c r="G366" s="23">
        <f>IF(C366="","",SUMIFS(Analytics!$J$5:$J$154,Analytics!$C$5:$C$154,C366))</f>
        <v>0</v>
      </c>
      <c r="H366" s="23">
        <f>IF(C366="","",SUMIFS(Analytics!$K$5:$K$154,Analytics!$C$5:$C$154,C366))</f>
        <v>0</v>
      </c>
      <c r="I366" s="23">
        <f>IF(C366="","",SUMIFS(Analytics!$L$5:$L$154,Analytics!$C$5:$C$154,C366))</f>
        <v>0</v>
      </c>
      <c r="J366" s="24">
        <f>IF(OR(G366="",G366=0),"",I366/G366)</f>
        <v>0</v>
      </c>
      <c r="K366" s="23">
        <f>IF(C366="","",SUMIFS(Analytics!$G$5:$G$154,Analytics!$C$5:$C$154,C366))</f>
        <v>0</v>
      </c>
      <c r="L366" s="23">
        <f>IF(C366="","",SUMIFS(Analytics!$X$5:$X$154,Analytics!$C$5:$C$154,C366))</f>
        <v>0</v>
      </c>
      <c r="M366" s="23">
        <f>IF(C366="","",SUMIFS(Analytics!$R$5:$R$154,Analytics!$C$5:$C$154,C366))</f>
        <v>0</v>
      </c>
      <c r="N366" s="23">
        <f>IF(C366="","",SUMIFS(Analytics!$S$5:$S$154,Analytics!$C$5:$C$154,C366))</f>
        <v>0</v>
      </c>
      <c r="O366" s="23">
        <f>IF(C366="","",SUMIFS(Analytics!$T$5:$T$154,Analytics!$C$5:$C$154,C366))</f>
        <v>0</v>
      </c>
      <c r="P366" s="25">
        <f>IF(C366="","",SUMIFS(Analytics!$U$5:$U$154,Analytics!$C$5:$C$154,C366))</f>
        <v>0</v>
      </c>
      <c r="Q366" s="25">
        <f>IF(C366="","",SUMIFS(Budget!$H$5:$H$64,Budget!$C$5:$C$64,C366))</f>
        <v>0</v>
      </c>
      <c r="R366" s="25">
        <f>IF(C366="","",P366-Q366)</f>
        <v>0</v>
      </c>
      <c r="S366" s="23">
        <f>IF(C366="","",MonthlyPostTarget)</f>
        <v>0</v>
      </c>
      <c r="T366" s="17">
        <f>IF(Lists!$C366="","",Lists!$C366)</f>
        <v>0</v>
      </c>
      <c r="U366" s="23">
        <f>IF(T366="","",COUNTIFS('Content Calendar'!$G$5:$G$604,T366,'Content Calendar'!$B$5:$B$604,"&gt;="&amp;DashStart,'Content Calendar'!$B$5:$B$604,"&lt;="&amp;DashEnd))</f>
        <v>0</v>
      </c>
      <c r="V366" s="23">
        <f>IF(T366="","",COUNTIFS('Content Calendar'!$G$5:$G$604,T366,'Content Calendar'!$X$5:$X$604,"Published",'Content Calendar'!$B$5:$B$604,"&gt;="&amp;DashStart,'Content Calendar'!$B$5:$B$604,"&lt;="&amp;DashEnd))</f>
        <v>0</v>
      </c>
      <c r="W366" s="23">
        <f>IF(T366="","",SUMIFS(Analytics!$J$5:$J$154,Analytics!$D$5:$D$154,T366,Analytics!$B$5:$B$154,"&gt;="&amp;DashStart,Analytics!$B$5:$B$154,"&lt;="&amp;DashEnd))</f>
        <v>0</v>
      </c>
      <c r="X366" s="23">
        <f>IF(T366="","",SUMIFS(Analytics!$L$5:$L$154,Analytics!$D$5:$D$154,T366,Analytics!$B$5:$B$154,"&gt;="&amp;DashStart,Analytics!$B$5:$B$154,"&lt;="&amp;DashEnd))</f>
        <v>0</v>
      </c>
      <c r="Y366" s="24">
        <f>IF(OR(W366="",W366=0),"",X366/W366)</f>
        <v>0</v>
      </c>
      <c r="Z366" s="23">
        <f>IF(T366="","",SUMIFS(Analytics!$G$5:$G$154,Analytics!$D$5:$D$154,T366,Analytics!$B$5:$B$154,"&gt;="&amp;DashStart,Analytics!$B$5:$B$154,"&lt;="&amp;DashEnd))</f>
        <v>0</v>
      </c>
      <c r="AA366" s="23">
        <f>IF(T366="","",SUMIFS(Analytics!$X$5:$X$154,Analytics!$D$5:$D$154,T366,Analytics!$B$5:$B$154,"&gt;="&amp;DashStart,Analytics!$B$5:$B$154,"&lt;="&amp;DashEnd))</f>
        <v>0</v>
      </c>
      <c r="AB366" s="23">
        <f>IF(T366="","",SUMIFS(Analytics!$R$5:$R$154,Analytics!$D$5:$D$154,T366,Analytics!$B$5:$B$154,"&gt;="&amp;DashStart,Analytics!$B$5:$B$154,"&lt;="&amp;DashEnd))</f>
        <v>0</v>
      </c>
      <c r="AC366" s="25">
        <f>IF(T366="","",SUMIFS(Analytics!$U$5:$U$154,Analytics!$D$5:$D$154,T366,Analytics!$B$5:$B$154,"&gt;="&amp;DashStart,Analytics!$B$5:$B$154,"&lt;="&amp;DashEnd))</f>
        <v>0</v>
      </c>
      <c r="AD366" s="23">
        <f>IF(T366="","",COUNTIFS('Content Calendar'!$G$5:$G$604,T366,'Content Calendar'!$B$5:$B$604,"&gt;="&amp;DATE(PlanYear,1,1),'Content Calendar'!$B$5:$B$604,"&lt;="&amp;DATE(PlanYear,12,31)))</f>
        <v>0</v>
      </c>
      <c r="AE366" s="23">
        <f>IF(T366="","",SUMIFS(Analytics!$J$5:$J$154,Analytics!$D$5:$D$154,T366))</f>
        <v>0</v>
      </c>
      <c r="AF366" s="23">
        <f>IF(T366="","",SUMIFS(Analytics!$L$5:$L$154,Analytics!$D$5:$D$154,T366))</f>
        <v>0</v>
      </c>
      <c r="AG366" s="24">
        <f>IF(OR(AE366="",AE366=0),"",AF366/AE366)</f>
        <v>0</v>
      </c>
      <c r="AH366" s="23">
        <f>IF(T366="","",SUMIFS(Analytics!$X$5:$X$154,Analytics!$D$5:$D$154,T366))</f>
        <v>0</v>
      </c>
      <c r="AI366" s="32">
        <f>IF(T366="","",IF(AE366=0,"",AE366+ROW()/1000000))</f>
        <v>0</v>
      </c>
      <c r="AJ366" s="17">
        <f>IF('Content Pillars'!$B$366="","",'Content Pillars'!$B$366)</f>
        <v>0</v>
      </c>
      <c r="AK366" s="23">
        <f>IF(AJ366="","",COUNTIFS('Content Calendar'!$J$5:$J$604,AJ366,'Content Calendar'!$B$5:$B$604,"&gt;="&amp;DATE(PlanYear,1,1),'Content Calendar'!$B$5:$B$604,"&lt;="&amp;DATE(PlanYear,12,31)))</f>
        <v>0</v>
      </c>
      <c r="AL366" s="23">
        <f>IF(AJ366="","",SUMIFS(Performance!$O$5:$O$404,Performance!$H$5:$H$404,AJ366))</f>
        <v>0</v>
      </c>
      <c r="AM366" s="23">
        <f>IF(AJ366="","",SUMIFS(Performance!$Z$5:$Z$404,Performance!$H$5:$H$404,AJ366))</f>
        <v>0</v>
      </c>
      <c r="AN366" s="24">
        <f>IF(OR(AL366="",AL366=0),"",AM366/AL366)</f>
        <v>0</v>
      </c>
      <c r="AO366" s="32">
        <f>IF(AN366="","",AN366+ROW()/1000000)</f>
        <v>0</v>
      </c>
      <c r="AP366" s="17">
        <f>IF(Lists!$E366="","",Lists!$E366)</f>
        <v>0</v>
      </c>
      <c r="AQ366" s="23">
        <f>IF(AP366="","",COUNTIF(Performance!$G$5:$G$404,AP366))</f>
        <v>0</v>
      </c>
      <c r="AR366" s="23">
        <f>IF(AP366="","",SUMIFS(Performance!$O$5:$O$404,Performance!$G$5:$G$404,AP366))</f>
        <v>0</v>
      </c>
      <c r="AS366" s="23">
        <f>IF(AP366="","",SUMIFS(Performance!$Z$5:$Z$404,Performance!$G$5:$G$404,AP366))</f>
        <v>0</v>
      </c>
      <c r="AT366" s="24">
        <f>IF(OR(AR366="",AR366=0),"",AS366/AR366)</f>
        <v>0</v>
      </c>
      <c r="AU366" s="32">
        <f>IF(AQ366=0,"",IF(AT366="","",AT366+ROW()/1000000))</f>
        <v>0</v>
      </c>
      <c r="AV366" s="17">
        <f>IF(ROW()-4&gt;7,"",TEXT(DATE(2024,1,ROW()-4),"ddd"))</f>
        <v>0</v>
      </c>
      <c r="AW366" s="23">
        <f>IF(AV366="","",COUNTIF(Performance!$N$5:$N$404,AV366))</f>
        <v>0</v>
      </c>
      <c r="AX366" s="23">
        <f>IF(AV366="","",SUMIFS(Performance!$O$5:$O$404,Performance!$N$5:$N$404,AV366))</f>
        <v>0</v>
      </c>
      <c r="AY366" s="23">
        <f>IF(AV366="","",SUMIFS(Performance!$Z$5:$Z$404,Performance!$N$5:$N$404,AV366))</f>
        <v>0</v>
      </c>
      <c r="AZ366" s="24">
        <f>IF(OR(AX366="",AX366=0),"",AY366/AX366)</f>
        <v>0</v>
      </c>
      <c r="BA366" s="32">
        <f>IF(AW366=0,"",IF(AZ366="","",AZ366+ROW()/1000000))</f>
        <v>0</v>
      </c>
      <c r="BB366" s="17">
        <f>IF(Lists!$AL366="","",Lists!$AL366)</f>
        <v>0</v>
      </c>
      <c r="BC366" s="23">
        <f>IF(BB366="","",COUNTIF(Performance!$M$5:$M$404,BB366))</f>
        <v>0</v>
      </c>
      <c r="BD366" s="23">
        <f>IF(BB366="","",SUMIFS(Performance!$O$5:$O$404,Performance!$M$5:$M$404,BB366))</f>
        <v>0</v>
      </c>
      <c r="BE366" s="23">
        <f>IF(BB366="","",SUMIFS(Performance!$Z$5:$Z$404,Performance!$M$5:$M$404,BB366))</f>
        <v>0</v>
      </c>
      <c r="BF366" s="24">
        <f>IF(OR(BD366="",BD366=0),"",BE366/BD366)</f>
        <v>0</v>
      </c>
      <c r="BG366" s="32">
        <f>IF(BC366=0,"",IF(BF366="","",BF366+ROW()/1000000))</f>
        <v>0</v>
      </c>
      <c r="BH366" s="17">
        <f>IF(Performance!$C$366="","",Performance!$C$366)</f>
        <v>0</v>
      </c>
      <c r="BI366" s="17">
        <f>IF(Performance!$F$366="","",Performance!$F$366)</f>
        <v>0</v>
      </c>
      <c r="BJ366" s="17">
        <f>IF(Performance!$H$366="","",Performance!$H$366)</f>
        <v>0</v>
      </c>
      <c r="BK366" s="16">
        <f>IF(Performance!$D$366="","",Performance!$D$366)</f>
        <v>0</v>
      </c>
      <c r="BL366" s="17">
        <f>IF(Performance!$E$366="","",Performance!$E$366)</f>
        <v>0</v>
      </c>
      <c r="BM366" s="23">
        <f>IF(Performance!$O$366="","",Performance!$O$366)</f>
        <v>0</v>
      </c>
      <c r="BN366" s="24">
        <f>IF(Performance!$AA$366="","",Performance!$AA$366)</f>
        <v>0</v>
      </c>
      <c r="BO366" s="32">
        <f>IF(BH366="","",IF(BK366="","",IF(OR(BK366&lt;DashStart,BK366&gt;DashEnd),"",IF(BN366="","",BN366+ROW()/1000000))))</f>
        <v>0</v>
      </c>
      <c r="BP366" s="32">
        <f>IF(BM366="","",IF(BK366="","",IF(OR(BK366&lt;DashStart,BK366&gt;DashEnd),"",BM366+ROW()/1000000)))</f>
        <v>0</v>
      </c>
      <c r="BQ366" s="32">
        <f>IF(BH366="","",IF(BK366="","",IF(YEAR(BK366)&lt;&gt;PlanYear,"",IF(BN366="","",BN366+ROW()/1000000))))</f>
        <v>0</v>
      </c>
      <c r="BR366" s="32">
        <f>IF(BH366="","",IF(BK366="","",IF(OR(BK366&lt;RepFrom,BK366&gt;RepTo),"",IF(BN366="","",BN366+ROW()/1000000))))</f>
        <v>0</v>
      </c>
      <c r="BS366" s="32">
        <f>IF(BM366="","",IF(BK366="","",IF(YEAR(BK366)&lt;&gt;PlanYear,"",BM366+ROW()/1000000)))</f>
        <v>0</v>
      </c>
      <c r="BT366" s="17">
        <f>IF(Lists!$F366="","",Lists!$F366)</f>
        <v>0</v>
      </c>
      <c r="BU366" s="23">
        <f>IF(BT366="","",COUNTIF('Content Calendar'!$X$5:$X$604,BT366))</f>
        <v>0</v>
      </c>
      <c r="BV366" s="23">
        <f>IF(BT366="","",COUNTIFS('Content Calendar'!$X$5:$X$604,BT366,'Content Calendar'!$B$5:$B$604,"&gt;="&amp;DashStart,'Content Calendar'!$B$5:$B$604,"&lt;="&amp;DashEnd))</f>
        <v>0</v>
      </c>
      <c r="BW366" s="17">
        <f>IF(Team!$B$366="","",Team!$B$366)</f>
        <v>0</v>
      </c>
      <c r="BX366" s="23">
        <f>IF(BW366="","",COUNTIF('Content Calendar'!$W$5:$W$604,BW366))</f>
        <v>0</v>
      </c>
      <c r="BY366" s="23">
        <f>IF(BW366="","",COUNTIFS('Content Calendar'!$W$5:$W$604,BW366,'Content Calendar'!$X$5:$X$604,"&lt;&gt;Published"))</f>
        <v>0</v>
      </c>
      <c r="BZ366" s="23">
        <f>IF(BW366="","",COUNTIFS(Tasks!$C$5:$C$64,BW366,Tasks!$G$5:$G$64,"&lt;&gt;Complete"))</f>
        <v>0</v>
      </c>
      <c r="CA366" s="17">
        <f>IF(Campaigns!$B$366="","",Campaigns!$B$366)</f>
        <v>0</v>
      </c>
      <c r="CB366" s="25">
        <f>IF(Campaigns!$T$366="","",Campaigns!$T$366)</f>
        <v>0</v>
      </c>
      <c r="CC366" s="25">
        <f>IF(Campaigns!$Q$366="","",Campaigns!$Q$366)</f>
        <v>0</v>
      </c>
      <c r="CD366" s="23">
        <f>IF(Campaigns!$Y$366="","",Campaigns!$Y$366)</f>
        <v>0</v>
      </c>
      <c r="CE366" s="32">
        <f>IF(CA366="","",IF(N(CB366)&lt;=0,"",N(CB366)+ROW()/1000000))</f>
        <v>0</v>
      </c>
      <c r="CF366" s="17">
        <f>IF(Accounts!$C$366="","",Accounts!$C$366)</f>
        <v>0</v>
      </c>
      <c r="CG366" s="17">
        <f>IF(Accounts!$B$366="","",Accounts!$B$366)</f>
        <v>0</v>
      </c>
      <c r="CH366" s="23">
        <f>IF(Accounts!$J$366="","",Accounts!$J$366)</f>
        <v>0</v>
      </c>
      <c r="CI366" s="23">
        <f>IF(CF366="","",SUMIFS(Analytics!$X$5:$X$154,Analytics!$E$5:$E$154,CF366,Analytics!$B$5:$B$154,"&gt;="&amp;DashStart,Analytics!$B$5:$B$154,"&lt;="&amp;DashEnd))</f>
        <v>0</v>
      </c>
      <c r="CJ366" s="32">
        <f>IF(CH366="","",IF(CH366=0,"",CH366+ROW()/1000000))</f>
        <v>0</v>
      </c>
    </row>
    <row r="367" spans="1:88">
      <c r="A367" s="16">
        <f>IF(ROW()-4&gt;12,"",DATE(PlanYear,ROW()-4,1))</f>
        <v>0</v>
      </c>
      <c r="B367" s="16">
        <f>IF(A367="","",EOMONTH(A367,0))</f>
        <v>0</v>
      </c>
      <c r="C367" s="17">
        <f>IF(A367="","",TEXT(A367,"yyyy-mm"))</f>
        <v>0</v>
      </c>
      <c r="D367" s="17">
        <f>IF(A367="","",TEXT(A367,"mmm"))</f>
        <v>0</v>
      </c>
      <c r="E367" s="23">
        <f>IF(C367="","",COUNTIFS('Content Calendar'!$D$5:$D$604,C367))</f>
        <v>0</v>
      </c>
      <c r="F367" s="23">
        <f>IF(C367="","",COUNTIFS('Content Calendar'!$D$5:$D$604,C367,'Content Calendar'!$X$5:$X$604,"Published"))</f>
        <v>0</v>
      </c>
      <c r="G367" s="23">
        <f>IF(C367="","",SUMIFS(Analytics!$J$5:$J$154,Analytics!$C$5:$C$154,C367))</f>
        <v>0</v>
      </c>
      <c r="H367" s="23">
        <f>IF(C367="","",SUMIFS(Analytics!$K$5:$K$154,Analytics!$C$5:$C$154,C367))</f>
        <v>0</v>
      </c>
      <c r="I367" s="23">
        <f>IF(C367="","",SUMIFS(Analytics!$L$5:$L$154,Analytics!$C$5:$C$154,C367))</f>
        <v>0</v>
      </c>
      <c r="J367" s="24">
        <f>IF(OR(G367="",G367=0),"",I367/G367)</f>
        <v>0</v>
      </c>
      <c r="K367" s="23">
        <f>IF(C367="","",SUMIFS(Analytics!$G$5:$G$154,Analytics!$C$5:$C$154,C367))</f>
        <v>0</v>
      </c>
      <c r="L367" s="23">
        <f>IF(C367="","",SUMIFS(Analytics!$X$5:$X$154,Analytics!$C$5:$C$154,C367))</f>
        <v>0</v>
      </c>
      <c r="M367" s="23">
        <f>IF(C367="","",SUMIFS(Analytics!$R$5:$R$154,Analytics!$C$5:$C$154,C367))</f>
        <v>0</v>
      </c>
      <c r="N367" s="23">
        <f>IF(C367="","",SUMIFS(Analytics!$S$5:$S$154,Analytics!$C$5:$C$154,C367))</f>
        <v>0</v>
      </c>
      <c r="O367" s="23">
        <f>IF(C367="","",SUMIFS(Analytics!$T$5:$T$154,Analytics!$C$5:$C$154,C367))</f>
        <v>0</v>
      </c>
      <c r="P367" s="25">
        <f>IF(C367="","",SUMIFS(Analytics!$U$5:$U$154,Analytics!$C$5:$C$154,C367))</f>
        <v>0</v>
      </c>
      <c r="Q367" s="25">
        <f>IF(C367="","",SUMIFS(Budget!$H$5:$H$64,Budget!$C$5:$C$64,C367))</f>
        <v>0</v>
      </c>
      <c r="R367" s="25">
        <f>IF(C367="","",P367-Q367)</f>
        <v>0</v>
      </c>
      <c r="S367" s="23">
        <f>IF(C367="","",MonthlyPostTarget)</f>
        <v>0</v>
      </c>
      <c r="T367" s="17">
        <f>IF(Lists!$C367="","",Lists!$C367)</f>
        <v>0</v>
      </c>
      <c r="U367" s="23">
        <f>IF(T367="","",COUNTIFS('Content Calendar'!$G$5:$G$604,T367,'Content Calendar'!$B$5:$B$604,"&gt;="&amp;DashStart,'Content Calendar'!$B$5:$B$604,"&lt;="&amp;DashEnd))</f>
        <v>0</v>
      </c>
      <c r="V367" s="23">
        <f>IF(T367="","",COUNTIFS('Content Calendar'!$G$5:$G$604,T367,'Content Calendar'!$X$5:$X$604,"Published",'Content Calendar'!$B$5:$B$604,"&gt;="&amp;DashStart,'Content Calendar'!$B$5:$B$604,"&lt;="&amp;DashEnd))</f>
        <v>0</v>
      </c>
      <c r="W367" s="23">
        <f>IF(T367="","",SUMIFS(Analytics!$J$5:$J$154,Analytics!$D$5:$D$154,T367,Analytics!$B$5:$B$154,"&gt;="&amp;DashStart,Analytics!$B$5:$B$154,"&lt;="&amp;DashEnd))</f>
        <v>0</v>
      </c>
      <c r="X367" s="23">
        <f>IF(T367="","",SUMIFS(Analytics!$L$5:$L$154,Analytics!$D$5:$D$154,T367,Analytics!$B$5:$B$154,"&gt;="&amp;DashStart,Analytics!$B$5:$B$154,"&lt;="&amp;DashEnd))</f>
        <v>0</v>
      </c>
      <c r="Y367" s="24">
        <f>IF(OR(W367="",W367=0),"",X367/W367)</f>
        <v>0</v>
      </c>
      <c r="Z367" s="23">
        <f>IF(T367="","",SUMIFS(Analytics!$G$5:$G$154,Analytics!$D$5:$D$154,T367,Analytics!$B$5:$B$154,"&gt;="&amp;DashStart,Analytics!$B$5:$B$154,"&lt;="&amp;DashEnd))</f>
        <v>0</v>
      </c>
      <c r="AA367" s="23">
        <f>IF(T367="","",SUMIFS(Analytics!$X$5:$X$154,Analytics!$D$5:$D$154,T367,Analytics!$B$5:$B$154,"&gt;="&amp;DashStart,Analytics!$B$5:$B$154,"&lt;="&amp;DashEnd))</f>
        <v>0</v>
      </c>
      <c r="AB367" s="23">
        <f>IF(T367="","",SUMIFS(Analytics!$R$5:$R$154,Analytics!$D$5:$D$154,T367,Analytics!$B$5:$B$154,"&gt;="&amp;DashStart,Analytics!$B$5:$B$154,"&lt;="&amp;DashEnd))</f>
        <v>0</v>
      </c>
      <c r="AC367" s="25">
        <f>IF(T367="","",SUMIFS(Analytics!$U$5:$U$154,Analytics!$D$5:$D$154,T367,Analytics!$B$5:$B$154,"&gt;="&amp;DashStart,Analytics!$B$5:$B$154,"&lt;="&amp;DashEnd))</f>
        <v>0</v>
      </c>
      <c r="AD367" s="23">
        <f>IF(T367="","",COUNTIFS('Content Calendar'!$G$5:$G$604,T367,'Content Calendar'!$B$5:$B$604,"&gt;="&amp;DATE(PlanYear,1,1),'Content Calendar'!$B$5:$B$604,"&lt;="&amp;DATE(PlanYear,12,31)))</f>
        <v>0</v>
      </c>
      <c r="AE367" s="23">
        <f>IF(T367="","",SUMIFS(Analytics!$J$5:$J$154,Analytics!$D$5:$D$154,T367))</f>
        <v>0</v>
      </c>
      <c r="AF367" s="23">
        <f>IF(T367="","",SUMIFS(Analytics!$L$5:$L$154,Analytics!$D$5:$D$154,T367))</f>
        <v>0</v>
      </c>
      <c r="AG367" s="24">
        <f>IF(OR(AE367="",AE367=0),"",AF367/AE367)</f>
        <v>0</v>
      </c>
      <c r="AH367" s="23">
        <f>IF(T367="","",SUMIFS(Analytics!$X$5:$X$154,Analytics!$D$5:$D$154,T367))</f>
        <v>0</v>
      </c>
      <c r="AI367" s="32">
        <f>IF(T367="","",IF(AE367=0,"",AE367+ROW()/1000000))</f>
        <v>0</v>
      </c>
      <c r="AJ367" s="17">
        <f>IF('Content Pillars'!$B$367="","",'Content Pillars'!$B$367)</f>
        <v>0</v>
      </c>
      <c r="AK367" s="23">
        <f>IF(AJ367="","",COUNTIFS('Content Calendar'!$J$5:$J$604,AJ367,'Content Calendar'!$B$5:$B$604,"&gt;="&amp;DATE(PlanYear,1,1),'Content Calendar'!$B$5:$B$604,"&lt;="&amp;DATE(PlanYear,12,31)))</f>
        <v>0</v>
      </c>
      <c r="AL367" s="23">
        <f>IF(AJ367="","",SUMIFS(Performance!$O$5:$O$404,Performance!$H$5:$H$404,AJ367))</f>
        <v>0</v>
      </c>
      <c r="AM367" s="23">
        <f>IF(AJ367="","",SUMIFS(Performance!$Z$5:$Z$404,Performance!$H$5:$H$404,AJ367))</f>
        <v>0</v>
      </c>
      <c r="AN367" s="24">
        <f>IF(OR(AL367="",AL367=0),"",AM367/AL367)</f>
        <v>0</v>
      </c>
      <c r="AO367" s="32">
        <f>IF(AN367="","",AN367+ROW()/1000000)</f>
        <v>0</v>
      </c>
      <c r="AP367" s="17">
        <f>IF(Lists!$E367="","",Lists!$E367)</f>
        <v>0</v>
      </c>
      <c r="AQ367" s="23">
        <f>IF(AP367="","",COUNTIF(Performance!$G$5:$G$404,AP367))</f>
        <v>0</v>
      </c>
      <c r="AR367" s="23">
        <f>IF(AP367="","",SUMIFS(Performance!$O$5:$O$404,Performance!$G$5:$G$404,AP367))</f>
        <v>0</v>
      </c>
      <c r="AS367" s="23">
        <f>IF(AP367="","",SUMIFS(Performance!$Z$5:$Z$404,Performance!$G$5:$G$404,AP367))</f>
        <v>0</v>
      </c>
      <c r="AT367" s="24">
        <f>IF(OR(AR367="",AR367=0),"",AS367/AR367)</f>
        <v>0</v>
      </c>
      <c r="AU367" s="32">
        <f>IF(AQ367=0,"",IF(AT367="","",AT367+ROW()/1000000))</f>
        <v>0</v>
      </c>
      <c r="AV367" s="17">
        <f>IF(ROW()-4&gt;7,"",TEXT(DATE(2024,1,ROW()-4),"ddd"))</f>
        <v>0</v>
      </c>
      <c r="AW367" s="23">
        <f>IF(AV367="","",COUNTIF(Performance!$N$5:$N$404,AV367))</f>
        <v>0</v>
      </c>
      <c r="AX367" s="23">
        <f>IF(AV367="","",SUMIFS(Performance!$O$5:$O$404,Performance!$N$5:$N$404,AV367))</f>
        <v>0</v>
      </c>
      <c r="AY367" s="23">
        <f>IF(AV367="","",SUMIFS(Performance!$Z$5:$Z$404,Performance!$N$5:$N$404,AV367))</f>
        <v>0</v>
      </c>
      <c r="AZ367" s="24">
        <f>IF(OR(AX367="",AX367=0),"",AY367/AX367)</f>
        <v>0</v>
      </c>
      <c r="BA367" s="32">
        <f>IF(AW367=0,"",IF(AZ367="","",AZ367+ROW()/1000000))</f>
        <v>0</v>
      </c>
      <c r="BB367" s="17">
        <f>IF(Lists!$AL367="","",Lists!$AL367)</f>
        <v>0</v>
      </c>
      <c r="BC367" s="23">
        <f>IF(BB367="","",COUNTIF(Performance!$M$5:$M$404,BB367))</f>
        <v>0</v>
      </c>
      <c r="BD367" s="23">
        <f>IF(BB367="","",SUMIFS(Performance!$O$5:$O$404,Performance!$M$5:$M$404,BB367))</f>
        <v>0</v>
      </c>
      <c r="BE367" s="23">
        <f>IF(BB367="","",SUMIFS(Performance!$Z$5:$Z$404,Performance!$M$5:$M$404,BB367))</f>
        <v>0</v>
      </c>
      <c r="BF367" s="24">
        <f>IF(OR(BD367="",BD367=0),"",BE367/BD367)</f>
        <v>0</v>
      </c>
      <c r="BG367" s="32">
        <f>IF(BC367=0,"",IF(BF367="","",BF367+ROW()/1000000))</f>
        <v>0</v>
      </c>
      <c r="BH367" s="17">
        <f>IF(Performance!$C$367="","",Performance!$C$367)</f>
        <v>0</v>
      </c>
      <c r="BI367" s="17">
        <f>IF(Performance!$F$367="","",Performance!$F$367)</f>
        <v>0</v>
      </c>
      <c r="BJ367" s="17">
        <f>IF(Performance!$H$367="","",Performance!$H$367)</f>
        <v>0</v>
      </c>
      <c r="BK367" s="16">
        <f>IF(Performance!$D$367="","",Performance!$D$367)</f>
        <v>0</v>
      </c>
      <c r="BL367" s="17">
        <f>IF(Performance!$E$367="","",Performance!$E$367)</f>
        <v>0</v>
      </c>
      <c r="BM367" s="23">
        <f>IF(Performance!$O$367="","",Performance!$O$367)</f>
        <v>0</v>
      </c>
      <c r="BN367" s="24">
        <f>IF(Performance!$AA$367="","",Performance!$AA$367)</f>
        <v>0</v>
      </c>
      <c r="BO367" s="32">
        <f>IF(BH367="","",IF(BK367="","",IF(OR(BK367&lt;DashStart,BK367&gt;DashEnd),"",IF(BN367="","",BN367+ROW()/1000000))))</f>
        <v>0</v>
      </c>
      <c r="BP367" s="32">
        <f>IF(BM367="","",IF(BK367="","",IF(OR(BK367&lt;DashStart,BK367&gt;DashEnd),"",BM367+ROW()/1000000)))</f>
        <v>0</v>
      </c>
      <c r="BQ367" s="32">
        <f>IF(BH367="","",IF(BK367="","",IF(YEAR(BK367)&lt;&gt;PlanYear,"",IF(BN367="","",BN367+ROW()/1000000))))</f>
        <v>0</v>
      </c>
      <c r="BR367" s="32">
        <f>IF(BH367="","",IF(BK367="","",IF(OR(BK367&lt;RepFrom,BK367&gt;RepTo),"",IF(BN367="","",BN367+ROW()/1000000))))</f>
        <v>0</v>
      </c>
      <c r="BS367" s="32">
        <f>IF(BM367="","",IF(BK367="","",IF(YEAR(BK367)&lt;&gt;PlanYear,"",BM367+ROW()/1000000)))</f>
        <v>0</v>
      </c>
      <c r="BT367" s="17">
        <f>IF(Lists!$F367="","",Lists!$F367)</f>
        <v>0</v>
      </c>
      <c r="BU367" s="23">
        <f>IF(BT367="","",COUNTIF('Content Calendar'!$X$5:$X$604,BT367))</f>
        <v>0</v>
      </c>
      <c r="BV367" s="23">
        <f>IF(BT367="","",COUNTIFS('Content Calendar'!$X$5:$X$604,BT367,'Content Calendar'!$B$5:$B$604,"&gt;="&amp;DashStart,'Content Calendar'!$B$5:$B$604,"&lt;="&amp;DashEnd))</f>
        <v>0</v>
      </c>
      <c r="BW367" s="17">
        <f>IF(Team!$B$367="","",Team!$B$367)</f>
        <v>0</v>
      </c>
      <c r="BX367" s="23">
        <f>IF(BW367="","",COUNTIF('Content Calendar'!$W$5:$W$604,BW367))</f>
        <v>0</v>
      </c>
      <c r="BY367" s="23">
        <f>IF(BW367="","",COUNTIFS('Content Calendar'!$W$5:$W$604,BW367,'Content Calendar'!$X$5:$X$604,"&lt;&gt;Published"))</f>
        <v>0</v>
      </c>
      <c r="BZ367" s="23">
        <f>IF(BW367="","",COUNTIFS(Tasks!$C$5:$C$64,BW367,Tasks!$G$5:$G$64,"&lt;&gt;Complete"))</f>
        <v>0</v>
      </c>
      <c r="CA367" s="17">
        <f>IF(Campaigns!$B$367="","",Campaigns!$B$367)</f>
        <v>0</v>
      </c>
      <c r="CB367" s="25">
        <f>IF(Campaigns!$T$367="","",Campaigns!$T$367)</f>
        <v>0</v>
      </c>
      <c r="CC367" s="25">
        <f>IF(Campaigns!$Q$367="","",Campaigns!$Q$367)</f>
        <v>0</v>
      </c>
      <c r="CD367" s="23">
        <f>IF(Campaigns!$Y$367="","",Campaigns!$Y$367)</f>
        <v>0</v>
      </c>
      <c r="CE367" s="32">
        <f>IF(CA367="","",IF(N(CB367)&lt;=0,"",N(CB367)+ROW()/1000000))</f>
        <v>0</v>
      </c>
      <c r="CF367" s="17">
        <f>IF(Accounts!$C$367="","",Accounts!$C$367)</f>
        <v>0</v>
      </c>
      <c r="CG367" s="17">
        <f>IF(Accounts!$B$367="","",Accounts!$B$367)</f>
        <v>0</v>
      </c>
      <c r="CH367" s="23">
        <f>IF(Accounts!$J$367="","",Accounts!$J$367)</f>
        <v>0</v>
      </c>
      <c r="CI367" s="23">
        <f>IF(CF367="","",SUMIFS(Analytics!$X$5:$X$154,Analytics!$E$5:$E$154,CF367,Analytics!$B$5:$B$154,"&gt;="&amp;DashStart,Analytics!$B$5:$B$154,"&lt;="&amp;DashEnd))</f>
        <v>0</v>
      </c>
      <c r="CJ367" s="32">
        <f>IF(CH367="","",IF(CH367=0,"",CH367+ROW()/1000000))</f>
        <v>0</v>
      </c>
    </row>
    <row r="368" spans="1:88">
      <c r="A368" s="16">
        <f>IF(ROW()-4&gt;12,"",DATE(PlanYear,ROW()-4,1))</f>
        <v>0</v>
      </c>
      <c r="B368" s="16">
        <f>IF(A368="","",EOMONTH(A368,0))</f>
        <v>0</v>
      </c>
      <c r="C368" s="17">
        <f>IF(A368="","",TEXT(A368,"yyyy-mm"))</f>
        <v>0</v>
      </c>
      <c r="D368" s="17">
        <f>IF(A368="","",TEXT(A368,"mmm"))</f>
        <v>0</v>
      </c>
      <c r="E368" s="23">
        <f>IF(C368="","",COUNTIFS('Content Calendar'!$D$5:$D$604,C368))</f>
        <v>0</v>
      </c>
      <c r="F368" s="23">
        <f>IF(C368="","",COUNTIFS('Content Calendar'!$D$5:$D$604,C368,'Content Calendar'!$X$5:$X$604,"Published"))</f>
        <v>0</v>
      </c>
      <c r="G368" s="23">
        <f>IF(C368="","",SUMIFS(Analytics!$J$5:$J$154,Analytics!$C$5:$C$154,C368))</f>
        <v>0</v>
      </c>
      <c r="H368" s="23">
        <f>IF(C368="","",SUMIFS(Analytics!$K$5:$K$154,Analytics!$C$5:$C$154,C368))</f>
        <v>0</v>
      </c>
      <c r="I368" s="23">
        <f>IF(C368="","",SUMIFS(Analytics!$L$5:$L$154,Analytics!$C$5:$C$154,C368))</f>
        <v>0</v>
      </c>
      <c r="J368" s="24">
        <f>IF(OR(G368="",G368=0),"",I368/G368)</f>
        <v>0</v>
      </c>
      <c r="K368" s="23">
        <f>IF(C368="","",SUMIFS(Analytics!$G$5:$G$154,Analytics!$C$5:$C$154,C368))</f>
        <v>0</v>
      </c>
      <c r="L368" s="23">
        <f>IF(C368="","",SUMIFS(Analytics!$X$5:$X$154,Analytics!$C$5:$C$154,C368))</f>
        <v>0</v>
      </c>
      <c r="M368" s="23">
        <f>IF(C368="","",SUMIFS(Analytics!$R$5:$R$154,Analytics!$C$5:$C$154,C368))</f>
        <v>0</v>
      </c>
      <c r="N368" s="23">
        <f>IF(C368="","",SUMIFS(Analytics!$S$5:$S$154,Analytics!$C$5:$C$154,C368))</f>
        <v>0</v>
      </c>
      <c r="O368" s="23">
        <f>IF(C368="","",SUMIFS(Analytics!$T$5:$T$154,Analytics!$C$5:$C$154,C368))</f>
        <v>0</v>
      </c>
      <c r="P368" s="25">
        <f>IF(C368="","",SUMIFS(Analytics!$U$5:$U$154,Analytics!$C$5:$C$154,C368))</f>
        <v>0</v>
      </c>
      <c r="Q368" s="25">
        <f>IF(C368="","",SUMIFS(Budget!$H$5:$H$64,Budget!$C$5:$C$64,C368))</f>
        <v>0</v>
      </c>
      <c r="R368" s="25">
        <f>IF(C368="","",P368-Q368)</f>
        <v>0</v>
      </c>
      <c r="S368" s="23">
        <f>IF(C368="","",MonthlyPostTarget)</f>
        <v>0</v>
      </c>
      <c r="T368" s="17">
        <f>IF(Lists!$C368="","",Lists!$C368)</f>
        <v>0</v>
      </c>
      <c r="U368" s="23">
        <f>IF(T368="","",COUNTIFS('Content Calendar'!$G$5:$G$604,T368,'Content Calendar'!$B$5:$B$604,"&gt;="&amp;DashStart,'Content Calendar'!$B$5:$B$604,"&lt;="&amp;DashEnd))</f>
        <v>0</v>
      </c>
      <c r="V368" s="23">
        <f>IF(T368="","",COUNTIFS('Content Calendar'!$G$5:$G$604,T368,'Content Calendar'!$X$5:$X$604,"Published",'Content Calendar'!$B$5:$B$604,"&gt;="&amp;DashStart,'Content Calendar'!$B$5:$B$604,"&lt;="&amp;DashEnd))</f>
        <v>0</v>
      </c>
      <c r="W368" s="23">
        <f>IF(T368="","",SUMIFS(Analytics!$J$5:$J$154,Analytics!$D$5:$D$154,T368,Analytics!$B$5:$B$154,"&gt;="&amp;DashStart,Analytics!$B$5:$B$154,"&lt;="&amp;DashEnd))</f>
        <v>0</v>
      </c>
      <c r="X368" s="23">
        <f>IF(T368="","",SUMIFS(Analytics!$L$5:$L$154,Analytics!$D$5:$D$154,T368,Analytics!$B$5:$B$154,"&gt;="&amp;DashStart,Analytics!$B$5:$B$154,"&lt;="&amp;DashEnd))</f>
        <v>0</v>
      </c>
      <c r="Y368" s="24">
        <f>IF(OR(W368="",W368=0),"",X368/W368)</f>
        <v>0</v>
      </c>
      <c r="Z368" s="23">
        <f>IF(T368="","",SUMIFS(Analytics!$G$5:$G$154,Analytics!$D$5:$D$154,T368,Analytics!$B$5:$B$154,"&gt;="&amp;DashStart,Analytics!$B$5:$B$154,"&lt;="&amp;DashEnd))</f>
        <v>0</v>
      </c>
      <c r="AA368" s="23">
        <f>IF(T368="","",SUMIFS(Analytics!$X$5:$X$154,Analytics!$D$5:$D$154,T368,Analytics!$B$5:$B$154,"&gt;="&amp;DashStart,Analytics!$B$5:$B$154,"&lt;="&amp;DashEnd))</f>
        <v>0</v>
      </c>
      <c r="AB368" s="23">
        <f>IF(T368="","",SUMIFS(Analytics!$R$5:$R$154,Analytics!$D$5:$D$154,T368,Analytics!$B$5:$B$154,"&gt;="&amp;DashStart,Analytics!$B$5:$B$154,"&lt;="&amp;DashEnd))</f>
        <v>0</v>
      </c>
      <c r="AC368" s="25">
        <f>IF(T368="","",SUMIFS(Analytics!$U$5:$U$154,Analytics!$D$5:$D$154,T368,Analytics!$B$5:$B$154,"&gt;="&amp;DashStart,Analytics!$B$5:$B$154,"&lt;="&amp;DashEnd))</f>
        <v>0</v>
      </c>
      <c r="AD368" s="23">
        <f>IF(T368="","",COUNTIFS('Content Calendar'!$G$5:$G$604,T368,'Content Calendar'!$B$5:$B$604,"&gt;="&amp;DATE(PlanYear,1,1),'Content Calendar'!$B$5:$B$604,"&lt;="&amp;DATE(PlanYear,12,31)))</f>
        <v>0</v>
      </c>
      <c r="AE368" s="23">
        <f>IF(T368="","",SUMIFS(Analytics!$J$5:$J$154,Analytics!$D$5:$D$154,T368))</f>
        <v>0</v>
      </c>
      <c r="AF368" s="23">
        <f>IF(T368="","",SUMIFS(Analytics!$L$5:$L$154,Analytics!$D$5:$D$154,T368))</f>
        <v>0</v>
      </c>
      <c r="AG368" s="24">
        <f>IF(OR(AE368="",AE368=0),"",AF368/AE368)</f>
        <v>0</v>
      </c>
      <c r="AH368" s="23">
        <f>IF(T368="","",SUMIFS(Analytics!$X$5:$X$154,Analytics!$D$5:$D$154,T368))</f>
        <v>0</v>
      </c>
      <c r="AI368" s="32">
        <f>IF(T368="","",IF(AE368=0,"",AE368+ROW()/1000000))</f>
        <v>0</v>
      </c>
      <c r="AJ368" s="17">
        <f>IF('Content Pillars'!$B$368="","",'Content Pillars'!$B$368)</f>
        <v>0</v>
      </c>
      <c r="AK368" s="23">
        <f>IF(AJ368="","",COUNTIFS('Content Calendar'!$J$5:$J$604,AJ368,'Content Calendar'!$B$5:$B$604,"&gt;="&amp;DATE(PlanYear,1,1),'Content Calendar'!$B$5:$B$604,"&lt;="&amp;DATE(PlanYear,12,31)))</f>
        <v>0</v>
      </c>
      <c r="AL368" s="23">
        <f>IF(AJ368="","",SUMIFS(Performance!$O$5:$O$404,Performance!$H$5:$H$404,AJ368))</f>
        <v>0</v>
      </c>
      <c r="AM368" s="23">
        <f>IF(AJ368="","",SUMIFS(Performance!$Z$5:$Z$404,Performance!$H$5:$H$404,AJ368))</f>
        <v>0</v>
      </c>
      <c r="AN368" s="24">
        <f>IF(OR(AL368="",AL368=0),"",AM368/AL368)</f>
        <v>0</v>
      </c>
      <c r="AO368" s="32">
        <f>IF(AN368="","",AN368+ROW()/1000000)</f>
        <v>0</v>
      </c>
      <c r="AP368" s="17">
        <f>IF(Lists!$E368="","",Lists!$E368)</f>
        <v>0</v>
      </c>
      <c r="AQ368" s="23">
        <f>IF(AP368="","",COUNTIF(Performance!$G$5:$G$404,AP368))</f>
        <v>0</v>
      </c>
      <c r="AR368" s="23">
        <f>IF(AP368="","",SUMIFS(Performance!$O$5:$O$404,Performance!$G$5:$G$404,AP368))</f>
        <v>0</v>
      </c>
      <c r="AS368" s="23">
        <f>IF(AP368="","",SUMIFS(Performance!$Z$5:$Z$404,Performance!$G$5:$G$404,AP368))</f>
        <v>0</v>
      </c>
      <c r="AT368" s="24">
        <f>IF(OR(AR368="",AR368=0),"",AS368/AR368)</f>
        <v>0</v>
      </c>
      <c r="AU368" s="32">
        <f>IF(AQ368=0,"",IF(AT368="","",AT368+ROW()/1000000))</f>
        <v>0</v>
      </c>
      <c r="AV368" s="17">
        <f>IF(ROW()-4&gt;7,"",TEXT(DATE(2024,1,ROW()-4),"ddd"))</f>
        <v>0</v>
      </c>
      <c r="AW368" s="23">
        <f>IF(AV368="","",COUNTIF(Performance!$N$5:$N$404,AV368))</f>
        <v>0</v>
      </c>
      <c r="AX368" s="23">
        <f>IF(AV368="","",SUMIFS(Performance!$O$5:$O$404,Performance!$N$5:$N$404,AV368))</f>
        <v>0</v>
      </c>
      <c r="AY368" s="23">
        <f>IF(AV368="","",SUMIFS(Performance!$Z$5:$Z$404,Performance!$N$5:$N$404,AV368))</f>
        <v>0</v>
      </c>
      <c r="AZ368" s="24">
        <f>IF(OR(AX368="",AX368=0),"",AY368/AX368)</f>
        <v>0</v>
      </c>
      <c r="BA368" s="32">
        <f>IF(AW368=0,"",IF(AZ368="","",AZ368+ROW()/1000000))</f>
        <v>0</v>
      </c>
      <c r="BB368" s="17">
        <f>IF(Lists!$AL368="","",Lists!$AL368)</f>
        <v>0</v>
      </c>
      <c r="BC368" s="23">
        <f>IF(BB368="","",COUNTIF(Performance!$M$5:$M$404,BB368))</f>
        <v>0</v>
      </c>
      <c r="BD368" s="23">
        <f>IF(BB368="","",SUMIFS(Performance!$O$5:$O$404,Performance!$M$5:$M$404,BB368))</f>
        <v>0</v>
      </c>
      <c r="BE368" s="23">
        <f>IF(BB368="","",SUMIFS(Performance!$Z$5:$Z$404,Performance!$M$5:$M$404,BB368))</f>
        <v>0</v>
      </c>
      <c r="BF368" s="24">
        <f>IF(OR(BD368="",BD368=0),"",BE368/BD368)</f>
        <v>0</v>
      </c>
      <c r="BG368" s="32">
        <f>IF(BC368=0,"",IF(BF368="","",BF368+ROW()/1000000))</f>
        <v>0</v>
      </c>
      <c r="BH368" s="17">
        <f>IF(Performance!$C$368="","",Performance!$C$368)</f>
        <v>0</v>
      </c>
      <c r="BI368" s="17">
        <f>IF(Performance!$F$368="","",Performance!$F$368)</f>
        <v>0</v>
      </c>
      <c r="BJ368" s="17">
        <f>IF(Performance!$H$368="","",Performance!$H$368)</f>
        <v>0</v>
      </c>
      <c r="BK368" s="16">
        <f>IF(Performance!$D$368="","",Performance!$D$368)</f>
        <v>0</v>
      </c>
      <c r="BL368" s="17">
        <f>IF(Performance!$E$368="","",Performance!$E$368)</f>
        <v>0</v>
      </c>
      <c r="BM368" s="23">
        <f>IF(Performance!$O$368="","",Performance!$O$368)</f>
        <v>0</v>
      </c>
      <c r="BN368" s="24">
        <f>IF(Performance!$AA$368="","",Performance!$AA$368)</f>
        <v>0</v>
      </c>
      <c r="BO368" s="32">
        <f>IF(BH368="","",IF(BK368="","",IF(OR(BK368&lt;DashStart,BK368&gt;DashEnd),"",IF(BN368="","",BN368+ROW()/1000000))))</f>
        <v>0</v>
      </c>
      <c r="BP368" s="32">
        <f>IF(BM368="","",IF(BK368="","",IF(OR(BK368&lt;DashStart,BK368&gt;DashEnd),"",BM368+ROW()/1000000)))</f>
        <v>0</v>
      </c>
      <c r="BQ368" s="32">
        <f>IF(BH368="","",IF(BK368="","",IF(YEAR(BK368)&lt;&gt;PlanYear,"",IF(BN368="","",BN368+ROW()/1000000))))</f>
        <v>0</v>
      </c>
      <c r="BR368" s="32">
        <f>IF(BH368="","",IF(BK368="","",IF(OR(BK368&lt;RepFrom,BK368&gt;RepTo),"",IF(BN368="","",BN368+ROW()/1000000))))</f>
        <v>0</v>
      </c>
      <c r="BS368" s="32">
        <f>IF(BM368="","",IF(BK368="","",IF(YEAR(BK368)&lt;&gt;PlanYear,"",BM368+ROW()/1000000)))</f>
        <v>0</v>
      </c>
      <c r="BT368" s="17">
        <f>IF(Lists!$F368="","",Lists!$F368)</f>
        <v>0</v>
      </c>
      <c r="BU368" s="23">
        <f>IF(BT368="","",COUNTIF('Content Calendar'!$X$5:$X$604,BT368))</f>
        <v>0</v>
      </c>
      <c r="BV368" s="23">
        <f>IF(BT368="","",COUNTIFS('Content Calendar'!$X$5:$X$604,BT368,'Content Calendar'!$B$5:$B$604,"&gt;="&amp;DashStart,'Content Calendar'!$B$5:$B$604,"&lt;="&amp;DashEnd))</f>
        <v>0</v>
      </c>
      <c r="BW368" s="17">
        <f>IF(Team!$B$368="","",Team!$B$368)</f>
        <v>0</v>
      </c>
      <c r="BX368" s="23">
        <f>IF(BW368="","",COUNTIF('Content Calendar'!$W$5:$W$604,BW368))</f>
        <v>0</v>
      </c>
      <c r="BY368" s="23">
        <f>IF(BW368="","",COUNTIFS('Content Calendar'!$W$5:$W$604,BW368,'Content Calendar'!$X$5:$X$604,"&lt;&gt;Published"))</f>
        <v>0</v>
      </c>
      <c r="BZ368" s="23">
        <f>IF(BW368="","",COUNTIFS(Tasks!$C$5:$C$64,BW368,Tasks!$G$5:$G$64,"&lt;&gt;Complete"))</f>
        <v>0</v>
      </c>
      <c r="CA368" s="17">
        <f>IF(Campaigns!$B$368="","",Campaigns!$B$368)</f>
        <v>0</v>
      </c>
      <c r="CB368" s="25">
        <f>IF(Campaigns!$T$368="","",Campaigns!$T$368)</f>
        <v>0</v>
      </c>
      <c r="CC368" s="25">
        <f>IF(Campaigns!$Q$368="","",Campaigns!$Q$368)</f>
        <v>0</v>
      </c>
      <c r="CD368" s="23">
        <f>IF(Campaigns!$Y$368="","",Campaigns!$Y$368)</f>
        <v>0</v>
      </c>
      <c r="CE368" s="32">
        <f>IF(CA368="","",IF(N(CB368)&lt;=0,"",N(CB368)+ROW()/1000000))</f>
        <v>0</v>
      </c>
      <c r="CF368" s="17">
        <f>IF(Accounts!$C$368="","",Accounts!$C$368)</f>
        <v>0</v>
      </c>
      <c r="CG368" s="17">
        <f>IF(Accounts!$B$368="","",Accounts!$B$368)</f>
        <v>0</v>
      </c>
      <c r="CH368" s="23">
        <f>IF(Accounts!$J$368="","",Accounts!$J$368)</f>
        <v>0</v>
      </c>
      <c r="CI368" s="23">
        <f>IF(CF368="","",SUMIFS(Analytics!$X$5:$X$154,Analytics!$E$5:$E$154,CF368,Analytics!$B$5:$B$154,"&gt;="&amp;DashStart,Analytics!$B$5:$B$154,"&lt;="&amp;DashEnd))</f>
        <v>0</v>
      </c>
      <c r="CJ368" s="32">
        <f>IF(CH368="","",IF(CH368=0,"",CH368+ROW()/1000000))</f>
        <v>0</v>
      </c>
    </row>
    <row r="369" spans="1:88">
      <c r="A369" s="16">
        <f>IF(ROW()-4&gt;12,"",DATE(PlanYear,ROW()-4,1))</f>
        <v>0</v>
      </c>
      <c r="B369" s="16">
        <f>IF(A369="","",EOMONTH(A369,0))</f>
        <v>0</v>
      </c>
      <c r="C369" s="17">
        <f>IF(A369="","",TEXT(A369,"yyyy-mm"))</f>
        <v>0</v>
      </c>
      <c r="D369" s="17">
        <f>IF(A369="","",TEXT(A369,"mmm"))</f>
        <v>0</v>
      </c>
      <c r="E369" s="23">
        <f>IF(C369="","",COUNTIFS('Content Calendar'!$D$5:$D$604,C369))</f>
        <v>0</v>
      </c>
      <c r="F369" s="23">
        <f>IF(C369="","",COUNTIFS('Content Calendar'!$D$5:$D$604,C369,'Content Calendar'!$X$5:$X$604,"Published"))</f>
        <v>0</v>
      </c>
      <c r="G369" s="23">
        <f>IF(C369="","",SUMIFS(Analytics!$J$5:$J$154,Analytics!$C$5:$C$154,C369))</f>
        <v>0</v>
      </c>
      <c r="H369" s="23">
        <f>IF(C369="","",SUMIFS(Analytics!$K$5:$K$154,Analytics!$C$5:$C$154,C369))</f>
        <v>0</v>
      </c>
      <c r="I369" s="23">
        <f>IF(C369="","",SUMIFS(Analytics!$L$5:$L$154,Analytics!$C$5:$C$154,C369))</f>
        <v>0</v>
      </c>
      <c r="J369" s="24">
        <f>IF(OR(G369="",G369=0),"",I369/G369)</f>
        <v>0</v>
      </c>
      <c r="K369" s="23">
        <f>IF(C369="","",SUMIFS(Analytics!$G$5:$G$154,Analytics!$C$5:$C$154,C369))</f>
        <v>0</v>
      </c>
      <c r="L369" s="23">
        <f>IF(C369="","",SUMIFS(Analytics!$X$5:$X$154,Analytics!$C$5:$C$154,C369))</f>
        <v>0</v>
      </c>
      <c r="M369" s="23">
        <f>IF(C369="","",SUMIFS(Analytics!$R$5:$R$154,Analytics!$C$5:$C$154,C369))</f>
        <v>0</v>
      </c>
      <c r="N369" s="23">
        <f>IF(C369="","",SUMIFS(Analytics!$S$5:$S$154,Analytics!$C$5:$C$154,C369))</f>
        <v>0</v>
      </c>
      <c r="O369" s="23">
        <f>IF(C369="","",SUMIFS(Analytics!$T$5:$T$154,Analytics!$C$5:$C$154,C369))</f>
        <v>0</v>
      </c>
      <c r="P369" s="25">
        <f>IF(C369="","",SUMIFS(Analytics!$U$5:$U$154,Analytics!$C$5:$C$154,C369))</f>
        <v>0</v>
      </c>
      <c r="Q369" s="25">
        <f>IF(C369="","",SUMIFS(Budget!$H$5:$H$64,Budget!$C$5:$C$64,C369))</f>
        <v>0</v>
      </c>
      <c r="R369" s="25">
        <f>IF(C369="","",P369-Q369)</f>
        <v>0</v>
      </c>
      <c r="S369" s="23">
        <f>IF(C369="","",MonthlyPostTarget)</f>
        <v>0</v>
      </c>
      <c r="T369" s="17">
        <f>IF(Lists!$C369="","",Lists!$C369)</f>
        <v>0</v>
      </c>
      <c r="U369" s="23">
        <f>IF(T369="","",COUNTIFS('Content Calendar'!$G$5:$G$604,T369,'Content Calendar'!$B$5:$B$604,"&gt;="&amp;DashStart,'Content Calendar'!$B$5:$B$604,"&lt;="&amp;DashEnd))</f>
        <v>0</v>
      </c>
      <c r="V369" s="23">
        <f>IF(T369="","",COUNTIFS('Content Calendar'!$G$5:$G$604,T369,'Content Calendar'!$X$5:$X$604,"Published",'Content Calendar'!$B$5:$B$604,"&gt;="&amp;DashStart,'Content Calendar'!$B$5:$B$604,"&lt;="&amp;DashEnd))</f>
        <v>0</v>
      </c>
      <c r="W369" s="23">
        <f>IF(T369="","",SUMIFS(Analytics!$J$5:$J$154,Analytics!$D$5:$D$154,T369,Analytics!$B$5:$B$154,"&gt;="&amp;DashStart,Analytics!$B$5:$B$154,"&lt;="&amp;DashEnd))</f>
        <v>0</v>
      </c>
      <c r="X369" s="23">
        <f>IF(T369="","",SUMIFS(Analytics!$L$5:$L$154,Analytics!$D$5:$D$154,T369,Analytics!$B$5:$B$154,"&gt;="&amp;DashStart,Analytics!$B$5:$B$154,"&lt;="&amp;DashEnd))</f>
        <v>0</v>
      </c>
      <c r="Y369" s="24">
        <f>IF(OR(W369="",W369=0),"",X369/W369)</f>
        <v>0</v>
      </c>
      <c r="Z369" s="23">
        <f>IF(T369="","",SUMIFS(Analytics!$G$5:$G$154,Analytics!$D$5:$D$154,T369,Analytics!$B$5:$B$154,"&gt;="&amp;DashStart,Analytics!$B$5:$B$154,"&lt;="&amp;DashEnd))</f>
        <v>0</v>
      </c>
      <c r="AA369" s="23">
        <f>IF(T369="","",SUMIFS(Analytics!$X$5:$X$154,Analytics!$D$5:$D$154,T369,Analytics!$B$5:$B$154,"&gt;="&amp;DashStart,Analytics!$B$5:$B$154,"&lt;="&amp;DashEnd))</f>
        <v>0</v>
      </c>
      <c r="AB369" s="23">
        <f>IF(T369="","",SUMIFS(Analytics!$R$5:$R$154,Analytics!$D$5:$D$154,T369,Analytics!$B$5:$B$154,"&gt;="&amp;DashStart,Analytics!$B$5:$B$154,"&lt;="&amp;DashEnd))</f>
        <v>0</v>
      </c>
      <c r="AC369" s="25">
        <f>IF(T369="","",SUMIFS(Analytics!$U$5:$U$154,Analytics!$D$5:$D$154,T369,Analytics!$B$5:$B$154,"&gt;="&amp;DashStart,Analytics!$B$5:$B$154,"&lt;="&amp;DashEnd))</f>
        <v>0</v>
      </c>
      <c r="AD369" s="23">
        <f>IF(T369="","",COUNTIFS('Content Calendar'!$G$5:$G$604,T369,'Content Calendar'!$B$5:$B$604,"&gt;="&amp;DATE(PlanYear,1,1),'Content Calendar'!$B$5:$B$604,"&lt;="&amp;DATE(PlanYear,12,31)))</f>
        <v>0</v>
      </c>
      <c r="AE369" s="23">
        <f>IF(T369="","",SUMIFS(Analytics!$J$5:$J$154,Analytics!$D$5:$D$154,T369))</f>
        <v>0</v>
      </c>
      <c r="AF369" s="23">
        <f>IF(T369="","",SUMIFS(Analytics!$L$5:$L$154,Analytics!$D$5:$D$154,T369))</f>
        <v>0</v>
      </c>
      <c r="AG369" s="24">
        <f>IF(OR(AE369="",AE369=0),"",AF369/AE369)</f>
        <v>0</v>
      </c>
      <c r="AH369" s="23">
        <f>IF(T369="","",SUMIFS(Analytics!$X$5:$X$154,Analytics!$D$5:$D$154,T369))</f>
        <v>0</v>
      </c>
      <c r="AI369" s="32">
        <f>IF(T369="","",IF(AE369=0,"",AE369+ROW()/1000000))</f>
        <v>0</v>
      </c>
      <c r="AJ369" s="17">
        <f>IF('Content Pillars'!$B$369="","",'Content Pillars'!$B$369)</f>
        <v>0</v>
      </c>
      <c r="AK369" s="23">
        <f>IF(AJ369="","",COUNTIFS('Content Calendar'!$J$5:$J$604,AJ369,'Content Calendar'!$B$5:$B$604,"&gt;="&amp;DATE(PlanYear,1,1),'Content Calendar'!$B$5:$B$604,"&lt;="&amp;DATE(PlanYear,12,31)))</f>
        <v>0</v>
      </c>
      <c r="AL369" s="23">
        <f>IF(AJ369="","",SUMIFS(Performance!$O$5:$O$404,Performance!$H$5:$H$404,AJ369))</f>
        <v>0</v>
      </c>
      <c r="AM369" s="23">
        <f>IF(AJ369="","",SUMIFS(Performance!$Z$5:$Z$404,Performance!$H$5:$H$404,AJ369))</f>
        <v>0</v>
      </c>
      <c r="AN369" s="24">
        <f>IF(OR(AL369="",AL369=0),"",AM369/AL369)</f>
        <v>0</v>
      </c>
      <c r="AO369" s="32">
        <f>IF(AN369="","",AN369+ROW()/1000000)</f>
        <v>0</v>
      </c>
      <c r="AP369" s="17">
        <f>IF(Lists!$E369="","",Lists!$E369)</f>
        <v>0</v>
      </c>
      <c r="AQ369" s="23">
        <f>IF(AP369="","",COUNTIF(Performance!$G$5:$G$404,AP369))</f>
        <v>0</v>
      </c>
      <c r="AR369" s="23">
        <f>IF(AP369="","",SUMIFS(Performance!$O$5:$O$404,Performance!$G$5:$G$404,AP369))</f>
        <v>0</v>
      </c>
      <c r="AS369" s="23">
        <f>IF(AP369="","",SUMIFS(Performance!$Z$5:$Z$404,Performance!$G$5:$G$404,AP369))</f>
        <v>0</v>
      </c>
      <c r="AT369" s="24">
        <f>IF(OR(AR369="",AR369=0),"",AS369/AR369)</f>
        <v>0</v>
      </c>
      <c r="AU369" s="32">
        <f>IF(AQ369=0,"",IF(AT369="","",AT369+ROW()/1000000))</f>
        <v>0</v>
      </c>
      <c r="AV369" s="17">
        <f>IF(ROW()-4&gt;7,"",TEXT(DATE(2024,1,ROW()-4),"ddd"))</f>
        <v>0</v>
      </c>
      <c r="AW369" s="23">
        <f>IF(AV369="","",COUNTIF(Performance!$N$5:$N$404,AV369))</f>
        <v>0</v>
      </c>
      <c r="AX369" s="23">
        <f>IF(AV369="","",SUMIFS(Performance!$O$5:$O$404,Performance!$N$5:$N$404,AV369))</f>
        <v>0</v>
      </c>
      <c r="AY369" s="23">
        <f>IF(AV369="","",SUMIFS(Performance!$Z$5:$Z$404,Performance!$N$5:$N$404,AV369))</f>
        <v>0</v>
      </c>
      <c r="AZ369" s="24">
        <f>IF(OR(AX369="",AX369=0),"",AY369/AX369)</f>
        <v>0</v>
      </c>
      <c r="BA369" s="32">
        <f>IF(AW369=0,"",IF(AZ369="","",AZ369+ROW()/1000000))</f>
        <v>0</v>
      </c>
      <c r="BB369" s="17">
        <f>IF(Lists!$AL369="","",Lists!$AL369)</f>
        <v>0</v>
      </c>
      <c r="BC369" s="23">
        <f>IF(BB369="","",COUNTIF(Performance!$M$5:$M$404,BB369))</f>
        <v>0</v>
      </c>
      <c r="BD369" s="23">
        <f>IF(BB369="","",SUMIFS(Performance!$O$5:$O$404,Performance!$M$5:$M$404,BB369))</f>
        <v>0</v>
      </c>
      <c r="BE369" s="23">
        <f>IF(BB369="","",SUMIFS(Performance!$Z$5:$Z$404,Performance!$M$5:$M$404,BB369))</f>
        <v>0</v>
      </c>
      <c r="BF369" s="24">
        <f>IF(OR(BD369="",BD369=0),"",BE369/BD369)</f>
        <v>0</v>
      </c>
      <c r="BG369" s="32">
        <f>IF(BC369=0,"",IF(BF369="","",BF369+ROW()/1000000))</f>
        <v>0</v>
      </c>
      <c r="BH369" s="17">
        <f>IF(Performance!$C$369="","",Performance!$C$369)</f>
        <v>0</v>
      </c>
      <c r="BI369" s="17">
        <f>IF(Performance!$F$369="","",Performance!$F$369)</f>
        <v>0</v>
      </c>
      <c r="BJ369" s="17">
        <f>IF(Performance!$H$369="","",Performance!$H$369)</f>
        <v>0</v>
      </c>
      <c r="BK369" s="16">
        <f>IF(Performance!$D$369="","",Performance!$D$369)</f>
        <v>0</v>
      </c>
      <c r="BL369" s="17">
        <f>IF(Performance!$E$369="","",Performance!$E$369)</f>
        <v>0</v>
      </c>
      <c r="BM369" s="23">
        <f>IF(Performance!$O$369="","",Performance!$O$369)</f>
        <v>0</v>
      </c>
      <c r="BN369" s="24">
        <f>IF(Performance!$AA$369="","",Performance!$AA$369)</f>
        <v>0</v>
      </c>
      <c r="BO369" s="32">
        <f>IF(BH369="","",IF(BK369="","",IF(OR(BK369&lt;DashStart,BK369&gt;DashEnd),"",IF(BN369="","",BN369+ROW()/1000000))))</f>
        <v>0</v>
      </c>
      <c r="BP369" s="32">
        <f>IF(BM369="","",IF(BK369="","",IF(OR(BK369&lt;DashStart,BK369&gt;DashEnd),"",BM369+ROW()/1000000)))</f>
        <v>0</v>
      </c>
      <c r="BQ369" s="32">
        <f>IF(BH369="","",IF(BK369="","",IF(YEAR(BK369)&lt;&gt;PlanYear,"",IF(BN369="","",BN369+ROW()/1000000))))</f>
        <v>0</v>
      </c>
      <c r="BR369" s="32">
        <f>IF(BH369="","",IF(BK369="","",IF(OR(BK369&lt;RepFrom,BK369&gt;RepTo),"",IF(BN369="","",BN369+ROW()/1000000))))</f>
        <v>0</v>
      </c>
      <c r="BS369" s="32">
        <f>IF(BM369="","",IF(BK369="","",IF(YEAR(BK369)&lt;&gt;PlanYear,"",BM369+ROW()/1000000)))</f>
        <v>0</v>
      </c>
      <c r="BT369" s="17">
        <f>IF(Lists!$F369="","",Lists!$F369)</f>
        <v>0</v>
      </c>
      <c r="BU369" s="23">
        <f>IF(BT369="","",COUNTIF('Content Calendar'!$X$5:$X$604,BT369))</f>
        <v>0</v>
      </c>
      <c r="BV369" s="23">
        <f>IF(BT369="","",COUNTIFS('Content Calendar'!$X$5:$X$604,BT369,'Content Calendar'!$B$5:$B$604,"&gt;="&amp;DashStart,'Content Calendar'!$B$5:$B$604,"&lt;="&amp;DashEnd))</f>
        <v>0</v>
      </c>
      <c r="BW369" s="17">
        <f>IF(Team!$B$369="","",Team!$B$369)</f>
        <v>0</v>
      </c>
      <c r="BX369" s="23">
        <f>IF(BW369="","",COUNTIF('Content Calendar'!$W$5:$W$604,BW369))</f>
        <v>0</v>
      </c>
      <c r="BY369" s="23">
        <f>IF(BW369="","",COUNTIFS('Content Calendar'!$W$5:$W$604,BW369,'Content Calendar'!$X$5:$X$604,"&lt;&gt;Published"))</f>
        <v>0</v>
      </c>
      <c r="BZ369" s="23">
        <f>IF(BW369="","",COUNTIFS(Tasks!$C$5:$C$64,BW369,Tasks!$G$5:$G$64,"&lt;&gt;Complete"))</f>
        <v>0</v>
      </c>
      <c r="CA369" s="17">
        <f>IF(Campaigns!$B$369="","",Campaigns!$B$369)</f>
        <v>0</v>
      </c>
      <c r="CB369" s="25">
        <f>IF(Campaigns!$T$369="","",Campaigns!$T$369)</f>
        <v>0</v>
      </c>
      <c r="CC369" s="25">
        <f>IF(Campaigns!$Q$369="","",Campaigns!$Q$369)</f>
        <v>0</v>
      </c>
      <c r="CD369" s="23">
        <f>IF(Campaigns!$Y$369="","",Campaigns!$Y$369)</f>
        <v>0</v>
      </c>
      <c r="CE369" s="32">
        <f>IF(CA369="","",IF(N(CB369)&lt;=0,"",N(CB369)+ROW()/1000000))</f>
        <v>0</v>
      </c>
      <c r="CF369" s="17">
        <f>IF(Accounts!$C$369="","",Accounts!$C$369)</f>
        <v>0</v>
      </c>
      <c r="CG369" s="17">
        <f>IF(Accounts!$B$369="","",Accounts!$B$369)</f>
        <v>0</v>
      </c>
      <c r="CH369" s="23">
        <f>IF(Accounts!$J$369="","",Accounts!$J$369)</f>
        <v>0</v>
      </c>
      <c r="CI369" s="23">
        <f>IF(CF369="","",SUMIFS(Analytics!$X$5:$X$154,Analytics!$E$5:$E$154,CF369,Analytics!$B$5:$B$154,"&gt;="&amp;DashStart,Analytics!$B$5:$B$154,"&lt;="&amp;DashEnd))</f>
        <v>0</v>
      </c>
      <c r="CJ369" s="32">
        <f>IF(CH369="","",IF(CH369=0,"",CH369+ROW()/1000000))</f>
        <v>0</v>
      </c>
    </row>
    <row r="370" spans="1:88">
      <c r="A370" s="16">
        <f>IF(ROW()-4&gt;12,"",DATE(PlanYear,ROW()-4,1))</f>
        <v>0</v>
      </c>
      <c r="B370" s="16">
        <f>IF(A370="","",EOMONTH(A370,0))</f>
        <v>0</v>
      </c>
      <c r="C370" s="17">
        <f>IF(A370="","",TEXT(A370,"yyyy-mm"))</f>
        <v>0</v>
      </c>
      <c r="D370" s="17">
        <f>IF(A370="","",TEXT(A370,"mmm"))</f>
        <v>0</v>
      </c>
      <c r="E370" s="23">
        <f>IF(C370="","",COUNTIFS('Content Calendar'!$D$5:$D$604,C370))</f>
        <v>0</v>
      </c>
      <c r="F370" s="23">
        <f>IF(C370="","",COUNTIFS('Content Calendar'!$D$5:$D$604,C370,'Content Calendar'!$X$5:$X$604,"Published"))</f>
        <v>0</v>
      </c>
      <c r="G370" s="23">
        <f>IF(C370="","",SUMIFS(Analytics!$J$5:$J$154,Analytics!$C$5:$C$154,C370))</f>
        <v>0</v>
      </c>
      <c r="H370" s="23">
        <f>IF(C370="","",SUMIFS(Analytics!$K$5:$K$154,Analytics!$C$5:$C$154,C370))</f>
        <v>0</v>
      </c>
      <c r="I370" s="23">
        <f>IF(C370="","",SUMIFS(Analytics!$L$5:$L$154,Analytics!$C$5:$C$154,C370))</f>
        <v>0</v>
      </c>
      <c r="J370" s="24">
        <f>IF(OR(G370="",G370=0),"",I370/G370)</f>
        <v>0</v>
      </c>
      <c r="K370" s="23">
        <f>IF(C370="","",SUMIFS(Analytics!$G$5:$G$154,Analytics!$C$5:$C$154,C370))</f>
        <v>0</v>
      </c>
      <c r="L370" s="23">
        <f>IF(C370="","",SUMIFS(Analytics!$X$5:$X$154,Analytics!$C$5:$C$154,C370))</f>
        <v>0</v>
      </c>
      <c r="M370" s="23">
        <f>IF(C370="","",SUMIFS(Analytics!$R$5:$R$154,Analytics!$C$5:$C$154,C370))</f>
        <v>0</v>
      </c>
      <c r="N370" s="23">
        <f>IF(C370="","",SUMIFS(Analytics!$S$5:$S$154,Analytics!$C$5:$C$154,C370))</f>
        <v>0</v>
      </c>
      <c r="O370" s="23">
        <f>IF(C370="","",SUMIFS(Analytics!$T$5:$T$154,Analytics!$C$5:$C$154,C370))</f>
        <v>0</v>
      </c>
      <c r="P370" s="25">
        <f>IF(C370="","",SUMIFS(Analytics!$U$5:$U$154,Analytics!$C$5:$C$154,C370))</f>
        <v>0</v>
      </c>
      <c r="Q370" s="25">
        <f>IF(C370="","",SUMIFS(Budget!$H$5:$H$64,Budget!$C$5:$C$64,C370))</f>
        <v>0</v>
      </c>
      <c r="R370" s="25">
        <f>IF(C370="","",P370-Q370)</f>
        <v>0</v>
      </c>
      <c r="S370" s="23">
        <f>IF(C370="","",MonthlyPostTarget)</f>
        <v>0</v>
      </c>
      <c r="T370" s="17">
        <f>IF(Lists!$C370="","",Lists!$C370)</f>
        <v>0</v>
      </c>
      <c r="U370" s="23">
        <f>IF(T370="","",COUNTIFS('Content Calendar'!$G$5:$G$604,T370,'Content Calendar'!$B$5:$B$604,"&gt;="&amp;DashStart,'Content Calendar'!$B$5:$B$604,"&lt;="&amp;DashEnd))</f>
        <v>0</v>
      </c>
      <c r="V370" s="23">
        <f>IF(T370="","",COUNTIFS('Content Calendar'!$G$5:$G$604,T370,'Content Calendar'!$X$5:$X$604,"Published",'Content Calendar'!$B$5:$B$604,"&gt;="&amp;DashStart,'Content Calendar'!$B$5:$B$604,"&lt;="&amp;DashEnd))</f>
        <v>0</v>
      </c>
      <c r="W370" s="23">
        <f>IF(T370="","",SUMIFS(Analytics!$J$5:$J$154,Analytics!$D$5:$D$154,T370,Analytics!$B$5:$B$154,"&gt;="&amp;DashStart,Analytics!$B$5:$B$154,"&lt;="&amp;DashEnd))</f>
        <v>0</v>
      </c>
      <c r="X370" s="23">
        <f>IF(T370="","",SUMIFS(Analytics!$L$5:$L$154,Analytics!$D$5:$D$154,T370,Analytics!$B$5:$B$154,"&gt;="&amp;DashStart,Analytics!$B$5:$B$154,"&lt;="&amp;DashEnd))</f>
        <v>0</v>
      </c>
      <c r="Y370" s="24">
        <f>IF(OR(W370="",W370=0),"",X370/W370)</f>
        <v>0</v>
      </c>
      <c r="Z370" s="23">
        <f>IF(T370="","",SUMIFS(Analytics!$G$5:$G$154,Analytics!$D$5:$D$154,T370,Analytics!$B$5:$B$154,"&gt;="&amp;DashStart,Analytics!$B$5:$B$154,"&lt;="&amp;DashEnd))</f>
        <v>0</v>
      </c>
      <c r="AA370" s="23">
        <f>IF(T370="","",SUMIFS(Analytics!$X$5:$X$154,Analytics!$D$5:$D$154,T370,Analytics!$B$5:$B$154,"&gt;="&amp;DashStart,Analytics!$B$5:$B$154,"&lt;="&amp;DashEnd))</f>
        <v>0</v>
      </c>
      <c r="AB370" s="23">
        <f>IF(T370="","",SUMIFS(Analytics!$R$5:$R$154,Analytics!$D$5:$D$154,T370,Analytics!$B$5:$B$154,"&gt;="&amp;DashStart,Analytics!$B$5:$B$154,"&lt;="&amp;DashEnd))</f>
        <v>0</v>
      </c>
      <c r="AC370" s="25">
        <f>IF(T370="","",SUMIFS(Analytics!$U$5:$U$154,Analytics!$D$5:$D$154,T370,Analytics!$B$5:$B$154,"&gt;="&amp;DashStart,Analytics!$B$5:$B$154,"&lt;="&amp;DashEnd))</f>
        <v>0</v>
      </c>
      <c r="AD370" s="23">
        <f>IF(T370="","",COUNTIFS('Content Calendar'!$G$5:$G$604,T370,'Content Calendar'!$B$5:$B$604,"&gt;="&amp;DATE(PlanYear,1,1),'Content Calendar'!$B$5:$B$604,"&lt;="&amp;DATE(PlanYear,12,31)))</f>
        <v>0</v>
      </c>
      <c r="AE370" s="23">
        <f>IF(T370="","",SUMIFS(Analytics!$J$5:$J$154,Analytics!$D$5:$D$154,T370))</f>
        <v>0</v>
      </c>
      <c r="AF370" s="23">
        <f>IF(T370="","",SUMIFS(Analytics!$L$5:$L$154,Analytics!$D$5:$D$154,T370))</f>
        <v>0</v>
      </c>
      <c r="AG370" s="24">
        <f>IF(OR(AE370="",AE370=0),"",AF370/AE370)</f>
        <v>0</v>
      </c>
      <c r="AH370" s="23">
        <f>IF(T370="","",SUMIFS(Analytics!$X$5:$X$154,Analytics!$D$5:$D$154,T370))</f>
        <v>0</v>
      </c>
      <c r="AI370" s="32">
        <f>IF(T370="","",IF(AE370=0,"",AE370+ROW()/1000000))</f>
        <v>0</v>
      </c>
      <c r="AJ370" s="17">
        <f>IF('Content Pillars'!$B$370="","",'Content Pillars'!$B$370)</f>
        <v>0</v>
      </c>
      <c r="AK370" s="23">
        <f>IF(AJ370="","",COUNTIFS('Content Calendar'!$J$5:$J$604,AJ370,'Content Calendar'!$B$5:$B$604,"&gt;="&amp;DATE(PlanYear,1,1),'Content Calendar'!$B$5:$B$604,"&lt;="&amp;DATE(PlanYear,12,31)))</f>
        <v>0</v>
      </c>
      <c r="AL370" s="23">
        <f>IF(AJ370="","",SUMIFS(Performance!$O$5:$O$404,Performance!$H$5:$H$404,AJ370))</f>
        <v>0</v>
      </c>
      <c r="AM370" s="23">
        <f>IF(AJ370="","",SUMIFS(Performance!$Z$5:$Z$404,Performance!$H$5:$H$404,AJ370))</f>
        <v>0</v>
      </c>
      <c r="AN370" s="24">
        <f>IF(OR(AL370="",AL370=0),"",AM370/AL370)</f>
        <v>0</v>
      </c>
      <c r="AO370" s="32">
        <f>IF(AN370="","",AN370+ROW()/1000000)</f>
        <v>0</v>
      </c>
      <c r="AP370" s="17">
        <f>IF(Lists!$E370="","",Lists!$E370)</f>
        <v>0</v>
      </c>
      <c r="AQ370" s="23">
        <f>IF(AP370="","",COUNTIF(Performance!$G$5:$G$404,AP370))</f>
        <v>0</v>
      </c>
      <c r="AR370" s="23">
        <f>IF(AP370="","",SUMIFS(Performance!$O$5:$O$404,Performance!$G$5:$G$404,AP370))</f>
        <v>0</v>
      </c>
      <c r="AS370" s="23">
        <f>IF(AP370="","",SUMIFS(Performance!$Z$5:$Z$404,Performance!$G$5:$G$404,AP370))</f>
        <v>0</v>
      </c>
      <c r="AT370" s="24">
        <f>IF(OR(AR370="",AR370=0),"",AS370/AR370)</f>
        <v>0</v>
      </c>
      <c r="AU370" s="32">
        <f>IF(AQ370=0,"",IF(AT370="","",AT370+ROW()/1000000))</f>
        <v>0</v>
      </c>
      <c r="AV370" s="17">
        <f>IF(ROW()-4&gt;7,"",TEXT(DATE(2024,1,ROW()-4),"ddd"))</f>
        <v>0</v>
      </c>
      <c r="AW370" s="23">
        <f>IF(AV370="","",COUNTIF(Performance!$N$5:$N$404,AV370))</f>
        <v>0</v>
      </c>
      <c r="AX370" s="23">
        <f>IF(AV370="","",SUMIFS(Performance!$O$5:$O$404,Performance!$N$5:$N$404,AV370))</f>
        <v>0</v>
      </c>
      <c r="AY370" s="23">
        <f>IF(AV370="","",SUMIFS(Performance!$Z$5:$Z$404,Performance!$N$5:$N$404,AV370))</f>
        <v>0</v>
      </c>
      <c r="AZ370" s="24">
        <f>IF(OR(AX370="",AX370=0),"",AY370/AX370)</f>
        <v>0</v>
      </c>
      <c r="BA370" s="32">
        <f>IF(AW370=0,"",IF(AZ370="","",AZ370+ROW()/1000000))</f>
        <v>0</v>
      </c>
      <c r="BB370" s="17">
        <f>IF(Lists!$AL370="","",Lists!$AL370)</f>
        <v>0</v>
      </c>
      <c r="BC370" s="23">
        <f>IF(BB370="","",COUNTIF(Performance!$M$5:$M$404,BB370))</f>
        <v>0</v>
      </c>
      <c r="BD370" s="23">
        <f>IF(BB370="","",SUMIFS(Performance!$O$5:$O$404,Performance!$M$5:$M$404,BB370))</f>
        <v>0</v>
      </c>
      <c r="BE370" s="23">
        <f>IF(BB370="","",SUMIFS(Performance!$Z$5:$Z$404,Performance!$M$5:$M$404,BB370))</f>
        <v>0</v>
      </c>
      <c r="BF370" s="24">
        <f>IF(OR(BD370="",BD370=0),"",BE370/BD370)</f>
        <v>0</v>
      </c>
      <c r="BG370" s="32">
        <f>IF(BC370=0,"",IF(BF370="","",BF370+ROW()/1000000))</f>
        <v>0</v>
      </c>
      <c r="BH370" s="17">
        <f>IF(Performance!$C$370="","",Performance!$C$370)</f>
        <v>0</v>
      </c>
      <c r="BI370" s="17">
        <f>IF(Performance!$F$370="","",Performance!$F$370)</f>
        <v>0</v>
      </c>
      <c r="BJ370" s="17">
        <f>IF(Performance!$H$370="","",Performance!$H$370)</f>
        <v>0</v>
      </c>
      <c r="BK370" s="16">
        <f>IF(Performance!$D$370="","",Performance!$D$370)</f>
        <v>0</v>
      </c>
      <c r="BL370" s="17">
        <f>IF(Performance!$E$370="","",Performance!$E$370)</f>
        <v>0</v>
      </c>
      <c r="BM370" s="23">
        <f>IF(Performance!$O$370="","",Performance!$O$370)</f>
        <v>0</v>
      </c>
      <c r="BN370" s="24">
        <f>IF(Performance!$AA$370="","",Performance!$AA$370)</f>
        <v>0</v>
      </c>
      <c r="BO370" s="32">
        <f>IF(BH370="","",IF(BK370="","",IF(OR(BK370&lt;DashStart,BK370&gt;DashEnd),"",IF(BN370="","",BN370+ROW()/1000000))))</f>
        <v>0</v>
      </c>
      <c r="BP370" s="32">
        <f>IF(BM370="","",IF(BK370="","",IF(OR(BK370&lt;DashStart,BK370&gt;DashEnd),"",BM370+ROW()/1000000)))</f>
        <v>0</v>
      </c>
      <c r="BQ370" s="32">
        <f>IF(BH370="","",IF(BK370="","",IF(YEAR(BK370)&lt;&gt;PlanYear,"",IF(BN370="","",BN370+ROW()/1000000))))</f>
        <v>0</v>
      </c>
      <c r="BR370" s="32">
        <f>IF(BH370="","",IF(BK370="","",IF(OR(BK370&lt;RepFrom,BK370&gt;RepTo),"",IF(BN370="","",BN370+ROW()/1000000))))</f>
        <v>0</v>
      </c>
      <c r="BS370" s="32">
        <f>IF(BM370="","",IF(BK370="","",IF(YEAR(BK370)&lt;&gt;PlanYear,"",BM370+ROW()/1000000)))</f>
        <v>0</v>
      </c>
      <c r="BT370" s="17">
        <f>IF(Lists!$F370="","",Lists!$F370)</f>
        <v>0</v>
      </c>
      <c r="BU370" s="23">
        <f>IF(BT370="","",COUNTIF('Content Calendar'!$X$5:$X$604,BT370))</f>
        <v>0</v>
      </c>
      <c r="BV370" s="23">
        <f>IF(BT370="","",COUNTIFS('Content Calendar'!$X$5:$X$604,BT370,'Content Calendar'!$B$5:$B$604,"&gt;="&amp;DashStart,'Content Calendar'!$B$5:$B$604,"&lt;="&amp;DashEnd))</f>
        <v>0</v>
      </c>
      <c r="BW370" s="17">
        <f>IF(Team!$B$370="","",Team!$B$370)</f>
        <v>0</v>
      </c>
      <c r="BX370" s="23">
        <f>IF(BW370="","",COUNTIF('Content Calendar'!$W$5:$W$604,BW370))</f>
        <v>0</v>
      </c>
      <c r="BY370" s="23">
        <f>IF(BW370="","",COUNTIFS('Content Calendar'!$W$5:$W$604,BW370,'Content Calendar'!$X$5:$X$604,"&lt;&gt;Published"))</f>
        <v>0</v>
      </c>
      <c r="BZ370" s="23">
        <f>IF(BW370="","",COUNTIFS(Tasks!$C$5:$C$64,BW370,Tasks!$G$5:$G$64,"&lt;&gt;Complete"))</f>
        <v>0</v>
      </c>
      <c r="CA370" s="17">
        <f>IF(Campaigns!$B$370="","",Campaigns!$B$370)</f>
        <v>0</v>
      </c>
      <c r="CB370" s="25">
        <f>IF(Campaigns!$T$370="","",Campaigns!$T$370)</f>
        <v>0</v>
      </c>
      <c r="CC370" s="25">
        <f>IF(Campaigns!$Q$370="","",Campaigns!$Q$370)</f>
        <v>0</v>
      </c>
      <c r="CD370" s="23">
        <f>IF(Campaigns!$Y$370="","",Campaigns!$Y$370)</f>
        <v>0</v>
      </c>
      <c r="CE370" s="32">
        <f>IF(CA370="","",IF(N(CB370)&lt;=0,"",N(CB370)+ROW()/1000000))</f>
        <v>0</v>
      </c>
      <c r="CF370" s="17">
        <f>IF(Accounts!$C$370="","",Accounts!$C$370)</f>
        <v>0</v>
      </c>
      <c r="CG370" s="17">
        <f>IF(Accounts!$B$370="","",Accounts!$B$370)</f>
        <v>0</v>
      </c>
      <c r="CH370" s="23">
        <f>IF(Accounts!$J$370="","",Accounts!$J$370)</f>
        <v>0</v>
      </c>
      <c r="CI370" s="23">
        <f>IF(CF370="","",SUMIFS(Analytics!$X$5:$X$154,Analytics!$E$5:$E$154,CF370,Analytics!$B$5:$B$154,"&gt;="&amp;DashStart,Analytics!$B$5:$B$154,"&lt;="&amp;DashEnd))</f>
        <v>0</v>
      </c>
      <c r="CJ370" s="32">
        <f>IF(CH370="","",IF(CH370=0,"",CH370+ROW()/1000000))</f>
        <v>0</v>
      </c>
    </row>
    <row r="371" spans="1:88">
      <c r="A371" s="16">
        <f>IF(ROW()-4&gt;12,"",DATE(PlanYear,ROW()-4,1))</f>
        <v>0</v>
      </c>
      <c r="B371" s="16">
        <f>IF(A371="","",EOMONTH(A371,0))</f>
        <v>0</v>
      </c>
      <c r="C371" s="17">
        <f>IF(A371="","",TEXT(A371,"yyyy-mm"))</f>
        <v>0</v>
      </c>
      <c r="D371" s="17">
        <f>IF(A371="","",TEXT(A371,"mmm"))</f>
        <v>0</v>
      </c>
      <c r="E371" s="23">
        <f>IF(C371="","",COUNTIFS('Content Calendar'!$D$5:$D$604,C371))</f>
        <v>0</v>
      </c>
      <c r="F371" s="23">
        <f>IF(C371="","",COUNTIFS('Content Calendar'!$D$5:$D$604,C371,'Content Calendar'!$X$5:$X$604,"Published"))</f>
        <v>0</v>
      </c>
      <c r="G371" s="23">
        <f>IF(C371="","",SUMIFS(Analytics!$J$5:$J$154,Analytics!$C$5:$C$154,C371))</f>
        <v>0</v>
      </c>
      <c r="H371" s="23">
        <f>IF(C371="","",SUMIFS(Analytics!$K$5:$K$154,Analytics!$C$5:$C$154,C371))</f>
        <v>0</v>
      </c>
      <c r="I371" s="23">
        <f>IF(C371="","",SUMIFS(Analytics!$L$5:$L$154,Analytics!$C$5:$C$154,C371))</f>
        <v>0</v>
      </c>
      <c r="J371" s="24">
        <f>IF(OR(G371="",G371=0),"",I371/G371)</f>
        <v>0</v>
      </c>
      <c r="K371" s="23">
        <f>IF(C371="","",SUMIFS(Analytics!$G$5:$G$154,Analytics!$C$5:$C$154,C371))</f>
        <v>0</v>
      </c>
      <c r="L371" s="23">
        <f>IF(C371="","",SUMIFS(Analytics!$X$5:$X$154,Analytics!$C$5:$C$154,C371))</f>
        <v>0</v>
      </c>
      <c r="M371" s="23">
        <f>IF(C371="","",SUMIFS(Analytics!$R$5:$R$154,Analytics!$C$5:$C$154,C371))</f>
        <v>0</v>
      </c>
      <c r="N371" s="23">
        <f>IF(C371="","",SUMIFS(Analytics!$S$5:$S$154,Analytics!$C$5:$C$154,C371))</f>
        <v>0</v>
      </c>
      <c r="O371" s="23">
        <f>IF(C371="","",SUMIFS(Analytics!$T$5:$T$154,Analytics!$C$5:$C$154,C371))</f>
        <v>0</v>
      </c>
      <c r="P371" s="25">
        <f>IF(C371="","",SUMIFS(Analytics!$U$5:$U$154,Analytics!$C$5:$C$154,C371))</f>
        <v>0</v>
      </c>
      <c r="Q371" s="25">
        <f>IF(C371="","",SUMIFS(Budget!$H$5:$H$64,Budget!$C$5:$C$64,C371))</f>
        <v>0</v>
      </c>
      <c r="R371" s="25">
        <f>IF(C371="","",P371-Q371)</f>
        <v>0</v>
      </c>
      <c r="S371" s="23">
        <f>IF(C371="","",MonthlyPostTarget)</f>
        <v>0</v>
      </c>
      <c r="T371" s="17">
        <f>IF(Lists!$C371="","",Lists!$C371)</f>
        <v>0</v>
      </c>
      <c r="U371" s="23">
        <f>IF(T371="","",COUNTIFS('Content Calendar'!$G$5:$G$604,T371,'Content Calendar'!$B$5:$B$604,"&gt;="&amp;DashStart,'Content Calendar'!$B$5:$B$604,"&lt;="&amp;DashEnd))</f>
        <v>0</v>
      </c>
      <c r="V371" s="23">
        <f>IF(T371="","",COUNTIFS('Content Calendar'!$G$5:$G$604,T371,'Content Calendar'!$X$5:$X$604,"Published",'Content Calendar'!$B$5:$B$604,"&gt;="&amp;DashStart,'Content Calendar'!$B$5:$B$604,"&lt;="&amp;DashEnd))</f>
        <v>0</v>
      </c>
      <c r="W371" s="23">
        <f>IF(T371="","",SUMIFS(Analytics!$J$5:$J$154,Analytics!$D$5:$D$154,T371,Analytics!$B$5:$B$154,"&gt;="&amp;DashStart,Analytics!$B$5:$B$154,"&lt;="&amp;DashEnd))</f>
        <v>0</v>
      </c>
      <c r="X371" s="23">
        <f>IF(T371="","",SUMIFS(Analytics!$L$5:$L$154,Analytics!$D$5:$D$154,T371,Analytics!$B$5:$B$154,"&gt;="&amp;DashStart,Analytics!$B$5:$B$154,"&lt;="&amp;DashEnd))</f>
        <v>0</v>
      </c>
      <c r="Y371" s="24">
        <f>IF(OR(W371="",W371=0),"",X371/W371)</f>
        <v>0</v>
      </c>
      <c r="Z371" s="23">
        <f>IF(T371="","",SUMIFS(Analytics!$G$5:$G$154,Analytics!$D$5:$D$154,T371,Analytics!$B$5:$B$154,"&gt;="&amp;DashStart,Analytics!$B$5:$B$154,"&lt;="&amp;DashEnd))</f>
        <v>0</v>
      </c>
      <c r="AA371" s="23">
        <f>IF(T371="","",SUMIFS(Analytics!$X$5:$X$154,Analytics!$D$5:$D$154,T371,Analytics!$B$5:$B$154,"&gt;="&amp;DashStart,Analytics!$B$5:$B$154,"&lt;="&amp;DashEnd))</f>
        <v>0</v>
      </c>
      <c r="AB371" s="23">
        <f>IF(T371="","",SUMIFS(Analytics!$R$5:$R$154,Analytics!$D$5:$D$154,T371,Analytics!$B$5:$B$154,"&gt;="&amp;DashStart,Analytics!$B$5:$B$154,"&lt;="&amp;DashEnd))</f>
        <v>0</v>
      </c>
      <c r="AC371" s="25">
        <f>IF(T371="","",SUMIFS(Analytics!$U$5:$U$154,Analytics!$D$5:$D$154,T371,Analytics!$B$5:$B$154,"&gt;="&amp;DashStart,Analytics!$B$5:$B$154,"&lt;="&amp;DashEnd))</f>
        <v>0</v>
      </c>
      <c r="AD371" s="23">
        <f>IF(T371="","",COUNTIFS('Content Calendar'!$G$5:$G$604,T371,'Content Calendar'!$B$5:$B$604,"&gt;="&amp;DATE(PlanYear,1,1),'Content Calendar'!$B$5:$B$604,"&lt;="&amp;DATE(PlanYear,12,31)))</f>
        <v>0</v>
      </c>
      <c r="AE371" s="23">
        <f>IF(T371="","",SUMIFS(Analytics!$J$5:$J$154,Analytics!$D$5:$D$154,T371))</f>
        <v>0</v>
      </c>
      <c r="AF371" s="23">
        <f>IF(T371="","",SUMIFS(Analytics!$L$5:$L$154,Analytics!$D$5:$D$154,T371))</f>
        <v>0</v>
      </c>
      <c r="AG371" s="24">
        <f>IF(OR(AE371="",AE371=0),"",AF371/AE371)</f>
        <v>0</v>
      </c>
      <c r="AH371" s="23">
        <f>IF(T371="","",SUMIFS(Analytics!$X$5:$X$154,Analytics!$D$5:$D$154,T371))</f>
        <v>0</v>
      </c>
      <c r="AI371" s="32">
        <f>IF(T371="","",IF(AE371=0,"",AE371+ROW()/1000000))</f>
        <v>0</v>
      </c>
      <c r="AJ371" s="17">
        <f>IF('Content Pillars'!$B$371="","",'Content Pillars'!$B$371)</f>
        <v>0</v>
      </c>
      <c r="AK371" s="23">
        <f>IF(AJ371="","",COUNTIFS('Content Calendar'!$J$5:$J$604,AJ371,'Content Calendar'!$B$5:$B$604,"&gt;="&amp;DATE(PlanYear,1,1),'Content Calendar'!$B$5:$B$604,"&lt;="&amp;DATE(PlanYear,12,31)))</f>
        <v>0</v>
      </c>
      <c r="AL371" s="23">
        <f>IF(AJ371="","",SUMIFS(Performance!$O$5:$O$404,Performance!$H$5:$H$404,AJ371))</f>
        <v>0</v>
      </c>
      <c r="AM371" s="23">
        <f>IF(AJ371="","",SUMIFS(Performance!$Z$5:$Z$404,Performance!$H$5:$H$404,AJ371))</f>
        <v>0</v>
      </c>
      <c r="AN371" s="24">
        <f>IF(OR(AL371="",AL371=0),"",AM371/AL371)</f>
        <v>0</v>
      </c>
      <c r="AO371" s="32">
        <f>IF(AN371="","",AN371+ROW()/1000000)</f>
        <v>0</v>
      </c>
      <c r="AP371" s="17">
        <f>IF(Lists!$E371="","",Lists!$E371)</f>
        <v>0</v>
      </c>
      <c r="AQ371" s="23">
        <f>IF(AP371="","",COUNTIF(Performance!$G$5:$G$404,AP371))</f>
        <v>0</v>
      </c>
      <c r="AR371" s="23">
        <f>IF(AP371="","",SUMIFS(Performance!$O$5:$O$404,Performance!$G$5:$G$404,AP371))</f>
        <v>0</v>
      </c>
      <c r="AS371" s="23">
        <f>IF(AP371="","",SUMIFS(Performance!$Z$5:$Z$404,Performance!$G$5:$G$404,AP371))</f>
        <v>0</v>
      </c>
      <c r="AT371" s="24">
        <f>IF(OR(AR371="",AR371=0),"",AS371/AR371)</f>
        <v>0</v>
      </c>
      <c r="AU371" s="32">
        <f>IF(AQ371=0,"",IF(AT371="","",AT371+ROW()/1000000))</f>
        <v>0</v>
      </c>
      <c r="AV371" s="17">
        <f>IF(ROW()-4&gt;7,"",TEXT(DATE(2024,1,ROW()-4),"ddd"))</f>
        <v>0</v>
      </c>
      <c r="AW371" s="23">
        <f>IF(AV371="","",COUNTIF(Performance!$N$5:$N$404,AV371))</f>
        <v>0</v>
      </c>
      <c r="AX371" s="23">
        <f>IF(AV371="","",SUMIFS(Performance!$O$5:$O$404,Performance!$N$5:$N$404,AV371))</f>
        <v>0</v>
      </c>
      <c r="AY371" s="23">
        <f>IF(AV371="","",SUMIFS(Performance!$Z$5:$Z$404,Performance!$N$5:$N$404,AV371))</f>
        <v>0</v>
      </c>
      <c r="AZ371" s="24">
        <f>IF(OR(AX371="",AX371=0),"",AY371/AX371)</f>
        <v>0</v>
      </c>
      <c r="BA371" s="32">
        <f>IF(AW371=0,"",IF(AZ371="","",AZ371+ROW()/1000000))</f>
        <v>0</v>
      </c>
      <c r="BB371" s="17">
        <f>IF(Lists!$AL371="","",Lists!$AL371)</f>
        <v>0</v>
      </c>
      <c r="BC371" s="23">
        <f>IF(BB371="","",COUNTIF(Performance!$M$5:$M$404,BB371))</f>
        <v>0</v>
      </c>
      <c r="BD371" s="23">
        <f>IF(BB371="","",SUMIFS(Performance!$O$5:$O$404,Performance!$M$5:$M$404,BB371))</f>
        <v>0</v>
      </c>
      <c r="BE371" s="23">
        <f>IF(BB371="","",SUMIFS(Performance!$Z$5:$Z$404,Performance!$M$5:$M$404,BB371))</f>
        <v>0</v>
      </c>
      <c r="BF371" s="24">
        <f>IF(OR(BD371="",BD371=0),"",BE371/BD371)</f>
        <v>0</v>
      </c>
      <c r="BG371" s="32">
        <f>IF(BC371=0,"",IF(BF371="","",BF371+ROW()/1000000))</f>
        <v>0</v>
      </c>
      <c r="BH371" s="17">
        <f>IF(Performance!$C$371="","",Performance!$C$371)</f>
        <v>0</v>
      </c>
      <c r="BI371" s="17">
        <f>IF(Performance!$F$371="","",Performance!$F$371)</f>
        <v>0</v>
      </c>
      <c r="BJ371" s="17">
        <f>IF(Performance!$H$371="","",Performance!$H$371)</f>
        <v>0</v>
      </c>
      <c r="BK371" s="16">
        <f>IF(Performance!$D$371="","",Performance!$D$371)</f>
        <v>0</v>
      </c>
      <c r="BL371" s="17">
        <f>IF(Performance!$E$371="","",Performance!$E$371)</f>
        <v>0</v>
      </c>
      <c r="BM371" s="23">
        <f>IF(Performance!$O$371="","",Performance!$O$371)</f>
        <v>0</v>
      </c>
      <c r="BN371" s="24">
        <f>IF(Performance!$AA$371="","",Performance!$AA$371)</f>
        <v>0</v>
      </c>
      <c r="BO371" s="32">
        <f>IF(BH371="","",IF(BK371="","",IF(OR(BK371&lt;DashStart,BK371&gt;DashEnd),"",IF(BN371="","",BN371+ROW()/1000000))))</f>
        <v>0</v>
      </c>
      <c r="BP371" s="32">
        <f>IF(BM371="","",IF(BK371="","",IF(OR(BK371&lt;DashStart,BK371&gt;DashEnd),"",BM371+ROW()/1000000)))</f>
        <v>0</v>
      </c>
      <c r="BQ371" s="32">
        <f>IF(BH371="","",IF(BK371="","",IF(YEAR(BK371)&lt;&gt;PlanYear,"",IF(BN371="","",BN371+ROW()/1000000))))</f>
        <v>0</v>
      </c>
      <c r="BR371" s="32">
        <f>IF(BH371="","",IF(BK371="","",IF(OR(BK371&lt;RepFrom,BK371&gt;RepTo),"",IF(BN371="","",BN371+ROW()/1000000))))</f>
        <v>0</v>
      </c>
      <c r="BS371" s="32">
        <f>IF(BM371="","",IF(BK371="","",IF(YEAR(BK371)&lt;&gt;PlanYear,"",BM371+ROW()/1000000)))</f>
        <v>0</v>
      </c>
      <c r="BT371" s="17">
        <f>IF(Lists!$F371="","",Lists!$F371)</f>
        <v>0</v>
      </c>
      <c r="BU371" s="23">
        <f>IF(BT371="","",COUNTIF('Content Calendar'!$X$5:$X$604,BT371))</f>
        <v>0</v>
      </c>
      <c r="BV371" s="23">
        <f>IF(BT371="","",COUNTIFS('Content Calendar'!$X$5:$X$604,BT371,'Content Calendar'!$B$5:$B$604,"&gt;="&amp;DashStart,'Content Calendar'!$B$5:$B$604,"&lt;="&amp;DashEnd))</f>
        <v>0</v>
      </c>
      <c r="BW371" s="17">
        <f>IF(Team!$B$371="","",Team!$B$371)</f>
        <v>0</v>
      </c>
      <c r="BX371" s="23">
        <f>IF(BW371="","",COUNTIF('Content Calendar'!$W$5:$W$604,BW371))</f>
        <v>0</v>
      </c>
      <c r="BY371" s="23">
        <f>IF(BW371="","",COUNTIFS('Content Calendar'!$W$5:$W$604,BW371,'Content Calendar'!$X$5:$X$604,"&lt;&gt;Published"))</f>
        <v>0</v>
      </c>
      <c r="BZ371" s="23">
        <f>IF(BW371="","",COUNTIFS(Tasks!$C$5:$C$64,BW371,Tasks!$G$5:$G$64,"&lt;&gt;Complete"))</f>
        <v>0</v>
      </c>
      <c r="CA371" s="17">
        <f>IF(Campaigns!$B$371="","",Campaigns!$B$371)</f>
        <v>0</v>
      </c>
      <c r="CB371" s="25">
        <f>IF(Campaigns!$T$371="","",Campaigns!$T$371)</f>
        <v>0</v>
      </c>
      <c r="CC371" s="25">
        <f>IF(Campaigns!$Q$371="","",Campaigns!$Q$371)</f>
        <v>0</v>
      </c>
      <c r="CD371" s="23">
        <f>IF(Campaigns!$Y$371="","",Campaigns!$Y$371)</f>
        <v>0</v>
      </c>
      <c r="CE371" s="32">
        <f>IF(CA371="","",IF(N(CB371)&lt;=0,"",N(CB371)+ROW()/1000000))</f>
        <v>0</v>
      </c>
      <c r="CF371" s="17">
        <f>IF(Accounts!$C$371="","",Accounts!$C$371)</f>
        <v>0</v>
      </c>
      <c r="CG371" s="17">
        <f>IF(Accounts!$B$371="","",Accounts!$B$371)</f>
        <v>0</v>
      </c>
      <c r="CH371" s="23">
        <f>IF(Accounts!$J$371="","",Accounts!$J$371)</f>
        <v>0</v>
      </c>
      <c r="CI371" s="23">
        <f>IF(CF371="","",SUMIFS(Analytics!$X$5:$X$154,Analytics!$E$5:$E$154,CF371,Analytics!$B$5:$B$154,"&gt;="&amp;DashStart,Analytics!$B$5:$B$154,"&lt;="&amp;DashEnd))</f>
        <v>0</v>
      </c>
      <c r="CJ371" s="32">
        <f>IF(CH371="","",IF(CH371=0,"",CH371+ROW()/1000000))</f>
        <v>0</v>
      </c>
    </row>
    <row r="372" spans="1:88">
      <c r="A372" s="16">
        <f>IF(ROW()-4&gt;12,"",DATE(PlanYear,ROW()-4,1))</f>
        <v>0</v>
      </c>
      <c r="B372" s="16">
        <f>IF(A372="","",EOMONTH(A372,0))</f>
        <v>0</v>
      </c>
      <c r="C372" s="17">
        <f>IF(A372="","",TEXT(A372,"yyyy-mm"))</f>
        <v>0</v>
      </c>
      <c r="D372" s="17">
        <f>IF(A372="","",TEXT(A372,"mmm"))</f>
        <v>0</v>
      </c>
      <c r="E372" s="23">
        <f>IF(C372="","",COUNTIFS('Content Calendar'!$D$5:$D$604,C372))</f>
        <v>0</v>
      </c>
      <c r="F372" s="23">
        <f>IF(C372="","",COUNTIFS('Content Calendar'!$D$5:$D$604,C372,'Content Calendar'!$X$5:$X$604,"Published"))</f>
        <v>0</v>
      </c>
      <c r="G372" s="23">
        <f>IF(C372="","",SUMIFS(Analytics!$J$5:$J$154,Analytics!$C$5:$C$154,C372))</f>
        <v>0</v>
      </c>
      <c r="H372" s="23">
        <f>IF(C372="","",SUMIFS(Analytics!$K$5:$K$154,Analytics!$C$5:$C$154,C372))</f>
        <v>0</v>
      </c>
      <c r="I372" s="23">
        <f>IF(C372="","",SUMIFS(Analytics!$L$5:$L$154,Analytics!$C$5:$C$154,C372))</f>
        <v>0</v>
      </c>
      <c r="J372" s="24">
        <f>IF(OR(G372="",G372=0),"",I372/G372)</f>
        <v>0</v>
      </c>
      <c r="K372" s="23">
        <f>IF(C372="","",SUMIFS(Analytics!$G$5:$G$154,Analytics!$C$5:$C$154,C372))</f>
        <v>0</v>
      </c>
      <c r="L372" s="23">
        <f>IF(C372="","",SUMIFS(Analytics!$X$5:$X$154,Analytics!$C$5:$C$154,C372))</f>
        <v>0</v>
      </c>
      <c r="M372" s="23">
        <f>IF(C372="","",SUMIFS(Analytics!$R$5:$R$154,Analytics!$C$5:$C$154,C372))</f>
        <v>0</v>
      </c>
      <c r="N372" s="23">
        <f>IF(C372="","",SUMIFS(Analytics!$S$5:$S$154,Analytics!$C$5:$C$154,C372))</f>
        <v>0</v>
      </c>
      <c r="O372" s="23">
        <f>IF(C372="","",SUMIFS(Analytics!$T$5:$T$154,Analytics!$C$5:$C$154,C372))</f>
        <v>0</v>
      </c>
      <c r="P372" s="25">
        <f>IF(C372="","",SUMIFS(Analytics!$U$5:$U$154,Analytics!$C$5:$C$154,C372))</f>
        <v>0</v>
      </c>
      <c r="Q372" s="25">
        <f>IF(C372="","",SUMIFS(Budget!$H$5:$H$64,Budget!$C$5:$C$64,C372))</f>
        <v>0</v>
      </c>
      <c r="R372" s="25">
        <f>IF(C372="","",P372-Q372)</f>
        <v>0</v>
      </c>
      <c r="S372" s="23">
        <f>IF(C372="","",MonthlyPostTarget)</f>
        <v>0</v>
      </c>
      <c r="T372" s="17">
        <f>IF(Lists!$C372="","",Lists!$C372)</f>
        <v>0</v>
      </c>
      <c r="U372" s="23">
        <f>IF(T372="","",COUNTIFS('Content Calendar'!$G$5:$G$604,T372,'Content Calendar'!$B$5:$B$604,"&gt;="&amp;DashStart,'Content Calendar'!$B$5:$B$604,"&lt;="&amp;DashEnd))</f>
        <v>0</v>
      </c>
      <c r="V372" s="23">
        <f>IF(T372="","",COUNTIFS('Content Calendar'!$G$5:$G$604,T372,'Content Calendar'!$X$5:$X$604,"Published",'Content Calendar'!$B$5:$B$604,"&gt;="&amp;DashStart,'Content Calendar'!$B$5:$B$604,"&lt;="&amp;DashEnd))</f>
        <v>0</v>
      </c>
      <c r="W372" s="23">
        <f>IF(T372="","",SUMIFS(Analytics!$J$5:$J$154,Analytics!$D$5:$D$154,T372,Analytics!$B$5:$B$154,"&gt;="&amp;DashStart,Analytics!$B$5:$B$154,"&lt;="&amp;DashEnd))</f>
        <v>0</v>
      </c>
      <c r="X372" s="23">
        <f>IF(T372="","",SUMIFS(Analytics!$L$5:$L$154,Analytics!$D$5:$D$154,T372,Analytics!$B$5:$B$154,"&gt;="&amp;DashStart,Analytics!$B$5:$B$154,"&lt;="&amp;DashEnd))</f>
        <v>0</v>
      </c>
      <c r="Y372" s="24">
        <f>IF(OR(W372="",W372=0),"",X372/W372)</f>
        <v>0</v>
      </c>
      <c r="Z372" s="23">
        <f>IF(T372="","",SUMIFS(Analytics!$G$5:$G$154,Analytics!$D$5:$D$154,T372,Analytics!$B$5:$B$154,"&gt;="&amp;DashStart,Analytics!$B$5:$B$154,"&lt;="&amp;DashEnd))</f>
        <v>0</v>
      </c>
      <c r="AA372" s="23">
        <f>IF(T372="","",SUMIFS(Analytics!$X$5:$X$154,Analytics!$D$5:$D$154,T372,Analytics!$B$5:$B$154,"&gt;="&amp;DashStart,Analytics!$B$5:$B$154,"&lt;="&amp;DashEnd))</f>
        <v>0</v>
      </c>
      <c r="AB372" s="23">
        <f>IF(T372="","",SUMIFS(Analytics!$R$5:$R$154,Analytics!$D$5:$D$154,T372,Analytics!$B$5:$B$154,"&gt;="&amp;DashStart,Analytics!$B$5:$B$154,"&lt;="&amp;DashEnd))</f>
        <v>0</v>
      </c>
      <c r="AC372" s="25">
        <f>IF(T372="","",SUMIFS(Analytics!$U$5:$U$154,Analytics!$D$5:$D$154,T372,Analytics!$B$5:$B$154,"&gt;="&amp;DashStart,Analytics!$B$5:$B$154,"&lt;="&amp;DashEnd))</f>
        <v>0</v>
      </c>
      <c r="AD372" s="23">
        <f>IF(T372="","",COUNTIFS('Content Calendar'!$G$5:$G$604,T372,'Content Calendar'!$B$5:$B$604,"&gt;="&amp;DATE(PlanYear,1,1),'Content Calendar'!$B$5:$B$604,"&lt;="&amp;DATE(PlanYear,12,31)))</f>
        <v>0</v>
      </c>
      <c r="AE372" s="23">
        <f>IF(T372="","",SUMIFS(Analytics!$J$5:$J$154,Analytics!$D$5:$D$154,T372))</f>
        <v>0</v>
      </c>
      <c r="AF372" s="23">
        <f>IF(T372="","",SUMIFS(Analytics!$L$5:$L$154,Analytics!$D$5:$D$154,T372))</f>
        <v>0</v>
      </c>
      <c r="AG372" s="24">
        <f>IF(OR(AE372="",AE372=0),"",AF372/AE372)</f>
        <v>0</v>
      </c>
      <c r="AH372" s="23">
        <f>IF(T372="","",SUMIFS(Analytics!$X$5:$X$154,Analytics!$D$5:$D$154,T372))</f>
        <v>0</v>
      </c>
      <c r="AI372" s="32">
        <f>IF(T372="","",IF(AE372=0,"",AE372+ROW()/1000000))</f>
        <v>0</v>
      </c>
      <c r="AJ372" s="17">
        <f>IF('Content Pillars'!$B$372="","",'Content Pillars'!$B$372)</f>
        <v>0</v>
      </c>
      <c r="AK372" s="23">
        <f>IF(AJ372="","",COUNTIFS('Content Calendar'!$J$5:$J$604,AJ372,'Content Calendar'!$B$5:$B$604,"&gt;="&amp;DATE(PlanYear,1,1),'Content Calendar'!$B$5:$B$604,"&lt;="&amp;DATE(PlanYear,12,31)))</f>
        <v>0</v>
      </c>
      <c r="AL372" s="23">
        <f>IF(AJ372="","",SUMIFS(Performance!$O$5:$O$404,Performance!$H$5:$H$404,AJ372))</f>
        <v>0</v>
      </c>
      <c r="AM372" s="23">
        <f>IF(AJ372="","",SUMIFS(Performance!$Z$5:$Z$404,Performance!$H$5:$H$404,AJ372))</f>
        <v>0</v>
      </c>
      <c r="AN372" s="24">
        <f>IF(OR(AL372="",AL372=0),"",AM372/AL372)</f>
        <v>0</v>
      </c>
      <c r="AO372" s="32">
        <f>IF(AN372="","",AN372+ROW()/1000000)</f>
        <v>0</v>
      </c>
      <c r="AP372" s="17">
        <f>IF(Lists!$E372="","",Lists!$E372)</f>
        <v>0</v>
      </c>
      <c r="AQ372" s="23">
        <f>IF(AP372="","",COUNTIF(Performance!$G$5:$G$404,AP372))</f>
        <v>0</v>
      </c>
      <c r="AR372" s="23">
        <f>IF(AP372="","",SUMIFS(Performance!$O$5:$O$404,Performance!$G$5:$G$404,AP372))</f>
        <v>0</v>
      </c>
      <c r="AS372" s="23">
        <f>IF(AP372="","",SUMIFS(Performance!$Z$5:$Z$404,Performance!$G$5:$G$404,AP372))</f>
        <v>0</v>
      </c>
      <c r="AT372" s="24">
        <f>IF(OR(AR372="",AR372=0),"",AS372/AR372)</f>
        <v>0</v>
      </c>
      <c r="AU372" s="32">
        <f>IF(AQ372=0,"",IF(AT372="","",AT372+ROW()/1000000))</f>
        <v>0</v>
      </c>
      <c r="AV372" s="17">
        <f>IF(ROW()-4&gt;7,"",TEXT(DATE(2024,1,ROW()-4),"ddd"))</f>
        <v>0</v>
      </c>
      <c r="AW372" s="23">
        <f>IF(AV372="","",COUNTIF(Performance!$N$5:$N$404,AV372))</f>
        <v>0</v>
      </c>
      <c r="AX372" s="23">
        <f>IF(AV372="","",SUMIFS(Performance!$O$5:$O$404,Performance!$N$5:$N$404,AV372))</f>
        <v>0</v>
      </c>
      <c r="AY372" s="23">
        <f>IF(AV372="","",SUMIFS(Performance!$Z$5:$Z$404,Performance!$N$5:$N$404,AV372))</f>
        <v>0</v>
      </c>
      <c r="AZ372" s="24">
        <f>IF(OR(AX372="",AX372=0),"",AY372/AX372)</f>
        <v>0</v>
      </c>
      <c r="BA372" s="32">
        <f>IF(AW372=0,"",IF(AZ372="","",AZ372+ROW()/1000000))</f>
        <v>0</v>
      </c>
      <c r="BB372" s="17">
        <f>IF(Lists!$AL372="","",Lists!$AL372)</f>
        <v>0</v>
      </c>
      <c r="BC372" s="23">
        <f>IF(BB372="","",COUNTIF(Performance!$M$5:$M$404,BB372))</f>
        <v>0</v>
      </c>
      <c r="BD372" s="23">
        <f>IF(BB372="","",SUMIFS(Performance!$O$5:$O$404,Performance!$M$5:$M$404,BB372))</f>
        <v>0</v>
      </c>
      <c r="BE372" s="23">
        <f>IF(BB372="","",SUMIFS(Performance!$Z$5:$Z$404,Performance!$M$5:$M$404,BB372))</f>
        <v>0</v>
      </c>
      <c r="BF372" s="24">
        <f>IF(OR(BD372="",BD372=0),"",BE372/BD372)</f>
        <v>0</v>
      </c>
      <c r="BG372" s="32">
        <f>IF(BC372=0,"",IF(BF372="","",BF372+ROW()/1000000))</f>
        <v>0</v>
      </c>
      <c r="BH372" s="17">
        <f>IF(Performance!$C$372="","",Performance!$C$372)</f>
        <v>0</v>
      </c>
      <c r="BI372" s="17">
        <f>IF(Performance!$F$372="","",Performance!$F$372)</f>
        <v>0</v>
      </c>
      <c r="BJ372" s="17">
        <f>IF(Performance!$H$372="","",Performance!$H$372)</f>
        <v>0</v>
      </c>
      <c r="BK372" s="16">
        <f>IF(Performance!$D$372="","",Performance!$D$372)</f>
        <v>0</v>
      </c>
      <c r="BL372" s="17">
        <f>IF(Performance!$E$372="","",Performance!$E$372)</f>
        <v>0</v>
      </c>
      <c r="BM372" s="23">
        <f>IF(Performance!$O$372="","",Performance!$O$372)</f>
        <v>0</v>
      </c>
      <c r="BN372" s="24">
        <f>IF(Performance!$AA$372="","",Performance!$AA$372)</f>
        <v>0</v>
      </c>
      <c r="BO372" s="32">
        <f>IF(BH372="","",IF(BK372="","",IF(OR(BK372&lt;DashStart,BK372&gt;DashEnd),"",IF(BN372="","",BN372+ROW()/1000000))))</f>
        <v>0</v>
      </c>
      <c r="BP372" s="32">
        <f>IF(BM372="","",IF(BK372="","",IF(OR(BK372&lt;DashStart,BK372&gt;DashEnd),"",BM372+ROW()/1000000)))</f>
        <v>0</v>
      </c>
      <c r="BQ372" s="32">
        <f>IF(BH372="","",IF(BK372="","",IF(YEAR(BK372)&lt;&gt;PlanYear,"",IF(BN372="","",BN372+ROW()/1000000))))</f>
        <v>0</v>
      </c>
      <c r="BR372" s="32">
        <f>IF(BH372="","",IF(BK372="","",IF(OR(BK372&lt;RepFrom,BK372&gt;RepTo),"",IF(BN372="","",BN372+ROW()/1000000))))</f>
        <v>0</v>
      </c>
      <c r="BS372" s="32">
        <f>IF(BM372="","",IF(BK372="","",IF(YEAR(BK372)&lt;&gt;PlanYear,"",BM372+ROW()/1000000)))</f>
        <v>0</v>
      </c>
      <c r="BT372" s="17">
        <f>IF(Lists!$F372="","",Lists!$F372)</f>
        <v>0</v>
      </c>
      <c r="BU372" s="23">
        <f>IF(BT372="","",COUNTIF('Content Calendar'!$X$5:$X$604,BT372))</f>
        <v>0</v>
      </c>
      <c r="BV372" s="23">
        <f>IF(BT372="","",COUNTIFS('Content Calendar'!$X$5:$X$604,BT372,'Content Calendar'!$B$5:$B$604,"&gt;="&amp;DashStart,'Content Calendar'!$B$5:$B$604,"&lt;="&amp;DashEnd))</f>
        <v>0</v>
      </c>
      <c r="BW372" s="17">
        <f>IF(Team!$B$372="","",Team!$B$372)</f>
        <v>0</v>
      </c>
      <c r="BX372" s="23">
        <f>IF(BW372="","",COUNTIF('Content Calendar'!$W$5:$W$604,BW372))</f>
        <v>0</v>
      </c>
      <c r="BY372" s="23">
        <f>IF(BW372="","",COUNTIFS('Content Calendar'!$W$5:$W$604,BW372,'Content Calendar'!$X$5:$X$604,"&lt;&gt;Published"))</f>
        <v>0</v>
      </c>
      <c r="BZ372" s="23">
        <f>IF(BW372="","",COUNTIFS(Tasks!$C$5:$C$64,BW372,Tasks!$G$5:$G$64,"&lt;&gt;Complete"))</f>
        <v>0</v>
      </c>
      <c r="CA372" s="17">
        <f>IF(Campaigns!$B$372="","",Campaigns!$B$372)</f>
        <v>0</v>
      </c>
      <c r="CB372" s="25">
        <f>IF(Campaigns!$T$372="","",Campaigns!$T$372)</f>
        <v>0</v>
      </c>
      <c r="CC372" s="25">
        <f>IF(Campaigns!$Q$372="","",Campaigns!$Q$372)</f>
        <v>0</v>
      </c>
      <c r="CD372" s="23">
        <f>IF(Campaigns!$Y$372="","",Campaigns!$Y$372)</f>
        <v>0</v>
      </c>
      <c r="CE372" s="32">
        <f>IF(CA372="","",IF(N(CB372)&lt;=0,"",N(CB372)+ROW()/1000000))</f>
        <v>0</v>
      </c>
      <c r="CF372" s="17">
        <f>IF(Accounts!$C$372="","",Accounts!$C$372)</f>
        <v>0</v>
      </c>
      <c r="CG372" s="17">
        <f>IF(Accounts!$B$372="","",Accounts!$B$372)</f>
        <v>0</v>
      </c>
      <c r="CH372" s="23">
        <f>IF(Accounts!$J$372="","",Accounts!$J$372)</f>
        <v>0</v>
      </c>
      <c r="CI372" s="23">
        <f>IF(CF372="","",SUMIFS(Analytics!$X$5:$X$154,Analytics!$E$5:$E$154,CF372,Analytics!$B$5:$B$154,"&gt;="&amp;DashStart,Analytics!$B$5:$B$154,"&lt;="&amp;DashEnd))</f>
        <v>0</v>
      </c>
      <c r="CJ372" s="32">
        <f>IF(CH372="","",IF(CH372=0,"",CH372+ROW()/1000000))</f>
        <v>0</v>
      </c>
    </row>
    <row r="373" spans="1:88">
      <c r="A373" s="16">
        <f>IF(ROW()-4&gt;12,"",DATE(PlanYear,ROW()-4,1))</f>
        <v>0</v>
      </c>
      <c r="B373" s="16">
        <f>IF(A373="","",EOMONTH(A373,0))</f>
        <v>0</v>
      </c>
      <c r="C373" s="17">
        <f>IF(A373="","",TEXT(A373,"yyyy-mm"))</f>
        <v>0</v>
      </c>
      <c r="D373" s="17">
        <f>IF(A373="","",TEXT(A373,"mmm"))</f>
        <v>0</v>
      </c>
      <c r="E373" s="23">
        <f>IF(C373="","",COUNTIFS('Content Calendar'!$D$5:$D$604,C373))</f>
        <v>0</v>
      </c>
      <c r="F373" s="23">
        <f>IF(C373="","",COUNTIFS('Content Calendar'!$D$5:$D$604,C373,'Content Calendar'!$X$5:$X$604,"Published"))</f>
        <v>0</v>
      </c>
      <c r="G373" s="23">
        <f>IF(C373="","",SUMIFS(Analytics!$J$5:$J$154,Analytics!$C$5:$C$154,C373))</f>
        <v>0</v>
      </c>
      <c r="H373" s="23">
        <f>IF(C373="","",SUMIFS(Analytics!$K$5:$K$154,Analytics!$C$5:$C$154,C373))</f>
        <v>0</v>
      </c>
      <c r="I373" s="23">
        <f>IF(C373="","",SUMIFS(Analytics!$L$5:$L$154,Analytics!$C$5:$C$154,C373))</f>
        <v>0</v>
      </c>
      <c r="J373" s="24">
        <f>IF(OR(G373="",G373=0),"",I373/G373)</f>
        <v>0</v>
      </c>
      <c r="K373" s="23">
        <f>IF(C373="","",SUMIFS(Analytics!$G$5:$G$154,Analytics!$C$5:$C$154,C373))</f>
        <v>0</v>
      </c>
      <c r="L373" s="23">
        <f>IF(C373="","",SUMIFS(Analytics!$X$5:$X$154,Analytics!$C$5:$C$154,C373))</f>
        <v>0</v>
      </c>
      <c r="M373" s="23">
        <f>IF(C373="","",SUMIFS(Analytics!$R$5:$R$154,Analytics!$C$5:$C$154,C373))</f>
        <v>0</v>
      </c>
      <c r="N373" s="23">
        <f>IF(C373="","",SUMIFS(Analytics!$S$5:$S$154,Analytics!$C$5:$C$154,C373))</f>
        <v>0</v>
      </c>
      <c r="O373" s="23">
        <f>IF(C373="","",SUMIFS(Analytics!$T$5:$T$154,Analytics!$C$5:$C$154,C373))</f>
        <v>0</v>
      </c>
      <c r="P373" s="25">
        <f>IF(C373="","",SUMIFS(Analytics!$U$5:$U$154,Analytics!$C$5:$C$154,C373))</f>
        <v>0</v>
      </c>
      <c r="Q373" s="25">
        <f>IF(C373="","",SUMIFS(Budget!$H$5:$H$64,Budget!$C$5:$C$64,C373))</f>
        <v>0</v>
      </c>
      <c r="R373" s="25">
        <f>IF(C373="","",P373-Q373)</f>
        <v>0</v>
      </c>
      <c r="S373" s="23">
        <f>IF(C373="","",MonthlyPostTarget)</f>
        <v>0</v>
      </c>
      <c r="T373" s="17">
        <f>IF(Lists!$C373="","",Lists!$C373)</f>
        <v>0</v>
      </c>
      <c r="U373" s="23">
        <f>IF(T373="","",COUNTIFS('Content Calendar'!$G$5:$G$604,T373,'Content Calendar'!$B$5:$B$604,"&gt;="&amp;DashStart,'Content Calendar'!$B$5:$B$604,"&lt;="&amp;DashEnd))</f>
        <v>0</v>
      </c>
      <c r="V373" s="23">
        <f>IF(T373="","",COUNTIFS('Content Calendar'!$G$5:$G$604,T373,'Content Calendar'!$X$5:$X$604,"Published",'Content Calendar'!$B$5:$B$604,"&gt;="&amp;DashStart,'Content Calendar'!$B$5:$B$604,"&lt;="&amp;DashEnd))</f>
        <v>0</v>
      </c>
      <c r="W373" s="23">
        <f>IF(T373="","",SUMIFS(Analytics!$J$5:$J$154,Analytics!$D$5:$D$154,T373,Analytics!$B$5:$B$154,"&gt;="&amp;DashStart,Analytics!$B$5:$B$154,"&lt;="&amp;DashEnd))</f>
        <v>0</v>
      </c>
      <c r="X373" s="23">
        <f>IF(T373="","",SUMIFS(Analytics!$L$5:$L$154,Analytics!$D$5:$D$154,T373,Analytics!$B$5:$B$154,"&gt;="&amp;DashStart,Analytics!$B$5:$B$154,"&lt;="&amp;DashEnd))</f>
        <v>0</v>
      </c>
      <c r="Y373" s="24">
        <f>IF(OR(W373="",W373=0),"",X373/W373)</f>
        <v>0</v>
      </c>
      <c r="Z373" s="23">
        <f>IF(T373="","",SUMIFS(Analytics!$G$5:$G$154,Analytics!$D$5:$D$154,T373,Analytics!$B$5:$B$154,"&gt;="&amp;DashStart,Analytics!$B$5:$B$154,"&lt;="&amp;DashEnd))</f>
        <v>0</v>
      </c>
      <c r="AA373" s="23">
        <f>IF(T373="","",SUMIFS(Analytics!$X$5:$X$154,Analytics!$D$5:$D$154,T373,Analytics!$B$5:$B$154,"&gt;="&amp;DashStart,Analytics!$B$5:$B$154,"&lt;="&amp;DashEnd))</f>
        <v>0</v>
      </c>
      <c r="AB373" s="23">
        <f>IF(T373="","",SUMIFS(Analytics!$R$5:$R$154,Analytics!$D$5:$D$154,T373,Analytics!$B$5:$B$154,"&gt;="&amp;DashStart,Analytics!$B$5:$B$154,"&lt;="&amp;DashEnd))</f>
        <v>0</v>
      </c>
      <c r="AC373" s="25">
        <f>IF(T373="","",SUMIFS(Analytics!$U$5:$U$154,Analytics!$D$5:$D$154,T373,Analytics!$B$5:$B$154,"&gt;="&amp;DashStart,Analytics!$B$5:$B$154,"&lt;="&amp;DashEnd))</f>
        <v>0</v>
      </c>
      <c r="AD373" s="23">
        <f>IF(T373="","",COUNTIFS('Content Calendar'!$G$5:$G$604,T373,'Content Calendar'!$B$5:$B$604,"&gt;="&amp;DATE(PlanYear,1,1),'Content Calendar'!$B$5:$B$604,"&lt;="&amp;DATE(PlanYear,12,31)))</f>
        <v>0</v>
      </c>
      <c r="AE373" s="23">
        <f>IF(T373="","",SUMIFS(Analytics!$J$5:$J$154,Analytics!$D$5:$D$154,T373))</f>
        <v>0</v>
      </c>
      <c r="AF373" s="23">
        <f>IF(T373="","",SUMIFS(Analytics!$L$5:$L$154,Analytics!$D$5:$D$154,T373))</f>
        <v>0</v>
      </c>
      <c r="AG373" s="24">
        <f>IF(OR(AE373="",AE373=0),"",AF373/AE373)</f>
        <v>0</v>
      </c>
      <c r="AH373" s="23">
        <f>IF(T373="","",SUMIFS(Analytics!$X$5:$X$154,Analytics!$D$5:$D$154,T373))</f>
        <v>0</v>
      </c>
      <c r="AI373" s="32">
        <f>IF(T373="","",IF(AE373=0,"",AE373+ROW()/1000000))</f>
        <v>0</v>
      </c>
      <c r="AJ373" s="17">
        <f>IF('Content Pillars'!$B$373="","",'Content Pillars'!$B$373)</f>
        <v>0</v>
      </c>
      <c r="AK373" s="23">
        <f>IF(AJ373="","",COUNTIFS('Content Calendar'!$J$5:$J$604,AJ373,'Content Calendar'!$B$5:$B$604,"&gt;="&amp;DATE(PlanYear,1,1),'Content Calendar'!$B$5:$B$604,"&lt;="&amp;DATE(PlanYear,12,31)))</f>
        <v>0</v>
      </c>
      <c r="AL373" s="23">
        <f>IF(AJ373="","",SUMIFS(Performance!$O$5:$O$404,Performance!$H$5:$H$404,AJ373))</f>
        <v>0</v>
      </c>
      <c r="AM373" s="23">
        <f>IF(AJ373="","",SUMIFS(Performance!$Z$5:$Z$404,Performance!$H$5:$H$404,AJ373))</f>
        <v>0</v>
      </c>
      <c r="AN373" s="24">
        <f>IF(OR(AL373="",AL373=0),"",AM373/AL373)</f>
        <v>0</v>
      </c>
      <c r="AO373" s="32">
        <f>IF(AN373="","",AN373+ROW()/1000000)</f>
        <v>0</v>
      </c>
      <c r="AP373" s="17">
        <f>IF(Lists!$E373="","",Lists!$E373)</f>
        <v>0</v>
      </c>
      <c r="AQ373" s="23">
        <f>IF(AP373="","",COUNTIF(Performance!$G$5:$G$404,AP373))</f>
        <v>0</v>
      </c>
      <c r="AR373" s="23">
        <f>IF(AP373="","",SUMIFS(Performance!$O$5:$O$404,Performance!$G$5:$G$404,AP373))</f>
        <v>0</v>
      </c>
      <c r="AS373" s="23">
        <f>IF(AP373="","",SUMIFS(Performance!$Z$5:$Z$404,Performance!$G$5:$G$404,AP373))</f>
        <v>0</v>
      </c>
      <c r="AT373" s="24">
        <f>IF(OR(AR373="",AR373=0),"",AS373/AR373)</f>
        <v>0</v>
      </c>
      <c r="AU373" s="32">
        <f>IF(AQ373=0,"",IF(AT373="","",AT373+ROW()/1000000))</f>
        <v>0</v>
      </c>
      <c r="AV373" s="17">
        <f>IF(ROW()-4&gt;7,"",TEXT(DATE(2024,1,ROW()-4),"ddd"))</f>
        <v>0</v>
      </c>
      <c r="AW373" s="23">
        <f>IF(AV373="","",COUNTIF(Performance!$N$5:$N$404,AV373))</f>
        <v>0</v>
      </c>
      <c r="AX373" s="23">
        <f>IF(AV373="","",SUMIFS(Performance!$O$5:$O$404,Performance!$N$5:$N$404,AV373))</f>
        <v>0</v>
      </c>
      <c r="AY373" s="23">
        <f>IF(AV373="","",SUMIFS(Performance!$Z$5:$Z$404,Performance!$N$5:$N$404,AV373))</f>
        <v>0</v>
      </c>
      <c r="AZ373" s="24">
        <f>IF(OR(AX373="",AX373=0),"",AY373/AX373)</f>
        <v>0</v>
      </c>
      <c r="BA373" s="32">
        <f>IF(AW373=0,"",IF(AZ373="","",AZ373+ROW()/1000000))</f>
        <v>0</v>
      </c>
      <c r="BB373" s="17">
        <f>IF(Lists!$AL373="","",Lists!$AL373)</f>
        <v>0</v>
      </c>
      <c r="BC373" s="23">
        <f>IF(BB373="","",COUNTIF(Performance!$M$5:$M$404,BB373))</f>
        <v>0</v>
      </c>
      <c r="BD373" s="23">
        <f>IF(BB373="","",SUMIFS(Performance!$O$5:$O$404,Performance!$M$5:$M$404,BB373))</f>
        <v>0</v>
      </c>
      <c r="BE373" s="23">
        <f>IF(BB373="","",SUMIFS(Performance!$Z$5:$Z$404,Performance!$M$5:$M$404,BB373))</f>
        <v>0</v>
      </c>
      <c r="BF373" s="24">
        <f>IF(OR(BD373="",BD373=0),"",BE373/BD373)</f>
        <v>0</v>
      </c>
      <c r="BG373" s="32">
        <f>IF(BC373=0,"",IF(BF373="","",BF373+ROW()/1000000))</f>
        <v>0</v>
      </c>
      <c r="BH373" s="17">
        <f>IF(Performance!$C$373="","",Performance!$C$373)</f>
        <v>0</v>
      </c>
      <c r="BI373" s="17">
        <f>IF(Performance!$F$373="","",Performance!$F$373)</f>
        <v>0</v>
      </c>
      <c r="BJ373" s="17">
        <f>IF(Performance!$H$373="","",Performance!$H$373)</f>
        <v>0</v>
      </c>
      <c r="BK373" s="16">
        <f>IF(Performance!$D$373="","",Performance!$D$373)</f>
        <v>0</v>
      </c>
      <c r="BL373" s="17">
        <f>IF(Performance!$E$373="","",Performance!$E$373)</f>
        <v>0</v>
      </c>
      <c r="BM373" s="23">
        <f>IF(Performance!$O$373="","",Performance!$O$373)</f>
        <v>0</v>
      </c>
      <c r="BN373" s="24">
        <f>IF(Performance!$AA$373="","",Performance!$AA$373)</f>
        <v>0</v>
      </c>
      <c r="BO373" s="32">
        <f>IF(BH373="","",IF(BK373="","",IF(OR(BK373&lt;DashStart,BK373&gt;DashEnd),"",IF(BN373="","",BN373+ROW()/1000000))))</f>
        <v>0</v>
      </c>
      <c r="BP373" s="32">
        <f>IF(BM373="","",IF(BK373="","",IF(OR(BK373&lt;DashStart,BK373&gt;DashEnd),"",BM373+ROW()/1000000)))</f>
        <v>0</v>
      </c>
      <c r="BQ373" s="32">
        <f>IF(BH373="","",IF(BK373="","",IF(YEAR(BK373)&lt;&gt;PlanYear,"",IF(BN373="","",BN373+ROW()/1000000))))</f>
        <v>0</v>
      </c>
      <c r="BR373" s="32">
        <f>IF(BH373="","",IF(BK373="","",IF(OR(BK373&lt;RepFrom,BK373&gt;RepTo),"",IF(BN373="","",BN373+ROW()/1000000))))</f>
        <v>0</v>
      </c>
      <c r="BS373" s="32">
        <f>IF(BM373="","",IF(BK373="","",IF(YEAR(BK373)&lt;&gt;PlanYear,"",BM373+ROW()/1000000)))</f>
        <v>0</v>
      </c>
      <c r="BT373" s="17">
        <f>IF(Lists!$F373="","",Lists!$F373)</f>
        <v>0</v>
      </c>
      <c r="BU373" s="23">
        <f>IF(BT373="","",COUNTIF('Content Calendar'!$X$5:$X$604,BT373))</f>
        <v>0</v>
      </c>
      <c r="BV373" s="23">
        <f>IF(BT373="","",COUNTIFS('Content Calendar'!$X$5:$X$604,BT373,'Content Calendar'!$B$5:$B$604,"&gt;="&amp;DashStart,'Content Calendar'!$B$5:$B$604,"&lt;="&amp;DashEnd))</f>
        <v>0</v>
      </c>
      <c r="BW373" s="17">
        <f>IF(Team!$B$373="","",Team!$B$373)</f>
        <v>0</v>
      </c>
      <c r="BX373" s="23">
        <f>IF(BW373="","",COUNTIF('Content Calendar'!$W$5:$W$604,BW373))</f>
        <v>0</v>
      </c>
      <c r="BY373" s="23">
        <f>IF(BW373="","",COUNTIFS('Content Calendar'!$W$5:$W$604,BW373,'Content Calendar'!$X$5:$X$604,"&lt;&gt;Published"))</f>
        <v>0</v>
      </c>
      <c r="BZ373" s="23">
        <f>IF(BW373="","",COUNTIFS(Tasks!$C$5:$C$64,BW373,Tasks!$G$5:$G$64,"&lt;&gt;Complete"))</f>
        <v>0</v>
      </c>
      <c r="CA373" s="17">
        <f>IF(Campaigns!$B$373="","",Campaigns!$B$373)</f>
        <v>0</v>
      </c>
      <c r="CB373" s="25">
        <f>IF(Campaigns!$T$373="","",Campaigns!$T$373)</f>
        <v>0</v>
      </c>
      <c r="CC373" s="25">
        <f>IF(Campaigns!$Q$373="","",Campaigns!$Q$373)</f>
        <v>0</v>
      </c>
      <c r="CD373" s="23">
        <f>IF(Campaigns!$Y$373="","",Campaigns!$Y$373)</f>
        <v>0</v>
      </c>
      <c r="CE373" s="32">
        <f>IF(CA373="","",IF(N(CB373)&lt;=0,"",N(CB373)+ROW()/1000000))</f>
        <v>0</v>
      </c>
      <c r="CF373" s="17">
        <f>IF(Accounts!$C$373="","",Accounts!$C$373)</f>
        <v>0</v>
      </c>
      <c r="CG373" s="17">
        <f>IF(Accounts!$B$373="","",Accounts!$B$373)</f>
        <v>0</v>
      </c>
      <c r="CH373" s="23">
        <f>IF(Accounts!$J$373="","",Accounts!$J$373)</f>
        <v>0</v>
      </c>
      <c r="CI373" s="23">
        <f>IF(CF373="","",SUMIFS(Analytics!$X$5:$X$154,Analytics!$E$5:$E$154,CF373,Analytics!$B$5:$B$154,"&gt;="&amp;DashStart,Analytics!$B$5:$B$154,"&lt;="&amp;DashEnd))</f>
        <v>0</v>
      </c>
      <c r="CJ373" s="32">
        <f>IF(CH373="","",IF(CH373=0,"",CH373+ROW()/1000000))</f>
        <v>0</v>
      </c>
    </row>
    <row r="374" spans="1:88">
      <c r="A374" s="16">
        <f>IF(ROW()-4&gt;12,"",DATE(PlanYear,ROW()-4,1))</f>
        <v>0</v>
      </c>
      <c r="B374" s="16">
        <f>IF(A374="","",EOMONTH(A374,0))</f>
        <v>0</v>
      </c>
      <c r="C374" s="17">
        <f>IF(A374="","",TEXT(A374,"yyyy-mm"))</f>
        <v>0</v>
      </c>
      <c r="D374" s="17">
        <f>IF(A374="","",TEXT(A374,"mmm"))</f>
        <v>0</v>
      </c>
      <c r="E374" s="23">
        <f>IF(C374="","",COUNTIFS('Content Calendar'!$D$5:$D$604,C374))</f>
        <v>0</v>
      </c>
      <c r="F374" s="23">
        <f>IF(C374="","",COUNTIFS('Content Calendar'!$D$5:$D$604,C374,'Content Calendar'!$X$5:$X$604,"Published"))</f>
        <v>0</v>
      </c>
      <c r="G374" s="23">
        <f>IF(C374="","",SUMIFS(Analytics!$J$5:$J$154,Analytics!$C$5:$C$154,C374))</f>
        <v>0</v>
      </c>
      <c r="H374" s="23">
        <f>IF(C374="","",SUMIFS(Analytics!$K$5:$K$154,Analytics!$C$5:$C$154,C374))</f>
        <v>0</v>
      </c>
      <c r="I374" s="23">
        <f>IF(C374="","",SUMIFS(Analytics!$L$5:$L$154,Analytics!$C$5:$C$154,C374))</f>
        <v>0</v>
      </c>
      <c r="J374" s="24">
        <f>IF(OR(G374="",G374=0),"",I374/G374)</f>
        <v>0</v>
      </c>
      <c r="K374" s="23">
        <f>IF(C374="","",SUMIFS(Analytics!$G$5:$G$154,Analytics!$C$5:$C$154,C374))</f>
        <v>0</v>
      </c>
      <c r="L374" s="23">
        <f>IF(C374="","",SUMIFS(Analytics!$X$5:$X$154,Analytics!$C$5:$C$154,C374))</f>
        <v>0</v>
      </c>
      <c r="M374" s="23">
        <f>IF(C374="","",SUMIFS(Analytics!$R$5:$R$154,Analytics!$C$5:$C$154,C374))</f>
        <v>0</v>
      </c>
      <c r="N374" s="23">
        <f>IF(C374="","",SUMIFS(Analytics!$S$5:$S$154,Analytics!$C$5:$C$154,C374))</f>
        <v>0</v>
      </c>
      <c r="O374" s="23">
        <f>IF(C374="","",SUMIFS(Analytics!$T$5:$T$154,Analytics!$C$5:$C$154,C374))</f>
        <v>0</v>
      </c>
      <c r="P374" s="25">
        <f>IF(C374="","",SUMIFS(Analytics!$U$5:$U$154,Analytics!$C$5:$C$154,C374))</f>
        <v>0</v>
      </c>
      <c r="Q374" s="25">
        <f>IF(C374="","",SUMIFS(Budget!$H$5:$H$64,Budget!$C$5:$C$64,C374))</f>
        <v>0</v>
      </c>
      <c r="R374" s="25">
        <f>IF(C374="","",P374-Q374)</f>
        <v>0</v>
      </c>
      <c r="S374" s="23">
        <f>IF(C374="","",MonthlyPostTarget)</f>
        <v>0</v>
      </c>
      <c r="T374" s="17">
        <f>IF(Lists!$C374="","",Lists!$C374)</f>
        <v>0</v>
      </c>
      <c r="U374" s="23">
        <f>IF(T374="","",COUNTIFS('Content Calendar'!$G$5:$G$604,T374,'Content Calendar'!$B$5:$B$604,"&gt;="&amp;DashStart,'Content Calendar'!$B$5:$B$604,"&lt;="&amp;DashEnd))</f>
        <v>0</v>
      </c>
      <c r="V374" s="23">
        <f>IF(T374="","",COUNTIFS('Content Calendar'!$G$5:$G$604,T374,'Content Calendar'!$X$5:$X$604,"Published",'Content Calendar'!$B$5:$B$604,"&gt;="&amp;DashStart,'Content Calendar'!$B$5:$B$604,"&lt;="&amp;DashEnd))</f>
        <v>0</v>
      </c>
      <c r="W374" s="23">
        <f>IF(T374="","",SUMIFS(Analytics!$J$5:$J$154,Analytics!$D$5:$D$154,T374,Analytics!$B$5:$B$154,"&gt;="&amp;DashStart,Analytics!$B$5:$B$154,"&lt;="&amp;DashEnd))</f>
        <v>0</v>
      </c>
      <c r="X374" s="23">
        <f>IF(T374="","",SUMIFS(Analytics!$L$5:$L$154,Analytics!$D$5:$D$154,T374,Analytics!$B$5:$B$154,"&gt;="&amp;DashStart,Analytics!$B$5:$B$154,"&lt;="&amp;DashEnd))</f>
        <v>0</v>
      </c>
      <c r="Y374" s="24">
        <f>IF(OR(W374="",W374=0),"",X374/W374)</f>
        <v>0</v>
      </c>
      <c r="Z374" s="23">
        <f>IF(T374="","",SUMIFS(Analytics!$G$5:$G$154,Analytics!$D$5:$D$154,T374,Analytics!$B$5:$B$154,"&gt;="&amp;DashStart,Analytics!$B$5:$B$154,"&lt;="&amp;DashEnd))</f>
        <v>0</v>
      </c>
      <c r="AA374" s="23">
        <f>IF(T374="","",SUMIFS(Analytics!$X$5:$X$154,Analytics!$D$5:$D$154,T374,Analytics!$B$5:$B$154,"&gt;="&amp;DashStart,Analytics!$B$5:$B$154,"&lt;="&amp;DashEnd))</f>
        <v>0</v>
      </c>
      <c r="AB374" s="23">
        <f>IF(T374="","",SUMIFS(Analytics!$R$5:$R$154,Analytics!$D$5:$D$154,T374,Analytics!$B$5:$B$154,"&gt;="&amp;DashStart,Analytics!$B$5:$B$154,"&lt;="&amp;DashEnd))</f>
        <v>0</v>
      </c>
      <c r="AC374" s="25">
        <f>IF(T374="","",SUMIFS(Analytics!$U$5:$U$154,Analytics!$D$5:$D$154,T374,Analytics!$B$5:$B$154,"&gt;="&amp;DashStart,Analytics!$B$5:$B$154,"&lt;="&amp;DashEnd))</f>
        <v>0</v>
      </c>
      <c r="AD374" s="23">
        <f>IF(T374="","",COUNTIFS('Content Calendar'!$G$5:$G$604,T374,'Content Calendar'!$B$5:$B$604,"&gt;="&amp;DATE(PlanYear,1,1),'Content Calendar'!$B$5:$B$604,"&lt;="&amp;DATE(PlanYear,12,31)))</f>
        <v>0</v>
      </c>
      <c r="AE374" s="23">
        <f>IF(T374="","",SUMIFS(Analytics!$J$5:$J$154,Analytics!$D$5:$D$154,T374))</f>
        <v>0</v>
      </c>
      <c r="AF374" s="23">
        <f>IF(T374="","",SUMIFS(Analytics!$L$5:$L$154,Analytics!$D$5:$D$154,T374))</f>
        <v>0</v>
      </c>
      <c r="AG374" s="24">
        <f>IF(OR(AE374="",AE374=0),"",AF374/AE374)</f>
        <v>0</v>
      </c>
      <c r="AH374" s="23">
        <f>IF(T374="","",SUMIFS(Analytics!$X$5:$X$154,Analytics!$D$5:$D$154,T374))</f>
        <v>0</v>
      </c>
      <c r="AI374" s="32">
        <f>IF(T374="","",IF(AE374=0,"",AE374+ROW()/1000000))</f>
        <v>0</v>
      </c>
      <c r="AJ374" s="17">
        <f>IF('Content Pillars'!$B$374="","",'Content Pillars'!$B$374)</f>
        <v>0</v>
      </c>
      <c r="AK374" s="23">
        <f>IF(AJ374="","",COUNTIFS('Content Calendar'!$J$5:$J$604,AJ374,'Content Calendar'!$B$5:$B$604,"&gt;="&amp;DATE(PlanYear,1,1),'Content Calendar'!$B$5:$B$604,"&lt;="&amp;DATE(PlanYear,12,31)))</f>
        <v>0</v>
      </c>
      <c r="AL374" s="23">
        <f>IF(AJ374="","",SUMIFS(Performance!$O$5:$O$404,Performance!$H$5:$H$404,AJ374))</f>
        <v>0</v>
      </c>
      <c r="AM374" s="23">
        <f>IF(AJ374="","",SUMIFS(Performance!$Z$5:$Z$404,Performance!$H$5:$H$404,AJ374))</f>
        <v>0</v>
      </c>
      <c r="AN374" s="24">
        <f>IF(OR(AL374="",AL374=0),"",AM374/AL374)</f>
        <v>0</v>
      </c>
      <c r="AO374" s="32">
        <f>IF(AN374="","",AN374+ROW()/1000000)</f>
        <v>0</v>
      </c>
      <c r="AP374" s="17">
        <f>IF(Lists!$E374="","",Lists!$E374)</f>
        <v>0</v>
      </c>
      <c r="AQ374" s="23">
        <f>IF(AP374="","",COUNTIF(Performance!$G$5:$G$404,AP374))</f>
        <v>0</v>
      </c>
      <c r="AR374" s="23">
        <f>IF(AP374="","",SUMIFS(Performance!$O$5:$O$404,Performance!$G$5:$G$404,AP374))</f>
        <v>0</v>
      </c>
      <c r="AS374" s="23">
        <f>IF(AP374="","",SUMIFS(Performance!$Z$5:$Z$404,Performance!$G$5:$G$404,AP374))</f>
        <v>0</v>
      </c>
      <c r="AT374" s="24">
        <f>IF(OR(AR374="",AR374=0),"",AS374/AR374)</f>
        <v>0</v>
      </c>
      <c r="AU374" s="32">
        <f>IF(AQ374=0,"",IF(AT374="","",AT374+ROW()/1000000))</f>
        <v>0</v>
      </c>
      <c r="AV374" s="17">
        <f>IF(ROW()-4&gt;7,"",TEXT(DATE(2024,1,ROW()-4),"ddd"))</f>
        <v>0</v>
      </c>
      <c r="AW374" s="23">
        <f>IF(AV374="","",COUNTIF(Performance!$N$5:$N$404,AV374))</f>
        <v>0</v>
      </c>
      <c r="AX374" s="23">
        <f>IF(AV374="","",SUMIFS(Performance!$O$5:$O$404,Performance!$N$5:$N$404,AV374))</f>
        <v>0</v>
      </c>
      <c r="AY374" s="23">
        <f>IF(AV374="","",SUMIFS(Performance!$Z$5:$Z$404,Performance!$N$5:$N$404,AV374))</f>
        <v>0</v>
      </c>
      <c r="AZ374" s="24">
        <f>IF(OR(AX374="",AX374=0),"",AY374/AX374)</f>
        <v>0</v>
      </c>
      <c r="BA374" s="32">
        <f>IF(AW374=0,"",IF(AZ374="","",AZ374+ROW()/1000000))</f>
        <v>0</v>
      </c>
      <c r="BB374" s="17">
        <f>IF(Lists!$AL374="","",Lists!$AL374)</f>
        <v>0</v>
      </c>
      <c r="BC374" s="23">
        <f>IF(BB374="","",COUNTIF(Performance!$M$5:$M$404,BB374))</f>
        <v>0</v>
      </c>
      <c r="BD374" s="23">
        <f>IF(BB374="","",SUMIFS(Performance!$O$5:$O$404,Performance!$M$5:$M$404,BB374))</f>
        <v>0</v>
      </c>
      <c r="BE374" s="23">
        <f>IF(BB374="","",SUMIFS(Performance!$Z$5:$Z$404,Performance!$M$5:$M$404,BB374))</f>
        <v>0</v>
      </c>
      <c r="BF374" s="24">
        <f>IF(OR(BD374="",BD374=0),"",BE374/BD374)</f>
        <v>0</v>
      </c>
      <c r="BG374" s="32">
        <f>IF(BC374=0,"",IF(BF374="","",BF374+ROW()/1000000))</f>
        <v>0</v>
      </c>
      <c r="BH374" s="17">
        <f>IF(Performance!$C$374="","",Performance!$C$374)</f>
        <v>0</v>
      </c>
      <c r="BI374" s="17">
        <f>IF(Performance!$F$374="","",Performance!$F$374)</f>
        <v>0</v>
      </c>
      <c r="BJ374" s="17">
        <f>IF(Performance!$H$374="","",Performance!$H$374)</f>
        <v>0</v>
      </c>
      <c r="BK374" s="16">
        <f>IF(Performance!$D$374="","",Performance!$D$374)</f>
        <v>0</v>
      </c>
      <c r="BL374" s="17">
        <f>IF(Performance!$E$374="","",Performance!$E$374)</f>
        <v>0</v>
      </c>
      <c r="BM374" s="23">
        <f>IF(Performance!$O$374="","",Performance!$O$374)</f>
        <v>0</v>
      </c>
      <c r="BN374" s="24">
        <f>IF(Performance!$AA$374="","",Performance!$AA$374)</f>
        <v>0</v>
      </c>
      <c r="BO374" s="32">
        <f>IF(BH374="","",IF(BK374="","",IF(OR(BK374&lt;DashStart,BK374&gt;DashEnd),"",IF(BN374="","",BN374+ROW()/1000000))))</f>
        <v>0</v>
      </c>
      <c r="BP374" s="32">
        <f>IF(BM374="","",IF(BK374="","",IF(OR(BK374&lt;DashStart,BK374&gt;DashEnd),"",BM374+ROW()/1000000)))</f>
        <v>0</v>
      </c>
      <c r="BQ374" s="32">
        <f>IF(BH374="","",IF(BK374="","",IF(YEAR(BK374)&lt;&gt;PlanYear,"",IF(BN374="","",BN374+ROW()/1000000))))</f>
        <v>0</v>
      </c>
      <c r="BR374" s="32">
        <f>IF(BH374="","",IF(BK374="","",IF(OR(BK374&lt;RepFrom,BK374&gt;RepTo),"",IF(BN374="","",BN374+ROW()/1000000))))</f>
        <v>0</v>
      </c>
      <c r="BS374" s="32">
        <f>IF(BM374="","",IF(BK374="","",IF(YEAR(BK374)&lt;&gt;PlanYear,"",BM374+ROW()/1000000)))</f>
        <v>0</v>
      </c>
      <c r="BT374" s="17">
        <f>IF(Lists!$F374="","",Lists!$F374)</f>
        <v>0</v>
      </c>
      <c r="BU374" s="23">
        <f>IF(BT374="","",COUNTIF('Content Calendar'!$X$5:$X$604,BT374))</f>
        <v>0</v>
      </c>
      <c r="BV374" s="23">
        <f>IF(BT374="","",COUNTIFS('Content Calendar'!$X$5:$X$604,BT374,'Content Calendar'!$B$5:$B$604,"&gt;="&amp;DashStart,'Content Calendar'!$B$5:$B$604,"&lt;="&amp;DashEnd))</f>
        <v>0</v>
      </c>
      <c r="BW374" s="17">
        <f>IF(Team!$B$374="","",Team!$B$374)</f>
        <v>0</v>
      </c>
      <c r="BX374" s="23">
        <f>IF(BW374="","",COUNTIF('Content Calendar'!$W$5:$W$604,BW374))</f>
        <v>0</v>
      </c>
      <c r="BY374" s="23">
        <f>IF(BW374="","",COUNTIFS('Content Calendar'!$W$5:$W$604,BW374,'Content Calendar'!$X$5:$X$604,"&lt;&gt;Published"))</f>
        <v>0</v>
      </c>
      <c r="BZ374" s="23">
        <f>IF(BW374="","",COUNTIFS(Tasks!$C$5:$C$64,BW374,Tasks!$G$5:$G$64,"&lt;&gt;Complete"))</f>
        <v>0</v>
      </c>
      <c r="CA374" s="17">
        <f>IF(Campaigns!$B$374="","",Campaigns!$B$374)</f>
        <v>0</v>
      </c>
      <c r="CB374" s="25">
        <f>IF(Campaigns!$T$374="","",Campaigns!$T$374)</f>
        <v>0</v>
      </c>
      <c r="CC374" s="25">
        <f>IF(Campaigns!$Q$374="","",Campaigns!$Q$374)</f>
        <v>0</v>
      </c>
      <c r="CD374" s="23">
        <f>IF(Campaigns!$Y$374="","",Campaigns!$Y$374)</f>
        <v>0</v>
      </c>
      <c r="CE374" s="32">
        <f>IF(CA374="","",IF(N(CB374)&lt;=0,"",N(CB374)+ROW()/1000000))</f>
        <v>0</v>
      </c>
      <c r="CF374" s="17">
        <f>IF(Accounts!$C$374="","",Accounts!$C$374)</f>
        <v>0</v>
      </c>
      <c r="CG374" s="17">
        <f>IF(Accounts!$B$374="","",Accounts!$B$374)</f>
        <v>0</v>
      </c>
      <c r="CH374" s="23">
        <f>IF(Accounts!$J$374="","",Accounts!$J$374)</f>
        <v>0</v>
      </c>
      <c r="CI374" s="23">
        <f>IF(CF374="","",SUMIFS(Analytics!$X$5:$X$154,Analytics!$E$5:$E$154,CF374,Analytics!$B$5:$B$154,"&gt;="&amp;DashStart,Analytics!$B$5:$B$154,"&lt;="&amp;DashEnd))</f>
        <v>0</v>
      </c>
      <c r="CJ374" s="32">
        <f>IF(CH374="","",IF(CH374=0,"",CH374+ROW()/1000000))</f>
        <v>0</v>
      </c>
    </row>
    <row r="375" spans="1:88">
      <c r="A375" s="16">
        <f>IF(ROW()-4&gt;12,"",DATE(PlanYear,ROW()-4,1))</f>
        <v>0</v>
      </c>
      <c r="B375" s="16">
        <f>IF(A375="","",EOMONTH(A375,0))</f>
        <v>0</v>
      </c>
      <c r="C375" s="17">
        <f>IF(A375="","",TEXT(A375,"yyyy-mm"))</f>
        <v>0</v>
      </c>
      <c r="D375" s="17">
        <f>IF(A375="","",TEXT(A375,"mmm"))</f>
        <v>0</v>
      </c>
      <c r="E375" s="23">
        <f>IF(C375="","",COUNTIFS('Content Calendar'!$D$5:$D$604,C375))</f>
        <v>0</v>
      </c>
      <c r="F375" s="23">
        <f>IF(C375="","",COUNTIFS('Content Calendar'!$D$5:$D$604,C375,'Content Calendar'!$X$5:$X$604,"Published"))</f>
        <v>0</v>
      </c>
      <c r="G375" s="23">
        <f>IF(C375="","",SUMIFS(Analytics!$J$5:$J$154,Analytics!$C$5:$C$154,C375))</f>
        <v>0</v>
      </c>
      <c r="H375" s="23">
        <f>IF(C375="","",SUMIFS(Analytics!$K$5:$K$154,Analytics!$C$5:$C$154,C375))</f>
        <v>0</v>
      </c>
      <c r="I375" s="23">
        <f>IF(C375="","",SUMIFS(Analytics!$L$5:$L$154,Analytics!$C$5:$C$154,C375))</f>
        <v>0</v>
      </c>
      <c r="J375" s="24">
        <f>IF(OR(G375="",G375=0),"",I375/G375)</f>
        <v>0</v>
      </c>
      <c r="K375" s="23">
        <f>IF(C375="","",SUMIFS(Analytics!$G$5:$G$154,Analytics!$C$5:$C$154,C375))</f>
        <v>0</v>
      </c>
      <c r="L375" s="23">
        <f>IF(C375="","",SUMIFS(Analytics!$X$5:$X$154,Analytics!$C$5:$C$154,C375))</f>
        <v>0</v>
      </c>
      <c r="M375" s="23">
        <f>IF(C375="","",SUMIFS(Analytics!$R$5:$R$154,Analytics!$C$5:$C$154,C375))</f>
        <v>0</v>
      </c>
      <c r="N375" s="23">
        <f>IF(C375="","",SUMIFS(Analytics!$S$5:$S$154,Analytics!$C$5:$C$154,C375))</f>
        <v>0</v>
      </c>
      <c r="O375" s="23">
        <f>IF(C375="","",SUMIFS(Analytics!$T$5:$T$154,Analytics!$C$5:$C$154,C375))</f>
        <v>0</v>
      </c>
      <c r="P375" s="25">
        <f>IF(C375="","",SUMIFS(Analytics!$U$5:$U$154,Analytics!$C$5:$C$154,C375))</f>
        <v>0</v>
      </c>
      <c r="Q375" s="25">
        <f>IF(C375="","",SUMIFS(Budget!$H$5:$H$64,Budget!$C$5:$C$64,C375))</f>
        <v>0</v>
      </c>
      <c r="R375" s="25">
        <f>IF(C375="","",P375-Q375)</f>
        <v>0</v>
      </c>
      <c r="S375" s="23">
        <f>IF(C375="","",MonthlyPostTarget)</f>
        <v>0</v>
      </c>
      <c r="T375" s="17">
        <f>IF(Lists!$C375="","",Lists!$C375)</f>
        <v>0</v>
      </c>
      <c r="U375" s="23">
        <f>IF(T375="","",COUNTIFS('Content Calendar'!$G$5:$G$604,T375,'Content Calendar'!$B$5:$B$604,"&gt;="&amp;DashStart,'Content Calendar'!$B$5:$B$604,"&lt;="&amp;DashEnd))</f>
        <v>0</v>
      </c>
      <c r="V375" s="23">
        <f>IF(T375="","",COUNTIFS('Content Calendar'!$G$5:$G$604,T375,'Content Calendar'!$X$5:$X$604,"Published",'Content Calendar'!$B$5:$B$604,"&gt;="&amp;DashStart,'Content Calendar'!$B$5:$B$604,"&lt;="&amp;DashEnd))</f>
        <v>0</v>
      </c>
      <c r="W375" s="23">
        <f>IF(T375="","",SUMIFS(Analytics!$J$5:$J$154,Analytics!$D$5:$D$154,T375,Analytics!$B$5:$B$154,"&gt;="&amp;DashStart,Analytics!$B$5:$B$154,"&lt;="&amp;DashEnd))</f>
        <v>0</v>
      </c>
      <c r="X375" s="23">
        <f>IF(T375="","",SUMIFS(Analytics!$L$5:$L$154,Analytics!$D$5:$D$154,T375,Analytics!$B$5:$B$154,"&gt;="&amp;DashStart,Analytics!$B$5:$B$154,"&lt;="&amp;DashEnd))</f>
        <v>0</v>
      </c>
      <c r="Y375" s="24">
        <f>IF(OR(W375="",W375=0),"",X375/W375)</f>
        <v>0</v>
      </c>
      <c r="Z375" s="23">
        <f>IF(T375="","",SUMIFS(Analytics!$G$5:$G$154,Analytics!$D$5:$D$154,T375,Analytics!$B$5:$B$154,"&gt;="&amp;DashStart,Analytics!$B$5:$B$154,"&lt;="&amp;DashEnd))</f>
        <v>0</v>
      </c>
      <c r="AA375" s="23">
        <f>IF(T375="","",SUMIFS(Analytics!$X$5:$X$154,Analytics!$D$5:$D$154,T375,Analytics!$B$5:$B$154,"&gt;="&amp;DashStart,Analytics!$B$5:$B$154,"&lt;="&amp;DashEnd))</f>
        <v>0</v>
      </c>
      <c r="AB375" s="23">
        <f>IF(T375="","",SUMIFS(Analytics!$R$5:$R$154,Analytics!$D$5:$D$154,T375,Analytics!$B$5:$B$154,"&gt;="&amp;DashStart,Analytics!$B$5:$B$154,"&lt;="&amp;DashEnd))</f>
        <v>0</v>
      </c>
      <c r="AC375" s="25">
        <f>IF(T375="","",SUMIFS(Analytics!$U$5:$U$154,Analytics!$D$5:$D$154,T375,Analytics!$B$5:$B$154,"&gt;="&amp;DashStart,Analytics!$B$5:$B$154,"&lt;="&amp;DashEnd))</f>
        <v>0</v>
      </c>
      <c r="AD375" s="23">
        <f>IF(T375="","",COUNTIFS('Content Calendar'!$G$5:$G$604,T375,'Content Calendar'!$B$5:$B$604,"&gt;="&amp;DATE(PlanYear,1,1),'Content Calendar'!$B$5:$B$604,"&lt;="&amp;DATE(PlanYear,12,31)))</f>
        <v>0</v>
      </c>
      <c r="AE375" s="23">
        <f>IF(T375="","",SUMIFS(Analytics!$J$5:$J$154,Analytics!$D$5:$D$154,T375))</f>
        <v>0</v>
      </c>
      <c r="AF375" s="23">
        <f>IF(T375="","",SUMIFS(Analytics!$L$5:$L$154,Analytics!$D$5:$D$154,T375))</f>
        <v>0</v>
      </c>
      <c r="AG375" s="24">
        <f>IF(OR(AE375="",AE375=0),"",AF375/AE375)</f>
        <v>0</v>
      </c>
      <c r="AH375" s="23">
        <f>IF(T375="","",SUMIFS(Analytics!$X$5:$X$154,Analytics!$D$5:$D$154,T375))</f>
        <v>0</v>
      </c>
      <c r="AI375" s="32">
        <f>IF(T375="","",IF(AE375=0,"",AE375+ROW()/1000000))</f>
        <v>0</v>
      </c>
      <c r="AJ375" s="17">
        <f>IF('Content Pillars'!$B$375="","",'Content Pillars'!$B$375)</f>
        <v>0</v>
      </c>
      <c r="AK375" s="23">
        <f>IF(AJ375="","",COUNTIFS('Content Calendar'!$J$5:$J$604,AJ375,'Content Calendar'!$B$5:$B$604,"&gt;="&amp;DATE(PlanYear,1,1),'Content Calendar'!$B$5:$B$604,"&lt;="&amp;DATE(PlanYear,12,31)))</f>
        <v>0</v>
      </c>
      <c r="AL375" s="23">
        <f>IF(AJ375="","",SUMIFS(Performance!$O$5:$O$404,Performance!$H$5:$H$404,AJ375))</f>
        <v>0</v>
      </c>
      <c r="AM375" s="23">
        <f>IF(AJ375="","",SUMIFS(Performance!$Z$5:$Z$404,Performance!$H$5:$H$404,AJ375))</f>
        <v>0</v>
      </c>
      <c r="AN375" s="24">
        <f>IF(OR(AL375="",AL375=0),"",AM375/AL375)</f>
        <v>0</v>
      </c>
      <c r="AO375" s="32">
        <f>IF(AN375="","",AN375+ROW()/1000000)</f>
        <v>0</v>
      </c>
      <c r="AP375" s="17">
        <f>IF(Lists!$E375="","",Lists!$E375)</f>
        <v>0</v>
      </c>
      <c r="AQ375" s="23">
        <f>IF(AP375="","",COUNTIF(Performance!$G$5:$G$404,AP375))</f>
        <v>0</v>
      </c>
      <c r="AR375" s="23">
        <f>IF(AP375="","",SUMIFS(Performance!$O$5:$O$404,Performance!$G$5:$G$404,AP375))</f>
        <v>0</v>
      </c>
      <c r="AS375" s="23">
        <f>IF(AP375="","",SUMIFS(Performance!$Z$5:$Z$404,Performance!$G$5:$G$404,AP375))</f>
        <v>0</v>
      </c>
      <c r="AT375" s="24">
        <f>IF(OR(AR375="",AR375=0),"",AS375/AR375)</f>
        <v>0</v>
      </c>
      <c r="AU375" s="32">
        <f>IF(AQ375=0,"",IF(AT375="","",AT375+ROW()/1000000))</f>
        <v>0</v>
      </c>
      <c r="AV375" s="17">
        <f>IF(ROW()-4&gt;7,"",TEXT(DATE(2024,1,ROW()-4),"ddd"))</f>
        <v>0</v>
      </c>
      <c r="AW375" s="23">
        <f>IF(AV375="","",COUNTIF(Performance!$N$5:$N$404,AV375))</f>
        <v>0</v>
      </c>
      <c r="AX375" s="23">
        <f>IF(AV375="","",SUMIFS(Performance!$O$5:$O$404,Performance!$N$5:$N$404,AV375))</f>
        <v>0</v>
      </c>
      <c r="AY375" s="23">
        <f>IF(AV375="","",SUMIFS(Performance!$Z$5:$Z$404,Performance!$N$5:$N$404,AV375))</f>
        <v>0</v>
      </c>
      <c r="AZ375" s="24">
        <f>IF(OR(AX375="",AX375=0),"",AY375/AX375)</f>
        <v>0</v>
      </c>
      <c r="BA375" s="32">
        <f>IF(AW375=0,"",IF(AZ375="","",AZ375+ROW()/1000000))</f>
        <v>0</v>
      </c>
      <c r="BB375" s="17">
        <f>IF(Lists!$AL375="","",Lists!$AL375)</f>
        <v>0</v>
      </c>
      <c r="BC375" s="23">
        <f>IF(BB375="","",COUNTIF(Performance!$M$5:$M$404,BB375))</f>
        <v>0</v>
      </c>
      <c r="BD375" s="23">
        <f>IF(BB375="","",SUMIFS(Performance!$O$5:$O$404,Performance!$M$5:$M$404,BB375))</f>
        <v>0</v>
      </c>
      <c r="BE375" s="23">
        <f>IF(BB375="","",SUMIFS(Performance!$Z$5:$Z$404,Performance!$M$5:$M$404,BB375))</f>
        <v>0</v>
      </c>
      <c r="BF375" s="24">
        <f>IF(OR(BD375="",BD375=0),"",BE375/BD375)</f>
        <v>0</v>
      </c>
      <c r="BG375" s="32">
        <f>IF(BC375=0,"",IF(BF375="","",BF375+ROW()/1000000))</f>
        <v>0</v>
      </c>
      <c r="BH375" s="17">
        <f>IF(Performance!$C$375="","",Performance!$C$375)</f>
        <v>0</v>
      </c>
      <c r="BI375" s="17">
        <f>IF(Performance!$F$375="","",Performance!$F$375)</f>
        <v>0</v>
      </c>
      <c r="BJ375" s="17">
        <f>IF(Performance!$H$375="","",Performance!$H$375)</f>
        <v>0</v>
      </c>
      <c r="BK375" s="16">
        <f>IF(Performance!$D$375="","",Performance!$D$375)</f>
        <v>0</v>
      </c>
      <c r="BL375" s="17">
        <f>IF(Performance!$E$375="","",Performance!$E$375)</f>
        <v>0</v>
      </c>
      <c r="BM375" s="23">
        <f>IF(Performance!$O$375="","",Performance!$O$375)</f>
        <v>0</v>
      </c>
      <c r="BN375" s="24">
        <f>IF(Performance!$AA$375="","",Performance!$AA$375)</f>
        <v>0</v>
      </c>
      <c r="BO375" s="32">
        <f>IF(BH375="","",IF(BK375="","",IF(OR(BK375&lt;DashStart,BK375&gt;DashEnd),"",IF(BN375="","",BN375+ROW()/1000000))))</f>
        <v>0</v>
      </c>
      <c r="BP375" s="32">
        <f>IF(BM375="","",IF(BK375="","",IF(OR(BK375&lt;DashStart,BK375&gt;DashEnd),"",BM375+ROW()/1000000)))</f>
        <v>0</v>
      </c>
      <c r="BQ375" s="32">
        <f>IF(BH375="","",IF(BK375="","",IF(YEAR(BK375)&lt;&gt;PlanYear,"",IF(BN375="","",BN375+ROW()/1000000))))</f>
        <v>0</v>
      </c>
      <c r="BR375" s="32">
        <f>IF(BH375="","",IF(BK375="","",IF(OR(BK375&lt;RepFrom,BK375&gt;RepTo),"",IF(BN375="","",BN375+ROW()/1000000))))</f>
        <v>0</v>
      </c>
      <c r="BS375" s="32">
        <f>IF(BM375="","",IF(BK375="","",IF(YEAR(BK375)&lt;&gt;PlanYear,"",BM375+ROW()/1000000)))</f>
        <v>0</v>
      </c>
      <c r="BT375" s="17">
        <f>IF(Lists!$F375="","",Lists!$F375)</f>
        <v>0</v>
      </c>
      <c r="BU375" s="23">
        <f>IF(BT375="","",COUNTIF('Content Calendar'!$X$5:$X$604,BT375))</f>
        <v>0</v>
      </c>
      <c r="BV375" s="23">
        <f>IF(BT375="","",COUNTIFS('Content Calendar'!$X$5:$X$604,BT375,'Content Calendar'!$B$5:$B$604,"&gt;="&amp;DashStart,'Content Calendar'!$B$5:$B$604,"&lt;="&amp;DashEnd))</f>
        <v>0</v>
      </c>
      <c r="BW375" s="17">
        <f>IF(Team!$B$375="","",Team!$B$375)</f>
        <v>0</v>
      </c>
      <c r="BX375" s="23">
        <f>IF(BW375="","",COUNTIF('Content Calendar'!$W$5:$W$604,BW375))</f>
        <v>0</v>
      </c>
      <c r="BY375" s="23">
        <f>IF(BW375="","",COUNTIFS('Content Calendar'!$W$5:$W$604,BW375,'Content Calendar'!$X$5:$X$604,"&lt;&gt;Published"))</f>
        <v>0</v>
      </c>
      <c r="BZ375" s="23">
        <f>IF(BW375="","",COUNTIFS(Tasks!$C$5:$C$64,BW375,Tasks!$G$5:$G$64,"&lt;&gt;Complete"))</f>
        <v>0</v>
      </c>
      <c r="CA375" s="17">
        <f>IF(Campaigns!$B$375="","",Campaigns!$B$375)</f>
        <v>0</v>
      </c>
      <c r="CB375" s="25">
        <f>IF(Campaigns!$T$375="","",Campaigns!$T$375)</f>
        <v>0</v>
      </c>
      <c r="CC375" s="25">
        <f>IF(Campaigns!$Q$375="","",Campaigns!$Q$375)</f>
        <v>0</v>
      </c>
      <c r="CD375" s="23">
        <f>IF(Campaigns!$Y$375="","",Campaigns!$Y$375)</f>
        <v>0</v>
      </c>
      <c r="CE375" s="32">
        <f>IF(CA375="","",IF(N(CB375)&lt;=0,"",N(CB375)+ROW()/1000000))</f>
        <v>0</v>
      </c>
      <c r="CF375" s="17">
        <f>IF(Accounts!$C$375="","",Accounts!$C$375)</f>
        <v>0</v>
      </c>
      <c r="CG375" s="17">
        <f>IF(Accounts!$B$375="","",Accounts!$B$375)</f>
        <v>0</v>
      </c>
      <c r="CH375" s="23">
        <f>IF(Accounts!$J$375="","",Accounts!$J$375)</f>
        <v>0</v>
      </c>
      <c r="CI375" s="23">
        <f>IF(CF375="","",SUMIFS(Analytics!$X$5:$X$154,Analytics!$E$5:$E$154,CF375,Analytics!$B$5:$B$154,"&gt;="&amp;DashStart,Analytics!$B$5:$B$154,"&lt;="&amp;DashEnd))</f>
        <v>0</v>
      </c>
      <c r="CJ375" s="32">
        <f>IF(CH375="","",IF(CH375=0,"",CH375+ROW()/1000000))</f>
        <v>0</v>
      </c>
    </row>
    <row r="376" spans="1:88">
      <c r="A376" s="16">
        <f>IF(ROW()-4&gt;12,"",DATE(PlanYear,ROW()-4,1))</f>
        <v>0</v>
      </c>
      <c r="B376" s="16">
        <f>IF(A376="","",EOMONTH(A376,0))</f>
        <v>0</v>
      </c>
      <c r="C376" s="17">
        <f>IF(A376="","",TEXT(A376,"yyyy-mm"))</f>
        <v>0</v>
      </c>
      <c r="D376" s="17">
        <f>IF(A376="","",TEXT(A376,"mmm"))</f>
        <v>0</v>
      </c>
      <c r="E376" s="23">
        <f>IF(C376="","",COUNTIFS('Content Calendar'!$D$5:$D$604,C376))</f>
        <v>0</v>
      </c>
      <c r="F376" s="23">
        <f>IF(C376="","",COUNTIFS('Content Calendar'!$D$5:$D$604,C376,'Content Calendar'!$X$5:$X$604,"Published"))</f>
        <v>0</v>
      </c>
      <c r="G376" s="23">
        <f>IF(C376="","",SUMIFS(Analytics!$J$5:$J$154,Analytics!$C$5:$C$154,C376))</f>
        <v>0</v>
      </c>
      <c r="H376" s="23">
        <f>IF(C376="","",SUMIFS(Analytics!$K$5:$K$154,Analytics!$C$5:$C$154,C376))</f>
        <v>0</v>
      </c>
      <c r="I376" s="23">
        <f>IF(C376="","",SUMIFS(Analytics!$L$5:$L$154,Analytics!$C$5:$C$154,C376))</f>
        <v>0</v>
      </c>
      <c r="J376" s="24">
        <f>IF(OR(G376="",G376=0),"",I376/G376)</f>
        <v>0</v>
      </c>
      <c r="K376" s="23">
        <f>IF(C376="","",SUMIFS(Analytics!$G$5:$G$154,Analytics!$C$5:$C$154,C376))</f>
        <v>0</v>
      </c>
      <c r="L376" s="23">
        <f>IF(C376="","",SUMIFS(Analytics!$X$5:$X$154,Analytics!$C$5:$C$154,C376))</f>
        <v>0</v>
      </c>
      <c r="M376" s="23">
        <f>IF(C376="","",SUMIFS(Analytics!$R$5:$R$154,Analytics!$C$5:$C$154,C376))</f>
        <v>0</v>
      </c>
      <c r="N376" s="23">
        <f>IF(C376="","",SUMIFS(Analytics!$S$5:$S$154,Analytics!$C$5:$C$154,C376))</f>
        <v>0</v>
      </c>
      <c r="O376" s="23">
        <f>IF(C376="","",SUMIFS(Analytics!$T$5:$T$154,Analytics!$C$5:$C$154,C376))</f>
        <v>0</v>
      </c>
      <c r="P376" s="25">
        <f>IF(C376="","",SUMIFS(Analytics!$U$5:$U$154,Analytics!$C$5:$C$154,C376))</f>
        <v>0</v>
      </c>
      <c r="Q376" s="25">
        <f>IF(C376="","",SUMIFS(Budget!$H$5:$H$64,Budget!$C$5:$C$64,C376))</f>
        <v>0</v>
      </c>
      <c r="R376" s="25">
        <f>IF(C376="","",P376-Q376)</f>
        <v>0</v>
      </c>
      <c r="S376" s="23">
        <f>IF(C376="","",MonthlyPostTarget)</f>
        <v>0</v>
      </c>
      <c r="T376" s="17">
        <f>IF(Lists!$C376="","",Lists!$C376)</f>
        <v>0</v>
      </c>
      <c r="U376" s="23">
        <f>IF(T376="","",COUNTIFS('Content Calendar'!$G$5:$G$604,T376,'Content Calendar'!$B$5:$B$604,"&gt;="&amp;DashStart,'Content Calendar'!$B$5:$B$604,"&lt;="&amp;DashEnd))</f>
        <v>0</v>
      </c>
      <c r="V376" s="23">
        <f>IF(T376="","",COUNTIFS('Content Calendar'!$G$5:$G$604,T376,'Content Calendar'!$X$5:$X$604,"Published",'Content Calendar'!$B$5:$B$604,"&gt;="&amp;DashStart,'Content Calendar'!$B$5:$B$604,"&lt;="&amp;DashEnd))</f>
        <v>0</v>
      </c>
      <c r="W376" s="23">
        <f>IF(T376="","",SUMIFS(Analytics!$J$5:$J$154,Analytics!$D$5:$D$154,T376,Analytics!$B$5:$B$154,"&gt;="&amp;DashStart,Analytics!$B$5:$B$154,"&lt;="&amp;DashEnd))</f>
        <v>0</v>
      </c>
      <c r="X376" s="23">
        <f>IF(T376="","",SUMIFS(Analytics!$L$5:$L$154,Analytics!$D$5:$D$154,T376,Analytics!$B$5:$B$154,"&gt;="&amp;DashStart,Analytics!$B$5:$B$154,"&lt;="&amp;DashEnd))</f>
        <v>0</v>
      </c>
      <c r="Y376" s="24">
        <f>IF(OR(W376="",W376=0),"",X376/W376)</f>
        <v>0</v>
      </c>
      <c r="Z376" s="23">
        <f>IF(T376="","",SUMIFS(Analytics!$G$5:$G$154,Analytics!$D$5:$D$154,T376,Analytics!$B$5:$B$154,"&gt;="&amp;DashStart,Analytics!$B$5:$B$154,"&lt;="&amp;DashEnd))</f>
        <v>0</v>
      </c>
      <c r="AA376" s="23">
        <f>IF(T376="","",SUMIFS(Analytics!$X$5:$X$154,Analytics!$D$5:$D$154,T376,Analytics!$B$5:$B$154,"&gt;="&amp;DashStart,Analytics!$B$5:$B$154,"&lt;="&amp;DashEnd))</f>
        <v>0</v>
      </c>
      <c r="AB376" s="23">
        <f>IF(T376="","",SUMIFS(Analytics!$R$5:$R$154,Analytics!$D$5:$D$154,T376,Analytics!$B$5:$B$154,"&gt;="&amp;DashStart,Analytics!$B$5:$B$154,"&lt;="&amp;DashEnd))</f>
        <v>0</v>
      </c>
      <c r="AC376" s="25">
        <f>IF(T376="","",SUMIFS(Analytics!$U$5:$U$154,Analytics!$D$5:$D$154,T376,Analytics!$B$5:$B$154,"&gt;="&amp;DashStart,Analytics!$B$5:$B$154,"&lt;="&amp;DashEnd))</f>
        <v>0</v>
      </c>
      <c r="AD376" s="23">
        <f>IF(T376="","",COUNTIFS('Content Calendar'!$G$5:$G$604,T376,'Content Calendar'!$B$5:$B$604,"&gt;="&amp;DATE(PlanYear,1,1),'Content Calendar'!$B$5:$B$604,"&lt;="&amp;DATE(PlanYear,12,31)))</f>
        <v>0</v>
      </c>
      <c r="AE376" s="23">
        <f>IF(T376="","",SUMIFS(Analytics!$J$5:$J$154,Analytics!$D$5:$D$154,T376))</f>
        <v>0</v>
      </c>
      <c r="AF376" s="23">
        <f>IF(T376="","",SUMIFS(Analytics!$L$5:$L$154,Analytics!$D$5:$D$154,T376))</f>
        <v>0</v>
      </c>
      <c r="AG376" s="24">
        <f>IF(OR(AE376="",AE376=0),"",AF376/AE376)</f>
        <v>0</v>
      </c>
      <c r="AH376" s="23">
        <f>IF(T376="","",SUMIFS(Analytics!$X$5:$X$154,Analytics!$D$5:$D$154,T376))</f>
        <v>0</v>
      </c>
      <c r="AI376" s="32">
        <f>IF(T376="","",IF(AE376=0,"",AE376+ROW()/1000000))</f>
        <v>0</v>
      </c>
      <c r="AJ376" s="17">
        <f>IF('Content Pillars'!$B$376="","",'Content Pillars'!$B$376)</f>
        <v>0</v>
      </c>
      <c r="AK376" s="23">
        <f>IF(AJ376="","",COUNTIFS('Content Calendar'!$J$5:$J$604,AJ376,'Content Calendar'!$B$5:$B$604,"&gt;="&amp;DATE(PlanYear,1,1),'Content Calendar'!$B$5:$B$604,"&lt;="&amp;DATE(PlanYear,12,31)))</f>
        <v>0</v>
      </c>
      <c r="AL376" s="23">
        <f>IF(AJ376="","",SUMIFS(Performance!$O$5:$O$404,Performance!$H$5:$H$404,AJ376))</f>
        <v>0</v>
      </c>
      <c r="AM376" s="23">
        <f>IF(AJ376="","",SUMIFS(Performance!$Z$5:$Z$404,Performance!$H$5:$H$404,AJ376))</f>
        <v>0</v>
      </c>
      <c r="AN376" s="24">
        <f>IF(OR(AL376="",AL376=0),"",AM376/AL376)</f>
        <v>0</v>
      </c>
      <c r="AO376" s="32">
        <f>IF(AN376="","",AN376+ROW()/1000000)</f>
        <v>0</v>
      </c>
      <c r="AP376" s="17">
        <f>IF(Lists!$E376="","",Lists!$E376)</f>
        <v>0</v>
      </c>
      <c r="AQ376" s="23">
        <f>IF(AP376="","",COUNTIF(Performance!$G$5:$G$404,AP376))</f>
        <v>0</v>
      </c>
      <c r="AR376" s="23">
        <f>IF(AP376="","",SUMIFS(Performance!$O$5:$O$404,Performance!$G$5:$G$404,AP376))</f>
        <v>0</v>
      </c>
      <c r="AS376" s="23">
        <f>IF(AP376="","",SUMIFS(Performance!$Z$5:$Z$404,Performance!$G$5:$G$404,AP376))</f>
        <v>0</v>
      </c>
      <c r="AT376" s="24">
        <f>IF(OR(AR376="",AR376=0),"",AS376/AR376)</f>
        <v>0</v>
      </c>
      <c r="AU376" s="32">
        <f>IF(AQ376=0,"",IF(AT376="","",AT376+ROW()/1000000))</f>
        <v>0</v>
      </c>
      <c r="AV376" s="17">
        <f>IF(ROW()-4&gt;7,"",TEXT(DATE(2024,1,ROW()-4),"ddd"))</f>
        <v>0</v>
      </c>
      <c r="AW376" s="23">
        <f>IF(AV376="","",COUNTIF(Performance!$N$5:$N$404,AV376))</f>
        <v>0</v>
      </c>
      <c r="AX376" s="23">
        <f>IF(AV376="","",SUMIFS(Performance!$O$5:$O$404,Performance!$N$5:$N$404,AV376))</f>
        <v>0</v>
      </c>
      <c r="AY376" s="23">
        <f>IF(AV376="","",SUMIFS(Performance!$Z$5:$Z$404,Performance!$N$5:$N$404,AV376))</f>
        <v>0</v>
      </c>
      <c r="AZ376" s="24">
        <f>IF(OR(AX376="",AX376=0),"",AY376/AX376)</f>
        <v>0</v>
      </c>
      <c r="BA376" s="32">
        <f>IF(AW376=0,"",IF(AZ376="","",AZ376+ROW()/1000000))</f>
        <v>0</v>
      </c>
      <c r="BB376" s="17">
        <f>IF(Lists!$AL376="","",Lists!$AL376)</f>
        <v>0</v>
      </c>
      <c r="BC376" s="23">
        <f>IF(BB376="","",COUNTIF(Performance!$M$5:$M$404,BB376))</f>
        <v>0</v>
      </c>
      <c r="BD376" s="23">
        <f>IF(BB376="","",SUMIFS(Performance!$O$5:$O$404,Performance!$M$5:$M$404,BB376))</f>
        <v>0</v>
      </c>
      <c r="BE376" s="23">
        <f>IF(BB376="","",SUMIFS(Performance!$Z$5:$Z$404,Performance!$M$5:$M$404,BB376))</f>
        <v>0</v>
      </c>
      <c r="BF376" s="24">
        <f>IF(OR(BD376="",BD376=0),"",BE376/BD376)</f>
        <v>0</v>
      </c>
      <c r="BG376" s="32">
        <f>IF(BC376=0,"",IF(BF376="","",BF376+ROW()/1000000))</f>
        <v>0</v>
      </c>
      <c r="BH376" s="17">
        <f>IF(Performance!$C$376="","",Performance!$C$376)</f>
        <v>0</v>
      </c>
      <c r="BI376" s="17">
        <f>IF(Performance!$F$376="","",Performance!$F$376)</f>
        <v>0</v>
      </c>
      <c r="BJ376" s="17">
        <f>IF(Performance!$H$376="","",Performance!$H$376)</f>
        <v>0</v>
      </c>
      <c r="BK376" s="16">
        <f>IF(Performance!$D$376="","",Performance!$D$376)</f>
        <v>0</v>
      </c>
      <c r="BL376" s="17">
        <f>IF(Performance!$E$376="","",Performance!$E$376)</f>
        <v>0</v>
      </c>
      <c r="BM376" s="23">
        <f>IF(Performance!$O$376="","",Performance!$O$376)</f>
        <v>0</v>
      </c>
      <c r="BN376" s="24">
        <f>IF(Performance!$AA$376="","",Performance!$AA$376)</f>
        <v>0</v>
      </c>
      <c r="BO376" s="32">
        <f>IF(BH376="","",IF(BK376="","",IF(OR(BK376&lt;DashStart,BK376&gt;DashEnd),"",IF(BN376="","",BN376+ROW()/1000000))))</f>
        <v>0</v>
      </c>
      <c r="BP376" s="32">
        <f>IF(BM376="","",IF(BK376="","",IF(OR(BK376&lt;DashStart,BK376&gt;DashEnd),"",BM376+ROW()/1000000)))</f>
        <v>0</v>
      </c>
      <c r="BQ376" s="32">
        <f>IF(BH376="","",IF(BK376="","",IF(YEAR(BK376)&lt;&gt;PlanYear,"",IF(BN376="","",BN376+ROW()/1000000))))</f>
        <v>0</v>
      </c>
      <c r="BR376" s="32">
        <f>IF(BH376="","",IF(BK376="","",IF(OR(BK376&lt;RepFrom,BK376&gt;RepTo),"",IF(BN376="","",BN376+ROW()/1000000))))</f>
        <v>0</v>
      </c>
      <c r="BS376" s="32">
        <f>IF(BM376="","",IF(BK376="","",IF(YEAR(BK376)&lt;&gt;PlanYear,"",BM376+ROW()/1000000)))</f>
        <v>0</v>
      </c>
      <c r="BT376" s="17">
        <f>IF(Lists!$F376="","",Lists!$F376)</f>
        <v>0</v>
      </c>
      <c r="BU376" s="23">
        <f>IF(BT376="","",COUNTIF('Content Calendar'!$X$5:$X$604,BT376))</f>
        <v>0</v>
      </c>
      <c r="BV376" s="23">
        <f>IF(BT376="","",COUNTIFS('Content Calendar'!$X$5:$X$604,BT376,'Content Calendar'!$B$5:$B$604,"&gt;="&amp;DashStart,'Content Calendar'!$B$5:$B$604,"&lt;="&amp;DashEnd))</f>
        <v>0</v>
      </c>
      <c r="BW376" s="17">
        <f>IF(Team!$B$376="","",Team!$B$376)</f>
        <v>0</v>
      </c>
      <c r="BX376" s="23">
        <f>IF(BW376="","",COUNTIF('Content Calendar'!$W$5:$W$604,BW376))</f>
        <v>0</v>
      </c>
      <c r="BY376" s="23">
        <f>IF(BW376="","",COUNTIFS('Content Calendar'!$W$5:$W$604,BW376,'Content Calendar'!$X$5:$X$604,"&lt;&gt;Published"))</f>
        <v>0</v>
      </c>
      <c r="BZ376" s="23">
        <f>IF(BW376="","",COUNTIFS(Tasks!$C$5:$C$64,BW376,Tasks!$G$5:$G$64,"&lt;&gt;Complete"))</f>
        <v>0</v>
      </c>
      <c r="CA376" s="17">
        <f>IF(Campaigns!$B$376="","",Campaigns!$B$376)</f>
        <v>0</v>
      </c>
      <c r="CB376" s="25">
        <f>IF(Campaigns!$T$376="","",Campaigns!$T$376)</f>
        <v>0</v>
      </c>
      <c r="CC376" s="25">
        <f>IF(Campaigns!$Q$376="","",Campaigns!$Q$376)</f>
        <v>0</v>
      </c>
      <c r="CD376" s="23">
        <f>IF(Campaigns!$Y$376="","",Campaigns!$Y$376)</f>
        <v>0</v>
      </c>
      <c r="CE376" s="32">
        <f>IF(CA376="","",IF(N(CB376)&lt;=0,"",N(CB376)+ROW()/1000000))</f>
        <v>0</v>
      </c>
      <c r="CF376" s="17">
        <f>IF(Accounts!$C$376="","",Accounts!$C$376)</f>
        <v>0</v>
      </c>
      <c r="CG376" s="17">
        <f>IF(Accounts!$B$376="","",Accounts!$B$376)</f>
        <v>0</v>
      </c>
      <c r="CH376" s="23">
        <f>IF(Accounts!$J$376="","",Accounts!$J$376)</f>
        <v>0</v>
      </c>
      <c r="CI376" s="23">
        <f>IF(CF376="","",SUMIFS(Analytics!$X$5:$X$154,Analytics!$E$5:$E$154,CF376,Analytics!$B$5:$B$154,"&gt;="&amp;DashStart,Analytics!$B$5:$B$154,"&lt;="&amp;DashEnd))</f>
        <v>0</v>
      </c>
      <c r="CJ376" s="32">
        <f>IF(CH376="","",IF(CH376=0,"",CH376+ROW()/1000000))</f>
        <v>0</v>
      </c>
    </row>
    <row r="377" spans="1:88">
      <c r="A377" s="16">
        <f>IF(ROW()-4&gt;12,"",DATE(PlanYear,ROW()-4,1))</f>
        <v>0</v>
      </c>
      <c r="B377" s="16">
        <f>IF(A377="","",EOMONTH(A377,0))</f>
        <v>0</v>
      </c>
      <c r="C377" s="17">
        <f>IF(A377="","",TEXT(A377,"yyyy-mm"))</f>
        <v>0</v>
      </c>
      <c r="D377" s="17">
        <f>IF(A377="","",TEXT(A377,"mmm"))</f>
        <v>0</v>
      </c>
      <c r="E377" s="23">
        <f>IF(C377="","",COUNTIFS('Content Calendar'!$D$5:$D$604,C377))</f>
        <v>0</v>
      </c>
      <c r="F377" s="23">
        <f>IF(C377="","",COUNTIFS('Content Calendar'!$D$5:$D$604,C377,'Content Calendar'!$X$5:$X$604,"Published"))</f>
        <v>0</v>
      </c>
      <c r="G377" s="23">
        <f>IF(C377="","",SUMIFS(Analytics!$J$5:$J$154,Analytics!$C$5:$C$154,C377))</f>
        <v>0</v>
      </c>
      <c r="H377" s="23">
        <f>IF(C377="","",SUMIFS(Analytics!$K$5:$K$154,Analytics!$C$5:$C$154,C377))</f>
        <v>0</v>
      </c>
      <c r="I377" s="23">
        <f>IF(C377="","",SUMIFS(Analytics!$L$5:$L$154,Analytics!$C$5:$C$154,C377))</f>
        <v>0</v>
      </c>
      <c r="J377" s="24">
        <f>IF(OR(G377="",G377=0),"",I377/G377)</f>
        <v>0</v>
      </c>
      <c r="K377" s="23">
        <f>IF(C377="","",SUMIFS(Analytics!$G$5:$G$154,Analytics!$C$5:$C$154,C377))</f>
        <v>0</v>
      </c>
      <c r="L377" s="23">
        <f>IF(C377="","",SUMIFS(Analytics!$X$5:$X$154,Analytics!$C$5:$C$154,C377))</f>
        <v>0</v>
      </c>
      <c r="M377" s="23">
        <f>IF(C377="","",SUMIFS(Analytics!$R$5:$R$154,Analytics!$C$5:$C$154,C377))</f>
        <v>0</v>
      </c>
      <c r="N377" s="23">
        <f>IF(C377="","",SUMIFS(Analytics!$S$5:$S$154,Analytics!$C$5:$C$154,C377))</f>
        <v>0</v>
      </c>
      <c r="O377" s="23">
        <f>IF(C377="","",SUMIFS(Analytics!$T$5:$T$154,Analytics!$C$5:$C$154,C377))</f>
        <v>0</v>
      </c>
      <c r="P377" s="25">
        <f>IF(C377="","",SUMIFS(Analytics!$U$5:$U$154,Analytics!$C$5:$C$154,C377))</f>
        <v>0</v>
      </c>
      <c r="Q377" s="25">
        <f>IF(C377="","",SUMIFS(Budget!$H$5:$H$64,Budget!$C$5:$C$64,C377))</f>
        <v>0</v>
      </c>
      <c r="R377" s="25">
        <f>IF(C377="","",P377-Q377)</f>
        <v>0</v>
      </c>
      <c r="S377" s="23">
        <f>IF(C377="","",MonthlyPostTarget)</f>
        <v>0</v>
      </c>
      <c r="T377" s="17">
        <f>IF(Lists!$C377="","",Lists!$C377)</f>
        <v>0</v>
      </c>
      <c r="U377" s="23">
        <f>IF(T377="","",COUNTIFS('Content Calendar'!$G$5:$G$604,T377,'Content Calendar'!$B$5:$B$604,"&gt;="&amp;DashStart,'Content Calendar'!$B$5:$B$604,"&lt;="&amp;DashEnd))</f>
        <v>0</v>
      </c>
      <c r="V377" s="23">
        <f>IF(T377="","",COUNTIFS('Content Calendar'!$G$5:$G$604,T377,'Content Calendar'!$X$5:$X$604,"Published",'Content Calendar'!$B$5:$B$604,"&gt;="&amp;DashStart,'Content Calendar'!$B$5:$B$604,"&lt;="&amp;DashEnd))</f>
        <v>0</v>
      </c>
      <c r="W377" s="23">
        <f>IF(T377="","",SUMIFS(Analytics!$J$5:$J$154,Analytics!$D$5:$D$154,T377,Analytics!$B$5:$B$154,"&gt;="&amp;DashStart,Analytics!$B$5:$B$154,"&lt;="&amp;DashEnd))</f>
        <v>0</v>
      </c>
      <c r="X377" s="23">
        <f>IF(T377="","",SUMIFS(Analytics!$L$5:$L$154,Analytics!$D$5:$D$154,T377,Analytics!$B$5:$B$154,"&gt;="&amp;DashStart,Analytics!$B$5:$B$154,"&lt;="&amp;DashEnd))</f>
        <v>0</v>
      </c>
      <c r="Y377" s="24">
        <f>IF(OR(W377="",W377=0),"",X377/W377)</f>
        <v>0</v>
      </c>
      <c r="Z377" s="23">
        <f>IF(T377="","",SUMIFS(Analytics!$G$5:$G$154,Analytics!$D$5:$D$154,T377,Analytics!$B$5:$B$154,"&gt;="&amp;DashStart,Analytics!$B$5:$B$154,"&lt;="&amp;DashEnd))</f>
        <v>0</v>
      </c>
      <c r="AA377" s="23">
        <f>IF(T377="","",SUMIFS(Analytics!$X$5:$X$154,Analytics!$D$5:$D$154,T377,Analytics!$B$5:$B$154,"&gt;="&amp;DashStart,Analytics!$B$5:$B$154,"&lt;="&amp;DashEnd))</f>
        <v>0</v>
      </c>
      <c r="AB377" s="23">
        <f>IF(T377="","",SUMIFS(Analytics!$R$5:$R$154,Analytics!$D$5:$D$154,T377,Analytics!$B$5:$B$154,"&gt;="&amp;DashStart,Analytics!$B$5:$B$154,"&lt;="&amp;DashEnd))</f>
        <v>0</v>
      </c>
      <c r="AC377" s="25">
        <f>IF(T377="","",SUMIFS(Analytics!$U$5:$U$154,Analytics!$D$5:$D$154,T377,Analytics!$B$5:$B$154,"&gt;="&amp;DashStart,Analytics!$B$5:$B$154,"&lt;="&amp;DashEnd))</f>
        <v>0</v>
      </c>
      <c r="AD377" s="23">
        <f>IF(T377="","",COUNTIFS('Content Calendar'!$G$5:$G$604,T377,'Content Calendar'!$B$5:$B$604,"&gt;="&amp;DATE(PlanYear,1,1),'Content Calendar'!$B$5:$B$604,"&lt;="&amp;DATE(PlanYear,12,31)))</f>
        <v>0</v>
      </c>
      <c r="AE377" s="23">
        <f>IF(T377="","",SUMIFS(Analytics!$J$5:$J$154,Analytics!$D$5:$D$154,T377))</f>
        <v>0</v>
      </c>
      <c r="AF377" s="23">
        <f>IF(T377="","",SUMIFS(Analytics!$L$5:$L$154,Analytics!$D$5:$D$154,T377))</f>
        <v>0</v>
      </c>
      <c r="AG377" s="24">
        <f>IF(OR(AE377="",AE377=0),"",AF377/AE377)</f>
        <v>0</v>
      </c>
      <c r="AH377" s="23">
        <f>IF(T377="","",SUMIFS(Analytics!$X$5:$X$154,Analytics!$D$5:$D$154,T377))</f>
        <v>0</v>
      </c>
      <c r="AI377" s="32">
        <f>IF(T377="","",IF(AE377=0,"",AE377+ROW()/1000000))</f>
        <v>0</v>
      </c>
      <c r="AJ377" s="17">
        <f>IF('Content Pillars'!$B$377="","",'Content Pillars'!$B$377)</f>
        <v>0</v>
      </c>
      <c r="AK377" s="23">
        <f>IF(AJ377="","",COUNTIFS('Content Calendar'!$J$5:$J$604,AJ377,'Content Calendar'!$B$5:$B$604,"&gt;="&amp;DATE(PlanYear,1,1),'Content Calendar'!$B$5:$B$604,"&lt;="&amp;DATE(PlanYear,12,31)))</f>
        <v>0</v>
      </c>
      <c r="AL377" s="23">
        <f>IF(AJ377="","",SUMIFS(Performance!$O$5:$O$404,Performance!$H$5:$H$404,AJ377))</f>
        <v>0</v>
      </c>
      <c r="AM377" s="23">
        <f>IF(AJ377="","",SUMIFS(Performance!$Z$5:$Z$404,Performance!$H$5:$H$404,AJ377))</f>
        <v>0</v>
      </c>
      <c r="AN377" s="24">
        <f>IF(OR(AL377="",AL377=0),"",AM377/AL377)</f>
        <v>0</v>
      </c>
      <c r="AO377" s="32">
        <f>IF(AN377="","",AN377+ROW()/1000000)</f>
        <v>0</v>
      </c>
      <c r="AP377" s="17">
        <f>IF(Lists!$E377="","",Lists!$E377)</f>
        <v>0</v>
      </c>
      <c r="AQ377" s="23">
        <f>IF(AP377="","",COUNTIF(Performance!$G$5:$G$404,AP377))</f>
        <v>0</v>
      </c>
      <c r="AR377" s="23">
        <f>IF(AP377="","",SUMIFS(Performance!$O$5:$O$404,Performance!$G$5:$G$404,AP377))</f>
        <v>0</v>
      </c>
      <c r="AS377" s="23">
        <f>IF(AP377="","",SUMIFS(Performance!$Z$5:$Z$404,Performance!$G$5:$G$404,AP377))</f>
        <v>0</v>
      </c>
      <c r="AT377" s="24">
        <f>IF(OR(AR377="",AR377=0),"",AS377/AR377)</f>
        <v>0</v>
      </c>
      <c r="AU377" s="32">
        <f>IF(AQ377=0,"",IF(AT377="","",AT377+ROW()/1000000))</f>
        <v>0</v>
      </c>
      <c r="AV377" s="17">
        <f>IF(ROW()-4&gt;7,"",TEXT(DATE(2024,1,ROW()-4),"ddd"))</f>
        <v>0</v>
      </c>
      <c r="AW377" s="23">
        <f>IF(AV377="","",COUNTIF(Performance!$N$5:$N$404,AV377))</f>
        <v>0</v>
      </c>
      <c r="AX377" s="23">
        <f>IF(AV377="","",SUMIFS(Performance!$O$5:$O$404,Performance!$N$5:$N$404,AV377))</f>
        <v>0</v>
      </c>
      <c r="AY377" s="23">
        <f>IF(AV377="","",SUMIFS(Performance!$Z$5:$Z$404,Performance!$N$5:$N$404,AV377))</f>
        <v>0</v>
      </c>
      <c r="AZ377" s="24">
        <f>IF(OR(AX377="",AX377=0),"",AY377/AX377)</f>
        <v>0</v>
      </c>
      <c r="BA377" s="32">
        <f>IF(AW377=0,"",IF(AZ377="","",AZ377+ROW()/1000000))</f>
        <v>0</v>
      </c>
      <c r="BB377" s="17">
        <f>IF(Lists!$AL377="","",Lists!$AL377)</f>
        <v>0</v>
      </c>
      <c r="BC377" s="23">
        <f>IF(BB377="","",COUNTIF(Performance!$M$5:$M$404,BB377))</f>
        <v>0</v>
      </c>
      <c r="BD377" s="23">
        <f>IF(BB377="","",SUMIFS(Performance!$O$5:$O$404,Performance!$M$5:$M$404,BB377))</f>
        <v>0</v>
      </c>
      <c r="BE377" s="23">
        <f>IF(BB377="","",SUMIFS(Performance!$Z$5:$Z$404,Performance!$M$5:$M$404,BB377))</f>
        <v>0</v>
      </c>
      <c r="BF377" s="24">
        <f>IF(OR(BD377="",BD377=0),"",BE377/BD377)</f>
        <v>0</v>
      </c>
      <c r="BG377" s="32">
        <f>IF(BC377=0,"",IF(BF377="","",BF377+ROW()/1000000))</f>
        <v>0</v>
      </c>
      <c r="BH377" s="17">
        <f>IF(Performance!$C$377="","",Performance!$C$377)</f>
        <v>0</v>
      </c>
      <c r="BI377" s="17">
        <f>IF(Performance!$F$377="","",Performance!$F$377)</f>
        <v>0</v>
      </c>
      <c r="BJ377" s="17">
        <f>IF(Performance!$H$377="","",Performance!$H$377)</f>
        <v>0</v>
      </c>
      <c r="BK377" s="16">
        <f>IF(Performance!$D$377="","",Performance!$D$377)</f>
        <v>0</v>
      </c>
      <c r="BL377" s="17">
        <f>IF(Performance!$E$377="","",Performance!$E$377)</f>
        <v>0</v>
      </c>
      <c r="BM377" s="23">
        <f>IF(Performance!$O$377="","",Performance!$O$377)</f>
        <v>0</v>
      </c>
      <c r="BN377" s="24">
        <f>IF(Performance!$AA$377="","",Performance!$AA$377)</f>
        <v>0</v>
      </c>
      <c r="BO377" s="32">
        <f>IF(BH377="","",IF(BK377="","",IF(OR(BK377&lt;DashStart,BK377&gt;DashEnd),"",IF(BN377="","",BN377+ROW()/1000000))))</f>
        <v>0</v>
      </c>
      <c r="BP377" s="32">
        <f>IF(BM377="","",IF(BK377="","",IF(OR(BK377&lt;DashStart,BK377&gt;DashEnd),"",BM377+ROW()/1000000)))</f>
        <v>0</v>
      </c>
      <c r="BQ377" s="32">
        <f>IF(BH377="","",IF(BK377="","",IF(YEAR(BK377)&lt;&gt;PlanYear,"",IF(BN377="","",BN377+ROW()/1000000))))</f>
        <v>0</v>
      </c>
      <c r="BR377" s="32">
        <f>IF(BH377="","",IF(BK377="","",IF(OR(BK377&lt;RepFrom,BK377&gt;RepTo),"",IF(BN377="","",BN377+ROW()/1000000))))</f>
        <v>0</v>
      </c>
      <c r="BS377" s="32">
        <f>IF(BM377="","",IF(BK377="","",IF(YEAR(BK377)&lt;&gt;PlanYear,"",BM377+ROW()/1000000)))</f>
        <v>0</v>
      </c>
      <c r="BT377" s="17">
        <f>IF(Lists!$F377="","",Lists!$F377)</f>
        <v>0</v>
      </c>
      <c r="BU377" s="23">
        <f>IF(BT377="","",COUNTIF('Content Calendar'!$X$5:$X$604,BT377))</f>
        <v>0</v>
      </c>
      <c r="BV377" s="23">
        <f>IF(BT377="","",COUNTIFS('Content Calendar'!$X$5:$X$604,BT377,'Content Calendar'!$B$5:$B$604,"&gt;="&amp;DashStart,'Content Calendar'!$B$5:$B$604,"&lt;="&amp;DashEnd))</f>
        <v>0</v>
      </c>
      <c r="BW377" s="17">
        <f>IF(Team!$B$377="","",Team!$B$377)</f>
        <v>0</v>
      </c>
      <c r="BX377" s="23">
        <f>IF(BW377="","",COUNTIF('Content Calendar'!$W$5:$W$604,BW377))</f>
        <v>0</v>
      </c>
      <c r="BY377" s="23">
        <f>IF(BW377="","",COUNTIFS('Content Calendar'!$W$5:$W$604,BW377,'Content Calendar'!$X$5:$X$604,"&lt;&gt;Published"))</f>
        <v>0</v>
      </c>
      <c r="BZ377" s="23">
        <f>IF(BW377="","",COUNTIFS(Tasks!$C$5:$C$64,BW377,Tasks!$G$5:$G$64,"&lt;&gt;Complete"))</f>
        <v>0</v>
      </c>
      <c r="CA377" s="17">
        <f>IF(Campaigns!$B$377="","",Campaigns!$B$377)</f>
        <v>0</v>
      </c>
      <c r="CB377" s="25">
        <f>IF(Campaigns!$T$377="","",Campaigns!$T$377)</f>
        <v>0</v>
      </c>
      <c r="CC377" s="25">
        <f>IF(Campaigns!$Q$377="","",Campaigns!$Q$377)</f>
        <v>0</v>
      </c>
      <c r="CD377" s="23">
        <f>IF(Campaigns!$Y$377="","",Campaigns!$Y$377)</f>
        <v>0</v>
      </c>
      <c r="CE377" s="32">
        <f>IF(CA377="","",IF(N(CB377)&lt;=0,"",N(CB377)+ROW()/1000000))</f>
        <v>0</v>
      </c>
      <c r="CF377" s="17">
        <f>IF(Accounts!$C$377="","",Accounts!$C$377)</f>
        <v>0</v>
      </c>
      <c r="CG377" s="17">
        <f>IF(Accounts!$B$377="","",Accounts!$B$377)</f>
        <v>0</v>
      </c>
      <c r="CH377" s="23">
        <f>IF(Accounts!$J$377="","",Accounts!$J$377)</f>
        <v>0</v>
      </c>
      <c r="CI377" s="23">
        <f>IF(CF377="","",SUMIFS(Analytics!$X$5:$X$154,Analytics!$E$5:$E$154,CF377,Analytics!$B$5:$B$154,"&gt;="&amp;DashStart,Analytics!$B$5:$B$154,"&lt;="&amp;DashEnd))</f>
        <v>0</v>
      </c>
      <c r="CJ377" s="32">
        <f>IF(CH377="","",IF(CH377=0,"",CH377+ROW()/1000000))</f>
        <v>0</v>
      </c>
    </row>
    <row r="378" spans="1:88">
      <c r="A378" s="16">
        <f>IF(ROW()-4&gt;12,"",DATE(PlanYear,ROW()-4,1))</f>
        <v>0</v>
      </c>
      <c r="B378" s="16">
        <f>IF(A378="","",EOMONTH(A378,0))</f>
        <v>0</v>
      </c>
      <c r="C378" s="17">
        <f>IF(A378="","",TEXT(A378,"yyyy-mm"))</f>
        <v>0</v>
      </c>
      <c r="D378" s="17">
        <f>IF(A378="","",TEXT(A378,"mmm"))</f>
        <v>0</v>
      </c>
      <c r="E378" s="23">
        <f>IF(C378="","",COUNTIFS('Content Calendar'!$D$5:$D$604,C378))</f>
        <v>0</v>
      </c>
      <c r="F378" s="23">
        <f>IF(C378="","",COUNTIFS('Content Calendar'!$D$5:$D$604,C378,'Content Calendar'!$X$5:$X$604,"Published"))</f>
        <v>0</v>
      </c>
      <c r="G378" s="23">
        <f>IF(C378="","",SUMIFS(Analytics!$J$5:$J$154,Analytics!$C$5:$C$154,C378))</f>
        <v>0</v>
      </c>
      <c r="H378" s="23">
        <f>IF(C378="","",SUMIFS(Analytics!$K$5:$K$154,Analytics!$C$5:$C$154,C378))</f>
        <v>0</v>
      </c>
      <c r="I378" s="23">
        <f>IF(C378="","",SUMIFS(Analytics!$L$5:$L$154,Analytics!$C$5:$C$154,C378))</f>
        <v>0</v>
      </c>
      <c r="J378" s="24">
        <f>IF(OR(G378="",G378=0),"",I378/G378)</f>
        <v>0</v>
      </c>
      <c r="K378" s="23">
        <f>IF(C378="","",SUMIFS(Analytics!$G$5:$G$154,Analytics!$C$5:$C$154,C378))</f>
        <v>0</v>
      </c>
      <c r="L378" s="23">
        <f>IF(C378="","",SUMIFS(Analytics!$X$5:$X$154,Analytics!$C$5:$C$154,C378))</f>
        <v>0</v>
      </c>
      <c r="M378" s="23">
        <f>IF(C378="","",SUMIFS(Analytics!$R$5:$R$154,Analytics!$C$5:$C$154,C378))</f>
        <v>0</v>
      </c>
      <c r="N378" s="23">
        <f>IF(C378="","",SUMIFS(Analytics!$S$5:$S$154,Analytics!$C$5:$C$154,C378))</f>
        <v>0</v>
      </c>
      <c r="O378" s="23">
        <f>IF(C378="","",SUMIFS(Analytics!$T$5:$T$154,Analytics!$C$5:$C$154,C378))</f>
        <v>0</v>
      </c>
      <c r="P378" s="25">
        <f>IF(C378="","",SUMIFS(Analytics!$U$5:$U$154,Analytics!$C$5:$C$154,C378))</f>
        <v>0</v>
      </c>
      <c r="Q378" s="25">
        <f>IF(C378="","",SUMIFS(Budget!$H$5:$H$64,Budget!$C$5:$C$64,C378))</f>
        <v>0</v>
      </c>
      <c r="R378" s="25">
        <f>IF(C378="","",P378-Q378)</f>
        <v>0</v>
      </c>
      <c r="S378" s="23">
        <f>IF(C378="","",MonthlyPostTarget)</f>
        <v>0</v>
      </c>
      <c r="T378" s="17">
        <f>IF(Lists!$C378="","",Lists!$C378)</f>
        <v>0</v>
      </c>
      <c r="U378" s="23">
        <f>IF(T378="","",COUNTIFS('Content Calendar'!$G$5:$G$604,T378,'Content Calendar'!$B$5:$B$604,"&gt;="&amp;DashStart,'Content Calendar'!$B$5:$B$604,"&lt;="&amp;DashEnd))</f>
        <v>0</v>
      </c>
      <c r="V378" s="23">
        <f>IF(T378="","",COUNTIFS('Content Calendar'!$G$5:$G$604,T378,'Content Calendar'!$X$5:$X$604,"Published",'Content Calendar'!$B$5:$B$604,"&gt;="&amp;DashStart,'Content Calendar'!$B$5:$B$604,"&lt;="&amp;DashEnd))</f>
        <v>0</v>
      </c>
      <c r="W378" s="23">
        <f>IF(T378="","",SUMIFS(Analytics!$J$5:$J$154,Analytics!$D$5:$D$154,T378,Analytics!$B$5:$B$154,"&gt;="&amp;DashStart,Analytics!$B$5:$B$154,"&lt;="&amp;DashEnd))</f>
        <v>0</v>
      </c>
      <c r="X378" s="23">
        <f>IF(T378="","",SUMIFS(Analytics!$L$5:$L$154,Analytics!$D$5:$D$154,T378,Analytics!$B$5:$B$154,"&gt;="&amp;DashStart,Analytics!$B$5:$B$154,"&lt;="&amp;DashEnd))</f>
        <v>0</v>
      </c>
      <c r="Y378" s="24">
        <f>IF(OR(W378="",W378=0),"",X378/W378)</f>
        <v>0</v>
      </c>
      <c r="Z378" s="23">
        <f>IF(T378="","",SUMIFS(Analytics!$G$5:$G$154,Analytics!$D$5:$D$154,T378,Analytics!$B$5:$B$154,"&gt;="&amp;DashStart,Analytics!$B$5:$B$154,"&lt;="&amp;DashEnd))</f>
        <v>0</v>
      </c>
      <c r="AA378" s="23">
        <f>IF(T378="","",SUMIFS(Analytics!$X$5:$X$154,Analytics!$D$5:$D$154,T378,Analytics!$B$5:$B$154,"&gt;="&amp;DashStart,Analytics!$B$5:$B$154,"&lt;="&amp;DashEnd))</f>
        <v>0</v>
      </c>
      <c r="AB378" s="23">
        <f>IF(T378="","",SUMIFS(Analytics!$R$5:$R$154,Analytics!$D$5:$D$154,T378,Analytics!$B$5:$B$154,"&gt;="&amp;DashStart,Analytics!$B$5:$B$154,"&lt;="&amp;DashEnd))</f>
        <v>0</v>
      </c>
      <c r="AC378" s="25">
        <f>IF(T378="","",SUMIFS(Analytics!$U$5:$U$154,Analytics!$D$5:$D$154,T378,Analytics!$B$5:$B$154,"&gt;="&amp;DashStart,Analytics!$B$5:$B$154,"&lt;="&amp;DashEnd))</f>
        <v>0</v>
      </c>
      <c r="AD378" s="23">
        <f>IF(T378="","",COUNTIFS('Content Calendar'!$G$5:$G$604,T378,'Content Calendar'!$B$5:$B$604,"&gt;="&amp;DATE(PlanYear,1,1),'Content Calendar'!$B$5:$B$604,"&lt;="&amp;DATE(PlanYear,12,31)))</f>
        <v>0</v>
      </c>
      <c r="AE378" s="23">
        <f>IF(T378="","",SUMIFS(Analytics!$J$5:$J$154,Analytics!$D$5:$D$154,T378))</f>
        <v>0</v>
      </c>
      <c r="AF378" s="23">
        <f>IF(T378="","",SUMIFS(Analytics!$L$5:$L$154,Analytics!$D$5:$D$154,T378))</f>
        <v>0</v>
      </c>
      <c r="AG378" s="24">
        <f>IF(OR(AE378="",AE378=0),"",AF378/AE378)</f>
        <v>0</v>
      </c>
      <c r="AH378" s="23">
        <f>IF(T378="","",SUMIFS(Analytics!$X$5:$X$154,Analytics!$D$5:$D$154,T378))</f>
        <v>0</v>
      </c>
      <c r="AI378" s="32">
        <f>IF(T378="","",IF(AE378=0,"",AE378+ROW()/1000000))</f>
        <v>0</v>
      </c>
      <c r="AJ378" s="17">
        <f>IF('Content Pillars'!$B$378="","",'Content Pillars'!$B$378)</f>
        <v>0</v>
      </c>
      <c r="AK378" s="23">
        <f>IF(AJ378="","",COUNTIFS('Content Calendar'!$J$5:$J$604,AJ378,'Content Calendar'!$B$5:$B$604,"&gt;="&amp;DATE(PlanYear,1,1),'Content Calendar'!$B$5:$B$604,"&lt;="&amp;DATE(PlanYear,12,31)))</f>
        <v>0</v>
      </c>
      <c r="AL378" s="23">
        <f>IF(AJ378="","",SUMIFS(Performance!$O$5:$O$404,Performance!$H$5:$H$404,AJ378))</f>
        <v>0</v>
      </c>
      <c r="AM378" s="23">
        <f>IF(AJ378="","",SUMIFS(Performance!$Z$5:$Z$404,Performance!$H$5:$H$404,AJ378))</f>
        <v>0</v>
      </c>
      <c r="AN378" s="24">
        <f>IF(OR(AL378="",AL378=0),"",AM378/AL378)</f>
        <v>0</v>
      </c>
      <c r="AO378" s="32">
        <f>IF(AN378="","",AN378+ROW()/1000000)</f>
        <v>0</v>
      </c>
      <c r="AP378" s="17">
        <f>IF(Lists!$E378="","",Lists!$E378)</f>
        <v>0</v>
      </c>
      <c r="AQ378" s="23">
        <f>IF(AP378="","",COUNTIF(Performance!$G$5:$G$404,AP378))</f>
        <v>0</v>
      </c>
      <c r="AR378" s="23">
        <f>IF(AP378="","",SUMIFS(Performance!$O$5:$O$404,Performance!$G$5:$G$404,AP378))</f>
        <v>0</v>
      </c>
      <c r="AS378" s="23">
        <f>IF(AP378="","",SUMIFS(Performance!$Z$5:$Z$404,Performance!$G$5:$G$404,AP378))</f>
        <v>0</v>
      </c>
      <c r="AT378" s="24">
        <f>IF(OR(AR378="",AR378=0),"",AS378/AR378)</f>
        <v>0</v>
      </c>
      <c r="AU378" s="32">
        <f>IF(AQ378=0,"",IF(AT378="","",AT378+ROW()/1000000))</f>
        <v>0</v>
      </c>
      <c r="AV378" s="17">
        <f>IF(ROW()-4&gt;7,"",TEXT(DATE(2024,1,ROW()-4),"ddd"))</f>
        <v>0</v>
      </c>
      <c r="AW378" s="23">
        <f>IF(AV378="","",COUNTIF(Performance!$N$5:$N$404,AV378))</f>
        <v>0</v>
      </c>
      <c r="AX378" s="23">
        <f>IF(AV378="","",SUMIFS(Performance!$O$5:$O$404,Performance!$N$5:$N$404,AV378))</f>
        <v>0</v>
      </c>
      <c r="AY378" s="23">
        <f>IF(AV378="","",SUMIFS(Performance!$Z$5:$Z$404,Performance!$N$5:$N$404,AV378))</f>
        <v>0</v>
      </c>
      <c r="AZ378" s="24">
        <f>IF(OR(AX378="",AX378=0),"",AY378/AX378)</f>
        <v>0</v>
      </c>
      <c r="BA378" s="32">
        <f>IF(AW378=0,"",IF(AZ378="","",AZ378+ROW()/1000000))</f>
        <v>0</v>
      </c>
      <c r="BB378" s="17">
        <f>IF(Lists!$AL378="","",Lists!$AL378)</f>
        <v>0</v>
      </c>
      <c r="BC378" s="23">
        <f>IF(BB378="","",COUNTIF(Performance!$M$5:$M$404,BB378))</f>
        <v>0</v>
      </c>
      <c r="BD378" s="23">
        <f>IF(BB378="","",SUMIFS(Performance!$O$5:$O$404,Performance!$M$5:$M$404,BB378))</f>
        <v>0</v>
      </c>
      <c r="BE378" s="23">
        <f>IF(BB378="","",SUMIFS(Performance!$Z$5:$Z$404,Performance!$M$5:$M$404,BB378))</f>
        <v>0</v>
      </c>
      <c r="BF378" s="24">
        <f>IF(OR(BD378="",BD378=0),"",BE378/BD378)</f>
        <v>0</v>
      </c>
      <c r="BG378" s="32">
        <f>IF(BC378=0,"",IF(BF378="","",BF378+ROW()/1000000))</f>
        <v>0</v>
      </c>
      <c r="BH378" s="17">
        <f>IF(Performance!$C$378="","",Performance!$C$378)</f>
        <v>0</v>
      </c>
      <c r="BI378" s="17">
        <f>IF(Performance!$F$378="","",Performance!$F$378)</f>
        <v>0</v>
      </c>
      <c r="BJ378" s="17">
        <f>IF(Performance!$H$378="","",Performance!$H$378)</f>
        <v>0</v>
      </c>
      <c r="BK378" s="16">
        <f>IF(Performance!$D$378="","",Performance!$D$378)</f>
        <v>0</v>
      </c>
      <c r="BL378" s="17">
        <f>IF(Performance!$E$378="","",Performance!$E$378)</f>
        <v>0</v>
      </c>
      <c r="BM378" s="23">
        <f>IF(Performance!$O$378="","",Performance!$O$378)</f>
        <v>0</v>
      </c>
      <c r="BN378" s="24">
        <f>IF(Performance!$AA$378="","",Performance!$AA$378)</f>
        <v>0</v>
      </c>
      <c r="BO378" s="32">
        <f>IF(BH378="","",IF(BK378="","",IF(OR(BK378&lt;DashStart,BK378&gt;DashEnd),"",IF(BN378="","",BN378+ROW()/1000000))))</f>
        <v>0</v>
      </c>
      <c r="BP378" s="32">
        <f>IF(BM378="","",IF(BK378="","",IF(OR(BK378&lt;DashStart,BK378&gt;DashEnd),"",BM378+ROW()/1000000)))</f>
        <v>0</v>
      </c>
      <c r="BQ378" s="32">
        <f>IF(BH378="","",IF(BK378="","",IF(YEAR(BK378)&lt;&gt;PlanYear,"",IF(BN378="","",BN378+ROW()/1000000))))</f>
        <v>0</v>
      </c>
      <c r="BR378" s="32">
        <f>IF(BH378="","",IF(BK378="","",IF(OR(BK378&lt;RepFrom,BK378&gt;RepTo),"",IF(BN378="","",BN378+ROW()/1000000))))</f>
        <v>0</v>
      </c>
      <c r="BS378" s="32">
        <f>IF(BM378="","",IF(BK378="","",IF(YEAR(BK378)&lt;&gt;PlanYear,"",BM378+ROW()/1000000)))</f>
        <v>0</v>
      </c>
      <c r="BT378" s="17">
        <f>IF(Lists!$F378="","",Lists!$F378)</f>
        <v>0</v>
      </c>
      <c r="BU378" s="23">
        <f>IF(BT378="","",COUNTIF('Content Calendar'!$X$5:$X$604,BT378))</f>
        <v>0</v>
      </c>
      <c r="BV378" s="23">
        <f>IF(BT378="","",COUNTIFS('Content Calendar'!$X$5:$X$604,BT378,'Content Calendar'!$B$5:$B$604,"&gt;="&amp;DashStart,'Content Calendar'!$B$5:$B$604,"&lt;="&amp;DashEnd))</f>
        <v>0</v>
      </c>
      <c r="BW378" s="17">
        <f>IF(Team!$B$378="","",Team!$B$378)</f>
        <v>0</v>
      </c>
      <c r="BX378" s="23">
        <f>IF(BW378="","",COUNTIF('Content Calendar'!$W$5:$W$604,BW378))</f>
        <v>0</v>
      </c>
      <c r="BY378" s="23">
        <f>IF(BW378="","",COUNTIFS('Content Calendar'!$W$5:$W$604,BW378,'Content Calendar'!$X$5:$X$604,"&lt;&gt;Published"))</f>
        <v>0</v>
      </c>
      <c r="BZ378" s="23">
        <f>IF(BW378="","",COUNTIFS(Tasks!$C$5:$C$64,BW378,Tasks!$G$5:$G$64,"&lt;&gt;Complete"))</f>
        <v>0</v>
      </c>
      <c r="CA378" s="17">
        <f>IF(Campaigns!$B$378="","",Campaigns!$B$378)</f>
        <v>0</v>
      </c>
      <c r="CB378" s="25">
        <f>IF(Campaigns!$T$378="","",Campaigns!$T$378)</f>
        <v>0</v>
      </c>
      <c r="CC378" s="25">
        <f>IF(Campaigns!$Q$378="","",Campaigns!$Q$378)</f>
        <v>0</v>
      </c>
      <c r="CD378" s="23">
        <f>IF(Campaigns!$Y$378="","",Campaigns!$Y$378)</f>
        <v>0</v>
      </c>
      <c r="CE378" s="32">
        <f>IF(CA378="","",IF(N(CB378)&lt;=0,"",N(CB378)+ROW()/1000000))</f>
        <v>0</v>
      </c>
      <c r="CF378" s="17">
        <f>IF(Accounts!$C$378="","",Accounts!$C$378)</f>
        <v>0</v>
      </c>
      <c r="CG378" s="17">
        <f>IF(Accounts!$B$378="","",Accounts!$B$378)</f>
        <v>0</v>
      </c>
      <c r="CH378" s="23">
        <f>IF(Accounts!$J$378="","",Accounts!$J$378)</f>
        <v>0</v>
      </c>
      <c r="CI378" s="23">
        <f>IF(CF378="","",SUMIFS(Analytics!$X$5:$X$154,Analytics!$E$5:$E$154,CF378,Analytics!$B$5:$B$154,"&gt;="&amp;DashStart,Analytics!$B$5:$B$154,"&lt;="&amp;DashEnd))</f>
        <v>0</v>
      </c>
      <c r="CJ378" s="32">
        <f>IF(CH378="","",IF(CH378=0,"",CH378+ROW()/1000000))</f>
        <v>0</v>
      </c>
    </row>
    <row r="379" spans="1:88">
      <c r="A379" s="16">
        <f>IF(ROW()-4&gt;12,"",DATE(PlanYear,ROW()-4,1))</f>
        <v>0</v>
      </c>
      <c r="B379" s="16">
        <f>IF(A379="","",EOMONTH(A379,0))</f>
        <v>0</v>
      </c>
      <c r="C379" s="17">
        <f>IF(A379="","",TEXT(A379,"yyyy-mm"))</f>
        <v>0</v>
      </c>
      <c r="D379" s="17">
        <f>IF(A379="","",TEXT(A379,"mmm"))</f>
        <v>0</v>
      </c>
      <c r="E379" s="23">
        <f>IF(C379="","",COUNTIFS('Content Calendar'!$D$5:$D$604,C379))</f>
        <v>0</v>
      </c>
      <c r="F379" s="23">
        <f>IF(C379="","",COUNTIFS('Content Calendar'!$D$5:$D$604,C379,'Content Calendar'!$X$5:$X$604,"Published"))</f>
        <v>0</v>
      </c>
      <c r="G379" s="23">
        <f>IF(C379="","",SUMIFS(Analytics!$J$5:$J$154,Analytics!$C$5:$C$154,C379))</f>
        <v>0</v>
      </c>
      <c r="H379" s="23">
        <f>IF(C379="","",SUMIFS(Analytics!$K$5:$K$154,Analytics!$C$5:$C$154,C379))</f>
        <v>0</v>
      </c>
      <c r="I379" s="23">
        <f>IF(C379="","",SUMIFS(Analytics!$L$5:$L$154,Analytics!$C$5:$C$154,C379))</f>
        <v>0</v>
      </c>
      <c r="J379" s="24">
        <f>IF(OR(G379="",G379=0),"",I379/G379)</f>
        <v>0</v>
      </c>
      <c r="K379" s="23">
        <f>IF(C379="","",SUMIFS(Analytics!$G$5:$G$154,Analytics!$C$5:$C$154,C379))</f>
        <v>0</v>
      </c>
      <c r="L379" s="23">
        <f>IF(C379="","",SUMIFS(Analytics!$X$5:$X$154,Analytics!$C$5:$C$154,C379))</f>
        <v>0</v>
      </c>
      <c r="M379" s="23">
        <f>IF(C379="","",SUMIFS(Analytics!$R$5:$R$154,Analytics!$C$5:$C$154,C379))</f>
        <v>0</v>
      </c>
      <c r="N379" s="23">
        <f>IF(C379="","",SUMIFS(Analytics!$S$5:$S$154,Analytics!$C$5:$C$154,C379))</f>
        <v>0</v>
      </c>
      <c r="O379" s="23">
        <f>IF(C379="","",SUMIFS(Analytics!$T$5:$T$154,Analytics!$C$5:$C$154,C379))</f>
        <v>0</v>
      </c>
      <c r="P379" s="25">
        <f>IF(C379="","",SUMIFS(Analytics!$U$5:$U$154,Analytics!$C$5:$C$154,C379))</f>
        <v>0</v>
      </c>
      <c r="Q379" s="25">
        <f>IF(C379="","",SUMIFS(Budget!$H$5:$H$64,Budget!$C$5:$C$64,C379))</f>
        <v>0</v>
      </c>
      <c r="R379" s="25">
        <f>IF(C379="","",P379-Q379)</f>
        <v>0</v>
      </c>
      <c r="S379" s="23">
        <f>IF(C379="","",MonthlyPostTarget)</f>
        <v>0</v>
      </c>
      <c r="T379" s="17">
        <f>IF(Lists!$C379="","",Lists!$C379)</f>
        <v>0</v>
      </c>
      <c r="U379" s="23">
        <f>IF(T379="","",COUNTIFS('Content Calendar'!$G$5:$G$604,T379,'Content Calendar'!$B$5:$B$604,"&gt;="&amp;DashStart,'Content Calendar'!$B$5:$B$604,"&lt;="&amp;DashEnd))</f>
        <v>0</v>
      </c>
      <c r="V379" s="23">
        <f>IF(T379="","",COUNTIFS('Content Calendar'!$G$5:$G$604,T379,'Content Calendar'!$X$5:$X$604,"Published",'Content Calendar'!$B$5:$B$604,"&gt;="&amp;DashStart,'Content Calendar'!$B$5:$B$604,"&lt;="&amp;DashEnd))</f>
        <v>0</v>
      </c>
      <c r="W379" s="23">
        <f>IF(T379="","",SUMIFS(Analytics!$J$5:$J$154,Analytics!$D$5:$D$154,T379,Analytics!$B$5:$B$154,"&gt;="&amp;DashStart,Analytics!$B$5:$B$154,"&lt;="&amp;DashEnd))</f>
        <v>0</v>
      </c>
      <c r="X379" s="23">
        <f>IF(T379="","",SUMIFS(Analytics!$L$5:$L$154,Analytics!$D$5:$D$154,T379,Analytics!$B$5:$B$154,"&gt;="&amp;DashStart,Analytics!$B$5:$B$154,"&lt;="&amp;DashEnd))</f>
        <v>0</v>
      </c>
      <c r="Y379" s="24">
        <f>IF(OR(W379="",W379=0),"",X379/W379)</f>
        <v>0</v>
      </c>
      <c r="Z379" s="23">
        <f>IF(T379="","",SUMIFS(Analytics!$G$5:$G$154,Analytics!$D$5:$D$154,T379,Analytics!$B$5:$B$154,"&gt;="&amp;DashStart,Analytics!$B$5:$B$154,"&lt;="&amp;DashEnd))</f>
        <v>0</v>
      </c>
      <c r="AA379" s="23">
        <f>IF(T379="","",SUMIFS(Analytics!$X$5:$X$154,Analytics!$D$5:$D$154,T379,Analytics!$B$5:$B$154,"&gt;="&amp;DashStart,Analytics!$B$5:$B$154,"&lt;="&amp;DashEnd))</f>
        <v>0</v>
      </c>
      <c r="AB379" s="23">
        <f>IF(T379="","",SUMIFS(Analytics!$R$5:$R$154,Analytics!$D$5:$D$154,T379,Analytics!$B$5:$B$154,"&gt;="&amp;DashStart,Analytics!$B$5:$B$154,"&lt;="&amp;DashEnd))</f>
        <v>0</v>
      </c>
      <c r="AC379" s="25">
        <f>IF(T379="","",SUMIFS(Analytics!$U$5:$U$154,Analytics!$D$5:$D$154,T379,Analytics!$B$5:$B$154,"&gt;="&amp;DashStart,Analytics!$B$5:$B$154,"&lt;="&amp;DashEnd))</f>
        <v>0</v>
      </c>
      <c r="AD379" s="23">
        <f>IF(T379="","",COUNTIFS('Content Calendar'!$G$5:$G$604,T379,'Content Calendar'!$B$5:$B$604,"&gt;="&amp;DATE(PlanYear,1,1),'Content Calendar'!$B$5:$B$604,"&lt;="&amp;DATE(PlanYear,12,31)))</f>
        <v>0</v>
      </c>
      <c r="AE379" s="23">
        <f>IF(T379="","",SUMIFS(Analytics!$J$5:$J$154,Analytics!$D$5:$D$154,T379))</f>
        <v>0</v>
      </c>
      <c r="AF379" s="23">
        <f>IF(T379="","",SUMIFS(Analytics!$L$5:$L$154,Analytics!$D$5:$D$154,T379))</f>
        <v>0</v>
      </c>
      <c r="AG379" s="24">
        <f>IF(OR(AE379="",AE379=0),"",AF379/AE379)</f>
        <v>0</v>
      </c>
      <c r="AH379" s="23">
        <f>IF(T379="","",SUMIFS(Analytics!$X$5:$X$154,Analytics!$D$5:$D$154,T379))</f>
        <v>0</v>
      </c>
      <c r="AI379" s="32">
        <f>IF(T379="","",IF(AE379=0,"",AE379+ROW()/1000000))</f>
        <v>0</v>
      </c>
      <c r="AJ379" s="17">
        <f>IF('Content Pillars'!$B$379="","",'Content Pillars'!$B$379)</f>
        <v>0</v>
      </c>
      <c r="AK379" s="23">
        <f>IF(AJ379="","",COUNTIFS('Content Calendar'!$J$5:$J$604,AJ379,'Content Calendar'!$B$5:$B$604,"&gt;="&amp;DATE(PlanYear,1,1),'Content Calendar'!$B$5:$B$604,"&lt;="&amp;DATE(PlanYear,12,31)))</f>
        <v>0</v>
      </c>
      <c r="AL379" s="23">
        <f>IF(AJ379="","",SUMIFS(Performance!$O$5:$O$404,Performance!$H$5:$H$404,AJ379))</f>
        <v>0</v>
      </c>
      <c r="AM379" s="23">
        <f>IF(AJ379="","",SUMIFS(Performance!$Z$5:$Z$404,Performance!$H$5:$H$404,AJ379))</f>
        <v>0</v>
      </c>
      <c r="AN379" s="24">
        <f>IF(OR(AL379="",AL379=0),"",AM379/AL379)</f>
        <v>0</v>
      </c>
      <c r="AO379" s="32">
        <f>IF(AN379="","",AN379+ROW()/1000000)</f>
        <v>0</v>
      </c>
      <c r="AP379" s="17">
        <f>IF(Lists!$E379="","",Lists!$E379)</f>
        <v>0</v>
      </c>
      <c r="AQ379" s="23">
        <f>IF(AP379="","",COUNTIF(Performance!$G$5:$G$404,AP379))</f>
        <v>0</v>
      </c>
      <c r="AR379" s="23">
        <f>IF(AP379="","",SUMIFS(Performance!$O$5:$O$404,Performance!$G$5:$G$404,AP379))</f>
        <v>0</v>
      </c>
      <c r="AS379" s="23">
        <f>IF(AP379="","",SUMIFS(Performance!$Z$5:$Z$404,Performance!$G$5:$G$404,AP379))</f>
        <v>0</v>
      </c>
      <c r="AT379" s="24">
        <f>IF(OR(AR379="",AR379=0),"",AS379/AR379)</f>
        <v>0</v>
      </c>
      <c r="AU379" s="32">
        <f>IF(AQ379=0,"",IF(AT379="","",AT379+ROW()/1000000))</f>
        <v>0</v>
      </c>
      <c r="AV379" s="17">
        <f>IF(ROW()-4&gt;7,"",TEXT(DATE(2024,1,ROW()-4),"ddd"))</f>
        <v>0</v>
      </c>
      <c r="AW379" s="23">
        <f>IF(AV379="","",COUNTIF(Performance!$N$5:$N$404,AV379))</f>
        <v>0</v>
      </c>
      <c r="AX379" s="23">
        <f>IF(AV379="","",SUMIFS(Performance!$O$5:$O$404,Performance!$N$5:$N$404,AV379))</f>
        <v>0</v>
      </c>
      <c r="AY379" s="23">
        <f>IF(AV379="","",SUMIFS(Performance!$Z$5:$Z$404,Performance!$N$5:$N$404,AV379))</f>
        <v>0</v>
      </c>
      <c r="AZ379" s="24">
        <f>IF(OR(AX379="",AX379=0),"",AY379/AX379)</f>
        <v>0</v>
      </c>
      <c r="BA379" s="32">
        <f>IF(AW379=0,"",IF(AZ379="","",AZ379+ROW()/1000000))</f>
        <v>0</v>
      </c>
      <c r="BB379" s="17">
        <f>IF(Lists!$AL379="","",Lists!$AL379)</f>
        <v>0</v>
      </c>
      <c r="BC379" s="23">
        <f>IF(BB379="","",COUNTIF(Performance!$M$5:$M$404,BB379))</f>
        <v>0</v>
      </c>
      <c r="BD379" s="23">
        <f>IF(BB379="","",SUMIFS(Performance!$O$5:$O$404,Performance!$M$5:$M$404,BB379))</f>
        <v>0</v>
      </c>
      <c r="BE379" s="23">
        <f>IF(BB379="","",SUMIFS(Performance!$Z$5:$Z$404,Performance!$M$5:$M$404,BB379))</f>
        <v>0</v>
      </c>
      <c r="BF379" s="24">
        <f>IF(OR(BD379="",BD379=0),"",BE379/BD379)</f>
        <v>0</v>
      </c>
      <c r="BG379" s="32">
        <f>IF(BC379=0,"",IF(BF379="","",BF379+ROW()/1000000))</f>
        <v>0</v>
      </c>
      <c r="BH379" s="17">
        <f>IF(Performance!$C$379="","",Performance!$C$379)</f>
        <v>0</v>
      </c>
      <c r="BI379" s="17">
        <f>IF(Performance!$F$379="","",Performance!$F$379)</f>
        <v>0</v>
      </c>
      <c r="BJ379" s="17">
        <f>IF(Performance!$H$379="","",Performance!$H$379)</f>
        <v>0</v>
      </c>
      <c r="BK379" s="16">
        <f>IF(Performance!$D$379="","",Performance!$D$379)</f>
        <v>0</v>
      </c>
      <c r="BL379" s="17">
        <f>IF(Performance!$E$379="","",Performance!$E$379)</f>
        <v>0</v>
      </c>
      <c r="BM379" s="23">
        <f>IF(Performance!$O$379="","",Performance!$O$379)</f>
        <v>0</v>
      </c>
      <c r="BN379" s="24">
        <f>IF(Performance!$AA$379="","",Performance!$AA$379)</f>
        <v>0</v>
      </c>
      <c r="BO379" s="32">
        <f>IF(BH379="","",IF(BK379="","",IF(OR(BK379&lt;DashStart,BK379&gt;DashEnd),"",IF(BN379="","",BN379+ROW()/1000000))))</f>
        <v>0</v>
      </c>
      <c r="BP379" s="32">
        <f>IF(BM379="","",IF(BK379="","",IF(OR(BK379&lt;DashStart,BK379&gt;DashEnd),"",BM379+ROW()/1000000)))</f>
        <v>0</v>
      </c>
      <c r="BQ379" s="32">
        <f>IF(BH379="","",IF(BK379="","",IF(YEAR(BK379)&lt;&gt;PlanYear,"",IF(BN379="","",BN379+ROW()/1000000))))</f>
        <v>0</v>
      </c>
      <c r="BR379" s="32">
        <f>IF(BH379="","",IF(BK379="","",IF(OR(BK379&lt;RepFrom,BK379&gt;RepTo),"",IF(BN379="","",BN379+ROW()/1000000))))</f>
        <v>0</v>
      </c>
      <c r="BS379" s="32">
        <f>IF(BM379="","",IF(BK379="","",IF(YEAR(BK379)&lt;&gt;PlanYear,"",BM379+ROW()/1000000)))</f>
        <v>0</v>
      </c>
      <c r="BT379" s="17">
        <f>IF(Lists!$F379="","",Lists!$F379)</f>
        <v>0</v>
      </c>
      <c r="BU379" s="23">
        <f>IF(BT379="","",COUNTIF('Content Calendar'!$X$5:$X$604,BT379))</f>
        <v>0</v>
      </c>
      <c r="BV379" s="23">
        <f>IF(BT379="","",COUNTIFS('Content Calendar'!$X$5:$X$604,BT379,'Content Calendar'!$B$5:$B$604,"&gt;="&amp;DashStart,'Content Calendar'!$B$5:$B$604,"&lt;="&amp;DashEnd))</f>
        <v>0</v>
      </c>
      <c r="BW379" s="17">
        <f>IF(Team!$B$379="","",Team!$B$379)</f>
        <v>0</v>
      </c>
      <c r="BX379" s="23">
        <f>IF(BW379="","",COUNTIF('Content Calendar'!$W$5:$W$604,BW379))</f>
        <v>0</v>
      </c>
      <c r="BY379" s="23">
        <f>IF(BW379="","",COUNTIFS('Content Calendar'!$W$5:$W$604,BW379,'Content Calendar'!$X$5:$X$604,"&lt;&gt;Published"))</f>
        <v>0</v>
      </c>
      <c r="BZ379" s="23">
        <f>IF(BW379="","",COUNTIFS(Tasks!$C$5:$C$64,BW379,Tasks!$G$5:$G$64,"&lt;&gt;Complete"))</f>
        <v>0</v>
      </c>
      <c r="CA379" s="17">
        <f>IF(Campaigns!$B$379="","",Campaigns!$B$379)</f>
        <v>0</v>
      </c>
      <c r="CB379" s="25">
        <f>IF(Campaigns!$T$379="","",Campaigns!$T$379)</f>
        <v>0</v>
      </c>
      <c r="CC379" s="25">
        <f>IF(Campaigns!$Q$379="","",Campaigns!$Q$379)</f>
        <v>0</v>
      </c>
      <c r="CD379" s="23">
        <f>IF(Campaigns!$Y$379="","",Campaigns!$Y$379)</f>
        <v>0</v>
      </c>
      <c r="CE379" s="32">
        <f>IF(CA379="","",IF(N(CB379)&lt;=0,"",N(CB379)+ROW()/1000000))</f>
        <v>0</v>
      </c>
      <c r="CF379" s="17">
        <f>IF(Accounts!$C$379="","",Accounts!$C$379)</f>
        <v>0</v>
      </c>
      <c r="CG379" s="17">
        <f>IF(Accounts!$B$379="","",Accounts!$B$379)</f>
        <v>0</v>
      </c>
      <c r="CH379" s="23">
        <f>IF(Accounts!$J$379="","",Accounts!$J$379)</f>
        <v>0</v>
      </c>
      <c r="CI379" s="23">
        <f>IF(CF379="","",SUMIFS(Analytics!$X$5:$X$154,Analytics!$E$5:$E$154,CF379,Analytics!$B$5:$B$154,"&gt;="&amp;DashStart,Analytics!$B$5:$B$154,"&lt;="&amp;DashEnd))</f>
        <v>0</v>
      </c>
      <c r="CJ379" s="32">
        <f>IF(CH379="","",IF(CH379=0,"",CH379+ROW()/1000000))</f>
        <v>0</v>
      </c>
    </row>
    <row r="380" spans="1:88">
      <c r="A380" s="16">
        <f>IF(ROW()-4&gt;12,"",DATE(PlanYear,ROW()-4,1))</f>
        <v>0</v>
      </c>
      <c r="B380" s="16">
        <f>IF(A380="","",EOMONTH(A380,0))</f>
        <v>0</v>
      </c>
      <c r="C380" s="17">
        <f>IF(A380="","",TEXT(A380,"yyyy-mm"))</f>
        <v>0</v>
      </c>
      <c r="D380" s="17">
        <f>IF(A380="","",TEXT(A380,"mmm"))</f>
        <v>0</v>
      </c>
      <c r="E380" s="23">
        <f>IF(C380="","",COUNTIFS('Content Calendar'!$D$5:$D$604,C380))</f>
        <v>0</v>
      </c>
      <c r="F380" s="23">
        <f>IF(C380="","",COUNTIFS('Content Calendar'!$D$5:$D$604,C380,'Content Calendar'!$X$5:$X$604,"Published"))</f>
        <v>0</v>
      </c>
      <c r="G380" s="23">
        <f>IF(C380="","",SUMIFS(Analytics!$J$5:$J$154,Analytics!$C$5:$C$154,C380))</f>
        <v>0</v>
      </c>
      <c r="H380" s="23">
        <f>IF(C380="","",SUMIFS(Analytics!$K$5:$K$154,Analytics!$C$5:$C$154,C380))</f>
        <v>0</v>
      </c>
      <c r="I380" s="23">
        <f>IF(C380="","",SUMIFS(Analytics!$L$5:$L$154,Analytics!$C$5:$C$154,C380))</f>
        <v>0</v>
      </c>
      <c r="J380" s="24">
        <f>IF(OR(G380="",G380=0),"",I380/G380)</f>
        <v>0</v>
      </c>
      <c r="K380" s="23">
        <f>IF(C380="","",SUMIFS(Analytics!$G$5:$G$154,Analytics!$C$5:$C$154,C380))</f>
        <v>0</v>
      </c>
      <c r="L380" s="23">
        <f>IF(C380="","",SUMIFS(Analytics!$X$5:$X$154,Analytics!$C$5:$C$154,C380))</f>
        <v>0</v>
      </c>
      <c r="M380" s="23">
        <f>IF(C380="","",SUMIFS(Analytics!$R$5:$R$154,Analytics!$C$5:$C$154,C380))</f>
        <v>0</v>
      </c>
      <c r="N380" s="23">
        <f>IF(C380="","",SUMIFS(Analytics!$S$5:$S$154,Analytics!$C$5:$C$154,C380))</f>
        <v>0</v>
      </c>
      <c r="O380" s="23">
        <f>IF(C380="","",SUMIFS(Analytics!$T$5:$T$154,Analytics!$C$5:$C$154,C380))</f>
        <v>0</v>
      </c>
      <c r="P380" s="25">
        <f>IF(C380="","",SUMIFS(Analytics!$U$5:$U$154,Analytics!$C$5:$C$154,C380))</f>
        <v>0</v>
      </c>
      <c r="Q380" s="25">
        <f>IF(C380="","",SUMIFS(Budget!$H$5:$H$64,Budget!$C$5:$C$64,C380))</f>
        <v>0</v>
      </c>
      <c r="R380" s="25">
        <f>IF(C380="","",P380-Q380)</f>
        <v>0</v>
      </c>
      <c r="S380" s="23">
        <f>IF(C380="","",MonthlyPostTarget)</f>
        <v>0</v>
      </c>
      <c r="T380" s="17">
        <f>IF(Lists!$C380="","",Lists!$C380)</f>
        <v>0</v>
      </c>
      <c r="U380" s="23">
        <f>IF(T380="","",COUNTIFS('Content Calendar'!$G$5:$G$604,T380,'Content Calendar'!$B$5:$B$604,"&gt;="&amp;DashStart,'Content Calendar'!$B$5:$B$604,"&lt;="&amp;DashEnd))</f>
        <v>0</v>
      </c>
      <c r="V380" s="23">
        <f>IF(T380="","",COUNTIFS('Content Calendar'!$G$5:$G$604,T380,'Content Calendar'!$X$5:$X$604,"Published",'Content Calendar'!$B$5:$B$604,"&gt;="&amp;DashStart,'Content Calendar'!$B$5:$B$604,"&lt;="&amp;DashEnd))</f>
        <v>0</v>
      </c>
      <c r="W380" s="23">
        <f>IF(T380="","",SUMIFS(Analytics!$J$5:$J$154,Analytics!$D$5:$D$154,T380,Analytics!$B$5:$B$154,"&gt;="&amp;DashStart,Analytics!$B$5:$B$154,"&lt;="&amp;DashEnd))</f>
        <v>0</v>
      </c>
      <c r="X380" s="23">
        <f>IF(T380="","",SUMIFS(Analytics!$L$5:$L$154,Analytics!$D$5:$D$154,T380,Analytics!$B$5:$B$154,"&gt;="&amp;DashStart,Analytics!$B$5:$B$154,"&lt;="&amp;DashEnd))</f>
        <v>0</v>
      </c>
      <c r="Y380" s="24">
        <f>IF(OR(W380="",W380=0),"",X380/W380)</f>
        <v>0</v>
      </c>
      <c r="Z380" s="23">
        <f>IF(T380="","",SUMIFS(Analytics!$G$5:$G$154,Analytics!$D$5:$D$154,T380,Analytics!$B$5:$B$154,"&gt;="&amp;DashStart,Analytics!$B$5:$B$154,"&lt;="&amp;DashEnd))</f>
        <v>0</v>
      </c>
      <c r="AA380" s="23">
        <f>IF(T380="","",SUMIFS(Analytics!$X$5:$X$154,Analytics!$D$5:$D$154,T380,Analytics!$B$5:$B$154,"&gt;="&amp;DashStart,Analytics!$B$5:$B$154,"&lt;="&amp;DashEnd))</f>
        <v>0</v>
      </c>
      <c r="AB380" s="23">
        <f>IF(T380="","",SUMIFS(Analytics!$R$5:$R$154,Analytics!$D$5:$D$154,T380,Analytics!$B$5:$B$154,"&gt;="&amp;DashStart,Analytics!$B$5:$B$154,"&lt;="&amp;DashEnd))</f>
        <v>0</v>
      </c>
      <c r="AC380" s="25">
        <f>IF(T380="","",SUMIFS(Analytics!$U$5:$U$154,Analytics!$D$5:$D$154,T380,Analytics!$B$5:$B$154,"&gt;="&amp;DashStart,Analytics!$B$5:$B$154,"&lt;="&amp;DashEnd))</f>
        <v>0</v>
      </c>
      <c r="AD380" s="23">
        <f>IF(T380="","",COUNTIFS('Content Calendar'!$G$5:$G$604,T380,'Content Calendar'!$B$5:$B$604,"&gt;="&amp;DATE(PlanYear,1,1),'Content Calendar'!$B$5:$B$604,"&lt;="&amp;DATE(PlanYear,12,31)))</f>
        <v>0</v>
      </c>
      <c r="AE380" s="23">
        <f>IF(T380="","",SUMIFS(Analytics!$J$5:$J$154,Analytics!$D$5:$D$154,T380))</f>
        <v>0</v>
      </c>
      <c r="AF380" s="23">
        <f>IF(T380="","",SUMIFS(Analytics!$L$5:$L$154,Analytics!$D$5:$D$154,T380))</f>
        <v>0</v>
      </c>
      <c r="AG380" s="24">
        <f>IF(OR(AE380="",AE380=0),"",AF380/AE380)</f>
        <v>0</v>
      </c>
      <c r="AH380" s="23">
        <f>IF(T380="","",SUMIFS(Analytics!$X$5:$X$154,Analytics!$D$5:$D$154,T380))</f>
        <v>0</v>
      </c>
      <c r="AI380" s="32">
        <f>IF(T380="","",IF(AE380=0,"",AE380+ROW()/1000000))</f>
        <v>0</v>
      </c>
      <c r="AJ380" s="17">
        <f>IF('Content Pillars'!$B$380="","",'Content Pillars'!$B$380)</f>
        <v>0</v>
      </c>
      <c r="AK380" s="23">
        <f>IF(AJ380="","",COUNTIFS('Content Calendar'!$J$5:$J$604,AJ380,'Content Calendar'!$B$5:$B$604,"&gt;="&amp;DATE(PlanYear,1,1),'Content Calendar'!$B$5:$B$604,"&lt;="&amp;DATE(PlanYear,12,31)))</f>
        <v>0</v>
      </c>
      <c r="AL380" s="23">
        <f>IF(AJ380="","",SUMIFS(Performance!$O$5:$O$404,Performance!$H$5:$H$404,AJ380))</f>
        <v>0</v>
      </c>
      <c r="AM380" s="23">
        <f>IF(AJ380="","",SUMIFS(Performance!$Z$5:$Z$404,Performance!$H$5:$H$404,AJ380))</f>
        <v>0</v>
      </c>
      <c r="AN380" s="24">
        <f>IF(OR(AL380="",AL380=0),"",AM380/AL380)</f>
        <v>0</v>
      </c>
      <c r="AO380" s="32">
        <f>IF(AN380="","",AN380+ROW()/1000000)</f>
        <v>0</v>
      </c>
      <c r="AP380" s="17">
        <f>IF(Lists!$E380="","",Lists!$E380)</f>
        <v>0</v>
      </c>
      <c r="AQ380" s="23">
        <f>IF(AP380="","",COUNTIF(Performance!$G$5:$G$404,AP380))</f>
        <v>0</v>
      </c>
      <c r="AR380" s="23">
        <f>IF(AP380="","",SUMIFS(Performance!$O$5:$O$404,Performance!$G$5:$G$404,AP380))</f>
        <v>0</v>
      </c>
      <c r="AS380" s="23">
        <f>IF(AP380="","",SUMIFS(Performance!$Z$5:$Z$404,Performance!$G$5:$G$404,AP380))</f>
        <v>0</v>
      </c>
      <c r="AT380" s="24">
        <f>IF(OR(AR380="",AR380=0),"",AS380/AR380)</f>
        <v>0</v>
      </c>
      <c r="AU380" s="32">
        <f>IF(AQ380=0,"",IF(AT380="","",AT380+ROW()/1000000))</f>
        <v>0</v>
      </c>
      <c r="AV380" s="17">
        <f>IF(ROW()-4&gt;7,"",TEXT(DATE(2024,1,ROW()-4),"ddd"))</f>
        <v>0</v>
      </c>
      <c r="AW380" s="23">
        <f>IF(AV380="","",COUNTIF(Performance!$N$5:$N$404,AV380))</f>
        <v>0</v>
      </c>
      <c r="AX380" s="23">
        <f>IF(AV380="","",SUMIFS(Performance!$O$5:$O$404,Performance!$N$5:$N$404,AV380))</f>
        <v>0</v>
      </c>
      <c r="AY380" s="23">
        <f>IF(AV380="","",SUMIFS(Performance!$Z$5:$Z$404,Performance!$N$5:$N$404,AV380))</f>
        <v>0</v>
      </c>
      <c r="AZ380" s="24">
        <f>IF(OR(AX380="",AX380=0),"",AY380/AX380)</f>
        <v>0</v>
      </c>
      <c r="BA380" s="32">
        <f>IF(AW380=0,"",IF(AZ380="","",AZ380+ROW()/1000000))</f>
        <v>0</v>
      </c>
      <c r="BB380" s="17">
        <f>IF(Lists!$AL380="","",Lists!$AL380)</f>
        <v>0</v>
      </c>
      <c r="BC380" s="23">
        <f>IF(BB380="","",COUNTIF(Performance!$M$5:$M$404,BB380))</f>
        <v>0</v>
      </c>
      <c r="BD380" s="23">
        <f>IF(BB380="","",SUMIFS(Performance!$O$5:$O$404,Performance!$M$5:$M$404,BB380))</f>
        <v>0</v>
      </c>
      <c r="BE380" s="23">
        <f>IF(BB380="","",SUMIFS(Performance!$Z$5:$Z$404,Performance!$M$5:$M$404,BB380))</f>
        <v>0</v>
      </c>
      <c r="BF380" s="24">
        <f>IF(OR(BD380="",BD380=0),"",BE380/BD380)</f>
        <v>0</v>
      </c>
      <c r="BG380" s="32">
        <f>IF(BC380=0,"",IF(BF380="","",BF380+ROW()/1000000))</f>
        <v>0</v>
      </c>
      <c r="BH380" s="17">
        <f>IF(Performance!$C$380="","",Performance!$C$380)</f>
        <v>0</v>
      </c>
      <c r="BI380" s="17">
        <f>IF(Performance!$F$380="","",Performance!$F$380)</f>
        <v>0</v>
      </c>
      <c r="BJ380" s="17">
        <f>IF(Performance!$H$380="","",Performance!$H$380)</f>
        <v>0</v>
      </c>
      <c r="BK380" s="16">
        <f>IF(Performance!$D$380="","",Performance!$D$380)</f>
        <v>0</v>
      </c>
      <c r="BL380" s="17">
        <f>IF(Performance!$E$380="","",Performance!$E$380)</f>
        <v>0</v>
      </c>
      <c r="BM380" s="23">
        <f>IF(Performance!$O$380="","",Performance!$O$380)</f>
        <v>0</v>
      </c>
      <c r="BN380" s="24">
        <f>IF(Performance!$AA$380="","",Performance!$AA$380)</f>
        <v>0</v>
      </c>
      <c r="BO380" s="32">
        <f>IF(BH380="","",IF(BK380="","",IF(OR(BK380&lt;DashStart,BK380&gt;DashEnd),"",IF(BN380="","",BN380+ROW()/1000000))))</f>
        <v>0</v>
      </c>
      <c r="BP380" s="32">
        <f>IF(BM380="","",IF(BK380="","",IF(OR(BK380&lt;DashStart,BK380&gt;DashEnd),"",BM380+ROW()/1000000)))</f>
        <v>0</v>
      </c>
      <c r="BQ380" s="32">
        <f>IF(BH380="","",IF(BK380="","",IF(YEAR(BK380)&lt;&gt;PlanYear,"",IF(BN380="","",BN380+ROW()/1000000))))</f>
        <v>0</v>
      </c>
      <c r="BR380" s="32">
        <f>IF(BH380="","",IF(BK380="","",IF(OR(BK380&lt;RepFrom,BK380&gt;RepTo),"",IF(BN380="","",BN380+ROW()/1000000))))</f>
        <v>0</v>
      </c>
      <c r="BS380" s="32">
        <f>IF(BM380="","",IF(BK380="","",IF(YEAR(BK380)&lt;&gt;PlanYear,"",BM380+ROW()/1000000)))</f>
        <v>0</v>
      </c>
      <c r="BT380" s="17">
        <f>IF(Lists!$F380="","",Lists!$F380)</f>
        <v>0</v>
      </c>
      <c r="BU380" s="23">
        <f>IF(BT380="","",COUNTIF('Content Calendar'!$X$5:$X$604,BT380))</f>
        <v>0</v>
      </c>
      <c r="BV380" s="23">
        <f>IF(BT380="","",COUNTIFS('Content Calendar'!$X$5:$X$604,BT380,'Content Calendar'!$B$5:$B$604,"&gt;="&amp;DashStart,'Content Calendar'!$B$5:$B$604,"&lt;="&amp;DashEnd))</f>
        <v>0</v>
      </c>
      <c r="BW380" s="17">
        <f>IF(Team!$B$380="","",Team!$B$380)</f>
        <v>0</v>
      </c>
      <c r="BX380" s="23">
        <f>IF(BW380="","",COUNTIF('Content Calendar'!$W$5:$W$604,BW380))</f>
        <v>0</v>
      </c>
      <c r="BY380" s="23">
        <f>IF(BW380="","",COUNTIFS('Content Calendar'!$W$5:$W$604,BW380,'Content Calendar'!$X$5:$X$604,"&lt;&gt;Published"))</f>
        <v>0</v>
      </c>
      <c r="BZ380" s="23">
        <f>IF(BW380="","",COUNTIFS(Tasks!$C$5:$C$64,BW380,Tasks!$G$5:$G$64,"&lt;&gt;Complete"))</f>
        <v>0</v>
      </c>
      <c r="CA380" s="17">
        <f>IF(Campaigns!$B$380="","",Campaigns!$B$380)</f>
        <v>0</v>
      </c>
      <c r="CB380" s="25">
        <f>IF(Campaigns!$T$380="","",Campaigns!$T$380)</f>
        <v>0</v>
      </c>
      <c r="CC380" s="25">
        <f>IF(Campaigns!$Q$380="","",Campaigns!$Q$380)</f>
        <v>0</v>
      </c>
      <c r="CD380" s="23">
        <f>IF(Campaigns!$Y$380="","",Campaigns!$Y$380)</f>
        <v>0</v>
      </c>
      <c r="CE380" s="32">
        <f>IF(CA380="","",IF(N(CB380)&lt;=0,"",N(CB380)+ROW()/1000000))</f>
        <v>0</v>
      </c>
      <c r="CF380" s="17">
        <f>IF(Accounts!$C$380="","",Accounts!$C$380)</f>
        <v>0</v>
      </c>
      <c r="CG380" s="17">
        <f>IF(Accounts!$B$380="","",Accounts!$B$380)</f>
        <v>0</v>
      </c>
      <c r="CH380" s="23">
        <f>IF(Accounts!$J$380="","",Accounts!$J$380)</f>
        <v>0</v>
      </c>
      <c r="CI380" s="23">
        <f>IF(CF380="","",SUMIFS(Analytics!$X$5:$X$154,Analytics!$E$5:$E$154,CF380,Analytics!$B$5:$B$154,"&gt;="&amp;DashStart,Analytics!$B$5:$B$154,"&lt;="&amp;DashEnd))</f>
        <v>0</v>
      </c>
      <c r="CJ380" s="32">
        <f>IF(CH380="","",IF(CH380=0,"",CH380+ROW()/1000000))</f>
        <v>0</v>
      </c>
    </row>
    <row r="381" spans="1:88">
      <c r="A381" s="16">
        <f>IF(ROW()-4&gt;12,"",DATE(PlanYear,ROW()-4,1))</f>
        <v>0</v>
      </c>
      <c r="B381" s="16">
        <f>IF(A381="","",EOMONTH(A381,0))</f>
        <v>0</v>
      </c>
      <c r="C381" s="17">
        <f>IF(A381="","",TEXT(A381,"yyyy-mm"))</f>
        <v>0</v>
      </c>
      <c r="D381" s="17">
        <f>IF(A381="","",TEXT(A381,"mmm"))</f>
        <v>0</v>
      </c>
      <c r="E381" s="23">
        <f>IF(C381="","",COUNTIFS('Content Calendar'!$D$5:$D$604,C381))</f>
        <v>0</v>
      </c>
      <c r="F381" s="23">
        <f>IF(C381="","",COUNTIFS('Content Calendar'!$D$5:$D$604,C381,'Content Calendar'!$X$5:$X$604,"Published"))</f>
        <v>0</v>
      </c>
      <c r="G381" s="23">
        <f>IF(C381="","",SUMIFS(Analytics!$J$5:$J$154,Analytics!$C$5:$C$154,C381))</f>
        <v>0</v>
      </c>
      <c r="H381" s="23">
        <f>IF(C381="","",SUMIFS(Analytics!$K$5:$K$154,Analytics!$C$5:$C$154,C381))</f>
        <v>0</v>
      </c>
      <c r="I381" s="23">
        <f>IF(C381="","",SUMIFS(Analytics!$L$5:$L$154,Analytics!$C$5:$C$154,C381))</f>
        <v>0</v>
      </c>
      <c r="J381" s="24">
        <f>IF(OR(G381="",G381=0),"",I381/G381)</f>
        <v>0</v>
      </c>
      <c r="K381" s="23">
        <f>IF(C381="","",SUMIFS(Analytics!$G$5:$G$154,Analytics!$C$5:$C$154,C381))</f>
        <v>0</v>
      </c>
      <c r="L381" s="23">
        <f>IF(C381="","",SUMIFS(Analytics!$X$5:$X$154,Analytics!$C$5:$C$154,C381))</f>
        <v>0</v>
      </c>
      <c r="M381" s="23">
        <f>IF(C381="","",SUMIFS(Analytics!$R$5:$R$154,Analytics!$C$5:$C$154,C381))</f>
        <v>0</v>
      </c>
      <c r="N381" s="23">
        <f>IF(C381="","",SUMIFS(Analytics!$S$5:$S$154,Analytics!$C$5:$C$154,C381))</f>
        <v>0</v>
      </c>
      <c r="O381" s="23">
        <f>IF(C381="","",SUMIFS(Analytics!$T$5:$T$154,Analytics!$C$5:$C$154,C381))</f>
        <v>0</v>
      </c>
      <c r="P381" s="25">
        <f>IF(C381="","",SUMIFS(Analytics!$U$5:$U$154,Analytics!$C$5:$C$154,C381))</f>
        <v>0</v>
      </c>
      <c r="Q381" s="25">
        <f>IF(C381="","",SUMIFS(Budget!$H$5:$H$64,Budget!$C$5:$C$64,C381))</f>
        <v>0</v>
      </c>
      <c r="R381" s="25">
        <f>IF(C381="","",P381-Q381)</f>
        <v>0</v>
      </c>
      <c r="S381" s="23">
        <f>IF(C381="","",MonthlyPostTarget)</f>
        <v>0</v>
      </c>
      <c r="T381" s="17">
        <f>IF(Lists!$C381="","",Lists!$C381)</f>
        <v>0</v>
      </c>
      <c r="U381" s="23">
        <f>IF(T381="","",COUNTIFS('Content Calendar'!$G$5:$G$604,T381,'Content Calendar'!$B$5:$B$604,"&gt;="&amp;DashStart,'Content Calendar'!$B$5:$B$604,"&lt;="&amp;DashEnd))</f>
        <v>0</v>
      </c>
      <c r="V381" s="23">
        <f>IF(T381="","",COUNTIFS('Content Calendar'!$G$5:$G$604,T381,'Content Calendar'!$X$5:$X$604,"Published",'Content Calendar'!$B$5:$B$604,"&gt;="&amp;DashStart,'Content Calendar'!$B$5:$B$604,"&lt;="&amp;DashEnd))</f>
        <v>0</v>
      </c>
      <c r="W381" s="23">
        <f>IF(T381="","",SUMIFS(Analytics!$J$5:$J$154,Analytics!$D$5:$D$154,T381,Analytics!$B$5:$B$154,"&gt;="&amp;DashStart,Analytics!$B$5:$B$154,"&lt;="&amp;DashEnd))</f>
        <v>0</v>
      </c>
      <c r="X381" s="23">
        <f>IF(T381="","",SUMIFS(Analytics!$L$5:$L$154,Analytics!$D$5:$D$154,T381,Analytics!$B$5:$B$154,"&gt;="&amp;DashStart,Analytics!$B$5:$B$154,"&lt;="&amp;DashEnd))</f>
        <v>0</v>
      </c>
      <c r="Y381" s="24">
        <f>IF(OR(W381="",W381=0),"",X381/W381)</f>
        <v>0</v>
      </c>
      <c r="Z381" s="23">
        <f>IF(T381="","",SUMIFS(Analytics!$G$5:$G$154,Analytics!$D$5:$D$154,T381,Analytics!$B$5:$B$154,"&gt;="&amp;DashStart,Analytics!$B$5:$B$154,"&lt;="&amp;DashEnd))</f>
        <v>0</v>
      </c>
      <c r="AA381" s="23">
        <f>IF(T381="","",SUMIFS(Analytics!$X$5:$X$154,Analytics!$D$5:$D$154,T381,Analytics!$B$5:$B$154,"&gt;="&amp;DashStart,Analytics!$B$5:$B$154,"&lt;="&amp;DashEnd))</f>
        <v>0</v>
      </c>
      <c r="AB381" s="23">
        <f>IF(T381="","",SUMIFS(Analytics!$R$5:$R$154,Analytics!$D$5:$D$154,T381,Analytics!$B$5:$B$154,"&gt;="&amp;DashStart,Analytics!$B$5:$B$154,"&lt;="&amp;DashEnd))</f>
        <v>0</v>
      </c>
      <c r="AC381" s="25">
        <f>IF(T381="","",SUMIFS(Analytics!$U$5:$U$154,Analytics!$D$5:$D$154,T381,Analytics!$B$5:$B$154,"&gt;="&amp;DashStart,Analytics!$B$5:$B$154,"&lt;="&amp;DashEnd))</f>
        <v>0</v>
      </c>
      <c r="AD381" s="23">
        <f>IF(T381="","",COUNTIFS('Content Calendar'!$G$5:$G$604,T381,'Content Calendar'!$B$5:$B$604,"&gt;="&amp;DATE(PlanYear,1,1),'Content Calendar'!$B$5:$B$604,"&lt;="&amp;DATE(PlanYear,12,31)))</f>
        <v>0</v>
      </c>
      <c r="AE381" s="23">
        <f>IF(T381="","",SUMIFS(Analytics!$J$5:$J$154,Analytics!$D$5:$D$154,T381))</f>
        <v>0</v>
      </c>
      <c r="AF381" s="23">
        <f>IF(T381="","",SUMIFS(Analytics!$L$5:$L$154,Analytics!$D$5:$D$154,T381))</f>
        <v>0</v>
      </c>
      <c r="AG381" s="24">
        <f>IF(OR(AE381="",AE381=0),"",AF381/AE381)</f>
        <v>0</v>
      </c>
      <c r="AH381" s="23">
        <f>IF(T381="","",SUMIFS(Analytics!$X$5:$X$154,Analytics!$D$5:$D$154,T381))</f>
        <v>0</v>
      </c>
      <c r="AI381" s="32">
        <f>IF(T381="","",IF(AE381=0,"",AE381+ROW()/1000000))</f>
        <v>0</v>
      </c>
      <c r="AJ381" s="17">
        <f>IF('Content Pillars'!$B$381="","",'Content Pillars'!$B$381)</f>
        <v>0</v>
      </c>
      <c r="AK381" s="23">
        <f>IF(AJ381="","",COUNTIFS('Content Calendar'!$J$5:$J$604,AJ381,'Content Calendar'!$B$5:$B$604,"&gt;="&amp;DATE(PlanYear,1,1),'Content Calendar'!$B$5:$B$604,"&lt;="&amp;DATE(PlanYear,12,31)))</f>
        <v>0</v>
      </c>
      <c r="AL381" s="23">
        <f>IF(AJ381="","",SUMIFS(Performance!$O$5:$O$404,Performance!$H$5:$H$404,AJ381))</f>
        <v>0</v>
      </c>
      <c r="AM381" s="23">
        <f>IF(AJ381="","",SUMIFS(Performance!$Z$5:$Z$404,Performance!$H$5:$H$404,AJ381))</f>
        <v>0</v>
      </c>
      <c r="AN381" s="24">
        <f>IF(OR(AL381="",AL381=0),"",AM381/AL381)</f>
        <v>0</v>
      </c>
      <c r="AO381" s="32">
        <f>IF(AN381="","",AN381+ROW()/1000000)</f>
        <v>0</v>
      </c>
      <c r="AP381" s="17">
        <f>IF(Lists!$E381="","",Lists!$E381)</f>
        <v>0</v>
      </c>
      <c r="AQ381" s="23">
        <f>IF(AP381="","",COUNTIF(Performance!$G$5:$G$404,AP381))</f>
        <v>0</v>
      </c>
      <c r="AR381" s="23">
        <f>IF(AP381="","",SUMIFS(Performance!$O$5:$O$404,Performance!$G$5:$G$404,AP381))</f>
        <v>0</v>
      </c>
      <c r="AS381" s="23">
        <f>IF(AP381="","",SUMIFS(Performance!$Z$5:$Z$404,Performance!$G$5:$G$404,AP381))</f>
        <v>0</v>
      </c>
      <c r="AT381" s="24">
        <f>IF(OR(AR381="",AR381=0),"",AS381/AR381)</f>
        <v>0</v>
      </c>
      <c r="AU381" s="32">
        <f>IF(AQ381=0,"",IF(AT381="","",AT381+ROW()/1000000))</f>
        <v>0</v>
      </c>
      <c r="AV381" s="17">
        <f>IF(ROW()-4&gt;7,"",TEXT(DATE(2024,1,ROW()-4),"ddd"))</f>
        <v>0</v>
      </c>
      <c r="AW381" s="23">
        <f>IF(AV381="","",COUNTIF(Performance!$N$5:$N$404,AV381))</f>
        <v>0</v>
      </c>
      <c r="AX381" s="23">
        <f>IF(AV381="","",SUMIFS(Performance!$O$5:$O$404,Performance!$N$5:$N$404,AV381))</f>
        <v>0</v>
      </c>
      <c r="AY381" s="23">
        <f>IF(AV381="","",SUMIFS(Performance!$Z$5:$Z$404,Performance!$N$5:$N$404,AV381))</f>
        <v>0</v>
      </c>
      <c r="AZ381" s="24">
        <f>IF(OR(AX381="",AX381=0),"",AY381/AX381)</f>
        <v>0</v>
      </c>
      <c r="BA381" s="32">
        <f>IF(AW381=0,"",IF(AZ381="","",AZ381+ROW()/1000000))</f>
        <v>0</v>
      </c>
      <c r="BB381" s="17">
        <f>IF(Lists!$AL381="","",Lists!$AL381)</f>
        <v>0</v>
      </c>
      <c r="BC381" s="23">
        <f>IF(BB381="","",COUNTIF(Performance!$M$5:$M$404,BB381))</f>
        <v>0</v>
      </c>
      <c r="BD381" s="23">
        <f>IF(BB381="","",SUMIFS(Performance!$O$5:$O$404,Performance!$M$5:$M$404,BB381))</f>
        <v>0</v>
      </c>
      <c r="BE381" s="23">
        <f>IF(BB381="","",SUMIFS(Performance!$Z$5:$Z$404,Performance!$M$5:$M$404,BB381))</f>
        <v>0</v>
      </c>
      <c r="BF381" s="24">
        <f>IF(OR(BD381="",BD381=0),"",BE381/BD381)</f>
        <v>0</v>
      </c>
      <c r="BG381" s="32">
        <f>IF(BC381=0,"",IF(BF381="","",BF381+ROW()/1000000))</f>
        <v>0</v>
      </c>
      <c r="BH381" s="17">
        <f>IF(Performance!$C$381="","",Performance!$C$381)</f>
        <v>0</v>
      </c>
      <c r="BI381" s="17">
        <f>IF(Performance!$F$381="","",Performance!$F$381)</f>
        <v>0</v>
      </c>
      <c r="BJ381" s="17">
        <f>IF(Performance!$H$381="","",Performance!$H$381)</f>
        <v>0</v>
      </c>
      <c r="BK381" s="16">
        <f>IF(Performance!$D$381="","",Performance!$D$381)</f>
        <v>0</v>
      </c>
      <c r="BL381" s="17">
        <f>IF(Performance!$E$381="","",Performance!$E$381)</f>
        <v>0</v>
      </c>
      <c r="BM381" s="23">
        <f>IF(Performance!$O$381="","",Performance!$O$381)</f>
        <v>0</v>
      </c>
      <c r="BN381" s="24">
        <f>IF(Performance!$AA$381="","",Performance!$AA$381)</f>
        <v>0</v>
      </c>
      <c r="BO381" s="32">
        <f>IF(BH381="","",IF(BK381="","",IF(OR(BK381&lt;DashStart,BK381&gt;DashEnd),"",IF(BN381="","",BN381+ROW()/1000000))))</f>
        <v>0</v>
      </c>
      <c r="BP381" s="32">
        <f>IF(BM381="","",IF(BK381="","",IF(OR(BK381&lt;DashStart,BK381&gt;DashEnd),"",BM381+ROW()/1000000)))</f>
        <v>0</v>
      </c>
      <c r="BQ381" s="32">
        <f>IF(BH381="","",IF(BK381="","",IF(YEAR(BK381)&lt;&gt;PlanYear,"",IF(BN381="","",BN381+ROW()/1000000))))</f>
        <v>0</v>
      </c>
      <c r="BR381" s="32">
        <f>IF(BH381="","",IF(BK381="","",IF(OR(BK381&lt;RepFrom,BK381&gt;RepTo),"",IF(BN381="","",BN381+ROW()/1000000))))</f>
        <v>0</v>
      </c>
      <c r="BS381" s="32">
        <f>IF(BM381="","",IF(BK381="","",IF(YEAR(BK381)&lt;&gt;PlanYear,"",BM381+ROW()/1000000)))</f>
        <v>0</v>
      </c>
      <c r="BT381" s="17">
        <f>IF(Lists!$F381="","",Lists!$F381)</f>
        <v>0</v>
      </c>
      <c r="BU381" s="23">
        <f>IF(BT381="","",COUNTIF('Content Calendar'!$X$5:$X$604,BT381))</f>
        <v>0</v>
      </c>
      <c r="BV381" s="23">
        <f>IF(BT381="","",COUNTIFS('Content Calendar'!$X$5:$X$604,BT381,'Content Calendar'!$B$5:$B$604,"&gt;="&amp;DashStart,'Content Calendar'!$B$5:$B$604,"&lt;="&amp;DashEnd))</f>
        <v>0</v>
      </c>
      <c r="BW381" s="17">
        <f>IF(Team!$B$381="","",Team!$B$381)</f>
        <v>0</v>
      </c>
      <c r="BX381" s="23">
        <f>IF(BW381="","",COUNTIF('Content Calendar'!$W$5:$W$604,BW381))</f>
        <v>0</v>
      </c>
      <c r="BY381" s="23">
        <f>IF(BW381="","",COUNTIFS('Content Calendar'!$W$5:$W$604,BW381,'Content Calendar'!$X$5:$X$604,"&lt;&gt;Published"))</f>
        <v>0</v>
      </c>
      <c r="BZ381" s="23">
        <f>IF(BW381="","",COUNTIFS(Tasks!$C$5:$C$64,BW381,Tasks!$G$5:$G$64,"&lt;&gt;Complete"))</f>
        <v>0</v>
      </c>
      <c r="CA381" s="17">
        <f>IF(Campaigns!$B$381="","",Campaigns!$B$381)</f>
        <v>0</v>
      </c>
      <c r="CB381" s="25">
        <f>IF(Campaigns!$T$381="","",Campaigns!$T$381)</f>
        <v>0</v>
      </c>
      <c r="CC381" s="25">
        <f>IF(Campaigns!$Q$381="","",Campaigns!$Q$381)</f>
        <v>0</v>
      </c>
      <c r="CD381" s="23">
        <f>IF(Campaigns!$Y$381="","",Campaigns!$Y$381)</f>
        <v>0</v>
      </c>
      <c r="CE381" s="32">
        <f>IF(CA381="","",IF(N(CB381)&lt;=0,"",N(CB381)+ROW()/1000000))</f>
        <v>0</v>
      </c>
      <c r="CF381" s="17">
        <f>IF(Accounts!$C$381="","",Accounts!$C$381)</f>
        <v>0</v>
      </c>
      <c r="CG381" s="17">
        <f>IF(Accounts!$B$381="","",Accounts!$B$381)</f>
        <v>0</v>
      </c>
      <c r="CH381" s="23">
        <f>IF(Accounts!$J$381="","",Accounts!$J$381)</f>
        <v>0</v>
      </c>
      <c r="CI381" s="23">
        <f>IF(CF381="","",SUMIFS(Analytics!$X$5:$X$154,Analytics!$E$5:$E$154,CF381,Analytics!$B$5:$B$154,"&gt;="&amp;DashStart,Analytics!$B$5:$B$154,"&lt;="&amp;DashEnd))</f>
        <v>0</v>
      </c>
      <c r="CJ381" s="32">
        <f>IF(CH381="","",IF(CH381=0,"",CH381+ROW()/1000000))</f>
        <v>0</v>
      </c>
    </row>
    <row r="382" spans="1:88">
      <c r="A382" s="16">
        <f>IF(ROW()-4&gt;12,"",DATE(PlanYear,ROW()-4,1))</f>
        <v>0</v>
      </c>
      <c r="B382" s="16">
        <f>IF(A382="","",EOMONTH(A382,0))</f>
        <v>0</v>
      </c>
      <c r="C382" s="17">
        <f>IF(A382="","",TEXT(A382,"yyyy-mm"))</f>
        <v>0</v>
      </c>
      <c r="D382" s="17">
        <f>IF(A382="","",TEXT(A382,"mmm"))</f>
        <v>0</v>
      </c>
      <c r="E382" s="23">
        <f>IF(C382="","",COUNTIFS('Content Calendar'!$D$5:$D$604,C382))</f>
        <v>0</v>
      </c>
      <c r="F382" s="23">
        <f>IF(C382="","",COUNTIFS('Content Calendar'!$D$5:$D$604,C382,'Content Calendar'!$X$5:$X$604,"Published"))</f>
        <v>0</v>
      </c>
      <c r="G382" s="23">
        <f>IF(C382="","",SUMIFS(Analytics!$J$5:$J$154,Analytics!$C$5:$C$154,C382))</f>
        <v>0</v>
      </c>
      <c r="H382" s="23">
        <f>IF(C382="","",SUMIFS(Analytics!$K$5:$K$154,Analytics!$C$5:$C$154,C382))</f>
        <v>0</v>
      </c>
      <c r="I382" s="23">
        <f>IF(C382="","",SUMIFS(Analytics!$L$5:$L$154,Analytics!$C$5:$C$154,C382))</f>
        <v>0</v>
      </c>
      <c r="J382" s="24">
        <f>IF(OR(G382="",G382=0),"",I382/G382)</f>
        <v>0</v>
      </c>
      <c r="K382" s="23">
        <f>IF(C382="","",SUMIFS(Analytics!$G$5:$G$154,Analytics!$C$5:$C$154,C382))</f>
        <v>0</v>
      </c>
      <c r="L382" s="23">
        <f>IF(C382="","",SUMIFS(Analytics!$X$5:$X$154,Analytics!$C$5:$C$154,C382))</f>
        <v>0</v>
      </c>
      <c r="M382" s="23">
        <f>IF(C382="","",SUMIFS(Analytics!$R$5:$R$154,Analytics!$C$5:$C$154,C382))</f>
        <v>0</v>
      </c>
      <c r="N382" s="23">
        <f>IF(C382="","",SUMIFS(Analytics!$S$5:$S$154,Analytics!$C$5:$C$154,C382))</f>
        <v>0</v>
      </c>
      <c r="O382" s="23">
        <f>IF(C382="","",SUMIFS(Analytics!$T$5:$T$154,Analytics!$C$5:$C$154,C382))</f>
        <v>0</v>
      </c>
      <c r="P382" s="25">
        <f>IF(C382="","",SUMIFS(Analytics!$U$5:$U$154,Analytics!$C$5:$C$154,C382))</f>
        <v>0</v>
      </c>
      <c r="Q382" s="25">
        <f>IF(C382="","",SUMIFS(Budget!$H$5:$H$64,Budget!$C$5:$C$64,C382))</f>
        <v>0</v>
      </c>
      <c r="R382" s="25">
        <f>IF(C382="","",P382-Q382)</f>
        <v>0</v>
      </c>
      <c r="S382" s="23">
        <f>IF(C382="","",MonthlyPostTarget)</f>
        <v>0</v>
      </c>
      <c r="T382" s="17">
        <f>IF(Lists!$C382="","",Lists!$C382)</f>
        <v>0</v>
      </c>
      <c r="U382" s="23">
        <f>IF(T382="","",COUNTIFS('Content Calendar'!$G$5:$G$604,T382,'Content Calendar'!$B$5:$B$604,"&gt;="&amp;DashStart,'Content Calendar'!$B$5:$B$604,"&lt;="&amp;DashEnd))</f>
        <v>0</v>
      </c>
      <c r="V382" s="23">
        <f>IF(T382="","",COUNTIFS('Content Calendar'!$G$5:$G$604,T382,'Content Calendar'!$X$5:$X$604,"Published",'Content Calendar'!$B$5:$B$604,"&gt;="&amp;DashStart,'Content Calendar'!$B$5:$B$604,"&lt;="&amp;DashEnd))</f>
        <v>0</v>
      </c>
      <c r="W382" s="23">
        <f>IF(T382="","",SUMIFS(Analytics!$J$5:$J$154,Analytics!$D$5:$D$154,T382,Analytics!$B$5:$B$154,"&gt;="&amp;DashStart,Analytics!$B$5:$B$154,"&lt;="&amp;DashEnd))</f>
        <v>0</v>
      </c>
      <c r="X382" s="23">
        <f>IF(T382="","",SUMIFS(Analytics!$L$5:$L$154,Analytics!$D$5:$D$154,T382,Analytics!$B$5:$B$154,"&gt;="&amp;DashStart,Analytics!$B$5:$B$154,"&lt;="&amp;DashEnd))</f>
        <v>0</v>
      </c>
      <c r="Y382" s="24">
        <f>IF(OR(W382="",W382=0),"",X382/W382)</f>
        <v>0</v>
      </c>
      <c r="Z382" s="23">
        <f>IF(T382="","",SUMIFS(Analytics!$G$5:$G$154,Analytics!$D$5:$D$154,T382,Analytics!$B$5:$B$154,"&gt;="&amp;DashStart,Analytics!$B$5:$B$154,"&lt;="&amp;DashEnd))</f>
        <v>0</v>
      </c>
      <c r="AA382" s="23">
        <f>IF(T382="","",SUMIFS(Analytics!$X$5:$X$154,Analytics!$D$5:$D$154,T382,Analytics!$B$5:$B$154,"&gt;="&amp;DashStart,Analytics!$B$5:$B$154,"&lt;="&amp;DashEnd))</f>
        <v>0</v>
      </c>
      <c r="AB382" s="23">
        <f>IF(T382="","",SUMIFS(Analytics!$R$5:$R$154,Analytics!$D$5:$D$154,T382,Analytics!$B$5:$B$154,"&gt;="&amp;DashStart,Analytics!$B$5:$B$154,"&lt;="&amp;DashEnd))</f>
        <v>0</v>
      </c>
      <c r="AC382" s="25">
        <f>IF(T382="","",SUMIFS(Analytics!$U$5:$U$154,Analytics!$D$5:$D$154,T382,Analytics!$B$5:$B$154,"&gt;="&amp;DashStart,Analytics!$B$5:$B$154,"&lt;="&amp;DashEnd))</f>
        <v>0</v>
      </c>
      <c r="AD382" s="23">
        <f>IF(T382="","",COUNTIFS('Content Calendar'!$G$5:$G$604,T382,'Content Calendar'!$B$5:$B$604,"&gt;="&amp;DATE(PlanYear,1,1),'Content Calendar'!$B$5:$B$604,"&lt;="&amp;DATE(PlanYear,12,31)))</f>
        <v>0</v>
      </c>
      <c r="AE382" s="23">
        <f>IF(T382="","",SUMIFS(Analytics!$J$5:$J$154,Analytics!$D$5:$D$154,T382))</f>
        <v>0</v>
      </c>
      <c r="AF382" s="23">
        <f>IF(T382="","",SUMIFS(Analytics!$L$5:$L$154,Analytics!$D$5:$D$154,T382))</f>
        <v>0</v>
      </c>
      <c r="AG382" s="24">
        <f>IF(OR(AE382="",AE382=0),"",AF382/AE382)</f>
        <v>0</v>
      </c>
      <c r="AH382" s="23">
        <f>IF(T382="","",SUMIFS(Analytics!$X$5:$X$154,Analytics!$D$5:$D$154,T382))</f>
        <v>0</v>
      </c>
      <c r="AI382" s="32">
        <f>IF(T382="","",IF(AE382=0,"",AE382+ROW()/1000000))</f>
        <v>0</v>
      </c>
      <c r="AJ382" s="17">
        <f>IF('Content Pillars'!$B$382="","",'Content Pillars'!$B$382)</f>
        <v>0</v>
      </c>
      <c r="AK382" s="23">
        <f>IF(AJ382="","",COUNTIFS('Content Calendar'!$J$5:$J$604,AJ382,'Content Calendar'!$B$5:$B$604,"&gt;="&amp;DATE(PlanYear,1,1),'Content Calendar'!$B$5:$B$604,"&lt;="&amp;DATE(PlanYear,12,31)))</f>
        <v>0</v>
      </c>
      <c r="AL382" s="23">
        <f>IF(AJ382="","",SUMIFS(Performance!$O$5:$O$404,Performance!$H$5:$H$404,AJ382))</f>
        <v>0</v>
      </c>
      <c r="AM382" s="23">
        <f>IF(AJ382="","",SUMIFS(Performance!$Z$5:$Z$404,Performance!$H$5:$H$404,AJ382))</f>
        <v>0</v>
      </c>
      <c r="AN382" s="24">
        <f>IF(OR(AL382="",AL382=0),"",AM382/AL382)</f>
        <v>0</v>
      </c>
      <c r="AO382" s="32">
        <f>IF(AN382="","",AN382+ROW()/1000000)</f>
        <v>0</v>
      </c>
      <c r="AP382" s="17">
        <f>IF(Lists!$E382="","",Lists!$E382)</f>
        <v>0</v>
      </c>
      <c r="AQ382" s="23">
        <f>IF(AP382="","",COUNTIF(Performance!$G$5:$G$404,AP382))</f>
        <v>0</v>
      </c>
      <c r="AR382" s="23">
        <f>IF(AP382="","",SUMIFS(Performance!$O$5:$O$404,Performance!$G$5:$G$404,AP382))</f>
        <v>0</v>
      </c>
      <c r="AS382" s="23">
        <f>IF(AP382="","",SUMIFS(Performance!$Z$5:$Z$404,Performance!$G$5:$G$404,AP382))</f>
        <v>0</v>
      </c>
      <c r="AT382" s="24">
        <f>IF(OR(AR382="",AR382=0),"",AS382/AR382)</f>
        <v>0</v>
      </c>
      <c r="AU382" s="32">
        <f>IF(AQ382=0,"",IF(AT382="","",AT382+ROW()/1000000))</f>
        <v>0</v>
      </c>
      <c r="AV382" s="17">
        <f>IF(ROW()-4&gt;7,"",TEXT(DATE(2024,1,ROW()-4),"ddd"))</f>
        <v>0</v>
      </c>
      <c r="AW382" s="23">
        <f>IF(AV382="","",COUNTIF(Performance!$N$5:$N$404,AV382))</f>
        <v>0</v>
      </c>
      <c r="AX382" s="23">
        <f>IF(AV382="","",SUMIFS(Performance!$O$5:$O$404,Performance!$N$5:$N$404,AV382))</f>
        <v>0</v>
      </c>
      <c r="AY382" s="23">
        <f>IF(AV382="","",SUMIFS(Performance!$Z$5:$Z$404,Performance!$N$5:$N$404,AV382))</f>
        <v>0</v>
      </c>
      <c r="AZ382" s="24">
        <f>IF(OR(AX382="",AX382=0),"",AY382/AX382)</f>
        <v>0</v>
      </c>
      <c r="BA382" s="32">
        <f>IF(AW382=0,"",IF(AZ382="","",AZ382+ROW()/1000000))</f>
        <v>0</v>
      </c>
      <c r="BB382" s="17">
        <f>IF(Lists!$AL382="","",Lists!$AL382)</f>
        <v>0</v>
      </c>
      <c r="BC382" s="23">
        <f>IF(BB382="","",COUNTIF(Performance!$M$5:$M$404,BB382))</f>
        <v>0</v>
      </c>
      <c r="BD382" s="23">
        <f>IF(BB382="","",SUMIFS(Performance!$O$5:$O$404,Performance!$M$5:$M$404,BB382))</f>
        <v>0</v>
      </c>
      <c r="BE382" s="23">
        <f>IF(BB382="","",SUMIFS(Performance!$Z$5:$Z$404,Performance!$M$5:$M$404,BB382))</f>
        <v>0</v>
      </c>
      <c r="BF382" s="24">
        <f>IF(OR(BD382="",BD382=0),"",BE382/BD382)</f>
        <v>0</v>
      </c>
      <c r="BG382" s="32">
        <f>IF(BC382=0,"",IF(BF382="","",BF382+ROW()/1000000))</f>
        <v>0</v>
      </c>
      <c r="BH382" s="17">
        <f>IF(Performance!$C$382="","",Performance!$C$382)</f>
        <v>0</v>
      </c>
      <c r="BI382" s="17">
        <f>IF(Performance!$F$382="","",Performance!$F$382)</f>
        <v>0</v>
      </c>
      <c r="BJ382" s="17">
        <f>IF(Performance!$H$382="","",Performance!$H$382)</f>
        <v>0</v>
      </c>
      <c r="BK382" s="16">
        <f>IF(Performance!$D$382="","",Performance!$D$382)</f>
        <v>0</v>
      </c>
      <c r="BL382" s="17">
        <f>IF(Performance!$E$382="","",Performance!$E$382)</f>
        <v>0</v>
      </c>
      <c r="BM382" s="23">
        <f>IF(Performance!$O$382="","",Performance!$O$382)</f>
        <v>0</v>
      </c>
      <c r="BN382" s="24">
        <f>IF(Performance!$AA$382="","",Performance!$AA$382)</f>
        <v>0</v>
      </c>
      <c r="BO382" s="32">
        <f>IF(BH382="","",IF(BK382="","",IF(OR(BK382&lt;DashStart,BK382&gt;DashEnd),"",IF(BN382="","",BN382+ROW()/1000000))))</f>
        <v>0</v>
      </c>
      <c r="BP382" s="32">
        <f>IF(BM382="","",IF(BK382="","",IF(OR(BK382&lt;DashStart,BK382&gt;DashEnd),"",BM382+ROW()/1000000)))</f>
        <v>0</v>
      </c>
      <c r="BQ382" s="32">
        <f>IF(BH382="","",IF(BK382="","",IF(YEAR(BK382)&lt;&gt;PlanYear,"",IF(BN382="","",BN382+ROW()/1000000))))</f>
        <v>0</v>
      </c>
      <c r="BR382" s="32">
        <f>IF(BH382="","",IF(BK382="","",IF(OR(BK382&lt;RepFrom,BK382&gt;RepTo),"",IF(BN382="","",BN382+ROW()/1000000))))</f>
        <v>0</v>
      </c>
      <c r="BS382" s="32">
        <f>IF(BM382="","",IF(BK382="","",IF(YEAR(BK382)&lt;&gt;PlanYear,"",BM382+ROW()/1000000)))</f>
        <v>0</v>
      </c>
      <c r="BT382" s="17">
        <f>IF(Lists!$F382="","",Lists!$F382)</f>
        <v>0</v>
      </c>
      <c r="BU382" s="23">
        <f>IF(BT382="","",COUNTIF('Content Calendar'!$X$5:$X$604,BT382))</f>
        <v>0</v>
      </c>
      <c r="BV382" s="23">
        <f>IF(BT382="","",COUNTIFS('Content Calendar'!$X$5:$X$604,BT382,'Content Calendar'!$B$5:$B$604,"&gt;="&amp;DashStart,'Content Calendar'!$B$5:$B$604,"&lt;="&amp;DashEnd))</f>
        <v>0</v>
      </c>
      <c r="BW382" s="17">
        <f>IF(Team!$B$382="","",Team!$B$382)</f>
        <v>0</v>
      </c>
      <c r="BX382" s="23">
        <f>IF(BW382="","",COUNTIF('Content Calendar'!$W$5:$W$604,BW382))</f>
        <v>0</v>
      </c>
      <c r="BY382" s="23">
        <f>IF(BW382="","",COUNTIFS('Content Calendar'!$W$5:$W$604,BW382,'Content Calendar'!$X$5:$X$604,"&lt;&gt;Published"))</f>
        <v>0</v>
      </c>
      <c r="BZ382" s="23">
        <f>IF(BW382="","",COUNTIFS(Tasks!$C$5:$C$64,BW382,Tasks!$G$5:$G$64,"&lt;&gt;Complete"))</f>
        <v>0</v>
      </c>
      <c r="CA382" s="17">
        <f>IF(Campaigns!$B$382="","",Campaigns!$B$382)</f>
        <v>0</v>
      </c>
      <c r="CB382" s="25">
        <f>IF(Campaigns!$T$382="","",Campaigns!$T$382)</f>
        <v>0</v>
      </c>
      <c r="CC382" s="25">
        <f>IF(Campaigns!$Q$382="","",Campaigns!$Q$382)</f>
        <v>0</v>
      </c>
      <c r="CD382" s="23">
        <f>IF(Campaigns!$Y$382="","",Campaigns!$Y$382)</f>
        <v>0</v>
      </c>
      <c r="CE382" s="32">
        <f>IF(CA382="","",IF(N(CB382)&lt;=0,"",N(CB382)+ROW()/1000000))</f>
        <v>0</v>
      </c>
      <c r="CF382" s="17">
        <f>IF(Accounts!$C$382="","",Accounts!$C$382)</f>
        <v>0</v>
      </c>
      <c r="CG382" s="17">
        <f>IF(Accounts!$B$382="","",Accounts!$B$382)</f>
        <v>0</v>
      </c>
      <c r="CH382" s="23">
        <f>IF(Accounts!$J$382="","",Accounts!$J$382)</f>
        <v>0</v>
      </c>
      <c r="CI382" s="23">
        <f>IF(CF382="","",SUMIFS(Analytics!$X$5:$X$154,Analytics!$E$5:$E$154,CF382,Analytics!$B$5:$B$154,"&gt;="&amp;DashStart,Analytics!$B$5:$B$154,"&lt;="&amp;DashEnd))</f>
        <v>0</v>
      </c>
      <c r="CJ382" s="32">
        <f>IF(CH382="","",IF(CH382=0,"",CH382+ROW()/1000000))</f>
        <v>0</v>
      </c>
    </row>
    <row r="383" spans="1:88">
      <c r="A383" s="16">
        <f>IF(ROW()-4&gt;12,"",DATE(PlanYear,ROW()-4,1))</f>
        <v>0</v>
      </c>
      <c r="B383" s="16">
        <f>IF(A383="","",EOMONTH(A383,0))</f>
        <v>0</v>
      </c>
      <c r="C383" s="17">
        <f>IF(A383="","",TEXT(A383,"yyyy-mm"))</f>
        <v>0</v>
      </c>
      <c r="D383" s="17">
        <f>IF(A383="","",TEXT(A383,"mmm"))</f>
        <v>0</v>
      </c>
      <c r="E383" s="23">
        <f>IF(C383="","",COUNTIFS('Content Calendar'!$D$5:$D$604,C383))</f>
        <v>0</v>
      </c>
      <c r="F383" s="23">
        <f>IF(C383="","",COUNTIFS('Content Calendar'!$D$5:$D$604,C383,'Content Calendar'!$X$5:$X$604,"Published"))</f>
        <v>0</v>
      </c>
      <c r="G383" s="23">
        <f>IF(C383="","",SUMIFS(Analytics!$J$5:$J$154,Analytics!$C$5:$C$154,C383))</f>
        <v>0</v>
      </c>
      <c r="H383" s="23">
        <f>IF(C383="","",SUMIFS(Analytics!$K$5:$K$154,Analytics!$C$5:$C$154,C383))</f>
        <v>0</v>
      </c>
      <c r="I383" s="23">
        <f>IF(C383="","",SUMIFS(Analytics!$L$5:$L$154,Analytics!$C$5:$C$154,C383))</f>
        <v>0</v>
      </c>
      <c r="J383" s="24">
        <f>IF(OR(G383="",G383=0),"",I383/G383)</f>
        <v>0</v>
      </c>
      <c r="K383" s="23">
        <f>IF(C383="","",SUMIFS(Analytics!$G$5:$G$154,Analytics!$C$5:$C$154,C383))</f>
        <v>0</v>
      </c>
      <c r="L383" s="23">
        <f>IF(C383="","",SUMIFS(Analytics!$X$5:$X$154,Analytics!$C$5:$C$154,C383))</f>
        <v>0</v>
      </c>
      <c r="M383" s="23">
        <f>IF(C383="","",SUMIFS(Analytics!$R$5:$R$154,Analytics!$C$5:$C$154,C383))</f>
        <v>0</v>
      </c>
      <c r="N383" s="23">
        <f>IF(C383="","",SUMIFS(Analytics!$S$5:$S$154,Analytics!$C$5:$C$154,C383))</f>
        <v>0</v>
      </c>
      <c r="O383" s="23">
        <f>IF(C383="","",SUMIFS(Analytics!$T$5:$T$154,Analytics!$C$5:$C$154,C383))</f>
        <v>0</v>
      </c>
      <c r="P383" s="25">
        <f>IF(C383="","",SUMIFS(Analytics!$U$5:$U$154,Analytics!$C$5:$C$154,C383))</f>
        <v>0</v>
      </c>
      <c r="Q383" s="25">
        <f>IF(C383="","",SUMIFS(Budget!$H$5:$H$64,Budget!$C$5:$C$64,C383))</f>
        <v>0</v>
      </c>
      <c r="R383" s="25">
        <f>IF(C383="","",P383-Q383)</f>
        <v>0</v>
      </c>
      <c r="S383" s="23">
        <f>IF(C383="","",MonthlyPostTarget)</f>
        <v>0</v>
      </c>
      <c r="T383" s="17">
        <f>IF(Lists!$C383="","",Lists!$C383)</f>
        <v>0</v>
      </c>
      <c r="U383" s="23">
        <f>IF(T383="","",COUNTIFS('Content Calendar'!$G$5:$G$604,T383,'Content Calendar'!$B$5:$B$604,"&gt;="&amp;DashStart,'Content Calendar'!$B$5:$B$604,"&lt;="&amp;DashEnd))</f>
        <v>0</v>
      </c>
      <c r="V383" s="23">
        <f>IF(T383="","",COUNTIFS('Content Calendar'!$G$5:$G$604,T383,'Content Calendar'!$X$5:$X$604,"Published",'Content Calendar'!$B$5:$B$604,"&gt;="&amp;DashStart,'Content Calendar'!$B$5:$B$604,"&lt;="&amp;DashEnd))</f>
        <v>0</v>
      </c>
      <c r="W383" s="23">
        <f>IF(T383="","",SUMIFS(Analytics!$J$5:$J$154,Analytics!$D$5:$D$154,T383,Analytics!$B$5:$B$154,"&gt;="&amp;DashStart,Analytics!$B$5:$B$154,"&lt;="&amp;DashEnd))</f>
        <v>0</v>
      </c>
      <c r="X383" s="23">
        <f>IF(T383="","",SUMIFS(Analytics!$L$5:$L$154,Analytics!$D$5:$D$154,T383,Analytics!$B$5:$B$154,"&gt;="&amp;DashStart,Analytics!$B$5:$B$154,"&lt;="&amp;DashEnd))</f>
        <v>0</v>
      </c>
      <c r="Y383" s="24">
        <f>IF(OR(W383="",W383=0),"",X383/W383)</f>
        <v>0</v>
      </c>
      <c r="Z383" s="23">
        <f>IF(T383="","",SUMIFS(Analytics!$G$5:$G$154,Analytics!$D$5:$D$154,T383,Analytics!$B$5:$B$154,"&gt;="&amp;DashStart,Analytics!$B$5:$B$154,"&lt;="&amp;DashEnd))</f>
        <v>0</v>
      </c>
      <c r="AA383" s="23">
        <f>IF(T383="","",SUMIFS(Analytics!$X$5:$X$154,Analytics!$D$5:$D$154,T383,Analytics!$B$5:$B$154,"&gt;="&amp;DashStart,Analytics!$B$5:$B$154,"&lt;="&amp;DashEnd))</f>
        <v>0</v>
      </c>
      <c r="AB383" s="23">
        <f>IF(T383="","",SUMIFS(Analytics!$R$5:$R$154,Analytics!$D$5:$D$154,T383,Analytics!$B$5:$B$154,"&gt;="&amp;DashStart,Analytics!$B$5:$B$154,"&lt;="&amp;DashEnd))</f>
        <v>0</v>
      </c>
      <c r="AC383" s="25">
        <f>IF(T383="","",SUMIFS(Analytics!$U$5:$U$154,Analytics!$D$5:$D$154,T383,Analytics!$B$5:$B$154,"&gt;="&amp;DashStart,Analytics!$B$5:$B$154,"&lt;="&amp;DashEnd))</f>
        <v>0</v>
      </c>
      <c r="AD383" s="23">
        <f>IF(T383="","",COUNTIFS('Content Calendar'!$G$5:$G$604,T383,'Content Calendar'!$B$5:$B$604,"&gt;="&amp;DATE(PlanYear,1,1),'Content Calendar'!$B$5:$B$604,"&lt;="&amp;DATE(PlanYear,12,31)))</f>
        <v>0</v>
      </c>
      <c r="AE383" s="23">
        <f>IF(T383="","",SUMIFS(Analytics!$J$5:$J$154,Analytics!$D$5:$D$154,T383))</f>
        <v>0</v>
      </c>
      <c r="AF383" s="23">
        <f>IF(T383="","",SUMIFS(Analytics!$L$5:$L$154,Analytics!$D$5:$D$154,T383))</f>
        <v>0</v>
      </c>
      <c r="AG383" s="24">
        <f>IF(OR(AE383="",AE383=0),"",AF383/AE383)</f>
        <v>0</v>
      </c>
      <c r="AH383" s="23">
        <f>IF(T383="","",SUMIFS(Analytics!$X$5:$X$154,Analytics!$D$5:$D$154,T383))</f>
        <v>0</v>
      </c>
      <c r="AI383" s="32">
        <f>IF(T383="","",IF(AE383=0,"",AE383+ROW()/1000000))</f>
        <v>0</v>
      </c>
      <c r="AJ383" s="17">
        <f>IF('Content Pillars'!$B$383="","",'Content Pillars'!$B$383)</f>
        <v>0</v>
      </c>
      <c r="AK383" s="23">
        <f>IF(AJ383="","",COUNTIFS('Content Calendar'!$J$5:$J$604,AJ383,'Content Calendar'!$B$5:$B$604,"&gt;="&amp;DATE(PlanYear,1,1),'Content Calendar'!$B$5:$B$604,"&lt;="&amp;DATE(PlanYear,12,31)))</f>
        <v>0</v>
      </c>
      <c r="AL383" s="23">
        <f>IF(AJ383="","",SUMIFS(Performance!$O$5:$O$404,Performance!$H$5:$H$404,AJ383))</f>
        <v>0</v>
      </c>
      <c r="AM383" s="23">
        <f>IF(AJ383="","",SUMIFS(Performance!$Z$5:$Z$404,Performance!$H$5:$H$404,AJ383))</f>
        <v>0</v>
      </c>
      <c r="AN383" s="24">
        <f>IF(OR(AL383="",AL383=0),"",AM383/AL383)</f>
        <v>0</v>
      </c>
      <c r="AO383" s="32">
        <f>IF(AN383="","",AN383+ROW()/1000000)</f>
        <v>0</v>
      </c>
      <c r="AP383" s="17">
        <f>IF(Lists!$E383="","",Lists!$E383)</f>
        <v>0</v>
      </c>
      <c r="AQ383" s="23">
        <f>IF(AP383="","",COUNTIF(Performance!$G$5:$G$404,AP383))</f>
        <v>0</v>
      </c>
      <c r="AR383" s="23">
        <f>IF(AP383="","",SUMIFS(Performance!$O$5:$O$404,Performance!$G$5:$G$404,AP383))</f>
        <v>0</v>
      </c>
      <c r="AS383" s="23">
        <f>IF(AP383="","",SUMIFS(Performance!$Z$5:$Z$404,Performance!$G$5:$G$404,AP383))</f>
        <v>0</v>
      </c>
      <c r="AT383" s="24">
        <f>IF(OR(AR383="",AR383=0),"",AS383/AR383)</f>
        <v>0</v>
      </c>
      <c r="AU383" s="32">
        <f>IF(AQ383=0,"",IF(AT383="","",AT383+ROW()/1000000))</f>
        <v>0</v>
      </c>
      <c r="AV383" s="17">
        <f>IF(ROW()-4&gt;7,"",TEXT(DATE(2024,1,ROW()-4),"ddd"))</f>
        <v>0</v>
      </c>
      <c r="AW383" s="23">
        <f>IF(AV383="","",COUNTIF(Performance!$N$5:$N$404,AV383))</f>
        <v>0</v>
      </c>
      <c r="AX383" s="23">
        <f>IF(AV383="","",SUMIFS(Performance!$O$5:$O$404,Performance!$N$5:$N$404,AV383))</f>
        <v>0</v>
      </c>
      <c r="AY383" s="23">
        <f>IF(AV383="","",SUMIFS(Performance!$Z$5:$Z$404,Performance!$N$5:$N$404,AV383))</f>
        <v>0</v>
      </c>
      <c r="AZ383" s="24">
        <f>IF(OR(AX383="",AX383=0),"",AY383/AX383)</f>
        <v>0</v>
      </c>
      <c r="BA383" s="32">
        <f>IF(AW383=0,"",IF(AZ383="","",AZ383+ROW()/1000000))</f>
        <v>0</v>
      </c>
      <c r="BB383" s="17">
        <f>IF(Lists!$AL383="","",Lists!$AL383)</f>
        <v>0</v>
      </c>
      <c r="BC383" s="23">
        <f>IF(BB383="","",COUNTIF(Performance!$M$5:$M$404,BB383))</f>
        <v>0</v>
      </c>
      <c r="BD383" s="23">
        <f>IF(BB383="","",SUMIFS(Performance!$O$5:$O$404,Performance!$M$5:$M$404,BB383))</f>
        <v>0</v>
      </c>
      <c r="BE383" s="23">
        <f>IF(BB383="","",SUMIFS(Performance!$Z$5:$Z$404,Performance!$M$5:$M$404,BB383))</f>
        <v>0</v>
      </c>
      <c r="BF383" s="24">
        <f>IF(OR(BD383="",BD383=0),"",BE383/BD383)</f>
        <v>0</v>
      </c>
      <c r="BG383" s="32">
        <f>IF(BC383=0,"",IF(BF383="","",BF383+ROW()/1000000))</f>
        <v>0</v>
      </c>
      <c r="BH383" s="17">
        <f>IF(Performance!$C$383="","",Performance!$C$383)</f>
        <v>0</v>
      </c>
      <c r="BI383" s="17">
        <f>IF(Performance!$F$383="","",Performance!$F$383)</f>
        <v>0</v>
      </c>
      <c r="BJ383" s="17">
        <f>IF(Performance!$H$383="","",Performance!$H$383)</f>
        <v>0</v>
      </c>
      <c r="BK383" s="16">
        <f>IF(Performance!$D$383="","",Performance!$D$383)</f>
        <v>0</v>
      </c>
      <c r="BL383" s="17">
        <f>IF(Performance!$E$383="","",Performance!$E$383)</f>
        <v>0</v>
      </c>
      <c r="BM383" s="23">
        <f>IF(Performance!$O$383="","",Performance!$O$383)</f>
        <v>0</v>
      </c>
      <c r="BN383" s="24">
        <f>IF(Performance!$AA$383="","",Performance!$AA$383)</f>
        <v>0</v>
      </c>
      <c r="BO383" s="32">
        <f>IF(BH383="","",IF(BK383="","",IF(OR(BK383&lt;DashStart,BK383&gt;DashEnd),"",IF(BN383="","",BN383+ROW()/1000000))))</f>
        <v>0</v>
      </c>
      <c r="BP383" s="32">
        <f>IF(BM383="","",IF(BK383="","",IF(OR(BK383&lt;DashStart,BK383&gt;DashEnd),"",BM383+ROW()/1000000)))</f>
        <v>0</v>
      </c>
      <c r="BQ383" s="32">
        <f>IF(BH383="","",IF(BK383="","",IF(YEAR(BK383)&lt;&gt;PlanYear,"",IF(BN383="","",BN383+ROW()/1000000))))</f>
        <v>0</v>
      </c>
      <c r="BR383" s="32">
        <f>IF(BH383="","",IF(BK383="","",IF(OR(BK383&lt;RepFrom,BK383&gt;RepTo),"",IF(BN383="","",BN383+ROW()/1000000))))</f>
        <v>0</v>
      </c>
      <c r="BS383" s="32">
        <f>IF(BM383="","",IF(BK383="","",IF(YEAR(BK383)&lt;&gt;PlanYear,"",BM383+ROW()/1000000)))</f>
        <v>0</v>
      </c>
      <c r="BT383" s="17">
        <f>IF(Lists!$F383="","",Lists!$F383)</f>
        <v>0</v>
      </c>
      <c r="BU383" s="23">
        <f>IF(BT383="","",COUNTIF('Content Calendar'!$X$5:$X$604,BT383))</f>
        <v>0</v>
      </c>
      <c r="BV383" s="23">
        <f>IF(BT383="","",COUNTIFS('Content Calendar'!$X$5:$X$604,BT383,'Content Calendar'!$B$5:$B$604,"&gt;="&amp;DashStart,'Content Calendar'!$B$5:$B$604,"&lt;="&amp;DashEnd))</f>
        <v>0</v>
      </c>
      <c r="BW383" s="17">
        <f>IF(Team!$B$383="","",Team!$B$383)</f>
        <v>0</v>
      </c>
      <c r="BX383" s="23">
        <f>IF(BW383="","",COUNTIF('Content Calendar'!$W$5:$W$604,BW383))</f>
        <v>0</v>
      </c>
      <c r="BY383" s="23">
        <f>IF(BW383="","",COUNTIFS('Content Calendar'!$W$5:$W$604,BW383,'Content Calendar'!$X$5:$X$604,"&lt;&gt;Published"))</f>
        <v>0</v>
      </c>
      <c r="BZ383" s="23">
        <f>IF(BW383="","",COUNTIFS(Tasks!$C$5:$C$64,BW383,Tasks!$G$5:$G$64,"&lt;&gt;Complete"))</f>
        <v>0</v>
      </c>
      <c r="CA383" s="17">
        <f>IF(Campaigns!$B$383="","",Campaigns!$B$383)</f>
        <v>0</v>
      </c>
      <c r="CB383" s="25">
        <f>IF(Campaigns!$T$383="","",Campaigns!$T$383)</f>
        <v>0</v>
      </c>
      <c r="CC383" s="25">
        <f>IF(Campaigns!$Q$383="","",Campaigns!$Q$383)</f>
        <v>0</v>
      </c>
      <c r="CD383" s="23">
        <f>IF(Campaigns!$Y$383="","",Campaigns!$Y$383)</f>
        <v>0</v>
      </c>
      <c r="CE383" s="32">
        <f>IF(CA383="","",IF(N(CB383)&lt;=0,"",N(CB383)+ROW()/1000000))</f>
        <v>0</v>
      </c>
      <c r="CF383" s="17">
        <f>IF(Accounts!$C$383="","",Accounts!$C$383)</f>
        <v>0</v>
      </c>
      <c r="CG383" s="17">
        <f>IF(Accounts!$B$383="","",Accounts!$B$383)</f>
        <v>0</v>
      </c>
      <c r="CH383" s="23">
        <f>IF(Accounts!$J$383="","",Accounts!$J$383)</f>
        <v>0</v>
      </c>
      <c r="CI383" s="23">
        <f>IF(CF383="","",SUMIFS(Analytics!$X$5:$X$154,Analytics!$E$5:$E$154,CF383,Analytics!$B$5:$B$154,"&gt;="&amp;DashStart,Analytics!$B$5:$B$154,"&lt;="&amp;DashEnd))</f>
        <v>0</v>
      </c>
      <c r="CJ383" s="32">
        <f>IF(CH383="","",IF(CH383=0,"",CH383+ROW()/1000000))</f>
        <v>0</v>
      </c>
    </row>
    <row r="384" spans="1:88">
      <c r="A384" s="16">
        <f>IF(ROW()-4&gt;12,"",DATE(PlanYear,ROW()-4,1))</f>
        <v>0</v>
      </c>
      <c r="B384" s="16">
        <f>IF(A384="","",EOMONTH(A384,0))</f>
        <v>0</v>
      </c>
      <c r="C384" s="17">
        <f>IF(A384="","",TEXT(A384,"yyyy-mm"))</f>
        <v>0</v>
      </c>
      <c r="D384" s="17">
        <f>IF(A384="","",TEXT(A384,"mmm"))</f>
        <v>0</v>
      </c>
      <c r="E384" s="23">
        <f>IF(C384="","",COUNTIFS('Content Calendar'!$D$5:$D$604,C384))</f>
        <v>0</v>
      </c>
      <c r="F384" s="23">
        <f>IF(C384="","",COUNTIFS('Content Calendar'!$D$5:$D$604,C384,'Content Calendar'!$X$5:$X$604,"Published"))</f>
        <v>0</v>
      </c>
      <c r="G384" s="23">
        <f>IF(C384="","",SUMIFS(Analytics!$J$5:$J$154,Analytics!$C$5:$C$154,C384))</f>
        <v>0</v>
      </c>
      <c r="H384" s="23">
        <f>IF(C384="","",SUMIFS(Analytics!$K$5:$K$154,Analytics!$C$5:$C$154,C384))</f>
        <v>0</v>
      </c>
      <c r="I384" s="23">
        <f>IF(C384="","",SUMIFS(Analytics!$L$5:$L$154,Analytics!$C$5:$C$154,C384))</f>
        <v>0</v>
      </c>
      <c r="J384" s="24">
        <f>IF(OR(G384="",G384=0),"",I384/G384)</f>
        <v>0</v>
      </c>
      <c r="K384" s="23">
        <f>IF(C384="","",SUMIFS(Analytics!$G$5:$G$154,Analytics!$C$5:$C$154,C384))</f>
        <v>0</v>
      </c>
      <c r="L384" s="23">
        <f>IF(C384="","",SUMIFS(Analytics!$X$5:$X$154,Analytics!$C$5:$C$154,C384))</f>
        <v>0</v>
      </c>
      <c r="M384" s="23">
        <f>IF(C384="","",SUMIFS(Analytics!$R$5:$R$154,Analytics!$C$5:$C$154,C384))</f>
        <v>0</v>
      </c>
      <c r="N384" s="23">
        <f>IF(C384="","",SUMIFS(Analytics!$S$5:$S$154,Analytics!$C$5:$C$154,C384))</f>
        <v>0</v>
      </c>
      <c r="O384" s="23">
        <f>IF(C384="","",SUMIFS(Analytics!$T$5:$T$154,Analytics!$C$5:$C$154,C384))</f>
        <v>0</v>
      </c>
      <c r="P384" s="25">
        <f>IF(C384="","",SUMIFS(Analytics!$U$5:$U$154,Analytics!$C$5:$C$154,C384))</f>
        <v>0</v>
      </c>
      <c r="Q384" s="25">
        <f>IF(C384="","",SUMIFS(Budget!$H$5:$H$64,Budget!$C$5:$C$64,C384))</f>
        <v>0</v>
      </c>
      <c r="R384" s="25">
        <f>IF(C384="","",P384-Q384)</f>
        <v>0</v>
      </c>
      <c r="S384" s="23">
        <f>IF(C384="","",MonthlyPostTarget)</f>
        <v>0</v>
      </c>
      <c r="T384" s="17">
        <f>IF(Lists!$C384="","",Lists!$C384)</f>
        <v>0</v>
      </c>
      <c r="U384" s="23">
        <f>IF(T384="","",COUNTIFS('Content Calendar'!$G$5:$G$604,T384,'Content Calendar'!$B$5:$B$604,"&gt;="&amp;DashStart,'Content Calendar'!$B$5:$B$604,"&lt;="&amp;DashEnd))</f>
        <v>0</v>
      </c>
      <c r="V384" s="23">
        <f>IF(T384="","",COUNTIFS('Content Calendar'!$G$5:$G$604,T384,'Content Calendar'!$X$5:$X$604,"Published",'Content Calendar'!$B$5:$B$604,"&gt;="&amp;DashStart,'Content Calendar'!$B$5:$B$604,"&lt;="&amp;DashEnd))</f>
        <v>0</v>
      </c>
      <c r="W384" s="23">
        <f>IF(T384="","",SUMIFS(Analytics!$J$5:$J$154,Analytics!$D$5:$D$154,T384,Analytics!$B$5:$B$154,"&gt;="&amp;DashStart,Analytics!$B$5:$B$154,"&lt;="&amp;DashEnd))</f>
        <v>0</v>
      </c>
      <c r="X384" s="23">
        <f>IF(T384="","",SUMIFS(Analytics!$L$5:$L$154,Analytics!$D$5:$D$154,T384,Analytics!$B$5:$B$154,"&gt;="&amp;DashStart,Analytics!$B$5:$B$154,"&lt;="&amp;DashEnd))</f>
        <v>0</v>
      </c>
      <c r="Y384" s="24">
        <f>IF(OR(W384="",W384=0),"",X384/W384)</f>
        <v>0</v>
      </c>
      <c r="Z384" s="23">
        <f>IF(T384="","",SUMIFS(Analytics!$G$5:$G$154,Analytics!$D$5:$D$154,T384,Analytics!$B$5:$B$154,"&gt;="&amp;DashStart,Analytics!$B$5:$B$154,"&lt;="&amp;DashEnd))</f>
        <v>0</v>
      </c>
      <c r="AA384" s="23">
        <f>IF(T384="","",SUMIFS(Analytics!$X$5:$X$154,Analytics!$D$5:$D$154,T384,Analytics!$B$5:$B$154,"&gt;="&amp;DashStart,Analytics!$B$5:$B$154,"&lt;="&amp;DashEnd))</f>
        <v>0</v>
      </c>
      <c r="AB384" s="23">
        <f>IF(T384="","",SUMIFS(Analytics!$R$5:$R$154,Analytics!$D$5:$D$154,T384,Analytics!$B$5:$B$154,"&gt;="&amp;DashStart,Analytics!$B$5:$B$154,"&lt;="&amp;DashEnd))</f>
        <v>0</v>
      </c>
      <c r="AC384" s="25">
        <f>IF(T384="","",SUMIFS(Analytics!$U$5:$U$154,Analytics!$D$5:$D$154,T384,Analytics!$B$5:$B$154,"&gt;="&amp;DashStart,Analytics!$B$5:$B$154,"&lt;="&amp;DashEnd))</f>
        <v>0</v>
      </c>
      <c r="AD384" s="23">
        <f>IF(T384="","",COUNTIFS('Content Calendar'!$G$5:$G$604,T384,'Content Calendar'!$B$5:$B$604,"&gt;="&amp;DATE(PlanYear,1,1),'Content Calendar'!$B$5:$B$604,"&lt;="&amp;DATE(PlanYear,12,31)))</f>
        <v>0</v>
      </c>
      <c r="AE384" s="23">
        <f>IF(T384="","",SUMIFS(Analytics!$J$5:$J$154,Analytics!$D$5:$D$154,T384))</f>
        <v>0</v>
      </c>
      <c r="AF384" s="23">
        <f>IF(T384="","",SUMIFS(Analytics!$L$5:$L$154,Analytics!$D$5:$D$154,T384))</f>
        <v>0</v>
      </c>
      <c r="AG384" s="24">
        <f>IF(OR(AE384="",AE384=0),"",AF384/AE384)</f>
        <v>0</v>
      </c>
      <c r="AH384" s="23">
        <f>IF(T384="","",SUMIFS(Analytics!$X$5:$X$154,Analytics!$D$5:$D$154,T384))</f>
        <v>0</v>
      </c>
      <c r="AI384" s="32">
        <f>IF(T384="","",IF(AE384=0,"",AE384+ROW()/1000000))</f>
        <v>0</v>
      </c>
      <c r="AJ384" s="17">
        <f>IF('Content Pillars'!$B$384="","",'Content Pillars'!$B$384)</f>
        <v>0</v>
      </c>
      <c r="AK384" s="23">
        <f>IF(AJ384="","",COUNTIFS('Content Calendar'!$J$5:$J$604,AJ384,'Content Calendar'!$B$5:$B$604,"&gt;="&amp;DATE(PlanYear,1,1),'Content Calendar'!$B$5:$B$604,"&lt;="&amp;DATE(PlanYear,12,31)))</f>
        <v>0</v>
      </c>
      <c r="AL384" s="23">
        <f>IF(AJ384="","",SUMIFS(Performance!$O$5:$O$404,Performance!$H$5:$H$404,AJ384))</f>
        <v>0</v>
      </c>
      <c r="AM384" s="23">
        <f>IF(AJ384="","",SUMIFS(Performance!$Z$5:$Z$404,Performance!$H$5:$H$404,AJ384))</f>
        <v>0</v>
      </c>
      <c r="AN384" s="24">
        <f>IF(OR(AL384="",AL384=0),"",AM384/AL384)</f>
        <v>0</v>
      </c>
      <c r="AO384" s="32">
        <f>IF(AN384="","",AN384+ROW()/1000000)</f>
        <v>0</v>
      </c>
      <c r="AP384" s="17">
        <f>IF(Lists!$E384="","",Lists!$E384)</f>
        <v>0</v>
      </c>
      <c r="AQ384" s="23">
        <f>IF(AP384="","",COUNTIF(Performance!$G$5:$G$404,AP384))</f>
        <v>0</v>
      </c>
      <c r="AR384" s="23">
        <f>IF(AP384="","",SUMIFS(Performance!$O$5:$O$404,Performance!$G$5:$G$404,AP384))</f>
        <v>0</v>
      </c>
      <c r="AS384" s="23">
        <f>IF(AP384="","",SUMIFS(Performance!$Z$5:$Z$404,Performance!$G$5:$G$404,AP384))</f>
        <v>0</v>
      </c>
      <c r="AT384" s="24">
        <f>IF(OR(AR384="",AR384=0),"",AS384/AR384)</f>
        <v>0</v>
      </c>
      <c r="AU384" s="32">
        <f>IF(AQ384=0,"",IF(AT384="","",AT384+ROW()/1000000))</f>
        <v>0</v>
      </c>
      <c r="AV384" s="17">
        <f>IF(ROW()-4&gt;7,"",TEXT(DATE(2024,1,ROW()-4),"ddd"))</f>
        <v>0</v>
      </c>
      <c r="AW384" s="23">
        <f>IF(AV384="","",COUNTIF(Performance!$N$5:$N$404,AV384))</f>
        <v>0</v>
      </c>
      <c r="AX384" s="23">
        <f>IF(AV384="","",SUMIFS(Performance!$O$5:$O$404,Performance!$N$5:$N$404,AV384))</f>
        <v>0</v>
      </c>
      <c r="AY384" s="23">
        <f>IF(AV384="","",SUMIFS(Performance!$Z$5:$Z$404,Performance!$N$5:$N$404,AV384))</f>
        <v>0</v>
      </c>
      <c r="AZ384" s="24">
        <f>IF(OR(AX384="",AX384=0),"",AY384/AX384)</f>
        <v>0</v>
      </c>
      <c r="BA384" s="32">
        <f>IF(AW384=0,"",IF(AZ384="","",AZ384+ROW()/1000000))</f>
        <v>0</v>
      </c>
      <c r="BB384" s="17">
        <f>IF(Lists!$AL384="","",Lists!$AL384)</f>
        <v>0</v>
      </c>
      <c r="BC384" s="23">
        <f>IF(BB384="","",COUNTIF(Performance!$M$5:$M$404,BB384))</f>
        <v>0</v>
      </c>
      <c r="BD384" s="23">
        <f>IF(BB384="","",SUMIFS(Performance!$O$5:$O$404,Performance!$M$5:$M$404,BB384))</f>
        <v>0</v>
      </c>
      <c r="BE384" s="23">
        <f>IF(BB384="","",SUMIFS(Performance!$Z$5:$Z$404,Performance!$M$5:$M$404,BB384))</f>
        <v>0</v>
      </c>
      <c r="BF384" s="24">
        <f>IF(OR(BD384="",BD384=0),"",BE384/BD384)</f>
        <v>0</v>
      </c>
      <c r="BG384" s="32">
        <f>IF(BC384=0,"",IF(BF384="","",BF384+ROW()/1000000))</f>
        <v>0</v>
      </c>
      <c r="BH384" s="17">
        <f>IF(Performance!$C$384="","",Performance!$C$384)</f>
        <v>0</v>
      </c>
      <c r="BI384" s="17">
        <f>IF(Performance!$F$384="","",Performance!$F$384)</f>
        <v>0</v>
      </c>
      <c r="BJ384" s="17">
        <f>IF(Performance!$H$384="","",Performance!$H$384)</f>
        <v>0</v>
      </c>
      <c r="BK384" s="16">
        <f>IF(Performance!$D$384="","",Performance!$D$384)</f>
        <v>0</v>
      </c>
      <c r="BL384" s="17">
        <f>IF(Performance!$E$384="","",Performance!$E$384)</f>
        <v>0</v>
      </c>
      <c r="BM384" s="23">
        <f>IF(Performance!$O$384="","",Performance!$O$384)</f>
        <v>0</v>
      </c>
      <c r="BN384" s="24">
        <f>IF(Performance!$AA$384="","",Performance!$AA$384)</f>
        <v>0</v>
      </c>
      <c r="BO384" s="32">
        <f>IF(BH384="","",IF(BK384="","",IF(OR(BK384&lt;DashStart,BK384&gt;DashEnd),"",IF(BN384="","",BN384+ROW()/1000000))))</f>
        <v>0</v>
      </c>
      <c r="BP384" s="32">
        <f>IF(BM384="","",IF(BK384="","",IF(OR(BK384&lt;DashStart,BK384&gt;DashEnd),"",BM384+ROW()/1000000)))</f>
        <v>0</v>
      </c>
      <c r="BQ384" s="32">
        <f>IF(BH384="","",IF(BK384="","",IF(YEAR(BK384)&lt;&gt;PlanYear,"",IF(BN384="","",BN384+ROW()/1000000))))</f>
        <v>0</v>
      </c>
      <c r="BR384" s="32">
        <f>IF(BH384="","",IF(BK384="","",IF(OR(BK384&lt;RepFrom,BK384&gt;RepTo),"",IF(BN384="","",BN384+ROW()/1000000))))</f>
        <v>0</v>
      </c>
      <c r="BS384" s="32">
        <f>IF(BM384="","",IF(BK384="","",IF(YEAR(BK384)&lt;&gt;PlanYear,"",BM384+ROW()/1000000)))</f>
        <v>0</v>
      </c>
      <c r="BT384" s="17">
        <f>IF(Lists!$F384="","",Lists!$F384)</f>
        <v>0</v>
      </c>
      <c r="BU384" s="23">
        <f>IF(BT384="","",COUNTIF('Content Calendar'!$X$5:$X$604,BT384))</f>
        <v>0</v>
      </c>
      <c r="BV384" s="23">
        <f>IF(BT384="","",COUNTIFS('Content Calendar'!$X$5:$X$604,BT384,'Content Calendar'!$B$5:$B$604,"&gt;="&amp;DashStart,'Content Calendar'!$B$5:$B$604,"&lt;="&amp;DashEnd))</f>
        <v>0</v>
      </c>
      <c r="BW384" s="17">
        <f>IF(Team!$B$384="","",Team!$B$384)</f>
        <v>0</v>
      </c>
      <c r="BX384" s="23">
        <f>IF(BW384="","",COUNTIF('Content Calendar'!$W$5:$W$604,BW384))</f>
        <v>0</v>
      </c>
      <c r="BY384" s="23">
        <f>IF(BW384="","",COUNTIFS('Content Calendar'!$W$5:$W$604,BW384,'Content Calendar'!$X$5:$X$604,"&lt;&gt;Published"))</f>
        <v>0</v>
      </c>
      <c r="BZ384" s="23">
        <f>IF(BW384="","",COUNTIFS(Tasks!$C$5:$C$64,BW384,Tasks!$G$5:$G$64,"&lt;&gt;Complete"))</f>
        <v>0</v>
      </c>
      <c r="CA384" s="17">
        <f>IF(Campaigns!$B$384="","",Campaigns!$B$384)</f>
        <v>0</v>
      </c>
      <c r="CB384" s="25">
        <f>IF(Campaigns!$T$384="","",Campaigns!$T$384)</f>
        <v>0</v>
      </c>
      <c r="CC384" s="25">
        <f>IF(Campaigns!$Q$384="","",Campaigns!$Q$384)</f>
        <v>0</v>
      </c>
      <c r="CD384" s="23">
        <f>IF(Campaigns!$Y$384="","",Campaigns!$Y$384)</f>
        <v>0</v>
      </c>
      <c r="CE384" s="32">
        <f>IF(CA384="","",IF(N(CB384)&lt;=0,"",N(CB384)+ROW()/1000000))</f>
        <v>0</v>
      </c>
      <c r="CF384" s="17">
        <f>IF(Accounts!$C$384="","",Accounts!$C$384)</f>
        <v>0</v>
      </c>
      <c r="CG384" s="17">
        <f>IF(Accounts!$B$384="","",Accounts!$B$384)</f>
        <v>0</v>
      </c>
      <c r="CH384" s="23">
        <f>IF(Accounts!$J$384="","",Accounts!$J$384)</f>
        <v>0</v>
      </c>
      <c r="CI384" s="23">
        <f>IF(CF384="","",SUMIFS(Analytics!$X$5:$X$154,Analytics!$E$5:$E$154,CF384,Analytics!$B$5:$B$154,"&gt;="&amp;DashStart,Analytics!$B$5:$B$154,"&lt;="&amp;DashEnd))</f>
        <v>0</v>
      </c>
      <c r="CJ384" s="32">
        <f>IF(CH384="","",IF(CH384=0,"",CH384+ROW()/1000000))</f>
        <v>0</v>
      </c>
    </row>
    <row r="385" spans="1:88">
      <c r="A385" s="16">
        <f>IF(ROW()-4&gt;12,"",DATE(PlanYear,ROW()-4,1))</f>
        <v>0</v>
      </c>
      <c r="B385" s="16">
        <f>IF(A385="","",EOMONTH(A385,0))</f>
        <v>0</v>
      </c>
      <c r="C385" s="17">
        <f>IF(A385="","",TEXT(A385,"yyyy-mm"))</f>
        <v>0</v>
      </c>
      <c r="D385" s="17">
        <f>IF(A385="","",TEXT(A385,"mmm"))</f>
        <v>0</v>
      </c>
      <c r="E385" s="23">
        <f>IF(C385="","",COUNTIFS('Content Calendar'!$D$5:$D$604,C385))</f>
        <v>0</v>
      </c>
      <c r="F385" s="23">
        <f>IF(C385="","",COUNTIFS('Content Calendar'!$D$5:$D$604,C385,'Content Calendar'!$X$5:$X$604,"Published"))</f>
        <v>0</v>
      </c>
      <c r="G385" s="23">
        <f>IF(C385="","",SUMIFS(Analytics!$J$5:$J$154,Analytics!$C$5:$C$154,C385))</f>
        <v>0</v>
      </c>
      <c r="H385" s="23">
        <f>IF(C385="","",SUMIFS(Analytics!$K$5:$K$154,Analytics!$C$5:$C$154,C385))</f>
        <v>0</v>
      </c>
      <c r="I385" s="23">
        <f>IF(C385="","",SUMIFS(Analytics!$L$5:$L$154,Analytics!$C$5:$C$154,C385))</f>
        <v>0</v>
      </c>
      <c r="J385" s="24">
        <f>IF(OR(G385="",G385=0),"",I385/G385)</f>
        <v>0</v>
      </c>
      <c r="K385" s="23">
        <f>IF(C385="","",SUMIFS(Analytics!$G$5:$G$154,Analytics!$C$5:$C$154,C385))</f>
        <v>0</v>
      </c>
      <c r="L385" s="23">
        <f>IF(C385="","",SUMIFS(Analytics!$X$5:$X$154,Analytics!$C$5:$C$154,C385))</f>
        <v>0</v>
      </c>
      <c r="M385" s="23">
        <f>IF(C385="","",SUMIFS(Analytics!$R$5:$R$154,Analytics!$C$5:$C$154,C385))</f>
        <v>0</v>
      </c>
      <c r="N385" s="23">
        <f>IF(C385="","",SUMIFS(Analytics!$S$5:$S$154,Analytics!$C$5:$C$154,C385))</f>
        <v>0</v>
      </c>
      <c r="O385" s="23">
        <f>IF(C385="","",SUMIFS(Analytics!$T$5:$T$154,Analytics!$C$5:$C$154,C385))</f>
        <v>0</v>
      </c>
      <c r="P385" s="25">
        <f>IF(C385="","",SUMIFS(Analytics!$U$5:$U$154,Analytics!$C$5:$C$154,C385))</f>
        <v>0</v>
      </c>
      <c r="Q385" s="25">
        <f>IF(C385="","",SUMIFS(Budget!$H$5:$H$64,Budget!$C$5:$C$64,C385))</f>
        <v>0</v>
      </c>
      <c r="R385" s="25">
        <f>IF(C385="","",P385-Q385)</f>
        <v>0</v>
      </c>
      <c r="S385" s="23">
        <f>IF(C385="","",MonthlyPostTarget)</f>
        <v>0</v>
      </c>
      <c r="T385" s="17">
        <f>IF(Lists!$C385="","",Lists!$C385)</f>
        <v>0</v>
      </c>
      <c r="U385" s="23">
        <f>IF(T385="","",COUNTIFS('Content Calendar'!$G$5:$G$604,T385,'Content Calendar'!$B$5:$B$604,"&gt;="&amp;DashStart,'Content Calendar'!$B$5:$B$604,"&lt;="&amp;DashEnd))</f>
        <v>0</v>
      </c>
      <c r="V385" s="23">
        <f>IF(T385="","",COUNTIFS('Content Calendar'!$G$5:$G$604,T385,'Content Calendar'!$X$5:$X$604,"Published",'Content Calendar'!$B$5:$B$604,"&gt;="&amp;DashStart,'Content Calendar'!$B$5:$B$604,"&lt;="&amp;DashEnd))</f>
        <v>0</v>
      </c>
      <c r="W385" s="23">
        <f>IF(T385="","",SUMIFS(Analytics!$J$5:$J$154,Analytics!$D$5:$D$154,T385,Analytics!$B$5:$B$154,"&gt;="&amp;DashStart,Analytics!$B$5:$B$154,"&lt;="&amp;DashEnd))</f>
        <v>0</v>
      </c>
      <c r="X385" s="23">
        <f>IF(T385="","",SUMIFS(Analytics!$L$5:$L$154,Analytics!$D$5:$D$154,T385,Analytics!$B$5:$B$154,"&gt;="&amp;DashStart,Analytics!$B$5:$B$154,"&lt;="&amp;DashEnd))</f>
        <v>0</v>
      </c>
      <c r="Y385" s="24">
        <f>IF(OR(W385="",W385=0),"",X385/W385)</f>
        <v>0</v>
      </c>
      <c r="Z385" s="23">
        <f>IF(T385="","",SUMIFS(Analytics!$G$5:$G$154,Analytics!$D$5:$D$154,T385,Analytics!$B$5:$B$154,"&gt;="&amp;DashStart,Analytics!$B$5:$B$154,"&lt;="&amp;DashEnd))</f>
        <v>0</v>
      </c>
      <c r="AA385" s="23">
        <f>IF(T385="","",SUMIFS(Analytics!$X$5:$X$154,Analytics!$D$5:$D$154,T385,Analytics!$B$5:$B$154,"&gt;="&amp;DashStart,Analytics!$B$5:$B$154,"&lt;="&amp;DashEnd))</f>
        <v>0</v>
      </c>
      <c r="AB385" s="23">
        <f>IF(T385="","",SUMIFS(Analytics!$R$5:$R$154,Analytics!$D$5:$D$154,T385,Analytics!$B$5:$B$154,"&gt;="&amp;DashStart,Analytics!$B$5:$B$154,"&lt;="&amp;DashEnd))</f>
        <v>0</v>
      </c>
      <c r="AC385" s="25">
        <f>IF(T385="","",SUMIFS(Analytics!$U$5:$U$154,Analytics!$D$5:$D$154,T385,Analytics!$B$5:$B$154,"&gt;="&amp;DashStart,Analytics!$B$5:$B$154,"&lt;="&amp;DashEnd))</f>
        <v>0</v>
      </c>
      <c r="AD385" s="23">
        <f>IF(T385="","",COUNTIFS('Content Calendar'!$G$5:$G$604,T385,'Content Calendar'!$B$5:$B$604,"&gt;="&amp;DATE(PlanYear,1,1),'Content Calendar'!$B$5:$B$604,"&lt;="&amp;DATE(PlanYear,12,31)))</f>
        <v>0</v>
      </c>
      <c r="AE385" s="23">
        <f>IF(T385="","",SUMIFS(Analytics!$J$5:$J$154,Analytics!$D$5:$D$154,T385))</f>
        <v>0</v>
      </c>
      <c r="AF385" s="23">
        <f>IF(T385="","",SUMIFS(Analytics!$L$5:$L$154,Analytics!$D$5:$D$154,T385))</f>
        <v>0</v>
      </c>
      <c r="AG385" s="24">
        <f>IF(OR(AE385="",AE385=0),"",AF385/AE385)</f>
        <v>0</v>
      </c>
      <c r="AH385" s="23">
        <f>IF(T385="","",SUMIFS(Analytics!$X$5:$X$154,Analytics!$D$5:$D$154,T385))</f>
        <v>0</v>
      </c>
      <c r="AI385" s="32">
        <f>IF(T385="","",IF(AE385=0,"",AE385+ROW()/1000000))</f>
        <v>0</v>
      </c>
      <c r="AJ385" s="17">
        <f>IF('Content Pillars'!$B$385="","",'Content Pillars'!$B$385)</f>
        <v>0</v>
      </c>
      <c r="AK385" s="23">
        <f>IF(AJ385="","",COUNTIFS('Content Calendar'!$J$5:$J$604,AJ385,'Content Calendar'!$B$5:$B$604,"&gt;="&amp;DATE(PlanYear,1,1),'Content Calendar'!$B$5:$B$604,"&lt;="&amp;DATE(PlanYear,12,31)))</f>
        <v>0</v>
      </c>
      <c r="AL385" s="23">
        <f>IF(AJ385="","",SUMIFS(Performance!$O$5:$O$404,Performance!$H$5:$H$404,AJ385))</f>
        <v>0</v>
      </c>
      <c r="AM385" s="23">
        <f>IF(AJ385="","",SUMIFS(Performance!$Z$5:$Z$404,Performance!$H$5:$H$404,AJ385))</f>
        <v>0</v>
      </c>
      <c r="AN385" s="24">
        <f>IF(OR(AL385="",AL385=0),"",AM385/AL385)</f>
        <v>0</v>
      </c>
      <c r="AO385" s="32">
        <f>IF(AN385="","",AN385+ROW()/1000000)</f>
        <v>0</v>
      </c>
      <c r="AP385" s="17">
        <f>IF(Lists!$E385="","",Lists!$E385)</f>
        <v>0</v>
      </c>
      <c r="AQ385" s="23">
        <f>IF(AP385="","",COUNTIF(Performance!$G$5:$G$404,AP385))</f>
        <v>0</v>
      </c>
      <c r="AR385" s="23">
        <f>IF(AP385="","",SUMIFS(Performance!$O$5:$O$404,Performance!$G$5:$G$404,AP385))</f>
        <v>0</v>
      </c>
      <c r="AS385" s="23">
        <f>IF(AP385="","",SUMIFS(Performance!$Z$5:$Z$404,Performance!$G$5:$G$404,AP385))</f>
        <v>0</v>
      </c>
      <c r="AT385" s="24">
        <f>IF(OR(AR385="",AR385=0),"",AS385/AR385)</f>
        <v>0</v>
      </c>
      <c r="AU385" s="32">
        <f>IF(AQ385=0,"",IF(AT385="","",AT385+ROW()/1000000))</f>
        <v>0</v>
      </c>
      <c r="AV385" s="17">
        <f>IF(ROW()-4&gt;7,"",TEXT(DATE(2024,1,ROW()-4),"ddd"))</f>
        <v>0</v>
      </c>
      <c r="AW385" s="23">
        <f>IF(AV385="","",COUNTIF(Performance!$N$5:$N$404,AV385))</f>
        <v>0</v>
      </c>
      <c r="AX385" s="23">
        <f>IF(AV385="","",SUMIFS(Performance!$O$5:$O$404,Performance!$N$5:$N$404,AV385))</f>
        <v>0</v>
      </c>
      <c r="AY385" s="23">
        <f>IF(AV385="","",SUMIFS(Performance!$Z$5:$Z$404,Performance!$N$5:$N$404,AV385))</f>
        <v>0</v>
      </c>
      <c r="AZ385" s="24">
        <f>IF(OR(AX385="",AX385=0),"",AY385/AX385)</f>
        <v>0</v>
      </c>
      <c r="BA385" s="32">
        <f>IF(AW385=0,"",IF(AZ385="","",AZ385+ROW()/1000000))</f>
        <v>0</v>
      </c>
      <c r="BB385" s="17">
        <f>IF(Lists!$AL385="","",Lists!$AL385)</f>
        <v>0</v>
      </c>
      <c r="BC385" s="23">
        <f>IF(BB385="","",COUNTIF(Performance!$M$5:$M$404,BB385))</f>
        <v>0</v>
      </c>
      <c r="BD385" s="23">
        <f>IF(BB385="","",SUMIFS(Performance!$O$5:$O$404,Performance!$M$5:$M$404,BB385))</f>
        <v>0</v>
      </c>
      <c r="BE385" s="23">
        <f>IF(BB385="","",SUMIFS(Performance!$Z$5:$Z$404,Performance!$M$5:$M$404,BB385))</f>
        <v>0</v>
      </c>
      <c r="BF385" s="24">
        <f>IF(OR(BD385="",BD385=0),"",BE385/BD385)</f>
        <v>0</v>
      </c>
      <c r="BG385" s="32">
        <f>IF(BC385=0,"",IF(BF385="","",BF385+ROW()/1000000))</f>
        <v>0</v>
      </c>
      <c r="BH385" s="17">
        <f>IF(Performance!$C$385="","",Performance!$C$385)</f>
        <v>0</v>
      </c>
      <c r="BI385" s="17">
        <f>IF(Performance!$F$385="","",Performance!$F$385)</f>
        <v>0</v>
      </c>
      <c r="BJ385" s="17">
        <f>IF(Performance!$H$385="","",Performance!$H$385)</f>
        <v>0</v>
      </c>
      <c r="BK385" s="16">
        <f>IF(Performance!$D$385="","",Performance!$D$385)</f>
        <v>0</v>
      </c>
      <c r="BL385" s="17">
        <f>IF(Performance!$E$385="","",Performance!$E$385)</f>
        <v>0</v>
      </c>
      <c r="BM385" s="23">
        <f>IF(Performance!$O$385="","",Performance!$O$385)</f>
        <v>0</v>
      </c>
      <c r="BN385" s="24">
        <f>IF(Performance!$AA$385="","",Performance!$AA$385)</f>
        <v>0</v>
      </c>
      <c r="BO385" s="32">
        <f>IF(BH385="","",IF(BK385="","",IF(OR(BK385&lt;DashStart,BK385&gt;DashEnd),"",IF(BN385="","",BN385+ROW()/1000000))))</f>
        <v>0</v>
      </c>
      <c r="BP385" s="32">
        <f>IF(BM385="","",IF(BK385="","",IF(OR(BK385&lt;DashStart,BK385&gt;DashEnd),"",BM385+ROW()/1000000)))</f>
        <v>0</v>
      </c>
      <c r="BQ385" s="32">
        <f>IF(BH385="","",IF(BK385="","",IF(YEAR(BK385)&lt;&gt;PlanYear,"",IF(BN385="","",BN385+ROW()/1000000))))</f>
        <v>0</v>
      </c>
      <c r="BR385" s="32">
        <f>IF(BH385="","",IF(BK385="","",IF(OR(BK385&lt;RepFrom,BK385&gt;RepTo),"",IF(BN385="","",BN385+ROW()/1000000))))</f>
        <v>0</v>
      </c>
      <c r="BS385" s="32">
        <f>IF(BM385="","",IF(BK385="","",IF(YEAR(BK385)&lt;&gt;PlanYear,"",BM385+ROW()/1000000)))</f>
        <v>0</v>
      </c>
      <c r="BT385" s="17">
        <f>IF(Lists!$F385="","",Lists!$F385)</f>
        <v>0</v>
      </c>
      <c r="BU385" s="23">
        <f>IF(BT385="","",COUNTIF('Content Calendar'!$X$5:$X$604,BT385))</f>
        <v>0</v>
      </c>
      <c r="BV385" s="23">
        <f>IF(BT385="","",COUNTIFS('Content Calendar'!$X$5:$X$604,BT385,'Content Calendar'!$B$5:$B$604,"&gt;="&amp;DashStart,'Content Calendar'!$B$5:$B$604,"&lt;="&amp;DashEnd))</f>
        <v>0</v>
      </c>
      <c r="BW385" s="17">
        <f>IF(Team!$B$385="","",Team!$B$385)</f>
        <v>0</v>
      </c>
      <c r="BX385" s="23">
        <f>IF(BW385="","",COUNTIF('Content Calendar'!$W$5:$W$604,BW385))</f>
        <v>0</v>
      </c>
      <c r="BY385" s="23">
        <f>IF(BW385="","",COUNTIFS('Content Calendar'!$W$5:$W$604,BW385,'Content Calendar'!$X$5:$X$604,"&lt;&gt;Published"))</f>
        <v>0</v>
      </c>
      <c r="BZ385" s="23">
        <f>IF(BW385="","",COUNTIFS(Tasks!$C$5:$C$64,BW385,Tasks!$G$5:$G$64,"&lt;&gt;Complete"))</f>
        <v>0</v>
      </c>
      <c r="CA385" s="17">
        <f>IF(Campaigns!$B$385="","",Campaigns!$B$385)</f>
        <v>0</v>
      </c>
      <c r="CB385" s="25">
        <f>IF(Campaigns!$T$385="","",Campaigns!$T$385)</f>
        <v>0</v>
      </c>
      <c r="CC385" s="25">
        <f>IF(Campaigns!$Q$385="","",Campaigns!$Q$385)</f>
        <v>0</v>
      </c>
      <c r="CD385" s="23">
        <f>IF(Campaigns!$Y$385="","",Campaigns!$Y$385)</f>
        <v>0</v>
      </c>
      <c r="CE385" s="32">
        <f>IF(CA385="","",IF(N(CB385)&lt;=0,"",N(CB385)+ROW()/1000000))</f>
        <v>0</v>
      </c>
      <c r="CF385" s="17">
        <f>IF(Accounts!$C$385="","",Accounts!$C$385)</f>
        <v>0</v>
      </c>
      <c r="CG385" s="17">
        <f>IF(Accounts!$B$385="","",Accounts!$B$385)</f>
        <v>0</v>
      </c>
      <c r="CH385" s="23">
        <f>IF(Accounts!$J$385="","",Accounts!$J$385)</f>
        <v>0</v>
      </c>
      <c r="CI385" s="23">
        <f>IF(CF385="","",SUMIFS(Analytics!$X$5:$X$154,Analytics!$E$5:$E$154,CF385,Analytics!$B$5:$B$154,"&gt;="&amp;DashStart,Analytics!$B$5:$B$154,"&lt;="&amp;DashEnd))</f>
        <v>0</v>
      </c>
      <c r="CJ385" s="32">
        <f>IF(CH385="","",IF(CH385=0,"",CH385+ROW()/1000000))</f>
        <v>0</v>
      </c>
    </row>
    <row r="386" spans="1:88">
      <c r="A386" s="16">
        <f>IF(ROW()-4&gt;12,"",DATE(PlanYear,ROW()-4,1))</f>
        <v>0</v>
      </c>
      <c r="B386" s="16">
        <f>IF(A386="","",EOMONTH(A386,0))</f>
        <v>0</v>
      </c>
      <c r="C386" s="17">
        <f>IF(A386="","",TEXT(A386,"yyyy-mm"))</f>
        <v>0</v>
      </c>
      <c r="D386" s="17">
        <f>IF(A386="","",TEXT(A386,"mmm"))</f>
        <v>0</v>
      </c>
      <c r="E386" s="23">
        <f>IF(C386="","",COUNTIFS('Content Calendar'!$D$5:$D$604,C386))</f>
        <v>0</v>
      </c>
      <c r="F386" s="23">
        <f>IF(C386="","",COUNTIFS('Content Calendar'!$D$5:$D$604,C386,'Content Calendar'!$X$5:$X$604,"Published"))</f>
        <v>0</v>
      </c>
      <c r="G386" s="23">
        <f>IF(C386="","",SUMIFS(Analytics!$J$5:$J$154,Analytics!$C$5:$C$154,C386))</f>
        <v>0</v>
      </c>
      <c r="H386" s="23">
        <f>IF(C386="","",SUMIFS(Analytics!$K$5:$K$154,Analytics!$C$5:$C$154,C386))</f>
        <v>0</v>
      </c>
      <c r="I386" s="23">
        <f>IF(C386="","",SUMIFS(Analytics!$L$5:$L$154,Analytics!$C$5:$C$154,C386))</f>
        <v>0</v>
      </c>
      <c r="J386" s="24">
        <f>IF(OR(G386="",G386=0),"",I386/G386)</f>
        <v>0</v>
      </c>
      <c r="K386" s="23">
        <f>IF(C386="","",SUMIFS(Analytics!$G$5:$G$154,Analytics!$C$5:$C$154,C386))</f>
        <v>0</v>
      </c>
      <c r="L386" s="23">
        <f>IF(C386="","",SUMIFS(Analytics!$X$5:$X$154,Analytics!$C$5:$C$154,C386))</f>
        <v>0</v>
      </c>
      <c r="M386" s="23">
        <f>IF(C386="","",SUMIFS(Analytics!$R$5:$R$154,Analytics!$C$5:$C$154,C386))</f>
        <v>0</v>
      </c>
      <c r="N386" s="23">
        <f>IF(C386="","",SUMIFS(Analytics!$S$5:$S$154,Analytics!$C$5:$C$154,C386))</f>
        <v>0</v>
      </c>
      <c r="O386" s="23">
        <f>IF(C386="","",SUMIFS(Analytics!$T$5:$T$154,Analytics!$C$5:$C$154,C386))</f>
        <v>0</v>
      </c>
      <c r="P386" s="25">
        <f>IF(C386="","",SUMIFS(Analytics!$U$5:$U$154,Analytics!$C$5:$C$154,C386))</f>
        <v>0</v>
      </c>
      <c r="Q386" s="25">
        <f>IF(C386="","",SUMIFS(Budget!$H$5:$H$64,Budget!$C$5:$C$64,C386))</f>
        <v>0</v>
      </c>
      <c r="R386" s="25">
        <f>IF(C386="","",P386-Q386)</f>
        <v>0</v>
      </c>
      <c r="S386" s="23">
        <f>IF(C386="","",MonthlyPostTarget)</f>
        <v>0</v>
      </c>
      <c r="T386" s="17">
        <f>IF(Lists!$C386="","",Lists!$C386)</f>
        <v>0</v>
      </c>
      <c r="U386" s="23">
        <f>IF(T386="","",COUNTIFS('Content Calendar'!$G$5:$G$604,T386,'Content Calendar'!$B$5:$B$604,"&gt;="&amp;DashStart,'Content Calendar'!$B$5:$B$604,"&lt;="&amp;DashEnd))</f>
        <v>0</v>
      </c>
      <c r="V386" s="23">
        <f>IF(T386="","",COUNTIFS('Content Calendar'!$G$5:$G$604,T386,'Content Calendar'!$X$5:$X$604,"Published",'Content Calendar'!$B$5:$B$604,"&gt;="&amp;DashStart,'Content Calendar'!$B$5:$B$604,"&lt;="&amp;DashEnd))</f>
        <v>0</v>
      </c>
      <c r="W386" s="23">
        <f>IF(T386="","",SUMIFS(Analytics!$J$5:$J$154,Analytics!$D$5:$D$154,T386,Analytics!$B$5:$B$154,"&gt;="&amp;DashStart,Analytics!$B$5:$B$154,"&lt;="&amp;DashEnd))</f>
        <v>0</v>
      </c>
      <c r="X386" s="23">
        <f>IF(T386="","",SUMIFS(Analytics!$L$5:$L$154,Analytics!$D$5:$D$154,T386,Analytics!$B$5:$B$154,"&gt;="&amp;DashStart,Analytics!$B$5:$B$154,"&lt;="&amp;DashEnd))</f>
        <v>0</v>
      </c>
      <c r="Y386" s="24">
        <f>IF(OR(W386="",W386=0),"",X386/W386)</f>
        <v>0</v>
      </c>
      <c r="Z386" s="23">
        <f>IF(T386="","",SUMIFS(Analytics!$G$5:$G$154,Analytics!$D$5:$D$154,T386,Analytics!$B$5:$B$154,"&gt;="&amp;DashStart,Analytics!$B$5:$B$154,"&lt;="&amp;DashEnd))</f>
        <v>0</v>
      </c>
      <c r="AA386" s="23">
        <f>IF(T386="","",SUMIFS(Analytics!$X$5:$X$154,Analytics!$D$5:$D$154,T386,Analytics!$B$5:$B$154,"&gt;="&amp;DashStart,Analytics!$B$5:$B$154,"&lt;="&amp;DashEnd))</f>
        <v>0</v>
      </c>
      <c r="AB386" s="23">
        <f>IF(T386="","",SUMIFS(Analytics!$R$5:$R$154,Analytics!$D$5:$D$154,T386,Analytics!$B$5:$B$154,"&gt;="&amp;DashStart,Analytics!$B$5:$B$154,"&lt;="&amp;DashEnd))</f>
        <v>0</v>
      </c>
      <c r="AC386" s="25">
        <f>IF(T386="","",SUMIFS(Analytics!$U$5:$U$154,Analytics!$D$5:$D$154,T386,Analytics!$B$5:$B$154,"&gt;="&amp;DashStart,Analytics!$B$5:$B$154,"&lt;="&amp;DashEnd))</f>
        <v>0</v>
      </c>
      <c r="AD386" s="23">
        <f>IF(T386="","",COUNTIFS('Content Calendar'!$G$5:$G$604,T386,'Content Calendar'!$B$5:$B$604,"&gt;="&amp;DATE(PlanYear,1,1),'Content Calendar'!$B$5:$B$604,"&lt;="&amp;DATE(PlanYear,12,31)))</f>
        <v>0</v>
      </c>
      <c r="AE386" s="23">
        <f>IF(T386="","",SUMIFS(Analytics!$J$5:$J$154,Analytics!$D$5:$D$154,T386))</f>
        <v>0</v>
      </c>
      <c r="AF386" s="23">
        <f>IF(T386="","",SUMIFS(Analytics!$L$5:$L$154,Analytics!$D$5:$D$154,T386))</f>
        <v>0</v>
      </c>
      <c r="AG386" s="24">
        <f>IF(OR(AE386="",AE386=0),"",AF386/AE386)</f>
        <v>0</v>
      </c>
      <c r="AH386" s="23">
        <f>IF(T386="","",SUMIFS(Analytics!$X$5:$X$154,Analytics!$D$5:$D$154,T386))</f>
        <v>0</v>
      </c>
      <c r="AI386" s="32">
        <f>IF(T386="","",IF(AE386=0,"",AE386+ROW()/1000000))</f>
        <v>0</v>
      </c>
      <c r="AJ386" s="17">
        <f>IF('Content Pillars'!$B$386="","",'Content Pillars'!$B$386)</f>
        <v>0</v>
      </c>
      <c r="AK386" s="23">
        <f>IF(AJ386="","",COUNTIFS('Content Calendar'!$J$5:$J$604,AJ386,'Content Calendar'!$B$5:$B$604,"&gt;="&amp;DATE(PlanYear,1,1),'Content Calendar'!$B$5:$B$604,"&lt;="&amp;DATE(PlanYear,12,31)))</f>
        <v>0</v>
      </c>
      <c r="AL386" s="23">
        <f>IF(AJ386="","",SUMIFS(Performance!$O$5:$O$404,Performance!$H$5:$H$404,AJ386))</f>
        <v>0</v>
      </c>
      <c r="AM386" s="23">
        <f>IF(AJ386="","",SUMIFS(Performance!$Z$5:$Z$404,Performance!$H$5:$H$404,AJ386))</f>
        <v>0</v>
      </c>
      <c r="AN386" s="24">
        <f>IF(OR(AL386="",AL386=0),"",AM386/AL386)</f>
        <v>0</v>
      </c>
      <c r="AO386" s="32">
        <f>IF(AN386="","",AN386+ROW()/1000000)</f>
        <v>0</v>
      </c>
      <c r="AP386" s="17">
        <f>IF(Lists!$E386="","",Lists!$E386)</f>
        <v>0</v>
      </c>
      <c r="AQ386" s="23">
        <f>IF(AP386="","",COUNTIF(Performance!$G$5:$G$404,AP386))</f>
        <v>0</v>
      </c>
      <c r="AR386" s="23">
        <f>IF(AP386="","",SUMIFS(Performance!$O$5:$O$404,Performance!$G$5:$G$404,AP386))</f>
        <v>0</v>
      </c>
      <c r="AS386" s="23">
        <f>IF(AP386="","",SUMIFS(Performance!$Z$5:$Z$404,Performance!$G$5:$G$404,AP386))</f>
        <v>0</v>
      </c>
      <c r="AT386" s="24">
        <f>IF(OR(AR386="",AR386=0),"",AS386/AR386)</f>
        <v>0</v>
      </c>
      <c r="AU386" s="32">
        <f>IF(AQ386=0,"",IF(AT386="","",AT386+ROW()/1000000))</f>
        <v>0</v>
      </c>
      <c r="AV386" s="17">
        <f>IF(ROW()-4&gt;7,"",TEXT(DATE(2024,1,ROW()-4),"ddd"))</f>
        <v>0</v>
      </c>
      <c r="AW386" s="23">
        <f>IF(AV386="","",COUNTIF(Performance!$N$5:$N$404,AV386))</f>
        <v>0</v>
      </c>
      <c r="AX386" s="23">
        <f>IF(AV386="","",SUMIFS(Performance!$O$5:$O$404,Performance!$N$5:$N$404,AV386))</f>
        <v>0</v>
      </c>
      <c r="AY386" s="23">
        <f>IF(AV386="","",SUMIFS(Performance!$Z$5:$Z$404,Performance!$N$5:$N$404,AV386))</f>
        <v>0</v>
      </c>
      <c r="AZ386" s="24">
        <f>IF(OR(AX386="",AX386=0),"",AY386/AX386)</f>
        <v>0</v>
      </c>
      <c r="BA386" s="32">
        <f>IF(AW386=0,"",IF(AZ386="","",AZ386+ROW()/1000000))</f>
        <v>0</v>
      </c>
      <c r="BB386" s="17">
        <f>IF(Lists!$AL386="","",Lists!$AL386)</f>
        <v>0</v>
      </c>
      <c r="BC386" s="23">
        <f>IF(BB386="","",COUNTIF(Performance!$M$5:$M$404,BB386))</f>
        <v>0</v>
      </c>
      <c r="BD386" s="23">
        <f>IF(BB386="","",SUMIFS(Performance!$O$5:$O$404,Performance!$M$5:$M$404,BB386))</f>
        <v>0</v>
      </c>
      <c r="BE386" s="23">
        <f>IF(BB386="","",SUMIFS(Performance!$Z$5:$Z$404,Performance!$M$5:$M$404,BB386))</f>
        <v>0</v>
      </c>
      <c r="BF386" s="24">
        <f>IF(OR(BD386="",BD386=0),"",BE386/BD386)</f>
        <v>0</v>
      </c>
      <c r="BG386" s="32">
        <f>IF(BC386=0,"",IF(BF386="","",BF386+ROW()/1000000))</f>
        <v>0</v>
      </c>
      <c r="BH386" s="17">
        <f>IF(Performance!$C$386="","",Performance!$C$386)</f>
        <v>0</v>
      </c>
      <c r="BI386" s="17">
        <f>IF(Performance!$F$386="","",Performance!$F$386)</f>
        <v>0</v>
      </c>
      <c r="BJ386" s="17">
        <f>IF(Performance!$H$386="","",Performance!$H$386)</f>
        <v>0</v>
      </c>
      <c r="BK386" s="16">
        <f>IF(Performance!$D$386="","",Performance!$D$386)</f>
        <v>0</v>
      </c>
      <c r="BL386" s="17">
        <f>IF(Performance!$E$386="","",Performance!$E$386)</f>
        <v>0</v>
      </c>
      <c r="BM386" s="23">
        <f>IF(Performance!$O$386="","",Performance!$O$386)</f>
        <v>0</v>
      </c>
      <c r="BN386" s="24">
        <f>IF(Performance!$AA$386="","",Performance!$AA$386)</f>
        <v>0</v>
      </c>
      <c r="BO386" s="32">
        <f>IF(BH386="","",IF(BK386="","",IF(OR(BK386&lt;DashStart,BK386&gt;DashEnd),"",IF(BN386="","",BN386+ROW()/1000000))))</f>
        <v>0</v>
      </c>
      <c r="BP386" s="32">
        <f>IF(BM386="","",IF(BK386="","",IF(OR(BK386&lt;DashStart,BK386&gt;DashEnd),"",BM386+ROW()/1000000)))</f>
        <v>0</v>
      </c>
      <c r="BQ386" s="32">
        <f>IF(BH386="","",IF(BK386="","",IF(YEAR(BK386)&lt;&gt;PlanYear,"",IF(BN386="","",BN386+ROW()/1000000))))</f>
        <v>0</v>
      </c>
      <c r="BR386" s="32">
        <f>IF(BH386="","",IF(BK386="","",IF(OR(BK386&lt;RepFrom,BK386&gt;RepTo),"",IF(BN386="","",BN386+ROW()/1000000))))</f>
        <v>0</v>
      </c>
      <c r="BS386" s="32">
        <f>IF(BM386="","",IF(BK386="","",IF(YEAR(BK386)&lt;&gt;PlanYear,"",BM386+ROW()/1000000)))</f>
        <v>0</v>
      </c>
      <c r="BT386" s="17">
        <f>IF(Lists!$F386="","",Lists!$F386)</f>
        <v>0</v>
      </c>
      <c r="BU386" s="23">
        <f>IF(BT386="","",COUNTIF('Content Calendar'!$X$5:$X$604,BT386))</f>
        <v>0</v>
      </c>
      <c r="BV386" s="23">
        <f>IF(BT386="","",COUNTIFS('Content Calendar'!$X$5:$X$604,BT386,'Content Calendar'!$B$5:$B$604,"&gt;="&amp;DashStart,'Content Calendar'!$B$5:$B$604,"&lt;="&amp;DashEnd))</f>
        <v>0</v>
      </c>
      <c r="BW386" s="17">
        <f>IF(Team!$B$386="","",Team!$B$386)</f>
        <v>0</v>
      </c>
      <c r="BX386" s="23">
        <f>IF(BW386="","",COUNTIF('Content Calendar'!$W$5:$W$604,BW386))</f>
        <v>0</v>
      </c>
      <c r="BY386" s="23">
        <f>IF(BW386="","",COUNTIFS('Content Calendar'!$W$5:$W$604,BW386,'Content Calendar'!$X$5:$X$604,"&lt;&gt;Published"))</f>
        <v>0</v>
      </c>
      <c r="BZ386" s="23">
        <f>IF(BW386="","",COUNTIFS(Tasks!$C$5:$C$64,BW386,Tasks!$G$5:$G$64,"&lt;&gt;Complete"))</f>
        <v>0</v>
      </c>
      <c r="CA386" s="17">
        <f>IF(Campaigns!$B$386="","",Campaigns!$B$386)</f>
        <v>0</v>
      </c>
      <c r="CB386" s="25">
        <f>IF(Campaigns!$T$386="","",Campaigns!$T$386)</f>
        <v>0</v>
      </c>
      <c r="CC386" s="25">
        <f>IF(Campaigns!$Q$386="","",Campaigns!$Q$386)</f>
        <v>0</v>
      </c>
      <c r="CD386" s="23">
        <f>IF(Campaigns!$Y$386="","",Campaigns!$Y$386)</f>
        <v>0</v>
      </c>
      <c r="CE386" s="32">
        <f>IF(CA386="","",IF(N(CB386)&lt;=0,"",N(CB386)+ROW()/1000000))</f>
        <v>0</v>
      </c>
      <c r="CF386" s="17">
        <f>IF(Accounts!$C$386="","",Accounts!$C$386)</f>
        <v>0</v>
      </c>
      <c r="CG386" s="17">
        <f>IF(Accounts!$B$386="","",Accounts!$B$386)</f>
        <v>0</v>
      </c>
      <c r="CH386" s="23">
        <f>IF(Accounts!$J$386="","",Accounts!$J$386)</f>
        <v>0</v>
      </c>
      <c r="CI386" s="23">
        <f>IF(CF386="","",SUMIFS(Analytics!$X$5:$X$154,Analytics!$E$5:$E$154,CF386,Analytics!$B$5:$B$154,"&gt;="&amp;DashStart,Analytics!$B$5:$B$154,"&lt;="&amp;DashEnd))</f>
        <v>0</v>
      </c>
      <c r="CJ386" s="32">
        <f>IF(CH386="","",IF(CH386=0,"",CH386+ROW()/1000000))</f>
        <v>0</v>
      </c>
    </row>
    <row r="387" spans="1:88">
      <c r="A387" s="16">
        <f>IF(ROW()-4&gt;12,"",DATE(PlanYear,ROW()-4,1))</f>
        <v>0</v>
      </c>
      <c r="B387" s="16">
        <f>IF(A387="","",EOMONTH(A387,0))</f>
        <v>0</v>
      </c>
      <c r="C387" s="17">
        <f>IF(A387="","",TEXT(A387,"yyyy-mm"))</f>
        <v>0</v>
      </c>
      <c r="D387" s="17">
        <f>IF(A387="","",TEXT(A387,"mmm"))</f>
        <v>0</v>
      </c>
      <c r="E387" s="23">
        <f>IF(C387="","",COUNTIFS('Content Calendar'!$D$5:$D$604,C387))</f>
        <v>0</v>
      </c>
      <c r="F387" s="23">
        <f>IF(C387="","",COUNTIFS('Content Calendar'!$D$5:$D$604,C387,'Content Calendar'!$X$5:$X$604,"Published"))</f>
        <v>0</v>
      </c>
      <c r="G387" s="23">
        <f>IF(C387="","",SUMIFS(Analytics!$J$5:$J$154,Analytics!$C$5:$C$154,C387))</f>
        <v>0</v>
      </c>
      <c r="H387" s="23">
        <f>IF(C387="","",SUMIFS(Analytics!$K$5:$K$154,Analytics!$C$5:$C$154,C387))</f>
        <v>0</v>
      </c>
      <c r="I387" s="23">
        <f>IF(C387="","",SUMIFS(Analytics!$L$5:$L$154,Analytics!$C$5:$C$154,C387))</f>
        <v>0</v>
      </c>
      <c r="J387" s="24">
        <f>IF(OR(G387="",G387=0),"",I387/G387)</f>
        <v>0</v>
      </c>
      <c r="K387" s="23">
        <f>IF(C387="","",SUMIFS(Analytics!$G$5:$G$154,Analytics!$C$5:$C$154,C387))</f>
        <v>0</v>
      </c>
      <c r="L387" s="23">
        <f>IF(C387="","",SUMIFS(Analytics!$X$5:$X$154,Analytics!$C$5:$C$154,C387))</f>
        <v>0</v>
      </c>
      <c r="M387" s="23">
        <f>IF(C387="","",SUMIFS(Analytics!$R$5:$R$154,Analytics!$C$5:$C$154,C387))</f>
        <v>0</v>
      </c>
      <c r="N387" s="23">
        <f>IF(C387="","",SUMIFS(Analytics!$S$5:$S$154,Analytics!$C$5:$C$154,C387))</f>
        <v>0</v>
      </c>
      <c r="O387" s="23">
        <f>IF(C387="","",SUMIFS(Analytics!$T$5:$T$154,Analytics!$C$5:$C$154,C387))</f>
        <v>0</v>
      </c>
      <c r="P387" s="25">
        <f>IF(C387="","",SUMIFS(Analytics!$U$5:$U$154,Analytics!$C$5:$C$154,C387))</f>
        <v>0</v>
      </c>
      <c r="Q387" s="25">
        <f>IF(C387="","",SUMIFS(Budget!$H$5:$H$64,Budget!$C$5:$C$64,C387))</f>
        <v>0</v>
      </c>
      <c r="R387" s="25">
        <f>IF(C387="","",P387-Q387)</f>
        <v>0</v>
      </c>
      <c r="S387" s="23">
        <f>IF(C387="","",MonthlyPostTarget)</f>
        <v>0</v>
      </c>
      <c r="T387" s="17">
        <f>IF(Lists!$C387="","",Lists!$C387)</f>
        <v>0</v>
      </c>
      <c r="U387" s="23">
        <f>IF(T387="","",COUNTIFS('Content Calendar'!$G$5:$G$604,T387,'Content Calendar'!$B$5:$B$604,"&gt;="&amp;DashStart,'Content Calendar'!$B$5:$B$604,"&lt;="&amp;DashEnd))</f>
        <v>0</v>
      </c>
      <c r="V387" s="23">
        <f>IF(T387="","",COUNTIFS('Content Calendar'!$G$5:$G$604,T387,'Content Calendar'!$X$5:$X$604,"Published",'Content Calendar'!$B$5:$B$604,"&gt;="&amp;DashStart,'Content Calendar'!$B$5:$B$604,"&lt;="&amp;DashEnd))</f>
        <v>0</v>
      </c>
      <c r="W387" s="23">
        <f>IF(T387="","",SUMIFS(Analytics!$J$5:$J$154,Analytics!$D$5:$D$154,T387,Analytics!$B$5:$B$154,"&gt;="&amp;DashStart,Analytics!$B$5:$B$154,"&lt;="&amp;DashEnd))</f>
        <v>0</v>
      </c>
      <c r="X387" s="23">
        <f>IF(T387="","",SUMIFS(Analytics!$L$5:$L$154,Analytics!$D$5:$D$154,T387,Analytics!$B$5:$B$154,"&gt;="&amp;DashStart,Analytics!$B$5:$B$154,"&lt;="&amp;DashEnd))</f>
        <v>0</v>
      </c>
      <c r="Y387" s="24">
        <f>IF(OR(W387="",W387=0),"",X387/W387)</f>
        <v>0</v>
      </c>
      <c r="Z387" s="23">
        <f>IF(T387="","",SUMIFS(Analytics!$G$5:$G$154,Analytics!$D$5:$D$154,T387,Analytics!$B$5:$B$154,"&gt;="&amp;DashStart,Analytics!$B$5:$B$154,"&lt;="&amp;DashEnd))</f>
        <v>0</v>
      </c>
      <c r="AA387" s="23">
        <f>IF(T387="","",SUMIFS(Analytics!$X$5:$X$154,Analytics!$D$5:$D$154,T387,Analytics!$B$5:$B$154,"&gt;="&amp;DashStart,Analytics!$B$5:$B$154,"&lt;="&amp;DashEnd))</f>
        <v>0</v>
      </c>
      <c r="AB387" s="23">
        <f>IF(T387="","",SUMIFS(Analytics!$R$5:$R$154,Analytics!$D$5:$D$154,T387,Analytics!$B$5:$B$154,"&gt;="&amp;DashStart,Analytics!$B$5:$B$154,"&lt;="&amp;DashEnd))</f>
        <v>0</v>
      </c>
      <c r="AC387" s="25">
        <f>IF(T387="","",SUMIFS(Analytics!$U$5:$U$154,Analytics!$D$5:$D$154,T387,Analytics!$B$5:$B$154,"&gt;="&amp;DashStart,Analytics!$B$5:$B$154,"&lt;="&amp;DashEnd))</f>
        <v>0</v>
      </c>
      <c r="AD387" s="23">
        <f>IF(T387="","",COUNTIFS('Content Calendar'!$G$5:$G$604,T387,'Content Calendar'!$B$5:$B$604,"&gt;="&amp;DATE(PlanYear,1,1),'Content Calendar'!$B$5:$B$604,"&lt;="&amp;DATE(PlanYear,12,31)))</f>
        <v>0</v>
      </c>
      <c r="AE387" s="23">
        <f>IF(T387="","",SUMIFS(Analytics!$J$5:$J$154,Analytics!$D$5:$D$154,T387))</f>
        <v>0</v>
      </c>
      <c r="AF387" s="23">
        <f>IF(T387="","",SUMIFS(Analytics!$L$5:$L$154,Analytics!$D$5:$D$154,T387))</f>
        <v>0</v>
      </c>
      <c r="AG387" s="24">
        <f>IF(OR(AE387="",AE387=0),"",AF387/AE387)</f>
        <v>0</v>
      </c>
      <c r="AH387" s="23">
        <f>IF(T387="","",SUMIFS(Analytics!$X$5:$X$154,Analytics!$D$5:$D$154,T387))</f>
        <v>0</v>
      </c>
      <c r="AI387" s="32">
        <f>IF(T387="","",IF(AE387=0,"",AE387+ROW()/1000000))</f>
        <v>0</v>
      </c>
      <c r="AJ387" s="17">
        <f>IF('Content Pillars'!$B$387="","",'Content Pillars'!$B$387)</f>
        <v>0</v>
      </c>
      <c r="AK387" s="23">
        <f>IF(AJ387="","",COUNTIFS('Content Calendar'!$J$5:$J$604,AJ387,'Content Calendar'!$B$5:$B$604,"&gt;="&amp;DATE(PlanYear,1,1),'Content Calendar'!$B$5:$B$604,"&lt;="&amp;DATE(PlanYear,12,31)))</f>
        <v>0</v>
      </c>
      <c r="AL387" s="23">
        <f>IF(AJ387="","",SUMIFS(Performance!$O$5:$O$404,Performance!$H$5:$H$404,AJ387))</f>
        <v>0</v>
      </c>
      <c r="AM387" s="23">
        <f>IF(AJ387="","",SUMIFS(Performance!$Z$5:$Z$404,Performance!$H$5:$H$404,AJ387))</f>
        <v>0</v>
      </c>
      <c r="AN387" s="24">
        <f>IF(OR(AL387="",AL387=0),"",AM387/AL387)</f>
        <v>0</v>
      </c>
      <c r="AO387" s="32">
        <f>IF(AN387="","",AN387+ROW()/1000000)</f>
        <v>0</v>
      </c>
      <c r="AP387" s="17">
        <f>IF(Lists!$E387="","",Lists!$E387)</f>
        <v>0</v>
      </c>
      <c r="AQ387" s="23">
        <f>IF(AP387="","",COUNTIF(Performance!$G$5:$G$404,AP387))</f>
        <v>0</v>
      </c>
      <c r="AR387" s="23">
        <f>IF(AP387="","",SUMIFS(Performance!$O$5:$O$404,Performance!$G$5:$G$404,AP387))</f>
        <v>0</v>
      </c>
      <c r="AS387" s="23">
        <f>IF(AP387="","",SUMIFS(Performance!$Z$5:$Z$404,Performance!$G$5:$G$404,AP387))</f>
        <v>0</v>
      </c>
      <c r="AT387" s="24">
        <f>IF(OR(AR387="",AR387=0),"",AS387/AR387)</f>
        <v>0</v>
      </c>
      <c r="AU387" s="32">
        <f>IF(AQ387=0,"",IF(AT387="","",AT387+ROW()/1000000))</f>
        <v>0</v>
      </c>
      <c r="AV387" s="17">
        <f>IF(ROW()-4&gt;7,"",TEXT(DATE(2024,1,ROW()-4),"ddd"))</f>
        <v>0</v>
      </c>
      <c r="AW387" s="23">
        <f>IF(AV387="","",COUNTIF(Performance!$N$5:$N$404,AV387))</f>
        <v>0</v>
      </c>
      <c r="AX387" s="23">
        <f>IF(AV387="","",SUMIFS(Performance!$O$5:$O$404,Performance!$N$5:$N$404,AV387))</f>
        <v>0</v>
      </c>
      <c r="AY387" s="23">
        <f>IF(AV387="","",SUMIFS(Performance!$Z$5:$Z$404,Performance!$N$5:$N$404,AV387))</f>
        <v>0</v>
      </c>
      <c r="AZ387" s="24">
        <f>IF(OR(AX387="",AX387=0),"",AY387/AX387)</f>
        <v>0</v>
      </c>
      <c r="BA387" s="32">
        <f>IF(AW387=0,"",IF(AZ387="","",AZ387+ROW()/1000000))</f>
        <v>0</v>
      </c>
      <c r="BB387" s="17">
        <f>IF(Lists!$AL387="","",Lists!$AL387)</f>
        <v>0</v>
      </c>
      <c r="BC387" s="23">
        <f>IF(BB387="","",COUNTIF(Performance!$M$5:$M$404,BB387))</f>
        <v>0</v>
      </c>
      <c r="BD387" s="23">
        <f>IF(BB387="","",SUMIFS(Performance!$O$5:$O$404,Performance!$M$5:$M$404,BB387))</f>
        <v>0</v>
      </c>
      <c r="BE387" s="23">
        <f>IF(BB387="","",SUMIFS(Performance!$Z$5:$Z$404,Performance!$M$5:$M$404,BB387))</f>
        <v>0</v>
      </c>
      <c r="BF387" s="24">
        <f>IF(OR(BD387="",BD387=0),"",BE387/BD387)</f>
        <v>0</v>
      </c>
      <c r="BG387" s="32">
        <f>IF(BC387=0,"",IF(BF387="","",BF387+ROW()/1000000))</f>
        <v>0</v>
      </c>
      <c r="BH387" s="17">
        <f>IF(Performance!$C$387="","",Performance!$C$387)</f>
        <v>0</v>
      </c>
      <c r="BI387" s="17">
        <f>IF(Performance!$F$387="","",Performance!$F$387)</f>
        <v>0</v>
      </c>
      <c r="BJ387" s="17">
        <f>IF(Performance!$H$387="","",Performance!$H$387)</f>
        <v>0</v>
      </c>
      <c r="BK387" s="16">
        <f>IF(Performance!$D$387="","",Performance!$D$387)</f>
        <v>0</v>
      </c>
      <c r="BL387" s="17">
        <f>IF(Performance!$E$387="","",Performance!$E$387)</f>
        <v>0</v>
      </c>
      <c r="BM387" s="23">
        <f>IF(Performance!$O$387="","",Performance!$O$387)</f>
        <v>0</v>
      </c>
      <c r="BN387" s="24">
        <f>IF(Performance!$AA$387="","",Performance!$AA$387)</f>
        <v>0</v>
      </c>
      <c r="BO387" s="32">
        <f>IF(BH387="","",IF(BK387="","",IF(OR(BK387&lt;DashStart,BK387&gt;DashEnd),"",IF(BN387="","",BN387+ROW()/1000000))))</f>
        <v>0</v>
      </c>
      <c r="BP387" s="32">
        <f>IF(BM387="","",IF(BK387="","",IF(OR(BK387&lt;DashStart,BK387&gt;DashEnd),"",BM387+ROW()/1000000)))</f>
        <v>0</v>
      </c>
      <c r="BQ387" s="32">
        <f>IF(BH387="","",IF(BK387="","",IF(YEAR(BK387)&lt;&gt;PlanYear,"",IF(BN387="","",BN387+ROW()/1000000))))</f>
        <v>0</v>
      </c>
      <c r="BR387" s="32">
        <f>IF(BH387="","",IF(BK387="","",IF(OR(BK387&lt;RepFrom,BK387&gt;RepTo),"",IF(BN387="","",BN387+ROW()/1000000))))</f>
        <v>0</v>
      </c>
      <c r="BS387" s="32">
        <f>IF(BM387="","",IF(BK387="","",IF(YEAR(BK387)&lt;&gt;PlanYear,"",BM387+ROW()/1000000)))</f>
        <v>0</v>
      </c>
      <c r="BT387" s="17">
        <f>IF(Lists!$F387="","",Lists!$F387)</f>
        <v>0</v>
      </c>
      <c r="BU387" s="23">
        <f>IF(BT387="","",COUNTIF('Content Calendar'!$X$5:$X$604,BT387))</f>
        <v>0</v>
      </c>
      <c r="BV387" s="23">
        <f>IF(BT387="","",COUNTIFS('Content Calendar'!$X$5:$X$604,BT387,'Content Calendar'!$B$5:$B$604,"&gt;="&amp;DashStart,'Content Calendar'!$B$5:$B$604,"&lt;="&amp;DashEnd))</f>
        <v>0</v>
      </c>
      <c r="BW387" s="17">
        <f>IF(Team!$B$387="","",Team!$B$387)</f>
        <v>0</v>
      </c>
      <c r="BX387" s="23">
        <f>IF(BW387="","",COUNTIF('Content Calendar'!$W$5:$W$604,BW387))</f>
        <v>0</v>
      </c>
      <c r="BY387" s="23">
        <f>IF(BW387="","",COUNTIFS('Content Calendar'!$W$5:$W$604,BW387,'Content Calendar'!$X$5:$X$604,"&lt;&gt;Published"))</f>
        <v>0</v>
      </c>
      <c r="BZ387" s="23">
        <f>IF(BW387="","",COUNTIFS(Tasks!$C$5:$C$64,BW387,Tasks!$G$5:$G$64,"&lt;&gt;Complete"))</f>
        <v>0</v>
      </c>
      <c r="CA387" s="17">
        <f>IF(Campaigns!$B$387="","",Campaigns!$B$387)</f>
        <v>0</v>
      </c>
      <c r="CB387" s="25">
        <f>IF(Campaigns!$T$387="","",Campaigns!$T$387)</f>
        <v>0</v>
      </c>
      <c r="CC387" s="25">
        <f>IF(Campaigns!$Q$387="","",Campaigns!$Q$387)</f>
        <v>0</v>
      </c>
      <c r="CD387" s="23">
        <f>IF(Campaigns!$Y$387="","",Campaigns!$Y$387)</f>
        <v>0</v>
      </c>
      <c r="CE387" s="32">
        <f>IF(CA387="","",IF(N(CB387)&lt;=0,"",N(CB387)+ROW()/1000000))</f>
        <v>0</v>
      </c>
      <c r="CF387" s="17">
        <f>IF(Accounts!$C$387="","",Accounts!$C$387)</f>
        <v>0</v>
      </c>
      <c r="CG387" s="17">
        <f>IF(Accounts!$B$387="","",Accounts!$B$387)</f>
        <v>0</v>
      </c>
      <c r="CH387" s="23">
        <f>IF(Accounts!$J$387="","",Accounts!$J$387)</f>
        <v>0</v>
      </c>
      <c r="CI387" s="23">
        <f>IF(CF387="","",SUMIFS(Analytics!$X$5:$X$154,Analytics!$E$5:$E$154,CF387,Analytics!$B$5:$B$154,"&gt;="&amp;DashStart,Analytics!$B$5:$B$154,"&lt;="&amp;DashEnd))</f>
        <v>0</v>
      </c>
      <c r="CJ387" s="32">
        <f>IF(CH387="","",IF(CH387=0,"",CH387+ROW()/1000000))</f>
        <v>0</v>
      </c>
    </row>
    <row r="388" spans="1:88">
      <c r="A388" s="16">
        <f>IF(ROW()-4&gt;12,"",DATE(PlanYear,ROW()-4,1))</f>
        <v>0</v>
      </c>
      <c r="B388" s="16">
        <f>IF(A388="","",EOMONTH(A388,0))</f>
        <v>0</v>
      </c>
      <c r="C388" s="17">
        <f>IF(A388="","",TEXT(A388,"yyyy-mm"))</f>
        <v>0</v>
      </c>
      <c r="D388" s="17">
        <f>IF(A388="","",TEXT(A388,"mmm"))</f>
        <v>0</v>
      </c>
      <c r="E388" s="23">
        <f>IF(C388="","",COUNTIFS('Content Calendar'!$D$5:$D$604,C388))</f>
        <v>0</v>
      </c>
      <c r="F388" s="23">
        <f>IF(C388="","",COUNTIFS('Content Calendar'!$D$5:$D$604,C388,'Content Calendar'!$X$5:$X$604,"Published"))</f>
        <v>0</v>
      </c>
      <c r="G388" s="23">
        <f>IF(C388="","",SUMIFS(Analytics!$J$5:$J$154,Analytics!$C$5:$C$154,C388))</f>
        <v>0</v>
      </c>
      <c r="H388" s="23">
        <f>IF(C388="","",SUMIFS(Analytics!$K$5:$K$154,Analytics!$C$5:$C$154,C388))</f>
        <v>0</v>
      </c>
      <c r="I388" s="23">
        <f>IF(C388="","",SUMIFS(Analytics!$L$5:$L$154,Analytics!$C$5:$C$154,C388))</f>
        <v>0</v>
      </c>
      <c r="J388" s="24">
        <f>IF(OR(G388="",G388=0),"",I388/G388)</f>
        <v>0</v>
      </c>
      <c r="K388" s="23">
        <f>IF(C388="","",SUMIFS(Analytics!$G$5:$G$154,Analytics!$C$5:$C$154,C388))</f>
        <v>0</v>
      </c>
      <c r="L388" s="23">
        <f>IF(C388="","",SUMIFS(Analytics!$X$5:$X$154,Analytics!$C$5:$C$154,C388))</f>
        <v>0</v>
      </c>
      <c r="M388" s="23">
        <f>IF(C388="","",SUMIFS(Analytics!$R$5:$R$154,Analytics!$C$5:$C$154,C388))</f>
        <v>0</v>
      </c>
      <c r="N388" s="23">
        <f>IF(C388="","",SUMIFS(Analytics!$S$5:$S$154,Analytics!$C$5:$C$154,C388))</f>
        <v>0</v>
      </c>
      <c r="O388" s="23">
        <f>IF(C388="","",SUMIFS(Analytics!$T$5:$T$154,Analytics!$C$5:$C$154,C388))</f>
        <v>0</v>
      </c>
      <c r="P388" s="25">
        <f>IF(C388="","",SUMIFS(Analytics!$U$5:$U$154,Analytics!$C$5:$C$154,C388))</f>
        <v>0</v>
      </c>
      <c r="Q388" s="25">
        <f>IF(C388="","",SUMIFS(Budget!$H$5:$H$64,Budget!$C$5:$C$64,C388))</f>
        <v>0</v>
      </c>
      <c r="R388" s="25">
        <f>IF(C388="","",P388-Q388)</f>
        <v>0</v>
      </c>
      <c r="S388" s="23">
        <f>IF(C388="","",MonthlyPostTarget)</f>
        <v>0</v>
      </c>
      <c r="T388" s="17">
        <f>IF(Lists!$C388="","",Lists!$C388)</f>
        <v>0</v>
      </c>
      <c r="U388" s="23">
        <f>IF(T388="","",COUNTIFS('Content Calendar'!$G$5:$G$604,T388,'Content Calendar'!$B$5:$B$604,"&gt;="&amp;DashStart,'Content Calendar'!$B$5:$B$604,"&lt;="&amp;DashEnd))</f>
        <v>0</v>
      </c>
      <c r="V388" s="23">
        <f>IF(T388="","",COUNTIFS('Content Calendar'!$G$5:$G$604,T388,'Content Calendar'!$X$5:$X$604,"Published",'Content Calendar'!$B$5:$B$604,"&gt;="&amp;DashStart,'Content Calendar'!$B$5:$B$604,"&lt;="&amp;DashEnd))</f>
        <v>0</v>
      </c>
      <c r="W388" s="23">
        <f>IF(T388="","",SUMIFS(Analytics!$J$5:$J$154,Analytics!$D$5:$D$154,T388,Analytics!$B$5:$B$154,"&gt;="&amp;DashStart,Analytics!$B$5:$B$154,"&lt;="&amp;DashEnd))</f>
        <v>0</v>
      </c>
      <c r="X388" s="23">
        <f>IF(T388="","",SUMIFS(Analytics!$L$5:$L$154,Analytics!$D$5:$D$154,T388,Analytics!$B$5:$B$154,"&gt;="&amp;DashStart,Analytics!$B$5:$B$154,"&lt;="&amp;DashEnd))</f>
        <v>0</v>
      </c>
      <c r="Y388" s="24">
        <f>IF(OR(W388="",W388=0),"",X388/W388)</f>
        <v>0</v>
      </c>
      <c r="Z388" s="23">
        <f>IF(T388="","",SUMIFS(Analytics!$G$5:$G$154,Analytics!$D$5:$D$154,T388,Analytics!$B$5:$B$154,"&gt;="&amp;DashStart,Analytics!$B$5:$B$154,"&lt;="&amp;DashEnd))</f>
        <v>0</v>
      </c>
      <c r="AA388" s="23">
        <f>IF(T388="","",SUMIFS(Analytics!$X$5:$X$154,Analytics!$D$5:$D$154,T388,Analytics!$B$5:$B$154,"&gt;="&amp;DashStart,Analytics!$B$5:$B$154,"&lt;="&amp;DashEnd))</f>
        <v>0</v>
      </c>
      <c r="AB388" s="23">
        <f>IF(T388="","",SUMIFS(Analytics!$R$5:$R$154,Analytics!$D$5:$D$154,T388,Analytics!$B$5:$B$154,"&gt;="&amp;DashStart,Analytics!$B$5:$B$154,"&lt;="&amp;DashEnd))</f>
        <v>0</v>
      </c>
      <c r="AC388" s="25">
        <f>IF(T388="","",SUMIFS(Analytics!$U$5:$U$154,Analytics!$D$5:$D$154,T388,Analytics!$B$5:$B$154,"&gt;="&amp;DashStart,Analytics!$B$5:$B$154,"&lt;="&amp;DashEnd))</f>
        <v>0</v>
      </c>
      <c r="AD388" s="23">
        <f>IF(T388="","",COUNTIFS('Content Calendar'!$G$5:$G$604,T388,'Content Calendar'!$B$5:$B$604,"&gt;="&amp;DATE(PlanYear,1,1),'Content Calendar'!$B$5:$B$604,"&lt;="&amp;DATE(PlanYear,12,31)))</f>
        <v>0</v>
      </c>
      <c r="AE388" s="23">
        <f>IF(T388="","",SUMIFS(Analytics!$J$5:$J$154,Analytics!$D$5:$D$154,T388))</f>
        <v>0</v>
      </c>
      <c r="AF388" s="23">
        <f>IF(T388="","",SUMIFS(Analytics!$L$5:$L$154,Analytics!$D$5:$D$154,T388))</f>
        <v>0</v>
      </c>
      <c r="AG388" s="24">
        <f>IF(OR(AE388="",AE388=0),"",AF388/AE388)</f>
        <v>0</v>
      </c>
      <c r="AH388" s="23">
        <f>IF(T388="","",SUMIFS(Analytics!$X$5:$X$154,Analytics!$D$5:$D$154,T388))</f>
        <v>0</v>
      </c>
      <c r="AI388" s="32">
        <f>IF(T388="","",IF(AE388=0,"",AE388+ROW()/1000000))</f>
        <v>0</v>
      </c>
      <c r="AJ388" s="17">
        <f>IF('Content Pillars'!$B$388="","",'Content Pillars'!$B$388)</f>
        <v>0</v>
      </c>
      <c r="AK388" s="23">
        <f>IF(AJ388="","",COUNTIFS('Content Calendar'!$J$5:$J$604,AJ388,'Content Calendar'!$B$5:$B$604,"&gt;="&amp;DATE(PlanYear,1,1),'Content Calendar'!$B$5:$B$604,"&lt;="&amp;DATE(PlanYear,12,31)))</f>
        <v>0</v>
      </c>
      <c r="AL388" s="23">
        <f>IF(AJ388="","",SUMIFS(Performance!$O$5:$O$404,Performance!$H$5:$H$404,AJ388))</f>
        <v>0</v>
      </c>
      <c r="AM388" s="23">
        <f>IF(AJ388="","",SUMIFS(Performance!$Z$5:$Z$404,Performance!$H$5:$H$404,AJ388))</f>
        <v>0</v>
      </c>
      <c r="AN388" s="24">
        <f>IF(OR(AL388="",AL388=0),"",AM388/AL388)</f>
        <v>0</v>
      </c>
      <c r="AO388" s="32">
        <f>IF(AN388="","",AN388+ROW()/1000000)</f>
        <v>0</v>
      </c>
      <c r="AP388" s="17">
        <f>IF(Lists!$E388="","",Lists!$E388)</f>
        <v>0</v>
      </c>
      <c r="AQ388" s="23">
        <f>IF(AP388="","",COUNTIF(Performance!$G$5:$G$404,AP388))</f>
        <v>0</v>
      </c>
      <c r="AR388" s="23">
        <f>IF(AP388="","",SUMIFS(Performance!$O$5:$O$404,Performance!$G$5:$G$404,AP388))</f>
        <v>0</v>
      </c>
      <c r="AS388" s="23">
        <f>IF(AP388="","",SUMIFS(Performance!$Z$5:$Z$404,Performance!$G$5:$G$404,AP388))</f>
        <v>0</v>
      </c>
      <c r="AT388" s="24">
        <f>IF(OR(AR388="",AR388=0),"",AS388/AR388)</f>
        <v>0</v>
      </c>
      <c r="AU388" s="32">
        <f>IF(AQ388=0,"",IF(AT388="","",AT388+ROW()/1000000))</f>
        <v>0</v>
      </c>
      <c r="AV388" s="17">
        <f>IF(ROW()-4&gt;7,"",TEXT(DATE(2024,1,ROW()-4),"ddd"))</f>
        <v>0</v>
      </c>
      <c r="AW388" s="23">
        <f>IF(AV388="","",COUNTIF(Performance!$N$5:$N$404,AV388))</f>
        <v>0</v>
      </c>
      <c r="AX388" s="23">
        <f>IF(AV388="","",SUMIFS(Performance!$O$5:$O$404,Performance!$N$5:$N$404,AV388))</f>
        <v>0</v>
      </c>
      <c r="AY388" s="23">
        <f>IF(AV388="","",SUMIFS(Performance!$Z$5:$Z$404,Performance!$N$5:$N$404,AV388))</f>
        <v>0</v>
      </c>
      <c r="AZ388" s="24">
        <f>IF(OR(AX388="",AX388=0),"",AY388/AX388)</f>
        <v>0</v>
      </c>
      <c r="BA388" s="32">
        <f>IF(AW388=0,"",IF(AZ388="","",AZ388+ROW()/1000000))</f>
        <v>0</v>
      </c>
      <c r="BB388" s="17">
        <f>IF(Lists!$AL388="","",Lists!$AL388)</f>
        <v>0</v>
      </c>
      <c r="BC388" s="23">
        <f>IF(BB388="","",COUNTIF(Performance!$M$5:$M$404,BB388))</f>
        <v>0</v>
      </c>
      <c r="BD388" s="23">
        <f>IF(BB388="","",SUMIFS(Performance!$O$5:$O$404,Performance!$M$5:$M$404,BB388))</f>
        <v>0</v>
      </c>
      <c r="BE388" s="23">
        <f>IF(BB388="","",SUMIFS(Performance!$Z$5:$Z$404,Performance!$M$5:$M$404,BB388))</f>
        <v>0</v>
      </c>
      <c r="BF388" s="24">
        <f>IF(OR(BD388="",BD388=0),"",BE388/BD388)</f>
        <v>0</v>
      </c>
      <c r="BG388" s="32">
        <f>IF(BC388=0,"",IF(BF388="","",BF388+ROW()/1000000))</f>
        <v>0</v>
      </c>
      <c r="BH388" s="17">
        <f>IF(Performance!$C$388="","",Performance!$C$388)</f>
        <v>0</v>
      </c>
      <c r="BI388" s="17">
        <f>IF(Performance!$F$388="","",Performance!$F$388)</f>
        <v>0</v>
      </c>
      <c r="BJ388" s="17">
        <f>IF(Performance!$H$388="","",Performance!$H$388)</f>
        <v>0</v>
      </c>
      <c r="BK388" s="16">
        <f>IF(Performance!$D$388="","",Performance!$D$388)</f>
        <v>0</v>
      </c>
      <c r="BL388" s="17">
        <f>IF(Performance!$E$388="","",Performance!$E$388)</f>
        <v>0</v>
      </c>
      <c r="BM388" s="23">
        <f>IF(Performance!$O$388="","",Performance!$O$388)</f>
        <v>0</v>
      </c>
      <c r="BN388" s="24">
        <f>IF(Performance!$AA$388="","",Performance!$AA$388)</f>
        <v>0</v>
      </c>
      <c r="BO388" s="32">
        <f>IF(BH388="","",IF(BK388="","",IF(OR(BK388&lt;DashStart,BK388&gt;DashEnd),"",IF(BN388="","",BN388+ROW()/1000000))))</f>
        <v>0</v>
      </c>
      <c r="BP388" s="32">
        <f>IF(BM388="","",IF(BK388="","",IF(OR(BK388&lt;DashStart,BK388&gt;DashEnd),"",BM388+ROW()/1000000)))</f>
        <v>0</v>
      </c>
      <c r="BQ388" s="32">
        <f>IF(BH388="","",IF(BK388="","",IF(YEAR(BK388)&lt;&gt;PlanYear,"",IF(BN388="","",BN388+ROW()/1000000))))</f>
        <v>0</v>
      </c>
      <c r="BR388" s="32">
        <f>IF(BH388="","",IF(BK388="","",IF(OR(BK388&lt;RepFrom,BK388&gt;RepTo),"",IF(BN388="","",BN388+ROW()/1000000))))</f>
        <v>0</v>
      </c>
      <c r="BS388" s="32">
        <f>IF(BM388="","",IF(BK388="","",IF(YEAR(BK388)&lt;&gt;PlanYear,"",BM388+ROW()/1000000)))</f>
        <v>0</v>
      </c>
      <c r="BT388" s="17">
        <f>IF(Lists!$F388="","",Lists!$F388)</f>
        <v>0</v>
      </c>
      <c r="BU388" s="23">
        <f>IF(BT388="","",COUNTIF('Content Calendar'!$X$5:$X$604,BT388))</f>
        <v>0</v>
      </c>
      <c r="BV388" s="23">
        <f>IF(BT388="","",COUNTIFS('Content Calendar'!$X$5:$X$604,BT388,'Content Calendar'!$B$5:$B$604,"&gt;="&amp;DashStart,'Content Calendar'!$B$5:$B$604,"&lt;="&amp;DashEnd))</f>
        <v>0</v>
      </c>
      <c r="BW388" s="17">
        <f>IF(Team!$B$388="","",Team!$B$388)</f>
        <v>0</v>
      </c>
      <c r="BX388" s="23">
        <f>IF(BW388="","",COUNTIF('Content Calendar'!$W$5:$W$604,BW388))</f>
        <v>0</v>
      </c>
      <c r="BY388" s="23">
        <f>IF(BW388="","",COUNTIFS('Content Calendar'!$W$5:$W$604,BW388,'Content Calendar'!$X$5:$X$604,"&lt;&gt;Published"))</f>
        <v>0</v>
      </c>
      <c r="BZ388" s="23">
        <f>IF(BW388="","",COUNTIFS(Tasks!$C$5:$C$64,BW388,Tasks!$G$5:$G$64,"&lt;&gt;Complete"))</f>
        <v>0</v>
      </c>
      <c r="CA388" s="17">
        <f>IF(Campaigns!$B$388="","",Campaigns!$B$388)</f>
        <v>0</v>
      </c>
      <c r="CB388" s="25">
        <f>IF(Campaigns!$T$388="","",Campaigns!$T$388)</f>
        <v>0</v>
      </c>
      <c r="CC388" s="25">
        <f>IF(Campaigns!$Q$388="","",Campaigns!$Q$388)</f>
        <v>0</v>
      </c>
      <c r="CD388" s="23">
        <f>IF(Campaigns!$Y$388="","",Campaigns!$Y$388)</f>
        <v>0</v>
      </c>
      <c r="CE388" s="32">
        <f>IF(CA388="","",IF(N(CB388)&lt;=0,"",N(CB388)+ROW()/1000000))</f>
        <v>0</v>
      </c>
      <c r="CF388" s="17">
        <f>IF(Accounts!$C$388="","",Accounts!$C$388)</f>
        <v>0</v>
      </c>
      <c r="CG388" s="17">
        <f>IF(Accounts!$B$388="","",Accounts!$B$388)</f>
        <v>0</v>
      </c>
      <c r="CH388" s="23">
        <f>IF(Accounts!$J$388="","",Accounts!$J$388)</f>
        <v>0</v>
      </c>
      <c r="CI388" s="23">
        <f>IF(CF388="","",SUMIFS(Analytics!$X$5:$X$154,Analytics!$E$5:$E$154,CF388,Analytics!$B$5:$B$154,"&gt;="&amp;DashStart,Analytics!$B$5:$B$154,"&lt;="&amp;DashEnd))</f>
        <v>0</v>
      </c>
      <c r="CJ388" s="32">
        <f>IF(CH388="","",IF(CH388=0,"",CH388+ROW()/1000000))</f>
        <v>0</v>
      </c>
    </row>
    <row r="389" spans="1:88">
      <c r="A389" s="16">
        <f>IF(ROW()-4&gt;12,"",DATE(PlanYear,ROW()-4,1))</f>
        <v>0</v>
      </c>
      <c r="B389" s="16">
        <f>IF(A389="","",EOMONTH(A389,0))</f>
        <v>0</v>
      </c>
      <c r="C389" s="17">
        <f>IF(A389="","",TEXT(A389,"yyyy-mm"))</f>
        <v>0</v>
      </c>
      <c r="D389" s="17">
        <f>IF(A389="","",TEXT(A389,"mmm"))</f>
        <v>0</v>
      </c>
      <c r="E389" s="23">
        <f>IF(C389="","",COUNTIFS('Content Calendar'!$D$5:$D$604,C389))</f>
        <v>0</v>
      </c>
      <c r="F389" s="23">
        <f>IF(C389="","",COUNTIFS('Content Calendar'!$D$5:$D$604,C389,'Content Calendar'!$X$5:$X$604,"Published"))</f>
        <v>0</v>
      </c>
      <c r="G389" s="23">
        <f>IF(C389="","",SUMIFS(Analytics!$J$5:$J$154,Analytics!$C$5:$C$154,C389))</f>
        <v>0</v>
      </c>
      <c r="H389" s="23">
        <f>IF(C389="","",SUMIFS(Analytics!$K$5:$K$154,Analytics!$C$5:$C$154,C389))</f>
        <v>0</v>
      </c>
      <c r="I389" s="23">
        <f>IF(C389="","",SUMIFS(Analytics!$L$5:$L$154,Analytics!$C$5:$C$154,C389))</f>
        <v>0</v>
      </c>
      <c r="J389" s="24">
        <f>IF(OR(G389="",G389=0),"",I389/G389)</f>
        <v>0</v>
      </c>
      <c r="K389" s="23">
        <f>IF(C389="","",SUMIFS(Analytics!$G$5:$G$154,Analytics!$C$5:$C$154,C389))</f>
        <v>0</v>
      </c>
      <c r="L389" s="23">
        <f>IF(C389="","",SUMIFS(Analytics!$X$5:$X$154,Analytics!$C$5:$C$154,C389))</f>
        <v>0</v>
      </c>
      <c r="M389" s="23">
        <f>IF(C389="","",SUMIFS(Analytics!$R$5:$R$154,Analytics!$C$5:$C$154,C389))</f>
        <v>0</v>
      </c>
      <c r="N389" s="23">
        <f>IF(C389="","",SUMIFS(Analytics!$S$5:$S$154,Analytics!$C$5:$C$154,C389))</f>
        <v>0</v>
      </c>
      <c r="O389" s="23">
        <f>IF(C389="","",SUMIFS(Analytics!$T$5:$T$154,Analytics!$C$5:$C$154,C389))</f>
        <v>0</v>
      </c>
      <c r="P389" s="25">
        <f>IF(C389="","",SUMIFS(Analytics!$U$5:$U$154,Analytics!$C$5:$C$154,C389))</f>
        <v>0</v>
      </c>
      <c r="Q389" s="25">
        <f>IF(C389="","",SUMIFS(Budget!$H$5:$H$64,Budget!$C$5:$C$64,C389))</f>
        <v>0</v>
      </c>
      <c r="R389" s="25">
        <f>IF(C389="","",P389-Q389)</f>
        <v>0</v>
      </c>
      <c r="S389" s="23">
        <f>IF(C389="","",MonthlyPostTarget)</f>
        <v>0</v>
      </c>
      <c r="T389" s="17">
        <f>IF(Lists!$C389="","",Lists!$C389)</f>
        <v>0</v>
      </c>
      <c r="U389" s="23">
        <f>IF(T389="","",COUNTIFS('Content Calendar'!$G$5:$G$604,T389,'Content Calendar'!$B$5:$B$604,"&gt;="&amp;DashStart,'Content Calendar'!$B$5:$B$604,"&lt;="&amp;DashEnd))</f>
        <v>0</v>
      </c>
      <c r="V389" s="23">
        <f>IF(T389="","",COUNTIFS('Content Calendar'!$G$5:$G$604,T389,'Content Calendar'!$X$5:$X$604,"Published",'Content Calendar'!$B$5:$B$604,"&gt;="&amp;DashStart,'Content Calendar'!$B$5:$B$604,"&lt;="&amp;DashEnd))</f>
        <v>0</v>
      </c>
      <c r="W389" s="23">
        <f>IF(T389="","",SUMIFS(Analytics!$J$5:$J$154,Analytics!$D$5:$D$154,T389,Analytics!$B$5:$B$154,"&gt;="&amp;DashStart,Analytics!$B$5:$B$154,"&lt;="&amp;DashEnd))</f>
        <v>0</v>
      </c>
      <c r="X389" s="23">
        <f>IF(T389="","",SUMIFS(Analytics!$L$5:$L$154,Analytics!$D$5:$D$154,T389,Analytics!$B$5:$B$154,"&gt;="&amp;DashStart,Analytics!$B$5:$B$154,"&lt;="&amp;DashEnd))</f>
        <v>0</v>
      </c>
      <c r="Y389" s="24">
        <f>IF(OR(W389="",W389=0),"",X389/W389)</f>
        <v>0</v>
      </c>
      <c r="Z389" s="23">
        <f>IF(T389="","",SUMIFS(Analytics!$G$5:$G$154,Analytics!$D$5:$D$154,T389,Analytics!$B$5:$B$154,"&gt;="&amp;DashStart,Analytics!$B$5:$B$154,"&lt;="&amp;DashEnd))</f>
        <v>0</v>
      </c>
      <c r="AA389" s="23">
        <f>IF(T389="","",SUMIFS(Analytics!$X$5:$X$154,Analytics!$D$5:$D$154,T389,Analytics!$B$5:$B$154,"&gt;="&amp;DashStart,Analytics!$B$5:$B$154,"&lt;="&amp;DashEnd))</f>
        <v>0</v>
      </c>
      <c r="AB389" s="23">
        <f>IF(T389="","",SUMIFS(Analytics!$R$5:$R$154,Analytics!$D$5:$D$154,T389,Analytics!$B$5:$B$154,"&gt;="&amp;DashStart,Analytics!$B$5:$B$154,"&lt;="&amp;DashEnd))</f>
        <v>0</v>
      </c>
      <c r="AC389" s="25">
        <f>IF(T389="","",SUMIFS(Analytics!$U$5:$U$154,Analytics!$D$5:$D$154,T389,Analytics!$B$5:$B$154,"&gt;="&amp;DashStart,Analytics!$B$5:$B$154,"&lt;="&amp;DashEnd))</f>
        <v>0</v>
      </c>
      <c r="AD389" s="23">
        <f>IF(T389="","",COUNTIFS('Content Calendar'!$G$5:$G$604,T389,'Content Calendar'!$B$5:$B$604,"&gt;="&amp;DATE(PlanYear,1,1),'Content Calendar'!$B$5:$B$604,"&lt;="&amp;DATE(PlanYear,12,31)))</f>
        <v>0</v>
      </c>
      <c r="AE389" s="23">
        <f>IF(T389="","",SUMIFS(Analytics!$J$5:$J$154,Analytics!$D$5:$D$154,T389))</f>
        <v>0</v>
      </c>
      <c r="AF389" s="23">
        <f>IF(T389="","",SUMIFS(Analytics!$L$5:$L$154,Analytics!$D$5:$D$154,T389))</f>
        <v>0</v>
      </c>
      <c r="AG389" s="24">
        <f>IF(OR(AE389="",AE389=0),"",AF389/AE389)</f>
        <v>0</v>
      </c>
      <c r="AH389" s="23">
        <f>IF(T389="","",SUMIFS(Analytics!$X$5:$X$154,Analytics!$D$5:$D$154,T389))</f>
        <v>0</v>
      </c>
      <c r="AI389" s="32">
        <f>IF(T389="","",IF(AE389=0,"",AE389+ROW()/1000000))</f>
        <v>0</v>
      </c>
      <c r="AJ389" s="17">
        <f>IF('Content Pillars'!$B$389="","",'Content Pillars'!$B$389)</f>
        <v>0</v>
      </c>
      <c r="AK389" s="23">
        <f>IF(AJ389="","",COUNTIFS('Content Calendar'!$J$5:$J$604,AJ389,'Content Calendar'!$B$5:$B$604,"&gt;="&amp;DATE(PlanYear,1,1),'Content Calendar'!$B$5:$B$604,"&lt;="&amp;DATE(PlanYear,12,31)))</f>
        <v>0</v>
      </c>
      <c r="AL389" s="23">
        <f>IF(AJ389="","",SUMIFS(Performance!$O$5:$O$404,Performance!$H$5:$H$404,AJ389))</f>
        <v>0</v>
      </c>
      <c r="AM389" s="23">
        <f>IF(AJ389="","",SUMIFS(Performance!$Z$5:$Z$404,Performance!$H$5:$H$404,AJ389))</f>
        <v>0</v>
      </c>
      <c r="AN389" s="24">
        <f>IF(OR(AL389="",AL389=0),"",AM389/AL389)</f>
        <v>0</v>
      </c>
      <c r="AO389" s="32">
        <f>IF(AN389="","",AN389+ROW()/1000000)</f>
        <v>0</v>
      </c>
      <c r="AP389" s="17">
        <f>IF(Lists!$E389="","",Lists!$E389)</f>
        <v>0</v>
      </c>
      <c r="AQ389" s="23">
        <f>IF(AP389="","",COUNTIF(Performance!$G$5:$G$404,AP389))</f>
        <v>0</v>
      </c>
      <c r="AR389" s="23">
        <f>IF(AP389="","",SUMIFS(Performance!$O$5:$O$404,Performance!$G$5:$G$404,AP389))</f>
        <v>0</v>
      </c>
      <c r="AS389" s="23">
        <f>IF(AP389="","",SUMIFS(Performance!$Z$5:$Z$404,Performance!$G$5:$G$404,AP389))</f>
        <v>0</v>
      </c>
      <c r="AT389" s="24">
        <f>IF(OR(AR389="",AR389=0),"",AS389/AR389)</f>
        <v>0</v>
      </c>
      <c r="AU389" s="32">
        <f>IF(AQ389=0,"",IF(AT389="","",AT389+ROW()/1000000))</f>
        <v>0</v>
      </c>
      <c r="AV389" s="17">
        <f>IF(ROW()-4&gt;7,"",TEXT(DATE(2024,1,ROW()-4),"ddd"))</f>
        <v>0</v>
      </c>
      <c r="AW389" s="23">
        <f>IF(AV389="","",COUNTIF(Performance!$N$5:$N$404,AV389))</f>
        <v>0</v>
      </c>
      <c r="AX389" s="23">
        <f>IF(AV389="","",SUMIFS(Performance!$O$5:$O$404,Performance!$N$5:$N$404,AV389))</f>
        <v>0</v>
      </c>
      <c r="AY389" s="23">
        <f>IF(AV389="","",SUMIFS(Performance!$Z$5:$Z$404,Performance!$N$5:$N$404,AV389))</f>
        <v>0</v>
      </c>
      <c r="AZ389" s="24">
        <f>IF(OR(AX389="",AX389=0),"",AY389/AX389)</f>
        <v>0</v>
      </c>
      <c r="BA389" s="32">
        <f>IF(AW389=0,"",IF(AZ389="","",AZ389+ROW()/1000000))</f>
        <v>0</v>
      </c>
      <c r="BB389" s="17">
        <f>IF(Lists!$AL389="","",Lists!$AL389)</f>
        <v>0</v>
      </c>
      <c r="BC389" s="23">
        <f>IF(BB389="","",COUNTIF(Performance!$M$5:$M$404,BB389))</f>
        <v>0</v>
      </c>
      <c r="BD389" s="23">
        <f>IF(BB389="","",SUMIFS(Performance!$O$5:$O$404,Performance!$M$5:$M$404,BB389))</f>
        <v>0</v>
      </c>
      <c r="BE389" s="23">
        <f>IF(BB389="","",SUMIFS(Performance!$Z$5:$Z$404,Performance!$M$5:$M$404,BB389))</f>
        <v>0</v>
      </c>
      <c r="BF389" s="24">
        <f>IF(OR(BD389="",BD389=0),"",BE389/BD389)</f>
        <v>0</v>
      </c>
      <c r="BG389" s="32">
        <f>IF(BC389=0,"",IF(BF389="","",BF389+ROW()/1000000))</f>
        <v>0</v>
      </c>
      <c r="BH389" s="17">
        <f>IF(Performance!$C$389="","",Performance!$C$389)</f>
        <v>0</v>
      </c>
      <c r="BI389" s="17">
        <f>IF(Performance!$F$389="","",Performance!$F$389)</f>
        <v>0</v>
      </c>
      <c r="BJ389" s="17">
        <f>IF(Performance!$H$389="","",Performance!$H$389)</f>
        <v>0</v>
      </c>
      <c r="BK389" s="16">
        <f>IF(Performance!$D$389="","",Performance!$D$389)</f>
        <v>0</v>
      </c>
      <c r="BL389" s="17">
        <f>IF(Performance!$E$389="","",Performance!$E$389)</f>
        <v>0</v>
      </c>
      <c r="BM389" s="23">
        <f>IF(Performance!$O$389="","",Performance!$O$389)</f>
        <v>0</v>
      </c>
      <c r="BN389" s="24">
        <f>IF(Performance!$AA$389="","",Performance!$AA$389)</f>
        <v>0</v>
      </c>
      <c r="BO389" s="32">
        <f>IF(BH389="","",IF(BK389="","",IF(OR(BK389&lt;DashStart,BK389&gt;DashEnd),"",IF(BN389="","",BN389+ROW()/1000000))))</f>
        <v>0</v>
      </c>
      <c r="BP389" s="32">
        <f>IF(BM389="","",IF(BK389="","",IF(OR(BK389&lt;DashStart,BK389&gt;DashEnd),"",BM389+ROW()/1000000)))</f>
        <v>0</v>
      </c>
      <c r="BQ389" s="32">
        <f>IF(BH389="","",IF(BK389="","",IF(YEAR(BK389)&lt;&gt;PlanYear,"",IF(BN389="","",BN389+ROW()/1000000))))</f>
        <v>0</v>
      </c>
      <c r="BR389" s="32">
        <f>IF(BH389="","",IF(BK389="","",IF(OR(BK389&lt;RepFrom,BK389&gt;RepTo),"",IF(BN389="","",BN389+ROW()/1000000))))</f>
        <v>0</v>
      </c>
      <c r="BS389" s="32">
        <f>IF(BM389="","",IF(BK389="","",IF(YEAR(BK389)&lt;&gt;PlanYear,"",BM389+ROW()/1000000)))</f>
        <v>0</v>
      </c>
      <c r="BT389" s="17">
        <f>IF(Lists!$F389="","",Lists!$F389)</f>
        <v>0</v>
      </c>
      <c r="BU389" s="23">
        <f>IF(BT389="","",COUNTIF('Content Calendar'!$X$5:$X$604,BT389))</f>
        <v>0</v>
      </c>
      <c r="BV389" s="23">
        <f>IF(BT389="","",COUNTIFS('Content Calendar'!$X$5:$X$604,BT389,'Content Calendar'!$B$5:$B$604,"&gt;="&amp;DashStart,'Content Calendar'!$B$5:$B$604,"&lt;="&amp;DashEnd))</f>
        <v>0</v>
      </c>
      <c r="BW389" s="17">
        <f>IF(Team!$B$389="","",Team!$B$389)</f>
        <v>0</v>
      </c>
      <c r="BX389" s="23">
        <f>IF(BW389="","",COUNTIF('Content Calendar'!$W$5:$W$604,BW389))</f>
        <v>0</v>
      </c>
      <c r="BY389" s="23">
        <f>IF(BW389="","",COUNTIFS('Content Calendar'!$W$5:$W$604,BW389,'Content Calendar'!$X$5:$X$604,"&lt;&gt;Published"))</f>
        <v>0</v>
      </c>
      <c r="BZ389" s="23">
        <f>IF(BW389="","",COUNTIFS(Tasks!$C$5:$C$64,BW389,Tasks!$G$5:$G$64,"&lt;&gt;Complete"))</f>
        <v>0</v>
      </c>
      <c r="CA389" s="17">
        <f>IF(Campaigns!$B$389="","",Campaigns!$B$389)</f>
        <v>0</v>
      </c>
      <c r="CB389" s="25">
        <f>IF(Campaigns!$T$389="","",Campaigns!$T$389)</f>
        <v>0</v>
      </c>
      <c r="CC389" s="25">
        <f>IF(Campaigns!$Q$389="","",Campaigns!$Q$389)</f>
        <v>0</v>
      </c>
      <c r="CD389" s="23">
        <f>IF(Campaigns!$Y$389="","",Campaigns!$Y$389)</f>
        <v>0</v>
      </c>
      <c r="CE389" s="32">
        <f>IF(CA389="","",IF(N(CB389)&lt;=0,"",N(CB389)+ROW()/1000000))</f>
        <v>0</v>
      </c>
      <c r="CF389" s="17">
        <f>IF(Accounts!$C$389="","",Accounts!$C$389)</f>
        <v>0</v>
      </c>
      <c r="CG389" s="17">
        <f>IF(Accounts!$B$389="","",Accounts!$B$389)</f>
        <v>0</v>
      </c>
      <c r="CH389" s="23">
        <f>IF(Accounts!$J$389="","",Accounts!$J$389)</f>
        <v>0</v>
      </c>
      <c r="CI389" s="23">
        <f>IF(CF389="","",SUMIFS(Analytics!$X$5:$X$154,Analytics!$E$5:$E$154,CF389,Analytics!$B$5:$B$154,"&gt;="&amp;DashStart,Analytics!$B$5:$B$154,"&lt;="&amp;DashEnd))</f>
        <v>0</v>
      </c>
      <c r="CJ389" s="32">
        <f>IF(CH389="","",IF(CH389=0,"",CH389+ROW()/1000000))</f>
        <v>0</v>
      </c>
    </row>
    <row r="390" spans="1:88">
      <c r="A390" s="16">
        <f>IF(ROW()-4&gt;12,"",DATE(PlanYear,ROW()-4,1))</f>
        <v>0</v>
      </c>
      <c r="B390" s="16">
        <f>IF(A390="","",EOMONTH(A390,0))</f>
        <v>0</v>
      </c>
      <c r="C390" s="17">
        <f>IF(A390="","",TEXT(A390,"yyyy-mm"))</f>
        <v>0</v>
      </c>
      <c r="D390" s="17">
        <f>IF(A390="","",TEXT(A390,"mmm"))</f>
        <v>0</v>
      </c>
      <c r="E390" s="23">
        <f>IF(C390="","",COUNTIFS('Content Calendar'!$D$5:$D$604,C390))</f>
        <v>0</v>
      </c>
      <c r="F390" s="23">
        <f>IF(C390="","",COUNTIFS('Content Calendar'!$D$5:$D$604,C390,'Content Calendar'!$X$5:$X$604,"Published"))</f>
        <v>0</v>
      </c>
      <c r="G390" s="23">
        <f>IF(C390="","",SUMIFS(Analytics!$J$5:$J$154,Analytics!$C$5:$C$154,C390))</f>
        <v>0</v>
      </c>
      <c r="H390" s="23">
        <f>IF(C390="","",SUMIFS(Analytics!$K$5:$K$154,Analytics!$C$5:$C$154,C390))</f>
        <v>0</v>
      </c>
      <c r="I390" s="23">
        <f>IF(C390="","",SUMIFS(Analytics!$L$5:$L$154,Analytics!$C$5:$C$154,C390))</f>
        <v>0</v>
      </c>
      <c r="J390" s="24">
        <f>IF(OR(G390="",G390=0),"",I390/G390)</f>
        <v>0</v>
      </c>
      <c r="K390" s="23">
        <f>IF(C390="","",SUMIFS(Analytics!$G$5:$G$154,Analytics!$C$5:$C$154,C390))</f>
        <v>0</v>
      </c>
      <c r="L390" s="23">
        <f>IF(C390="","",SUMIFS(Analytics!$X$5:$X$154,Analytics!$C$5:$C$154,C390))</f>
        <v>0</v>
      </c>
      <c r="M390" s="23">
        <f>IF(C390="","",SUMIFS(Analytics!$R$5:$R$154,Analytics!$C$5:$C$154,C390))</f>
        <v>0</v>
      </c>
      <c r="N390" s="23">
        <f>IF(C390="","",SUMIFS(Analytics!$S$5:$S$154,Analytics!$C$5:$C$154,C390))</f>
        <v>0</v>
      </c>
      <c r="O390" s="23">
        <f>IF(C390="","",SUMIFS(Analytics!$T$5:$T$154,Analytics!$C$5:$C$154,C390))</f>
        <v>0</v>
      </c>
      <c r="P390" s="25">
        <f>IF(C390="","",SUMIFS(Analytics!$U$5:$U$154,Analytics!$C$5:$C$154,C390))</f>
        <v>0</v>
      </c>
      <c r="Q390" s="25">
        <f>IF(C390="","",SUMIFS(Budget!$H$5:$H$64,Budget!$C$5:$C$64,C390))</f>
        <v>0</v>
      </c>
      <c r="R390" s="25">
        <f>IF(C390="","",P390-Q390)</f>
        <v>0</v>
      </c>
      <c r="S390" s="23">
        <f>IF(C390="","",MonthlyPostTarget)</f>
        <v>0</v>
      </c>
      <c r="T390" s="17">
        <f>IF(Lists!$C390="","",Lists!$C390)</f>
        <v>0</v>
      </c>
      <c r="U390" s="23">
        <f>IF(T390="","",COUNTIFS('Content Calendar'!$G$5:$G$604,T390,'Content Calendar'!$B$5:$B$604,"&gt;="&amp;DashStart,'Content Calendar'!$B$5:$B$604,"&lt;="&amp;DashEnd))</f>
        <v>0</v>
      </c>
      <c r="V390" s="23">
        <f>IF(T390="","",COUNTIFS('Content Calendar'!$G$5:$G$604,T390,'Content Calendar'!$X$5:$X$604,"Published",'Content Calendar'!$B$5:$B$604,"&gt;="&amp;DashStart,'Content Calendar'!$B$5:$B$604,"&lt;="&amp;DashEnd))</f>
        <v>0</v>
      </c>
      <c r="W390" s="23">
        <f>IF(T390="","",SUMIFS(Analytics!$J$5:$J$154,Analytics!$D$5:$D$154,T390,Analytics!$B$5:$B$154,"&gt;="&amp;DashStart,Analytics!$B$5:$B$154,"&lt;="&amp;DashEnd))</f>
        <v>0</v>
      </c>
      <c r="X390" s="23">
        <f>IF(T390="","",SUMIFS(Analytics!$L$5:$L$154,Analytics!$D$5:$D$154,T390,Analytics!$B$5:$B$154,"&gt;="&amp;DashStart,Analytics!$B$5:$B$154,"&lt;="&amp;DashEnd))</f>
        <v>0</v>
      </c>
      <c r="Y390" s="24">
        <f>IF(OR(W390="",W390=0),"",X390/W390)</f>
        <v>0</v>
      </c>
      <c r="Z390" s="23">
        <f>IF(T390="","",SUMIFS(Analytics!$G$5:$G$154,Analytics!$D$5:$D$154,T390,Analytics!$B$5:$B$154,"&gt;="&amp;DashStart,Analytics!$B$5:$B$154,"&lt;="&amp;DashEnd))</f>
        <v>0</v>
      </c>
      <c r="AA390" s="23">
        <f>IF(T390="","",SUMIFS(Analytics!$X$5:$X$154,Analytics!$D$5:$D$154,T390,Analytics!$B$5:$B$154,"&gt;="&amp;DashStart,Analytics!$B$5:$B$154,"&lt;="&amp;DashEnd))</f>
        <v>0</v>
      </c>
      <c r="AB390" s="23">
        <f>IF(T390="","",SUMIFS(Analytics!$R$5:$R$154,Analytics!$D$5:$D$154,T390,Analytics!$B$5:$B$154,"&gt;="&amp;DashStart,Analytics!$B$5:$B$154,"&lt;="&amp;DashEnd))</f>
        <v>0</v>
      </c>
      <c r="AC390" s="25">
        <f>IF(T390="","",SUMIFS(Analytics!$U$5:$U$154,Analytics!$D$5:$D$154,T390,Analytics!$B$5:$B$154,"&gt;="&amp;DashStart,Analytics!$B$5:$B$154,"&lt;="&amp;DashEnd))</f>
        <v>0</v>
      </c>
      <c r="AD390" s="23">
        <f>IF(T390="","",COUNTIFS('Content Calendar'!$G$5:$G$604,T390,'Content Calendar'!$B$5:$B$604,"&gt;="&amp;DATE(PlanYear,1,1),'Content Calendar'!$B$5:$B$604,"&lt;="&amp;DATE(PlanYear,12,31)))</f>
        <v>0</v>
      </c>
      <c r="AE390" s="23">
        <f>IF(T390="","",SUMIFS(Analytics!$J$5:$J$154,Analytics!$D$5:$D$154,T390))</f>
        <v>0</v>
      </c>
      <c r="AF390" s="23">
        <f>IF(T390="","",SUMIFS(Analytics!$L$5:$L$154,Analytics!$D$5:$D$154,T390))</f>
        <v>0</v>
      </c>
      <c r="AG390" s="24">
        <f>IF(OR(AE390="",AE390=0),"",AF390/AE390)</f>
        <v>0</v>
      </c>
      <c r="AH390" s="23">
        <f>IF(T390="","",SUMIFS(Analytics!$X$5:$X$154,Analytics!$D$5:$D$154,T390))</f>
        <v>0</v>
      </c>
      <c r="AI390" s="32">
        <f>IF(T390="","",IF(AE390=0,"",AE390+ROW()/1000000))</f>
        <v>0</v>
      </c>
      <c r="AJ390" s="17">
        <f>IF('Content Pillars'!$B$390="","",'Content Pillars'!$B$390)</f>
        <v>0</v>
      </c>
      <c r="AK390" s="23">
        <f>IF(AJ390="","",COUNTIFS('Content Calendar'!$J$5:$J$604,AJ390,'Content Calendar'!$B$5:$B$604,"&gt;="&amp;DATE(PlanYear,1,1),'Content Calendar'!$B$5:$B$604,"&lt;="&amp;DATE(PlanYear,12,31)))</f>
        <v>0</v>
      </c>
      <c r="AL390" s="23">
        <f>IF(AJ390="","",SUMIFS(Performance!$O$5:$O$404,Performance!$H$5:$H$404,AJ390))</f>
        <v>0</v>
      </c>
      <c r="AM390" s="23">
        <f>IF(AJ390="","",SUMIFS(Performance!$Z$5:$Z$404,Performance!$H$5:$H$404,AJ390))</f>
        <v>0</v>
      </c>
      <c r="AN390" s="24">
        <f>IF(OR(AL390="",AL390=0),"",AM390/AL390)</f>
        <v>0</v>
      </c>
      <c r="AO390" s="32">
        <f>IF(AN390="","",AN390+ROW()/1000000)</f>
        <v>0</v>
      </c>
      <c r="AP390" s="17">
        <f>IF(Lists!$E390="","",Lists!$E390)</f>
        <v>0</v>
      </c>
      <c r="AQ390" s="23">
        <f>IF(AP390="","",COUNTIF(Performance!$G$5:$G$404,AP390))</f>
        <v>0</v>
      </c>
      <c r="AR390" s="23">
        <f>IF(AP390="","",SUMIFS(Performance!$O$5:$O$404,Performance!$G$5:$G$404,AP390))</f>
        <v>0</v>
      </c>
      <c r="AS390" s="23">
        <f>IF(AP390="","",SUMIFS(Performance!$Z$5:$Z$404,Performance!$G$5:$G$404,AP390))</f>
        <v>0</v>
      </c>
      <c r="AT390" s="24">
        <f>IF(OR(AR390="",AR390=0),"",AS390/AR390)</f>
        <v>0</v>
      </c>
      <c r="AU390" s="32">
        <f>IF(AQ390=0,"",IF(AT390="","",AT390+ROW()/1000000))</f>
        <v>0</v>
      </c>
      <c r="AV390" s="17">
        <f>IF(ROW()-4&gt;7,"",TEXT(DATE(2024,1,ROW()-4),"ddd"))</f>
        <v>0</v>
      </c>
      <c r="AW390" s="23">
        <f>IF(AV390="","",COUNTIF(Performance!$N$5:$N$404,AV390))</f>
        <v>0</v>
      </c>
      <c r="AX390" s="23">
        <f>IF(AV390="","",SUMIFS(Performance!$O$5:$O$404,Performance!$N$5:$N$404,AV390))</f>
        <v>0</v>
      </c>
      <c r="AY390" s="23">
        <f>IF(AV390="","",SUMIFS(Performance!$Z$5:$Z$404,Performance!$N$5:$N$404,AV390))</f>
        <v>0</v>
      </c>
      <c r="AZ390" s="24">
        <f>IF(OR(AX390="",AX390=0),"",AY390/AX390)</f>
        <v>0</v>
      </c>
      <c r="BA390" s="32">
        <f>IF(AW390=0,"",IF(AZ390="","",AZ390+ROW()/1000000))</f>
        <v>0</v>
      </c>
      <c r="BB390" s="17">
        <f>IF(Lists!$AL390="","",Lists!$AL390)</f>
        <v>0</v>
      </c>
      <c r="BC390" s="23">
        <f>IF(BB390="","",COUNTIF(Performance!$M$5:$M$404,BB390))</f>
        <v>0</v>
      </c>
      <c r="BD390" s="23">
        <f>IF(BB390="","",SUMIFS(Performance!$O$5:$O$404,Performance!$M$5:$M$404,BB390))</f>
        <v>0</v>
      </c>
      <c r="BE390" s="23">
        <f>IF(BB390="","",SUMIFS(Performance!$Z$5:$Z$404,Performance!$M$5:$M$404,BB390))</f>
        <v>0</v>
      </c>
      <c r="BF390" s="24">
        <f>IF(OR(BD390="",BD390=0),"",BE390/BD390)</f>
        <v>0</v>
      </c>
      <c r="BG390" s="32">
        <f>IF(BC390=0,"",IF(BF390="","",BF390+ROW()/1000000))</f>
        <v>0</v>
      </c>
      <c r="BH390" s="17">
        <f>IF(Performance!$C$390="","",Performance!$C$390)</f>
        <v>0</v>
      </c>
      <c r="BI390" s="17">
        <f>IF(Performance!$F$390="","",Performance!$F$390)</f>
        <v>0</v>
      </c>
      <c r="BJ390" s="17">
        <f>IF(Performance!$H$390="","",Performance!$H$390)</f>
        <v>0</v>
      </c>
      <c r="BK390" s="16">
        <f>IF(Performance!$D$390="","",Performance!$D$390)</f>
        <v>0</v>
      </c>
      <c r="BL390" s="17">
        <f>IF(Performance!$E$390="","",Performance!$E$390)</f>
        <v>0</v>
      </c>
      <c r="BM390" s="23">
        <f>IF(Performance!$O$390="","",Performance!$O$390)</f>
        <v>0</v>
      </c>
      <c r="BN390" s="24">
        <f>IF(Performance!$AA$390="","",Performance!$AA$390)</f>
        <v>0</v>
      </c>
      <c r="BO390" s="32">
        <f>IF(BH390="","",IF(BK390="","",IF(OR(BK390&lt;DashStart,BK390&gt;DashEnd),"",IF(BN390="","",BN390+ROW()/1000000))))</f>
        <v>0</v>
      </c>
      <c r="BP390" s="32">
        <f>IF(BM390="","",IF(BK390="","",IF(OR(BK390&lt;DashStart,BK390&gt;DashEnd),"",BM390+ROW()/1000000)))</f>
        <v>0</v>
      </c>
      <c r="BQ390" s="32">
        <f>IF(BH390="","",IF(BK390="","",IF(YEAR(BK390)&lt;&gt;PlanYear,"",IF(BN390="","",BN390+ROW()/1000000))))</f>
        <v>0</v>
      </c>
      <c r="BR390" s="32">
        <f>IF(BH390="","",IF(BK390="","",IF(OR(BK390&lt;RepFrom,BK390&gt;RepTo),"",IF(BN390="","",BN390+ROW()/1000000))))</f>
        <v>0</v>
      </c>
      <c r="BS390" s="32">
        <f>IF(BM390="","",IF(BK390="","",IF(YEAR(BK390)&lt;&gt;PlanYear,"",BM390+ROW()/1000000)))</f>
        <v>0</v>
      </c>
      <c r="BT390" s="17">
        <f>IF(Lists!$F390="","",Lists!$F390)</f>
        <v>0</v>
      </c>
      <c r="BU390" s="23">
        <f>IF(BT390="","",COUNTIF('Content Calendar'!$X$5:$X$604,BT390))</f>
        <v>0</v>
      </c>
      <c r="BV390" s="23">
        <f>IF(BT390="","",COUNTIFS('Content Calendar'!$X$5:$X$604,BT390,'Content Calendar'!$B$5:$B$604,"&gt;="&amp;DashStart,'Content Calendar'!$B$5:$B$604,"&lt;="&amp;DashEnd))</f>
        <v>0</v>
      </c>
      <c r="BW390" s="17">
        <f>IF(Team!$B$390="","",Team!$B$390)</f>
        <v>0</v>
      </c>
      <c r="BX390" s="23">
        <f>IF(BW390="","",COUNTIF('Content Calendar'!$W$5:$W$604,BW390))</f>
        <v>0</v>
      </c>
      <c r="BY390" s="23">
        <f>IF(BW390="","",COUNTIFS('Content Calendar'!$W$5:$W$604,BW390,'Content Calendar'!$X$5:$X$604,"&lt;&gt;Published"))</f>
        <v>0</v>
      </c>
      <c r="BZ390" s="23">
        <f>IF(BW390="","",COUNTIFS(Tasks!$C$5:$C$64,BW390,Tasks!$G$5:$G$64,"&lt;&gt;Complete"))</f>
        <v>0</v>
      </c>
      <c r="CA390" s="17">
        <f>IF(Campaigns!$B$390="","",Campaigns!$B$390)</f>
        <v>0</v>
      </c>
      <c r="CB390" s="25">
        <f>IF(Campaigns!$T$390="","",Campaigns!$T$390)</f>
        <v>0</v>
      </c>
      <c r="CC390" s="25">
        <f>IF(Campaigns!$Q$390="","",Campaigns!$Q$390)</f>
        <v>0</v>
      </c>
      <c r="CD390" s="23">
        <f>IF(Campaigns!$Y$390="","",Campaigns!$Y$390)</f>
        <v>0</v>
      </c>
      <c r="CE390" s="32">
        <f>IF(CA390="","",IF(N(CB390)&lt;=0,"",N(CB390)+ROW()/1000000))</f>
        <v>0</v>
      </c>
      <c r="CF390" s="17">
        <f>IF(Accounts!$C$390="","",Accounts!$C$390)</f>
        <v>0</v>
      </c>
      <c r="CG390" s="17">
        <f>IF(Accounts!$B$390="","",Accounts!$B$390)</f>
        <v>0</v>
      </c>
      <c r="CH390" s="23">
        <f>IF(Accounts!$J$390="","",Accounts!$J$390)</f>
        <v>0</v>
      </c>
      <c r="CI390" s="23">
        <f>IF(CF390="","",SUMIFS(Analytics!$X$5:$X$154,Analytics!$E$5:$E$154,CF390,Analytics!$B$5:$B$154,"&gt;="&amp;DashStart,Analytics!$B$5:$B$154,"&lt;="&amp;DashEnd))</f>
        <v>0</v>
      </c>
      <c r="CJ390" s="32">
        <f>IF(CH390="","",IF(CH390=0,"",CH390+ROW()/1000000))</f>
        <v>0</v>
      </c>
    </row>
    <row r="391" spans="1:88">
      <c r="A391" s="16">
        <f>IF(ROW()-4&gt;12,"",DATE(PlanYear,ROW()-4,1))</f>
        <v>0</v>
      </c>
      <c r="B391" s="16">
        <f>IF(A391="","",EOMONTH(A391,0))</f>
        <v>0</v>
      </c>
      <c r="C391" s="17">
        <f>IF(A391="","",TEXT(A391,"yyyy-mm"))</f>
        <v>0</v>
      </c>
      <c r="D391" s="17">
        <f>IF(A391="","",TEXT(A391,"mmm"))</f>
        <v>0</v>
      </c>
      <c r="E391" s="23">
        <f>IF(C391="","",COUNTIFS('Content Calendar'!$D$5:$D$604,C391))</f>
        <v>0</v>
      </c>
      <c r="F391" s="23">
        <f>IF(C391="","",COUNTIFS('Content Calendar'!$D$5:$D$604,C391,'Content Calendar'!$X$5:$X$604,"Published"))</f>
        <v>0</v>
      </c>
      <c r="G391" s="23">
        <f>IF(C391="","",SUMIFS(Analytics!$J$5:$J$154,Analytics!$C$5:$C$154,C391))</f>
        <v>0</v>
      </c>
      <c r="H391" s="23">
        <f>IF(C391="","",SUMIFS(Analytics!$K$5:$K$154,Analytics!$C$5:$C$154,C391))</f>
        <v>0</v>
      </c>
      <c r="I391" s="23">
        <f>IF(C391="","",SUMIFS(Analytics!$L$5:$L$154,Analytics!$C$5:$C$154,C391))</f>
        <v>0</v>
      </c>
      <c r="J391" s="24">
        <f>IF(OR(G391="",G391=0),"",I391/G391)</f>
        <v>0</v>
      </c>
      <c r="K391" s="23">
        <f>IF(C391="","",SUMIFS(Analytics!$G$5:$G$154,Analytics!$C$5:$C$154,C391))</f>
        <v>0</v>
      </c>
      <c r="L391" s="23">
        <f>IF(C391="","",SUMIFS(Analytics!$X$5:$X$154,Analytics!$C$5:$C$154,C391))</f>
        <v>0</v>
      </c>
      <c r="M391" s="23">
        <f>IF(C391="","",SUMIFS(Analytics!$R$5:$R$154,Analytics!$C$5:$C$154,C391))</f>
        <v>0</v>
      </c>
      <c r="N391" s="23">
        <f>IF(C391="","",SUMIFS(Analytics!$S$5:$S$154,Analytics!$C$5:$C$154,C391))</f>
        <v>0</v>
      </c>
      <c r="O391" s="23">
        <f>IF(C391="","",SUMIFS(Analytics!$T$5:$T$154,Analytics!$C$5:$C$154,C391))</f>
        <v>0</v>
      </c>
      <c r="P391" s="25">
        <f>IF(C391="","",SUMIFS(Analytics!$U$5:$U$154,Analytics!$C$5:$C$154,C391))</f>
        <v>0</v>
      </c>
      <c r="Q391" s="25">
        <f>IF(C391="","",SUMIFS(Budget!$H$5:$H$64,Budget!$C$5:$C$64,C391))</f>
        <v>0</v>
      </c>
      <c r="R391" s="25">
        <f>IF(C391="","",P391-Q391)</f>
        <v>0</v>
      </c>
      <c r="S391" s="23">
        <f>IF(C391="","",MonthlyPostTarget)</f>
        <v>0</v>
      </c>
      <c r="T391" s="17">
        <f>IF(Lists!$C391="","",Lists!$C391)</f>
        <v>0</v>
      </c>
      <c r="U391" s="23">
        <f>IF(T391="","",COUNTIFS('Content Calendar'!$G$5:$G$604,T391,'Content Calendar'!$B$5:$B$604,"&gt;="&amp;DashStart,'Content Calendar'!$B$5:$B$604,"&lt;="&amp;DashEnd))</f>
        <v>0</v>
      </c>
      <c r="V391" s="23">
        <f>IF(T391="","",COUNTIFS('Content Calendar'!$G$5:$G$604,T391,'Content Calendar'!$X$5:$X$604,"Published",'Content Calendar'!$B$5:$B$604,"&gt;="&amp;DashStart,'Content Calendar'!$B$5:$B$604,"&lt;="&amp;DashEnd))</f>
        <v>0</v>
      </c>
      <c r="W391" s="23">
        <f>IF(T391="","",SUMIFS(Analytics!$J$5:$J$154,Analytics!$D$5:$D$154,T391,Analytics!$B$5:$B$154,"&gt;="&amp;DashStart,Analytics!$B$5:$B$154,"&lt;="&amp;DashEnd))</f>
        <v>0</v>
      </c>
      <c r="X391" s="23">
        <f>IF(T391="","",SUMIFS(Analytics!$L$5:$L$154,Analytics!$D$5:$D$154,T391,Analytics!$B$5:$B$154,"&gt;="&amp;DashStart,Analytics!$B$5:$B$154,"&lt;="&amp;DashEnd))</f>
        <v>0</v>
      </c>
      <c r="Y391" s="24">
        <f>IF(OR(W391="",W391=0),"",X391/W391)</f>
        <v>0</v>
      </c>
      <c r="Z391" s="23">
        <f>IF(T391="","",SUMIFS(Analytics!$G$5:$G$154,Analytics!$D$5:$D$154,T391,Analytics!$B$5:$B$154,"&gt;="&amp;DashStart,Analytics!$B$5:$B$154,"&lt;="&amp;DashEnd))</f>
        <v>0</v>
      </c>
      <c r="AA391" s="23">
        <f>IF(T391="","",SUMIFS(Analytics!$X$5:$X$154,Analytics!$D$5:$D$154,T391,Analytics!$B$5:$B$154,"&gt;="&amp;DashStart,Analytics!$B$5:$B$154,"&lt;="&amp;DashEnd))</f>
        <v>0</v>
      </c>
      <c r="AB391" s="23">
        <f>IF(T391="","",SUMIFS(Analytics!$R$5:$R$154,Analytics!$D$5:$D$154,T391,Analytics!$B$5:$B$154,"&gt;="&amp;DashStart,Analytics!$B$5:$B$154,"&lt;="&amp;DashEnd))</f>
        <v>0</v>
      </c>
      <c r="AC391" s="25">
        <f>IF(T391="","",SUMIFS(Analytics!$U$5:$U$154,Analytics!$D$5:$D$154,T391,Analytics!$B$5:$B$154,"&gt;="&amp;DashStart,Analytics!$B$5:$B$154,"&lt;="&amp;DashEnd))</f>
        <v>0</v>
      </c>
      <c r="AD391" s="23">
        <f>IF(T391="","",COUNTIFS('Content Calendar'!$G$5:$G$604,T391,'Content Calendar'!$B$5:$B$604,"&gt;="&amp;DATE(PlanYear,1,1),'Content Calendar'!$B$5:$B$604,"&lt;="&amp;DATE(PlanYear,12,31)))</f>
        <v>0</v>
      </c>
      <c r="AE391" s="23">
        <f>IF(T391="","",SUMIFS(Analytics!$J$5:$J$154,Analytics!$D$5:$D$154,T391))</f>
        <v>0</v>
      </c>
      <c r="AF391" s="23">
        <f>IF(T391="","",SUMIFS(Analytics!$L$5:$L$154,Analytics!$D$5:$D$154,T391))</f>
        <v>0</v>
      </c>
      <c r="AG391" s="24">
        <f>IF(OR(AE391="",AE391=0),"",AF391/AE391)</f>
        <v>0</v>
      </c>
      <c r="AH391" s="23">
        <f>IF(T391="","",SUMIFS(Analytics!$X$5:$X$154,Analytics!$D$5:$D$154,T391))</f>
        <v>0</v>
      </c>
      <c r="AI391" s="32">
        <f>IF(T391="","",IF(AE391=0,"",AE391+ROW()/1000000))</f>
        <v>0</v>
      </c>
      <c r="AJ391" s="17">
        <f>IF('Content Pillars'!$B$391="","",'Content Pillars'!$B$391)</f>
        <v>0</v>
      </c>
      <c r="AK391" s="23">
        <f>IF(AJ391="","",COUNTIFS('Content Calendar'!$J$5:$J$604,AJ391,'Content Calendar'!$B$5:$B$604,"&gt;="&amp;DATE(PlanYear,1,1),'Content Calendar'!$B$5:$B$604,"&lt;="&amp;DATE(PlanYear,12,31)))</f>
        <v>0</v>
      </c>
      <c r="AL391" s="23">
        <f>IF(AJ391="","",SUMIFS(Performance!$O$5:$O$404,Performance!$H$5:$H$404,AJ391))</f>
        <v>0</v>
      </c>
      <c r="AM391" s="23">
        <f>IF(AJ391="","",SUMIFS(Performance!$Z$5:$Z$404,Performance!$H$5:$H$404,AJ391))</f>
        <v>0</v>
      </c>
      <c r="AN391" s="24">
        <f>IF(OR(AL391="",AL391=0),"",AM391/AL391)</f>
        <v>0</v>
      </c>
      <c r="AO391" s="32">
        <f>IF(AN391="","",AN391+ROW()/1000000)</f>
        <v>0</v>
      </c>
      <c r="AP391" s="17">
        <f>IF(Lists!$E391="","",Lists!$E391)</f>
        <v>0</v>
      </c>
      <c r="AQ391" s="23">
        <f>IF(AP391="","",COUNTIF(Performance!$G$5:$G$404,AP391))</f>
        <v>0</v>
      </c>
      <c r="AR391" s="23">
        <f>IF(AP391="","",SUMIFS(Performance!$O$5:$O$404,Performance!$G$5:$G$404,AP391))</f>
        <v>0</v>
      </c>
      <c r="AS391" s="23">
        <f>IF(AP391="","",SUMIFS(Performance!$Z$5:$Z$404,Performance!$G$5:$G$404,AP391))</f>
        <v>0</v>
      </c>
      <c r="AT391" s="24">
        <f>IF(OR(AR391="",AR391=0),"",AS391/AR391)</f>
        <v>0</v>
      </c>
      <c r="AU391" s="32">
        <f>IF(AQ391=0,"",IF(AT391="","",AT391+ROW()/1000000))</f>
        <v>0</v>
      </c>
      <c r="AV391" s="17">
        <f>IF(ROW()-4&gt;7,"",TEXT(DATE(2024,1,ROW()-4),"ddd"))</f>
        <v>0</v>
      </c>
      <c r="AW391" s="23">
        <f>IF(AV391="","",COUNTIF(Performance!$N$5:$N$404,AV391))</f>
        <v>0</v>
      </c>
      <c r="AX391" s="23">
        <f>IF(AV391="","",SUMIFS(Performance!$O$5:$O$404,Performance!$N$5:$N$404,AV391))</f>
        <v>0</v>
      </c>
      <c r="AY391" s="23">
        <f>IF(AV391="","",SUMIFS(Performance!$Z$5:$Z$404,Performance!$N$5:$N$404,AV391))</f>
        <v>0</v>
      </c>
      <c r="AZ391" s="24">
        <f>IF(OR(AX391="",AX391=0),"",AY391/AX391)</f>
        <v>0</v>
      </c>
      <c r="BA391" s="32">
        <f>IF(AW391=0,"",IF(AZ391="","",AZ391+ROW()/1000000))</f>
        <v>0</v>
      </c>
      <c r="BB391" s="17">
        <f>IF(Lists!$AL391="","",Lists!$AL391)</f>
        <v>0</v>
      </c>
      <c r="BC391" s="23">
        <f>IF(BB391="","",COUNTIF(Performance!$M$5:$M$404,BB391))</f>
        <v>0</v>
      </c>
      <c r="BD391" s="23">
        <f>IF(BB391="","",SUMIFS(Performance!$O$5:$O$404,Performance!$M$5:$M$404,BB391))</f>
        <v>0</v>
      </c>
      <c r="BE391" s="23">
        <f>IF(BB391="","",SUMIFS(Performance!$Z$5:$Z$404,Performance!$M$5:$M$404,BB391))</f>
        <v>0</v>
      </c>
      <c r="BF391" s="24">
        <f>IF(OR(BD391="",BD391=0),"",BE391/BD391)</f>
        <v>0</v>
      </c>
      <c r="BG391" s="32">
        <f>IF(BC391=0,"",IF(BF391="","",BF391+ROW()/1000000))</f>
        <v>0</v>
      </c>
      <c r="BH391" s="17">
        <f>IF(Performance!$C$391="","",Performance!$C$391)</f>
        <v>0</v>
      </c>
      <c r="BI391" s="17">
        <f>IF(Performance!$F$391="","",Performance!$F$391)</f>
        <v>0</v>
      </c>
      <c r="BJ391" s="17">
        <f>IF(Performance!$H$391="","",Performance!$H$391)</f>
        <v>0</v>
      </c>
      <c r="BK391" s="16">
        <f>IF(Performance!$D$391="","",Performance!$D$391)</f>
        <v>0</v>
      </c>
      <c r="BL391" s="17">
        <f>IF(Performance!$E$391="","",Performance!$E$391)</f>
        <v>0</v>
      </c>
      <c r="BM391" s="23">
        <f>IF(Performance!$O$391="","",Performance!$O$391)</f>
        <v>0</v>
      </c>
      <c r="BN391" s="24">
        <f>IF(Performance!$AA$391="","",Performance!$AA$391)</f>
        <v>0</v>
      </c>
      <c r="BO391" s="32">
        <f>IF(BH391="","",IF(BK391="","",IF(OR(BK391&lt;DashStart,BK391&gt;DashEnd),"",IF(BN391="","",BN391+ROW()/1000000))))</f>
        <v>0</v>
      </c>
      <c r="BP391" s="32">
        <f>IF(BM391="","",IF(BK391="","",IF(OR(BK391&lt;DashStart,BK391&gt;DashEnd),"",BM391+ROW()/1000000)))</f>
        <v>0</v>
      </c>
      <c r="BQ391" s="32">
        <f>IF(BH391="","",IF(BK391="","",IF(YEAR(BK391)&lt;&gt;PlanYear,"",IF(BN391="","",BN391+ROW()/1000000))))</f>
        <v>0</v>
      </c>
      <c r="BR391" s="32">
        <f>IF(BH391="","",IF(BK391="","",IF(OR(BK391&lt;RepFrom,BK391&gt;RepTo),"",IF(BN391="","",BN391+ROW()/1000000))))</f>
        <v>0</v>
      </c>
      <c r="BS391" s="32">
        <f>IF(BM391="","",IF(BK391="","",IF(YEAR(BK391)&lt;&gt;PlanYear,"",BM391+ROW()/1000000)))</f>
        <v>0</v>
      </c>
      <c r="BT391" s="17">
        <f>IF(Lists!$F391="","",Lists!$F391)</f>
        <v>0</v>
      </c>
      <c r="BU391" s="23">
        <f>IF(BT391="","",COUNTIF('Content Calendar'!$X$5:$X$604,BT391))</f>
        <v>0</v>
      </c>
      <c r="BV391" s="23">
        <f>IF(BT391="","",COUNTIFS('Content Calendar'!$X$5:$X$604,BT391,'Content Calendar'!$B$5:$B$604,"&gt;="&amp;DashStart,'Content Calendar'!$B$5:$B$604,"&lt;="&amp;DashEnd))</f>
        <v>0</v>
      </c>
      <c r="BW391" s="17">
        <f>IF(Team!$B$391="","",Team!$B$391)</f>
        <v>0</v>
      </c>
      <c r="BX391" s="23">
        <f>IF(BW391="","",COUNTIF('Content Calendar'!$W$5:$W$604,BW391))</f>
        <v>0</v>
      </c>
      <c r="BY391" s="23">
        <f>IF(BW391="","",COUNTIFS('Content Calendar'!$W$5:$W$604,BW391,'Content Calendar'!$X$5:$X$604,"&lt;&gt;Published"))</f>
        <v>0</v>
      </c>
      <c r="BZ391" s="23">
        <f>IF(BW391="","",COUNTIFS(Tasks!$C$5:$C$64,BW391,Tasks!$G$5:$G$64,"&lt;&gt;Complete"))</f>
        <v>0</v>
      </c>
      <c r="CA391" s="17">
        <f>IF(Campaigns!$B$391="","",Campaigns!$B$391)</f>
        <v>0</v>
      </c>
      <c r="CB391" s="25">
        <f>IF(Campaigns!$T$391="","",Campaigns!$T$391)</f>
        <v>0</v>
      </c>
      <c r="CC391" s="25">
        <f>IF(Campaigns!$Q$391="","",Campaigns!$Q$391)</f>
        <v>0</v>
      </c>
      <c r="CD391" s="23">
        <f>IF(Campaigns!$Y$391="","",Campaigns!$Y$391)</f>
        <v>0</v>
      </c>
      <c r="CE391" s="32">
        <f>IF(CA391="","",IF(N(CB391)&lt;=0,"",N(CB391)+ROW()/1000000))</f>
        <v>0</v>
      </c>
      <c r="CF391" s="17">
        <f>IF(Accounts!$C$391="","",Accounts!$C$391)</f>
        <v>0</v>
      </c>
      <c r="CG391" s="17">
        <f>IF(Accounts!$B$391="","",Accounts!$B$391)</f>
        <v>0</v>
      </c>
      <c r="CH391" s="23">
        <f>IF(Accounts!$J$391="","",Accounts!$J$391)</f>
        <v>0</v>
      </c>
      <c r="CI391" s="23">
        <f>IF(CF391="","",SUMIFS(Analytics!$X$5:$X$154,Analytics!$E$5:$E$154,CF391,Analytics!$B$5:$B$154,"&gt;="&amp;DashStart,Analytics!$B$5:$B$154,"&lt;="&amp;DashEnd))</f>
        <v>0</v>
      </c>
      <c r="CJ391" s="32">
        <f>IF(CH391="","",IF(CH391=0,"",CH391+ROW()/1000000))</f>
        <v>0</v>
      </c>
    </row>
    <row r="392" spans="1:88">
      <c r="A392" s="16">
        <f>IF(ROW()-4&gt;12,"",DATE(PlanYear,ROW()-4,1))</f>
        <v>0</v>
      </c>
      <c r="B392" s="16">
        <f>IF(A392="","",EOMONTH(A392,0))</f>
        <v>0</v>
      </c>
      <c r="C392" s="17">
        <f>IF(A392="","",TEXT(A392,"yyyy-mm"))</f>
        <v>0</v>
      </c>
      <c r="D392" s="17">
        <f>IF(A392="","",TEXT(A392,"mmm"))</f>
        <v>0</v>
      </c>
      <c r="E392" s="23">
        <f>IF(C392="","",COUNTIFS('Content Calendar'!$D$5:$D$604,C392))</f>
        <v>0</v>
      </c>
      <c r="F392" s="23">
        <f>IF(C392="","",COUNTIFS('Content Calendar'!$D$5:$D$604,C392,'Content Calendar'!$X$5:$X$604,"Published"))</f>
        <v>0</v>
      </c>
      <c r="G392" s="23">
        <f>IF(C392="","",SUMIFS(Analytics!$J$5:$J$154,Analytics!$C$5:$C$154,C392))</f>
        <v>0</v>
      </c>
      <c r="H392" s="23">
        <f>IF(C392="","",SUMIFS(Analytics!$K$5:$K$154,Analytics!$C$5:$C$154,C392))</f>
        <v>0</v>
      </c>
      <c r="I392" s="23">
        <f>IF(C392="","",SUMIFS(Analytics!$L$5:$L$154,Analytics!$C$5:$C$154,C392))</f>
        <v>0</v>
      </c>
      <c r="J392" s="24">
        <f>IF(OR(G392="",G392=0),"",I392/G392)</f>
        <v>0</v>
      </c>
      <c r="K392" s="23">
        <f>IF(C392="","",SUMIFS(Analytics!$G$5:$G$154,Analytics!$C$5:$C$154,C392))</f>
        <v>0</v>
      </c>
      <c r="L392" s="23">
        <f>IF(C392="","",SUMIFS(Analytics!$X$5:$X$154,Analytics!$C$5:$C$154,C392))</f>
        <v>0</v>
      </c>
      <c r="M392" s="23">
        <f>IF(C392="","",SUMIFS(Analytics!$R$5:$R$154,Analytics!$C$5:$C$154,C392))</f>
        <v>0</v>
      </c>
      <c r="N392" s="23">
        <f>IF(C392="","",SUMIFS(Analytics!$S$5:$S$154,Analytics!$C$5:$C$154,C392))</f>
        <v>0</v>
      </c>
      <c r="O392" s="23">
        <f>IF(C392="","",SUMIFS(Analytics!$T$5:$T$154,Analytics!$C$5:$C$154,C392))</f>
        <v>0</v>
      </c>
      <c r="P392" s="25">
        <f>IF(C392="","",SUMIFS(Analytics!$U$5:$U$154,Analytics!$C$5:$C$154,C392))</f>
        <v>0</v>
      </c>
      <c r="Q392" s="25">
        <f>IF(C392="","",SUMIFS(Budget!$H$5:$H$64,Budget!$C$5:$C$64,C392))</f>
        <v>0</v>
      </c>
      <c r="R392" s="25">
        <f>IF(C392="","",P392-Q392)</f>
        <v>0</v>
      </c>
      <c r="S392" s="23">
        <f>IF(C392="","",MonthlyPostTarget)</f>
        <v>0</v>
      </c>
      <c r="T392" s="17">
        <f>IF(Lists!$C392="","",Lists!$C392)</f>
        <v>0</v>
      </c>
      <c r="U392" s="23">
        <f>IF(T392="","",COUNTIFS('Content Calendar'!$G$5:$G$604,T392,'Content Calendar'!$B$5:$B$604,"&gt;="&amp;DashStart,'Content Calendar'!$B$5:$B$604,"&lt;="&amp;DashEnd))</f>
        <v>0</v>
      </c>
      <c r="V392" s="23">
        <f>IF(T392="","",COUNTIFS('Content Calendar'!$G$5:$G$604,T392,'Content Calendar'!$X$5:$X$604,"Published",'Content Calendar'!$B$5:$B$604,"&gt;="&amp;DashStart,'Content Calendar'!$B$5:$B$604,"&lt;="&amp;DashEnd))</f>
        <v>0</v>
      </c>
      <c r="W392" s="23">
        <f>IF(T392="","",SUMIFS(Analytics!$J$5:$J$154,Analytics!$D$5:$D$154,T392,Analytics!$B$5:$B$154,"&gt;="&amp;DashStart,Analytics!$B$5:$B$154,"&lt;="&amp;DashEnd))</f>
        <v>0</v>
      </c>
      <c r="X392" s="23">
        <f>IF(T392="","",SUMIFS(Analytics!$L$5:$L$154,Analytics!$D$5:$D$154,T392,Analytics!$B$5:$B$154,"&gt;="&amp;DashStart,Analytics!$B$5:$B$154,"&lt;="&amp;DashEnd))</f>
        <v>0</v>
      </c>
      <c r="Y392" s="24">
        <f>IF(OR(W392="",W392=0),"",X392/W392)</f>
        <v>0</v>
      </c>
      <c r="Z392" s="23">
        <f>IF(T392="","",SUMIFS(Analytics!$G$5:$G$154,Analytics!$D$5:$D$154,T392,Analytics!$B$5:$B$154,"&gt;="&amp;DashStart,Analytics!$B$5:$B$154,"&lt;="&amp;DashEnd))</f>
        <v>0</v>
      </c>
      <c r="AA392" s="23">
        <f>IF(T392="","",SUMIFS(Analytics!$X$5:$X$154,Analytics!$D$5:$D$154,T392,Analytics!$B$5:$B$154,"&gt;="&amp;DashStart,Analytics!$B$5:$B$154,"&lt;="&amp;DashEnd))</f>
        <v>0</v>
      </c>
      <c r="AB392" s="23">
        <f>IF(T392="","",SUMIFS(Analytics!$R$5:$R$154,Analytics!$D$5:$D$154,T392,Analytics!$B$5:$B$154,"&gt;="&amp;DashStart,Analytics!$B$5:$B$154,"&lt;="&amp;DashEnd))</f>
        <v>0</v>
      </c>
      <c r="AC392" s="25">
        <f>IF(T392="","",SUMIFS(Analytics!$U$5:$U$154,Analytics!$D$5:$D$154,T392,Analytics!$B$5:$B$154,"&gt;="&amp;DashStart,Analytics!$B$5:$B$154,"&lt;="&amp;DashEnd))</f>
        <v>0</v>
      </c>
      <c r="AD392" s="23">
        <f>IF(T392="","",COUNTIFS('Content Calendar'!$G$5:$G$604,T392,'Content Calendar'!$B$5:$B$604,"&gt;="&amp;DATE(PlanYear,1,1),'Content Calendar'!$B$5:$B$604,"&lt;="&amp;DATE(PlanYear,12,31)))</f>
        <v>0</v>
      </c>
      <c r="AE392" s="23">
        <f>IF(T392="","",SUMIFS(Analytics!$J$5:$J$154,Analytics!$D$5:$D$154,T392))</f>
        <v>0</v>
      </c>
      <c r="AF392" s="23">
        <f>IF(T392="","",SUMIFS(Analytics!$L$5:$L$154,Analytics!$D$5:$D$154,T392))</f>
        <v>0</v>
      </c>
      <c r="AG392" s="24">
        <f>IF(OR(AE392="",AE392=0),"",AF392/AE392)</f>
        <v>0</v>
      </c>
      <c r="AH392" s="23">
        <f>IF(T392="","",SUMIFS(Analytics!$X$5:$X$154,Analytics!$D$5:$D$154,T392))</f>
        <v>0</v>
      </c>
      <c r="AI392" s="32">
        <f>IF(T392="","",IF(AE392=0,"",AE392+ROW()/1000000))</f>
        <v>0</v>
      </c>
      <c r="AJ392" s="17">
        <f>IF('Content Pillars'!$B$392="","",'Content Pillars'!$B$392)</f>
        <v>0</v>
      </c>
      <c r="AK392" s="23">
        <f>IF(AJ392="","",COUNTIFS('Content Calendar'!$J$5:$J$604,AJ392,'Content Calendar'!$B$5:$B$604,"&gt;="&amp;DATE(PlanYear,1,1),'Content Calendar'!$B$5:$B$604,"&lt;="&amp;DATE(PlanYear,12,31)))</f>
        <v>0</v>
      </c>
      <c r="AL392" s="23">
        <f>IF(AJ392="","",SUMIFS(Performance!$O$5:$O$404,Performance!$H$5:$H$404,AJ392))</f>
        <v>0</v>
      </c>
      <c r="AM392" s="23">
        <f>IF(AJ392="","",SUMIFS(Performance!$Z$5:$Z$404,Performance!$H$5:$H$404,AJ392))</f>
        <v>0</v>
      </c>
      <c r="AN392" s="24">
        <f>IF(OR(AL392="",AL392=0),"",AM392/AL392)</f>
        <v>0</v>
      </c>
      <c r="AO392" s="32">
        <f>IF(AN392="","",AN392+ROW()/1000000)</f>
        <v>0</v>
      </c>
      <c r="AP392" s="17">
        <f>IF(Lists!$E392="","",Lists!$E392)</f>
        <v>0</v>
      </c>
      <c r="AQ392" s="23">
        <f>IF(AP392="","",COUNTIF(Performance!$G$5:$G$404,AP392))</f>
        <v>0</v>
      </c>
      <c r="AR392" s="23">
        <f>IF(AP392="","",SUMIFS(Performance!$O$5:$O$404,Performance!$G$5:$G$404,AP392))</f>
        <v>0</v>
      </c>
      <c r="AS392" s="23">
        <f>IF(AP392="","",SUMIFS(Performance!$Z$5:$Z$404,Performance!$G$5:$G$404,AP392))</f>
        <v>0</v>
      </c>
      <c r="AT392" s="24">
        <f>IF(OR(AR392="",AR392=0),"",AS392/AR392)</f>
        <v>0</v>
      </c>
      <c r="AU392" s="32">
        <f>IF(AQ392=0,"",IF(AT392="","",AT392+ROW()/1000000))</f>
        <v>0</v>
      </c>
      <c r="AV392" s="17">
        <f>IF(ROW()-4&gt;7,"",TEXT(DATE(2024,1,ROW()-4),"ddd"))</f>
        <v>0</v>
      </c>
      <c r="AW392" s="23">
        <f>IF(AV392="","",COUNTIF(Performance!$N$5:$N$404,AV392))</f>
        <v>0</v>
      </c>
      <c r="AX392" s="23">
        <f>IF(AV392="","",SUMIFS(Performance!$O$5:$O$404,Performance!$N$5:$N$404,AV392))</f>
        <v>0</v>
      </c>
      <c r="AY392" s="23">
        <f>IF(AV392="","",SUMIFS(Performance!$Z$5:$Z$404,Performance!$N$5:$N$404,AV392))</f>
        <v>0</v>
      </c>
      <c r="AZ392" s="24">
        <f>IF(OR(AX392="",AX392=0),"",AY392/AX392)</f>
        <v>0</v>
      </c>
      <c r="BA392" s="32">
        <f>IF(AW392=0,"",IF(AZ392="","",AZ392+ROW()/1000000))</f>
        <v>0</v>
      </c>
      <c r="BB392" s="17">
        <f>IF(Lists!$AL392="","",Lists!$AL392)</f>
        <v>0</v>
      </c>
      <c r="BC392" s="23">
        <f>IF(BB392="","",COUNTIF(Performance!$M$5:$M$404,BB392))</f>
        <v>0</v>
      </c>
      <c r="BD392" s="23">
        <f>IF(BB392="","",SUMIFS(Performance!$O$5:$O$404,Performance!$M$5:$M$404,BB392))</f>
        <v>0</v>
      </c>
      <c r="BE392" s="23">
        <f>IF(BB392="","",SUMIFS(Performance!$Z$5:$Z$404,Performance!$M$5:$M$404,BB392))</f>
        <v>0</v>
      </c>
      <c r="BF392" s="24">
        <f>IF(OR(BD392="",BD392=0),"",BE392/BD392)</f>
        <v>0</v>
      </c>
      <c r="BG392" s="32">
        <f>IF(BC392=0,"",IF(BF392="","",BF392+ROW()/1000000))</f>
        <v>0</v>
      </c>
      <c r="BH392" s="17">
        <f>IF(Performance!$C$392="","",Performance!$C$392)</f>
        <v>0</v>
      </c>
      <c r="BI392" s="17">
        <f>IF(Performance!$F$392="","",Performance!$F$392)</f>
        <v>0</v>
      </c>
      <c r="BJ392" s="17">
        <f>IF(Performance!$H$392="","",Performance!$H$392)</f>
        <v>0</v>
      </c>
      <c r="BK392" s="16">
        <f>IF(Performance!$D$392="","",Performance!$D$392)</f>
        <v>0</v>
      </c>
      <c r="BL392" s="17">
        <f>IF(Performance!$E$392="","",Performance!$E$392)</f>
        <v>0</v>
      </c>
      <c r="BM392" s="23">
        <f>IF(Performance!$O$392="","",Performance!$O$392)</f>
        <v>0</v>
      </c>
      <c r="BN392" s="24">
        <f>IF(Performance!$AA$392="","",Performance!$AA$392)</f>
        <v>0</v>
      </c>
      <c r="BO392" s="32">
        <f>IF(BH392="","",IF(BK392="","",IF(OR(BK392&lt;DashStart,BK392&gt;DashEnd),"",IF(BN392="","",BN392+ROW()/1000000))))</f>
        <v>0</v>
      </c>
      <c r="BP392" s="32">
        <f>IF(BM392="","",IF(BK392="","",IF(OR(BK392&lt;DashStart,BK392&gt;DashEnd),"",BM392+ROW()/1000000)))</f>
        <v>0</v>
      </c>
      <c r="BQ392" s="32">
        <f>IF(BH392="","",IF(BK392="","",IF(YEAR(BK392)&lt;&gt;PlanYear,"",IF(BN392="","",BN392+ROW()/1000000))))</f>
        <v>0</v>
      </c>
      <c r="BR392" s="32">
        <f>IF(BH392="","",IF(BK392="","",IF(OR(BK392&lt;RepFrom,BK392&gt;RepTo),"",IF(BN392="","",BN392+ROW()/1000000))))</f>
        <v>0</v>
      </c>
      <c r="BS392" s="32">
        <f>IF(BM392="","",IF(BK392="","",IF(YEAR(BK392)&lt;&gt;PlanYear,"",BM392+ROW()/1000000)))</f>
        <v>0</v>
      </c>
      <c r="BT392" s="17">
        <f>IF(Lists!$F392="","",Lists!$F392)</f>
        <v>0</v>
      </c>
      <c r="BU392" s="23">
        <f>IF(BT392="","",COUNTIF('Content Calendar'!$X$5:$X$604,BT392))</f>
        <v>0</v>
      </c>
      <c r="BV392" s="23">
        <f>IF(BT392="","",COUNTIFS('Content Calendar'!$X$5:$X$604,BT392,'Content Calendar'!$B$5:$B$604,"&gt;="&amp;DashStart,'Content Calendar'!$B$5:$B$604,"&lt;="&amp;DashEnd))</f>
        <v>0</v>
      </c>
      <c r="BW392" s="17">
        <f>IF(Team!$B$392="","",Team!$B$392)</f>
        <v>0</v>
      </c>
      <c r="BX392" s="23">
        <f>IF(BW392="","",COUNTIF('Content Calendar'!$W$5:$W$604,BW392))</f>
        <v>0</v>
      </c>
      <c r="BY392" s="23">
        <f>IF(BW392="","",COUNTIFS('Content Calendar'!$W$5:$W$604,BW392,'Content Calendar'!$X$5:$X$604,"&lt;&gt;Published"))</f>
        <v>0</v>
      </c>
      <c r="BZ392" s="23">
        <f>IF(BW392="","",COUNTIFS(Tasks!$C$5:$C$64,BW392,Tasks!$G$5:$G$64,"&lt;&gt;Complete"))</f>
        <v>0</v>
      </c>
      <c r="CA392" s="17">
        <f>IF(Campaigns!$B$392="","",Campaigns!$B$392)</f>
        <v>0</v>
      </c>
      <c r="CB392" s="25">
        <f>IF(Campaigns!$T$392="","",Campaigns!$T$392)</f>
        <v>0</v>
      </c>
      <c r="CC392" s="25">
        <f>IF(Campaigns!$Q$392="","",Campaigns!$Q$392)</f>
        <v>0</v>
      </c>
      <c r="CD392" s="23">
        <f>IF(Campaigns!$Y$392="","",Campaigns!$Y$392)</f>
        <v>0</v>
      </c>
      <c r="CE392" s="32">
        <f>IF(CA392="","",IF(N(CB392)&lt;=0,"",N(CB392)+ROW()/1000000))</f>
        <v>0</v>
      </c>
      <c r="CF392" s="17">
        <f>IF(Accounts!$C$392="","",Accounts!$C$392)</f>
        <v>0</v>
      </c>
      <c r="CG392" s="17">
        <f>IF(Accounts!$B$392="","",Accounts!$B$392)</f>
        <v>0</v>
      </c>
      <c r="CH392" s="23">
        <f>IF(Accounts!$J$392="","",Accounts!$J$392)</f>
        <v>0</v>
      </c>
      <c r="CI392" s="23">
        <f>IF(CF392="","",SUMIFS(Analytics!$X$5:$X$154,Analytics!$E$5:$E$154,CF392,Analytics!$B$5:$B$154,"&gt;="&amp;DashStart,Analytics!$B$5:$B$154,"&lt;="&amp;DashEnd))</f>
        <v>0</v>
      </c>
      <c r="CJ392" s="32">
        <f>IF(CH392="","",IF(CH392=0,"",CH392+ROW()/1000000))</f>
        <v>0</v>
      </c>
    </row>
    <row r="393" spans="1:88">
      <c r="A393" s="16">
        <f>IF(ROW()-4&gt;12,"",DATE(PlanYear,ROW()-4,1))</f>
        <v>0</v>
      </c>
      <c r="B393" s="16">
        <f>IF(A393="","",EOMONTH(A393,0))</f>
        <v>0</v>
      </c>
      <c r="C393" s="17">
        <f>IF(A393="","",TEXT(A393,"yyyy-mm"))</f>
        <v>0</v>
      </c>
      <c r="D393" s="17">
        <f>IF(A393="","",TEXT(A393,"mmm"))</f>
        <v>0</v>
      </c>
      <c r="E393" s="23">
        <f>IF(C393="","",COUNTIFS('Content Calendar'!$D$5:$D$604,C393))</f>
        <v>0</v>
      </c>
      <c r="F393" s="23">
        <f>IF(C393="","",COUNTIFS('Content Calendar'!$D$5:$D$604,C393,'Content Calendar'!$X$5:$X$604,"Published"))</f>
        <v>0</v>
      </c>
      <c r="G393" s="23">
        <f>IF(C393="","",SUMIFS(Analytics!$J$5:$J$154,Analytics!$C$5:$C$154,C393))</f>
        <v>0</v>
      </c>
      <c r="H393" s="23">
        <f>IF(C393="","",SUMIFS(Analytics!$K$5:$K$154,Analytics!$C$5:$C$154,C393))</f>
        <v>0</v>
      </c>
      <c r="I393" s="23">
        <f>IF(C393="","",SUMIFS(Analytics!$L$5:$L$154,Analytics!$C$5:$C$154,C393))</f>
        <v>0</v>
      </c>
      <c r="J393" s="24">
        <f>IF(OR(G393="",G393=0),"",I393/G393)</f>
        <v>0</v>
      </c>
      <c r="K393" s="23">
        <f>IF(C393="","",SUMIFS(Analytics!$G$5:$G$154,Analytics!$C$5:$C$154,C393))</f>
        <v>0</v>
      </c>
      <c r="L393" s="23">
        <f>IF(C393="","",SUMIFS(Analytics!$X$5:$X$154,Analytics!$C$5:$C$154,C393))</f>
        <v>0</v>
      </c>
      <c r="M393" s="23">
        <f>IF(C393="","",SUMIFS(Analytics!$R$5:$R$154,Analytics!$C$5:$C$154,C393))</f>
        <v>0</v>
      </c>
      <c r="N393" s="23">
        <f>IF(C393="","",SUMIFS(Analytics!$S$5:$S$154,Analytics!$C$5:$C$154,C393))</f>
        <v>0</v>
      </c>
      <c r="O393" s="23">
        <f>IF(C393="","",SUMIFS(Analytics!$T$5:$T$154,Analytics!$C$5:$C$154,C393))</f>
        <v>0</v>
      </c>
      <c r="P393" s="25">
        <f>IF(C393="","",SUMIFS(Analytics!$U$5:$U$154,Analytics!$C$5:$C$154,C393))</f>
        <v>0</v>
      </c>
      <c r="Q393" s="25">
        <f>IF(C393="","",SUMIFS(Budget!$H$5:$H$64,Budget!$C$5:$C$64,C393))</f>
        <v>0</v>
      </c>
      <c r="R393" s="25">
        <f>IF(C393="","",P393-Q393)</f>
        <v>0</v>
      </c>
      <c r="S393" s="23">
        <f>IF(C393="","",MonthlyPostTarget)</f>
        <v>0</v>
      </c>
      <c r="T393" s="17">
        <f>IF(Lists!$C393="","",Lists!$C393)</f>
        <v>0</v>
      </c>
      <c r="U393" s="23">
        <f>IF(T393="","",COUNTIFS('Content Calendar'!$G$5:$G$604,T393,'Content Calendar'!$B$5:$B$604,"&gt;="&amp;DashStart,'Content Calendar'!$B$5:$B$604,"&lt;="&amp;DashEnd))</f>
        <v>0</v>
      </c>
      <c r="V393" s="23">
        <f>IF(T393="","",COUNTIFS('Content Calendar'!$G$5:$G$604,T393,'Content Calendar'!$X$5:$X$604,"Published",'Content Calendar'!$B$5:$B$604,"&gt;="&amp;DashStart,'Content Calendar'!$B$5:$B$604,"&lt;="&amp;DashEnd))</f>
        <v>0</v>
      </c>
      <c r="W393" s="23">
        <f>IF(T393="","",SUMIFS(Analytics!$J$5:$J$154,Analytics!$D$5:$D$154,T393,Analytics!$B$5:$B$154,"&gt;="&amp;DashStart,Analytics!$B$5:$B$154,"&lt;="&amp;DashEnd))</f>
        <v>0</v>
      </c>
      <c r="X393" s="23">
        <f>IF(T393="","",SUMIFS(Analytics!$L$5:$L$154,Analytics!$D$5:$D$154,T393,Analytics!$B$5:$B$154,"&gt;="&amp;DashStart,Analytics!$B$5:$B$154,"&lt;="&amp;DashEnd))</f>
        <v>0</v>
      </c>
      <c r="Y393" s="24">
        <f>IF(OR(W393="",W393=0),"",X393/W393)</f>
        <v>0</v>
      </c>
      <c r="Z393" s="23">
        <f>IF(T393="","",SUMIFS(Analytics!$G$5:$G$154,Analytics!$D$5:$D$154,T393,Analytics!$B$5:$B$154,"&gt;="&amp;DashStart,Analytics!$B$5:$B$154,"&lt;="&amp;DashEnd))</f>
        <v>0</v>
      </c>
      <c r="AA393" s="23">
        <f>IF(T393="","",SUMIFS(Analytics!$X$5:$X$154,Analytics!$D$5:$D$154,T393,Analytics!$B$5:$B$154,"&gt;="&amp;DashStart,Analytics!$B$5:$B$154,"&lt;="&amp;DashEnd))</f>
        <v>0</v>
      </c>
      <c r="AB393" s="23">
        <f>IF(T393="","",SUMIFS(Analytics!$R$5:$R$154,Analytics!$D$5:$D$154,T393,Analytics!$B$5:$B$154,"&gt;="&amp;DashStart,Analytics!$B$5:$B$154,"&lt;="&amp;DashEnd))</f>
        <v>0</v>
      </c>
      <c r="AC393" s="25">
        <f>IF(T393="","",SUMIFS(Analytics!$U$5:$U$154,Analytics!$D$5:$D$154,T393,Analytics!$B$5:$B$154,"&gt;="&amp;DashStart,Analytics!$B$5:$B$154,"&lt;="&amp;DashEnd))</f>
        <v>0</v>
      </c>
      <c r="AD393" s="23">
        <f>IF(T393="","",COUNTIFS('Content Calendar'!$G$5:$G$604,T393,'Content Calendar'!$B$5:$B$604,"&gt;="&amp;DATE(PlanYear,1,1),'Content Calendar'!$B$5:$B$604,"&lt;="&amp;DATE(PlanYear,12,31)))</f>
        <v>0</v>
      </c>
      <c r="AE393" s="23">
        <f>IF(T393="","",SUMIFS(Analytics!$J$5:$J$154,Analytics!$D$5:$D$154,T393))</f>
        <v>0</v>
      </c>
      <c r="AF393" s="23">
        <f>IF(T393="","",SUMIFS(Analytics!$L$5:$L$154,Analytics!$D$5:$D$154,T393))</f>
        <v>0</v>
      </c>
      <c r="AG393" s="24">
        <f>IF(OR(AE393="",AE393=0),"",AF393/AE393)</f>
        <v>0</v>
      </c>
      <c r="AH393" s="23">
        <f>IF(T393="","",SUMIFS(Analytics!$X$5:$X$154,Analytics!$D$5:$D$154,T393))</f>
        <v>0</v>
      </c>
      <c r="AI393" s="32">
        <f>IF(T393="","",IF(AE393=0,"",AE393+ROW()/1000000))</f>
        <v>0</v>
      </c>
      <c r="AJ393" s="17">
        <f>IF('Content Pillars'!$B$393="","",'Content Pillars'!$B$393)</f>
        <v>0</v>
      </c>
      <c r="AK393" s="23">
        <f>IF(AJ393="","",COUNTIFS('Content Calendar'!$J$5:$J$604,AJ393,'Content Calendar'!$B$5:$B$604,"&gt;="&amp;DATE(PlanYear,1,1),'Content Calendar'!$B$5:$B$604,"&lt;="&amp;DATE(PlanYear,12,31)))</f>
        <v>0</v>
      </c>
      <c r="AL393" s="23">
        <f>IF(AJ393="","",SUMIFS(Performance!$O$5:$O$404,Performance!$H$5:$H$404,AJ393))</f>
        <v>0</v>
      </c>
      <c r="AM393" s="23">
        <f>IF(AJ393="","",SUMIFS(Performance!$Z$5:$Z$404,Performance!$H$5:$H$404,AJ393))</f>
        <v>0</v>
      </c>
      <c r="AN393" s="24">
        <f>IF(OR(AL393="",AL393=0),"",AM393/AL393)</f>
        <v>0</v>
      </c>
      <c r="AO393" s="32">
        <f>IF(AN393="","",AN393+ROW()/1000000)</f>
        <v>0</v>
      </c>
      <c r="AP393" s="17">
        <f>IF(Lists!$E393="","",Lists!$E393)</f>
        <v>0</v>
      </c>
      <c r="AQ393" s="23">
        <f>IF(AP393="","",COUNTIF(Performance!$G$5:$G$404,AP393))</f>
        <v>0</v>
      </c>
      <c r="AR393" s="23">
        <f>IF(AP393="","",SUMIFS(Performance!$O$5:$O$404,Performance!$G$5:$G$404,AP393))</f>
        <v>0</v>
      </c>
      <c r="AS393" s="23">
        <f>IF(AP393="","",SUMIFS(Performance!$Z$5:$Z$404,Performance!$G$5:$G$404,AP393))</f>
        <v>0</v>
      </c>
      <c r="AT393" s="24">
        <f>IF(OR(AR393="",AR393=0),"",AS393/AR393)</f>
        <v>0</v>
      </c>
      <c r="AU393" s="32">
        <f>IF(AQ393=0,"",IF(AT393="","",AT393+ROW()/1000000))</f>
        <v>0</v>
      </c>
      <c r="AV393" s="17">
        <f>IF(ROW()-4&gt;7,"",TEXT(DATE(2024,1,ROW()-4),"ddd"))</f>
        <v>0</v>
      </c>
      <c r="AW393" s="23">
        <f>IF(AV393="","",COUNTIF(Performance!$N$5:$N$404,AV393))</f>
        <v>0</v>
      </c>
      <c r="AX393" s="23">
        <f>IF(AV393="","",SUMIFS(Performance!$O$5:$O$404,Performance!$N$5:$N$404,AV393))</f>
        <v>0</v>
      </c>
      <c r="AY393" s="23">
        <f>IF(AV393="","",SUMIFS(Performance!$Z$5:$Z$404,Performance!$N$5:$N$404,AV393))</f>
        <v>0</v>
      </c>
      <c r="AZ393" s="24">
        <f>IF(OR(AX393="",AX393=0),"",AY393/AX393)</f>
        <v>0</v>
      </c>
      <c r="BA393" s="32">
        <f>IF(AW393=0,"",IF(AZ393="","",AZ393+ROW()/1000000))</f>
        <v>0</v>
      </c>
      <c r="BB393" s="17">
        <f>IF(Lists!$AL393="","",Lists!$AL393)</f>
        <v>0</v>
      </c>
      <c r="BC393" s="23">
        <f>IF(BB393="","",COUNTIF(Performance!$M$5:$M$404,BB393))</f>
        <v>0</v>
      </c>
      <c r="BD393" s="23">
        <f>IF(BB393="","",SUMIFS(Performance!$O$5:$O$404,Performance!$M$5:$M$404,BB393))</f>
        <v>0</v>
      </c>
      <c r="BE393" s="23">
        <f>IF(BB393="","",SUMIFS(Performance!$Z$5:$Z$404,Performance!$M$5:$M$404,BB393))</f>
        <v>0</v>
      </c>
      <c r="BF393" s="24">
        <f>IF(OR(BD393="",BD393=0),"",BE393/BD393)</f>
        <v>0</v>
      </c>
      <c r="BG393" s="32">
        <f>IF(BC393=0,"",IF(BF393="","",BF393+ROW()/1000000))</f>
        <v>0</v>
      </c>
      <c r="BH393" s="17">
        <f>IF(Performance!$C$393="","",Performance!$C$393)</f>
        <v>0</v>
      </c>
      <c r="BI393" s="17">
        <f>IF(Performance!$F$393="","",Performance!$F$393)</f>
        <v>0</v>
      </c>
      <c r="BJ393" s="17">
        <f>IF(Performance!$H$393="","",Performance!$H$393)</f>
        <v>0</v>
      </c>
      <c r="BK393" s="16">
        <f>IF(Performance!$D$393="","",Performance!$D$393)</f>
        <v>0</v>
      </c>
      <c r="BL393" s="17">
        <f>IF(Performance!$E$393="","",Performance!$E$393)</f>
        <v>0</v>
      </c>
      <c r="BM393" s="23">
        <f>IF(Performance!$O$393="","",Performance!$O$393)</f>
        <v>0</v>
      </c>
      <c r="BN393" s="24">
        <f>IF(Performance!$AA$393="","",Performance!$AA$393)</f>
        <v>0</v>
      </c>
      <c r="BO393" s="32">
        <f>IF(BH393="","",IF(BK393="","",IF(OR(BK393&lt;DashStart,BK393&gt;DashEnd),"",IF(BN393="","",BN393+ROW()/1000000))))</f>
        <v>0</v>
      </c>
      <c r="BP393" s="32">
        <f>IF(BM393="","",IF(BK393="","",IF(OR(BK393&lt;DashStart,BK393&gt;DashEnd),"",BM393+ROW()/1000000)))</f>
        <v>0</v>
      </c>
      <c r="BQ393" s="32">
        <f>IF(BH393="","",IF(BK393="","",IF(YEAR(BK393)&lt;&gt;PlanYear,"",IF(BN393="","",BN393+ROW()/1000000))))</f>
        <v>0</v>
      </c>
      <c r="BR393" s="32">
        <f>IF(BH393="","",IF(BK393="","",IF(OR(BK393&lt;RepFrom,BK393&gt;RepTo),"",IF(BN393="","",BN393+ROW()/1000000))))</f>
        <v>0</v>
      </c>
      <c r="BS393" s="32">
        <f>IF(BM393="","",IF(BK393="","",IF(YEAR(BK393)&lt;&gt;PlanYear,"",BM393+ROW()/1000000)))</f>
        <v>0</v>
      </c>
      <c r="BT393" s="17">
        <f>IF(Lists!$F393="","",Lists!$F393)</f>
        <v>0</v>
      </c>
      <c r="BU393" s="23">
        <f>IF(BT393="","",COUNTIF('Content Calendar'!$X$5:$X$604,BT393))</f>
        <v>0</v>
      </c>
      <c r="BV393" s="23">
        <f>IF(BT393="","",COUNTIFS('Content Calendar'!$X$5:$X$604,BT393,'Content Calendar'!$B$5:$B$604,"&gt;="&amp;DashStart,'Content Calendar'!$B$5:$B$604,"&lt;="&amp;DashEnd))</f>
        <v>0</v>
      </c>
      <c r="BW393" s="17">
        <f>IF(Team!$B$393="","",Team!$B$393)</f>
        <v>0</v>
      </c>
      <c r="BX393" s="23">
        <f>IF(BW393="","",COUNTIF('Content Calendar'!$W$5:$W$604,BW393))</f>
        <v>0</v>
      </c>
      <c r="BY393" s="23">
        <f>IF(BW393="","",COUNTIFS('Content Calendar'!$W$5:$W$604,BW393,'Content Calendar'!$X$5:$X$604,"&lt;&gt;Published"))</f>
        <v>0</v>
      </c>
      <c r="BZ393" s="23">
        <f>IF(BW393="","",COUNTIFS(Tasks!$C$5:$C$64,BW393,Tasks!$G$5:$G$64,"&lt;&gt;Complete"))</f>
        <v>0</v>
      </c>
      <c r="CA393" s="17">
        <f>IF(Campaigns!$B$393="","",Campaigns!$B$393)</f>
        <v>0</v>
      </c>
      <c r="CB393" s="25">
        <f>IF(Campaigns!$T$393="","",Campaigns!$T$393)</f>
        <v>0</v>
      </c>
      <c r="CC393" s="25">
        <f>IF(Campaigns!$Q$393="","",Campaigns!$Q$393)</f>
        <v>0</v>
      </c>
      <c r="CD393" s="23">
        <f>IF(Campaigns!$Y$393="","",Campaigns!$Y$393)</f>
        <v>0</v>
      </c>
      <c r="CE393" s="32">
        <f>IF(CA393="","",IF(N(CB393)&lt;=0,"",N(CB393)+ROW()/1000000))</f>
        <v>0</v>
      </c>
      <c r="CF393" s="17">
        <f>IF(Accounts!$C$393="","",Accounts!$C$393)</f>
        <v>0</v>
      </c>
      <c r="CG393" s="17">
        <f>IF(Accounts!$B$393="","",Accounts!$B$393)</f>
        <v>0</v>
      </c>
      <c r="CH393" s="23">
        <f>IF(Accounts!$J$393="","",Accounts!$J$393)</f>
        <v>0</v>
      </c>
      <c r="CI393" s="23">
        <f>IF(CF393="","",SUMIFS(Analytics!$X$5:$X$154,Analytics!$E$5:$E$154,CF393,Analytics!$B$5:$B$154,"&gt;="&amp;DashStart,Analytics!$B$5:$B$154,"&lt;="&amp;DashEnd))</f>
        <v>0</v>
      </c>
      <c r="CJ393" s="32">
        <f>IF(CH393="","",IF(CH393=0,"",CH393+ROW()/1000000))</f>
        <v>0</v>
      </c>
    </row>
    <row r="394" spans="1:88">
      <c r="A394" s="16">
        <f>IF(ROW()-4&gt;12,"",DATE(PlanYear,ROW()-4,1))</f>
        <v>0</v>
      </c>
      <c r="B394" s="16">
        <f>IF(A394="","",EOMONTH(A394,0))</f>
        <v>0</v>
      </c>
      <c r="C394" s="17">
        <f>IF(A394="","",TEXT(A394,"yyyy-mm"))</f>
        <v>0</v>
      </c>
      <c r="D394" s="17">
        <f>IF(A394="","",TEXT(A394,"mmm"))</f>
        <v>0</v>
      </c>
      <c r="E394" s="23">
        <f>IF(C394="","",COUNTIFS('Content Calendar'!$D$5:$D$604,C394))</f>
        <v>0</v>
      </c>
      <c r="F394" s="23">
        <f>IF(C394="","",COUNTIFS('Content Calendar'!$D$5:$D$604,C394,'Content Calendar'!$X$5:$X$604,"Published"))</f>
        <v>0</v>
      </c>
      <c r="G394" s="23">
        <f>IF(C394="","",SUMIFS(Analytics!$J$5:$J$154,Analytics!$C$5:$C$154,C394))</f>
        <v>0</v>
      </c>
      <c r="H394" s="23">
        <f>IF(C394="","",SUMIFS(Analytics!$K$5:$K$154,Analytics!$C$5:$C$154,C394))</f>
        <v>0</v>
      </c>
      <c r="I394" s="23">
        <f>IF(C394="","",SUMIFS(Analytics!$L$5:$L$154,Analytics!$C$5:$C$154,C394))</f>
        <v>0</v>
      </c>
      <c r="J394" s="24">
        <f>IF(OR(G394="",G394=0),"",I394/G394)</f>
        <v>0</v>
      </c>
      <c r="K394" s="23">
        <f>IF(C394="","",SUMIFS(Analytics!$G$5:$G$154,Analytics!$C$5:$C$154,C394))</f>
        <v>0</v>
      </c>
      <c r="L394" s="23">
        <f>IF(C394="","",SUMIFS(Analytics!$X$5:$X$154,Analytics!$C$5:$C$154,C394))</f>
        <v>0</v>
      </c>
      <c r="M394" s="23">
        <f>IF(C394="","",SUMIFS(Analytics!$R$5:$R$154,Analytics!$C$5:$C$154,C394))</f>
        <v>0</v>
      </c>
      <c r="N394" s="23">
        <f>IF(C394="","",SUMIFS(Analytics!$S$5:$S$154,Analytics!$C$5:$C$154,C394))</f>
        <v>0</v>
      </c>
      <c r="O394" s="23">
        <f>IF(C394="","",SUMIFS(Analytics!$T$5:$T$154,Analytics!$C$5:$C$154,C394))</f>
        <v>0</v>
      </c>
      <c r="P394" s="25">
        <f>IF(C394="","",SUMIFS(Analytics!$U$5:$U$154,Analytics!$C$5:$C$154,C394))</f>
        <v>0</v>
      </c>
      <c r="Q394" s="25">
        <f>IF(C394="","",SUMIFS(Budget!$H$5:$H$64,Budget!$C$5:$C$64,C394))</f>
        <v>0</v>
      </c>
      <c r="R394" s="25">
        <f>IF(C394="","",P394-Q394)</f>
        <v>0</v>
      </c>
      <c r="S394" s="23">
        <f>IF(C394="","",MonthlyPostTarget)</f>
        <v>0</v>
      </c>
      <c r="T394" s="17">
        <f>IF(Lists!$C394="","",Lists!$C394)</f>
        <v>0</v>
      </c>
      <c r="U394" s="23">
        <f>IF(T394="","",COUNTIFS('Content Calendar'!$G$5:$G$604,T394,'Content Calendar'!$B$5:$B$604,"&gt;="&amp;DashStart,'Content Calendar'!$B$5:$B$604,"&lt;="&amp;DashEnd))</f>
        <v>0</v>
      </c>
      <c r="V394" s="23">
        <f>IF(T394="","",COUNTIFS('Content Calendar'!$G$5:$G$604,T394,'Content Calendar'!$X$5:$X$604,"Published",'Content Calendar'!$B$5:$B$604,"&gt;="&amp;DashStart,'Content Calendar'!$B$5:$B$604,"&lt;="&amp;DashEnd))</f>
        <v>0</v>
      </c>
      <c r="W394" s="23">
        <f>IF(T394="","",SUMIFS(Analytics!$J$5:$J$154,Analytics!$D$5:$D$154,T394,Analytics!$B$5:$B$154,"&gt;="&amp;DashStart,Analytics!$B$5:$B$154,"&lt;="&amp;DashEnd))</f>
        <v>0</v>
      </c>
      <c r="X394" s="23">
        <f>IF(T394="","",SUMIFS(Analytics!$L$5:$L$154,Analytics!$D$5:$D$154,T394,Analytics!$B$5:$B$154,"&gt;="&amp;DashStart,Analytics!$B$5:$B$154,"&lt;="&amp;DashEnd))</f>
        <v>0</v>
      </c>
      <c r="Y394" s="24">
        <f>IF(OR(W394="",W394=0),"",X394/W394)</f>
        <v>0</v>
      </c>
      <c r="Z394" s="23">
        <f>IF(T394="","",SUMIFS(Analytics!$G$5:$G$154,Analytics!$D$5:$D$154,T394,Analytics!$B$5:$B$154,"&gt;="&amp;DashStart,Analytics!$B$5:$B$154,"&lt;="&amp;DashEnd))</f>
        <v>0</v>
      </c>
      <c r="AA394" s="23">
        <f>IF(T394="","",SUMIFS(Analytics!$X$5:$X$154,Analytics!$D$5:$D$154,T394,Analytics!$B$5:$B$154,"&gt;="&amp;DashStart,Analytics!$B$5:$B$154,"&lt;="&amp;DashEnd))</f>
        <v>0</v>
      </c>
      <c r="AB394" s="23">
        <f>IF(T394="","",SUMIFS(Analytics!$R$5:$R$154,Analytics!$D$5:$D$154,T394,Analytics!$B$5:$B$154,"&gt;="&amp;DashStart,Analytics!$B$5:$B$154,"&lt;="&amp;DashEnd))</f>
        <v>0</v>
      </c>
      <c r="AC394" s="25">
        <f>IF(T394="","",SUMIFS(Analytics!$U$5:$U$154,Analytics!$D$5:$D$154,T394,Analytics!$B$5:$B$154,"&gt;="&amp;DashStart,Analytics!$B$5:$B$154,"&lt;="&amp;DashEnd))</f>
        <v>0</v>
      </c>
      <c r="AD394" s="23">
        <f>IF(T394="","",COUNTIFS('Content Calendar'!$G$5:$G$604,T394,'Content Calendar'!$B$5:$B$604,"&gt;="&amp;DATE(PlanYear,1,1),'Content Calendar'!$B$5:$B$604,"&lt;="&amp;DATE(PlanYear,12,31)))</f>
        <v>0</v>
      </c>
      <c r="AE394" s="23">
        <f>IF(T394="","",SUMIFS(Analytics!$J$5:$J$154,Analytics!$D$5:$D$154,T394))</f>
        <v>0</v>
      </c>
      <c r="AF394" s="23">
        <f>IF(T394="","",SUMIFS(Analytics!$L$5:$L$154,Analytics!$D$5:$D$154,T394))</f>
        <v>0</v>
      </c>
      <c r="AG394" s="24">
        <f>IF(OR(AE394="",AE394=0),"",AF394/AE394)</f>
        <v>0</v>
      </c>
      <c r="AH394" s="23">
        <f>IF(T394="","",SUMIFS(Analytics!$X$5:$X$154,Analytics!$D$5:$D$154,T394))</f>
        <v>0</v>
      </c>
      <c r="AI394" s="32">
        <f>IF(T394="","",IF(AE394=0,"",AE394+ROW()/1000000))</f>
        <v>0</v>
      </c>
      <c r="AJ394" s="17">
        <f>IF('Content Pillars'!$B$394="","",'Content Pillars'!$B$394)</f>
        <v>0</v>
      </c>
      <c r="AK394" s="23">
        <f>IF(AJ394="","",COUNTIFS('Content Calendar'!$J$5:$J$604,AJ394,'Content Calendar'!$B$5:$B$604,"&gt;="&amp;DATE(PlanYear,1,1),'Content Calendar'!$B$5:$B$604,"&lt;="&amp;DATE(PlanYear,12,31)))</f>
        <v>0</v>
      </c>
      <c r="AL394" s="23">
        <f>IF(AJ394="","",SUMIFS(Performance!$O$5:$O$404,Performance!$H$5:$H$404,AJ394))</f>
        <v>0</v>
      </c>
      <c r="AM394" s="23">
        <f>IF(AJ394="","",SUMIFS(Performance!$Z$5:$Z$404,Performance!$H$5:$H$404,AJ394))</f>
        <v>0</v>
      </c>
      <c r="AN394" s="24">
        <f>IF(OR(AL394="",AL394=0),"",AM394/AL394)</f>
        <v>0</v>
      </c>
      <c r="AO394" s="32">
        <f>IF(AN394="","",AN394+ROW()/1000000)</f>
        <v>0</v>
      </c>
      <c r="AP394" s="17">
        <f>IF(Lists!$E394="","",Lists!$E394)</f>
        <v>0</v>
      </c>
      <c r="AQ394" s="23">
        <f>IF(AP394="","",COUNTIF(Performance!$G$5:$G$404,AP394))</f>
        <v>0</v>
      </c>
      <c r="AR394" s="23">
        <f>IF(AP394="","",SUMIFS(Performance!$O$5:$O$404,Performance!$G$5:$G$404,AP394))</f>
        <v>0</v>
      </c>
      <c r="AS394" s="23">
        <f>IF(AP394="","",SUMIFS(Performance!$Z$5:$Z$404,Performance!$G$5:$G$404,AP394))</f>
        <v>0</v>
      </c>
      <c r="AT394" s="24">
        <f>IF(OR(AR394="",AR394=0),"",AS394/AR394)</f>
        <v>0</v>
      </c>
      <c r="AU394" s="32">
        <f>IF(AQ394=0,"",IF(AT394="","",AT394+ROW()/1000000))</f>
        <v>0</v>
      </c>
      <c r="AV394" s="17">
        <f>IF(ROW()-4&gt;7,"",TEXT(DATE(2024,1,ROW()-4),"ddd"))</f>
        <v>0</v>
      </c>
      <c r="AW394" s="23">
        <f>IF(AV394="","",COUNTIF(Performance!$N$5:$N$404,AV394))</f>
        <v>0</v>
      </c>
      <c r="AX394" s="23">
        <f>IF(AV394="","",SUMIFS(Performance!$O$5:$O$404,Performance!$N$5:$N$404,AV394))</f>
        <v>0</v>
      </c>
      <c r="AY394" s="23">
        <f>IF(AV394="","",SUMIFS(Performance!$Z$5:$Z$404,Performance!$N$5:$N$404,AV394))</f>
        <v>0</v>
      </c>
      <c r="AZ394" s="24">
        <f>IF(OR(AX394="",AX394=0),"",AY394/AX394)</f>
        <v>0</v>
      </c>
      <c r="BA394" s="32">
        <f>IF(AW394=0,"",IF(AZ394="","",AZ394+ROW()/1000000))</f>
        <v>0</v>
      </c>
      <c r="BB394" s="17">
        <f>IF(Lists!$AL394="","",Lists!$AL394)</f>
        <v>0</v>
      </c>
      <c r="BC394" s="23">
        <f>IF(BB394="","",COUNTIF(Performance!$M$5:$M$404,BB394))</f>
        <v>0</v>
      </c>
      <c r="BD394" s="23">
        <f>IF(BB394="","",SUMIFS(Performance!$O$5:$O$404,Performance!$M$5:$M$404,BB394))</f>
        <v>0</v>
      </c>
      <c r="BE394" s="23">
        <f>IF(BB394="","",SUMIFS(Performance!$Z$5:$Z$404,Performance!$M$5:$M$404,BB394))</f>
        <v>0</v>
      </c>
      <c r="BF394" s="24">
        <f>IF(OR(BD394="",BD394=0),"",BE394/BD394)</f>
        <v>0</v>
      </c>
      <c r="BG394" s="32">
        <f>IF(BC394=0,"",IF(BF394="","",BF394+ROW()/1000000))</f>
        <v>0</v>
      </c>
      <c r="BH394" s="17">
        <f>IF(Performance!$C$394="","",Performance!$C$394)</f>
        <v>0</v>
      </c>
      <c r="BI394" s="17">
        <f>IF(Performance!$F$394="","",Performance!$F$394)</f>
        <v>0</v>
      </c>
      <c r="BJ394" s="17">
        <f>IF(Performance!$H$394="","",Performance!$H$394)</f>
        <v>0</v>
      </c>
      <c r="BK394" s="16">
        <f>IF(Performance!$D$394="","",Performance!$D$394)</f>
        <v>0</v>
      </c>
      <c r="BL394" s="17">
        <f>IF(Performance!$E$394="","",Performance!$E$394)</f>
        <v>0</v>
      </c>
      <c r="BM394" s="23">
        <f>IF(Performance!$O$394="","",Performance!$O$394)</f>
        <v>0</v>
      </c>
      <c r="BN394" s="24">
        <f>IF(Performance!$AA$394="","",Performance!$AA$394)</f>
        <v>0</v>
      </c>
      <c r="BO394" s="32">
        <f>IF(BH394="","",IF(BK394="","",IF(OR(BK394&lt;DashStart,BK394&gt;DashEnd),"",IF(BN394="","",BN394+ROW()/1000000))))</f>
        <v>0</v>
      </c>
      <c r="BP394" s="32">
        <f>IF(BM394="","",IF(BK394="","",IF(OR(BK394&lt;DashStart,BK394&gt;DashEnd),"",BM394+ROW()/1000000)))</f>
        <v>0</v>
      </c>
      <c r="BQ394" s="32">
        <f>IF(BH394="","",IF(BK394="","",IF(YEAR(BK394)&lt;&gt;PlanYear,"",IF(BN394="","",BN394+ROW()/1000000))))</f>
        <v>0</v>
      </c>
      <c r="BR394" s="32">
        <f>IF(BH394="","",IF(BK394="","",IF(OR(BK394&lt;RepFrom,BK394&gt;RepTo),"",IF(BN394="","",BN394+ROW()/1000000))))</f>
        <v>0</v>
      </c>
      <c r="BS394" s="32">
        <f>IF(BM394="","",IF(BK394="","",IF(YEAR(BK394)&lt;&gt;PlanYear,"",BM394+ROW()/1000000)))</f>
        <v>0</v>
      </c>
      <c r="BT394" s="17">
        <f>IF(Lists!$F394="","",Lists!$F394)</f>
        <v>0</v>
      </c>
      <c r="BU394" s="23">
        <f>IF(BT394="","",COUNTIF('Content Calendar'!$X$5:$X$604,BT394))</f>
        <v>0</v>
      </c>
      <c r="BV394" s="23">
        <f>IF(BT394="","",COUNTIFS('Content Calendar'!$X$5:$X$604,BT394,'Content Calendar'!$B$5:$B$604,"&gt;="&amp;DashStart,'Content Calendar'!$B$5:$B$604,"&lt;="&amp;DashEnd))</f>
        <v>0</v>
      </c>
      <c r="BW394" s="17">
        <f>IF(Team!$B$394="","",Team!$B$394)</f>
        <v>0</v>
      </c>
      <c r="BX394" s="23">
        <f>IF(BW394="","",COUNTIF('Content Calendar'!$W$5:$W$604,BW394))</f>
        <v>0</v>
      </c>
      <c r="BY394" s="23">
        <f>IF(BW394="","",COUNTIFS('Content Calendar'!$W$5:$W$604,BW394,'Content Calendar'!$X$5:$X$604,"&lt;&gt;Published"))</f>
        <v>0</v>
      </c>
      <c r="BZ394" s="23">
        <f>IF(BW394="","",COUNTIFS(Tasks!$C$5:$C$64,BW394,Tasks!$G$5:$G$64,"&lt;&gt;Complete"))</f>
        <v>0</v>
      </c>
      <c r="CA394" s="17">
        <f>IF(Campaigns!$B$394="","",Campaigns!$B$394)</f>
        <v>0</v>
      </c>
      <c r="CB394" s="25">
        <f>IF(Campaigns!$T$394="","",Campaigns!$T$394)</f>
        <v>0</v>
      </c>
      <c r="CC394" s="25">
        <f>IF(Campaigns!$Q$394="","",Campaigns!$Q$394)</f>
        <v>0</v>
      </c>
      <c r="CD394" s="23">
        <f>IF(Campaigns!$Y$394="","",Campaigns!$Y$394)</f>
        <v>0</v>
      </c>
      <c r="CE394" s="32">
        <f>IF(CA394="","",IF(N(CB394)&lt;=0,"",N(CB394)+ROW()/1000000))</f>
        <v>0</v>
      </c>
      <c r="CF394" s="17">
        <f>IF(Accounts!$C$394="","",Accounts!$C$394)</f>
        <v>0</v>
      </c>
      <c r="CG394" s="17">
        <f>IF(Accounts!$B$394="","",Accounts!$B$394)</f>
        <v>0</v>
      </c>
      <c r="CH394" s="23">
        <f>IF(Accounts!$J$394="","",Accounts!$J$394)</f>
        <v>0</v>
      </c>
      <c r="CI394" s="23">
        <f>IF(CF394="","",SUMIFS(Analytics!$X$5:$X$154,Analytics!$E$5:$E$154,CF394,Analytics!$B$5:$B$154,"&gt;="&amp;DashStart,Analytics!$B$5:$B$154,"&lt;="&amp;DashEnd))</f>
        <v>0</v>
      </c>
      <c r="CJ394" s="32">
        <f>IF(CH394="","",IF(CH394=0,"",CH394+ROW()/1000000))</f>
        <v>0</v>
      </c>
    </row>
    <row r="395" spans="1:88">
      <c r="A395" s="16">
        <f>IF(ROW()-4&gt;12,"",DATE(PlanYear,ROW()-4,1))</f>
        <v>0</v>
      </c>
      <c r="B395" s="16">
        <f>IF(A395="","",EOMONTH(A395,0))</f>
        <v>0</v>
      </c>
      <c r="C395" s="17">
        <f>IF(A395="","",TEXT(A395,"yyyy-mm"))</f>
        <v>0</v>
      </c>
      <c r="D395" s="17">
        <f>IF(A395="","",TEXT(A395,"mmm"))</f>
        <v>0</v>
      </c>
      <c r="E395" s="23">
        <f>IF(C395="","",COUNTIFS('Content Calendar'!$D$5:$D$604,C395))</f>
        <v>0</v>
      </c>
      <c r="F395" s="23">
        <f>IF(C395="","",COUNTIFS('Content Calendar'!$D$5:$D$604,C395,'Content Calendar'!$X$5:$X$604,"Published"))</f>
        <v>0</v>
      </c>
      <c r="G395" s="23">
        <f>IF(C395="","",SUMIFS(Analytics!$J$5:$J$154,Analytics!$C$5:$C$154,C395))</f>
        <v>0</v>
      </c>
      <c r="H395" s="23">
        <f>IF(C395="","",SUMIFS(Analytics!$K$5:$K$154,Analytics!$C$5:$C$154,C395))</f>
        <v>0</v>
      </c>
      <c r="I395" s="23">
        <f>IF(C395="","",SUMIFS(Analytics!$L$5:$L$154,Analytics!$C$5:$C$154,C395))</f>
        <v>0</v>
      </c>
      <c r="J395" s="24">
        <f>IF(OR(G395="",G395=0),"",I395/G395)</f>
        <v>0</v>
      </c>
      <c r="K395" s="23">
        <f>IF(C395="","",SUMIFS(Analytics!$G$5:$G$154,Analytics!$C$5:$C$154,C395))</f>
        <v>0</v>
      </c>
      <c r="L395" s="23">
        <f>IF(C395="","",SUMIFS(Analytics!$X$5:$X$154,Analytics!$C$5:$C$154,C395))</f>
        <v>0</v>
      </c>
      <c r="M395" s="23">
        <f>IF(C395="","",SUMIFS(Analytics!$R$5:$R$154,Analytics!$C$5:$C$154,C395))</f>
        <v>0</v>
      </c>
      <c r="N395" s="23">
        <f>IF(C395="","",SUMIFS(Analytics!$S$5:$S$154,Analytics!$C$5:$C$154,C395))</f>
        <v>0</v>
      </c>
      <c r="O395" s="23">
        <f>IF(C395="","",SUMIFS(Analytics!$T$5:$T$154,Analytics!$C$5:$C$154,C395))</f>
        <v>0</v>
      </c>
      <c r="P395" s="25">
        <f>IF(C395="","",SUMIFS(Analytics!$U$5:$U$154,Analytics!$C$5:$C$154,C395))</f>
        <v>0</v>
      </c>
      <c r="Q395" s="25">
        <f>IF(C395="","",SUMIFS(Budget!$H$5:$H$64,Budget!$C$5:$C$64,C395))</f>
        <v>0</v>
      </c>
      <c r="R395" s="25">
        <f>IF(C395="","",P395-Q395)</f>
        <v>0</v>
      </c>
      <c r="S395" s="23">
        <f>IF(C395="","",MonthlyPostTarget)</f>
        <v>0</v>
      </c>
      <c r="T395" s="17">
        <f>IF(Lists!$C395="","",Lists!$C395)</f>
        <v>0</v>
      </c>
      <c r="U395" s="23">
        <f>IF(T395="","",COUNTIFS('Content Calendar'!$G$5:$G$604,T395,'Content Calendar'!$B$5:$B$604,"&gt;="&amp;DashStart,'Content Calendar'!$B$5:$B$604,"&lt;="&amp;DashEnd))</f>
        <v>0</v>
      </c>
      <c r="V395" s="23">
        <f>IF(T395="","",COUNTIFS('Content Calendar'!$G$5:$G$604,T395,'Content Calendar'!$X$5:$X$604,"Published",'Content Calendar'!$B$5:$B$604,"&gt;="&amp;DashStart,'Content Calendar'!$B$5:$B$604,"&lt;="&amp;DashEnd))</f>
        <v>0</v>
      </c>
      <c r="W395" s="23">
        <f>IF(T395="","",SUMIFS(Analytics!$J$5:$J$154,Analytics!$D$5:$D$154,T395,Analytics!$B$5:$B$154,"&gt;="&amp;DashStart,Analytics!$B$5:$B$154,"&lt;="&amp;DashEnd))</f>
        <v>0</v>
      </c>
      <c r="X395" s="23">
        <f>IF(T395="","",SUMIFS(Analytics!$L$5:$L$154,Analytics!$D$5:$D$154,T395,Analytics!$B$5:$B$154,"&gt;="&amp;DashStart,Analytics!$B$5:$B$154,"&lt;="&amp;DashEnd))</f>
        <v>0</v>
      </c>
      <c r="Y395" s="24">
        <f>IF(OR(W395="",W395=0),"",X395/W395)</f>
        <v>0</v>
      </c>
      <c r="Z395" s="23">
        <f>IF(T395="","",SUMIFS(Analytics!$G$5:$G$154,Analytics!$D$5:$D$154,T395,Analytics!$B$5:$B$154,"&gt;="&amp;DashStart,Analytics!$B$5:$B$154,"&lt;="&amp;DashEnd))</f>
        <v>0</v>
      </c>
      <c r="AA395" s="23">
        <f>IF(T395="","",SUMIFS(Analytics!$X$5:$X$154,Analytics!$D$5:$D$154,T395,Analytics!$B$5:$B$154,"&gt;="&amp;DashStart,Analytics!$B$5:$B$154,"&lt;="&amp;DashEnd))</f>
        <v>0</v>
      </c>
      <c r="AB395" s="23">
        <f>IF(T395="","",SUMIFS(Analytics!$R$5:$R$154,Analytics!$D$5:$D$154,T395,Analytics!$B$5:$B$154,"&gt;="&amp;DashStart,Analytics!$B$5:$B$154,"&lt;="&amp;DashEnd))</f>
        <v>0</v>
      </c>
      <c r="AC395" s="25">
        <f>IF(T395="","",SUMIFS(Analytics!$U$5:$U$154,Analytics!$D$5:$D$154,T395,Analytics!$B$5:$B$154,"&gt;="&amp;DashStart,Analytics!$B$5:$B$154,"&lt;="&amp;DashEnd))</f>
        <v>0</v>
      </c>
      <c r="AD395" s="23">
        <f>IF(T395="","",COUNTIFS('Content Calendar'!$G$5:$G$604,T395,'Content Calendar'!$B$5:$B$604,"&gt;="&amp;DATE(PlanYear,1,1),'Content Calendar'!$B$5:$B$604,"&lt;="&amp;DATE(PlanYear,12,31)))</f>
        <v>0</v>
      </c>
      <c r="AE395" s="23">
        <f>IF(T395="","",SUMIFS(Analytics!$J$5:$J$154,Analytics!$D$5:$D$154,T395))</f>
        <v>0</v>
      </c>
      <c r="AF395" s="23">
        <f>IF(T395="","",SUMIFS(Analytics!$L$5:$L$154,Analytics!$D$5:$D$154,T395))</f>
        <v>0</v>
      </c>
      <c r="AG395" s="24">
        <f>IF(OR(AE395="",AE395=0),"",AF395/AE395)</f>
        <v>0</v>
      </c>
      <c r="AH395" s="23">
        <f>IF(T395="","",SUMIFS(Analytics!$X$5:$X$154,Analytics!$D$5:$D$154,T395))</f>
        <v>0</v>
      </c>
      <c r="AI395" s="32">
        <f>IF(T395="","",IF(AE395=0,"",AE395+ROW()/1000000))</f>
        <v>0</v>
      </c>
      <c r="AJ395" s="17">
        <f>IF('Content Pillars'!$B$395="","",'Content Pillars'!$B$395)</f>
        <v>0</v>
      </c>
      <c r="AK395" s="23">
        <f>IF(AJ395="","",COUNTIFS('Content Calendar'!$J$5:$J$604,AJ395,'Content Calendar'!$B$5:$B$604,"&gt;="&amp;DATE(PlanYear,1,1),'Content Calendar'!$B$5:$B$604,"&lt;="&amp;DATE(PlanYear,12,31)))</f>
        <v>0</v>
      </c>
      <c r="AL395" s="23">
        <f>IF(AJ395="","",SUMIFS(Performance!$O$5:$O$404,Performance!$H$5:$H$404,AJ395))</f>
        <v>0</v>
      </c>
      <c r="AM395" s="23">
        <f>IF(AJ395="","",SUMIFS(Performance!$Z$5:$Z$404,Performance!$H$5:$H$404,AJ395))</f>
        <v>0</v>
      </c>
      <c r="AN395" s="24">
        <f>IF(OR(AL395="",AL395=0),"",AM395/AL395)</f>
        <v>0</v>
      </c>
      <c r="AO395" s="32">
        <f>IF(AN395="","",AN395+ROW()/1000000)</f>
        <v>0</v>
      </c>
      <c r="AP395" s="17">
        <f>IF(Lists!$E395="","",Lists!$E395)</f>
        <v>0</v>
      </c>
      <c r="AQ395" s="23">
        <f>IF(AP395="","",COUNTIF(Performance!$G$5:$G$404,AP395))</f>
        <v>0</v>
      </c>
      <c r="AR395" s="23">
        <f>IF(AP395="","",SUMIFS(Performance!$O$5:$O$404,Performance!$G$5:$G$404,AP395))</f>
        <v>0</v>
      </c>
      <c r="AS395" s="23">
        <f>IF(AP395="","",SUMIFS(Performance!$Z$5:$Z$404,Performance!$G$5:$G$404,AP395))</f>
        <v>0</v>
      </c>
      <c r="AT395" s="24">
        <f>IF(OR(AR395="",AR395=0),"",AS395/AR395)</f>
        <v>0</v>
      </c>
      <c r="AU395" s="32">
        <f>IF(AQ395=0,"",IF(AT395="","",AT395+ROW()/1000000))</f>
        <v>0</v>
      </c>
      <c r="AV395" s="17">
        <f>IF(ROW()-4&gt;7,"",TEXT(DATE(2024,1,ROW()-4),"ddd"))</f>
        <v>0</v>
      </c>
      <c r="AW395" s="23">
        <f>IF(AV395="","",COUNTIF(Performance!$N$5:$N$404,AV395))</f>
        <v>0</v>
      </c>
      <c r="AX395" s="23">
        <f>IF(AV395="","",SUMIFS(Performance!$O$5:$O$404,Performance!$N$5:$N$404,AV395))</f>
        <v>0</v>
      </c>
      <c r="AY395" s="23">
        <f>IF(AV395="","",SUMIFS(Performance!$Z$5:$Z$404,Performance!$N$5:$N$404,AV395))</f>
        <v>0</v>
      </c>
      <c r="AZ395" s="24">
        <f>IF(OR(AX395="",AX395=0),"",AY395/AX395)</f>
        <v>0</v>
      </c>
      <c r="BA395" s="32">
        <f>IF(AW395=0,"",IF(AZ395="","",AZ395+ROW()/1000000))</f>
        <v>0</v>
      </c>
      <c r="BB395" s="17">
        <f>IF(Lists!$AL395="","",Lists!$AL395)</f>
        <v>0</v>
      </c>
      <c r="BC395" s="23">
        <f>IF(BB395="","",COUNTIF(Performance!$M$5:$M$404,BB395))</f>
        <v>0</v>
      </c>
      <c r="BD395" s="23">
        <f>IF(BB395="","",SUMIFS(Performance!$O$5:$O$404,Performance!$M$5:$M$404,BB395))</f>
        <v>0</v>
      </c>
      <c r="BE395" s="23">
        <f>IF(BB395="","",SUMIFS(Performance!$Z$5:$Z$404,Performance!$M$5:$M$404,BB395))</f>
        <v>0</v>
      </c>
      <c r="BF395" s="24">
        <f>IF(OR(BD395="",BD395=0),"",BE395/BD395)</f>
        <v>0</v>
      </c>
      <c r="BG395" s="32">
        <f>IF(BC395=0,"",IF(BF395="","",BF395+ROW()/1000000))</f>
        <v>0</v>
      </c>
      <c r="BH395" s="17">
        <f>IF(Performance!$C$395="","",Performance!$C$395)</f>
        <v>0</v>
      </c>
      <c r="BI395" s="17">
        <f>IF(Performance!$F$395="","",Performance!$F$395)</f>
        <v>0</v>
      </c>
      <c r="BJ395" s="17">
        <f>IF(Performance!$H$395="","",Performance!$H$395)</f>
        <v>0</v>
      </c>
      <c r="BK395" s="16">
        <f>IF(Performance!$D$395="","",Performance!$D$395)</f>
        <v>0</v>
      </c>
      <c r="BL395" s="17">
        <f>IF(Performance!$E$395="","",Performance!$E$395)</f>
        <v>0</v>
      </c>
      <c r="BM395" s="23">
        <f>IF(Performance!$O$395="","",Performance!$O$395)</f>
        <v>0</v>
      </c>
      <c r="BN395" s="24">
        <f>IF(Performance!$AA$395="","",Performance!$AA$395)</f>
        <v>0</v>
      </c>
      <c r="BO395" s="32">
        <f>IF(BH395="","",IF(BK395="","",IF(OR(BK395&lt;DashStart,BK395&gt;DashEnd),"",IF(BN395="","",BN395+ROW()/1000000))))</f>
        <v>0</v>
      </c>
      <c r="BP395" s="32">
        <f>IF(BM395="","",IF(BK395="","",IF(OR(BK395&lt;DashStart,BK395&gt;DashEnd),"",BM395+ROW()/1000000)))</f>
        <v>0</v>
      </c>
      <c r="BQ395" s="32">
        <f>IF(BH395="","",IF(BK395="","",IF(YEAR(BK395)&lt;&gt;PlanYear,"",IF(BN395="","",BN395+ROW()/1000000))))</f>
        <v>0</v>
      </c>
      <c r="BR395" s="32">
        <f>IF(BH395="","",IF(BK395="","",IF(OR(BK395&lt;RepFrom,BK395&gt;RepTo),"",IF(BN395="","",BN395+ROW()/1000000))))</f>
        <v>0</v>
      </c>
      <c r="BS395" s="32">
        <f>IF(BM395="","",IF(BK395="","",IF(YEAR(BK395)&lt;&gt;PlanYear,"",BM395+ROW()/1000000)))</f>
        <v>0</v>
      </c>
      <c r="BT395" s="17">
        <f>IF(Lists!$F395="","",Lists!$F395)</f>
        <v>0</v>
      </c>
      <c r="BU395" s="23">
        <f>IF(BT395="","",COUNTIF('Content Calendar'!$X$5:$X$604,BT395))</f>
        <v>0</v>
      </c>
      <c r="BV395" s="23">
        <f>IF(BT395="","",COUNTIFS('Content Calendar'!$X$5:$X$604,BT395,'Content Calendar'!$B$5:$B$604,"&gt;="&amp;DashStart,'Content Calendar'!$B$5:$B$604,"&lt;="&amp;DashEnd))</f>
        <v>0</v>
      </c>
      <c r="BW395" s="17">
        <f>IF(Team!$B$395="","",Team!$B$395)</f>
        <v>0</v>
      </c>
      <c r="BX395" s="23">
        <f>IF(BW395="","",COUNTIF('Content Calendar'!$W$5:$W$604,BW395))</f>
        <v>0</v>
      </c>
      <c r="BY395" s="23">
        <f>IF(BW395="","",COUNTIFS('Content Calendar'!$W$5:$W$604,BW395,'Content Calendar'!$X$5:$X$604,"&lt;&gt;Published"))</f>
        <v>0</v>
      </c>
      <c r="BZ395" s="23">
        <f>IF(BW395="","",COUNTIFS(Tasks!$C$5:$C$64,BW395,Tasks!$G$5:$G$64,"&lt;&gt;Complete"))</f>
        <v>0</v>
      </c>
      <c r="CA395" s="17">
        <f>IF(Campaigns!$B$395="","",Campaigns!$B$395)</f>
        <v>0</v>
      </c>
      <c r="CB395" s="25">
        <f>IF(Campaigns!$T$395="","",Campaigns!$T$395)</f>
        <v>0</v>
      </c>
      <c r="CC395" s="25">
        <f>IF(Campaigns!$Q$395="","",Campaigns!$Q$395)</f>
        <v>0</v>
      </c>
      <c r="CD395" s="23">
        <f>IF(Campaigns!$Y$395="","",Campaigns!$Y$395)</f>
        <v>0</v>
      </c>
      <c r="CE395" s="32">
        <f>IF(CA395="","",IF(N(CB395)&lt;=0,"",N(CB395)+ROW()/1000000))</f>
        <v>0</v>
      </c>
      <c r="CF395" s="17">
        <f>IF(Accounts!$C$395="","",Accounts!$C$395)</f>
        <v>0</v>
      </c>
      <c r="CG395" s="17">
        <f>IF(Accounts!$B$395="","",Accounts!$B$395)</f>
        <v>0</v>
      </c>
      <c r="CH395" s="23">
        <f>IF(Accounts!$J$395="","",Accounts!$J$395)</f>
        <v>0</v>
      </c>
      <c r="CI395" s="23">
        <f>IF(CF395="","",SUMIFS(Analytics!$X$5:$X$154,Analytics!$E$5:$E$154,CF395,Analytics!$B$5:$B$154,"&gt;="&amp;DashStart,Analytics!$B$5:$B$154,"&lt;="&amp;DashEnd))</f>
        <v>0</v>
      </c>
      <c r="CJ395" s="32">
        <f>IF(CH395="","",IF(CH395=0,"",CH395+ROW()/1000000))</f>
        <v>0</v>
      </c>
    </row>
    <row r="396" spans="1:88">
      <c r="A396" s="16">
        <f>IF(ROW()-4&gt;12,"",DATE(PlanYear,ROW()-4,1))</f>
        <v>0</v>
      </c>
      <c r="B396" s="16">
        <f>IF(A396="","",EOMONTH(A396,0))</f>
        <v>0</v>
      </c>
      <c r="C396" s="17">
        <f>IF(A396="","",TEXT(A396,"yyyy-mm"))</f>
        <v>0</v>
      </c>
      <c r="D396" s="17">
        <f>IF(A396="","",TEXT(A396,"mmm"))</f>
        <v>0</v>
      </c>
      <c r="E396" s="23">
        <f>IF(C396="","",COUNTIFS('Content Calendar'!$D$5:$D$604,C396))</f>
        <v>0</v>
      </c>
      <c r="F396" s="23">
        <f>IF(C396="","",COUNTIFS('Content Calendar'!$D$5:$D$604,C396,'Content Calendar'!$X$5:$X$604,"Published"))</f>
        <v>0</v>
      </c>
      <c r="G396" s="23">
        <f>IF(C396="","",SUMIFS(Analytics!$J$5:$J$154,Analytics!$C$5:$C$154,C396))</f>
        <v>0</v>
      </c>
      <c r="H396" s="23">
        <f>IF(C396="","",SUMIFS(Analytics!$K$5:$K$154,Analytics!$C$5:$C$154,C396))</f>
        <v>0</v>
      </c>
      <c r="I396" s="23">
        <f>IF(C396="","",SUMIFS(Analytics!$L$5:$L$154,Analytics!$C$5:$C$154,C396))</f>
        <v>0</v>
      </c>
      <c r="J396" s="24">
        <f>IF(OR(G396="",G396=0),"",I396/G396)</f>
        <v>0</v>
      </c>
      <c r="K396" s="23">
        <f>IF(C396="","",SUMIFS(Analytics!$G$5:$G$154,Analytics!$C$5:$C$154,C396))</f>
        <v>0</v>
      </c>
      <c r="L396" s="23">
        <f>IF(C396="","",SUMIFS(Analytics!$X$5:$X$154,Analytics!$C$5:$C$154,C396))</f>
        <v>0</v>
      </c>
      <c r="M396" s="23">
        <f>IF(C396="","",SUMIFS(Analytics!$R$5:$R$154,Analytics!$C$5:$C$154,C396))</f>
        <v>0</v>
      </c>
      <c r="N396" s="23">
        <f>IF(C396="","",SUMIFS(Analytics!$S$5:$S$154,Analytics!$C$5:$C$154,C396))</f>
        <v>0</v>
      </c>
      <c r="O396" s="23">
        <f>IF(C396="","",SUMIFS(Analytics!$T$5:$T$154,Analytics!$C$5:$C$154,C396))</f>
        <v>0</v>
      </c>
      <c r="P396" s="25">
        <f>IF(C396="","",SUMIFS(Analytics!$U$5:$U$154,Analytics!$C$5:$C$154,C396))</f>
        <v>0</v>
      </c>
      <c r="Q396" s="25">
        <f>IF(C396="","",SUMIFS(Budget!$H$5:$H$64,Budget!$C$5:$C$64,C396))</f>
        <v>0</v>
      </c>
      <c r="R396" s="25">
        <f>IF(C396="","",P396-Q396)</f>
        <v>0</v>
      </c>
      <c r="S396" s="23">
        <f>IF(C396="","",MonthlyPostTarget)</f>
        <v>0</v>
      </c>
      <c r="T396" s="17">
        <f>IF(Lists!$C396="","",Lists!$C396)</f>
        <v>0</v>
      </c>
      <c r="U396" s="23">
        <f>IF(T396="","",COUNTIFS('Content Calendar'!$G$5:$G$604,T396,'Content Calendar'!$B$5:$B$604,"&gt;="&amp;DashStart,'Content Calendar'!$B$5:$B$604,"&lt;="&amp;DashEnd))</f>
        <v>0</v>
      </c>
      <c r="V396" s="23">
        <f>IF(T396="","",COUNTIFS('Content Calendar'!$G$5:$G$604,T396,'Content Calendar'!$X$5:$X$604,"Published",'Content Calendar'!$B$5:$B$604,"&gt;="&amp;DashStart,'Content Calendar'!$B$5:$B$604,"&lt;="&amp;DashEnd))</f>
        <v>0</v>
      </c>
      <c r="W396" s="23">
        <f>IF(T396="","",SUMIFS(Analytics!$J$5:$J$154,Analytics!$D$5:$D$154,T396,Analytics!$B$5:$B$154,"&gt;="&amp;DashStart,Analytics!$B$5:$B$154,"&lt;="&amp;DashEnd))</f>
        <v>0</v>
      </c>
      <c r="X396" s="23">
        <f>IF(T396="","",SUMIFS(Analytics!$L$5:$L$154,Analytics!$D$5:$D$154,T396,Analytics!$B$5:$B$154,"&gt;="&amp;DashStart,Analytics!$B$5:$B$154,"&lt;="&amp;DashEnd))</f>
        <v>0</v>
      </c>
      <c r="Y396" s="24">
        <f>IF(OR(W396="",W396=0),"",X396/W396)</f>
        <v>0</v>
      </c>
      <c r="Z396" s="23">
        <f>IF(T396="","",SUMIFS(Analytics!$G$5:$G$154,Analytics!$D$5:$D$154,T396,Analytics!$B$5:$B$154,"&gt;="&amp;DashStart,Analytics!$B$5:$B$154,"&lt;="&amp;DashEnd))</f>
        <v>0</v>
      </c>
      <c r="AA396" s="23">
        <f>IF(T396="","",SUMIFS(Analytics!$X$5:$X$154,Analytics!$D$5:$D$154,T396,Analytics!$B$5:$B$154,"&gt;="&amp;DashStart,Analytics!$B$5:$B$154,"&lt;="&amp;DashEnd))</f>
        <v>0</v>
      </c>
      <c r="AB396" s="23">
        <f>IF(T396="","",SUMIFS(Analytics!$R$5:$R$154,Analytics!$D$5:$D$154,T396,Analytics!$B$5:$B$154,"&gt;="&amp;DashStart,Analytics!$B$5:$B$154,"&lt;="&amp;DashEnd))</f>
        <v>0</v>
      </c>
      <c r="AC396" s="25">
        <f>IF(T396="","",SUMIFS(Analytics!$U$5:$U$154,Analytics!$D$5:$D$154,T396,Analytics!$B$5:$B$154,"&gt;="&amp;DashStart,Analytics!$B$5:$B$154,"&lt;="&amp;DashEnd))</f>
        <v>0</v>
      </c>
      <c r="AD396" s="23">
        <f>IF(T396="","",COUNTIFS('Content Calendar'!$G$5:$G$604,T396,'Content Calendar'!$B$5:$B$604,"&gt;="&amp;DATE(PlanYear,1,1),'Content Calendar'!$B$5:$B$604,"&lt;="&amp;DATE(PlanYear,12,31)))</f>
        <v>0</v>
      </c>
      <c r="AE396" s="23">
        <f>IF(T396="","",SUMIFS(Analytics!$J$5:$J$154,Analytics!$D$5:$D$154,T396))</f>
        <v>0</v>
      </c>
      <c r="AF396" s="23">
        <f>IF(T396="","",SUMIFS(Analytics!$L$5:$L$154,Analytics!$D$5:$D$154,T396))</f>
        <v>0</v>
      </c>
      <c r="AG396" s="24">
        <f>IF(OR(AE396="",AE396=0),"",AF396/AE396)</f>
        <v>0</v>
      </c>
      <c r="AH396" s="23">
        <f>IF(T396="","",SUMIFS(Analytics!$X$5:$X$154,Analytics!$D$5:$D$154,T396))</f>
        <v>0</v>
      </c>
      <c r="AI396" s="32">
        <f>IF(T396="","",IF(AE396=0,"",AE396+ROW()/1000000))</f>
        <v>0</v>
      </c>
      <c r="AJ396" s="17">
        <f>IF('Content Pillars'!$B$396="","",'Content Pillars'!$B$396)</f>
        <v>0</v>
      </c>
      <c r="AK396" s="23">
        <f>IF(AJ396="","",COUNTIFS('Content Calendar'!$J$5:$J$604,AJ396,'Content Calendar'!$B$5:$B$604,"&gt;="&amp;DATE(PlanYear,1,1),'Content Calendar'!$B$5:$B$604,"&lt;="&amp;DATE(PlanYear,12,31)))</f>
        <v>0</v>
      </c>
      <c r="AL396" s="23">
        <f>IF(AJ396="","",SUMIFS(Performance!$O$5:$O$404,Performance!$H$5:$H$404,AJ396))</f>
        <v>0</v>
      </c>
      <c r="AM396" s="23">
        <f>IF(AJ396="","",SUMIFS(Performance!$Z$5:$Z$404,Performance!$H$5:$H$404,AJ396))</f>
        <v>0</v>
      </c>
      <c r="AN396" s="24">
        <f>IF(OR(AL396="",AL396=0),"",AM396/AL396)</f>
        <v>0</v>
      </c>
      <c r="AO396" s="32">
        <f>IF(AN396="","",AN396+ROW()/1000000)</f>
        <v>0</v>
      </c>
      <c r="AP396" s="17">
        <f>IF(Lists!$E396="","",Lists!$E396)</f>
        <v>0</v>
      </c>
      <c r="AQ396" s="23">
        <f>IF(AP396="","",COUNTIF(Performance!$G$5:$G$404,AP396))</f>
        <v>0</v>
      </c>
      <c r="AR396" s="23">
        <f>IF(AP396="","",SUMIFS(Performance!$O$5:$O$404,Performance!$G$5:$G$404,AP396))</f>
        <v>0</v>
      </c>
      <c r="AS396" s="23">
        <f>IF(AP396="","",SUMIFS(Performance!$Z$5:$Z$404,Performance!$G$5:$G$404,AP396))</f>
        <v>0</v>
      </c>
      <c r="AT396" s="24">
        <f>IF(OR(AR396="",AR396=0),"",AS396/AR396)</f>
        <v>0</v>
      </c>
      <c r="AU396" s="32">
        <f>IF(AQ396=0,"",IF(AT396="","",AT396+ROW()/1000000))</f>
        <v>0</v>
      </c>
      <c r="AV396" s="17">
        <f>IF(ROW()-4&gt;7,"",TEXT(DATE(2024,1,ROW()-4),"ddd"))</f>
        <v>0</v>
      </c>
      <c r="AW396" s="23">
        <f>IF(AV396="","",COUNTIF(Performance!$N$5:$N$404,AV396))</f>
        <v>0</v>
      </c>
      <c r="AX396" s="23">
        <f>IF(AV396="","",SUMIFS(Performance!$O$5:$O$404,Performance!$N$5:$N$404,AV396))</f>
        <v>0</v>
      </c>
      <c r="AY396" s="23">
        <f>IF(AV396="","",SUMIFS(Performance!$Z$5:$Z$404,Performance!$N$5:$N$404,AV396))</f>
        <v>0</v>
      </c>
      <c r="AZ396" s="24">
        <f>IF(OR(AX396="",AX396=0),"",AY396/AX396)</f>
        <v>0</v>
      </c>
      <c r="BA396" s="32">
        <f>IF(AW396=0,"",IF(AZ396="","",AZ396+ROW()/1000000))</f>
        <v>0</v>
      </c>
      <c r="BB396" s="17">
        <f>IF(Lists!$AL396="","",Lists!$AL396)</f>
        <v>0</v>
      </c>
      <c r="BC396" s="23">
        <f>IF(BB396="","",COUNTIF(Performance!$M$5:$M$404,BB396))</f>
        <v>0</v>
      </c>
      <c r="BD396" s="23">
        <f>IF(BB396="","",SUMIFS(Performance!$O$5:$O$404,Performance!$M$5:$M$404,BB396))</f>
        <v>0</v>
      </c>
      <c r="BE396" s="23">
        <f>IF(BB396="","",SUMIFS(Performance!$Z$5:$Z$404,Performance!$M$5:$M$404,BB396))</f>
        <v>0</v>
      </c>
      <c r="BF396" s="24">
        <f>IF(OR(BD396="",BD396=0),"",BE396/BD396)</f>
        <v>0</v>
      </c>
      <c r="BG396" s="32">
        <f>IF(BC396=0,"",IF(BF396="","",BF396+ROW()/1000000))</f>
        <v>0</v>
      </c>
      <c r="BH396" s="17">
        <f>IF(Performance!$C$396="","",Performance!$C$396)</f>
        <v>0</v>
      </c>
      <c r="BI396" s="17">
        <f>IF(Performance!$F$396="","",Performance!$F$396)</f>
        <v>0</v>
      </c>
      <c r="BJ396" s="17">
        <f>IF(Performance!$H$396="","",Performance!$H$396)</f>
        <v>0</v>
      </c>
      <c r="BK396" s="16">
        <f>IF(Performance!$D$396="","",Performance!$D$396)</f>
        <v>0</v>
      </c>
      <c r="BL396" s="17">
        <f>IF(Performance!$E$396="","",Performance!$E$396)</f>
        <v>0</v>
      </c>
      <c r="BM396" s="23">
        <f>IF(Performance!$O$396="","",Performance!$O$396)</f>
        <v>0</v>
      </c>
      <c r="BN396" s="24">
        <f>IF(Performance!$AA$396="","",Performance!$AA$396)</f>
        <v>0</v>
      </c>
      <c r="BO396" s="32">
        <f>IF(BH396="","",IF(BK396="","",IF(OR(BK396&lt;DashStart,BK396&gt;DashEnd),"",IF(BN396="","",BN396+ROW()/1000000))))</f>
        <v>0</v>
      </c>
      <c r="BP396" s="32">
        <f>IF(BM396="","",IF(BK396="","",IF(OR(BK396&lt;DashStart,BK396&gt;DashEnd),"",BM396+ROW()/1000000)))</f>
        <v>0</v>
      </c>
      <c r="BQ396" s="32">
        <f>IF(BH396="","",IF(BK396="","",IF(YEAR(BK396)&lt;&gt;PlanYear,"",IF(BN396="","",BN396+ROW()/1000000))))</f>
        <v>0</v>
      </c>
      <c r="BR396" s="32">
        <f>IF(BH396="","",IF(BK396="","",IF(OR(BK396&lt;RepFrom,BK396&gt;RepTo),"",IF(BN396="","",BN396+ROW()/1000000))))</f>
        <v>0</v>
      </c>
      <c r="BS396" s="32">
        <f>IF(BM396="","",IF(BK396="","",IF(YEAR(BK396)&lt;&gt;PlanYear,"",BM396+ROW()/1000000)))</f>
        <v>0</v>
      </c>
      <c r="BT396" s="17">
        <f>IF(Lists!$F396="","",Lists!$F396)</f>
        <v>0</v>
      </c>
      <c r="BU396" s="23">
        <f>IF(BT396="","",COUNTIF('Content Calendar'!$X$5:$X$604,BT396))</f>
        <v>0</v>
      </c>
      <c r="BV396" s="23">
        <f>IF(BT396="","",COUNTIFS('Content Calendar'!$X$5:$X$604,BT396,'Content Calendar'!$B$5:$B$604,"&gt;="&amp;DashStart,'Content Calendar'!$B$5:$B$604,"&lt;="&amp;DashEnd))</f>
        <v>0</v>
      </c>
      <c r="BW396" s="17">
        <f>IF(Team!$B$396="","",Team!$B$396)</f>
        <v>0</v>
      </c>
      <c r="BX396" s="23">
        <f>IF(BW396="","",COUNTIF('Content Calendar'!$W$5:$W$604,BW396))</f>
        <v>0</v>
      </c>
      <c r="BY396" s="23">
        <f>IF(BW396="","",COUNTIFS('Content Calendar'!$W$5:$W$604,BW396,'Content Calendar'!$X$5:$X$604,"&lt;&gt;Published"))</f>
        <v>0</v>
      </c>
      <c r="BZ396" s="23">
        <f>IF(BW396="","",COUNTIFS(Tasks!$C$5:$C$64,BW396,Tasks!$G$5:$G$64,"&lt;&gt;Complete"))</f>
        <v>0</v>
      </c>
      <c r="CA396" s="17">
        <f>IF(Campaigns!$B$396="","",Campaigns!$B$396)</f>
        <v>0</v>
      </c>
      <c r="CB396" s="25">
        <f>IF(Campaigns!$T$396="","",Campaigns!$T$396)</f>
        <v>0</v>
      </c>
      <c r="CC396" s="25">
        <f>IF(Campaigns!$Q$396="","",Campaigns!$Q$396)</f>
        <v>0</v>
      </c>
      <c r="CD396" s="23">
        <f>IF(Campaigns!$Y$396="","",Campaigns!$Y$396)</f>
        <v>0</v>
      </c>
      <c r="CE396" s="32">
        <f>IF(CA396="","",IF(N(CB396)&lt;=0,"",N(CB396)+ROW()/1000000))</f>
        <v>0</v>
      </c>
      <c r="CF396" s="17">
        <f>IF(Accounts!$C$396="","",Accounts!$C$396)</f>
        <v>0</v>
      </c>
      <c r="CG396" s="17">
        <f>IF(Accounts!$B$396="","",Accounts!$B$396)</f>
        <v>0</v>
      </c>
      <c r="CH396" s="23">
        <f>IF(Accounts!$J$396="","",Accounts!$J$396)</f>
        <v>0</v>
      </c>
      <c r="CI396" s="23">
        <f>IF(CF396="","",SUMIFS(Analytics!$X$5:$X$154,Analytics!$E$5:$E$154,CF396,Analytics!$B$5:$B$154,"&gt;="&amp;DashStart,Analytics!$B$5:$B$154,"&lt;="&amp;DashEnd))</f>
        <v>0</v>
      </c>
      <c r="CJ396" s="32">
        <f>IF(CH396="","",IF(CH396=0,"",CH396+ROW()/1000000))</f>
        <v>0</v>
      </c>
    </row>
    <row r="397" spans="1:88">
      <c r="A397" s="16">
        <f>IF(ROW()-4&gt;12,"",DATE(PlanYear,ROW()-4,1))</f>
        <v>0</v>
      </c>
      <c r="B397" s="16">
        <f>IF(A397="","",EOMONTH(A397,0))</f>
        <v>0</v>
      </c>
      <c r="C397" s="17">
        <f>IF(A397="","",TEXT(A397,"yyyy-mm"))</f>
        <v>0</v>
      </c>
      <c r="D397" s="17">
        <f>IF(A397="","",TEXT(A397,"mmm"))</f>
        <v>0</v>
      </c>
      <c r="E397" s="23">
        <f>IF(C397="","",COUNTIFS('Content Calendar'!$D$5:$D$604,C397))</f>
        <v>0</v>
      </c>
      <c r="F397" s="23">
        <f>IF(C397="","",COUNTIFS('Content Calendar'!$D$5:$D$604,C397,'Content Calendar'!$X$5:$X$604,"Published"))</f>
        <v>0</v>
      </c>
      <c r="G397" s="23">
        <f>IF(C397="","",SUMIFS(Analytics!$J$5:$J$154,Analytics!$C$5:$C$154,C397))</f>
        <v>0</v>
      </c>
      <c r="H397" s="23">
        <f>IF(C397="","",SUMIFS(Analytics!$K$5:$K$154,Analytics!$C$5:$C$154,C397))</f>
        <v>0</v>
      </c>
      <c r="I397" s="23">
        <f>IF(C397="","",SUMIFS(Analytics!$L$5:$L$154,Analytics!$C$5:$C$154,C397))</f>
        <v>0</v>
      </c>
      <c r="J397" s="24">
        <f>IF(OR(G397="",G397=0),"",I397/G397)</f>
        <v>0</v>
      </c>
      <c r="K397" s="23">
        <f>IF(C397="","",SUMIFS(Analytics!$G$5:$G$154,Analytics!$C$5:$C$154,C397))</f>
        <v>0</v>
      </c>
      <c r="L397" s="23">
        <f>IF(C397="","",SUMIFS(Analytics!$X$5:$X$154,Analytics!$C$5:$C$154,C397))</f>
        <v>0</v>
      </c>
      <c r="M397" s="23">
        <f>IF(C397="","",SUMIFS(Analytics!$R$5:$R$154,Analytics!$C$5:$C$154,C397))</f>
        <v>0</v>
      </c>
      <c r="N397" s="23">
        <f>IF(C397="","",SUMIFS(Analytics!$S$5:$S$154,Analytics!$C$5:$C$154,C397))</f>
        <v>0</v>
      </c>
      <c r="O397" s="23">
        <f>IF(C397="","",SUMIFS(Analytics!$T$5:$T$154,Analytics!$C$5:$C$154,C397))</f>
        <v>0</v>
      </c>
      <c r="P397" s="25">
        <f>IF(C397="","",SUMIFS(Analytics!$U$5:$U$154,Analytics!$C$5:$C$154,C397))</f>
        <v>0</v>
      </c>
      <c r="Q397" s="25">
        <f>IF(C397="","",SUMIFS(Budget!$H$5:$H$64,Budget!$C$5:$C$64,C397))</f>
        <v>0</v>
      </c>
      <c r="R397" s="25">
        <f>IF(C397="","",P397-Q397)</f>
        <v>0</v>
      </c>
      <c r="S397" s="23">
        <f>IF(C397="","",MonthlyPostTarget)</f>
        <v>0</v>
      </c>
      <c r="T397" s="17">
        <f>IF(Lists!$C397="","",Lists!$C397)</f>
        <v>0</v>
      </c>
      <c r="U397" s="23">
        <f>IF(T397="","",COUNTIFS('Content Calendar'!$G$5:$G$604,T397,'Content Calendar'!$B$5:$B$604,"&gt;="&amp;DashStart,'Content Calendar'!$B$5:$B$604,"&lt;="&amp;DashEnd))</f>
        <v>0</v>
      </c>
      <c r="V397" s="23">
        <f>IF(T397="","",COUNTIFS('Content Calendar'!$G$5:$G$604,T397,'Content Calendar'!$X$5:$X$604,"Published",'Content Calendar'!$B$5:$B$604,"&gt;="&amp;DashStart,'Content Calendar'!$B$5:$B$604,"&lt;="&amp;DashEnd))</f>
        <v>0</v>
      </c>
      <c r="W397" s="23">
        <f>IF(T397="","",SUMIFS(Analytics!$J$5:$J$154,Analytics!$D$5:$D$154,T397,Analytics!$B$5:$B$154,"&gt;="&amp;DashStart,Analytics!$B$5:$B$154,"&lt;="&amp;DashEnd))</f>
        <v>0</v>
      </c>
      <c r="X397" s="23">
        <f>IF(T397="","",SUMIFS(Analytics!$L$5:$L$154,Analytics!$D$5:$D$154,T397,Analytics!$B$5:$B$154,"&gt;="&amp;DashStart,Analytics!$B$5:$B$154,"&lt;="&amp;DashEnd))</f>
        <v>0</v>
      </c>
      <c r="Y397" s="24">
        <f>IF(OR(W397="",W397=0),"",X397/W397)</f>
        <v>0</v>
      </c>
      <c r="Z397" s="23">
        <f>IF(T397="","",SUMIFS(Analytics!$G$5:$G$154,Analytics!$D$5:$D$154,T397,Analytics!$B$5:$B$154,"&gt;="&amp;DashStart,Analytics!$B$5:$B$154,"&lt;="&amp;DashEnd))</f>
        <v>0</v>
      </c>
      <c r="AA397" s="23">
        <f>IF(T397="","",SUMIFS(Analytics!$X$5:$X$154,Analytics!$D$5:$D$154,T397,Analytics!$B$5:$B$154,"&gt;="&amp;DashStart,Analytics!$B$5:$B$154,"&lt;="&amp;DashEnd))</f>
        <v>0</v>
      </c>
      <c r="AB397" s="23">
        <f>IF(T397="","",SUMIFS(Analytics!$R$5:$R$154,Analytics!$D$5:$D$154,T397,Analytics!$B$5:$B$154,"&gt;="&amp;DashStart,Analytics!$B$5:$B$154,"&lt;="&amp;DashEnd))</f>
        <v>0</v>
      </c>
      <c r="AC397" s="25">
        <f>IF(T397="","",SUMIFS(Analytics!$U$5:$U$154,Analytics!$D$5:$D$154,T397,Analytics!$B$5:$B$154,"&gt;="&amp;DashStart,Analytics!$B$5:$B$154,"&lt;="&amp;DashEnd))</f>
        <v>0</v>
      </c>
      <c r="AD397" s="23">
        <f>IF(T397="","",COUNTIFS('Content Calendar'!$G$5:$G$604,T397,'Content Calendar'!$B$5:$B$604,"&gt;="&amp;DATE(PlanYear,1,1),'Content Calendar'!$B$5:$B$604,"&lt;="&amp;DATE(PlanYear,12,31)))</f>
        <v>0</v>
      </c>
      <c r="AE397" s="23">
        <f>IF(T397="","",SUMIFS(Analytics!$J$5:$J$154,Analytics!$D$5:$D$154,T397))</f>
        <v>0</v>
      </c>
      <c r="AF397" s="23">
        <f>IF(T397="","",SUMIFS(Analytics!$L$5:$L$154,Analytics!$D$5:$D$154,T397))</f>
        <v>0</v>
      </c>
      <c r="AG397" s="24">
        <f>IF(OR(AE397="",AE397=0),"",AF397/AE397)</f>
        <v>0</v>
      </c>
      <c r="AH397" s="23">
        <f>IF(T397="","",SUMIFS(Analytics!$X$5:$X$154,Analytics!$D$5:$D$154,T397))</f>
        <v>0</v>
      </c>
      <c r="AI397" s="32">
        <f>IF(T397="","",IF(AE397=0,"",AE397+ROW()/1000000))</f>
        <v>0</v>
      </c>
      <c r="AJ397" s="17">
        <f>IF('Content Pillars'!$B$397="","",'Content Pillars'!$B$397)</f>
        <v>0</v>
      </c>
      <c r="AK397" s="23">
        <f>IF(AJ397="","",COUNTIFS('Content Calendar'!$J$5:$J$604,AJ397,'Content Calendar'!$B$5:$B$604,"&gt;="&amp;DATE(PlanYear,1,1),'Content Calendar'!$B$5:$B$604,"&lt;="&amp;DATE(PlanYear,12,31)))</f>
        <v>0</v>
      </c>
      <c r="AL397" s="23">
        <f>IF(AJ397="","",SUMIFS(Performance!$O$5:$O$404,Performance!$H$5:$H$404,AJ397))</f>
        <v>0</v>
      </c>
      <c r="AM397" s="23">
        <f>IF(AJ397="","",SUMIFS(Performance!$Z$5:$Z$404,Performance!$H$5:$H$404,AJ397))</f>
        <v>0</v>
      </c>
      <c r="AN397" s="24">
        <f>IF(OR(AL397="",AL397=0),"",AM397/AL397)</f>
        <v>0</v>
      </c>
      <c r="AO397" s="32">
        <f>IF(AN397="","",AN397+ROW()/1000000)</f>
        <v>0</v>
      </c>
      <c r="AP397" s="17">
        <f>IF(Lists!$E397="","",Lists!$E397)</f>
        <v>0</v>
      </c>
      <c r="AQ397" s="23">
        <f>IF(AP397="","",COUNTIF(Performance!$G$5:$G$404,AP397))</f>
        <v>0</v>
      </c>
      <c r="AR397" s="23">
        <f>IF(AP397="","",SUMIFS(Performance!$O$5:$O$404,Performance!$G$5:$G$404,AP397))</f>
        <v>0</v>
      </c>
      <c r="AS397" s="23">
        <f>IF(AP397="","",SUMIFS(Performance!$Z$5:$Z$404,Performance!$G$5:$G$404,AP397))</f>
        <v>0</v>
      </c>
      <c r="AT397" s="24">
        <f>IF(OR(AR397="",AR397=0),"",AS397/AR397)</f>
        <v>0</v>
      </c>
      <c r="AU397" s="32">
        <f>IF(AQ397=0,"",IF(AT397="","",AT397+ROW()/1000000))</f>
        <v>0</v>
      </c>
      <c r="AV397" s="17">
        <f>IF(ROW()-4&gt;7,"",TEXT(DATE(2024,1,ROW()-4),"ddd"))</f>
        <v>0</v>
      </c>
      <c r="AW397" s="23">
        <f>IF(AV397="","",COUNTIF(Performance!$N$5:$N$404,AV397))</f>
        <v>0</v>
      </c>
      <c r="AX397" s="23">
        <f>IF(AV397="","",SUMIFS(Performance!$O$5:$O$404,Performance!$N$5:$N$404,AV397))</f>
        <v>0</v>
      </c>
      <c r="AY397" s="23">
        <f>IF(AV397="","",SUMIFS(Performance!$Z$5:$Z$404,Performance!$N$5:$N$404,AV397))</f>
        <v>0</v>
      </c>
      <c r="AZ397" s="24">
        <f>IF(OR(AX397="",AX397=0),"",AY397/AX397)</f>
        <v>0</v>
      </c>
      <c r="BA397" s="32">
        <f>IF(AW397=0,"",IF(AZ397="","",AZ397+ROW()/1000000))</f>
        <v>0</v>
      </c>
      <c r="BB397" s="17">
        <f>IF(Lists!$AL397="","",Lists!$AL397)</f>
        <v>0</v>
      </c>
      <c r="BC397" s="23">
        <f>IF(BB397="","",COUNTIF(Performance!$M$5:$M$404,BB397))</f>
        <v>0</v>
      </c>
      <c r="BD397" s="23">
        <f>IF(BB397="","",SUMIFS(Performance!$O$5:$O$404,Performance!$M$5:$M$404,BB397))</f>
        <v>0</v>
      </c>
      <c r="BE397" s="23">
        <f>IF(BB397="","",SUMIFS(Performance!$Z$5:$Z$404,Performance!$M$5:$M$404,BB397))</f>
        <v>0</v>
      </c>
      <c r="BF397" s="24">
        <f>IF(OR(BD397="",BD397=0),"",BE397/BD397)</f>
        <v>0</v>
      </c>
      <c r="BG397" s="32">
        <f>IF(BC397=0,"",IF(BF397="","",BF397+ROW()/1000000))</f>
        <v>0</v>
      </c>
      <c r="BH397" s="17">
        <f>IF(Performance!$C$397="","",Performance!$C$397)</f>
        <v>0</v>
      </c>
      <c r="BI397" s="17">
        <f>IF(Performance!$F$397="","",Performance!$F$397)</f>
        <v>0</v>
      </c>
      <c r="BJ397" s="17">
        <f>IF(Performance!$H$397="","",Performance!$H$397)</f>
        <v>0</v>
      </c>
      <c r="BK397" s="16">
        <f>IF(Performance!$D$397="","",Performance!$D$397)</f>
        <v>0</v>
      </c>
      <c r="BL397" s="17">
        <f>IF(Performance!$E$397="","",Performance!$E$397)</f>
        <v>0</v>
      </c>
      <c r="BM397" s="23">
        <f>IF(Performance!$O$397="","",Performance!$O$397)</f>
        <v>0</v>
      </c>
      <c r="BN397" s="24">
        <f>IF(Performance!$AA$397="","",Performance!$AA$397)</f>
        <v>0</v>
      </c>
      <c r="BO397" s="32">
        <f>IF(BH397="","",IF(BK397="","",IF(OR(BK397&lt;DashStart,BK397&gt;DashEnd),"",IF(BN397="","",BN397+ROW()/1000000))))</f>
        <v>0</v>
      </c>
      <c r="BP397" s="32">
        <f>IF(BM397="","",IF(BK397="","",IF(OR(BK397&lt;DashStart,BK397&gt;DashEnd),"",BM397+ROW()/1000000)))</f>
        <v>0</v>
      </c>
      <c r="BQ397" s="32">
        <f>IF(BH397="","",IF(BK397="","",IF(YEAR(BK397)&lt;&gt;PlanYear,"",IF(BN397="","",BN397+ROW()/1000000))))</f>
        <v>0</v>
      </c>
      <c r="BR397" s="32">
        <f>IF(BH397="","",IF(BK397="","",IF(OR(BK397&lt;RepFrom,BK397&gt;RepTo),"",IF(BN397="","",BN397+ROW()/1000000))))</f>
        <v>0</v>
      </c>
      <c r="BS397" s="32">
        <f>IF(BM397="","",IF(BK397="","",IF(YEAR(BK397)&lt;&gt;PlanYear,"",BM397+ROW()/1000000)))</f>
        <v>0</v>
      </c>
      <c r="BT397" s="17">
        <f>IF(Lists!$F397="","",Lists!$F397)</f>
        <v>0</v>
      </c>
      <c r="BU397" s="23">
        <f>IF(BT397="","",COUNTIF('Content Calendar'!$X$5:$X$604,BT397))</f>
        <v>0</v>
      </c>
      <c r="BV397" s="23">
        <f>IF(BT397="","",COUNTIFS('Content Calendar'!$X$5:$X$604,BT397,'Content Calendar'!$B$5:$B$604,"&gt;="&amp;DashStart,'Content Calendar'!$B$5:$B$604,"&lt;="&amp;DashEnd))</f>
        <v>0</v>
      </c>
      <c r="BW397" s="17">
        <f>IF(Team!$B$397="","",Team!$B$397)</f>
        <v>0</v>
      </c>
      <c r="BX397" s="23">
        <f>IF(BW397="","",COUNTIF('Content Calendar'!$W$5:$W$604,BW397))</f>
        <v>0</v>
      </c>
      <c r="BY397" s="23">
        <f>IF(BW397="","",COUNTIFS('Content Calendar'!$W$5:$W$604,BW397,'Content Calendar'!$X$5:$X$604,"&lt;&gt;Published"))</f>
        <v>0</v>
      </c>
      <c r="BZ397" s="23">
        <f>IF(BW397="","",COUNTIFS(Tasks!$C$5:$C$64,BW397,Tasks!$G$5:$G$64,"&lt;&gt;Complete"))</f>
        <v>0</v>
      </c>
      <c r="CA397" s="17">
        <f>IF(Campaigns!$B$397="","",Campaigns!$B$397)</f>
        <v>0</v>
      </c>
      <c r="CB397" s="25">
        <f>IF(Campaigns!$T$397="","",Campaigns!$T$397)</f>
        <v>0</v>
      </c>
      <c r="CC397" s="25">
        <f>IF(Campaigns!$Q$397="","",Campaigns!$Q$397)</f>
        <v>0</v>
      </c>
      <c r="CD397" s="23">
        <f>IF(Campaigns!$Y$397="","",Campaigns!$Y$397)</f>
        <v>0</v>
      </c>
      <c r="CE397" s="32">
        <f>IF(CA397="","",IF(N(CB397)&lt;=0,"",N(CB397)+ROW()/1000000))</f>
        <v>0</v>
      </c>
      <c r="CF397" s="17">
        <f>IF(Accounts!$C$397="","",Accounts!$C$397)</f>
        <v>0</v>
      </c>
      <c r="CG397" s="17">
        <f>IF(Accounts!$B$397="","",Accounts!$B$397)</f>
        <v>0</v>
      </c>
      <c r="CH397" s="23">
        <f>IF(Accounts!$J$397="","",Accounts!$J$397)</f>
        <v>0</v>
      </c>
      <c r="CI397" s="23">
        <f>IF(CF397="","",SUMIFS(Analytics!$X$5:$X$154,Analytics!$E$5:$E$154,CF397,Analytics!$B$5:$B$154,"&gt;="&amp;DashStart,Analytics!$B$5:$B$154,"&lt;="&amp;DashEnd))</f>
        <v>0</v>
      </c>
      <c r="CJ397" s="32">
        <f>IF(CH397="","",IF(CH397=0,"",CH397+ROW()/1000000))</f>
        <v>0</v>
      </c>
    </row>
    <row r="398" spans="1:88">
      <c r="A398" s="16">
        <f>IF(ROW()-4&gt;12,"",DATE(PlanYear,ROW()-4,1))</f>
        <v>0</v>
      </c>
      <c r="B398" s="16">
        <f>IF(A398="","",EOMONTH(A398,0))</f>
        <v>0</v>
      </c>
      <c r="C398" s="17">
        <f>IF(A398="","",TEXT(A398,"yyyy-mm"))</f>
        <v>0</v>
      </c>
      <c r="D398" s="17">
        <f>IF(A398="","",TEXT(A398,"mmm"))</f>
        <v>0</v>
      </c>
      <c r="E398" s="23">
        <f>IF(C398="","",COUNTIFS('Content Calendar'!$D$5:$D$604,C398))</f>
        <v>0</v>
      </c>
      <c r="F398" s="23">
        <f>IF(C398="","",COUNTIFS('Content Calendar'!$D$5:$D$604,C398,'Content Calendar'!$X$5:$X$604,"Published"))</f>
        <v>0</v>
      </c>
      <c r="G398" s="23">
        <f>IF(C398="","",SUMIFS(Analytics!$J$5:$J$154,Analytics!$C$5:$C$154,C398))</f>
        <v>0</v>
      </c>
      <c r="H398" s="23">
        <f>IF(C398="","",SUMIFS(Analytics!$K$5:$K$154,Analytics!$C$5:$C$154,C398))</f>
        <v>0</v>
      </c>
      <c r="I398" s="23">
        <f>IF(C398="","",SUMIFS(Analytics!$L$5:$L$154,Analytics!$C$5:$C$154,C398))</f>
        <v>0</v>
      </c>
      <c r="J398" s="24">
        <f>IF(OR(G398="",G398=0),"",I398/G398)</f>
        <v>0</v>
      </c>
      <c r="K398" s="23">
        <f>IF(C398="","",SUMIFS(Analytics!$G$5:$G$154,Analytics!$C$5:$C$154,C398))</f>
        <v>0</v>
      </c>
      <c r="L398" s="23">
        <f>IF(C398="","",SUMIFS(Analytics!$X$5:$X$154,Analytics!$C$5:$C$154,C398))</f>
        <v>0</v>
      </c>
      <c r="M398" s="23">
        <f>IF(C398="","",SUMIFS(Analytics!$R$5:$R$154,Analytics!$C$5:$C$154,C398))</f>
        <v>0</v>
      </c>
      <c r="N398" s="23">
        <f>IF(C398="","",SUMIFS(Analytics!$S$5:$S$154,Analytics!$C$5:$C$154,C398))</f>
        <v>0</v>
      </c>
      <c r="O398" s="23">
        <f>IF(C398="","",SUMIFS(Analytics!$T$5:$T$154,Analytics!$C$5:$C$154,C398))</f>
        <v>0</v>
      </c>
      <c r="P398" s="25">
        <f>IF(C398="","",SUMIFS(Analytics!$U$5:$U$154,Analytics!$C$5:$C$154,C398))</f>
        <v>0</v>
      </c>
      <c r="Q398" s="25">
        <f>IF(C398="","",SUMIFS(Budget!$H$5:$H$64,Budget!$C$5:$C$64,C398))</f>
        <v>0</v>
      </c>
      <c r="R398" s="25">
        <f>IF(C398="","",P398-Q398)</f>
        <v>0</v>
      </c>
      <c r="S398" s="23">
        <f>IF(C398="","",MonthlyPostTarget)</f>
        <v>0</v>
      </c>
      <c r="T398" s="17">
        <f>IF(Lists!$C398="","",Lists!$C398)</f>
        <v>0</v>
      </c>
      <c r="U398" s="23">
        <f>IF(T398="","",COUNTIFS('Content Calendar'!$G$5:$G$604,T398,'Content Calendar'!$B$5:$B$604,"&gt;="&amp;DashStart,'Content Calendar'!$B$5:$B$604,"&lt;="&amp;DashEnd))</f>
        <v>0</v>
      </c>
      <c r="V398" s="23">
        <f>IF(T398="","",COUNTIFS('Content Calendar'!$G$5:$G$604,T398,'Content Calendar'!$X$5:$X$604,"Published",'Content Calendar'!$B$5:$B$604,"&gt;="&amp;DashStart,'Content Calendar'!$B$5:$B$604,"&lt;="&amp;DashEnd))</f>
        <v>0</v>
      </c>
      <c r="W398" s="23">
        <f>IF(T398="","",SUMIFS(Analytics!$J$5:$J$154,Analytics!$D$5:$D$154,T398,Analytics!$B$5:$B$154,"&gt;="&amp;DashStart,Analytics!$B$5:$B$154,"&lt;="&amp;DashEnd))</f>
        <v>0</v>
      </c>
      <c r="X398" s="23">
        <f>IF(T398="","",SUMIFS(Analytics!$L$5:$L$154,Analytics!$D$5:$D$154,T398,Analytics!$B$5:$B$154,"&gt;="&amp;DashStart,Analytics!$B$5:$B$154,"&lt;="&amp;DashEnd))</f>
        <v>0</v>
      </c>
      <c r="Y398" s="24">
        <f>IF(OR(W398="",W398=0),"",X398/W398)</f>
        <v>0</v>
      </c>
      <c r="Z398" s="23">
        <f>IF(T398="","",SUMIFS(Analytics!$G$5:$G$154,Analytics!$D$5:$D$154,T398,Analytics!$B$5:$B$154,"&gt;="&amp;DashStart,Analytics!$B$5:$B$154,"&lt;="&amp;DashEnd))</f>
        <v>0</v>
      </c>
      <c r="AA398" s="23">
        <f>IF(T398="","",SUMIFS(Analytics!$X$5:$X$154,Analytics!$D$5:$D$154,T398,Analytics!$B$5:$B$154,"&gt;="&amp;DashStart,Analytics!$B$5:$B$154,"&lt;="&amp;DashEnd))</f>
        <v>0</v>
      </c>
      <c r="AB398" s="23">
        <f>IF(T398="","",SUMIFS(Analytics!$R$5:$R$154,Analytics!$D$5:$D$154,T398,Analytics!$B$5:$B$154,"&gt;="&amp;DashStart,Analytics!$B$5:$B$154,"&lt;="&amp;DashEnd))</f>
        <v>0</v>
      </c>
      <c r="AC398" s="25">
        <f>IF(T398="","",SUMIFS(Analytics!$U$5:$U$154,Analytics!$D$5:$D$154,T398,Analytics!$B$5:$B$154,"&gt;="&amp;DashStart,Analytics!$B$5:$B$154,"&lt;="&amp;DashEnd))</f>
        <v>0</v>
      </c>
      <c r="AD398" s="23">
        <f>IF(T398="","",COUNTIFS('Content Calendar'!$G$5:$G$604,T398,'Content Calendar'!$B$5:$B$604,"&gt;="&amp;DATE(PlanYear,1,1),'Content Calendar'!$B$5:$B$604,"&lt;="&amp;DATE(PlanYear,12,31)))</f>
        <v>0</v>
      </c>
      <c r="AE398" s="23">
        <f>IF(T398="","",SUMIFS(Analytics!$J$5:$J$154,Analytics!$D$5:$D$154,T398))</f>
        <v>0</v>
      </c>
      <c r="AF398" s="23">
        <f>IF(T398="","",SUMIFS(Analytics!$L$5:$L$154,Analytics!$D$5:$D$154,T398))</f>
        <v>0</v>
      </c>
      <c r="AG398" s="24">
        <f>IF(OR(AE398="",AE398=0),"",AF398/AE398)</f>
        <v>0</v>
      </c>
      <c r="AH398" s="23">
        <f>IF(T398="","",SUMIFS(Analytics!$X$5:$X$154,Analytics!$D$5:$D$154,T398))</f>
        <v>0</v>
      </c>
      <c r="AI398" s="32">
        <f>IF(T398="","",IF(AE398=0,"",AE398+ROW()/1000000))</f>
        <v>0</v>
      </c>
      <c r="AJ398" s="17">
        <f>IF('Content Pillars'!$B$398="","",'Content Pillars'!$B$398)</f>
        <v>0</v>
      </c>
      <c r="AK398" s="23">
        <f>IF(AJ398="","",COUNTIFS('Content Calendar'!$J$5:$J$604,AJ398,'Content Calendar'!$B$5:$B$604,"&gt;="&amp;DATE(PlanYear,1,1),'Content Calendar'!$B$5:$B$604,"&lt;="&amp;DATE(PlanYear,12,31)))</f>
        <v>0</v>
      </c>
      <c r="AL398" s="23">
        <f>IF(AJ398="","",SUMIFS(Performance!$O$5:$O$404,Performance!$H$5:$H$404,AJ398))</f>
        <v>0</v>
      </c>
      <c r="AM398" s="23">
        <f>IF(AJ398="","",SUMIFS(Performance!$Z$5:$Z$404,Performance!$H$5:$H$404,AJ398))</f>
        <v>0</v>
      </c>
      <c r="AN398" s="24">
        <f>IF(OR(AL398="",AL398=0),"",AM398/AL398)</f>
        <v>0</v>
      </c>
      <c r="AO398" s="32">
        <f>IF(AN398="","",AN398+ROW()/1000000)</f>
        <v>0</v>
      </c>
      <c r="AP398" s="17">
        <f>IF(Lists!$E398="","",Lists!$E398)</f>
        <v>0</v>
      </c>
      <c r="AQ398" s="23">
        <f>IF(AP398="","",COUNTIF(Performance!$G$5:$G$404,AP398))</f>
        <v>0</v>
      </c>
      <c r="AR398" s="23">
        <f>IF(AP398="","",SUMIFS(Performance!$O$5:$O$404,Performance!$G$5:$G$404,AP398))</f>
        <v>0</v>
      </c>
      <c r="AS398" s="23">
        <f>IF(AP398="","",SUMIFS(Performance!$Z$5:$Z$404,Performance!$G$5:$G$404,AP398))</f>
        <v>0</v>
      </c>
      <c r="AT398" s="24">
        <f>IF(OR(AR398="",AR398=0),"",AS398/AR398)</f>
        <v>0</v>
      </c>
      <c r="AU398" s="32">
        <f>IF(AQ398=0,"",IF(AT398="","",AT398+ROW()/1000000))</f>
        <v>0</v>
      </c>
      <c r="AV398" s="17">
        <f>IF(ROW()-4&gt;7,"",TEXT(DATE(2024,1,ROW()-4),"ddd"))</f>
        <v>0</v>
      </c>
      <c r="AW398" s="23">
        <f>IF(AV398="","",COUNTIF(Performance!$N$5:$N$404,AV398))</f>
        <v>0</v>
      </c>
      <c r="AX398" s="23">
        <f>IF(AV398="","",SUMIFS(Performance!$O$5:$O$404,Performance!$N$5:$N$404,AV398))</f>
        <v>0</v>
      </c>
      <c r="AY398" s="23">
        <f>IF(AV398="","",SUMIFS(Performance!$Z$5:$Z$404,Performance!$N$5:$N$404,AV398))</f>
        <v>0</v>
      </c>
      <c r="AZ398" s="24">
        <f>IF(OR(AX398="",AX398=0),"",AY398/AX398)</f>
        <v>0</v>
      </c>
      <c r="BA398" s="32">
        <f>IF(AW398=0,"",IF(AZ398="","",AZ398+ROW()/1000000))</f>
        <v>0</v>
      </c>
      <c r="BB398" s="17">
        <f>IF(Lists!$AL398="","",Lists!$AL398)</f>
        <v>0</v>
      </c>
      <c r="BC398" s="23">
        <f>IF(BB398="","",COUNTIF(Performance!$M$5:$M$404,BB398))</f>
        <v>0</v>
      </c>
      <c r="BD398" s="23">
        <f>IF(BB398="","",SUMIFS(Performance!$O$5:$O$404,Performance!$M$5:$M$404,BB398))</f>
        <v>0</v>
      </c>
      <c r="BE398" s="23">
        <f>IF(BB398="","",SUMIFS(Performance!$Z$5:$Z$404,Performance!$M$5:$M$404,BB398))</f>
        <v>0</v>
      </c>
      <c r="BF398" s="24">
        <f>IF(OR(BD398="",BD398=0),"",BE398/BD398)</f>
        <v>0</v>
      </c>
      <c r="BG398" s="32">
        <f>IF(BC398=0,"",IF(BF398="","",BF398+ROW()/1000000))</f>
        <v>0</v>
      </c>
      <c r="BH398" s="17">
        <f>IF(Performance!$C$398="","",Performance!$C$398)</f>
        <v>0</v>
      </c>
      <c r="BI398" s="17">
        <f>IF(Performance!$F$398="","",Performance!$F$398)</f>
        <v>0</v>
      </c>
      <c r="BJ398" s="17">
        <f>IF(Performance!$H$398="","",Performance!$H$398)</f>
        <v>0</v>
      </c>
      <c r="BK398" s="16">
        <f>IF(Performance!$D$398="","",Performance!$D$398)</f>
        <v>0</v>
      </c>
      <c r="BL398" s="17">
        <f>IF(Performance!$E$398="","",Performance!$E$398)</f>
        <v>0</v>
      </c>
      <c r="BM398" s="23">
        <f>IF(Performance!$O$398="","",Performance!$O$398)</f>
        <v>0</v>
      </c>
      <c r="BN398" s="24">
        <f>IF(Performance!$AA$398="","",Performance!$AA$398)</f>
        <v>0</v>
      </c>
      <c r="BO398" s="32">
        <f>IF(BH398="","",IF(BK398="","",IF(OR(BK398&lt;DashStart,BK398&gt;DashEnd),"",IF(BN398="","",BN398+ROW()/1000000))))</f>
        <v>0</v>
      </c>
      <c r="BP398" s="32">
        <f>IF(BM398="","",IF(BK398="","",IF(OR(BK398&lt;DashStart,BK398&gt;DashEnd),"",BM398+ROW()/1000000)))</f>
        <v>0</v>
      </c>
      <c r="BQ398" s="32">
        <f>IF(BH398="","",IF(BK398="","",IF(YEAR(BK398)&lt;&gt;PlanYear,"",IF(BN398="","",BN398+ROW()/1000000))))</f>
        <v>0</v>
      </c>
      <c r="BR398" s="32">
        <f>IF(BH398="","",IF(BK398="","",IF(OR(BK398&lt;RepFrom,BK398&gt;RepTo),"",IF(BN398="","",BN398+ROW()/1000000))))</f>
        <v>0</v>
      </c>
      <c r="BS398" s="32">
        <f>IF(BM398="","",IF(BK398="","",IF(YEAR(BK398)&lt;&gt;PlanYear,"",BM398+ROW()/1000000)))</f>
        <v>0</v>
      </c>
      <c r="BT398" s="17">
        <f>IF(Lists!$F398="","",Lists!$F398)</f>
        <v>0</v>
      </c>
      <c r="BU398" s="23">
        <f>IF(BT398="","",COUNTIF('Content Calendar'!$X$5:$X$604,BT398))</f>
        <v>0</v>
      </c>
      <c r="BV398" s="23">
        <f>IF(BT398="","",COUNTIFS('Content Calendar'!$X$5:$X$604,BT398,'Content Calendar'!$B$5:$B$604,"&gt;="&amp;DashStart,'Content Calendar'!$B$5:$B$604,"&lt;="&amp;DashEnd))</f>
        <v>0</v>
      </c>
      <c r="BW398" s="17">
        <f>IF(Team!$B$398="","",Team!$B$398)</f>
        <v>0</v>
      </c>
      <c r="BX398" s="23">
        <f>IF(BW398="","",COUNTIF('Content Calendar'!$W$5:$W$604,BW398))</f>
        <v>0</v>
      </c>
      <c r="BY398" s="23">
        <f>IF(BW398="","",COUNTIFS('Content Calendar'!$W$5:$W$604,BW398,'Content Calendar'!$X$5:$X$604,"&lt;&gt;Published"))</f>
        <v>0</v>
      </c>
      <c r="BZ398" s="23">
        <f>IF(BW398="","",COUNTIFS(Tasks!$C$5:$C$64,BW398,Tasks!$G$5:$G$64,"&lt;&gt;Complete"))</f>
        <v>0</v>
      </c>
      <c r="CA398" s="17">
        <f>IF(Campaigns!$B$398="","",Campaigns!$B$398)</f>
        <v>0</v>
      </c>
      <c r="CB398" s="25">
        <f>IF(Campaigns!$T$398="","",Campaigns!$T$398)</f>
        <v>0</v>
      </c>
      <c r="CC398" s="25">
        <f>IF(Campaigns!$Q$398="","",Campaigns!$Q$398)</f>
        <v>0</v>
      </c>
      <c r="CD398" s="23">
        <f>IF(Campaigns!$Y$398="","",Campaigns!$Y$398)</f>
        <v>0</v>
      </c>
      <c r="CE398" s="32">
        <f>IF(CA398="","",IF(N(CB398)&lt;=0,"",N(CB398)+ROW()/1000000))</f>
        <v>0</v>
      </c>
      <c r="CF398" s="17">
        <f>IF(Accounts!$C$398="","",Accounts!$C$398)</f>
        <v>0</v>
      </c>
      <c r="CG398" s="17">
        <f>IF(Accounts!$B$398="","",Accounts!$B$398)</f>
        <v>0</v>
      </c>
      <c r="CH398" s="23">
        <f>IF(Accounts!$J$398="","",Accounts!$J$398)</f>
        <v>0</v>
      </c>
      <c r="CI398" s="23">
        <f>IF(CF398="","",SUMIFS(Analytics!$X$5:$X$154,Analytics!$E$5:$E$154,CF398,Analytics!$B$5:$B$154,"&gt;="&amp;DashStart,Analytics!$B$5:$B$154,"&lt;="&amp;DashEnd))</f>
        <v>0</v>
      </c>
      <c r="CJ398" s="32">
        <f>IF(CH398="","",IF(CH398=0,"",CH398+ROW()/1000000))</f>
        <v>0</v>
      </c>
    </row>
    <row r="399" spans="1:88">
      <c r="A399" s="16">
        <f>IF(ROW()-4&gt;12,"",DATE(PlanYear,ROW()-4,1))</f>
        <v>0</v>
      </c>
      <c r="B399" s="16">
        <f>IF(A399="","",EOMONTH(A399,0))</f>
        <v>0</v>
      </c>
      <c r="C399" s="17">
        <f>IF(A399="","",TEXT(A399,"yyyy-mm"))</f>
        <v>0</v>
      </c>
      <c r="D399" s="17">
        <f>IF(A399="","",TEXT(A399,"mmm"))</f>
        <v>0</v>
      </c>
      <c r="E399" s="23">
        <f>IF(C399="","",COUNTIFS('Content Calendar'!$D$5:$D$604,C399))</f>
        <v>0</v>
      </c>
      <c r="F399" s="23">
        <f>IF(C399="","",COUNTIFS('Content Calendar'!$D$5:$D$604,C399,'Content Calendar'!$X$5:$X$604,"Published"))</f>
        <v>0</v>
      </c>
      <c r="G399" s="23">
        <f>IF(C399="","",SUMIFS(Analytics!$J$5:$J$154,Analytics!$C$5:$C$154,C399))</f>
        <v>0</v>
      </c>
      <c r="H399" s="23">
        <f>IF(C399="","",SUMIFS(Analytics!$K$5:$K$154,Analytics!$C$5:$C$154,C399))</f>
        <v>0</v>
      </c>
      <c r="I399" s="23">
        <f>IF(C399="","",SUMIFS(Analytics!$L$5:$L$154,Analytics!$C$5:$C$154,C399))</f>
        <v>0</v>
      </c>
      <c r="J399" s="24">
        <f>IF(OR(G399="",G399=0),"",I399/G399)</f>
        <v>0</v>
      </c>
      <c r="K399" s="23">
        <f>IF(C399="","",SUMIFS(Analytics!$G$5:$G$154,Analytics!$C$5:$C$154,C399))</f>
        <v>0</v>
      </c>
      <c r="L399" s="23">
        <f>IF(C399="","",SUMIFS(Analytics!$X$5:$X$154,Analytics!$C$5:$C$154,C399))</f>
        <v>0</v>
      </c>
      <c r="M399" s="23">
        <f>IF(C399="","",SUMIFS(Analytics!$R$5:$R$154,Analytics!$C$5:$C$154,C399))</f>
        <v>0</v>
      </c>
      <c r="N399" s="23">
        <f>IF(C399="","",SUMIFS(Analytics!$S$5:$S$154,Analytics!$C$5:$C$154,C399))</f>
        <v>0</v>
      </c>
      <c r="O399" s="23">
        <f>IF(C399="","",SUMIFS(Analytics!$T$5:$T$154,Analytics!$C$5:$C$154,C399))</f>
        <v>0</v>
      </c>
      <c r="P399" s="25">
        <f>IF(C399="","",SUMIFS(Analytics!$U$5:$U$154,Analytics!$C$5:$C$154,C399))</f>
        <v>0</v>
      </c>
      <c r="Q399" s="25">
        <f>IF(C399="","",SUMIFS(Budget!$H$5:$H$64,Budget!$C$5:$C$64,C399))</f>
        <v>0</v>
      </c>
      <c r="R399" s="25">
        <f>IF(C399="","",P399-Q399)</f>
        <v>0</v>
      </c>
      <c r="S399" s="23">
        <f>IF(C399="","",MonthlyPostTarget)</f>
        <v>0</v>
      </c>
      <c r="T399" s="17">
        <f>IF(Lists!$C399="","",Lists!$C399)</f>
        <v>0</v>
      </c>
      <c r="U399" s="23">
        <f>IF(T399="","",COUNTIFS('Content Calendar'!$G$5:$G$604,T399,'Content Calendar'!$B$5:$B$604,"&gt;="&amp;DashStart,'Content Calendar'!$B$5:$B$604,"&lt;="&amp;DashEnd))</f>
        <v>0</v>
      </c>
      <c r="V399" s="23">
        <f>IF(T399="","",COUNTIFS('Content Calendar'!$G$5:$G$604,T399,'Content Calendar'!$X$5:$X$604,"Published",'Content Calendar'!$B$5:$B$604,"&gt;="&amp;DashStart,'Content Calendar'!$B$5:$B$604,"&lt;="&amp;DashEnd))</f>
        <v>0</v>
      </c>
      <c r="W399" s="23">
        <f>IF(T399="","",SUMIFS(Analytics!$J$5:$J$154,Analytics!$D$5:$D$154,T399,Analytics!$B$5:$B$154,"&gt;="&amp;DashStart,Analytics!$B$5:$B$154,"&lt;="&amp;DashEnd))</f>
        <v>0</v>
      </c>
      <c r="X399" s="23">
        <f>IF(T399="","",SUMIFS(Analytics!$L$5:$L$154,Analytics!$D$5:$D$154,T399,Analytics!$B$5:$B$154,"&gt;="&amp;DashStart,Analytics!$B$5:$B$154,"&lt;="&amp;DashEnd))</f>
        <v>0</v>
      </c>
      <c r="Y399" s="24">
        <f>IF(OR(W399="",W399=0),"",X399/W399)</f>
        <v>0</v>
      </c>
      <c r="Z399" s="23">
        <f>IF(T399="","",SUMIFS(Analytics!$G$5:$G$154,Analytics!$D$5:$D$154,T399,Analytics!$B$5:$B$154,"&gt;="&amp;DashStart,Analytics!$B$5:$B$154,"&lt;="&amp;DashEnd))</f>
        <v>0</v>
      </c>
      <c r="AA399" s="23">
        <f>IF(T399="","",SUMIFS(Analytics!$X$5:$X$154,Analytics!$D$5:$D$154,T399,Analytics!$B$5:$B$154,"&gt;="&amp;DashStart,Analytics!$B$5:$B$154,"&lt;="&amp;DashEnd))</f>
        <v>0</v>
      </c>
      <c r="AB399" s="23">
        <f>IF(T399="","",SUMIFS(Analytics!$R$5:$R$154,Analytics!$D$5:$D$154,T399,Analytics!$B$5:$B$154,"&gt;="&amp;DashStart,Analytics!$B$5:$B$154,"&lt;="&amp;DashEnd))</f>
        <v>0</v>
      </c>
      <c r="AC399" s="25">
        <f>IF(T399="","",SUMIFS(Analytics!$U$5:$U$154,Analytics!$D$5:$D$154,T399,Analytics!$B$5:$B$154,"&gt;="&amp;DashStart,Analytics!$B$5:$B$154,"&lt;="&amp;DashEnd))</f>
        <v>0</v>
      </c>
      <c r="AD399" s="23">
        <f>IF(T399="","",COUNTIFS('Content Calendar'!$G$5:$G$604,T399,'Content Calendar'!$B$5:$B$604,"&gt;="&amp;DATE(PlanYear,1,1),'Content Calendar'!$B$5:$B$604,"&lt;="&amp;DATE(PlanYear,12,31)))</f>
        <v>0</v>
      </c>
      <c r="AE399" s="23">
        <f>IF(T399="","",SUMIFS(Analytics!$J$5:$J$154,Analytics!$D$5:$D$154,T399))</f>
        <v>0</v>
      </c>
      <c r="AF399" s="23">
        <f>IF(T399="","",SUMIFS(Analytics!$L$5:$L$154,Analytics!$D$5:$D$154,T399))</f>
        <v>0</v>
      </c>
      <c r="AG399" s="24">
        <f>IF(OR(AE399="",AE399=0),"",AF399/AE399)</f>
        <v>0</v>
      </c>
      <c r="AH399" s="23">
        <f>IF(T399="","",SUMIFS(Analytics!$X$5:$X$154,Analytics!$D$5:$D$154,T399))</f>
        <v>0</v>
      </c>
      <c r="AI399" s="32">
        <f>IF(T399="","",IF(AE399=0,"",AE399+ROW()/1000000))</f>
        <v>0</v>
      </c>
      <c r="AJ399" s="17">
        <f>IF('Content Pillars'!$B$399="","",'Content Pillars'!$B$399)</f>
        <v>0</v>
      </c>
      <c r="AK399" s="23">
        <f>IF(AJ399="","",COUNTIFS('Content Calendar'!$J$5:$J$604,AJ399,'Content Calendar'!$B$5:$B$604,"&gt;="&amp;DATE(PlanYear,1,1),'Content Calendar'!$B$5:$B$604,"&lt;="&amp;DATE(PlanYear,12,31)))</f>
        <v>0</v>
      </c>
      <c r="AL399" s="23">
        <f>IF(AJ399="","",SUMIFS(Performance!$O$5:$O$404,Performance!$H$5:$H$404,AJ399))</f>
        <v>0</v>
      </c>
      <c r="AM399" s="23">
        <f>IF(AJ399="","",SUMIFS(Performance!$Z$5:$Z$404,Performance!$H$5:$H$404,AJ399))</f>
        <v>0</v>
      </c>
      <c r="AN399" s="24">
        <f>IF(OR(AL399="",AL399=0),"",AM399/AL399)</f>
        <v>0</v>
      </c>
      <c r="AO399" s="32">
        <f>IF(AN399="","",AN399+ROW()/1000000)</f>
        <v>0</v>
      </c>
      <c r="AP399" s="17">
        <f>IF(Lists!$E399="","",Lists!$E399)</f>
        <v>0</v>
      </c>
      <c r="AQ399" s="23">
        <f>IF(AP399="","",COUNTIF(Performance!$G$5:$G$404,AP399))</f>
        <v>0</v>
      </c>
      <c r="AR399" s="23">
        <f>IF(AP399="","",SUMIFS(Performance!$O$5:$O$404,Performance!$G$5:$G$404,AP399))</f>
        <v>0</v>
      </c>
      <c r="AS399" s="23">
        <f>IF(AP399="","",SUMIFS(Performance!$Z$5:$Z$404,Performance!$G$5:$G$404,AP399))</f>
        <v>0</v>
      </c>
      <c r="AT399" s="24">
        <f>IF(OR(AR399="",AR399=0),"",AS399/AR399)</f>
        <v>0</v>
      </c>
      <c r="AU399" s="32">
        <f>IF(AQ399=0,"",IF(AT399="","",AT399+ROW()/1000000))</f>
        <v>0</v>
      </c>
      <c r="AV399" s="17">
        <f>IF(ROW()-4&gt;7,"",TEXT(DATE(2024,1,ROW()-4),"ddd"))</f>
        <v>0</v>
      </c>
      <c r="AW399" s="23">
        <f>IF(AV399="","",COUNTIF(Performance!$N$5:$N$404,AV399))</f>
        <v>0</v>
      </c>
      <c r="AX399" s="23">
        <f>IF(AV399="","",SUMIFS(Performance!$O$5:$O$404,Performance!$N$5:$N$404,AV399))</f>
        <v>0</v>
      </c>
      <c r="AY399" s="23">
        <f>IF(AV399="","",SUMIFS(Performance!$Z$5:$Z$404,Performance!$N$5:$N$404,AV399))</f>
        <v>0</v>
      </c>
      <c r="AZ399" s="24">
        <f>IF(OR(AX399="",AX399=0),"",AY399/AX399)</f>
        <v>0</v>
      </c>
      <c r="BA399" s="32">
        <f>IF(AW399=0,"",IF(AZ399="","",AZ399+ROW()/1000000))</f>
        <v>0</v>
      </c>
      <c r="BB399" s="17">
        <f>IF(Lists!$AL399="","",Lists!$AL399)</f>
        <v>0</v>
      </c>
      <c r="BC399" s="23">
        <f>IF(BB399="","",COUNTIF(Performance!$M$5:$M$404,BB399))</f>
        <v>0</v>
      </c>
      <c r="BD399" s="23">
        <f>IF(BB399="","",SUMIFS(Performance!$O$5:$O$404,Performance!$M$5:$M$404,BB399))</f>
        <v>0</v>
      </c>
      <c r="BE399" s="23">
        <f>IF(BB399="","",SUMIFS(Performance!$Z$5:$Z$404,Performance!$M$5:$M$404,BB399))</f>
        <v>0</v>
      </c>
      <c r="BF399" s="24">
        <f>IF(OR(BD399="",BD399=0),"",BE399/BD399)</f>
        <v>0</v>
      </c>
      <c r="BG399" s="32">
        <f>IF(BC399=0,"",IF(BF399="","",BF399+ROW()/1000000))</f>
        <v>0</v>
      </c>
      <c r="BH399" s="17">
        <f>IF(Performance!$C$399="","",Performance!$C$399)</f>
        <v>0</v>
      </c>
      <c r="BI399" s="17">
        <f>IF(Performance!$F$399="","",Performance!$F$399)</f>
        <v>0</v>
      </c>
      <c r="BJ399" s="17">
        <f>IF(Performance!$H$399="","",Performance!$H$399)</f>
        <v>0</v>
      </c>
      <c r="BK399" s="16">
        <f>IF(Performance!$D$399="","",Performance!$D$399)</f>
        <v>0</v>
      </c>
      <c r="BL399" s="17">
        <f>IF(Performance!$E$399="","",Performance!$E$399)</f>
        <v>0</v>
      </c>
      <c r="BM399" s="23">
        <f>IF(Performance!$O$399="","",Performance!$O$399)</f>
        <v>0</v>
      </c>
      <c r="BN399" s="24">
        <f>IF(Performance!$AA$399="","",Performance!$AA$399)</f>
        <v>0</v>
      </c>
      <c r="BO399" s="32">
        <f>IF(BH399="","",IF(BK399="","",IF(OR(BK399&lt;DashStart,BK399&gt;DashEnd),"",IF(BN399="","",BN399+ROW()/1000000))))</f>
        <v>0</v>
      </c>
      <c r="BP399" s="32">
        <f>IF(BM399="","",IF(BK399="","",IF(OR(BK399&lt;DashStart,BK399&gt;DashEnd),"",BM399+ROW()/1000000)))</f>
        <v>0</v>
      </c>
      <c r="BQ399" s="32">
        <f>IF(BH399="","",IF(BK399="","",IF(YEAR(BK399)&lt;&gt;PlanYear,"",IF(BN399="","",BN399+ROW()/1000000))))</f>
        <v>0</v>
      </c>
      <c r="BR399" s="32">
        <f>IF(BH399="","",IF(BK399="","",IF(OR(BK399&lt;RepFrom,BK399&gt;RepTo),"",IF(BN399="","",BN399+ROW()/1000000))))</f>
        <v>0</v>
      </c>
      <c r="BS399" s="32">
        <f>IF(BM399="","",IF(BK399="","",IF(YEAR(BK399)&lt;&gt;PlanYear,"",BM399+ROW()/1000000)))</f>
        <v>0</v>
      </c>
      <c r="BT399" s="17">
        <f>IF(Lists!$F399="","",Lists!$F399)</f>
        <v>0</v>
      </c>
      <c r="BU399" s="23">
        <f>IF(BT399="","",COUNTIF('Content Calendar'!$X$5:$X$604,BT399))</f>
        <v>0</v>
      </c>
      <c r="BV399" s="23">
        <f>IF(BT399="","",COUNTIFS('Content Calendar'!$X$5:$X$604,BT399,'Content Calendar'!$B$5:$B$604,"&gt;="&amp;DashStart,'Content Calendar'!$B$5:$B$604,"&lt;="&amp;DashEnd))</f>
        <v>0</v>
      </c>
      <c r="BW399" s="17">
        <f>IF(Team!$B$399="","",Team!$B$399)</f>
        <v>0</v>
      </c>
      <c r="BX399" s="23">
        <f>IF(BW399="","",COUNTIF('Content Calendar'!$W$5:$W$604,BW399))</f>
        <v>0</v>
      </c>
      <c r="BY399" s="23">
        <f>IF(BW399="","",COUNTIFS('Content Calendar'!$W$5:$W$604,BW399,'Content Calendar'!$X$5:$X$604,"&lt;&gt;Published"))</f>
        <v>0</v>
      </c>
      <c r="BZ399" s="23">
        <f>IF(BW399="","",COUNTIFS(Tasks!$C$5:$C$64,BW399,Tasks!$G$5:$G$64,"&lt;&gt;Complete"))</f>
        <v>0</v>
      </c>
      <c r="CA399" s="17">
        <f>IF(Campaigns!$B$399="","",Campaigns!$B$399)</f>
        <v>0</v>
      </c>
      <c r="CB399" s="25">
        <f>IF(Campaigns!$T$399="","",Campaigns!$T$399)</f>
        <v>0</v>
      </c>
      <c r="CC399" s="25">
        <f>IF(Campaigns!$Q$399="","",Campaigns!$Q$399)</f>
        <v>0</v>
      </c>
      <c r="CD399" s="23">
        <f>IF(Campaigns!$Y$399="","",Campaigns!$Y$399)</f>
        <v>0</v>
      </c>
      <c r="CE399" s="32">
        <f>IF(CA399="","",IF(N(CB399)&lt;=0,"",N(CB399)+ROW()/1000000))</f>
        <v>0</v>
      </c>
      <c r="CF399" s="17">
        <f>IF(Accounts!$C$399="","",Accounts!$C$399)</f>
        <v>0</v>
      </c>
      <c r="CG399" s="17">
        <f>IF(Accounts!$B$399="","",Accounts!$B$399)</f>
        <v>0</v>
      </c>
      <c r="CH399" s="23">
        <f>IF(Accounts!$J$399="","",Accounts!$J$399)</f>
        <v>0</v>
      </c>
      <c r="CI399" s="23">
        <f>IF(CF399="","",SUMIFS(Analytics!$X$5:$X$154,Analytics!$E$5:$E$154,CF399,Analytics!$B$5:$B$154,"&gt;="&amp;DashStart,Analytics!$B$5:$B$154,"&lt;="&amp;DashEnd))</f>
        <v>0</v>
      </c>
      <c r="CJ399" s="32">
        <f>IF(CH399="","",IF(CH399=0,"",CH399+ROW()/1000000))</f>
        <v>0</v>
      </c>
    </row>
    <row r="400" spans="1:88">
      <c r="A400" s="16">
        <f>IF(ROW()-4&gt;12,"",DATE(PlanYear,ROW()-4,1))</f>
        <v>0</v>
      </c>
      <c r="B400" s="16">
        <f>IF(A400="","",EOMONTH(A400,0))</f>
        <v>0</v>
      </c>
      <c r="C400" s="17">
        <f>IF(A400="","",TEXT(A400,"yyyy-mm"))</f>
        <v>0</v>
      </c>
      <c r="D400" s="17">
        <f>IF(A400="","",TEXT(A400,"mmm"))</f>
        <v>0</v>
      </c>
      <c r="E400" s="23">
        <f>IF(C400="","",COUNTIFS('Content Calendar'!$D$5:$D$604,C400))</f>
        <v>0</v>
      </c>
      <c r="F400" s="23">
        <f>IF(C400="","",COUNTIFS('Content Calendar'!$D$5:$D$604,C400,'Content Calendar'!$X$5:$X$604,"Published"))</f>
        <v>0</v>
      </c>
      <c r="G400" s="23">
        <f>IF(C400="","",SUMIFS(Analytics!$J$5:$J$154,Analytics!$C$5:$C$154,C400))</f>
        <v>0</v>
      </c>
      <c r="H400" s="23">
        <f>IF(C400="","",SUMIFS(Analytics!$K$5:$K$154,Analytics!$C$5:$C$154,C400))</f>
        <v>0</v>
      </c>
      <c r="I400" s="23">
        <f>IF(C400="","",SUMIFS(Analytics!$L$5:$L$154,Analytics!$C$5:$C$154,C400))</f>
        <v>0</v>
      </c>
      <c r="J400" s="24">
        <f>IF(OR(G400="",G400=0),"",I400/G400)</f>
        <v>0</v>
      </c>
      <c r="K400" s="23">
        <f>IF(C400="","",SUMIFS(Analytics!$G$5:$G$154,Analytics!$C$5:$C$154,C400))</f>
        <v>0</v>
      </c>
      <c r="L400" s="23">
        <f>IF(C400="","",SUMIFS(Analytics!$X$5:$X$154,Analytics!$C$5:$C$154,C400))</f>
        <v>0</v>
      </c>
      <c r="M400" s="23">
        <f>IF(C400="","",SUMIFS(Analytics!$R$5:$R$154,Analytics!$C$5:$C$154,C400))</f>
        <v>0</v>
      </c>
      <c r="N400" s="23">
        <f>IF(C400="","",SUMIFS(Analytics!$S$5:$S$154,Analytics!$C$5:$C$154,C400))</f>
        <v>0</v>
      </c>
      <c r="O400" s="23">
        <f>IF(C400="","",SUMIFS(Analytics!$T$5:$T$154,Analytics!$C$5:$C$154,C400))</f>
        <v>0</v>
      </c>
      <c r="P400" s="25">
        <f>IF(C400="","",SUMIFS(Analytics!$U$5:$U$154,Analytics!$C$5:$C$154,C400))</f>
        <v>0</v>
      </c>
      <c r="Q400" s="25">
        <f>IF(C400="","",SUMIFS(Budget!$H$5:$H$64,Budget!$C$5:$C$64,C400))</f>
        <v>0</v>
      </c>
      <c r="R400" s="25">
        <f>IF(C400="","",P400-Q400)</f>
        <v>0</v>
      </c>
      <c r="S400" s="23">
        <f>IF(C400="","",MonthlyPostTarget)</f>
        <v>0</v>
      </c>
      <c r="T400" s="17">
        <f>IF(Lists!$C400="","",Lists!$C400)</f>
        <v>0</v>
      </c>
      <c r="U400" s="23">
        <f>IF(T400="","",COUNTIFS('Content Calendar'!$G$5:$G$604,T400,'Content Calendar'!$B$5:$B$604,"&gt;="&amp;DashStart,'Content Calendar'!$B$5:$B$604,"&lt;="&amp;DashEnd))</f>
        <v>0</v>
      </c>
      <c r="V400" s="23">
        <f>IF(T400="","",COUNTIFS('Content Calendar'!$G$5:$G$604,T400,'Content Calendar'!$X$5:$X$604,"Published",'Content Calendar'!$B$5:$B$604,"&gt;="&amp;DashStart,'Content Calendar'!$B$5:$B$604,"&lt;="&amp;DashEnd))</f>
        <v>0</v>
      </c>
      <c r="W400" s="23">
        <f>IF(T400="","",SUMIFS(Analytics!$J$5:$J$154,Analytics!$D$5:$D$154,T400,Analytics!$B$5:$B$154,"&gt;="&amp;DashStart,Analytics!$B$5:$B$154,"&lt;="&amp;DashEnd))</f>
        <v>0</v>
      </c>
      <c r="X400" s="23">
        <f>IF(T400="","",SUMIFS(Analytics!$L$5:$L$154,Analytics!$D$5:$D$154,T400,Analytics!$B$5:$B$154,"&gt;="&amp;DashStart,Analytics!$B$5:$B$154,"&lt;="&amp;DashEnd))</f>
        <v>0</v>
      </c>
      <c r="Y400" s="24">
        <f>IF(OR(W400="",W400=0),"",X400/W400)</f>
        <v>0</v>
      </c>
      <c r="Z400" s="23">
        <f>IF(T400="","",SUMIFS(Analytics!$G$5:$G$154,Analytics!$D$5:$D$154,T400,Analytics!$B$5:$B$154,"&gt;="&amp;DashStart,Analytics!$B$5:$B$154,"&lt;="&amp;DashEnd))</f>
        <v>0</v>
      </c>
      <c r="AA400" s="23">
        <f>IF(T400="","",SUMIFS(Analytics!$X$5:$X$154,Analytics!$D$5:$D$154,T400,Analytics!$B$5:$B$154,"&gt;="&amp;DashStart,Analytics!$B$5:$B$154,"&lt;="&amp;DashEnd))</f>
        <v>0</v>
      </c>
      <c r="AB400" s="23">
        <f>IF(T400="","",SUMIFS(Analytics!$R$5:$R$154,Analytics!$D$5:$D$154,T400,Analytics!$B$5:$B$154,"&gt;="&amp;DashStart,Analytics!$B$5:$B$154,"&lt;="&amp;DashEnd))</f>
        <v>0</v>
      </c>
      <c r="AC400" s="25">
        <f>IF(T400="","",SUMIFS(Analytics!$U$5:$U$154,Analytics!$D$5:$D$154,T400,Analytics!$B$5:$B$154,"&gt;="&amp;DashStart,Analytics!$B$5:$B$154,"&lt;="&amp;DashEnd))</f>
        <v>0</v>
      </c>
      <c r="AD400" s="23">
        <f>IF(T400="","",COUNTIFS('Content Calendar'!$G$5:$G$604,T400,'Content Calendar'!$B$5:$B$604,"&gt;="&amp;DATE(PlanYear,1,1),'Content Calendar'!$B$5:$B$604,"&lt;="&amp;DATE(PlanYear,12,31)))</f>
        <v>0</v>
      </c>
      <c r="AE400" s="23">
        <f>IF(T400="","",SUMIFS(Analytics!$J$5:$J$154,Analytics!$D$5:$D$154,T400))</f>
        <v>0</v>
      </c>
      <c r="AF400" s="23">
        <f>IF(T400="","",SUMIFS(Analytics!$L$5:$L$154,Analytics!$D$5:$D$154,T400))</f>
        <v>0</v>
      </c>
      <c r="AG400" s="24">
        <f>IF(OR(AE400="",AE400=0),"",AF400/AE400)</f>
        <v>0</v>
      </c>
      <c r="AH400" s="23">
        <f>IF(T400="","",SUMIFS(Analytics!$X$5:$X$154,Analytics!$D$5:$D$154,T400))</f>
        <v>0</v>
      </c>
      <c r="AI400" s="32">
        <f>IF(T400="","",IF(AE400=0,"",AE400+ROW()/1000000))</f>
        <v>0</v>
      </c>
      <c r="AJ400" s="17">
        <f>IF('Content Pillars'!$B$400="","",'Content Pillars'!$B$400)</f>
        <v>0</v>
      </c>
      <c r="AK400" s="23">
        <f>IF(AJ400="","",COUNTIFS('Content Calendar'!$J$5:$J$604,AJ400,'Content Calendar'!$B$5:$B$604,"&gt;="&amp;DATE(PlanYear,1,1),'Content Calendar'!$B$5:$B$604,"&lt;="&amp;DATE(PlanYear,12,31)))</f>
        <v>0</v>
      </c>
      <c r="AL400" s="23">
        <f>IF(AJ400="","",SUMIFS(Performance!$O$5:$O$404,Performance!$H$5:$H$404,AJ400))</f>
        <v>0</v>
      </c>
      <c r="AM400" s="23">
        <f>IF(AJ400="","",SUMIFS(Performance!$Z$5:$Z$404,Performance!$H$5:$H$404,AJ400))</f>
        <v>0</v>
      </c>
      <c r="AN400" s="24">
        <f>IF(OR(AL400="",AL400=0),"",AM400/AL400)</f>
        <v>0</v>
      </c>
      <c r="AO400" s="32">
        <f>IF(AN400="","",AN400+ROW()/1000000)</f>
        <v>0</v>
      </c>
      <c r="AP400" s="17">
        <f>IF(Lists!$E400="","",Lists!$E400)</f>
        <v>0</v>
      </c>
      <c r="AQ400" s="23">
        <f>IF(AP400="","",COUNTIF(Performance!$G$5:$G$404,AP400))</f>
        <v>0</v>
      </c>
      <c r="AR400" s="23">
        <f>IF(AP400="","",SUMIFS(Performance!$O$5:$O$404,Performance!$G$5:$G$404,AP400))</f>
        <v>0</v>
      </c>
      <c r="AS400" s="23">
        <f>IF(AP400="","",SUMIFS(Performance!$Z$5:$Z$404,Performance!$G$5:$G$404,AP400))</f>
        <v>0</v>
      </c>
      <c r="AT400" s="24">
        <f>IF(OR(AR400="",AR400=0),"",AS400/AR400)</f>
        <v>0</v>
      </c>
      <c r="AU400" s="32">
        <f>IF(AQ400=0,"",IF(AT400="","",AT400+ROW()/1000000))</f>
        <v>0</v>
      </c>
      <c r="AV400" s="17">
        <f>IF(ROW()-4&gt;7,"",TEXT(DATE(2024,1,ROW()-4),"ddd"))</f>
        <v>0</v>
      </c>
      <c r="AW400" s="23">
        <f>IF(AV400="","",COUNTIF(Performance!$N$5:$N$404,AV400))</f>
        <v>0</v>
      </c>
      <c r="AX400" s="23">
        <f>IF(AV400="","",SUMIFS(Performance!$O$5:$O$404,Performance!$N$5:$N$404,AV400))</f>
        <v>0</v>
      </c>
      <c r="AY400" s="23">
        <f>IF(AV400="","",SUMIFS(Performance!$Z$5:$Z$404,Performance!$N$5:$N$404,AV400))</f>
        <v>0</v>
      </c>
      <c r="AZ400" s="24">
        <f>IF(OR(AX400="",AX400=0),"",AY400/AX400)</f>
        <v>0</v>
      </c>
      <c r="BA400" s="32">
        <f>IF(AW400=0,"",IF(AZ400="","",AZ400+ROW()/1000000))</f>
        <v>0</v>
      </c>
      <c r="BB400" s="17">
        <f>IF(Lists!$AL400="","",Lists!$AL400)</f>
        <v>0</v>
      </c>
      <c r="BC400" s="23">
        <f>IF(BB400="","",COUNTIF(Performance!$M$5:$M$404,BB400))</f>
        <v>0</v>
      </c>
      <c r="BD400" s="23">
        <f>IF(BB400="","",SUMIFS(Performance!$O$5:$O$404,Performance!$M$5:$M$404,BB400))</f>
        <v>0</v>
      </c>
      <c r="BE400" s="23">
        <f>IF(BB400="","",SUMIFS(Performance!$Z$5:$Z$404,Performance!$M$5:$M$404,BB400))</f>
        <v>0</v>
      </c>
      <c r="BF400" s="24">
        <f>IF(OR(BD400="",BD400=0),"",BE400/BD400)</f>
        <v>0</v>
      </c>
      <c r="BG400" s="32">
        <f>IF(BC400=0,"",IF(BF400="","",BF400+ROW()/1000000))</f>
        <v>0</v>
      </c>
      <c r="BH400" s="17">
        <f>IF(Performance!$C$400="","",Performance!$C$400)</f>
        <v>0</v>
      </c>
      <c r="BI400" s="17">
        <f>IF(Performance!$F$400="","",Performance!$F$400)</f>
        <v>0</v>
      </c>
      <c r="BJ400" s="17">
        <f>IF(Performance!$H$400="","",Performance!$H$400)</f>
        <v>0</v>
      </c>
      <c r="BK400" s="16">
        <f>IF(Performance!$D$400="","",Performance!$D$400)</f>
        <v>0</v>
      </c>
      <c r="BL400" s="17">
        <f>IF(Performance!$E$400="","",Performance!$E$400)</f>
        <v>0</v>
      </c>
      <c r="BM400" s="23">
        <f>IF(Performance!$O$400="","",Performance!$O$400)</f>
        <v>0</v>
      </c>
      <c r="BN400" s="24">
        <f>IF(Performance!$AA$400="","",Performance!$AA$400)</f>
        <v>0</v>
      </c>
      <c r="BO400" s="32">
        <f>IF(BH400="","",IF(BK400="","",IF(OR(BK400&lt;DashStart,BK400&gt;DashEnd),"",IF(BN400="","",BN400+ROW()/1000000))))</f>
        <v>0</v>
      </c>
      <c r="BP400" s="32">
        <f>IF(BM400="","",IF(BK400="","",IF(OR(BK400&lt;DashStart,BK400&gt;DashEnd),"",BM400+ROW()/1000000)))</f>
        <v>0</v>
      </c>
      <c r="BQ400" s="32">
        <f>IF(BH400="","",IF(BK400="","",IF(YEAR(BK400)&lt;&gt;PlanYear,"",IF(BN400="","",BN400+ROW()/1000000))))</f>
        <v>0</v>
      </c>
      <c r="BR400" s="32">
        <f>IF(BH400="","",IF(BK400="","",IF(OR(BK400&lt;RepFrom,BK400&gt;RepTo),"",IF(BN400="","",BN400+ROW()/1000000))))</f>
        <v>0</v>
      </c>
      <c r="BS400" s="32">
        <f>IF(BM400="","",IF(BK400="","",IF(YEAR(BK400)&lt;&gt;PlanYear,"",BM400+ROW()/1000000)))</f>
        <v>0</v>
      </c>
      <c r="BT400" s="17">
        <f>IF(Lists!$F400="","",Lists!$F400)</f>
        <v>0</v>
      </c>
      <c r="BU400" s="23">
        <f>IF(BT400="","",COUNTIF('Content Calendar'!$X$5:$X$604,BT400))</f>
        <v>0</v>
      </c>
      <c r="BV400" s="23">
        <f>IF(BT400="","",COUNTIFS('Content Calendar'!$X$5:$X$604,BT400,'Content Calendar'!$B$5:$B$604,"&gt;="&amp;DashStart,'Content Calendar'!$B$5:$B$604,"&lt;="&amp;DashEnd))</f>
        <v>0</v>
      </c>
      <c r="BW400" s="17">
        <f>IF(Team!$B$400="","",Team!$B$400)</f>
        <v>0</v>
      </c>
      <c r="BX400" s="23">
        <f>IF(BW400="","",COUNTIF('Content Calendar'!$W$5:$W$604,BW400))</f>
        <v>0</v>
      </c>
      <c r="BY400" s="23">
        <f>IF(BW400="","",COUNTIFS('Content Calendar'!$W$5:$W$604,BW400,'Content Calendar'!$X$5:$X$604,"&lt;&gt;Published"))</f>
        <v>0</v>
      </c>
      <c r="BZ400" s="23">
        <f>IF(BW400="","",COUNTIFS(Tasks!$C$5:$C$64,BW400,Tasks!$G$5:$G$64,"&lt;&gt;Complete"))</f>
        <v>0</v>
      </c>
      <c r="CA400" s="17">
        <f>IF(Campaigns!$B$400="","",Campaigns!$B$400)</f>
        <v>0</v>
      </c>
      <c r="CB400" s="25">
        <f>IF(Campaigns!$T$400="","",Campaigns!$T$400)</f>
        <v>0</v>
      </c>
      <c r="CC400" s="25">
        <f>IF(Campaigns!$Q$400="","",Campaigns!$Q$400)</f>
        <v>0</v>
      </c>
      <c r="CD400" s="23">
        <f>IF(Campaigns!$Y$400="","",Campaigns!$Y$400)</f>
        <v>0</v>
      </c>
      <c r="CE400" s="32">
        <f>IF(CA400="","",IF(N(CB400)&lt;=0,"",N(CB400)+ROW()/1000000))</f>
        <v>0</v>
      </c>
      <c r="CF400" s="17">
        <f>IF(Accounts!$C$400="","",Accounts!$C$400)</f>
        <v>0</v>
      </c>
      <c r="CG400" s="17">
        <f>IF(Accounts!$B$400="","",Accounts!$B$400)</f>
        <v>0</v>
      </c>
      <c r="CH400" s="23">
        <f>IF(Accounts!$J$400="","",Accounts!$J$400)</f>
        <v>0</v>
      </c>
      <c r="CI400" s="23">
        <f>IF(CF400="","",SUMIFS(Analytics!$X$5:$X$154,Analytics!$E$5:$E$154,CF400,Analytics!$B$5:$B$154,"&gt;="&amp;DashStart,Analytics!$B$5:$B$154,"&lt;="&amp;DashEnd))</f>
        <v>0</v>
      </c>
      <c r="CJ400" s="32">
        <f>IF(CH400="","",IF(CH400=0,"",CH400+ROW()/1000000))</f>
        <v>0</v>
      </c>
    </row>
    <row r="401" spans="1:88">
      <c r="A401" s="16">
        <f>IF(ROW()-4&gt;12,"",DATE(PlanYear,ROW()-4,1))</f>
        <v>0</v>
      </c>
      <c r="B401" s="16">
        <f>IF(A401="","",EOMONTH(A401,0))</f>
        <v>0</v>
      </c>
      <c r="C401" s="17">
        <f>IF(A401="","",TEXT(A401,"yyyy-mm"))</f>
        <v>0</v>
      </c>
      <c r="D401" s="17">
        <f>IF(A401="","",TEXT(A401,"mmm"))</f>
        <v>0</v>
      </c>
      <c r="E401" s="23">
        <f>IF(C401="","",COUNTIFS('Content Calendar'!$D$5:$D$604,C401))</f>
        <v>0</v>
      </c>
      <c r="F401" s="23">
        <f>IF(C401="","",COUNTIFS('Content Calendar'!$D$5:$D$604,C401,'Content Calendar'!$X$5:$X$604,"Published"))</f>
        <v>0</v>
      </c>
      <c r="G401" s="23">
        <f>IF(C401="","",SUMIFS(Analytics!$J$5:$J$154,Analytics!$C$5:$C$154,C401))</f>
        <v>0</v>
      </c>
      <c r="H401" s="23">
        <f>IF(C401="","",SUMIFS(Analytics!$K$5:$K$154,Analytics!$C$5:$C$154,C401))</f>
        <v>0</v>
      </c>
      <c r="I401" s="23">
        <f>IF(C401="","",SUMIFS(Analytics!$L$5:$L$154,Analytics!$C$5:$C$154,C401))</f>
        <v>0</v>
      </c>
      <c r="J401" s="24">
        <f>IF(OR(G401="",G401=0),"",I401/G401)</f>
        <v>0</v>
      </c>
      <c r="K401" s="23">
        <f>IF(C401="","",SUMIFS(Analytics!$G$5:$G$154,Analytics!$C$5:$C$154,C401))</f>
        <v>0</v>
      </c>
      <c r="L401" s="23">
        <f>IF(C401="","",SUMIFS(Analytics!$X$5:$X$154,Analytics!$C$5:$C$154,C401))</f>
        <v>0</v>
      </c>
      <c r="M401" s="23">
        <f>IF(C401="","",SUMIFS(Analytics!$R$5:$R$154,Analytics!$C$5:$C$154,C401))</f>
        <v>0</v>
      </c>
      <c r="N401" s="23">
        <f>IF(C401="","",SUMIFS(Analytics!$S$5:$S$154,Analytics!$C$5:$C$154,C401))</f>
        <v>0</v>
      </c>
      <c r="O401" s="23">
        <f>IF(C401="","",SUMIFS(Analytics!$T$5:$T$154,Analytics!$C$5:$C$154,C401))</f>
        <v>0</v>
      </c>
      <c r="P401" s="25">
        <f>IF(C401="","",SUMIFS(Analytics!$U$5:$U$154,Analytics!$C$5:$C$154,C401))</f>
        <v>0</v>
      </c>
      <c r="Q401" s="25">
        <f>IF(C401="","",SUMIFS(Budget!$H$5:$H$64,Budget!$C$5:$C$64,C401))</f>
        <v>0</v>
      </c>
      <c r="R401" s="25">
        <f>IF(C401="","",P401-Q401)</f>
        <v>0</v>
      </c>
      <c r="S401" s="23">
        <f>IF(C401="","",MonthlyPostTarget)</f>
        <v>0</v>
      </c>
      <c r="T401" s="17">
        <f>IF(Lists!$C401="","",Lists!$C401)</f>
        <v>0</v>
      </c>
      <c r="U401" s="23">
        <f>IF(T401="","",COUNTIFS('Content Calendar'!$G$5:$G$604,T401,'Content Calendar'!$B$5:$B$604,"&gt;="&amp;DashStart,'Content Calendar'!$B$5:$B$604,"&lt;="&amp;DashEnd))</f>
        <v>0</v>
      </c>
      <c r="V401" s="23">
        <f>IF(T401="","",COUNTIFS('Content Calendar'!$G$5:$G$604,T401,'Content Calendar'!$X$5:$X$604,"Published",'Content Calendar'!$B$5:$B$604,"&gt;="&amp;DashStart,'Content Calendar'!$B$5:$B$604,"&lt;="&amp;DashEnd))</f>
        <v>0</v>
      </c>
      <c r="W401" s="23">
        <f>IF(T401="","",SUMIFS(Analytics!$J$5:$J$154,Analytics!$D$5:$D$154,T401,Analytics!$B$5:$B$154,"&gt;="&amp;DashStart,Analytics!$B$5:$B$154,"&lt;="&amp;DashEnd))</f>
        <v>0</v>
      </c>
      <c r="X401" s="23">
        <f>IF(T401="","",SUMIFS(Analytics!$L$5:$L$154,Analytics!$D$5:$D$154,T401,Analytics!$B$5:$B$154,"&gt;="&amp;DashStart,Analytics!$B$5:$B$154,"&lt;="&amp;DashEnd))</f>
        <v>0</v>
      </c>
      <c r="Y401" s="24">
        <f>IF(OR(W401="",W401=0),"",X401/W401)</f>
        <v>0</v>
      </c>
      <c r="Z401" s="23">
        <f>IF(T401="","",SUMIFS(Analytics!$G$5:$G$154,Analytics!$D$5:$D$154,T401,Analytics!$B$5:$B$154,"&gt;="&amp;DashStart,Analytics!$B$5:$B$154,"&lt;="&amp;DashEnd))</f>
        <v>0</v>
      </c>
      <c r="AA401" s="23">
        <f>IF(T401="","",SUMIFS(Analytics!$X$5:$X$154,Analytics!$D$5:$D$154,T401,Analytics!$B$5:$B$154,"&gt;="&amp;DashStart,Analytics!$B$5:$B$154,"&lt;="&amp;DashEnd))</f>
        <v>0</v>
      </c>
      <c r="AB401" s="23">
        <f>IF(T401="","",SUMIFS(Analytics!$R$5:$R$154,Analytics!$D$5:$D$154,T401,Analytics!$B$5:$B$154,"&gt;="&amp;DashStart,Analytics!$B$5:$B$154,"&lt;="&amp;DashEnd))</f>
        <v>0</v>
      </c>
      <c r="AC401" s="25">
        <f>IF(T401="","",SUMIFS(Analytics!$U$5:$U$154,Analytics!$D$5:$D$154,T401,Analytics!$B$5:$B$154,"&gt;="&amp;DashStart,Analytics!$B$5:$B$154,"&lt;="&amp;DashEnd))</f>
        <v>0</v>
      </c>
      <c r="AD401" s="23">
        <f>IF(T401="","",COUNTIFS('Content Calendar'!$G$5:$G$604,T401,'Content Calendar'!$B$5:$B$604,"&gt;="&amp;DATE(PlanYear,1,1),'Content Calendar'!$B$5:$B$604,"&lt;="&amp;DATE(PlanYear,12,31)))</f>
        <v>0</v>
      </c>
      <c r="AE401" s="23">
        <f>IF(T401="","",SUMIFS(Analytics!$J$5:$J$154,Analytics!$D$5:$D$154,T401))</f>
        <v>0</v>
      </c>
      <c r="AF401" s="23">
        <f>IF(T401="","",SUMIFS(Analytics!$L$5:$L$154,Analytics!$D$5:$D$154,T401))</f>
        <v>0</v>
      </c>
      <c r="AG401" s="24">
        <f>IF(OR(AE401="",AE401=0),"",AF401/AE401)</f>
        <v>0</v>
      </c>
      <c r="AH401" s="23">
        <f>IF(T401="","",SUMIFS(Analytics!$X$5:$X$154,Analytics!$D$5:$D$154,T401))</f>
        <v>0</v>
      </c>
      <c r="AI401" s="32">
        <f>IF(T401="","",IF(AE401=0,"",AE401+ROW()/1000000))</f>
        <v>0</v>
      </c>
      <c r="AJ401" s="17">
        <f>IF('Content Pillars'!$B$401="","",'Content Pillars'!$B$401)</f>
        <v>0</v>
      </c>
      <c r="AK401" s="23">
        <f>IF(AJ401="","",COUNTIFS('Content Calendar'!$J$5:$J$604,AJ401,'Content Calendar'!$B$5:$B$604,"&gt;="&amp;DATE(PlanYear,1,1),'Content Calendar'!$B$5:$B$604,"&lt;="&amp;DATE(PlanYear,12,31)))</f>
        <v>0</v>
      </c>
      <c r="AL401" s="23">
        <f>IF(AJ401="","",SUMIFS(Performance!$O$5:$O$404,Performance!$H$5:$H$404,AJ401))</f>
        <v>0</v>
      </c>
      <c r="AM401" s="23">
        <f>IF(AJ401="","",SUMIFS(Performance!$Z$5:$Z$404,Performance!$H$5:$H$404,AJ401))</f>
        <v>0</v>
      </c>
      <c r="AN401" s="24">
        <f>IF(OR(AL401="",AL401=0),"",AM401/AL401)</f>
        <v>0</v>
      </c>
      <c r="AO401" s="32">
        <f>IF(AN401="","",AN401+ROW()/1000000)</f>
        <v>0</v>
      </c>
      <c r="AP401" s="17">
        <f>IF(Lists!$E401="","",Lists!$E401)</f>
        <v>0</v>
      </c>
      <c r="AQ401" s="23">
        <f>IF(AP401="","",COUNTIF(Performance!$G$5:$G$404,AP401))</f>
        <v>0</v>
      </c>
      <c r="AR401" s="23">
        <f>IF(AP401="","",SUMIFS(Performance!$O$5:$O$404,Performance!$G$5:$G$404,AP401))</f>
        <v>0</v>
      </c>
      <c r="AS401" s="23">
        <f>IF(AP401="","",SUMIFS(Performance!$Z$5:$Z$404,Performance!$G$5:$G$404,AP401))</f>
        <v>0</v>
      </c>
      <c r="AT401" s="24">
        <f>IF(OR(AR401="",AR401=0),"",AS401/AR401)</f>
        <v>0</v>
      </c>
      <c r="AU401" s="32">
        <f>IF(AQ401=0,"",IF(AT401="","",AT401+ROW()/1000000))</f>
        <v>0</v>
      </c>
      <c r="AV401" s="17">
        <f>IF(ROW()-4&gt;7,"",TEXT(DATE(2024,1,ROW()-4),"ddd"))</f>
        <v>0</v>
      </c>
      <c r="AW401" s="23">
        <f>IF(AV401="","",COUNTIF(Performance!$N$5:$N$404,AV401))</f>
        <v>0</v>
      </c>
      <c r="AX401" s="23">
        <f>IF(AV401="","",SUMIFS(Performance!$O$5:$O$404,Performance!$N$5:$N$404,AV401))</f>
        <v>0</v>
      </c>
      <c r="AY401" s="23">
        <f>IF(AV401="","",SUMIFS(Performance!$Z$5:$Z$404,Performance!$N$5:$N$404,AV401))</f>
        <v>0</v>
      </c>
      <c r="AZ401" s="24">
        <f>IF(OR(AX401="",AX401=0),"",AY401/AX401)</f>
        <v>0</v>
      </c>
      <c r="BA401" s="32">
        <f>IF(AW401=0,"",IF(AZ401="","",AZ401+ROW()/1000000))</f>
        <v>0</v>
      </c>
      <c r="BB401" s="17">
        <f>IF(Lists!$AL401="","",Lists!$AL401)</f>
        <v>0</v>
      </c>
      <c r="BC401" s="23">
        <f>IF(BB401="","",COUNTIF(Performance!$M$5:$M$404,BB401))</f>
        <v>0</v>
      </c>
      <c r="BD401" s="23">
        <f>IF(BB401="","",SUMIFS(Performance!$O$5:$O$404,Performance!$M$5:$M$404,BB401))</f>
        <v>0</v>
      </c>
      <c r="BE401" s="23">
        <f>IF(BB401="","",SUMIFS(Performance!$Z$5:$Z$404,Performance!$M$5:$M$404,BB401))</f>
        <v>0</v>
      </c>
      <c r="BF401" s="24">
        <f>IF(OR(BD401="",BD401=0),"",BE401/BD401)</f>
        <v>0</v>
      </c>
      <c r="BG401" s="32">
        <f>IF(BC401=0,"",IF(BF401="","",BF401+ROW()/1000000))</f>
        <v>0</v>
      </c>
      <c r="BH401" s="17">
        <f>IF(Performance!$C$401="","",Performance!$C$401)</f>
        <v>0</v>
      </c>
      <c r="BI401" s="17">
        <f>IF(Performance!$F$401="","",Performance!$F$401)</f>
        <v>0</v>
      </c>
      <c r="BJ401" s="17">
        <f>IF(Performance!$H$401="","",Performance!$H$401)</f>
        <v>0</v>
      </c>
      <c r="BK401" s="16">
        <f>IF(Performance!$D$401="","",Performance!$D$401)</f>
        <v>0</v>
      </c>
      <c r="BL401" s="17">
        <f>IF(Performance!$E$401="","",Performance!$E$401)</f>
        <v>0</v>
      </c>
      <c r="BM401" s="23">
        <f>IF(Performance!$O$401="","",Performance!$O$401)</f>
        <v>0</v>
      </c>
      <c r="BN401" s="24">
        <f>IF(Performance!$AA$401="","",Performance!$AA$401)</f>
        <v>0</v>
      </c>
      <c r="BO401" s="32">
        <f>IF(BH401="","",IF(BK401="","",IF(OR(BK401&lt;DashStart,BK401&gt;DashEnd),"",IF(BN401="","",BN401+ROW()/1000000))))</f>
        <v>0</v>
      </c>
      <c r="BP401" s="32">
        <f>IF(BM401="","",IF(BK401="","",IF(OR(BK401&lt;DashStart,BK401&gt;DashEnd),"",BM401+ROW()/1000000)))</f>
        <v>0</v>
      </c>
      <c r="BQ401" s="32">
        <f>IF(BH401="","",IF(BK401="","",IF(YEAR(BK401)&lt;&gt;PlanYear,"",IF(BN401="","",BN401+ROW()/1000000))))</f>
        <v>0</v>
      </c>
      <c r="BR401" s="32">
        <f>IF(BH401="","",IF(BK401="","",IF(OR(BK401&lt;RepFrom,BK401&gt;RepTo),"",IF(BN401="","",BN401+ROW()/1000000))))</f>
        <v>0</v>
      </c>
      <c r="BS401" s="32">
        <f>IF(BM401="","",IF(BK401="","",IF(YEAR(BK401)&lt;&gt;PlanYear,"",BM401+ROW()/1000000)))</f>
        <v>0</v>
      </c>
      <c r="BT401" s="17">
        <f>IF(Lists!$F401="","",Lists!$F401)</f>
        <v>0</v>
      </c>
      <c r="BU401" s="23">
        <f>IF(BT401="","",COUNTIF('Content Calendar'!$X$5:$X$604,BT401))</f>
        <v>0</v>
      </c>
      <c r="BV401" s="23">
        <f>IF(BT401="","",COUNTIFS('Content Calendar'!$X$5:$X$604,BT401,'Content Calendar'!$B$5:$B$604,"&gt;="&amp;DashStart,'Content Calendar'!$B$5:$B$604,"&lt;="&amp;DashEnd))</f>
        <v>0</v>
      </c>
      <c r="BW401" s="17">
        <f>IF(Team!$B$401="","",Team!$B$401)</f>
        <v>0</v>
      </c>
      <c r="BX401" s="23">
        <f>IF(BW401="","",COUNTIF('Content Calendar'!$W$5:$W$604,BW401))</f>
        <v>0</v>
      </c>
      <c r="BY401" s="23">
        <f>IF(BW401="","",COUNTIFS('Content Calendar'!$W$5:$W$604,BW401,'Content Calendar'!$X$5:$X$604,"&lt;&gt;Published"))</f>
        <v>0</v>
      </c>
      <c r="BZ401" s="23">
        <f>IF(BW401="","",COUNTIFS(Tasks!$C$5:$C$64,BW401,Tasks!$G$5:$G$64,"&lt;&gt;Complete"))</f>
        <v>0</v>
      </c>
      <c r="CA401" s="17">
        <f>IF(Campaigns!$B$401="","",Campaigns!$B$401)</f>
        <v>0</v>
      </c>
      <c r="CB401" s="25">
        <f>IF(Campaigns!$T$401="","",Campaigns!$T$401)</f>
        <v>0</v>
      </c>
      <c r="CC401" s="25">
        <f>IF(Campaigns!$Q$401="","",Campaigns!$Q$401)</f>
        <v>0</v>
      </c>
      <c r="CD401" s="23">
        <f>IF(Campaigns!$Y$401="","",Campaigns!$Y$401)</f>
        <v>0</v>
      </c>
      <c r="CE401" s="32">
        <f>IF(CA401="","",IF(N(CB401)&lt;=0,"",N(CB401)+ROW()/1000000))</f>
        <v>0</v>
      </c>
      <c r="CF401" s="17">
        <f>IF(Accounts!$C$401="","",Accounts!$C$401)</f>
        <v>0</v>
      </c>
      <c r="CG401" s="17">
        <f>IF(Accounts!$B$401="","",Accounts!$B$401)</f>
        <v>0</v>
      </c>
      <c r="CH401" s="23">
        <f>IF(Accounts!$J$401="","",Accounts!$J$401)</f>
        <v>0</v>
      </c>
      <c r="CI401" s="23">
        <f>IF(CF401="","",SUMIFS(Analytics!$X$5:$X$154,Analytics!$E$5:$E$154,CF401,Analytics!$B$5:$B$154,"&gt;="&amp;DashStart,Analytics!$B$5:$B$154,"&lt;="&amp;DashEnd))</f>
        <v>0</v>
      </c>
      <c r="CJ401" s="32">
        <f>IF(CH401="","",IF(CH401=0,"",CH401+ROW()/1000000))</f>
        <v>0</v>
      </c>
    </row>
    <row r="402" spans="1:88">
      <c r="A402" s="16">
        <f>IF(ROW()-4&gt;12,"",DATE(PlanYear,ROW()-4,1))</f>
        <v>0</v>
      </c>
      <c r="B402" s="16">
        <f>IF(A402="","",EOMONTH(A402,0))</f>
        <v>0</v>
      </c>
      <c r="C402" s="17">
        <f>IF(A402="","",TEXT(A402,"yyyy-mm"))</f>
        <v>0</v>
      </c>
      <c r="D402" s="17">
        <f>IF(A402="","",TEXT(A402,"mmm"))</f>
        <v>0</v>
      </c>
      <c r="E402" s="23">
        <f>IF(C402="","",COUNTIFS('Content Calendar'!$D$5:$D$604,C402))</f>
        <v>0</v>
      </c>
      <c r="F402" s="23">
        <f>IF(C402="","",COUNTIFS('Content Calendar'!$D$5:$D$604,C402,'Content Calendar'!$X$5:$X$604,"Published"))</f>
        <v>0</v>
      </c>
      <c r="G402" s="23">
        <f>IF(C402="","",SUMIFS(Analytics!$J$5:$J$154,Analytics!$C$5:$C$154,C402))</f>
        <v>0</v>
      </c>
      <c r="H402" s="23">
        <f>IF(C402="","",SUMIFS(Analytics!$K$5:$K$154,Analytics!$C$5:$C$154,C402))</f>
        <v>0</v>
      </c>
      <c r="I402" s="23">
        <f>IF(C402="","",SUMIFS(Analytics!$L$5:$L$154,Analytics!$C$5:$C$154,C402))</f>
        <v>0</v>
      </c>
      <c r="J402" s="24">
        <f>IF(OR(G402="",G402=0),"",I402/G402)</f>
        <v>0</v>
      </c>
      <c r="K402" s="23">
        <f>IF(C402="","",SUMIFS(Analytics!$G$5:$G$154,Analytics!$C$5:$C$154,C402))</f>
        <v>0</v>
      </c>
      <c r="L402" s="23">
        <f>IF(C402="","",SUMIFS(Analytics!$X$5:$X$154,Analytics!$C$5:$C$154,C402))</f>
        <v>0</v>
      </c>
      <c r="M402" s="23">
        <f>IF(C402="","",SUMIFS(Analytics!$R$5:$R$154,Analytics!$C$5:$C$154,C402))</f>
        <v>0</v>
      </c>
      <c r="N402" s="23">
        <f>IF(C402="","",SUMIFS(Analytics!$S$5:$S$154,Analytics!$C$5:$C$154,C402))</f>
        <v>0</v>
      </c>
      <c r="O402" s="23">
        <f>IF(C402="","",SUMIFS(Analytics!$T$5:$T$154,Analytics!$C$5:$C$154,C402))</f>
        <v>0</v>
      </c>
      <c r="P402" s="25">
        <f>IF(C402="","",SUMIFS(Analytics!$U$5:$U$154,Analytics!$C$5:$C$154,C402))</f>
        <v>0</v>
      </c>
      <c r="Q402" s="25">
        <f>IF(C402="","",SUMIFS(Budget!$H$5:$H$64,Budget!$C$5:$C$64,C402))</f>
        <v>0</v>
      </c>
      <c r="R402" s="25">
        <f>IF(C402="","",P402-Q402)</f>
        <v>0</v>
      </c>
      <c r="S402" s="23">
        <f>IF(C402="","",MonthlyPostTarget)</f>
        <v>0</v>
      </c>
      <c r="T402" s="17">
        <f>IF(Lists!$C402="","",Lists!$C402)</f>
        <v>0</v>
      </c>
      <c r="U402" s="23">
        <f>IF(T402="","",COUNTIFS('Content Calendar'!$G$5:$G$604,T402,'Content Calendar'!$B$5:$B$604,"&gt;="&amp;DashStart,'Content Calendar'!$B$5:$B$604,"&lt;="&amp;DashEnd))</f>
        <v>0</v>
      </c>
      <c r="V402" s="23">
        <f>IF(T402="","",COUNTIFS('Content Calendar'!$G$5:$G$604,T402,'Content Calendar'!$X$5:$X$604,"Published",'Content Calendar'!$B$5:$B$604,"&gt;="&amp;DashStart,'Content Calendar'!$B$5:$B$604,"&lt;="&amp;DashEnd))</f>
        <v>0</v>
      </c>
      <c r="W402" s="23">
        <f>IF(T402="","",SUMIFS(Analytics!$J$5:$J$154,Analytics!$D$5:$D$154,T402,Analytics!$B$5:$B$154,"&gt;="&amp;DashStart,Analytics!$B$5:$B$154,"&lt;="&amp;DashEnd))</f>
        <v>0</v>
      </c>
      <c r="X402" s="23">
        <f>IF(T402="","",SUMIFS(Analytics!$L$5:$L$154,Analytics!$D$5:$D$154,T402,Analytics!$B$5:$B$154,"&gt;="&amp;DashStart,Analytics!$B$5:$B$154,"&lt;="&amp;DashEnd))</f>
        <v>0</v>
      </c>
      <c r="Y402" s="24">
        <f>IF(OR(W402="",W402=0),"",X402/W402)</f>
        <v>0</v>
      </c>
      <c r="Z402" s="23">
        <f>IF(T402="","",SUMIFS(Analytics!$G$5:$G$154,Analytics!$D$5:$D$154,T402,Analytics!$B$5:$B$154,"&gt;="&amp;DashStart,Analytics!$B$5:$B$154,"&lt;="&amp;DashEnd))</f>
        <v>0</v>
      </c>
      <c r="AA402" s="23">
        <f>IF(T402="","",SUMIFS(Analytics!$X$5:$X$154,Analytics!$D$5:$D$154,T402,Analytics!$B$5:$B$154,"&gt;="&amp;DashStart,Analytics!$B$5:$B$154,"&lt;="&amp;DashEnd))</f>
        <v>0</v>
      </c>
      <c r="AB402" s="23">
        <f>IF(T402="","",SUMIFS(Analytics!$R$5:$R$154,Analytics!$D$5:$D$154,T402,Analytics!$B$5:$B$154,"&gt;="&amp;DashStart,Analytics!$B$5:$B$154,"&lt;="&amp;DashEnd))</f>
        <v>0</v>
      </c>
      <c r="AC402" s="25">
        <f>IF(T402="","",SUMIFS(Analytics!$U$5:$U$154,Analytics!$D$5:$D$154,T402,Analytics!$B$5:$B$154,"&gt;="&amp;DashStart,Analytics!$B$5:$B$154,"&lt;="&amp;DashEnd))</f>
        <v>0</v>
      </c>
      <c r="AD402" s="23">
        <f>IF(T402="","",COUNTIFS('Content Calendar'!$G$5:$G$604,T402,'Content Calendar'!$B$5:$B$604,"&gt;="&amp;DATE(PlanYear,1,1),'Content Calendar'!$B$5:$B$604,"&lt;="&amp;DATE(PlanYear,12,31)))</f>
        <v>0</v>
      </c>
      <c r="AE402" s="23">
        <f>IF(T402="","",SUMIFS(Analytics!$J$5:$J$154,Analytics!$D$5:$D$154,T402))</f>
        <v>0</v>
      </c>
      <c r="AF402" s="23">
        <f>IF(T402="","",SUMIFS(Analytics!$L$5:$L$154,Analytics!$D$5:$D$154,T402))</f>
        <v>0</v>
      </c>
      <c r="AG402" s="24">
        <f>IF(OR(AE402="",AE402=0),"",AF402/AE402)</f>
        <v>0</v>
      </c>
      <c r="AH402" s="23">
        <f>IF(T402="","",SUMIFS(Analytics!$X$5:$X$154,Analytics!$D$5:$D$154,T402))</f>
        <v>0</v>
      </c>
      <c r="AI402" s="32">
        <f>IF(T402="","",IF(AE402=0,"",AE402+ROW()/1000000))</f>
        <v>0</v>
      </c>
      <c r="AJ402" s="17">
        <f>IF('Content Pillars'!$B$402="","",'Content Pillars'!$B$402)</f>
        <v>0</v>
      </c>
      <c r="AK402" s="23">
        <f>IF(AJ402="","",COUNTIFS('Content Calendar'!$J$5:$J$604,AJ402,'Content Calendar'!$B$5:$B$604,"&gt;="&amp;DATE(PlanYear,1,1),'Content Calendar'!$B$5:$B$604,"&lt;="&amp;DATE(PlanYear,12,31)))</f>
        <v>0</v>
      </c>
      <c r="AL402" s="23">
        <f>IF(AJ402="","",SUMIFS(Performance!$O$5:$O$404,Performance!$H$5:$H$404,AJ402))</f>
        <v>0</v>
      </c>
      <c r="AM402" s="23">
        <f>IF(AJ402="","",SUMIFS(Performance!$Z$5:$Z$404,Performance!$H$5:$H$404,AJ402))</f>
        <v>0</v>
      </c>
      <c r="AN402" s="24">
        <f>IF(OR(AL402="",AL402=0),"",AM402/AL402)</f>
        <v>0</v>
      </c>
      <c r="AO402" s="32">
        <f>IF(AN402="","",AN402+ROW()/1000000)</f>
        <v>0</v>
      </c>
      <c r="AP402" s="17">
        <f>IF(Lists!$E402="","",Lists!$E402)</f>
        <v>0</v>
      </c>
      <c r="AQ402" s="23">
        <f>IF(AP402="","",COUNTIF(Performance!$G$5:$G$404,AP402))</f>
        <v>0</v>
      </c>
      <c r="AR402" s="23">
        <f>IF(AP402="","",SUMIFS(Performance!$O$5:$O$404,Performance!$G$5:$G$404,AP402))</f>
        <v>0</v>
      </c>
      <c r="AS402" s="23">
        <f>IF(AP402="","",SUMIFS(Performance!$Z$5:$Z$404,Performance!$G$5:$G$404,AP402))</f>
        <v>0</v>
      </c>
      <c r="AT402" s="24">
        <f>IF(OR(AR402="",AR402=0),"",AS402/AR402)</f>
        <v>0</v>
      </c>
      <c r="AU402" s="32">
        <f>IF(AQ402=0,"",IF(AT402="","",AT402+ROW()/1000000))</f>
        <v>0</v>
      </c>
      <c r="AV402" s="17">
        <f>IF(ROW()-4&gt;7,"",TEXT(DATE(2024,1,ROW()-4),"ddd"))</f>
        <v>0</v>
      </c>
      <c r="AW402" s="23">
        <f>IF(AV402="","",COUNTIF(Performance!$N$5:$N$404,AV402))</f>
        <v>0</v>
      </c>
      <c r="AX402" s="23">
        <f>IF(AV402="","",SUMIFS(Performance!$O$5:$O$404,Performance!$N$5:$N$404,AV402))</f>
        <v>0</v>
      </c>
      <c r="AY402" s="23">
        <f>IF(AV402="","",SUMIFS(Performance!$Z$5:$Z$404,Performance!$N$5:$N$404,AV402))</f>
        <v>0</v>
      </c>
      <c r="AZ402" s="24">
        <f>IF(OR(AX402="",AX402=0),"",AY402/AX402)</f>
        <v>0</v>
      </c>
      <c r="BA402" s="32">
        <f>IF(AW402=0,"",IF(AZ402="","",AZ402+ROW()/1000000))</f>
        <v>0</v>
      </c>
      <c r="BB402" s="17">
        <f>IF(Lists!$AL402="","",Lists!$AL402)</f>
        <v>0</v>
      </c>
      <c r="BC402" s="23">
        <f>IF(BB402="","",COUNTIF(Performance!$M$5:$M$404,BB402))</f>
        <v>0</v>
      </c>
      <c r="BD402" s="23">
        <f>IF(BB402="","",SUMIFS(Performance!$O$5:$O$404,Performance!$M$5:$M$404,BB402))</f>
        <v>0</v>
      </c>
      <c r="BE402" s="23">
        <f>IF(BB402="","",SUMIFS(Performance!$Z$5:$Z$404,Performance!$M$5:$M$404,BB402))</f>
        <v>0</v>
      </c>
      <c r="BF402" s="24">
        <f>IF(OR(BD402="",BD402=0),"",BE402/BD402)</f>
        <v>0</v>
      </c>
      <c r="BG402" s="32">
        <f>IF(BC402=0,"",IF(BF402="","",BF402+ROW()/1000000))</f>
        <v>0</v>
      </c>
      <c r="BH402" s="17">
        <f>IF(Performance!$C$402="","",Performance!$C$402)</f>
        <v>0</v>
      </c>
      <c r="BI402" s="17">
        <f>IF(Performance!$F$402="","",Performance!$F$402)</f>
        <v>0</v>
      </c>
      <c r="BJ402" s="17">
        <f>IF(Performance!$H$402="","",Performance!$H$402)</f>
        <v>0</v>
      </c>
      <c r="BK402" s="16">
        <f>IF(Performance!$D$402="","",Performance!$D$402)</f>
        <v>0</v>
      </c>
      <c r="BL402" s="17">
        <f>IF(Performance!$E$402="","",Performance!$E$402)</f>
        <v>0</v>
      </c>
      <c r="BM402" s="23">
        <f>IF(Performance!$O$402="","",Performance!$O$402)</f>
        <v>0</v>
      </c>
      <c r="BN402" s="24">
        <f>IF(Performance!$AA$402="","",Performance!$AA$402)</f>
        <v>0</v>
      </c>
      <c r="BO402" s="32">
        <f>IF(BH402="","",IF(BK402="","",IF(OR(BK402&lt;DashStart,BK402&gt;DashEnd),"",IF(BN402="","",BN402+ROW()/1000000))))</f>
        <v>0</v>
      </c>
      <c r="BP402" s="32">
        <f>IF(BM402="","",IF(BK402="","",IF(OR(BK402&lt;DashStart,BK402&gt;DashEnd),"",BM402+ROW()/1000000)))</f>
        <v>0</v>
      </c>
      <c r="BQ402" s="32">
        <f>IF(BH402="","",IF(BK402="","",IF(YEAR(BK402)&lt;&gt;PlanYear,"",IF(BN402="","",BN402+ROW()/1000000))))</f>
        <v>0</v>
      </c>
      <c r="BR402" s="32">
        <f>IF(BH402="","",IF(BK402="","",IF(OR(BK402&lt;RepFrom,BK402&gt;RepTo),"",IF(BN402="","",BN402+ROW()/1000000))))</f>
        <v>0</v>
      </c>
      <c r="BS402" s="32">
        <f>IF(BM402="","",IF(BK402="","",IF(YEAR(BK402)&lt;&gt;PlanYear,"",BM402+ROW()/1000000)))</f>
        <v>0</v>
      </c>
      <c r="BT402" s="17">
        <f>IF(Lists!$F402="","",Lists!$F402)</f>
        <v>0</v>
      </c>
      <c r="BU402" s="23">
        <f>IF(BT402="","",COUNTIF('Content Calendar'!$X$5:$X$604,BT402))</f>
        <v>0</v>
      </c>
      <c r="BV402" s="23">
        <f>IF(BT402="","",COUNTIFS('Content Calendar'!$X$5:$X$604,BT402,'Content Calendar'!$B$5:$B$604,"&gt;="&amp;DashStart,'Content Calendar'!$B$5:$B$604,"&lt;="&amp;DashEnd))</f>
        <v>0</v>
      </c>
      <c r="BW402" s="17">
        <f>IF(Team!$B$402="","",Team!$B$402)</f>
        <v>0</v>
      </c>
      <c r="BX402" s="23">
        <f>IF(BW402="","",COUNTIF('Content Calendar'!$W$5:$W$604,BW402))</f>
        <v>0</v>
      </c>
      <c r="BY402" s="23">
        <f>IF(BW402="","",COUNTIFS('Content Calendar'!$W$5:$W$604,BW402,'Content Calendar'!$X$5:$X$604,"&lt;&gt;Published"))</f>
        <v>0</v>
      </c>
      <c r="BZ402" s="23">
        <f>IF(BW402="","",COUNTIFS(Tasks!$C$5:$C$64,BW402,Tasks!$G$5:$G$64,"&lt;&gt;Complete"))</f>
        <v>0</v>
      </c>
      <c r="CA402" s="17">
        <f>IF(Campaigns!$B$402="","",Campaigns!$B$402)</f>
        <v>0</v>
      </c>
      <c r="CB402" s="25">
        <f>IF(Campaigns!$T$402="","",Campaigns!$T$402)</f>
        <v>0</v>
      </c>
      <c r="CC402" s="25">
        <f>IF(Campaigns!$Q$402="","",Campaigns!$Q$402)</f>
        <v>0</v>
      </c>
      <c r="CD402" s="23">
        <f>IF(Campaigns!$Y$402="","",Campaigns!$Y$402)</f>
        <v>0</v>
      </c>
      <c r="CE402" s="32">
        <f>IF(CA402="","",IF(N(CB402)&lt;=0,"",N(CB402)+ROW()/1000000))</f>
        <v>0</v>
      </c>
      <c r="CF402" s="17">
        <f>IF(Accounts!$C$402="","",Accounts!$C$402)</f>
        <v>0</v>
      </c>
      <c r="CG402" s="17">
        <f>IF(Accounts!$B$402="","",Accounts!$B$402)</f>
        <v>0</v>
      </c>
      <c r="CH402" s="23">
        <f>IF(Accounts!$J$402="","",Accounts!$J$402)</f>
        <v>0</v>
      </c>
      <c r="CI402" s="23">
        <f>IF(CF402="","",SUMIFS(Analytics!$X$5:$X$154,Analytics!$E$5:$E$154,CF402,Analytics!$B$5:$B$154,"&gt;="&amp;DashStart,Analytics!$B$5:$B$154,"&lt;="&amp;DashEnd))</f>
        <v>0</v>
      </c>
      <c r="CJ402" s="32">
        <f>IF(CH402="","",IF(CH402=0,"",CH402+ROW()/1000000))</f>
        <v>0</v>
      </c>
    </row>
    <row r="403" spans="1:88">
      <c r="A403" s="16">
        <f>IF(ROW()-4&gt;12,"",DATE(PlanYear,ROW()-4,1))</f>
        <v>0</v>
      </c>
      <c r="B403" s="16">
        <f>IF(A403="","",EOMONTH(A403,0))</f>
        <v>0</v>
      </c>
      <c r="C403" s="17">
        <f>IF(A403="","",TEXT(A403,"yyyy-mm"))</f>
        <v>0</v>
      </c>
      <c r="D403" s="17">
        <f>IF(A403="","",TEXT(A403,"mmm"))</f>
        <v>0</v>
      </c>
      <c r="E403" s="23">
        <f>IF(C403="","",COUNTIFS('Content Calendar'!$D$5:$D$604,C403))</f>
        <v>0</v>
      </c>
      <c r="F403" s="23">
        <f>IF(C403="","",COUNTIFS('Content Calendar'!$D$5:$D$604,C403,'Content Calendar'!$X$5:$X$604,"Published"))</f>
        <v>0</v>
      </c>
      <c r="G403" s="23">
        <f>IF(C403="","",SUMIFS(Analytics!$J$5:$J$154,Analytics!$C$5:$C$154,C403))</f>
        <v>0</v>
      </c>
      <c r="H403" s="23">
        <f>IF(C403="","",SUMIFS(Analytics!$K$5:$K$154,Analytics!$C$5:$C$154,C403))</f>
        <v>0</v>
      </c>
      <c r="I403" s="23">
        <f>IF(C403="","",SUMIFS(Analytics!$L$5:$L$154,Analytics!$C$5:$C$154,C403))</f>
        <v>0</v>
      </c>
      <c r="J403" s="24">
        <f>IF(OR(G403="",G403=0),"",I403/G403)</f>
        <v>0</v>
      </c>
      <c r="K403" s="23">
        <f>IF(C403="","",SUMIFS(Analytics!$G$5:$G$154,Analytics!$C$5:$C$154,C403))</f>
        <v>0</v>
      </c>
      <c r="L403" s="23">
        <f>IF(C403="","",SUMIFS(Analytics!$X$5:$X$154,Analytics!$C$5:$C$154,C403))</f>
        <v>0</v>
      </c>
      <c r="M403" s="23">
        <f>IF(C403="","",SUMIFS(Analytics!$R$5:$R$154,Analytics!$C$5:$C$154,C403))</f>
        <v>0</v>
      </c>
      <c r="N403" s="23">
        <f>IF(C403="","",SUMIFS(Analytics!$S$5:$S$154,Analytics!$C$5:$C$154,C403))</f>
        <v>0</v>
      </c>
      <c r="O403" s="23">
        <f>IF(C403="","",SUMIFS(Analytics!$T$5:$T$154,Analytics!$C$5:$C$154,C403))</f>
        <v>0</v>
      </c>
      <c r="P403" s="25">
        <f>IF(C403="","",SUMIFS(Analytics!$U$5:$U$154,Analytics!$C$5:$C$154,C403))</f>
        <v>0</v>
      </c>
      <c r="Q403" s="25">
        <f>IF(C403="","",SUMIFS(Budget!$H$5:$H$64,Budget!$C$5:$C$64,C403))</f>
        <v>0</v>
      </c>
      <c r="R403" s="25">
        <f>IF(C403="","",P403-Q403)</f>
        <v>0</v>
      </c>
      <c r="S403" s="23">
        <f>IF(C403="","",MonthlyPostTarget)</f>
        <v>0</v>
      </c>
      <c r="T403" s="17">
        <f>IF(Lists!$C403="","",Lists!$C403)</f>
        <v>0</v>
      </c>
      <c r="U403" s="23">
        <f>IF(T403="","",COUNTIFS('Content Calendar'!$G$5:$G$604,T403,'Content Calendar'!$B$5:$B$604,"&gt;="&amp;DashStart,'Content Calendar'!$B$5:$B$604,"&lt;="&amp;DashEnd))</f>
        <v>0</v>
      </c>
      <c r="V403" s="23">
        <f>IF(T403="","",COUNTIFS('Content Calendar'!$G$5:$G$604,T403,'Content Calendar'!$X$5:$X$604,"Published",'Content Calendar'!$B$5:$B$604,"&gt;="&amp;DashStart,'Content Calendar'!$B$5:$B$604,"&lt;="&amp;DashEnd))</f>
        <v>0</v>
      </c>
      <c r="W403" s="23">
        <f>IF(T403="","",SUMIFS(Analytics!$J$5:$J$154,Analytics!$D$5:$D$154,T403,Analytics!$B$5:$B$154,"&gt;="&amp;DashStart,Analytics!$B$5:$B$154,"&lt;="&amp;DashEnd))</f>
        <v>0</v>
      </c>
      <c r="X403" s="23">
        <f>IF(T403="","",SUMIFS(Analytics!$L$5:$L$154,Analytics!$D$5:$D$154,T403,Analytics!$B$5:$B$154,"&gt;="&amp;DashStart,Analytics!$B$5:$B$154,"&lt;="&amp;DashEnd))</f>
        <v>0</v>
      </c>
      <c r="Y403" s="24">
        <f>IF(OR(W403="",W403=0),"",X403/W403)</f>
        <v>0</v>
      </c>
      <c r="Z403" s="23">
        <f>IF(T403="","",SUMIFS(Analytics!$G$5:$G$154,Analytics!$D$5:$D$154,T403,Analytics!$B$5:$B$154,"&gt;="&amp;DashStart,Analytics!$B$5:$B$154,"&lt;="&amp;DashEnd))</f>
        <v>0</v>
      </c>
      <c r="AA403" s="23">
        <f>IF(T403="","",SUMIFS(Analytics!$X$5:$X$154,Analytics!$D$5:$D$154,T403,Analytics!$B$5:$B$154,"&gt;="&amp;DashStart,Analytics!$B$5:$B$154,"&lt;="&amp;DashEnd))</f>
        <v>0</v>
      </c>
      <c r="AB403" s="23">
        <f>IF(T403="","",SUMIFS(Analytics!$R$5:$R$154,Analytics!$D$5:$D$154,T403,Analytics!$B$5:$B$154,"&gt;="&amp;DashStart,Analytics!$B$5:$B$154,"&lt;="&amp;DashEnd))</f>
        <v>0</v>
      </c>
      <c r="AC403" s="25">
        <f>IF(T403="","",SUMIFS(Analytics!$U$5:$U$154,Analytics!$D$5:$D$154,T403,Analytics!$B$5:$B$154,"&gt;="&amp;DashStart,Analytics!$B$5:$B$154,"&lt;="&amp;DashEnd))</f>
        <v>0</v>
      </c>
      <c r="AD403" s="23">
        <f>IF(T403="","",COUNTIFS('Content Calendar'!$G$5:$G$604,T403,'Content Calendar'!$B$5:$B$604,"&gt;="&amp;DATE(PlanYear,1,1),'Content Calendar'!$B$5:$B$604,"&lt;="&amp;DATE(PlanYear,12,31)))</f>
        <v>0</v>
      </c>
      <c r="AE403" s="23">
        <f>IF(T403="","",SUMIFS(Analytics!$J$5:$J$154,Analytics!$D$5:$D$154,T403))</f>
        <v>0</v>
      </c>
      <c r="AF403" s="23">
        <f>IF(T403="","",SUMIFS(Analytics!$L$5:$L$154,Analytics!$D$5:$D$154,T403))</f>
        <v>0</v>
      </c>
      <c r="AG403" s="24">
        <f>IF(OR(AE403="",AE403=0),"",AF403/AE403)</f>
        <v>0</v>
      </c>
      <c r="AH403" s="23">
        <f>IF(T403="","",SUMIFS(Analytics!$X$5:$X$154,Analytics!$D$5:$D$154,T403))</f>
        <v>0</v>
      </c>
      <c r="AI403" s="32">
        <f>IF(T403="","",IF(AE403=0,"",AE403+ROW()/1000000))</f>
        <v>0</v>
      </c>
      <c r="AJ403" s="17">
        <f>IF('Content Pillars'!$B$403="","",'Content Pillars'!$B$403)</f>
        <v>0</v>
      </c>
      <c r="AK403" s="23">
        <f>IF(AJ403="","",COUNTIFS('Content Calendar'!$J$5:$J$604,AJ403,'Content Calendar'!$B$5:$B$604,"&gt;="&amp;DATE(PlanYear,1,1),'Content Calendar'!$B$5:$B$604,"&lt;="&amp;DATE(PlanYear,12,31)))</f>
        <v>0</v>
      </c>
      <c r="AL403" s="23">
        <f>IF(AJ403="","",SUMIFS(Performance!$O$5:$O$404,Performance!$H$5:$H$404,AJ403))</f>
        <v>0</v>
      </c>
      <c r="AM403" s="23">
        <f>IF(AJ403="","",SUMIFS(Performance!$Z$5:$Z$404,Performance!$H$5:$H$404,AJ403))</f>
        <v>0</v>
      </c>
      <c r="AN403" s="24">
        <f>IF(OR(AL403="",AL403=0),"",AM403/AL403)</f>
        <v>0</v>
      </c>
      <c r="AO403" s="32">
        <f>IF(AN403="","",AN403+ROW()/1000000)</f>
        <v>0</v>
      </c>
      <c r="AP403" s="17">
        <f>IF(Lists!$E403="","",Lists!$E403)</f>
        <v>0</v>
      </c>
      <c r="AQ403" s="23">
        <f>IF(AP403="","",COUNTIF(Performance!$G$5:$G$404,AP403))</f>
        <v>0</v>
      </c>
      <c r="AR403" s="23">
        <f>IF(AP403="","",SUMIFS(Performance!$O$5:$O$404,Performance!$G$5:$G$404,AP403))</f>
        <v>0</v>
      </c>
      <c r="AS403" s="23">
        <f>IF(AP403="","",SUMIFS(Performance!$Z$5:$Z$404,Performance!$G$5:$G$404,AP403))</f>
        <v>0</v>
      </c>
      <c r="AT403" s="24">
        <f>IF(OR(AR403="",AR403=0),"",AS403/AR403)</f>
        <v>0</v>
      </c>
      <c r="AU403" s="32">
        <f>IF(AQ403=0,"",IF(AT403="","",AT403+ROW()/1000000))</f>
        <v>0</v>
      </c>
      <c r="AV403" s="17">
        <f>IF(ROW()-4&gt;7,"",TEXT(DATE(2024,1,ROW()-4),"ddd"))</f>
        <v>0</v>
      </c>
      <c r="AW403" s="23">
        <f>IF(AV403="","",COUNTIF(Performance!$N$5:$N$404,AV403))</f>
        <v>0</v>
      </c>
      <c r="AX403" s="23">
        <f>IF(AV403="","",SUMIFS(Performance!$O$5:$O$404,Performance!$N$5:$N$404,AV403))</f>
        <v>0</v>
      </c>
      <c r="AY403" s="23">
        <f>IF(AV403="","",SUMIFS(Performance!$Z$5:$Z$404,Performance!$N$5:$N$404,AV403))</f>
        <v>0</v>
      </c>
      <c r="AZ403" s="24">
        <f>IF(OR(AX403="",AX403=0),"",AY403/AX403)</f>
        <v>0</v>
      </c>
      <c r="BA403" s="32">
        <f>IF(AW403=0,"",IF(AZ403="","",AZ403+ROW()/1000000))</f>
        <v>0</v>
      </c>
      <c r="BB403" s="17">
        <f>IF(Lists!$AL403="","",Lists!$AL403)</f>
        <v>0</v>
      </c>
      <c r="BC403" s="23">
        <f>IF(BB403="","",COUNTIF(Performance!$M$5:$M$404,BB403))</f>
        <v>0</v>
      </c>
      <c r="BD403" s="23">
        <f>IF(BB403="","",SUMIFS(Performance!$O$5:$O$404,Performance!$M$5:$M$404,BB403))</f>
        <v>0</v>
      </c>
      <c r="BE403" s="23">
        <f>IF(BB403="","",SUMIFS(Performance!$Z$5:$Z$404,Performance!$M$5:$M$404,BB403))</f>
        <v>0</v>
      </c>
      <c r="BF403" s="24">
        <f>IF(OR(BD403="",BD403=0),"",BE403/BD403)</f>
        <v>0</v>
      </c>
      <c r="BG403" s="32">
        <f>IF(BC403=0,"",IF(BF403="","",BF403+ROW()/1000000))</f>
        <v>0</v>
      </c>
      <c r="BH403" s="17">
        <f>IF(Performance!$C$403="","",Performance!$C$403)</f>
        <v>0</v>
      </c>
      <c r="BI403" s="17">
        <f>IF(Performance!$F$403="","",Performance!$F$403)</f>
        <v>0</v>
      </c>
      <c r="BJ403" s="17">
        <f>IF(Performance!$H$403="","",Performance!$H$403)</f>
        <v>0</v>
      </c>
      <c r="BK403" s="16">
        <f>IF(Performance!$D$403="","",Performance!$D$403)</f>
        <v>0</v>
      </c>
      <c r="BL403" s="17">
        <f>IF(Performance!$E$403="","",Performance!$E$403)</f>
        <v>0</v>
      </c>
      <c r="BM403" s="23">
        <f>IF(Performance!$O$403="","",Performance!$O$403)</f>
        <v>0</v>
      </c>
      <c r="BN403" s="24">
        <f>IF(Performance!$AA$403="","",Performance!$AA$403)</f>
        <v>0</v>
      </c>
      <c r="BO403" s="32">
        <f>IF(BH403="","",IF(BK403="","",IF(OR(BK403&lt;DashStart,BK403&gt;DashEnd),"",IF(BN403="","",BN403+ROW()/1000000))))</f>
        <v>0</v>
      </c>
      <c r="BP403" s="32">
        <f>IF(BM403="","",IF(BK403="","",IF(OR(BK403&lt;DashStart,BK403&gt;DashEnd),"",BM403+ROW()/1000000)))</f>
        <v>0</v>
      </c>
      <c r="BQ403" s="32">
        <f>IF(BH403="","",IF(BK403="","",IF(YEAR(BK403)&lt;&gt;PlanYear,"",IF(BN403="","",BN403+ROW()/1000000))))</f>
        <v>0</v>
      </c>
      <c r="BR403" s="32">
        <f>IF(BH403="","",IF(BK403="","",IF(OR(BK403&lt;RepFrom,BK403&gt;RepTo),"",IF(BN403="","",BN403+ROW()/1000000))))</f>
        <v>0</v>
      </c>
      <c r="BS403" s="32">
        <f>IF(BM403="","",IF(BK403="","",IF(YEAR(BK403)&lt;&gt;PlanYear,"",BM403+ROW()/1000000)))</f>
        <v>0</v>
      </c>
      <c r="BT403" s="17">
        <f>IF(Lists!$F403="","",Lists!$F403)</f>
        <v>0</v>
      </c>
      <c r="BU403" s="23">
        <f>IF(BT403="","",COUNTIF('Content Calendar'!$X$5:$X$604,BT403))</f>
        <v>0</v>
      </c>
      <c r="BV403" s="23">
        <f>IF(BT403="","",COUNTIFS('Content Calendar'!$X$5:$X$604,BT403,'Content Calendar'!$B$5:$B$604,"&gt;="&amp;DashStart,'Content Calendar'!$B$5:$B$604,"&lt;="&amp;DashEnd))</f>
        <v>0</v>
      </c>
      <c r="BW403" s="17">
        <f>IF(Team!$B$403="","",Team!$B$403)</f>
        <v>0</v>
      </c>
      <c r="BX403" s="23">
        <f>IF(BW403="","",COUNTIF('Content Calendar'!$W$5:$W$604,BW403))</f>
        <v>0</v>
      </c>
      <c r="BY403" s="23">
        <f>IF(BW403="","",COUNTIFS('Content Calendar'!$W$5:$W$604,BW403,'Content Calendar'!$X$5:$X$604,"&lt;&gt;Published"))</f>
        <v>0</v>
      </c>
      <c r="BZ403" s="23">
        <f>IF(BW403="","",COUNTIFS(Tasks!$C$5:$C$64,BW403,Tasks!$G$5:$G$64,"&lt;&gt;Complete"))</f>
        <v>0</v>
      </c>
      <c r="CA403" s="17">
        <f>IF(Campaigns!$B$403="","",Campaigns!$B$403)</f>
        <v>0</v>
      </c>
      <c r="CB403" s="25">
        <f>IF(Campaigns!$T$403="","",Campaigns!$T$403)</f>
        <v>0</v>
      </c>
      <c r="CC403" s="25">
        <f>IF(Campaigns!$Q$403="","",Campaigns!$Q$403)</f>
        <v>0</v>
      </c>
      <c r="CD403" s="23">
        <f>IF(Campaigns!$Y$403="","",Campaigns!$Y$403)</f>
        <v>0</v>
      </c>
      <c r="CE403" s="32">
        <f>IF(CA403="","",IF(N(CB403)&lt;=0,"",N(CB403)+ROW()/1000000))</f>
        <v>0</v>
      </c>
      <c r="CF403" s="17">
        <f>IF(Accounts!$C$403="","",Accounts!$C$403)</f>
        <v>0</v>
      </c>
      <c r="CG403" s="17">
        <f>IF(Accounts!$B$403="","",Accounts!$B$403)</f>
        <v>0</v>
      </c>
      <c r="CH403" s="23">
        <f>IF(Accounts!$J$403="","",Accounts!$J$403)</f>
        <v>0</v>
      </c>
      <c r="CI403" s="23">
        <f>IF(CF403="","",SUMIFS(Analytics!$X$5:$X$154,Analytics!$E$5:$E$154,CF403,Analytics!$B$5:$B$154,"&gt;="&amp;DashStart,Analytics!$B$5:$B$154,"&lt;="&amp;DashEnd))</f>
        <v>0</v>
      </c>
      <c r="CJ403" s="32">
        <f>IF(CH403="","",IF(CH403=0,"",CH403+ROW()/1000000))</f>
        <v>0</v>
      </c>
    </row>
    <row r="404" spans="1:88">
      <c r="A404" s="16">
        <f>IF(ROW()-4&gt;12,"",DATE(PlanYear,ROW()-4,1))</f>
        <v>0</v>
      </c>
      <c r="B404" s="16">
        <f>IF(A404="","",EOMONTH(A404,0))</f>
        <v>0</v>
      </c>
      <c r="C404" s="17">
        <f>IF(A404="","",TEXT(A404,"yyyy-mm"))</f>
        <v>0</v>
      </c>
      <c r="D404" s="17">
        <f>IF(A404="","",TEXT(A404,"mmm"))</f>
        <v>0</v>
      </c>
      <c r="E404" s="23">
        <f>IF(C404="","",COUNTIFS('Content Calendar'!$D$5:$D$604,C404))</f>
        <v>0</v>
      </c>
      <c r="F404" s="23">
        <f>IF(C404="","",COUNTIFS('Content Calendar'!$D$5:$D$604,C404,'Content Calendar'!$X$5:$X$604,"Published"))</f>
        <v>0</v>
      </c>
      <c r="G404" s="23">
        <f>IF(C404="","",SUMIFS(Analytics!$J$5:$J$154,Analytics!$C$5:$C$154,C404))</f>
        <v>0</v>
      </c>
      <c r="H404" s="23">
        <f>IF(C404="","",SUMIFS(Analytics!$K$5:$K$154,Analytics!$C$5:$C$154,C404))</f>
        <v>0</v>
      </c>
      <c r="I404" s="23">
        <f>IF(C404="","",SUMIFS(Analytics!$L$5:$L$154,Analytics!$C$5:$C$154,C404))</f>
        <v>0</v>
      </c>
      <c r="J404" s="24">
        <f>IF(OR(G404="",G404=0),"",I404/G404)</f>
        <v>0</v>
      </c>
      <c r="K404" s="23">
        <f>IF(C404="","",SUMIFS(Analytics!$G$5:$G$154,Analytics!$C$5:$C$154,C404))</f>
        <v>0</v>
      </c>
      <c r="L404" s="23">
        <f>IF(C404="","",SUMIFS(Analytics!$X$5:$X$154,Analytics!$C$5:$C$154,C404))</f>
        <v>0</v>
      </c>
      <c r="M404" s="23">
        <f>IF(C404="","",SUMIFS(Analytics!$R$5:$R$154,Analytics!$C$5:$C$154,C404))</f>
        <v>0</v>
      </c>
      <c r="N404" s="23">
        <f>IF(C404="","",SUMIFS(Analytics!$S$5:$S$154,Analytics!$C$5:$C$154,C404))</f>
        <v>0</v>
      </c>
      <c r="O404" s="23">
        <f>IF(C404="","",SUMIFS(Analytics!$T$5:$T$154,Analytics!$C$5:$C$154,C404))</f>
        <v>0</v>
      </c>
      <c r="P404" s="25">
        <f>IF(C404="","",SUMIFS(Analytics!$U$5:$U$154,Analytics!$C$5:$C$154,C404))</f>
        <v>0</v>
      </c>
      <c r="Q404" s="25">
        <f>IF(C404="","",SUMIFS(Budget!$H$5:$H$64,Budget!$C$5:$C$64,C404))</f>
        <v>0</v>
      </c>
      <c r="R404" s="25">
        <f>IF(C404="","",P404-Q404)</f>
        <v>0</v>
      </c>
      <c r="S404" s="23">
        <f>IF(C404="","",MonthlyPostTarget)</f>
        <v>0</v>
      </c>
      <c r="T404" s="17">
        <f>IF(Lists!$C404="","",Lists!$C404)</f>
        <v>0</v>
      </c>
      <c r="U404" s="23">
        <f>IF(T404="","",COUNTIFS('Content Calendar'!$G$5:$G$604,T404,'Content Calendar'!$B$5:$B$604,"&gt;="&amp;DashStart,'Content Calendar'!$B$5:$B$604,"&lt;="&amp;DashEnd))</f>
        <v>0</v>
      </c>
      <c r="V404" s="23">
        <f>IF(T404="","",COUNTIFS('Content Calendar'!$G$5:$G$604,T404,'Content Calendar'!$X$5:$X$604,"Published",'Content Calendar'!$B$5:$B$604,"&gt;="&amp;DashStart,'Content Calendar'!$B$5:$B$604,"&lt;="&amp;DashEnd))</f>
        <v>0</v>
      </c>
      <c r="W404" s="23">
        <f>IF(T404="","",SUMIFS(Analytics!$J$5:$J$154,Analytics!$D$5:$D$154,T404,Analytics!$B$5:$B$154,"&gt;="&amp;DashStart,Analytics!$B$5:$B$154,"&lt;="&amp;DashEnd))</f>
        <v>0</v>
      </c>
      <c r="X404" s="23">
        <f>IF(T404="","",SUMIFS(Analytics!$L$5:$L$154,Analytics!$D$5:$D$154,T404,Analytics!$B$5:$B$154,"&gt;="&amp;DashStart,Analytics!$B$5:$B$154,"&lt;="&amp;DashEnd))</f>
        <v>0</v>
      </c>
      <c r="Y404" s="24">
        <f>IF(OR(W404="",W404=0),"",X404/W404)</f>
        <v>0</v>
      </c>
      <c r="Z404" s="23">
        <f>IF(T404="","",SUMIFS(Analytics!$G$5:$G$154,Analytics!$D$5:$D$154,T404,Analytics!$B$5:$B$154,"&gt;="&amp;DashStart,Analytics!$B$5:$B$154,"&lt;="&amp;DashEnd))</f>
        <v>0</v>
      </c>
      <c r="AA404" s="23">
        <f>IF(T404="","",SUMIFS(Analytics!$X$5:$X$154,Analytics!$D$5:$D$154,T404,Analytics!$B$5:$B$154,"&gt;="&amp;DashStart,Analytics!$B$5:$B$154,"&lt;="&amp;DashEnd))</f>
        <v>0</v>
      </c>
      <c r="AB404" s="23">
        <f>IF(T404="","",SUMIFS(Analytics!$R$5:$R$154,Analytics!$D$5:$D$154,T404,Analytics!$B$5:$B$154,"&gt;="&amp;DashStart,Analytics!$B$5:$B$154,"&lt;="&amp;DashEnd))</f>
        <v>0</v>
      </c>
      <c r="AC404" s="25">
        <f>IF(T404="","",SUMIFS(Analytics!$U$5:$U$154,Analytics!$D$5:$D$154,T404,Analytics!$B$5:$B$154,"&gt;="&amp;DashStart,Analytics!$B$5:$B$154,"&lt;="&amp;DashEnd))</f>
        <v>0</v>
      </c>
      <c r="AD404" s="23">
        <f>IF(T404="","",COUNTIFS('Content Calendar'!$G$5:$G$604,T404,'Content Calendar'!$B$5:$B$604,"&gt;="&amp;DATE(PlanYear,1,1),'Content Calendar'!$B$5:$B$604,"&lt;="&amp;DATE(PlanYear,12,31)))</f>
        <v>0</v>
      </c>
      <c r="AE404" s="23">
        <f>IF(T404="","",SUMIFS(Analytics!$J$5:$J$154,Analytics!$D$5:$D$154,T404))</f>
        <v>0</v>
      </c>
      <c r="AF404" s="23">
        <f>IF(T404="","",SUMIFS(Analytics!$L$5:$L$154,Analytics!$D$5:$D$154,T404))</f>
        <v>0</v>
      </c>
      <c r="AG404" s="24">
        <f>IF(OR(AE404="",AE404=0),"",AF404/AE404)</f>
        <v>0</v>
      </c>
      <c r="AH404" s="23">
        <f>IF(T404="","",SUMIFS(Analytics!$X$5:$X$154,Analytics!$D$5:$D$154,T404))</f>
        <v>0</v>
      </c>
      <c r="AI404" s="32">
        <f>IF(T404="","",IF(AE404=0,"",AE404+ROW()/1000000))</f>
        <v>0</v>
      </c>
      <c r="AJ404" s="17">
        <f>IF('Content Pillars'!$B$404="","",'Content Pillars'!$B$404)</f>
        <v>0</v>
      </c>
      <c r="AK404" s="23">
        <f>IF(AJ404="","",COUNTIFS('Content Calendar'!$J$5:$J$604,AJ404,'Content Calendar'!$B$5:$B$604,"&gt;="&amp;DATE(PlanYear,1,1),'Content Calendar'!$B$5:$B$604,"&lt;="&amp;DATE(PlanYear,12,31)))</f>
        <v>0</v>
      </c>
      <c r="AL404" s="23">
        <f>IF(AJ404="","",SUMIFS(Performance!$O$5:$O$404,Performance!$H$5:$H$404,AJ404))</f>
        <v>0</v>
      </c>
      <c r="AM404" s="23">
        <f>IF(AJ404="","",SUMIFS(Performance!$Z$5:$Z$404,Performance!$H$5:$H$404,AJ404))</f>
        <v>0</v>
      </c>
      <c r="AN404" s="24">
        <f>IF(OR(AL404="",AL404=0),"",AM404/AL404)</f>
        <v>0</v>
      </c>
      <c r="AO404" s="32">
        <f>IF(AN404="","",AN404+ROW()/1000000)</f>
        <v>0</v>
      </c>
      <c r="AP404" s="17">
        <f>IF(Lists!$E404="","",Lists!$E404)</f>
        <v>0</v>
      </c>
      <c r="AQ404" s="23">
        <f>IF(AP404="","",COUNTIF(Performance!$G$5:$G$404,AP404))</f>
        <v>0</v>
      </c>
      <c r="AR404" s="23">
        <f>IF(AP404="","",SUMIFS(Performance!$O$5:$O$404,Performance!$G$5:$G$404,AP404))</f>
        <v>0</v>
      </c>
      <c r="AS404" s="23">
        <f>IF(AP404="","",SUMIFS(Performance!$Z$5:$Z$404,Performance!$G$5:$G$404,AP404))</f>
        <v>0</v>
      </c>
      <c r="AT404" s="24">
        <f>IF(OR(AR404="",AR404=0),"",AS404/AR404)</f>
        <v>0</v>
      </c>
      <c r="AU404" s="32">
        <f>IF(AQ404=0,"",IF(AT404="","",AT404+ROW()/1000000))</f>
        <v>0</v>
      </c>
      <c r="AV404" s="17">
        <f>IF(ROW()-4&gt;7,"",TEXT(DATE(2024,1,ROW()-4),"ddd"))</f>
        <v>0</v>
      </c>
      <c r="AW404" s="23">
        <f>IF(AV404="","",COUNTIF(Performance!$N$5:$N$404,AV404))</f>
        <v>0</v>
      </c>
      <c r="AX404" s="23">
        <f>IF(AV404="","",SUMIFS(Performance!$O$5:$O$404,Performance!$N$5:$N$404,AV404))</f>
        <v>0</v>
      </c>
      <c r="AY404" s="23">
        <f>IF(AV404="","",SUMIFS(Performance!$Z$5:$Z$404,Performance!$N$5:$N$404,AV404))</f>
        <v>0</v>
      </c>
      <c r="AZ404" s="24">
        <f>IF(OR(AX404="",AX404=0),"",AY404/AX404)</f>
        <v>0</v>
      </c>
      <c r="BA404" s="32">
        <f>IF(AW404=0,"",IF(AZ404="","",AZ404+ROW()/1000000))</f>
        <v>0</v>
      </c>
      <c r="BB404" s="17">
        <f>IF(Lists!$AL404="","",Lists!$AL404)</f>
        <v>0</v>
      </c>
      <c r="BC404" s="23">
        <f>IF(BB404="","",COUNTIF(Performance!$M$5:$M$404,BB404))</f>
        <v>0</v>
      </c>
      <c r="BD404" s="23">
        <f>IF(BB404="","",SUMIFS(Performance!$O$5:$O$404,Performance!$M$5:$M$404,BB404))</f>
        <v>0</v>
      </c>
      <c r="BE404" s="23">
        <f>IF(BB404="","",SUMIFS(Performance!$Z$5:$Z$404,Performance!$M$5:$M$404,BB404))</f>
        <v>0</v>
      </c>
      <c r="BF404" s="24">
        <f>IF(OR(BD404="",BD404=0),"",BE404/BD404)</f>
        <v>0</v>
      </c>
      <c r="BG404" s="32">
        <f>IF(BC404=0,"",IF(BF404="","",BF404+ROW()/1000000))</f>
        <v>0</v>
      </c>
      <c r="BH404" s="17">
        <f>IF(Performance!$C$404="","",Performance!$C$404)</f>
        <v>0</v>
      </c>
      <c r="BI404" s="17">
        <f>IF(Performance!$F$404="","",Performance!$F$404)</f>
        <v>0</v>
      </c>
      <c r="BJ404" s="17">
        <f>IF(Performance!$H$404="","",Performance!$H$404)</f>
        <v>0</v>
      </c>
      <c r="BK404" s="16">
        <f>IF(Performance!$D$404="","",Performance!$D$404)</f>
        <v>0</v>
      </c>
      <c r="BL404" s="17">
        <f>IF(Performance!$E$404="","",Performance!$E$404)</f>
        <v>0</v>
      </c>
      <c r="BM404" s="23">
        <f>IF(Performance!$O$404="","",Performance!$O$404)</f>
        <v>0</v>
      </c>
      <c r="BN404" s="24">
        <f>IF(Performance!$AA$404="","",Performance!$AA$404)</f>
        <v>0</v>
      </c>
      <c r="BO404" s="32">
        <f>IF(BH404="","",IF(BK404="","",IF(OR(BK404&lt;DashStart,BK404&gt;DashEnd),"",IF(BN404="","",BN404+ROW()/1000000))))</f>
        <v>0</v>
      </c>
      <c r="BP404" s="32">
        <f>IF(BM404="","",IF(BK404="","",IF(OR(BK404&lt;DashStart,BK404&gt;DashEnd),"",BM404+ROW()/1000000)))</f>
        <v>0</v>
      </c>
      <c r="BQ404" s="32">
        <f>IF(BH404="","",IF(BK404="","",IF(YEAR(BK404)&lt;&gt;PlanYear,"",IF(BN404="","",BN404+ROW()/1000000))))</f>
        <v>0</v>
      </c>
      <c r="BR404" s="32">
        <f>IF(BH404="","",IF(BK404="","",IF(OR(BK404&lt;RepFrom,BK404&gt;RepTo),"",IF(BN404="","",BN404+ROW()/1000000))))</f>
        <v>0</v>
      </c>
      <c r="BS404" s="32">
        <f>IF(BM404="","",IF(BK404="","",IF(YEAR(BK404)&lt;&gt;PlanYear,"",BM404+ROW()/1000000)))</f>
        <v>0</v>
      </c>
      <c r="BT404" s="17">
        <f>IF(Lists!$F404="","",Lists!$F404)</f>
        <v>0</v>
      </c>
      <c r="BU404" s="23">
        <f>IF(BT404="","",COUNTIF('Content Calendar'!$X$5:$X$604,BT404))</f>
        <v>0</v>
      </c>
      <c r="BV404" s="23">
        <f>IF(BT404="","",COUNTIFS('Content Calendar'!$X$5:$X$604,BT404,'Content Calendar'!$B$5:$B$604,"&gt;="&amp;DashStart,'Content Calendar'!$B$5:$B$604,"&lt;="&amp;DashEnd))</f>
        <v>0</v>
      </c>
      <c r="BW404" s="17">
        <f>IF(Team!$B$404="","",Team!$B$404)</f>
        <v>0</v>
      </c>
      <c r="BX404" s="23">
        <f>IF(BW404="","",COUNTIF('Content Calendar'!$W$5:$W$604,BW404))</f>
        <v>0</v>
      </c>
      <c r="BY404" s="23">
        <f>IF(BW404="","",COUNTIFS('Content Calendar'!$W$5:$W$604,BW404,'Content Calendar'!$X$5:$X$604,"&lt;&gt;Published"))</f>
        <v>0</v>
      </c>
      <c r="BZ404" s="23">
        <f>IF(BW404="","",COUNTIFS(Tasks!$C$5:$C$64,BW404,Tasks!$G$5:$G$64,"&lt;&gt;Complete"))</f>
        <v>0</v>
      </c>
      <c r="CA404" s="17">
        <f>IF(Campaigns!$B$404="","",Campaigns!$B$404)</f>
        <v>0</v>
      </c>
      <c r="CB404" s="25">
        <f>IF(Campaigns!$T$404="","",Campaigns!$T$404)</f>
        <v>0</v>
      </c>
      <c r="CC404" s="25">
        <f>IF(Campaigns!$Q$404="","",Campaigns!$Q$404)</f>
        <v>0</v>
      </c>
      <c r="CD404" s="23">
        <f>IF(Campaigns!$Y$404="","",Campaigns!$Y$404)</f>
        <v>0</v>
      </c>
      <c r="CE404" s="32">
        <f>IF(CA404="","",IF(N(CB404)&lt;=0,"",N(CB404)+ROW()/1000000))</f>
        <v>0</v>
      </c>
      <c r="CF404" s="17">
        <f>IF(Accounts!$C$404="","",Accounts!$C$404)</f>
        <v>0</v>
      </c>
      <c r="CG404" s="17">
        <f>IF(Accounts!$B$404="","",Accounts!$B$404)</f>
        <v>0</v>
      </c>
      <c r="CH404" s="23">
        <f>IF(Accounts!$J$404="","",Accounts!$J$404)</f>
        <v>0</v>
      </c>
      <c r="CI404" s="23">
        <f>IF(CF404="","",SUMIFS(Analytics!$X$5:$X$154,Analytics!$E$5:$E$154,CF404,Analytics!$B$5:$B$154,"&gt;="&amp;DashStart,Analytics!$B$5:$B$154,"&lt;="&amp;DashEnd))</f>
        <v>0</v>
      </c>
      <c r="CJ404" s="32">
        <f>IF(CH404="","",IF(CH404=0,"",CH404+ROW()/1000000))</f>
        <v>0</v>
      </c>
    </row>
    <row r="405" spans="1:88">
      <c r="A405" s="16">
        <f>IF(ROW()-4&gt;12,"",DATE(PlanYear,ROW()-4,1))</f>
        <v>0</v>
      </c>
      <c r="B405" s="16">
        <f>IF(A405="","",EOMONTH(A405,0))</f>
        <v>0</v>
      </c>
      <c r="C405" s="17">
        <f>IF(A405="","",TEXT(A405,"yyyy-mm"))</f>
        <v>0</v>
      </c>
      <c r="D405" s="17">
        <f>IF(A405="","",TEXT(A405,"mmm"))</f>
        <v>0</v>
      </c>
      <c r="E405" s="23">
        <f>IF(C405="","",COUNTIFS('Content Calendar'!$D$5:$D$604,C405))</f>
        <v>0</v>
      </c>
      <c r="F405" s="23">
        <f>IF(C405="","",COUNTIFS('Content Calendar'!$D$5:$D$604,C405,'Content Calendar'!$X$5:$X$604,"Published"))</f>
        <v>0</v>
      </c>
      <c r="G405" s="23">
        <f>IF(C405="","",SUMIFS(Analytics!$J$5:$J$154,Analytics!$C$5:$C$154,C405))</f>
        <v>0</v>
      </c>
      <c r="H405" s="23">
        <f>IF(C405="","",SUMIFS(Analytics!$K$5:$K$154,Analytics!$C$5:$C$154,C405))</f>
        <v>0</v>
      </c>
      <c r="I405" s="23">
        <f>IF(C405="","",SUMIFS(Analytics!$L$5:$L$154,Analytics!$C$5:$C$154,C405))</f>
        <v>0</v>
      </c>
      <c r="J405" s="24">
        <f>IF(OR(G405="",G405=0),"",I405/G405)</f>
        <v>0</v>
      </c>
      <c r="K405" s="23">
        <f>IF(C405="","",SUMIFS(Analytics!$G$5:$G$154,Analytics!$C$5:$C$154,C405))</f>
        <v>0</v>
      </c>
      <c r="L405" s="23">
        <f>IF(C405="","",SUMIFS(Analytics!$X$5:$X$154,Analytics!$C$5:$C$154,C405))</f>
        <v>0</v>
      </c>
      <c r="M405" s="23">
        <f>IF(C405="","",SUMIFS(Analytics!$R$5:$R$154,Analytics!$C$5:$C$154,C405))</f>
        <v>0</v>
      </c>
      <c r="N405" s="23">
        <f>IF(C405="","",SUMIFS(Analytics!$S$5:$S$154,Analytics!$C$5:$C$154,C405))</f>
        <v>0</v>
      </c>
      <c r="O405" s="23">
        <f>IF(C405="","",SUMIFS(Analytics!$T$5:$T$154,Analytics!$C$5:$C$154,C405))</f>
        <v>0</v>
      </c>
      <c r="P405" s="25">
        <f>IF(C405="","",SUMIFS(Analytics!$U$5:$U$154,Analytics!$C$5:$C$154,C405))</f>
        <v>0</v>
      </c>
      <c r="Q405" s="25">
        <f>IF(C405="","",SUMIFS(Budget!$H$5:$H$64,Budget!$C$5:$C$64,C405))</f>
        <v>0</v>
      </c>
      <c r="R405" s="25">
        <f>IF(C405="","",P405-Q405)</f>
        <v>0</v>
      </c>
      <c r="S405" s="23">
        <f>IF(C405="","",MonthlyPostTarget)</f>
        <v>0</v>
      </c>
      <c r="T405" s="17">
        <f>IF(Lists!$C405="","",Lists!$C405)</f>
        <v>0</v>
      </c>
      <c r="U405" s="23">
        <f>IF(T405="","",COUNTIFS('Content Calendar'!$G$5:$G$604,T405,'Content Calendar'!$B$5:$B$604,"&gt;="&amp;DashStart,'Content Calendar'!$B$5:$B$604,"&lt;="&amp;DashEnd))</f>
        <v>0</v>
      </c>
      <c r="V405" s="23">
        <f>IF(T405="","",COUNTIFS('Content Calendar'!$G$5:$G$604,T405,'Content Calendar'!$X$5:$X$604,"Published",'Content Calendar'!$B$5:$B$604,"&gt;="&amp;DashStart,'Content Calendar'!$B$5:$B$604,"&lt;="&amp;DashEnd))</f>
        <v>0</v>
      </c>
      <c r="W405" s="23">
        <f>IF(T405="","",SUMIFS(Analytics!$J$5:$J$154,Analytics!$D$5:$D$154,T405,Analytics!$B$5:$B$154,"&gt;="&amp;DashStart,Analytics!$B$5:$B$154,"&lt;="&amp;DashEnd))</f>
        <v>0</v>
      </c>
      <c r="X405" s="23">
        <f>IF(T405="","",SUMIFS(Analytics!$L$5:$L$154,Analytics!$D$5:$D$154,T405,Analytics!$B$5:$B$154,"&gt;="&amp;DashStart,Analytics!$B$5:$B$154,"&lt;="&amp;DashEnd))</f>
        <v>0</v>
      </c>
      <c r="Y405" s="24">
        <f>IF(OR(W405="",W405=0),"",X405/W405)</f>
        <v>0</v>
      </c>
      <c r="Z405" s="23">
        <f>IF(T405="","",SUMIFS(Analytics!$G$5:$G$154,Analytics!$D$5:$D$154,T405,Analytics!$B$5:$B$154,"&gt;="&amp;DashStart,Analytics!$B$5:$B$154,"&lt;="&amp;DashEnd))</f>
        <v>0</v>
      </c>
      <c r="AA405" s="23">
        <f>IF(T405="","",SUMIFS(Analytics!$X$5:$X$154,Analytics!$D$5:$D$154,T405,Analytics!$B$5:$B$154,"&gt;="&amp;DashStart,Analytics!$B$5:$B$154,"&lt;="&amp;DashEnd))</f>
        <v>0</v>
      </c>
      <c r="AB405" s="23">
        <f>IF(T405="","",SUMIFS(Analytics!$R$5:$R$154,Analytics!$D$5:$D$154,T405,Analytics!$B$5:$B$154,"&gt;="&amp;DashStart,Analytics!$B$5:$B$154,"&lt;="&amp;DashEnd))</f>
        <v>0</v>
      </c>
      <c r="AC405" s="25">
        <f>IF(T405="","",SUMIFS(Analytics!$U$5:$U$154,Analytics!$D$5:$D$154,T405,Analytics!$B$5:$B$154,"&gt;="&amp;DashStart,Analytics!$B$5:$B$154,"&lt;="&amp;DashEnd))</f>
        <v>0</v>
      </c>
      <c r="AD405" s="23">
        <f>IF(T405="","",COUNTIFS('Content Calendar'!$G$5:$G$604,T405,'Content Calendar'!$B$5:$B$604,"&gt;="&amp;DATE(PlanYear,1,1),'Content Calendar'!$B$5:$B$604,"&lt;="&amp;DATE(PlanYear,12,31)))</f>
        <v>0</v>
      </c>
      <c r="AE405" s="23">
        <f>IF(T405="","",SUMIFS(Analytics!$J$5:$J$154,Analytics!$D$5:$D$154,T405))</f>
        <v>0</v>
      </c>
      <c r="AF405" s="23">
        <f>IF(T405="","",SUMIFS(Analytics!$L$5:$L$154,Analytics!$D$5:$D$154,T405))</f>
        <v>0</v>
      </c>
      <c r="AG405" s="24">
        <f>IF(OR(AE405="",AE405=0),"",AF405/AE405)</f>
        <v>0</v>
      </c>
      <c r="AH405" s="23">
        <f>IF(T405="","",SUMIFS(Analytics!$X$5:$X$154,Analytics!$D$5:$D$154,T405))</f>
        <v>0</v>
      </c>
      <c r="AI405" s="32">
        <f>IF(T405="","",IF(AE405=0,"",AE405+ROW()/1000000))</f>
        <v>0</v>
      </c>
      <c r="AJ405" s="17">
        <f>IF('Content Pillars'!$B$405="","",'Content Pillars'!$B$405)</f>
        <v>0</v>
      </c>
      <c r="AK405" s="23">
        <f>IF(AJ405="","",COUNTIFS('Content Calendar'!$J$5:$J$604,AJ405,'Content Calendar'!$B$5:$B$604,"&gt;="&amp;DATE(PlanYear,1,1),'Content Calendar'!$B$5:$B$604,"&lt;="&amp;DATE(PlanYear,12,31)))</f>
        <v>0</v>
      </c>
      <c r="AL405" s="23">
        <f>IF(AJ405="","",SUMIFS(Performance!$O$5:$O$404,Performance!$H$5:$H$404,AJ405))</f>
        <v>0</v>
      </c>
      <c r="AM405" s="23">
        <f>IF(AJ405="","",SUMIFS(Performance!$Z$5:$Z$404,Performance!$H$5:$H$404,AJ405))</f>
        <v>0</v>
      </c>
      <c r="AN405" s="24">
        <f>IF(OR(AL405="",AL405=0),"",AM405/AL405)</f>
        <v>0</v>
      </c>
      <c r="AO405" s="32">
        <f>IF(AN405="","",AN405+ROW()/1000000)</f>
        <v>0</v>
      </c>
      <c r="AP405" s="17">
        <f>IF(Lists!$E405="","",Lists!$E405)</f>
        <v>0</v>
      </c>
      <c r="AQ405" s="23">
        <f>IF(AP405="","",COUNTIF(Performance!$G$5:$G$404,AP405))</f>
        <v>0</v>
      </c>
      <c r="AR405" s="23">
        <f>IF(AP405="","",SUMIFS(Performance!$O$5:$O$404,Performance!$G$5:$G$404,AP405))</f>
        <v>0</v>
      </c>
      <c r="AS405" s="23">
        <f>IF(AP405="","",SUMIFS(Performance!$Z$5:$Z$404,Performance!$G$5:$G$404,AP405))</f>
        <v>0</v>
      </c>
      <c r="AT405" s="24">
        <f>IF(OR(AR405="",AR405=0),"",AS405/AR405)</f>
        <v>0</v>
      </c>
      <c r="AU405" s="32">
        <f>IF(AQ405=0,"",IF(AT405="","",AT405+ROW()/1000000))</f>
        <v>0</v>
      </c>
      <c r="AV405" s="17">
        <f>IF(ROW()-4&gt;7,"",TEXT(DATE(2024,1,ROW()-4),"ddd"))</f>
        <v>0</v>
      </c>
      <c r="AW405" s="23">
        <f>IF(AV405="","",COUNTIF(Performance!$N$5:$N$404,AV405))</f>
        <v>0</v>
      </c>
      <c r="AX405" s="23">
        <f>IF(AV405="","",SUMIFS(Performance!$O$5:$O$404,Performance!$N$5:$N$404,AV405))</f>
        <v>0</v>
      </c>
      <c r="AY405" s="23">
        <f>IF(AV405="","",SUMIFS(Performance!$Z$5:$Z$404,Performance!$N$5:$N$404,AV405))</f>
        <v>0</v>
      </c>
      <c r="AZ405" s="24">
        <f>IF(OR(AX405="",AX405=0),"",AY405/AX405)</f>
        <v>0</v>
      </c>
      <c r="BA405" s="32">
        <f>IF(AW405=0,"",IF(AZ405="","",AZ405+ROW()/1000000))</f>
        <v>0</v>
      </c>
      <c r="BB405" s="17">
        <f>IF(Lists!$AL405="","",Lists!$AL405)</f>
        <v>0</v>
      </c>
      <c r="BC405" s="23">
        <f>IF(BB405="","",COUNTIF(Performance!$M$5:$M$404,BB405))</f>
        <v>0</v>
      </c>
      <c r="BD405" s="23">
        <f>IF(BB405="","",SUMIFS(Performance!$O$5:$O$404,Performance!$M$5:$M$404,BB405))</f>
        <v>0</v>
      </c>
      <c r="BE405" s="23">
        <f>IF(BB405="","",SUMIFS(Performance!$Z$5:$Z$404,Performance!$M$5:$M$404,BB405))</f>
        <v>0</v>
      </c>
      <c r="BF405" s="24">
        <f>IF(OR(BD405="",BD405=0),"",BE405/BD405)</f>
        <v>0</v>
      </c>
      <c r="BG405" s="32">
        <f>IF(BC405=0,"",IF(BF405="","",BF405+ROW()/1000000))</f>
        <v>0</v>
      </c>
      <c r="BH405" s="17">
        <f>IF(Performance!$C$405="","",Performance!$C$405)</f>
        <v>0</v>
      </c>
      <c r="BI405" s="17">
        <f>IF(Performance!$F$405="","",Performance!$F$405)</f>
        <v>0</v>
      </c>
      <c r="BJ405" s="17">
        <f>IF(Performance!$H$405="","",Performance!$H$405)</f>
        <v>0</v>
      </c>
      <c r="BK405" s="16">
        <f>IF(Performance!$D$405="","",Performance!$D$405)</f>
        <v>0</v>
      </c>
      <c r="BL405" s="17">
        <f>IF(Performance!$E$405="","",Performance!$E$405)</f>
        <v>0</v>
      </c>
      <c r="BM405" s="23">
        <f>IF(Performance!$O$405="","",Performance!$O$405)</f>
        <v>0</v>
      </c>
      <c r="BN405" s="24">
        <f>IF(Performance!$AA$405="","",Performance!$AA$405)</f>
        <v>0</v>
      </c>
      <c r="BO405" s="32">
        <f>IF(BH405="","",IF(BK405="","",IF(OR(BK405&lt;DashStart,BK405&gt;DashEnd),"",IF(BN405="","",BN405+ROW()/1000000))))</f>
        <v>0</v>
      </c>
      <c r="BP405" s="32">
        <f>IF(BM405="","",IF(BK405="","",IF(OR(BK405&lt;DashStart,BK405&gt;DashEnd),"",BM405+ROW()/1000000)))</f>
        <v>0</v>
      </c>
      <c r="BQ405" s="32">
        <f>IF(BH405="","",IF(BK405="","",IF(YEAR(BK405)&lt;&gt;PlanYear,"",IF(BN405="","",BN405+ROW()/1000000))))</f>
        <v>0</v>
      </c>
      <c r="BR405" s="32">
        <f>IF(BH405="","",IF(BK405="","",IF(OR(BK405&lt;RepFrom,BK405&gt;RepTo),"",IF(BN405="","",BN405+ROW()/1000000))))</f>
        <v>0</v>
      </c>
      <c r="BS405" s="32">
        <f>IF(BM405="","",IF(BK405="","",IF(YEAR(BK405)&lt;&gt;PlanYear,"",BM405+ROW()/1000000)))</f>
        <v>0</v>
      </c>
      <c r="BT405" s="17">
        <f>IF(Lists!$F405="","",Lists!$F405)</f>
        <v>0</v>
      </c>
      <c r="BU405" s="23">
        <f>IF(BT405="","",COUNTIF('Content Calendar'!$X$5:$X$604,BT405))</f>
        <v>0</v>
      </c>
      <c r="BV405" s="23">
        <f>IF(BT405="","",COUNTIFS('Content Calendar'!$X$5:$X$604,BT405,'Content Calendar'!$B$5:$B$604,"&gt;="&amp;DashStart,'Content Calendar'!$B$5:$B$604,"&lt;="&amp;DashEnd))</f>
        <v>0</v>
      </c>
      <c r="BW405" s="17">
        <f>IF(Team!$B$405="","",Team!$B$405)</f>
        <v>0</v>
      </c>
      <c r="BX405" s="23">
        <f>IF(BW405="","",COUNTIF('Content Calendar'!$W$5:$W$604,BW405))</f>
        <v>0</v>
      </c>
      <c r="BY405" s="23">
        <f>IF(BW405="","",COUNTIFS('Content Calendar'!$W$5:$W$604,BW405,'Content Calendar'!$X$5:$X$604,"&lt;&gt;Published"))</f>
        <v>0</v>
      </c>
      <c r="BZ405" s="23">
        <f>IF(BW405="","",COUNTIFS(Tasks!$C$5:$C$64,BW405,Tasks!$G$5:$G$64,"&lt;&gt;Complete"))</f>
        <v>0</v>
      </c>
      <c r="CA405" s="17">
        <f>IF(Campaigns!$B$405="","",Campaigns!$B$405)</f>
        <v>0</v>
      </c>
      <c r="CB405" s="25">
        <f>IF(Campaigns!$T$405="","",Campaigns!$T$405)</f>
        <v>0</v>
      </c>
      <c r="CC405" s="25">
        <f>IF(Campaigns!$Q$405="","",Campaigns!$Q$405)</f>
        <v>0</v>
      </c>
      <c r="CD405" s="23">
        <f>IF(Campaigns!$Y$405="","",Campaigns!$Y$405)</f>
        <v>0</v>
      </c>
      <c r="CE405" s="32">
        <f>IF(CA405="","",IF(N(CB405)&lt;=0,"",N(CB405)+ROW()/1000000))</f>
        <v>0</v>
      </c>
      <c r="CF405" s="17">
        <f>IF(Accounts!$C$405="","",Accounts!$C$405)</f>
        <v>0</v>
      </c>
      <c r="CG405" s="17">
        <f>IF(Accounts!$B$405="","",Accounts!$B$405)</f>
        <v>0</v>
      </c>
      <c r="CH405" s="23">
        <f>IF(Accounts!$J$405="","",Accounts!$J$405)</f>
        <v>0</v>
      </c>
      <c r="CI405" s="23">
        <f>IF(CF405="","",SUMIFS(Analytics!$X$5:$X$154,Analytics!$E$5:$E$154,CF405,Analytics!$B$5:$B$154,"&gt;="&amp;DashStart,Analytics!$B$5:$B$154,"&lt;="&amp;DashEnd))</f>
        <v>0</v>
      </c>
      <c r="CJ405" s="32">
        <f>IF(CH405="","",IF(CH405=0,"",CH405+ROW()/1000000))</f>
        <v>0</v>
      </c>
    </row>
    <row r="406" spans="1:88">
      <c r="A406" s="16">
        <f>IF(ROW()-4&gt;12,"",DATE(PlanYear,ROW()-4,1))</f>
        <v>0</v>
      </c>
      <c r="B406" s="16">
        <f>IF(A406="","",EOMONTH(A406,0))</f>
        <v>0</v>
      </c>
      <c r="C406" s="17">
        <f>IF(A406="","",TEXT(A406,"yyyy-mm"))</f>
        <v>0</v>
      </c>
      <c r="D406" s="17">
        <f>IF(A406="","",TEXT(A406,"mmm"))</f>
        <v>0</v>
      </c>
      <c r="E406" s="23">
        <f>IF(C406="","",COUNTIFS('Content Calendar'!$D$5:$D$604,C406))</f>
        <v>0</v>
      </c>
      <c r="F406" s="23">
        <f>IF(C406="","",COUNTIFS('Content Calendar'!$D$5:$D$604,C406,'Content Calendar'!$X$5:$X$604,"Published"))</f>
        <v>0</v>
      </c>
      <c r="G406" s="23">
        <f>IF(C406="","",SUMIFS(Analytics!$J$5:$J$154,Analytics!$C$5:$C$154,C406))</f>
        <v>0</v>
      </c>
      <c r="H406" s="23">
        <f>IF(C406="","",SUMIFS(Analytics!$K$5:$K$154,Analytics!$C$5:$C$154,C406))</f>
        <v>0</v>
      </c>
      <c r="I406" s="23">
        <f>IF(C406="","",SUMIFS(Analytics!$L$5:$L$154,Analytics!$C$5:$C$154,C406))</f>
        <v>0</v>
      </c>
      <c r="J406" s="24">
        <f>IF(OR(G406="",G406=0),"",I406/G406)</f>
        <v>0</v>
      </c>
      <c r="K406" s="23">
        <f>IF(C406="","",SUMIFS(Analytics!$G$5:$G$154,Analytics!$C$5:$C$154,C406))</f>
        <v>0</v>
      </c>
      <c r="L406" s="23">
        <f>IF(C406="","",SUMIFS(Analytics!$X$5:$X$154,Analytics!$C$5:$C$154,C406))</f>
        <v>0</v>
      </c>
      <c r="M406" s="23">
        <f>IF(C406="","",SUMIFS(Analytics!$R$5:$R$154,Analytics!$C$5:$C$154,C406))</f>
        <v>0</v>
      </c>
      <c r="N406" s="23">
        <f>IF(C406="","",SUMIFS(Analytics!$S$5:$S$154,Analytics!$C$5:$C$154,C406))</f>
        <v>0</v>
      </c>
      <c r="O406" s="23">
        <f>IF(C406="","",SUMIFS(Analytics!$T$5:$T$154,Analytics!$C$5:$C$154,C406))</f>
        <v>0</v>
      </c>
      <c r="P406" s="25">
        <f>IF(C406="","",SUMIFS(Analytics!$U$5:$U$154,Analytics!$C$5:$C$154,C406))</f>
        <v>0</v>
      </c>
      <c r="Q406" s="25">
        <f>IF(C406="","",SUMIFS(Budget!$H$5:$H$64,Budget!$C$5:$C$64,C406))</f>
        <v>0</v>
      </c>
      <c r="R406" s="25">
        <f>IF(C406="","",P406-Q406)</f>
        <v>0</v>
      </c>
      <c r="S406" s="23">
        <f>IF(C406="","",MonthlyPostTarget)</f>
        <v>0</v>
      </c>
      <c r="T406" s="17">
        <f>IF(Lists!$C406="","",Lists!$C406)</f>
        <v>0</v>
      </c>
      <c r="U406" s="23">
        <f>IF(T406="","",COUNTIFS('Content Calendar'!$G$5:$G$604,T406,'Content Calendar'!$B$5:$B$604,"&gt;="&amp;DashStart,'Content Calendar'!$B$5:$B$604,"&lt;="&amp;DashEnd))</f>
        <v>0</v>
      </c>
      <c r="V406" s="23">
        <f>IF(T406="","",COUNTIFS('Content Calendar'!$G$5:$G$604,T406,'Content Calendar'!$X$5:$X$604,"Published",'Content Calendar'!$B$5:$B$604,"&gt;="&amp;DashStart,'Content Calendar'!$B$5:$B$604,"&lt;="&amp;DashEnd))</f>
        <v>0</v>
      </c>
      <c r="W406" s="23">
        <f>IF(T406="","",SUMIFS(Analytics!$J$5:$J$154,Analytics!$D$5:$D$154,T406,Analytics!$B$5:$B$154,"&gt;="&amp;DashStart,Analytics!$B$5:$B$154,"&lt;="&amp;DashEnd))</f>
        <v>0</v>
      </c>
      <c r="X406" s="23">
        <f>IF(T406="","",SUMIFS(Analytics!$L$5:$L$154,Analytics!$D$5:$D$154,T406,Analytics!$B$5:$B$154,"&gt;="&amp;DashStart,Analytics!$B$5:$B$154,"&lt;="&amp;DashEnd))</f>
        <v>0</v>
      </c>
      <c r="Y406" s="24">
        <f>IF(OR(W406="",W406=0),"",X406/W406)</f>
        <v>0</v>
      </c>
      <c r="Z406" s="23">
        <f>IF(T406="","",SUMIFS(Analytics!$G$5:$G$154,Analytics!$D$5:$D$154,T406,Analytics!$B$5:$B$154,"&gt;="&amp;DashStart,Analytics!$B$5:$B$154,"&lt;="&amp;DashEnd))</f>
        <v>0</v>
      </c>
      <c r="AA406" s="23">
        <f>IF(T406="","",SUMIFS(Analytics!$X$5:$X$154,Analytics!$D$5:$D$154,T406,Analytics!$B$5:$B$154,"&gt;="&amp;DashStart,Analytics!$B$5:$B$154,"&lt;="&amp;DashEnd))</f>
        <v>0</v>
      </c>
      <c r="AB406" s="23">
        <f>IF(T406="","",SUMIFS(Analytics!$R$5:$R$154,Analytics!$D$5:$D$154,T406,Analytics!$B$5:$B$154,"&gt;="&amp;DashStart,Analytics!$B$5:$B$154,"&lt;="&amp;DashEnd))</f>
        <v>0</v>
      </c>
      <c r="AC406" s="25">
        <f>IF(T406="","",SUMIFS(Analytics!$U$5:$U$154,Analytics!$D$5:$D$154,T406,Analytics!$B$5:$B$154,"&gt;="&amp;DashStart,Analytics!$B$5:$B$154,"&lt;="&amp;DashEnd))</f>
        <v>0</v>
      </c>
      <c r="AD406" s="23">
        <f>IF(T406="","",COUNTIFS('Content Calendar'!$G$5:$G$604,T406,'Content Calendar'!$B$5:$B$604,"&gt;="&amp;DATE(PlanYear,1,1),'Content Calendar'!$B$5:$B$604,"&lt;="&amp;DATE(PlanYear,12,31)))</f>
        <v>0</v>
      </c>
      <c r="AE406" s="23">
        <f>IF(T406="","",SUMIFS(Analytics!$J$5:$J$154,Analytics!$D$5:$D$154,T406))</f>
        <v>0</v>
      </c>
      <c r="AF406" s="23">
        <f>IF(T406="","",SUMIFS(Analytics!$L$5:$L$154,Analytics!$D$5:$D$154,T406))</f>
        <v>0</v>
      </c>
      <c r="AG406" s="24">
        <f>IF(OR(AE406="",AE406=0),"",AF406/AE406)</f>
        <v>0</v>
      </c>
      <c r="AH406" s="23">
        <f>IF(T406="","",SUMIFS(Analytics!$X$5:$X$154,Analytics!$D$5:$D$154,T406))</f>
        <v>0</v>
      </c>
      <c r="AI406" s="32">
        <f>IF(T406="","",IF(AE406=0,"",AE406+ROW()/1000000))</f>
        <v>0</v>
      </c>
      <c r="AJ406" s="17">
        <f>IF('Content Pillars'!$B$406="","",'Content Pillars'!$B$406)</f>
        <v>0</v>
      </c>
      <c r="AK406" s="23">
        <f>IF(AJ406="","",COUNTIFS('Content Calendar'!$J$5:$J$604,AJ406,'Content Calendar'!$B$5:$B$604,"&gt;="&amp;DATE(PlanYear,1,1),'Content Calendar'!$B$5:$B$604,"&lt;="&amp;DATE(PlanYear,12,31)))</f>
        <v>0</v>
      </c>
      <c r="AL406" s="23">
        <f>IF(AJ406="","",SUMIFS(Performance!$O$5:$O$404,Performance!$H$5:$H$404,AJ406))</f>
        <v>0</v>
      </c>
      <c r="AM406" s="23">
        <f>IF(AJ406="","",SUMIFS(Performance!$Z$5:$Z$404,Performance!$H$5:$H$404,AJ406))</f>
        <v>0</v>
      </c>
      <c r="AN406" s="24">
        <f>IF(OR(AL406="",AL406=0),"",AM406/AL406)</f>
        <v>0</v>
      </c>
      <c r="AO406" s="32">
        <f>IF(AN406="","",AN406+ROW()/1000000)</f>
        <v>0</v>
      </c>
      <c r="AP406" s="17">
        <f>IF(Lists!$E406="","",Lists!$E406)</f>
        <v>0</v>
      </c>
      <c r="AQ406" s="23">
        <f>IF(AP406="","",COUNTIF(Performance!$G$5:$G$404,AP406))</f>
        <v>0</v>
      </c>
      <c r="AR406" s="23">
        <f>IF(AP406="","",SUMIFS(Performance!$O$5:$O$404,Performance!$G$5:$G$404,AP406))</f>
        <v>0</v>
      </c>
      <c r="AS406" s="23">
        <f>IF(AP406="","",SUMIFS(Performance!$Z$5:$Z$404,Performance!$G$5:$G$404,AP406))</f>
        <v>0</v>
      </c>
      <c r="AT406" s="24">
        <f>IF(OR(AR406="",AR406=0),"",AS406/AR406)</f>
        <v>0</v>
      </c>
      <c r="AU406" s="32">
        <f>IF(AQ406=0,"",IF(AT406="","",AT406+ROW()/1000000))</f>
        <v>0</v>
      </c>
      <c r="AV406" s="17">
        <f>IF(ROW()-4&gt;7,"",TEXT(DATE(2024,1,ROW()-4),"ddd"))</f>
        <v>0</v>
      </c>
      <c r="AW406" s="23">
        <f>IF(AV406="","",COUNTIF(Performance!$N$5:$N$404,AV406))</f>
        <v>0</v>
      </c>
      <c r="AX406" s="23">
        <f>IF(AV406="","",SUMIFS(Performance!$O$5:$O$404,Performance!$N$5:$N$404,AV406))</f>
        <v>0</v>
      </c>
      <c r="AY406" s="23">
        <f>IF(AV406="","",SUMIFS(Performance!$Z$5:$Z$404,Performance!$N$5:$N$404,AV406))</f>
        <v>0</v>
      </c>
      <c r="AZ406" s="24">
        <f>IF(OR(AX406="",AX406=0),"",AY406/AX406)</f>
        <v>0</v>
      </c>
      <c r="BA406" s="32">
        <f>IF(AW406=0,"",IF(AZ406="","",AZ406+ROW()/1000000))</f>
        <v>0</v>
      </c>
      <c r="BB406" s="17">
        <f>IF(Lists!$AL406="","",Lists!$AL406)</f>
        <v>0</v>
      </c>
      <c r="BC406" s="23">
        <f>IF(BB406="","",COUNTIF(Performance!$M$5:$M$404,BB406))</f>
        <v>0</v>
      </c>
      <c r="BD406" s="23">
        <f>IF(BB406="","",SUMIFS(Performance!$O$5:$O$404,Performance!$M$5:$M$404,BB406))</f>
        <v>0</v>
      </c>
      <c r="BE406" s="23">
        <f>IF(BB406="","",SUMIFS(Performance!$Z$5:$Z$404,Performance!$M$5:$M$404,BB406))</f>
        <v>0</v>
      </c>
      <c r="BF406" s="24">
        <f>IF(OR(BD406="",BD406=0),"",BE406/BD406)</f>
        <v>0</v>
      </c>
      <c r="BG406" s="32">
        <f>IF(BC406=0,"",IF(BF406="","",BF406+ROW()/1000000))</f>
        <v>0</v>
      </c>
      <c r="BH406" s="17">
        <f>IF(Performance!$C$406="","",Performance!$C$406)</f>
        <v>0</v>
      </c>
      <c r="BI406" s="17">
        <f>IF(Performance!$F$406="","",Performance!$F$406)</f>
        <v>0</v>
      </c>
      <c r="BJ406" s="17">
        <f>IF(Performance!$H$406="","",Performance!$H$406)</f>
        <v>0</v>
      </c>
      <c r="BK406" s="16">
        <f>IF(Performance!$D$406="","",Performance!$D$406)</f>
        <v>0</v>
      </c>
      <c r="BL406" s="17">
        <f>IF(Performance!$E$406="","",Performance!$E$406)</f>
        <v>0</v>
      </c>
      <c r="BM406" s="23">
        <f>IF(Performance!$O$406="","",Performance!$O$406)</f>
        <v>0</v>
      </c>
      <c r="BN406" s="24">
        <f>IF(Performance!$AA$406="","",Performance!$AA$406)</f>
        <v>0</v>
      </c>
      <c r="BO406" s="32">
        <f>IF(BH406="","",IF(BK406="","",IF(OR(BK406&lt;DashStart,BK406&gt;DashEnd),"",IF(BN406="","",BN406+ROW()/1000000))))</f>
        <v>0</v>
      </c>
      <c r="BP406" s="32">
        <f>IF(BM406="","",IF(BK406="","",IF(OR(BK406&lt;DashStart,BK406&gt;DashEnd),"",BM406+ROW()/1000000)))</f>
        <v>0</v>
      </c>
      <c r="BQ406" s="32">
        <f>IF(BH406="","",IF(BK406="","",IF(YEAR(BK406)&lt;&gt;PlanYear,"",IF(BN406="","",BN406+ROW()/1000000))))</f>
        <v>0</v>
      </c>
      <c r="BR406" s="32">
        <f>IF(BH406="","",IF(BK406="","",IF(OR(BK406&lt;RepFrom,BK406&gt;RepTo),"",IF(BN406="","",BN406+ROW()/1000000))))</f>
        <v>0</v>
      </c>
      <c r="BS406" s="32">
        <f>IF(BM406="","",IF(BK406="","",IF(YEAR(BK406)&lt;&gt;PlanYear,"",BM406+ROW()/1000000)))</f>
        <v>0</v>
      </c>
      <c r="BT406" s="17">
        <f>IF(Lists!$F406="","",Lists!$F406)</f>
        <v>0</v>
      </c>
      <c r="BU406" s="23">
        <f>IF(BT406="","",COUNTIF('Content Calendar'!$X$5:$X$604,BT406))</f>
        <v>0</v>
      </c>
      <c r="BV406" s="23">
        <f>IF(BT406="","",COUNTIFS('Content Calendar'!$X$5:$X$604,BT406,'Content Calendar'!$B$5:$B$604,"&gt;="&amp;DashStart,'Content Calendar'!$B$5:$B$604,"&lt;="&amp;DashEnd))</f>
        <v>0</v>
      </c>
      <c r="BW406" s="17">
        <f>IF(Team!$B$406="","",Team!$B$406)</f>
        <v>0</v>
      </c>
      <c r="BX406" s="23">
        <f>IF(BW406="","",COUNTIF('Content Calendar'!$W$5:$W$604,BW406))</f>
        <v>0</v>
      </c>
      <c r="BY406" s="23">
        <f>IF(BW406="","",COUNTIFS('Content Calendar'!$W$5:$W$604,BW406,'Content Calendar'!$X$5:$X$604,"&lt;&gt;Published"))</f>
        <v>0</v>
      </c>
      <c r="BZ406" s="23">
        <f>IF(BW406="","",COUNTIFS(Tasks!$C$5:$C$64,BW406,Tasks!$G$5:$G$64,"&lt;&gt;Complete"))</f>
        <v>0</v>
      </c>
      <c r="CA406" s="17">
        <f>IF(Campaigns!$B$406="","",Campaigns!$B$406)</f>
        <v>0</v>
      </c>
      <c r="CB406" s="25">
        <f>IF(Campaigns!$T$406="","",Campaigns!$T$406)</f>
        <v>0</v>
      </c>
      <c r="CC406" s="25">
        <f>IF(Campaigns!$Q$406="","",Campaigns!$Q$406)</f>
        <v>0</v>
      </c>
      <c r="CD406" s="23">
        <f>IF(Campaigns!$Y$406="","",Campaigns!$Y$406)</f>
        <v>0</v>
      </c>
      <c r="CE406" s="32">
        <f>IF(CA406="","",IF(N(CB406)&lt;=0,"",N(CB406)+ROW()/1000000))</f>
        <v>0</v>
      </c>
      <c r="CF406" s="17">
        <f>IF(Accounts!$C$406="","",Accounts!$C$406)</f>
        <v>0</v>
      </c>
      <c r="CG406" s="17">
        <f>IF(Accounts!$B$406="","",Accounts!$B$406)</f>
        <v>0</v>
      </c>
      <c r="CH406" s="23">
        <f>IF(Accounts!$J$406="","",Accounts!$J$406)</f>
        <v>0</v>
      </c>
      <c r="CI406" s="23">
        <f>IF(CF406="","",SUMIFS(Analytics!$X$5:$X$154,Analytics!$E$5:$E$154,CF406,Analytics!$B$5:$B$154,"&gt;="&amp;DashStart,Analytics!$B$5:$B$154,"&lt;="&amp;DashEnd))</f>
        <v>0</v>
      </c>
      <c r="CJ406" s="32">
        <f>IF(CH406="","",IF(CH406=0,"",CH406+ROW()/1000000))</f>
        <v>0</v>
      </c>
    </row>
    <row r="407" spans="1:88">
      <c r="A407" s="16">
        <f>IF(ROW()-4&gt;12,"",DATE(PlanYear,ROW()-4,1))</f>
        <v>0</v>
      </c>
      <c r="B407" s="16">
        <f>IF(A407="","",EOMONTH(A407,0))</f>
        <v>0</v>
      </c>
      <c r="C407" s="17">
        <f>IF(A407="","",TEXT(A407,"yyyy-mm"))</f>
        <v>0</v>
      </c>
      <c r="D407" s="17">
        <f>IF(A407="","",TEXT(A407,"mmm"))</f>
        <v>0</v>
      </c>
      <c r="E407" s="23">
        <f>IF(C407="","",COUNTIFS('Content Calendar'!$D$5:$D$604,C407))</f>
        <v>0</v>
      </c>
      <c r="F407" s="23">
        <f>IF(C407="","",COUNTIFS('Content Calendar'!$D$5:$D$604,C407,'Content Calendar'!$X$5:$X$604,"Published"))</f>
        <v>0</v>
      </c>
      <c r="G407" s="23">
        <f>IF(C407="","",SUMIFS(Analytics!$J$5:$J$154,Analytics!$C$5:$C$154,C407))</f>
        <v>0</v>
      </c>
      <c r="H407" s="23">
        <f>IF(C407="","",SUMIFS(Analytics!$K$5:$K$154,Analytics!$C$5:$C$154,C407))</f>
        <v>0</v>
      </c>
      <c r="I407" s="23">
        <f>IF(C407="","",SUMIFS(Analytics!$L$5:$L$154,Analytics!$C$5:$C$154,C407))</f>
        <v>0</v>
      </c>
      <c r="J407" s="24">
        <f>IF(OR(G407="",G407=0),"",I407/G407)</f>
        <v>0</v>
      </c>
      <c r="K407" s="23">
        <f>IF(C407="","",SUMIFS(Analytics!$G$5:$G$154,Analytics!$C$5:$C$154,C407))</f>
        <v>0</v>
      </c>
      <c r="L407" s="23">
        <f>IF(C407="","",SUMIFS(Analytics!$X$5:$X$154,Analytics!$C$5:$C$154,C407))</f>
        <v>0</v>
      </c>
      <c r="M407" s="23">
        <f>IF(C407="","",SUMIFS(Analytics!$R$5:$R$154,Analytics!$C$5:$C$154,C407))</f>
        <v>0</v>
      </c>
      <c r="N407" s="23">
        <f>IF(C407="","",SUMIFS(Analytics!$S$5:$S$154,Analytics!$C$5:$C$154,C407))</f>
        <v>0</v>
      </c>
      <c r="O407" s="23">
        <f>IF(C407="","",SUMIFS(Analytics!$T$5:$T$154,Analytics!$C$5:$C$154,C407))</f>
        <v>0</v>
      </c>
      <c r="P407" s="25">
        <f>IF(C407="","",SUMIFS(Analytics!$U$5:$U$154,Analytics!$C$5:$C$154,C407))</f>
        <v>0</v>
      </c>
      <c r="Q407" s="25">
        <f>IF(C407="","",SUMIFS(Budget!$H$5:$H$64,Budget!$C$5:$C$64,C407))</f>
        <v>0</v>
      </c>
      <c r="R407" s="25">
        <f>IF(C407="","",P407-Q407)</f>
        <v>0</v>
      </c>
      <c r="S407" s="23">
        <f>IF(C407="","",MonthlyPostTarget)</f>
        <v>0</v>
      </c>
      <c r="T407" s="17">
        <f>IF(Lists!$C407="","",Lists!$C407)</f>
        <v>0</v>
      </c>
      <c r="U407" s="23">
        <f>IF(T407="","",COUNTIFS('Content Calendar'!$G$5:$G$604,T407,'Content Calendar'!$B$5:$B$604,"&gt;="&amp;DashStart,'Content Calendar'!$B$5:$B$604,"&lt;="&amp;DashEnd))</f>
        <v>0</v>
      </c>
      <c r="V407" s="23">
        <f>IF(T407="","",COUNTIFS('Content Calendar'!$G$5:$G$604,T407,'Content Calendar'!$X$5:$X$604,"Published",'Content Calendar'!$B$5:$B$604,"&gt;="&amp;DashStart,'Content Calendar'!$B$5:$B$604,"&lt;="&amp;DashEnd))</f>
        <v>0</v>
      </c>
      <c r="W407" s="23">
        <f>IF(T407="","",SUMIFS(Analytics!$J$5:$J$154,Analytics!$D$5:$D$154,T407,Analytics!$B$5:$B$154,"&gt;="&amp;DashStart,Analytics!$B$5:$B$154,"&lt;="&amp;DashEnd))</f>
        <v>0</v>
      </c>
      <c r="X407" s="23">
        <f>IF(T407="","",SUMIFS(Analytics!$L$5:$L$154,Analytics!$D$5:$D$154,T407,Analytics!$B$5:$B$154,"&gt;="&amp;DashStart,Analytics!$B$5:$B$154,"&lt;="&amp;DashEnd))</f>
        <v>0</v>
      </c>
      <c r="Y407" s="24">
        <f>IF(OR(W407="",W407=0),"",X407/W407)</f>
        <v>0</v>
      </c>
      <c r="Z407" s="23">
        <f>IF(T407="","",SUMIFS(Analytics!$G$5:$G$154,Analytics!$D$5:$D$154,T407,Analytics!$B$5:$B$154,"&gt;="&amp;DashStart,Analytics!$B$5:$B$154,"&lt;="&amp;DashEnd))</f>
        <v>0</v>
      </c>
      <c r="AA407" s="23">
        <f>IF(T407="","",SUMIFS(Analytics!$X$5:$X$154,Analytics!$D$5:$D$154,T407,Analytics!$B$5:$B$154,"&gt;="&amp;DashStart,Analytics!$B$5:$B$154,"&lt;="&amp;DashEnd))</f>
        <v>0</v>
      </c>
      <c r="AB407" s="23">
        <f>IF(T407="","",SUMIFS(Analytics!$R$5:$R$154,Analytics!$D$5:$D$154,T407,Analytics!$B$5:$B$154,"&gt;="&amp;DashStart,Analytics!$B$5:$B$154,"&lt;="&amp;DashEnd))</f>
        <v>0</v>
      </c>
      <c r="AC407" s="25">
        <f>IF(T407="","",SUMIFS(Analytics!$U$5:$U$154,Analytics!$D$5:$D$154,T407,Analytics!$B$5:$B$154,"&gt;="&amp;DashStart,Analytics!$B$5:$B$154,"&lt;="&amp;DashEnd))</f>
        <v>0</v>
      </c>
      <c r="AD407" s="23">
        <f>IF(T407="","",COUNTIFS('Content Calendar'!$G$5:$G$604,T407,'Content Calendar'!$B$5:$B$604,"&gt;="&amp;DATE(PlanYear,1,1),'Content Calendar'!$B$5:$B$604,"&lt;="&amp;DATE(PlanYear,12,31)))</f>
        <v>0</v>
      </c>
      <c r="AE407" s="23">
        <f>IF(T407="","",SUMIFS(Analytics!$J$5:$J$154,Analytics!$D$5:$D$154,T407))</f>
        <v>0</v>
      </c>
      <c r="AF407" s="23">
        <f>IF(T407="","",SUMIFS(Analytics!$L$5:$L$154,Analytics!$D$5:$D$154,T407))</f>
        <v>0</v>
      </c>
      <c r="AG407" s="24">
        <f>IF(OR(AE407="",AE407=0),"",AF407/AE407)</f>
        <v>0</v>
      </c>
      <c r="AH407" s="23">
        <f>IF(T407="","",SUMIFS(Analytics!$X$5:$X$154,Analytics!$D$5:$D$154,T407))</f>
        <v>0</v>
      </c>
      <c r="AI407" s="32">
        <f>IF(T407="","",IF(AE407=0,"",AE407+ROW()/1000000))</f>
        <v>0</v>
      </c>
      <c r="AJ407" s="17">
        <f>IF('Content Pillars'!$B$407="","",'Content Pillars'!$B$407)</f>
        <v>0</v>
      </c>
      <c r="AK407" s="23">
        <f>IF(AJ407="","",COUNTIFS('Content Calendar'!$J$5:$J$604,AJ407,'Content Calendar'!$B$5:$B$604,"&gt;="&amp;DATE(PlanYear,1,1),'Content Calendar'!$B$5:$B$604,"&lt;="&amp;DATE(PlanYear,12,31)))</f>
        <v>0</v>
      </c>
      <c r="AL407" s="23">
        <f>IF(AJ407="","",SUMIFS(Performance!$O$5:$O$404,Performance!$H$5:$H$404,AJ407))</f>
        <v>0</v>
      </c>
      <c r="AM407" s="23">
        <f>IF(AJ407="","",SUMIFS(Performance!$Z$5:$Z$404,Performance!$H$5:$H$404,AJ407))</f>
        <v>0</v>
      </c>
      <c r="AN407" s="24">
        <f>IF(OR(AL407="",AL407=0),"",AM407/AL407)</f>
        <v>0</v>
      </c>
      <c r="AO407" s="32">
        <f>IF(AN407="","",AN407+ROW()/1000000)</f>
        <v>0</v>
      </c>
      <c r="AP407" s="17">
        <f>IF(Lists!$E407="","",Lists!$E407)</f>
        <v>0</v>
      </c>
      <c r="AQ407" s="23">
        <f>IF(AP407="","",COUNTIF(Performance!$G$5:$G$404,AP407))</f>
        <v>0</v>
      </c>
      <c r="AR407" s="23">
        <f>IF(AP407="","",SUMIFS(Performance!$O$5:$O$404,Performance!$G$5:$G$404,AP407))</f>
        <v>0</v>
      </c>
      <c r="AS407" s="23">
        <f>IF(AP407="","",SUMIFS(Performance!$Z$5:$Z$404,Performance!$G$5:$G$404,AP407))</f>
        <v>0</v>
      </c>
      <c r="AT407" s="24">
        <f>IF(OR(AR407="",AR407=0),"",AS407/AR407)</f>
        <v>0</v>
      </c>
      <c r="AU407" s="32">
        <f>IF(AQ407=0,"",IF(AT407="","",AT407+ROW()/1000000))</f>
        <v>0</v>
      </c>
      <c r="AV407" s="17">
        <f>IF(ROW()-4&gt;7,"",TEXT(DATE(2024,1,ROW()-4),"ddd"))</f>
        <v>0</v>
      </c>
      <c r="AW407" s="23">
        <f>IF(AV407="","",COUNTIF(Performance!$N$5:$N$404,AV407))</f>
        <v>0</v>
      </c>
      <c r="AX407" s="23">
        <f>IF(AV407="","",SUMIFS(Performance!$O$5:$O$404,Performance!$N$5:$N$404,AV407))</f>
        <v>0</v>
      </c>
      <c r="AY407" s="23">
        <f>IF(AV407="","",SUMIFS(Performance!$Z$5:$Z$404,Performance!$N$5:$N$404,AV407))</f>
        <v>0</v>
      </c>
      <c r="AZ407" s="24">
        <f>IF(OR(AX407="",AX407=0),"",AY407/AX407)</f>
        <v>0</v>
      </c>
      <c r="BA407" s="32">
        <f>IF(AW407=0,"",IF(AZ407="","",AZ407+ROW()/1000000))</f>
        <v>0</v>
      </c>
      <c r="BB407" s="17">
        <f>IF(Lists!$AL407="","",Lists!$AL407)</f>
        <v>0</v>
      </c>
      <c r="BC407" s="23">
        <f>IF(BB407="","",COUNTIF(Performance!$M$5:$M$404,BB407))</f>
        <v>0</v>
      </c>
      <c r="BD407" s="23">
        <f>IF(BB407="","",SUMIFS(Performance!$O$5:$O$404,Performance!$M$5:$M$404,BB407))</f>
        <v>0</v>
      </c>
      <c r="BE407" s="23">
        <f>IF(BB407="","",SUMIFS(Performance!$Z$5:$Z$404,Performance!$M$5:$M$404,BB407))</f>
        <v>0</v>
      </c>
      <c r="BF407" s="24">
        <f>IF(OR(BD407="",BD407=0),"",BE407/BD407)</f>
        <v>0</v>
      </c>
      <c r="BG407" s="32">
        <f>IF(BC407=0,"",IF(BF407="","",BF407+ROW()/1000000))</f>
        <v>0</v>
      </c>
      <c r="BH407" s="17">
        <f>IF(Performance!$C$407="","",Performance!$C$407)</f>
        <v>0</v>
      </c>
      <c r="BI407" s="17">
        <f>IF(Performance!$F$407="","",Performance!$F$407)</f>
        <v>0</v>
      </c>
      <c r="BJ407" s="17">
        <f>IF(Performance!$H$407="","",Performance!$H$407)</f>
        <v>0</v>
      </c>
      <c r="BK407" s="16">
        <f>IF(Performance!$D$407="","",Performance!$D$407)</f>
        <v>0</v>
      </c>
      <c r="BL407" s="17">
        <f>IF(Performance!$E$407="","",Performance!$E$407)</f>
        <v>0</v>
      </c>
      <c r="BM407" s="23">
        <f>IF(Performance!$O$407="","",Performance!$O$407)</f>
        <v>0</v>
      </c>
      <c r="BN407" s="24">
        <f>IF(Performance!$AA$407="","",Performance!$AA$407)</f>
        <v>0</v>
      </c>
      <c r="BO407" s="32">
        <f>IF(BH407="","",IF(BK407="","",IF(OR(BK407&lt;DashStart,BK407&gt;DashEnd),"",IF(BN407="","",BN407+ROW()/1000000))))</f>
        <v>0</v>
      </c>
      <c r="BP407" s="32">
        <f>IF(BM407="","",IF(BK407="","",IF(OR(BK407&lt;DashStart,BK407&gt;DashEnd),"",BM407+ROW()/1000000)))</f>
        <v>0</v>
      </c>
      <c r="BQ407" s="32">
        <f>IF(BH407="","",IF(BK407="","",IF(YEAR(BK407)&lt;&gt;PlanYear,"",IF(BN407="","",BN407+ROW()/1000000))))</f>
        <v>0</v>
      </c>
      <c r="BR407" s="32">
        <f>IF(BH407="","",IF(BK407="","",IF(OR(BK407&lt;RepFrom,BK407&gt;RepTo),"",IF(BN407="","",BN407+ROW()/1000000))))</f>
        <v>0</v>
      </c>
      <c r="BS407" s="32">
        <f>IF(BM407="","",IF(BK407="","",IF(YEAR(BK407)&lt;&gt;PlanYear,"",BM407+ROW()/1000000)))</f>
        <v>0</v>
      </c>
      <c r="BT407" s="17">
        <f>IF(Lists!$F407="","",Lists!$F407)</f>
        <v>0</v>
      </c>
      <c r="BU407" s="23">
        <f>IF(BT407="","",COUNTIF('Content Calendar'!$X$5:$X$604,BT407))</f>
        <v>0</v>
      </c>
      <c r="BV407" s="23">
        <f>IF(BT407="","",COUNTIFS('Content Calendar'!$X$5:$X$604,BT407,'Content Calendar'!$B$5:$B$604,"&gt;="&amp;DashStart,'Content Calendar'!$B$5:$B$604,"&lt;="&amp;DashEnd))</f>
        <v>0</v>
      </c>
      <c r="BW407" s="17">
        <f>IF(Team!$B$407="","",Team!$B$407)</f>
        <v>0</v>
      </c>
      <c r="BX407" s="23">
        <f>IF(BW407="","",COUNTIF('Content Calendar'!$W$5:$W$604,BW407))</f>
        <v>0</v>
      </c>
      <c r="BY407" s="23">
        <f>IF(BW407="","",COUNTIFS('Content Calendar'!$W$5:$W$604,BW407,'Content Calendar'!$X$5:$X$604,"&lt;&gt;Published"))</f>
        <v>0</v>
      </c>
      <c r="BZ407" s="23">
        <f>IF(BW407="","",COUNTIFS(Tasks!$C$5:$C$64,BW407,Tasks!$G$5:$G$64,"&lt;&gt;Complete"))</f>
        <v>0</v>
      </c>
      <c r="CA407" s="17">
        <f>IF(Campaigns!$B$407="","",Campaigns!$B$407)</f>
        <v>0</v>
      </c>
      <c r="CB407" s="25">
        <f>IF(Campaigns!$T$407="","",Campaigns!$T$407)</f>
        <v>0</v>
      </c>
      <c r="CC407" s="25">
        <f>IF(Campaigns!$Q$407="","",Campaigns!$Q$407)</f>
        <v>0</v>
      </c>
      <c r="CD407" s="23">
        <f>IF(Campaigns!$Y$407="","",Campaigns!$Y$407)</f>
        <v>0</v>
      </c>
      <c r="CE407" s="32">
        <f>IF(CA407="","",IF(N(CB407)&lt;=0,"",N(CB407)+ROW()/1000000))</f>
        <v>0</v>
      </c>
      <c r="CF407" s="17">
        <f>IF(Accounts!$C$407="","",Accounts!$C$407)</f>
        <v>0</v>
      </c>
      <c r="CG407" s="17">
        <f>IF(Accounts!$B$407="","",Accounts!$B$407)</f>
        <v>0</v>
      </c>
      <c r="CH407" s="23">
        <f>IF(Accounts!$J$407="","",Accounts!$J$407)</f>
        <v>0</v>
      </c>
      <c r="CI407" s="23">
        <f>IF(CF407="","",SUMIFS(Analytics!$X$5:$X$154,Analytics!$E$5:$E$154,CF407,Analytics!$B$5:$B$154,"&gt;="&amp;DashStart,Analytics!$B$5:$B$154,"&lt;="&amp;DashEnd))</f>
        <v>0</v>
      </c>
      <c r="CJ407" s="32">
        <f>IF(CH407="","",IF(CH407=0,"",CH407+ROW()/1000000))</f>
        <v>0</v>
      </c>
    </row>
    <row r="408" spans="1:88">
      <c r="A408" s="16">
        <f>IF(ROW()-4&gt;12,"",DATE(PlanYear,ROW()-4,1))</f>
        <v>0</v>
      </c>
      <c r="B408" s="16">
        <f>IF(A408="","",EOMONTH(A408,0))</f>
        <v>0</v>
      </c>
      <c r="C408" s="17">
        <f>IF(A408="","",TEXT(A408,"yyyy-mm"))</f>
        <v>0</v>
      </c>
      <c r="D408" s="17">
        <f>IF(A408="","",TEXT(A408,"mmm"))</f>
        <v>0</v>
      </c>
      <c r="E408" s="23">
        <f>IF(C408="","",COUNTIFS('Content Calendar'!$D$5:$D$604,C408))</f>
        <v>0</v>
      </c>
      <c r="F408" s="23">
        <f>IF(C408="","",COUNTIFS('Content Calendar'!$D$5:$D$604,C408,'Content Calendar'!$X$5:$X$604,"Published"))</f>
        <v>0</v>
      </c>
      <c r="G408" s="23">
        <f>IF(C408="","",SUMIFS(Analytics!$J$5:$J$154,Analytics!$C$5:$C$154,C408))</f>
        <v>0</v>
      </c>
      <c r="H408" s="23">
        <f>IF(C408="","",SUMIFS(Analytics!$K$5:$K$154,Analytics!$C$5:$C$154,C408))</f>
        <v>0</v>
      </c>
      <c r="I408" s="23">
        <f>IF(C408="","",SUMIFS(Analytics!$L$5:$L$154,Analytics!$C$5:$C$154,C408))</f>
        <v>0</v>
      </c>
      <c r="J408" s="24">
        <f>IF(OR(G408="",G408=0),"",I408/G408)</f>
        <v>0</v>
      </c>
      <c r="K408" s="23">
        <f>IF(C408="","",SUMIFS(Analytics!$G$5:$G$154,Analytics!$C$5:$C$154,C408))</f>
        <v>0</v>
      </c>
      <c r="L408" s="23">
        <f>IF(C408="","",SUMIFS(Analytics!$X$5:$X$154,Analytics!$C$5:$C$154,C408))</f>
        <v>0</v>
      </c>
      <c r="M408" s="23">
        <f>IF(C408="","",SUMIFS(Analytics!$R$5:$R$154,Analytics!$C$5:$C$154,C408))</f>
        <v>0</v>
      </c>
      <c r="N408" s="23">
        <f>IF(C408="","",SUMIFS(Analytics!$S$5:$S$154,Analytics!$C$5:$C$154,C408))</f>
        <v>0</v>
      </c>
      <c r="O408" s="23">
        <f>IF(C408="","",SUMIFS(Analytics!$T$5:$T$154,Analytics!$C$5:$C$154,C408))</f>
        <v>0</v>
      </c>
      <c r="P408" s="25">
        <f>IF(C408="","",SUMIFS(Analytics!$U$5:$U$154,Analytics!$C$5:$C$154,C408))</f>
        <v>0</v>
      </c>
      <c r="Q408" s="25">
        <f>IF(C408="","",SUMIFS(Budget!$H$5:$H$64,Budget!$C$5:$C$64,C408))</f>
        <v>0</v>
      </c>
      <c r="R408" s="25">
        <f>IF(C408="","",P408-Q408)</f>
        <v>0</v>
      </c>
      <c r="S408" s="23">
        <f>IF(C408="","",MonthlyPostTarget)</f>
        <v>0</v>
      </c>
      <c r="T408" s="17">
        <f>IF(Lists!$C408="","",Lists!$C408)</f>
        <v>0</v>
      </c>
      <c r="U408" s="23">
        <f>IF(T408="","",COUNTIFS('Content Calendar'!$G$5:$G$604,T408,'Content Calendar'!$B$5:$B$604,"&gt;="&amp;DashStart,'Content Calendar'!$B$5:$B$604,"&lt;="&amp;DashEnd))</f>
        <v>0</v>
      </c>
      <c r="V408" s="23">
        <f>IF(T408="","",COUNTIFS('Content Calendar'!$G$5:$G$604,T408,'Content Calendar'!$X$5:$X$604,"Published",'Content Calendar'!$B$5:$B$604,"&gt;="&amp;DashStart,'Content Calendar'!$B$5:$B$604,"&lt;="&amp;DashEnd))</f>
        <v>0</v>
      </c>
      <c r="W408" s="23">
        <f>IF(T408="","",SUMIFS(Analytics!$J$5:$J$154,Analytics!$D$5:$D$154,T408,Analytics!$B$5:$B$154,"&gt;="&amp;DashStart,Analytics!$B$5:$B$154,"&lt;="&amp;DashEnd))</f>
        <v>0</v>
      </c>
      <c r="X408" s="23">
        <f>IF(T408="","",SUMIFS(Analytics!$L$5:$L$154,Analytics!$D$5:$D$154,T408,Analytics!$B$5:$B$154,"&gt;="&amp;DashStart,Analytics!$B$5:$B$154,"&lt;="&amp;DashEnd))</f>
        <v>0</v>
      </c>
      <c r="Y408" s="24">
        <f>IF(OR(W408="",W408=0),"",X408/W408)</f>
        <v>0</v>
      </c>
      <c r="Z408" s="23">
        <f>IF(T408="","",SUMIFS(Analytics!$G$5:$G$154,Analytics!$D$5:$D$154,T408,Analytics!$B$5:$B$154,"&gt;="&amp;DashStart,Analytics!$B$5:$B$154,"&lt;="&amp;DashEnd))</f>
        <v>0</v>
      </c>
      <c r="AA408" s="23">
        <f>IF(T408="","",SUMIFS(Analytics!$X$5:$X$154,Analytics!$D$5:$D$154,T408,Analytics!$B$5:$B$154,"&gt;="&amp;DashStart,Analytics!$B$5:$B$154,"&lt;="&amp;DashEnd))</f>
        <v>0</v>
      </c>
      <c r="AB408" s="23">
        <f>IF(T408="","",SUMIFS(Analytics!$R$5:$R$154,Analytics!$D$5:$D$154,T408,Analytics!$B$5:$B$154,"&gt;="&amp;DashStart,Analytics!$B$5:$B$154,"&lt;="&amp;DashEnd))</f>
        <v>0</v>
      </c>
      <c r="AC408" s="25">
        <f>IF(T408="","",SUMIFS(Analytics!$U$5:$U$154,Analytics!$D$5:$D$154,T408,Analytics!$B$5:$B$154,"&gt;="&amp;DashStart,Analytics!$B$5:$B$154,"&lt;="&amp;DashEnd))</f>
        <v>0</v>
      </c>
      <c r="AD408" s="23">
        <f>IF(T408="","",COUNTIFS('Content Calendar'!$G$5:$G$604,T408,'Content Calendar'!$B$5:$B$604,"&gt;="&amp;DATE(PlanYear,1,1),'Content Calendar'!$B$5:$B$604,"&lt;="&amp;DATE(PlanYear,12,31)))</f>
        <v>0</v>
      </c>
      <c r="AE408" s="23">
        <f>IF(T408="","",SUMIFS(Analytics!$J$5:$J$154,Analytics!$D$5:$D$154,T408))</f>
        <v>0</v>
      </c>
      <c r="AF408" s="23">
        <f>IF(T408="","",SUMIFS(Analytics!$L$5:$L$154,Analytics!$D$5:$D$154,T408))</f>
        <v>0</v>
      </c>
      <c r="AG408" s="24">
        <f>IF(OR(AE408="",AE408=0),"",AF408/AE408)</f>
        <v>0</v>
      </c>
      <c r="AH408" s="23">
        <f>IF(T408="","",SUMIFS(Analytics!$X$5:$X$154,Analytics!$D$5:$D$154,T408))</f>
        <v>0</v>
      </c>
      <c r="AI408" s="32">
        <f>IF(T408="","",IF(AE408=0,"",AE408+ROW()/1000000))</f>
        <v>0</v>
      </c>
      <c r="AJ408" s="17">
        <f>IF('Content Pillars'!$B$408="","",'Content Pillars'!$B$408)</f>
        <v>0</v>
      </c>
      <c r="AK408" s="23">
        <f>IF(AJ408="","",COUNTIFS('Content Calendar'!$J$5:$J$604,AJ408,'Content Calendar'!$B$5:$B$604,"&gt;="&amp;DATE(PlanYear,1,1),'Content Calendar'!$B$5:$B$604,"&lt;="&amp;DATE(PlanYear,12,31)))</f>
        <v>0</v>
      </c>
      <c r="AL408" s="23">
        <f>IF(AJ408="","",SUMIFS(Performance!$O$5:$O$404,Performance!$H$5:$H$404,AJ408))</f>
        <v>0</v>
      </c>
      <c r="AM408" s="23">
        <f>IF(AJ408="","",SUMIFS(Performance!$Z$5:$Z$404,Performance!$H$5:$H$404,AJ408))</f>
        <v>0</v>
      </c>
      <c r="AN408" s="24">
        <f>IF(OR(AL408="",AL408=0),"",AM408/AL408)</f>
        <v>0</v>
      </c>
      <c r="AO408" s="32">
        <f>IF(AN408="","",AN408+ROW()/1000000)</f>
        <v>0</v>
      </c>
      <c r="AP408" s="17">
        <f>IF(Lists!$E408="","",Lists!$E408)</f>
        <v>0</v>
      </c>
      <c r="AQ408" s="23">
        <f>IF(AP408="","",COUNTIF(Performance!$G$5:$G$404,AP408))</f>
        <v>0</v>
      </c>
      <c r="AR408" s="23">
        <f>IF(AP408="","",SUMIFS(Performance!$O$5:$O$404,Performance!$G$5:$G$404,AP408))</f>
        <v>0</v>
      </c>
      <c r="AS408" s="23">
        <f>IF(AP408="","",SUMIFS(Performance!$Z$5:$Z$404,Performance!$G$5:$G$404,AP408))</f>
        <v>0</v>
      </c>
      <c r="AT408" s="24">
        <f>IF(OR(AR408="",AR408=0),"",AS408/AR408)</f>
        <v>0</v>
      </c>
      <c r="AU408" s="32">
        <f>IF(AQ408=0,"",IF(AT408="","",AT408+ROW()/1000000))</f>
        <v>0</v>
      </c>
      <c r="AV408" s="17">
        <f>IF(ROW()-4&gt;7,"",TEXT(DATE(2024,1,ROW()-4),"ddd"))</f>
        <v>0</v>
      </c>
      <c r="AW408" s="23">
        <f>IF(AV408="","",COUNTIF(Performance!$N$5:$N$404,AV408))</f>
        <v>0</v>
      </c>
      <c r="AX408" s="23">
        <f>IF(AV408="","",SUMIFS(Performance!$O$5:$O$404,Performance!$N$5:$N$404,AV408))</f>
        <v>0</v>
      </c>
      <c r="AY408" s="23">
        <f>IF(AV408="","",SUMIFS(Performance!$Z$5:$Z$404,Performance!$N$5:$N$404,AV408))</f>
        <v>0</v>
      </c>
      <c r="AZ408" s="24">
        <f>IF(OR(AX408="",AX408=0),"",AY408/AX408)</f>
        <v>0</v>
      </c>
      <c r="BA408" s="32">
        <f>IF(AW408=0,"",IF(AZ408="","",AZ408+ROW()/1000000))</f>
        <v>0</v>
      </c>
      <c r="BB408" s="17">
        <f>IF(Lists!$AL408="","",Lists!$AL408)</f>
        <v>0</v>
      </c>
      <c r="BC408" s="23">
        <f>IF(BB408="","",COUNTIF(Performance!$M$5:$M$404,BB408))</f>
        <v>0</v>
      </c>
      <c r="BD408" s="23">
        <f>IF(BB408="","",SUMIFS(Performance!$O$5:$O$404,Performance!$M$5:$M$404,BB408))</f>
        <v>0</v>
      </c>
      <c r="BE408" s="23">
        <f>IF(BB408="","",SUMIFS(Performance!$Z$5:$Z$404,Performance!$M$5:$M$404,BB408))</f>
        <v>0</v>
      </c>
      <c r="BF408" s="24">
        <f>IF(OR(BD408="",BD408=0),"",BE408/BD408)</f>
        <v>0</v>
      </c>
      <c r="BG408" s="32">
        <f>IF(BC408=0,"",IF(BF408="","",BF408+ROW()/1000000))</f>
        <v>0</v>
      </c>
      <c r="BH408" s="17">
        <f>IF(Performance!$C$408="","",Performance!$C$408)</f>
        <v>0</v>
      </c>
      <c r="BI408" s="17">
        <f>IF(Performance!$F$408="","",Performance!$F$408)</f>
        <v>0</v>
      </c>
      <c r="BJ408" s="17">
        <f>IF(Performance!$H$408="","",Performance!$H$408)</f>
        <v>0</v>
      </c>
      <c r="BK408" s="16">
        <f>IF(Performance!$D$408="","",Performance!$D$408)</f>
        <v>0</v>
      </c>
      <c r="BL408" s="17">
        <f>IF(Performance!$E$408="","",Performance!$E$408)</f>
        <v>0</v>
      </c>
      <c r="BM408" s="23">
        <f>IF(Performance!$O$408="","",Performance!$O$408)</f>
        <v>0</v>
      </c>
      <c r="BN408" s="24">
        <f>IF(Performance!$AA$408="","",Performance!$AA$408)</f>
        <v>0</v>
      </c>
      <c r="BO408" s="32">
        <f>IF(BH408="","",IF(BK408="","",IF(OR(BK408&lt;DashStart,BK408&gt;DashEnd),"",IF(BN408="","",BN408+ROW()/1000000))))</f>
        <v>0</v>
      </c>
      <c r="BP408" s="32">
        <f>IF(BM408="","",IF(BK408="","",IF(OR(BK408&lt;DashStart,BK408&gt;DashEnd),"",BM408+ROW()/1000000)))</f>
        <v>0</v>
      </c>
      <c r="BQ408" s="32">
        <f>IF(BH408="","",IF(BK408="","",IF(YEAR(BK408)&lt;&gt;PlanYear,"",IF(BN408="","",BN408+ROW()/1000000))))</f>
        <v>0</v>
      </c>
      <c r="BR408" s="32">
        <f>IF(BH408="","",IF(BK408="","",IF(OR(BK408&lt;RepFrom,BK408&gt;RepTo),"",IF(BN408="","",BN408+ROW()/1000000))))</f>
        <v>0</v>
      </c>
      <c r="BS408" s="32">
        <f>IF(BM408="","",IF(BK408="","",IF(YEAR(BK408)&lt;&gt;PlanYear,"",BM408+ROW()/1000000)))</f>
        <v>0</v>
      </c>
      <c r="BT408" s="17">
        <f>IF(Lists!$F408="","",Lists!$F408)</f>
        <v>0</v>
      </c>
      <c r="BU408" s="23">
        <f>IF(BT408="","",COUNTIF('Content Calendar'!$X$5:$X$604,BT408))</f>
        <v>0</v>
      </c>
      <c r="BV408" s="23">
        <f>IF(BT408="","",COUNTIFS('Content Calendar'!$X$5:$X$604,BT408,'Content Calendar'!$B$5:$B$604,"&gt;="&amp;DashStart,'Content Calendar'!$B$5:$B$604,"&lt;="&amp;DashEnd))</f>
        <v>0</v>
      </c>
      <c r="BW408" s="17">
        <f>IF(Team!$B$408="","",Team!$B$408)</f>
        <v>0</v>
      </c>
      <c r="BX408" s="23">
        <f>IF(BW408="","",COUNTIF('Content Calendar'!$W$5:$W$604,BW408))</f>
        <v>0</v>
      </c>
      <c r="BY408" s="23">
        <f>IF(BW408="","",COUNTIFS('Content Calendar'!$W$5:$W$604,BW408,'Content Calendar'!$X$5:$X$604,"&lt;&gt;Published"))</f>
        <v>0</v>
      </c>
      <c r="BZ408" s="23">
        <f>IF(BW408="","",COUNTIFS(Tasks!$C$5:$C$64,BW408,Tasks!$G$5:$G$64,"&lt;&gt;Complete"))</f>
        <v>0</v>
      </c>
      <c r="CA408" s="17">
        <f>IF(Campaigns!$B$408="","",Campaigns!$B$408)</f>
        <v>0</v>
      </c>
      <c r="CB408" s="25">
        <f>IF(Campaigns!$T$408="","",Campaigns!$T$408)</f>
        <v>0</v>
      </c>
      <c r="CC408" s="25">
        <f>IF(Campaigns!$Q$408="","",Campaigns!$Q$408)</f>
        <v>0</v>
      </c>
      <c r="CD408" s="23">
        <f>IF(Campaigns!$Y$408="","",Campaigns!$Y$408)</f>
        <v>0</v>
      </c>
      <c r="CE408" s="32">
        <f>IF(CA408="","",IF(N(CB408)&lt;=0,"",N(CB408)+ROW()/1000000))</f>
        <v>0</v>
      </c>
      <c r="CF408" s="17">
        <f>IF(Accounts!$C$408="","",Accounts!$C$408)</f>
        <v>0</v>
      </c>
      <c r="CG408" s="17">
        <f>IF(Accounts!$B$408="","",Accounts!$B$408)</f>
        <v>0</v>
      </c>
      <c r="CH408" s="23">
        <f>IF(Accounts!$J$408="","",Accounts!$J$408)</f>
        <v>0</v>
      </c>
      <c r="CI408" s="23">
        <f>IF(CF408="","",SUMIFS(Analytics!$X$5:$X$154,Analytics!$E$5:$E$154,CF408,Analytics!$B$5:$B$154,"&gt;="&amp;DashStart,Analytics!$B$5:$B$154,"&lt;="&amp;DashEnd))</f>
        <v>0</v>
      </c>
      <c r="CJ408" s="32">
        <f>IF(CH408="","",IF(CH408=0,"",CH408+ROW()/1000000))</f>
        <v>0</v>
      </c>
    </row>
    <row r="409" spans="1:88">
      <c r="A409" s="16">
        <f>IF(ROW()-4&gt;12,"",DATE(PlanYear,ROW()-4,1))</f>
        <v>0</v>
      </c>
      <c r="B409" s="16">
        <f>IF(A409="","",EOMONTH(A409,0))</f>
        <v>0</v>
      </c>
      <c r="C409" s="17">
        <f>IF(A409="","",TEXT(A409,"yyyy-mm"))</f>
        <v>0</v>
      </c>
      <c r="D409" s="17">
        <f>IF(A409="","",TEXT(A409,"mmm"))</f>
        <v>0</v>
      </c>
      <c r="E409" s="23">
        <f>IF(C409="","",COUNTIFS('Content Calendar'!$D$5:$D$604,C409))</f>
        <v>0</v>
      </c>
      <c r="F409" s="23">
        <f>IF(C409="","",COUNTIFS('Content Calendar'!$D$5:$D$604,C409,'Content Calendar'!$X$5:$X$604,"Published"))</f>
        <v>0</v>
      </c>
      <c r="G409" s="23">
        <f>IF(C409="","",SUMIFS(Analytics!$J$5:$J$154,Analytics!$C$5:$C$154,C409))</f>
        <v>0</v>
      </c>
      <c r="H409" s="23">
        <f>IF(C409="","",SUMIFS(Analytics!$K$5:$K$154,Analytics!$C$5:$C$154,C409))</f>
        <v>0</v>
      </c>
      <c r="I409" s="23">
        <f>IF(C409="","",SUMIFS(Analytics!$L$5:$L$154,Analytics!$C$5:$C$154,C409))</f>
        <v>0</v>
      </c>
      <c r="J409" s="24">
        <f>IF(OR(G409="",G409=0),"",I409/G409)</f>
        <v>0</v>
      </c>
      <c r="K409" s="23">
        <f>IF(C409="","",SUMIFS(Analytics!$G$5:$G$154,Analytics!$C$5:$C$154,C409))</f>
        <v>0</v>
      </c>
      <c r="L409" s="23">
        <f>IF(C409="","",SUMIFS(Analytics!$X$5:$X$154,Analytics!$C$5:$C$154,C409))</f>
        <v>0</v>
      </c>
      <c r="M409" s="23">
        <f>IF(C409="","",SUMIFS(Analytics!$R$5:$R$154,Analytics!$C$5:$C$154,C409))</f>
        <v>0</v>
      </c>
      <c r="N409" s="23">
        <f>IF(C409="","",SUMIFS(Analytics!$S$5:$S$154,Analytics!$C$5:$C$154,C409))</f>
        <v>0</v>
      </c>
      <c r="O409" s="23">
        <f>IF(C409="","",SUMIFS(Analytics!$T$5:$T$154,Analytics!$C$5:$C$154,C409))</f>
        <v>0</v>
      </c>
      <c r="P409" s="25">
        <f>IF(C409="","",SUMIFS(Analytics!$U$5:$U$154,Analytics!$C$5:$C$154,C409))</f>
        <v>0</v>
      </c>
      <c r="Q409" s="25">
        <f>IF(C409="","",SUMIFS(Budget!$H$5:$H$64,Budget!$C$5:$C$64,C409))</f>
        <v>0</v>
      </c>
      <c r="R409" s="25">
        <f>IF(C409="","",P409-Q409)</f>
        <v>0</v>
      </c>
      <c r="S409" s="23">
        <f>IF(C409="","",MonthlyPostTarget)</f>
        <v>0</v>
      </c>
      <c r="T409" s="17">
        <f>IF(Lists!$C409="","",Lists!$C409)</f>
        <v>0</v>
      </c>
      <c r="U409" s="23">
        <f>IF(T409="","",COUNTIFS('Content Calendar'!$G$5:$G$604,T409,'Content Calendar'!$B$5:$B$604,"&gt;="&amp;DashStart,'Content Calendar'!$B$5:$B$604,"&lt;="&amp;DashEnd))</f>
        <v>0</v>
      </c>
      <c r="V409" s="23">
        <f>IF(T409="","",COUNTIFS('Content Calendar'!$G$5:$G$604,T409,'Content Calendar'!$X$5:$X$604,"Published",'Content Calendar'!$B$5:$B$604,"&gt;="&amp;DashStart,'Content Calendar'!$B$5:$B$604,"&lt;="&amp;DashEnd))</f>
        <v>0</v>
      </c>
      <c r="W409" s="23">
        <f>IF(T409="","",SUMIFS(Analytics!$J$5:$J$154,Analytics!$D$5:$D$154,T409,Analytics!$B$5:$B$154,"&gt;="&amp;DashStart,Analytics!$B$5:$B$154,"&lt;="&amp;DashEnd))</f>
        <v>0</v>
      </c>
      <c r="X409" s="23">
        <f>IF(T409="","",SUMIFS(Analytics!$L$5:$L$154,Analytics!$D$5:$D$154,T409,Analytics!$B$5:$B$154,"&gt;="&amp;DashStart,Analytics!$B$5:$B$154,"&lt;="&amp;DashEnd))</f>
        <v>0</v>
      </c>
      <c r="Y409" s="24">
        <f>IF(OR(W409="",W409=0),"",X409/W409)</f>
        <v>0</v>
      </c>
      <c r="Z409" s="23">
        <f>IF(T409="","",SUMIFS(Analytics!$G$5:$G$154,Analytics!$D$5:$D$154,T409,Analytics!$B$5:$B$154,"&gt;="&amp;DashStart,Analytics!$B$5:$B$154,"&lt;="&amp;DashEnd))</f>
        <v>0</v>
      </c>
      <c r="AA409" s="23">
        <f>IF(T409="","",SUMIFS(Analytics!$X$5:$X$154,Analytics!$D$5:$D$154,T409,Analytics!$B$5:$B$154,"&gt;="&amp;DashStart,Analytics!$B$5:$B$154,"&lt;="&amp;DashEnd))</f>
        <v>0</v>
      </c>
      <c r="AB409" s="23">
        <f>IF(T409="","",SUMIFS(Analytics!$R$5:$R$154,Analytics!$D$5:$D$154,T409,Analytics!$B$5:$B$154,"&gt;="&amp;DashStart,Analytics!$B$5:$B$154,"&lt;="&amp;DashEnd))</f>
        <v>0</v>
      </c>
      <c r="AC409" s="25">
        <f>IF(T409="","",SUMIFS(Analytics!$U$5:$U$154,Analytics!$D$5:$D$154,T409,Analytics!$B$5:$B$154,"&gt;="&amp;DashStart,Analytics!$B$5:$B$154,"&lt;="&amp;DashEnd))</f>
        <v>0</v>
      </c>
      <c r="AD409" s="23">
        <f>IF(T409="","",COUNTIFS('Content Calendar'!$G$5:$G$604,T409,'Content Calendar'!$B$5:$B$604,"&gt;="&amp;DATE(PlanYear,1,1),'Content Calendar'!$B$5:$B$604,"&lt;="&amp;DATE(PlanYear,12,31)))</f>
        <v>0</v>
      </c>
      <c r="AE409" s="23">
        <f>IF(T409="","",SUMIFS(Analytics!$J$5:$J$154,Analytics!$D$5:$D$154,T409))</f>
        <v>0</v>
      </c>
      <c r="AF409" s="23">
        <f>IF(T409="","",SUMIFS(Analytics!$L$5:$L$154,Analytics!$D$5:$D$154,T409))</f>
        <v>0</v>
      </c>
      <c r="AG409" s="24">
        <f>IF(OR(AE409="",AE409=0),"",AF409/AE409)</f>
        <v>0</v>
      </c>
      <c r="AH409" s="23">
        <f>IF(T409="","",SUMIFS(Analytics!$X$5:$X$154,Analytics!$D$5:$D$154,T409))</f>
        <v>0</v>
      </c>
      <c r="AI409" s="32">
        <f>IF(T409="","",IF(AE409=0,"",AE409+ROW()/1000000))</f>
        <v>0</v>
      </c>
      <c r="AJ409" s="17">
        <f>IF('Content Pillars'!$B$409="","",'Content Pillars'!$B$409)</f>
        <v>0</v>
      </c>
      <c r="AK409" s="23">
        <f>IF(AJ409="","",COUNTIFS('Content Calendar'!$J$5:$J$604,AJ409,'Content Calendar'!$B$5:$B$604,"&gt;="&amp;DATE(PlanYear,1,1),'Content Calendar'!$B$5:$B$604,"&lt;="&amp;DATE(PlanYear,12,31)))</f>
        <v>0</v>
      </c>
      <c r="AL409" s="23">
        <f>IF(AJ409="","",SUMIFS(Performance!$O$5:$O$404,Performance!$H$5:$H$404,AJ409))</f>
        <v>0</v>
      </c>
      <c r="AM409" s="23">
        <f>IF(AJ409="","",SUMIFS(Performance!$Z$5:$Z$404,Performance!$H$5:$H$404,AJ409))</f>
        <v>0</v>
      </c>
      <c r="AN409" s="24">
        <f>IF(OR(AL409="",AL409=0),"",AM409/AL409)</f>
        <v>0</v>
      </c>
      <c r="AO409" s="32">
        <f>IF(AN409="","",AN409+ROW()/1000000)</f>
        <v>0</v>
      </c>
      <c r="AP409" s="17">
        <f>IF(Lists!$E409="","",Lists!$E409)</f>
        <v>0</v>
      </c>
      <c r="AQ409" s="23">
        <f>IF(AP409="","",COUNTIF(Performance!$G$5:$G$404,AP409))</f>
        <v>0</v>
      </c>
      <c r="AR409" s="23">
        <f>IF(AP409="","",SUMIFS(Performance!$O$5:$O$404,Performance!$G$5:$G$404,AP409))</f>
        <v>0</v>
      </c>
      <c r="AS409" s="23">
        <f>IF(AP409="","",SUMIFS(Performance!$Z$5:$Z$404,Performance!$G$5:$G$404,AP409))</f>
        <v>0</v>
      </c>
      <c r="AT409" s="24">
        <f>IF(OR(AR409="",AR409=0),"",AS409/AR409)</f>
        <v>0</v>
      </c>
      <c r="AU409" s="32">
        <f>IF(AQ409=0,"",IF(AT409="","",AT409+ROW()/1000000))</f>
        <v>0</v>
      </c>
      <c r="AV409" s="17">
        <f>IF(ROW()-4&gt;7,"",TEXT(DATE(2024,1,ROW()-4),"ddd"))</f>
        <v>0</v>
      </c>
      <c r="AW409" s="23">
        <f>IF(AV409="","",COUNTIF(Performance!$N$5:$N$404,AV409))</f>
        <v>0</v>
      </c>
      <c r="AX409" s="23">
        <f>IF(AV409="","",SUMIFS(Performance!$O$5:$O$404,Performance!$N$5:$N$404,AV409))</f>
        <v>0</v>
      </c>
      <c r="AY409" s="23">
        <f>IF(AV409="","",SUMIFS(Performance!$Z$5:$Z$404,Performance!$N$5:$N$404,AV409))</f>
        <v>0</v>
      </c>
      <c r="AZ409" s="24">
        <f>IF(OR(AX409="",AX409=0),"",AY409/AX409)</f>
        <v>0</v>
      </c>
      <c r="BA409" s="32">
        <f>IF(AW409=0,"",IF(AZ409="","",AZ409+ROW()/1000000))</f>
        <v>0</v>
      </c>
      <c r="BB409" s="17">
        <f>IF(Lists!$AL409="","",Lists!$AL409)</f>
        <v>0</v>
      </c>
      <c r="BC409" s="23">
        <f>IF(BB409="","",COUNTIF(Performance!$M$5:$M$404,BB409))</f>
        <v>0</v>
      </c>
      <c r="BD409" s="23">
        <f>IF(BB409="","",SUMIFS(Performance!$O$5:$O$404,Performance!$M$5:$M$404,BB409))</f>
        <v>0</v>
      </c>
      <c r="BE409" s="23">
        <f>IF(BB409="","",SUMIFS(Performance!$Z$5:$Z$404,Performance!$M$5:$M$404,BB409))</f>
        <v>0</v>
      </c>
      <c r="BF409" s="24">
        <f>IF(OR(BD409="",BD409=0),"",BE409/BD409)</f>
        <v>0</v>
      </c>
      <c r="BG409" s="32">
        <f>IF(BC409=0,"",IF(BF409="","",BF409+ROW()/1000000))</f>
        <v>0</v>
      </c>
      <c r="BH409" s="17">
        <f>IF(Performance!$C$409="","",Performance!$C$409)</f>
        <v>0</v>
      </c>
      <c r="BI409" s="17">
        <f>IF(Performance!$F$409="","",Performance!$F$409)</f>
        <v>0</v>
      </c>
      <c r="BJ409" s="17">
        <f>IF(Performance!$H$409="","",Performance!$H$409)</f>
        <v>0</v>
      </c>
      <c r="BK409" s="16">
        <f>IF(Performance!$D$409="","",Performance!$D$409)</f>
        <v>0</v>
      </c>
      <c r="BL409" s="17">
        <f>IF(Performance!$E$409="","",Performance!$E$409)</f>
        <v>0</v>
      </c>
      <c r="BM409" s="23">
        <f>IF(Performance!$O$409="","",Performance!$O$409)</f>
        <v>0</v>
      </c>
      <c r="BN409" s="24">
        <f>IF(Performance!$AA$409="","",Performance!$AA$409)</f>
        <v>0</v>
      </c>
      <c r="BO409" s="32">
        <f>IF(BH409="","",IF(BK409="","",IF(OR(BK409&lt;DashStart,BK409&gt;DashEnd),"",IF(BN409="","",BN409+ROW()/1000000))))</f>
        <v>0</v>
      </c>
      <c r="BP409" s="32">
        <f>IF(BM409="","",IF(BK409="","",IF(OR(BK409&lt;DashStart,BK409&gt;DashEnd),"",BM409+ROW()/1000000)))</f>
        <v>0</v>
      </c>
      <c r="BQ409" s="32">
        <f>IF(BH409="","",IF(BK409="","",IF(YEAR(BK409)&lt;&gt;PlanYear,"",IF(BN409="","",BN409+ROW()/1000000))))</f>
        <v>0</v>
      </c>
      <c r="BR409" s="32">
        <f>IF(BH409="","",IF(BK409="","",IF(OR(BK409&lt;RepFrom,BK409&gt;RepTo),"",IF(BN409="","",BN409+ROW()/1000000))))</f>
        <v>0</v>
      </c>
      <c r="BS409" s="32">
        <f>IF(BM409="","",IF(BK409="","",IF(YEAR(BK409)&lt;&gt;PlanYear,"",BM409+ROW()/1000000)))</f>
        <v>0</v>
      </c>
      <c r="BT409" s="17">
        <f>IF(Lists!$F409="","",Lists!$F409)</f>
        <v>0</v>
      </c>
      <c r="BU409" s="23">
        <f>IF(BT409="","",COUNTIF('Content Calendar'!$X$5:$X$604,BT409))</f>
        <v>0</v>
      </c>
      <c r="BV409" s="23">
        <f>IF(BT409="","",COUNTIFS('Content Calendar'!$X$5:$X$604,BT409,'Content Calendar'!$B$5:$B$604,"&gt;="&amp;DashStart,'Content Calendar'!$B$5:$B$604,"&lt;="&amp;DashEnd))</f>
        <v>0</v>
      </c>
      <c r="BW409" s="17">
        <f>IF(Team!$B$409="","",Team!$B$409)</f>
        <v>0</v>
      </c>
      <c r="BX409" s="23">
        <f>IF(BW409="","",COUNTIF('Content Calendar'!$W$5:$W$604,BW409))</f>
        <v>0</v>
      </c>
      <c r="BY409" s="23">
        <f>IF(BW409="","",COUNTIFS('Content Calendar'!$W$5:$W$604,BW409,'Content Calendar'!$X$5:$X$604,"&lt;&gt;Published"))</f>
        <v>0</v>
      </c>
      <c r="BZ409" s="23">
        <f>IF(BW409="","",COUNTIFS(Tasks!$C$5:$C$64,BW409,Tasks!$G$5:$G$64,"&lt;&gt;Complete"))</f>
        <v>0</v>
      </c>
      <c r="CA409" s="17">
        <f>IF(Campaigns!$B$409="","",Campaigns!$B$409)</f>
        <v>0</v>
      </c>
      <c r="CB409" s="25">
        <f>IF(Campaigns!$T$409="","",Campaigns!$T$409)</f>
        <v>0</v>
      </c>
      <c r="CC409" s="25">
        <f>IF(Campaigns!$Q$409="","",Campaigns!$Q$409)</f>
        <v>0</v>
      </c>
      <c r="CD409" s="23">
        <f>IF(Campaigns!$Y$409="","",Campaigns!$Y$409)</f>
        <v>0</v>
      </c>
      <c r="CE409" s="32">
        <f>IF(CA409="","",IF(N(CB409)&lt;=0,"",N(CB409)+ROW()/1000000))</f>
        <v>0</v>
      </c>
      <c r="CF409" s="17">
        <f>IF(Accounts!$C$409="","",Accounts!$C$409)</f>
        <v>0</v>
      </c>
      <c r="CG409" s="17">
        <f>IF(Accounts!$B$409="","",Accounts!$B$409)</f>
        <v>0</v>
      </c>
      <c r="CH409" s="23">
        <f>IF(Accounts!$J$409="","",Accounts!$J$409)</f>
        <v>0</v>
      </c>
      <c r="CI409" s="23">
        <f>IF(CF409="","",SUMIFS(Analytics!$X$5:$X$154,Analytics!$E$5:$E$154,CF409,Analytics!$B$5:$B$154,"&gt;="&amp;DashStart,Analytics!$B$5:$B$154,"&lt;="&amp;DashEnd))</f>
        <v>0</v>
      </c>
      <c r="CJ409" s="32">
        <f>IF(CH409="","",IF(CH409=0,"",CH409+ROW()/1000000))</f>
        <v>0</v>
      </c>
    </row>
    <row r="410" spans="1:88">
      <c r="A410" s="16">
        <f>IF(ROW()-4&gt;12,"",DATE(PlanYear,ROW()-4,1))</f>
        <v>0</v>
      </c>
      <c r="B410" s="16">
        <f>IF(A410="","",EOMONTH(A410,0))</f>
        <v>0</v>
      </c>
      <c r="C410" s="17">
        <f>IF(A410="","",TEXT(A410,"yyyy-mm"))</f>
        <v>0</v>
      </c>
      <c r="D410" s="17">
        <f>IF(A410="","",TEXT(A410,"mmm"))</f>
        <v>0</v>
      </c>
      <c r="E410" s="23">
        <f>IF(C410="","",COUNTIFS('Content Calendar'!$D$5:$D$604,C410))</f>
        <v>0</v>
      </c>
      <c r="F410" s="23">
        <f>IF(C410="","",COUNTIFS('Content Calendar'!$D$5:$D$604,C410,'Content Calendar'!$X$5:$X$604,"Published"))</f>
        <v>0</v>
      </c>
      <c r="G410" s="23">
        <f>IF(C410="","",SUMIFS(Analytics!$J$5:$J$154,Analytics!$C$5:$C$154,C410))</f>
        <v>0</v>
      </c>
      <c r="H410" s="23">
        <f>IF(C410="","",SUMIFS(Analytics!$K$5:$K$154,Analytics!$C$5:$C$154,C410))</f>
        <v>0</v>
      </c>
      <c r="I410" s="23">
        <f>IF(C410="","",SUMIFS(Analytics!$L$5:$L$154,Analytics!$C$5:$C$154,C410))</f>
        <v>0</v>
      </c>
      <c r="J410" s="24">
        <f>IF(OR(G410="",G410=0),"",I410/G410)</f>
        <v>0</v>
      </c>
      <c r="K410" s="23">
        <f>IF(C410="","",SUMIFS(Analytics!$G$5:$G$154,Analytics!$C$5:$C$154,C410))</f>
        <v>0</v>
      </c>
      <c r="L410" s="23">
        <f>IF(C410="","",SUMIFS(Analytics!$X$5:$X$154,Analytics!$C$5:$C$154,C410))</f>
        <v>0</v>
      </c>
      <c r="M410" s="23">
        <f>IF(C410="","",SUMIFS(Analytics!$R$5:$R$154,Analytics!$C$5:$C$154,C410))</f>
        <v>0</v>
      </c>
      <c r="N410" s="23">
        <f>IF(C410="","",SUMIFS(Analytics!$S$5:$S$154,Analytics!$C$5:$C$154,C410))</f>
        <v>0</v>
      </c>
      <c r="O410" s="23">
        <f>IF(C410="","",SUMIFS(Analytics!$T$5:$T$154,Analytics!$C$5:$C$154,C410))</f>
        <v>0</v>
      </c>
      <c r="P410" s="25">
        <f>IF(C410="","",SUMIFS(Analytics!$U$5:$U$154,Analytics!$C$5:$C$154,C410))</f>
        <v>0</v>
      </c>
      <c r="Q410" s="25">
        <f>IF(C410="","",SUMIFS(Budget!$H$5:$H$64,Budget!$C$5:$C$64,C410))</f>
        <v>0</v>
      </c>
      <c r="R410" s="25">
        <f>IF(C410="","",P410-Q410)</f>
        <v>0</v>
      </c>
      <c r="S410" s="23">
        <f>IF(C410="","",MonthlyPostTarget)</f>
        <v>0</v>
      </c>
      <c r="T410" s="17">
        <f>IF(Lists!$C410="","",Lists!$C410)</f>
        <v>0</v>
      </c>
      <c r="U410" s="23">
        <f>IF(T410="","",COUNTIFS('Content Calendar'!$G$5:$G$604,T410,'Content Calendar'!$B$5:$B$604,"&gt;="&amp;DashStart,'Content Calendar'!$B$5:$B$604,"&lt;="&amp;DashEnd))</f>
        <v>0</v>
      </c>
      <c r="V410" s="23">
        <f>IF(T410="","",COUNTIFS('Content Calendar'!$G$5:$G$604,T410,'Content Calendar'!$X$5:$X$604,"Published",'Content Calendar'!$B$5:$B$604,"&gt;="&amp;DashStart,'Content Calendar'!$B$5:$B$604,"&lt;="&amp;DashEnd))</f>
        <v>0</v>
      </c>
      <c r="W410" s="23">
        <f>IF(T410="","",SUMIFS(Analytics!$J$5:$J$154,Analytics!$D$5:$D$154,T410,Analytics!$B$5:$B$154,"&gt;="&amp;DashStart,Analytics!$B$5:$B$154,"&lt;="&amp;DashEnd))</f>
        <v>0</v>
      </c>
      <c r="X410" s="23">
        <f>IF(T410="","",SUMIFS(Analytics!$L$5:$L$154,Analytics!$D$5:$D$154,T410,Analytics!$B$5:$B$154,"&gt;="&amp;DashStart,Analytics!$B$5:$B$154,"&lt;="&amp;DashEnd))</f>
        <v>0</v>
      </c>
      <c r="Y410" s="24">
        <f>IF(OR(W410="",W410=0),"",X410/W410)</f>
        <v>0</v>
      </c>
      <c r="Z410" s="23">
        <f>IF(T410="","",SUMIFS(Analytics!$G$5:$G$154,Analytics!$D$5:$D$154,T410,Analytics!$B$5:$B$154,"&gt;="&amp;DashStart,Analytics!$B$5:$B$154,"&lt;="&amp;DashEnd))</f>
        <v>0</v>
      </c>
      <c r="AA410" s="23">
        <f>IF(T410="","",SUMIFS(Analytics!$X$5:$X$154,Analytics!$D$5:$D$154,T410,Analytics!$B$5:$B$154,"&gt;="&amp;DashStart,Analytics!$B$5:$B$154,"&lt;="&amp;DashEnd))</f>
        <v>0</v>
      </c>
      <c r="AB410" s="23">
        <f>IF(T410="","",SUMIFS(Analytics!$R$5:$R$154,Analytics!$D$5:$D$154,T410,Analytics!$B$5:$B$154,"&gt;="&amp;DashStart,Analytics!$B$5:$B$154,"&lt;="&amp;DashEnd))</f>
        <v>0</v>
      </c>
      <c r="AC410" s="25">
        <f>IF(T410="","",SUMIFS(Analytics!$U$5:$U$154,Analytics!$D$5:$D$154,T410,Analytics!$B$5:$B$154,"&gt;="&amp;DashStart,Analytics!$B$5:$B$154,"&lt;="&amp;DashEnd))</f>
        <v>0</v>
      </c>
      <c r="AD410" s="23">
        <f>IF(T410="","",COUNTIFS('Content Calendar'!$G$5:$G$604,T410,'Content Calendar'!$B$5:$B$604,"&gt;="&amp;DATE(PlanYear,1,1),'Content Calendar'!$B$5:$B$604,"&lt;="&amp;DATE(PlanYear,12,31)))</f>
        <v>0</v>
      </c>
      <c r="AE410" s="23">
        <f>IF(T410="","",SUMIFS(Analytics!$J$5:$J$154,Analytics!$D$5:$D$154,T410))</f>
        <v>0</v>
      </c>
      <c r="AF410" s="23">
        <f>IF(T410="","",SUMIFS(Analytics!$L$5:$L$154,Analytics!$D$5:$D$154,T410))</f>
        <v>0</v>
      </c>
      <c r="AG410" s="24">
        <f>IF(OR(AE410="",AE410=0),"",AF410/AE410)</f>
        <v>0</v>
      </c>
      <c r="AH410" s="23">
        <f>IF(T410="","",SUMIFS(Analytics!$X$5:$X$154,Analytics!$D$5:$D$154,T410))</f>
        <v>0</v>
      </c>
      <c r="AI410" s="32">
        <f>IF(T410="","",IF(AE410=0,"",AE410+ROW()/1000000))</f>
        <v>0</v>
      </c>
      <c r="AJ410" s="17">
        <f>IF('Content Pillars'!$B$410="","",'Content Pillars'!$B$410)</f>
        <v>0</v>
      </c>
      <c r="AK410" s="23">
        <f>IF(AJ410="","",COUNTIFS('Content Calendar'!$J$5:$J$604,AJ410,'Content Calendar'!$B$5:$B$604,"&gt;="&amp;DATE(PlanYear,1,1),'Content Calendar'!$B$5:$B$604,"&lt;="&amp;DATE(PlanYear,12,31)))</f>
        <v>0</v>
      </c>
      <c r="AL410" s="23">
        <f>IF(AJ410="","",SUMIFS(Performance!$O$5:$O$404,Performance!$H$5:$H$404,AJ410))</f>
        <v>0</v>
      </c>
      <c r="AM410" s="23">
        <f>IF(AJ410="","",SUMIFS(Performance!$Z$5:$Z$404,Performance!$H$5:$H$404,AJ410))</f>
        <v>0</v>
      </c>
      <c r="AN410" s="24">
        <f>IF(OR(AL410="",AL410=0),"",AM410/AL410)</f>
        <v>0</v>
      </c>
      <c r="AO410" s="32">
        <f>IF(AN410="","",AN410+ROW()/1000000)</f>
        <v>0</v>
      </c>
      <c r="AP410" s="17">
        <f>IF(Lists!$E410="","",Lists!$E410)</f>
        <v>0</v>
      </c>
      <c r="AQ410" s="23">
        <f>IF(AP410="","",COUNTIF(Performance!$G$5:$G$404,AP410))</f>
        <v>0</v>
      </c>
      <c r="AR410" s="23">
        <f>IF(AP410="","",SUMIFS(Performance!$O$5:$O$404,Performance!$G$5:$G$404,AP410))</f>
        <v>0</v>
      </c>
      <c r="AS410" s="23">
        <f>IF(AP410="","",SUMIFS(Performance!$Z$5:$Z$404,Performance!$G$5:$G$404,AP410))</f>
        <v>0</v>
      </c>
      <c r="AT410" s="24">
        <f>IF(OR(AR410="",AR410=0),"",AS410/AR410)</f>
        <v>0</v>
      </c>
      <c r="AU410" s="32">
        <f>IF(AQ410=0,"",IF(AT410="","",AT410+ROW()/1000000))</f>
        <v>0</v>
      </c>
      <c r="AV410" s="17">
        <f>IF(ROW()-4&gt;7,"",TEXT(DATE(2024,1,ROW()-4),"ddd"))</f>
        <v>0</v>
      </c>
      <c r="AW410" s="23">
        <f>IF(AV410="","",COUNTIF(Performance!$N$5:$N$404,AV410))</f>
        <v>0</v>
      </c>
      <c r="AX410" s="23">
        <f>IF(AV410="","",SUMIFS(Performance!$O$5:$O$404,Performance!$N$5:$N$404,AV410))</f>
        <v>0</v>
      </c>
      <c r="AY410" s="23">
        <f>IF(AV410="","",SUMIFS(Performance!$Z$5:$Z$404,Performance!$N$5:$N$404,AV410))</f>
        <v>0</v>
      </c>
      <c r="AZ410" s="24">
        <f>IF(OR(AX410="",AX410=0),"",AY410/AX410)</f>
        <v>0</v>
      </c>
      <c r="BA410" s="32">
        <f>IF(AW410=0,"",IF(AZ410="","",AZ410+ROW()/1000000))</f>
        <v>0</v>
      </c>
      <c r="BB410" s="17">
        <f>IF(Lists!$AL410="","",Lists!$AL410)</f>
        <v>0</v>
      </c>
      <c r="BC410" s="23">
        <f>IF(BB410="","",COUNTIF(Performance!$M$5:$M$404,BB410))</f>
        <v>0</v>
      </c>
      <c r="BD410" s="23">
        <f>IF(BB410="","",SUMIFS(Performance!$O$5:$O$404,Performance!$M$5:$M$404,BB410))</f>
        <v>0</v>
      </c>
      <c r="BE410" s="23">
        <f>IF(BB410="","",SUMIFS(Performance!$Z$5:$Z$404,Performance!$M$5:$M$404,BB410))</f>
        <v>0</v>
      </c>
      <c r="BF410" s="24">
        <f>IF(OR(BD410="",BD410=0),"",BE410/BD410)</f>
        <v>0</v>
      </c>
      <c r="BG410" s="32">
        <f>IF(BC410=0,"",IF(BF410="","",BF410+ROW()/1000000))</f>
        <v>0</v>
      </c>
      <c r="BH410" s="17">
        <f>IF(Performance!$C$410="","",Performance!$C$410)</f>
        <v>0</v>
      </c>
      <c r="BI410" s="17">
        <f>IF(Performance!$F$410="","",Performance!$F$410)</f>
        <v>0</v>
      </c>
      <c r="BJ410" s="17">
        <f>IF(Performance!$H$410="","",Performance!$H$410)</f>
        <v>0</v>
      </c>
      <c r="BK410" s="16">
        <f>IF(Performance!$D$410="","",Performance!$D$410)</f>
        <v>0</v>
      </c>
      <c r="BL410" s="17">
        <f>IF(Performance!$E$410="","",Performance!$E$410)</f>
        <v>0</v>
      </c>
      <c r="BM410" s="23">
        <f>IF(Performance!$O$410="","",Performance!$O$410)</f>
        <v>0</v>
      </c>
      <c r="BN410" s="24">
        <f>IF(Performance!$AA$410="","",Performance!$AA$410)</f>
        <v>0</v>
      </c>
      <c r="BO410" s="32">
        <f>IF(BH410="","",IF(BK410="","",IF(OR(BK410&lt;DashStart,BK410&gt;DashEnd),"",IF(BN410="","",BN410+ROW()/1000000))))</f>
        <v>0</v>
      </c>
      <c r="BP410" s="32">
        <f>IF(BM410="","",IF(BK410="","",IF(OR(BK410&lt;DashStart,BK410&gt;DashEnd),"",BM410+ROW()/1000000)))</f>
        <v>0</v>
      </c>
      <c r="BQ410" s="32">
        <f>IF(BH410="","",IF(BK410="","",IF(YEAR(BK410)&lt;&gt;PlanYear,"",IF(BN410="","",BN410+ROW()/1000000))))</f>
        <v>0</v>
      </c>
      <c r="BR410" s="32">
        <f>IF(BH410="","",IF(BK410="","",IF(OR(BK410&lt;RepFrom,BK410&gt;RepTo),"",IF(BN410="","",BN410+ROW()/1000000))))</f>
        <v>0</v>
      </c>
      <c r="BS410" s="32">
        <f>IF(BM410="","",IF(BK410="","",IF(YEAR(BK410)&lt;&gt;PlanYear,"",BM410+ROW()/1000000)))</f>
        <v>0</v>
      </c>
      <c r="BT410" s="17">
        <f>IF(Lists!$F410="","",Lists!$F410)</f>
        <v>0</v>
      </c>
      <c r="BU410" s="23">
        <f>IF(BT410="","",COUNTIF('Content Calendar'!$X$5:$X$604,BT410))</f>
        <v>0</v>
      </c>
      <c r="BV410" s="23">
        <f>IF(BT410="","",COUNTIFS('Content Calendar'!$X$5:$X$604,BT410,'Content Calendar'!$B$5:$B$604,"&gt;="&amp;DashStart,'Content Calendar'!$B$5:$B$604,"&lt;="&amp;DashEnd))</f>
        <v>0</v>
      </c>
      <c r="BW410" s="17">
        <f>IF(Team!$B$410="","",Team!$B$410)</f>
        <v>0</v>
      </c>
      <c r="BX410" s="23">
        <f>IF(BW410="","",COUNTIF('Content Calendar'!$W$5:$W$604,BW410))</f>
        <v>0</v>
      </c>
      <c r="BY410" s="23">
        <f>IF(BW410="","",COUNTIFS('Content Calendar'!$W$5:$W$604,BW410,'Content Calendar'!$X$5:$X$604,"&lt;&gt;Published"))</f>
        <v>0</v>
      </c>
      <c r="BZ410" s="23">
        <f>IF(BW410="","",COUNTIFS(Tasks!$C$5:$C$64,BW410,Tasks!$G$5:$G$64,"&lt;&gt;Complete"))</f>
        <v>0</v>
      </c>
      <c r="CA410" s="17">
        <f>IF(Campaigns!$B$410="","",Campaigns!$B$410)</f>
        <v>0</v>
      </c>
      <c r="CB410" s="25">
        <f>IF(Campaigns!$T$410="","",Campaigns!$T$410)</f>
        <v>0</v>
      </c>
      <c r="CC410" s="25">
        <f>IF(Campaigns!$Q$410="","",Campaigns!$Q$410)</f>
        <v>0</v>
      </c>
      <c r="CD410" s="23">
        <f>IF(Campaigns!$Y$410="","",Campaigns!$Y$410)</f>
        <v>0</v>
      </c>
      <c r="CE410" s="32">
        <f>IF(CA410="","",IF(N(CB410)&lt;=0,"",N(CB410)+ROW()/1000000))</f>
        <v>0</v>
      </c>
      <c r="CF410" s="17">
        <f>IF(Accounts!$C$410="","",Accounts!$C$410)</f>
        <v>0</v>
      </c>
      <c r="CG410" s="17">
        <f>IF(Accounts!$B$410="","",Accounts!$B$410)</f>
        <v>0</v>
      </c>
      <c r="CH410" s="23">
        <f>IF(Accounts!$J$410="","",Accounts!$J$410)</f>
        <v>0</v>
      </c>
      <c r="CI410" s="23">
        <f>IF(CF410="","",SUMIFS(Analytics!$X$5:$X$154,Analytics!$E$5:$E$154,CF410,Analytics!$B$5:$B$154,"&gt;="&amp;DashStart,Analytics!$B$5:$B$154,"&lt;="&amp;DashEnd))</f>
        <v>0</v>
      </c>
      <c r="CJ410" s="32">
        <f>IF(CH410="","",IF(CH410=0,"",CH410+ROW()/1000000))</f>
        <v>0</v>
      </c>
    </row>
    <row r="411" spans="1:88">
      <c r="A411" s="16">
        <f>IF(ROW()-4&gt;12,"",DATE(PlanYear,ROW()-4,1))</f>
        <v>0</v>
      </c>
      <c r="B411" s="16">
        <f>IF(A411="","",EOMONTH(A411,0))</f>
        <v>0</v>
      </c>
      <c r="C411" s="17">
        <f>IF(A411="","",TEXT(A411,"yyyy-mm"))</f>
        <v>0</v>
      </c>
      <c r="D411" s="17">
        <f>IF(A411="","",TEXT(A411,"mmm"))</f>
        <v>0</v>
      </c>
      <c r="E411" s="23">
        <f>IF(C411="","",COUNTIFS('Content Calendar'!$D$5:$D$604,C411))</f>
        <v>0</v>
      </c>
      <c r="F411" s="23">
        <f>IF(C411="","",COUNTIFS('Content Calendar'!$D$5:$D$604,C411,'Content Calendar'!$X$5:$X$604,"Published"))</f>
        <v>0</v>
      </c>
      <c r="G411" s="23">
        <f>IF(C411="","",SUMIFS(Analytics!$J$5:$J$154,Analytics!$C$5:$C$154,C411))</f>
        <v>0</v>
      </c>
      <c r="H411" s="23">
        <f>IF(C411="","",SUMIFS(Analytics!$K$5:$K$154,Analytics!$C$5:$C$154,C411))</f>
        <v>0</v>
      </c>
      <c r="I411" s="23">
        <f>IF(C411="","",SUMIFS(Analytics!$L$5:$L$154,Analytics!$C$5:$C$154,C411))</f>
        <v>0</v>
      </c>
      <c r="J411" s="24">
        <f>IF(OR(G411="",G411=0),"",I411/G411)</f>
        <v>0</v>
      </c>
      <c r="K411" s="23">
        <f>IF(C411="","",SUMIFS(Analytics!$G$5:$G$154,Analytics!$C$5:$C$154,C411))</f>
        <v>0</v>
      </c>
      <c r="L411" s="23">
        <f>IF(C411="","",SUMIFS(Analytics!$X$5:$X$154,Analytics!$C$5:$C$154,C411))</f>
        <v>0</v>
      </c>
      <c r="M411" s="23">
        <f>IF(C411="","",SUMIFS(Analytics!$R$5:$R$154,Analytics!$C$5:$C$154,C411))</f>
        <v>0</v>
      </c>
      <c r="N411" s="23">
        <f>IF(C411="","",SUMIFS(Analytics!$S$5:$S$154,Analytics!$C$5:$C$154,C411))</f>
        <v>0</v>
      </c>
      <c r="O411" s="23">
        <f>IF(C411="","",SUMIFS(Analytics!$T$5:$T$154,Analytics!$C$5:$C$154,C411))</f>
        <v>0</v>
      </c>
      <c r="P411" s="25">
        <f>IF(C411="","",SUMIFS(Analytics!$U$5:$U$154,Analytics!$C$5:$C$154,C411))</f>
        <v>0</v>
      </c>
      <c r="Q411" s="25">
        <f>IF(C411="","",SUMIFS(Budget!$H$5:$H$64,Budget!$C$5:$C$64,C411))</f>
        <v>0</v>
      </c>
      <c r="R411" s="25">
        <f>IF(C411="","",P411-Q411)</f>
        <v>0</v>
      </c>
      <c r="S411" s="23">
        <f>IF(C411="","",MonthlyPostTarget)</f>
        <v>0</v>
      </c>
      <c r="T411" s="17">
        <f>IF(Lists!$C411="","",Lists!$C411)</f>
        <v>0</v>
      </c>
      <c r="U411" s="23">
        <f>IF(T411="","",COUNTIFS('Content Calendar'!$G$5:$G$604,T411,'Content Calendar'!$B$5:$B$604,"&gt;="&amp;DashStart,'Content Calendar'!$B$5:$B$604,"&lt;="&amp;DashEnd))</f>
        <v>0</v>
      </c>
      <c r="V411" s="23">
        <f>IF(T411="","",COUNTIFS('Content Calendar'!$G$5:$G$604,T411,'Content Calendar'!$X$5:$X$604,"Published",'Content Calendar'!$B$5:$B$604,"&gt;="&amp;DashStart,'Content Calendar'!$B$5:$B$604,"&lt;="&amp;DashEnd))</f>
        <v>0</v>
      </c>
      <c r="W411" s="23">
        <f>IF(T411="","",SUMIFS(Analytics!$J$5:$J$154,Analytics!$D$5:$D$154,T411,Analytics!$B$5:$B$154,"&gt;="&amp;DashStart,Analytics!$B$5:$B$154,"&lt;="&amp;DashEnd))</f>
        <v>0</v>
      </c>
      <c r="X411" s="23">
        <f>IF(T411="","",SUMIFS(Analytics!$L$5:$L$154,Analytics!$D$5:$D$154,T411,Analytics!$B$5:$B$154,"&gt;="&amp;DashStart,Analytics!$B$5:$B$154,"&lt;="&amp;DashEnd))</f>
        <v>0</v>
      </c>
      <c r="Y411" s="24">
        <f>IF(OR(W411="",W411=0),"",X411/W411)</f>
        <v>0</v>
      </c>
      <c r="Z411" s="23">
        <f>IF(T411="","",SUMIFS(Analytics!$G$5:$G$154,Analytics!$D$5:$D$154,T411,Analytics!$B$5:$B$154,"&gt;="&amp;DashStart,Analytics!$B$5:$B$154,"&lt;="&amp;DashEnd))</f>
        <v>0</v>
      </c>
      <c r="AA411" s="23">
        <f>IF(T411="","",SUMIFS(Analytics!$X$5:$X$154,Analytics!$D$5:$D$154,T411,Analytics!$B$5:$B$154,"&gt;="&amp;DashStart,Analytics!$B$5:$B$154,"&lt;="&amp;DashEnd))</f>
        <v>0</v>
      </c>
      <c r="AB411" s="23">
        <f>IF(T411="","",SUMIFS(Analytics!$R$5:$R$154,Analytics!$D$5:$D$154,T411,Analytics!$B$5:$B$154,"&gt;="&amp;DashStart,Analytics!$B$5:$B$154,"&lt;="&amp;DashEnd))</f>
        <v>0</v>
      </c>
      <c r="AC411" s="25">
        <f>IF(T411="","",SUMIFS(Analytics!$U$5:$U$154,Analytics!$D$5:$D$154,T411,Analytics!$B$5:$B$154,"&gt;="&amp;DashStart,Analytics!$B$5:$B$154,"&lt;="&amp;DashEnd))</f>
        <v>0</v>
      </c>
      <c r="AD411" s="23">
        <f>IF(T411="","",COUNTIFS('Content Calendar'!$G$5:$G$604,T411,'Content Calendar'!$B$5:$B$604,"&gt;="&amp;DATE(PlanYear,1,1),'Content Calendar'!$B$5:$B$604,"&lt;="&amp;DATE(PlanYear,12,31)))</f>
        <v>0</v>
      </c>
      <c r="AE411" s="23">
        <f>IF(T411="","",SUMIFS(Analytics!$J$5:$J$154,Analytics!$D$5:$D$154,T411))</f>
        <v>0</v>
      </c>
      <c r="AF411" s="23">
        <f>IF(T411="","",SUMIFS(Analytics!$L$5:$L$154,Analytics!$D$5:$D$154,T411))</f>
        <v>0</v>
      </c>
      <c r="AG411" s="24">
        <f>IF(OR(AE411="",AE411=0),"",AF411/AE411)</f>
        <v>0</v>
      </c>
      <c r="AH411" s="23">
        <f>IF(T411="","",SUMIFS(Analytics!$X$5:$X$154,Analytics!$D$5:$D$154,T411))</f>
        <v>0</v>
      </c>
      <c r="AI411" s="32">
        <f>IF(T411="","",IF(AE411=0,"",AE411+ROW()/1000000))</f>
        <v>0</v>
      </c>
      <c r="AJ411" s="17">
        <f>IF('Content Pillars'!$B$411="","",'Content Pillars'!$B$411)</f>
        <v>0</v>
      </c>
      <c r="AK411" s="23">
        <f>IF(AJ411="","",COUNTIFS('Content Calendar'!$J$5:$J$604,AJ411,'Content Calendar'!$B$5:$B$604,"&gt;="&amp;DATE(PlanYear,1,1),'Content Calendar'!$B$5:$B$604,"&lt;="&amp;DATE(PlanYear,12,31)))</f>
        <v>0</v>
      </c>
      <c r="AL411" s="23">
        <f>IF(AJ411="","",SUMIFS(Performance!$O$5:$O$404,Performance!$H$5:$H$404,AJ411))</f>
        <v>0</v>
      </c>
      <c r="AM411" s="23">
        <f>IF(AJ411="","",SUMIFS(Performance!$Z$5:$Z$404,Performance!$H$5:$H$404,AJ411))</f>
        <v>0</v>
      </c>
      <c r="AN411" s="24">
        <f>IF(OR(AL411="",AL411=0),"",AM411/AL411)</f>
        <v>0</v>
      </c>
      <c r="AO411" s="32">
        <f>IF(AN411="","",AN411+ROW()/1000000)</f>
        <v>0</v>
      </c>
      <c r="AP411" s="17">
        <f>IF(Lists!$E411="","",Lists!$E411)</f>
        <v>0</v>
      </c>
      <c r="AQ411" s="23">
        <f>IF(AP411="","",COUNTIF(Performance!$G$5:$G$404,AP411))</f>
        <v>0</v>
      </c>
      <c r="AR411" s="23">
        <f>IF(AP411="","",SUMIFS(Performance!$O$5:$O$404,Performance!$G$5:$G$404,AP411))</f>
        <v>0</v>
      </c>
      <c r="AS411" s="23">
        <f>IF(AP411="","",SUMIFS(Performance!$Z$5:$Z$404,Performance!$G$5:$G$404,AP411))</f>
        <v>0</v>
      </c>
      <c r="AT411" s="24">
        <f>IF(OR(AR411="",AR411=0),"",AS411/AR411)</f>
        <v>0</v>
      </c>
      <c r="AU411" s="32">
        <f>IF(AQ411=0,"",IF(AT411="","",AT411+ROW()/1000000))</f>
        <v>0</v>
      </c>
      <c r="AV411" s="17">
        <f>IF(ROW()-4&gt;7,"",TEXT(DATE(2024,1,ROW()-4),"ddd"))</f>
        <v>0</v>
      </c>
      <c r="AW411" s="23">
        <f>IF(AV411="","",COUNTIF(Performance!$N$5:$N$404,AV411))</f>
        <v>0</v>
      </c>
      <c r="AX411" s="23">
        <f>IF(AV411="","",SUMIFS(Performance!$O$5:$O$404,Performance!$N$5:$N$404,AV411))</f>
        <v>0</v>
      </c>
      <c r="AY411" s="23">
        <f>IF(AV411="","",SUMIFS(Performance!$Z$5:$Z$404,Performance!$N$5:$N$404,AV411))</f>
        <v>0</v>
      </c>
      <c r="AZ411" s="24">
        <f>IF(OR(AX411="",AX411=0),"",AY411/AX411)</f>
        <v>0</v>
      </c>
      <c r="BA411" s="32">
        <f>IF(AW411=0,"",IF(AZ411="","",AZ411+ROW()/1000000))</f>
        <v>0</v>
      </c>
      <c r="BB411" s="17">
        <f>IF(Lists!$AL411="","",Lists!$AL411)</f>
        <v>0</v>
      </c>
      <c r="BC411" s="23">
        <f>IF(BB411="","",COUNTIF(Performance!$M$5:$M$404,BB411))</f>
        <v>0</v>
      </c>
      <c r="BD411" s="23">
        <f>IF(BB411="","",SUMIFS(Performance!$O$5:$O$404,Performance!$M$5:$M$404,BB411))</f>
        <v>0</v>
      </c>
      <c r="BE411" s="23">
        <f>IF(BB411="","",SUMIFS(Performance!$Z$5:$Z$404,Performance!$M$5:$M$404,BB411))</f>
        <v>0</v>
      </c>
      <c r="BF411" s="24">
        <f>IF(OR(BD411="",BD411=0),"",BE411/BD411)</f>
        <v>0</v>
      </c>
      <c r="BG411" s="32">
        <f>IF(BC411=0,"",IF(BF411="","",BF411+ROW()/1000000))</f>
        <v>0</v>
      </c>
      <c r="BH411" s="17">
        <f>IF(Performance!$C$411="","",Performance!$C$411)</f>
        <v>0</v>
      </c>
      <c r="BI411" s="17">
        <f>IF(Performance!$F$411="","",Performance!$F$411)</f>
        <v>0</v>
      </c>
      <c r="BJ411" s="17">
        <f>IF(Performance!$H$411="","",Performance!$H$411)</f>
        <v>0</v>
      </c>
      <c r="BK411" s="16">
        <f>IF(Performance!$D$411="","",Performance!$D$411)</f>
        <v>0</v>
      </c>
      <c r="BL411" s="17">
        <f>IF(Performance!$E$411="","",Performance!$E$411)</f>
        <v>0</v>
      </c>
      <c r="BM411" s="23">
        <f>IF(Performance!$O$411="","",Performance!$O$411)</f>
        <v>0</v>
      </c>
      <c r="BN411" s="24">
        <f>IF(Performance!$AA$411="","",Performance!$AA$411)</f>
        <v>0</v>
      </c>
      <c r="BO411" s="32">
        <f>IF(BH411="","",IF(BK411="","",IF(OR(BK411&lt;DashStart,BK411&gt;DashEnd),"",IF(BN411="","",BN411+ROW()/1000000))))</f>
        <v>0</v>
      </c>
      <c r="BP411" s="32">
        <f>IF(BM411="","",IF(BK411="","",IF(OR(BK411&lt;DashStart,BK411&gt;DashEnd),"",BM411+ROW()/1000000)))</f>
        <v>0</v>
      </c>
      <c r="BQ411" s="32">
        <f>IF(BH411="","",IF(BK411="","",IF(YEAR(BK411)&lt;&gt;PlanYear,"",IF(BN411="","",BN411+ROW()/1000000))))</f>
        <v>0</v>
      </c>
      <c r="BR411" s="32">
        <f>IF(BH411="","",IF(BK411="","",IF(OR(BK411&lt;RepFrom,BK411&gt;RepTo),"",IF(BN411="","",BN411+ROW()/1000000))))</f>
        <v>0</v>
      </c>
      <c r="BS411" s="32">
        <f>IF(BM411="","",IF(BK411="","",IF(YEAR(BK411)&lt;&gt;PlanYear,"",BM411+ROW()/1000000)))</f>
        <v>0</v>
      </c>
      <c r="BT411" s="17">
        <f>IF(Lists!$F411="","",Lists!$F411)</f>
        <v>0</v>
      </c>
      <c r="BU411" s="23">
        <f>IF(BT411="","",COUNTIF('Content Calendar'!$X$5:$X$604,BT411))</f>
        <v>0</v>
      </c>
      <c r="BV411" s="23">
        <f>IF(BT411="","",COUNTIFS('Content Calendar'!$X$5:$X$604,BT411,'Content Calendar'!$B$5:$B$604,"&gt;="&amp;DashStart,'Content Calendar'!$B$5:$B$604,"&lt;="&amp;DashEnd))</f>
        <v>0</v>
      </c>
      <c r="BW411" s="17">
        <f>IF(Team!$B$411="","",Team!$B$411)</f>
        <v>0</v>
      </c>
      <c r="BX411" s="23">
        <f>IF(BW411="","",COUNTIF('Content Calendar'!$W$5:$W$604,BW411))</f>
        <v>0</v>
      </c>
      <c r="BY411" s="23">
        <f>IF(BW411="","",COUNTIFS('Content Calendar'!$W$5:$W$604,BW411,'Content Calendar'!$X$5:$X$604,"&lt;&gt;Published"))</f>
        <v>0</v>
      </c>
      <c r="BZ411" s="23">
        <f>IF(BW411="","",COUNTIFS(Tasks!$C$5:$C$64,BW411,Tasks!$G$5:$G$64,"&lt;&gt;Complete"))</f>
        <v>0</v>
      </c>
      <c r="CA411" s="17">
        <f>IF(Campaigns!$B$411="","",Campaigns!$B$411)</f>
        <v>0</v>
      </c>
      <c r="CB411" s="25">
        <f>IF(Campaigns!$T$411="","",Campaigns!$T$411)</f>
        <v>0</v>
      </c>
      <c r="CC411" s="25">
        <f>IF(Campaigns!$Q$411="","",Campaigns!$Q$411)</f>
        <v>0</v>
      </c>
      <c r="CD411" s="23">
        <f>IF(Campaigns!$Y$411="","",Campaigns!$Y$411)</f>
        <v>0</v>
      </c>
      <c r="CE411" s="32">
        <f>IF(CA411="","",IF(N(CB411)&lt;=0,"",N(CB411)+ROW()/1000000))</f>
        <v>0</v>
      </c>
      <c r="CF411" s="17">
        <f>IF(Accounts!$C$411="","",Accounts!$C$411)</f>
        <v>0</v>
      </c>
      <c r="CG411" s="17">
        <f>IF(Accounts!$B$411="","",Accounts!$B$411)</f>
        <v>0</v>
      </c>
      <c r="CH411" s="23">
        <f>IF(Accounts!$J$411="","",Accounts!$J$411)</f>
        <v>0</v>
      </c>
      <c r="CI411" s="23">
        <f>IF(CF411="","",SUMIFS(Analytics!$X$5:$X$154,Analytics!$E$5:$E$154,CF411,Analytics!$B$5:$B$154,"&gt;="&amp;DashStart,Analytics!$B$5:$B$154,"&lt;="&amp;DashEnd))</f>
        <v>0</v>
      </c>
      <c r="CJ411" s="32">
        <f>IF(CH411="","",IF(CH411=0,"",CH411+ROW()/1000000))</f>
        <v>0</v>
      </c>
    </row>
    <row r="412" spans="1:88">
      <c r="A412" s="16">
        <f>IF(ROW()-4&gt;12,"",DATE(PlanYear,ROW()-4,1))</f>
        <v>0</v>
      </c>
      <c r="B412" s="16">
        <f>IF(A412="","",EOMONTH(A412,0))</f>
        <v>0</v>
      </c>
      <c r="C412" s="17">
        <f>IF(A412="","",TEXT(A412,"yyyy-mm"))</f>
        <v>0</v>
      </c>
      <c r="D412" s="17">
        <f>IF(A412="","",TEXT(A412,"mmm"))</f>
        <v>0</v>
      </c>
      <c r="E412" s="23">
        <f>IF(C412="","",COUNTIFS('Content Calendar'!$D$5:$D$604,C412))</f>
        <v>0</v>
      </c>
      <c r="F412" s="23">
        <f>IF(C412="","",COUNTIFS('Content Calendar'!$D$5:$D$604,C412,'Content Calendar'!$X$5:$X$604,"Published"))</f>
        <v>0</v>
      </c>
      <c r="G412" s="23">
        <f>IF(C412="","",SUMIFS(Analytics!$J$5:$J$154,Analytics!$C$5:$C$154,C412))</f>
        <v>0</v>
      </c>
      <c r="H412" s="23">
        <f>IF(C412="","",SUMIFS(Analytics!$K$5:$K$154,Analytics!$C$5:$C$154,C412))</f>
        <v>0</v>
      </c>
      <c r="I412" s="23">
        <f>IF(C412="","",SUMIFS(Analytics!$L$5:$L$154,Analytics!$C$5:$C$154,C412))</f>
        <v>0</v>
      </c>
      <c r="J412" s="24">
        <f>IF(OR(G412="",G412=0),"",I412/G412)</f>
        <v>0</v>
      </c>
      <c r="K412" s="23">
        <f>IF(C412="","",SUMIFS(Analytics!$G$5:$G$154,Analytics!$C$5:$C$154,C412))</f>
        <v>0</v>
      </c>
      <c r="L412" s="23">
        <f>IF(C412="","",SUMIFS(Analytics!$X$5:$X$154,Analytics!$C$5:$C$154,C412))</f>
        <v>0</v>
      </c>
      <c r="M412" s="23">
        <f>IF(C412="","",SUMIFS(Analytics!$R$5:$R$154,Analytics!$C$5:$C$154,C412))</f>
        <v>0</v>
      </c>
      <c r="N412" s="23">
        <f>IF(C412="","",SUMIFS(Analytics!$S$5:$S$154,Analytics!$C$5:$C$154,C412))</f>
        <v>0</v>
      </c>
      <c r="O412" s="23">
        <f>IF(C412="","",SUMIFS(Analytics!$T$5:$T$154,Analytics!$C$5:$C$154,C412))</f>
        <v>0</v>
      </c>
      <c r="P412" s="25">
        <f>IF(C412="","",SUMIFS(Analytics!$U$5:$U$154,Analytics!$C$5:$C$154,C412))</f>
        <v>0</v>
      </c>
      <c r="Q412" s="25">
        <f>IF(C412="","",SUMIFS(Budget!$H$5:$H$64,Budget!$C$5:$C$64,C412))</f>
        <v>0</v>
      </c>
      <c r="R412" s="25">
        <f>IF(C412="","",P412-Q412)</f>
        <v>0</v>
      </c>
      <c r="S412" s="23">
        <f>IF(C412="","",MonthlyPostTarget)</f>
        <v>0</v>
      </c>
      <c r="T412" s="17">
        <f>IF(Lists!$C412="","",Lists!$C412)</f>
        <v>0</v>
      </c>
      <c r="U412" s="23">
        <f>IF(T412="","",COUNTIFS('Content Calendar'!$G$5:$G$604,T412,'Content Calendar'!$B$5:$B$604,"&gt;="&amp;DashStart,'Content Calendar'!$B$5:$B$604,"&lt;="&amp;DashEnd))</f>
        <v>0</v>
      </c>
      <c r="V412" s="23">
        <f>IF(T412="","",COUNTIFS('Content Calendar'!$G$5:$G$604,T412,'Content Calendar'!$X$5:$X$604,"Published",'Content Calendar'!$B$5:$B$604,"&gt;="&amp;DashStart,'Content Calendar'!$B$5:$B$604,"&lt;="&amp;DashEnd))</f>
        <v>0</v>
      </c>
      <c r="W412" s="23">
        <f>IF(T412="","",SUMIFS(Analytics!$J$5:$J$154,Analytics!$D$5:$D$154,T412,Analytics!$B$5:$B$154,"&gt;="&amp;DashStart,Analytics!$B$5:$B$154,"&lt;="&amp;DashEnd))</f>
        <v>0</v>
      </c>
      <c r="X412" s="23">
        <f>IF(T412="","",SUMIFS(Analytics!$L$5:$L$154,Analytics!$D$5:$D$154,T412,Analytics!$B$5:$B$154,"&gt;="&amp;DashStart,Analytics!$B$5:$B$154,"&lt;="&amp;DashEnd))</f>
        <v>0</v>
      </c>
      <c r="Y412" s="24">
        <f>IF(OR(W412="",W412=0),"",X412/W412)</f>
        <v>0</v>
      </c>
      <c r="Z412" s="23">
        <f>IF(T412="","",SUMIFS(Analytics!$G$5:$G$154,Analytics!$D$5:$D$154,T412,Analytics!$B$5:$B$154,"&gt;="&amp;DashStart,Analytics!$B$5:$B$154,"&lt;="&amp;DashEnd))</f>
        <v>0</v>
      </c>
      <c r="AA412" s="23">
        <f>IF(T412="","",SUMIFS(Analytics!$X$5:$X$154,Analytics!$D$5:$D$154,T412,Analytics!$B$5:$B$154,"&gt;="&amp;DashStart,Analytics!$B$5:$B$154,"&lt;="&amp;DashEnd))</f>
        <v>0</v>
      </c>
      <c r="AB412" s="23">
        <f>IF(T412="","",SUMIFS(Analytics!$R$5:$R$154,Analytics!$D$5:$D$154,T412,Analytics!$B$5:$B$154,"&gt;="&amp;DashStart,Analytics!$B$5:$B$154,"&lt;="&amp;DashEnd))</f>
        <v>0</v>
      </c>
      <c r="AC412" s="25">
        <f>IF(T412="","",SUMIFS(Analytics!$U$5:$U$154,Analytics!$D$5:$D$154,T412,Analytics!$B$5:$B$154,"&gt;="&amp;DashStart,Analytics!$B$5:$B$154,"&lt;="&amp;DashEnd))</f>
        <v>0</v>
      </c>
      <c r="AD412" s="23">
        <f>IF(T412="","",COUNTIFS('Content Calendar'!$G$5:$G$604,T412,'Content Calendar'!$B$5:$B$604,"&gt;="&amp;DATE(PlanYear,1,1),'Content Calendar'!$B$5:$B$604,"&lt;="&amp;DATE(PlanYear,12,31)))</f>
        <v>0</v>
      </c>
      <c r="AE412" s="23">
        <f>IF(T412="","",SUMIFS(Analytics!$J$5:$J$154,Analytics!$D$5:$D$154,T412))</f>
        <v>0</v>
      </c>
      <c r="AF412" s="23">
        <f>IF(T412="","",SUMIFS(Analytics!$L$5:$L$154,Analytics!$D$5:$D$154,T412))</f>
        <v>0</v>
      </c>
      <c r="AG412" s="24">
        <f>IF(OR(AE412="",AE412=0),"",AF412/AE412)</f>
        <v>0</v>
      </c>
      <c r="AH412" s="23">
        <f>IF(T412="","",SUMIFS(Analytics!$X$5:$X$154,Analytics!$D$5:$D$154,T412))</f>
        <v>0</v>
      </c>
      <c r="AI412" s="32">
        <f>IF(T412="","",IF(AE412=0,"",AE412+ROW()/1000000))</f>
        <v>0</v>
      </c>
      <c r="AJ412" s="17">
        <f>IF('Content Pillars'!$B$412="","",'Content Pillars'!$B$412)</f>
        <v>0</v>
      </c>
      <c r="AK412" s="23">
        <f>IF(AJ412="","",COUNTIFS('Content Calendar'!$J$5:$J$604,AJ412,'Content Calendar'!$B$5:$B$604,"&gt;="&amp;DATE(PlanYear,1,1),'Content Calendar'!$B$5:$B$604,"&lt;="&amp;DATE(PlanYear,12,31)))</f>
        <v>0</v>
      </c>
      <c r="AL412" s="23">
        <f>IF(AJ412="","",SUMIFS(Performance!$O$5:$O$404,Performance!$H$5:$H$404,AJ412))</f>
        <v>0</v>
      </c>
      <c r="AM412" s="23">
        <f>IF(AJ412="","",SUMIFS(Performance!$Z$5:$Z$404,Performance!$H$5:$H$404,AJ412))</f>
        <v>0</v>
      </c>
      <c r="AN412" s="24">
        <f>IF(OR(AL412="",AL412=0),"",AM412/AL412)</f>
        <v>0</v>
      </c>
      <c r="AO412" s="32">
        <f>IF(AN412="","",AN412+ROW()/1000000)</f>
        <v>0</v>
      </c>
      <c r="AP412" s="17">
        <f>IF(Lists!$E412="","",Lists!$E412)</f>
        <v>0</v>
      </c>
      <c r="AQ412" s="23">
        <f>IF(AP412="","",COUNTIF(Performance!$G$5:$G$404,AP412))</f>
        <v>0</v>
      </c>
      <c r="AR412" s="23">
        <f>IF(AP412="","",SUMIFS(Performance!$O$5:$O$404,Performance!$G$5:$G$404,AP412))</f>
        <v>0</v>
      </c>
      <c r="AS412" s="23">
        <f>IF(AP412="","",SUMIFS(Performance!$Z$5:$Z$404,Performance!$G$5:$G$404,AP412))</f>
        <v>0</v>
      </c>
      <c r="AT412" s="24">
        <f>IF(OR(AR412="",AR412=0),"",AS412/AR412)</f>
        <v>0</v>
      </c>
      <c r="AU412" s="32">
        <f>IF(AQ412=0,"",IF(AT412="","",AT412+ROW()/1000000))</f>
        <v>0</v>
      </c>
      <c r="AV412" s="17">
        <f>IF(ROW()-4&gt;7,"",TEXT(DATE(2024,1,ROW()-4),"ddd"))</f>
        <v>0</v>
      </c>
      <c r="AW412" s="23">
        <f>IF(AV412="","",COUNTIF(Performance!$N$5:$N$404,AV412))</f>
        <v>0</v>
      </c>
      <c r="AX412" s="23">
        <f>IF(AV412="","",SUMIFS(Performance!$O$5:$O$404,Performance!$N$5:$N$404,AV412))</f>
        <v>0</v>
      </c>
      <c r="AY412" s="23">
        <f>IF(AV412="","",SUMIFS(Performance!$Z$5:$Z$404,Performance!$N$5:$N$404,AV412))</f>
        <v>0</v>
      </c>
      <c r="AZ412" s="24">
        <f>IF(OR(AX412="",AX412=0),"",AY412/AX412)</f>
        <v>0</v>
      </c>
      <c r="BA412" s="32">
        <f>IF(AW412=0,"",IF(AZ412="","",AZ412+ROW()/1000000))</f>
        <v>0</v>
      </c>
      <c r="BB412" s="17">
        <f>IF(Lists!$AL412="","",Lists!$AL412)</f>
        <v>0</v>
      </c>
      <c r="BC412" s="23">
        <f>IF(BB412="","",COUNTIF(Performance!$M$5:$M$404,BB412))</f>
        <v>0</v>
      </c>
      <c r="BD412" s="23">
        <f>IF(BB412="","",SUMIFS(Performance!$O$5:$O$404,Performance!$M$5:$M$404,BB412))</f>
        <v>0</v>
      </c>
      <c r="BE412" s="23">
        <f>IF(BB412="","",SUMIFS(Performance!$Z$5:$Z$404,Performance!$M$5:$M$404,BB412))</f>
        <v>0</v>
      </c>
      <c r="BF412" s="24">
        <f>IF(OR(BD412="",BD412=0),"",BE412/BD412)</f>
        <v>0</v>
      </c>
      <c r="BG412" s="32">
        <f>IF(BC412=0,"",IF(BF412="","",BF412+ROW()/1000000))</f>
        <v>0</v>
      </c>
      <c r="BH412" s="17">
        <f>IF(Performance!$C$412="","",Performance!$C$412)</f>
        <v>0</v>
      </c>
      <c r="BI412" s="17">
        <f>IF(Performance!$F$412="","",Performance!$F$412)</f>
        <v>0</v>
      </c>
      <c r="BJ412" s="17">
        <f>IF(Performance!$H$412="","",Performance!$H$412)</f>
        <v>0</v>
      </c>
      <c r="BK412" s="16">
        <f>IF(Performance!$D$412="","",Performance!$D$412)</f>
        <v>0</v>
      </c>
      <c r="BL412" s="17">
        <f>IF(Performance!$E$412="","",Performance!$E$412)</f>
        <v>0</v>
      </c>
      <c r="BM412" s="23">
        <f>IF(Performance!$O$412="","",Performance!$O$412)</f>
        <v>0</v>
      </c>
      <c r="BN412" s="24">
        <f>IF(Performance!$AA$412="","",Performance!$AA$412)</f>
        <v>0</v>
      </c>
      <c r="BO412" s="32">
        <f>IF(BH412="","",IF(BK412="","",IF(OR(BK412&lt;DashStart,BK412&gt;DashEnd),"",IF(BN412="","",BN412+ROW()/1000000))))</f>
        <v>0</v>
      </c>
      <c r="BP412" s="32">
        <f>IF(BM412="","",IF(BK412="","",IF(OR(BK412&lt;DashStart,BK412&gt;DashEnd),"",BM412+ROW()/1000000)))</f>
        <v>0</v>
      </c>
      <c r="BQ412" s="32">
        <f>IF(BH412="","",IF(BK412="","",IF(YEAR(BK412)&lt;&gt;PlanYear,"",IF(BN412="","",BN412+ROW()/1000000))))</f>
        <v>0</v>
      </c>
      <c r="BR412" s="32">
        <f>IF(BH412="","",IF(BK412="","",IF(OR(BK412&lt;RepFrom,BK412&gt;RepTo),"",IF(BN412="","",BN412+ROW()/1000000))))</f>
        <v>0</v>
      </c>
      <c r="BS412" s="32">
        <f>IF(BM412="","",IF(BK412="","",IF(YEAR(BK412)&lt;&gt;PlanYear,"",BM412+ROW()/1000000)))</f>
        <v>0</v>
      </c>
      <c r="BT412" s="17">
        <f>IF(Lists!$F412="","",Lists!$F412)</f>
        <v>0</v>
      </c>
      <c r="BU412" s="23">
        <f>IF(BT412="","",COUNTIF('Content Calendar'!$X$5:$X$604,BT412))</f>
        <v>0</v>
      </c>
      <c r="BV412" s="23">
        <f>IF(BT412="","",COUNTIFS('Content Calendar'!$X$5:$X$604,BT412,'Content Calendar'!$B$5:$B$604,"&gt;="&amp;DashStart,'Content Calendar'!$B$5:$B$604,"&lt;="&amp;DashEnd))</f>
        <v>0</v>
      </c>
      <c r="BW412" s="17">
        <f>IF(Team!$B$412="","",Team!$B$412)</f>
        <v>0</v>
      </c>
      <c r="BX412" s="23">
        <f>IF(BW412="","",COUNTIF('Content Calendar'!$W$5:$W$604,BW412))</f>
        <v>0</v>
      </c>
      <c r="BY412" s="23">
        <f>IF(BW412="","",COUNTIFS('Content Calendar'!$W$5:$W$604,BW412,'Content Calendar'!$X$5:$X$604,"&lt;&gt;Published"))</f>
        <v>0</v>
      </c>
      <c r="BZ412" s="23">
        <f>IF(BW412="","",COUNTIFS(Tasks!$C$5:$C$64,BW412,Tasks!$G$5:$G$64,"&lt;&gt;Complete"))</f>
        <v>0</v>
      </c>
      <c r="CA412" s="17">
        <f>IF(Campaigns!$B$412="","",Campaigns!$B$412)</f>
        <v>0</v>
      </c>
      <c r="CB412" s="25">
        <f>IF(Campaigns!$T$412="","",Campaigns!$T$412)</f>
        <v>0</v>
      </c>
      <c r="CC412" s="25">
        <f>IF(Campaigns!$Q$412="","",Campaigns!$Q$412)</f>
        <v>0</v>
      </c>
      <c r="CD412" s="23">
        <f>IF(Campaigns!$Y$412="","",Campaigns!$Y$412)</f>
        <v>0</v>
      </c>
      <c r="CE412" s="32">
        <f>IF(CA412="","",IF(N(CB412)&lt;=0,"",N(CB412)+ROW()/1000000))</f>
        <v>0</v>
      </c>
      <c r="CF412" s="17">
        <f>IF(Accounts!$C$412="","",Accounts!$C$412)</f>
        <v>0</v>
      </c>
      <c r="CG412" s="17">
        <f>IF(Accounts!$B$412="","",Accounts!$B$412)</f>
        <v>0</v>
      </c>
      <c r="CH412" s="23">
        <f>IF(Accounts!$J$412="","",Accounts!$J$412)</f>
        <v>0</v>
      </c>
      <c r="CI412" s="23">
        <f>IF(CF412="","",SUMIFS(Analytics!$X$5:$X$154,Analytics!$E$5:$E$154,CF412,Analytics!$B$5:$B$154,"&gt;="&amp;DashStart,Analytics!$B$5:$B$154,"&lt;="&amp;DashEnd))</f>
        <v>0</v>
      </c>
      <c r="CJ412" s="32">
        <f>IF(CH412="","",IF(CH412=0,"",CH412+ROW()/1000000))</f>
        <v>0</v>
      </c>
    </row>
    <row r="413" spans="1:88">
      <c r="A413" s="16">
        <f>IF(ROW()-4&gt;12,"",DATE(PlanYear,ROW()-4,1))</f>
        <v>0</v>
      </c>
      <c r="B413" s="16">
        <f>IF(A413="","",EOMONTH(A413,0))</f>
        <v>0</v>
      </c>
      <c r="C413" s="17">
        <f>IF(A413="","",TEXT(A413,"yyyy-mm"))</f>
        <v>0</v>
      </c>
      <c r="D413" s="17">
        <f>IF(A413="","",TEXT(A413,"mmm"))</f>
        <v>0</v>
      </c>
      <c r="E413" s="23">
        <f>IF(C413="","",COUNTIFS('Content Calendar'!$D$5:$D$604,C413))</f>
        <v>0</v>
      </c>
      <c r="F413" s="23">
        <f>IF(C413="","",COUNTIFS('Content Calendar'!$D$5:$D$604,C413,'Content Calendar'!$X$5:$X$604,"Published"))</f>
        <v>0</v>
      </c>
      <c r="G413" s="23">
        <f>IF(C413="","",SUMIFS(Analytics!$J$5:$J$154,Analytics!$C$5:$C$154,C413))</f>
        <v>0</v>
      </c>
      <c r="H413" s="23">
        <f>IF(C413="","",SUMIFS(Analytics!$K$5:$K$154,Analytics!$C$5:$C$154,C413))</f>
        <v>0</v>
      </c>
      <c r="I413" s="23">
        <f>IF(C413="","",SUMIFS(Analytics!$L$5:$L$154,Analytics!$C$5:$C$154,C413))</f>
        <v>0</v>
      </c>
      <c r="J413" s="24">
        <f>IF(OR(G413="",G413=0),"",I413/G413)</f>
        <v>0</v>
      </c>
      <c r="K413" s="23">
        <f>IF(C413="","",SUMIFS(Analytics!$G$5:$G$154,Analytics!$C$5:$C$154,C413))</f>
        <v>0</v>
      </c>
      <c r="L413" s="23">
        <f>IF(C413="","",SUMIFS(Analytics!$X$5:$X$154,Analytics!$C$5:$C$154,C413))</f>
        <v>0</v>
      </c>
      <c r="M413" s="23">
        <f>IF(C413="","",SUMIFS(Analytics!$R$5:$R$154,Analytics!$C$5:$C$154,C413))</f>
        <v>0</v>
      </c>
      <c r="N413" s="23">
        <f>IF(C413="","",SUMIFS(Analytics!$S$5:$S$154,Analytics!$C$5:$C$154,C413))</f>
        <v>0</v>
      </c>
      <c r="O413" s="23">
        <f>IF(C413="","",SUMIFS(Analytics!$T$5:$T$154,Analytics!$C$5:$C$154,C413))</f>
        <v>0</v>
      </c>
      <c r="P413" s="25">
        <f>IF(C413="","",SUMIFS(Analytics!$U$5:$U$154,Analytics!$C$5:$C$154,C413))</f>
        <v>0</v>
      </c>
      <c r="Q413" s="25">
        <f>IF(C413="","",SUMIFS(Budget!$H$5:$H$64,Budget!$C$5:$C$64,C413))</f>
        <v>0</v>
      </c>
      <c r="R413" s="25">
        <f>IF(C413="","",P413-Q413)</f>
        <v>0</v>
      </c>
      <c r="S413" s="23">
        <f>IF(C413="","",MonthlyPostTarget)</f>
        <v>0</v>
      </c>
      <c r="T413" s="17">
        <f>IF(Lists!$C413="","",Lists!$C413)</f>
        <v>0</v>
      </c>
      <c r="U413" s="23">
        <f>IF(T413="","",COUNTIFS('Content Calendar'!$G$5:$G$604,T413,'Content Calendar'!$B$5:$B$604,"&gt;="&amp;DashStart,'Content Calendar'!$B$5:$B$604,"&lt;="&amp;DashEnd))</f>
        <v>0</v>
      </c>
      <c r="V413" s="23">
        <f>IF(T413="","",COUNTIFS('Content Calendar'!$G$5:$G$604,T413,'Content Calendar'!$X$5:$X$604,"Published",'Content Calendar'!$B$5:$B$604,"&gt;="&amp;DashStart,'Content Calendar'!$B$5:$B$604,"&lt;="&amp;DashEnd))</f>
        <v>0</v>
      </c>
      <c r="W413" s="23">
        <f>IF(T413="","",SUMIFS(Analytics!$J$5:$J$154,Analytics!$D$5:$D$154,T413,Analytics!$B$5:$B$154,"&gt;="&amp;DashStart,Analytics!$B$5:$B$154,"&lt;="&amp;DashEnd))</f>
        <v>0</v>
      </c>
      <c r="X413" s="23">
        <f>IF(T413="","",SUMIFS(Analytics!$L$5:$L$154,Analytics!$D$5:$D$154,T413,Analytics!$B$5:$B$154,"&gt;="&amp;DashStart,Analytics!$B$5:$B$154,"&lt;="&amp;DashEnd))</f>
        <v>0</v>
      </c>
      <c r="Y413" s="24">
        <f>IF(OR(W413="",W413=0),"",X413/W413)</f>
        <v>0</v>
      </c>
      <c r="Z413" s="23">
        <f>IF(T413="","",SUMIFS(Analytics!$G$5:$G$154,Analytics!$D$5:$D$154,T413,Analytics!$B$5:$B$154,"&gt;="&amp;DashStart,Analytics!$B$5:$B$154,"&lt;="&amp;DashEnd))</f>
        <v>0</v>
      </c>
      <c r="AA413" s="23">
        <f>IF(T413="","",SUMIFS(Analytics!$X$5:$X$154,Analytics!$D$5:$D$154,T413,Analytics!$B$5:$B$154,"&gt;="&amp;DashStart,Analytics!$B$5:$B$154,"&lt;="&amp;DashEnd))</f>
        <v>0</v>
      </c>
      <c r="AB413" s="23">
        <f>IF(T413="","",SUMIFS(Analytics!$R$5:$R$154,Analytics!$D$5:$D$154,T413,Analytics!$B$5:$B$154,"&gt;="&amp;DashStart,Analytics!$B$5:$B$154,"&lt;="&amp;DashEnd))</f>
        <v>0</v>
      </c>
      <c r="AC413" s="25">
        <f>IF(T413="","",SUMIFS(Analytics!$U$5:$U$154,Analytics!$D$5:$D$154,T413,Analytics!$B$5:$B$154,"&gt;="&amp;DashStart,Analytics!$B$5:$B$154,"&lt;="&amp;DashEnd))</f>
        <v>0</v>
      </c>
      <c r="AD413" s="23">
        <f>IF(T413="","",COUNTIFS('Content Calendar'!$G$5:$G$604,T413,'Content Calendar'!$B$5:$B$604,"&gt;="&amp;DATE(PlanYear,1,1),'Content Calendar'!$B$5:$B$604,"&lt;="&amp;DATE(PlanYear,12,31)))</f>
        <v>0</v>
      </c>
      <c r="AE413" s="23">
        <f>IF(T413="","",SUMIFS(Analytics!$J$5:$J$154,Analytics!$D$5:$D$154,T413))</f>
        <v>0</v>
      </c>
      <c r="AF413" s="23">
        <f>IF(T413="","",SUMIFS(Analytics!$L$5:$L$154,Analytics!$D$5:$D$154,T413))</f>
        <v>0</v>
      </c>
      <c r="AG413" s="24">
        <f>IF(OR(AE413="",AE413=0),"",AF413/AE413)</f>
        <v>0</v>
      </c>
      <c r="AH413" s="23">
        <f>IF(T413="","",SUMIFS(Analytics!$X$5:$X$154,Analytics!$D$5:$D$154,T413))</f>
        <v>0</v>
      </c>
      <c r="AI413" s="32">
        <f>IF(T413="","",IF(AE413=0,"",AE413+ROW()/1000000))</f>
        <v>0</v>
      </c>
      <c r="AJ413" s="17">
        <f>IF('Content Pillars'!$B$413="","",'Content Pillars'!$B$413)</f>
        <v>0</v>
      </c>
      <c r="AK413" s="23">
        <f>IF(AJ413="","",COUNTIFS('Content Calendar'!$J$5:$J$604,AJ413,'Content Calendar'!$B$5:$B$604,"&gt;="&amp;DATE(PlanYear,1,1),'Content Calendar'!$B$5:$B$604,"&lt;="&amp;DATE(PlanYear,12,31)))</f>
        <v>0</v>
      </c>
      <c r="AL413" s="23">
        <f>IF(AJ413="","",SUMIFS(Performance!$O$5:$O$404,Performance!$H$5:$H$404,AJ413))</f>
        <v>0</v>
      </c>
      <c r="AM413" s="23">
        <f>IF(AJ413="","",SUMIFS(Performance!$Z$5:$Z$404,Performance!$H$5:$H$404,AJ413))</f>
        <v>0</v>
      </c>
      <c r="AN413" s="24">
        <f>IF(OR(AL413="",AL413=0),"",AM413/AL413)</f>
        <v>0</v>
      </c>
      <c r="AO413" s="32">
        <f>IF(AN413="","",AN413+ROW()/1000000)</f>
        <v>0</v>
      </c>
      <c r="AP413" s="17">
        <f>IF(Lists!$E413="","",Lists!$E413)</f>
        <v>0</v>
      </c>
      <c r="AQ413" s="23">
        <f>IF(AP413="","",COUNTIF(Performance!$G$5:$G$404,AP413))</f>
        <v>0</v>
      </c>
      <c r="AR413" s="23">
        <f>IF(AP413="","",SUMIFS(Performance!$O$5:$O$404,Performance!$G$5:$G$404,AP413))</f>
        <v>0</v>
      </c>
      <c r="AS413" s="23">
        <f>IF(AP413="","",SUMIFS(Performance!$Z$5:$Z$404,Performance!$G$5:$G$404,AP413))</f>
        <v>0</v>
      </c>
      <c r="AT413" s="24">
        <f>IF(OR(AR413="",AR413=0),"",AS413/AR413)</f>
        <v>0</v>
      </c>
      <c r="AU413" s="32">
        <f>IF(AQ413=0,"",IF(AT413="","",AT413+ROW()/1000000))</f>
        <v>0</v>
      </c>
      <c r="AV413" s="17">
        <f>IF(ROW()-4&gt;7,"",TEXT(DATE(2024,1,ROW()-4),"ddd"))</f>
        <v>0</v>
      </c>
      <c r="AW413" s="23">
        <f>IF(AV413="","",COUNTIF(Performance!$N$5:$N$404,AV413))</f>
        <v>0</v>
      </c>
      <c r="AX413" s="23">
        <f>IF(AV413="","",SUMIFS(Performance!$O$5:$O$404,Performance!$N$5:$N$404,AV413))</f>
        <v>0</v>
      </c>
      <c r="AY413" s="23">
        <f>IF(AV413="","",SUMIFS(Performance!$Z$5:$Z$404,Performance!$N$5:$N$404,AV413))</f>
        <v>0</v>
      </c>
      <c r="AZ413" s="24">
        <f>IF(OR(AX413="",AX413=0),"",AY413/AX413)</f>
        <v>0</v>
      </c>
      <c r="BA413" s="32">
        <f>IF(AW413=0,"",IF(AZ413="","",AZ413+ROW()/1000000))</f>
        <v>0</v>
      </c>
      <c r="BB413" s="17">
        <f>IF(Lists!$AL413="","",Lists!$AL413)</f>
        <v>0</v>
      </c>
      <c r="BC413" s="23">
        <f>IF(BB413="","",COUNTIF(Performance!$M$5:$M$404,BB413))</f>
        <v>0</v>
      </c>
      <c r="BD413" s="23">
        <f>IF(BB413="","",SUMIFS(Performance!$O$5:$O$404,Performance!$M$5:$M$404,BB413))</f>
        <v>0</v>
      </c>
      <c r="BE413" s="23">
        <f>IF(BB413="","",SUMIFS(Performance!$Z$5:$Z$404,Performance!$M$5:$M$404,BB413))</f>
        <v>0</v>
      </c>
      <c r="BF413" s="24">
        <f>IF(OR(BD413="",BD413=0),"",BE413/BD413)</f>
        <v>0</v>
      </c>
      <c r="BG413" s="32">
        <f>IF(BC413=0,"",IF(BF413="","",BF413+ROW()/1000000))</f>
        <v>0</v>
      </c>
      <c r="BH413" s="17">
        <f>IF(Performance!$C$413="","",Performance!$C$413)</f>
        <v>0</v>
      </c>
      <c r="BI413" s="17">
        <f>IF(Performance!$F$413="","",Performance!$F$413)</f>
        <v>0</v>
      </c>
      <c r="BJ413" s="17">
        <f>IF(Performance!$H$413="","",Performance!$H$413)</f>
        <v>0</v>
      </c>
      <c r="BK413" s="16">
        <f>IF(Performance!$D$413="","",Performance!$D$413)</f>
        <v>0</v>
      </c>
      <c r="BL413" s="17">
        <f>IF(Performance!$E$413="","",Performance!$E$413)</f>
        <v>0</v>
      </c>
      <c r="BM413" s="23">
        <f>IF(Performance!$O$413="","",Performance!$O$413)</f>
        <v>0</v>
      </c>
      <c r="BN413" s="24">
        <f>IF(Performance!$AA$413="","",Performance!$AA$413)</f>
        <v>0</v>
      </c>
      <c r="BO413" s="32">
        <f>IF(BH413="","",IF(BK413="","",IF(OR(BK413&lt;DashStart,BK413&gt;DashEnd),"",IF(BN413="","",BN413+ROW()/1000000))))</f>
        <v>0</v>
      </c>
      <c r="BP413" s="32">
        <f>IF(BM413="","",IF(BK413="","",IF(OR(BK413&lt;DashStart,BK413&gt;DashEnd),"",BM413+ROW()/1000000)))</f>
        <v>0</v>
      </c>
      <c r="BQ413" s="32">
        <f>IF(BH413="","",IF(BK413="","",IF(YEAR(BK413)&lt;&gt;PlanYear,"",IF(BN413="","",BN413+ROW()/1000000))))</f>
        <v>0</v>
      </c>
      <c r="BR413" s="32">
        <f>IF(BH413="","",IF(BK413="","",IF(OR(BK413&lt;RepFrom,BK413&gt;RepTo),"",IF(BN413="","",BN413+ROW()/1000000))))</f>
        <v>0</v>
      </c>
      <c r="BS413" s="32">
        <f>IF(BM413="","",IF(BK413="","",IF(YEAR(BK413)&lt;&gt;PlanYear,"",BM413+ROW()/1000000)))</f>
        <v>0</v>
      </c>
      <c r="BT413" s="17">
        <f>IF(Lists!$F413="","",Lists!$F413)</f>
        <v>0</v>
      </c>
      <c r="BU413" s="23">
        <f>IF(BT413="","",COUNTIF('Content Calendar'!$X$5:$X$604,BT413))</f>
        <v>0</v>
      </c>
      <c r="BV413" s="23">
        <f>IF(BT413="","",COUNTIFS('Content Calendar'!$X$5:$X$604,BT413,'Content Calendar'!$B$5:$B$604,"&gt;="&amp;DashStart,'Content Calendar'!$B$5:$B$604,"&lt;="&amp;DashEnd))</f>
        <v>0</v>
      </c>
      <c r="BW413" s="17">
        <f>IF(Team!$B$413="","",Team!$B$413)</f>
        <v>0</v>
      </c>
      <c r="BX413" s="23">
        <f>IF(BW413="","",COUNTIF('Content Calendar'!$W$5:$W$604,BW413))</f>
        <v>0</v>
      </c>
      <c r="BY413" s="23">
        <f>IF(BW413="","",COUNTIFS('Content Calendar'!$W$5:$W$604,BW413,'Content Calendar'!$X$5:$X$604,"&lt;&gt;Published"))</f>
        <v>0</v>
      </c>
      <c r="BZ413" s="23">
        <f>IF(BW413="","",COUNTIFS(Tasks!$C$5:$C$64,BW413,Tasks!$G$5:$G$64,"&lt;&gt;Complete"))</f>
        <v>0</v>
      </c>
      <c r="CA413" s="17">
        <f>IF(Campaigns!$B$413="","",Campaigns!$B$413)</f>
        <v>0</v>
      </c>
      <c r="CB413" s="25">
        <f>IF(Campaigns!$T$413="","",Campaigns!$T$413)</f>
        <v>0</v>
      </c>
      <c r="CC413" s="25">
        <f>IF(Campaigns!$Q$413="","",Campaigns!$Q$413)</f>
        <v>0</v>
      </c>
      <c r="CD413" s="23">
        <f>IF(Campaigns!$Y$413="","",Campaigns!$Y$413)</f>
        <v>0</v>
      </c>
      <c r="CE413" s="32">
        <f>IF(CA413="","",IF(N(CB413)&lt;=0,"",N(CB413)+ROW()/1000000))</f>
        <v>0</v>
      </c>
      <c r="CF413" s="17">
        <f>IF(Accounts!$C$413="","",Accounts!$C$413)</f>
        <v>0</v>
      </c>
      <c r="CG413" s="17">
        <f>IF(Accounts!$B$413="","",Accounts!$B$413)</f>
        <v>0</v>
      </c>
      <c r="CH413" s="23">
        <f>IF(Accounts!$J$413="","",Accounts!$J$413)</f>
        <v>0</v>
      </c>
      <c r="CI413" s="23">
        <f>IF(CF413="","",SUMIFS(Analytics!$X$5:$X$154,Analytics!$E$5:$E$154,CF413,Analytics!$B$5:$B$154,"&gt;="&amp;DashStart,Analytics!$B$5:$B$154,"&lt;="&amp;DashEnd))</f>
        <v>0</v>
      </c>
      <c r="CJ413" s="32">
        <f>IF(CH413="","",IF(CH413=0,"",CH413+ROW()/1000000))</f>
        <v>0</v>
      </c>
    </row>
    <row r="414" spans="1:88">
      <c r="A414" s="16">
        <f>IF(ROW()-4&gt;12,"",DATE(PlanYear,ROW()-4,1))</f>
        <v>0</v>
      </c>
      <c r="B414" s="16">
        <f>IF(A414="","",EOMONTH(A414,0))</f>
        <v>0</v>
      </c>
      <c r="C414" s="17">
        <f>IF(A414="","",TEXT(A414,"yyyy-mm"))</f>
        <v>0</v>
      </c>
      <c r="D414" s="17">
        <f>IF(A414="","",TEXT(A414,"mmm"))</f>
        <v>0</v>
      </c>
      <c r="E414" s="23">
        <f>IF(C414="","",COUNTIFS('Content Calendar'!$D$5:$D$604,C414))</f>
        <v>0</v>
      </c>
      <c r="F414" s="23">
        <f>IF(C414="","",COUNTIFS('Content Calendar'!$D$5:$D$604,C414,'Content Calendar'!$X$5:$X$604,"Published"))</f>
        <v>0</v>
      </c>
      <c r="G414" s="23">
        <f>IF(C414="","",SUMIFS(Analytics!$J$5:$J$154,Analytics!$C$5:$C$154,C414))</f>
        <v>0</v>
      </c>
      <c r="H414" s="23">
        <f>IF(C414="","",SUMIFS(Analytics!$K$5:$K$154,Analytics!$C$5:$C$154,C414))</f>
        <v>0</v>
      </c>
      <c r="I414" s="23">
        <f>IF(C414="","",SUMIFS(Analytics!$L$5:$L$154,Analytics!$C$5:$C$154,C414))</f>
        <v>0</v>
      </c>
      <c r="J414" s="24">
        <f>IF(OR(G414="",G414=0),"",I414/G414)</f>
        <v>0</v>
      </c>
      <c r="K414" s="23">
        <f>IF(C414="","",SUMIFS(Analytics!$G$5:$G$154,Analytics!$C$5:$C$154,C414))</f>
        <v>0</v>
      </c>
      <c r="L414" s="23">
        <f>IF(C414="","",SUMIFS(Analytics!$X$5:$X$154,Analytics!$C$5:$C$154,C414))</f>
        <v>0</v>
      </c>
      <c r="M414" s="23">
        <f>IF(C414="","",SUMIFS(Analytics!$R$5:$R$154,Analytics!$C$5:$C$154,C414))</f>
        <v>0</v>
      </c>
      <c r="N414" s="23">
        <f>IF(C414="","",SUMIFS(Analytics!$S$5:$S$154,Analytics!$C$5:$C$154,C414))</f>
        <v>0</v>
      </c>
      <c r="O414" s="23">
        <f>IF(C414="","",SUMIFS(Analytics!$T$5:$T$154,Analytics!$C$5:$C$154,C414))</f>
        <v>0</v>
      </c>
      <c r="P414" s="25">
        <f>IF(C414="","",SUMIFS(Analytics!$U$5:$U$154,Analytics!$C$5:$C$154,C414))</f>
        <v>0</v>
      </c>
      <c r="Q414" s="25">
        <f>IF(C414="","",SUMIFS(Budget!$H$5:$H$64,Budget!$C$5:$C$64,C414))</f>
        <v>0</v>
      </c>
      <c r="R414" s="25">
        <f>IF(C414="","",P414-Q414)</f>
        <v>0</v>
      </c>
      <c r="S414" s="23">
        <f>IF(C414="","",MonthlyPostTarget)</f>
        <v>0</v>
      </c>
      <c r="T414" s="17">
        <f>IF(Lists!$C414="","",Lists!$C414)</f>
        <v>0</v>
      </c>
      <c r="U414" s="23">
        <f>IF(T414="","",COUNTIFS('Content Calendar'!$G$5:$G$604,T414,'Content Calendar'!$B$5:$B$604,"&gt;="&amp;DashStart,'Content Calendar'!$B$5:$B$604,"&lt;="&amp;DashEnd))</f>
        <v>0</v>
      </c>
      <c r="V414" s="23">
        <f>IF(T414="","",COUNTIFS('Content Calendar'!$G$5:$G$604,T414,'Content Calendar'!$X$5:$X$604,"Published",'Content Calendar'!$B$5:$B$604,"&gt;="&amp;DashStart,'Content Calendar'!$B$5:$B$604,"&lt;="&amp;DashEnd))</f>
        <v>0</v>
      </c>
      <c r="W414" s="23">
        <f>IF(T414="","",SUMIFS(Analytics!$J$5:$J$154,Analytics!$D$5:$D$154,T414,Analytics!$B$5:$B$154,"&gt;="&amp;DashStart,Analytics!$B$5:$B$154,"&lt;="&amp;DashEnd))</f>
        <v>0</v>
      </c>
      <c r="X414" s="23">
        <f>IF(T414="","",SUMIFS(Analytics!$L$5:$L$154,Analytics!$D$5:$D$154,T414,Analytics!$B$5:$B$154,"&gt;="&amp;DashStart,Analytics!$B$5:$B$154,"&lt;="&amp;DashEnd))</f>
        <v>0</v>
      </c>
      <c r="Y414" s="24">
        <f>IF(OR(W414="",W414=0),"",X414/W414)</f>
        <v>0</v>
      </c>
      <c r="Z414" s="23">
        <f>IF(T414="","",SUMIFS(Analytics!$G$5:$G$154,Analytics!$D$5:$D$154,T414,Analytics!$B$5:$B$154,"&gt;="&amp;DashStart,Analytics!$B$5:$B$154,"&lt;="&amp;DashEnd))</f>
        <v>0</v>
      </c>
      <c r="AA414" s="23">
        <f>IF(T414="","",SUMIFS(Analytics!$X$5:$X$154,Analytics!$D$5:$D$154,T414,Analytics!$B$5:$B$154,"&gt;="&amp;DashStart,Analytics!$B$5:$B$154,"&lt;="&amp;DashEnd))</f>
        <v>0</v>
      </c>
      <c r="AB414" s="23">
        <f>IF(T414="","",SUMIFS(Analytics!$R$5:$R$154,Analytics!$D$5:$D$154,T414,Analytics!$B$5:$B$154,"&gt;="&amp;DashStart,Analytics!$B$5:$B$154,"&lt;="&amp;DashEnd))</f>
        <v>0</v>
      </c>
      <c r="AC414" s="25">
        <f>IF(T414="","",SUMIFS(Analytics!$U$5:$U$154,Analytics!$D$5:$D$154,T414,Analytics!$B$5:$B$154,"&gt;="&amp;DashStart,Analytics!$B$5:$B$154,"&lt;="&amp;DashEnd))</f>
        <v>0</v>
      </c>
      <c r="AD414" s="23">
        <f>IF(T414="","",COUNTIFS('Content Calendar'!$G$5:$G$604,T414,'Content Calendar'!$B$5:$B$604,"&gt;="&amp;DATE(PlanYear,1,1),'Content Calendar'!$B$5:$B$604,"&lt;="&amp;DATE(PlanYear,12,31)))</f>
        <v>0</v>
      </c>
      <c r="AE414" s="23">
        <f>IF(T414="","",SUMIFS(Analytics!$J$5:$J$154,Analytics!$D$5:$D$154,T414))</f>
        <v>0</v>
      </c>
      <c r="AF414" s="23">
        <f>IF(T414="","",SUMIFS(Analytics!$L$5:$L$154,Analytics!$D$5:$D$154,T414))</f>
        <v>0</v>
      </c>
      <c r="AG414" s="24">
        <f>IF(OR(AE414="",AE414=0),"",AF414/AE414)</f>
        <v>0</v>
      </c>
      <c r="AH414" s="23">
        <f>IF(T414="","",SUMIFS(Analytics!$X$5:$X$154,Analytics!$D$5:$D$154,T414))</f>
        <v>0</v>
      </c>
      <c r="AI414" s="32">
        <f>IF(T414="","",IF(AE414=0,"",AE414+ROW()/1000000))</f>
        <v>0</v>
      </c>
      <c r="AJ414" s="17">
        <f>IF('Content Pillars'!$B$414="","",'Content Pillars'!$B$414)</f>
        <v>0</v>
      </c>
      <c r="AK414" s="23">
        <f>IF(AJ414="","",COUNTIFS('Content Calendar'!$J$5:$J$604,AJ414,'Content Calendar'!$B$5:$B$604,"&gt;="&amp;DATE(PlanYear,1,1),'Content Calendar'!$B$5:$B$604,"&lt;="&amp;DATE(PlanYear,12,31)))</f>
        <v>0</v>
      </c>
      <c r="AL414" s="23">
        <f>IF(AJ414="","",SUMIFS(Performance!$O$5:$O$404,Performance!$H$5:$H$404,AJ414))</f>
        <v>0</v>
      </c>
      <c r="AM414" s="23">
        <f>IF(AJ414="","",SUMIFS(Performance!$Z$5:$Z$404,Performance!$H$5:$H$404,AJ414))</f>
        <v>0</v>
      </c>
      <c r="AN414" s="24">
        <f>IF(OR(AL414="",AL414=0),"",AM414/AL414)</f>
        <v>0</v>
      </c>
      <c r="AO414" s="32">
        <f>IF(AN414="","",AN414+ROW()/1000000)</f>
        <v>0</v>
      </c>
      <c r="AP414" s="17">
        <f>IF(Lists!$E414="","",Lists!$E414)</f>
        <v>0</v>
      </c>
      <c r="AQ414" s="23">
        <f>IF(AP414="","",COUNTIF(Performance!$G$5:$G$404,AP414))</f>
        <v>0</v>
      </c>
      <c r="AR414" s="23">
        <f>IF(AP414="","",SUMIFS(Performance!$O$5:$O$404,Performance!$G$5:$G$404,AP414))</f>
        <v>0</v>
      </c>
      <c r="AS414" s="23">
        <f>IF(AP414="","",SUMIFS(Performance!$Z$5:$Z$404,Performance!$G$5:$G$404,AP414))</f>
        <v>0</v>
      </c>
      <c r="AT414" s="24">
        <f>IF(OR(AR414="",AR414=0),"",AS414/AR414)</f>
        <v>0</v>
      </c>
      <c r="AU414" s="32">
        <f>IF(AQ414=0,"",IF(AT414="","",AT414+ROW()/1000000))</f>
        <v>0</v>
      </c>
      <c r="AV414" s="17">
        <f>IF(ROW()-4&gt;7,"",TEXT(DATE(2024,1,ROW()-4),"ddd"))</f>
        <v>0</v>
      </c>
      <c r="AW414" s="23">
        <f>IF(AV414="","",COUNTIF(Performance!$N$5:$N$404,AV414))</f>
        <v>0</v>
      </c>
      <c r="AX414" s="23">
        <f>IF(AV414="","",SUMIFS(Performance!$O$5:$O$404,Performance!$N$5:$N$404,AV414))</f>
        <v>0</v>
      </c>
      <c r="AY414" s="23">
        <f>IF(AV414="","",SUMIFS(Performance!$Z$5:$Z$404,Performance!$N$5:$N$404,AV414))</f>
        <v>0</v>
      </c>
      <c r="AZ414" s="24">
        <f>IF(OR(AX414="",AX414=0),"",AY414/AX414)</f>
        <v>0</v>
      </c>
      <c r="BA414" s="32">
        <f>IF(AW414=0,"",IF(AZ414="","",AZ414+ROW()/1000000))</f>
        <v>0</v>
      </c>
      <c r="BB414" s="17">
        <f>IF(Lists!$AL414="","",Lists!$AL414)</f>
        <v>0</v>
      </c>
      <c r="BC414" s="23">
        <f>IF(BB414="","",COUNTIF(Performance!$M$5:$M$404,BB414))</f>
        <v>0</v>
      </c>
      <c r="BD414" s="23">
        <f>IF(BB414="","",SUMIFS(Performance!$O$5:$O$404,Performance!$M$5:$M$404,BB414))</f>
        <v>0</v>
      </c>
      <c r="BE414" s="23">
        <f>IF(BB414="","",SUMIFS(Performance!$Z$5:$Z$404,Performance!$M$5:$M$404,BB414))</f>
        <v>0</v>
      </c>
      <c r="BF414" s="24">
        <f>IF(OR(BD414="",BD414=0),"",BE414/BD414)</f>
        <v>0</v>
      </c>
      <c r="BG414" s="32">
        <f>IF(BC414=0,"",IF(BF414="","",BF414+ROW()/1000000))</f>
        <v>0</v>
      </c>
      <c r="BH414" s="17">
        <f>IF(Performance!$C$414="","",Performance!$C$414)</f>
        <v>0</v>
      </c>
      <c r="BI414" s="17">
        <f>IF(Performance!$F$414="","",Performance!$F$414)</f>
        <v>0</v>
      </c>
      <c r="BJ414" s="17">
        <f>IF(Performance!$H$414="","",Performance!$H$414)</f>
        <v>0</v>
      </c>
      <c r="BK414" s="16">
        <f>IF(Performance!$D$414="","",Performance!$D$414)</f>
        <v>0</v>
      </c>
      <c r="BL414" s="17">
        <f>IF(Performance!$E$414="","",Performance!$E$414)</f>
        <v>0</v>
      </c>
      <c r="BM414" s="23">
        <f>IF(Performance!$O$414="","",Performance!$O$414)</f>
        <v>0</v>
      </c>
      <c r="BN414" s="24">
        <f>IF(Performance!$AA$414="","",Performance!$AA$414)</f>
        <v>0</v>
      </c>
      <c r="BO414" s="32">
        <f>IF(BH414="","",IF(BK414="","",IF(OR(BK414&lt;DashStart,BK414&gt;DashEnd),"",IF(BN414="","",BN414+ROW()/1000000))))</f>
        <v>0</v>
      </c>
      <c r="BP414" s="32">
        <f>IF(BM414="","",IF(BK414="","",IF(OR(BK414&lt;DashStart,BK414&gt;DashEnd),"",BM414+ROW()/1000000)))</f>
        <v>0</v>
      </c>
      <c r="BQ414" s="32">
        <f>IF(BH414="","",IF(BK414="","",IF(YEAR(BK414)&lt;&gt;PlanYear,"",IF(BN414="","",BN414+ROW()/1000000))))</f>
        <v>0</v>
      </c>
      <c r="BR414" s="32">
        <f>IF(BH414="","",IF(BK414="","",IF(OR(BK414&lt;RepFrom,BK414&gt;RepTo),"",IF(BN414="","",BN414+ROW()/1000000))))</f>
        <v>0</v>
      </c>
      <c r="BS414" s="32">
        <f>IF(BM414="","",IF(BK414="","",IF(YEAR(BK414)&lt;&gt;PlanYear,"",BM414+ROW()/1000000)))</f>
        <v>0</v>
      </c>
      <c r="BT414" s="17">
        <f>IF(Lists!$F414="","",Lists!$F414)</f>
        <v>0</v>
      </c>
      <c r="BU414" s="23">
        <f>IF(BT414="","",COUNTIF('Content Calendar'!$X$5:$X$604,BT414))</f>
        <v>0</v>
      </c>
      <c r="BV414" s="23">
        <f>IF(BT414="","",COUNTIFS('Content Calendar'!$X$5:$X$604,BT414,'Content Calendar'!$B$5:$B$604,"&gt;="&amp;DashStart,'Content Calendar'!$B$5:$B$604,"&lt;="&amp;DashEnd))</f>
        <v>0</v>
      </c>
      <c r="BW414" s="17">
        <f>IF(Team!$B$414="","",Team!$B$414)</f>
        <v>0</v>
      </c>
      <c r="BX414" s="23">
        <f>IF(BW414="","",COUNTIF('Content Calendar'!$W$5:$W$604,BW414))</f>
        <v>0</v>
      </c>
      <c r="BY414" s="23">
        <f>IF(BW414="","",COUNTIFS('Content Calendar'!$W$5:$W$604,BW414,'Content Calendar'!$X$5:$X$604,"&lt;&gt;Published"))</f>
        <v>0</v>
      </c>
      <c r="BZ414" s="23">
        <f>IF(BW414="","",COUNTIFS(Tasks!$C$5:$C$64,BW414,Tasks!$G$5:$G$64,"&lt;&gt;Complete"))</f>
        <v>0</v>
      </c>
      <c r="CA414" s="17">
        <f>IF(Campaigns!$B$414="","",Campaigns!$B$414)</f>
        <v>0</v>
      </c>
      <c r="CB414" s="25">
        <f>IF(Campaigns!$T$414="","",Campaigns!$T$414)</f>
        <v>0</v>
      </c>
      <c r="CC414" s="25">
        <f>IF(Campaigns!$Q$414="","",Campaigns!$Q$414)</f>
        <v>0</v>
      </c>
      <c r="CD414" s="23">
        <f>IF(Campaigns!$Y$414="","",Campaigns!$Y$414)</f>
        <v>0</v>
      </c>
      <c r="CE414" s="32">
        <f>IF(CA414="","",IF(N(CB414)&lt;=0,"",N(CB414)+ROW()/1000000))</f>
        <v>0</v>
      </c>
      <c r="CF414" s="17">
        <f>IF(Accounts!$C$414="","",Accounts!$C$414)</f>
        <v>0</v>
      </c>
      <c r="CG414" s="17">
        <f>IF(Accounts!$B$414="","",Accounts!$B$414)</f>
        <v>0</v>
      </c>
      <c r="CH414" s="23">
        <f>IF(Accounts!$J$414="","",Accounts!$J$414)</f>
        <v>0</v>
      </c>
      <c r="CI414" s="23">
        <f>IF(CF414="","",SUMIFS(Analytics!$X$5:$X$154,Analytics!$E$5:$E$154,CF414,Analytics!$B$5:$B$154,"&gt;="&amp;DashStart,Analytics!$B$5:$B$154,"&lt;="&amp;DashEnd))</f>
        <v>0</v>
      </c>
      <c r="CJ414" s="32">
        <f>IF(CH414="","",IF(CH414=0,"",CH414+ROW()/1000000))</f>
        <v>0</v>
      </c>
    </row>
    <row r="415" spans="1:88">
      <c r="A415" s="16">
        <f>IF(ROW()-4&gt;12,"",DATE(PlanYear,ROW()-4,1))</f>
        <v>0</v>
      </c>
      <c r="B415" s="16">
        <f>IF(A415="","",EOMONTH(A415,0))</f>
        <v>0</v>
      </c>
      <c r="C415" s="17">
        <f>IF(A415="","",TEXT(A415,"yyyy-mm"))</f>
        <v>0</v>
      </c>
      <c r="D415" s="17">
        <f>IF(A415="","",TEXT(A415,"mmm"))</f>
        <v>0</v>
      </c>
      <c r="E415" s="23">
        <f>IF(C415="","",COUNTIFS('Content Calendar'!$D$5:$D$604,C415))</f>
        <v>0</v>
      </c>
      <c r="F415" s="23">
        <f>IF(C415="","",COUNTIFS('Content Calendar'!$D$5:$D$604,C415,'Content Calendar'!$X$5:$X$604,"Published"))</f>
        <v>0</v>
      </c>
      <c r="G415" s="23">
        <f>IF(C415="","",SUMIFS(Analytics!$J$5:$J$154,Analytics!$C$5:$C$154,C415))</f>
        <v>0</v>
      </c>
      <c r="H415" s="23">
        <f>IF(C415="","",SUMIFS(Analytics!$K$5:$K$154,Analytics!$C$5:$C$154,C415))</f>
        <v>0</v>
      </c>
      <c r="I415" s="23">
        <f>IF(C415="","",SUMIFS(Analytics!$L$5:$L$154,Analytics!$C$5:$C$154,C415))</f>
        <v>0</v>
      </c>
      <c r="J415" s="24">
        <f>IF(OR(G415="",G415=0),"",I415/G415)</f>
        <v>0</v>
      </c>
      <c r="K415" s="23">
        <f>IF(C415="","",SUMIFS(Analytics!$G$5:$G$154,Analytics!$C$5:$C$154,C415))</f>
        <v>0</v>
      </c>
      <c r="L415" s="23">
        <f>IF(C415="","",SUMIFS(Analytics!$X$5:$X$154,Analytics!$C$5:$C$154,C415))</f>
        <v>0</v>
      </c>
      <c r="M415" s="23">
        <f>IF(C415="","",SUMIFS(Analytics!$R$5:$R$154,Analytics!$C$5:$C$154,C415))</f>
        <v>0</v>
      </c>
      <c r="N415" s="23">
        <f>IF(C415="","",SUMIFS(Analytics!$S$5:$S$154,Analytics!$C$5:$C$154,C415))</f>
        <v>0</v>
      </c>
      <c r="O415" s="23">
        <f>IF(C415="","",SUMIFS(Analytics!$T$5:$T$154,Analytics!$C$5:$C$154,C415))</f>
        <v>0</v>
      </c>
      <c r="P415" s="25">
        <f>IF(C415="","",SUMIFS(Analytics!$U$5:$U$154,Analytics!$C$5:$C$154,C415))</f>
        <v>0</v>
      </c>
      <c r="Q415" s="25">
        <f>IF(C415="","",SUMIFS(Budget!$H$5:$H$64,Budget!$C$5:$C$64,C415))</f>
        <v>0</v>
      </c>
      <c r="R415" s="25">
        <f>IF(C415="","",P415-Q415)</f>
        <v>0</v>
      </c>
      <c r="S415" s="23">
        <f>IF(C415="","",MonthlyPostTarget)</f>
        <v>0</v>
      </c>
      <c r="T415" s="17">
        <f>IF(Lists!$C415="","",Lists!$C415)</f>
        <v>0</v>
      </c>
      <c r="U415" s="23">
        <f>IF(T415="","",COUNTIFS('Content Calendar'!$G$5:$G$604,T415,'Content Calendar'!$B$5:$B$604,"&gt;="&amp;DashStart,'Content Calendar'!$B$5:$B$604,"&lt;="&amp;DashEnd))</f>
        <v>0</v>
      </c>
      <c r="V415" s="23">
        <f>IF(T415="","",COUNTIFS('Content Calendar'!$G$5:$G$604,T415,'Content Calendar'!$X$5:$X$604,"Published",'Content Calendar'!$B$5:$B$604,"&gt;="&amp;DashStart,'Content Calendar'!$B$5:$B$604,"&lt;="&amp;DashEnd))</f>
        <v>0</v>
      </c>
      <c r="W415" s="23">
        <f>IF(T415="","",SUMIFS(Analytics!$J$5:$J$154,Analytics!$D$5:$D$154,T415,Analytics!$B$5:$B$154,"&gt;="&amp;DashStart,Analytics!$B$5:$B$154,"&lt;="&amp;DashEnd))</f>
        <v>0</v>
      </c>
      <c r="X415" s="23">
        <f>IF(T415="","",SUMIFS(Analytics!$L$5:$L$154,Analytics!$D$5:$D$154,T415,Analytics!$B$5:$B$154,"&gt;="&amp;DashStart,Analytics!$B$5:$B$154,"&lt;="&amp;DashEnd))</f>
        <v>0</v>
      </c>
      <c r="Y415" s="24">
        <f>IF(OR(W415="",W415=0),"",X415/W415)</f>
        <v>0</v>
      </c>
      <c r="Z415" s="23">
        <f>IF(T415="","",SUMIFS(Analytics!$G$5:$G$154,Analytics!$D$5:$D$154,T415,Analytics!$B$5:$B$154,"&gt;="&amp;DashStart,Analytics!$B$5:$B$154,"&lt;="&amp;DashEnd))</f>
        <v>0</v>
      </c>
      <c r="AA415" s="23">
        <f>IF(T415="","",SUMIFS(Analytics!$X$5:$X$154,Analytics!$D$5:$D$154,T415,Analytics!$B$5:$B$154,"&gt;="&amp;DashStart,Analytics!$B$5:$B$154,"&lt;="&amp;DashEnd))</f>
        <v>0</v>
      </c>
      <c r="AB415" s="23">
        <f>IF(T415="","",SUMIFS(Analytics!$R$5:$R$154,Analytics!$D$5:$D$154,T415,Analytics!$B$5:$B$154,"&gt;="&amp;DashStart,Analytics!$B$5:$B$154,"&lt;="&amp;DashEnd))</f>
        <v>0</v>
      </c>
      <c r="AC415" s="25">
        <f>IF(T415="","",SUMIFS(Analytics!$U$5:$U$154,Analytics!$D$5:$D$154,T415,Analytics!$B$5:$B$154,"&gt;="&amp;DashStart,Analytics!$B$5:$B$154,"&lt;="&amp;DashEnd))</f>
        <v>0</v>
      </c>
      <c r="AD415" s="23">
        <f>IF(T415="","",COUNTIFS('Content Calendar'!$G$5:$G$604,T415,'Content Calendar'!$B$5:$B$604,"&gt;="&amp;DATE(PlanYear,1,1),'Content Calendar'!$B$5:$B$604,"&lt;="&amp;DATE(PlanYear,12,31)))</f>
        <v>0</v>
      </c>
      <c r="AE415" s="23">
        <f>IF(T415="","",SUMIFS(Analytics!$J$5:$J$154,Analytics!$D$5:$D$154,T415))</f>
        <v>0</v>
      </c>
      <c r="AF415" s="23">
        <f>IF(T415="","",SUMIFS(Analytics!$L$5:$L$154,Analytics!$D$5:$D$154,T415))</f>
        <v>0</v>
      </c>
      <c r="AG415" s="24">
        <f>IF(OR(AE415="",AE415=0),"",AF415/AE415)</f>
        <v>0</v>
      </c>
      <c r="AH415" s="23">
        <f>IF(T415="","",SUMIFS(Analytics!$X$5:$X$154,Analytics!$D$5:$D$154,T415))</f>
        <v>0</v>
      </c>
      <c r="AI415" s="32">
        <f>IF(T415="","",IF(AE415=0,"",AE415+ROW()/1000000))</f>
        <v>0</v>
      </c>
      <c r="AJ415" s="17">
        <f>IF('Content Pillars'!$B$415="","",'Content Pillars'!$B$415)</f>
        <v>0</v>
      </c>
      <c r="AK415" s="23">
        <f>IF(AJ415="","",COUNTIFS('Content Calendar'!$J$5:$J$604,AJ415,'Content Calendar'!$B$5:$B$604,"&gt;="&amp;DATE(PlanYear,1,1),'Content Calendar'!$B$5:$B$604,"&lt;="&amp;DATE(PlanYear,12,31)))</f>
        <v>0</v>
      </c>
      <c r="AL415" s="23">
        <f>IF(AJ415="","",SUMIFS(Performance!$O$5:$O$404,Performance!$H$5:$H$404,AJ415))</f>
        <v>0</v>
      </c>
      <c r="AM415" s="23">
        <f>IF(AJ415="","",SUMIFS(Performance!$Z$5:$Z$404,Performance!$H$5:$H$404,AJ415))</f>
        <v>0</v>
      </c>
      <c r="AN415" s="24">
        <f>IF(OR(AL415="",AL415=0),"",AM415/AL415)</f>
        <v>0</v>
      </c>
      <c r="AO415" s="32">
        <f>IF(AN415="","",AN415+ROW()/1000000)</f>
        <v>0</v>
      </c>
      <c r="AP415" s="17">
        <f>IF(Lists!$E415="","",Lists!$E415)</f>
        <v>0</v>
      </c>
      <c r="AQ415" s="23">
        <f>IF(AP415="","",COUNTIF(Performance!$G$5:$G$404,AP415))</f>
        <v>0</v>
      </c>
      <c r="AR415" s="23">
        <f>IF(AP415="","",SUMIFS(Performance!$O$5:$O$404,Performance!$G$5:$G$404,AP415))</f>
        <v>0</v>
      </c>
      <c r="AS415" s="23">
        <f>IF(AP415="","",SUMIFS(Performance!$Z$5:$Z$404,Performance!$G$5:$G$404,AP415))</f>
        <v>0</v>
      </c>
      <c r="AT415" s="24">
        <f>IF(OR(AR415="",AR415=0),"",AS415/AR415)</f>
        <v>0</v>
      </c>
      <c r="AU415" s="32">
        <f>IF(AQ415=0,"",IF(AT415="","",AT415+ROW()/1000000))</f>
        <v>0</v>
      </c>
      <c r="AV415" s="17">
        <f>IF(ROW()-4&gt;7,"",TEXT(DATE(2024,1,ROW()-4),"ddd"))</f>
        <v>0</v>
      </c>
      <c r="AW415" s="23">
        <f>IF(AV415="","",COUNTIF(Performance!$N$5:$N$404,AV415))</f>
        <v>0</v>
      </c>
      <c r="AX415" s="23">
        <f>IF(AV415="","",SUMIFS(Performance!$O$5:$O$404,Performance!$N$5:$N$404,AV415))</f>
        <v>0</v>
      </c>
      <c r="AY415" s="23">
        <f>IF(AV415="","",SUMIFS(Performance!$Z$5:$Z$404,Performance!$N$5:$N$404,AV415))</f>
        <v>0</v>
      </c>
      <c r="AZ415" s="24">
        <f>IF(OR(AX415="",AX415=0),"",AY415/AX415)</f>
        <v>0</v>
      </c>
      <c r="BA415" s="32">
        <f>IF(AW415=0,"",IF(AZ415="","",AZ415+ROW()/1000000))</f>
        <v>0</v>
      </c>
      <c r="BB415" s="17">
        <f>IF(Lists!$AL415="","",Lists!$AL415)</f>
        <v>0</v>
      </c>
      <c r="BC415" s="23">
        <f>IF(BB415="","",COUNTIF(Performance!$M$5:$M$404,BB415))</f>
        <v>0</v>
      </c>
      <c r="BD415" s="23">
        <f>IF(BB415="","",SUMIFS(Performance!$O$5:$O$404,Performance!$M$5:$M$404,BB415))</f>
        <v>0</v>
      </c>
      <c r="BE415" s="23">
        <f>IF(BB415="","",SUMIFS(Performance!$Z$5:$Z$404,Performance!$M$5:$M$404,BB415))</f>
        <v>0</v>
      </c>
      <c r="BF415" s="24">
        <f>IF(OR(BD415="",BD415=0),"",BE415/BD415)</f>
        <v>0</v>
      </c>
      <c r="BG415" s="32">
        <f>IF(BC415=0,"",IF(BF415="","",BF415+ROW()/1000000))</f>
        <v>0</v>
      </c>
      <c r="BH415" s="17">
        <f>IF(Performance!$C$415="","",Performance!$C$415)</f>
        <v>0</v>
      </c>
      <c r="BI415" s="17">
        <f>IF(Performance!$F$415="","",Performance!$F$415)</f>
        <v>0</v>
      </c>
      <c r="BJ415" s="17">
        <f>IF(Performance!$H$415="","",Performance!$H$415)</f>
        <v>0</v>
      </c>
      <c r="BK415" s="16">
        <f>IF(Performance!$D$415="","",Performance!$D$415)</f>
        <v>0</v>
      </c>
      <c r="BL415" s="17">
        <f>IF(Performance!$E$415="","",Performance!$E$415)</f>
        <v>0</v>
      </c>
      <c r="BM415" s="23">
        <f>IF(Performance!$O$415="","",Performance!$O$415)</f>
        <v>0</v>
      </c>
      <c r="BN415" s="24">
        <f>IF(Performance!$AA$415="","",Performance!$AA$415)</f>
        <v>0</v>
      </c>
      <c r="BO415" s="32">
        <f>IF(BH415="","",IF(BK415="","",IF(OR(BK415&lt;DashStart,BK415&gt;DashEnd),"",IF(BN415="","",BN415+ROW()/1000000))))</f>
        <v>0</v>
      </c>
      <c r="BP415" s="32">
        <f>IF(BM415="","",IF(BK415="","",IF(OR(BK415&lt;DashStart,BK415&gt;DashEnd),"",BM415+ROW()/1000000)))</f>
        <v>0</v>
      </c>
      <c r="BQ415" s="32">
        <f>IF(BH415="","",IF(BK415="","",IF(YEAR(BK415)&lt;&gt;PlanYear,"",IF(BN415="","",BN415+ROW()/1000000))))</f>
        <v>0</v>
      </c>
      <c r="BR415" s="32">
        <f>IF(BH415="","",IF(BK415="","",IF(OR(BK415&lt;RepFrom,BK415&gt;RepTo),"",IF(BN415="","",BN415+ROW()/1000000))))</f>
        <v>0</v>
      </c>
      <c r="BS415" s="32">
        <f>IF(BM415="","",IF(BK415="","",IF(YEAR(BK415)&lt;&gt;PlanYear,"",BM415+ROW()/1000000)))</f>
        <v>0</v>
      </c>
      <c r="BT415" s="17">
        <f>IF(Lists!$F415="","",Lists!$F415)</f>
        <v>0</v>
      </c>
      <c r="BU415" s="23">
        <f>IF(BT415="","",COUNTIF('Content Calendar'!$X$5:$X$604,BT415))</f>
        <v>0</v>
      </c>
      <c r="BV415" s="23">
        <f>IF(BT415="","",COUNTIFS('Content Calendar'!$X$5:$X$604,BT415,'Content Calendar'!$B$5:$B$604,"&gt;="&amp;DashStart,'Content Calendar'!$B$5:$B$604,"&lt;="&amp;DashEnd))</f>
        <v>0</v>
      </c>
      <c r="BW415" s="17">
        <f>IF(Team!$B$415="","",Team!$B$415)</f>
        <v>0</v>
      </c>
      <c r="BX415" s="23">
        <f>IF(BW415="","",COUNTIF('Content Calendar'!$W$5:$W$604,BW415))</f>
        <v>0</v>
      </c>
      <c r="BY415" s="23">
        <f>IF(BW415="","",COUNTIFS('Content Calendar'!$W$5:$W$604,BW415,'Content Calendar'!$X$5:$X$604,"&lt;&gt;Published"))</f>
        <v>0</v>
      </c>
      <c r="BZ415" s="23">
        <f>IF(BW415="","",COUNTIFS(Tasks!$C$5:$C$64,BW415,Tasks!$G$5:$G$64,"&lt;&gt;Complete"))</f>
        <v>0</v>
      </c>
      <c r="CA415" s="17">
        <f>IF(Campaigns!$B$415="","",Campaigns!$B$415)</f>
        <v>0</v>
      </c>
      <c r="CB415" s="25">
        <f>IF(Campaigns!$T$415="","",Campaigns!$T$415)</f>
        <v>0</v>
      </c>
      <c r="CC415" s="25">
        <f>IF(Campaigns!$Q$415="","",Campaigns!$Q$415)</f>
        <v>0</v>
      </c>
      <c r="CD415" s="23">
        <f>IF(Campaigns!$Y$415="","",Campaigns!$Y$415)</f>
        <v>0</v>
      </c>
      <c r="CE415" s="32">
        <f>IF(CA415="","",IF(N(CB415)&lt;=0,"",N(CB415)+ROW()/1000000))</f>
        <v>0</v>
      </c>
      <c r="CF415" s="17">
        <f>IF(Accounts!$C$415="","",Accounts!$C$415)</f>
        <v>0</v>
      </c>
      <c r="CG415" s="17">
        <f>IF(Accounts!$B$415="","",Accounts!$B$415)</f>
        <v>0</v>
      </c>
      <c r="CH415" s="23">
        <f>IF(Accounts!$J$415="","",Accounts!$J$415)</f>
        <v>0</v>
      </c>
      <c r="CI415" s="23">
        <f>IF(CF415="","",SUMIFS(Analytics!$X$5:$X$154,Analytics!$E$5:$E$154,CF415,Analytics!$B$5:$B$154,"&gt;="&amp;DashStart,Analytics!$B$5:$B$154,"&lt;="&amp;DashEnd))</f>
        <v>0</v>
      </c>
      <c r="CJ415" s="32">
        <f>IF(CH415="","",IF(CH415=0,"",CH415+ROW()/1000000))</f>
        <v>0</v>
      </c>
    </row>
    <row r="416" spans="1:88">
      <c r="A416" s="16">
        <f>IF(ROW()-4&gt;12,"",DATE(PlanYear,ROW()-4,1))</f>
        <v>0</v>
      </c>
      <c r="B416" s="16">
        <f>IF(A416="","",EOMONTH(A416,0))</f>
        <v>0</v>
      </c>
      <c r="C416" s="17">
        <f>IF(A416="","",TEXT(A416,"yyyy-mm"))</f>
        <v>0</v>
      </c>
      <c r="D416" s="17">
        <f>IF(A416="","",TEXT(A416,"mmm"))</f>
        <v>0</v>
      </c>
      <c r="E416" s="23">
        <f>IF(C416="","",COUNTIFS('Content Calendar'!$D$5:$D$604,C416))</f>
        <v>0</v>
      </c>
      <c r="F416" s="23">
        <f>IF(C416="","",COUNTIFS('Content Calendar'!$D$5:$D$604,C416,'Content Calendar'!$X$5:$X$604,"Published"))</f>
        <v>0</v>
      </c>
      <c r="G416" s="23">
        <f>IF(C416="","",SUMIFS(Analytics!$J$5:$J$154,Analytics!$C$5:$C$154,C416))</f>
        <v>0</v>
      </c>
      <c r="H416" s="23">
        <f>IF(C416="","",SUMIFS(Analytics!$K$5:$K$154,Analytics!$C$5:$C$154,C416))</f>
        <v>0</v>
      </c>
      <c r="I416" s="23">
        <f>IF(C416="","",SUMIFS(Analytics!$L$5:$L$154,Analytics!$C$5:$C$154,C416))</f>
        <v>0</v>
      </c>
      <c r="J416" s="24">
        <f>IF(OR(G416="",G416=0),"",I416/G416)</f>
        <v>0</v>
      </c>
      <c r="K416" s="23">
        <f>IF(C416="","",SUMIFS(Analytics!$G$5:$G$154,Analytics!$C$5:$C$154,C416))</f>
        <v>0</v>
      </c>
      <c r="L416" s="23">
        <f>IF(C416="","",SUMIFS(Analytics!$X$5:$X$154,Analytics!$C$5:$C$154,C416))</f>
        <v>0</v>
      </c>
      <c r="M416" s="23">
        <f>IF(C416="","",SUMIFS(Analytics!$R$5:$R$154,Analytics!$C$5:$C$154,C416))</f>
        <v>0</v>
      </c>
      <c r="N416" s="23">
        <f>IF(C416="","",SUMIFS(Analytics!$S$5:$S$154,Analytics!$C$5:$C$154,C416))</f>
        <v>0</v>
      </c>
      <c r="O416" s="23">
        <f>IF(C416="","",SUMIFS(Analytics!$T$5:$T$154,Analytics!$C$5:$C$154,C416))</f>
        <v>0</v>
      </c>
      <c r="P416" s="25">
        <f>IF(C416="","",SUMIFS(Analytics!$U$5:$U$154,Analytics!$C$5:$C$154,C416))</f>
        <v>0</v>
      </c>
      <c r="Q416" s="25">
        <f>IF(C416="","",SUMIFS(Budget!$H$5:$H$64,Budget!$C$5:$C$64,C416))</f>
        <v>0</v>
      </c>
      <c r="R416" s="25">
        <f>IF(C416="","",P416-Q416)</f>
        <v>0</v>
      </c>
      <c r="S416" s="23">
        <f>IF(C416="","",MonthlyPostTarget)</f>
        <v>0</v>
      </c>
      <c r="T416" s="17">
        <f>IF(Lists!$C416="","",Lists!$C416)</f>
        <v>0</v>
      </c>
      <c r="U416" s="23">
        <f>IF(T416="","",COUNTIFS('Content Calendar'!$G$5:$G$604,T416,'Content Calendar'!$B$5:$B$604,"&gt;="&amp;DashStart,'Content Calendar'!$B$5:$B$604,"&lt;="&amp;DashEnd))</f>
        <v>0</v>
      </c>
      <c r="V416" s="23">
        <f>IF(T416="","",COUNTIFS('Content Calendar'!$G$5:$G$604,T416,'Content Calendar'!$X$5:$X$604,"Published",'Content Calendar'!$B$5:$B$604,"&gt;="&amp;DashStart,'Content Calendar'!$B$5:$B$604,"&lt;="&amp;DashEnd))</f>
        <v>0</v>
      </c>
      <c r="W416" s="23">
        <f>IF(T416="","",SUMIFS(Analytics!$J$5:$J$154,Analytics!$D$5:$D$154,T416,Analytics!$B$5:$B$154,"&gt;="&amp;DashStart,Analytics!$B$5:$B$154,"&lt;="&amp;DashEnd))</f>
        <v>0</v>
      </c>
      <c r="X416" s="23">
        <f>IF(T416="","",SUMIFS(Analytics!$L$5:$L$154,Analytics!$D$5:$D$154,T416,Analytics!$B$5:$B$154,"&gt;="&amp;DashStart,Analytics!$B$5:$B$154,"&lt;="&amp;DashEnd))</f>
        <v>0</v>
      </c>
      <c r="Y416" s="24">
        <f>IF(OR(W416="",W416=0),"",X416/W416)</f>
        <v>0</v>
      </c>
      <c r="Z416" s="23">
        <f>IF(T416="","",SUMIFS(Analytics!$G$5:$G$154,Analytics!$D$5:$D$154,T416,Analytics!$B$5:$B$154,"&gt;="&amp;DashStart,Analytics!$B$5:$B$154,"&lt;="&amp;DashEnd))</f>
        <v>0</v>
      </c>
      <c r="AA416" s="23">
        <f>IF(T416="","",SUMIFS(Analytics!$X$5:$X$154,Analytics!$D$5:$D$154,T416,Analytics!$B$5:$B$154,"&gt;="&amp;DashStart,Analytics!$B$5:$B$154,"&lt;="&amp;DashEnd))</f>
        <v>0</v>
      </c>
      <c r="AB416" s="23">
        <f>IF(T416="","",SUMIFS(Analytics!$R$5:$R$154,Analytics!$D$5:$D$154,T416,Analytics!$B$5:$B$154,"&gt;="&amp;DashStart,Analytics!$B$5:$B$154,"&lt;="&amp;DashEnd))</f>
        <v>0</v>
      </c>
      <c r="AC416" s="25">
        <f>IF(T416="","",SUMIFS(Analytics!$U$5:$U$154,Analytics!$D$5:$D$154,T416,Analytics!$B$5:$B$154,"&gt;="&amp;DashStart,Analytics!$B$5:$B$154,"&lt;="&amp;DashEnd))</f>
        <v>0</v>
      </c>
      <c r="AD416" s="23">
        <f>IF(T416="","",COUNTIFS('Content Calendar'!$G$5:$G$604,T416,'Content Calendar'!$B$5:$B$604,"&gt;="&amp;DATE(PlanYear,1,1),'Content Calendar'!$B$5:$B$604,"&lt;="&amp;DATE(PlanYear,12,31)))</f>
        <v>0</v>
      </c>
      <c r="AE416" s="23">
        <f>IF(T416="","",SUMIFS(Analytics!$J$5:$J$154,Analytics!$D$5:$D$154,T416))</f>
        <v>0</v>
      </c>
      <c r="AF416" s="23">
        <f>IF(T416="","",SUMIFS(Analytics!$L$5:$L$154,Analytics!$D$5:$D$154,T416))</f>
        <v>0</v>
      </c>
      <c r="AG416" s="24">
        <f>IF(OR(AE416="",AE416=0),"",AF416/AE416)</f>
        <v>0</v>
      </c>
      <c r="AH416" s="23">
        <f>IF(T416="","",SUMIFS(Analytics!$X$5:$X$154,Analytics!$D$5:$D$154,T416))</f>
        <v>0</v>
      </c>
      <c r="AI416" s="32">
        <f>IF(T416="","",IF(AE416=0,"",AE416+ROW()/1000000))</f>
        <v>0</v>
      </c>
      <c r="AJ416" s="17">
        <f>IF('Content Pillars'!$B$416="","",'Content Pillars'!$B$416)</f>
        <v>0</v>
      </c>
      <c r="AK416" s="23">
        <f>IF(AJ416="","",COUNTIFS('Content Calendar'!$J$5:$J$604,AJ416,'Content Calendar'!$B$5:$B$604,"&gt;="&amp;DATE(PlanYear,1,1),'Content Calendar'!$B$5:$B$604,"&lt;="&amp;DATE(PlanYear,12,31)))</f>
        <v>0</v>
      </c>
      <c r="AL416" s="23">
        <f>IF(AJ416="","",SUMIFS(Performance!$O$5:$O$404,Performance!$H$5:$H$404,AJ416))</f>
        <v>0</v>
      </c>
      <c r="AM416" s="23">
        <f>IF(AJ416="","",SUMIFS(Performance!$Z$5:$Z$404,Performance!$H$5:$H$404,AJ416))</f>
        <v>0</v>
      </c>
      <c r="AN416" s="24">
        <f>IF(OR(AL416="",AL416=0),"",AM416/AL416)</f>
        <v>0</v>
      </c>
      <c r="AO416" s="32">
        <f>IF(AN416="","",AN416+ROW()/1000000)</f>
        <v>0</v>
      </c>
      <c r="AP416" s="17">
        <f>IF(Lists!$E416="","",Lists!$E416)</f>
        <v>0</v>
      </c>
      <c r="AQ416" s="23">
        <f>IF(AP416="","",COUNTIF(Performance!$G$5:$G$404,AP416))</f>
        <v>0</v>
      </c>
      <c r="AR416" s="23">
        <f>IF(AP416="","",SUMIFS(Performance!$O$5:$O$404,Performance!$G$5:$G$404,AP416))</f>
        <v>0</v>
      </c>
      <c r="AS416" s="23">
        <f>IF(AP416="","",SUMIFS(Performance!$Z$5:$Z$404,Performance!$G$5:$G$404,AP416))</f>
        <v>0</v>
      </c>
      <c r="AT416" s="24">
        <f>IF(OR(AR416="",AR416=0),"",AS416/AR416)</f>
        <v>0</v>
      </c>
      <c r="AU416" s="32">
        <f>IF(AQ416=0,"",IF(AT416="","",AT416+ROW()/1000000))</f>
        <v>0</v>
      </c>
      <c r="AV416" s="17">
        <f>IF(ROW()-4&gt;7,"",TEXT(DATE(2024,1,ROW()-4),"ddd"))</f>
        <v>0</v>
      </c>
      <c r="AW416" s="23">
        <f>IF(AV416="","",COUNTIF(Performance!$N$5:$N$404,AV416))</f>
        <v>0</v>
      </c>
      <c r="AX416" s="23">
        <f>IF(AV416="","",SUMIFS(Performance!$O$5:$O$404,Performance!$N$5:$N$404,AV416))</f>
        <v>0</v>
      </c>
      <c r="AY416" s="23">
        <f>IF(AV416="","",SUMIFS(Performance!$Z$5:$Z$404,Performance!$N$5:$N$404,AV416))</f>
        <v>0</v>
      </c>
      <c r="AZ416" s="24">
        <f>IF(OR(AX416="",AX416=0),"",AY416/AX416)</f>
        <v>0</v>
      </c>
      <c r="BA416" s="32">
        <f>IF(AW416=0,"",IF(AZ416="","",AZ416+ROW()/1000000))</f>
        <v>0</v>
      </c>
      <c r="BB416" s="17">
        <f>IF(Lists!$AL416="","",Lists!$AL416)</f>
        <v>0</v>
      </c>
      <c r="BC416" s="23">
        <f>IF(BB416="","",COUNTIF(Performance!$M$5:$M$404,BB416))</f>
        <v>0</v>
      </c>
      <c r="BD416" s="23">
        <f>IF(BB416="","",SUMIFS(Performance!$O$5:$O$404,Performance!$M$5:$M$404,BB416))</f>
        <v>0</v>
      </c>
      <c r="BE416" s="23">
        <f>IF(BB416="","",SUMIFS(Performance!$Z$5:$Z$404,Performance!$M$5:$M$404,BB416))</f>
        <v>0</v>
      </c>
      <c r="BF416" s="24">
        <f>IF(OR(BD416="",BD416=0),"",BE416/BD416)</f>
        <v>0</v>
      </c>
      <c r="BG416" s="32">
        <f>IF(BC416=0,"",IF(BF416="","",BF416+ROW()/1000000))</f>
        <v>0</v>
      </c>
      <c r="BH416" s="17">
        <f>IF(Performance!$C$416="","",Performance!$C$416)</f>
        <v>0</v>
      </c>
      <c r="BI416" s="17">
        <f>IF(Performance!$F$416="","",Performance!$F$416)</f>
        <v>0</v>
      </c>
      <c r="BJ416" s="17">
        <f>IF(Performance!$H$416="","",Performance!$H$416)</f>
        <v>0</v>
      </c>
      <c r="BK416" s="16">
        <f>IF(Performance!$D$416="","",Performance!$D$416)</f>
        <v>0</v>
      </c>
      <c r="BL416" s="17">
        <f>IF(Performance!$E$416="","",Performance!$E$416)</f>
        <v>0</v>
      </c>
      <c r="BM416" s="23">
        <f>IF(Performance!$O$416="","",Performance!$O$416)</f>
        <v>0</v>
      </c>
      <c r="BN416" s="24">
        <f>IF(Performance!$AA$416="","",Performance!$AA$416)</f>
        <v>0</v>
      </c>
      <c r="BO416" s="32">
        <f>IF(BH416="","",IF(BK416="","",IF(OR(BK416&lt;DashStart,BK416&gt;DashEnd),"",IF(BN416="","",BN416+ROW()/1000000))))</f>
        <v>0</v>
      </c>
      <c r="BP416" s="32">
        <f>IF(BM416="","",IF(BK416="","",IF(OR(BK416&lt;DashStart,BK416&gt;DashEnd),"",BM416+ROW()/1000000)))</f>
        <v>0</v>
      </c>
      <c r="BQ416" s="32">
        <f>IF(BH416="","",IF(BK416="","",IF(YEAR(BK416)&lt;&gt;PlanYear,"",IF(BN416="","",BN416+ROW()/1000000))))</f>
        <v>0</v>
      </c>
      <c r="BR416" s="32">
        <f>IF(BH416="","",IF(BK416="","",IF(OR(BK416&lt;RepFrom,BK416&gt;RepTo),"",IF(BN416="","",BN416+ROW()/1000000))))</f>
        <v>0</v>
      </c>
      <c r="BS416" s="32">
        <f>IF(BM416="","",IF(BK416="","",IF(YEAR(BK416)&lt;&gt;PlanYear,"",BM416+ROW()/1000000)))</f>
        <v>0</v>
      </c>
      <c r="BT416" s="17">
        <f>IF(Lists!$F416="","",Lists!$F416)</f>
        <v>0</v>
      </c>
      <c r="BU416" s="23">
        <f>IF(BT416="","",COUNTIF('Content Calendar'!$X$5:$X$604,BT416))</f>
        <v>0</v>
      </c>
      <c r="BV416" s="23">
        <f>IF(BT416="","",COUNTIFS('Content Calendar'!$X$5:$X$604,BT416,'Content Calendar'!$B$5:$B$604,"&gt;="&amp;DashStart,'Content Calendar'!$B$5:$B$604,"&lt;="&amp;DashEnd))</f>
        <v>0</v>
      </c>
      <c r="BW416" s="17">
        <f>IF(Team!$B$416="","",Team!$B$416)</f>
        <v>0</v>
      </c>
      <c r="BX416" s="23">
        <f>IF(BW416="","",COUNTIF('Content Calendar'!$W$5:$W$604,BW416))</f>
        <v>0</v>
      </c>
      <c r="BY416" s="23">
        <f>IF(BW416="","",COUNTIFS('Content Calendar'!$W$5:$W$604,BW416,'Content Calendar'!$X$5:$X$604,"&lt;&gt;Published"))</f>
        <v>0</v>
      </c>
      <c r="BZ416" s="23">
        <f>IF(BW416="","",COUNTIFS(Tasks!$C$5:$C$64,BW416,Tasks!$G$5:$G$64,"&lt;&gt;Complete"))</f>
        <v>0</v>
      </c>
      <c r="CA416" s="17">
        <f>IF(Campaigns!$B$416="","",Campaigns!$B$416)</f>
        <v>0</v>
      </c>
      <c r="CB416" s="25">
        <f>IF(Campaigns!$T$416="","",Campaigns!$T$416)</f>
        <v>0</v>
      </c>
      <c r="CC416" s="25">
        <f>IF(Campaigns!$Q$416="","",Campaigns!$Q$416)</f>
        <v>0</v>
      </c>
      <c r="CD416" s="23">
        <f>IF(Campaigns!$Y$416="","",Campaigns!$Y$416)</f>
        <v>0</v>
      </c>
      <c r="CE416" s="32">
        <f>IF(CA416="","",IF(N(CB416)&lt;=0,"",N(CB416)+ROW()/1000000))</f>
        <v>0</v>
      </c>
      <c r="CF416" s="17">
        <f>IF(Accounts!$C$416="","",Accounts!$C$416)</f>
        <v>0</v>
      </c>
      <c r="CG416" s="17">
        <f>IF(Accounts!$B$416="","",Accounts!$B$416)</f>
        <v>0</v>
      </c>
      <c r="CH416" s="23">
        <f>IF(Accounts!$J$416="","",Accounts!$J$416)</f>
        <v>0</v>
      </c>
      <c r="CI416" s="23">
        <f>IF(CF416="","",SUMIFS(Analytics!$X$5:$X$154,Analytics!$E$5:$E$154,CF416,Analytics!$B$5:$B$154,"&gt;="&amp;DashStart,Analytics!$B$5:$B$154,"&lt;="&amp;DashEnd))</f>
        <v>0</v>
      </c>
      <c r="CJ416" s="32">
        <f>IF(CH416="","",IF(CH416=0,"",CH416+ROW()/1000000))</f>
        <v>0</v>
      </c>
    </row>
    <row r="417" spans="1:88">
      <c r="A417" s="16">
        <f>IF(ROW()-4&gt;12,"",DATE(PlanYear,ROW()-4,1))</f>
        <v>0</v>
      </c>
      <c r="B417" s="16">
        <f>IF(A417="","",EOMONTH(A417,0))</f>
        <v>0</v>
      </c>
      <c r="C417" s="17">
        <f>IF(A417="","",TEXT(A417,"yyyy-mm"))</f>
        <v>0</v>
      </c>
      <c r="D417" s="17">
        <f>IF(A417="","",TEXT(A417,"mmm"))</f>
        <v>0</v>
      </c>
      <c r="E417" s="23">
        <f>IF(C417="","",COUNTIFS('Content Calendar'!$D$5:$D$604,C417))</f>
        <v>0</v>
      </c>
      <c r="F417" s="23">
        <f>IF(C417="","",COUNTIFS('Content Calendar'!$D$5:$D$604,C417,'Content Calendar'!$X$5:$X$604,"Published"))</f>
        <v>0</v>
      </c>
      <c r="G417" s="23">
        <f>IF(C417="","",SUMIFS(Analytics!$J$5:$J$154,Analytics!$C$5:$C$154,C417))</f>
        <v>0</v>
      </c>
      <c r="H417" s="23">
        <f>IF(C417="","",SUMIFS(Analytics!$K$5:$K$154,Analytics!$C$5:$C$154,C417))</f>
        <v>0</v>
      </c>
      <c r="I417" s="23">
        <f>IF(C417="","",SUMIFS(Analytics!$L$5:$L$154,Analytics!$C$5:$C$154,C417))</f>
        <v>0</v>
      </c>
      <c r="J417" s="24">
        <f>IF(OR(G417="",G417=0),"",I417/G417)</f>
        <v>0</v>
      </c>
      <c r="K417" s="23">
        <f>IF(C417="","",SUMIFS(Analytics!$G$5:$G$154,Analytics!$C$5:$C$154,C417))</f>
        <v>0</v>
      </c>
      <c r="L417" s="23">
        <f>IF(C417="","",SUMIFS(Analytics!$X$5:$X$154,Analytics!$C$5:$C$154,C417))</f>
        <v>0</v>
      </c>
      <c r="M417" s="23">
        <f>IF(C417="","",SUMIFS(Analytics!$R$5:$R$154,Analytics!$C$5:$C$154,C417))</f>
        <v>0</v>
      </c>
      <c r="N417" s="23">
        <f>IF(C417="","",SUMIFS(Analytics!$S$5:$S$154,Analytics!$C$5:$C$154,C417))</f>
        <v>0</v>
      </c>
      <c r="O417" s="23">
        <f>IF(C417="","",SUMIFS(Analytics!$T$5:$T$154,Analytics!$C$5:$C$154,C417))</f>
        <v>0</v>
      </c>
      <c r="P417" s="25">
        <f>IF(C417="","",SUMIFS(Analytics!$U$5:$U$154,Analytics!$C$5:$C$154,C417))</f>
        <v>0</v>
      </c>
      <c r="Q417" s="25">
        <f>IF(C417="","",SUMIFS(Budget!$H$5:$H$64,Budget!$C$5:$C$64,C417))</f>
        <v>0</v>
      </c>
      <c r="R417" s="25">
        <f>IF(C417="","",P417-Q417)</f>
        <v>0</v>
      </c>
      <c r="S417" s="23">
        <f>IF(C417="","",MonthlyPostTarget)</f>
        <v>0</v>
      </c>
      <c r="T417" s="17">
        <f>IF(Lists!$C417="","",Lists!$C417)</f>
        <v>0</v>
      </c>
      <c r="U417" s="23">
        <f>IF(T417="","",COUNTIFS('Content Calendar'!$G$5:$G$604,T417,'Content Calendar'!$B$5:$B$604,"&gt;="&amp;DashStart,'Content Calendar'!$B$5:$B$604,"&lt;="&amp;DashEnd))</f>
        <v>0</v>
      </c>
      <c r="V417" s="23">
        <f>IF(T417="","",COUNTIFS('Content Calendar'!$G$5:$G$604,T417,'Content Calendar'!$X$5:$X$604,"Published",'Content Calendar'!$B$5:$B$604,"&gt;="&amp;DashStart,'Content Calendar'!$B$5:$B$604,"&lt;="&amp;DashEnd))</f>
        <v>0</v>
      </c>
      <c r="W417" s="23">
        <f>IF(T417="","",SUMIFS(Analytics!$J$5:$J$154,Analytics!$D$5:$D$154,T417,Analytics!$B$5:$B$154,"&gt;="&amp;DashStart,Analytics!$B$5:$B$154,"&lt;="&amp;DashEnd))</f>
        <v>0</v>
      </c>
      <c r="X417" s="23">
        <f>IF(T417="","",SUMIFS(Analytics!$L$5:$L$154,Analytics!$D$5:$D$154,T417,Analytics!$B$5:$B$154,"&gt;="&amp;DashStart,Analytics!$B$5:$B$154,"&lt;="&amp;DashEnd))</f>
        <v>0</v>
      </c>
      <c r="Y417" s="24">
        <f>IF(OR(W417="",W417=0),"",X417/W417)</f>
        <v>0</v>
      </c>
      <c r="Z417" s="23">
        <f>IF(T417="","",SUMIFS(Analytics!$G$5:$G$154,Analytics!$D$5:$D$154,T417,Analytics!$B$5:$B$154,"&gt;="&amp;DashStart,Analytics!$B$5:$B$154,"&lt;="&amp;DashEnd))</f>
        <v>0</v>
      </c>
      <c r="AA417" s="23">
        <f>IF(T417="","",SUMIFS(Analytics!$X$5:$X$154,Analytics!$D$5:$D$154,T417,Analytics!$B$5:$B$154,"&gt;="&amp;DashStart,Analytics!$B$5:$B$154,"&lt;="&amp;DashEnd))</f>
        <v>0</v>
      </c>
      <c r="AB417" s="23">
        <f>IF(T417="","",SUMIFS(Analytics!$R$5:$R$154,Analytics!$D$5:$D$154,T417,Analytics!$B$5:$B$154,"&gt;="&amp;DashStart,Analytics!$B$5:$B$154,"&lt;="&amp;DashEnd))</f>
        <v>0</v>
      </c>
      <c r="AC417" s="25">
        <f>IF(T417="","",SUMIFS(Analytics!$U$5:$U$154,Analytics!$D$5:$D$154,T417,Analytics!$B$5:$B$154,"&gt;="&amp;DashStart,Analytics!$B$5:$B$154,"&lt;="&amp;DashEnd))</f>
        <v>0</v>
      </c>
      <c r="AD417" s="23">
        <f>IF(T417="","",COUNTIFS('Content Calendar'!$G$5:$G$604,T417,'Content Calendar'!$B$5:$B$604,"&gt;="&amp;DATE(PlanYear,1,1),'Content Calendar'!$B$5:$B$604,"&lt;="&amp;DATE(PlanYear,12,31)))</f>
        <v>0</v>
      </c>
      <c r="AE417" s="23">
        <f>IF(T417="","",SUMIFS(Analytics!$J$5:$J$154,Analytics!$D$5:$D$154,T417))</f>
        <v>0</v>
      </c>
      <c r="AF417" s="23">
        <f>IF(T417="","",SUMIFS(Analytics!$L$5:$L$154,Analytics!$D$5:$D$154,T417))</f>
        <v>0</v>
      </c>
      <c r="AG417" s="24">
        <f>IF(OR(AE417="",AE417=0),"",AF417/AE417)</f>
        <v>0</v>
      </c>
      <c r="AH417" s="23">
        <f>IF(T417="","",SUMIFS(Analytics!$X$5:$X$154,Analytics!$D$5:$D$154,T417))</f>
        <v>0</v>
      </c>
      <c r="AI417" s="32">
        <f>IF(T417="","",IF(AE417=0,"",AE417+ROW()/1000000))</f>
        <v>0</v>
      </c>
      <c r="AJ417" s="17">
        <f>IF('Content Pillars'!$B$417="","",'Content Pillars'!$B$417)</f>
        <v>0</v>
      </c>
      <c r="AK417" s="23">
        <f>IF(AJ417="","",COUNTIFS('Content Calendar'!$J$5:$J$604,AJ417,'Content Calendar'!$B$5:$B$604,"&gt;="&amp;DATE(PlanYear,1,1),'Content Calendar'!$B$5:$B$604,"&lt;="&amp;DATE(PlanYear,12,31)))</f>
        <v>0</v>
      </c>
      <c r="AL417" s="23">
        <f>IF(AJ417="","",SUMIFS(Performance!$O$5:$O$404,Performance!$H$5:$H$404,AJ417))</f>
        <v>0</v>
      </c>
      <c r="AM417" s="23">
        <f>IF(AJ417="","",SUMIFS(Performance!$Z$5:$Z$404,Performance!$H$5:$H$404,AJ417))</f>
        <v>0</v>
      </c>
      <c r="AN417" s="24">
        <f>IF(OR(AL417="",AL417=0),"",AM417/AL417)</f>
        <v>0</v>
      </c>
      <c r="AO417" s="32">
        <f>IF(AN417="","",AN417+ROW()/1000000)</f>
        <v>0</v>
      </c>
      <c r="AP417" s="17">
        <f>IF(Lists!$E417="","",Lists!$E417)</f>
        <v>0</v>
      </c>
      <c r="AQ417" s="23">
        <f>IF(AP417="","",COUNTIF(Performance!$G$5:$G$404,AP417))</f>
        <v>0</v>
      </c>
      <c r="AR417" s="23">
        <f>IF(AP417="","",SUMIFS(Performance!$O$5:$O$404,Performance!$G$5:$G$404,AP417))</f>
        <v>0</v>
      </c>
      <c r="AS417" s="23">
        <f>IF(AP417="","",SUMIFS(Performance!$Z$5:$Z$404,Performance!$G$5:$G$404,AP417))</f>
        <v>0</v>
      </c>
      <c r="AT417" s="24">
        <f>IF(OR(AR417="",AR417=0),"",AS417/AR417)</f>
        <v>0</v>
      </c>
      <c r="AU417" s="32">
        <f>IF(AQ417=0,"",IF(AT417="","",AT417+ROW()/1000000))</f>
        <v>0</v>
      </c>
      <c r="AV417" s="17">
        <f>IF(ROW()-4&gt;7,"",TEXT(DATE(2024,1,ROW()-4),"ddd"))</f>
        <v>0</v>
      </c>
      <c r="AW417" s="23">
        <f>IF(AV417="","",COUNTIF(Performance!$N$5:$N$404,AV417))</f>
        <v>0</v>
      </c>
      <c r="AX417" s="23">
        <f>IF(AV417="","",SUMIFS(Performance!$O$5:$O$404,Performance!$N$5:$N$404,AV417))</f>
        <v>0</v>
      </c>
      <c r="AY417" s="23">
        <f>IF(AV417="","",SUMIFS(Performance!$Z$5:$Z$404,Performance!$N$5:$N$404,AV417))</f>
        <v>0</v>
      </c>
      <c r="AZ417" s="24">
        <f>IF(OR(AX417="",AX417=0),"",AY417/AX417)</f>
        <v>0</v>
      </c>
      <c r="BA417" s="32">
        <f>IF(AW417=0,"",IF(AZ417="","",AZ417+ROW()/1000000))</f>
        <v>0</v>
      </c>
      <c r="BB417" s="17">
        <f>IF(Lists!$AL417="","",Lists!$AL417)</f>
        <v>0</v>
      </c>
      <c r="BC417" s="23">
        <f>IF(BB417="","",COUNTIF(Performance!$M$5:$M$404,BB417))</f>
        <v>0</v>
      </c>
      <c r="BD417" s="23">
        <f>IF(BB417="","",SUMIFS(Performance!$O$5:$O$404,Performance!$M$5:$M$404,BB417))</f>
        <v>0</v>
      </c>
      <c r="BE417" s="23">
        <f>IF(BB417="","",SUMIFS(Performance!$Z$5:$Z$404,Performance!$M$5:$M$404,BB417))</f>
        <v>0</v>
      </c>
      <c r="BF417" s="24">
        <f>IF(OR(BD417="",BD417=0),"",BE417/BD417)</f>
        <v>0</v>
      </c>
      <c r="BG417" s="32">
        <f>IF(BC417=0,"",IF(BF417="","",BF417+ROW()/1000000))</f>
        <v>0</v>
      </c>
      <c r="BH417" s="17">
        <f>IF(Performance!$C$417="","",Performance!$C$417)</f>
        <v>0</v>
      </c>
      <c r="BI417" s="17">
        <f>IF(Performance!$F$417="","",Performance!$F$417)</f>
        <v>0</v>
      </c>
      <c r="BJ417" s="17">
        <f>IF(Performance!$H$417="","",Performance!$H$417)</f>
        <v>0</v>
      </c>
      <c r="BK417" s="16">
        <f>IF(Performance!$D$417="","",Performance!$D$417)</f>
        <v>0</v>
      </c>
      <c r="BL417" s="17">
        <f>IF(Performance!$E$417="","",Performance!$E$417)</f>
        <v>0</v>
      </c>
      <c r="BM417" s="23">
        <f>IF(Performance!$O$417="","",Performance!$O$417)</f>
        <v>0</v>
      </c>
      <c r="BN417" s="24">
        <f>IF(Performance!$AA$417="","",Performance!$AA$417)</f>
        <v>0</v>
      </c>
      <c r="BO417" s="32">
        <f>IF(BH417="","",IF(BK417="","",IF(OR(BK417&lt;DashStart,BK417&gt;DashEnd),"",IF(BN417="","",BN417+ROW()/1000000))))</f>
        <v>0</v>
      </c>
      <c r="BP417" s="32">
        <f>IF(BM417="","",IF(BK417="","",IF(OR(BK417&lt;DashStart,BK417&gt;DashEnd),"",BM417+ROW()/1000000)))</f>
        <v>0</v>
      </c>
      <c r="BQ417" s="32">
        <f>IF(BH417="","",IF(BK417="","",IF(YEAR(BK417)&lt;&gt;PlanYear,"",IF(BN417="","",BN417+ROW()/1000000))))</f>
        <v>0</v>
      </c>
      <c r="BR417" s="32">
        <f>IF(BH417="","",IF(BK417="","",IF(OR(BK417&lt;RepFrom,BK417&gt;RepTo),"",IF(BN417="","",BN417+ROW()/1000000))))</f>
        <v>0</v>
      </c>
      <c r="BS417" s="32">
        <f>IF(BM417="","",IF(BK417="","",IF(YEAR(BK417)&lt;&gt;PlanYear,"",BM417+ROW()/1000000)))</f>
        <v>0</v>
      </c>
      <c r="BT417" s="17">
        <f>IF(Lists!$F417="","",Lists!$F417)</f>
        <v>0</v>
      </c>
      <c r="BU417" s="23">
        <f>IF(BT417="","",COUNTIF('Content Calendar'!$X$5:$X$604,BT417))</f>
        <v>0</v>
      </c>
      <c r="BV417" s="23">
        <f>IF(BT417="","",COUNTIFS('Content Calendar'!$X$5:$X$604,BT417,'Content Calendar'!$B$5:$B$604,"&gt;="&amp;DashStart,'Content Calendar'!$B$5:$B$604,"&lt;="&amp;DashEnd))</f>
        <v>0</v>
      </c>
      <c r="BW417" s="17">
        <f>IF(Team!$B$417="","",Team!$B$417)</f>
        <v>0</v>
      </c>
      <c r="BX417" s="23">
        <f>IF(BW417="","",COUNTIF('Content Calendar'!$W$5:$W$604,BW417))</f>
        <v>0</v>
      </c>
      <c r="BY417" s="23">
        <f>IF(BW417="","",COUNTIFS('Content Calendar'!$W$5:$W$604,BW417,'Content Calendar'!$X$5:$X$604,"&lt;&gt;Published"))</f>
        <v>0</v>
      </c>
      <c r="BZ417" s="23">
        <f>IF(BW417="","",COUNTIFS(Tasks!$C$5:$C$64,BW417,Tasks!$G$5:$G$64,"&lt;&gt;Complete"))</f>
        <v>0</v>
      </c>
      <c r="CA417" s="17">
        <f>IF(Campaigns!$B$417="","",Campaigns!$B$417)</f>
        <v>0</v>
      </c>
      <c r="CB417" s="25">
        <f>IF(Campaigns!$T$417="","",Campaigns!$T$417)</f>
        <v>0</v>
      </c>
      <c r="CC417" s="25">
        <f>IF(Campaigns!$Q$417="","",Campaigns!$Q$417)</f>
        <v>0</v>
      </c>
      <c r="CD417" s="23">
        <f>IF(Campaigns!$Y$417="","",Campaigns!$Y$417)</f>
        <v>0</v>
      </c>
      <c r="CE417" s="32">
        <f>IF(CA417="","",IF(N(CB417)&lt;=0,"",N(CB417)+ROW()/1000000))</f>
        <v>0</v>
      </c>
      <c r="CF417" s="17">
        <f>IF(Accounts!$C$417="","",Accounts!$C$417)</f>
        <v>0</v>
      </c>
      <c r="CG417" s="17">
        <f>IF(Accounts!$B$417="","",Accounts!$B$417)</f>
        <v>0</v>
      </c>
      <c r="CH417" s="23">
        <f>IF(Accounts!$J$417="","",Accounts!$J$417)</f>
        <v>0</v>
      </c>
      <c r="CI417" s="23">
        <f>IF(CF417="","",SUMIFS(Analytics!$X$5:$X$154,Analytics!$E$5:$E$154,CF417,Analytics!$B$5:$B$154,"&gt;="&amp;DashStart,Analytics!$B$5:$B$154,"&lt;="&amp;DashEnd))</f>
        <v>0</v>
      </c>
      <c r="CJ417" s="32">
        <f>IF(CH417="","",IF(CH417=0,"",CH417+ROW()/1000000))</f>
        <v>0</v>
      </c>
    </row>
    <row r="418" spans="1:88">
      <c r="A418" s="16">
        <f>IF(ROW()-4&gt;12,"",DATE(PlanYear,ROW()-4,1))</f>
        <v>0</v>
      </c>
      <c r="B418" s="16">
        <f>IF(A418="","",EOMONTH(A418,0))</f>
        <v>0</v>
      </c>
      <c r="C418" s="17">
        <f>IF(A418="","",TEXT(A418,"yyyy-mm"))</f>
        <v>0</v>
      </c>
      <c r="D418" s="17">
        <f>IF(A418="","",TEXT(A418,"mmm"))</f>
        <v>0</v>
      </c>
      <c r="E418" s="23">
        <f>IF(C418="","",COUNTIFS('Content Calendar'!$D$5:$D$604,C418))</f>
        <v>0</v>
      </c>
      <c r="F418" s="23">
        <f>IF(C418="","",COUNTIFS('Content Calendar'!$D$5:$D$604,C418,'Content Calendar'!$X$5:$X$604,"Published"))</f>
        <v>0</v>
      </c>
      <c r="G418" s="23">
        <f>IF(C418="","",SUMIFS(Analytics!$J$5:$J$154,Analytics!$C$5:$C$154,C418))</f>
        <v>0</v>
      </c>
      <c r="H418" s="23">
        <f>IF(C418="","",SUMIFS(Analytics!$K$5:$K$154,Analytics!$C$5:$C$154,C418))</f>
        <v>0</v>
      </c>
      <c r="I418" s="23">
        <f>IF(C418="","",SUMIFS(Analytics!$L$5:$L$154,Analytics!$C$5:$C$154,C418))</f>
        <v>0</v>
      </c>
      <c r="J418" s="24">
        <f>IF(OR(G418="",G418=0),"",I418/G418)</f>
        <v>0</v>
      </c>
      <c r="K418" s="23">
        <f>IF(C418="","",SUMIFS(Analytics!$G$5:$G$154,Analytics!$C$5:$C$154,C418))</f>
        <v>0</v>
      </c>
      <c r="L418" s="23">
        <f>IF(C418="","",SUMIFS(Analytics!$X$5:$X$154,Analytics!$C$5:$C$154,C418))</f>
        <v>0</v>
      </c>
      <c r="M418" s="23">
        <f>IF(C418="","",SUMIFS(Analytics!$R$5:$R$154,Analytics!$C$5:$C$154,C418))</f>
        <v>0</v>
      </c>
      <c r="N418" s="23">
        <f>IF(C418="","",SUMIFS(Analytics!$S$5:$S$154,Analytics!$C$5:$C$154,C418))</f>
        <v>0</v>
      </c>
      <c r="O418" s="23">
        <f>IF(C418="","",SUMIFS(Analytics!$T$5:$T$154,Analytics!$C$5:$C$154,C418))</f>
        <v>0</v>
      </c>
      <c r="P418" s="25">
        <f>IF(C418="","",SUMIFS(Analytics!$U$5:$U$154,Analytics!$C$5:$C$154,C418))</f>
        <v>0</v>
      </c>
      <c r="Q418" s="25">
        <f>IF(C418="","",SUMIFS(Budget!$H$5:$H$64,Budget!$C$5:$C$64,C418))</f>
        <v>0</v>
      </c>
      <c r="R418" s="25">
        <f>IF(C418="","",P418-Q418)</f>
        <v>0</v>
      </c>
      <c r="S418" s="23">
        <f>IF(C418="","",MonthlyPostTarget)</f>
        <v>0</v>
      </c>
      <c r="T418" s="17">
        <f>IF(Lists!$C418="","",Lists!$C418)</f>
        <v>0</v>
      </c>
      <c r="U418" s="23">
        <f>IF(T418="","",COUNTIFS('Content Calendar'!$G$5:$G$604,T418,'Content Calendar'!$B$5:$B$604,"&gt;="&amp;DashStart,'Content Calendar'!$B$5:$B$604,"&lt;="&amp;DashEnd))</f>
        <v>0</v>
      </c>
      <c r="V418" s="23">
        <f>IF(T418="","",COUNTIFS('Content Calendar'!$G$5:$G$604,T418,'Content Calendar'!$X$5:$X$604,"Published",'Content Calendar'!$B$5:$B$604,"&gt;="&amp;DashStart,'Content Calendar'!$B$5:$B$604,"&lt;="&amp;DashEnd))</f>
        <v>0</v>
      </c>
      <c r="W418" s="23">
        <f>IF(T418="","",SUMIFS(Analytics!$J$5:$J$154,Analytics!$D$5:$D$154,T418,Analytics!$B$5:$B$154,"&gt;="&amp;DashStart,Analytics!$B$5:$B$154,"&lt;="&amp;DashEnd))</f>
        <v>0</v>
      </c>
      <c r="X418" s="23">
        <f>IF(T418="","",SUMIFS(Analytics!$L$5:$L$154,Analytics!$D$5:$D$154,T418,Analytics!$B$5:$B$154,"&gt;="&amp;DashStart,Analytics!$B$5:$B$154,"&lt;="&amp;DashEnd))</f>
        <v>0</v>
      </c>
      <c r="Y418" s="24">
        <f>IF(OR(W418="",W418=0),"",X418/W418)</f>
        <v>0</v>
      </c>
      <c r="Z418" s="23">
        <f>IF(T418="","",SUMIFS(Analytics!$G$5:$G$154,Analytics!$D$5:$D$154,T418,Analytics!$B$5:$B$154,"&gt;="&amp;DashStart,Analytics!$B$5:$B$154,"&lt;="&amp;DashEnd))</f>
        <v>0</v>
      </c>
      <c r="AA418" s="23">
        <f>IF(T418="","",SUMIFS(Analytics!$X$5:$X$154,Analytics!$D$5:$D$154,T418,Analytics!$B$5:$B$154,"&gt;="&amp;DashStart,Analytics!$B$5:$B$154,"&lt;="&amp;DashEnd))</f>
        <v>0</v>
      </c>
      <c r="AB418" s="23">
        <f>IF(T418="","",SUMIFS(Analytics!$R$5:$R$154,Analytics!$D$5:$D$154,T418,Analytics!$B$5:$B$154,"&gt;="&amp;DashStart,Analytics!$B$5:$B$154,"&lt;="&amp;DashEnd))</f>
        <v>0</v>
      </c>
      <c r="AC418" s="25">
        <f>IF(T418="","",SUMIFS(Analytics!$U$5:$U$154,Analytics!$D$5:$D$154,T418,Analytics!$B$5:$B$154,"&gt;="&amp;DashStart,Analytics!$B$5:$B$154,"&lt;="&amp;DashEnd))</f>
        <v>0</v>
      </c>
      <c r="AD418" s="23">
        <f>IF(T418="","",COUNTIFS('Content Calendar'!$G$5:$G$604,T418,'Content Calendar'!$B$5:$B$604,"&gt;="&amp;DATE(PlanYear,1,1),'Content Calendar'!$B$5:$B$604,"&lt;="&amp;DATE(PlanYear,12,31)))</f>
        <v>0</v>
      </c>
      <c r="AE418" s="23">
        <f>IF(T418="","",SUMIFS(Analytics!$J$5:$J$154,Analytics!$D$5:$D$154,T418))</f>
        <v>0</v>
      </c>
      <c r="AF418" s="23">
        <f>IF(T418="","",SUMIFS(Analytics!$L$5:$L$154,Analytics!$D$5:$D$154,T418))</f>
        <v>0</v>
      </c>
      <c r="AG418" s="24">
        <f>IF(OR(AE418="",AE418=0),"",AF418/AE418)</f>
        <v>0</v>
      </c>
      <c r="AH418" s="23">
        <f>IF(T418="","",SUMIFS(Analytics!$X$5:$X$154,Analytics!$D$5:$D$154,T418))</f>
        <v>0</v>
      </c>
      <c r="AI418" s="32">
        <f>IF(T418="","",IF(AE418=0,"",AE418+ROW()/1000000))</f>
        <v>0</v>
      </c>
      <c r="AJ418" s="17">
        <f>IF('Content Pillars'!$B$418="","",'Content Pillars'!$B$418)</f>
        <v>0</v>
      </c>
      <c r="AK418" s="23">
        <f>IF(AJ418="","",COUNTIFS('Content Calendar'!$J$5:$J$604,AJ418,'Content Calendar'!$B$5:$B$604,"&gt;="&amp;DATE(PlanYear,1,1),'Content Calendar'!$B$5:$B$604,"&lt;="&amp;DATE(PlanYear,12,31)))</f>
        <v>0</v>
      </c>
      <c r="AL418" s="23">
        <f>IF(AJ418="","",SUMIFS(Performance!$O$5:$O$404,Performance!$H$5:$H$404,AJ418))</f>
        <v>0</v>
      </c>
      <c r="AM418" s="23">
        <f>IF(AJ418="","",SUMIFS(Performance!$Z$5:$Z$404,Performance!$H$5:$H$404,AJ418))</f>
        <v>0</v>
      </c>
      <c r="AN418" s="24">
        <f>IF(OR(AL418="",AL418=0),"",AM418/AL418)</f>
        <v>0</v>
      </c>
      <c r="AO418" s="32">
        <f>IF(AN418="","",AN418+ROW()/1000000)</f>
        <v>0</v>
      </c>
      <c r="AP418" s="17">
        <f>IF(Lists!$E418="","",Lists!$E418)</f>
        <v>0</v>
      </c>
      <c r="AQ418" s="23">
        <f>IF(AP418="","",COUNTIF(Performance!$G$5:$G$404,AP418))</f>
        <v>0</v>
      </c>
      <c r="AR418" s="23">
        <f>IF(AP418="","",SUMIFS(Performance!$O$5:$O$404,Performance!$G$5:$G$404,AP418))</f>
        <v>0</v>
      </c>
      <c r="AS418" s="23">
        <f>IF(AP418="","",SUMIFS(Performance!$Z$5:$Z$404,Performance!$G$5:$G$404,AP418))</f>
        <v>0</v>
      </c>
      <c r="AT418" s="24">
        <f>IF(OR(AR418="",AR418=0),"",AS418/AR418)</f>
        <v>0</v>
      </c>
      <c r="AU418" s="32">
        <f>IF(AQ418=0,"",IF(AT418="","",AT418+ROW()/1000000))</f>
        <v>0</v>
      </c>
      <c r="AV418" s="17">
        <f>IF(ROW()-4&gt;7,"",TEXT(DATE(2024,1,ROW()-4),"ddd"))</f>
        <v>0</v>
      </c>
      <c r="AW418" s="23">
        <f>IF(AV418="","",COUNTIF(Performance!$N$5:$N$404,AV418))</f>
        <v>0</v>
      </c>
      <c r="AX418" s="23">
        <f>IF(AV418="","",SUMIFS(Performance!$O$5:$O$404,Performance!$N$5:$N$404,AV418))</f>
        <v>0</v>
      </c>
      <c r="AY418" s="23">
        <f>IF(AV418="","",SUMIFS(Performance!$Z$5:$Z$404,Performance!$N$5:$N$404,AV418))</f>
        <v>0</v>
      </c>
      <c r="AZ418" s="24">
        <f>IF(OR(AX418="",AX418=0),"",AY418/AX418)</f>
        <v>0</v>
      </c>
      <c r="BA418" s="32">
        <f>IF(AW418=0,"",IF(AZ418="","",AZ418+ROW()/1000000))</f>
        <v>0</v>
      </c>
      <c r="BB418" s="17">
        <f>IF(Lists!$AL418="","",Lists!$AL418)</f>
        <v>0</v>
      </c>
      <c r="BC418" s="23">
        <f>IF(BB418="","",COUNTIF(Performance!$M$5:$M$404,BB418))</f>
        <v>0</v>
      </c>
      <c r="BD418" s="23">
        <f>IF(BB418="","",SUMIFS(Performance!$O$5:$O$404,Performance!$M$5:$M$404,BB418))</f>
        <v>0</v>
      </c>
      <c r="BE418" s="23">
        <f>IF(BB418="","",SUMIFS(Performance!$Z$5:$Z$404,Performance!$M$5:$M$404,BB418))</f>
        <v>0</v>
      </c>
      <c r="BF418" s="24">
        <f>IF(OR(BD418="",BD418=0),"",BE418/BD418)</f>
        <v>0</v>
      </c>
      <c r="BG418" s="32">
        <f>IF(BC418=0,"",IF(BF418="","",BF418+ROW()/1000000))</f>
        <v>0</v>
      </c>
      <c r="BH418" s="17">
        <f>IF(Performance!$C$418="","",Performance!$C$418)</f>
        <v>0</v>
      </c>
      <c r="BI418" s="17">
        <f>IF(Performance!$F$418="","",Performance!$F$418)</f>
        <v>0</v>
      </c>
      <c r="BJ418" s="17">
        <f>IF(Performance!$H$418="","",Performance!$H$418)</f>
        <v>0</v>
      </c>
      <c r="BK418" s="16">
        <f>IF(Performance!$D$418="","",Performance!$D$418)</f>
        <v>0</v>
      </c>
      <c r="BL418" s="17">
        <f>IF(Performance!$E$418="","",Performance!$E$418)</f>
        <v>0</v>
      </c>
      <c r="BM418" s="23">
        <f>IF(Performance!$O$418="","",Performance!$O$418)</f>
        <v>0</v>
      </c>
      <c r="BN418" s="24">
        <f>IF(Performance!$AA$418="","",Performance!$AA$418)</f>
        <v>0</v>
      </c>
      <c r="BO418" s="32">
        <f>IF(BH418="","",IF(BK418="","",IF(OR(BK418&lt;DashStart,BK418&gt;DashEnd),"",IF(BN418="","",BN418+ROW()/1000000))))</f>
        <v>0</v>
      </c>
      <c r="BP418" s="32">
        <f>IF(BM418="","",IF(BK418="","",IF(OR(BK418&lt;DashStart,BK418&gt;DashEnd),"",BM418+ROW()/1000000)))</f>
        <v>0</v>
      </c>
      <c r="BQ418" s="32">
        <f>IF(BH418="","",IF(BK418="","",IF(YEAR(BK418)&lt;&gt;PlanYear,"",IF(BN418="","",BN418+ROW()/1000000))))</f>
        <v>0</v>
      </c>
      <c r="BR418" s="32">
        <f>IF(BH418="","",IF(BK418="","",IF(OR(BK418&lt;RepFrom,BK418&gt;RepTo),"",IF(BN418="","",BN418+ROW()/1000000))))</f>
        <v>0</v>
      </c>
      <c r="BS418" s="32">
        <f>IF(BM418="","",IF(BK418="","",IF(YEAR(BK418)&lt;&gt;PlanYear,"",BM418+ROW()/1000000)))</f>
        <v>0</v>
      </c>
      <c r="BT418" s="17">
        <f>IF(Lists!$F418="","",Lists!$F418)</f>
        <v>0</v>
      </c>
      <c r="BU418" s="23">
        <f>IF(BT418="","",COUNTIF('Content Calendar'!$X$5:$X$604,BT418))</f>
        <v>0</v>
      </c>
      <c r="BV418" s="23">
        <f>IF(BT418="","",COUNTIFS('Content Calendar'!$X$5:$X$604,BT418,'Content Calendar'!$B$5:$B$604,"&gt;="&amp;DashStart,'Content Calendar'!$B$5:$B$604,"&lt;="&amp;DashEnd))</f>
        <v>0</v>
      </c>
      <c r="BW418" s="17">
        <f>IF(Team!$B$418="","",Team!$B$418)</f>
        <v>0</v>
      </c>
      <c r="BX418" s="23">
        <f>IF(BW418="","",COUNTIF('Content Calendar'!$W$5:$W$604,BW418))</f>
        <v>0</v>
      </c>
      <c r="BY418" s="23">
        <f>IF(BW418="","",COUNTIFS('Content Calendar'!$W$5:$W$604,BW418,'Content Calendar'!$X$5:$X$604,"&lt;&gt;Published"))</f>
        <v>0</v>
      </c>
      <c r="BZ418" s="23">
        <f>IF(BW418="","",COUNTIFS(Tasks!$C$5:$C$64,BW418,Tasks!$G$5:$G$64,"&lt;&gt;Complete"))</f>
        <v>0</v>
      </c>
      <c r="CA418" s="17">
        <f>IF(Campaigns!$B$418="","",Campaigns!$B$418)</f>
        <v>0</v>
      </c>
      <c r="CB418" s="25">
        <f>IF(Campaigns!$T$418="","",Campaigns!$T$418)</f>
        <v>0</v>
      </c>
      <c r="CC418" s="25">
        <f>IF(Campaigns!$Q$418="","",Campaigns!$Q$418)</f>
        <v>0</v>
      </c>
      <c r="CD418" s="23">
        <f>IF(Campaigns!$Y$418="","",Campaigns!$Y$418)</f>
        <v>0</v>
      </c>
      <c r="CE418" s="32">
        <f>IF(CA418="","",IF(N(CB418)&lt;=0,"",N(CB418)+ROW()/1000000))</f>
        <v>0</v>
      </c>
      <c r="CF418" s="17">
        <f>IF(Accounts!$C$418="","",Accounts!$C$418)</f>
        <v>0</v>
      </c>
      <c r="CG418" s="17">
        <f>IF(Accounts!$B$418="","",Accounts!$B$418)</f>
        <v>0</v>
      </c>
      <c r="CH418" s="23">
        <f>IF(Accounts!$J$418="","",Accounts!$J$418)</f>
        <v>0</v>
      </c>
      <c r="CI418" s="23">
        <f>IF(CF418="","",SUMIFS(Analytics!$X$5:$X$154,Analytics!$E$5:$E$154,CF418,Analytics!$B$5:$B$154,"&gt;="&amp;DashStart,Analytics!$B$5:$B$154,"&lt;="&amp;DashEnd))</f>
        <v>0</v>
      </c>
      <c r="CJ418" s="32">
        <f>IF(CH418="","",IF(CH418=0,"",CH418+ROW()/1000000))</f>
        <v>0</v>
      </c>
    </row>
    <row r="419" spans="1:88">
      <c r="A419" s="16">
        <f>IF(ROW()-4&gt;12,"",DATE(PlanYear,ROW()-4,1))</f>
        <v>0</v>
      </c>
      <c r="B419" s="16">
        <f>IF(A419="","",EOMONTH(A419,0))</f>
        <v>0</v>
      </c>
      <c r="C419" s="17">
        <f>IF(A419="","",TEXT(A419,"yyyy-mm"))</f>
        <v>0</v>
      </c>
      <c r="D419" s="17">
        <f>IF(A419="","",TEXT(A419,"mmm"))</f>
        <v>0</v>
      </c>
      <c r="E419" s="23">
        <f>IF(C419="","",COUNTIFS('Content Calendar'!$D$5:$D$604,C419))</f>
        <v>0</v>
      </c>
      <c r="F419" s="23">
        <f>IF(C419="","",COUNTIFS('Content Calendar'!$D$5:$D$604,C419,'Content Calendar'!$X$5:$X$604,"Published"))</f>
        <v>0</v>
      </c>
      <c r="G419" s="23">
        <f>IF(C419="","",SUMIFS(Analytics!$J$5:$J$154,Analytics!$C$5:$C$154,C419))</f>
        <v>0</v>
      </c>
      <c r="H419" s="23">
        <f>IF(C419="","",SUMIFS(Analytics!$K$5:$K$154,Analytics!$C$5:$C$154,C419))</f>
        <v>0</v>
      </c>
      <c r="I419" s="23">
        <f>IF(C419="","",SUMIFS(Analytics!$L$5:$L$154,Analytics!$C$5:$C$154,C419))</f>
        <v>0</v>
      </c>
      <c r="J419" s="24">
        <f>IF(OR(G419="",G419=0),"",I419/G419)</f>
        <v>0</v>
      </c>
      <c r="K419" s="23">
        <f>IF(C419="","",SUMIFS(Analytics!$G$5:$G$154,Analytics!$C$5:$C$154,C419))</f>
        <v>0</v>
      </c>
      <c r="L419" s="23">
        <f>IF(C419="","",SUMIFS(Analytics!$X$5:$X$154,Analytics!$C$5:$C$154,C419))</f>
        <v>0</v>
      </c>
      <c r="M419" s="23">
        <f>IF(C419="","",SUMIFS(Analytics!$R$5:$R$154,Analytics!$C$5:$C$154,C419))</f>
        <v>0</v>
      </c>
      <c r="N419" s="23">
        <f>IF(C419="","",SUMIFS(Analytics!$S$5:$S$154,Analytics!$C$5:$C$154,C419))</f>
        <v>0</v>
      </c>
      <c r="O419" s="23">
        <f>IF(C419="","",SUMIFS(Analytics!$T$5:$T$154,Analytics!$C$5:$C$154,C419))</f>
        <v>0</v>
      </c>
      <c r="P419" s="25">
        <f>IF(C419="","",SUMIFS(Analytics!$U$5:$U$154,Analytics!$C$5:$C$154,C419))</f>
        <v>0</v>
      </c>
      <c r="Q419" s="25">
        <f>IF(C419="","",SUMIFS(Budget!$H$5:$H$64,Budget!$C$5:$C$64,C419))</f>
        <v>0</v>
      </c>
      <c r="R419" s="25">
        <f>IF(C419="","",P419-Q419)</f>
        <v>0</v>
      </c>
      <c r="S419" s="23">
        <f>IF(C419="","",MonthlyPostTarget)</f>
        <v>0</v>
      </c>
      <c r="T419" s="17">
        <f>IF(Lists!$C419="","",Lists!$C419)</f>
        <v>0</v>
      </c>
      <c r="U419" s="23">
        <f>IF(T419="","",COUNTIFS('Content Calendar'!$G$5:$G$604,T419,'Content Calendar'!$B$5:$B$604,"&gt;="&amp;DashStart,'Content Calendar'!$B$5:$B$604,"&lt;="&amp;DashEnd))</f>
        <v>0</v>
      </c>
      <c r="V419" s="23">
        <f>IF(T419="","",COUNTIFS('Content Calendar'!$G$5:$G$604,T419,'Content Calendar'!$X$5:$X$604,"Published",'Content Calendar'!$B$5:$B$604,"&gt;="&amp;DashStart,'Content Calendar'!$B$5:$B$604,"&lt;="&amp;DashEnd))</f>
        <v>0</v>
      </c>
      <c r="W419" s="23">
        <f>IF(T419="","",SUMIFS(Analytics!$J$5:$J$154,Analytics!$D$5:$D$154,T419,Analytics!$B$5:$B$154,"&gt;="&amp;DashStart,Analytics!$B$5:$B$154,"&lt;="&amp;DashEnd))</f>
        <v>0</v>
      </c>
      <c r="X419" s="23">
        <f>IF(T419="","",SUMIFS(Analytics!$L$5:$L$154,Analytics!$D$5:$D$154,T419,Analytics!$B$5:$B$154,"&gt;="&amp;DashStart,Analytics!$B$5:$B$154,"&lt;="&amp;DashEnd))</f>
        <v>0</v>
      </c>
      <c r="Y419" s="24">
        <f>IF(OR(W419="",W419=0),"",X419/W419)</f>
        <v>0</v>
      </c>
      <c r="Z419" s="23">
        <f>IF(T419="","",SUMIFS(Analytics!$G$5:$G$154,Analytics!$D$5:$D$154,T419,Analytics!$B$5:$B$154,"&gt;="&amp;DashStart,Analytics!$B$5:$B$154,"&lt;="&amp;DashEnd))</f>
        <v>0</v>
      </c>
      <c r="AA419" s="23">
        <f>IF(T419="","",SUMIFS(Analytics!$X$5:$X$154,Analytics!$D$5:$D$154,T419,Analytics!$B$5:$B$154,"&gt;="&amp;DashStart,Analytics!$B$5:$B$154,"&lt;="&amp;DashEnd))</f>
        <v>0</v>
      </c>
      <c r="AB419" s="23">
        <f>IF(T419="","",SUMIFS(Analytics!$R$5:$R$154,Analytics!$D$5:$D$154,T419,Analytics!$B$5:$B$154,"&gt;="&amp;DashStart,Analytics!$B$5:$B$154,"&lt;="&amp;DashEnd))</f>
        <v>0</v>
      </c>
      <c r="AC419" s="25">
        <f>IF(T419="","",SUMIFS(Analytics!$U$5:$U$154,Analytics!$D$5:$D$154,T419,Analytics!$B$5:$B$154,"&gt;="&amp;DashStart,Analytics!$B$5:$B$154,"&lt;="&amp;DashEnd))</f>
        <v>0</v>
      </c>
      <c r="AD419" s="23">
        <f>IF(T419="","",COUNTIFS('Content Calendar'!$G$5:$G$604,T419,'Content Calendar'!$B$5:$B$604,"&gt;="&amp;DATE(PlanYear,1,1),'Content Calendar'!$B$5:$B$604,"&lt;="&amp;DATE(PlanYear,12,31)))</f>
        <v>0</v>
      </c>
      <c r="AE419" s="23">
        <f>IF(T419="","",SUMIFS(Analytics!$J$5:$J$154,Analytics!$D$5:$D$154,T419))</f>
        <v>0</v>
      </c>
      <c r="AF419" s="23">
        <f>IF(T419="","",SUMIFS(Analytics!$L$5:$L$154,Analytics!$D$5:$D$154,T419))</f>
        <v>0</v>
      </c>
      <c r="AG419" s="24">
        <f>IF(OR(AE419="",AE419=0),"",AF419/AE419)</f>
        <v>0</v>
      </c>
      <c r="AH419" s="23">
        <f>IF(T419="","",SUMIFS(Analytics!$X$5:$X$154,Analytics!$D$5:$D$154,T419))</f>
        <v>0</v>
      </c>
      <c r="AI419" s="32">
        <f>IF(T419="","",IF(AE419=0,"",AE419+ROW()/1000000))</f>
        <v>0</v>
      </c>
      <c r="AJ419" s="17">
        <f>IF('Content Pillars'!$B$419="","",'Content Pillars'!$B$419)</f>
        <v>0</v>
      </c>
      <c r="AK419" s="23">
        <f>IF(AJ419="","",COUNTIFS('Content Calendar'!$J$5:$J$604,AJ419,'Content Calendar'!$B$5:$B$604,"&gt;="&amp;DATE(PlanYear,1,1),'Content Calendar'!$B$5:$B$604,"&lt;="&amp;DATE(PlanYear,12,31)))</f>
        <v>0</v>
      </c>
      <c r="AL419" s="23">
        <f>IF(AJ419="","",SUMIFS(Performance!$O$5:$O$404,Performance!$H$5:$H$404,AJ419))</f>
        <v>0</v>
      </c>
      <c r="AM419" s="23">
        <f>IF(AJ419="","",SUMIFS(Performance!$Z$5:$Z$404,Performance!$H$5:$H$404,AJ419))</f>
        <v>0</v>
      </c>
      <c r="AN419" s="24">
        <f>IF(OR(AL419="",AL419=0),"",AM419/AL419)</f>
        <v>0</v>
      </c>
      <c r="AO419" s="32">
        <f>IF(AN419="","",AN419+ROW()/1000000)</f>
        <v>0</v>
      </c>
      <c r="AP419" s="17">
        <f>IF(Lists!$E419="","",Lists!$E419)</f>
        <v>0</v>
      </c>
      <c r="AQ419" s="23">
        <f>IF(AP419="","",COUNTIF(Performance!$G$5:$G$404,AP419))</f>
        <v>0</v>
      </c>
      <c r="AR419" s="23">
        <f>IF(AP419="","",SUMIFS(Performance!$O$5:$O$404,Performance!$G$5:$G$404,AP419))</f>
        <v>0</v>
      </c>
      <c r="AS419" s="23">
        <f>IF(AP419="","",SUMIFS(Performance!$Z$5:$Z$404,Performance!$G$5:$G$404,AP419))</f>
        <v>0</v>
      </c>
      <c r="AT419" s="24">
        <f>IF(OR(AR419="",AR419=0),"",AS419/AR419)</f>
        <v>0</v>
      </c>
      <c r="AU419" s="32">
        <f>IF(AQ419=0,"",IF(AT419="","",AT419+ROW()/1000000))</f>
        <v>0</v>
      </c>
      <c r="AV419" s="17">
        <f>IF(ROW()-4&gt;7,"",TEXT(DATE(2024,1,ROW()-4),"ddd"))</f>
        <v>0</v>
      </c>
      <c r="AW419" s="23">
        <f>IF(AV419="","",COUNTIF(Performance!$N$5:$N$404,AV419))</f>
        <v>0</v>
      </c>
      <c r="AX419" s="23">
        <f>IF(AV419="","",SUMIFS(Performance!$O$5:$O$404,Performance!$N$5:$N$404,AV419))</f>
        <v>0</v>
      </c>
      <c r="AY419" s="23">
        <f>IF(AV419="","",SUMIFS(Performance!$Z$5:$Z$404,Performance!$N$5:$N$404,AV419))</f>
        <v>0</v>
      </c>
      <c r="AZ419" s="24">
        <f>IF(OR(AX419="",AX419=0),"",AY419/AX419)</f>
        <v>0</v>
      </c>
      <c r="BA419" s="32">
        <f>IF(AW419=0,"",IF(AZ419="","",AZ419+ROW()/1000000))</f>
        <v>0</v>
      </c>
      <c r="BB419" s="17">
        <f>IF(Lists!$AL419="","",Lists!$AL419)</f>
        <v>0</v>
      </c>
      <c r="BC419" s="23">
        <f>IF(BB419="","",COUNTIF(Performance!$M$5:$M$404,BB419))</f>
        <v>0</v>
      </c>
      <c r="BD419" s="23">
        <f>IF(BB419="","",SUMIFS(Performance!$O$5:$O$404,Performance!$M$5:$M$404,BB419))</f>
        <v>0</v>
      </c>
      <c r="BE419" s="23">
        <f>IF(BB419="","",SUMIFS(Performance!$Z$5:$Z$404,Performance!$M$5:$M$404,BB419))</f>
        <v>0</v>
      </c>
      <c r="BF419" s="24">
        <f>IF(OR(BD419="",BD419=0),"",BE419/BD419)</f>
        <v>0</v>
      </c>
      <c r="BG419" s="32">
        <f>IF(BC419=0,"",IF(BF419="","",BF419+ROW()/1000000))</f>
        <v>0</v>
      </c>
      <c r="BH419" s="17">
        <f>IF(Performance!$C$419="","",Performance!$C$419)</f>
        <v>0</v>
      </c>
      <c r="BI419" s="17">
        <f>IF(Performance!$F$419="","",Performance!$F$419)</f>
        <v>0</v>
      </c>
      <c r="BJ419" s="17">
        <f>IF(Performance!$H$419="","",Performance!$H$419)</f>
        <v>0</v>
      </c>
      <c r="BK419" s="16">
        <f>IF(Performance!$D$419="","",Performance!$D$419)</f>
        <v>0</v>
      </c>
      <c r="BL419" s="17">
        <f>IF(Performance!$E$419="","",Performance!$E$419)</f>
        <v>0</v>
      </c>
      <c r="BM419" s="23">
        <f>IF(Performance!$O$419="","",Performance!$O$419)</f>
        <v>0</v>
      </c>
      <c r="BN419" s="24">
        <f>IF(Performance!$AA$419="","",Performance!$AA$419)</f>
        <v>0</v>
      </c>
      <c r="BO419" s="32">
        <f>IF(BH419="","",IF(BK419="","",IF(OR(BK419&lt;DashStart,BK419&gt;DashEnd),"",IF(BN419="","",BN419+ROW()/1000000))))</f>
        <v>0</v>
      </c>
      <c r="BP419" s="32">
        <f>IF(BM419="","",IF(BK419="","",IF(OR(BK419&lt;DashStart,BK419&gt;DashEnd),"",BM419+ROW()/1000000)))</f>
        <v>0</v>
      </c>
      <c r="BQ419" s="32">
        <f>IF(BH419="","",IF(BK419="","",IF(YEAR(BK419)&lt;&gt;PlanYear,"",IF(BN419="","",BN419+ROW()/1000000))))</f>
        <v>0</v>
      </c>
      <c r="BR419" s="32">
        <f>IF(BH419="","",IF(BK419="","",IF(OR(BK419&lt;RepFrom,BK419&gt;RepTo),"",IF(BN419="","",BN419+ROW()/1000000))))</f>
        <v>0</v>
      </c>
      <c r="BS419" s="32">
        <f>IF(BM419="","",IF(BK419="","",IF(YEAR(BK419)&lt;&gt;PlanYear,"",BM419+ROW()/1000000)))</f>
        <v>0</v>
      </c>
      <c r="BT419" s="17">
        <f>IF(Lists!$F419="","",Lists!$F419)</f>
        <v>0</v>
      </c>
      <c r="BU419" s="23">
        <f>IF(BT419="","",COUNTIF('Content Calendar'!$X$5:$X$604,BT419))</f>
        <v>0</v>
      </c>
      <c r="BV419" s="23">
        <f>IF(BT419="","",COUNTIFS('Content Calendar'!$X$5:$X$604,BT419,'Content Calendar'!$B$5:$B$604,"&gt;="&amp;DashStart,'Content Calendar'!$B$5:$B$604,"&lt;="&amp;DashEnd))</f>
        <v>0</v>
      </c>
      <c r="BW419" s="17">
        <f>IF(Team!$B$419="","",Team!$B$419)</f>
        <v>0</v>
      </c>
      <c r="BX419" s="23">
        <f>IF(BW419="","",COUNTIF('Content Calendar'!$W$5:$W$604,BW419))</f>
        <v>0</v>
      </c>
      <c r="BY419" s="23">
        <f>IF(BW419="","",COUNTIFS('Content Calendar'!$W$5:$W$604,BW419,'Content Calendar'!$X$5:$X$604,"&lt;&gt;Published"))</f>
        <v>0</v>
      </c>
      <c r="BZ419" s="23">
        <f>IF(BW419="","",COUNTIFS(Tasks!$C$5:$C$64,BW419,Tasks!$G$5:$G$64,"&lt;&gt;Complete"))</f>
        <v>0</v>
      </c>
      <c r="CA419" s="17">
        <f>IF(Campaigns!$B$419="","",Campaigns!$B$419)</f>
        <v>0</v>
      </c>
      <c r="CB419" s="25">
        <f>IF(Campaigns!$T$419="","",Campaigns!$T$419)</f>
        <v>0</v>
      </c>
      <c r="CC419" s="25">
        <f>IF(Campaigns!$Q$419="","",Campaigns!$Q$419)</f>
        <v>0</v>
      </c>
      <c r="CD419" s="23">
        <f>IF(Campaigns!$Y$419="","",Campaigns!$Y$419)</f>
        <v>0</v>
      </c>
      <c r="CE419" s="32">
        <f>IF(CA419="","",IF(N(CB419)&lt;=0,"",N(CB419)+ROW()/1000000))</f>
        <v>0</v>
      </c>
      <c r="CF419" s="17">
        <f>IF(Accounts!$C$419="","",Accounts!$C$419)</f>
        <v>0</v>
      </c>
      <c r="CG419" s="17">
        <f>IF(Accounts!$B$419="","",Accounts!$B$419)</f>
        <v>0</v>
      </c>
      <c r="CH419" s="23">
        <f>IF(Accounts!$J$419="","",Accounts!$J$419)</f>
        <v>0</v>
      </c>
      <c r="CI419" s="23">
        <f>IF(CF419="","",SUMIFS(Analytics!$X$5:$X$154,Analytics!$E$5:$E$154,CF419,Analytics!$B$5:$B$154,"&gt;="&amp;DashStart,Analytics!$B$5:$B$154,"&lt;="&amp;DashEnd))</f>
        <v>0</v>
      </c>
      <c r="CJ419" s="32">
        <f>IF(CH419="","",IF(CH419=0,"",CH419+ROW()/1000000))</f>
        <v>0</v>
      </c>
    </row>
    <row r="420" spans="1:88">
      <c r="A420" s="16">
        <f>IF(ROW()-4&gt;12,"",DATE(PlanYear,ROW()-4,1))</f>
        <v>0</v>
      </c>
      <c r="B420" s="16">
        <f>IF(A420="","",EOMONTH(A420,0))</f>
        <v>0</v>
      </c>
      <c r="C420" s="17">
        <f>IF(A420="","",TEXT(A420,"yyyy-mm"))</f>
        <v>0</v>
      </c>
      <c r="D420" s="17">
        <f>IF(A420="","",TEXT(A420,"mmm"))</f>
        <v>0</v>
      </c>
      <c r="E420" s="23">
        <f>IF(C420="","",COUNTIFS('Content Calendar'!$D$5:$D$604,C420))</f>
        <v>0</v>
      </c>
      <c r="F420" s="23">
        <f>IF(C420="","",COUNTIFS('Content Calendar'!$D$5:$D$604,C420,'Content Calendar'!$X$5:$X$604,"Published"))</f>
        <v>0</v>
      </c>
      <c r="G420" s="23">
        <f>IF(C420="","",SUMIFS(Analytics!$J$5:$J$154,Analytics!$C$5:$C$154,C420))</f>
        <v>0</v>
      </c>
      <c r="H420" s="23">
        <f>IF(C420="","",SUMIFS(Analytics!$K$5:$K$154,Analytics!$C$5:$C$154,C420))</f>
        <v>0</v>
      </c>
      <c r="I420" s="23">
        <f>IF(C420="","",SUMIFS(Analytics!$L$5:$L$154,Analytics!$C$5:$C$154,C420))</f>
        <v>0</v>
      </c>
      <c r="J420" s="24">
        <f>IF(OR(G420="",G420=0),"",I420/G420)</f>
        <v>0</v>
      </c>
      <c r="K420" s="23">
        <f>IF(C420="","",SUMIFS(Analytics!$G$5:$G$154,Analytics!$C$5:$C$154,C420))</f>
        <v>0</v>
      </c>
      <c r="L420" s="23">
        <f>IF(C420="","",SUMIFS(Analytics!$X$5:$X$154,Analytics!$C$5:$C$154,C420))</f>
        <v>0</v>
      </c>
      <c r="M420" s="23">
        <f>IF(C420="","",SUMIFS(Analytics!$R$5:$R$154,Analytics!$C$5:$C$154,C420))</f>
        <v>0</v>
      </c>
      <c r="N420" s="23">
        <f>IF(C420="","",SUMIFS(Analytics!$S$5:$S$154,Analytics!$C$5:$C$154,C420))</f>
        <v>0</v>
      </c>
      <c r="O420" s="23">
        <f>IF(C420="","",SUMIFS(Analytics!$T$5:$T$154,Analytics!$C$5:$C$154,C420))</f>
        <v>0</v>
      </c>
      <c r="P420" s="25">
        <f>IF(C420="","",SUMIFS(Analytics!$U$5:$U$154,Analytics!$C$5:$C$154,C420))</f>
        <v>0</v>
      </c>
      <c r="Q420" s="25">
        <f>IF(C420="","",SUMIFS(Budget!$H$5:$H$64,Budget!$C$5:$C$64,C420))</f>
        <v>0</v>
      </c>
      <c r="R420" s="25">
        <f>IF(C420="","",P420-Q420)</f>
        <v>0</v>
      </c>
      <c r="S420" s="23">
        <f>IF(C420="","",MonthlyPostTarget)</f>
        <v>0</v>
      </c>
      <c r="T420" s="17">
        <f>IF(Lists!$C420="","",Lists!$C420)</f>
        <v>0</v>
      </c>
      <c r="U420" s="23">
        <f>IF(T420="","",COUNTIFS('Content Calendar'!$G$5:$G$604,T420,'Content Calendar'!$B$5:$B$604,"&gt;="&amp;DashStart,'Content Calendar'!$B$5:$B$604,"&lt;="&amp;DashEnd))</f>
        <v>0</v>
      </c>
      <c r="V420" s="23">
        <f>IF(T420="","",COUNTIFS('Content Calendar'!$G$5:$G$604,T420,'Content Calendar'!$X$5:$X$604,"Published",'Content Calendar'!$B$5:$B$604,"&gt;="&amp;DashStart,'Content Calendar'!$B$5:$B$604,"&lt;="&amp;DashEnd))</f>
        <v>0</v>
      </c>
      <c r="W420" s="23">
        <f>IF(T420="","",SUMIFS(Analytics!$J$5:$J$154,Analytics!$D$5:$D$154,T420,Analytics!$B$5:$B$154,"&gt;="&amp;DashStart,Analytics!$B$5:$B$154,"&lt;="&amp;DashEnd))</f>
        <v>0</v>
      </c>
      <c r="X420" s="23">
        <f>IF(T420="","",SUMIFS(Analytics!$L$5:$L$154,Analytics!$D$5:$D$154,T420,Analytics!$B$5:$B$154,"&gt;="&amp;DashStart,Analytics!$B$5:$B$154,"&lt;="&amp;DashEnd))</f>
        <v>0</v>
      </c>
      <c r="Y420" s="24">
        <f>IF(OR(W420="",W420=0),"",X420/W420)</f>
        <v>0</v>
      </c>
      <c r="Z420" s="23">
        <f>IF(T420="","",SUMIFS(Analytics!$G$5:$G$154,Analytics!$D$5:$D$154,T420,Analytics!$B$5:$B$154,"&gt;="&amp;DashStart,Analytics!$B$5:$B$154,"&lt;="&amp;DashEnd))</f>
        <v>0</v>
      </c>
      <c r="AA420" s="23">
        <f>IF(T420="","",SUMIFS(Analytics!$X$5:$X$154,Analytics!$D$5:$D$154,T420,Analytics!$B$5:$B$154,"&gt;="&amp;DashStart,Analytics!$B$5:$B$154,"&lt;="&amp;DashEnd))</f>
        <v>0</v>
      </c>
      <c r="AB420" s="23">
        <f>IF(T420="","",SUMIFS(Analytics!$R$5:$R$154,Analytics!$D$5:$D$154,T420,Analytics!$B$5:$B$154,"&gt;="&amp;DashStart,Analytics!$B$5:$B$154,"&lt;="&amp;DashEnd))</f>
        <v>0</v>
      </c>
      <c r="AC420" s="25">
        <f>IF(T420="","",SUMIFS(Analytics!$U$5:$U$154,Analytics!$D$5:$D$154,T420,Analytics!$B$5:$B$154,"&gt;="&amp;DashStart,Analytics!$B$5:$B$154,"&lt;="&amp;DashEnd))</f>
        <v>0</v>
      </c>
      <c r="AD420" s="23">
        <f>IF(T420="","",COUNTIFS('Content Calendar'!$G$5:$G$604,T420,'Content Calendar'!$B$5:$B$604,"&gt;="&amp;DATE(PlanYear,1,1),'Content Calendar'!$B$5:$B$604,"&lt;="&amp;DATE(PlanYear,12,31)))</f>
        <v>0</v>
      </c>
      <c r="AE420" s="23">
        <f>IF(T420="","",SUMIFS(Analytics!$J$5:$J$154,Analytics!$D$5:$D$154,T420))</f>
        <v>0</v>
      </c>
      <c r="AF420" s="23">
        <f>IF(T420="","",SUMIFS(Analytics!$L$5:$L$154,Analytics!$D$5:$D$154,T420))</f>
        <v>0</v>
      </c>
      <c r="AG420" s="24">
        <f>IF(OR(AE420="",AE420=0),"",AF420/AE420)</f>
        <v>0</v>
      </c>
      <c r="AH420" s="23">
        <f>IF(T420="","",SUMIFS(Analytics!$X$5:$X$154,Analytics!$D$5:$D$154,T420))</f>
        <v>0</v>
      </c>
      <c r="AI420" s="32">
        <f>IF(T420="","",IF(AE420=0,"",AE420+ROW()/1000000))</f>
        <v>0</v>
      </c>
      <c r="AJ420" s="17">
        <f>IF('Content Pillars'!$B$420="","",'Content Pillars'!$B$420)</f>
        <v>0</v>
      </c>
      <c r="AK420" s="23">
        <f>IF(AJ420="","",COUNTIFS('Content Calendar'!$J$5:$J$604,AJ420,'Content Calendar'!$B$5:$B$604,"&gt;="&amp;DATE(PlanYear,1,1),'Content Calendar'!$B$5:$B$604,"&lt;="&amp;DATE(PlanYear,12,31)))</f>
        <v>0</v>
      </c>
      <c r="AL420" s="23">
        <f>IF(AJ420="","",SUMIFS(Performance!$O$5:$O$404,Performance!$H$5:$H$404,AJ420))</f>
        <v>0</v>
      </c>
      <c r="AM420" s="23">
        <f>IF(AJ420="","",SUMIFS(Performance!$Z$5:$Z$404,Performance!$H$5:$H$404,AJ420))</f>
        <v>0</v>
      </c>
      <c r="AN420" s="24">
        <f>IF(OR(AL420="",AL420=0),"",AM420/AL420)</f>
        <v>0</v>
      </c>
      <c r="AO420" s="32">
        <f>IF(AN420="","",AN420+ROW()/1000000)</f>
        <v>0</v>
      </c>
      <c r="AP420" s="17">
        <f>IF(Lists!$E420="","",Lists!$E420)</f>
        <v>0</v>
      </c>
      <c r="AQ420" s="23">
        <f>IF(AP420="","",COUNTIF(Performance!$G$5:$G$404,AP420))</f>
        <v>0</v>
      </c>
      <c r="AR420" s="23">
        <f>IF(AP420="","",SUMIFS(Performance!$O$5:$O$404,Performance!$G$5:$G$404,AP420))</f>
        <v>0</v>
      </c>
      <c r="AS420" s="23">
        <f>IF(AP420="","",SUMIFS(Performance!$Z$5:$Z$404,Performance!$G$5:$G$404,AP420))</f>
        <v>0</v>
      </c>
      <c r="AT420" s="24">
        <f>IF(OR(AR420="",AR420=0),"",AS420/AR420)</f>
        <v>0</v>
      </c>
      <c r="AU420" s="32">
        <f>IF(AQ420=0,"",IF(AT420="","",AT420+ROW()/1000000))</f>
        <v>0</v>
      </c>
      <c r="AV420" s="17">
        <f>IF(ROW()-4&gt;7,"",TEXT(DATE(2024,1,ROW()-4),"ddd"))</f>
        <v>0</v>
      </c>
      <c r="AW420" s="23">
        <f>IF(AV420="","",COUNTIF(Performance!$N$5:$N$404,AV420))</f>
        <v>0</v>
      </c>
      <c r="AX420" s="23">
        <f>IF(AV420="","",SUMIFS(Performance!$O$5:$O$404,Performance!$N$5:$N$404,AV420))</f>
        <v>0</v>
      </c>
      <c r="AY420" s="23">
        <f>IF(AV420="","",SUMIFS(Performance!$Z$5:$Z$404,Performance!$N$5:$N$404,AV420))</f>
        <v>0</v>
      </c>
      <c r="AZ420" s="24">
        <f>IF(OR(AX420="",AX420=0),"",AY420/AX420)</f>
        <v>0</v>
      </c>
      <c r="BA420" s="32">
        <f>IF(AW420=0,"",IF(AZ420="","",AZ420+ROW()/1000000))</f>
        <v>0</v>
      </c>
      <c r="BB420" s="17">
        <f>IF(Lists!$AL420="","",Lists!$AL420)</f>
        <v>0</v>
      </c>
      <c r="BC420" s="23">
        <f>IF(BB420="","",COUNTIF(Performance!$M$5:$M$404,BB420))</f>
        <v>0</v>
      </c>
      <c r="BD420" s="23">
        <f>IF(BB420="","",SUMIFS(Performance!$O$5:$O$404,Performance!$M$5:$M$404,BB420))</f>
        <v>0</v>
      </c>
      <c r="BE420" s="23">
        <f>IF(BB420="","",SUMIFS(Performance!$Z$5:$Z$404,Performance!$M$5:$M$404,BB420))</f>
        <v>0</v>
      </c>
      <c r="BF420" s="24">
        <f>IF(OR(BD420="",BD420=0),"",BE420/BD420)</f>
        <v>0</v>
      </c>
      <c r="BG420" s="32">
        <f>IF(BC420=0,"",IF(BF420="","",BF420+ROW()/1000000))</f>
        <v>0</v>
      </c>
      <c r="BH420" s="17">
        <f>IF(Performance!$C$420="","",Performance!$C$420)</f>
        <v>0</v>
      </c>
      <c r="BI420" s="17">
        <f>IF(Performance!$F$420="","",Performance!$F$420)</f>
        <v>0</v>
      </c>
      <c r="BJ420" s="17">
        <f>IF(Performance!$H$420="","",Performance!$H$420)</f>
        <v>0</v>
      </c>
      <c r="BK420" s="16">
        <f>IF(Performance!$D$420="","",Performance!$D$420)</f>
        <v>0</v>
      </c>
      <c r="BL420" s="17">
        <f>IF(Performance!$E$420="","",Performance!$E$420)</f>
        <v>0</v>
      </c>
      <c r="BM420" s="23">
        <f>IF(Performance!$O$420="","",Performance!$O$420)</f>
        <v>0</v>
      </c>
      <c r="BN420" s="24">
        <f>IF(Performance!$AA$420="","",Performance!$AA$420)</f>
        <v>0</v>
      </c>
      <c r="BO420" s="32">
        <f>IF(BH420="","",IF(BK420="","",IF(OR(BK420&lt;DashStart,BK420&gt;DashEnd),"",IF(BN420="","",BN420+ROW()/1000000))))</f>
        <v>0</v>
      </c>
      <c r="BP420" s="32">
        <f>IF(BM420="","",IF(BK420="","",IF(OR(BK420&lt;DashStart,BK420&gt;DashEnd),"",BM420+ROW()/1000000)))</f>
        <v>0</v>
      </c>
      <c r="BQ420" s="32">
        <f>IF(BH420="","",IF(BK420="","",IF(YEAR(BK420)&lt;&gt;PlanYear,"",IF(BN420="","",BN420+ROW()/1000000))))</f>
        <v>0</v>
      </c>
      <c r="BR420" s="32">
        <f>IF(BH420="","",IF(BK420="","",IF(OR(BK420&lt;RepFrom,BK420&gt;RepTo),"",IF(BN420="","",BN420+ROW()/1000000))))</f>
        <v>0</v>
      </c>
      <c r="BS420" s="32">
        <f>IF(BM420="","",IF(BK420="","",IF(YEAR(BK420)&lt;&gt;PlanYear,"",BM420+ROW()/1000000)))</f>
        <v>0</v>
      </c>
      <c r="BT420" s="17">
        <f>IF(Lists!$F420="","",Lists!$F420)</f>
        <v>0</v>
      </c>
      <c r="BU420" s="23">
        <f>IF(BT420="","",COUNTIF('Content Calendar'!$X$5:$X$604,BT420))</f>
        <v>0</v>
      </c>
      <c r="BV420" s="23">
        <f>IF(BT420="","",COUNTIFS('Content Calendar'!$X$5:$X$604,BT420,'Content Calendar'!$B$5:$B$604,"&gt;="&amp;DashStart,'Content Calendar'!$B$5:$B$604,"&lt;="&amp;DashEnd))</f>
        <v>0</v>
      </c>
      <c r="BW420" s="17">
        <f>IF(Team!$B$420="","",Team!$B$420)</f>
        <v>0</v>
      </c>
      <c r="BX420" s="23">
        <f>IF(BW420="","",COUNTIF('Content Calendar'!$W$5:$W$604,BW420))</f>
        <v>0</v>
      </c>
      <c r="BY420" s="23">
        <f>IF(BW420="","",COUNTIFS('Content Calendar'!$W$5:$W$604,BW420,'Content Calendar'!$X$5:$X$604,"&lt;&gt;Published"))</f>
        <v>0</v>
      </c>
      <c r="BZ420" s="23">
        <f>IF(BW420="","",COUNTIFS(Tasks!$C$5:$C$64,BW420,Tasks!$G$5:$G$64,"&lt;&gt;Complete"))</f>
        <v>0</v>
      </c>
      <c r="CA420" s="17">
        <f>IF(Campaigns!$B$420="","",Campaigns!$B$420)</f>
        <v>0</v>
      </c>
      <c r="CB420" s="25">
        <f>IF(Campaigns!$T$420="","",Campaigns!$T$420)</f>
        <v>0</v>
      </c>
      <c r="CC420" s="25">
        <f>IF(Campaigns!$Q$420="","",Campaigns!$Q$420)</f>
        <v>0</v>
      </c>
      <c r="CD420" s="23">
        <f>IF(Campaigns!$Y$420="","",Campaigns!$Y$420)</f>
        <v>0</v>
      </c>
      <c r="CE420" s="32">
        <f>IF(CA420="","",IF(N(CB420)&lt;=0,"",N(CB420)+ROW()/1000000))</f>
        <v>0</v>
      </c>
      <c r="CF420" s="17">
        <f>IF(Accounts!$C$420="","",Accounts!$C$420)</f>
        <v>0</v>
      </c>
      <c r="CG420" s="17">
        <f>IF(Accounts!$B$420="","",Accounts!$B$420)</f>
        <v>0</v>
      </c>
      <c r="CH420" s="23">
        <f>IF(Accounts!$J$420="","",Accounts!$J$420)</f>
        <v>0</v>
      </c>
      <c r="CI420" s="23">
        <f>IF(CF420="","",SUMIFS(Analytics!$X$5:$X$154,Analytics!$E$5:$E$154,CF420,Analytics!$B$5:$B$154,"&gt;="&amp;DashStart,Analytics!$B$5:$B$154,"&lt;="&amp;DashEnd))</f>
        <v>0</v>
      </c>
      <c r="CJ420" s="32">
        <f>IF(CH420="","",IF(CH420=0,"",CH420+ROW()/1000000))</f>
        <v>0</v>
      </c>
    </row>
    <row r="421" spans="1:88">
      <c r="A421" s="16">
        <f>IF(ROW()-4&gt;12,"",DATE(PlanYear,ROW()-4,1))</f>
        <v>0</v>
      </c>
      <c r="B421" s="16">
        <f>IF(A421="","",EOMONTH(A421,0))</f>
        <v>0</v>
      </c>
      <c r="C421" s="17">
        <f>IF(A421="","",TEXT(A421,"yyyy-mm"))</f>
        <v>0</v>
      </c>
      <c r="D421" s="17">
        <f>IF(A421="","",TEXT(A421,"mmm"))</f>
        <v>0</v>
      </c>
      <c r="E421" s="23">
        <f>IF(C421="","",COUNTIFS('Content Calendar'!$D$5:$D$604,C421))</f>
        <v>0</v>
      </c>
      <c r="F421" s="23">
        <f>IF(C421="","",COUNTIFS('Content Calendar'!$D$5:$D$604,C421,'Content Calendar'!$X$5:$X$604,"Published"))</f>
        <v>0</v>
      </c>
      <c r="G421" s="23">
        <f>IF(C421="","",SUMIFS(Analytics!$J$5:$J$154,Analytics!$C$5:$C$154,C421))</f>
        <v>0</v>
      </c>
      <c r="H421" s="23">
        <f>IF(C421="","",SUMIFS(Analytics!$K$5:$K$154,Analytics!$C$5:$C$154,C421))</f>
        <v>0</v>
      </c>
      <c r="I421" s="23">
        <f>IF(C421="","",SUMIFS(Analytics!$L$5:$L$154,Analytics!$C$5:$C$154,C421))</f>
        <v>0</v>
      </c>
      <c r="J421" s="24">
        <f>IF(OR(G421="",G421=0),"",I421/G421)</f>
        <v>0</v>
      </c>
      <c r="K421" s="23">
        <f>IF(C421="","",SUMIFS(Analytics!$G$5:$G$154,Analytics!$C$5:$C$154,C421))</f>
        <v>0</v>
      </c>
      <c r="L421" s="23">
        <f>IF(C421="","",SUMIFS(Analytics!$X$5:$X$154,Analytics!$C$5:$C$154,C421))</f>
        <v>0</v>
      </c>
      <c r="M421" s="23">
        <f>IF(C421="","",SUMIFS(Analytics!$R$5:$R$154,Analytics!$C$5:$C$154,C421))</f>
        <v>0</v>
      </c>
      <c r="N421" s="23">
        <f>IF(C421="","",SUMIFS(Analytics!$S$5:$S$154,Analytics!$C$5:$C$154,C421))</f>
        <v>0</v>
      </c>
      <c r="O421" s="23">
        <f>IF(C421="","",SUMIFS(Analytics!$T$5:$T$154,Analytics!$C$5:$C$154,C421))</f>
        <v>0</v>
      </c>
      <c r="P421" s="25">
        <f>IF(C421="","",SUMIFS(Analytics!$U$5:$U$154,Analytics!$C$5:$C$154,C421))</f>
        <v>0</v>
      </c>
      <c r="Q421" s="25">
        <f>IF(C421="","",SUMIFS(Budget!$H$5:$H$64,Budget!$C$5:$C$64,C421))</f>
        <v>0</v>
      </c>
      <c r="R421" s="25">
        <f>IF(C421="","",P421-Q421)</f>
        <v>0</v>
      </c>
      <c r="S421" s="23">
        <f>IF(C421="","",MonthlyPostTarget)</f>
        <v>0</v>
      </c>
      <c r="T421" s="17">
        <f>IF(Lists!$C421="","",Lists!$C421)</f>
        <v>0</v>
      </c>
      <c r="U421" s="23">
        <f>IF(T421="","",COUNTIFS('Content Calendar'!$G$5:$G$604,T421,'Content Calendar'!$B$5:$B$604,"&gt;="&amp;DashStart,'Content Calendar'!$B$5:$B$604,"&lt;="&amp;DashEnd))</f>
        <v>0</v>
      </c>
      <c r="V421" s="23">
        <f>IF(T421="","",COUNTIFS('Content Calendar'!$G$5:$G$604,T421,'Content Calendar'!$X$5:$X$604,"Published",'Content Calendar'!$B$5:$B$604,"&gt;="&amp;DashStart,'Content Calendar'!$B$5:$B$604,"&lt;="&amp;DashEnd))</f>
        <v>0</v>
      </c>
      <c r="W421" s="23">
        <f>IF(T421="","",SUMIFS(Analytics!$J$5:$J$154,Analytics!$D$5:$D$154,T421,Analytics!$B$5:$B$154,"&gt;="&amp;DashStart,Analytics!$B$5:$B$154,"&lt;="&amp;DashEnd))</f>
        <v>0</v>
      </c>
      <c r="X421" s="23">
        <f>IF(T421="","",SUMIFS(Analytics!$L$5:$L$154,Analytics!$D$5:$D$154,T421,Analytics!$B$5:$B$154,"&gt;="&amp;DashStart,Analytics!$B$5:$B$154,"&lt;="&amp;DashEnd))</f>
        <v>0</v>
      </c>
      <c r="Y421" s="24">
        <f>IF(OR(W421="",W421=0),"",X421/W421)</f>
        <v>0</v>
      </c>
      <c r="Z421" s="23">
        <f>IF(T421="","",SUMIFS(Analytics!$G$5:$G$154,Analytics!$D$5:$D$154,T421,Analytics!$B$5:$B$154,"&gt;="&amp;DashStart,Analytics!$B$5:$B$154,"&lt;="&amp;DashEnd))</f>
        <v>0</v>
      </c>
      <c r="AA421" s="23">
        <f>IF(T421="","",SUMIFS(Analytics!$X$5:$X$154,Analytics!$D$5:$D$154,T421,Analytics!$B$5:$B$154,"&gt;="&amp;DashStart,Analytics!$B$5:$B$154,"&lt;="&amp;DashEnd))</f>
        <v>0</v>
      </c>
      <c r="AB421" s="23">
        <f>IF(T421="","",SUMIFS(Analytics!$R$5:$R$154,Analytics!$D$5:$D$154,T421,Analytics!$B$5:$B$154,"&gt;="&amp;DashStart,Analytics!$B$5:$B$154,"&lt;="&amp;DashEnd))</f>
        <v>0</v>
      </c>
      <c r="AC421" s="25">
        <f>IF(T421="","",SUMIFS(Analytics!$U$5:$U$154,Analytics!$D$5:$D$154,T421,Analytics!$B$5:$B$154,"&gt;="&amp;DashStart,Analytics!$B$5:$B$154,"&lt;="&amp;DashEnd))</f>
        <v>0</v>
      </c>
      <c r="AD421" s="23">
        <f>IF(T421="","",COUNTIFS('Content Calendar'!$G$5:$G$604,T421,'Content Calendar'!$B$5:$B$604,"&gt;="&amp;DATE(PlanYear,1,1),'Content Calendar'!$B$5:$B$604,"&lt;="&amp;DATE(PlanYear,12,31)))</f>
        <v>0</v>
      </c>
      <c r="AE421" s="23">
        <f>IF(T421="","",SUMIFS(Analytics!$J$5:$J$154,Analytics!$D$5:$D$154,T421))</f>
        <v>0</v>
      </c>
      <c r="AF421" s="23">
        <f>IF(T421="","",SUMIFS(Analytics!$L$5:$L$154,Analytics!$D$5:$D$154,T421))</f>
        <v>0</v>
      </c>
      <c r="AG421" s="24">
        <f>IF(OR(AE421="",AE421=0),"",AF421/AE421)</f>
        <v>0</v>
      </c>
      <c r="AH421" s="23">
        <f>IF(T421="","",SUMIFS(Analytics!$X$5:$X$154,Analytics!$D$5:$D$154,T421))</f>
        <v>0</v>
      </c>
      <c r="AI421" s="32">
        <f>IF(T421="","",IF(AE421=0,"",AE421+ROW()/1000000))</f>
        <v>0</v>
      </c>
      <c r="AJ421" s="17">
        <f>IF('Content Pillars'!$B$421="","",'Content Pillars'!$B$421)</f>
        <v>0</v>
      </c>
      <c r="AK421" s="23">
        <f>IF(AJ421="","",COUNTIFS('Content Calendar'!$J$5:$J$604,AJ421,'Content Calendar'!$B$5:$B$604,"&gt;="&amp;DATE(PlanYear,1,1),'Content Calendar'!$B$5:$B$604,"&lt;="&amp;DATE(PlanYear,12,31)))</f>
        <v>0</v>
      </c>
      <c r="AL421" s="23">
        <f>IF(AJ421="","",SUMIFS(Performance!$O$5:$O$404,Performance!$H$5:$H$404,AJ421))</f>
        <v>0</v>
      </c>
      <c r="AM421" s="23">
        <f>IF(AJ421="","",SUMIFS(Performance!$Z$5:$Z$404,Performance!$H$5:$H$404,AJ421))</f>
        <v>0</v>
      </c>
      <c r="AN421" s="24">
        <f>IF(OR(AL421="",AL421=0),"",AM421/AL421)</f>
        <v>0</v>
      </c>
      <c r="AO421" s="32">
        <f>IF(AN421="","",AN421+ROW()/1000000)</f>
        <v>0</v>
      </c>
      <c r="AP421" s="17">
        <f>IF(Lists!$E421="","",Lists!$E421)</f>
        <v>0</v>
      </c>
      <c r="AQ421" s="23">
        <f>IF(AP421="","",COUNTIF(Performance!$G$5:$G$404,AP421))</f>
        <v>0</v>
      </c>
      <c r="AR421" s="23">
        <f>IF(AP421="","",SUMIFS(Performance!$O$5:$O$404,Performance!$G$5:$G$404,AP421))</f>
        <v>0</v>
      </c>
      <c r="AS421" s="23">
        <f>IF(AP421="","",SUMIFS(Performance!$Z$5:$Z$404,Performance!$G$5:$G$404,AP421))</f>
        <v>0</v>
      </c>
      <c r="AT421" s="24">
        <f>IF(OR(AR421="",AR421=0),"",AS421/AR421)</f>
        <v>0</v>
      </c>
      <c r="AU421" s="32">
        <f>IF(AQ421=0,"",IF(AT421="","",AT421+ROW()/1000000))</f>
        <v>0</v>
      </c>
      <c r="AV421" s="17">
        <f>IF(ROW()-4&gt;7,"",TEXT(DATE(2024,1,ROW()-4),"ddd"))</f>
        <v>0</v>
      </c>
      <c r="AW421" s="23">
        <f>IF(AV421="","",COUNTIF(Performance!$N$5:$N$404,AV421))</f>
        <v>0</v>
      </c>
      <c r="AX421" s="23">
        <f>IF(AV421="","",SUMIFS(Performance!$O$5:$O$404,Performance!$N$5:$N$404,AV421))</f>
        <v>0</v>
      </c>
      <c r="AY421" s="23">
        <f>IF(AV421="","",SUMIFS(Performance!$Z$5:$Z$404,Performance!$N$5:$N$404,AV421))</f>
        <v>0</v>
      </c>
      <c r="AZ421" s="24">
        <f>IF(OR(AX421="",AX421=0),"",AY421/AX421)</f>
        <v>0</v>
      </c>
      <c r="BA421" s="32">
        <f>IF(AW421=0,"",IF(AZ421="","",AZ421+ROW()/1000000))</f>
        <v>0</v>
      </c>
      <c r="BB421" s="17">
        <f>IF(Lists!$AL421="","",Lists!$AL421)</f>
        <v>0</v>
      </c>
      <c r="BC421" s="23">
        <f>IF(BB421="","",COUNTIF(Performance!$M$5:$M$404,BB421))</f>
        <v>0</v>
      </c>
      <c r="BD421" s="23">
        <f>IF(BB421="","",SUMIFS(Performance!$O$5:$O$404,Performance!$M$5:$M$404,BB421))</f>
        <v>0</v>
      </c>
      <c r="BE421" s="23">
        <f>IF(BB421="","",SUMIFS(Performance!$Z$5:$Z$404,Performance!$M$5:$M$404,BB421))</f>
        <v>0</v>
      </c>
      <c r="BF421" s="24">
        <f>IF(OR(BD421="",BD421=0),"",BE421/BD421)</f>
        <v>0</v>
      </c>
      <c r="BG421" s="32">
        <f>IF(BC421=0,"",IF(BF421="","",BF421+ROW()/1000000))</f>
        <v>0</v>
      </c>
      <c r="BH421" s="17">
        <f>IF(Performance!$C$421="","",Performance!$C$421)</f>
        <v>0</v>
      </c>
      <c r="BI421" s="17">
        <f>IF(Performance!$F$421="","",Performance!$F$421)</f>
        <v>0</v>
      </c>
      <c r="BJ421" s="17">
        <f>IF(Performance!$H$421="","",Performance!$H$421)</f>
        <v>0</v>
      </c>
      <c r="BK421" s="16">
        <f>IF(Performance!$D$421="","",Performance!$D$421)</f>
        <v>0</v>
      </c>
      <c r="BL421" s="17">
        <f>IF(Performance!$E$421="","",Performance!$E$421)</f>
        <v>0</v>
      </c>
      <c r="BM421" s="23">
        <f>IF(Performance!$O$421="","",Performance!$O$421)</f>
        <v>0</v>
      </c>
      <c r="BN421" s="24">
        <f>IF(Performance!$AA$421="","",Performance!$AA$421)</f>
        <v>0</v>
      </c>
      <c r="BO421" s="32">
        <f>IF(BH421="","",IF(BK421="","",IF(OR(BK421&lt;DashStart,BK421&gt;DashEnd),"",IF(BN421="","",BN421+ROW()/1000000))))</f>
        <v>0</v>
      </c>
      <c r="BP421" s="32">
        <f>IF(BM421="","",IF(BK421="","",IF(OR(BK421&lt;DashStart,BK421&gt;DashEnd),"",BM421+ROW()/1000000)))</f>
        <v>0</v>
      </c>
      <c r="BQ421" s="32">
        <f>IF(BH421="","",IF(BK421="","",IF(YEAR(BK421)&lt;&gt;PlanYear,"",IF(BN421="","",BN421+ROW()/1000000))))</f>
        <v>0</v>
      </c>
      <c r="BR421" s="32">
        <f>IF(BH421="","",IF(BK421="","",IF(OR(BK421&lt;RepFrom,BK421&gt;RepTo),"",IF(BN421="","",BN421+ROW()/1000000))))</f>
        <v>0</v>
      </c>
      <c r="BS421" s="32">
        <f>IF(BM421="","",IF(BK421="","",IF(YEAR(BK421)&lt;&gt;PlanYear,"",BM421+ROW()/1000000)))</f>
        <v>0</v>
      </c>
      <c r="BT421" s="17">
        <f>IF(Lists!$F421="","",Lists!$F421)</f>
        <v>0</v>
      </c>
      <c r="BU421" s="23">
        <f>IF(BT421="","",COUNTIF('Content Calendar'!$X$5:$X$604,BT421))</f>
        <v>0</v>
      </c>
      <c r="BV421" s="23">
        <f>IF(BT421="","",COUNTIFS('Content Calendar'!$X$5:$X$604,BT421,'Content Calendar'!$B$5:$B$604,"&gt;="&amp;DashStart,'Content Calendar'!$B$5:$B$604,"&lt;="&amp;DashEnd))</f>
        <v>0</v>
      </c>
      <c r="BW421" s="17">
        <f>IF(Team!$B$421="","",Team!$B$421)</f>
        <v>0</v>
      </c>
      <c r="BX421" s="23">
        <f>IF(BW421="","",COUNTIF('Content Calendar'!$W$5:$W$604,BW421))</f>
        <v>0</v>
      </c>
      <c r="BY421" s="23">
        <f>IF(BW421="","",COUNTIFS('Content Calendar'!$W$5:$W$604,BW421,'Content Calendar'!$X$5:$X$604,"&lt;&gt;Published"))</f>
        <v>0</v>
      </c>
      <c r="BZ421" s="23">
        <f>IF(BW421="","",COUNTIFS(Tasks!$C$5:$C$64,BW421,Tasks!$G$5:$G$64,"&lt;&gt;Complete"))</f>
        <v>0</v>
      </c>
      <c r="CA421" s="17">
        <f>IF(Campaigns!$B$421="","",Campaigns!$B$421)</f>
        <v>0</v>
      </c>
      <c r="CB421" s="25">
        <f>IF(Campaigns!$T$421="","",Campaigns!$T$421)</f>
        <v>0</v>
      </c>
      <c r="CC421" s="25">
        <f>IF(Campaigns!$Q$421="","",Campaigns!$Q$421)</f>
        <v>0</v>
      </c>
      <c r="CD421" s="23">
        <f>IF(Campaigns!$Y$421="","",Campaigns!$Y$421)</f>
        <v>0</v>
      </c>
      <c r="CE421" s="32">
        <f>IF(CA421="","",IF(N(CB421)&lt;=0,"",N(CB421)+ROW()/1000000))</f>
        <v>0</v>
      </c>
      <c r="CF421" s="17">
        <f>IF(Accounts!$C$421="","",Accounts!$C$421)</f>
        <v>0</v>
      </c>
      <c r="CG421" s="17">
        <f>IF(Accounts!$B$421="","",Accounts!$B$421)</f>
        <v>0</v>
      </c>
      <c r="CH421" s="23">
        <f>IF(Accounts!$J$421="","",Accounts!$J$421)</f>
        <v>0</v>
      </c>
      <c r="CI421" s="23">
        <f>IF(CF421="","",SUMIFS(Analytics!$X$5:$X$154,Analytics!$E$5:$E$154,CF421,Analytics!$B$5:$B$154,"&gt;="&amp;DashStart,Analytics!$B$5:$B$154,"&lt;="&amp;DashEnd))</f>
        <v>0</v>
      </c>
      <c r="CJ421" s="32">
        <f>IF(CH421="","",IF(CH421=0,"",CH421+ROW()/1000000))</f>
        <v>0</v>
      </c>
    </row>
    <row r="422" spans="1:88">
      <c r="A422" s="16">
        <f>IF(ROW()-4&gt;12,"",DATE(PlanYear,ROW()-4,1))</f>
        <v>0</v>
      </c>
      <c r="B422" s="16">
        <f>IF(A422="","",EOMONTH(A422,0))</f>
        <v>0</v>
      </c>
      <c r="C422" s="17">
        <f>IF(A422="","",TEXT(A422,"yyyy-mm"))</f>
        <v>0</v>
      </c>
      <c r="D422" s="17">
        <f>IF(A422="","",TEXT(A422,"mmm"))</f>
        <v>0</v>
      </c>
      <c r="E422" s="23">
        <f>IF(C422="","",COUNTIFS('Content Calendar'!$D$5:$D$604,C422))</f>
        <v>0</v>
      </c>
      <c r="F422" s="23">
        <f>IF(C422="","",COUNTIFS('Content Calendar'!$D$5:$D$604,C422,'Content Calendar'!$X$5:$X$604,"Published"))</f>
        <v>0</v>
      </c>
      <c r="G422" s="23">
        <f>IF(C422="","",SUMIFS(Analytics!$J$5:$J$154,Analytics!$C$5:$C$154,C422))</f>
        <v>0</v>
      </c>
      <c r="H422" s="23">
        <f>IF(C422="","",SUMIFS(Analytics!$K$5:$K$154,Analytics!$C$5:$C$154,C422))</f>
        <v>0</v>
      </c>
      <c r="I422" s="23">
        <f>IF(C422="","",SUMIFS(Analytics!$L$5:$L$154,Analytics!$C$5:$C$154,C422))</f>
        <v>0</v>
      </c>
      <c r="J422" s="24">
        <f>IF(OR(G422="",G422=0),"",I422/G422)</f>
        <v>0</v>
      </c>
      <c r="K422" s="23">
        <f>IF(C422="","",SUMIFS(Analytics!$G$5:$G$154,Analytics!$C$5:$C$154,C422))</f>
        <v>0</v>
      </c>
      <c r="L422" s="23">
        <f>IF(C422="","",SUMIFS(Analytics!$X$5:$X$154,Analytics!$C$5:$C$154,C422))</f>
        <v>0</v>
      </c>
      <c r="M422" s="23">
        <f>IF(C422="","",SUMIFS(Analytics!$R$5:$R$154,Analytics!$C$5:$C$154,C422))</f>
        <v>0</v>
      </c>
      <c r="N422" s="23">
        <f>IF(C422="","",SUMIFS(Analytics!$S$5:$S$154,Analytics!$C$5:$C$154,C422))</f>
        <v>0</v>
      </c>
      <c r="O422" s="23">
        <f>IF(C422="","",SUMIFS(Analytics!$T$5:$T$154,Analytics!$C$5:$C$154,C422))</f>
        <v>0</v>
      </c>
      <c r="P422" s="25">
        <f>IF(C422="","",SUMIFS(Analytics!$U$5:$U$154,Analytics!$C$5:$C$154,C422))</f>
        <v>0</v>
      </c>
      <c r="Q422" s="25">
        <f>IF(C422="","",SUMIFS(Budget!$H$5:$H$64,Budget!$C$5:$C$64,C422))</f>
        <v>0</v>
      </c>
      <c r="R422" s="25">
        <f>IF(C422="","",P422-Q422)</f>
        <v>0</v>
      </c>
      <c r="S422" s="23">
        <f>IF(C422="","",MonthlyPostTarget)</f>
        <v>0</v>
      </c>
      <c r="T422" s="17">
        <f>IF(Lists!$C422="","",Lists!$C422)</f>
        <v>0</v>
      </c>
      <c r="U422" s="23">
        <f>IF(T422="","",COUNTIFS('Content Calendar'!$G$5:$G$604,T422,'Content Calendar'!$B$5:$B$604,"&gt;="&amp;DashStart,'Content Calendar'!$B$5:$B$604,"&lt;="&amp;DashEnd))</f>
        <v>0</v>
      </c>
      <c r="V422" s="23">
        <f>IF(T422="","",COUNTIFS('Content Calendar'!$G$5:$G$604,T422,'Content Calendar'!$X$5:$X$604,"Published",'Content Calendar'!$B$5:$B$604,"&gt;="&amp;DashStart,'Content Calendar'!$B$5:$B$604,"&lt;="&amp;DashEnd))</f>
        <v>0</v>
      </c>
      <c r="W422" s="23">
        <f>IF(T422="","",SUMIFS(Analytics!$J$5:$J$154,Analytics!$D$5:$D$154,T422,Analytics!$B$5:$B$154,"&gt;="&amp;DashStart,Analytics!$B$5:$B$154,"&lt;="&amp;DashEnd))</f>
        <v>0</v>
      </c>
      <c r="X422" s="23">
        <f>IF(T422="","",SUMIFS(Analytics!$L$5:$L$154,Analytics!$D$5:$D$154,T422,Analytics!$B$5:$B$154,"&gt;="&amp;DashStart,Analytics!$B$5:$B$154,"&lt;="&amp;DashEnd))</f>
        <v>0</v>
      </c>
      <c r="Y422" s="24">
        <f>IF(OR(W422="",W422=0),"",X422/W422)</f>
        <v>0</v>
      </c>
      <c r="Z422" s="23">
        <f>IF(T422="","",SUMIFS(Analytics!$G$5:$G$154,Analytics!$D$5:$D$154,T422,Analytics!$B$5:$B$154,"&gt;="&amp;DashStart,Analytics!$B$5:$B$154,"&lt;="&amp;DashEnd))</f>
        <v>0</v>
      </c>
      <c r="AA422" s="23">
        <f>IF(T422="","",SUMIFS(Analytics!$X$5:$X$154,Analytics!$D$5:$D$154,T422,Analytics!$B$5:$B$154,"&gt;="&amp;DashStart,Analytics!$B$5:$B$154,"&lt;="&amp;DashEnd))</f>
        <v>0</v>
      </c>
      <c r="AB422" s="23">
        <f>IF(T422="","",SUMIFS(Analytics!$R$5:$R$154,Analytics!$D$5:$D$154,T422,Analytics!$B$5:$B$154,"&gt;="&amp;DashStart,Analytics!$B$5:$B$154,"&lt;="&amp;DashEnd))</f>
        <v>0</v>
      </c>
      <c r="AC422" s="25">
        <f>IF(T422="","",SUMIFS(Analytics!$U$5:$U$154,Analytics!$D$5:$D$154,T422,Analytics!$B$5:$B$154,"&gt;="&amp;DashStart,Analytics!$B$5:$B$154,"&lt;="&amp;DashEnd))</f>
        <v>0</v>
      </c>
      <c r="AD422" s="23">
        <f>IF(T422="","",COUNTIFS('Content Calendar'!$G$5:$G$604,T422,'Content Calendar'!$B$5:$B$604,"&gt;="&amp;DATE(PlanYear,1,1),'Content Calendar'!$B$5:$B$604,"&lt;="&amp;DATE(PlanYear,12,31)))</f>
        <v>0</v>
      </c>
      <c r="AE422" s="23">
        <f>IF(T422="","",SUMIFS(Analytics!$J$5:$J$154,Analytics!$D$5:$D$154,T422))</f>
        <v>0</v>
      </c>
      <c r="AF422" s="23">
        <f>IF(T422="","",SUMIFS(Analytics!$L$5:$L$154,Analytics!$D$5:$D$154,T422))</f>
        <v>0</v>
      </c>
      <c r="AG422" s="24">
        <f>IF(OR(AE422="",AE422=0),"",AF422/AE422)</f>
        <v>0</v>
      </c>
      <c r="AH422" s="23">
        <f>IF(T422="","",SUMIFS(Analytics!$X$5:$X$154,Analytics!$D$5:$D$154,T422))</f>
        <v>0</v>
      </c>
      <c r="AI422" s="32">
        <f>IF(T422="","",IF(AE422=0,"",AE422+ROW()/1000000))</f>
        <v>0</v>
      </c>
      <c r="AJ422" s="17">
        <f>IF('Content Pillars'!$B$422="","",'Content Pillars'!$B$422)</f>
        <v>0</v>
      </c>
      <c r="AK422" s="23">
        <f>IF(AJ422="","",COUNTIFS('Content Calendar'!$J$5:$J$604,AJ422,'Content Calendar'!$B$5:$B$604,"&gt;="&amp;DATE(PlanYear,1,1),'Content Calendar'!$B$5:$B$604,"&lt;="&amp;DATE(PlanYear,12,31)))</f>
        <v>0</v>
      </c>
      <c r="AL422" s="23">
        <f>IF(AJ422="","",SUMIFS(Performance!$O$5:$O$404,Performance!$H$5:$H$404,AJ422))</f>
        <v>0</v>
      </c>
      <c r="AM422" s="23">
        <f>IF(AJ422="","",SUMIFS(Performance!$Z$5:$Z$404,Performance!$H$5:$H$404,AJ422))</f>
        <v>0</v>
      </c>
      <c r="AN422" s="24">
        <f>IF(OR(AL422="",AL422=0),"",AM422/AL422)</f>
        <v>0</v>
      </c>
      <c r="AO422" s="32">
        <f>IF(AN422="","",AN422+ROW()/1000000)</f>
        <v>0</v>
      </c>
      <c r="AP422" s="17">
        <f>IF(Lists!$E422="","",Lists!$E422)</f>
        <v>0</v>
      </c>
      <c r="AQ422" s="23">
        <f>IF(AP422="","",COUNTIF(Performance!$G$5:$G$404,AP422))</f>
        <v>0</v>
      </c>
      <c r="AR422" s="23">
        <f>IF(AP422="","",SUMIFS(Performance!$O$5:$O$404,Performance!$G$5:$G$404,AP422))</f>
        <v>0</v>
      </c>
      <c r="AS422" s="23">
        <f>IF(AP422="","",SUMIFS(Performance!$Z$5:$Z$404,Performance!$G$5:$G$404,AP422))</f>
        <v>0</v>
      </c>
      <c r="AT422" s="24">
        <f>IF(OR(AR422="",AR422=0),"",AS422/AR422)</f>
        <v>0</v>
      </c>
      <c r="AU422" s="32">
        <f>IF(AQ422=0,"",IF(AT422="","",AT422+ROW()/1000000))</f>
        <v>0</v>
      </c>
      <c r="AV422" s="17">
        <f>IF(ROW()-4&gt;7,"",TEXT(DATE(2024,1,ROW()-4),"ddd"))</f>
        <v>0</v>
      </c>
      <c r="AW422" s="23">
        <f>IF(AV422="","",COUNTIF(Performance!$N$5:$N$404,AV422))</f>
        <v>0</v>
      </c>
      <c r="AX422" s="23">
        <f>IF(AV422="","",SUMIFS(Performance!$O$5:$O$404,Performance!$N$5:$N$404,AV422))</f>
        <v>0</v>
      </c>
      <c r="AY422" s="23">
        <f>IF(AV422="","",SUMIFS(Performance!$Z$5:$Z$404,Performance!$N$5:$N$404,AV422))</f>
        <v>0</v>
      </c>
      <c r="AZ422" s="24">
        <f>IF(OR(AX422="",AX422=0),"",AY422/AX422)</f>
        <v>0</v>
      </c>
      <c r="BA422" s="32">
        <f>IF(AW422=0,"",IF(AZ422="","",AZ422+ROW()/1000000))</f>
        <v>0</v>
      </c>
      <c r="BB422" s="17">
        <f>IF(Lists!$AL422="","",Lists!$AL422)</f>
        <v>0</v>
      </c>
      <c r="BC422" s="23">
        <f>IF(BB422="","",COUNTIF(Performance!$M$5:$M$404,BB422))</f>
        <v>0</v>
      </c>
      <c r="BD422" s="23">
        <f>IF(BB422="","",SUMIFS(Performance!$O$5:$O$404,Performance!$M$5:$M$404,BB422))</f>
        <v>0</v>
      </c>
      <c r="BE422" s="23">
        <f>IF(BB422="","",SUMIFS(Performance!$Z$5:$Z$404,Performance!$M$5:$M$404,BB422))</f>
        <v>0</v>
      </c>
      <c r="BF422" s="24">
        <f>IF(OR(BD422="",BD422=0),"",BE422/BD422)</f>
        <v>0</v>
      </c>
      <c r="BG422" s="32">
        <f>IF(BC422=0,"",IF(BF422="","",BF422+ROW()/1000000))</f>
        <v>0</v>
      </c>
      <c r="BH422" s="17">
        <f>IF(Performance!$C$422="","",Performance!$C$422)</f>
        <v>0</v>
      </c>
      <c r="BI422" s="17">
        <f>IF(Performance!$F$422="","",Performance!$F$422)</f>
        <v>0</v>
      </c>
      <c r="BJ422" s="17">
        <f>IF(Performance!$H$422="","",Performance!$H$422)</f>
        <v>0</v>
      </c>
      <c r="BK422" s="16">
        <f>IF(Performance!$D$422="","",Performance!$D$422)</f>
        <v>0</v>
      </c>
      <c r="BL422" s="17">
        <f>IF(Performance!$E$422="","",Performance!$E$422)</f>
        <v>0</v>
      </c>
      <c r="BM422" s="23">
        <f>IF(Performance!$O$422="","",Performance!$O$422)</f>
        <v>0</v>
      </c>
      <c r="BN422" s="24">
        <f>IF(Performance!$AA$422="","",Performance!$AA$422)</f>
        <v>0</v>
      </c>
      <c r="BO422" s="32">
        <f>IF(BH422="","",IF(BK422="","",IF(OR(BK422&lt;DashStart,BK422&gt;DashEnd),"",IF(BN422="","",BN422+ROW()/1000000))))</f>
        <v>0</v>
      </c>
      <c r="BP422" s="32">
        <f>IF(BM422="","",IF(BK422="","",IF(OR(BK422&lt;DashStart,BK422&gt;DashEnd),"",BM422+ROW()/1000000)))</f>
        <v>0</v>
      </c>
      <c r="BQ422" s="32">
        <f>IF(BH422="","",IF(BK422="","",IF(YEAR(BK422)&lt;&gt;PlanYear,"",IF(BN422="","",BN422+ROW()/1000000))))</f>
        <v>0</v>
      </c>
      <c r="BR422" s="32">
        <f>IF(BH422="","",IF(BK422="","",IF(OR(BK422&lt;RepFrom,BK422&gt;RepTo),"",IF(BN422="","",BN422+ROW()/1000000))))</f>
        <v>0</v>
      </c>
      <c r="BS422" s="32">
        <f>IF(BM422="","",IF(BK422="","",IF(YEAR(BK422)&lt;&gt;PlanYear,"",BM422+ROW()/1000000)))</f>
        <v>0</v>
      </c>
      <c r="BT422" s="17">
        <f>IF(Lists!$F422="","",Lists!$F422)</f>
        <v>0</v>
      </c>
      <c r="BU422" s="23">
        <f>IF(BT422="","",COUNTIF('Content Calendar'!$X$5:$X$604,BT422))</f>
        <v>0</v>
      </c>
      <c r="BV422" s="23">
        <f>IF(BT422="","",COUNTIFS('Content Calendar'!$X$5:$X$604,BT422,'Content Calendar'!$B$5:$B$604,"&gt;="&amp;DashStart,'Content Calendar'!$B$5:$B$604,"&lt;="&amp;DashEnd))</f>
        <v>0</v>
      </c>
      <c r="BW422" s="17">
        <f>IF(Team!$B$422="","",Team!$B$422)</f>
        <v>0</v>
      </c>
      <c r="BX422" s="23">
        <f>IF(BW422="","",COUNTIF('Content Calendar'!$W$5:$W$604,BW422))</f>
        <v>0</v>
      </c>
      <c r="BY422" s="23">
        <f>IF(BW422="","",COUNTIFS('Content Calendar'!$W$5:$W$604,BW422,'Content Calendar'!$X$5:$X$604,"&lt;&gt;Published"))</f>
        <v>0</v>
      </c>
      <c r="BZ422" s="23">
        <f>IF(BW422="","",COUNTIFS(Tasks!$C$5:$C$64,BW422,Tasks!$G$5:$G$64,"&lt;&gt;Complete"))</f>
        <v>0</v>
      </c>
      <c r="CA422" s="17">
        <f>IF(Campaigns!$B$422="","",Campaigns!$B$422)</f>
        <v>0</v>
      </c>
      <c r="CB422" s="25">
        <f>IF(Campaigns!$T$422="","",Campaigns!$T$422)</f>
        <v>0</v>
      </c>
      <c r="CC422" s="25">
        <f>IF(Campaigns!$Q$422="","",Campaigns!$Q$422)</f>
        <v>0</v>
      </c>
      <c r="CD422" s="23">
        <f>IF(Campaigns!$Y$422="","",Campaigns!$Y$422)</f>
        <v>0</v>
      </c>
      <c r="CE422" s="32">
        <f>IF(CA422="","",IF(N(CB422)&lt;=0,"",N(CB422)+ROW()/1000000))</f>
        <v>0</v>
      </c>
      <c r="CF422" s="17">
        <f>IF(Accounts!$C$422="","",Accounts!$C$422)</f>
        <v>0</v>
      </c>
      <c r="CG422" s="17">
        <f>IF(Accounts!$B$422="","",Accounts!$B$422)</f>
        <v>0</v>
      </c>
      <c r="CH422" s="23">
        <f>IF(Accounts!$J$422="","",Accounts!$J$422)</f>
        <v>0</v>
      </c>
      <c r="CI422" s="23">
        <f>IF(CF422="","",SUMIFS(Analytics!$X$5:$X$154,Analytics!$E$5:$E$154,CF422,Analytics!$B$5:$B$154,"&gt;="&amp;DashStart,Analytics!$B$5:$B$154,"&lt;="&amp;DashEnd))</f>
        <v>0</v>
      </c>
      <c r="CJ422" s="32">
        <f>IF(CH422="","",IF(CH422=0,"",CH422+ROW()/1000000))</f>
        <v>0</v>
      </c>
    </row>
    <row r="423" spans="1:88">
      <c r="A423" s="16">
        <f>IF(ROW()-4&gt;12,"",DATE(PlanYear,ROW()-4,1))</f>
        <v>0</v>
      </c>
      <c r="B423" s="16">
        <f>IF(A423="","",EOMONTH(A423,0))</f>
        <v>0</v>
      </c>
      <c r="C423" s="17">
        <f>IF(A423="","",TEXT(A423,"yyyy-mm"))</f>
        <v>0</v>
      </c>
      <c r="D423" s="17">
        <f>IF(A423="","",TEXT(A423,"mmm"))</f>
        <v>0</v>
      </c>
      <c r="E423" s="23">
        <f>IF(C423="","",COUNTIFS('Content Calendar'!$D$5:$D$604,C423))</f>
        <v>0</v>
      </c>
      <c r="F423" s="23">
        <f>IF(C423="","",COUNTIFS('Content Calendar'!$D$5:$D$604,C423,'Content Calendar'!$X$5:$X$604,"Published"))</f>
        <v>0</v>
      </c>
      <c r="G423" s="23">
        <f>IF(C423="","",SUMIFS(Analytics!$J$5:$J$154,Analytics!$C$5:$C$154,C423))</f>
        <v>0</v>
      </c>
      <c r="H423" s="23">
        <f>IF(C423="","",SUMIFS(Analytics!$K$5:$K$154,Analytics!$C$5:$C$154,C423))</f>
        <v>0</v>
      </c>
      <c r="I423" s="23">
        <f>IF(C423="","",SUMIFS(Analytics!$L$5:$L$154,Analytics!$C$5:$C$154,C423))</f>
        <v>0</v>
      </c>
      <c r="J423" s="24">
        <f>IF(OR(G423="",G423=0),"",I423/G423)</f>
        <v>0</v>
      </c>
      <c r="K423" s="23">
        <f>IF(C423="","",SUMIFS(Analytics!$G$5:$G$154,Analytics!$C$5:$C$154,C423))</f>
        <v>0</v>
      </c>
      <c r="L423" s="23">
        <f>IF(C423="","",SUMIFS(Analytics!$X$5:$X$154,Analytics!$C$5:$C$154,C423))</f>
        <v>0</v>
      </c>
      <c r="M423" s="23">
        <f>IF(C423="","",SUMIFS(Analytics!$R$5:$R$154,Analytics!$C$5:$C$154,C423))</f>
        <v>0</v>
      </c>
      <c r="N423" s="23">
        <f>IF(C423="","",SUMIFS(Analytics!$S$5:$S$154,Analytics!$C$5:$C$154,C423))</f>
        <v>0</v>
      </c>
      <c r="O423" s="23">
        <f>IF(C423="","",SUMIFS(Analytics!$T$5:$T$154,Analytics!$C$5:$C$154,C423))</f>
        <v>0</v>
      </c>
      <c r="P423" s="25">
        <f>IF(C423="","",SUMIFS(Analytics!$U$5:$U$154,Analytics!$C$5:$C$154,C423))</f>
        <v>0</v>
      </c>
      <c r="Q423" s="25">
        <f>IF(C423="","",SUMIFS(Budget!$H$5:$H$64,Budget!$C$5:$C$64,C423))</f>
        <v>0</v>
      </c>
      <c r="R423" s="25">
        <f>IF(C423="","",P423-Q423)</f>
        <v>0</v>
      </c>
      <c r="S423" s="23">
        <f>IF(C423="","",MonthlyPostTarget)</f>
        <v>0</v>
      </c>
      <c r="T423" s="17">
        <f>IF(Lists!$C423="","",Lists!$C423)</f>
        <v>0</v>
      </c>
      <c r="U423" s="23">
        <f>IF(T423="","",COUNTIFS('Content Calendar'!$G$5:$G$604,T423,'Content Calendar'!$B$5:$B$604,"&gt;="&amp;DashStart,'Content Calendar'!$B$5:$B$604,"&lt;="&amp;DashEnd))</f>
        <v>0</v>
      </c>
      <c r="V423" s="23">
        <f>IF(T423="","",COUNTIFS('Content Calendar'!$G$5:$G$604,T423,'Content Calendar'!$X$5:$X$604,"Published",'Content Calendar'!$B$5:$B$604,"&gt;="&amp;DashStart,'Content Calendar'!$B$5:$B$604,"&lt;="&amp;DashEnd))</f>
        <v>0</v>
      </c>
      <c r="W423" s="23">
        <f>IF(T423="","",SUMIFS(Analytics!$J$5:$J$154,Analytics!$D$5:$D$154,T423,Analytics!$B$5:$B$154,"&gt;="&amp;DashStart,Analytics!$B$5:$B$154,"&lt;="&amp;DashEnd))</f>
        <v>0</v>
      </c>
      <c r="X423" s="23">
        <f>IF(T423="","",SUMIFS(Analytics!$L$5:$L$154,Analytics!$D$5:$D$154,T423,Analytics!$B$5:$B$154,"&gt;="&amp;DashStart,Analytics!$B$5:$B$154,"&lt;="&amp;DashEnd))</f>
        <v>0</v>
      </c>
      <c r="Y423" s="24">
        <f>IF(OR(W423="",W423=0),"",X423/W423)</f>
        <v>0</v>
      </c>
      <c r="Z423" s="23">
        <f>IF(T423="","",SUMIFS(Analytics!$G$5:$G$154,Analytics!$D$5:$D$154,T423,Analytics!$B$5:$B$154,"&gt;="&amp;DashStart,Analytics!$B$5:$B$154,"&lt;="&amp;DashEnd))</f>
        <v>0</v>
      </c>
      <c r="AA423" s="23">
        <f>IF(T423="","",SUMIFS(Analytics!$X$5:$X$154,Analytics!$D$5:$D$154,T423,Analytics!$B$5:$B$154,"&gt;="&amp;DashStart,Analytics!$B$5:$B$154,"&lt;="&amp;DashEnd))</f>
        <v>0</v>
      </c>
      <c r="AB423" s="23">
        <f>IF(T423="","",SUMIFS(Analytics!$R$5:$R$154,Analytics!$D$5:$D$154,T423,Analytics!$B$5:$B$154,"&gt;="&amp;DashStart,Analytics!$B$5:$B$154,"&lt;="&amp;DashEnd))</f>
        <v>0</v>
      </c>
      <c r="AC423" s="25">
        <f>IF(T423="","",SUMIFS(Analytics!$U$5:$U$154,Analytics!$D$5:$D$154,T423,Analytics!$B$5:$B$154,"&gt;="&amp;DashStart,Analytics!$B$5:$B$154,"&lt;="&amp;DashEnd))</f>
        <v>0</v>
      </c>
      <c r="AD423" s="23">
        <f>IF(T423="","",COUNTIFS('Content Calendar'!$G$5:$G$604,T423,'Content Calendar'!$B$5:$B$604,"&gt;="&amp;DATE(PlanYear,1,1),'Content Calendar'!$B$5:$B$604,"&lt;="&amp;DATE(PlanYear,12,31)))</f>
        <v>0</v>
      </c>
      <c r="AE423" s="23">
        <f>IF(T423="","",SUMIFS(Analytics!$J$5:$J$154,Analytics!$D$5:$D$154,T423))</f>
        <v>0</v>
      </c>
      <c r="AF423" s="23">
        <f>IF(T423="","",SUMIFS(Analytics!$L$5:$L$154,Analytics!$D$5:$D$154,T423))</f>
        <v>0</v>
      </c>
      <c r="AG423" s="24">
        <f>IF(OR(AE423="",AE423=0),"",AF423/AE423)</f>
        <v>0</v>
      </c>
      <c r="AH423" s="23">
        <f>IF(T423="","",SUMIFS(Analytics!$X$5:$X$154,Analytics!$D$5:$D$154,T423))</f>
        <v>0</v>
      </c>
      <c r="AI423" s="32">
        <f>IF(T423="","",IF(AE423=0,"",AE423+ROW()/1000000))</f>
        <v>0</v>
      </c>
      <c r="AJ423" s="17">
        <f>IF('Content Pillars'!$B$423="","",'Content Pillars'!$B$423)</f>
        <v>0</v>
      </c>
      <c r="AK423" s="23">
        <f>IF(AJ423="","",COUNTIFS('Content Calendar'!$J$5:$J$604,AJ423,'Content Calendar'!$B$5:$B$604,"&gt;="&amp;DATE(PlanYear,1,1),'Content Calendar'!$B$5:$B$604,"&lt;="&amp;DATE(PlanYear,12,31)))</f>
        <v>0</v>
      </c>
      <c r="AL423" s="23">
        <f>IF(AJ423="","",SUMIFS(Performance!$O$5:$O$404,Performance!$H$5:$H$404,AJ423))</f>
        <v>0</v>
      </c>
      <c r="AM423" s="23">
        <f>IF(AJ423="","",SUMIFS(Performance!$Z$5:$Z$404,Performance!$H$5:$H$404,AJ423))</f>
        <v>0</v>
      </c>
      <c r="AN423" s="24">
        <f>IF(OR(AL423="",AL423=0),"",AM423/AL423)</f>
        <v>0</v>
      </c>
      <c r="AO423" s="32">
        <f>IF(AN423="","",AN423+ROW()/1000000)</f>
        <v>0</v>
      </c>
      <c r="AP423" s="17">
        <f>IF(Lists!$E423="","",Lists!$E423)</f>
        <v>0</v>
      </c>
      <c r="AQ423" s="23">
        <f>IF(AP423="","",COUNTIF(Performance!$G$5:$G$404,AP423))</f>
        <v>0</v>
      </c>
      <c r="AR423" s="23">
        <f>IF(AP423="","",SUMIFS(Performance!$O$5:$O$404,Performance!$G$5:$G$404,AP423))</f>
        <v>0</v>
      </c>
      <c r="AS423" s="23">
        <f>IF(AP423="","",SUMIFS(Performance!$Z$5:$Z$404,Performance!$G$5:$G$404,AP423))</f>
        <v>0</v>
      </c>
      <c r="AT423" s="24">
        <f>IF(OR(AR423="",AR423=0),"",AS423/AR423)</f>
        <v>0</v>
      </c>
      <c r="AU423" s="32">
        <f>IF(AQ423=0,"",IF(AT423="","",AT423+ROW()/1000000))</f>
        <v>0</v>
      </c>
      <c r="AV423" s="17">
        <f>IF(ROW()-4&gt;7,"",TEXT(DATE(2024,1,ROW()-4),"ddd"))</f>
        <v>0</v>
      </c>
      <c r="AW423" s="23">
        <f>IF(AV423="","",COUNTIF(Performance!$N$5:$N$404,AV423))</f>
        <v>0</v>
      </c>
      <c r="AX423" s="23">
        <f>IF(AV423="","",SUMIFS(Performance!$O$5:$O$404,Performance!$N$5:$N$404,AV423))</f>
        <v>0</v>
      </c>
      <c r="AY423" s="23">
        <f>IF(AV423="","",SUMIFS(Performance!$Z$5:$Z$404,Performance!$N$5:$N$404,AV423))</f>
        <v>0</v>
      </c>
      <c r="AZ423" s="24">
        <f>IF(OR(AX423="",AX423=0),"",AY423/AX423)</f>
        <v>0</v>
      </c>
      <c r="BA423" s="32">
        <f>IF(AW423=0,"",IF(AZ423="","",AZ423+ROW()/1000000))</f>
        <v>0</v>
      </c>
      <c r="BB423" s="17">
        <f>IF(Lists!$AL423="","",Lists!$AL423)</f>
        <v>0</v>
      </c>
      <c r="BC423" s="23">
        <f>IF(BB423="","",COUNTIF(Performance!$M$5:$M$404,BB423))</f>
        <v>0</v>
      </c>
      <c r="BD423" s="23">
        <f>IF(BB423="","",SUMIFS(Performance!$O$5:$O$404,Performance!$M$5:$M$404,BB423))</f>
        <v>0</v>
      </c>
      <c r="BE423" s="23">
        <f>IF(BB423="","",SUMIFS(Performance!$Z$5:$Z$404,Performance!$M$5:$M$404,BB423))</f>
        <v>0</v>
      </c>
      <c r="BF423" s="24">
        <f>IF(OR(BD423="",BD423=0),"",BE423/BD423)</f>
        <v>0</v>
      </c>
      <c r="BG423" s="32">
        <f>IF(BC423=0,"",IF(BF423="","",BF423+ROW()/1000000))</f>
        <v>0</v>
      </c>
      <c r="BH423" s="17">
        <f>IF(Performance!$C$423="","",Performance!$C$423)</f>
        <v>0</v>
      </c>
      <c r="BI423" s="17">
        <f>IF(Performance!$F$423="","",Performance!$F$423)</f>
        <v>0</v>
      </c>
      <c r="BJ423" s="17">
        <f>IF(Performance!$H$423="","",Performance!$H$423)</f>
        <v>0</v>
      </c>
      <c r="BK423" s="16">
        <f>IF(Performance!$D$423="","",Performance!$D$423)</f>
        <v>0</v>
      </c>
      <c r="BL423" s="17">
        <f>IF(Performance!$E$423="","",Performance!$E$423)</f>
        <v>0</v>
      </c>
      <c r="BM423" s="23">
        <f>IF(Performance!$O$423="","",Performance!$O$423)</f>
        <v>0</v>
      </c>
      <c r="BN423" s="24">
        <f>IF(Performance!$AA$423="","",Performance!$AA$423)</f>
        <v>0</v>
      </c>
      <c r="BO423" s="32">
        <f>IF(BH423="","",IF(BK423="","",IF(OR(BK423&lt;DashStart,BK423&gt;DashEnd),"",IF(BN423="","",BN423+ROW()/1000000))))</f>
        <v>0</v>
      </c>
      <c r="BP423" s="32">
        <f>IF(BM423="","",IF(BK423="","",IF(OR(BK423&lt;DashStart,BK423&gt;DashEnd),"",BM423+ROW()/1000000)))</f>
        <v>0</v>
      </c>
      <c r="BQ423" s="32">
        <f>IF(BH423="","",IF(BK423="","",IF(YEAR(BK423)&lt;&gt;PlanYear,"",IF(BN423="","",BN423+ROW()/1000000))))</f>
        <v>0</v>
      </c>
      <c r="BR423" s="32">
        <f>IF(BH423="","",IF(BK423="","",IF(OR(BK423&lt;RepFrom,BK423&gt;RepTo),"",IF(BN423="","",BN423+ROW()/1000000))))</f>
        <v>0</v>
      </c>
      <c r="BS423" s="32">
        <f>IF(BM423="","",IF(BK423="","",IF(YEAR(BK423)&lt;&gt;PlanYear,"",BM423+ROW()/1000000)))</f>
        <v>0</v>
      </c>
      <c r="BT423" s="17">
        <f>IF(Lists!$F423="","",Lists!$F423)</f>
        <v>0</v>
      </c>
      <c r="BU423" s="23">
        <f>IF(BT423="","",COUNTIF('Content Calendar'!$X$5:$X$604,BT423))</f>
        <v>0</v>
      </c>
      <c r="BV423" s="23">
        <f>IF(BT423="","",COUNTIFS('Content Calendar'!$X$5:$X$604,BT423,'Content Calendar'!$B$5:$B$604,"&gt;="&amp;DashStart,'Content Calendar'!$B$5:$B$604,"&lt;="&amp;DashEnd))</f>
        <v>0</v>
      </c>
      <c r="BW423" s="17">
        <f>IF(Team!$B$423="","",Team!$B$423)</f>
        <v>0</v>
      </c>
      <c r="BX423" s="23">
        <f>IF(BW423="","",COUNTIF('Content Calendar'!$W$5:$W$604,BW423))</f>
        <v>0</v>
      </c>
      <c r="BY423" s="23">
        <f>IF(BW423="","",COUNTIFS('Content Calendar'!$W$5:$W$604,BW423,'Content Calendar'!$X$5:$X$604,"&lt;&gt;Published"))</f>
        <v>0</v>
      </c>
      <c r="BZ423" s="23">
        <f>IF(BW423="","",COUNTIFS(Tasks!$C$5:$C$64,BW423,Tasks!$G$5:$G$64,"&lt;&gt;Complete"))</f>
        <v>0</v>
      </c>
      <c r="CA423" s="17">
        <f>IF(Campaigns!$B$423="","",Campaigns!$B$423)</f>
        <v>0</v>
      </c>
      <c r="CB423" s="25">
        <f>IF(Campaigns!$T$423="","",Campaigns!$T$423)</f>
        <v>0</v>
      </c>
      <c r="CC423" s="25">
        <f>IF(Campaigns!$Q$423="","",Campaigns!$Q$423)</f>
        <v>0</v>
      </c>
      <c r="CD423" s="23">
        <f>IF(Campaigns!$Y$423="","",Campaigns!$Y$423)</f>
        <v>0</v>
      </c>
      <c r="CE423" s="32">
        <f>IF(CA423="","",IF(N(CB423)&lt;=0,"",N(CB423)+ROW()/1000000))</f>
        <v>0</v>
      </c>
      <c r="CF423" s="17">
        <f>IF(Accounts!$C$423="","",Accounts!$C$423)</f>
        <v>0</v>
      </c>
      <c r="CG423" s="17">
        <f>IF(Accounts!$B$423="","",Accounts!$B$423)</f>
        <v>0</v>
      </c>
      <c r="CH423" s="23">
        <f>IF(Accounts!$J$423="","",Accounts!$J$423)</f>
        <v>0</v>
      </c>
      <c r="CI423" s="23">
        <f>IF(CF423="","",SUMIFS(Analytics!$X$5:$X$154,Analytics!$E$5:$E$154,CF423,Analytics!$B$5:$B$154,"&gt;="&amp;DashStart,Analytics!$B$5:$B$154,"&lt;="&amp;DashEnd))</f>
        <v>0</v>
      </c>
      <c r="CJ423" s="32">
        <f>IF(CH423="","",IF(CH423=0,"",CH423+ROW()/1000000))</f>
        <v>0</v>
      </c>
    </row>
    <row r="424" spans="1:88">
      <c r="A424" s="16">
        <f>IF(ROW()-4&gt;12,"",DATE(PlanYear,ROW()-4,1))</f>
        <v>0</v>
      </c>
      <c r="B424" s="16">
        <f>IF(A424="","",EOMONTH(A424,0))</f>
        <v>0</v>
      </c>
      <c r="C424" s="17">
        <f>IF(A424="","",TEXT(A424,"yyyy-mm"))</f>
        <v>0</v>
      </c>
      <c r="D424" s="17">
        <f>IF(A424="","",TEXT(A424,"mmm"))</f>
        <v>0</v>
      </c>
      <c r="E424" s="23">
        <f>IF(C424="","",COUNTIFS('Content Calendar'!$D$5:$D$604,C424))</f>
        <v>0</v>
      </c>
      <c r="F424" s="23">
        <f>IF(C424="","",COUNTIFS('Content Calendar'!$D$5:$D$604,C424,'Content Calendar'!$X$5:$X$604,"Published"))</f>
        <v>0</v>
      </c>
      <c r="G424" s="23">
        <f>IF(C424="","",SUMIFS(Analytics!$J$5:$J$154,Analytics!$C$5:$C$154,C424))</f>
        <v>0</v>
      </c>
      <c r="H424" s="23">
        <f>IF(C424="","",SUMIFS(Analytics!$K$5:$K$154,Analytics!$C$5:$C$154,C424))</f>
        <v>0</v>
      </c>
      <c r="I424" s="23">
        <f>IF(C424="","",SUMIFS(Analytics!$L$5:$L$154,Analytics!$C$5:$C$154,C424))</f>
        <v>0</v>
      </c>
      <c r="J424" s="24">
        <f>IF(OR(G424="",G424=0),"",I424/G424)</f>
        <v>0</v>
      </c>
      <c r="K424" s="23">
        <f>IF(C424="","",SUMIFS(Analytics!$G$5:$G$154,Analytics!$C$5:$C$154,C424))</f>
        <v>0</v>
      </c>
      <c r="L424" s="23">
        <f>IF(C424="","",SUMIFS(Analytics!$X$5:$X$154,Analytics!$C$5:$C$154,C424))</f>
        <v>0</v>
      </c>
      <c r="M424" s="23">
        <f>IF(C424="","",SUMIFS(Analytics!$R$5:$R$154,Analytics!$C$5:$C$154,C424))</f>
        <v>0</v>
      </c>
      <c r="N424" s="23">
        <f>IF(C424="","",SUMIFS(Analytics!$S$5:$S$154,Analytics!$C$5:$C$154,C424))</f>
        <v>0</v>
      </c>
      <c r="O424" s="23">
        <f>IF(C424="","",SUMIFS(Analytics!$T$5:$T$154,Analytics!$C$5:$C$154,C424))</f>
        <v>0</v>
      </c>
      <c r="P424" s="25">
        <f>IF(C424="","",SUMIFS(Analytics!$U$5:$U$154,Analytics!$C$5:$C$154,C424))</f>
        <v>0</v>
      </c>
      <c r="Q424" s="25">
        <f>IF(C424="","",SUMIFS(Budget!$H$5:$H$64,Budget!$C$5:$C$64,C424))</f>
        <v>0</v>
      </c>
      <c r="R424" s="25">
        <f>IF(C424="","",P424-Q424)</f>
        <v>0</v>
      </c>
      <c r="S424" s="23">
        <f>IF(C424="","",MonthlyPostTarget)</f>
        <v>0</v>
      </c>
      <c r="T424" s="17">
        <f>IF(Lists!$C424="","",Lists!$C424)</f>
        <v>0</v>
      </c>
      <c r="U424" s="23">
        <f>IF(T424="","",COUNTIFS('Content Calendar'!$G$5:$G$604,T424,'Content Calendar'!$B$5:$B$604,"&gt;="&amp;DashStart,'Content Calendar'!$B$5:$B$604,"&lt;="&amp;DashEnd))</f>
        <v>0</v>
      </c>
      <c r="V424" s="23">
        <f>IF(T424="","",COUNTIFS('Content Calendar'!$G$5:$G$604,T424,'Content Calendar'!$X$5:$X$604,"Published",'Content Calendar'!$B$5:$B$604,"&gt;="&amp;DashStart,'Content Calendar'!$B$5:$B$604,"&lt;="&amp;DashEnd))</f>
        <v>0</v>
      </c>
      <c r="W424" s="23">
        <f>IF(T424="","",SUMIFS(Analytics!$J$5:$J$154,Analytics!$D$5:$D$154,T424,Analytics!$B$5:$B$154,"&gt;="&amp;DashStart,Analytics!$B$5:$B$154,"&lt;="&amp;DashEnd))</f>
        <v>0</v>
      </c>
      <c r="X424" s="23">
        <f>IF(T424="","",SUMIFS(Analytics!$L$5:$L$154,Analytics!$D$5:$D$154,T424,Analytics!$B$5:$B$154,"&gt;="&amp;DashStart,Analytics!$B$5:$B$154,"&lt;="&amp;DashEnd))</f>
        <v>0</v>
      </c>
      <c r="Y424" s="24">
        <f>IF(OR(W424="",W424=0),"",X424/W424)</f>
        <v>0</v>
      </c>
      <c r="Z424" s="23">
        <f>IF(T424="","",SUMIFS(Analytics!$G$5:$G$154,Analytics!$D$5:$D$154,T424,Analytics!$B$5:$B$154,"&gt;="&amp;DashStart,Analytics!$B$5:$B$154,"&lt;="&amp;DashEnd))</f>
        <v>0</v>
      </c>
      <c r="AA424" s="23">
        <f>IF(T424="","",SUMIFS(Analytics!$X$5:$X$154,Analytics!$D$5:$D$154,T424,Analytics!$B$5:$B$154,"&gt;="&amp;DashStart,Analytics!$B$5:$B$154,"&lt;="&amp;DashEnd))</f>
        <v>0</v>
      </c>
      <c r="AB424" s="23">
        <f>IF(T424="","",SUMIFS(Analytics!$R$5:$R$154,Analytics!$D$5:$D$154,T424,Analytics!$B$5:$B$154,"&gt;="&amp;DashStart,Analytics!$B$5:$B$154,"&lt;="&amp;DashEnd))</f>
        <v>0</v>
      </c>
      <c r="AC424" s="25">
        <f>IF(T424="","",SUMIFS(Analytics!$U$5:$U$154,Analytics!$D$5:$D$154,T424,Analytics!$B$5:$B$154,"&gt;="&amp;DashStart,Analytics!$B$5:$B$154,"&lt;="&amp;DashEnd))</f>
        <v>0</v>
      </c>
      <c r="AD424" s="23">
        <f>IF(T424="","",COUNTIFS('Content Calendar'!$G$5:$G$604,T424,'Content Calendar'!$B$5:$B$604,"&gt;="&amp;DATE(PlanYear,1,1),'Content Calendar'!$B$5:$B$604,"&lt;="&amp;DATE(PlanYear,12,31)))</f>
        <v>0</v>
      </c>
      <c r="AE424" s="23">
        <f>IF(T424="","",SUMIFS(Analytics!$J$5:$J$154,Analytics!$D$5:$D$154,T424))</f>
        <v>0</v>
      </c>
      <c r="AF424" s="23">
        <f>IF(T424="","",SUMIFS(Analytics!$L$5:$L$154,Analytics!$D$5:$D$154,T424))</f>
        <v>0</v>
      </c>
      <c r="AG424" s="24">
        <f>IF(OR(AE424="",AE424=0),"",AF424/AE424)</f>
        <v>0</v>
      </c>
      <c r="AH424" s="23">
        <f>IF(T424="","",SUMIFS(Analytics!$X$5:$X$154,Analytics!$D$5:$D$154,T424))</f>
        <v>0</v>
      </c>
      <c r="AI424" s="32">
        <f>IF(T424="","",IF(AE424=0,"",AE424+ROW()/1000000))</f>
        <v>0</v>
      </c>
      <c r="AJ424" s="17">
        <f>IF('Content Pillars'!$B$424="","",'Content Pillars'!$B$424)</f>
        <v>0</v>
      </c>
      <c r="AK424" s="23">
        <f>IF(AJ424="","",COUNTIFS('Content Calendar'!$J$5:$J$604,AJ424,'Content Calendar'!$B$5:$B$604,"&gt;="&amp;DATE(PlanYear,1,1),'Content Calendar'!$B$5:$B$604,"&lt;="&amp;DATE(PlanYear,12,31)))</f>
        <v>0</v>
      </c>
      <c r="AL424" s="23">
        <f>IF(AJ424="","",SUMIFS(Performance!$O$5:$O$404,Performance!$H$5:$H$404,AJ424))</f>
        <v>0</v>
      </c>
      <c r="AM424" s="23">
        <f>IF(AJ424="","",SUMIFS(Performance!$Z$5:$Z$404,Performance!$H$5:$H$404,AJ424))</f>
        <v>0</v>
      </c>
      <c r="AN424" s="24">
        <f>IF(OR(AL424="",AL424=0),"",AM424/AL424)</f>
        <v>0</v>
      </c>
      <c r="AO424" s="32">
        <f>IF(AN424="","",AN424+ROW()/1000000)</f>
        <v>0</v>
      </c>
      <c r="AP424" s="17">
        <f>IF(Lists!$E424="","",Lists!$E424)</f>
        <v>0</v>
      </c>
      <c r="AQ424" s="23">
        <f>IF(AP424="","",COUNTIF(Performance!$G$5:$G$404,AP424))</f>
        <v>0</v>
      </c>
      <c r="AR424" s="23">
        <f>IF(AP424="","",SUMIFS(Performance!$O$5:$O$404,Performance!$G$5:$G$404,AP424))</f>
        <v>0</v>
      </c>
      <c r="AS424" s="23">
        <f>IF(AP424="","",SUMIFS(Performance!$Z$5:$Z$404,Performance!$G$5:$G$404,AP424))</f>
        <v>0</v>
      </c>
      <c r="AT424" s="24">
        <f>IF(OR(AR424="",AR424=0),"",AS424/AR424)</f>
        <v>0</v>
      </c>
      <c r="AU424" s="32">
        <f>IF(AQ424=0,"",IF(AT424="","",AT424+ROW()/1000000))</f>
        <v>0</v>
      </c>
      <c r="AV424" s="17">
        <f>IF(ROW()-4&gt;7,"",TEXT(DATE(2024,1,ROW()-4),"ddd"))</f>
        <v>0</v>
      </c>
      <c r="AW424" s="23">
        <f>IF(AV424="","",COUNTIF(Performance!$N$5:$N$404,AV424))</f>
        <v>0</v>
      </c>
      <c r="AX424" s="23">
        <f>IF(AV424="","",SUMIFS(Performance!$O$5:$O$404,Performance!$N$5:$N$404,AV424))</f>
        <v>0</v>
      </c>
      <c r="AY424" s="23">
        <f>IF(AV424="","",SUMIFS(Performance!$Z$5:$Z$404,Performance!$N$5:$N$404,AV424))</f>
        <v>0</v>
      </c>
      <c r="AZ424" s="24">
        <f>IF(OR(AX424="",AX424=0),"",AY424/AX424)</f>
        <v>0</v>
      </c>
      <c r="BA424" s="32">
        <f>IF(AW424=0,"",IF(AZ424="","",AZ424+ROW()/1000000))</f>
        <v>0</v>
      </c>
      <c r="BB424" s="17">
        <f>IF(Lists!$AL424="","",Lists!$AL424)</f>
        <v>0</v>
      </c>
      <c r="BC424" s="23">
        <f>IF(BB424="","",COUNTIF(Performance!$M$5:$M$404,BB424))</f>
        <v>0</v>
      </c>
      <c r="BD424" s="23">
        <f>IF(BB424="","",SUMIFS(Performance!$O$5:$O$404,Performance!$M$5:$M$404,BB424))</f>
        <v>0</v>
      </c>
      <c r="BE424" s="23">
        <f>IF(BB424="","",SUMIFS(Performance!$Z$5:$Z$404,Performance!$M$5:$M$404,BB424))</f>
        <v>0</v>
      </c>
      <c r="BF424" s="24">
        <f>IF(OR(BD424="",BD424=0),"",BE424/BD424)</f>
        <v>0</v>
      </c>
      <c r="BG424" s="32">
        <f>IF(BC424=0,"",IF(BF424="","",BF424+ROW()/1000000))</f>
        <v>0</v>
      </c>
      <c r="BH424" s="17">
        <f>IF(Performance!$C$424="","",Performance!$C$424)</f>
        <v>0</v>
      </c>
      <c r="BI424" s="17">
        <f>IF(Performance!$F$424="","",Performance!$F$424)</f>
        <v>0</v>
      </c>
      <c r="BJ424" s="17">
        <f>IF(Performance!$H$424="","",Performance!$H$424)</f>
        <v>0</v>
      </c>
      <c r="BK424" s="16">
        <f>IF(Performance!$D$424="","",Performance!$D$424)</f>
        <v>0</v>
      </c>
      <c r="BL424" s="17">
        <f>IF(Performance!$E$424="","",Performance!$E$424)</f>
        <v>0</v>
      </c>
      <c r="BM424" s="23">
        <f>IF(Performance!$O$424="","",Performance!$O$424)</f>
        <v>0</v>
      </c>
      <c r="BN424" s="24">
        <f>IF(Performance!$AA$424="","",Performance!$AA$424)</f>
        <v>0</v>
      </c>
      <c r="BO424" s="32">
        <f>IF(BH424="","",IF(BK424="","",IF(OR(BK424&lt;DashStart,BK424&gt;DashEnd),"",IF(BN424="","",BN424+ROW()/1000000))))</f>
        <v>0</v>
      </c>
      <c r="BP424" s="32">
        <f>IF(BM424="","",IF(BK424="","",IF(OR(BK424&lt;DashStart,BK424&gt;DashEnd),"",BM424+ROW()/1000000)))</f>
        <v>0</v>
      </c>
      <c r="BQ424" s="32">
        <f>IF(BH424="","",IF(BK424="","",IF(YEAR(BK424)&lt;&gt;PlanYear,"",IF(BN424="","",BN424+ROW()/1000000))))</f>
        <v>0</v>
      </c>
      <c r="BR424" s="32">
        <f>IF(BH424="","",IF(BK424="","",IF(OR(BK424&lt;RepFrom,BK424&gt;RepTo),"",IF(BN424="","",BN424+ROW()/1000000))))</f>
        <v>0</v>
      </c>
      <c r="BS424" s="32">
        <f>IF(BM424="","",IF(BK424="","",IF(YEAR(BK424)&lt;&gt;PlanYear,"",BM424+ROW()/1000000)))</f>
        <v>0</v>
      </c>
      <c r="BT424" s="17">
        <f>IF(Lists!$F424="","",Lists!$F424)</f>
        <v>0</v>
      </c>
      <c r="BU424" s="23">
        <f>IF(BT424="","",COUNTIF('Content Calendar'!$X$5:$X$604,BT424))</f>
        <v>0</v>
      </c>
      <c r="BV424" s="23">
        <f>IF(BT424="","",COUNTIFS('Content Calendar'!$X$5:$X$604,BT424,'Content Calendar'!$B$5:$B$604,"&gt;="&amp;DashStart,'Content Calendar'!$B$5:$B$604,"&lt;="&amp;DashEnd))</f>
        <v>0</v>
      </c>
      <c r="BW424" s="17">
        <f>IF(Team!$B$424="","",Team!$B$424)</f>
        <v>0</v>
      </c>
      <c r="BX424" s="23">
        <f>IF(BW424="","",COUNTIF('Content Calendar'!$W$5:$W$604,BW424))</f>
        <v>0</v>
      </c>
      <c r="BY424" s="23">
        <f>IF(BW424="","",COUNTIFS('Content Calendar'!$W$5:$W$604,BW424,'Content Calendar'!$X$5:$X$604,"&lt;&gt;Published"))</f>
        <v>0</v>
      </c>
      <c r="BZ424" s="23">
        <f>IF(BW424="","",COUNTIFS(Tasks!$C$5:$C$64,BW424,Tasks!$G$5:$G$64,"&lt;&gt;Complete"))</f>
        <v>0</v>
      </c>
      <c r="CA424" s="17">
        <f>IF(Campaigns!$B$424="","",Campaigns!$B$424)</f>
        <v>0</v>
      </c>
      <c r="CB424" s="25">
        <f>IF(Campaigns!$T$424="","",Campaigns!$T$424)</f>
        <v>0</v>
      </c>
      <c r="CC424" s="25">
        <f>IF(Campaigns!$Q$424="","",Campaigns!$Q$424)</f>
        <v>0</v>
      </c>
      <c r="CD424" s="23">
        <f>IF(Campaigns!$Y$424="","",Campaigns!$Y$424)</f>
        <v>0</v>
      </c>
      <c r="CE424" s="32">
        <f>IF(CA424="","",IF(N(CB424)&lt;=0,"",N(CB424)+ROW()/1000000))</f>
        <v>0</v>
      </c>
      <c r="CF424" s="17">
        <f>IF(Accounts!$C$424="","",Accounts!$C$424)</f>
        <v>0</v>
      </c>
      <c r="CG424" s="17">
        <f>IF(Accounts!$B$424="","",Accounts!$B$424)</f>
        <v>0</v>
      </c>
      <c r="CH424" s="23">
        <f>IF(Accounts!$J$424="","",Accounts!$J$424)</f>
        <v>0</v>
      </c>
      <c r="CI424" s="23">
        <f>IF(CF424="","",SUMIFS(Analytics!$X$5:$X$154,Analytics!$E$5:$E$154,CF424,Analytics!$B$5:$B$154,"&gt;="&amp;DashStart,Analytics!$B$5:$B$154,"&lt;="&amp;DashEnd))</f>
        <v>0</v>
      </c>
      <c r="CJ424" s="32">
        <f>IF(CH424="","",IF(CH424=0,"",CH424+ROW()/1000000))</f>
        <v>0</v>
      </c>
    </row>
    <row r="425" spans="1:88">
      <c r="A425" s="16">
        <f>IF(ROW()-4&gt;12,"",DATE(PlanYear,ROW()-4,1))</f>
        <v>0</v>
      </c>
      <c r="B425" s="16">
        <f>IF(A425="","",EOMONTH(A425,0))</f>
        <v>0</v>
      </c>
      <c r="C425" s="17">
        <f>IF(A425="","",TEXT(A425,"yyyy-mm"))</f>
        <v>0</v>
      </c>
      <c r="D425" s="17">
        <f>IF(A425="","",TEXT(A425,"mmm"))</f>
        <v>0</v>
      </c>
      <c r="E425" s="23">
        <f>IF(C425="","",COUNTIFS('Content Calendar'!$D$5:$D$604,C425))</f>
        <v>0</v>
      </c>
      <c r="F425" s="23">
        <f>IF(C425="","",COUNTIFS('Content Calendar'!$D$5:$D$604,C425,'Content Calendar'!$X$5:$X$604,"Published"))</f>
        <v>0</v>
      </c>
      <c r="G425" s="23">
        <f>IF(C425="","",SUMIFS(Analytics!$J$5:$J$154,Analytics!$C$5:$C$154,C425))</f>
        <v>0</v>
      </c>
      <c r="H425" s="23">
        <f>IF(C425="","",SUMIFS(Analytics!$K$5:$K$154,Analytics!$C$5:$C$154,C425))</f>
        <v>0</v>
      </c>
      <c r="I425" s="23">
        <f>IF(C425="","",SUMIFS(Analytics!$L$5:$L$154,Analytics!$C$5:$C$154,C425))</f>
        <v>0</v>
      </c>
      <c r="J425" s="24">
        <f>IF(OR(G425="",G425=0),"",I425/G425)</f>
        <v>0</v>
      </c>
      <c r="K425" s="23">
        <f>IF(C425="","",SUMIFS(Analytics!$G$5:$G$154,Analytics!$C$5:$C$154,C425))</f>
        <v>0</v>
      </c>
      <c r="L425" s="23">
        <f>IF(C425="","",SUMIFS(Analytics!$X$5:$X$154,Analytics!$C$5:$C$154,C425))</f>
        <v>0</v>
      </c>
      <c r="M425" s="23">
        <f>IF(C425="","",SUMIFS(Analytics!$R$5:$R$154,Analytics!$C$5:$C$154,C425))</f>
        <v>0</v>
      </c>
      <c r="N425" s="23">
        <f>IF(C425="","",SUMIFS(Analytics!$S$5:$S$154,Analytics!$C$5:$C$154,C425))</f>
        <v>0</v>
      </c>
      <c r="O425" s="23">
        <f>IF(C425="","",SUMIFS(Analytics!$T$5:$T$154,Analytics!$C$5:$C$154,C425))</f>
        <v>0</v>
      </c>
      <c r="P425" s="25">
        <f>IF(C425="","",SUMIFS(Analytics!$U$5:$U$154,Analytics!$C$5:$C$154,C425))</f>
        <v>0</v>
      </c>
      <c r="Q425" s="25">
        <f>IF(C425="","",SUMIFS(Budget!$H$5:$H$64,Budget!$C$5:$C$64,C425))</f>
        <v>0</v>
      </c>
      <c r="R425" s="25">
        <f>IF(C425="","",P425-Q425)</f>
        <v>0</v>
      </c>
      <c r="S425" s="23">
        <f>IF(C425="","",MonthlyPostTarget)</f>
        <v>0</v>
      </c>
      <c r="T425" s="17">
        <f>IF(Lists!$C425="","",Lists!$C425)</f>
        <v>0</v>
      </c>
      <c r="U425" s="23">
        <f>IF(T425="","",COUNTIFS('Content Calendar'!$G$5:$G$604,T425,'Content Calendar'!$B$5:$B$604,"&gt;="&amp;DashStart,'Content Calendar'!$B$5:$B$604,"&lt;="&amp;DashEnd))</f>
        <v>0</v>
      </c>
      <c r="V425" s="23">
        <f>IF(T425="","",COUNTIFS('Content Calendar'!$G$5:$G$604,T425,'Content Calendar'!$X$5:$X$604,"Published",'Content Calendar'!$B$5:$B$604,"&gt;="&amp;DashStart,'Content Calendar'!$B$5:$B$604,"&lt;="&amp;DashEnd))</f>
        <v>0</v>
      </c>
      <c r="W425" s="23">
        <f>IF(T425="","",SUMIFS(Analytics!$J$5:$J$154,Analytics!$D$5:$D$154,T425,Analytics!$B$5:$B$154,"&gt;="&amp;DashStart,Analytics!$B$5:$B$154,"&lt;="&amp;DashEnd))</f>
        <v>0</v>
      </c>
      <c r="X425" s="23">
        <f>IF(T425="","",SUMIFS(Analytics!$L$5:$L$154,Analytics!$D$5:$D$154,T425,Analytics!$B$5:$B$154,"&gt;="&amp;DashStart,Analytics!$B$5:$B$154,"&lt;="&amp;DashEnd))</f>
        <v>0</v>
      </c>
      <c r="Y425" s="24">
        <f>IF(OR(W425="",W425=0),"",X425/W425)</f>
        <v>0</v>
      </c>
      <c r="Z425" s="23">
        <f>IF(T425="","",SUMIFS(Analytics!$G$5:$G$154,Analytics!$D$5:$D$154,T425,Analytics!$B$5:$B$154,"&gt;="&amp;DashStart,Analytics!$B$5:$B$154,"&lt;="&amp;DashEnd))</f>
        <v>0</v>
      </c>
      <c r="AA425" s="23">
        <f>IF(T425="","",SUMIFS(Analytics!$X$5:$X$154,Analytics!$D$5:$D$154,T425,Analytics!$B$5:$B$154,"&gt;="&amp;DashStart,Analytics!$B$5:$B$154,"&lt;="&amp;DashEnd))</f>
        <v>0</v>
      </c>
      <c r="AB425" s="23">
        <f>IF(T425="","",SUMIFS(Analytics!$R$5:$R$154,Analytics!$D$5:$D$154,T425,Analytics!$B$5:$B$154,"&gt;="&amp;DashStart,Analytics!$B$5:$B$154,"&lt;="&amp;DashEnd))</f>
        <v>0</v>
      </c>
      <c r="AC425" s="25">
        <f>IF(T425="","",SUMIFS(Analytics!$U$5:$U$154,Analytics!$D$5:$D$154,T425,Analytics!$B$5:$B$154,"&gt;="&amp;DashStart,Analytics!$B$5:$B$154,"&lt;="&amp;DashEnd))</f>
        <v>0</v>
      </c>
      <c r="AD425" s="23">
        <f>IF(T425="","",COUNTIFS('Content Calendar'!$G$5:$G$604,T425,'Content Calendar'!$B$5:$B$604,"&gt;="&amp;DATE(PlanYear,1,1),'Content Calendar'!$B$5:$B$604,"&lt;="&amp;DATE(PlanYear,12,31)))</f>
        <v>0</v>
      </c>
      <c r="AE425" s="23">
        <f>IF(T425="","",SUMIFS(Analytics!$J$5:$J$154,Analytics!$D$5:$D$154,T425))</f>
        <v>0</v>
      </c>
      <c r="AF425" s="23">
        <f>IF(T425="","",SUMIFS(Analytics!$L$5:$L$154,Analytics!$D$5:$D$154,T425))</f>
        <v>0</v>
      </c>
      <c r="AG425" s="24">
        <f>IF(OR(AE425="",AE425=0),"",AF425/AE425)</f>
        <v>0</v>
      </c>
      <c r="AH425" s="23">
        <f>IF(T425="","",SUMIFS(Analytics!$X$5:$X$154,Analytics!$D$5:$D$154,T425))</f>
        <v>0</v>
      </c>
      <c r="AI425" s="32">
        <f>IF(T425="","",IF(AE425=0,"",AE425+ROW()/1000000))</f>
        <v>0</v>
      </c>
      <c r="AJ425" s="17">
        <f>IF('Content Pillars'!$B$425="","",'Content Pillars'!$B$425)</f>
        <v>0</v>
      </c>
      <c r="AK425" s="23">
        <f>IF(AJ425="","",COUNTIFS('Content Calendar'!$J$5:$J$604,AJ425,'Content Calendar'!$B$5:$B$604,"&gt;="&amp;DATE(PlanYear,1,1),'Content Calendar'!$B$5:$B$604,"&lt;="&amp;DATE(PlanYear,12,31)))</f>
        <v>0</v>
      </c>
      <c r="AL425" s="23">
        <f>IF(AJ425="","",SUMIFS(Performance!$O$5:$O$404,Performance!$H$5:$H$404,AJ425))</f>
        <v>0</v>
      </c>
      <c r="AM425" s="23">
        <f>IF(AJ425="","",SUMIFS(Performance!$Z$5:$Z$404,Performance!$H$5:$H$404,AJ425))</f>
        <v>0</v>
      </c>
      <c r="AN425" s="24">
        <f>IF(OR(AL425="",AL425=0),"",AM425/AL425)</f>
        <v>0</v>
      </c>
      <c r="AO425" s="32">
        <f>IF(AN425="","",AN425+ROW()/1000000)</f>
        <v>0</v>
      </c>
      <c r="AP425" s="17">
        <f>IF(Lists!$E425="","",Lists!$E425)</f>
        <v>0</v>
      </c>
      <c r="AQ425" s="23">
        <f>IF(AP425="","",COUNTIF(Performance!$G$5:$G$404,AP425))</f>
        <v>0</v>
      </c>
      <c r="AR425" s="23">
        <f>IF(AP425="","",SUMIFS(Performance!$O$5:$O$404,Performance!$G$5:$G$404,AP425))</f>
        <v>0</v>
      </c>
      <c r="AS425" s="23">
        <f>IF(AP425="","",SUMIFS(Performance!$Z$5:$Z$404,Performance!$G$5:$G$404,AP425))</f>
        <v>0</v>
      </c>
      <c r="AT425" s="24">
        <f>IF(OR(AR425="",AR425=0),"",AS425/AR425)</f>
        <v>0</v>
      </c>
      <c r="AU425" s="32">
        <f>IF(AQ425=0,"",IF(AT425="","",AT425+ROW()/1000000))</f>
        <v>0</v>
      </c>
      <c r="AV425" s="17">
        <f>IF(ROW()-4&gt;7,"",TEXT(DATE(2024,1,ROW()-4),"ddd"))</f>
        <v>0</v>
      </c>
      <c r="AW425" s="23">
        <f>IF(AV425="","",COUNTIF(Performance!$N$5:$N$404,AV425))</f>
        <v>0</v>
      </c>
      <c r="AX425" s="23">
        <f>IF(AV425="","",SUMIFS(Performance!$O$5:$O$404,Performance!$N$5:$N$404,AV425))</f>
        <v>0</v>
      </c>
      <c r="AY425" s="23">
        <f>IF(AV425="","",SUMIFS(Performance!$Z$5:$Z$404,Performance!$N$5:$N$404,AV425))</f>
        <v>0</v>
      </c>
      <c r="AZ425" s="24">
        <f>IF(OR(AX425="",AX425=0),"",AY425/AX425)</f>
        <v>0</v>
      </c>
      <c r="BA425" s="32">
        <f>IF(AW425=0,"",IF(AZ425="","",AZ425+ROW()/1000000))</f>
        <v>0</v>
      </c>
      <c r="BB425" s="17">
        <f>IF(Lists!$AL425="","",Lists!$AL425)</f>
        <v>0</v>
      </c>
      <c r="BC425" s="23">
        <f>IF(BB425="","",COUNTIF(Performance!$M$5:$M$404,BB425))</f>
        <v>0</v>
      </c>
      <c r="BD425" s="23">
        <f>IF(BB425="","",SUMIFS(Performance!$O$5:$O$404,Performance!$M$5:$M$404,BB425))</f>
        <v>0</v>
      </c>
      <c r="BE425" s="23">
        <f>IF(BB425="","",SUMIFS(Performance!$Z$5:$Z$404,Performance!$M$5:$M$404,BB425))</f>
        <v>0</v>
      </c>
      <c r="BF425" s="24">
        <f>IF(OR(BD425="",BD425=0),"",BE425/BD425)</f>
        <v>0</v>
      </c>
      <c r="BG425" s="32">
        <f>IF(BC425=0,"",IF(BF425="","",BF425+ROW()/1000000))</f>
        <v>0</v>
      </c>
      <c r="BH425" s="17">
        <f>IF(Performance!$C$425="","",Performance!$C$425)</f>
        <v>0</v>
      </c>
      <c r="BI425" s="17">
        <f>IF(Performance!$F$425="","",Performance!$F$425)</f>
        <v>0</v>
      </c>
      <c r="BJ425" s="17">
        <f>IF(Performance!$H$425="","",Performance!$H$425)</f>
        <v>0</v>
      </c>
      <c r="BK425" s="16">
        <f>IF(Performance!$D$425="","",Performance!$D$425)</f>
        <v>0</v>
      </c>
      <c r="BL425" s="17">
        <f>IF(Performance!$E$425="","",Performance!$E$425)</f>
        <v>0</v>
      </c>
      <c r="BM425" s="23">
        <f>IF(Performance!$O$425="","",Performance!$O$425)</f>
        <v>0</v>
      </c>
      <c r="BN425" s="24">
        <f>IF(Performance!$AA$425="","",Performance!$AA$425)</f>
        <v>0</v>
      </c>
      <c r="BO425" s="32">
        <f>IF(BH425="","",IF(BK425="","",IF(OR(BK425&lt;DashStart,BK425&gt;DashEnd),"",IF(BN425="","",BN425+ROW()/1000000))))</f>
        <v>0</v>
      </c>
      <c r="BP425" s="32">
        <f>IF(BM425="","",IF(BK425="","",IF(OR(BK425&lt;DashStart,BK425&gt;DashEnd),"",BM425+ROW()/1000000)))</f>
        <v>0</v>
      </c>
      <c r="BQ425" s="32">
        <f>IF(BH425="","",IF(BK425="","",IF(YEAR(BK425)&lt;&gt;PlanYear,"",IF(BN425="","",BN425+ROW()/1000000))))</f>
        <v>0</v>
      </c>
      <c r="BR425" s="32">
        <f>IF(BH425="","",IF(BK425="","",IF(OR(BK425&lt;RepFrom,BK425&gt;RepTo),"",IF(BN425="","",BN425+ROW()/1000000))))</f>
        <v>0</v>
      </c>
      <c r="BS425" s="32">
        <f>IF(BM425="","",IF(BK425="","",IF(YEAR(BK425)&lt;&gt;PlanYear,"",BM425+ROW()/1000000)))</f>
        <v>0</v>
      </c>
      <c r="BT425" s="17">
        <f>IF(Lists!$F425="","",Lists!$F425)</f>
        <v>0</v>
      </c>
      <c r="BU425" s="23">
        <f>IF(BT425="","",COUNTIF('Content Calendar'!$X$5:$X$604,BT425))</f>
        <v>0</v>
      </c>
      <c r="BV425" s="23">
        <f>IF(BT425="","",COUNTIFS('Content Calendar'!$X$5:$X$604,BT425,'Content Calendar'!$B$5:$B$604,"&gt;="&amp;DashStart,'Content Calendar'!$B$5:$B$604,"&lt;="&amp;DashEnd))</f>
        <v>0</v>
      </c>
      <c r="BW425" s="17">
        <f>IF(Team!$B$425="","",Team!$B$425)</f>
        <v>0</v>
      </c>
      <c r="BX425" s="23">
        <f>IF(BW425="","",COUNTIF('Content Calendar'!$W$5:$W$604,BW425))</f>
        <v>0</v>
      </c>
      <c r="BY425" s="23">
        <f>IF(BW425="","",COUNTIFS('Content Calendar'!$W$5:$W$604,BW425,'Content Calendar'!$X$5:$X$604,"&lt;&gt;Published"))</f>
        <v>0</v>
      </c>
      <c r="BZ425" s="23">
        <f>IF(BW425="","",COUNTIFS(Tasks!$C$5:$C$64,BW425,Tasks!$G$5:$G$64,"&lt;&gt;Complete"))</f>
        <v>0</v>
      </c>
      <c r="CA425" s="17">
        <f>IF(Campaigns!$B$425="","",Campaigns!$B$425)</f>
        <v>0</v>
      </c>
      <c r="CB425" s="25">
        <f>IF(Campaigns!$T$425="","",Campaigns!$T$425)</f>
        <v>0</v>
      </c>
      <c r="CC425" s="25">
        <f>IF(Campaigns!$Q$425="","",Campaigns!$Q$425)</f>
        <v>0</v>
      </c>
      <c r="CD425" s="23">
        <f>IF(Campaigns!$Y$425="","",Campaigns!$Y$425)</f>
        <v>0</v>
      </c>
      <c r="CE425" s="32">
        <f>IF(CA425="","",IF(N(CB425)&lt;=0,"",N(CB425)+ROW()/1000000))</f>
        <v>0</v>
      </c>
      <c r="CF425" s="17">
        <f>IF(Accounts!$C$425="","",Accounts!$C$425)</f>
        <v>0</v>
      </c>
      <c r="CG425" s="17">
        <f>IF(Accounts!$B$425="","",Accounts!$B$425)</f>
        <v>0</v>
      </c>
      <c r="CH425" s="23">
        <f>IF(Accounts!$J$425="","",Accounts!$J$425)</f>
        <v>0</v>
      </c>
      <c r="CI425" s="23">
        <f>IF(CF425="","",SUMIFS(Analytics!$X$5:$X$154,Analytics!$E$5:$E$154,CF425,Analytics!$B$5:$B$154,"&gt;="&amp;DashStart,Analytics!$B$5:$B$154,"&lt;="&amp;DashEnd))</f>
        <v>0</v>
      </c>
      <c r="CJ425" s="32">
        <f>IF(CH425="","",IF(CH425=0,"",CH425+ROW()/1000000))</f>
        <v>0</v>
      </c>
    </row>
    <row r="426" spans="1:88">
      <c r="A426" s="16">
        <f>IF(ROW()-4&gt;12,"",DATE(PlanYear,ROW()-4,1))</f>
        <v>0</v>
      </c>
      <c r="B426" s="16">
        <f>IF(A426="","",EOMONTH(A426,0))</f>
        <v>0</v>
      </c>
      <c r="C426" s="17">
        <f>IF(A426="","",TEXT(A426,"yyyy-mm"))</f>
        <v>0</v>
      </c>
      <c r="D426" s="17">
        <f>IF(A426="","",TEXT(A426,"mmm"))</f>
        <v>0</v>
      </c>
      <c r="E426" s="23">
        <f>IF(C426="","",COUNTIFS('Content Calendar'!$D$5:$D$604,C426))</f>
        <v>0</v>
      </c>
      <c r="F426" s="23">
        <f>IF(C426="","",COUNTIFS('Content Calendar'!$D$5:$D$604,C426,'Content Calendar'!$X$5:$X$604,"Published"))</f>
        <v>0</v>
      </c>
      <c r="G426" s="23">
        <f>IF(C426="","",SUMIFS(Analytics!$J$5:$J$154,Analytics!$C$5:$C$154,C426))</f>
        <v>0</v>
      </c>
      <c r="H426" s="23">
        <f>IF(C426="","",SUMIFS(Analytics!$K$5:$K$154,Analytics!$C$5:$C$154,C426))</f>
        <v>0</v>
      </c>
      <c r="I426" s="23">
        <f>IF(C426="","",SUMIFS(Analytics!$L$5:$L$154,Analytics!$C$5:$C$154,C426))</f>
        <v>0</v>
      </c>
      <c r="J426" s="24">
        <f>IF(OR(G426="",G426=0),"",I426/G426)</f>
        <v>0</v>
      </c>
      <c r="K426" s="23">
        <f>IF(C426="","",SUMIFS(Analytics!$G$5:$G$154,Analytics!$C$5:$C$154,C426))</f>
        <v>0</v>
      </c>
      <c r="L426" s="23">
        <f>IF(C426="","",SUMIFS(Analytics!$X$5:$X$154,Analytics!$C$5:$C$154,C426))</f>
        <v>0</v>
      </c>
      <c r="M426" s="23">
        <f>IF(C426="","",SUMIFS(Analytics!$R$5:$R$154,Analytics!$C$5:$C$154,C426))</f>
        <v>0</v>
      </c>
      <c r="N426" s="23">
        <f>IF(C426="","",SUMIFS(Analytics!$S$5:$S$154,Analytics!$C$5:$C$154,C426))</f>
        <v>0</v>
      </c>
      <c r="O426" s="23">
        <f>IF(C426="","",SUMIFS(Analytics!$T$5:$T$154,Analytics!$C$5:$C$154,C426))</f>
        <v>0</v>
      </c>
      <c r="P426" s="25">
        <f>IF(C426="","",SUMIFS(Analytics!$U$5:$U$154,Analytics!$C$5:$C$154,C426))</f>
        <v>0</v>
      </c>
      <c r="Q426" s="25">
        <f>IF(C426="","",SUMIFS(Budget!$H$5:$H$64,Budget!$C$5:$C$64,C426))</f>
        <v>0</v>
      </c>
      <c r="R426" s="25">
        <f>IF(C426="","",P426-Q426)</f>
        <v>0</v>
      </c>
      <c r="S426" s="23">
        <f>IF(C426="","",MonthlyPostTarget)</f>
        <v>0</v>
      </c>
      <c r="T426" s="17">
        <f>IF(Lists!$C426="","",Lists!$C426)</f>
        <v>0</v>
      </c>
      <c r="U426" s="23">
        <f>IF(T426="","",COUNTIFS('Content Calendar'!$G$5:$G$604,T426,'Content Calendar'!$B$5:$B$604,"&gt;="&amp;DashStart,'Content Calendar'!$B$5:$B$604,"&lt;="&amp;DashEnd))</f>
        <v>0</v>
      </c>
      <c r="V426" s="23">
        <f>IF(T426="","",COUNTIFS('Content Calendar'!$G$5:$G$604,T426,'Content Calendar'!$X$5:$X$604,"Published",'Content Calendar'!$B$5:$B$604,"&gt;="&amp;DashStart,'Content Calendar'!$B$5:$B$604,"&lt;="&amp;DashEnd))</f>
        <v>0</v>
      </c>
      <c r="W426" s="23">
        <f>IF(T426="","",SUMIFS(Analytics!$J$5:$J$154,Analytics!$D$5:$D$154,T426,Analytics!$B$5:$B$154,"&gt;="&amp;DashStart,Analytics!$B$5:$B$154,"&lt;="&amp;DashEnd))</f>
        <v>0</v>
      </c>
      <c r="X426" s="23">
        <f>IF(T426="","",SUMIFS(Analytics!$L$5:$L$154,Analytics!$D$5:$D$154,T426,Analytics!$B$5:$B$154,"&gt;="&amp;DashStart,Analytics!$B$5:$B$154,"&lt;="&amp;DashEnd))</f>
        <v>0</v>
      </c>
      <c r="Y426" s="24">
        <f>IF(OR(W426="",W426=0),"",X426/W426)</f>
        <v>0</v>
      </c>
      <c r="Z426" s="23">
        <f>IF(T426="","",SUMIFS(Analytics!$G$5:$G$154,Analytics!$D$5:$D$154,T426,Analytics!$B$5:$B$154,"&gt;="&amp;DashStart,Analytics!$B$5:$B$154,"&lt;="&amp;DashEnd))</f>
        <v>0</v>
      </c>
      <c r="AA426" s="23">
        <f>IF(T426="","",SUMIFS(Analytics!$X$5:$X$154,Analytics!$D$5:$D$154,T426,Analytics!$B$5:$B$154,"&gt;="&amp;DashStart,Analytics!$B$5:$B$154,"&lt;="&amp;DashEnd))</f>
        <v>0</v>
      </c>
      <c r="AB426" s="23">
        <f>IF(T426="","",SUMIFS(Analytics!$R$5:$R$154,Analytics!$D$5:$D$154,T426,Analytics!$B$5:$B$154,"&gt;="&amp;DashStart,Analytics!$B$5:$B$154,"&lt;="&amp;DashEnd))</f>
        <v>0</v>
      </c>
      <c r="AC426" s="25">
        <f>IF(T426="","",SUMIFS(Analytics!$U$5:$U$154,Analytics!$D$5:$D$154,T426,Analytics!$B$5:$B$154,"&gt;="&amp;DashStart,Analytics!$B$5:$B$154,"&lt;="&amp;DashEnd))</f>
        <v>0</v>
      </c>
      <c r="AD426" s="23">
        <f>IF(T426="","",COUNTIFS('Content Calendar'!$G$5:$G$604,T426,'Content Calendar'!$B$5:$B$604,"&gt;="&amp;DATE(PlanYear,1,1),'Content Calendar'!$B$5:$B$604,"&lt;="&amp;DATE(PlanYear,12,31)))</f>
        <v>0</v>
      </c>
      <c r="AE426" s="23">
        <f>IF(T426="","",SUMIFS(Analytics!$J$5:$J$154,Analytics!$D$5:$D$154,T426))</f>
        <v>0</v>
      </c>
      <c r="AF426" s="23">
        <f>IF(T426="","",SUMIFS(Analytics!$L$5:$L$154,Analytics!$D$5:$D$154,T426))</f>
        <v>0</v>
      </c>
      <c r="AG426" s="24">
        <f>IF(OR(AE426="",AE426=0),"",AF426/AE426)</f>
        <v>0</v>
      </c>
      <c r="AH426" s="23">
        <f>IF(T426="","",SUMIFS(Analytics!$X$5:$X$154,Analytics!$D$5:$D$154,T426))</f>
        <v>0</v>
      </c>
      <c r="AI426" s="32">
        <f>IF(T426="","",IF(AE426=0,"",AE426+ROW()/1000000))</f>
        <v>0</v>
      </c>
      <c r="AJ426" s="17">
        <f>IF('Content Pillars'!$B$426="","",'Content Pillars'!$B$426)</f>
        <v>0</v>
      </c>
      <c r="AK426" s="23">
        <f>IF(AJ426="","",COUNTIFS('Content Calendar'!$J$5:$J$604,AJ426,'Content Calendar'!$B$5:$B$604,"&gt;="&amp;DATE(PlanYear,1,1),'Content Calendar'!$B$5:$B$604,"&lt;="&amp;DATE(PlanYear,12,31)))</f>
        <v>0</v>
      </c>
      <c r="AL426" s="23">
        <f>IF(AJ426="","",SUMIFS(Performance!$O$5:$O$404,Performance!$H$5:$H$404,AJ426))</f>
        <v>0</v>
      </c>
      <c r="AM426" s="23">
        <f>IF(AJ426="","",SUMIFS(Performance!$Z$5:$Z$404,Performance!$H$5:$H$404,AJ426))</f>
        <v>0</v>
      </c>
      <c r="AN426" s="24">
        <f>IF(OR(AL426="",AL426=0),"",AM426/AL426)</f>
        <v>0</v>
      </c>
      <c r="AO426" s="32">
        <f>IF(AN426="","",AN426+ROW()/1000000)</f>
        <v>0</v>
      </c>
      <c r="AP426" s="17">
        <f>IF(Lists!$E426="","",Lists!$E426)</f>
        <v>0</v>
      </c>
      <c r="AQ426" s="23">
        <f>IF(AP426="","",COUNTIF(Performance!$G$5:$G$404,AP426))</f>
        <v>0</v>
      </c>
      <c r="AR426" s="23">
        <f>IF(AP426="","",SUMIFS(Performance!$O$5:$O$404,Performance!$G$5:$G$404,AP426))</f>
        <v>0</v>
      </c>
      <c r="AS426" s="23">
        <f>IF(AP426="","",SUMIFS(Performance!$Z$5:$Z$404,Performance!$G$5:$G$404,AP426))</f>
        <v>0</v>
      </c>
      <c r="AT426" s="24">
        <f>IF(OR(AR426="",AR426=0),"",AS426/AR426)</f>
        <v>0</v>
      </c>
      <c r="AU426" s="32">
        <f>IF(AQ426=0,"",IF(AT426="","",AT426+ROW()/1000000))</f>
        <v>0</v>
      </c>
      <c r="AV426" s="17">
        <f>IF(ROW()-4&gt;7,"",TEXT(DATE(2024,1,ROW()-4),"ddd"))</f>
        <v>0</v>
      </c>
      <c r="AW426" s="23">
        <f>IF(AV426="","",COUNTIF(Performance!$N$5:$N$404,AV426))</f>
        <v>0</v>
      </c>
      <c r="AX426" s="23">
        <f>IF(AV426="","",SUMIFS(Performance!$O$5:$O$404,Performance!$N$5:$N$404,AV426))</f>
        <v>0</v>
      </c>
      <c r="AY426" s="23">
        <f>IF(AV426="","",SUMIFS(Performance!$Z$5:$Z$404,Performance!$N$5:$N$404,AV426))</f>
        <v>0</v>
      </c>
      <c r="AZ426" s="24">
        <f>IF(OR(AX426="",AX426=0),"",AY426/AX426)</f>
        <v>0</v>
      </c>
      <c r="BA426" s="32">
        <f>IF(AW426=0,"",IF(AZ426="","",AZ426+ROW()/1000000))</f>
        <v>0</v>
      </c>
      <c r="BB426" s="17">
        <f>IF(Lists!$AL426="","",Lists!$AL426)</f>
        <v>0</v>
      </c>
      <c r="BC426" s="23">
        <f>IF(BB426="","",COUNTIF(Performance!$M$5:$M$404,BB426))</f>
        <v>0</v>
      </c>
      <c r="BD426" s="23">
        <f>IF(BB426="","",SUMIFS(Performance!$O$5:$O$404,Performance!$M$5:$M$404,BB426))</f>
        <v>0</v>
      </c>
      <c r="BE426" s="23">
        <f>IF(BB426="","",SUMIFS(Performance!$Z$5:$Z$404,Performance!$M$5:$M$404,BB426))</f>
        <v>0</v>
      </c>
      <c r="BF426" s="24">
        <f>IF(OR(BD426="",BD426=0),"",BE426/BD426)</f>
        <v>0</v>
      </c>
      <c r="BG426" s="32">
        <f>IF(BC426=0,"",IF(BF426="","",BF426+ROW()/1000000))</f>
        <v>0</v>
      </c>
      <c r="BH426" s="17">
        <f>IF(Performance!$C$426="","",Performance!$C$426)</f>
        <v>0</v>
      </c>
      <c r="BI426" s="17">
        <f>IF(Performance!$F$426="","",Performance!$F$426)</f>
        <v>0</v>
      </c>
      <c r="BJ426" s="17">
        <f>IF(Performance!$H$426="","",Performance!$H$426)</f>
        <v>0</v>
      </c>
      <c r="BK426" s="16">
        <f>IF(Performance!$D$426="","",Performance!$D$426)</f>
        <v>0</v>
      </c>
      <c r="BL426" s="17">
        <f>IF(Performance!$E$426="","",Performance!$E$426)</f>
        <v>0</v>
      </c>
      <c r="BM426" s="23">
        <f>IF(Performance!$O$426="","",Performance!$O$426)</f>
        <v>0</v>
      </c>
      <c r="BN426" s="24">
        <f>IF(Performance!$AA$426="","",Performance!$AA$426)</f>
        <v>0</v>
      </c>
      <c r="BO426" s="32">
        <f>IF(BH426="","",IF(BK426="","",IF(OR(BK426&lt;DashStart,BK426&gt;DashEnd),"",IF(BN426="","",BN426+ROW()/1000000))))</f>
        <v>0</v>
      </c>
      <c r="BP426" s="32">
        <f>IF(BM426="","",IF(BK426="","",IF(OR(BK426&lt;DashStart,BK426&gt;DashEnd),"",BM426+ROW()/1000000)))</f>
        <v>0</v>
      </c>
      <c r="BQ426" s="32">
        <f>IF(BH426="","",IF(BK426="","",IF(YEAR(BK426)&lt;&gt;PlanYear,"",IF(BN426="","",BN426+ROW()/1000000))))</f>
        <v>0</v>
      </c>
      <c r="BR426" s="32">
        <f>IF(BH426="","",IF(BK426="","",IF(OR(BK426&lt;RepFrom,BK426&gt;RepTo),"",IF(BN426="","",BN426+ROW()/1000000))))</f>
        <v>0</v>
      </c>
      <c r="BS426" s="32">
        <f>IF(BM426="","",IF(BK426="","",IF(YEAR(BK426)&lt;&gt;PlanYear,"",BM426+ROW()/1000000)))</f>
        <v>0</v>
      </c>
      <c r="BT426" s="17">
        <f>IF(Lists!$F426="","",Lists!$F426)</f>
        <v>0</v>
      </c>
      <c r="BU426" s="23">
        <f>IF(BT426="","",COUNTIF('Content Calendar'!$X$5:$X$604,BT426))</f>
        <v>0</v>
      </c>
      <c r="BV426" s="23">
        <f>IF(BT426="","",COUNTIFS('Content Calendar'!$X$5:$X$604,BT426,'Content Calendar'!$B$5:$B$604,"&gt;="&amp;DashStart,'Content Calendar'!$B$5:$B$604,"&lt;="&amp;DashEnd))</f>
        <v>0</v>
      </c>
      <c r="BW426" s="17">
        <f>IF(Team!$B$426="","",Team!$B$426)</f>
        <v>0</v>
      </c>
      <c r="BX426" s="23">
        <f>IF(BW426="","",COUNTIF('Content Calendar'!$W$5:$W$604,BW426))</f>
        <v>0</v>
      </c>
      <c r="BY426" s="23">
        <f>IF(BW426="","",COUNTIFS('Content Calendar'!$W$5:$W$604,BW426,'Content Calendar'!$X$5:$X$604,"&lt;&gt;Published"))</f>
        <v>0</v>
      </c>
      <c r="BZ426" s="23">
        <f>IF(BW426="","",COUNTIFS(Tasks!$C$5:$C$64,BW426,Tasks!$G$5:$G$64,"&lt;&gt;Complete"))</f>
        <v>0</v>
      </c>
      <c r="CA426" s="17">
        <f>IF(Campaigns!$B$426="","",Campaigns!$B$426)</f>
        <v>0</v>
      </c>
      <c r="CB426" s="25">
        <f>IF(Campaigns!$T$426="","",Campaigns!$T$426)</f>
        <v>0</v>
      </c>
      <c r="CC426" s="25">
        <f>IF(Campaigns!$Q$426="","",Campaigns!$Q$426)</f>
        <v>0</v>
      </c>
      <c r="CD426" s="23">
        <f>IF(Campaigns!$Y$426="","",Campaigns!$Y$426)</f>
        <v>0</v>
      </c>
      <c r="CE426" s="32">
        <f>IF(CA426="","",IF(N(CB426)&lt;=0,"",N(CB426)+ROW()/1000000))</f>
        <v>0</v>
      </c>
      <c r="CF426" s="17">
        <f>IF(Accounts!$C$426="","",Accounts!$C$426)</f>
        <v>0</v>
      </c>
      <c r="CG426" s="17">
        <f>IF(Accounts!$B$426="","",Accounts!$B$426)</f>
        <v>0</v>
      </c>
      <c r="CH426" s="23">
        <f>IF(Accounts!$J$426="","",Accounts!$J$426)</f>
        <v>0</v>
      </c>
      <c r="CI426" s="23">
        <f>IF(CF426="","",SUMIFS(Analytics!$X$5:$X$154,Analytics!$E$5:$E$154,CF426,Analytics!$B$5:$B$154,"&gt;="&amp;DashStart,Analytics!$B$5:$B$154,"&lt;="&amp;DashEnd))</f>
        <v>0</v>
      </c>
      <c r="CJ426" s="32">
        <f>IF(CH426="","",IF(CH426=0,"",CH426+ROW()/1000000))</f>
        <v>0</v>
      </c>
    </row>
    <row r="427" spans="1:88">
      <c r="A427" s="16">
        <f>IF(ROW()-4&gt;12,"",DATE(PlanYear,ROW()-4,1))</f>
        <v>0</v>
      </c>
      <c r="B427" s="16">
        <f>IF(A427="","",EOMONTH(A427,0))</f>
        <v>0</v>
      </c>
      <c r="C427" s="17">
        <f>IF(A427="","",TEXT(A427,"yyyy-mm"))</f>
        <v>0</v>
      </c>
      <c r="D427" s="17">
        <f>IF(A427="","",TEXT(A427,"mmm"))</f>
        <v>0</v>
      </c>
      <c r="E427" s="23">
        <f>IF(C427="","",COUNTIFS('Content Calendar'!$D$5:$D$604,C427))</f>
        <v>0</v>
      </c>
      <c r="F427" s="23">
        <f>IF(C427="","",COUNTIFS('Content Calendar'!$D$5:$D$604,C427,'Content Calendar'!$X$5:$X$604,"Published"))</f>
        <v>0</v>
      </c>
      <c r="G427" s="23">
        <f>IF(C427="","",SUMIFS(Analytics!$J$5:$J$154,Analytics!$C$5:$C$154,C427))</f>
        <v>0</v>
      </c>
      <c r="H427" s="23">
        <f>IF(C427="","",SUMIFS(Analytics!$K$5:$K$154,Analytics!$C$5:$C$154,C427))</f>
        <v>0</v>
      </c>
      <c r="I427" s="23">
        <f>IF(C427="","",SUMIFS(Analytics!$L$5:$L$154,Analytics!$C$5:$C$154,C427))</f>
        <v>0</v>
      </c>
      <c r="J427" s="24">
        <f>IF(OR(G427="",G427=0),"",I427/G427)</f>
        <v>0</v>
      </c>
      <c r="K427" s="23">
        <f>IF(C427="","",SUMIFS(Analytics!$G$5:$G$154,Analytics!$C$5:$C$154,C427))</f>
        <v>0</v>
      </c>
      <c r="L427" s="23">
        <f>IF(C427="","",SUMIFS(Analytics!$X$5:$X$154,Analytics!$C$5:$C$154,C427))</f>
        <v>0</v>
      </c>
      <c r="M427" s="23">
        <f>IF(C427="","",SUMIFS(Analytics!$R$5:$R$154,Analytics!$C$5:$C$154,C427))</f>
        <v>0</v>
      </c>
      <c r="N427" s="23">
        <f>IF(C427="","",SUMIFS(Analytics!$S$5:$S$154,Analytics!$C$5:$C$154,C427))</f>
        <v>0</v>
      </c>
      <c r="O427" s="23">
        <f>IF(C427="","",SUMIFS(Analytics!$T$5:$T$154,Analytics!$C$5:$C$154,C427))</f>
        <v>0</v>
      </c>
      <c r="P427" s="25">
        <f>IF(C427="","",SUMIFS(Analytics!$U$5:$U$154,Analytics!$C$5:$C$154,C427))</f>
        <v>0</v>
      </c>
      <c r="Q427" s="25">
        <f>IF(C427="","",SUMIFS(Budget!$H$5:$H$64,Budget!$C$5:$C$64,C427))</f>
        <v>0</v>
      </c>
      <c r="R427" s="25">
        <f>IF(C427="","",P427-Q427)</f>
        <v>0</v>
      </c>
      <c r="S427" s="23">
        <f>IF(C427="","",MonthlyPostTarget)</f>
        <v>0</v>
      </c>
      <c r="T427" s="17">
        <f>IF(Lists!$C427="","",Lists!$C427)</f>
        <v>0</v>
      </c>
      <c r="U427" s="23">
        <f>IF(T427="","",COUNTIFS('Content Calendar'!$G$5:$G$604,T427,'Content Calendar'!$B$5:$B$604,"&gt;="&amp;DashStart,'Content Calendar'!$B$5:$B$604,"&lt;="&amp;DashEnd))</f>
        <v>0</v>
      </c>
      <c r="V427" s="23">
        <f>IF(T427="","",COUNTIFS('Content Calendar'!$G$5:$G$604,T427,'Content Calendar'!$X$5:$X$604,"Published",'Content Calendar'!$B$5:$B$604,"&gt;="&amp;DashStart,'Content Calendar'!$B$5:$B$604,"&lt;="&amp;DashEnd))</f>
        <v>0</v>
      </c>
      <c r="W427" s="23">
        <f>IF(T427="","",SUMIFS(Analytics!$J$5:$J$154,Analytics!$D$5:$D$154,T427,Analytics!$B$5:$B$154,"&gt;="&amp;DashStart,Analytics!$B$5:$B$154,"&lt;="&amp;DashEnd))</f>
        <v>0</v>
      </c>
      <c r="X427" s="23">
        <f>IF(T427="","",SUMIFS(Analytics!$L$5:$L$154,Analytics!$D$5:$D$154,T427,Analytics!$B$5:$B$154,"&gt;="&amp;DashStart,Analytics!$B$5:$B$154,"&lt;="&amp;DashEnd))</f>
        <v>0</v>
      </c>
      <c r="Y427" s="24">
        <f>IF(OR(W427="",W427=0),"",X427/W427)</f>
        <v>0</v>
      </c>
      <c r="Z427" s="23">
        <f>IF(T427="","",SUMIFS(Analytics!$G$5:$G$154,Analytics!$D$5:$D$154,T427,Analytics!$B$5:$B$154,"&gt;="&amp;DashStart,Analytics!$B$5:$B$154,"&lt;="&amp;DashEnd))</f>
        <v>0</v>
      </c>
      <c r="AA427" s="23">
        <f>IF(T427="","",SUMIFS(Analytics!$X$5:$X$154,Analytics!$D$5:$D$154,T427,Analytics!$B$5:$B$154,"&gt;="&amp;DashStart,Analytics!$B$5:$B$154,"&lt;="&amp;DashEnd))</f>
        <v>0</v>
      </c>
      <c r="AB427" s="23">
        <f>IF(T427="","",SUMIFS(Analytics!$R$5:$R$154,Analytics!$D$5:$D$154,T427,Analytics!$B$5:$B$154,"&gt;="&amp;DashStart,Analytics!$B$5:$B$154,"&lt;="&amp;DashEnd))</f>
        <v>0</v>
      </c>
      <c r="AC427" s="25">
        <f>IF(T427="","",SUMIFS(Analytics!$U$5:$U$154,Analytics!$D$5:$D$154,T427,Analytics!$B$5:$B$154,"&gt;="&amp;DashStart,Analytics!$B$5:$B$154,"&lt;="&amp;DashEnd))</f>
        <v>0</v>
      </c>
      <c r="AD427" s="23">
        <f>IF(T427="","",COUNTIFS('Content Calendar'!$G$5:$G$604,T427,'Content Calendar'!$B$5:$B$604,"&gt;="&amp;DATE(PlanYear,1,1),'Content Calendar'!$B$5:$B$604,"&lt;="&amp;DATE(PlanYear,12,31)))</f>
        <v>0</v>
      </c>
      <c r="AE427" s="23">
        <f>IF(T427="","",SUMIFS(Analytics!$J$5:$J$154,Analytics!$D$5:$D$154,T427))</f>
        <v>0</v>
      </c>
      <c r="AF427" s="23">
        <f>IF(T427="","",SUMIFS(Analytics!$L$5:$L$154,Analytics!$D$5:$D$154,T427))</f>
        <v>0</v>
      </c>
      <c r="AG427" s="24">
        <f>IF(OR(AE427="",AE427=0),"",AF427/AE427)</f>
        <v>0</v>
      </c>
      <c r="AH427" s="23">
        <f>IF(T427="","",SUMIFS(Analytics!$X$5:$X$154,Analytics!$D$5:$D$154,T427))</f>
        <v>0</v>
      </c>
      <c r="AI427" s="32">
        <f>IF(T427="","",IF(AE427=0,"",AE427+ROW()/1000000))</f>
        <v>0</v>
      </c>
      <c r="AJ427" s="17">
        <f>IF('Content Pillars'!$B$427="","",'Content Pillars'!$B$427)</f>
        <v>0</v>
      </c>
      <c r="AK427" s="23">
        <f>IF(AJ427="","",COUNTIFS('Content Calendar'!$J$5:$J$604,AJ427,'Content Calendar'!$B$5:$B$604,"&gt;="&amp;DATE(PlanYear,1,1),'Content Calendar'!$B$5:$B$604,"&lt;="&amp;DATE(PlanYear,12,31)))</f>
        <v>0</v>
      </c>
      <c r="AL427" s="23">
        <f>IF(AJ427="","",SUMIFS(Performance!$O$5:$O$404,Performance!$H$5:$H$404,AJ427))</f>
        <v>0</v>
      </c>
      <c r="AM427" s="23">
        <f>IF(AJ427="","",SUMIFS(Performance!$Z$5:$Z$404,Performance!$H$5:$H$404,AJ427))</f>
        <v>0</v>
      </c>
      <c r="AN427" s="24">
        <f>IF(OR(AL427="",AL427=0),"",AM427/AL427)</f>
        <v>0</v>
      </c>
      <c r="AO427" s="32">
        <f>IF(AN427="","",AN427+ROW()/1000000)</f>
        <v>0</v>
      </c>
      <c r="AP427" s="17">
        <f>IF(Lists!$E427="","",Lists!$E427)</f>
        <v>0</v>
      </c>
      <c r="AQ427" s="23">
        <f>IF(AP427="","",COUNTIF(Performance!$G$5:$G$404,AP427))</f>
        <v>0</v>
      </c>
      <c r="AR427" s="23">
        <f>IF(AP427="","",SUMIFS(Performance!$O$5:$O$404,Performance!$G$5:$G$404,AP427))</f>
        <v>0</v>
      </c>
      <c r="AS427" s="23">
        <f>IF(AP427="","",SUMIFS(Performance!$Z$5:$Z$404,Performance!$G$5:$G$404,AP427))</f>
        <v>0</v>
      </c>
      <c r="AT427" s="24">
        <f>IF(OR(AR427="",AR427=0),"",AS427/AR427)</f>
        <v>0</v>
      </c>
      <c r="AU427" s="32">
        <f>IF(AQ427=0,"",IF(AT427="","",AT427+ROW()/1000000))</f>
        <v>0</v>
      </c>
      <c r="AV427" s="17">
        <f>IF(ROW()-4&gt;7,"",TEXT(DATE(2024,1,ROW()-4),"ddd"))</f>
        <v>0</v>
      </c>
      <c r="AW427" s="23">
        <f>IF(AV427="","",COUNTIF(Performance!$N$5:$N$404,AV427))</f>
        <v>0</v>
      </c>
      <c r="AX427" s="23">
        <f>IF(AV427="","",SUMIFS(Performance!$O$5:$O$404,Performance!$N$5:$N$404,AV427))</f>
        <v>0</v>
      </c>
      <c r="AY427" s="23">
        <f>IF(AV427="","",SUMIFS(Performance!$Z$5:$Z$404,Performance!$N$5:$N$404,AV427))</f>
        <v>0</v>
      </c>
      <c r="AZ427" s="24">
        <f>IF(OR(AX427="",AX427=0),"",AY427/AX427)</f>
        <v>0</v>
      </c>
      <c r="BA427" s="32">
        <f>IF(AW427=0,"",IF(AZ427="","",AZ427+ROW()/1000000))</f>
        <v>0</v>
      </c>
      <c r="BB427" s="17">
        <f>IF(Lists!$AL427="","",Lists!$AL427)</f>
        <v>0</v>
      </c>
      <c r="BC427" s="23">
        <f>IF(BB427="","",COUNTIF(Performance!$M$5:$M$404,BB427))</f>
        <v>0</v>
      </c>
      <c r="BD427" s="23">
        <f>IF(BB427="","",SUMIFS(Performance!$O$5:$O$404,Performance!$M$5:$M$404,BB427))</f>
        <v>0</v>
      </c>
      <c r="BE427" s="23">
        <f>IF(BB427="","",SUMIFS(Performance!$Z$5:$Z$404,Performance!$M$5:$M$404,BB427))</f>
        <v>0</v>
      </c>
      <c r="BF427" s="24">
        <f>IF(OR(BD427="",BD427=0),"",BE427/BD427)</f>
        <v>0</v>
      </c>
      <c r="BG427" s="32">
        <f>IF(BC427=0,"",IF(BF427="","",BF427+ROW()/1000000))</f>
        <v>0</v>
      </c>
      <c r="BH427" s="17">
        <f>IF(Performance!$C$427="","",Performance!$C$427)</f>
        <v>0</v>
      </c>
      <c r="BI427" s="17">
        <f>IF(Performance!$F$427="","",Performance!$F$427)</f>
        <v>0</v>
      </c>
      <c r="BJ427" s="17">
        <f>IF(Performance!$H$427="","",Performance!$H$427)</f>
        <v>0</v>
      </c>
      <c r="BK427" s="16">
        <f>IF(Performance!$D$427="","",Performance!$D$427)</f>
        <v>0</v>
      </c>
      <c r="BL427" s="17">
        <f>IF(Performance!$E$427="","",Performance!$E$427)</f>
        <v>0</v>
      </c>
      <c r="BM427" s="23">
        <f>IF(Performance!$O$427="","",Performance!$O$427)</f>
        <v>0</v>
      </c>
      <c r="BN427" s="24">
        <f>IF(Performance!$AA$427="","",Performance!$AA$427)</f>
        <v>0</v>
      </c>
      <c r="BO427" s="32">
        <f>IF(BH427="","",IF(BK427="","",IF(OR(BK427&lt;DashStart,BK427&gt;DashEnd),"",IF(BN427="","",BN427+ROW()/1000000))))</f>
        <v>0</v>
      </c>
      <c r="BP427" s="32">
        <f>IF(BM427="","",IF(BK427="","",IF(OR(BK427&lt;DashStart,BK427&gt;DashEnd),"",BM427+ROW()/1000000)))</f>
        <v>0</v>
      </c>
      <c r="BQ427" s="32">
        <f>IF(BH427="","",IF(BK427="","",IF(YEAR(BK427)&lt;&gt;PlanYear,"",IF(BN427="","",BN427+ROW()/1000000))))</f>
        <v>0</v>
      </c>
      <c r="BR427" s="32">
        <f>IF(BH427="","",IF(BK427="","",IF(OR(BK427&lt;RepFrom,BK427&gt;RepTo),"",IF(BN427="","",BN427+ROW()/1000000))))</f>
        <v>0</v>
      </c>
      <c r="BS427" s="32">
        <f>IF(BM427="","",IF(BK427="","",IF(YEAR(BK427)&lt;&gt;PlanYear,"",BM427+ROW()/1000000)))</f>
        <v>0</v>
      </c>
      <c r="BT427" s="17">
        <f>IF(Lists!$F427="","",Lists!$F427)</f>
        <v>0</v>
      </c>
      <c r="BU427" s="23">
        <f>IF(BT427="","",COUNTIF('Content Calendar'!$X$5:$X$604,BT427))</f>
        <v>0</v>
      </c>
      <c r="BV427" s="23">
        <f>IF(BT427="","",COUNTIFS('Content Calendar'!$X$5:$X$604,BT427,'Content Calendar'!$B$5:$B$604,"&gt;="&amp;DashStart,'Content Calendar'!$B$5:$B$604,"&lt;="&amp;DashEnd))</f>
        <v>0</v>
      </c>
      <c r="BW427" s="17">
        <f>IF(Team!$B$427="","",Team!$B$427)</f>
        <v>0</v>
      </c>
      <c r="BX427" s="23">
        <f>IF(BW427="","",COUNTIF('Content Calendar'!$W$5:$W$604,BW427))</f>
        <v>0</v>
      </c>
      <c r="BY427" s="23">
        <f>IF(BW427="","",COUNTIFS('Content Calendar'!$W$5:$W$604,BW427,'Content Calendar'!$X$5:$X$604,"&lt;&gt;Published"))</f>
        <v>0</v>
      </c>
      <c r="BZ427" s="23">
        <f>IF(BW427="","",COUNTIFS(Tasks!$C$5:$C$64,BW427,Tasks!$G$5:$G$64,"&lt;&gt;Complete"))</f>
        <v>0</v>
      </c>
      <c r="CA427" s="17">
        <f>IF(Campaigns!$B$427="","",Campaigns!$B$427)</f>
        <v>0</v>
      </c>
      <c r="CB427" s="25">
        <f>IF(Campaigns!$T$427="","",Campaigns!$T$427)</f>
        <v>0</v>
      </c>
      <c r="CC427" s="25">
        <f>IF(Campaigns!$Q$427="","",Campaigns!$Q$427)</f>
        <v>0</v>
      </c>
      <c r="CD427" s="23">
        <f>IF(Campaigns!$Y$427="","",Campaigns!$Y$427)</f>
        <v>0</v>
      </c>
      <c r="CE427" s="32">
        <f>IF(CA427="","",IF(N(CB427)&lt;=0,"",N(CB427)+ROW()/1000000))</f>
        <v>0</v>
      </c>
      <c r="CF427" s="17">
        <f>IF(Accounts!$C$427="","",Accounts!$C$427)</f>
        <v>0</v>
      </c>
      <c r="CG427" s="17">
        <f>IF(Accounts!$B$427="","",Accounts!$B$427)</f>
        <v>0</v>
      </c>
      <c r="CH427" s="23">
        <f>IF(Accounts!$J$427="","",Accounts!$J$427)</f>
        <v>0</v>
      </c>
      <c r="CI427" s="23">
        <f>IF(CF427="","",SUMIFS(Analytics!$X$5:$X$154,Analytics!$E$5:$E$154,CF427,Analytics!$B$5:$B$154,"&gt;="&amp;DashStart,Analytics!$B$5:$B$154,"&lt;="&amp;DashEnd))</f>
        <v>0</v>
      </c>
      <c r="CJ427" s="32">
        <f>IF(CH427="","",IF(CH427=0,"",CH427+ROW()/1000000))</f>
        <v>0</v>
      </c>
    </row>
    <row r="428" spans="1:88">
      <c r="A428" s="16">
        <f>IF(ROW()-4&gt;12,"",DATE(PlanYear,ROW()-4,1))</f>
        <v>0</v>
      </c>
      <c r="B428" s="16">
        <f>IF(A428="","",EOMONTH(A428,0))</f>
        <v>0</v>
      </c>
      <c r="C428" s="17">
        <f>IF(A428="","",TEXT(A428,"yyyy-mm"))</f>
        <v>0</v>
      </c>
      <c r="D428" s="17">
        <f>IF(A428="","",TEXT(A428,"mmm"))</f>
        <v>0</v>
      </c>
      <c r="E428" s="23">
        <f>IF(C428="","",COUNTIFS('Content Calendar'!$D$5:$D$604,C428))</f>
        <v>0</v>
      </c>
      <c r="F428" s="23">
        <f>IF(C428="","",COUNTIFS('Content Calendar'!$D$5:$D$604,C428,'Content Calendar'!$X$5:$X$604,"Published"))</f>
        <v>0</v>
      </c>
      <c r="G428" s="23">
        <f>IF(C428="","",SUMIFS(Analytics!$J$5:$J$154,Analytics!$C$5:$C$154,C428))</f>
        <v>0</v>
      </c>
      <c r="H428" s="23">
        <f>IF(C428="","",SUMIFS(Analytics!$K$5:$K$154,Analytics!$C$5:$C$154,C428))</f>
        <v>0</v>
      </c>
      <c r="I428" s="23">
        <f>IF(C428="","",SUMIFS(Analytics!$L$5:$L$154,Analytics!$C$5:$C$154,C428))</f>
        <v>0</v>
      </c>
      <c r="J428" s="24">
        <f>IF(OR(G428="",G428=0),"",I428/G428)</f>
        <v>0</v>
      </c>
      <c r="K428" s="23">
        <f>IF(C428="","",SUMIFS(Analytics!$G$5:$G$154,Analytics!$C$5:$C$154,C428))</f>
        <v>0</v>
      </c>
      <c r="L428" s="23">
        <f>IF(C428="","",SUMIFS(Analytics!$X$5:$X$154,Analytics!$C$5:$C$154,C428))</f>
        <v>0</v>
      </c>
      <c r="M428" s="23">
        <f>IF(C428="","",SUMIFS(Analytics!$R$5:$R$154,Analytics!$C$5:$C$154,C428))</f>
        <v>0</v>
      </c>
      <c r="N428" s="23">
        <f>IF(C428="","",SUMIFS(Analytics!$S$5:$S$154,Analytics!$C$5:$C$154,C428))</f>
        <v>0</v>
      </c>
      <c r="O428" s="23">
        <f>IF(C428="","",SUMIFS(Analytics!$T$5:$T$154,Analytics!$C$5:$C$154,C428))</f>
        <v>0</v>
      </c>
      <c r="P428" s="25">
        <f>IF(C428="","",SUMIFS(Analytics!$U$5:$U$154,Analytics!$C$5:$C$154,C428))</f>
        <v>0</v>
      </c>
      <c r="Q428" s="25">
        <f>IF(C428="","",SUMIFS(Budget!$H$5:$H$64,Budget!$C$5:$C$64,C428))</f>
        <v>0</v>
      </c>
      <c r="R428" s="25">
        <f>IF(C428="","",P428-Q428)</f>
        <v>0</v>
      </c>
      <c r="S428" s="23">
        <f>IF(C428="","",MonthlyPostTarget)</f>
        <v>0</v>
      </c>
      <c r="T428" s="17">
        <f>IF(Lists!$C428="","",Lists!$C428)</f>
        <v>0</v>
      </c>
      <c r="U428" s="23">
        <f>IF(T428="","",COUNTIFS('Content Calendar'!$G$5:$G$604,T428,'Content Calendar'!$B$5:$B$604,"&gt;="&amp;DashStart,'Content Calendar'!$B$5:$B$604,"&lt;="&amp;DashEnd))</f>
        <v>0</v>
      </c>
      <c r="V428" s="23">
        <f>IF(T428="","",COUNTIFS('Content Calendar'!$G$5:$G$604,T428,'Content Calendar'!$X$5:$X$604,"Published",'Content Calendar'!$B$5:$B$604,"&gt;="&amp;DashStart,'Content Calendar'!$B$5:$B$604,"&lt;="&amp;DashEnd))</f>
        <v>0</v>
      </c>
      <c r="W428" s="23">
        <f>IF(T428="","",SUMIFS(Analytics!$J$5:$J$154,Analytics!$D$5:$D$154,T428,Analytics!$B$5:$B$154,"&gt;="&amp;DashStart,Analytics!$B$5:$B$154,"&lt;="&amp;DashEnd))</f>
        <v>0</v>
      </c>
      <c r="X428" s="23">
        <f>IF(T428="","",SUMIFS(Analytics!$L$5:$L$154,Analytics!$D$5:$D$154,T428,Analytics!$B$5:$B$154,"&gt;="&amp;DashStart,Analytics!$B$5:$B$154,"&lt;="&amp;DashEnd))</f>
        <v>0</v>
      </c>
      <c r="Y428" s="24">
        <f>IF(OR(W428="",W428=0),"",X428/W428)</f>
        <v>0</v>
      </c>
      <c r="Z428" s="23">
        <f>IF(T428="","",SUMIFS(Analytics!$G$5:$G$154,Analytics!$D$5:$D$154,T428,Analytics!$B$5:$B$154,"&gt;="&amp;DashStart,Analytics!$B$5:$B$154,"&lt;="&amp;DashEnd))</f>
        <v>0</v>
      </c>
      <c r="AA428" s="23">
        <f>IF(T428="","",SUMIFS(Analytics!$X$5:$X$154,Analytics!$D$5:$D$154,T428,Analytics!$B$5:$B$154,"&gt;="&amp;DashStart,Analytics!$B$5:$B$154,"&lt;="&amp;DashEnd))</f>
        <v>0</v>
      </c>
      <c r="AB428" s="23">
        <f>IF(T428="","",SUMIFS(Analytics!$R$5:$R$154,Analytics!$D$5:$D$154,T428,Analytics!$B$5:$B$154,"&gt;="&amp;DashStart,Analytics!$B$5:$B$154,"&lt;="&amp;DashEnd))</f>
        <v>0</v>
      </c>
      <c r="AC428" s="25">
        <f>IF(T428="","",SUMIFS(Analytics!$U$5:$U$154,Analytics!$D$5:$D$154,T428,Analytics!$B$5:$B$154,"&gt;="&amp;DashStart,Analytics!$B$5:$B$154,"&lt;="&amp;DashEnd))</f>
        <v>0</v>
      </c>
      <c r="AD428" s="23">
        <f>IF(T428="","",COUNTIFS('Content Calendar'!$G$5:$G$604,T428,'Content Calendar'!$B$5:$B$604,"&gt;="&amp;DATE(PlanYear,1,1),'Content Calendar'!$B$5:$B$604,"&lt;="&amp;DATE(PlanYear,12,31)))</f>
        <v>0</v>
      </c>
      <c r="AE428" s="23">
        <f>IF(T428="","",SUMIFS(Analytics!$J$5:$J$154,Analytics!$D$5:$D$154,T428))</f>
        <v>0</v>
      </c>
      <c r="AF428" s="23">
        <f>IF(T428="","",SUMIFS(Analytics!$L$5:$L$154,Analytics!$D$5:$D$154,T428))</f>
        <v>0</v>
      </c>
      <c r="AG428" s="24">
        <f>IF(OR(AE428="",AE428=0),"",AF428/AE428)</f>
        <v>0</v>
      </c>
      <c r="AH428" s="23">
        <f>IF(T428="","",SUMIFS(Analytics!$X$5:$X$154,Analytics!$D$5:$D$154,T428))</f>
        <v>0</v>
      </c>
      <c r="AI428" s="32">
        <f>IF(T428="","",IF(AE428=0,"",AE428+ROW()/1000000))</f>
        <v>0</v>
      </c>
      <c r="AJ428" s="17">
        <f>IF('Content Pillars'!$B$428="","",'Content Pillars'!$B$428)</f>
        <v>0</v>
      </c>
      <c r="AK428" s="23">
        <f>IF(AJ428="","",COUNTIFS('Content Calendar'!$J$5:$J$604,AJ428,'Content Calendar'!$B$5:$B$604,"&gt;="&amp;DATE(PlanYear,1,1),'Content Calendar'!$B$5:$B$604,"&lt;="&amp;DATE(PlanYear,12,31)))</f>
        <v>0</v>
      </c>
      <c r="AL428" s="23">
        <f>IF(AJ428="","",SUMIFS(Performance!$O$5:$O$404,Performance!$H$5:$H$404,AJ428))</f>
        <v>0</v>
      </c>
      <c r="AM428" s="23">
        <f>IF(AJ428="","",SUMIFS(Performance!$Z$5:$Z$404,Performance!$H$5:$H$404,AJ428))</f>
        <v>0</v>
      </c>
      <c r="AN428" s="24">
        <f>IF(OR(AL428="",AL428=0),"",AM428/AL428)</f>
        <v>0</v>
      </c>
      <c r="AO428" s="32">
        <f>IF(AN428="","",AN428+ROW()/1000000)</f>
        <v>0</v>
      </c>
      <c r="AP428" s="17">
        <f>IF(Lists!$E428="","",Lists!$E428)</f>
        <v>0</v>
      </c>
      <c r="AQ428" s="23">
        <f>IF(AP428="","",COUNTIF(Performance!$G$5:$G$404,AP428))</f>
        <v>0</v>
      </c>
      <c r="AR428" s="23">
        <f>IF(AP428="","",SUMIFS(Performance!$O$5:$O$404,Performance!$G$5:$G$404,AP428))</f>
        <v>0</v>
      </c>
      <c r="AS428" s="23">
        <f>IF(AP428="","",SUMIFS(Performance!$Z$5:$Z$404,Performance!$G$5:$G$404,AP428))</f>
        <v>0</v>
      </c>
      <c r="AT428" s="24">
        <f>IF(OR(AR428="",AR428=0),"",AS428/AR428)</f>
        <v>0</v>
      </c>
      <c r="AU428" s="32">
        <f>IF(AQ428=0,"",IF(AT428="","",AT428+ROW()/1000000))</f>
        <v>0</v>
      </c>
      <c r="AV428" s="17">
        <f>IF(ROW()-4&gt;7,"",TEXT(DATE(2024,1,ROW()-4),"ddd"))</f>
        <v>0</v>
      </c>
      <c r="AW428" s="23">
        <f>IF(AV428="","",COUNTIF(Performance!$N$5:$N$404,AV428))</f>
        <v>0</v>
      </c>
      <c r="AX428" s="23">
        <f>IF(AV428="","",SUMIFS(Performance!$O$5:$O$404,Performance!$N$5:$N$404,AV428))</f>
        <v>0</v>
      </c>
      <c r="AY428" s="23">
        <f>IF(AV428="","",SUMIFS(Performance!$Z$5:$Z$404,Performance!$N$5:$N$404,AV428))</f>
        <v>0</v>
      </c>
      <c r="AZ428" s="24">
        <f>IF(OR(AX428="",AX428=0),"",AY428/AX428)</f>
        <v>0</v>
      </c>
      <c r="BA428" s="32">
        <f>IF(AW428=0,"",IF(AZ428="","",AZ428+ROW()/1000000))</f>
        <v>0</v>
      </c>
      <c r="BB428" s="17">
        <f>IF(Lists!$AL428="","",Lists!$AL428)</f>
        <v>0</v>
      </c>
      <c r="BC428" s="23">
        <f>IF(BB428="","",COUNTIF(Performance!$M$5:$M$404,BB428))</f>
        <v>0</v>
      </c>
      <c r="BD428" s="23">
        <f>IF(BB428="","",SUMIFS(Performance!$O$5:$O$404,Performance!$M$5:$M$404,BB428))</f>
        <v>0</v>
      </c>
      <c r="BE428" s="23">
        <f>IF(BB428="","",SUMIFS(Performance!$Z$5:$Z$404,Performance!$M$5:$M$404,BB428))</f>
        <v>0</v>
      </c>
      <c r="BF428" s="24">
        <f>IF(OR(BD428="",BD428=0),"",BE428/BD428)</f>
        <v>0</v>
      </c>
      <c r="BG428" s="32">
        <f>IF(BC428=0,"",IF(BF428="","",BF428+ROW()/1000000))</f>
        <v>0</v>
      </c>
      <c r="BH428" s="17">
        <f>IF(Performance!$C$428="","",Performance!$C$428)</f>
        <v>0</v>
      </c>
      <c r="BI428" s="17">
        <f>IF(Performance!$F$428="","",Performance!$F$428)</f>
        <v>0</v>
      </c>
      <c r="BJ428" s="17">
        <f>IF(Performance!$H$428="","",Performance!$H$428)</f>
        <v>0</v>
      </c>
      <c r="BK428" s="16">
        <f>IF(Performance!$D$428="","",Performance!$D$428)</f>
        <v>0</v>
      </c>
      <c r="BL428" s="17">
        <f>IF(Performance!$E$428="","",Performance!$E$428)</f>
        <v>0</v>
      </c>
      <c r="BM428" s="23">
        <f>IF(Performance!$O$428="","",Performance!$O$428)</f>
        <v>0</v>
      </c>
      <c r="BN428" s="24">
        <f>IF(Performance!$AA$428="","",Performance!$AA$428)</f>
        <v>0</v>
      </c>
      <c r="BO428" s="32">
        <f>IF(BH428="","",IF(BK428="","",IF(OR(BK428&lt;DashStart,BK428&gt;DashEnd),"",IF(BN428="","",BN428+ROW()/1000000))))</f>
        <v>0</v>
      </c>
      <c r="BP428" s="32">
        <f>IF(BM428="","",IF(BK428="","",IF(OR(BK428&lt;DashStart,BK428&gt;DashEnd),"",BM428+ROW()/1000000)))</f>
        <v>0</v>
      </c>
      <c r="BQ428" s="32">
        <f>IF(BH428="","",IF(BK428="","",IF(YEAR(BK428)&lt;&gt;PlanYear,"",IF(BN428="","",BN428+ROW()/1000000))))</f>
        <v>0</v>
      </c>
      <c r="BR428" s="32">
        <f>IF(BH428="","",IF(BK428="","",IF(OR(BK428&lt;RepFrom,BK428&gt;RepTo),"",IF(BN428="","",BN428+ROW()/1000000))))</f>
        <v>0</v>
      </c>
      <c r="BS428" s="32">
        <f>IF(BM428="","",IF(BK428="","",IF(YEAR(BK428)&lt;&gt;PlanYear,"",BM428+ROW()/1000000)))</f>
        <v>0</v>
      </c>
      <c r="BT428" s="17">
        <f>IF(Lists!$F428="","",Lists!$F428)</f>
        <v>0</v>
      </c>
      <c r="BU428" s="23">
        <f>IF(BT428="","",COUNTIF('Content Calendar'!$X$5:$X$604,BT428))</f>
        <v>0</v>
      </c>
      <c r="BV428" s="23">
        <f>IF(BT428="","",COUNTIFS('Content Calendar'!$X$5:$X$604,BT428,'Content Calendar'!$B$5:$B$604,"&gt;="&amp;DashStart,'Content Calendar'!$B$5:$B$604,"&lt;="&amp;DashEnd))</f>
        <v>0</v>
      </c>
      <c r="BW428" s="17">
        <f>IF(Team!$B$428="","",Team!$B$428)</f>
        <v>0</v>
      </c>
      <c r="BX428" s="23">
        <f>IF(BW428="","",COUNTIF('Content Calendar'!$W$5:$W$604,BW428))</f>
        <v>0</v>
      </c>
      <c r="BY428" s="23">
        <f>IF(BW428="","",COUNTIFS('Content Calendar'!$W$5:$W$604,BW428,'Content Calendar'!$X$5:$X$604,"&lt;&gt;Published"))</f>
        <v>0</v>
      </c>
      <c r="BZ428" s="23">
        <f>IF(BW428="","",COUNTIFS(Tasks!$C$5:$C$64,BW428,Tasks!$G$5:$G$64,"&lt;&gt;Complete"))</f>
        <v>0</v>
      </c>
      <c r="CA428" s="17">
        <f>IF(Campaigns!$B$428="","",Campaigns!$B$428)</f>
        <v>0</v>
      </c>
      <c r="CB428" s="25">
        <f>IF(Campaigns!$T$428="","",Campaigns!$T$428)</f>
        <v>0</v>
      </c>
      <c r="CC428" s="25">
        <f>IF(Campaigns!$Q$428="","",Campaigns!$Q$428)</f>
        <v>0</v>
      </c>
      <c r="CD428" s="23">
        <f>IF(Campaigns!$Y$428="","",Campaigns!$Y$428)</f>
        <v>0</v>
      </c>
      <c r="CE428" s="32">
        <f>IF(CA428="","",IF(N(CB428)&lt;=0,"",N(CB428)+ROW()/1000000))</f>
        <v>0</v>
      </c>
      <c r="CF428" s="17">
        <f>IF(Accounts!$C$428="","",Accounts!$C$428)</f>
        <v>0</v>
      </c>
      <c r="CG428" s="17">
        <f>IF(Accounts!$B$428="","",Accounts!$B$428)</f>
        <v>0</v>
      </c>
      <c r="CH428" s="23">
        <f>IF(Accounts!$J$428="","",Accounts!$J$428)</f>
        <v>0</v>
      </c>
      <c r="CI428" s="23">
        <f>IF(CF428="","",SUMIFS(Analytics!$X$5:$X$154,Analytics!$E$5:$E$154,CF428,Analytics!$B$5:$B$154,"&gt;="&amp;DashStart,Analytics!$B$5:$B$154,"&lt;="&amp;DashEnd))</f>
        <v>0</v>
      </c>
      <c r="CJ428" s="32">
        <f>IF(CH428="","",IF(CH428=0,"",CH428+ROW()/1000000))</f>
        <v>0</v>
      </c>
    </row>
    <row r="429" spans="1:88">
      <c r="A429" s="16">
        <f>IF(ROW()-4&gt;12,"",DATE(PlanYear,ROW()-4,1))</f>
        <v>0</v>
      </c>
      <c r="B429" s="16">
        <f>IF(A429="","",EOMONTH(A429,0))</f>
        <v>0</v>
      </c>
      <c r="C429" s="17">
        <f>IF(A429="","",TEXT(A429,"yyyy-mm"))</f>
        <v>0</v>
      </c>
      <c r="D429" s="17">
        <f>IF(A429="","",TEXT(A429,"mmm"))</f>
        <v>0</v>
      </c>
      <c r="E429" s="23">
        <f>IF(C429="","",COUNTIFS('Content Calendar'!$D$5:$D$604,C429))</f>
        <v>0</v>
      </c>
      <c r="F429" s="23">
        <f>IF(C429="","",COUNTIFS('Content Calendar'!$D$5:$D$604,C429,'Content Calendar'!$X$5:$X$604,"Published"))</f>
        <v>0</v>
      </c>
      <c r="G429" s="23">
        <f>IF(C429="","",SUMIFS(Analytics!$J$5:$J$154,Analytics!$C$5:$C$154,C429))</f>
        <v>0</v>
      </c>
      <c r="H429" s="23">
        <f>IF(C429="","",SUMIFS(Analytics!$K$5:$K$154,Analytics!$C$5:$C$154,C429))</f>
        <v>0</v>
      </c>
      <c r="I429" s="23">
        <f>IF(C429="","",SUMIFS(Analytics!$L$5:$L$154,Analytics!$C$5:$C$154,C429))</f>
        <v>0</v>
      </c>
      <c r="J429" s="24">
        <f>IF(OR(G429="",G429=0),"",I429/G429)</f>
        <v>0</v>
      </c>
      <c r="K429" s="23">
        <f>IF(C429="","",SUMIFS(Analytics!$G$5:$G$154,Analytics!$C$5:$C$154,C429))</f>
        <v>0</v>
      </c>
      <c r="L429" s="23">
        <f>IF(C429="","",SUMIFS(Analytics!$X$5:$X$154,Analytics!$C$5:$C$154,C429))</f>
        <v>0</v>
      </c>
      <c r="M429" s="23">
        <f>IF(C429="","",SUMIFS(Analytics!$R$5:$R$154,Analytics!$C$5:$C$154,C429))</f>
        <v>0</v>
      </c>
      <c r="N429" s="23">
        <f>IF(C429="","",SUMIFS(Analytics!$S$5:$S$154,Analytics!$C$5:$C$154,C429))</f>
        <v>0</v>
      </c>
      <c r="O429" s="23">
        <f>IF(C429="","",SUMIFS(Analytics!$T$5:$T$154,Analytics!$C$5:$C$154,C429))</f>
        <v>0</v>
      </c>
      <c r="P429" s="25">
        <f>IF(C429="","",SUMIFS(Analytics!$U$5:$U$154,Analytics!$C$5:$C$154,C429))</f>
        <v>0</v>
      </c>
      <c r="Q429" s="25">
        <f>IF(C429="","",SUMIFS(Budget!$H$5:$H$64,Budget!$C$5:$C$64,C429))</f>
        <v>0</v>
      </c>
      <c r="R429" s="25">
        <f>IF(C429="","",P429-Q429)</f>
        <v>0</v>
      </c>
      <c r="S429" s="23">
        <f>IF(C429="","",MonthlyPostTarget)</f>
        <v>0</v>
      </c>
      <c r="T429" s="17">
        <f>IF(Lists!$C429="","",Lists!$C429)</f>
        <v>0</v>
      </c>
      <c r="U429" s="23">
        <f>IF(T429="","",COUNTIFS('Content Calendar'!$G$5:$G$604,T429,'Content Calendar'!$B$5:$B$604,"&gt;="&amp;DashStart,'Content Calendar'!$B$5:$B$604,"&lt;="&amp;DashEnd))</f>
        <v>0</v>
      </c>
      <c r="V429" s="23">
        <f>IF(T429="","",COUNTIFS('Content Calendar'!$G$5:$G$604,T429,'Content Calendar'!$X$5:$X$604,"Published",'Content Calendar'!$B$5:$B$604,"&gt;="&amp;DashStart,'Content Calendar'!$B$5:$B$604,"&lt;="&amp;DashEnd))</f>
        <v>0</v>
      </c>
      <c r="W429" s="23">
        <f>IF(T429="","",SUMIFS(Analytics!$J$5:$J$154,Analytics!$D$5:$D$154,T429,Analytics!$B$5:$B$154,"&gt;="&amp;DashStart,Analytics!$B$5:$B$154,"&lt;="&amp;DashEnd))</f>
        <v>0</v>
      </c>
      <c r="X429" s="23">
        <f>IF(T429="","",SUMIFS(Analytics!$L$5:$L$154,Analytics!$D$5:$D$154,T429,Analytics!$B$5:$B$154,"&gt;="&amp;DashStart,Analytics!$B$5:$B$154,"&lt;="&amp;DashEnd))</f>
        <v>0</v>
      </c>
      <c r="Y429" s="24">
        <f>IF(OR(W429="",W429=0),"",X429/W429)</f>
        <v>0</v>
      </c>
      <c r="Z429" s="23">
        <f>IF(T429="","",SUMIFS(Analytics!$G$5:$G$154,Analytics!$D$5:$D$154,T429,Analytics!$B$5:$B$154,"&gt;="&amp;DashStart,Analytics!$B$5:$B$154,"&lt;="&amp;DashEnd))</f>
        <v>0</v>
      </c>
      <c r="AA429" s="23">
        <f>IF(T429="","",SUMIFS(Analytics!$X$5:$X$154,Analytics!$D$5:$D$154,T429,Analytics!$B$5:$B$154,"&gt;="&amp;DashStart,Analytics!$B$5:$B$154,"&lt;="&amp;DashEnd))</f>
        <v>0</v>
      </c>
      <c r="AB429" s="23">
        <f>IF(T429="","",SUMIFS(Analytics!$R$5:$R$154,Analytics!$D$5:$D$154,T429,Analytics!$B$5:$B$154,"&gt;="&amp;DashStart,Analytics!$B$5:$B$154,"&lt;="&amp;DashEnd))</f>
        <v>0</v>
      </c>
      <c r="AC429" s="25">
        <f>IF(T429="","",SUMIFS(Analytics!$U$5:$U$154,Analytics!$D$5:$D$154,T429,Analytics!$B$5:$B$154,"&gt;="&amp;DashStart,Analytics!$B$5:$B$154,"&lt;="&amp;DashEnd))</f>
        <v>0</v>
      </c>
      <c r="AD429" s="23">
        <f>IF(T429="","",COUNTIFS('Content Calendar'!$G$5:$G$604,T429,'Content Calendar'!$B$5:$B$604,"&gt;="&amp;DATE(PlanYear,1,1),'Content Calendar'!$B$5:$B$604,"&lt;="&amp;DATE(PlanYear,12,31)))</f>
        <v>0</v>
      </c>
      <c r="AE429" s="23">
        <f>IF(T429="","",SUMIFS(Analytics!$J$5:$J$154,Analytics!$D$5:$D$154,T429))</f>
        <v>0</v>
      </c>
      <c r="AF429" s="23">
        <f>IF(T429="","",SUMIFS(Analytics!$L$5:$L$154,Analytics!$D$5:$D$154,T429))</f>
        <v>0</v>
      </c>
      <c r="AG429" s="24">
        <f>IF(OR(AE429="",AE429=0),"",AF429/AE429)</f>
        <v>0</v>
      </c>
      <c r="AH429" s="23">
        <f>IF(T429="","",SUMIFS(Analytics!$X$5:$X$154,Analytics!$D$5:$D$154,T429))</f>
        <v>0</v>
      </c>
      <c r="AI429" s="32">
        <f>IF(T429="","",IF(AE429=0,"",AE429+ROW()/1000000))</f>
        <v>0</v>
      </c>
      <c r="AJ429" s="17">
        <f>IF('Content Pillars'!$B$429="","",'Content Pillars'!$B$429)</f>
        <v>0</v>
      </c>
      <c r="AK429" s="23">
        <f>IF(AJ429="","",COUNTIFS('Content Calendar'!$J$5:$J$604,AJ429,'Content Calendar'!$B$5:$B$604,"&gt;="&amp;DATE(PlanYear,1,1),'Content Calendar'!$B$5:$B$604,"&lt;="&amp;DATE(PlanYear,12,31)))</f>
        <v>0</v>
      </c>
      <c r="AL429" s="23">
        <f>IF(AJ429="","",SUMIFS(Performance!$O$5:$O$404,Performance!$H$5:$H$404,AJ429))</f>
        <v>0</v>
      </c>
      <c r="AM429" s="23">
        <f>IF(AJ429="","",SUMIFS(Performance!$Z$5:$Z$404,Performance!$H$5:$H$404,AJ429))</f>
        <v>0</v>
      </c>
      <c r="AN429" s="24">
        <f>IF(OR(AL429="",AL429=0),"",AM429/AL429)</f>
        <v>0</v>
      </c>
      <c r="AO429" s="32">
        <f>IF(AN429="","",AN429+ROW()/1000000)</f>
        <v>0</v>
      </c>
      <c r="AP429" s="17">
        <f>IF(Lists!$E429="","",Lists!$E429)</f>
        <v>0</v>
      </c>
      <c r="AQ429" s="23">
        <f>IF(AP429="","",COUNTIF(Performance!$G$5:$G$404,AP429))</f>
        <v>0</v>
      </c>
      <c r="AR429" s="23">
        <f>IF(AP429="","",SUMIFS(Performance!$O$5:$O$404,Performance!$G$5:$G$404,AP429))</f>
        <v>0</v>
      </c>
      <c r="AS429" s="23">
        <f>IF(AP429="","",SUMIFS(Performance!$Z$5:$Z$404,Performance!$G$5:$G$404,AP429))</f>
        <v>0</v>
      </c>
      <c r="AT429" s="24">
        <f>IF(OR(AR429="",AR429=0),"",AS429/AR429)</f>
        <v>0</v>
      </c>
      <c r="AU429" s="32">
        <f>IF(AQ429=0,"",IF(AT429="","",AT429+ROW()/1000000))</f>
        <v>0</v>
      </c>
      <c r="AV429" s="17">
        <f>IF(ROW()-4&gt;7,"",TEXT(DATE(2024,1,ROW()-4),"ddd"))</f>
        <v>0</v>
      </c>
      <c r="AW429" s="23">
        <f>IF(AV429="","",COUNTIF(Performance!$N$5:$N$404,AV429))</f>
        <v>0</v>
      </c>
      <c r="AX429" s="23">
        <f>IF(AV429="","",SUMIFS(Performance!$O$5:$O$404,Performance!$N$5:$N$404,AV429))</f>
        <v>0</v>
      </c>
      <c r="AY429" s="23">
        <f>IF(AV429="","",SUMIFS(Performance!$Z$5:$Z$404,Performance!$N$5:$N$404,AV429))</f>
        <v>0</v>
      </c>
      <c r="AZ429" s="24">
        <f>IF(OR(AX429="",AX429=0),"",AY429/AX429)</f>
        <v>0</v>
      </c>
      <c r="BA429" s="32">
        <f>IF(AW429=0,"",IF(AZ429="","",AZ429+ROW()/1000000))</f>
        <v>0</v>
      </c>
      <c r="BB429" s="17">
        <f>IF(Lists!$AL429="","",Lists!$AL429)</f>
        <v>0</v>
      </c>
      <c r="BC429" s="23">
        <f>IF(BB429="","",COUNTIF(Performance!$M$5:$M$404,BB429))</f>
        <v>0</v>
      </c>
      <c r="BD429" s="23">
        <f>IF(BB429="","",SUMIFS(Performance!$O$5:$O$404,Performance!$M$5:$M$404,BB429))</f>
        <v>0</v>
      </c>
      <c r="BE429" s="23">
        <f>IF(BB429="","",SUMIFS(Performance!$Z$5:$Z$404,Performance!$M$5:$M$404,BB429))</f>
        <v>0</v>
      </c>
      <c r="BF429" s="24">
        <f>IF(OR(BD429="",BD429=0),"",BE429/BD429)</f>
        <v>0</v>
      </c>
      <c r="BG429" s="32">
        <f>IF(BC429=0,"",IF(BF429="","",BF429+ROW()/1000000))</f>
        <v>0</v>
      </c>
      <c r="BH429" s="17">
        <f>IF(Performance!$C$429="","",Performance!$C$429)</f>
        <v>0</v>
      </c>
      <c r="BI429" s="17">
        <f>IF(Performance!$F$429="","",Performance!$F$429)</f>
        <v>0</v>
      </c>
      <c r="BJ429" s="17">
        <f>IF(Performance!$H$429="","",Performance!$H$429)</f>
        <v>0</v>
      </c>
      <c r="BK429" s="16">
        <f>IF(Performance!$D$429="","",Performance!$D$429)</f>
        <v>0</v>
      </c>
      <c r="BL429" s="17">
        <f>IF(Performance!$E$429="","",Performance!$E$429)</f>
        <v>0</v>
      </c>
      <c r="BM429" s="23">
        <f>IF(Performance!$O$429="","",Performance!$O$429)</f>
        <v>0</v>
      </c>
      <c r="BN429" s="24">
        <f>IF(Performance!$AA$429="","",Performance!$AA$429)</f>
        <v>0</v>
      </c>
      <c r="BO429" s="32">
        <f>IF(BH429="","",IF(BK429="","",IF(OR(BK429&lt;DashStart,BK429&gt;DashEnd),"",IF(BN429="","",BN429+ROW()/1000000))))</f>
        <v>0</v>
      </c>
      <c r="BP429" s="32">
        <f>IF(BM429="","",IF(BK429="","",IF(OR(BK429&lt;DashStart,BK429&gt;DashEnd),"",BM429+ROW()/1000000)))</f>
        <v>0</v>
      </c>
      <c r="BQ429" s="32">
        <f>IF(BH429="","",IF(BK429="","",IF(YEAR(BK429)&lt;&gt;PlanYear,"",IF(BN429="","",BN429+ROW()/1000000))))</f>
        <v>0</v>
      </c>
      <c r="BR429" s="32">
        <f>IF(BH429="","",IF(BK429="","",IF(OR(BK429&lt;RepFrom,BK429&gt;RepTo),"",IF(BN429="","",BN429+ROW()/1000000))))</f>
        <v>0</v>
      </c>
      <c r="BS429" s="32">
        <f>IF(BM429="","",IF(BK429="","",IF(YEAR(BK429)&lt;&gt;PlanYear,"",BM429+ROW()/1000000)))</f>
        <v>0</v>
      </c>
      <c r="BT429" s="17">
        <f>IF(Lists!$F429="","",Lists!$F429)</f>
        <v>0</v>
      </c>
      <c r="BU429" s="23">
        <f>IF(BT429="","",COUNTIF('Content Calendar'!$X$5:$X$604,BT429))</f>
        <v>0</v>
      </c>
      <c r="BV429" s="23">
        <f>IF(BT429="","",COUNTIFS('Content Calendar'!$X$5:$X$604,BT429,'Content Calendar'!$B$5:$B$604,"&gt;="&amp;DashStart,'Content Calendar'!$B$5:$B$604,"&lt;="&amp;DashEnd))</f>
        <v>0</v>
      </c>
      <c r="BW429" s="17">
        <f>IF(Team!$B$429="","",Team!$B$429)</f>
        <v>0</v>
      </c>
      <c r="BX429" s="23">
        <f>IF(BW429="","",COUNTIF('Content Calendar'!$W$5:$W$604,BW429))</f>
        <v>0</v>
      </c>
      <c r="BY429" s="23">
        <f>IF(BW429="","",COUNTIFS('Content Calendar'!$W$5:$W$604,BW429,'Content Calendar'!$X$5:$X$604,"&lt;&gt;Published"))</f>
        <v>0</v>
      </c>
      <c r="BZ429" s="23">
        <f>IF(BW429="","",COUNTIFS(Tasks!$C$5:$C$64,BW429,Tasks!$G$5:$G$64,"&lt;&gt;Complete"))</f>
        <v>0</v>
      </c>
      <c r="CA429" s="17">
        <f>IF(Campaigns!$B$429="","",Campaigns!$B$429)</f>
        <v>0</v>
      </c>
      <c r="CB429" s="25">
        <f>IF(Campaigns!$T$429="","",Campaigns!$T$429)</f>
        <v>0</v>
      </c>
      <c r="CC429" s="25">
        <f>IF(Campaigns!$Q$429="","",Campaigns!$Q$429)</f>
        <v>0</v>
      </c>
      <c r="CD429" s="23">
        <f>IF(Campaigns!$Y$429="","",Campaigns!$Y$429)</f>
        <v>0</v>
      </c>
      <c r="CE429" s="32">
        <f>IF(CA429="","",IF(N(CB429)&lt;=0,"",N(CB429)+ROW()/1000000))</f>
        <v>0</v>
      </c>
      <c r="CF429" s="17">
        <f>IF(Accounts!$C$429="","",Accounts!$C$429)</f>
        <v>0</v>
      </c>
      <c r="CG429" s="17">
        <f>IF(Accounts!$B$429="","",Accounts!$B$429)</f>
        <v>0</v>
      </c>
      <c r="CH429" s="23">
        <f>IF(Accounts!$J$429="","",Accounts!$J$429)</f>
        <v>0</v>
      </c>
      <c r="CI429" s="23">
        <f>IF(CF429="","",SUMIFS(Analytics!$X$5:$X$154,Analytics!$E$5:$E$154,CF429,Analytics!$B$5:$B$154,"&gt;="&amp;DashStart,Analytics!$B$5:$B$154,"&lt;="&amp;DashEnd))</f>
        <v>0</v>
      </c>
      <c r="CJ429" s="32">
        <f>IF(CH429="","",IF(CH429=0,"",CH429+ROW()/1000000))</f>
        <v>0</v>
      </c>
    </row>
    <row r="430" spans="1:88">
      <c r="A430" s="16">
        <f>IF(ROW()-4&gt;12,"",DATE(PlanYear,ROW()-4,1))</f>
        <v>0</v>
      </c>
      <c r="B430" s="16">
        <f>IF(A430="","",EOMONTH(A430,0))</f>
        <v>0</v>
      </c>
      <c r="C430" s="17">
        <f>IF(A430="","",TEXT(A430,"yyyy-mm"))</f>
        <v>0</v>
      </c>
      <c r="D430" s="17">
        <f>IF(A430="","",TEXT(A430,"mmm"))</f>
        <v>0</v>
      </c>
      <c r="E430" s="23">
        <f>IF(C430="","",COUNTIFS('Content Calendar'!$D$5:$D$604,C430))</f>
        <v>0</v>
      </c>
      <c r="F430" s="23">
        <f>IF(C430="","",COUNTIFS('Content Calendar'!$D$5:$D$604,C430,'Content Calendar'!$X$5:$X$604,"Published"))</f>
        <v>0</v>
      </c>
      <c r="G430" s="23">
        <f>IF(C430="","",SUMIFS(Analytics!$J$5:$J$154,Analytics!$C$5:$C$154,C430))</f>
        <v>0</v>
      </c>
      <c r="H430" s="23">
        <f>IF(C430="","",SUMIFS(Analytics!$K$5:$K$154,Analytics!$C$5:$C$154,C430))</f>
        <v>0</v>
      </c>
      <c r="I430" s="23">
        <f>IF(C430="","",SUMIFS(Analytics!$L$5:$L$154,Analytics!$C$5:$C$154,C430))</f>
        <v>0</v>
      </c>
      <c r="J430" s="24">
        <f>IF(OR(G430="",G430=0),"",I430/G430)</f>
        <v>0</v>
      </c>
      <c r="K430" s="23">
        <f>IF(C430="","",SUMIFS(Analytics!$G$5:$G$154,Analytics!$C$5:$C$154,C430))</f>
        <v>0</v>
      </c>
      <c r="L430" s="23">
        <f>IF(C430="","",SUMIFS(Analytics!$X$5:$X$154,Analytics!$C$5:$C$154,C430))</f>
        <v>0</v>
      </c>
      <c r="M430" s="23">
        <f>IF(C430="","",SUMIFS(Analytics!$R$5:$R$154,Analytics!$C$5:$C$154,C430))</f>
        <v>0</v>
      </c>
      <c r="N430" s="23">
        <f>IF(C430="","",SUMIFS(Analytics!$S$5:$S$154,Analytics!$C$5:$C$154,C430))</f>
        <v>0</v>
      </c>
      <c r="O430" s="23">
        <f>IF(C430="","",SUMIFS(Analytics!$T$5:$T$154,Analytics!$C$5:$C$154,C430))</f>
        <v>0</v>
      </c>
      <c r="P430" s="25">
        <f>IF(C430="","",SUMIFS(Analytics!$U$5:$U$154,Analytics!$C$5:$C$154,C430))</f>
        <v>0</v>
      </c>
      <c r="Q430" s="25">
        <f>IF(C430="","",SUMIFS(Budget!$H$5:$H$64,Budget!$C$5:$C$64,C430))</f>
        <v>0</v>
      </c>
      <c r="R430" s="25">
        <f>IF(C430="","",P430-Q430)</f>
        <v>0</v>
      </c>
      <c r="S430" s="23">
        <f>IF(C430="","",MonthlyPostTarget)</f>
        <v>0</v>
      </c>
      <c r="T430" s="17">
        <f>IF(Lists!$C430="","",Lists!$C430)</f>
        <v>0</v>
      </c>
      <c r="U430" s="23">
        <f>IF(T430="","",COUNTIFS('Content Calendar'!$G$5:$G$604,T430,'Content Calendar'!$B$5:$B$604,"&gt;="&amp;DashStart,'Content Calendar'!$B$5:$B$604,"&lt;="&amp;DashEnd))</f>
        <v>0</v>
      </c>
      <c r="V430" s="23">
        <f>IF(T430="","",COUNTIFS('Content Calendar'!$G$5:$G$604,T430,'Content Calendar'!$X$5:$X$604,"Published",'Content Calendar'!$B$5:$B$604,"&gt;="&amp;DashStart,'Content Calendar'!$B$5:$B$604,"&lt;="&amp;DashEnd))</f>
        <v>0</v>
      </c>
      <c r="W430" s="23">
        <f>IF(T430="","",SUMIFS(Analytics!$J$5:$J$154,Analytics!$D$5:$D$154,T430,Analytics!$B$5:$B$154,"&gt;="&amp;DashStart,Analytics!$B$5:$B$154,"&lt;="&amp;DashEnd))</f>
        <v>0</v>
      </c>
      <c r="X430" s="23">
        <f>IF(T430="","",SUMIFS(Analytics!$L$5:$L$154,Analytics!$D$5:$D$154,T430,Analytics!$B$5:$B$154,"&gt;="&amp;DashStart,Analytics!$B$5:$B$154,"&lt;="&amp;DashEnd))</f>
        <v>0</v>
      </c>
      <c r="Y430" s="24">
        <f>IF(OR(W430="",W430=0),"",X430/W430)</f>
        <v>0</v>
      </c>
      <c r="Z430" s="23">
        <f>IF(T430="","",SUMIFS(Analytics!$G$5:$G$154,Analytics!$D$5:$D$154,T430,Analytics!$B$5:$B$154,"&gt;="&amp;DashStart,Analytics!$B$5:$B$154,"&lt;="&amp;DashEnd))</f>
        <v>0</v>
      </c>
      <c r="AA430" s="23">
        <f>IF(T430="","",SUMIFS(Analytics!$X$5:$X$154,Analytics!$D$5:$D$154,T430,Analytics!$B$5:$B$154,"&gt;="&amp;DashStart,Analytics!$B$5:$B$154,"&lt;="&amp;DashEnd))</f>
        <v>0</v>
      </c>
      <c r="AB430" s="23">
        <f>IF(T430="","",SUMIFS(Analytics!$R$5:$R$154,Analytics!$D$5:$D$154,T430,Analytics!$B$5:$B$154,"&gt;="&amp;DashStart,Analytics!$B$5:$B$154,"&lt;="&amp;DashEnd))</f>
        <v>0</v>
      </c>
      <c r="AC430" s="25">
        <f>IF(T430="","",SUMIFS(Analytics!$U$5:$U$154,Analytics!$D$5:$D$154,T430,Analytics!$B$5:$B$154,"&gt;="&amp;DashStart,Analytics!$B$5:$B$154,"&lt;="&amp;DashEnd))</f>
        <v>0</v>
      </c>
      <c r="AD430" s="23">
        <f>IF(T430="","",COUNTIFS('Content Calendar'!$G$5:$G$604,T430,'Content Calendar'!$B$5:$B$604,"&gt;="&amp;DATE(PlanYear,1,1),'Content Calendar'!$B$5:$B$604,"&lt;="&amp;DATE(PlanYear,12,31)))</f>
        <v>0</v>
      </c>
      <c r="AE430" s="23">
        <f>IF(T430="","",SUMIFS(Analytics!$J$5:$J$154,Analytics!$D$5:$D$154,T430))</f>
        <v>0</v>
      </c>
      <c r="AF430" s="23">
        <f>IF(T430="","",SUMIFS(Analytics!$L$5:$L$154,Analytics!$D$5:$D$154,T430))</f>
        <v>0</v>
      </c>
      <c r="AG430" s="24">
        <f>IF(OR(AE430="",AE430=0),"",AF430/AE430)</f>
        <v>0</v>
      </c>
      <c r="AH430" s="23">
        <f>IF(T430="","",SUMIFS(Analytics!$X$5:$X$154,Analytics!$D$5:$D$154,T430))</f>
        <v>0</v>
      </c>
      <c r="AI430" s="32">
        <f>IF(T430="","",IF(AE430=0,"",AE430+ROW()/1000000))</f>
        <v>0</v>
      </c>
      <c r="AJ430" s="17">
        <f>IF('Content Pillars'!$B$430="","",'Content Pillars'!$B$430)</f>
        <v>0</v>
      </c>
      <c r="AK430" s="23">
        <f>IF(AJ430="","",COUNTIFS('Content Calendar'!$J$5:$J$604,AJ430,'Content Calendar'!$B$5:$B$604,"&gt;="&amp;DATE(PlanYear,1,1),'Content Calendar'!$B$5:$B$604,"&lt;="&amp;DATE(PlanYear,12,31)))</f>
        <v>0</v>
      </c>
      <c r="AL430" s="23">
        <f>IF(AJ430="","",SUMIFS(Performance!$O$5:$O$404,Performance!$H$5:$H$404,AJ430))</f>
        <v>0</v>
      </c>
      <c r="AM430" s="23">
        <f>IF(AJ430="","",SUMIFS(Performance!$Z$5:$Z$404,Performance!$H$5:$H$404,AJ430))</f>
        <v>0</v>
      </c>
      <c r="AN430" s="24">
        <f>IF(OR(AL430="",AL430=0),"",AM430/AL430)</f>
        <v>0</v>
      </c>
      <c r="AO430" s="32">
        <f>IF(AN430="","",AN430+ROW()/1000000)</f>
        <v>0</v>
      </c>
      <c r="AP430" s="17">
        <f>IF(Lists!$E430="","",Lists!$E430)</f>
        <v>0</v>
      </c>
      <c r="AQ430" s="23">
        <f>IF(AP430="","",COUNTIF(Performance!$G$5:$G$404,AP430))</f>
        <v>0</v>
      </c>
      <c r="AR430" s="23">
        <f>IF(AP430="","",SUMIFS(Performance!$O$5:$O$404,Performance!$G$5:$G$404,AP430))</f>
        <v>0</v>
      </c>
      <c r="AS430" s="23">
        <f>IF(AP430="","",SUMIFS(Performance!$Z$5:$Z$404,Performance!$G$5:$G$404,AP430))</f>
        <v>0</v>
      </c>
      <c r="AT430" s="24">
        <f>IF(OR(AR430="",AR430=0),"",AS430/AR430)</f>
        <v>0</v>
      </c>
      <c r="AU430" s="32">
        <f>IF(AQ430=0,"",IF(AT430="","",AT430+ROW()/1000000))</f>
        <v>0</v>
      </c>
      <c r="AV430" s="17">
        <f>IF(ROW()-4&gt;7,"",TEXT(DATE(2024,1,ROW()-4),"ddd"))</f>
        <v>0</v>
      </c>
      <c r="AW430" s="23">
        <f>IF(AV430="","",COUNTIF(Performance!$N$5:$N$404,AV430))</f>
        <v>0</v>
      </c>
      <c r="AX430" s="23">
        <f>IF(AV430="","",SUMIFS(Performance!$O$5:$O$404,Performance!$N$5:$N$404,AV430))</f>
        <v>0</v>
      </c>
      <c r="AY430" s="23">
        <f>IF(AV430="","",SUMIFS(Performance!$Z$5:$Z$404,Performance!$N$5:$N$404,AV430))</f>
        <v>0</v>
      </c>
      <c r="AZ430" s="24">
        <f>IF(OR(AX430="",AX430=0),"",AY430/AX430)</f>
        <v>0</v>
      </c>
      <c r="BA430" s="32">
        <f>IF(AW430=0,"",IF(AZ430="","",AZ430+ROW()/1000000))</f>
        <v>0</v>
      </c>
      <c r="BB430" s="17">
        <f>IF(Lists!$AL430="","",Lists!$AL430)</f>
        <v>0</v>
      </c>
      <c r="BC430" s="23">
        <f>IF(BB430="","",COUNTIF(Performance!$M$5:$M$404,BB430))</f>
        <v>0</v>
      </c>
      <c r="BD430" s="23">
        <f>IF(BB430="","",SUMIFS(Performance!$O$5:$O$404,Performance!$M$5:$M$404,BB430))</f>
        <v>0</v>
      </c>
      <c r="BE430" s="23">
        <f>IF(BB430="","",SUMIFS(Performance!$Z$5:$Z$404,Performance!$M$5:$M$404,BB430))</f>
        <v>0</v>
      </c>
      <c r="BF430" s="24">
        <f>IF(OR(BD430="",BD430=0),"",BE430/BD430)</f>
        <v>0</v>
      </c>
      <c r="BG430" s="32">
        <f>IF(BC430=0,"",IF(BF430="","",BF430+ROW()/1000000))</f>
        <v>0</v>
      </c>
      <c r="BH430" s="17">
        <f>IF(Performance!$C$430="","",Performance!$C$430)</f>
        <v>0</v>
      </c>
      <c r="BI430" s="17">
        <f>IF(Performance!$F$430="","",Performance!$F$430)</f>
        <v>0</v>
      </c>
      <c r="BJ430" s="17">
        <f>IF(Performance!$H$430="","",Performance!$H$430)</f>
        <v>0</v>
      </c>
      <c r="BK430" s="16">
        <f>IF(Performance!$D$430="","",Performance!$D$430)</f>
        <v>0</v>
      </c>
      <c r="BL430" s="17">
        <f>IF(Performance!$E$430="","",Performance!$E$430)</f>
        <v>0</v>
      </c>
      <c r="BM430" s="23">
        <f>IF(Performance!$O$430="","",Performance!$O$430)</f>
        <v>0</v>
      </c>
      <c r="BN430" s="24">
        <f>IF(Performance!$AA$430="","",Performance!$AA$430)</f>
        <v>0</v>
      </c>
      <c r="BO430" s="32">
        <f>IF(BH430="","",IF(BK430="","",IF(OR(BK430&lt;DashStart,BK430&gt;DashEnd),"",IF(BN430="","",BN430+ROW()/1000000))))</f>
        <v>0</v>
      </c>
      <c r="BP430" s="32">
        <f>IF(BM430="","",IF(BK430="","",IF(OR(BK430&lt;DashStart,BK430&gt;DashEnd),"",BM430+ROW()/1000000)))</f>
        <v>0</v>
      </c>
      <c r="BQ430" s="32">
        <f>IF(BH430="","",IF(BK430="","",IF(YEAR(BK430)&lt;&gt;PlanYear,"",IF(BN430="","",BN430+ROW()/1000000))))</f>
        <v>0</v>
      </c>
      <c r="BR430" s="32">
        <f>IF(BH430="","",IF(BK430="","",IF(OR(BK430&lt;RepFrom,BK430&gt;RepTo),"",IF(BN430="","",BN430+ROW()/1000000))))</f>
        <v>0</v>
      </c>
      <c r="BS430" s="32">
        <f>IF(BM430="","",IF(BK430="","",IF(YEAR(BK430)&lt;&gt;PlanYear,"",BM430+ROW()/1000000)))</f>
        <v>0</v>
      </c>
      <c r="BT430" s="17">
        <f>IF(Lists!$F430="","",Lists!$F430)</f>
        <v>0</v>
      </c>
      <c r="BU430" s="23">
        <f>IF(BT430="","",COUNTIF('Content Calendar'!$X$5:$X$604,BT430))</f>
        <v>0</v>
      </c>
      <c r="BV430" s="23">
        <f>IF(BT430="","",COUNTIFS('Content Calendar'!$X$5:$X$604,BT430,'Content Calendar'!$B$5:$B$604,"&gt;="&amp;DashStart,'Content Calendar'!$B$5:$B$604,"&lt;="&amp;DashEnd))</f>
        <v>0</v>
      </c>
      <c r="BW430" s="17">
        <f>IF(Team!$B$430="","",Team!$B$430)</f>
        <v>0</v>
      </c>
      <c r="BX430" s="23">
        <f>IF(BW430="","",COUNTIF('Content Calendar'!$W$5:$W$604,BW430))</f>
        <v>0</v>
      </c>
      <c r="BY430" s="23">
        <f>IF(BW430="","",COUNTIFS('Content Calendar'!$W$5:$W$604,BW430,'Content Calendar'!$X$5:$X$604,"&lt;&gt;Published"))</f>
        <v>0</v>
      </c>
      <c r="BZ430" s="23">
        <f>IF(BW430="","",COUNTIFS(Tasks!$C$5:$C$64,BW430,Tasks!$G$5:$G$64,"&lt;&gt;Complete"))</f>
        <v>0</v>
      </c>
      <c r="CA430" s="17">
        <f>IF(Campaigns!$B$430="","",Campaigns!$B$430)</f>
        <v>0</v>
      </c>
      <c r="CB430" s="25">
        <f>IF(Campaigns!$T$430="","",Campaigns!$T$430)</f>
        <v>0</v>
      </c>
      <c r="CC430" s="25">
        <f>IF(Campaigns!$Q$430="","",Campaigns!$Q$430)</f>
        <v>0</v>
      </c>
      <c r="CD430" s="23">
        <f>IF(Campaigns!$Y$430="","",Campaigns!$Y$430)</f>
        <v>0</v>
      </c>
      <c r="CE430" s="32">
        <f>IF(CA430="","",IF(N(CB430)&lt;=0,"",N(CB430)+ROW()/1000000))</f>
        <v>0</v>
      </c>
      <c r="CF430" s="17">
        <f>IF(Accounts!$C$430="","",Accounts!$C$430)</f>
        <v>0</v>
      </c>
      <c r="CG430" s="17">
        <f>IF(Accounts!$B$430="","",Accounts!$B$430)</f>
        <v>0</v>
      </c>
      <c r="CH430" s="23">
        <f>IF(Accounts!$J$430="","",Accounts!$J$430)</f>
        <v>0</v>
      </c>
      <c r="CI430" s="23">
        <f>IF(CF430="","",SUMIFS(Analytics!$X$5:$X$154,Analytics!$E$5:$E$154,CF430,Analytics!$B$5:$B$154,"&gt;="&amp;DashStart,Analytics!$B$5:$B$154,"&lt;="&amp;DashEnd))</f>
        <v>0</v>
      </c>
      <c r="CJ430" s="32">
        <f>IF(CH430="","",IF(CH430=0,"",CH430+ROW()/1000000))</f>
        <v>0</v>
      </c>
    </row>
    <row r="431" spans="1:88">
      <c r="A431" s="16">
        <f>IF(ROW()-4&gt;12,"",DATE(PlanYear,ROW()-4,1))</f>
        <v>0</v>
      </c>
      <c r="B431" s="16">
        <f>IF(A431="","",EOMONTH(A431,0))</f>
        <v>0</v>
      </c>
      <c r="C431" s="17">
        <f>IF(A431="","",TEXT(A431,"yyyy-mm"))</f>
        <v>0</v>
      </c>
      <c r="D431" s="17">
        <f>IF(A431="","",TEXT(A431,"mmm"))</f>
        <v>0</v>
      </c>
      <c r="E431" s="23">
        <f>IF(C431="","",COUNTIFS('Content Calendar'!$D$5:$D$604,C431))</f>
        <v>0</v>
      </c>
      <c r="F431" s="23">
        <f>IF(C431="","",COUNTIFS('Content Calendar'!$D$5:$D$604,C431,'Content Calendar'!$X$5:$X$604,"Published"))</f>
        <v>0</v>
      </c>
      <c r="G431" s="23">
        <f>IF(C431="","",SUMIFS(Analytics!$J$5:$J$154,Analytics!$C$5:$C$154,C431))</f>
        <v>0</v>
      </c>
      <c r="H431" s="23">
        <f>IF(C431="","",SUMIFS(Analytics!$K$5:$K$154,Analytics!$C$5:$C$154,C431))</f>
        <v>0</v>
      </c>
      <c r="I431" s="23">
        <f>IF(C431="","",SUMIFS(Analytics!$L$5:$L$154,Analytics!$C$5:$C$154,C431))</f>
        <v>0</v>
      </c>
      <c r="J431" s="24">
        <f>IF(OR(G431="",G431=0),"",I431/G431)</f>
        <v>0</v>
      </c>
      <c r="K431" s="23">
        <f>IF(C431="","",SUMIFS(Analytics!$G$5:$G$154,Analytics!$C$5:$C$154,C431))</f>
        <v>0</v>
      </c>
      <c r="L431" s="23">
        <f>IF(C431="","",SUMIFS(Analytics!$X$5:$X$154,Analytics!$C$5:$C$154,C431))</f>
        <v>0</v>
      </c>
      <c r="M431" s="23">
        <f>IF(C431="","",SUMIFS(Analytics!$R$5:$R$154,Analytics!$C$5:$C$154,C431))</f>
        <v>0</v>
      </c>
      <c r="N431" s="23">
        <f>IF(C431="","",SUMIFS(Analytics!$S$5:$S$154,Analytics!$C$5:$C$154,C431))</f>
        <v>0</v>
      </c>
      <c r="O431" s="23">
        <f>IF(C431="","",SUMIFS(Analytics!$T$5:$T$154,Analytics!$C$5:$C$154,C431))</f>
        <v>0</v>
      </c>
      <c r="P431" s="25">
        <f>IF(C431="","",SUMIFS(Analytics!$U$5:$U$154,Analytics!$C$5:$C$154,C431))</f>
        <v>0</v>
      </c>
      <c r="Q431" s="25">
        <f>IF(C431="","",SUMIFS(Budget!$H$5:$H$64,Budget!$C$5:$C$64,C431))</f>
        <v>0</v>
      </c>
      <c r="R431" s="25">
        <f>IF(C431="","",P431-Q431)</f>
        <v>0</v>
      </c>
      <c r="S431" s="23">
        <f>IF(C431="","",MonthlyPostTarget)</f>
        <v>0</v>
      </c>
      <c r="T431" s="17">
        <f>IF(Lists!$C431="","",Lists!$C431)</f>
        <v>0</v>
      </c>
      <c r="U431" s="23">
        <f>IF(T431="","",COUNTIFS('Content Calendar'!$G$5:$G$604,T431,'Content Calendar'!$B$5:$B$604,"&gt;="&amp;DashStart,'Content Calendar'!$B$5:$B$604,"&lt;="&amp;DashEnd))</f>
        <v>0</v>
      </c>
      <c r="V431" s="23">
        <f>IF(T431="","",COUNTIFS('Content Calendar'!$G$5:$G$604,T431,'Content Calendar'!$X$5:$X$604,"Published",'Content Calendar'!$B$5:$B$604,"&gt;="&amp;DashStart,'Content Calendar'!$B$5:$B$604,"&lt;="&amp;DashEnd))</f>
        <v>0</v>
      </c>
      <c r="W431" s="23">
        <f>IF(T431="","",SUMIFS(Analytics!$J$5:$J$154,Analytics!$D$5:$D$154,T431,Analytics!$B$5:$B$154,"&gt;="&amp;DashStart,Analytics!$B$5:$B$154,"&lt;="&amp;DashEnd))</f>
        <v>0</v>
      </c>
      <c r="X431" s="23">
        <f>IF(T431="","",SUMIFS(Analytics!$L$5:$L$154,Analytics!$D$5:$D$154,T431,Analytics!$B$5:$B$154,"&gt;="&amp;DashStart,Analytics!$B$5:$B$154,"&lt;="&amp;DashEnd))</f>
        <v>0</v>
      </c>
      <c r="Y431" s="24">
        <f>IF(OR(W431="",W431=0),"",X431/W431)</f>
        <v>0</v>
      </c>
      <c r="Z431" s="23">
        <f>IF(T431="","",SUMIFS(Analytics!$G$5:$G$154,Analytics!$D$5:$D$154,T431,Analytics!$B$5:$B$154,"&gt;="&amp;DashStart,Analytics!$B$5:$B$154,"&lt;="&amp;DashEnd))</f>
        <v>0</v>
      </c>
      <c r="AA431" s="23">
        <f>IF(T431="","",SUMIFS(Analytics!$X$5:$X$154,Analytics!$D$5:$D$154,T431,Analytics!$B$5:$B$154,"&gt;="&amp;DashStart,Analytics!$B$5:$B$154,"&lt;="&amp;DashEnd))</f>
        <v>0</v>
      </c>
      <c r="AB431" s="23">
        <f>IF(T431="","",SUMIFS(Analytics!$R$5:$R$154,Analytics!$D$5:$D$154,T431,Analytics!$B$5:$B$154,"&gt;="&amp;DashStart,Analytics!$B$5:$B$154,"&lt;="&amp;DashEnd))</f>
        <v>0</v>
      </c>
      <c r="AC431" s="25">
        <f>IF(T431="","",SUMIFS(Analytics!$U$5:$U$154,Analytics!$D$5:$D$154,T431,Analytics!$B$5:$B$154,"&gt;="&amp;DashStart,Analytics!$B$5:$B$154,"&lt;="&amp;DashEnd))</f>
        <v>0</v>
      </c>
      <c r="AD431" s="23">
        <f>IF(T431="","",COUNTIFS('Content Calendar'!$G$5:$G$604,T431,'Content Calendar'!$B$5:$B$604,"&gt;="&amp;DATE(PlanYear,1,1),'Content Calendar'!$B$5:$B$604,"&lt;="&amp;DATE(PlanYear,12,31)))</f>
        <v>0</v>
      </c>
      <c r="AE431" s="23">
        <f>IF(T431="","",SUMIFS(Analytics!$J$5:$J$154,Analytics!$D$5:$D$154,T431))</f>
        <v>0</v>
      </c>
      <c r="AF431" s="23">
        <f>IF(T431="","",SUMIFS(Analytics!$L$5:$L$154,Analytics!$D$5:$D$154,T431))</f>
        <v>0</v>
      </c>
      <c r="AG431" s="24">
        <f>IF(OR(AE431="",AE431=0),"",AF431/AE431)</f>
        <v>0</v>
      </c>
      <c r="AH431" s="23">
        <f>IF(T431="","",SUMIFS(Analytics!$X$5:$X$154,Analytics!$D$5:$D$154,T431))</f>
        <v>0</v>
      </c>
      <c r="AI431" s="32">
        <f>IF(T431="","",IF(AE431=0,"",AE431+ROW()/1000000))</f>
        <v>0</v>
      </c>
      <c r="AJ431" s="17">
        <f>IF('Content Pillars'!$B$431="","",'Content Pillars'!$B$431)</f>
        <v>0</v>
      </c>
      <c r="AK431" s="23">
        <f>IF(AJ431="","",COUNTIFS('Content Calendar'!$J$5:$J$604,AJ431,'Content Calendar'!$B$5:$B$604,"&gt;="&amp;DATE(PlanYear,1,1),'Content Calendar'!$B$5:$B$604,"&lt;="&amp;DATE(PlanYear,12,31)))</f>
        <v>0</v>
      </c>
      <c r="AL431" s="23">
        <f>IF(AJ431="","",SUMIFS(Performance!$O$5:$O$404,Performance!$H$5:$H$404,AJ431))</f>
        <v>0</v>
      </c>
      <c r="AM431" s="23">
        <f>IF(AJ431="","",SUMIFS(Performance!$Z$5:$Z$404,Performance!$H$5:$H$404,AJ431))</f>
        <v>0</v>
      </c>
      <c r="AN431" s="24">
        <f>IF(OR(AL431="",AL431=0),"",AM431/AL431)</f>
        <v>0</v>
      </c>
      <c r="AO431" s="32">
        <f>IF(AN431="","",AN431+ROW()/1000000)</f>
        <v>0</v>
      </c>
      <c r="AP431" s="17">
        <f>IF(Lists!$E431="","",Lists!$E431)</f>
        <v>0</v>
      </c>
      <c r="AQ431" s="23">
        <f>IF(AP431="","",COUNTIF(Performance!$G$5:$G$404,AP431))</f>
        <v>0</v>
      </c>
      <c r="AR431" s="23">
        <f>IF(AP431="","",SUMIFS(Performance!$O$5:$O$404,Performance!$G$5:$G$404,AP431))</f>
        <v>0</v>
      </c>
      <c r="AS431" s="23">
        <f>IF(AP431="","",SUMIFS(Performance!$Z$5:$Z$404,Performance!$G$5:$G$404,AP431))</f>
        <v>0</v>
      </c>
      <c r="AT431" s="24">
        <f>IF(OR(AR431="",AR431=0),"",AS431/AR431)</f>
        <v>0</v>
      </c>
      <c r="AU431" s="32">
        <f>IF(AQ431=0,"",IF(AT431="","",AT431+ROW()/1000000))</f>
        <v>0</v>
      </c>
      <c r="AV431" s="17">
        <f>IF(ROW()-4&gt;7,"",TEXT(DATE(2024,1,ROW()-4),"ddd"))</f>
        <v>0</v>
      </c>
      <c r="AW431" s="23">
        <f>IF(AV431="","",COUNTIF(Performance!$N$5:$N$404,AV431))</f>
        <v>0</v>
      </c>
      <c r="AX431" s="23">
        <f>IF(AV431="","",SUMIFS(Performance!$O$5:$O$404,Performance!$N$5:$N$404,AV431))</f>
        <v>0</v>
      </c>
      <c r="AY431" s="23">
        <f>IF(AV431="","",SUMIFS(Performance!$Z$5:$Z$404,Performance!$N$5:$N$404,AV431))</f>
        <v>0</v>
      </c>
      <c r="AZ431" s="24">
        <f>IF(OR(AX431="",AX431=0),"",AY431/AX431)</f>
        <v>0</v>
      </c>
      <c r="BA431" s="32">
        <f>IF(AW431=0,"",IF(AZ431="","",AZ431+ROW()/1000000))</f>
        <v>0</v>
      </c>
      <c r="BB431" s="17">
        <f>IF(Lists!$AL431="","",Lists!$AL431)</f>
        <v>0</v>
      </c>
      <c r="BC431" s="23">
        <f>IF(BB431="","",COUNTIF(Performance!$M$5:$M$404,BB431))</f>
        <v>0</v>
      </c>
      <c r="BD431" s="23">
        <f>IF(BB431="","",SUMIFS(Performance!$O$5:$O$404,Performance!$M$5:$M$404,BB431))</f>
        <v>0</v>
      </c>
      <c r="BE431" s="23">
        <f>IF(BB431="","",SUMIFS(Performance!$Z$5:$Z$404,Performance!$M$5:$M$404,BB431))</f>
        <v>0</v>
      </c>
      <c r="BF431" s="24">
        <f>IF(OR(BD431="",BD431=0),"",BE431/BD431)</f>
        <v>0</v>
      </c>
      <c r="BG431" s="32">
        <f>IF(BC431=0,"",IF(BF431="","",BF431+ROW()/1000000))</f>
        <v>0</v>
      </c>
      <c r="BH431" s="17">
        <f>IF(Performance!$C$431="","",Performance!$C$431)</f>
        <v>0</v>
      </c>
      <c r="BI431" s="17">
        <f>IF(Performance!$F$431="","",Performance!$F$431)</f>
        <v>0</v>
      </c>
      <c r="BJ431" s="17">
        <f>IF(Performance!$H$431="","",Performance!$H$431)</f>
        <v>0</v>
      </c>
      <c r="BK431" s="16">
        <f>IF(Performance!$D$431="","",Performance!$D$431)</f>
        <v>0</v>
      </c>
      <c r="BL431" s="17">
        <f>IF(Performance!$E$431="","",Performance!$E$431)</f>
        <v>0</v>
      </c>
      <c r="BM431" s="23">
        <f>IF(Performance!$O$431="","",Performance!$O$431)</f>
        <v>0</v>
      </c>
      <c r="BN431" s="24">
        <f>IF(Performance!$AA$431="","",Performance!$AA$431)</f>
        <v>0</v>
      </c>
      <c r="BO431" s="32">
        <f>IF(BH431="","",IF(BK431="","",IF(OR(BK431&lt;DashStart,BK431&gt;DashEnd),"",IF(BN431="","",BN431+ROW()/1000000))))</f>
        <v>0</v>
      </c>
      <c r="BP431" s="32">
        <f>IF(BM431="","",IF(BK431="","",IF(OR(BK431&lt;DashStart,BK431&gt;DashEnd),"",BM431+ROW()/1000000)))</f>
        <v>0</v>
      </c>
      <c r="BQ431" s="32">
        <f>IF(BH431="","",IF(BK431="","",IF(YEAR(BK431)&lt;&gt;PlanYear,"",IF(BN431="","",BN431+ROW()/1000000))))</f>
        <v>0</v>
      </c>
      <c r="BR431" s="32">
        <f>IF(BH431="","",IF(BK431="","",IF(OR(BK431&lt;RepFrom,BK431&gt;RepTo),"",IF(BN431="","",BN431+ROW()/1000000))))</f>
        <v>0</v>
      </c>
      <c r="BS431" s="32">
        <f>IF(BM431="","",IF(BK431="","",IF(YEAR(BK431)&lt;&gt;PlanYear,"",BM431+ROW()/1000000)))</f>
        <v>0</v>
      </c>
      <c r="BT431" s="17">
        <f>IF(Lists!$F431="","",Lists!$F431)</f>
        <v>0</v>
      </c>
      <c r="BU431" s="23">
        <f>IF(BT431="","",COUNTIF('Content Calendar'!$X$5:$X$604,BT431))</f>
        <v>0</v>
      </c>
      <c r="BV431" s="23">
        <f>IF(BT431="","",COUNTIFS('Content Calendar'!$X$5:$X$604,BT431,'Content Calendar'!$B$5:$B$604,"&gt;="&amp;DashStart,'Content Calendar'!$B$5:$B$604,"&lt;="&amp;DashEnd))</f>
        <v>0</v>
      </c>
      <c r="BW431" s="17">
        <f>IF(Team!$B$431="","",Team!$B$431)</f>
        <v>0</v>
      </c>
      <c r="BX431" s="23">
        <f>IF(BW431="","",COUNTIF('Content Calendar'!$W$5:$W$604,BW431))</f>
        <v>0</v>
      </c>
      <c r="BY431" s="23">
        <f>IF(BW431="","",COUNTIFS('Content Calendar'!$W$5:$W$604,BW431,'Content Calendar'!$X$5:$X$604,"&lt;&gt;Published"))</f>
        <v>0</v>
      </c>
      <c r="BZ431" s="23">
        <f>IF(BW431="","",COUNTIFS(Tasks!$C$5:$C$64,BW431,Tasks!$G$5:$G$64,"&lt;&gt;Complete"))</f>
        <v>0</v>
      </c>
      <c r="CA431" s="17">
        <f>IF(Campaigns!$B$431="","",Campaigns!$B$431)</f>
        <v>0</v>
      </c>
      <c r="CB431" s="25">
        <f>IF(Campaigns!$T$431="","",Campaigns!$T$431)</f>
        <v>0</v>
      </c>
      <c r="CC431" s="25">
        <f>IF(Campaigns!$Q$431="","",Campaigns!$Q$431)</f>
        <v>0</v>
      </c>
      <c r="CD431" s="23">
        <f>IF(Campaigns!$Y$431="","",Campaigns!$Y$431)</f>
        <v>0</v>
      </c>
      <c r="CE431" s="32">
        <f>IF(CA431="","",IF(N(CB431)&lt;=0,"",N(CB431)+ROW()/1000000))</f>
        <v>0</v>
      </c>
      <c r="CF431" s="17">
        <f>IF(Accounts!$C$431="","",Accounts!$C$431)</f>
        <v>0</v>
      </c>
      <c r="CG431" s="17">
        <f>IF(Accounts!$B$431="","",Accounts!$B$431)</f>
        <v>0</v>
      </c>
      <c r="CH431" s="23">
        <f>IF(Accounts!$J$431="","",Accounts!$J$431)</f>
        <v>0</v>
      </c>
      <c r="CI431" s="23">
        <f>IF(CF431="","",SUMIFS(Analytics!$X$5:$X$154,Analytics!$E$5:$E$154,CF431,Analytics!$B$5:$B$154,"&gt;="&amp;DashStart,Analytics!$B$5:$B$154,"&lt;="&amp;DashEnd))</f>
        <v>0</v>
      </c>
      <c r="CJ431" s="32">
        <f>IF(CH431="","",IF(CH431=0,"",CH431+ROW()/1000000))</f>
        <v>0</v>
      </c>
    </row>
    <row r="432" spans="1:88">
      <c r="A432" s="16">
        <f>IF(ROW()-4&gt;12,"",DATE(PlanYear,ROW()-4,1))</f>
        <v>0</v>
      </c>
      <c r="B432" s="16">
        <f>IF(A432="","",EOMONTH(A432,0))</f>
        <v>0</v>
      </c>
      <c r="C432" s="17">
        <f>IF(A432="","",TEXT(A432,"yyyy-mm"))</f>
        <v>0</v>
      </c>
      <c r="D432" s="17">
        <f>IF(A432="","",TEXT(A432,"mmm"))</f>
        <v>0</v>
      </c>
      <c r="E432" s="23">
        <f>IF(C432="","",COUNTIFS('Content Calendar'!$D$5:$D$604,C432))</f>
        <v>0</v>
      </c>
      <c r="F432" s="23">
        <f>IF(C432="","",COUNTIFS('Content Calendar'!$D$5:$D$604,C432,'Content Calendar'!$X$5:$X$604,"Published"))</f>
        <v>0</v>
      </c>
      <c r="G432" s="23">
        <f>IF(C432="","",SUMIFS(Analytics!$J$5:$J$154,Analytics!$C$5:$C$154,C432))</f>
        <v>0</v>
      </c>
      <c r="H432" s="23">
        <f>IF(C432="","",SUMIFS(Analytics!$K$5:$K$154,Analytics!$C$5:$C$154,C432))</f>
        <v>0</v>
      </c>
      <c r="I432" s="23">
        <f>IF(C432="","",SUMIFS(Analytics!$L$5:$L$154,Analytics!$C$5:$C$154,C432))</f>
        <v>0</v>
      </c>
      <c r="J432" s="24">
        <f>IF(OR(G432="",G432=0),"",I432/G432)</f>
        <v>0</v>
      </c>
      <c r="K432" s="23">
        <f>IF(C432="","",SUMIFS(Analytics!$G$5:$G$154,Analytics!$C$5:$C$154,C432))</f>
        <v>0</v>
      </c>
      <c r="L432" s="23">
        <f>IF(C432="","",SUMIFS(Analytics!$X$5:$X$154,Analytics!$C$5:$C$154,C432))</f>
        <v>0</v>
      </c>
      <c r="M432" s="23">
        <f>IF(C432="","",SUMIFS(Analytics!$R$5:$R$154,Analytics!$C$5:$C$154,C432))</f>
        <v>0</v>
      </c>
      <c r="N432" s="23">
        <f>IF(C432="","",SUMIFS(Analytics!$S$5:$S$154,Analytics!$C$5:$C$154,C432))</f>
        <v>0</v>
      </c>
      <c r="O432" s="23">
        <f>IF(C432="","",SUMIFS(Analytics!$T$5:$T$154,Analytics!$C$5:$C$154,C432))</f>
        <v>0</v>
      </c>
      <c r="P432" s="25">
        <f>IF(C432="","",SUMIFS(Analytics!$U$5:$U$154,Analytics!$C$5:$C$154,C432))</f>
        <v>0</v>
      </c>
      <c r="Q432" s="25">
        <f>IF(C432="","",SUMIFS(Budget!$H$5:$H$64,Budget!$C$5:$C$64,C432))</f>
        <v>0</v>
      </c>
      <c r="R432" s="25">
        <f>IF(C432="","",P432-Q432)</f>
        <v>0</v>
      </c>
      <c r="S432" s="23">
        <f>IF(C432="","",MonthlyPostTarget)</f>
        <v>0</v>
      </c>
      <c r="T432" s="17">
        <f>IF(Lists!$C432="","",Lists!$C432)</f>
        <v>0</v>
      </c>
      <c r="U432" s="23">
        <f>IF(T432="","",COUNTIFS('Content Calendar'!$G$5:$G$604,T432,'Content Calendar'!$B$5:$B$604,"&gt;="&amp;DashStart,'Content Calendar'!$B$5:$B$604,"&lt;="&amp;DashEnd))</f>
        <v>0</v>
      </c>
      <c r="V432" s="23">
        <f>IF(T432="","",COUNTIFS('Content Calendar'!$G$5:$G$604,T432,'Content Calendar'!$X$5:$X$604,"Published",'Content Calendar'!$B$5:$B$604,"&gt;="&amp;DashStart,'Content Calendar'!$B$5:$B$604,"&lt;="&amp;DashEnd))</f>
        <v>0</v>
      </c>
      <c r="W432" s="23">
        <f>IF(T432="","",SUMIFS(Analytics!$J$5:$J$154,Analytics!$D$5:$D$154,T432,Analytics!$B$5:$B$154,"&gt;="&amp;DashStart,Analytics!$B$5:$B$154,"&lt;="&amp;DashEnd))</f>
        <v>0</v>
      </c>
      <c r="X432" s="23">
        <f>IF(T432="","",SUMIFS(Analytics!$L$5:$L$154,Analytics!$D$5:$D$154,T432,Analytics!$B$5:$B$154,"&gt;="&amp;DashStart,Analytics!$B$5:$B$154,"&lt;="&amp;DashEnd))</f>
        <v>0</v>
      </c>
      <c r="Y432" s="24">
        <f>IF(OR(W432="",W432=0),"",X432/W432)</f>
        <v>0</v>
      </c>
      <c r="Z432" s="23">
        <f>IF(T432="","",SUMIFS(Analytics!$G$5:$G$154,Analytics!$D$5:$D$154,T432,Analytics!$B$5:$B$154,"&gt;="&amp;DashStart,Analytics!$B$5:$B$154,"&lt;="&amp;DashEnd))</f>
        <v>0</v>
      </c>
      <c r="AA432" s="23">
        <f>IF(T432="","",SUMIFS(Analytics!$X$5:$X$154,Analytics!$D$5:$D$154,T432,Analytics!$B$5:$B$154,"&gt;="&amp;DashStart,Analytics!$B$5:$B$154,"&lt;="&amp;DashEnd))</f>
        <v>0</v>
      </c>
      <c r="AB432" s="23">
        <f>IF(T432="","",SUMIFS(Analytics!$R$5:$R$154,Analytics!$D$5:$D$154,T432,Analytics!$B$5:$B$154,"&gt;="&amp;DashStart,Analytics!$B$5:$B$154,"&lt;="&amp;DashEnd))</f>
        <v>0</v>
      </c>
      <c r="AC432" s="25">
        <f>IF(T432="","",SUMIFS(Analytics!$U$5:$U$154,Analytics!$D$5:$D$154,T432,Analytics!$B$5:$B$154,"&gt;="&amp;DashStart,Analytics!$B$5:$B$154,"&lt;="&amp;DashEnd))</f>
        <v>0</v>
      </c>
      <c r="AD432" s="23">
        <f>IF(T432="","",COUNTIFS('Content Calendar'!$G$5:$G$604,T432,'Content Calendar'!$B$5:$B$604,"&gt;="&amp;DATE(PlanYear,1,1),'Content Calendar'!$B$5:$B$604,"&lt;="&amp;DATE(PlanYear,12,31)))</f>
        <v>0</v>
      </c>
      <c r="AE432" s="23">
        <f>IF(T432="","",SUMIFS(Analytics!$J$5:$J$154,Analytics!$D$5:$D$154,T432))</f>
        <v>0</v>
      </c>
      <c r="AF432" s="23">
        <f>IF(T432="","",SUMIFS(Analytics!$L$5:$L$154,Analytics!$D$5:$D$154,T432))</f>
        <v>0</v>
      </c>
      <c r="AG432" s="24">
        <f>IF(OR(AE432="",AE432=0),"",AF432/AE432)</f>
        <v>0</v>
      </c>
      <c r="AH432" s="23">
        <f>IF(T432="","",SUMIFS(Analytics!$X$5:$X$154,Analytics!$D$5:$D$154,T432))</f>
        <v>0</v>
      </c>
      <c r="AI432" s="32">
        <f>IF(T432="","",IF(AE432=0,"",AE432+ROW()/1000000))</f>
        <v>0</v>
      </c>
      <c r="AJ432" s="17">
        <f>IF('Content Pillars'!$B$432="","",'Content Pillars'!$B$432)</f>
        <v>0</v>
      </c>
      <c r="AK432" s="23">
        <f>IF(AJ432="","",COUNTIFS('Content Calendar'!$J$5:$J$604,AJ432,'Content Calendar'!$B$5:$B$604,"&gt;="&amp;DATE(PlanYear,1,1),'Content Calendar'!$B$5:$B$604,"&lt;="&amp;DATE(PlanYear,12,31)))</f>
        <v>0</v>
      </c>
      <c r="AL432" s="23">
        <f>IF(AJ432="","",SUMIFS(Performance!$O$5:$O$404,Performance!$H$5:$H$404,AJ432))</f>
        <v>0</v>
      </c>
      <c r="AM432" s="23">
        <f>IF(AJ432="","",SUMIFS(Performance!$Z$5:$Z$404,Performance!$H$5:$H$404,AJ432))</f>
        <v>0</v>
      </c>
      <c r="AN432" s="24">
        <f>IF(OR(AL432="",AL432=0),"",AM432/AL432)</f>
        <v>0</v>
      </c>
      <c r="AO432" s="32">
        <f>IF(AN432="","",AN432+ROW()/1000000)</f>
        <v>0</v>
      </c>
      <c r="AP432" s="17">
        <f>IF(Lists!$E432="","",Lists!$E432)</f>
        <v>0</v>
      </c>
      <c r="AQ432" s="23">
        <f>IF(AP432="","",COUNTIF(Performance!$G$5:$G$404,AP432))</f>
        <v>0</v>
      </c>
      <c r="AR432" s="23">
        <f>IF(AP432="","",SUMIFS(Performance!$O$5:$O$404,Performance!$G$5:$G$404,AP432))</f>
        <v>0</v>
      </c>
      <c r="AS432" s="23">
        <f>IF(AP432="","",SUMIFS(Performance!$Z$5:$Z$404,Performance!$G$5:$G$404,AP432))</f>
        <v>0</v>
      </c>
      <c r="AT432" s="24">
        <f>IF(OR(AR432="",AR432=0),"",AS432/AR432)</f>
        <v>0</v>
      </c>
      <c r="AU432" s="32">
        <f>IF(AQ432=0,"",IF(AT432="","",AT432+ROW()/1000000))</f>
        <v>0</v>
      </c>
      <c r="AV432" s="17">
        <f>IF(ROW()-4&gt;7,"",TEXT(DATE(2024,1,ROW()-4),"ddd"))</f>
        <v>0</v>
      </c>
      <c r="AW432" s="23">
        <f>IF(AV432="","",COUNTIF(Performance!$N$5:$N$404,AV432))</f>
        <v>0</v>
      </c>
      <c r="AX432" s="23">
        <f>IF(AV432="","",SUMIFS(Performance!$O$5:$O$404,Performance!$N$5:$N$404,AV432))</f>
        <v>0</v>
      </c>
      <c r="AY432" s="23">
        <f>IF(AV432="","",SUMIFS(Performance!$Z$5:$Z$404,Performance!$N$5:$N$404,AV432))</f>
        <v>0</v>
      </c>
      <c r="AZ432" s="24">
        <f>IF(OR(AX432="",AX432=0),"",AY432/AX432)</f>
        <v>0</v>
      </c>
      <c r="BA432" s="32">
        <f>IF(AW432=0,"",IF(AZ432="","",AZ432+ROW()/1000000))</f>
        <v>0</v>
      </c>
      <c r="BB432" s="17">
        <f>IF(Lists!$AL432="","",Lists!$AL432)</f>
        <v>0</v>
      </c>
      <c r="BC432" s="23">
        <f>IF(BB432="","",COUNTIF(Performance!$M$5:$M$404,BB432))</f>
        <v>0</v>
      </c>
      <c r="BD432" s="23">
        <f>IF(BB432="","",SUMIFS(Performance!$O$5:$O$404,Performance!$M$5:$M$404,BB432))</f>
        <v>0</v>
      </c>
      <c r="BE432" s="23">
        <f>IF(BB432="","",SUMIFS(Performance!$Z$5:$Z$404,Performance!$M$5:$M$404,BB432))</f>
        <v>0</v>
      </c>
      <c r="BF432" s="24">
        <f>IF(OR(BD432="",BD432=0),"",BE432/BD432)</f>
        <v>0</v>
      </c>
      <c r="BG432" s="32">
        <f>IF(BC432=0,"",IF(BF432="","",BF432+ROW()/1000000))</f>
        <v>0</v>
      </c>
      <c r="BH432" s="17">
        <f>IF(Performance!$C$432="","",Performance!$C$432)</f>
        <v>0</v>
      </c>
      <c r="BI432" s="17">
        <f>IF(Performance!$F$432="","",Performance!$F$432)</f>
        <v>0</v>
      </c>
      <c r="BJ432" s="17">
        <f>IF(Performance!$H$432="","",Performance!$H$432)</f>
        <v>0</v>
      </c>
      <c r="BK432" s="16">
        <f>IF(Performance!$D$432="","",Performance!$D$432)</f>
        <v>0</v>
      </c>
      <c r="BL432" s="17">
        <f>IF(Performance!$E$432="","",Performance!$E$432)</f>
        <v>0</v>
      </c>
      <c r="BM432" s="23">
        <f>IF(Performance!$O$432="","",Performance!$O$432)</f>
        <v>0</v>
      </c>
      <c r="BN432" s="24">
        <f>IF(Performance!$AA$432="","",Performance!$AA$432)</f>
        <v>0</v>
      </c>
      <c r="BO432" s="32">
        <f>IF(BH432="","",IF(BK432="","",IF(OR(BK432&lt;DashStart,BK432&gt;DashEnd),"",IF(BN432="","",BN432+ROW()/1000000))))</f>
        <v>0</v>
      </c>
      <c r="BP432" s="32">
        <f>IF(BM432="","",IF(BK432="","",IF(OR(BK432&lt;DashStart,BK432&gt;DashEnd),"",BM432+ROW()/1000000)))</f>
        <v>0</v>
      </c>
      <c r="BQ432" s="32">
        <f>IF(BH432="","",IF(BK432="","",IF(YEAR(BK432)&lt;&gt;PlanYear,"",IF(BN432="","",BN432+ROW()/1000000))))</f>
        <v>0</v>
      </c>
      <c r="BR432" s="32">
        <f>IF(BH432="","",IF(BK432="","",IF(OR(BK432&lt;RepFrom,BK432&gt;RepTo),"",IF(BN432="","",BN432+ROW()/1000000))))</f>
        <v>0</v>
      </c>
      <c r="BS432" s="32">
        <f>IF(BM432="","",IF(BK432="","",IF(YEAR(BK432)&lt;&gt;PlanYear,"",BM432+ROW()/1000000)))</f>
        <v>0</v>
      </c>
      <c r="BT432" s="17">
        <f>IF(Lists!$F432="","",Lists!$F432)</f>
        <v>0</v>
      </c>
      <c r="BU432" s="23">
        <f>IF(BT432="","",COUNTIF('Content Calendar'!$X$5:$X$604,BT432))</f>
        <v>0</v>
      </c>
      <c r="BV432" s="23">
        <f>IF(BT432="","",COUNTIFS('Content Calendar'!$X$5:$X$604,BT432,'Content Calendar'!$B$5:$B$604,"&gt;="&amp;DashStart,'Content Calendar'!$B$5:$B$604,"&lt;="&amp;DashEnd))</f>
        <v>0</v>
      </c>
      <c r="BW432" s="17">
        <f>IF(Team!$B$432="","",Team!$B$432)</f>
        <v>0</v>
      </c>
      <c r="BX432" s="23">
        <f>IF(BW432="","",COUNTIF('Content Calendar'!$W$5:$W$604,BW432))</f>
        <v>0</v>
      </c>
      <c r="BY432" s="23">
        <f>IF(BW432="","",COUNTIFS('Content Calendar'!$W$5:$W$604,BW432,'Content Calendar'!$X$5:$X$604,"&lt;&gt;Published"))</f>
        <v>0</v>
      </c>
      <c r="BZ432" s="23">
        <f>IF(BW432="","",COUNTIFS(Tasks!$C$5:$C$64,BW432,Tasks!$G$5:$G$64,"&lt;&gt;Complete"))</f>
        <v>0</v>
      </c>
      <c r="CA432" s="17">
        <f>IF(Campaigns!$B$432="","",Campaigns!$B$432)</f>
        <v>0</v>
      </c>
      <c r="CB432" s="25">
        <f>IF(Campaigns!$T$432="","",Campaigns!$T$432)</f>
        <v>0</v>
      </c>
      <c r="CC432" s="25">
        <f>IF(Campaigns!$Q$432="","",Campaigns!$Q$432)</f>
        <v>0</v>
      </c>
      <c r="CD432" s="23">
        <f>IF(Campaigns!$Y$432="","",Campaigns!$Y$432)</f>
        <v>0</v>
      </c>
      <c r="CE432" s="32">
        <f>IF(CA432="","",IF(N(CB432)&lt;=0,"",N(CB432)+ROW()/1000000))</f>
        <v>0</v>
      </c>
      <c r="CF432" s="17">
        <f>IF(Accounts!$C$432="","",Accounts!$C$432)</f>
        <v>0</v>
      </c>
      <c r="CG432" s="17">
        <f>IF(Accounts!$B$432="","",Accounts!$B$432)</f>
        <v>0</v>
      </c>
      <c r="CH432" s="23">
        <f>IF(Accounts!$J$432="","",Accounts!$J$432)</f>
        <v>0</v>
      </c>
      <c r="CI432" s="23">
        <f>IF(CF432="","",SUMIFS(Analytics!$X$5:$X$154,Analytics!$E$5:$E$154,CF432,Analytics!$B$5:$B$154,"&gt;="&amp;DashStart,Analytics!$B$5:$B$154,"&lt;="&amp;DashEnd))</f>
        <v>0</v>
      </c>
      <c r="CJ432" s="32">
        <f>IF(CH432="","",IF(CH432=0,"",CH432+ROW()/1000000))</f>
        <v>0</v>
      </c>
    </row>
    <row r="433" spans="1:88">
      <c r="A433" s="16">
        <f>IF(ROW()-4&gt;12,"",DATE(PlanYear,ROW()-4,1))</f>
        <v>0</v>
      </c>
      <c r="B433" s="16">
        <f>IF(A433="","",EOMONTH(A433,0))</f>
        <v>0</v>
      </c>
      <c r="C433" s="17">
        <f>IF(A433="","",TEXT(A433,"yyyy-mm"))</f>
        <v>0</v>
      </c>
      <c r="D433" s="17">
        <f>IF(A433="","",TEXT(A433,"mmm"))</f>
        <v>0</v>
      </c>
      <c r="E433" s="23">
        <f>IF(C433="","",COUNTIFS('Content Calendar'!$D$5:$D$604,C433))</f>
        <v>0</v>
      </c>
      <c r="F433" s="23">
        <f>IF(C433="","",COUNTIFS('Content Calendar'!$D$5:$D$604,C433,'Content Calendar'!$X$5:$X$604,"Published"))</f>
        <v>0</v>
      </c>
      <c r="G433" s="23">
        <f>IF(C433="","",SUMIFS(Analytics!$J$5:$J$154,Analytics!$C$5:$C$154,C433))</f>
        <v>0</v>
      </c>
      <c r="H433" s="23">
        <f>IF(C433="","",SUMIFS(Analytics!$K$5:$K$154,Analytics!$C$5:$C$154,C433))</f>
        <v>0</v>
      </c>
      <c r="I433" s="23">
        <f>IF(C433="","",SUMIFS(Analytics!$L$5:$L$154,Analytics!$C$5:$C$154,C433))</f>
        <v>0</v>
      </c>
      <c r="J433" s="24">
        <f>IF(OR(G433="",G433=0),"",I433/G433)</f>
        <v>0</v>
      </c>
      <c r="K433" s="23">
        <f>IF(C433="","",SUMIFS(Analytics!$G$5:$G$154,Analytics!$C$5:$C$154,C433))</f>
        <v>0</v>
      </c>
      <c r="L433" s="23">
        <f>IF(C433="","",SUMIFS(Analytics!$X$5:$X$154,Analytics!$C$5:$C$154,C433))</f>
        <v>0</v>
      </c>
      <c r="M433" s="23">
        <f>IF(C433="","",SUMIFS(Analytics!$R$5:$R$154,Analytics!$C$5:$C$154,C433))</f>
        <v>0</v>
      </c>
      <c r="N433" s="23">
        <f>IF(C433="","",SUMIFS(Analytics!$S$5:$S$154,Analytics!$C$5:$C$154,C433))</f>
        <v>0</v>
      </c>
      <c r="O433" s="23">
        <f>IF(C433="","",SUMIFS(Analytics!$T$5:$T$154,Analytics!$C$5:$C$154,C433))</f>
        <v>0</v>
      </c>
      <c r="P433" s="25">
        <f>IF(C433="","",SUMIFS(Analytics!$U$5:$U$154,Analytics!$C$5:$C$154,C433))</f>
        <v>0</v>
      </c>
      <c r="Q433" s="25">
        <f>IF(C433="","",SUMIFS(Budget!$H$5:$H$64,Budget!$C$5:$C$64,C433))</f>
        <v>0</v>
      </c>
      <c r="R433" s="25">
        <f>IF(C433="","",P433-Q433)</f>
        <v>0</v>
      </c>
      <c r="S433" s="23">
        <f>IF(C433="","",MonthlyPostTarget)</f>
        <v>0</v>
      </c>
      <c r="T433" s="17">
        <f>IF(Lists!$C433="","",Lists!$C433)</f>
        <v>0</v>
      </c>
      <c r="U433" s="23">
        <f>IF(T433="","",COUNTIFS('Content Calendar'!$G$5:$G$604,T433,'Content Calendar'!$B$5:$B$604,"&gt;="&amp;DashStart,'Content Calendar'!$B$5:$B$604,"&lt;="&amp;DashEnd))</f>
        <v>0</v>
      </c>
      <c r="V433" s="23">
        <f>IF(T433="","",COUNTIFS('Content Calendar'!$G$5:$G$604,T433,'Content Calendar'!$X$5:$X$604,"Published",'Content Calendar'!$B$5:$B$604,"&gt;="&amp;DashStart,'Content Calendar'!$B$5:$B$604,"&lt;="&amp;DashEnd))</f>
        <v>0</v>
      </c>
      <c r="W433" s="23">
        <f>IF(T433="","",SUMIFS(Analytics!$J$5:$J$154,Analytics!$D$5:$D$154,T433,Analytics!$B$5:$B$154,"&gt;="&amp;DashStart,Analytics!$B$5:$B$154,"&lt;="&amp;DashEnd))</f>
        <v>0</v>
      </c>
      <c r="X433" s="23">
        <f>IF(T433="","",SUMIFS(Analytics!$L$5:$L$154,Analytics!$D$5:$D$154,T433,Analytics!$B$5:$B$154,"&gt;="&amp;DashStart,Analytics!$B$5:$B$154,"&lt;="&amp;DashEnd))</f>
        <v>0</v>
      </c>
      <c r="Y433" s="24">
        <f>IF(OR(W433="",W433=0),"",X433/W433)</f>
        <v>0</v>
      </c>
      <c r="Z433" s="23">
        <f>IF(T433="","",SUMIFS(Analytics!$G$5:$G$154,Analytics!$D$5:$D$154,T433,Analytics!$B$5:$B$154,"&gt;="&amp;DashStart,Analytics!$B$5:$B$154,"&lt;="&amp;DashEnd))</f>
        <v>0</v>
      </c>
      <c r="AA433" s="23">
        <f>IF(T433="","",SUMIFS(Analytics!$X$5:$X$154,Analytics!$D$5:$D$154,T433,Analytics!$B$5:$B$154,"&gt;="&amp;DashStart,Analytics!$B$5:$B$154,"&lt;="&amp;DashEnd))</f>
        <v>0</v>
      </c>
      <c r="AB433" s="23">
        <f>IF(T433="","",SUMIFS(Analytics!$R$5:$R$154,Analytics!$D$5:$D$154,T433,Analytics!$B$5:$B$154,"&gt;="&amp;DashStart,Analytics!$B$5:$B$154,"&lt;="&amp;DashEnd))</f>
        <v>0</v>
      </c>
      <c r="AC433" s="25">
        <f>IF(T433="","",SUMIFS(Analytics!$U$5:$U$154,Analytics!$D$5:$D$154,T433,Analytics!$B$5:$B$154,"&gt;="&amp;DashStart,Analytics!$B$5:$B$154,"&lt;="&amp;DashEnd))</f>
        <v>0</v>
      </c>
      <c r="AD433" s="23">
        <f>IF(T433="","",COUNTIFS('Content Calendar'!$G$5:$G$604,T433,'Content Calendar'!$B$5:$B$604,"&gt;="&amp;DATE(PlanYear,1,1),'Content Calendar'!$B$5:$B$604,"&lt;="&amp;DATE(PlanYear,12,31)))</f>
        <v>0</v>
      </c>
      <c r="AE433" s="23">
        <f>IF(T433="","",SUMIFS(Analytics!$J$5:$J$154,Analytics!$D$5:$D$154,T433))</f>
        <v>0</v>
      </c>
      <c r="AF433" s="23">
        <f>IF(T433="","",SUMIFS(Analytics!$L$5:$L$154,Analytics!$D$5:$D$154,T433))</f>
        <v>0</v>
      </c>
      <c r="AG433" s="24">
        <f>IF(OR(AE433="",AE433=0),"",AF433/AE433)</f>
        <v>0</v>
      </c>
      <c r="AH433" s="23">
        <f>IF(T433="","",SUMIFS(Analytics!$X$5:$X$154,Analytics!$D$5:$D$154,T433))</f>
        <v>0</v>
      </c>
      <c r="AI433" s="32">
        <f>IF(T433="","",IF(AE433=0,"",AE433+ROW()/1000000))</f>
        <v>0</v>
      </c>
      <c r="AJ433" s="17">
        <f>IF('Content Pillars'!$B$433="","",'Content Pillars'!$B$433)</f>
        <v>0</v>
      </c>
      <c r="AK433" s="23">
        <f>IF(AJ433="","",COUNTIFS('Content Calendar'!$J$5:$J$604,AJ433,'Content Calendar'!$B$5:$B$604,"&gt;="&amp;DATE(PlanYear,1,1),'Content Calendar'!$B$5:$B$604,"&lt;="&amp;DATE(PlanYear,12,31)))</f>
        <v>0</v>
      </c>
      <c r="AL433" s="23">
        <f>IF(AJ433="","",SUMIFS(Performance!$O$5:$O$404,Performance!$H$5:$H$404,AJ433))</f>
        <v>0</v>
      </c>
      <c r="AM433" s="23">
        <f>IF(AJ433="","",SUMIFS(Performance!$Z$5:$Z$404,Performance!$H$5:$H$404,AJ433))</f>
        <v>0</v>
      </c>
      <c r="AN433" s="24">
        <f>IF(OR(AL433="",AL433=0),"",AM433/AL433)</f>
        <v>0</v>
      </c>
      <c r="AO433" s="32">
        <f>IF(AN433="","",AN433+ROW()/1000000)</f>
        <v>0</v>
      </c>
      <c r="AP433" s="17">
        <f>IF(Lists!$E433="","",Lists!$E433)</f>
        <v>0</v>
      </c>
      <c r="AQ433" s="23">
        <f>IF(AP433="","",COUNTIF(Performance!$G$5:$G$404,AP433))</f>
        <v>0</v>
      </c>
      <c r="AR433" s="23">
        <f>IF(AP433="","",SUMIFS(Performance!$O$5:$O$404,Performance!$G$5:$G$404,AP433))</f>
        <v>0</v>
      </c>
      <c r="AS433" s="23">
        <f>IF(AP433="","",SUMIFS(Performance!$Z$5:$Z$404,Performance!$G$5:$G$404,AP433))</f>
        <v>0</v>
      </c>
      <c r="AT433" s="24">
        <f>IF(OR(AR433="",AR433=0),"",AS433/AR433)</f>
        <v>0</v>
      </c>
      <c r="AU433" s="32">
        <f>IF(AQ433=0,"",IF(AT433="","",AT433+ROW()/1000000))</f>
        <v>0</v>
      </c>
      <c r="AV433" s="17">
        <f>IF(ROW()-4&gt;7,"",TEXT(DATE(2024,1,ROW()-4),"ddd"))</f>
        <v>0</v>
      </c>
      <c r="AW433" s="23">
        <f>IF(AV433="","",COUNTIF(Performance!$N$5:$N$404,AV433))</f>
        <v>0</v>
      </c>
      <c r="AX433" s="23">
        <f>IF(AV433="","",SUMIFS(Performance!$O$5:$O$404,Performance!$N$5:$N$404,AV433))</f>
        <v>0</v>
      </c>
      <c r="AY433" s="23">
        <f>IF(AV433="","",SUMIFS(Performance!$Z$5:$Z$404,Performance!$N$5:$N$404,AV433))</f>
        <v>0</v>
      </c>
      <c r="AZ433" s="24">
        <f>IF(OR(AX433="",AX433=0),"",AY433/AX433)</f>
        <v>0</v>
      </c>
      <c r="BA433" s="32">
        <f>IF(AW433=0,"",IF(AZ433="","",AZ433+ROW()/1000000))</f>
        <v>0</v>
      </c>
      <c r="BB433" s="17">
        <f>IF(Lists!$AL433="","",Lists!$AL433)</f>
        <v>0</v>
      </c>
      <c r="BC433" s="23">
        <f>IF(BB433="","",COUNTIF(Performance!$M$5:$M$404,BB433))</f>
        <v>0</v>
      </c>
      <c r="BD433" s="23">
        <f>IF(BB433="","",SUMIFS(Performance!$O$5:$O$404,Performance!$M$5:$M$404,BB433))</f>
        <v>0</v>
      </c>
      <c r="BE433" s="23">
        <f>IF(BB433="","",SUMIFS(Performance!$Z$5:$Z$404,Performance!$M$5:$M$404,BB433))</f>
        <v>0</v>
      </c>
      <c r="BF433" s="24">
        <f>IF(OR(BD433="",BD433=0),"",BE433/BD433)</f>
        <v>0</v>
      </c>
      <c r="BG433" s="32">
        <f>IF(BC433=0,"",IF(BF433="","",BF433+ROW()/1000000))</f>
        <v>0</v>
      </c>
      <c r="BH433" s="17">
        <f>IF(Performance!$C$433="","",Performance!$C$433)</f>
        <v>0</v>
      </c>
      <c r="BI433" s="17">
        <f>IF(Performance!$F$433="","",Performance!$F$433)</f>
        <v>0</v>
      </c>
      <c r="BJ433" s="17">
        <f>IF(Performance!$H$433="","",Performance!$H$433)</f>
        <v>0</v>
      </c>
      <c r="BK433" s="16">
        <f>IF(Performance!$D$433="","",Performance!$D$433)</f>
        <v>0</v>
      </c>
      <c r="BL433" s="17">
        <f>IF(Performance!$E$433="","",Performance!$E$433)</f>
        <v>0</v>
      </c>
      <c r="BM433" s="23">
        <f>IF(Performance!$O$433="","",Performance!$O$433)</f>
        <v>0</v>
      </c>
      <c r="BN433" s="24">
        <f>IF(Performance!$AA$433="","",Performance!$AA$433)</f>
        <v>0</v>
      </c>
      <c r="BO433" s="32">
        <f>IF(BH433="","",IF(BK433="","",IF(OR(BK433&lt;DashStart,BK433&gt;DashEnd),"",IF(BN433="","",BN433+ROW()/1000000))))</f>
        <v>0</v>
      </c>
      <c r="BP433" s="32">
        <f>IF(BM433="","",IF(BK433="","",IF(OR(BK433&lt;DashStart,BK433&gt;DashEnd),"",BM433+ROW()/1000000)))</f>
        <v>0</v>
      </c>
      <c r="BQ433" s="32">
        <f>IF(BH433="","",IF(BK433="","",IF(YEAR(BK433)&lt;&gt;PlanYear,"",IF(BN433="","",BN433+ROW()/1000000))))</f>
        <v>0</v>
      </c>
      <c r="BR433" s="32">
        <f>IF(BH433="","",IF(BK433="","",IF(OR(BK433&lt;RepFrom,BK433&gt;RepTo),"",IF(BN433="","",BN433+ROW()/1000000))))</f>
        <v>0</v>
      </c>
      <c r="BS433" s="32">
        <f>IF(BM433="","",IF(BK433="","",IF(YEAR(BK433)&lt;&gt;PlanYear,"",BM433+ROW()/1000000)))</f>
        <v>0</v>
      </c>
      <c r="BT433" s="17">
        <f>IF(Lists!$F433="","",Lists!$F433)</f>
        <v>0</v>
      </c>
      <c r="BU433" s="23">
        <f>IF(BT433="","",COUNTIF('Content Calendar'!$X$5:$X$604,BT433))</f>
        <v>0</v>
      </c>
      <c r="BV433" s="23">
        <f>IF(BT433="","",COUNTIFS('Content Calendar'!$X$5:$X$604,BT433,'Content Calendar'!$B$5:$B$604,"&gt;="&amp;DashStart,'Content Calendar'!$B$5:$B$604,"&lt;="&amp;DashEnd))</f>
        <v>0</v>
      </c>
      <c r="BW433" s="17">
        <f>IF(Team!$B$433="","",Team!$B$433)</f>
        <v>0</v>
      </c>
      <c r="BX433" s="23">
        <f>IF(BW433="","",COUNTIF('Content Calendar'!$W$5:$W$604,BW433))</f>
        <v>0</v>
      </c>
      <c r="BY433" s="23">
        <f>IF(BW433="","",COUNTIFS('Content Calendar'!$W$5:$W$604,BW433,'Content Calendar'!$X$5:$X$604,"&lt;&gt;Published"))</f>
        <v>0</v>
      </c>
      <c r="BZ433" s="23">
        <f>IF(BW433="","",COUNTIFS(Tasks!$C$5:$C$64,BW433,Tasks!$G$5:$G$64,"&lt;&gt;Complete"))</f>
        <v>0</v>
      </c>
      <c r="CA433" s="17">
        <f>IF(Campaigns!$B$433="","",Campaigns!$B$433)</f>
        <v>0</v>
      </c>
      <c r="CB433" s="25">
        <f>IF(Campaigns!$T$433="","",Campaigns!$T$433)</f>
        <v>0</v>
      </c>
      <c r="CC433" s="25">
        <f>IF(Campaigns!$Q$433="","",Campaigns!$Q$433)</f>
        <v>0</v>
      </c>
      <c r="CD433" s="23">
        <f>IF(Campaigns!$Y$433="","",Campaigns!$Y$433)</f>
        <v>0</v>
      </c>
      <c r="CE433" s="32">
        <f>IF(CA433="","",IF(N(CB433)&lt;=0,"",N(CB433)+ROW()/1000000))</f>
        <v>0</v>
      </c>
      <c r="CF433" s="17">
        <f>IF(Accounts!$C$433="","",Accounts!$C$433)</f>
        <v>0</v>
      </c>
      <c r="CG433" s="17">
        <f>IF(Accounts!$B$433="","",Accounts!$B$433)</f>
        <v>0</v>
      </c>
      <c r="CH433" s="23">
        <f>IF(Accounts!$J$433="","",Accounts!$J$433)</f>
        <v>0</v>
      </c>
      <c r="CI433" s="23">
        <f>IF(CF433="","",SUMIFS(Analytics!$X$5:$X$154,Analytics!$E$5:$E$154,CF433,Analytics!$B$5:$B$154,"&gt;="&amp;DashStart,Analytics!$B$5:$B$154,"&lt;="&amp;DashEnd))</f>
        <v>0</v>
      </c>
      <c r="CJ433" s="32">
        <f>IF(CH433="","",IF(CH433=0,"",CH433+ROW()/1000000))</f>
        <v>0</v>
      </c>
    </row>
    <row r="434" spans="1:88">
      <c r="A434" s="16">
        <f>IF(ROW()-4&gt;12,"",DATE(PlanYear,ROW()-4,1))</f>
        <v>0</v>
      </c>
      <c r="B434" s="16">
        <f>IF(A434="","",EOMONTH(A434,0))</f>
        <v>0</v>
      </c>
      <c r="C434" s="17">
        <f>IF(A434="","",TEXT(A434,"yyyy-mm"))</f>
        <v>0</v>
      </c>
      <c r="D434" s="17">
        <f>IF(A434="","",TEXT(A434,"mmm"))</f>
        <v>0</v>
      </c>
      <c r="E434" s="23">
        <f>IF(C434="","",COUNTIFS('Content Calendar'!$D$5:$D$604,C434))</f>
        <v>0</v>
      </c>
      <c r="F434" s="23">
        <f>IF(C434="","",COUNTIFS('Content Calendar'!$D$5:$D$604,C434,'Content Calendar'!$X$5:$X$604,"Published"))</f>
        <v>0</v>
      </c>
      <c r="G434" s="23">
        <f>IF(C434="","",SUMIFS(Analytics!$J$5:$J$154,Analytics!$C$5:$C$154,C434))</f>
        <v>0</v>
      </c>
      <c r="H434" s="23">
        <f>IF(C434="","",SUMIFS(Analytics!$K$5:$K$154,Analytics!$C$5:$C$154,C434))</f>
        <v>0</v>
      </c>
      <c r="I434" s="23">
        <f>IF(C434="","",SUMIFS(Analytics!$L$5:$L$154,Analytics!$C$5:$C$154,C434))</f>
        <v>0</v>
      </c>
      <c r="J434" s="24">
        <f>IF(OR(G434="",G434=0),"",I434/G434)</f>
        <v>0</v>
      </c>
      <c r="K434" s="23">
        <f>IF(C434="","",SUMIFS(Analytics!$G$5:$G$154,Analytics!$C$5:$C$154,C434))</f>
        <v>0</v>
      </c>
      <c r="L434" s="23">
        <f>IF(C434="","",SUMIFS(Analytics!$X$5:$X$154,Analytics!$C$5:$C$154,C434))</f>
        <v>0</v>
      </c>
      <c r="M434" s="23">
        <f>IF(C434="","",SUMIFS(Analytics!$R$5:$R$154,Analytics!$C$5:$C$154,C434))</f>
        <v>0</v>
      </c>
      <c r="N434" s="23">
        <f>IF(C434="","",SUMIFS(Analytics!$S$5:$S$154,Analytics!$C$5:$C$154,C434))</f>
        <v>0</v>
      </c>
      <c r="O434" s="23">
        <f>IF(C434="","",SUMIFS(Analytics!$T$5:$T$154,Analytics!$C$5:$C$154,C434))</f>
        <v>0</v>
      </c>
      <c r="P434" s="25">
        <f>IF(C434="","",SUMIFS(Analytics!$U$5:$U$154,Analytics!$C$5:$C$154,C434))</f>
        <v>0</v>
      </c>
      <c r="Q434" s="25">
        <f>IF(C434="","",SUMIFS(Budget!$H$5:$H$64,Budget!$C$5:$C$64,C434))</f>
        <v>0</v>
      </c>
      <c r="R434" s="25">
        <f>IF(C434="","",P434-Q434)</f>
        <v>0</v>
      </c>
      <c r="S434" s="23">
        <f>IF(C434="","",MonthlyPostTarget)</f>
        <v>0</v>
      </c>
      <c r="T434" s="17">
        <f>IF(Lists!$C434="","",Lists!$C434)</f>
        <v>0</v>
      </c>
      <c r="U434" s="23">
        <f>IF(T434="","",COUNTIFS('Content Calendar'!$G$5:$G$604,T434,'Content Calendar'!$B$5:$B$604,"&gt;="&amp;DashStart,'Content Calendar'!$B$5:$B$604,"&lt;="&amp;DashEnd))</f>
        <v>0</v>
      </c>
      <c r="V434" s="23">
        <f>IF(T434="","",COUNTIFS('Content Calendar'!$G$5:$G$604,T434,'Content Calendar'!$X$5:$X$604,"Published",'Content Calendar'!$B$5:$B$604,"&gt;="&amp;DashStart,'Content Calendar'!$B$5:$B$604,"&lt;="&amp;DashEnd))</f>
        <v>0</v>
      </c>
      <c r="W434" s="23">
        <f>IF(T434="","",SUMIFS(Analytics!$J$5:$J$154,Analytics!$D$5:$D$154,T434,Analytics!$B$5:$B$154,"&gt;="&amp;DashStart,Analytics!$B$5:$B$154,"&lt;="&amp;DashEnd))</f>
        <v>0</v>
      </c>
      <c r="X434" s="23">
        <f>IF(T434="","",SUMIFS(Analytics!$L$5:$L$154,Analytics!$D$5:$D$154,T434,Analytics!$B$5:$B$154,"&gt;="&amp;DashStart,Analytics!$B$5:$B$154,"&lt;="&amp;DashEnd))</f>
        <v>0</v>
      </c>
      <c r="Y434" s="24">
        <f>IF(OR(W434="",W434=0),"",X434/W434)</f>
        <v>0</v>
      </c>
      <c r="Z434" s="23">
        <f>IF(T434="","",SUMIFS(Analytics!$G$5:$G$154,Analytics!$D$5:$D$154,T434,Analytics!$B$5:$B$154,"&gt;="&amp;DashStart,Analytics!$B$5:$B$154,"&lt;="&amp;DashEnd))</f>
        <v>0</v>
      </c>
      <c r="AA434" s="23">
        <f>IF(T434="","",SUMIFS(Analytics!$X$5:$X$154,Analytics!$D$5:$D$154,T434,Analytics!$B$5:$B$154,"&gt;="&amp;DashStart,Analytics!$B$5:$B$154,"&lt;="&amp;DashEnd))</f>
        <v>0</v>
      </c>
      <c r="AB434" s="23">
        <f>IF(T434="","",SUMIFS(Analytics!$R$5:$R$154,Analytics!$D$5:$D$154,T434,Analytics!$B$5:$B$154,"&gt;="&amp;DashStart,Analytics!$B$5:$B$154,"&lt;="&amp;DashEnd))</f>
        <v>0</v>
      </c>
      <c r="AC434" s="25">
        <f>IF(T434="","",SUMIFS(Analytics!$U$5:$U$154,Analytics!$D$5:$D$154,T434,Analytics!$B$5:$B$154,"&gt;="&amp;DashStart,Analytics!$B$5:$B$154,"&lt;="&amp;DashEnd))</f>
        <v>0</v>
      </c>
      <c r="AD434" s="23">
        <f>IF(T434="","",COUNTIFS('Content Calendar'!$G$5:$G$604,T434,'Content Calendar'!$B$5:$B$604,"&gt;="&amp;DATE(PlanYear,1,1),'Content Calendar'!$B$5:$B$604,"&lt;="&amp;DATE(PlanYear,12,31)))</f>
        <v>0</v>
      </c>
      <c r="AE434" s="23">
        <f>IF(T434="","",SUMIFS(Analytics!$J$5:$J$154,Analytics!$D$5:$D$154,T434))</f>
        <v>0</v>
      </c>
      <c r="AF434" s="23">
        <f>IF(T434="","",SUMIFS(Analytics!$L$5:$L$154,Analytics!$D$5:$D$154,T434))</f>
        <v>0</v>
      </c>
      <c r="AG434" s="24">
        <f>IF(OR(AE434="",AE434=0),"",AF434/AE434)</f>
        <v>0</v>
      </c>
      <c r="AH434" s="23">
        <f>IF(T434="","",SUMIFS(Analytics!$X$5:$X$154,Analytics!$D$5:$D$154,T434))</f>
        <v>0</v>
      </c>
      <c r="AI434" s="32">
        <f>IF(T434="","",IF(AE434=0,"",AE434+ROW()/1000000))</f>
        <v>0</v>
      </c>
      <c r="AJ434" s="17">
        <f>IF('Content Pillars'!$B$434="","",'Content Pillars'!$B$434)</f>
        <v>0</v>
      </c>
      <c r="AK434" s="23">
        <f>IF(AJ434="","",COUNTIFS('Content Calendar'!$J$5:$J$604,AJ434,'Content Calendar'!$B$5:$B$604,"&gt;="&amp;DATE(PlanYear,1,1),'Content Calendar'!$B$5:$B$604,"&lt;="&amp;DATE(PlanYear,12,31)))</f>
        <v>0</v>
      </c>
      <c r="AL434" s="23">
        <f>IF(AJ434="","",SUMIFS(Performance!$O$5:$O$404,Performance!$H$5:$H$404,AJ434))</f>
        <v>0</v>
      </c>
      <c r="AM434" s="23">
        <f>IF(AJ434="","",SUMIFS(Performance!$Z$5:$Z$404,Performance!$H$5:$H$404,AJ434))</f>
        <v>0</v>
      </c>
      <c r="AN434" s="24">
        <f>IF(OR(AL434="",AL434=0),"",AM434/AL434)</f>
        <v>0</v>
      </c>
      <c r="AO434" s="32">
        <f>IF(AN434="","",AN434+ROW()/1000000)</f>
        <v>0</v>
      </c>
      <c r="AP434" s="17">
        <f>IF(Lists!$E434="","",Lists!$E434)</f>
        <v>0</v>
      </c>
      <c r="AQ434" s="23">
        <f>IF(AP434="","",COUNTIF(Performance!$G$5:$G$404,AP434))</f>
        <v>0</v>
      </c>
      <c r="AR434" s="23">
        <f>IF(AP434="","",SUMIFS(Performance!$O$5:$O$404,Performance!$G$5:$G$404,AP434))</f>
        <v>0</v>
      </c>
      <c r="AS434" s="23">
        <f>IF(AP434="","",SUMIFS(Performance!$Z$5:$Z$404,Performance!$G$5:$G$404,AP434))</f>
        <v>0</v>
      </c>
      <c r="AT434" s="24">
        <f>IF(OR(AR434="",AR434=0),"",AS434/AR434)</f>
        <v>0</v>
      </c>
      <c r="AU434" s="32">
        <f>IF(AQ434=0,"",IF(AT434="","",AT434+ROW()/1000000))</f>
        <v>0</v>
      </c>
      <c r="AV434" s="17">
        <f>IF(ROW()-4&gt;7,"",TEXT(DATE(2024,1,ROW()-4),"ddd"))</f>
        <v>0</v>
      </c>
      <c r="AW434" s="23">
        <f>IF(AV434="","",COUNTIF(Performance!$N$5:$N$404,AV434))</f>
        <v>0</v>
      </c>
      <c r="AX434" s="23">
        <f>IF(AV434="","",SUMIFS(Performance!$O$5:$O$404,Performance!$N$5:$N$404,AV434))</f>
        <v>0</v>
      </c>
      <c r="AY434" s="23">
        <f>IF(AV434="","",SUMIFS(Performance!$Z$5:$Z$404,Performance!$N$5:$N$404,AV434))</f>
        <v>0</v>
      </c>
      <c r="AZ434" s="24">
        <f>IF(OR(AX434="",AX434=0),"",AY434/AX434)</f>
        <v>0</v>
      </c>
      <c r="BA434" s="32">
        <f>IF(AW434=0,"",IF(AZ434="","",AZ434+ROW()/1000000))</f>
        <v>0</v>
      </c>
      <c r="BB434" s="17">
        <f>IF(Lists!$AL434="","",Lists!$AL434)</f>
        <v>0</v>
      </c>
      <c r="BC434" s="23">
        <f>IF(BB434="","",COUNTIF(Performance!$M$5:$M$404,BB434))</f>
        <v>0</v>
      </c>
      <c r="BD434" s="23">
        <f>IF(BB434="","",SUMIFS(Performance!$O$5:$O$404,Performance!$M$5:$M$404,BB434))</f>
        <v>0</v>
      </c>
      <c r="BE434" s="23">
        <f>IF(BB434="","",SUMIFS(Performance!$Z$5:$Z$404,Performance!$M$5:$M$404,BB434))</f>
        <v>0</v>
      </c>
      <c r="BF434" s="24">
        <f>IF(OR(BD434="",BD434=0),"",BE434/BD434)</f>
        <v>0</v>
      </c>
      <c r="BG434" s="32">
        <f>IF(BC434=0,"",IF(BF434="","",BF434+ROW()/1000000))</f>
        <v>0</v>
      </c>
      <c r="BH434" s="17">
        <f>IF(Performance!$C$434="","",Performance!$C$434)</f>
        <v>0</v>
      </c>
      <c r="BI434" s="17">
        <f>IF(Performance!$F$434="","",Performance!$F$434)</f>
        <v>0</v>
      </c>
      <c r="BJ434" s="17">
        <f>IF(Performance!$H$434="","",Performance!$H$434)</f>
        <v>0</v>
      </c>
      <c r="BK434" s="16">
        <f>IF(Performance!$D$434="","",Performance!$D$434)</f>
        <v>0</v>
      </c>
      <c r="BL434" s="17">
        <f>IF(Performance!$E$434="","",Performance!$E$434)</f>
        <v>0</v>
      </c>
      <c r="BM434" s="23">
        <f>IF(Performance!$O$434="","",Performance!$O$434)</f>
        <v>0</v>
      </c>
      <c r="BN434" s="24">
        <f>IF(Performance!$AA$434="","",Performance!$AA$434)</f>
        <v>0</v>
      </c>
      <c r="BO434" s="32">
        <f>IF(BH434="","",IF(BK434="","",IF(OR(BK434&lt;DashStart,BK434&gt;DashEnd),"",IF(BN434="","",BN434+ROW()/1000000))))</f>
        <v>0</v>
      </c>
      <c r="BP434" s="32">
        <f>IF(BM434="","",IF(BK434="","",IF(OR(BK434&lt;DashStart,BK434&gt;DashEnd),"",BM434+ROW()/1000000)))</f>
        <v>0</v>
      </c>
      <c r="BQ434" s="32">
        <f>IF(BH434="","",IF(BK434="","",IF(YEAR(BK434)&lt;&gt;PlanYear,"",IF(BN434="","",BN434+ROW()/1000000))))</f>
        <v>0</v>
      </c>
      <c r="BR434" s="32">
        <f>IF(BH434="","",IF(BK434="","",IF(OR(BK434&lt;RepFrom,BK434&gt;RepTo),"",IF(BN434="","",BN434+ROW()/1000000))))</f>
        <v>0</v>
      </c>
      <c r="BS434" s="32">
        <f>IF(BM434="","",IF(BK434="","",IF(YEAR(BK434)&lt;&gt;PlanYear,"",BM434+ROW()/1000000)))</f>
        <v>0</v>
      </c>
      <c r="BT434" s="17">
        <f>IF(Lists!$F434="","",Lists!$F434)</f>
        <v>0</v>
      </c>
      <c r="BU434" s="23">
        <f>IF(BT434="","",COUNTIF('Content Calendar'!$X$5:$X$604,BT434))</f>
        <v>0</v>
      </c>
      <c r="BV434" s="23">
        <f>IF(BT434="","",COUNTIFS('Content Calendar'!$X$5:$X$604,BT434,'Content Calendar'!$B$5:$B$604,"&gt;="&amp;DashStart,'Content Calendar'!$B$5:$B$604,"&lt;="&amp;DashEnd))</f>
        <v>0</v>
      </c>
      <c r="BW434" s="17">
        <f>IF(Team!$B$434="","",Team!$B$434)</f>
        <v>0</v>
      </c>
      <c r="BX434" s="23">
        <f>IF(BW434="","",COUNTIF('Content Calendar'!$W$5:$W$604,BW434))</f>
        <v>0</v>
      </c>
      <c r="BY434" s="23">
        <f>IF(BW434="","",COUNTIFS('Content Calendar'!$W$5:$W$604,BW434,'Content Calendar'!$X$5:$X$604,"&lt;&gt;Published"))</f>
        <v>0</v>
      </c>
      <c r="BZ434" s="23">
        <f>IF(BW434="","",COUNTIFS(Tasks!$C$5:$C$64,BW434,Tasks!$G$5:$G$64,"&lt;&gt;Complete"))</f>
        <v>0</v>
      </c>
      <c r="CA434" s="17">
        <f>IF(Campaigns!$B$434="","",Campaigns!$B$434)</f>
        <v>0</v>
      </c>
      <c r="CB434" s="25">
        <f>IF(Campaigns!$T$434="","",Campaigns!$T$434)</f>
        <v>0</v>
      </c>
      <c r="CC434" s="25">
        <f>IF(Campaigns!$Q$434="","",Campaigns!$Q$434)</f>
        <v>0</v>
      </c>
      <c r="CD434" s="23">
        <f>IF(Campaigns!$Y$434="","",Campaigns!$Y$434)</f>
        <v>0</v>
      </c>
      <c r="CE434" s="32">
        <f>IF(CA434="","",IF(N(CB434)&lt;=0,"",N(CB434)+ROW()/1000000))</f>
        <v>0</v>
      </c>
      <c r="CF434" s="17">
        <f>IF(Accounts!$C$434="","",Accounts!$C$434)</f>
        <v>0</v>
      </c>
      <c r="CG434" s="17">
        <f>IF(Accounts!$B$434="","",Accounts!$B$434)</f>
        <v>0</v>
      </c>
      <c r="CH434" s="23">
        <f>IF(Accounts!$J$434="","",Accounts!$J$434)</f>
        <v>0</v>
      </c>
      <c r="CI434" s="23">
        <f>IF(CF434="","",SUMIFS(Analytics!$X$5:$X$154,Analytics!$E$5:$E$154,CF434,Analytics!$B$5:$B$154,"&gt;="&amp;DashStart,Analytics!$B$5:$B$154,"&lt;="&amp;DashEnd))</f>
        <v>0</v>
      </c>
      <c r="CJ434" s="32">
        <f>IF(CH434="","",IF(CH434=0,"",CH434+ROW()/1000000))</f>
        <v>0</v>
      </c>
    </row>
    <row r="435" spans="1:88">
      <c r="A435" s="16">
        <f>IF(ROW()-4&gt;12,"",DATE(PlanYear,ROW()-4,1))</f>
        <v>0</v>
      </c>
      <c r="B435" s="16">
        <f>IF(A435="","",EOMONTH(A435,0))</f>
        <v>0</v>
      </c>
      <c r="C435" s="17">
        <f>IF(A435="","",TEXT(A435,"yyyy-mm"))</f>
        <v>0</v>
      </c>
      <c r="D435" s="17">
        <f>IF(A435="","",TEXT(A435,"mmm"))</f>
        <v>0</v>
      </c>
      <c r="E435" s="23">
        <f>IF(C435="","",COUNTIFS('Content Calendar'!$D$5:$D$604,C435))</f>
        <v>0</v>
      </c>
      <c r="F435" s="23">
        <f>IF(C435="","",COUNTIFS('Content Calendar'!$D$5:$D$604,C435,'Content Calendar'!$X$5:$X$604,"Published"))</f>
        <v>0</v>
      </c>
      <c r="G435" s="23">
        <f>IF(C435="","",SUMIFS(Analytics!$J$5:$J$154,Analytics!$C$5:$C$154,C435))</f>
        <v>0</v>
      </c>
      <c r="H435" s="23">
        <f>IF(C435="","",SUMIFS(Analytics!$K$5:$K$154,Analytics!$C$5:$C$154,C435))</f>
        <v>0</v>
      </c>
      <c r="I435" s="23">
        <f>IF(C435="","",SUMIFS(Analytics!$L$5:$L$154,Analytics!$C$5:$C$154,C435))</f>
        <v>0</v>
      </c>
      <c r="J435" s="24">
        <f>IF(OR(G435="",G435=0),"",I435/G435)</f>
        <v>0</v>
      </c>
      <c r="K435" s="23">
        <f>IF(C435="","",SUMIFS(Analytics!$G$5:$G$154,Analytics!$C$5:$C$154,C435))</f>
        <v>0</v>
      </c>
      <c r="L435" s="23">
        <f>IF(C435="","",SUMIFS(Analytics!$X$5:$X$154,Analytics!$C$5:$C$154,C435))</f>
        <v>0</v>
      </c>
      <c r="M435" s="23">
        <f>IF(C435="","",SUMIFS(Analytics!$R$5:$R$154,Analytics!$C$5:$C$154,C435))</f>
        <v>0</v>
      </c>
      <c r="N435" s="23">
        <f>IF(C435="","",SUMIFS(Analytics!$S$5:$S$154,Analytics!$C$5:$C$154,C435))</f>
        <v>0</v>
      </c>
      <c r="O435" s="23">
        <f>IF(C435="","",SUMIFS(Analytics!$T$5:$T$154,Analytics!$C$5:$C$154,C435))</f>
        <v>0</v>
      </c>
      <c r="P435" s="25">
        <f>IF(C435="","",SUMIFS(Analytics!$U$5:$U$154,Analytics!$C$5:$C$154,C435))</f>
        <v>0</v>
      </c>
      <c r="Q435" s="25">
        <f>IF(C435="","",SUMIFS(Budget!$H$5:$H$64,Budget!$C$5:$C$64,C435))</f>
        <v>0</v>
      </c>
      <c r="R435" s="25">
        <f>IF(C435="","",P435-Q435)</f>
        <v>0</v>
      </c>
      <c r="S435" s="23">
        <f>IF(C435="","",MonthlyPostTarget)</f>
        <v>0</v>
      </c>
      <c r="T435" s="17">
        <f>IF(Lists!$C435="","",Lists!$C435)</f>
        <v>0</v>
      </c>
      <c r="U435" s="23">
        <f>IF(T435="","",COUNTIFS('Content Calendar'!$G$5:$G$604,T435,'Content Calendar'!$B$5:$B$604,"&gt;="&amp;DashStart,'Content Calendar'!$B$5:$B$604,"&lt;="&amp;DashEnd))</f>
        <v>0</v>
      </c>
      <c r="V435" s="23">
        <f>IF(T435="","",COUNTIFS('Content Calendar'!$G$5:$G$604,T435,'Content Calendar'!$X$5:$X$604,"Published",'Content Calendar'!$B$5:$B$604,"&gt;="&amp;DashStart,'Content Calendar'!$B$5:$B$604,"&lt;="&amp;DashEnd))</f>
        <v>0</v>
      </c>
      <c r="W435" s="23">
        <f>IF(T435="","",SUMIFS(Analytics!$J$5:$J$154,Analytics!$D$5:$D$154,T435,Analytics!$B$5:$B$154,"&gt;="&amp;DashStart,Analytics!$B$5:$B$154,"&lt;="&amp;DashEnd))</f>
        <v>0</v>
      </c>
      <c r="X435" s="23">
        <f>IF(T435="","",SUMIFS(Analytics!$L$5:$L$154,Analytics!$D$5:$D$154,T435,Analytics!$B$5:$B$154,"&gt;="&amp;DashStart,Analytics!$B$5:$B$154,"&lt;="&amp;DashEnd))</f>
        <v>0</v>
      </c>
      <c r="Y435" s="24">
        <f>IF(OR(W435="",W435=0),"",X435/W435)</f>
        <v>0</v>
      </c>
      <c r="Z435" s="23">
        <f>IF(T435="","",SUMIFS(Analytics!$G$5:$G$154,Analytics!$D$5:$D$154,T435,Analytics!$B$5:$B$154,"&gt;="&amp;DashStart,Analytics!$B$5:$B$154,"&lt;="&amp;DashEnd))</f>
        <v>0</v>
      </c>
      <c r="AA435" s="23">
        <f>IF(T435="","",SUMIFS(Analytics!$X$5:$X$154,Analytics!$D$5:$D$154,T435,Analytics!$B$5:$B$154,"&gt;="&amp;DashStart,Analytics!$B$5:$B$154,"&lt;="&amp;DashEnd))</f>
        <v>0</v>
      </c>
      <c r="AB435" s="23">
        <f>IF(T435="","",SUMIFS(Analytics!$R$5:$R$154,Analytics!$D$5:$D$154,T435,Analytics!$B$5:$B$154,"&gt;="&amp;DashStart,Analytics!$B$5:$B$154,"&lt;="&amp;DashEnd))</f>
        <v>0</v>
      </c>
      <c r="AC435" s="25">
        <f>IF(T435="","",SUMIFS(Analytics!$U$5:$U$154,Analytics!$D$5:$D$154,T435,Analytics!$B$5:$B$154,"&gt;="&amp;DashStart,Analytics!$B$5:$B$154,"&lt;="&amp;DashEnd))</f>
        <v>0</v>
      </c>
      <c r="AD435" s="23">
        <f>IF(T435="","",COUNTIFS('Content Calendar'!$G$5:$G$604,T435,'Content Calendar'!$B$5:$B$604,"&gt;="&amp;DATE(PlanYear,1,1),'Content Calendar'!$B$5:$B$604,"&lt;="&amp;DATE(PlanYear,12,31)))</f>
        <v>0</v>
      </c>
      <c r="AE435" s="23">
        <f>IF(T435="","",SUMIFS(Analytics!$J$5:$J$154,Analytics!$D$5:$D$154,T435))</f>
        <v>0</v>
      </c>
      <c r="AF435" s="23">
        <f>IF(T435="","",SUMIFS(Analytics!$L$5:$L$154,Analytics!$D$5:$D$154,T435))</f>
        <v>0</v>
      </c>
      <c r="AG435" s="24">
        <f>IF(OR(AE435="",AE435=0),"",AF435/AE435)</f>
        <v>0</v>
      </c>
      <c r="AH435" s="23">
        <f>IF(T435="","",SUMIFS(Analytics!$X$5:$X$154,Analytics!$D$5:$D$154,T435))</f>
        <v>0</v>
      </c>
      <c r="AI435" s="32">
        <f>IF(T435="","",IF(AE435=0,"",AE435+ROW()/1000000))</f>
        <v>0</v>
      </c>
      <c r="AJ435" s="17">
        <f>IF('Content Pillars'!$B$435="","",'Content Pillars'!$B$435)</f>
        <v>0</v>
      </c>
      <c r="AK435" s="23">
        <f>IF(AJ435="","",COUNTIFS('Content Calendar'!$J$5:$J$604,AJ435,'Content Calendar'!$B$5:$B$604,"&gt;="&amp;DATE(PlanYear,1,1),'Content Calendar'!$B$5:$B$604,"&lt;="&amp;DATE(PlanYear,12,31)))</f>
        <v>0</v>
      </c>
      <c r="AL435" s="23">
        <f>IF(AJ435="","",SUMIFS(Performance!$O$5:$O$404,Performance!$H$5:$H$404,AJ435))</f>
        <v>0</v>
      </c>
      <c r="AM435" s="23">
        <f>IF(AJ435="","",SUMIFS(Performance!$Z$5:$Z$404,Performance!$H$5:$H$404,AJ435))</f>
        <v>0</v>
      </c>
      <c r="AN435" s="24">
        <f>IF(OR(AL435="",AL435=0),"",AM435/AL435)</f>
        <v>0</v>
      </c>
      <c r="AO435" s="32">
        <f>IF(AN435="","",AN435+ROW()/1000000)</f>
        <v>0</v>
      </c>
      <c r="AP435" s="17">
        <f>IF(Lists!$E435="","",Lists!$E435)</f>
        <v>0</v>
      </c>
      <c r="AQ435" s="23">
        <f>IF(AP435="","",COUNTIF(Performance!$G$5:$G$404,AP435))</f>
        <v>0</v>
      </c>
      <c r="AR435" s="23">
        <f>IF(AP435="","",SUMIFS(Performance!$O$5:$O$404,Performance!$G$5:$G$404,AP435))</f>
        <v>0</v>
      </c>
      <c r="AS435" s="23">
        <f>IF(AP435="","",SUMIFS(Performance!$Z$5:$Z$404,Performance!$G$5:$G$404,AP435))</f>
        <v>0</v>
      </c>
      <c r="AT435" s="24">
        <f>IF(OR(AR435="",AR435=0),"",AS435/AR435)</f>
        <v>0</v>
      </c>
      <c r="AU435" s="32">
        <f>IF(AQ435=0,"",IF(AT435="","",AT435+ROW()/1000000))</f>
        <v>0</v>
      </c>
      <c r="AV435" s="17">
        <f>IF(ROW()-4&gt;7,"",TEXT(DATE(2024,1,ROW()-4),"ddd"))</f>
        <v>0</v>
      </c>
      <c r="AW435" s="23">
        <f>IF(AV435="","",COUNTIF(Performance!$N$5:$N$404,AV435))</f>
        <v>0</v>
      </c>
      <c r="AX435" s="23">
        <f>IF(AV435="","",SUMIFS(Performance!$O$5:$O$404,Performance!$N$5:$N$404,AV435))</f>
        <v>0</v>
      </c>
      <c r="AY435" s="23">
        <f>IF(AV435="","",SUMIFS(Performance!$Z$5:$Z$404,Performance!$N$5:$N$404,AV435))</f>
        <v>0</v>
      </c>
      <c r="AZ435" s="24">
        <f>IF(OR(AX435="",AX435=0),"",AY435/AX435)</f>
        <v>0</v>
      </c>
      <c r="BA435" s="32">
        <f>IF(AW435=0,"",IF(AZ435="","",AZ435+ROW()/1000000))</f>
        <v>0</v>
      </c>
      <c r="BB435" s="17">
        <f>IF(Lists!$AL435="","",Lists!$AL435)</f>
        <v>0</v>
      </c>
      <c r="BC435" s="23">
        <f>IF(BB435="","",COUNTIF(Performance!$M$5:$M$404,BB435))</f>
        <v>0</v>
      </c>
      <c r="BD435" s="23">
        <f>IF(BB435="","",SUMIFS(Performance!$O$5:$O$404,Performance!$M$5:$M$404,BB435))</f>
        <v>0</v>
      </c>
      <c r="BE435" s="23">
        <f>IF(BB435="","",SUMIFS(Performance!$Z$5:$Z$404,Performance!$M$5:$M$404,BB435))</f>
        <v>0</v>
      </c>
      <c r="BF435" s="24">
        <f>IF(OR(BD435="",BD435=0),"",BE435/BD435)</f>
        <v>0</v>
      </c>
      <c r="BG435" s="32">
        <f>IF(BC435=0,"",IF(BF435="","",BF435+ROW()/1000000))</f>
        <v>0</v>
      </c>
      <c r="BH435" s="17">
        <f>IF(Performance!$C$435="","",Performance!$C$435)</f>
        <v>0</v>
      </c>
      <c r="BI435" s="17">
        <f>IF(Performance!$F$435="","",Performance!$F$435)</f>
        <v>0</v>
      </c>
      <c r="BJ435" s="17">
        <f>IF(Performance!$H$435="","",Performance!$H$435)</f>
        <v>0</v>
      </c>
      <c r="BK435" s="16">
        <f>IF(Performance!$D$435="","",Performance!$D$435)</f>
        <v>0</v>
      </c>
      <c r="BL435" s="17">
        <f>IF(Performance!$E$435="","",Performance!$E$435)</f>
        <v>0</v>
      </c>
      <c r="BM435" s="23">
        <f>IF(Performance!$O$435="","",Performance!$O$435)</f>
        <v>0</v>
      </c>
      <c r="BN435" s="24">
        <f>IF(Performance!$AA$435="","",Performance!$AA$435)</f>
        <v>0</v>
      </c>
      <c r="BO435" s="32">
        <f>IF(BH435="","",IF(BK435="","",IF(OR(BK435&lt;DashStart,BK435&gt;DashEnd),"",IF(BN435="","",BN435+ROW()/1000000))))</f>
        <v>0</v>
      </c>
      <c r="BP435" s="32">
        <f>IF(BM435="","",IF(BK435="","",IF(OR(BK435&lt;DashStart,BK435&gt;DashEnd),"",BM435+ROW()/1000000)))</f>
        <v>0</v>
      </c>
      <c r="BQ435" s="32">
        <f>IF(BH435="","",IF(BK435="","",IF(YEAR(BK435)&lt;&gt;PlanYear,"",IF(BN435="","",BN435+ROW()/1000000))))</f>
        <v>0</v>
      </c>
      <c r="BR435" s="32">
        <f>IF(BH435="","",IF(BK435="","",IF(OR(BK435&lt;RepFrom,BK435&gt;RepTo),"",IF(BN435="","",BN435+ROW()/1000000))))</f>
        <v>0</v>
      </c>
      <c r="BS435" s="32">
        <f>IF(BM435="","",IF(BK435="","",IF(YEAR(BK435)&lt;&gt;PlanYear,"",BM435+ROW()/1000000)))</f>
        <v>0</v>
      </c>
      <c r="BT435" s="17">
        <f>IF(Lists!$F435="","",Lists!$F435)</f>
        <v>0</v>
      </c>
      <c r="BU435" s="23">
        <f>IF(BT435="","",COUNTIF('Content Calendar'!$X$5:$X$604,BT435))</f>
        <v>0</v>
      </c>
      <c r="BV435" s="23">
        <f>IF(BT435="","",COUNTIFS('Content Calendar'!$X$5:$X$604,BT435,'Content Calendar'!$B$5:$B$604,"&gt;="&amp;DashStart,'Content Calendar'!$B$5:$B$604,"&lt;="&amp;DashEnd))</f>
        <v>0</v>
      </c>
      <c r="BW435" s="17">
        <f>IF(Team!$B$435="","",Team!$B$435)</f>
        <v>0</v>
      </c>
      <c r="BX435" s="23">
        <f>IF(BW435="","",COUNTIF('Content Calendar'!$W$5:$W$604,BW435))</f>
        <v>0</v>
      </c>
      <c r="BY435" s="23">
        <f>IF(BW435="","",COUNTIFS('Content Calendar'!$W$5:$W$604,BW435,'Content Calendar'!$X$5:$X$604,"&lt;&gt;Published"))</f>
        <v>0</v>
      </c>
      <c r="BZ435" s="23">
        <f>IF(BW435="","",COUNTIFS(Tasks!$C$5:$C$64,BW435,Tasks!$G$5:$G$64,"&lt;&gt;Complete"))</f>
        <v>0</v>
      </c>
      <c r="CA435" s="17">
        <f>IF(Campaigns!$B$435="","",Campaigns!$B$435)</f>
        <v>0</v>
      </c>
      <c r="CB435" s="25">
        <f>IF(Campaigns!$T$435="","",Campaigns!$T$435)</f>
        <v>0</v>
      </c>
      <c r="CC435" s="25">
        <f>IF(Campaigns!$Q$435="","",Campaigns!$Q$435)</f>
        <v>0</v>
      </c>
      <c r="CD435" s="23">
        <f>IF(Campaigns!$Y$435="","",Campaigns!$Y$435)</f>
        <v>0</v>
      </c>
      <c r="CE435" s="32">
        <f>IF(CA435="","",IF(N(CB435)&lt;=0,"",N(CB435)+ROW()/1000000))</f>
        <v>0</v>
      </c>
      <c r="CF435" s="17">
        <f>IF(Accounts!$C$435="","",Accounts!$C$435)</f>
        <v>0</v>
      </c>
      <c r="CG435" s="17">
        <f>IF(Accounts!$B$435="","",Accounts!$B$435)</f>
        <v>0</v>
      </c>
      <c r="CH435" s="23">
        <f>IF(Accounts!$J$435="","",Accounts!$J$435)</f>
        <v>0</v>
      </c>
      <c r="CI435" s="23">
        <f>IF(CF435="","",SUMIFS(Analytics!$X$5:$X$154,Analytics!$E$5:$E$154,CF435,Analytics!$B$5:$B$154,"&gt;="&amp;DashStart,Analytics!$B$5:$B$154,"&lt;="&amp;DashEnd))</f>
        <v>0</v>
      </c>
      <c r="CJ435" s="32">
        <f>IF(CH435="","",IF(CH435=0,"",CH435+ROW()/1000000))</f>
        <v>0</v>
      </c>
    </row>
    <row r="436" spans="1:88">
      <c r="A436" s="16">
        <f>IF(ROW()-4&gt;12,"",DATE(PlanYear,ROW()-4,1))</f>
        <v>0</v>
      </c>
      <c r="B436" s="16">
        <f>IF(A436="","",EOMONTH(A436,0))</f>
        <v>0</v>
      </c>
      <c r="C436" s="17">
        <f>IF(A436="","",TEXT(A436,"yyyy-mm"))</f>
        <v>0</v>
      </c>
      <c r="D436" s="17">
        <f>IF(A436="","",TEXT(A436,"mmm"))</f>
        <v>0</v>
      </c>
      <c r="E436" s="23">
        <f>IF(C436="","",COUNTIFS('Content Calendar'!$D$5:$D$604,C436))</f>
        <v>0</v>
      </c>
      <c r="F436" s="23">
        <f>IF(C436="","",COUNTIFS('Content Calendar'!$D$5:$D$604,C436,'Content Calendar'!$X$5:$X$604,"Published"))</f>
        <v>0</v>
      </c>
      <c r="G436" s="23">
        <f>IF(C436="","",SUMIFS(Analytics!$J$5:$J$154,Analytics!$C$5:$C$154,C436))</f>
        <v>0</v>
      </c>
      <c r="H436" s="23">
        <f>IF(C436="","",SUMIFS(Analytics!$K$5:$K$154,Analytics!$C$5:$C$154,C436))</f>
        <v>0</v>
      </c>
      <c r="I436" s="23">
        <f>IF(C436="","",SUMIFS(Analytics!$L$5:$L$154,Analytics!$C$5:$C$154,C436))</f>
        <v>0</v>
      </c>
      <c r="J436" s="24">
        <f>IF(OR(G436="",G436=0),"",I436/G436)</f>
        <v>0</v>
      </c>
      <c r="K436" s="23">
        <f>IF(C436="","",SUMIFS(Analytics!$G$5:$G$154,Analytics!$C$5:$C$154,C436))</f>
        <v>0</v>
      </c>
      <c r="L436" s="23">
        <f>IF(C436="","",SUMIFS(Analytics!$X$5:$X$154,Analytics!$C$5:$C$154,C436))</f>
        <v>0</v>
      </c>
      <c r="M436" s="23">
        <f>IF(C436="","",SUMIFS(Analytics!$R$5:$R$154,Analytics!$C$5:$C$154,C436))</f>
        <v>0</v>
      </c>
      <c r="N436" s="23">
        <f>IF(C436="","",SUMIFS(Analytics!$S$5:$S$154,Analytics!$C$5:$C$154,C436))</f>
        <v>0</v>
      </c>
      <c r="O436" s="23">
        <f>IF(C436="","",SUMIFS(Analytics!$T$5:$T$154,Analytics!$C$5:$C$154,C436))</f>
        <v>0</v>
      </c>
      <c r="P436" s="25">
        <f>IF(C436="","",SUMIFS(Analytics!$U$5:$U$154,Analytics!$C$5:$C$154,C436))</f>
        <v>0</v>
      </c>
      <c r="Q436" s="25">
        <f>IF(C436="","",SUMIFS(Budget!$H$5:$H$64,Budget!$C$5:$C$64,C436))</f>
        <v>0</v>
      </c>
      <c r="R436" s="25">
        <f>IF(C436="","",P436-Q436)</f>
        <v>0</v>
      </c>
      <c r="S436" s="23">
        <f>IF(C436="","",MonthlyPostTarget)</f>
        <v>0</v>
      </c>
      <c r="T436" s="17">
        <f>IF(Lists!$C436="","",Lists!$C436)</f>
        <v>0</v>
      </c>
      <c r="U436" s="23">
        <f>IF(T436="","",COUNTIFS('Content Calendar'!$G$5:$G$604,T436,'Content Calendar'!$B$5:$B$604,"&gt;="&amp;DashStart,'Content Calendar'!$B$5:$B$604,"&lt;="&amp;DashEnd))</f>
        <v>0</v>
      </c>
      <c r="V436" s="23">
        <f>IF(T436="","",COUNTIFS('Content Calendar'!$G$5:$G$604,T436,'Content Calendar'!$X$5:$X$604,"Published",'Content Calendar'!$B$5:$B$604,"&gt;="&amp;DashStart,'Content Calendar'!$B$5:$B$604,"&lt;="&amp;DashEnd))</f>
        <v>0</v>
      </c>
      <c r="W436" s="23">
        <f>IF(T436="","",SUMIFS(Analytics!$J$5:$J$154,Analytics!$D$5:$D$154,T436,Analytics!$B$5:$B$154,"&gt;="&amp;DashStart,Analytics!$B$5:$B$154,"&lt;="&amp;DashEnd))</f>
        <v>0</v>
      </c>
      <c r="X436" s="23">
        <f>IF(T436="","",SUMIFS(Analytics!$L$5:$L$154,Analytics!$D$5:$D$154,T436,Analytics!$B$5:$B$154,"&gt;="&amp;DashStart,Analytics!$B$5:$B$154,"&lt;="&amp;DashEnd))</f>
        <v>0</v>
      </c>
      <c r="Y436" s="24">
        <f>IF(OR(W436="",W436=0),"",X436/W436)</f>
        <v>0</v>
      </c>
      <c r="Z436" s="23">
        <f>IF(T436="","",SUMIFS(Analytics!$G$5:$G$154,Analytics!$D$5:$D$154,T436,Analytics!$B$5:$B$154,"&gt;="&amp;DashStart,Analytics!$B$5:$B$154,"&lt;="&amp;DashEnd))</f>
        <v>0</v>
      </c>
      <c r="AA436" s="23">
        <f>IF(T436="","",SUMIFS(Analytics!$X$5:$X$154,Analytics!$D$5:$D$154,T436,Analytics!$B$5:$B$154,"&gt;="&amp;DashStart,Analytics!$B$5:$B$154,"&lt;="&amp;DashEnd))</f>
        <v>0</v>
      </c>
      <c r="AB436" s="23">
        <f>IF(T436="","",SUMIFS(Analytics!$R$5:$R$154,Analytics!$D$5:$D$154,T436,Analytics!$B$5:$B$154,"&gt;="&amp;DashStart,Analytics!$B$5:$B$154,"&lt;="&amp;DashEnd))</f>
        <v>0</v>
      </c>
      <c r="AC436" s="25">
        <f>IF(T436="","",SUMIFS(Analytics!$U$5:$U$154,Analytics!$D$5:$D$154,T436,Analytics!$B$5:$B$154,"&gt;="&amp;DashStart,Analytics!$B$5:$B$154,"&lt;="&amp;DashEnd))</f>
        <v>0</v>
      </c>
      <c r="AD436" s="23">
        <f>IF(T436="","",COUNTIFS('Content Calendar'!$G$5:$G$604,T436,'Content Calendar'!$B$5:$B$604,"&gt;="&amp;DATE(PlanYear,1,1),'Content Calendar'!$B$5:$B$604,"&lt;="&amp;DATE(PlanYear,12,31)))</f>
        <v>0</v>
      </c>
      <c r="AE436" s="23">
        <f>IF(T436="","",SUMIFS(Analytics!$J$5:$J$154,Analytics!$D$5:$D$154,T436))</f>
        <v>0</v>
      </c>
      <c r="AF436" s="23">
        <f>IF(T436="","",SUMIFS(Analytics!$L$5:$L$154,Analytics!$D$5:$D$154,T436))</f>
        <v>0</v>
      </c>
      <c r="AG436" s="24">
        <f>IF(OR(AE436="",AE436=0),"",AF436/AE436)</f>
        <v>0</v>
      </c>
      <c r="AH436" s="23">
        <f>IF(T436="","",SUMIFS(Analytics!$X$5:$X$154,Analytics!$D$5:$D$154,T436))</f>
        <v>0</v>
      </c>
      <c r="AI436" s="32">
        <f>IF(T436="","",IF(AE436=0,"",AE436+ROW()/1000000))</f>
        <v>0</v>
      </c>
      <c r="AJ436" s="17">
        <f>IF('Content Pillars'!$B$436="","",'Content Pillars'!$B$436)</f>
        <v>0</v>
      </c>
      <c r="AK436" s="23">
        <f>IF(AJ436="","",COUNTIFS('Content Calendar'!$J$5:$J$604,AJ436,'Content Calendar'!$B$5:$B$604,"&gt;="&amp;DATE(PlanYear,1,1),'Content Calendar'!$B$5:$B$604,"&lt;="&amp;DATE(PlanYear,12,31)))</f>
        <v>0</v>
      </c>
      <c r="AL436" s="23">
        <f>IF(AJ436="","",SUMIFS(Performance!$O$5:$O$404,Performance!$H$5:$H$404,AJ436))</f>
        <v>0</v>
      </c>
      <c r="AM436" s="23">
        <f>IF(AJ436="","",SUMIFS(Performance!$Z$5:$Z$404,Performance!$H$5:$H$404,AJ436))</f>
        <v>0</v>
      </c>
      <c r="AN436" s="24">
        <f>IF(OR(AL436="",AL436=0),"",AM436/AL436)</f>
        <v>0</v>
      </c>
      <c r="AO436" s="32">
        <f>IF(AN436="","",AN436+ROW()/1000000)</f>
        <v>0</v>
      </c>
      <c r="AP436" s="17">
        <f>IF(Lists!$E436="","",Lists!$E436)</f>
        <v>0</v>
      </c>
      <c r="AQ436" s="23">
        <f>IF(AP436="","",COUNTIF(Performance!$G$5:$G$404,AP436))</f>
        <v>0</v>
      </c>
      <c r="AR436" s="23">
        <f>IF(AP436="","",SUMIFS(Performance!$O$5:$O$404,Performance!$G$5:$G$404,AP436))</f>
        <v>0</v>
      </c>
      <c r="AS436" s="23">
        <f>IF(AP436="","",SUMIFS(Performance!$Z$5:$Z$404,Performance!$G$5:$G$404,AP436))</f>
        <v>0</v>
      </c>
      <c r="AT436" s="24">
        <f>IF(OR(AR436="",AR436=0),"",AS436/AR436)</f>
        <v>0</v>
      </c>
      <c r="AU436" s="32">
        <f>IF(AQ436=0,"",IF(AT436="","",AT436+ROW()/1000000))</f>
        <v>0</v>
      </c>
      <c r="AV436" s="17">
        <f>IF(ROW()-4&gt;7,"",TEXT(DATE(2024,1,ROW()-4),"ddd"))</f>
        <v>0</v>
      </c>
      <c r="AW436" s="23">
        <f>IF(AV436="","",COUNTIF(Performance!$N$5:$N$404,AV436))</f>
        <v>0</v>
      </c>
      <c r="AX436" s="23">
        <f>IF(AV436="","",SUMIFS(Performance!$O$5:$O$404,Performance!$N$5:$N$404,AV436))</f>
        <v>0</v>
      </c>
      <c r="AY436" s="23">
        <f>IF(AV436="","",SUMIFS(Performance!$Z$5:$Z$404,Performance!$N$5:$N$404,AV436))</f>
        <v>0</v>
      </c>
      <c r="AZ436" s="24">
        <f>IF(OR(AX436="",AX436=0),"",AY436/AX436)</f>
        <v>0</v>
      </c>
      <c r="BA436" s="32">
        <f>IF(AW436=0,"",IF(AZ436="","",AZ436+ROW()/1000000))</f>
        <v>0</v>
      </c>
      <c r="BB436" s="17">
        <f>IF(Lists!$AL436="","",Lists!$AL436)</f>
        <v>0</v>
      </c>
      <c r="BC436" s="23">
        <f>IF(BB436="","",COUNTIF(Performance!$M$5:$M$404,BB436))</f>
        <v>0</v>
      </c>
      <c r="BD436" s="23">
        <f>IF(BB436="","",SUMIFS(Performance!$O$5:$O$404,Performance!$M$5:$M$404,BB436))</f>
        <v>0</v>
      </c>
      <c r="BE436" s="23">
        <f>IF(BB436="","",SUMIFS(Performance!$Z$5:$Z$404,Performance!$M$5:$M$404,BB436))</f>
        <v>0</v>
      </c>
      <c r="BF436" s="24">
        <f>IF(OR(BD436="",BD436=0),"",BE436/BD436)</f>
        <v>0</v>
      </c>
      <c r="BG436" s="32">
        <f>IF(BC436=0,"",IF(BF436="","",BF436+ROW()/1000000))</f>
        <v>0</v>
      </c>
      <c r="BH436" s="17">
        <f>IF(Performance!$C$436="","",Performance!$C$436)</f>
        <v>0</v>
      </c>
      <c r="BI436" s="17">
        <f>IF(Performance!$F$436="","",Performance!$F$436)</f>
        <v>0</v>
      </c>
      <c r="BJ436" s="17">
        <f>IF(Performance!$H$436="","",Performance!$H$436)</f>
        <v>0</v>
      </c>
      <c r="BK436" s="16">
        <f>IF(Performance!$D$436="","",Performance!$D$436)</f>
        <v>0</v>
      </c>
      <c r="BL436" s="17">
        <f>IF(Performance!$E$436="","",Performance!$E$436)</f>
        <v>0</v>
      </c>
      <c r="BM436" s="23">
        <f>IF(Performance!$O$436="","",Performance!$O$436)</f>
        <v>0</v>
      </c>
      <c r="BN436" s="24">
        <f>IF(Performance!$AA$436="","",Performance!$AA$436)</f>
        <v>0</v>
      </c>
      <c r="BO436" s="32">
        <f>IF(BH436="","",IF(BK436="","",IF(OR(BK436&lt;DashStart,BK436&gt;DashEnd),"",IF(BN436="","",BN436+ROW()/1000000))))</f>
        <v>0</v>
      </c>
      <c r="BP436" s="32">
        <f>IF(BM436="","",IF(BK436="","",IF(OR(BK436&lt;DashStart,BK436&gt;DashEnd),"",BM436+ROW()/1000000)))</f>
        <v>0</v>
      </c>
      <c r="BQ436" s="32">
        <f>IF(BH436="","",IF(BK436="","",IF(YEAR(BK436)&lt;&gt;PlanYear,"",IF(BN436="","",BN436+ROW()/1000000))))</f>
        <v>0</v>
      </c>
      <c r="BR436" s="32">
        <f>IF(BH436="","",IF(BK436="","",IF(OR(BK436&lt;RepFrom,BK436&gt;RepTo),"",IF(BN436="","",BN436+ROW()/1000000))))</f>
        <v>0</v>
      </c>
      <c r="BS436" s="32">
        <f>IF(BM436="","",IF(BK436="","",IF(YEAR(BK436)&lt;&gt;PlanYear,"",BM436+ROW()/1000000)))</f>
        <v>0</v>
      </c>
      <c r="BT436" s="17">
        <f>IF(Lists!$F436="","",Lists!$F436)</f>
        <v>0</v>
      </c>
      <c r="BU436" s="23">
        <f>IF(BT436="","",COUNTIF('Content Calendar'!$X$5:$X$604,BT436))</f>
        <v>0</v>
      </c>
      <c r="BV436" s="23">
        <f>IF(BT436="","",COUNTIFS('Content Calendar'!$X$5:$X$604,BT436,'Content Calendar'!$B$5:$B$604,"&gt;="&amp;DashStart,'Content Calendar'!$B$5:$B$604,"&lt;="&amp;DashEnd))</f>
        <v>0</v>
      </c>
      <c r="BW436" s="17">
        <f>IF(Team!$B$436="","",Team!$B$436)</f>
        <v>0</v>
      </c>
      <c r="BX436" s="23">
        <f>IF(BW436="","",COUNTIF('Content Calendar'!$W$5:$W$604,BW436))</f>
        <v>0</v>
      </c>
      <c r="BY436" s="23">
        <f>IF(BW436="","",COUNTIFS('Content Calendar'!$W$5:$W$604,BW436,'Content Calendar'!$X$5:$X$604,"&lt;&gt;Published"))</f>
        <v>0</v>
      </c>
      <c r="BZ436" s="23">
        <f>IF(BW436="","",COUNTIFS(Tasks!$C$5:$C$64,BW436,Tasks!$G$5:$G$64,"&lt;&gt;Complete"))</f>
        <v>0</v>
      </c>
      <c r="CA436" s="17">
        <f>IF(Campaigns!$B$436="","",Campaigns!$B$436)</f>
        <v>0</v>
      </c>
      <c r="CB436" s="25">
        <f>IF(Campaigns!$T$436="","",Campaigns!$T$436)</f>
        <v>0</v>
      </c>
      <c r="CC436" s="25">
        <f>IF(Campaigns!$Q$436="","",Campaigns!$Q$436)</f>
        <v>0</v>
      </c>
      <c r="CD436" s="23">
        <f>IF(Campaigns!$Y$436="","",Campaigns!$Y$436)</f>
        <v>0</v>
      </c>
      <c r="CE436" s="32">
        <f>IF(CA436="","",IF(N(CB436)&lt;=0,"",N(CB436)+ROW()/1000000))</f>
        <v>0</v>
      </c>
      <c r="CF436" s="17">
        <f>IF(Accounts!$C$436="","",Accounts!$C$436)</f>
        <v>0</v>
      </c>
      <c r="CG436" s="17">
        <f>IF(Accounts!$B$436="","",Accounts!$B$436)</f>
        <v>0</v>
      </c>
      <c r="CH436" s="23">
        <f>IF(Accounts!$J$436="","",Accounts!$J$436)</f>
        <v>0</v>
      </c>
      <c r="CI436" s="23">
        <f>IF(CF436="","",SUMIFS(Analytics!$X$5:$X$154,Analytics!$E$5:$E$154,CF436,Analytics!$B$5:$B$154,"&gt;="&amp;DashStart,Analytics!$B$5:$B$154,"&lt;="&amp;DashEnd))</f>
        <v>0</v>
      </c>
      <c r="CJ436" s="32">
        <f>IF(CH436="","",IF(CH436=0,"",CH436+ROW()/1000000))</f>
        <v>0</v>
      </c>
    </row>
    <row r="437" spans="1:88">
      <c r="A437" s="16">
        <f>IF(ROW()-4&gt;12,"",DATE(PlanYear,ROW()-4,1))</f>
        <v>0</v>
      </c>
      <c r="B437" s="16">
        <f>IF(A437="","",EOMONTH(A437,0))</f>
        <v>0</v>
      </c>
      <c r="C437" s="17">
        <f>IF(A437="","",TEXT(A437,"yyyy-mm"))</f>
        <v>0</v>
      </c>
      <c r="D437" s="17">
        <f>IF(A437="","",TEXT(A437,"mmm"))</f>
        <v>0</v>
      </c>
      <c r="E437" s="23">
        <f>IF(C437="","",COUNTIFS('Content Calendar'!$D$5:$D$604,C437))</f>
        <v>0</v>
      </c>
      <c r="F437" s="23">
        <f>IF(C437="","",COUNTIFS('Content Calendar'!$D$5:$D$604,C437,'Content Calendar'!$X$5:$X$604,"Published"))</f>
        <v>0</v>
      </c>
      <c r="G437" s="23">
        <f>IF(C437="","",SUMIFS(Analytics!$J$5:$J$154,Analytics!$C$5:$C$154,C437))</f>
        <v>0</v>
      </c>
      <c r="H437" s="23">
        <f>IF(C437="","",SUMIFS(Analytics!$K$5:$K$154,Analytics!$C$5:$C$154,C437))</f>
        <v>0</v>
      </c>
      <c r="I437" s="23">
        <f>IF(C437="","",SUMIFS(Analytics!$L$5:$L$154,Analytics!$C$5:$C$154,C437))</f>
        <v>0</v>
      </c>
      <c r="J437" s="24">
        <f>IF(OR(G437="",G437=0),"",I437/G437)</f>
        <v>0</v>
      </c>
      <c r="K437" s="23">
        <f>IF(C437="","",SUMIFS(Analytics!$G$5:$G$154,Analytics!$C$5:$C$154,C437))</f>
        <v>0</v>
      </c>
      <c r="L437" s="23">
        <f>IF(C437="","",SUMIFS(Analytics!$X$5:$X$154,Analytics!$C$5:$C$154,C437))</f>
        <v>0</v>
      </c>
      <c r="M437" s="23">
        <f>IF(C437="","",SUMIFS(Analytics!$R$5:$R$154,Analytics!$C$5:$C$154,C437))</f>
        <v>0</v>
      </c>
      <c r="N437" s="23">
        <f>IF(C437="","",SUMIFS(Analytics!$S$5:$S$154,Analytics!$C$5:$C$154,C437))</f>
        <v>0</v>
      </c>
      <c r="O437" s="23">
        <f>IF(C437="","",SUMIFS(Analytics!$T$5:$T$154,Analytics!$C$5:$C$154,C437))</f>
        <v>0</v>
      </c>
      <c r="P437" s="25">
        <f>IF(C437="","",SUMIFS(Analytics!$U$5:$U$154,Analytics!$C$5:$C$154,C437))</f>
        <v>0</v>
      </c>
      <c r="Q437" s="25">
        <f>IF(C437="","",SUMIFS(Budget!$H$5:$H$64,Budget!$C$5:$C$64,C437))</f>
        <v>0</v>
      </c>
      <c r="R437" s="25">
        <f>IF(C437="","",P437-Q437)</f>
        <v>0</v>
      </c>
      <c r="S437" s="23">
        <f>IF(C437="","",MonthlyPostTarget)</f>
        <v>0</v>
      </c>
      <c r="T437" s="17">
        <f>IF(Lists!$C437="","",Lists!$C437)</f>
        <v>0</v>
      </c>
      <c r="U437" s="23">
        <f>IF(T437="","",COUNTIFS('Content Calendar'!$G$5:$G$604,T437,'Content Calendar'!$B$5:$B$604,"&gt;="&amp;DashStart,'Content Calendar'!$B$5:$B$604,"&lt;="&amp;DashEnd))</f>
        <v>0</v>
      </c>
      <c r="V437" s="23">
        <f>IF(T437="","",COUNTIFS('Content Calendar'!$G$5:$G$604,T437,'Content Calendar'!$X$5:$X$604,"Published",'Content Calendar'!$B$5:$B$604,"&gt;="&amp;DashStart,'Content Calendar'!$B$5:$B$604,"&lt;="&amp;DashEnd))</f>
        <v>0</v>
      </c>
      <c r="W437" s="23">
        <f>IF(T437="","",SUMIFS(Analytics!$J$5:$J$154,Analytics!$D$5:$D$154,T437,Analytics!$B$5:$B$154,"&gt;="&amp;DashStart,Analytics!$B$5:$B$154,"&lt;="&amp;DashEnd))</f>
        <v>0</v>
      </c>
      <c r="X437" s="23">
        <f>IF(T437="","",SUMIFS(Analytics!$L$5:$L$154,Analytics!$D$5:$D$154,T437,Analytics!$B$5:$B$154,"&gt;="&amp;DashStart,Analytics!$B$5:$B$154,"&lt;="&amp;DashEnd))</f>
        <v>0</v>
      </c>
      <c r="Y437" s="24">
        <f>IF(OR(W437="",W437=0),"",X437/W437)</f>
        <v>0</v>
      </c>
      <c r="Z437" s="23">
        <f>IF(T437="","",SUMIFS(Analytics!$G$5:$G$154,Analytics!$D$5:$D$154,T437,Analytics!$B$5:$B$154,"&gt;="&amp;DashStart,Analytics!$B$5:$B$154,"&lt;="&amp;DashEnd))</f>
        <v>0</v>
      </c>
      <c r="AA437" s="23">
        <f>IF(T437="","",SUMIFS(Analytics!$X$5:$X$154,Analytics!$D$5:$D$154,T437,Analytics!$B$5:$B$154,"&gt;="&amp;DashStart,Analytics!$B$5:$B$154,"&lt;="&amp;DashEnd))</f>
        <v>0</v>
      </c>
      <c r="AB437" s="23">
        <f>IF(T437="","",SUMIFS(Analytics!$R$5:$R$154,Analytics!$D$5:$D$154,T437,Analytics!$B$5:$B$154,"&gt;="&amp;DashStart,Analytics!$B$5:$B$154,"&lt;="&amp;DashEnd))</f>
        <v>0</v>
      </c>
      <c r="AC437" s="25">
        <f>IF(T437="","",SUMIFS(Analytics!$U$5:$U$154,Analytics!$D$5:$D$154,T437,Analytics!$B$5:$B$154,"&gt;="&amp;DashStart,Analytics!$B$5:$B$154,"&lt;="&amp;DashEnd))</f>
        <v>0</v>
      </c>
      <c r="AD437" s="23">
        <f>IF(T437="","",COUNTIFS('Content Calendar'!$G$5:$G$604,T437,'Content Calendar'!$B$5:$B$604,"&gt;="&amp;DATE(PlanYear,1,1),'Content Calendar'!$B$5:$B$604,"&lt;="&amp;DATE(PlanYear,12,31)))</f>
        <v>0</v>
      </c>
      <c r="AE437" s="23">
        <f>IF(T437="","",SUMIFS(Analytics!$J$5:$J$154,Analytics!$D$5:$D$154,T437))</f>
        <v>0</v>
      </c>
      <c r="AF437" s="23">
        <f>IF(T437="","",SUMIFS(Analytics!$L$5:$L$154,Analytics!$D$5:$D$154,T437))</f>
        <v>0</v>
      </c>
      <c r="AG437" s="24">
        <f>IF(OR(AE437="",AE437=0),"",AF437/AE437)</f>
        <v>0</v>
      </c>
      <c r="AH437" s="23">
        <f>IF(T437="","",SUMIFS(Analytics!$X$5:$X$154,Analytics!$D$5:$D$154,T437))</f>
        <v>0</v>
      </c>
      <c r="AI437" s="32">
        <f>IF(T437="","",IF(AE437=0,"",AE437+ROW()/1000000))</f>
        <v>0</v>
      </c>
      <c r="AJ437" s="17">
        <f>IF('Content Pillars'!$B$437="","",'Content Pillars'!$B$437)</f>
        <v>0</v>
      </c>
      <c r="AK437" s="23">
        <f>IF(AJ437="","",COUNTIFS('Content Calendar'!$J$5:$J$604,AJ437,'Content Calendar'!$B$5:$B$604,"&gt;="&amp;DATE(PlanYear,1,1),'Content Calendar'!$B$5:$B$604,"&lt;="&amp;DATE(PlanYear,12,31)))</f>
        <v>0</v>
      </c>
      <c r="AL437" s="23">
        <f>IF(AJ437="","",SUMIFS(Performance!$O$5:$O$404,Performance!$H$5:$H$404,AJ437))</f>
        <v>0</v>
      </c>
      <c r="AM437" s="23">
        <f>IF(AJ437="","",SUMIFS(Performance!$Z$5:$Z$404,Performance!$H$5:$H$404,AJ437))</f>
        <v>0</v>
      </c>
      <c r="AN437" s="24">
        <f>IF(OR(AL437="",AL437=0),"",AM437/AL437)</f>
        <v>0</v>
      </c>
      <c r="AO437" s="32">
        <f>IF(AN437="","",AN437+ROW()/1000000)</f>
        <v>0</v>
      </c>
      <c r="AP437" s="17">
        <f>IF(Lists!$E437="","",Lists!$E437)</f>
        <v>0</v>
      </c>
      <c r="AQ437" s="23">
        <f>IF(AP437="","",COUNTIF(Performance!$G$5:$G$404,AP437))</f>
        <v>0</v>
      </c>
      <c r="AR437" s="23">
        <f>IF(AP437="","",SUMIFS(Performance!$O$5:$O$404,Performance!$G$5:$G$404,AP437))</f>
        <v>0</v>
      </c>
      <c r="AS437" s="23">
        <f>IF(AP437="","",SUMIFS(Performance!$Z$5:$Z$404,Performance!$G$5:$G$404,AP437))</f>
        <v>0</v>
      </c>
      <c r="AT437" s="24">
        <f>IF(OR(AR437="",AR437=0),"",AS437/AR437)</f>
        <v>0</v>
      </c>
      <c r="AU437" s="32">
        <f>IF(AQ437=0,"",IF(AT437="","",AT437+ROW()/1000000))</f>
        <v>0</v>
      </c>
      <c r="AV437" s="17">
        <f>IF(ROW()-4&gt;7,"",TEXT(DATE(2024,1,ROW()-4),"ddd"))</f>
        <v>0</v>
      </c>
      <c r="AW437" s="23">
        <f>IF(AV437="","",COUNTIF(Performance!$N$5:$N$404,AV437))</f>
        <v>0</v>
      </c>
      <c r="AX437" s="23">
        <f>IF(AV437="","",SUMIFS(Performance!$O$5:$O$404,Performance!$N$5:$N$404,AV437))</f>
        <v>0</v>
      </c>
      <c r="AY437" s="23">
        <f>IF(AV437="","",SUMIFS(Performance!$Z$5:$Z$404,Performance!$N$5:$N$404,AV437))</f>
        <v>0</v>
      </c>
      <c r="AZ437" s="24">
        <f>IF(OR(AX437="",AX437=0),"",AY437/AX437)</f>
        <v>0</v>
      </c>
      <c r="BA437" s="32">
        <f>IF(AW437=0,"",IF(AZ437="","",AZ437+ROW()/1000000))</f>
        <v>0</v>
      </c>
      <c r="BB437" s="17">
        <f>IF(Lists!$AL437="","",Lists!$AL437)</f>
        <v>0</v>
      </c>
      <c r="BC437" s="23">
        <f>IF(BB437="","",COUNTIF(Performance!$M$5:$M$404,BB437))</f>
        <v>0</v>
      </c>
      <c r="BD437" s="23">
        <f>IF(BB437="","",SUMIFS(Performance!$O$5:$O$404,Performance!$M$5:$M$404,BB437))</f>
        <v>0</v>
      </c>
      <c r="BE437" s="23">
        <f>IF(BB437="","",SUMIFS(Performance!$Z$5:$Z$404,Performance!$M$5:$M$404,BB437))</f>
        <v>0</v>
      </c>
      <c r="BF437" s="24">
        <f>IF(OR(BD437="",BD437=0),"",BE437/BD437)</f>
        <v>0</v>
      </c>
      <c r="BG437" s="32">
        <f>IF(BC437=0,"",IF(BF437="","",BF437+ROW()/1000000))</f>
        <v>0</v>
      </c>
      <c r="BH437" s="17">
        <f>IF(Performance!$C$437="","",Performance!$C$437)</f>
        <v>0</v>
      </c>
      <c r="BI437" s="17">
        <f>IF(Performance!$F$437="","",Performance!$F$437)</f>
        <v>0</v>
      </c>
      <c r="BJ437" s="17">
        <f>IF(Performance!$H$437="","",Performance!$H$437)</f>
        <v>0</v>
      </c>
      <c r="BK437" s="16">
        <f>IF(Performance!$D$437="","",Performance!$D$437)</f>
        <v>0</v>
      </c>
      <c r="BL437" s="17">
        <f>IF(Performance!$E$437="","",Performance!$E$437)</f>
        <v>0</v>
      </c>
      <c r="BM437" s="23">
        <f>IF(Performance!$O$437="","",Performance!$O$437)</f>
        <v>0</v>
      </c>
      <c r="BN437" s="24">
        <f>IF(Performance!$AA$437="","",Performance!$AA$437)</f>
        <v>0</v>
      </c>
      <c r="BO437" s="32">
        <f>IF(BH437="","",IF(BK437="","",IF(OR(BK437&lt;DashStart,BK437&gt;DashEnd),"",IF(BN437="","",BN437+ROW()/1000000))))</f>
        <v>0</v>
      </c>
      <c r="BP437" s="32">
        <f>IF(BM437="","",IF(BK437="","",IF(OR(BK437&lt;DashStart,BK437&gt;DashEnd),"",BM437+ROW()/1000000)))</f>
        <v>0</v>
      </c>
      <c r="BQ437" s="32">
        <f>IF(BH437="","",IF(BK437="","",IF(YEAR(BK437)&lt;&gt;PlanYear,"",IF(BN437="","",BN437+ROW()/1000000))))</f>
        <v>0</v>
      </c>
      <c r="BR437" s="32">
        <f>IF(BH437="","",IF(BK437="","",IF(OR(BK437&lt;RepFrom,BK437&gt;RepTo),"",IF(BN437="","",BN437+ROW()/1000000))))</f>
        <v>0</v>
      </c>
      <c r="BS437" s="32">
        <f>IF(BM437="","",IF(BK437="","",IF(YEAR(BK437)&lt;&gt;PlanYear,"",BM437+ROW()/1000000)))</f>
        <v>0</v>
      </c>
      <c r="BT437" s="17">
        <f>IF(Lists!$F437="","",Lists!$F437)</f>
        <v>0</v>
      </c>
      <c r="BU437" s="23">
        <f>IF(BT437="","",COUNTIF('Content Calendar'!$X$5:$X$604,BT437))</f>
        <v>0</v>
      </c>
      <c r="BV437" s="23">
        <f>IF(BT437="","",COUNTIFS('Content Calendar'!$X$5:$X$604,BT437,'Content Calendar'!$B$5:$B$604,"&gt;="&amp;DashStart,'Content Calendar'!$B$5:$B$604,"&lt;="&amp;DashEnd))</f>
        <v>0</v>
      </c>
      <c r="BW437" s="17">
        <f>IF(Team!$B$437="","",Team!$B$437)</f>
        <v>0</v>
      </c>
      <c r="BX437" s="23">
        <f>IF(BW437="","",COUNTIF('Content Calendar'!$W$5:$W$604,BW437))</f>
        <v>0</v>
      </c>
      <c r="BY437" s="23">
        <f>IF(BW437="","",COUNTIFS('Content Calendar'!$W$5:$W$604,BW437,'Content Calendar'!$X$5:$X$604,"&lt;&gt;Published"))</f>
        <v>0</v>
      </c>
      <c r="BZ437" s="23">
        <f>IF(BW437="","",COUNTIFS(Tasks!$C$5:$C$64,BW437,Tasks!$G$5:$G$64,"&lt;&gt;Complete"))</f>
        <v>0</v>
      </c>
      <c r="CA437" s="17">
        <f>IF(Campaigns!$B$437="","",Campaigns!$B$437)</f>
        <v>0</v>
      </c>
      <c r="CB437" s="25">
        <f>IF(Campaigns!$T$437="","",Campaigns!$T$437)</f>
        <v>0</v>
      </c>
      <c r="CC437" s="25">
        <f>IF(Campaigns!$Q$437="","",Campaigns!$Q$437)</f>
        <v>0</v>
      </c>
      <c r="CD437" s="23">
        <f>IF(Campaigns!$Y$437="","",Campaigns!$Y$437)</f>
        <v>0</v>
      </c>
      <c r="CE437" s="32">
        <f>IF(CA437="","",IF(N(CB437)&lt;=0,"",N(CB437)+ROW()/1000000))</f>
        <v>0</v>
      </c>
      <c r="CF437" s="17">
        <f>IF(Accounts!$C$437="","",Accounts!$C$437)</f>
        <v>0</v>
      </c>
      <c r="CG437" s="17">
        <f>IF(Accounts!$B$437="","",Accounts!$B$437)</f>
        <v>0</v>
      </c>
      <c r="CH437" s="23">
        <f>IF(Accounts!$J$437="","",Accounts!$J$437)</f>
        <v>0</v>
      </c>
      <c r="CI437" s="23">
        <f>IF(CF437="","",SUMIFS(Analytics!$X$5:$X$154,Analytics!$E$5:$E$154,CF437,Analytics!$B$5:$B$154,"&gt;="&amp;DashStart,Analytics!$B$5:$B$154,"&lt;="&amp;DashEnd))</f>
        <v>0</v>
      </c>
      <c r="CJ437" s="32">
        <f>IF(CH437="","",IF(CH437=0,"",CH437+ROW()/1000000))</f>
        <v>0</v>
      </c>
    </row>
    <row r="438" spans="1:88">
      <c r="A438" s="16">
        <f>IF(ROW()-4&gt;12,"",DATE(PlanYear,ROW()-4,1))</f>
        <v>0</v>
      </c>
      <c r="B438" s="16">
        <f>IF(A438="","",EOMONTH(A438,0))</f>
        <v>0</v>
      </c>
      <c r="C438" s="17">
        <f>IF(A438="","",TEXT(A438,"yyyy-mm"))</f>
        <v>0</v>
      </c>
      <c r="D438" s="17">
        <f>IF(A438="","",TEXT(A438,"mmm"))</f>
        <v>0</v>
      </c>
      <c r="E438" s="23">
        <f>IF(C438="","",COUNTIFS('Content Calendar'!$D$5:$D$604,C438))</f>
        <v>0</v>
      </c>
      <c r="F438" s="23">
        <f>IF(C438="","",COUNTIFS('Content Calendar'!$D$5:$D$604,C438,'Content Calendar'!$X$5:$X$604,"Published"))</f>
        <v>0</v>
      </c>
      <c r="G438" s="23">
        <f>IF(C438="","",SUMIFS(Analytics!$J$5:$J$154,Analytics!$C$5:$C$154,C438))</f>
        <v>0</v>
      </c>
      <c r="H438" s="23">
        <f>IF(C438="","",SUMIFS(Analytics!$K$5:$K$154,Analytics!$C$5:$C$154,C438))</f>
        <v>0</v>
      </c>
      <c r="I438" s="23">
        <f>IF(C438="","",SUMIFS(Analytics!$L$5:$L$154,Analytics!$C$5:$C$154,C438))</f>
        <v>0</v>
      </c>
      <c r="J438" s="24">
        <f>IF(OR(G438="",G438=0),"",I438/G438)</f>
        <v>0</v>
      </c>
      <c r="K438" s="23">
        <f>IF(C438="","",SUMIFS(Analytics!$G$5:$G$154,Analytics!$C$5:$C$154,C438))</f>
        <v>0</v>
      </c>
      <c r="L438" s="23">
        <f>IF(C438="","",SUMIFS(Analytics!$X$5:$X$154,Analytics!$C$5:$C$154,C438))</f>
        <v>0</v>
      </c>
      <c r="M438" s="23">
        <f>IF(C438="","",SUMIFS(Analytics!$R$5:$R$154,Analytics!$C$5:$C$154,C438))</f>
        <v>0</v>
      </c>
      <c r="N438" s="23">
        <f>IF(C438="","",SUMIFS(Analytics!$S$5:$S$154,Analytics!$C$5:$C$154,C438))</f>
        <v>0</v>
      </c>
      <c r="O438" s="23">
        <f>IF(C438="","",SUMIFS(Analytics!$T$5:$T$154,Analytics!$C$5:$C$154,C438))</f>
        <v>0</v>
      </c>
      <c r="P438" s="25">
        <f>IF(C438="","",SUMIFS(Analytics!$U$5:$U$154,Analytics!$C$5:$C$154,C438))</f>
        <v>0</v>
      </c>
      <c r="Q438" s="25">
        <f>IF(C438="","",SUMIFS(Budget!$H$5:$H$64,Budget!$C$5:$C$64,C438))</f>
        <v>0</v>
      </c>
      <c r="R438" s="25">
        <f>IF(C438="","",P438-Q438)</f>
        <v>0</v>
      </c>
      <c r="S438" s="23">
        <f>IF(C438="","",MonthlyPostTarget)</f>
        <v>0</v>
      </c>
      <c r="T438" s="17">
        <f>IF(Lists!$C438="","",Lists!$C438)</f>
        <v>0</v>
      </c>
      <c r="U438" s="23">
        <f>IF(T438="","",COUNTIFS('Content Calendar'!$G$5:$G$604,T438,'Content Calendar'!$B$5:$B$604,"&gt;="&amp;DashStart,'Content Calendar'!$B$5:$B$604,"&lt;="&amp;DashEnd))</f>
        <v>0</v>
      </c>
      <c r="V438" s="23">
        <f>IF(T438="","",COUNTIFS('Content Calendar'!$G$5:$G$604,T438,'Content Calendar'!$X$5:$X$604,"Published",'Content Calendar'!$B$5:$B$604,"&gt;="&amp;DashStart,'Content Calendar'!$B$5:$B$604,"&lt;="&amp;DashEnd))</f>
        <v>0</v>
      </c>
      <c r="W438" s="23">
        <f>IF(T438="","",SUMIFS(Analytics!$J$5:$J$154,Analytics!$D$5:$D$154,T438,Analytics!$B$5:$B$154,"&gt;="&amp;DashStart,Analytics!$B$5:$B$154,"&lt;="&amp;DashEnd))</f>
        <v>0</v>
      </c>
      <c r="X438" s="23">
        <f>IF(T438="","",SUMIFS(Analytics!$L$5:$L$154,Analytics!$D$5:$D$154,T438,Analytics!$B$5:$B$154,"&gt;="&amp;DashStart,Analytics!$B$5:$B$154,"&lt;="&amp;DashEnd))</f>
        <v>0</v>
      </c>
      <c r="Y438" s="24">
        <f>IF(OR(W438="",W438=0),"",X438/W438)</f>
        <v>0</v>
      </c>
      <c r="Z438" s="23">
        <f>IF(T438="","",SUMIFS(Analytics!$G$5:$G$154,Analytics!$D$5:$D$154,T438,Analytics!$B$5:$B$154,"&gt;="&amp;DashStart,Analytics!$B$5:$B$154,"&lt;="&amp;DashEnd))</f>
        <v>0</v>
      </c>
      <c r="AA438" s="23">
        <f>IF(T438="","",SUMIFS(Analytics!$X$5:$X$154,Analytics!$D$5:$D$154,T438,Analytics!$B$5:$B$154,"&gt;="&amp;DashStart,Analytics!$B$5:$B$154,"&lt;="&amp;DashEnd))</f>
        <v>0</v>
      </c>
      <c r="AB438" s="23">
        <f>IF(T438="","",SUMIFS(Analytics!$R$5:$R$154,Analytics!$D$5:$D$154,T438,Analytics!$B$5:$B$154,"&gt;="&amp;DashStart,Analytics!$B$5:$B$154,"&lt;="&amp;DashEnd))</f>
        <v>0</v>
      </c>
      <c r="AC438" s="25">
        <f>IF(T438="","",SUMIFS(Analytics!$U$5:$U$154,Analytics!$D$5:$D$154,T438,Analytics!$B$5:$B$154,"&gt;="&amp;DashStart,Analytics!$B$5:$B$154,"&lt;="&amp;DashEnd))</f>
        <v>0</v>
      </c>
      <c r="AD438" s="23">
        <f>IF(T438="","",COUNTIFS('Content Calendar'!$G$5:$G$604,T438,'Content Calendar'!$B$5:$B$604,"&gt;="&amp;DATE(PlanYear,1,1),'Content Calendar'!$B$5:$B$604,"&lt;="&amp;DATE(PlanYear,12,31)))</f>
        <v>0</v>
      </c>
      <c r="AE438" s="23">
        <f>IF(T438="","",SUMIFS(Analytics!$J$5:$J$154,Analytics!$D$5:$D$154,T438))</f>
        <v>0</v>
      </c>
      <c r="AF438" s="23">
        <f>IF(T438="","",SUMIFS(Analytics!$L$5:$L$154,Analytics!$D$5:$D$154,T438))</f>
        <v>0</v>
      </c>
      <c r="AG438" s="24">
        <f>IF(OR(AE438="",AE438=0),"",AF438/AE438)</f>
        <v>0</v>
      </c>
      <c r="AH438" s="23">
        <f>IF(T438="","",SUMIFS(Analytics!$X$5:$X$154,Analytics!$D$5:$D$154,T438))</f>
        <v>0</v>
      </c>
      <c r="AI438" s="32">
        <f>IF(T438="","",IF(AE438=0,"",AE438+ROW()/1000000))</f>
        <v>0</v>
      </c>
      <c r="AJ438" s="17">
        <f>IF('Content Pillars'!$B$438="","",'Content Pillars'!$B$438)</f>
        <v>0</v>
      </c>
      <c r="AK438" s="23">
        <f>IF(AJ438="","",COUNTIFS('Content Calendar'!$J$5:$J$604,AJ438,'Content Calendar'!$B$5:$B$604,"&gt;="&amp;DATE(PlanYear,1,1),'Content Calendar'!$B$5:$B$604,"&lt;="&amp;DATE(PlanYear,12,31)))</f>
        <v>0</v>
      </c>
      <c r="AL438" s="23">
        <f>IF(AJ438="","",SUMIFS(Performance!$O$5:$O$404,Performance!$H$5:$H$404,AJ438))</f>
        <v>0</v>
      </c>
      <c r="AM438" s="23">
        <f>IF(AJ438="","",SUMIFS(Performance!$Z$5:$Z$404,Performance!$H$5:$H$404,AJ438))</f>
        <v>0</v>
      </c>
      <c r="AN438" s="24">
        <f>IF(OR(AL438="",AL438=0),"",AM438/AL438)</f>
        <v>0</v>
      </c>
      <c r="AO438" s="32">
        <f>IF(AN438="","",AN438+ROW()/1000000)</f>
        <v>0</v>
      </c>
      <c r="AP438" s="17">
        <f>IF(Lists!$E438="","",Lists!$E438)</f>
        <v>0</v>
      </c>
      <c r="AQ438" s="23">
        <f>IF(AP438="","",COUNTIF(Performance!$G$5:$G$404,AP438))</f>
        <v>0</v>
      </c>
      <c r="AR438" s="23">
        <f>IF(AP438="","",SUMIFS(Performance!$O$5:$O$404,Performance!$G$5:$G$404,AP438))</f>
        <v>0</v>
      </c>
      <c r="AS438" s="23">
        <f>IF(AP438="","",SUMIFS(Performance!$Z$5:$Z$404,Performance!$G$5:$G$404,AP438))</f>
        <v>0</v>
      </c>
      <c r="AT438" s="24">
        <f>IF(OR(AR438="",AR438=0),"",AS438/AR438)</f>
        <v>0</v>
      </c>
      <c r="AU438" s="32">
        <f>IF(AQ438=0,"",IF(AT438="","",AT438+ROW()/1000000))</f>
        <v>0</v>
      </c>
      <c r="AV438" s="17">
        <f>IF(ROW()-4&gt;7,"",TEXT(DATE(2024,1,ROW()-4),"ddd"))</f>
        <v>0</v>
      </c>
      <c r="AW438" s="23">
        <f>IF(AV438="","",COUNTIF(Performance!$N$5:$N$404,AV438))</f>
        <v>0</v>
      </c>
      <c r="AX438" s="23">
        <f>IF(AV438="","",SUMIFS(Performance!$O$5:$O$404,Performance!$N$5:$N$404,AV438))</f>
        <v>0</v>
      </c>
      <c r="AY438" s="23">
        <f>IF(AV438="","",SUMIFS(Performance!$Z$5:$Z$404,Performance!$N$5:$N$404,AV438))</f>
        <v>0</v>
      </c>
      <c r="AZ438" s="24">
        <f>IF(OR(AX438="",AX438=0),"",AY438/AX438)</f>
        <v>0</v>
      </c>
      <c r="BA438" s="32">
        <f>IF(AW438=0,"",IF(AZ438="","",AZ438+ROW()/1000000))</f>
        <v>0</v>
      </c>
      <c r="BB438" s="17">
        <f>IF(Lists!$AL438="","",Lists!$AL438)</f>
        <v>0</v>
      </c>
      <c r="BC438" s="23">
        <f>IF(BB438="","",COUNTIF(Performance!$M$5:$M$404,BB438))</f>
        <v>0</v>
      </c>
      <c r="BD438" s="23">
        <f>IF(BB438="","",SUMIFS(Performance!$O$5:$O$404,Performance!$M$5:$M$404,BB438))</f>
        <v>0</v>
      </c>
      <c r="BE438" s="23">
        <f>IF(BB438="","",SUMIFS(Performance!$Z$5:$Z$404,Performance!$M$5:$M$404,BB438))</f>
        <v>0</v>
      </c>
      <c r="BF438" s="24">
        <f>IF(OR(BD438="",BD438=0),"",BE438/BD438)</f>
        <v>0</v>
      </c>
      <c r="BG438" s="32">
        <f>IF(BC438=0,"",IF(BF438="","",BF438+ROW()/1000000))</f>
        <v>0</v>
      </c>
      <c r="BH438" s="17">
        <f>IF(Performance!$C$438="","",Performance!$C$438)</f>
        <v>0</v>
      </c>
      <c r="BI438" s="17">
        <f>IF(Performance!$F$438="","",Performance!$F$438)</f>
        <v>0</v>
      </c>
      <c r="BJ438" s="17">
        <f>IF(Performance!$H$438="","",Performance!$H$438)</f>
        <v>0</v>
      </c>
      <c r="BK438" s="16">
        <f>IF(Performance!$D$438="","",Performance!$D$438)</f>
        <v>0</v>
      </c>
      <c r="BL438" s="17">
        <f>IF(Performance!$E$438="","",Performance!$E$438)</f>
        <v>0</v>
      </c>
      <c r="BM438" s="23">
        <f>IF(Performance!$O$438="","",Performance!$O$438)</f>
        <v>0</v>
      </c>
      <c r="BN438" s="24">
        <f>IF(Performance!$AA$438="","",Performance!$AA$438)</f>
        <v>0</v>
      </c>
      <c r="BO438" s="32">
        <f>IF(BH438="","",IF(BK438="","",IF(OR(BK438&lt;DashStart,BK438&gt;DashEnd),"",IF(BN438="","",BN438+ROW()/1000000))))</f>
        <v>0</v>
      </c>
      <c r="BP438" s="32">
        <f>IF(BM438="","",IF(BK438="","",IF(OR(BK438&lt;DashStart,BK438&gt;DashEnd),"",BM438+ROW()/1000000)))</f>
        <v>0</v>
      </c>
      <c r="BQ438" s="32">
        <f>IF(BH438="","",IF(BK438="","",IF(YEAR(BK438)&lt;&gt;PlanYear,"",IF(BN438="","",BN438+ROW()/1000000))))</f>
        <v>0</v>
      </c>
      <c r="BR438" s="32">
        <f>IF(BH438="","",IF(BK438="","",IF(OR(BK438&lt;RepFrom,BK438&gt;RepTo),"",IF(BN438="","",BN438+ROW()/1000000))))</f>
        <v>0</v>
      </c>
      <c r="BS438" s="32">
        <f>IF(BM438="","",IF(BK438="","",IF(YEAR(BK438)&lt;&gt;PlanYear,"",BM438+ROW()/1000000)))</f>
        <v>0</v>
      </c>
      <c r="BT438" s="17">
        <f>IF(Lists!$F438="","",Lists!$F438)</f>
        <v>0</v>
      </c>
      <c r="BU438" s="23">
        <f>IF(BT438="","",COUNTIF('Content Calendar'!$X$5:$X$604,BT438))</f>
        <v>0</v>
      </c>
      <c r="BV438" s="23">
        <f>IF(BT438="","",COUNTIFS('Content Calendar'!$X$5:$X$604,BT438,'Content Calendar'!$B$5:$B$604,"&gt;="&amp;DashStart,'Content Calendar'!$B$5:$B$604,"&lt;="&amp;DashEnd))</f>
        <v>0</v>
      </c>
      <c r="BW438" s="17">
        <f>IF(Team!$B$438="","",Team!$B$438)</f>
        <v>0</v>
      </c>
      <c r="BX438" s="23">
        <f>IF(BW438="","",COUNTIF('Content Calendar'!$W$5:$W$604,BW438))</f>
        <v>0</v>
      </c>
      <c r="BY438" s="23">
        <f>IF(BW438="","",COUNTIFS('Content Calendar'!$W$5:$W$604,BW438,'Content Calendar'!$X$5:$X$604,"&lt;&gt;Published"))</f>
        <v>0</v>
      </c>
      <c r="BZ438" s="23">
        <f>IF(BW438="","",COUNTIFS(Tasks!$C$5:$C$64,BW438,Tasks!$G$5:$G$64,"&lt;&gt;Complete"))</f>
        <v>0</v>
      </c>
      <c r="CA438" s="17">
        <f>IF(Campaigns!$B$438="","",Campaigns!$B$438)</f>
        <v>0</v>
      </c>
      <c r="CB438" s="25">
        <f>IF(Campaigns!$T$438="","",Campaigns!$T$438)</f>
        <v>0</v>
      </c>
      <c r="CC438" s="25">
        <f>IF(Campaigns!$Q$438="","",Campaigns!$Q$438)</f>
        <v>0</v>
      </c>
      <c r="CD438" s="23">
        <f>IF(Campaigns!$Y$438="","",Campaigns!$Y$438)</f>
        <v>0</v>
      </c>
      <c r="CE438" s="32">
        <f>IF(CA438="","",IF(N(CB438)&lt;=0,"",N(CB438)+ROW()/1000000))</f>
        <v>0</v>
      </c>
      <c r="CF438" s="17">
        <f>IF(Accounts!$C$438="","",Accounts!$C$438)</f>
        <v>0</v>
      </c>
      <c r="CG438" s="17">
        <f>IF(Accounts!$B$438="","",Accounts!$B$438)</f>
        <v>0</v>
      </c>
      <c r="CH438" s="23">
        <f>IF(Accounts!$J$438="","",Accounts!$J$438)</f>
        <v>0</v>
      </c>
      <c r="CI438" s="23">
        <f>IF(CF438="","",SUMIFS(Analytics!$X$5:$X$154,Analytics!$E$5:$E$154,CF438,Analytics!$B$5:$B$154,"&gt;="&amp;DashStart,Analytics!$B$5:$B$154,"&lt;="&amp;DashEnd))</f>
        <v>0</v>
      </c>
      <c r="CJ438" s="32">
        <f>IF(CH438="","",IF(CH438=0,"",CH438+ROW()/1000000))</f>
        <v>0</v>
      </c>
    </row>
    <row r="439" spans="1:88">
      <c r="A439" s="16">
        <f>IF(ROW()-4&gt;12,"",DATE(PlanYear,ROW()-4,1))</f>
        <v>0</v>
      </c>
      <c r="B439" s="16">
        <f>IF(A439="","",EOMONTH(A439,0))</f>
        <v>0</v>
      </c>
      <c r="C439" s="17">
        <f>IF(A439="","",TEXT(A439,"yyyy-mm"))</f>
        <v>0</v>
      </c>
      <c r="D439" s="17">
        <f>IF(A439="","",TEXT(A439,"mmm"))</f>
        <v>0</v>
      </c>
      <c r="E439" s="23">
        <f>IF(C439="","",COUNTIFS('Content Calendar'!$D$5:$D$604,C439))</f>
        <v>0</v>
      </c>
      <c r="F439" s="23">
        <f>IF(C439="","",COUNTIFS('Content Calendar'!$D$5:$D$604,C439,'Content Calendar'!$X$5:$X$604,"Published"))</f>
        <v>0</v>
      </c>
      <c r="G439" s="23">
        <f>IF(C439="","",SUMIFS(Analytics!$J$5:$J$154,Analytics!$C$5:$C$154,C439))</f>
        <v>0</v>
      </c>
      <c r="H439" s="23">
        <f>IF(C439="","",SUMIFS(Analytics!$K$5:$K$154,Analytics!$C$5:$C$154,C439))</f>
        <v>0</v>
      </c>
      <c r="I439" s="23">
        <f>IF(C439="","",SUMIFS(Analytics!$L$5:$L$154,Analytics!$C$5:$C$154,C439))</f>
        <v>0</v>
      </c>
      <c r="J439" s="24">
        <f>IF(OR(G439="",G439=0),"",I439/G439)</f>
        <v>0</v>
      </c>
      <c r="K439" s="23">
        <f>IF(C439="","",SUMIFS(Analytics!$G$5:$G$154,Analytics!$C$5:$C$154,C439))</f>
        <v>0</v>
      </c>
      <c r="L439" s="23">
        <f>IF(C439="","",SUMIFS(Analytics!$X$5:$X$154,Analytics!$C$5:$C$154,C439))</f>
        <v>0</v>
      </c>
      <c r="M439" s="23">
        <f>IF(C439="","",SUMIFS(Analytics!$R$5:$R$154,Analytics!$C$5:$C$154,C439))</f>
        <v>0</v>
      </c>
      <c r="N439" s="23">
        <f>IF(C439="","",SUMIFS(Analytics!$S$5:$S$154,Analytics!$C$5:$C$154,C439))</f>
        <v>0</v>
      </c>
      <c r="O439" s="23">
        <f>IF(C439="","",SUMIFS(Analytics!$T$5:$T$154,Analytics!$C$5:$C$154,C439))</f>
        <v>0</v>
      </c>
      <c r="P439" s="25">
        <f>IF(C439="","",SUMIFS(Analytics!$U$5:$U$154,Analytics!$C$5:$C$154,C439))</f>
        <v>0</v>
      </c>
      <c r="Q439" s="25">
        <f>IF(C439="","",SUMIFS(Budget!$H$5:$H$64,Budget!$C$5:$C$64,C439))</f>
        <v>0</v>
      </c>
      <c r="R439" s="25">
        <f>IF(C439="","",P439-Q439)</f>
        <v>0</v>
      </c>
      <c r="S439" s="23">
        <f>IF(C439="","",MonthlyPostTarget)</f>
        <v>0</v>
      </c>
      <c r="T439" s="17">
        <f>IF(Lists!$C439="","",Lists!$C439)</f>
        <v>0</v>
      </c>
      <c r="U439" s="23">
        <f>IF(T439="","",COUNTIFS('Content Calendar'!$G$5:$G$604,T439,'Content Calendar'!$B$5:$B$604,"&gt;="&amp;DashStart,'Content Calendar'!$B$5:$B$604,"&lt;="&amp;DashEnd))</f>
        <v>0</v>
      </c>
      <c r="V439" s="23">
        <f>IF(T439="","",COUNTIFS('Content Calendar'!$G$5:$G$604,T439,'Content Calendar'!$X$5:$X$604,"Published",'Content Calendar'!$B$5:$B$604,"&gt;="&amp;DashStart,'Content Calendar'!$B$5:$B$604,"&lt;="&amp;DashEnd))</f>
        <v>0</v>
      </c>
      <c r="W439" s="23">
        <f>IF(T439="","",SUMIFS(Analytics!$J$5:$J$154,Analytics!$D$5:$D$154,T439,Analytics!$B$5:$B$154,"&gt;="&amp;DashStart,Analytics!$B$5:$B$154,"&lt;="&amp;DashEnd))</f>
        <v>0</v>
      </c>
      <c r="X439" s="23">
        <f>IF(T439="","",SUMIFS(Analytics!$L$5:$L$154,Analytics!$D$5:$D$154,T439,Analytics!$B$5:$B$154,"&gt;="&amp;DashStart,Analytics!$B$5:$B$154,"&lt;="&amp;DashEnd))</f>
        <v>0</v>
      </c>
      <c r="Y439" s="24">
        <f>IF(OR(W439="",W439=0),"",X439/W439)</f>
        <v>0</v>
      </c>
      <c r="Z439" s="23">
        <f>IF(T439="","",SUMIFS(Analytics!$G$5:$G$154,Analytics!$D$5:$D$154,T439,Analytics!$B$5:$B$154,"&gt;="&amp;DashStart,Analytics!$B$5:$B$154,"&lt;="&amp;DashEnd))</f>
        <v>0</v>
      </c>
      <c r="AA439" s="23">
        <f>IF(T439="","",SUMIFS(Analytics!$X$5:$X$154,Analytics!$D$5:$D$154,T439,Analytics!$B$5:$B$154,"&gt;="&amp;DashStart,Analytics!$B$5:$B$154,"&lt;="&amp;DashEnd))</f>
        <v>0</v>
      </c>
      <c r="AB439" s="23">
        <f>IF(T439="","",SUMIFS(Analytics!$R$5:$R$154,Analytics!$D$5:$D$154,T439,Analytics!$B$5:$B$154,"&gt;="&amp;DashStart,Analytics!$B$5:$B$154,"&lt;="&amp;DashEnd))</f>
        <v>0</v>
      </c>
      <c r="AC439" s="25">
        <f>IF(T439="","",SUMIFS(Analytics!$U$5:$U$154,Analytics!$D$5:$D$154,T439,Analytics!$B$5:$B$154,"&gt;="&amp;DashStart,Analytics!$B$5:$B$154,"&lt;="&amp;DashEnd))</f>
        <v>0</v>
      </c>
      <c r="AD439" s="23">
        <f>IF(T439="","",COUNTIFS('Content Calendar'!$G$5:$G$604,T439,'Content Calendar'!$B$5:$B$604,"&gt;="&amp;DATE(PlanYear,1,1),'Content Calendar'!$B$5:$B$604,"&lt;="&amp;DATE(PlanYear,12,31)))</f>
        <v>0</v>
      </c>
      <c r="AE439" s="23">
        <f>IF(T439="","",SUMIFS(Analytics!$J$5:$J$154,Analytics!$D$5:$D$154,T439))</f>
        <v>0</v>
      </c>
      <c r="AF439" s="23">
        <f>IF(T439="","",SUMIFS(Analytics!$L$5:$L$154,Analytics!$D$5:$D$154,T439))</f>
        <v>0</v>
      </c>
      <c r="AG439" s="24">
        <f>IF(OR(AE439="",AE439=0),"",AF439/AE439)</f>
        <v>0</v>
      </c>
      <c r="AH439" s="23">
        <f>IF(T439="","",SUMIFS(Analytics!$X$5:$X$154,Analytics!$D$5:$D$154,T439))</f>
        <v>0</v>
      </c>
      <c r="AI439" s="32">
        <f>IF(T439="","",IF(AE439=0,"",AE439+ROW()/1000000))</f>
        <v>0</v>
      </c>
      <c r="AJ439" s="17">
        <f>IF('Content Pillars'!$B$439="","",'Content Pillars'!$B$439)</f>
        <v>0</v>
      </c>
      <c r="AK439" s="23">
        <f>IF(AJ439="","",COUNTIFS('Content Calendar'!$J$5:$J$604,AJ439,'Content Calendar'!$B$5:$B$604,"&gt;="&amp;DATE(PlanYear,1,1),'Content Calendar'!$B$5:$B$604,"&lt;="&amp;DATE(PlanYear,12,31)))</f>
        <v>0</v>
      </c>
      <c r="AL439" s="23">
        <f>IF(AJ439="","",SUMIFS(Performance!$O$5:$O$404,Performance!$H$5:$H$404,AJ439))</f>
        <v>0</v>
      </c>
      <c r="AM439" s="23">
        <f>IF(AJ439="","",SUMIFS(Performance!$Z$5:$Z$404,Performance!$H$5:$H$404,AJ439))</f>
        <v>0</v>
      </c>
      <c r="AN439" s="24">
        <f>IF(OR(AL439="",AL439=0),"",AM439/AL439)</f>
        <v>0</v>
      </c>
      <c r="AO439" s="32">
        <f>IF(AN439="","",AN439+ROW()/1000000)</f>
        <v>0</v>
      </c>
      <c r="AP439" s="17">
        <f>IF(Lists!$E439="","",Lists!$E439)</f>
        <v>0</v>
      </c>
      <c r="AQ439" s="23">
        <f>IF(AP439="","",COUNTIF(Performance!$G$5:$G$404,AP439))</f>
        <v>0</v>
      </c>
      <c r="AR439" s="23">
        <f>IF(AP439="","",SUMIFS(Performance!$O$5:$O$404,Performance!$G$5:$G$404,AP439))</f>
        <v>0</v>
      </c>
      <c r="AS439" s="23">
        <f>IF(AP439="","",SUMIFS(Performance!$Z$5:$Z$404,Performance!$G$5:$G$404,AP439))</f>
        <v>0</v>
      </c>
      <c r="AT439" s="24">
        <f>IF(OR(AR439="",AR439=0),"",AS439/AR439)</f>
        <v>0</v>
      </c>
      <c r="AU439" s="32">
        <f>IF(AQ439=0,"",IF(AT439="","",AT439+ROW()/1000000))</f>
        <v>0</v>
      </c>
      <c r="AV439" s="17">
        <f>IF(ROW()-4&gt;7,"",TEXT(DATE(2024,1,ROW()-4),"ddd"))</f>
        <v>0</v>
      </c>
      <c r="AW439" s="23">
        <f>IF(AV439="","",COUNTIF(Performance!$N$5:$N$404,AV439))</f>
        <v>0</v>
      </c>
      <c r="AX439" s="23">
        <f>IF(AV439="","",SUMIFS(Performance!$O$5:$O$404,Performance!$N$5:$N$404,AV439))</f>
        <v>0</v>
      </c>
      <c r="AY439" s="23">
        <f>IF(AV439="","",SUMIFS(Performance!$Z$5:$Z$404,Performance!$N$5:$N$404,AV439))</f>
        <v>0</v>
      </c>
      <c r="AZ439" s="24">
        <f>IF(OR(AX439="",AX439=0),"",AY439/AX439)</f>
        <v>0</v>
      </c>
      <c r="BA439" s="32">
        <f>IF(AW439=0,"",IF(AZ439="","",AZ439+ROW()/1000000))</f>
        <v>0</v>
      </c>
      <c r="BB439" s="17">
        <f>IF(Lists!$AL439="","",Lists!$AL439)</f>
        <v>0</v>
      </c>
      <c r="BC439" s="23">
        <f>IF(BB439="","",COUNTIF(Performance!$M$5:$M$404,BB439))</f>
        <v>0</v>
      </c>
      <c r="BD439" s="23">
        <f>IF(BB439="","",SUMIFS(Performance!$O$5:$O$404,Performance!$M$5:$M$404,BB439))</f>
        <v>0</v>
      </c>
      <c r="BE439" s="23">
        <f>IF(BB439="","",SUMIFS(Performance!$Z$5:$Z$404,Performance!$M$5:$M$404,BB439))</f>
        <v>0</v>
      </c>
      <c r="BF439" s="24">
        <f>IF(OR(BD439="",BD439=0),"",BE439/BD439)</f>
        <v>0</v>
      </c>
      <c r="BG439" s="32">
        <f>IF(BC439=0,"",IF(BF439="","",BF439+ROW()/1000000))</f>
        <v>0</v>
      </c>
      <c r="BH439" s="17">
        <f>IF(Performance!$C$439="","",Performance!$C$439)</f>
        <v>0</v>
      </c>
      <c r="BI439" s="17">
        <f>IF(Performance!$F$439="","",Performance!$F$439)</f>
        <v>0</v>
      </c>
      <c r="BJ439" s="17">
        <f>IF(Performance!$H$439="","",Performance!$H$439)</f>
        <v>0</v>
      </c>
      <c r="BK439" s="16">
        <f>IF(Performance!$D$439="","",Performance!$D$439)</f>
        <v>0</v>
      </c>
      <c r="BL439" s="17">
        <f>IF(Performance!$E$439="","",Performance!$E$439)</f>
        <v>0</v>
      </c>
      <c r="BM439" s="23">
        <f>IF(Performance!$O$439="","",Performance!$O$439)</f>
        <v>0</v>
      </c>
      <c r="BN439" s="24">
        <f>IF(Performance!$AA$439="","",Performance!$AA$439)</f>
        <v>0</v>
      </c>
      <c r="BO439" s="32">
        <f>IF(BH439="","",IF(BK439="","",IF(OR(BK439&lt;DashStart,BK439&gt;DashEnd),"",IF(BN439="","",BN439+ROW()/1000000))))</f>
        <v>0</v>
      </c>
      <c r="BP439" s="32">
        <f>IF(BM439="","",IF(BK439="","",IF(OR(BK439&lt;DashStart,BK439&gt;DashEnd),"",BM439+ROW()/1000000)))</f>
        <v>0</v>
      </c>
      <c r="BQ439" s="32">
        <f>IF(BH439="","",IF(BK439="","",IF(YEAR(BK439)&lt;&gt;PlanYear,"",IF(BN439="","",BN439+ROW()/1000000))))</f>
        <v>0</v>
      </c>
      <c r="BR439" s="32">
        <f>IF(BH439="","",IF(BK439="","",IF(OR(BK439&lt;RepFrom,BK439&gt;RepTo),"",IF(BN439="","",BN439+ROW()/1000000))))</f>
        <v>0</v>
      </c>
      <c r="BS439" s="32">
        <f>IF(BM439="","",IF(BK439="","",IF(YEAR(BK439)&lt;&gt;PlanYear,"",BM439+ROW()/1000000)))</f>
        <v>0</v>
      </c>
      <c r="BT439" s="17">
        <f>IF(Lists!$F439="","",Lists!$F439)</f>
        <v>0</v>
      </c>
      <c r="BU439" s="23">
        <f>IF(BT439="","",COUNTIF('Content Calendar'!$X$5:$X$604,BT439))</f>
        <v>0</v>
      </c>
      <c r="BV439" s="23">
        <f>IF(BT439="","",COUNTIFS('Content Calendar'!$X$5:$X$604,BT439,'Content Calendar'!$B$5:$B$604,"&gt;="&amp;DashStart,'Content Calendar'!$B$5:$B$604,"&lt;="&amp;DashEnd))</f>
        <v>0</v>
      </c>
      <c r="BW439" s="17">
        <f>IF(Team!$B$439="","",Team!$B$439)</f>
        <v>0</v>
      </c>
      <c r="BX439" s="23">
        <f>IF(BW439="","",COUNTIF('Content Calendar'!$W$5:$W$604,BW439))</f>
        <v>0</v>
      </c>
      <c r="BY439" s="23">
        <f>IF(BW439="","",COUNTIFS('Content Calendar'!$W$5:$W$604,BW439,'Content Calendar'!$X$5:$X$604,"&lt;&gt;Published"))</f>
        <v>0</v>
      </c>
      <c r="BZ439" s="23">
        <f>IF(BW439="","",COUNTIFS(Tasks!$C$5:$C$64,BW439,Tasks!$G$5:$G$64,"&lt;&gt;Complete"))</f>
        <v>0</v>
      </c>
      <c r="CA439" s="17">
        <f>IF(Campaigns!$B$439="","",Campaigns!$B$439)</f>
        <v>0</v>
      </c>
      <c r="CB439" s="25">
        <f>IF(Campaigns!$T$439="","",Campaigns!$T$439)</f>
        <v>0</v>
      </c>
      <c r="CC439" s="25">
        <f>IF(Campaigns!$Q$439="","",Campaigns!$Q$439)</f>
        <v>0</v>
      </c>
      <c r="CD439" s="23">
        <f>IF(Campaigns!$Y$439="","",Campaigns!$Y$439)</f>
        <v>0</v>
      </c>
      <c r="CE439" s="32">
        <f>IF(CA439="","",IF(N(CB439)&lt;=0,"",N(CB439)+ROW()/1000000))</f>
        <v>0</v>
      </c>
      <c r="CF439" s="17">
        <f>IF(Accounts!$C$439="","",Accounts!$C$439)</f>
        <v>0</v>
      </c>
      <c r="CG439" s="17">
        <f>IF(Accounts!$B$439="","",Accounts!$B$439)</f>
        <v>0</v>
      </c>
      <c r="CH439" s="23">
        <f>IF(Accounts!$J$439="","",Accounts!$J$439)</f>
        <v>0</v>
      </c>
      <c r="CI439" s="23">
        <f>IF(CF439="","",SUMIFS(Analytics!$X$5:$X$154,Analytics!$E$5:$E$154,CF439,Analytics!$B$5:$B$154,"&gt;="&amp;DashStart,Analytics!$B$5:$B$154,"&lt;="&amp;DashEnd))</f>
        <v>0</v>
      </c>
      <c r="CJ439" s="32">
        <f>IF(CH439="","",IF(CH439=0,"",CH439+ROW()/1000000))</f>
        <v>0</v>
      </c>
    </row>
    <row r="440" spans="1:88">
      <c r="A440" s="16">
        <f>IF(ROW()-4&gt;12,"",DATE(PlanYear,ROW()-4,1))</f>
        <v>0</v>
      </c>
      <c r="B440" s="16">
        <f>IF(A440="","",EOMONTH(A440,0))</f>
        <v>0</v>
      </c>
      <c r="C440" s="17">
        <f>IF(A440="","",TEXT(A440,"yyyy-mm"))</f>
        <v>0</v>
      </c>
      <c r="D440" s="17">
        <f>IF(A440="","",TEXT(A440,"mmm"))</f>
        <v>0</v>
      </c>
      <c r="E440" s="23">
        <f>IF(C440="","",COUNTIFS('Content Calendar'!$D$5:$D$604,C440))</f>
        <v>0</v>
      </c>
      <c r="F440" s="23">
        <f>IF(C440="","",COUNTIFS('Content Calendar'!$D$5:$D$604,C440,'Content Calendar'!$X$5:$X$604,"Published"))</f>
        <v>0</v>
      </c>
      <c r="G440" s="23">
        <f>IF(C440="","",SUMIFS(Analytics!$J$5:$J$154,Analytics!$C$5:$C$154,C440))</f>
        <v>0</v>
      </c>
      <c r="H440" s="23">
        <f>IF(C440="","",SUMIFS(Analytics!$K$5:$K$154,Analytics!$C$5:$C$154,C440))</f>
        <v>0</v>
      </c>
      <c r="I440" s="23">
        <f>IF(C440="","",SUMIFS(Analytics!$L$5:$L$154,Analytics!$C$5:$C$154,C440))</f>
        <v>0</v>
      </c>
      <c r="J440" s="24">
        <f>IF(OR(G440="",G440=0),"",I440/G440)</f>
        <v>0</v>
      </c>
      <c r="K440" s="23">
        <f>IF(C440="","",SUMIFS(Analytics!$G$5:$G$154,Analytics!$C$5:$C$154,C440))</f>
        <v>0</v>
      </c>
      <c r="L440" s="23">
        <f>IF(C440="","",SUMIFS(Analytics!$X$5:$X$154,Analytics!$C$5:$C$154,C440))</f>
        <v>0</v>
      </c>
      <c r="M440" s="23">
        <f>IF(C440="","",SUMIFS(Analytics!$R$5:$R$154,Analytics!$C$5:$C$154,C440))</f>
        <v>0</v>
      </c>
      <c r="N440" s="23">
        <f>IF(C440="","",SUMIFS(Analytics!$S$5:$S$154,Analytics!$C$5:$C$154,C440))</f>
        <v>0</v>
      </c>
      <c r="O440" s="23">
        <f>IF(C440="","",SUMIFS(Analytics!$T$5:$T$154,Analytics!$C$5:$C$154,C440))</f>
        <v>0</v>
      </c>
      <c r="P440" s="25">
        <f>IF(C440="","",SUMIFS(Analytics!$U$5:$U$154,Analytics!$C$5:$C$154,C440))</f>
        <v>0</v>
      </c>
      <c r="Q440" s="25">
        <f>IF(C440="","",SUMIFS(Budget!$H$5:$H$64,Budget!$C$5:$C$64,C440))</f>
        <v>0</v>
      </c>
      <c r="R440" s="25">
        <f>IF(C440="","",P440-Q440)</f>
        <v>0</v>
      </c>
      <c r="S440" s="23">
        <f>IF(C440="","",MonthlyPostTarget)</f>
        <v>0</v>
      </c>
      <c r="T440" s="17">
        <f>IF(Lists!$C440="","",Lists!$C440)</f>
        <v>0</v>
      </c>
      <c r="U440" s="23">
        <f>IF(T440="","",COUNTIFS('Content Calendar'!$G$5:$G$604,T440,'Content Calendar'!$B$5:$B$604,"&gt;="&amp;DashStart,'Content Calendar'!$B$5:$B$604,"&lt;="&amp;DashEnd))</f>
        <v>0</v>
      </c>
      <c r="V440" s="23">
        <f>IF(T440="","",COUNTIFS('Content Calendar'!$G$5:$G$604,T440,'Content Calendar'!$X$5:$X$604,"Published",'Content Calendar'!$B$5:$B$604,"&gt;="&amp;DashStart,'Content Calendar'!$B$5:$B$604,"&lt;="&amp;DashEnd))</f>
        <v>0</v>
      </c>
      <c r="W440" s="23">
        <f>IF(T440="","",SUMIFS(Analytics!$J$5:$J$154,Analytics!$D$5:$D$154,T440,Analytics!$B$5:$B$154,"&gt;="&amp;DashStart,Analytics!$B$5:$B$154,"&lt;="&amp;DashEnd))</f>
        <v>0</v>
      </c>
      <c r="X440" s="23">
        <f>IF(T440="","",SUMIFS(Analytics!$L$5:$L$154,Analytics!$D$5:$D$154,T440,Analytics!$B$5:$B$154,"&gt;="&amp;DashStart,Analytics!$B$5:$B$154,"&lt;="&amp;DashEnd))</f>
        <v>0</v>
      </c>
      <c r="Y440" s="24">
        <f>IF(OR(W440="",W440=0),"",X440/W440)</f>
        <v>0</v>
      </c>
      <c r="Z440" s="23">
        <f>IF(T440="","",SUMIFS(Analytics!$G$5:$G$154,Analytics!$D$5:$D$154,T440,Analytics!$B$5:$B$154,"&gt;="&amp;DashStart,Analytics!$B$5:$B$154,"&lt;="&amp;DashEnd))</f>
        <v>0</v>
      </c>
      <c r="AA440" s="23">
        <f>IF(T440="","",SUMIFS(Analytics!$X$5:$X$154,Analytics!$D$5:$D$154,T440,Analytics!$B$5:$B$154,"&gt;="&amp;DashStart,Analytics!$B$5:$B$154,"&lt;="&amp;DashEnd))</f>
        <v>0</v>
      </c>
      <c r="AB440" s="23">
        <f>IF(T440="","",SUMIFS(Analytics!$R$5:$R$154,Analytics!$D$5:$D$154,T440,Analytics!$B$5:$B$154,"&gt;="&amp;DashStart,Analytics!$B$5:$B$154,"&lt;="&amp;DashEnd))</f>
        <v>0</v>
      </c>
      <c r="AC440" s="25">
        <f>IF(T440="","",SUMIFS(Analytics!$U$5:$U$154,Analytics!$D$5:$D$154,T440,Analytics!$B$5:$B$154,"&gt;="&amp;DashStart,Analytics!$B$5:$B$154,"&lt;="&amp;DashEnd))</f>
        <v>0</v>
      </c>
      <c r="AD440" s="23">
        <f>IF(T440="","",COUNTIFS('Content Calendar'!$G$5:$G$604,T440,'Content Calendar'!$B$5:$B$604,"&gt;="&amp;DATE(PlanYear,1,1),'Content Calendar'!$B$5:$B$604,"&lt;="&amp;DATE(PlanYear,12,31)))</f>
        <v>0</v>
      </c>
      <c r="AE440" s="23">
        <f>IF(T440="","",SUMIFS(Analytics!$J$5:$J$154,Analytics!$D$5:$D$154,T440))</f>
        <v>0</v>
      </c>
      <c r="AF440" s="23">
        <f>IF(T440="","",SUMIFS(Analytics!$L$5:$L$154,Analytics!$D$5:$D$154,T440))</f>
        <v>0</v>
      </c>
      <c r="AG440" s="24">
        <f>IF(OR(AE440="",AE440=0),"",AF440/AE440)</f>
        <v>0</v>
      </c>
      <c r="AH440" s="23">
        <f>IF(T440="","",SUMIFS(Analytics!$X$5:$X$154,Analytics!$D$5:$D$154,T440))</f>
        <v>0</v>
      </c>
      <c r="AI440" s="32">
        <f>IF(T440="","",IF(AE440=0,"",AE440+ROW()/1000000))</f>
        <v>0</v>
      </c>
      <c r="AJ440" s="17">
        <f>IF('Content Pillars'!$B$440="","",'Content Pillars'!$B$440)</f>
        <v>0</v>
      </c>
      <c r="AK440" s="23">
        <f>IF(AJ440="","",COUNTIFS('Content Calendar'!$J$5:$J$604,AJ440,'Content Calendar'!$B$5:$B$604,"&gt;="&amp;DATE(PlanYear,1,1),'Content Calendar'!$B$5:$B$604,"&lt;="&amp;DATE(PlanYear,12,31)))</f>
        <v>0</v>
      </c>
      <c r="AL440" s="23">
        <f>IF(AJ440="","",SUMIFS(Performance!$O$5:$O$404,Performance!$H$5:$H$404,AJ440))</f>
        <v>0</v>
      </c>
      <c r="AM440" s="23">
        <f>IF(AJ440="","",SUMIFS(Performance!$Z$5:$Z$404,Performance!$H$5:$H$404,AJ440))</f>
        <v>0</v>
      </c>
      <c r="AN440" s="24">
        <f>IF(OR(AL440="",AL440=0),"",AM440/AL440)</f>
        <v>0</v>
      </c>
      <c r="AO440" s="32">
        <f>IF(AN440="","",AN440+ROW()/1000000)</f>
        <v>0</v>
      </c>
      <c r="AP440" s="17">
        <f>IF(Lists!$E440="","",Lists!$E440)</f>
        <v>0</v>
      </c>
      <c r="AQ440" s="23">
        <f>IF(AP440="","",COUNTIF(Performance!$G$5:$G$404,AP440))</f>
        <v>0</v>
      </c>
      <c r="AR440" s="23">
        <f>IF(AP440="","",SUMIFS(Performance!$O$5:$O$404,Performance!$G$5:$G$404,AP440))</f>
        <v>0</v>
      </c>
      <c r="AS440" s="23">
        <f>IF(AP440="","",SUMIFS(Performance!$Z$5:$Z$404,Performance!$G$5:$G$404,AP440))</f>
        <v>0</v>
      </c>
      <c r="AT440" s="24">
        <f>IF(OR(AR440="",AR440=0),"",AS440/AR440)</f>
        <v>0</v>
      </c>
      <c r="AU440" s="32">
        <f>IF(AQ440=0,"",IF(AT440="","",AT440+ROW()/1000000))</f>
        <v>0</v>
      </c>
      <c r="AV440" s="17">
        <f>IF(ROW()-4&gt;7,"",TEXT(DATE(2024,1,ROW()-4),"ddd"))</f>
        <v>0</v>
      </c>
      <c r="AW440" s="23">
        <f>IF(AV440="","",COUNTIF(Performance!$N$5:$N$404,AV440))</f>
        <v>0</v>
      </c>
      <c r="AX440" s="23">
        <f>IF(AV440="","",SUMIFS(Performance!$O$5:$O$404,Performance!$N$5:$N$404,AV440))</f>
        <v>0</v>
      </c>
      <c r="AY440" s="23">
        <f>IF(AV440="","",SUMIFS(Performance!$Z$5:$Z$404,Performance!$N$5:$N$404,AV440))</f>
        <v>0</v>
      </c>
      <c r="AZ440" s="24">
        <f>IF(OR(AX440="",AX440=0),"",AY440/AX440)</f>
        <v>0</v>
      </c>
      <c r="BA440" s="32">
        <f>IF(AW440=0,"",IF(AZ440="","",AZ440+ROW()/1000000))</f>
        <v>0</v>
      </c>
      <c r="BB440" s="17">
        <f>IF(Lists!$AL440="","",Lists!$AL440)</f>
        <v>0</v>
      </c>
      <c r="BC440" s="23">
        <f>IF(BB440="","",COUNTIF(Performance!$M$5:$M$404,BB440))</f>
        <v>0</v>
      </c>
      <c r="BD440" s="23">
        <f>IF(BB440="","",SUMIFS(Performance!$O$5:$O$404,Performance!$M$5:$M$404,BB440))</f>
        <v>0</v>
      </c>
      <c r="BE440" s="23">
        <f>IF(BB440="","",SUMIFS(Performance!$Z$5:$Z$404,Performance!$M$5:$M$404,BB440))</f>
        <v>0</v>
      </c>
      <c r="BF440" s="24">
        <f>IF(OR(BD440="",BD440=0),"",BE440/BD440)</f>
        <v>0</v>
      </c>
      <c r="BG440" s="32">
        <f>IF(BC440=0,"",IF(BF440="","",BF440+ROW()/1000000))</f>
        <v>0</v>
      </c>
      <c r="BH440" s="17">
        <f>IF(Performance!$C$440="","",Performance!$C$440)</f>
        <v>0</v>
      </c>
      <c r="BI440" s="17">
        <f>IF(Performance!$F$440="","",Performance!$F$440)</f>
        <v>0</v>
      </c>
      <c r="BJ440" s="17">
        <f>IF(Performance!$H$440="","",Performance!$H$440)</f>
        <v>0</v>
      </c>
      <c r="BK440" s="16">
        <f>IF(Performance!$D$440="","",Performance!$D$440)</f>
        <v>0</v>
      </c>
      <c r="BL440" s="17">
        <f>IF(Performance!$E$440="","",Performance!$E$440)</f>
        <v>0</v>
      </c>
      <c r="BM440" s="23">
        <f>IF(Performance!$O$440="","",Performance!$O$440)</f>
        <v>0</v>
      </c>
      <c r="BN440" s="24">
        <f>IF(Performance!$AA$440="","",Performance!$AA$440)</f>
        <v>0</v>
      </c>
      <c r="BO440" s="32">
        <f>IF(BH440="","",IF(BK440="","",IF(OR(BK440&lt;DashStart,BK440&gt;DashEnd),"",IF(BN440="","",BN440+ROW()/1000000))))</f>
        <v>0</v>
      </c>
      <c r="BP440" s="32">
        <f>IF(BM440="","",IF(BK440="","",IF(OR(BK440&lt;DashStart,BK440&gt;DashEnd),"",BM440+ROW()/1000000)))</f>
        <v>0</v>
      </c>
      <c r="BQ440" s="32">
        <f>IF(BH440="","",IF(BK440="","",IF(YEAR(BK440)&lt;&gt;PlanYear,"",IF(BN440="","",BN440+ROW()/1000000))))</f>
        <v>0</v>
      </c>
      <c r="BR440" s="32">
        <f>IF(BH440="","",IF(BK440="","",IF(OR(BK440&lt;RepFrom,BK440&gt;RepTo),"",IF(BN440="","",BN440+ROW()/1000000))))</f>
        <v>0</v>
      </c>
      <c r="BS440" s="32">
        <f>IF(BM440="","",IF(BK440="","",IF(YEAR(BK440)&lt;&gt;PlanYear,"",BM440+ROW()/1000000)))</f>
        <v>0</v>
      </c>
      <c r="BT440" s="17">
        <f>IF(Lists!$F440="","",Lists!$F440)</f>
        <v>0</v>
      </c>
      <c r="BU440" s="23">
        <f>IF(BT440="","",COUNTIF('Content Calendar'!$X$5:$X$604,BT440))</f>
        <v>0</v>
      </c>
      <c r="BV440" s="23">
        <f>IF(BT440="","",COUNTIFS('Content Calendar'!$X$5:$X$604,BT440,'Content Calendar'!$B$5:$B$604,"&gt;="&amp;DashStart,'Content Calendar'!$B$5:$B$604,"&lt;="&amp;DashEnd))</f>
        <v>0</v>
      </c>
      <c r="BW440" s="17">
        <f>IF(Team!$B$440="","",Team!$B$440)</f>
        <v>0</v>
      </c>
      <c r="BX440" s="23">
        <f>IF(BW440="","",COUNTIF('Content Calendar'!$W$5:$W$604,BW440))</f>
        <v>0</v>
      </c>
      <c r="BY440" s="23">
        <f>IF(BW440="","",COUNTIFS('Content Calendar'!$W$5:$W$604,BW440,'Content Calendar'!$X$5:$X$604,"&lt;&gt;Published"))</f>
        <v>0</v>
      </c>
      <c r="BZ440" s="23">
        <f>IF(BW440="","",COUNTIFS(Tasks!$C$5:$C$64,BW440,Tasks!$G$5:$G$64,"&lt;&gt;Complete"))</f>
        <v>0</v>
      </c>
      <c r="CA440" s="17">
        <f>IF(Campaigns!$B$440="","",Campaigns!$B$440)</f>
        <v>0</v>
      </c>
      <c r="CB440" s="25">
        <f>IF(Campaigns!$T$440="","",Campaigns!$T$440)</f>
        <v>0</v>
      </c>
      <c r="CC440" s="25">
        <f>IF(Campaigns!$Q$440="","",Campaigns!$Q$440)</f>
        <v>0</v>
      </c>
      <c r="CD440" s="23">
        <f>IF(Campaigns!$Y$440="","",Campaigns!$Y$440)</f>
        <v>0</v>
      </c>
      <c r="CE440" s="32">
        <f>IF(CA440="","",IF(N(CB440)&lt;=0,"",N(CB440)+ROW()/1000000))</f>
        <v>0</v>
      </c>
      <c r="CF440" s="17">
        <f>IF(Accounts!$C$440="","",Accounts!$C$440)</f>
        <v>0</v>
      </c>
      <c r="CG440" s="17">
        <f>IF(Accounts!$B$440="","",Accounts!$B$440)</f>
        <v>0</v>
      </c>
      <c r="CH440" s="23">
        <f>IF(Accounts!$J$440="","",Accounts!$J$440)</f>
        <v>0</v>
      </c>
      <c r="CI440" s="23">
        <f>IF(CF440="","",SUMIFS(Analytics!$X$5:$X$154,Analytics!$E$5:$E$154,CF440,Analytics!$B$5:$B$154,"&gt;="&amp;DashStart,Analytics!$B$5:$B$154,"&lt;="&amp;DashEnd))</f>
        <v>0</v>
      </c>
      <c r="CJ440" s="32">
        <f>IF(CH440="","",IF(CH440=0,"",CH440+ROW()/1000000))</f>
        <v>0</v>
      </c>
    </row>
    <row r="441" spans="1:88">
      <c r="A441" s="16">
        <f>IF(ROW()-4&gt;12,"",DATE(PlanYear,ROW()-4,1))</f>
        <v>0</v>
      </c>
      <c r="B441" s="16">
        <f>IF(A441="","",EOMONTH(A441,0))</f>
        <v>0</v>
      </c>
      <c r="C441" s="17">
        <f>IF(A441="","",TEXT(A441,"yyyy-mm"))</f>
        <v>0</v>
      </c>
      <c r="D441" s="17">
        <f>IF(A441="","",TEXT(A441,"mmm"))</f>
        <v>0</v>
      </c>
      <c r="E441" s="23">
        <f>IF(C441="","",COUNTIFS('Content Calendar'!$D$5:$D$604,C441))</f>
        <v>0</v>
      </c>
      <c r="F441" s="23">
        <f>IF(C441="","",COUNTIFS('Content Calendar'!$D$5:$D$604,C441,'Content Calendar'!$X$5:$X$604,"Published"))</f>
        <v>0</v>
      </c>
      <c r="G441" s="23">
        <f>IF(C441="","",SUMIFS(Analytics!$J$5:$J$154,Analytics!$C$5:$C$154,C441))</f>
        <v>0</v>
      </c>
      <c r="H441" s="23">
        <f>IF(C441="","",SUMIFS(Analytics!$K$5:$K$154,Analytics!$C$5:$C$154,C441))</f>
        <v>0</v>
      </c>
      <c r="I441" s="23">
        <f>IF(C441="","",SUMIFS(Analytics!$L$5:$L$154,Analytics!$C$5:$C$154,C441))</f>
        <v>0</v>
      </c>
      <c r="J441" s="24">
        <f>IF(OR(G441="",G441=0),"",I441/G441)</f>
        <v>0</v>
      </c>
      <c r="K441" s="23">
        <f>IF(C441="","",SUMIFS(Analytics!$G$5:$G$154,Analytics!$C$5:$C$154,C441))</f>
        <v>0</v>
      </c>
      <c r="L441" s="23">
        <f>IF(C441="","",SUMIFS(Analytics!$X$5:$X$154,Analytics!$C$5:$C$154,C441))</f>
        <v>0</v>
      </c>
      <c r="M441" s="23">
        <f>IF(C441="","",SUMIFS(Analytics!$R$5:$R$154,Analytics!$C$5:$C$154,C441))</f>
        <v>0</v>
      </c>
      <c r="N441" s="23">
        <f>IF(C441="","",SUMIFS(Analytics!$S$5:$S$154,Analytics!$C$5:$C$154,C441))</f>
        <v>0</v>
      </c>
      <c r="O441" s="23">
        <f>IF(C441="","",SUMIFS(Analytics!$T$5:$T$154,Analytics!$C$5:$C$154,C441))</f>
        <v>0</v>
      </c>
      <c r="P441" s="25">
        <f>IF(C441="","",SUMIFS(Analytics!$U$5:$U$154,Analytics!$C$5:$C$154,C441))</f>
        <v>0</v>
      </c>
      <c r="Q441" s="25">
        <f>IF(C441="","",SUMIFS(Budget!$H$5:$H$64,Budget!$C$5:$C$64,C441))</f>
        <v>0</v>
      </c>
      <c r="R441" s="25">
        <f>IF(C441="","",P441-Q441)</f>
        <v>0</v>
      </c>
      <c r="S441" s="23">
        <f>IF(C441="","",MonthlyPostTarget)</f>
        <v>0</v>
      </c>
      <c r="T441" s="17">
        <f>IF(Lists!$C441="","",Lists!$C441)</f>
        <v>0</v>
      </c>
      <c r="U441" s="23">
        <f>IF(T441="","",COUNTIFS('Content Calendar'!$G$5:$G$604,T441,'Content Calendar'!$B$5:$B$604,"&gt;="&amp;DashStart,'Content Calendar'!$B$5:$B$604,"&lt;="&amp;DashEnd))</f>
        <v>0</v>
      </c>
      <c r="V441" s="23">
        <f>IF(T441="","",COUNTIFS('Content Calendar'!$G$5:$G$604,T441,'Content Calendar'!$X$5:$X$604,"Published",'Content Calendar'!$B$5:$B$604,"&gt;="&amp;DashStart,'Content Calendar'!$B$5:$B$604,"&lt;="&amp;DashEnd))</f>
        <v>0</v>
      </c>
      <c r="W441" s="23">
        <f>IF(T441="","",SUMIFS(Analytics!$J$5:$J$154,Analytics!$D$5:$D$154,T441,Analytics!$B$5:$B$154,"&gt;="&amp;DashStart,Analytics!$B$5:$B$154,"&lt;="&amp;DashEnd))</f>
        <v>0</v>
      </c>
      <c r="X441" s="23">
        <f>IF(T441="","",SUMIFS(Analytics!$L$5:$L$154,Analytics!$D$5:$D$154,T441,Analytics!$B$5:$B$154,"&gt;="&amp;DashStart,Analytics!$B$5:$B$154,"&lt;="&amp;DashEnd))</f>
        <v>0</v>
      </c>
      <c r="Y441" s="24">
        <f>IF(OR(W441="",W441=0),"",X441/W441)</f>
        <v>0</v>
      </c>
      <c r="Z441" s="23">
        <f>IF(T441="","",SUMIFS(Analytics!$G$5:$G$154,Analytics!$D$5:$D$154,T441,Analytics!$B$5:$B$154,"&gt;="&amp;DashStart,Analytics!$B$5:$B$154,"&lt;="&amp;DashEnd))</f>
        <v>0</v>
      </c>
      <c r="AA441" s="23">
        <f>IF(T441="","",SUMIFS(Analytics!$X$5:$X$154,Analytics!$D$5:$D$154,T441,Analytics!$B$5:$B$154,"&gt;="&amp;DashStart,Analytics!$B$5:$B$154,"&lt;="&amp;DashEnd))</f>
        <v>0</v>
      </c>
      <c r="AB441" s="23">
        <f>IF(T441="","",SUMIFS(Analytics!$R$5:$R$154,Analytics!$D$5:$D$154,T441,Analytics!$B$5:$B$154,"&gt;="&amp;DashStart,Analytics!$B$5:$B$154,"&lt;="&amp;DashEnd))</f>
        <v>0</v>
      </c>
      <c r="AC441" s="25">
        <f>IF(T441="","",SUMIFS(Analytics!$U$5:$U$154,Analytics!$D$5:$D$154,T441,Analytics!$B$5:$B$154,"&gt;="&amp;DashStart,Analytics!$B$5:$B$154,"&lt;="&amp;DashEnd))</f>
        <v>0</v>
      </c>
      <c r="AD441" s="23">
        <f>IF(T441="","",COUNTIFS('Content Calendar'!$G$5:$G$604,T441,'Content Calendar'!$B$5:$B$604,"&gt;="&amp;DATE(PlanYear,1,1),'Content Calendar'!$B$5:$B$604,"&lt;="&amp;DATE(PlanYear,12,31)))</f>
        <v>0</v>
      </c>
      <c r="AE441" s="23">
        <f>IF(T441="","",SUMIFS(Analytics!$J$5:$J$154,Analytics!$D$5:$D$154,T441))</f>
        <v>0</v>
      </c>
      <c r="AF441" s="23">
        <f>IF(T441="","",SUMIFS(Analytics!$L$5:$L$154,Analytics!$D$5:$D$154,T441))</f>
        <v>0</v>
      </c>
      <c r="AG441" s="24">
        <f>IF(OR(AE441="",AE441=0),"",AF441/AE441)</f>
        <v>0</v>
      </c>
      <c r="AH441" s="23">
        <f>IF(T441="","",SUMIFS(Analytics!$X$5:$X$154,Analytics!$D$5:$D$154,T441))</f>
        <v>0</v>
      </c>
      <c r="AI441" s="32">
        <f>IF(T441="","",IF(AE441=0,"",AE441+ROW()/1000000))</f>
        <v>0</v>
      </c>
      <c r="AJ441" s="17">
        <f>IF('Content Pillars'!$B$441="","",'Content Pillars'!$B$441)</f>
        <v>0</v>
      </c>
      <c r="AK441" s="23">
        <f>IF(AJ441="","",COUNTIFS('Content Calendar'!$J$5:$J$604,AJ441,'Content Calendar'!$B$5:$B$604,"&gt;="&amp;DATE(PlanYear,1,1),'Content Calendar'!$B$5:$B$604,"&lt;="&amp;DATE(PlanYear,12,31)))</f>
        <v>0</v>
      </c>
      <c r="AL441" s="23">
        <f>IF(AJ441="","",SUMIFS(Performance!$O$5:$O$404,Performance!$H$5:$H$404,AJ441))</f>
        <v>0</v>
      </c>
      <c r="AM441" s="23">
        <f>IF(AJ441="","",SUMIFS(Performance!$Z$5:$Z$404,Performance!$H$5:$H$404,AJ441))</f>
        <v>0</v>
      </c>
      <c r="AN441" s="24">
        <f>IF(OR(AL441="",AL441=0),"",AM441/AL441)</f>
        <v>0</v>
      </c>
      <c r="AO441" s="32">
        <f>IF(AN441="","",AN441+ROW()/1000000)</f>
        <v>0</v>
      </c>
      <c r="AP441" s="17">
        <f>IF(Lists!$E441="","",Lists!$E441)</f>
        <v>0</v>
      </c>
      <c r="AQ441" s="23">
        <f>IF(AP441="","",COUNTIF(Performance!$G$5:$G$404,AP441))</f>
        <v>0</v>
      </c>
      <c r="AR441" s="23">
        <f>IF(AP441="","",SUMIFS(Performance!$O$5:$O$404,Performance!$G$5:$G$404,AP441))</f>
        <v>0</v>
      </c>
      <c r="AS441" s="23">
        <f>IF(AP441="","",SUMIFS(Performance!$Z$5:$Z$404,Performance!$G$5:$G$404,AP441))</f>
        <v>0</v>
      </c>
      <c r="AT441" s="24">
        <f>IF(OR(AR441="",AR441=0),"",AS441/AR441)</f>
        <v>0</v>
      </c>
      <c r="AU441" s="32">
        <f>IF(AQ441=0,"",IF(AT441="","",AT441+ROW()/1000000))</f>
        <v>0</v>
      </c>
      <c r="AV441" s="17">
        <f>IF(ROW()-4&gt;7,"",TEXT(DATE(2024,1,ROW()-4),"ddd"))</f>
        <v>0</v>
      </c>
      <c r="AW441" s="23">
        <f>IF(AV441="","",COUNTIF(Performance!$N$5:$N$404,AV441))</f>
        <v>0</v>
      </c>
      <c r="AX441" s="23">
        <f>IF(AV441="","",SUMIFS(Performance!$O$5:$O$404,Performance!$N$5:$N$404,AV441))</f>
        <v>0</v>
      </c>
      <c r="AY441" s="23">
        <f>IF(AV441="","",SUMIFS(Performance!$Z$5:$Z$404,Performance!$N$5:$N$404,AV441))</f>
        <v>0</v>
      </c>
      <c r="AZ441" s="24">
        <f>IF(OR(AX441="",AX441=0),"",AY441/AX441)</f>
        <v>0</v>
      </c>
      <c r="BA441" s="32">
        <f>IF(AW441=0,"",IF(AZ441="","",AZ441+ROW()/1000000))</f>
        <v>0</v>
      </c>
      <c r="BB441" s="17">
        <f>IF(Lists!$AL441="","",Lists!$AL441)</f>
        <v>0</v>
      </c>
      <c r="BC441" s="23">
        <f>IF(BB441="","",COUNTIF(Performance!$M$5:$M$404,BB441))</f>
        <v>0</v>
      </c>
      <c r="BD441" s="23">
        <f>IF(BB441="","",SUMIFS(Performance!$O$5:$O$404,Performance!$M$5:$M$404,BB441))</f>
        <v>0</v>
      </c>
      <c r="BE441" s="23">
        <f>IF(BB441="","",SUMIFS(Performance!$Z$5:$Z$404,Performance!$M$5:$M$404,BB441))</f>
        <v>0</v>
      </c>
      <c r="BF441" s="24">
        <f>IF(OR(BD441="",BD441=0),"",BE441/BD441)</f>
        <v>0</v>
      </c>
      <c r="BG441" s="32">
        <f>IF(BC441=0,"",IF(BF441="","",BF441+ROW()/1000000))</f>
        <v>0</v>
      </c>
      <c r="BH441" s="17">
        <f>IF(Performance!$C$441="","",Performance!$C$441)</f>
        <v>0</v>
      </c>
      <c r="BI441" s="17">
        <f>IF(Performance!$F$441="","",Performance!$F$441)</f>
        <v>0</v>
      </c>
      <c r="BJ441" s="17">
        <f>IF(Performance!$H$441="","",Performance!$H$441)</f>
        <v>0</v>
      </c>
      <c r="BK441" s="16">
        <f>IF(Performance!$D$441="","",Performance!$D$441)</f>
        <v>0</v>
      </c>
      <c r="BL441" s="17">
        <f>IF(Performance!$E$441="","",Performance!$E$441)</f>
        <v>0</v>
      </c>
      <c r="BM441" s="23">
        <f>IF(Performance!$O$441="","",Performance!$O$441)</f>
        <v>0</v>
      </c>
      <c r="BN441" s="24">
        <f>IF(Performance!$AA$441="","",Performance!$AA$441)</f>
        <v>0</v>
      </c>
      <c r="BO441" s="32">
        <f>IF(BH441="","",IF(BK441="","",IF(OR(BK441&lt;DashStart,BK441&gt;DashEnd),"",IF(BN441="","",BN441+ROW()/1000000))))</f>
        <v>0</v>
      </c>
      <c r="BP441" s="32">
        <f>IF(BM441="","",IF(BK441="","",IF(OR(BK441&lt;DashStart,BK441&gt;DashEnd),"",BM441+ROW()/1000000)))</f>
        <v>0</v>
      </c>
      <c r="BQ441" s="32">
        <f>IF(BH441="","",IF(BK441="","",IF(YEAR(BK441)&lt;&gt;PlanYear,"",IF(BN441="","",BN441+ROW()/1000000))))</f>
        <v>0</v>
      </c>
      <c r="BR441" s="32">
        <f>IF(BH441="","",IF(BK441="","",IF(OR(BK441&lt;RepFrom,BK441&gt;RepTo),"",IF(BN441="","",BN441+ROW()/1000000))))</f>
        <v>0</v>
      </c>
      <c r="BS441" s="32">
        <f>IF(BM441="","",IF(BK441="","",IF(YEAR(BK441)&lt;&gt;PlanYear,"",BM441+ROW()/1000000)))</f>
        <v>0</v>
      </c>
      <c r="BT441" s="17">
        <f>IF(Lists!$F441="","",Lists!$F441)</f>
        <v>0</v>
      </c>
      <c r="BU441" s="23">
        <f>IF(BT441="","",COUNTIF('Content Calendar'!$X$5:$X$604,BT441))</f>
        <v>0</v>
      </c>
      <c r="BV441" s="23">
        <f>IF(BT441="","",COUNTIFS('Content Calendar'!$X$5:$X$604,BT441,'Content Calendar'!$B$5:$B$604,"&gt;="&amp;DashStart,'Content Calendar'!$B$5:$B$604,"&lt;="&amp;DashEnd))</f>
        <v>0</v>
      </c>
      <c r="BW441" s="17">
        <f>IF(Team!$B$441="","",Team!$B$441)</f>
        <v>0</v>
      </c>
      <c r="BX441" s="23">
        <f>IF(BW441="","",COUNTIF('Content Calendar'!$W$5:$W$604,BW441))</f>
        <v>0</v>
      </c>
      <c r="BY441" s="23">
        <f>IF(BW441="","",COUNTIFS('Content Calendar'!$W$5:$W$604,BW441,'Content Calendar'!$X$5:$X$604,"&lt;&gt;Published"))</f>
        <v>0</v>
      </c>
      <c r="BZ441" s="23">
        <f>IF(BW441="","",COUNTIFS(Tasks!$C$5:$C$64,BW441,Tasks!$G$5:$G$64,"&lt;&gt;Complete"))</f>
        <v>0</v>
      </c>
      <c r="CA441" s="17">
        <f>IF(Campaigns!$B$441="","",Campaigns!$B$441)</f>
        <v>0</v>
      </c>
      <c r="CB441" s="25">
        <f>IF(Campaigns!$T$441="","",Campaigns!$T$441)</f>
        <v>0</v>
      </c>
      <c r="CC441" s="25">
        <f>IF(Campaigns!$Q$441="","",Campaigns!$Q$441)</f>
        <v>0</v>
      </c>
      <c r="CD441" s="23">
        <f>IF(Campaigns!$Y$441="","",Campaigns!$Y$441)</f>
        <v>0</v>
      </c>
      <c r="CE441" s="32">
        <f>IF(CA441="","",IF(N(CB441)&lt;=0,"",N(CB441)+ROW()/1000000))</f>
        <v>0</v>
      </c>
      <c r="CF441" s="17">
        <f>IF(Accounts!$C$441="","",Accounts!$C$441)</f>
        <v>0</v>
      </c>
      <c r="CG441" s="17">
        <f>IF(Accounts!$B$441="","",Accounts!$B$441)</f>
        <v>0</v>
      </c>
      <c r="CH441" s="23">
        <f>IF(Accounts!$J$441="","",Accounts!$J$441)</f>
        <v>0</v>
      </c>
      <c r="CI441" s="23">
        <f>IF(CF441="","",SUMIFS(Analytics!$X$5:$X$154,Analytics!$E$5:$E$154,CF441,Analytics!$B$5:$B$154,"&gt;="&amp;DashStart,Analytics!$B$5:$B$154,"&lt;="&amp;DashEnd))</f>
        <v>0</v>
      </c>
      <c r="CJ441" s="32">
        <f>IF(CH441="","",IF(CH441=0,"",CH441+ROW()/1000000))</f>
        <v>0</v>
      </c>
    </row>
    <row r="442" spans="1:88">
      <c r="A442" s="16">
        <f>IF(ROW()-4&gt;12,"",DATE(PlanYear,ROW()-4,1))</f>
        <v>0</v>
      </c>
      <c r="B442" s="16">
        <f>IF(A442="","",EOMONTH(A442,0))</f>
        <v>0</v>
      </c>
      <c r="C442" s="17">
        <f>IF(A442="","",TEXT(A442,"yyyy-mm"))</f>
        <v>0</v>
      </c>
      <c r="D442" s="17">
        <f>IF(A442="","",TEXT(A442,"mmm"))</f>
        <v>0</v>
      </c>
      <c r="E442" s="23">
        <f>IF(C442="","",COUNTIFS('Content Calendar'!$D$5:$D$604,C442))</f>
        <v>0</v>
      </c>
      <c r="F442" s="23">
        <f>IF(C442="","",COUNTIFS('Content Calendar'!$D$5:$D$604,C442,'Content Calendar'!$X$5:$X$604,"Published"))</f>
        <v>0</v>
      </c>
      <c r="G442" s="23">
        <f>IF(C442="","",SUMIFS(Analytics!$J$5:$J$154,Analytics!$C$5:$C$154,C442))</f>
        <v>0</v>
      </c>
      <c r="H442" s="23">
        <f>IF(C442="","",SUMIFS(Analytics!$K$5:$K$154,Analytics!$C$5:$C$154,C442))</f>
        <v>0</v>
      </c>
      <c r="I442" s="23">
        <f>IF(C442="","",SUMIFS(Analytics!$L$5:$L$154,Analytics!$C$5:$C$154,C442))</f>
        <v>0</v>
      </c>
      <c r="J442" s="24">
        <f>IF(OR(G442="",G442=0),"",I442/G442)</f>
        <v>0</v>
      </c>
      <c r="K442" s="23">
        <f>IF(C442="","",SUMIFS(Analytics!$G$5:$G$154,Analytics!$C$5:$C$154,C442))</f>
        <v>0</v>
      </c>
      <c r="L442" s="23">
        <f>IF(C442="","",SUMIFS(Analytics!$X$5:$X$154,Analytics!$C$5:$C$154,C442))</f>
        <v>0</v>
      </c>
      <c r="M442" s="23">
        <f>IF(C442="","",SUMIFS(Analytics!$R$5:$R$154,Analytics!$C$5:$C$154,C442))</f>
        <v>0</v>
      </c>
      <c r="N442" s="23">
        <f>IF(C442="","",SUMIFS(Analytics!$S$5:$S$154,Analytics!$C$5:$C$154,C442))</f>
        <v>0</v>
      </c>
      <c r="O442" s="23">
        <f>IF(C442="","",SUMIFS(Analytics!$T$5:$T$154,Analytics!$C$5:$C$154,C442))</f>
        <v>0</v>
      </c>
      <c r="P442" s="25">
        <f>IF(C442="","",SUMIFS(Analytics!$U$5:$U$154,Analytics!$C$5:$C$154,C442))</f>
        <v>0</v>
      </c>
      <c r="Q442" s="25">
        <f>IF(C442="","",SUMIFS(Budget!$H$5:$H$64,Budget!$C$5:$C$64,C442))</f>
        <v>0</v>
      </c>
      <c r="R442" s="25">
        <f>IF(C442="","",P442-Q442)</f>
        <v>0</v>
      </c>
      <c r="S442" s="23">
        <f>IF(C442="","",MonthlyPostTarget)</f>
        <v>0</v>
      </c>
      <c r="T442" s="17">
        <f>IF(Lists!$C442="","",Lists!$C442)</f>
        <v>0</v>
      </c>
      <c r="U442" s="23">
        <f>IF(T442="","",COUNTIFS('Content Calendar'!$G$5:$G$604,T442,'Content Calendar'!$B$5:$B$604,"&gt;="&amp;DashStart,'Content Calendar'!$B$5:$B$604,"&lt;="&amp;DashEnd))</f>
        <v>0</v>
      </c>
      <c r="V442" s="23">
        <f>IF(T442="","",COUNTIFS('Content Calendar'!$G$5:$G$604,T442,'Content Calendar'!$X$5:$X$604,"Published",'Content Calendar'!$B$5:$B$604,"&gt;="&amp;DashStart,'Content Calendar'!$B$5:$B$604,"&lt;="&amp;DashEnd))</f>
        <v>0</v>
      </c>
      <c r="W442" s="23">
        <f>IF(T442="","",SUMIFS(Analytics!$J$5:$J$154,Analytics!$D$5:$D$154,T442,Analytics!$B$5:$B$154,"&gt;="&amp;DashStart,Analytics!$B$5:$B$154,"&lt;="&amp;DashEnd))</f>
        <v>0</v>
      </c>
      <c r="X442" s="23">
        <f>IF(T442="","",SUMIFS(Analytics!$L$5:$L$154,Analytics!$D$5:$D$154,T442,Analytics!$B$5:$B$154,"&gt;="&amp;DashStart,Analytics!$B$5:$B$154,"&lt;="&amp;DashEnd))</f>
        <v>0</v>
      </c>
      <c r="Y442" s="24">
        <f>IF(OR(W442="",W442=0),"",X442/W442)</f>
        <v>0</v>
      </c>
      <c r="Z442" s="23">
        <f>IF(T442="","",SUMIFS(Analytics!$G$5:$G$154,Analytics!$D$5:$D$154,T442,Analytics!$B$5:$B$154,"&gt;="&amp;DashStart,Analytics!$B$5:$B$154,"&lt;="&amp;DashEnd))</f>
        <v>0</v>
      </c>
      <c r="AA442" s="23">
        <f>IF(T442="","",SUMIFS(Analytics!$X$5:$X$154,Analytics!$D$5:$D$154,T442,Analytics!$B$5:$B$154,"&gt;="&amp;DashStart,Analytics!$B$5:$B$154,"&lt;="&amp;DashEnd))</f>
        <v>0</v>
      </c>
      <c r="AB442" s="23">
        <f>IF(T442="","",SUMIFS(Analytics!$R$5:$R$154,Analytics!$D$5:$D$154,T442,Analytics!$B$5:$B$154,"&gt;="&amp;DashStart,Analytics!$B$5:$B$154,"&lt;="&amp;DashEnd))</f>
        <v>0</v>
      </c>
      <c r="AC442" s="25">
        <f>IF(T442="","",SUMIFS(Analytics!$U$5:$U$154,Analytics!$D$5:$D$154,T442,Analytics!$B$5:$B$154,"&gt;="&amp;DashStart,Analytics!$B$5:$B$154,"&lt;="&amp;DashEnd))</f>
        <v>0</v>
      </c>
      <c r="AD442" s="23">
        <f>IF(T442="","",COUNTIFS('Content Calendar'!$G$5:$G$604,T442,'Content Calendar'!$B$5:$B$604,"&gt;="&amp;DATE(PlanYear,1,1),'Content Calendar'!$B$5:$B$604,"&lt;="&amp;DATE(PlanYear,12,31)))</f>
        <v>0</v>
      </c>
      <c r="AE442" s="23">
        <f>IF(T442="","",SUMIFS(Analytics!$J$5:$J$154,Analytics!$D$5:$D$154,T442))</f>
        <v>0</v>
      </c>
      <c r="AF442" s="23">
        <f>IF(T442="","",SUMIFS(Analytics!$L$5:$L$154,Analytics!$D$5:$D$154,T442))</f>
        <v>0</v>
      </c>
      <c r="AG442" s="24">
        <f>IF(OR(AE442="",AE442=0),"",AF442/AE442)</f>
        <v>0</v>
      </c>
      <c r="AH442" s="23">
        <f>IF(T442="","",SUMIFS(Analytics!$X$5:$X$154,Analytics!$D$5:$D$154,T442))</f>
        <v>0</v>
      </c>
      <c r="AI442" s="32">
        <f>IF(T442="","",IF(AE442=0,"",AE442+ROW()/1000000))</f>
        <v>0</v>
      </c>
      <c r="AJ442" s="17">
        <f>IF('Content Pillars'!$B$442="","",'Content Pillars'!$B$442)</f>
        <v>0</v>
      </c>
      <c r="AK442" s="23">
        <f>IF(AJ442="","",COUNTIFS('Content Calendar'!$J$5:$J$604,AJ442,'Content Calendar'!$B$5:$B$604,"&gt;="&amp;DATE(PlanYear,1,1),'Content Calendar'!$B$5:$B$604,"&lt;="&amp;DATE(PlanYear,12,31)))</f>
        <v>0</v>
      </c>
      <c r="AL442" s="23">
        <f>IF(AJ442="","",SUMIFS(Performance!$O$5:$O$404,Performance!$H$5:$H$404,AJ442))</f>
        <v>0</v>
      </c>
      <c r="AM442" s="23">
        <f>IF(AJ442="","",SUMIFS(Performance!$Z$5:$Z$404,Performance!$H$5:$H$404,AJ442))</f>
        <v>0</v>
      </c>
      <c r="AN442" s="24">
        <f>IF(OR(AL442="",AL442=0),"",AM442/AL442)</f>
        <v>0</v>
      </c>
      <c r="AO442" s="32">
        <f>IF(AN442="","",AN442+ROW()/1000000)</f>
        <v>0</v>
      </c>
      <c r="AP442" s="17">
        <f>IF(Lists!$E442="","",Lists!$E442)</f>
        <v>0</v>
      </c>
      <c r="AQ442" s="23">
        <f>IF(AP442="","",COUNTIF(Performance!$G$5:$G$404,AP442))</f>
        <v>0</v>
      </c>
      <c r="AR442" s="23">
        <f>IF(AP442="","",SUMIFS(Performance!$O$5:$O$404,Performance!$G$5:$G$404,AP442))</f>
        <v>0</v>
      </c>
      <c r="AS442" s="23">
        <f>IF(AP442="","",SUMIFS(Performance!$Z$5:$Z$404,Performance!$G$5:$G$404,AP442))</f>
        <v>0</v>
      </c>
      <c r="AT442" s="24">
        <f>IF(OR(AR442="",AR442=0),"",AS442/AR442)</f>
        <v>0</v>
      </c>
      <c r="AU442" s="32">
        <f>IF(AQ442=0,"",IF(AT442="","",AT442+ROW()/1000000))</f>
        <v>0</v>
      </c>
      <c r="AV442" s="17">
        <f>IF(ROW()-4&gt;7,"",TEXT(DATE(2024,1,ROW()-4),"ddd"))</f>
        <v>0</v>
      </c>
      <c r="AW442" s="23">
        <f>IF(AV442="","",COUNTIF(Performance!$N$5:$N$404,AV442))</f>
        <v>0</v>
      </c>
      <c r="AX442" s="23">
        <f>IF(AV442="","",SUMIFS(Performance!$O$5:$O$404,Performance!$N$5:$N$404,AV442))</f>
        <v>0</v>
      </c>
      <c r="AY442" s="23">
        <f>IF(AV442="","",SUMIFS(Performance!$Z$5:$Z$404,Performance!$N$5:$N$404,AV442))</f>
        <v>0</v>
      </c>
      <c r="AZ442" s="24">
        <f>IF(OR(AX442="",AX442=0),"",AY442/AX442)</f>
        <v>0</v>
      </c>
      <c r="BA442" s="32">
        <f>IF(AW442=0,"",IF(AZ442="","",AZ442+ROW()/1000000))</f>
        <v>0</v>
      </c>
      <c r="BB442" s="17">
        <f>IF(Lists!$AL442="","",Lists!$AL442)</f>
        <v>0</v>
      </c>
      <c r="BC442" s="23">
        <f>IF(BB442="","",COUNTIF(Performance!$M$5:$M$404,BB442))</f>
        <v>0</v>
      </c>
      <c r="BD442" s="23">
        <f>IF(BB442="","",SUMIFS(Performance!$O$5:$O$404,Performance!$M$5:$M$404,BB442))</f>
        <v>0</v>
      </c>
      <c r="BE442" s="23">
        <f>IF(BB442="","",SUMIFS(Performance!$Z$5:$Z$404,Performance!$M$5:$M$404,BB442))</f>
        <v>0</v>
      </c>
      <c r="BF442" s="24">
        <f>IF(OR(BD442="",BD442=0),"",BE442/BD442)</f>
        <v>0</v>
      </c>
      <c r="BG442" s="32">
        <f>IF(BC442=0,"",IF(BF442="","",BF442+ROW()/1000000))</f>
        <v>0</v>
      </c>
      <c r="BH442" s="17">
        <f>IF(Performance!$C$442="","",Performance!$C$442)</f>
        <v>0</v>
      </c>
      <c r="BI442" s="17">
        <f>IF(Performance!$F$442="","",Performance!$F$442)</f>
        <v>0</v>
      </c>
      <c r="BJ442" s="17">
        <f>IF(Performance!$H$442="","",Performance!$H$442)</f>
        <v>0</v>
      </c>
      <c r="BK442" s="16">
        <f>IF(Performance!$D$442="","",Performance!$D$442)</f>
        <v>0</v>
      </c>
      <c r="BL442" s="17">
        <f>IF(Performance!$E$442="","",Performance!$E$442)</f>
        <v>0</v>
      </c>
      <c r="BM442" s="23">
        <f>IF(Performance!$O$442="","",Performance!$O$442)</f>
        <v>0</v>
      </c>
      <c r="BN442" s="24">
        <f>IF(Performance!$AA$442="","",Performance!$AA$442)</f>
        <v>0</v>
      </c>
      <c r="BO442" s="32">
        <f>IF(BH442="","",IF(BK442="","",IF(OR(BK442&lt;DashStart,BK442&gt;DashEnd),"",IF(BN442="","",BN442+ROW()/1000000))))</f>
        <v>0</v>
      </c>
      <c r="BP442" s="32">
        <f>IF(BM442="","",IF(BK442="","",IF(OR(BK442&lt;DashStart,BK442&gt;DashEnd),"",BM442+ROW()/1000000)))</f>
        <v>0</v>
      </c>
      <c r="BQ442" s="32">
        <f>IF(BH442="","",IF(BK442="","",IF(YEAR(BK442)&lt;&gt;PlanYear,"",IF(BN442="","",BN442+ROW()/1000000))))</f>
        <v>0</v>
      </c>
      <c r="BR442" s="32">
        <f>IF(BH442="","",IF(BK442="","",IF(OR(BK442&lt;RepFrom,BK442&gt;RepTo),"",IF(BN442="","",BN442+ROW()/1000000))))</f>
        <v>0</v>
      </c>
      <c r="BS442" s="32">
        <f>IF(BM442="","",IF(BK442="","",IF(YEAR(BK442)&lt;&gt;PlanYear,"",BM442+ROW()/1000000)))</f>
        <v>0</v>
      </c>
      <c r="BT442" s="17">
        <f>IF(Lists!$F442="","",Lists!$F442)</f>
        <v>0</v>
      </c>
      <c r="BU442" s="23">
        <f>IF(BT442="","",COUNTIF('Content Calendar'!$X$5:$X$604,BT442))</f>
        <v>0</v>
      </c>
      <c r="BV442" s="23">
        <f>IF(BT442="","",COUNTIFS('Content Calendar'!$X$5:$X$604,BT442,'Content Calendar'!$B$5:$B$604,"&gt;="&amp;DashStart,'Content Calendar'!$B$5:$B$604,"&lt;="&amp;DashEnd))</f>
        <v>0</v>
      </c>
      <c r="BW442" s="17">
        <f>IF(Team!$B$442="","",Team!$B$442)</f>
        <v>0</v>
      </c>
      <c r="BX442" s="23">
        <f>IF(BW442="","",COUNTIF('Content Calendar'!$W$5:$W$604,BW442))</f>
        <v>0</v>
      </c>
      <c r="BY442" s="23">
        <f>IF(BW442="","",COUNTIFS('Content Calendar'!$W$5:$W$604,BW442,'Content Calendar'!$X$5:$X$604,"&lt;&gt;Published"))</f>
        <v>0</v>
      </c>
      <c r="BZ442" s="23">
        <f>IF(BW442="","",COUNTIFS(Tasks!$C$5:$C$64,BW442,Tasks!$G$5:$G$64,"&lt;&gt;Complete"))</f>
        <v>0</v>
      </c>
      <c r="CA442" s="17">
        <f>IF(Campaigns!$B$442="","",Campaigns!$B$442)</f>
        <v>0</v>
      </c>
      <c r="CB442" s="25">
        <f>IF(Campaigns!$T$442="","",Campaigns!$T$442)</f>
        <v>0</v>
      </c>
      <c r="CC442" s="25">
        <f>IF(Campaigns!$Q$442="","",Campaigns!$Q$442)</f>
        <v>0</v>
      </c>
      <c r="CD442" s="23">
        <f>IF(Campaigns!$Y$442="","",Campaigns!$Y$442)</f>
        <v>0</v>
      </c>
      <c r="CE442" s="32">
        <f>IF(CA442="","",IF(N(CB442)&lt;=0,"",N(CB442)+ROW()/1000000))</f>
        <v>0</v>
      </c>
      <c r="CF442" s="17">
        <f>IF(Accounts!$C$442="","",Accounts!$C$442)</f>
        <v>0</v>
      </c>
      <c r="CG442" s="17">
        <f>IF(Accounts!$B$442="","",Accounts!$B$442)</f>
        <v>0</v>
      </c>
      <c r="CH442" s="23">
        <f>IF(Accounts!$J$442="","",Accounts!$J$442)</f>
        <v>0</v>
      </c>
      <c r="CI442" s="23">
        <f>IF(CF442="","",SUMIFS(Analytics!$X$5:$X$154,Analytics!$E$5:$E$154,CF442,Analytics!$B$5:$B$154,"&gt;="&amp;DashStart,Analytics!$B$5:$B$154,"&lt;="&amp;DashEnd))</f>
        <v>0</v>
      </c>
      <c r="CJ442" s="32">
        <f>IF(CH442="","",IF(CH442=0,"",CH442+ROW()/1000000))</f>
        <v>0</v>
      </c>
    </row>
    <row r="443" spans="1:88">
      <c r="A443" s="16">
        <f>IF(ROW()-4&gt;12,"",DATE(PlanYear,ROW()-4,1))</f>
        <v>0</v>
      </c>
      <c r="B443" s="16">
        <f>IF(A443="","",EOMONTH(A443,0))</f>
        <v>0</v>
      </c>
      <c r="C443" s="17">
        <f>IF(A443="","",TEXT(A443,"yyyy-mm"))</f>
        <v>0</v>
      </c>
      <c r="D443" s="17">
        <f>IF(A443="","",TEXT(A443,"mmm"))</f>
        <v>0</v>
      </c>
      <c r="E443" s="23">
        <f>IF(C443="","",COUNTIFS('Content Calendar'!$D$5:$D$604,C443))</f>
        <v>0</v>
      </c>
      <c r="F443" s="23">
        <f>IF(C443="","",COUNTIFS('Content Calendar'!$D$5:$D$604,C443,'Content Calendar'!$X$5:$X$604,"Published"))</f>
        <v>0</v>
      </c>
      <c r="G443" s="23">
        <f>IF(C443="","",SUMIFS(Analytics!$J$5:$J$154,Analytics!$C$5:$C$154,C443))</f>
        <v>0</v>
      </c>
      <c r="H443" s="23">
        <f>IF(C443="","",SUMIFS(Analytics!$K$5:$K$154,Analytics!$C$5:$C$154,C443))</f>
        <v>0</v>
      </c>
      <c r="I443" s="23">
        <f>IF(C443="","",SUMIFS(Analytics!$L$5:$L$154,Analytics!$C$5:$C$154,C443))</f>
        <v>0</v>
      </c>
      <c r="J443" s="24">
        <f>IF(OR(G443="",G443=0),"",I443/G443)</f>
        <v>0</v>
      </c>
      <c r="K443" s="23">
        <f>IF(C443="","",SUMIFS(Analytics!$G$5:$G$154,Analytics!$C$5:$C$154,C443))</f>
        <v>0</v>
      </c>
      <c r="L443" s="23">
        <f>IF(C443="","",SUMIFS(Analytics!$X$5:$X$154,Analytics!$C$5:$C$154,C443))</f>
        <v>0</v>
      </c>
      <c r="M443" s="23">
        <f>IF(C443="","",SUMIFS(Analytics!$R$5:$R$154,Analytics!$C$5:$C$154,C443))</f>
        <v>0</v>
      </c>
      <c r="N443" s="23">
        <f>IF(C443="","",SUMIFS(Analytics!$S$5:$S$154,Analytics!$C$5:$C$154,C443))</f>
        <v>0</v>
      </c>
      <c r="O443" s="23">
        <f>IF(C443="","",SUMIFS(Analytics!$T$5:$T$154,Analytics!$C$5:$C$154,C443))</f>
        <v>0</v>
      </c>
      <c r="P443" s="25">
        <f>IF(C443="","",SUMIFS(Analytics!$U$5:$U$154,Analytics!$C$5:$C$154,C443))</f>
        <v>0</v>
      </c>
      <c r="Q443" s="25">
        <f>IF(C443="","",SUMIFS(Budget!$H$5:$H$64,Budget!$C$5:$C$64,C443))</f>
        <v>0</v>
      </c>
      <c r="R443" s="25">
        <f>IF(C443="","",P443-Q443)</f>
        <v>0</v>
      </c>
      <c r="S443" s="23">
        <f>IF(C443="","",MonthlyPostTarget)</f>
        <v>0</v>
      </c>
      <c r="T443" s="17">
        <f>IF(Lists!$C443="","",Lists!$C443)</f>
        <v>0</v>
      </c>
      <c r="U443" s="23">
        <f>IF(T443="","",COUNTIFS('Content Calendar'!$G$5:$G$604,T443,'Content Calendar'!$B$5:$B$604,"&gt;="&amp;DashStart,'Content Calendar'!$B$5:$B$604,"&lt;="&amp;DashEnd))</f>
        <v>0</v>
      </c>
      <c r="V443" s="23">
        <f>IF(T443="","",COUNTIFS('Content Calendar'!$G$5:$G$604,T443,'Content Calendar'!$X$5:$X$604,"Published",'Content Calendar'!$B$5:$B$604,"&gt;="&amp;DashStart,'Content Calendar'!$B$5:$B$604,"&lt;="&amp;DashEnd))</f>
        <v>0</v>
      </c>
      <c r="W443" s="23">
        <f>IF(T443="","",SUMIFS(Analytics!$J$5:$J$154,Analytics!$D$5:$D$154,T443,Analytics!$B$5:$B$154,"&gt;="&amp;DashStart,Analytics!$B$5:$B$154,"&lt;="&amp;DashEnd))</f>
        <v>0</v>
      </c>
      <c r="X443" s="23">
        <f>IF(T443="","",SUMIFS(Analytics!$L$5:$L$154,Analytics!$D$5:$D$154,T443,Analytics!$B$5:$B$154,"&gt;="&amp;DashStart,Analytics!$B$5:$B$154,"&lt;="&amp;DashEnd))</f>
        <v>0</v>
      </c>
      <c r="Y443" s="24">
        <f>IF(OR(W443="",W443=0),"",X443/W443)</f>
        <v>0</v>
      </c>
      <c r="Z443" s="23">
        <f>IF(T443="","",SUMIFS(Analytics!$G$5:$G$154,Analytics!$D$5:$D$154,T443,Analytics!$B$5:$B$154,"&gt;="&amp;DashStart,Analytics!$B$5:$B$154,"&lt;="&amp;DashEnd))</f>
        <v>0</v>
      </c>
      <c r="AA443" s="23">
        <f>IF(T443="","",SUMIFS(Analytics!$X$5:$X$154,Analytics!$D$5:$D$154,T443,Analytics!$B$5:$B$154,"&gt;="&amp;DashStart,Analytics!$B$5:$B$154,"&lt;="&amp;DashEnd))</f>
        <v>0</v>
      </c>
      <c r="AB443" s="23">
        <f>IF(T443="","",SUMIFS(Analytics!$R$5:$R$154,Analytics!$D$5:$D$154,T443,Analytics!$B$5:$B$154,"&gt;="&amp;DashStart,Analytics!$B$5:$B$154,"&lt;="&amp;DashEnd))</f>
        <v>0</v>
      </c>
      <c r="AC443" s="25">
        <f>IF(T443="","",SUMIFS(Analytics!$U$5:$U$154,Analytics!$D$5:$D$154,T443,Analytics!$B$5:$B$154,"&gt;="&amp;DashStart,Analytics!$B$5:$B$154,"&lt;="&amp;DashEnd))</f>
        <v>0</v>
      </c>
      <c r="AD443" s="23">
        <f>IF(T443="","",COUNTIFS('Content Calendar'!$G$5:$G$604,T443,'Content Calendar'!$B$5:$B$604,"&gt;="&amp;DATE(PlanYear,1,1),'Content Calendar'!$B$5:$B$604,"&lt;="&amp;DATE(PlanYear,12,31)))</f>
        <v>0</v>
      </c>
      <c r="AE443" s="23">
        <f>IF(T443="","",SUMIFS(Analytics!$J$5:$J$154,Analytics!$D$5:$D$154,T443))</f>
        <v>0</v>
      </c>
      <c r="AF443" s="23">
        <f>IF(T443="","",SUMIFS(Analytics!$L$5:$L$154,Analytics!$D$5:$D$154,T443))</f>
        <v>0</v>
      </c>
      <c r="AG443" s="24">
        <f>IF(OR(AE443="",AE443=0),"",AF443/AE443)</f>
        <v>0</v>
      </c>
      <c r="AH443" s="23">
        <f>IF(T443="","",SUMIFS(Analytics!$X$5:$X$154,Analytics!$D$5:$D$154,T443))</f>
        <v>0</v>
      </c>
      <c r="AI443" s="32">
        <f>IF(T443="","",IF(AE443=0,"",AE443+ROW()/1000000))</f>
        <v>0</v>
      </c>
      <c r="AJ443" s="17">
        <f>IF('Content Pillars'!$B$443="","",'Content Pillars'!$B$443)</f>
        <v>0</v>
      </c>
      <c r="AK443" s="23">
        <f>IF(AJ443="","",COUNTIFS('Content Calendar'!$J$5:$J$604,AJ443,'Content Calendar'!$B$5:$B$604,"&gt;="&amp;DATE(PlanYear,1,1),'Content Calendar'!$B$5:$B$604,"&lt;="&amp;DATE(PlanYear,12,31)))</f>
        <v>0</v>
      </c>
      <c r="AL443" s="23">
        <f>IF(AJ443="","",SUMIFS(Performance!$O$5:$O$404,Performance!$H$5:$H$404,AJ443))</f>
        <v>0</v>
      </c>
      <c r="AM443" s="23">
        <f>IF(AJ443="","",SUMIFS(Performance!$Z$5:$Z$404,Performance!$H$5:$H$404,AJ443))</f>
        <v>0</v>
      </c>
      <c r="AN443" s="24">
        <f>IF(OR(AL443="",AL443=0),"",AM443/AL443)</f>
        <v>0</v>
      </c>
      <c r="AO443" s="32">
        <f>IF(AN443="","",AN443+ROW()/1000000)</f>
        <v>0</v>
      </c>
      <c r="AP443" s="17">
        <f>IF(Lists!$E443="","",Lists!$E443)</f>
        <v>0</v>
      </c>
      <c r="AQ443" s="23">
        <f>IF(AP443="","",COUNTIF(Performance!$G$5:$G$404,AP443))</f>
        <v>0</v>
      </c>
      <c r="AR443" s="23">
        <f>IF(AP443="","",SUMIFS(Performance!$O$5:$O$404,Performance!$G$5:$G$404,AP443))</f>
        <v>0</v>
      </c>
      <c r="AS443" s="23">
        <f>IF(AP443="","",SUMIFS(Performance!$Z$5:$Z$404,Performance!$G$5:$G$404,AP443))</f>
        <v>0</v>
      </c>
      <c r="AT443" s="24">
        <f>IF(OR(AR443="",AR443=0),"",AS443/AR443)</f>
        <v>0</v>
      </c>
      <c r="AU443" s="32">
        <f>IF(AQ443=0,"",IF(AT443="","",AT443+ROW()/1000000))</f>
        <v>0</v>
      </c>
      <c r="AV443" s="17">
        <f>IF(ROW()-4&gt;7,"",TEXT(DATE(2024,1,ROW()-4),"ddd"))</f>
        <v>0</v>
      </c>
      <c r="AW443" s="23">
        <f>IF(AV443="","",COUNTIF(Performance!$N$5:$N$404,AV443))</f>
        <v>0</v>
      </c>
      <c r="AX443" s="23">
        <f>IF(AV443="","",SUMIFS(Performance!$O$5:$O$404,Performance!$N$5:$N$404,AV443))</f>
        <v>0</v>
      </c>
      <c r="AY443" s="23">
        <f>IF(AV443="","",SUMIFS(Performance!$Z$5:$Z$404,Performance!$N$5:$N$404,AV443))</f>
        <v>0</v>
      </c>
      <c r="AZ443" s="24">
        <f>IF(OR(AX443="",AX443=0),"",AY443/AX443)</f>
        <v>0</v>
      </c>
      <c r="BA443" s="32">
        <f>IF(AW443=0,"",IF(AZ443="","",AZ443+ROW()/1000000))</f>
        <v>0</v>
      </c>
      <c r="BB443" s="17">
        <f>IF(Lists!$AL443="","",Lists!$AL443)</f>
        <v>0</v>
      </c>
      <c r="BC443" s="23">
        <f>IF(BB443="","",COUNTIF(Performance!$M$5:$M$404,BB443))</f>
        <v>0</v>
      </c>
      <c r="BD443" s="23">
        <f>IF(BB443="","",SUMIFS(Performance!$O$5:$O$404,Performance!$M$5:$M$404,BB443))</f>
        <v>0</v>
      </c>
      <c r="BE443" s="23">
        <f>IF(BB443="","",SUMIFS(Performance!$Z$5:$Z$404,Performance!$M$5:$M$404,BB443))</f>
        <v>0</v>
      </c>
      <c r="BF443" s="24">
        <f>IF(OR(BD443="",BD443=0),"",BE443/BD443)</f>
        <v>0</v>
      </c>
      <c r="BG443" s="32">
        <f>IF(BC443=0,"",IF(BF443="","",BF443+ROW()/1000000))</f>
        <v>0</v>
      </c>
      <c r="BH443" s="17">
        <f>IF(Performance!$C$443="","",Performance!$C$443)</f>
        <v>0</v>
      </c>
      <c r="BI443" s="17">
        <f>IF(Performance!$F$443="","",Performance!$F$443)</f>
        <v>0</v>
      </c>
      <c r="BJ443" s="17">
        <f>IF(Performance!$H$443="","",Performance!$H$443)</f>
        <v>0</v>
      </c>
      <c r="BK443" s="16">
        <f>IF(Performance!$D$443="","",Performance!$D$443)</f>
        <v>0</v>
      </c>
      <c r="BL443" s="17">
        <f>IF(Performance!$E$443="","",Performance!$E$443)</f>
        <v>0</v>
      </c>
      <c r="BM443" s="23">
        <f>IF(Performance!$O$443="","",Performance!$O$443)</f>
        <v>0</v>
      </c>
      <c r="BN443" s="24">
        <f>IF(Performance!$AA$443="","",Performance!$AA$443)</f>
        <v>0</v>
      </c>
      <c r="BO443" s="32">
        <f>IF(BH443="","",IF(BK443="","",IF(OR(BK443&lt;DashStart,BK443&gt;DashEnd),"",IF(BN443="","",BN443+ROW()/1000000))))</f>
        <v>0</v>
      </c>
      <c r="BP443" s="32">
        <f>IF(BM443="","",IF(BK443="","",IF(OR(BK443&lt;DashStart,BK443&gt;DashEnd),"",BM443+ROW()/1000000)))</f>
        <v>0</v>
      </c>
      <c r="BQ443" s="32">
        <f>IF(BH443="","",IF(BK443="","",IF(YEAR(BK443)&lt;&gt;PlanYear,"",IF(BN443="","",BN443+ROW()/1000000))))</f>
        <v>0</v>
      </c>
      <c r="BR443" s="32">
        <f>IF(BH443="","",IF(BK443="","",IF(OR(BK443&lt;RepFrom,BK443&gt;RepTo),"",IF(BN443="","",BN443+ROW()/1000000))))</f>
        <v>0</v>
      </c>
      <c r="BS443" s="32">
        <f>IF(BM443="","",IF(BK443="","",IF(YEAR(BK443)&lt;&gt;PlanYear,"",BM443+ROW()/1000000)))</f>
        <v>0</v>
      </c>
      <c r="BT443" s="17">
        <f>IF(Lists!$F443="","",Lists!$F443)</f>
        <v>0</v>
      </c>
      <c r="BU443" s="23">
        <f>IF(BT443="","",COUNTIF('Content Calendar'!$X$5:$X$604,BT443))</f>
        <v>0</v>
      </c>
      <c r="BV443" s="23">
        <f>IF(BT443="","",COUNTIFS('Content Calendar'!$X$5:$X$604,BT443,'Content Calendar'!$B$5:$B$604,"&gt;="&amp;DashStart,'Content Calendar'!$B$5:$B$604,"&lt;="&amp;DashEnd))</f>
        <v>0</v>
      </c>
      <c r="BW443" s="17">
        <f>IF(Team!$B$443="","",Team!$B$443)</f>
        <v>0</v>
      </c>
      <c r="BX443" s="23">
        <f>IF(BW443="","",COUNTIF('Content Calendar'!$W$5:$W$604,BW443))</f>
        <v>0</v>
      </c>
      <c r="BY443" s="23">
        <f>IF(BW443="","",COUNTIFS('Content Calendar'!$W$5:$W$604,BW443,'Content Calendar'!$X$5:$X$604,"&lt;&gt;Published"))</f>
        <v>0</v>
      </c>
      <c r="BZ443" s="23">
        <f>IF(BW443="","",COUNTIFS(Tasks!$C$5:$C$64,BW443,Tasks!$G$5:$G$64,"&lt;&gt;Complete"))</f>
        <v>0</v>
      </c>
      <c r="CA443" s="17">
        <f>IF(Campaigns!$B$443="","",Campaigns!$B$443)</f>
        <v>0</v>
      </c>
      <c r="CB443" s="25">
        <f>IF(Campaigns!$T$443="","",Campaigns!$T$443)</f>
        <v>0</v>
      </c>
      <c r="CC443" s="25">
        <f>IF(Campaigns!$Q$443="","",Campaigns!$Q$443)</f>
        <v>0</v>
      </c>
      <c r="CD443" s="23">
        <f>IF(Campaigns!$Y$443="","",Campaigns!$Y$443)</f>
        <v>0</v>
      </c>
      <c r="CE443" s="32">
        <f>IF(CA443="","",IF(N(CB443)&lt;=0,"",N(CB443)+ROW()/1000000))</f>
        <v>0</v>
      </c>
      <c r="CF443" s="17">
        <f>IF(Accounts!$C$443="","",Accounts!$C$443)</f>
        <v>0</v>
      </c>
      <c r="CG443" s="17">
        <f>IF(Accounts!$B$443="","",Accounts!$B$443)</f>
        <v>0</v>
      </c>
      <c r="CH443" s="23">
        <f>IF(Accounts!$J$443="","",Accounts!$J$443)</f>
        <v>0</v>
      </c>
      <c r="CI443" s="23">
        <f>IF(CF443="","",SUMIFS(Analytics!$X$5:$X$154,Analytics!$E$5:$E$154,CF443,Analytics!$B$5:$B$154,"&gt;="&amp;DashStart,Analytics!$B$5:$B$154,"&lt;="&amp;DashEnd))</f>
        <v>0</v>
      </c>
      <c r="CJ443" s="32">
        <f>IF(CH443="","",IF(CH443=0,"",CH443+ROW()/1000000))</f>
        <v>0</v>
      </c>
    </row>
    <row r="444" spans="1:88">
      <c r="A444" s="16">
        <f>IF(ROW()-4&gt;12,"",DATE(PlanYear,ROW()-4,1))</f>
        <v>0</v>
      </c>
      <c r="B444" s="16">
        <f>IF(A444="","",EOMONTH(A444,0))</f>
        <v>0</v>
      </c>
      <c r="C444" s="17">
        <f>IF(A444="","",TEXT(A444,"yyyy-mm"))</f>
        <v>0</v>
      </c>
      <c r="D444" s="17">
        <f>IF(A444="","",TEXT(A444,"mmm"))</f>
        <v>0</v>
      </c>
      <c r="E444" s="23">
        <f>IF(C444="","",COUNTIFS('Content Calendar'!$D$5:$D$604,C444))</f>
        <v>0</v>
      </c>
      <c r="F444" s="23">
        <f>IF(C444="","",COUNTIFS('Content Calendar'!$D$5:$D$604,C444,'Content Calendar'!$X$5:$X$604,"Published"))</f>
        <v>0</v>
      </c>
      <c r="G444" s="23">
        <f>IF(C444="","",SUMIFS(Analytics!$J$5:$J$154,Analytics!$C$5:$C$154,C444))</f>
        <v>0</v>
      </c>
      <c r="H444" s="23">
        <f>IF(C444="","",SUMIFS(Analytics!$K$5:$K$154,Analytics!$C$5:$C$154,C444))</f>
        <v>0</v>
      </c>
      <c r="I444" s="23">
        <f>IF(C444="","",SUMIFS(Analytics!$L$5:$L$154,Analytics!$C$5:$C$154,C444))</f>
        <v>0</v>
      </c>
      <c r="J444" s="24">
        <f>IF(OR(G444="",G444=0),"",I444/G444)</f>
        <v>0</v>
      </c>
      <c r="K444" s="23">
        <f>IF(C444="","",SUMIFS(Analytics!$G$5:$G$154,Analytics!$C$5:$C$154,C444))</f>
        <v>0</v>
      </c>
      <c r="L444" s="23">
        <f>IF(C444="","",SUMIFS(Analytics!$X$5:$X$154,Analytics!$C$5:$C$154,C444))</f>
        <v>0</v>
      </c>
      <c r="M444" s="23">
        <f>IF(C444="","",SUMIFS(Analytics!$R$5:$R$154,Analytics!$C$5:$C$154,C444))</f>
        <v>0</v>
      </c>
      <c r="N444" s="23">
        <f>IF(C444="","",SUMIFS(Analytics!$S$5:$S$154,Analytics!$C$5:$C$154,C444))</f>
        <v>0</v>
      </c>
      <c r="O444" s="23">
        <f>IF(C444="","",SUMIFS(Analytics!$T$5:$T$154,Analytics!$C$5:$C$154,C444))</f>
        <v>0</v>
      </c>
      <c r="P444" s="25">
        <f>IF(C444="","",SUMIFS(Analytics!$U$5:$U$154,Analytics!$C$5:$C$154,C444))</f>
        <v>0</v>
      </c>
      <c r="Q444" s="25">
        <f>IF(C444="","",SUMIFS(Budget!$H$5:$H$64,Budget!$C$5:$C$64,C444))</f>
        <v>0</v>
      </c>
      <c r="R444" s="25">
        <f>IF(C444="","",P444-Q444)</f>
        <v>0</v>
      </c>
      <c r="S444" s="23">
        <f>IF(C444="","",MonthlyPostTarget)</f>
        <v>0</v>
      </c>
      <c r="T444" s="17">
        <f>IF(Lists!$C444="","",Lists!$C444)</f>
        <v>0</v>
      </c>
      <c r="U444" s="23">
        <f>IF(T444="","",COUNTIFS('Content Calendar'!$G$5:$G$604,T444,'Content Calendar'!$B$5:$B$604,"&gt;="&amp;DashStart,'Content Calendar'!$B$5:$B$604,"&lt;="&amp;DashEnd))</f>
        <v>0</v>
      </c>
      <c r="V444" s="23">
        <f>IF(T444="","",COUNTIFS('Content Calendar'!$G$5:$G$604,T444,'Content Calendar'!$X$5:$X$604,"Published",'Content Calendar'!$B$5:$B$604,"&gt;="&amp;DashStart,'Content Calendar'!$B$5:$B$604,"&lt;="&amp;DashEnd))</f>
        <v>0</v>
      </c>
      <c r="W444" s="23">
        <f>IF(T444="","",SUMIFS(Analytics!$J$5:$J$154,Analytics!$D$5:$D$154,T444,Analytics!$B$5:$B$154,"&gt;="&amp;DashStart,Analytics!$B$5:$B$154,"&lt;="&amp;DashEnd))</f>
        <v>0</v>
      </c>
      <c r="X444" s="23">
        <f>IF(T444="","",SUMIFS(Analytics!$L$5:$L$154,Analytics!$D$5:$D$154,T444,Analytics!$B$5:$B$154,"&gt;="&amp;DashStart,Analytics!$B$5:$B$154,"&lt;="&amp;DashEnd))</f>
        <v>0</v>
      </c>
      <c r="Y444" s="24">
        <f>IF(OR(W444="",W444=0),"",X444/W444)</f>
        <v>0</v>
      </c>
      <c r="Z444" s="23">
        <f>IF(T444="","",SUMIFS(Analytics!$G$5:$G$154,Analytics!$D$5:$D$154,T444,Analytics!$B$5:$B$154,"&gt;="&amp;DashStart,Analytics!$B$5:$B$154,"&lt;="&amp;DashEnd))</f>
        <v>0</v>
      </c>
      <c r="AA444" s="23">
        <f>IF(T444="","",SUMIFS(Analytics!$X$5:$X$154,Analytics!$D$5:$D$154,T444,Analytics!$B$5:$B$154,"&gt;="&amp;DashStart,Analytics!$B$5:$B$154,"&lt;="&amp;DashEnd))</f>
        <v>0</v>
      </c>
      <c r="AB444" s="23">
        <f>IF(T444="","",SUMIFS(Analytics!$R$5:$R$154,Analytics!$D$5:$D$154,T444,Analytics!$B$5:$B$154,"&gt;="&amp;DashStart,Analytics!$B$5:$B$154,"&lt;="&amp;DashEnd))</f>
        <v>0</v>
      </c>
      <c r="AC444" s="25">
        <f>IF(T444="","",SUMIFS(Analytics!$U$5:$U$154,Analytics!$D$5:$D$154,T444,Analytics!$B$5:$B$154,"&gt;="&amp;DashStart,Analytics!$B$5:$B$154,"&lt;="&amp;DashEnd))</f>
        <v>0</v>
      </c>
      <c r="AD444" s="23">
        <f>IF(T444="","",COUNTIFS('Content Calendar'!$G$5:$G$604,T444,'Content Calendar'!$B$5:$B$604,"&gt;="&amp;DATE(PlanYear,1,1),'Content Calendar'!$B$5:$B$604,"&lt;="&amp;DATE(PlanYear,12,31)))</f>
        <v>0</v>
      </c>
      <c r="AE444" s="23">
        <f>IF(T444="","",SUMIFS(Analytics!$J$5:$J$154,Analytics!$D$5:$D$154,T444))</f>
        <v>0</v>
      </c>
      <c r="AF444" s="23">
        <f>IF(T444="","",SUMIFS(Analytics!$L$5:$L$154,Analytics!$D$5:$D$154,T444))</f>
        <v>0</v>
      </c>
      <c r="AG444" s="24">
        <f>IF(OR(AE444="",AE444=0),"",AF444/AE444)</f>
        <v>0</v>
      </c>
      <c r="AH444" s="23">
        <f>IF(T444="","",SUMIFS(Analytics!$X$5:$X$154,Analytics!$D$5:$D$154,T444))</f>
        <v>0</v>
      </c>
      <c r="AI444" s="32">
        <f>IF(T444="","",IF(AE444=0,"",AE444+ROW()/1000000))</f>
        <v>0</v>
      </c>
      <c r="AJ444" s="17">
        <f>IF('Content Pillars'!$B$444="","",'Content Pillars'!$B$444)</f>
        <v>0</v>
      </c>
      <c r="AK444" s="23">
        <f>IF(AJ444="","",COUNTIFS('Content Calendar'!$J$5:$J$604,AJ444,'Content Calendar'!$B$5:$B$604,"&gt;="&amp;DATE(PlanYear,1,1),'Content Calendar'!$B$5:$B$604,"&lt;="&amp;DATE(PlanYear,12,31)))</f>
        <v>0</v>
      </c>
      <c r="AL444" s="23">
        <f>IF(AJ444="","",SUMIFS(Performance!$O$5:$O$404,Performance!$H$5:$H$404,AJ444))</f>
        <v>0</v>
      </c>
      <c r="AM444" s="23">
        <f>IF(AJ444="","",SUMIFS(Performance!$Z$5:$Z$404,Performance!$H$5:$H$404,AJ444))</f>
        <v>0</v>
      </c>
      <c r="AN444" s="24">
        <f>IF(OR(AL444="",AL444=0),"",AM444/AL444)</f>
        <v>0</v>
      </c>
      <c r="AO444" s="32">
        <f>IF(AN444="","",AN444+ROW()/1000000)</f>
        <v>0</v>
      </c>
      <c r="AP444" s="17">
        <f>IF(Lists!$E444="","",Lists!$E444)</f>
        <v>0</v>
      </c>
      <c r="AQ444" s="23">
        <f>IF(AP444="","",COUNTIF(Performance!$G$5:$G$404,AP444))</f>
        <v>0</v>
      </c>
      <c r="AR444" s="23">
        <f>IF(AP444="","",SUMIFS(Performance!$O$5:$O$404,Performance!$G$5:$G$404,AP444))</f>
        <v>0</v>
      </c>
      <c r="AS444" s="23">
        <f>IF(AP444="","",SUMIFS(Performance!$Z$5:$Z$404,Performance!$G$5:$G$404,AP444))</f>
        <v>0</v>
      </c>
      <c r="AT444" s="24">
        <f>IF(OR(AR444="",AR444=0),"",AS444/AR444)</f>
        <v>0</v>
      </c>
      <c r="AU444" s="32">
        <f>IF(AQ444=0,"",IF(AT444="","",AT444+ROW()/1000000))</f>
        <v>0</v>
      </c>
      <c r="AV444" s="17">
        <f>IF(ROW()-4&gt;7,"",TEXT(DATE(2024,1,ROW()-4),"ddd"))</f>
        <v>0</v>
      </c>
      <c r="AW444" s="23">
        <f>IF(AV444="","",COUNTIF(Performance!$N$5:$N$404,AV444))</f>
        <v>0</v>
      </c>
      <c r="AX444" s="23">
        <f>IF(AV444="","",SUMIFS(Performance!$O$5:$O$404,Performance!$N$5:$N$404,AV444))</f>
        <v>0</v>
      </c>
      <c r="AY444" s="23">
        <f>IF(AV444="","",SUMIFS(Performance!$Z$5:$Z$404,Performance!$N$5:$N$404,AV444))</f>
        <v>0</v>
      </c>
      <c r="AZ444" s="24">
        <f>IF(OR(AX444="",AX444=0),"",AY444/AX444)</f>
        <v>0</v>
      </c>
      <c r="BA444" s="32">
        <f>IF(AW444=0,"",IF(AZ444="","",AZ444+ROW()/1000000))</f>
        <v>0</v>
      </c>
      <c r="BB444" s="17">
        <f>IF(Lists!$AL444="","",Lists!$AL444)</f>
        <v>0</v>
      </c>
      <c r="BC444" s="23">
        <f>IF(BB444="","",COUNTIF(Performance!$M$5:$M$404,BB444))</f>
        <v>0</v>
      </c>
      <c r="BD444" s="23">
        <f>IF(BB444="","",SUMIFS(Performance!$O$5:$O$404,Performance!$M$5:$M$404,BB444))</f>
        <v>0</v>
      </c>
      <c r="BE444" s="23">
        <f>IF(BB444="","",SUMIFS(Performance!$Z$5:$Z$404,Performance!$M$5:$M$404,BB444))</f>
        <v>0</v>
      </c>
      <c r="BF444" s="24">
        <f>IF(OR(BD444="",BD444=0),"",BE444/BD444)</f>
        <v>0</v>
      </c>
      <c r="BG444" s="32">
        <f>IF(BC444=0,"",IF(BF444="","",BF444+ROW()/1000000))</f>
        <v>0</v>
      </c>
      <c r="BH444" s="17">
        <f>IF(Performance!$C$444="","",Performance!$C$444)</f>
        <v>0</v>
      </c>
      <c r="BI444" s="17">
        <f>IF(Performance!$F$444="","",Performance!$F$444)</f>
        <v>0</v>
      </c>
      <c r="BJ444" s="17">
        <f>IF(Performance!$H$444="","",Performance!$H$444)</f>
        <v>0</v>
      </c>
      <c r="BK444" s="16">
        <f>IF(Performance!$D$444="","",Performance!$D$444)</f>
        <v>0</v>
      </c>
      <c r="BL444" s="17">
        <f>IF(Performance!$E$444="","",Performance!$E$444)</f>
        <v>0</v>
      </c>
      <c r="BM444" s="23">
        <f>IF(Performance!$O$444="","",Performance!$O$444)</f>
        <v>0</v>
      </c>
      <c r="BN444" s="24">
        <f>IF(Performance!$AA$444="","",Performance!$AA$444)</f>
        <v>0</v>
      </c>
      <c r="BO444" s="32">
        <f>IF(BH444="","",IF(BK444="","",IF(OR(BK444&lt;DashStart,BK444&gt;DashEnd),"",IF(BN444="","",BN444+ROW()/1000000))))</f>
        <v>0</v>
      </c>
      <c r="BP444" s="32">
        <f>IF(BM444="","",IF(BK444="","",IF(OR(BK444&lt;DashStart,BK444&gt;DashEnd),"",BM444+ROW()/1000000)))</f>
        <v>0</v>
      </c>
      <c r="BQ444" s="32">
        <f>IF(BH444="","",IF(BK444="","",IF(YEAR(BK444)&lt;&gt;PlanYear,"",IF(BN444="","",BN444+ROW()/1000000))))</f>
        <v>0</v>
      </c>
      <c r="BR444" s="32">
        <f>IF(BH444="","",IF(BK444="","",IF(OR(BK444&lt;RepFrom,BK444&gt;RepTo),"",IF(BN444="","",BN444+ROW()/1000000))))</f>
        <v>0</v>
      </c>
      <c r="BS444" s="32">
        <f>IF(BM444="","",IF(BK444="","",IF(YEAR(BK444)&lt;&gt;PlanYear,"",BM444+ROW()/1000000)))</f>
        <v>0</v>
      </c>
      <c r="BT444" s="17">
        <f>IF(Lists!$F444="","",Lists!$F444)</f>
        <v>0</v>
      </c>
      <c r="BU444" s="23">
        <f>IF(BT444="","",COUNTIF('Content Calendar'!$X$5:$X$604,BT444))</f>
        <v>0</v>
      </c>
      <c r="BV444" s="23">
        <f>IF(BT444="","",COUNTIFS('Content Calendar'!$X$5:$X$604,BT444,'Content Calendar'!$B$5:$B$604,"&gt;="&amp;DashStart,'Content Calendar'!$B$5:$B$604,"&lt;="&amp;DashEnd))</f>
        <v>0</v>
      </c>
      <c r="BW444" s="17">
        <f>IF(Team!$B$444="","",Team!$B$444)</f>
        <v>0</v>
      </c>
      <c r="BX444" s="23">
        <f>IF(BW444="","",COUNTIF('Content Calendar'!$W$5:$W$604,BW444))</f>
        <v>0</v>
      </c>
      <c r="BY444" s="23">
        <f>IF(BW444="","",COUNTIFS('Content Calendar'!$W$5:$W$604,BW444,'Content Calendar'!$X$5:$X$604,"&lt;&gt;Published"))</f>
        <v>0</v>
      </c>
      <c r="BZ444" s="23">
        <f>IF(BW444="","",COUNTIFS(Tasks!$C$5:$C$64,BW444,Tasks!$G$5:$G$64,"&lt;&gt;Complete"))</f>
        <v>0</v>
      </c>
      <c r="CA444" s="17">
        <f>IF(Campaigns!$B$444="","",Campaigns!$B$444)</f>
        <v>0</v>
      </c>
      <c r="CB444" s="25">
        <f>IF(Campaigns!$T$444="","",Campaigns!$T$444)</f>
        <v>0</v>
      </c>
      <c r="CC444" s="25">
        <f>IF(Campaigns!$Q$444="","",Campaigns!$Q$444)</f>
        <v>0</v>
      </c>
      <c r="CD444" s="23">
        <f>IF(Campaigns!$Y$444="","",Campaigns!$Y$444)</f>
        <v>0</v>
      </c>
      <c r="CE444" s="32">
        <f>IF(CA444="","",IF(N(CB444)&lt;=0,"",N(CB444)+ROW()/1000000))</f>
        <v>0</v>
      </c>
      <c r="CF444" s="17">
        <f>IF(Accounts!$C$444="","",Accounts!$C$444)</f>
        <v>0</v>
      </c>
      <c r="CG444" s="17">
        <f>IF(Accounts!$B$444="","",Accounts!$B$444)</f>
        <v>0</v>
      </c>
      <c r="CH444" s="23">
        <f>IF(Accounts!$J$444="","",Accounts!$J$444)</f>
        <v>0</v>
      </c>
      <c r="CI444" s="23">
        <f>IF(CF444="","",SUMIFS(Analytics!$X$5:$X$154,Analytics!$E$5:$E$154,CF444,Analytics!$B$5:$B$154,"&gt;="&amp;DashStart,Analytics!$B$5:$B$154,"&lt;="&amp;DashEnd))</f>
        <v>0</v>
      </c>
      <c r="CJ444" s="32">
        <f>IF(CH444="","",IF(CH444=0,"",CH444+ROW()/1000000))</f>
        <v>0</v>
      </c>
    </row>
    <row r="445" spans="1:88">
      <c r="A445" s="16">
        <f>IF(ROW()-4&gt;12,"",DATE(PlanYear,ROW()-4,1))</f>
        <v>0</v>
      </c>
      <c r="B445" s="16">
        <f>IF(A445="","",EOMONTH(A445,0))</f>
        <v>0</v>
      </c>
      <c r="C445" s="17">
        <f>IF(A445="","",TEXT(A445,"yyyy-mm"))</f>
        <v>0</v>
      </c>
      <c r="D445" s="17">
        <f>IF(A445="","",TEXT(A445,"mmm"))</f>
        <v>0</v>
      </c>
      <c r="E445" s="23">
        <f>IF(C445="","",COUNTIFS('Content Calendar'!$D$5:$D$604,C445))</f>
        <v>0</v>
      </c>
      <c r="F445" s="23">
        <f>IF(C445="","",COUNTIFS('Content Calendar'!$D$5:$D$604,C445,'Content Calendar'!$X$5:$X$604,"Published"))</f>
        <v>0</v>
      </c>
      <c r="G445" s="23">
        <f>IF(C445="","",SUMIFS(Analytics!$J$5:$J$154,Analytics!$C$5:$C$154,C445))</f>
        <v>0</v>
      </c>
      <c r="H445" s="23">
        <f>IF(C445="","",SUMIFS(Analytics!$K$5:$K$154,Analytics!$C$5:$C$154,C445))</f>
        <v>0</v>
      </c>
      <c r="I445" s="23">
        <f>IF(C445="","",SUMIFS(Analytics!$L$5:$L$154,Analytics!$C$5:$C$154,C445))</f>
        <v>0</v>
      </c>
      <c r="J445" s="24">
        <f>IF(OR(G445="",G445=0),"",I445/G445)</f>
        <v>0</v>
      </c>
      <c r="K445" s="23">
        <f>IF(C445="","",SUMIFS(Analytics!$G$5:$G$154,Analytics!$C$5:$C$154,C445))</f>
        <v>0</v>
      </c>
      <c r="L445" s="23">
        <f>IF(C445="","",SUMIFS(Analytics!$X$5:$X$154,Analytics!$C$5:$C$154,C445))</f>
        <v>0</v>
      </c>
      <c r="M445" s="23">
        <f>IF(C445="","",SUMIFS(Analytics!$R$5:$R$154,Analytics!$C$5:$C$154,C445))</f>
        <v>0</v>
      </c>
      <c r="N445" s="23">
        <f>IF(C445="","",SUMIFS(Analytics!$S$5:$S$154,Analytics!$C$5:$C$154,C445))</f>
        <v>0</v>
      </c>
      <c r="O445" s="23">
        <f>IF(C445="","",SUMIFS(Analytics!$T$5:$T$154,Analytics!$C$5:$C$154,C445))</f>
        <v>0</v>
      </c>
      <c r="P445" s="25">
        <f>IF(C445="","",SUMIFS(Analytics!$U$5:$U$154,Analytics!$C$5:$C$154,C445))</f>
        <v>0</v>
      </c>
      <c r="Q445" s="25">
        <f>IF(C445="","",SUMIFS(Budget!$H$5:$H$64,Budget!$C$5:$C$64,C445))</f>
        <v>0</v>
      </c>
      <c r="R445" s="25">
        <f>IF(C445="","",P445-Q445)</f>
        <v>0</v>
      </c>
      <c r="S445" s="23">
        <f>IF(C445="","",MonthlyPostTarget)</f>
        <v>0</v>
      </c>
      <c r="T445" s="17">
        <f>IF(Lists!$C445="","",Lists!$C445)</f>
        <v>0</v>
      </c>
      <c r="U445" s="23">
        <f>IF(T445="","",COUNTIFS('Content Calendar'!$G$5:$G$604,T445,'Content Calendar'!$B$5:$B$604,"&gt;="&amp;DashStart,'Content Calendar'!$B$5:$B$604,"&lt;="&amp;DashEnd))</f>
        <v>0</v>
      </c>
      <c r="V445" s="23">
        <f>IF(T445="","",COUNTIFS('Content Calendar'!$G$5:$G$604,T445,'Content Calendar'!$X$5:$X$604,"Published",'Content Calendar'!$B$5:$B$604,"&gt;="&amp;DashStart,'Content Calendar'!$B$5:$B$604,"&lt;="&amp;DashEnd))</f>
        <v>0</v>
      </c>
      <c r="W445" s="23">
        <f>IF(T445="","",SUMIFS(Analytics!$J$5:$J$154,Analytics!$D$5:$D$154,T445,Analytics!$B$5:$B$154,"&gt;="&amp;DashStart,Analytics!$B$5:$B$154,"&lt;="&amp;DashEnd))</f>
        <v>0</v>
      </c>
      <c r="X445" s="23">
        <f>IF(T445="","",SUMIFS(Analytics!$L$5:$L$154,Analytics!$D$5:$D$154,T445,Analytics!$B$5:$B$154,"&gt;="&amp;DashStart,Analytics!$B$5:$B$154,"&lt;="&amp;DashEnd))</f>
        <v>0</v>
      </c>
      <c r="Y445" s="24">
        <f>IF(OR(W445="",W445=0),"",X445/W445)</f>
        <v>0</v>
      </c>
      <c r="Z445" s="23">
        <f>IF(T445="","",SUMIFS(Analytics!$G$5:$G$154,Analytics!$D$5:$D$154,T445,Analytics!$B$5:$B$154,"&gt;="&amp;DashStart,Analytics!$B$5:$B$154,"&lt;="&amp;DashEnd))</f>
        <v>0</v>
      </c>
      <c r="AA445" s="23">
        <f>IF(T445="","",SUMIFS(Analytics!$X$5:$X$154,Analytics!$D$5:$D$154,T445,Analytics!$B$5:$B$154,"&gt;="&amp;DashStart,Analytics!$B$5:$B$154,"&lt;="&amp;DashEnd))</f>
        <v>0</v>
      </c>
      <c r="AB445" s="23">
        <f>IF(T445="","",SUMIFS(Analytics!$R$5:$R$154,Analytics!$D$5:$D$154,T445,Analytics!$B$5:$B$154,"&gt;="&amp;DashStart,Analytics!$B$5:$B$154,"&lt;="&amp;DashEnd))</f>
        <v>0</v>
      </c>
      <c r="AC445" s="25">
        <f>IF(T445="","",SUMIFS(Analytics!$U$5:$U$154,Analytics!$D$5:$D$154,T445,Analytics!$B$5:$B$154,"&gt;="&amp;DashStart,Analytics!$B$5:$B$154,"&lt;="&amp;DashEnd))</f>
        <v>0</v>
      </c>
      <c r="AD445" s="23">
        <f>IF(T445="","",COUNTIFS('Content Calendar'!$G$5:$G$604,T445,'Content Calendar'!$B$5:$B$604,"&gt;="&amp;DATE(PlanYear,1,1),'Content Calendar'!$B$5:$B$604,"&lt;="&amp;DATE(PlanYear,12,31)))</f>
        <v>0</v>
      </c>
      <c r="AE445" s="23">
        <f>IF(T445="","",SUMIFS(Analytics!$J$5:$J$154,Analytics!$D$5:$D$154,T445))</f>
        <v>0</v>
      </c>
      <c r="AF445" s="23">
        <f>IF(T445="","",SUMIFS(Analytics!$L$5:$L$154,Analytics!$D$5:$D$154,T445))</f>
        <v>0</v>
      </c>
      <c r="AG445" s="24">
        <f>IF(OR(AE445="",AE445=0),"",AF445/AE445)</f>
        <v>0</v>
      </c>
      <c r="AH445" s="23">
        <f>IF(T445="","",SUMIFS(Analytics!$X$5:$X$154,Analytics!$D$5:$D$154,T445))</f>
        <v>0</v>
      </c>
      <c r="AI445" s="32">
        <f>IF(T445="","",IF(AE445=0,"",AE445+ROW()/1000000))</f>
        <v>0</v>
      </c>
      <c r="AJ445" s="17">
        <f>IF('Content Pillars'!$B$445="","",'Content Pillars'!$B$445)</f>
        <v>0</v>
      </c>
      <c r="AK445" s="23">
        <f>IF(AJ445="","",COUNTIFS('Content Calendar'!$J$5:$J$604,AJ445,'Content Calendar'!$B$5:$B$604,"&gt;="&amp;DATE(PlanYear,1,1),'Content Calendar'!$B$5:$B$604,"&lt;="&amp;DATE(PlanYear,12,31)))</f>
        <v>0</v>
      </c>
      <c r="AL445" s="23">
        <f>IF(AJ445="","",SUMIFS(Performance!$O$5:$O$404,Performance!$H$5:$H$404,AJ445))</f>
        <v>0</v>
      </c>
      <c r="AM445" s="23">
        <f>IF(AJ445="","",SUMIFS(Performance!$Z$5:$Z$404,Performance!$H$5:$H$404,AJ445))</f>
        <v>0</v>
      </c>
      <c r="AN445" s="24">
        <f>IF(OR(AL445="",AL445=0),"",AM445/AL445)</f>
        <v>0</v>
      </c>
      <c r="AO445" s="32">
        <f>IF(AN445="","",AN445+ROW()/1000000)</f>
        <v>0</v>
      </c>
      <c r="AP445" s="17">
        <f>IF(Lists!$E445="","",Lists!$E445)</f>
        <v>0</v>
      </c>
      <c r="AQ445" s="23">
        <f>IF(AP445="","",COUNTIF(Performance!$G$5:$G$404,AP445))</f>
        <v>0</v>
      </c>
      <c r="AR445" s="23">
        <f>IF(AP445="","",SUMIFS(Performance!$O$5:$O$404,Performance!$G$5:$G$404,AP445))</f>
        <v>0</v>
      </c>
      <c r="AS445" s="23">
        <f>IF(AP445="","",SUMIFS(Performance!$Z$5:$Z$404,Performance!$G$5:$G$404,AP445))</f>
        <v>0</v>
      </c>
      <c r="AT445" s="24">
        <f>IF(OR(AR445="",AR445=0),"",AS445/AR445)</f>
        <v>0</v>
      </c>
      <c r="AU445" s="32">
        <f>IF(AQ445=0,"",IF(AT445="","",AT445+ROW()/1000000))</f>
        <v>0</v>
      </c>
      <c r="AV445" s="17">
        <f>IF(ROW()-4&gt;7,"",TEXT(DATE(2024,1,ROW()-4),"ddd"))</f>
        <v>0</v>
      </c>
      <c r="AW445" s="23">
        <f>IF(AV445="","",COUNTIF(Performance!$N$5:$N$404,AV445))</f>
        <v>0</v>
      </c>
      <c r="AX445" s="23">
        <f>IF(AV445="","",SUMIFS(Performance!$O$5:$O$404,Performance!$N$5:$N$404,AV445))</f>
        <v>0</v>
      </c>
      <c r="AY445" s="23">
        <f>IF(AV445="","",SUMIFS(Performance!$Z$5:$Z$404,Performance!$N$5:$N$404,AV445))</f>
        <v>0</v>
      </c>
      <c r="AZ445" s="24">
        <f>IF(OR(AX445="",AX445=0),"",AY445/AX445)</f>
        <v>0</v>
      </c>
      <c r="BA445" s="32">
        <f>IF(AW445=0,"",IF(AZ445="","",AZ445+ROW()/1000000))</f>
        <v>0</v>
      </c>
      <c r="BB445" s="17">
        <f>IF(Lists!$AL445="","",Lists!$AL445)</f>
        <v>0</v>
      </c>
      <c r="BC445" s="23">
        <f>IF(BB445="","",COUNTIF(Performance!$M$5:$M$404,BB445))</f>
        <v>0</v>
      </c>
      <c r="BD445" s="23">
        <f>IF(BB445="","",SUMIFS(Performance!$O$5:$O$404,Performance!$M$5:$M$404,BB445))</f>
        <v>0</v>
      </c>
      <c r="BE445" s="23">
        <f>IF(BB445="","",SUMIFS(Performance!$Z$5:$Z$404,Performance!$M$5:$M$404,BB445))</f>
        <v>0</v>
      </c>
      <c r="BF445" s="24">
        <f>IF(OR(BD445="",BD445=0),"",BE445/BD445)</f>
        <v>0</v>
      </c>
      <c r="BG445" s="32">
        <f>IF(BC445=0,"",IF(BF445="","",BF445+ROW()/1000000))</f>
        <v>0</v>
      </c>
      <c r="BH445" s="17">
        <f>IF(Performance!$C$445="","",Performance!$C$445)</f>
        <v>0</v>
      </c>
      <c r="BI445" s="17">
        <f>IF(Performance!$F$445="","",Performance!$F$445)</f>
        <v>0</v>
      </c>
      <c r="BJ445" s="17">
        <f>IF(Performance!$H$445="","",Performance!$H$445)</f>
        <v>0</v>
      </c>
      <c r="BK445" s="16">
        <f>IF(Performance!$D$445="","",Performance!$D$445)</f>
        <v>0</v>
      </c>
      <c r="BL445" s="17">
        <f>IF(Performance!$E$445="","",Performance!$E$445)</f>
        <v>0</v>
      </c>
      <c r="BM445" s="23">
        <f>IF(Performance!$O$445="","",Performance!$O$445)</f>
        <v>0</v>
      </c>
      <c r="BN445" s="24">
        <f>IF(Performance!$AA$445="","",Performance!$AA$445)</f>
        <v>0</v>
      </c>
      <c r="BO445" s="32">
        <f>IF(BH445="","",IF(BK445="","",IF(OR(BK445&lt;DashStart,BK445&gt;DashEnd),"",IF(BN445="","",BN445+ROW()/1000000))))</f>
        <v>0</v>
      </c>
      <c r="BP445" s="32">
        <f>IF(BM445="","",IF(BK445="","",IF(OR(BK445&lt;DashStart,BK445&gt;DashEnd),"",BM445+ROW()/1000000)))</f>
        <v>0</v>
      </c>
      <c r="BQ445" s="32">
        <f>IF(BH445="","",IF(BK445="","",IF(YEAR(BK445)&lt;&gt;PlanYear,"",IF(BN445="","",BN445+ROW()/1000000))))</f>
        <v>0</v>
      </c>
      <c r="BR445" s="32">
        <f>IF(BH445="","",IF(BK445="","",IF(OR(BK445&lt;RepFrom,BK445&gt;RepTo),"",IF(BN445="","",BN445+ROW()/1000000))))</f>
        <v>0</v>
      </c>
      <c r="BS445" s="32">
        <f>IF(BM445="","",IF(BK445="","",IF(YEAR(BK445)&lt;&gt;PlanYear,"",BM445+ROW()/1000000)))</f>
        <v>0</v>
      </c>
      <c r="BT445" s="17">
        <f>IF(Lists!$F445="","",Lists!$F445)</f>
        <v>0</v>
      </c>
      <c r="BU445" s="23">
        <f>IF(BT445="","",COUNTIF('Content Calendar'!$X$5:$X$604,BT445))</f>
        <v>0</v>
      </c>
      <c r="BV445" s="23">
        <f>IF(BT445="","",COUNTIFS('Content Calendar'!$X$5:$X$604,BT445,'Content Calendar'!$B$5:$B$604,"&gt;="&amp;DashStart,'Content Calendar'!$B$5:$B$604,"&lt;="&amp;DashEnd))</f>
        <v>0</v>
      </c>
      <c r="BW445" s="17">
        <f>IF(Team!$B$445="","",Team!$B$445)</f>
        <v>0</v>
      </c>
      <c r="BX445" s="23">
        <f>IF(BW445="","",COUNTIF('Content Calendar'!$W$5:$W$604,BW445))</f>
        <v>0</v>
      </c>
      <c r="BY445" s="23">
        <f>IF(BW445="","",COUNTIFS('Content Calendar'!$W$5:$W$604,BW445,'Content Calendar'!$X$5:$X$604,"&lt;&gt;Published"))</f>
        <v>0</v>
      </c>
      <c r="BZ445" s="23">
        <f>IF(BW445="","",COUNTIFS(Tasks!$C$5:$C$64,BW445,Tasks!$G$5:$G$64,"&lt;&gt;Complete"))</f>
        <v>0</v>
      </c>
      <c r="CA445" s="17">
        <f>IF(Campaigns!$B$445="","",Campaigns!$B$445)</f>
        <v>0</v>
      </c>
      <c r="CB445" s="25">
        <f>IF(Campaigns!$T$445="","",Campaigns!$T$445)</f>
        <v>0</v>
      </c>
      <c r="CC445" s="25">
        <f>IF(Campaigns!$Q$445="","",Campaigns!$Q$445)</f>
        <v>0</v>
      </c>
      <c r="CD445" s="23">
        <f>IF(Campaigns!$Y$445="","",Campaigns!$Y$445)</f>
        <v>0</v>
      </c>
      <c r="CE445" s="32">
        <f>IF(CA445="","",IF(N(CB445)&lt;=0,"",N(CB445)+ROW()/1000000))</f>
        <v>0</v>
      </c>
      <c r="CF445" s="17">
        <f>IF(Accounts!$C$445="","",Accounts!$C$445)</f>
        <v>0</v>
      </c>
      <c r="CG445" s="17">
        <f>IF(Accounts!$B$445="","",Accounts!$B$445)</f>
        <v>0</v>
      </c>
      <c r="CH445" s="23">
        <f>IF(Accounts!$J$445="","",Accounts!$J$445)</f>
        <v>0</v>
      </c>
      <c r="CI445" s="23">
        <f>IF(CF445="","",SUMIFS(Analytics!$X$5:$X$154,Analytics!$E$5:$E$154,CF445,Analytics!$B$5:$B$154,"&gt;="&amp;DashStart,Analytics!$B$5:$B$154,"&lt;="&amp;DashEnd))</f>
        <v>0</v>
      </c>
      <c r="CJ445" s="32">
        <f>IF(CH445="","",IF(CH445=0,"",CH445+ROW()/1000000))</f>
        <v>0</v>
      </c>
    </row>
    <row r="446" spans="1:88">
      <c r="A446" s="16">
        <f>IF(ROW()-4&gt;12,"",DATE(PlanYear,ROW()-4,1))</f>
        <v>0</v>
      </c>
      <c r="B446" s="16">
        <f>IF(A446="","",EOMONTH(A446,0))</f>
        <v>0</v>
      </c>
      <c r="C446" s="17">
        <f>IF(A446="","",TEXT(A446,"yyyy-mm"))</f>
        <v>0</v>
      </c>
      <c r="D446" s="17">
        <f>IF(A446="","",TEXT(A446,"mmm"))</f>
        <v>0</v>
      </c>
      <c r="E446" s="23">
        <f>IF(C446="","",COUNTIFS('Content Calendar'!$D$5:$D$604,C446))</f>
        <v>0</v>
      </c>
      <c r="F446" s="23">
        <f>IF(C446="","",COUNTIFS('Content Calendar'!$D$5:$D$604,C446,'Content Calendar'!$X$5:$X$604,"Published"))</f>
        <v>0</v>
      </c>
      <c r="G446" s="23">
        <f>IF(C446="","",SUMIFS(Analytics!$J$5:$J$154,Analytics!$C$5:$C$154,C446))</f>
        <v>0</v>
      </c>
      <c r="H446" s="23">
        <f>IF(C446="","",SUMIFS(Analytics!$K$5:$K$154,Analytics!$C$5:$C$154,C446))</f>
        <v>0</v>
      </c>
      <c r="I446" s="23">
        <f>IF(C446="","",SUMIFS(Analytics!$L$5:$L$154,Analytics!$C$5:$C$154,C446))</f>
        <v>0</v>
      </c>
      <c r="J446" s="24">
        <f>IF(OR(G446="",G446=0),"",I446/G446)</f>
        <v>0</v>
      </c>
      <c r="K446" s="23">
        <f>IF(C446="","",SUMIFS(Analytics!$G$5:$G$154,Analytics!$C$5:$C$154,C446))</f>
        <v>0</v>
      </c>
      <c r="L446" s="23">
        <f>IF(C446="","",SUMIFS(Analytics!$X$5:$X$154,Analytics!$C$5:$C$154,C446))</f>
        <v>0</v>
      </c>
      <c r="M446" s="23">
        <f>IF(C446="","",SUMIFS(Analytics!$R$5:$R$154,Analytics!$C$5:$C$154,C446))</f>
        <v>0</v>
      </c>
      <c r="N446" s="23">
        <f>IF(C446="","",SUMIFS(Analytics!$S$5:$S$154,Analytics!$C$5:$C$154,C446))</f>
        <v>0</v>
      </c>
      <c r="O446" s="23">
        <f>IF(C446="","",SUMIFS(Analytics!$T$5:$T$154,Analytics!$C$5:$C$154,C446))</f>
        <v>0</v>
      </c>
      <c r="P446" s="25">
        <f>IF(C446="","",SUMIFS(Analytics!$U$5:$U$154,Analytics!$C$5:$C$154,C446))</f>
        <v>0</v>
      </c>
      <c r="Q446" s="25">
        <f>IF(C446="","",SUMIFS(Budget!$H$5:$H$64,Budget!$C$5:$C$64,C446))</f>
        <v>0</v>
      </c>
      <c r="R446" s="25">
        <f>IF(C446="","",P446-Q446)</f>
        <v>0</v>
      </c>
      <c r="S446" s="23">
        <f>IF(C446="","",MonthlyPostTarget)</f>
        <v>0</v>
      </c>
      <c r="T446" s="17">
        <f>IF(Lists!$C446="","",Lists!$C446)</f>
        <v>0</v>
      </c>
      <c r="U446" s="23">
        <f>IF(T446="","",COUNTIFS('Content Calendar'!$G$5:$G$604,T446,'Content Calendar'!$B$5:$B$604,"&gt;="&amp;DashStart,'Content Calendar'!$B$5:$B$604,"&lt;="&amp;DashEnd))</f>
        <v>0</v>
      </c>
      <c r="V446" s="23">
        <f>IF(T446="","",COUNTIFS('Content Calendar'!$G$5:$G$604,T446,'Content Calendar'!$X$5:$X$604,"Published",'Content Calendar'!$B$5:$B$604,"&gt;="&amp;DashStart,'Content Calendar'!$B$5:$B$604,"&lt;="&amp;DashEnd))</f>
        <v>0</v>
      </c>
      <c r="W446" s="23">
        <f>IF(T446="","",SUMIFS(Analytics!$J$5:$J$154,Analytics!$D$5:$D$154,T446,Analytics!$B$5:$B$154,"&gt;="&amp;DashStart,Analytics!$B$5:$B$154,"&lt;="&amp;DashEnd))</f>
        <v>0</v>
      </c>
      <c r="X446" s="23">
        <f>IF(T446="","",SUMIFS(Analytics!$L$5:$L$154,Analytics!$D$5:$D$154,T446,Analytics!$B$5:$B$154,"&gt;="&amp;DashStart,Analytics!$B$5:$B$154,"&lt;="&amp;DashEnd))</f>
        <v>0</v>
      </c>
      <c r="Y446" s="24">
        <f>IF(OR(W446="",W446=0),"",X446/W446)</f>
        <v>0</v>
      </c>
      <c r="Z446" s="23">
        <f>IF(T446="","",SUMIFS(Analytics!$G$5:$G$154,Analytics!$D$5:$D$154,T446,Analytics!$B$5:$B$154,"&gt;="&amp;DashStart,Analytics!$B$5:$B$154,"&lt;="&amp;DashEnd))</f>
        <v>0</v>
      </c>
      <c r="AA446" s="23">
        <f>IF(T446="","",SUMIFS(Analytics!$X$5:$X$154,Analytics!$D$5:$D$154,T446,Analytics!$B$5:$B$154,"&gt;="&amp;DashStart,Analytics!$B$5:$B$154,"&lt;="&amp;DashEnd))</f>
        <v>0</v>
      </c>
      <c r="AB446" s="23">
        <f>IF(T446="","",SUMIFS(Analytics!$R$5:$R$154,Analytics!$D$5:$D$154,T446,Analytics!$B$5:$B$154,"&gt;="&amp;DashStart,Analytics!$B$5:$B$154,"&lt;="&amp;DashEnd))</f>
        <v>0</v>
      </c>
      <c r="AC446" s="25">
        <f>IF(T446="","",SUMIFS(Analytics!$U$5:$U$154,Analytics!$D$5:$D$154,T446,Analytics!$B$5:$B$154,"&gt;="&amp;DashStart,Analytics!$B$5:$B$154,"&lt;="&amp;DashEnd))</f>
        <v>0</v>
      </c>
      <c r="AD446" s="23">
        <f>IF(T446="","",COUNTIFS('Content Calendar'!$G$5:$G$604,T446,'Content Calendar'!$B$5:$B$604,"&gt;="&amp;DATE(PlanYear,1,1),'Content Calendar'!$B$5:$B$604,"&lt;="&amp;DATE(PlanYear,12,31)))</f>
        <v>0</v>
      </c>
      <c r="AE446" s="23">
        <f>IF(T446="","",SUMIFS(Analytics!$J$5:$J$154,Analytics!$D$5:$D$154,T446))</f>
        <v>0</v>
      </c>
      <c r="AF446" s="23">
        <f>IF(T446="","",SUMIFS(Analytics!$L$5:$L$154,Analytics!$D$5:$D$154,T446))</f>
        <v>0</v>
      </c>
      <c r="AG446" s="24">
        <f>IF(OR(AE446="",AE446=0),"",AF446/AE446)</f>
        <v>0</v>
      </c>
      <c r="AH446" s="23">
        <f>IF(T446="","",SUMIFS(Analytics!$X$5:$X$154,Analytics!$D$5:$D$154,T446))</f>
        <v>0</v>
      </c>
      <c r="AI446" s="32">
        <f>IF(T446="","",IF(AE446=0,"",AE446+ROW()/1000000))</f>
        <v>0</v>
      </c>
      <c r="AJ446" s="17">
        <f>IF('Content Pillars'!$B$446="","",'Content Pillars'!$B$446)</f>
        <v>0</v>
      </c>
      <c r="AK446" s="23">
        <f>IF(AJ446="","",COUNTIFS('Content Calendar'!$J$5:$J$604,AJ446,'Content Calendar'!$B$5:$B$604,"&gt;="&amp;DATE(PlanYear,1,1),'Content Calendar'!$B$5:$B$604,"&lt;="&amp;DATE(PlanYear,12,31)))</f>
        <v>0</v>
      </c>
      <c r="AL446" s="23">
        <f>IF(AJ446="","",SUMIFS(Performance!$O$5:$O$404,Performance!$H$5:$H$404,AJ446))</f>
        <v>0</v>
      </c>
      <c r="AM446" s="23">
        <f>IF(AJ446="","",SUMIFS(Performance!$Z$5:$Z$404,Performance!$H$5:$H$404,AJ446))</f>
        <v>0</v>
      </c>
      <c r="AN446" s="24">
        <f>IF(OR(AL446="",AL446=0),"",AM446/AL446)</f>
        <v>0</v>
      </c>
      <c r="AO446" s="32">
        <f>IF(AN446="","",AN446+ROW()/1000000)</f>
        <v>0</v>
      </c>
      <c r="AP446" s="17">
        <f>IF(Lists!$E446="","",Lists!$E446)</f>
        <v>0</v>
      </c>
      <c r="AQ446" s="23">
        <f>IF(AP446="","",COUNTIF(Performance!$G$5:$G$404,AP446))</f>
        <v>0</v>
      </c>
      <c r="AR446" s="23">
        <f>IF(AP446="","",SUMIFS(Performance!$O$5:$O$404,Performance!$G$5:$G$404,AP446))</f>
        <v>0</v>
      </c>
      <c r="AS446" s="23">
        <f>IF(AP446="","",SUMIFS(Performance!$Z$5:$Z$404,Performance!$G$5:$G$404,AP446))</f>
        <v>0</v>
      </c>
      <c r="AT446" s="24">
        <f>IF(OR(AR446="",AR446=0),"",AS446/AR446)</f>
        <v>0</v>
      </c>
      <c r="AU446" s="32">
        <f>IF(AQ446=0,"",IF(AT446="","",AT446+ROW()/1000000))</f>
        <v>0</v>
      </c>
      <c r="AV446" s="17">
        <f>IF(ROW()-4&gt;7,"",TEXT(DATE(2024,1,ROW()-4),"ddd"))</f>
        <v>0</v>
      </c>
      <c r="AW446" s="23">
        <f>IF(AV446="","",COUNTIF(Performance!$N$5:$N$404,AV446))</f>
        <v>0</v>
      </c>
      <c r="AX446" s="23">
        <f>IF(AV446="","",SUMIFS(Performance!$O$5:$O$404,Performance!$N$5:$N$404,AV446))</f>
        <v>0</v>
      </c>
      <c r="AY446" s="23">
        <f>IF(AV446="","",SUMIFS(Performance!$Z$5:$Z$404,Performance!$N$5:$N$404,AV446))</f>
        <v>0</v>
      </c>
      <c r="AZ446" s="24">
        <f>IF(OR(AX446="",AX446=0),"",AY446/AX446)</f>
        <v>0</v>
      </c>
      <c r="BA446" s="32">
        <f>IF(AW446=0,"",IF(AZ446="","",AZ446+ROW()/1000000))</f>
        <v>0</v>
      </c>
      <c r="BB446" s="17">
        <f>IF(Lists!$AL446="","",Lists!$AL446)</f>
        <v>0</v>
      </c>
      <c r="BC446" s="23">
        <f>IF(BB446="","",COUNTIF(Performance!$M$5:$M$404,BB446))</f>
        <v>0</v>
      </c>
      <c r="BD446" s="23">
        <f>IF(BB446="","",SUMIFS(Performance!$O$5:$O$404,Performance!$M$5:$M$404,BB446))</f>
        <v>0</v>
      </c>
      <c r="BE446" s="23">
        <f>IF(BB446="","",SUMIFS(Performance!$Z$5:$Z$404,Performance!$M$5:$M$404,BB446))</f>
        <v>0</v>
      </c>
      <c r="BF446" s="24">
        <f>IF(OR(BD446="",BD446=0),"",BE446/BD446)</f>
        <v>0</v>
      </c>
      <c r="BG446" s="32">
        <f>IF(BC446=0,"",IF(BF446="","",BF446+ROW()/1000000))</f>
        <v>0</v>
      </c>
      <c r="BH446" s="17">
        <f>IF(Performance!$C$446="","",Performance!$C$446)</f>
        <v>0</v>
      </c>
      <c r="BI446" s="17">
        <f>IF(Performance!$F$446="","",Performance!$F$446)</f>
        <v>0</v>
      </c>
      <c r="BJ446" s="17">
        <f>IF(Performance!$H$446="","",Performance!$H$446)</f>
        <v>0</v>
      </c>
      <c r="BK446" s="16">
        <f>IF(Performance!$D$446="","",Performance!$D$446)</f>
        <v>0</v>
      </c>
      <c r="BL446" s="17">
        <f>IF(Performance!$E$446="","",Performance!$E$446)</f>
        <v>0</v>
      </c>
      <c r="BM446" s="23">
        <f>IF(Performance!$O$446="","",Performance!$O$446)</f>
        <v>0</v>
      </c>
      <c r="BN446" s="24">
        <f>IF(Performance!$AA$446="","",Performance!$AA$446)</f>
        <v>0</v>
      </c>
      <c r="BO446" s="32">
        <f>IF(BH446="","",IF(BK446="","",IF(OR(BK446&lt;DashStart,BK446&gt;DashEnd),"",IF(BN446="","",BN446+ROW()/1000000))))</f>
        <v>0</v>
      </c>
      <c r="BP446" s="32">
        <f>IF(BM446="","",IF(BK446="","",IF(OR(BK446&lt;DashStart,BK446&gt;DashEnd),"",BM446+ROW()/1000000)))</f>
        <v>0</v>
      </c>
      <c r="BQ446" s="32">
        <f>IF(BH446="","",IF(BK446="","",IF(YEAR(BK446)&lt;&gt;PlanYear,"",IF(BN446="","",BN446+ROW()/1000000))))</f>
        <v>0</v>
      </c>
      <c r="BR446" s="32">
        <f>IF(BH446="","",IF(BK446="","",IF(OR(BK446&lt;RepFrom,BK446&gt;RepTo),"",IF(BN446="","",BN446+ROW()/1000000))))</f>
        <v>0</v>
      </c>
      <c r="BS446" s="32">
        <f>IF(BM446="","",IF(BK446="","",IF(YEAR(BK446)&lt;&gt;PlanYear,"",BM446+ROW()/1000000)))</f>
        <v>0</v>
      </c>
      <c r="BT446" s="17">
        <f>IF(Lists!$F446="","",Lists!$F446)</f>
        <v>0</v>
      </c>
      <c r="BU446" s="23">
        <f>IF(BT446="","",COUNTIF('Content Calendar'!$X$5:$X$604,BT446))</f>
        <v>0</v>
      </c>
      <c r="BV446" s="23">
        <f>IF(BT446="","",COUNTIFS('Content Calendar'!$X$5:$X$604,BT446,'Content Calendar'!$B$5:$B$604,"&gt;="&amp;DashStart,'Content Calendar'!$B$5:$B$604,"&lt;="&amp;DashEnd))</f>
        <v>0</v>
      </c>
      <c r="BW446" s="17">
        <f>IF(Team!$B$446="","",Team!$B$446)</f>
        <v>0</v>
      </c>
      <c r="BX446" s="23">
        <f>IF(BW446="","",COUNTIF('Content Calendar'!$W$5:$W$604,BW446))</f>
        <v>0</v>
      </c>
      <c r="BY446" s="23">
        <f>IF(BW446="","",COUNTIFS('Content Calendar'!$W$5:$W$604,BW446,'Content Calendar'!$X$5:$X$604,"&lt;&gt;Published"))</f>
        <v>0</v>
      </c>
      <c r="BZ446" s="23">
        <f>IF(BW446="","",COUNTIFS(Tasks!$C$5:$C$64,BW446,Tasks!$G$5:$G$64,"&lt;&gt;Complete"))</f>
        <v>0</v>
      </c>
      <c r="CA446" s="17">
        <f>IF(Campaigns!$B$446="","",Campaigns!$B$446)</f>
        <v>0</v>
      </c>
      <c r="CB446" s="25">
        <f>IF(Campaigns!$T$446="","",Campaigns!$T$446)</f>
        <v>0</v>
      </c>
      <c r="CC446" s="25">
        <f>IF(Campaigns!$Q$446="","",Campaigns!$Q$446)</f>
        <v>0</v>
      </c>
      <c r="CD446" s="23">
        <f>IF(Campaigns!$Y$446="","",Campaigns!$Y$446)</f>
        <v>0</v>
      </c>
      <c r="CE446" s="32">
        <f>IF(CA446="","",IF(N(CB446)&lt;=0,"",N(CB446)+ROW()/1000000))</f>
        <v>0</v>
      </c>
      <c r="CF446" s="17">
        <f>IF(Accounts!$C$446="","",Accounts!$C$446)</f>
        <v>0</v>
      </c>
      <c r="CG446" s="17">
        <f>IF(Accounts!$B$446="","",Accounts!$B$446)</f>
        <v>0</v>
      </c>
      <c r="CH446" s="23">
        <f>IF(Accounts!$J$446="","",Accounts!$J$446)</f>
        <v>0</v>
      </c>
      <c r="CI446" s="23">
        <f>IF(CF446="","",SUMIFS(Analytics!$X$5:$X$154,Analytics!$E$5:$E$154,CF446,Analytics!$B$5:$B$154,"&gt;="&amp;DashStart,Analytics!$B$5:$B$154,"&lt;="&amp;DashEnd))</f>
        <v>0</v>
      </c>
      <c r="CJ446" s="32">
        <f>IF(CH446="","",IF(CH446=0,"",CH446+ROW()/1000000))</f>
        <v>0</v>
      </c>
    </row>
    <row r="447" spans="1:88">
      <c r="A447" s="16">
        <f>IF(ROW()-4&gt;12,"",DATE(PlanYear,ROW()-4,1))</f>
        <v>0</v>
      </c>
      <c r="B447" s="16">
        <f>IF(A447="","",EOMONTH(A447,0))</f>
        <v>0</v>
      </c>
      <c r="C447" s="17">
        <f>IF(A447="","",TEXT(A447,"yyyy-mm"))</f>
        <v>0</v>
      </c>
      <c r="D447" s="17">
        <f>IF(A447="","",TEXT(A447,"mmm"))</f>
        <v>0</v>
      </c>
      <c r="E447" s="23">
        <f>IF(C447="","",COUNTIFS('Content Calendar'!$D$5:$D$604,C447))</f>
        <v>0</v>
      </c>
      <c r="F447" s="23">
        <f>IF(C447="","",COUNTIFS('Content Calendar'!$D$5:$D$604,C447,'Content Calendar'!$X$5:$X$604,"Published"))</f>
        <v>0</v>
      </c>
      <c r="G447" s="23">
        <f>IF(C447="","",SUMIFS(Analytics!$J$5:$J$154,Analytics!$C$5:$C$154,C447))</f>
        <v>0</v>
      </c>
      <c r="H447" s="23">
        <f>IF(C447="","",SUMIFS(Analytics!$K$5:$K$154,Analytics!$C$5:$C$154,C447))</f>
        <v>0</v>
      </c>
      <c r="I447" s="23">
        <f>IF(C447="","",SUMIFS(Analytics!$L$5:$L$154,Analytics!$C$5:$C$154,C447))</f>
        <v>0</v>
      </c>
      <c r="J447" s="24">
        <f>IF(OR(G447="",G447=0),"",I447/G447)</f>
        <v>0</v>
      </c>
      <c r="K447" s="23">
        <f>IF(C447="","",SUMIFS(Analytics!$G$5:$G$154,Analytics!$C$5:$C$154,C447))</f>
        <v>0</v>
      </c>
      <c r="L447" s="23">
        <f>IF(C447="","",SUMIFS(Analytics!$X$5:$X$154,Analytics!$C$5:$C$154,C447))</f>
        <v>0</v>
      </c>
      <c r="M447" s="23">
        <f>IF(C447="","",SUMIFS(Analytics!$R$5:$R$154,Analytics!$C$5:$C$154,C447))</f>
        <v>0</v>
      </c>
      <c r="N447" s="23">
        <f>IF(C447="","",SUMIFS(Analytics!$S$5:$S$154,Analytics!$C$5:$C$154,C447))</f>
        <v>0</v>
      </c>
      <c r="O447" s="23">
        <f>IF(C447="","",SUMIFS(Analytics!$T$5:$T$154,Analytics!$C$5:$C$154,C447))</f>
        <v>0</v>
      </c>
      <c r="P447" s="25">
        <f>IF(C447="","",SUMIFS(Analytics!$U$5:$U$154,Analytics!$C$5:$C$154,C447))</f>
        <v>0</v>
      </c>
      <c r="Q447" s="25">
        <f>IF(C447="","",SUMIFS(Budget!$H$5:$H$64,Budget!$C$5:$C$64,C447))</f>
        <v>0</v>
      </c>
      <c r="R447" s="25">
        <f>IF(C447="","",P447-Q447)</f>
        <v>0</v>
      </c>
      <c r="S447" s="23">
        <f>IF(C447="","",MonthlyPostTarget)</f>
        <v>0</v>
      </c>
      <c r="T447" s="17">
        <f>IF(Lists!$C447="","",Lists!$C447)</f>
        <v>0</v>
      </c>
      <c r="U447" s="23">
        <f>IF(T447="","",COUNTIFS('Content Calendar'!$G$5:$G$604,T447,'Content Calendar'!$B$5:$B$604,"&gt;="&amp;DashStart,'Content Calendar'!$B$5:$B$604,"&lt;="&amp;DashEnd))</f>
        <v>0</v>
      </c>
      <c r="V447" s="23">
        <f>IF(T447="","",COUNTIFS('Content Calendar'!$G$5:$G$604,T447,'Content Calendar'!$X$5:$X$604,"Published",'Content Calendar'!$B$5:$B$604,"&gt;="&amp;DashStart,'Content Calendar'!$B$5:$B$604,"&lt;="&amp;DashEnd))</f>
        <v>0</v>
      </c>
      <c r="W447" s="23">
        <f>IF(T447="","",SUMIFS(Analytics!$J$5:$J$154,Analytics!$D$5:$D$154,T447,Analytics!$B$5:$B$154,"&gt;="&amp;DashStart,Analytics!$B$5:$B$154,"&lt;="&amp;DashEnd))</f>
        <v>0</v>
      </c>
      <c r="X447" s="23">
        <f>IF(T447="","",SUMIFS(Analytics!$L$5:$L$154,Analytics!$D$5:$D$154,T447,Analytics!$B$5:$B$154,"&gt;="&amp;DashStart,Analytics!$B$5:$B$154,"&lt;="&amp;DashEnd))</f>
        <v>0</v>
      </c>
      <c r="Y447" s="24">
        <f>IF(OR(W447="",W447=0),"",X447/W447)</f>
        <v>0</v>
      </c>
      <c r="Z447" s="23">
        <f>IF(T447="","",SUMIFS(Analytics!$G$5:$G$154,Analytics!$D$5:$D$154,T447,Analytics!$B$5:$B$154,"&gt;="&amp;DashStart,Analytics!$B$5:$B$154,"&lt;="&amp;DashEnd))</f>
        <v>0</v>
      </c>
      <c r="AA447" s="23">
        <f>IF(T447="","",SUMIFS(Analytics!$X$5:$X$154,Analytics!$D$5:$D$154,T447,Analytics!$B$5:$B$154,"&gt;="&amp;DashStart,Analytics!$B$5:$B$154,"&lt;="&amp;DashEnd))</f>
        <v>0</v>
      </c>
      <c r="AB447" s="23">
        <f>IF(T447="","",SUMIFS(Analytics!$R$5:$R$154,Analytics!$D$5:$D$154,T447,Analytics!$B$5:$B$154,"&gt;="&amp;DashStart,Analytics!$B$5:$B$154,"&lt;="&amp;DashEnd))</f>
        <v>0</v>
      </c>
      <c r="AC447" s="25">
        <f>IF(T447="","",SUMIFS(Analytics!$U$5:$U$154,Analytics!$D$5:$D$154,T447,Analytics!$B$5:$B$154,"&gt;="&amp;DashStart,Analytics!$B$5:$B$154,"&lt;="&amp;DashEnd))</f>
        <v>0</v>
      </c>
      <c r="AD447" s="23">
        <f>IF(T447="","",COUNTIFS('Content Calendar'!$G$5:$G$604,T447,'Content Calendar'!$B$5:$B$604,"&gt;="&amp;DATE(PlanYear,1,1),'Content Calendar'!$B$5:$B$604,"&lt;="&amp;DATE(PlanYear,12,31)))</f>
        <v>0</v>
      </c>
      <c r="AE447" s="23">
        <f>IF(T447="","",SUMIFS(Analytics!$J$5:$J$154,Analytics!$D$5:$D$154,T447))</f>
        <v>0</v>
      </c>
      <c r="AF447" s="23">
        <f>IF(T447="","",SUMIFS(Analytics!$L$5:$L$154,Analytics!$D$5:$D$154,T447))</f>
        <v>0</v>
      </c>
      <c r="AG447" s="24">
        <f>IF(OR(AE447="",AE447=0),"",AF447/AE447)</f>
        <v>0</v>
      </c>
      <c r="AH447" s="23">
        <f>IF(T447="","",SUMIFS(Analytics!$X$5:$X$154,Analytics!$D$5:$D$154,T447))</f>
        <v>0</v>
      </c>
      <c r="AI447" s="32">
        <f>IF(T447="","",IF(AE447=0,"",AE447+ROW()/1000000))</f>
        <v>0</v>
      </c>
      <c r="AJ447" s="17">
        <f>IF('Content Pillars'!$B$447="","",'Content Pillars'!$B$447)</f>
        <v>0</v>
      </c>
      <c r="AK447" s="23">
        <f>IF(AJ447="","",COUNTIFS('Content Calendar'!$J$5:$J$604,AJ447,'Content Calendar'!$B$5:$B$604,"&gt;="&amp;DATE(PlanYear,1,1),'Content Calendar'!$B$5:$B$604,"&lt;="&amp;DATE(PlanYear,12,31)))</f>
        <v>0</v>
      </c>
      <c r="AL447" s="23">
        <f>IF(AJ447="","",SUMIFS(Performance!$O$5:$O$404,Performance!$H$5:$H$404,AJ447))</f>
        <v>0</v>
      </c>
      <c r="AM447" s="23">
        <f>IF(AJ447="","",SUMIFS(Performance!$Z$5:$Z$404,Performance!$H$5:$H$404,AJ447))</f>
        <v>0</v>
      </c>
      <c r="AN447" s="24">
        <f>IF(OR(AL447="",AL447=0),"",AM447/AL447)</f>
        <v>0</v>
      </c>
      <c r="AO447" s="32">
        <f>IF(AN447="","",AN447+ROW()/1000000)</f>
        <v>0</v>
      </c>
      <c r="AP447" s="17">
        <f>IF(Lists!$E447="","",Lists!$E447)</f>
        <v>0</v>
      </c>
      <c r="AQ447" s="23">
        <f>IF(AP447="","",COUNTIF(Performance!$G$5:$G$404,AP447))</f>
        <v>0</v>
      </c>
      <c r="AR447" s="23">
        <f>IF(AP447="","",SUMIFS(Performance!$O$5:$O$404,Performance!$G$5:$G$404,AP447))</f>
        <v>0</v>
      </c>
      <c r="AS447" s="23">
        <f>IF(AP447="","",SUMIFS(Performance!$Z$5:$Z$404,Performance!$G$5:$G$404,AP447))</f>
        <v>0</v>
      </c>
      <c r="AT447" s="24">
        <f>IF(OR(AR447="",AR447=0),"",AS447/AR447)</f>
        <v>0</v>
      </c>
      <c r="AU447" s="32">
        <f>IF(AQ447=0,"",IF(AT447="","",AT447+ROW()/1000000))</f>
        <v>0</v>
      </c>
      <c r="AV447" s="17">
        <f>IF(ROW()-4&gt;7,"",TEXT(DATE(2024,1,ROW()-4),"ddd"))</f>
        <v>0</v>
      </c>
      <c r="AW447" s="23">
        <f>IF(AV447="","",COUNTIF(Performance!$N$5:$N$404,AV447))</f>
        <v>0</v>
      </c>
      <c r="AX447" s="23">
        <f>IF(AV447="","",SUMIFS(Performance!$O$5:$O$404,Performance!$N$5:$N$404,AV447))</f>
        <v>0</v>
      </c>
      <c r="AY447" s="23">
        <f>IF(AV447="","",SUMIFS(Performance!$Z$5:$Z$404,Performance!$N$5:$N$404,AV447))</f>
        <v>0</v>
      </c>
      <c r="AZ447" s="24">
        <f>IF(OR(AX447="",AX447=0),"",AY447/AX447)</f>
        <v>0</v>
      </c>
      <c r="BA447" s="32">
        <f>IF(AW447=0,"",IF(AZ447="","",AZ447+ROW()/1000000))</f>
        <v>0</v>
      </c>
      <c r="BB447" s="17">
        <f>IF(Lists!$AL447="","",Lists!$AL447)</f>
        <v>0</v>
      </c>
      <c r="BC447" s="23">
        <f>IF(BB447="","",COUNTIF(Performance!$M$5:$M$404,BB447))</f>
        <v>0</v>
      </c>
      <c r="BD447" s="23">
        <f>IF(BB447="","",SUMIFS(Performance!$O$5:$O$404,Performance!$M$5:$M$404,BB447))</f>
        <v>0</v>
      </c>
      <c r="BE447" s="23">
        <f>IF(BB447="","",SUMIFS(Performance!$Z$5:$Z$404,Performance!$M$5:$M$404,BB447))</f>
        <v>0</v>
      </c>
      <c r="BF447" s="24">
        <f>IF(OR(BD447="",BD447=0),"",BE447/BD447)</f>
        <v>0</v>
      </c>
      <c r="BG447" s="32">
        <f>IF(BC447=0,"",IF(BF447="","",BF447+ROW()/1000000))</f>
        <v>0</v>
      </c>
      <c r="BH447" s="17">
        <f>IF(Performance!$C$447="","",Performance!$C$447)</f>
        <v>0</v>
      </c>
      <c r="BI447" s="17">
        <f>IF(Performance!$F$447="","",Performance!$F$447)</f>
        <v>0</v>
      </c>
      <c r="BJ447" s="17">
        <f>IF(Performance!$H$447="","",Performance!$H$447)</f>
        <v>0</v>
      </c>
      <c r="BK447" s="16">
        <f>IF(Performance!$D$447="","",Performance!$D$447)</f>
        <v>0</v>
      </c>
      <c r="BL447" s="17">
        <f>IF(Performance!$E$447="","",Performance!$E$447)</f>
        <v>0</v>
      </c>
      <c r="BM447" s="23">
        <f>IF(Performance!$O$447="","",Performance!$O$447)</f>
        <v>0</v>
      </c>
      <c r="BN447" s="24">
        <f>IF(Performance!$AA$447="","",Performance!$AA$447)</f>
        <v>0</v>
      </c>
      <c r="BO447" s="32">
        <f>IF(BH447="","",IF(BK447="","",IF(OR(BK447&lt;DashStart,BK447&gt;DashEnd),"",IF(BN447="","",BN447+ROW()/1000000))))</f>
        <v>0</v>
      </c>
      <c r="BP447" s="32">
        <f>IF(BM447="","",IF(BK447="","",IF(OR(BK447&lt;DashStart,BK447&gt;DashEnd),"",BM447+ROW()/1000000)))</f>
        <v>0</v>
      </c>
      <c r="BQ447" s="32">
        <f>IF(BH447="","",IF(BK447="","",IF(YEAR(BK447)&lt;&gt;PlanYear,"",IF(BN447="","",BN447+ROW()/1000000))))</f>
        <v>0</v>
      </c>
      <c r="BR447" s="32">
        <f>IF(BH447="","",IF(BK447="","",IF(OR(BK447&lt;RepFrom,BK447&gt;RepTo),"",IF(BN447="","",BN447+ROW()/1000000))))</f>
        <v>0</v>
      </c>
      <c r="BS447" s="32">
        <f>IF(BM447="","",IF(BK447="","",IF(YEAR(BK447)&lt;&gt;PlanYear,"",BM447+ROW()/1000000)))</f>
        <v>0</v>
      </c>
      <c r="BT447" s="17">
        <f>IF(Lists!$F447="","",Lists!$F447)</f>
        <v>0</v>
      </c>
      <c r="BU447" s="23">
        <f>IF(BT447="","",COUNTIF('Content Calendar'!$X$5:$X$604,BT447))</f>
        <v>0</v>
      </c>
      <c r="BV447" s="23">
        <f>IF(BT447="","",COUNTIFS('Content Calendar'!$X$5:$X$604,BT447,'Content Calendar'!$B$5:$B$604,"&gt;="&amp;DashStart,'Content Calendar'!$B$5:$B$604,"&lt;="&amp;DashEnd))</f>
        <v>0</v>
      </c>
      <c r="BW447" s="17">
        <f>IF(Team!$B$447="","",Team!$B$447)</f>
        <v>0</v>
      </c>
      <c r="BX447" s="23">
        <f>IF(BW447="","",COUNTIF('Content Calendar'!$W$5:$W$604,BW447))</f>
        <v>0</v>
      </c>
      <c r="BY447" s="23">
        <f>IF(BW447="","",COUNTIFS('Content Calendar'!$W$5:$W$604,BW447,'Content Calendar'!$X$5:$X$604,"&lt;&gt;Published"))</f>
        <v>0</v>
      </c>
      <c r="BZ447" s="23">
        <f>IF(BW447="","",COUNTIFS(Tasks!$C$5:$C$64,BW447,Tasks!$G$5:$G$64,"&lt;&gt;Complete"))</f>
        <v>0</v>
      </c>
      <c r="CA447" s="17">
        <f>IF(Campaigns!$B$447="","",Campaigns!$B$447)</f>
        <v>0</v>
      </c>
      <c r="CB447" s="25">
        <f>IF(Campaigns!$T$447="","",Campaigns!$T$447)</f>
        <v>0</v>
      </c>
      <c r="CC447" s="25">
        <f>IF(Campaigns!$Q$447="","",Campaigns!$Q$447)</f>
        <v>0</v>
      </c>
      <c r="CD447" s="23">
        <f>IF(Campaigns!$Y$447="","",Campaigns!$Y$447)</f>
        <v>0</v>
      </c>
      <c r="CE447" s="32">
        <f>IF(CA447="","",IF(N(CB447)&lt;=0,"",N(CB447)+ROW()/1000000))</f>
        <v>0</v>
      </c>
      <c r="CF447" s="17">
        <f>IF(Accounts!$C$447="","",Accounts!$C$447)</f>
        <v>0</v>
      </c>
      <c r="CG447" s="17">
        <f>IF(Accounts!$B$447="","",Accounts!$B$447)</f>
        <v>0</v>
      </c>
      <c r="CH447" s="23">
        <f>IF(Accounts!$J$447="","",Accounts!$J$447)</f>
        <v>0</v>
      </c>
      <c r="CI447" s="23">
        <f>IF(CF447="","",SUMIFS(Analytics!$X$5:$X$154,Analytics!$E$5:$E$154,CF447,Analytics!$B$5:$B$154,"&gt;="&amp;DashStart,Analytics!$B$5:$B$154,"&lt;="&amp;DashEnd))</f>
        <v>0</v>
      </c>
      <c r="CJ447" s="32">
        <f>IF(CH447="","",IF(CH447=0,"",CH447+ROW()/1000000))</f>
        <v>0</v>
      </c>
    </row>
    <row r="448" spans="1:88">
      <c r="A448" s="16">
        <f>IF(ROW()-4&gt;12,"",DATE(PlanYear,ROW()-4,1))</f>
        <v>0</v>
      </c>
      <c r="B448" s="16">
        <f>IF(A448="","",EOMONTH(A448,0))</f>
        <v>0</v>
      </c>
      <c r="C448" s="17">
        <f>IF(A448="","",TEXT(A448,"yyyy-mm"))</f>
        <v>0</v>
      </c>
      <c r="D448" s="17">
        <f>IF(A448="","",TEXT(A448,"mmm"))</f>
        <v>0</v>
      </c>
      <c r="E448" s="23">
        <f>IF(C448="","",COUNTIFS('Content Calendar'!$D$5:$D$604,C448))</f>
        <v>0</v>
      </c>
      <c r="F448" s="23">
        <f>IF(C448="","",COUNTIFS('Content Calendar'!$D$5:$D$604,C448,'Content Calendar'!$X$5:$X$604,"Published"))</f>
        <v>0</v>
      </c>
      <c r="G448" s="23">
        <f>IF(C448="","",SUMIFS(Analytics!$J$5:$J$154,Analytics!$C$5:$C$154,C448))</f>
        <v>0</v>
      </c>
      <c r="H448" s="23">
        <f>IF(C448="","",SUMIFS(Analytics!$K$5:$K$154,Analytics!$C$5:$C$154,C448))</f>
        <v>0</v>
      </c>
      <c r="I448" s="23">
        <f>IF(C448="","",SUMIFS(Analytics!$L$5:$L$154,Analytics!$C$5:$C$154,C448))</f>
        <v>0</v>
      </c>
      <c r="J448" s="24">
        <f>IF(OR(G448="",G448=0),"",I448/G448)</f>
        <v>0</v>
      </c>
      <c r="K448" s="23">
        <f>IF(C448="","",SUMIFS(Analytics!$G$5:$G$154,Analytics!$C$5:$C$154,C448))</f>
        <v>0</v>
      </c>
      <c r="L448" s="23">
        <f>IF(C448="","",SUMIFS(Analytics!$X$5:$X$154,Analytics!$C$5:$C$154,C448))</f>
        <v>0</v>
      </c>
      <c r="M448" s="23">
        <f>IF(C448="","",SUMIFS(Analytics!$R$5:$R$154,Analytics!$C$5:$C$154,C448))</f>
        <v>0</v>
      </c>
      <c r="N448" s="23">
        <f>IF(C448="","",SUMIFS(Analytics!$S$5:$S$154,Analytics!$C$5:$C$154,C448))</f>
        <v>0</v>
      </c>
      <c r="O448" s="23">
        <f>IF(C448="","",SUMIFS(Analytics!$T$5:$T$154,Analytics!$C$5:$C$154,C448))</f>
        <v>0</v>
      </c>
      <c r="P448" s="25">
        <f>IF(C448="","",SUMIFS(Analytics!$U$5:$U$154,Analytics!$C$5:$C$154,C448))</f>
        <v>0</v>
      </c>
      <c r="Q448" s="25">
        <f>IF(C448="","",SUMIFS(Budget!$H$5:$H$64,Budget!$C$5:$C$64,C448))</f>
        <v>0</v>
      </c>
      <c r="R448" s="25">
        <f>IF(C448="","",P448-Q448)</f>
        <v>0</v>
      </c>
      <c r="S448" s="23">
        <f>IF(C448="","",MonthlyPostTarget)</f>
        <v>0</v>
      </c>
      <c r="T448" s="17">
        <f>IF(Lists!$C448="","",Lists!$C448)</f>
        <v>0</v>
      </c>
      <c r="U448" s="23">
        <f>IF(T448="","",COUNTIFS('Content Calendar'!$G$5:$G$604,T448,'Content Calendar'!$B$5:$B$604,"&gt;="&amp;DashStart,'Content Calendar'!$B$5:$B$604,"&lt;="&amp;DashEnd))</f>
        <v>0</v>
      </c>
      <c r="V448" s="23">
        <f>IF(T448="","",COUNTIFS('Content Calendar'!$G$5:$G$604,T448,'Content Calendar'!$X$5:$X$604,"Published",'Content Calendar'!$B$5:$B$604,"&gt;="&amp;DashStart,'Content Calendar'!$B$5:$B$604,"&lt;="&amp;DashEnd))</f>
        <v>0</v>
      </c>
      <c r="W448" s="23">
        <f>IF(T448="","",SUMIFS(Analytics!$J$5:$J$154,Analytics!$D$5:$D$154,T448,Analytics!$B$5:$B$154,"&gt;="&amp;DashStart,Analytics!$B$5:$B$154,"&lt;="&amp;DashEnd))</f>
        <v>0</v>
      </c>
      <c r="X448" s="23">
        <f>IF(T448="","",SUMIFS(Analytics!$L$5:$L$154,Analytics!$D$5:$D$154,T448,Analytics!$B$5:$B$154,"&gt;="&amp;DashStart,Analytics!$B$5:$B$154,"&lt;="&amp;DashEnd))</f>
        <v>0</v>
      </c>
      <c r="Y448" s="24">
        <f>IF(OR(W448="",W448=0),"",X448/W448)</f>
        <v>0</v>
      </c>
      <c r="Z448" s="23">
        <f>IF(T448="","",SUMIFS(Analytics!$G$5:$G$154,Analytics!$D$5:$D$154,T448,Analytics!$B$5:$B$154,"&gt;="&amp;DashStart,Analytics!$B$5:$B$154,"&lt;="&amp;DashEnd))</f>
        <v>0</v>
      </c>
      <c r="AA448" s="23">
        <f>IF(T448="","",SUMIFS(Analytics!$X$5:$X$154,Analytics!$D$5:$D$154,T448,Analytics!$B$5:$B$154,"&gt;="&amp;DashStart,Analytics!$B$5:$B$154,"&lt;="&amp;DashEnd))</f>
        <v>0</v>
      </c>
      <c r="AB448" s="23">
        <f>IF(T448="","",SUMIFS(Analytics!$R$5:$R$154,Analytics!$D$5:$D$154,T448,Analytics!$B$5:$B$154,"&gt;="&amp;DashStart,Analytics!$B$5:$B$154,"&lt;="&amp;DashEnd))</f>
        <v>0</v>
      </c>
      <c r="AC448" s="25">
        <f>IF(T448="","",SUMIFS(Analytics!$U$5:$U$154,Analytics!$D$5:$D$154,T448,Analytics!$B$5:$B$154,"&gt;="&amp;DashStart,Analytics!$B$5:$B$154,"&lt;="&amp;DashEnd))</f>
        <v>0</v>
      </c>
      <c r="AD448" s="23">
        <f>IF(T448="","",COUNTIFS('Content Calendar'!$G$5:$G$604,T448,'Content Calendar'!$B$5:$B$604,"&gt;="&amp;DATE(PlanYear,1,1),'Content Calendar'!$B$5:$B$604,"&lt;="&amp;DATE(PlanYear,12,31)))</f>
        <v>0</v>
      </c>
      <c r="AE448" s="23">
        <f>IF(T448="","",SUMIFS(Analytics!$J$5:$J$154,Analytics!$D$5:$D$154,T448))</f>
        <v>0</v>
      </c>
      <c r="AF448" s="23">
        <f>IF(T448="","",SUMIFS(Analytics!$L$5:$L$154,Analytics!$D$5:$D$154,T448))</f>
        <v>0</v>
      </c>
      <c r="AG448" s="24">
        <f>IF(OR(AE448="",AE448=0),"",AF448/AE448)</f>
        <v>0</v>
      </c>
      <c r="AH448" s="23">
        <f>IF(T448="","",SUMIFS(Analytics!$X$5:$X$154,Analytics!$D$5:$D$154,T448))</f>
        <v>0</v>
      </c>
      <c r="AI448" s="32">
        <f>IF(T448="","",IF(AE448=0,"",AE448+ROW()/1000000))</f>
        <v>0</v>
      </c>
      <c r="AJ448" s="17">
        <f>IF('Content Pillars'!$B$448="","",'Content Pillars'!$B$448)</f>
        <v>0</v>
      </c>
      <c r="AK448" s="23">
        <f>IF(AJ448="","",COUNTIFS('Content Calendar'!$J$5:$J$604,AJ448,'Content Calendar'!$B$5:$B$604,"&gt;="&amp;DATE(PlanYear,1,1),'Content Calendar'!$B$5:$B$604,"&lt;="&amp;DATE(PlanYear,12,31)))</f>
        <v>0</v>
      </c>
      <c r="AL448" s="23">
        <f>IF(AJ448="","",SUMIFS(Performance!$O$5:$O$404,Performance!$H$5:$H$404,AJ448))</f>
        <v>0</v>
      </c>
      <c r="AM448" s="23">
        <f>IF(AJ448="","",SUMIFS(Performance!$Z$5:$Z$404,Performance!$H$5:$H$404,AJ448))</f>
        <v>0</v>
      </c>
      <c r="AN448" s="24">
        <f>IF(OR(AL448="",AL448=0),"",AM448/AL448)</f>
        <v>0</v>
      </c>
      <c r="AO448" s="32">
        <f>IF(AN448="","",AN448+ROW()/1000000)</f>
        <v>0</v>
      </c>
      <c r="AP448" s="17">
        <f>IF(Lists!$E448="","",Lists!$E448)</f>
        <v>0</v>
      </c>
      <c r="AQ448" s="23">
        <f>IF(AP448="","",COUNTIF(Performance!$G$5:$G$404,AP448))</f>
        <v>0</v>
      </c>
      <c r="AR448" s="23">
        <f>IF(AP448="","",SUMIFS(Performance!$O$5:$O$404,Performance!$G$5:$G$404,AP448))</f>
        <v>0</v>
      </c>
      <c r="AS448" s="23">
        <f>IF(AP448="","",SUMIFS(Performance!$Z$5:$Z$404,Performance!$G$5:$G$404,AP448))</f>
        <v>0</v>
      </c>
      <c r="AT448" s="24">
        <f>IF(OR(AR448="",AR448=0),"",AS448/AR448)</f>
        <v>0</v>
      </c>
      <c r="AU448" s="32">
        <f>IF(AQ448=0,"",IF(AT448="","",AT448+ROW()/1000000))</f>
        <v>0</v>
      </c>
      <c r="AV448" s="17">
        <f>IF(ROW()-4&gt;7,"",TEXT(DATE(2024,1,ROW()-4),"ddd"))</f>
        <v>0</v>
      </c>
      <c r="AW448" s="23">
        <f>IF(AV448="","",COUNTIF(Performance!$N$5:$N$404,AV448))</f>
        <v>0</v>
      </c>
      <c r="AX448" s="23">
        <f>IF(AV448="","",SUMIFS(Performance!$O$5:$O$404,Performance!$N$5:$N$404,AV448))</f>
        <v>0</v>
      </c>
      <c r="AY448" s="23">
        <f>IF(AV448="","",SUMIFS(Performance!$Z$5:$Z$404,Performance!$N$5:$N$404,AV448))</f>
        <v>0</v>
      </c>
      <c r="AZ448" s="24">
        <f>IF(OR(AX448="",AX448=0),"",AY448/AX448)</f>
        <v>0</v>
      </c>
      <c r="BA448" s="32">
        <f>IF(AW448=0,"",IF(AZ448="","",AZ448+ROW()/1000000))</f>
        <v>0</v>
      </c>
      <c r="BB448" s="17">
        <f>IF(Lists!$AL448="","",Lists!$AL448)</f>
        <v>0</v>
      </c>
      <c r="BC448" s="23">
        <f>IF(BB448="","",COUNTIF(Performance!$M$5:$M$404,BB448))</f>
        <v>0</v>
      </c>
      <c r="BD448" s="23">
        <f>IF(BB448="","",SUMIFS(Performance!$O$5:$O$404,Performance!$M$5:$M$404,BB448))</f>
        <v>0</v>
      </c>
      <c r="BE448" s="23">
        <f>IF(BB448="","",SUMIFS(Performance!$Z$5:$Z$404,Performance!$M$5:$M$404,BB448))</f>
        <v>0</v>
      </c>
      <c r="BF448" s="24">
        <f>IF(OR(BD448="",BD448=0),"",BE448/BD448)</f>
        <v>0</v>
      </c>
      <c r="BG448" s="32">
        <f>IF(BC448=0,"",IF(BF448="","",BF448+ROW()/1000000))</f>
        <v>0</v>
      </c>
      <c r="BH448" s="17">
        <f>IF(Performance!$C$448="","",Performance!$C$448)</f>
        <v>0</v>
      </c>
      <c r="BI448" s="17">
        <f>IF(Performance!$F$448="","",Performance!$F$448)</f>
        <v>0</v>
      </c>
      <c r="BJ448" s="17">
        <f>IF(Performance!$H$448="","",Performance!$H$448)</f>
        <v>0</v>
      </c>
      <c r="BK448" s="16">
        <f>IF(Performance!$D$448="","",Performance!$D$448)</f>
        <v>0</v>
      </c>
      <c r="BL448" s="17">
        <f>IF(Performance!$E$448="","",Performance!$E$448)</f>
        <v>0</v>
      </c>
      <c r="BM448" s="23">
        <f>IF(Performance!$O$448="","",Performance!$O$448)</f>
        <v>0</v>
      </c>
      <c r="BN448" s="24">
        <f>IF(Performance!$AA$448="","",Performance!$AA$448)</f>
        <v>0</v>
      </c>
      <c r="BO448" s="32">
        <f>IF(BH448="","",IF(BK448="","",IF(OR(BK448&lt;DashStart,BK448&gt;DashEnd),"",IF(BN448="","",BN448+ROW()/1000000))))</f>
        <v>0</v>
      </c>
      <c r="BP448" s="32">
        <f>IF(BM448="","",IF(BK448="","",IF(OR(BK448&lt;DashStart,BK448&gt;DashEnd),"",BM448+ROW()/1000000)))</f>
        <v>0</v>
      </c>
      <c r="BQ448" s="32">
        <f>IF(BH448="","",IF(BK448="","",IF(YEAR(BK448)&lt;&gt;PlanYear,"",IF(BN448="","",BN448+ROW()/1000000))))</f>
        <v>0</v>
      </c>
      <c r="BR448" s="32">
        <f>IF(BH448="","",IF(BK448="","",IF(OR(BK448&lt;RepFrom,BK448&gt;RepTo),"",IF(BN448="","",BN448+ROW()/1000000))))</f>
        <v>0</v>
      </c>
      <c r="BS448" s="32">
        <f>IF(BM448="","",IF(BK448="","",IF(YEAR(BK448)&lt;&gt;PlanYear,"",BM448+ROW()/1000000)))</f>
        <v>0</v>
      </c>
      <c r="BT448" s="17">
        <f>IF(Lists!$F448="","",Lists!$F448)</f>
        <v>0</v>
      </c>
      <c r="BU448" s="23">
        <f>IF(BT448="","",COUNTIF('Content Calendar'!$X$5:$X$604,BT448))</f>
        <v>0</v>
      </c>
      <c r="BV448" s="23">
        <f>IF(BT448="","",COUNTIFS('Content Calendar'!$X$5:$X$604,BT448,'Content Calendar'!$B$5:$B$604,"&gt;="&amp;DashStart,'Content Calendar'!$B$5:$B$604,"&lt;="&amp;DashEnd))</f>
        <v>0</v>
      </c>
      <c r="BW448" s="17">
        <f>IF(Team!$B$448="","",Team!$B$448)</f>
        <v>0</v>
      </c>
      <c r="BX448" s="23">
        <f>IF(BW448="","",COUNTIF('Content Calendar'!$W$5:$W$604,BW448))</f>
        <v>0</v>
      </c>
      <c r="BY448" s="23">
        <f>IF(BW448="","",COUNTIFS('Content Calendar'!$W$5:$W$604,BW448,'Content Calendar'!$X$5:$X$604,"&lt;&gt;Published"))</f>
        <v>0</v>
      </c>
      <c r="BZ448" s="23">
        <f>IF(BW448="","",COUNTIFS(Tasks!$C$5:$C$64,BW448,Tasks!$G$5:$G$64,"&lt;&gt;Complete"))</f>
        <v>0</v>
      </c>
      <c r="CA448" s="17">
        <f>IF(Campaigns!$B$448="","",Campaigns!$B$448)</f>
        <v>0</v>
      </c>
      <c r="CB448" s="25">
        <f>IF(Campaigns!$T$448="","",Campaigns!$T$448)</f>
        <v>0</v>
      </c>
      <c r="CC448" s="25">
        <f>IF(Campaigns!$Q$448="","",Campaigns!$Q$448)</f>
        <v>0</v>
      </c>
      <c r="CD448" s="23">
        <f>IF(Campaigns!$Y$448="","",Campaigns!$Y$448)</f>
        <v>0</v>
      </c>
      <c r="CE448" s="32">
        <f>IF(CA448="","",IF(N(CB448)&lt;=0,"",N(CB448)+ROW()/1000000))</f>
        <v>0</v>
      </c>
      <c r="CF448" s="17">
        <f>IF(Accounts!$C$448="","",Accounts!$C$448)</f>
        <v>0</v>
      </c>
      <c r="CG448" s="17">
        <f>IF(Accounts!$B$448="","",Accounts!$B$448)</f>
        <v>0</v>
      </c>
      <c r="CH448" s="23">
        <f>IF(Accounts!$J$448="","",Accounts!$J$448)</f>
        <v>0</v>
      </c>
      <c r="CI448" s="23">
        <f>IF(CF448="","",SUMIFS(Analytics!$X$5:$X$154,Analytics!$E$5:$E$154,CF448,Analytics!$B$5:$B$154,"&gt;="&amp;DashStart,Analytics!$B$5:$B$154,"&lt;="&amp;DashEnd))</f>
        <v>0</v>
      </c>
      <c r="CJ448" s="32">
        <f>IF(CH448="","",IF(CH448=0,"",CH448+ROW()/1000000))</f>
        <v>0</v>
      </c>
    </row>
    <row r="449" spans="1:88">
      <c r="A449" s="16">
        <f>IF(ROW()-4&gt;12,"",DATE(PlanYear,ROW()-4,1))</f>
        <v>0</v>
      </c>
      <c r="B449" s="16">
        <f>IF(A449="","",EOMONTH(A449,0))</f>
        <v>0</v>
      </c>
      <c r="C449" s="17">
        <f>IF(A449="","",TEXT(A449,"yyyy-mm"))</f>
        <v>0</v>
      </c>
      <c r="D449" s="17">
        <f>IF(A449="","",TEXT(A449,"mmm"))</f>
        <v>0</v>
      </c>
      <c r="E449" s="23">
        <f>IF(C449="","",COUNTIFS('Content Calendar'!$D$5:$D$604,C449))</f>
        <v>0</v>
      </c>
      <c r="F449" s="23">
        <f>IF(C449="","",COUNTIFS('Content Calendar'!$D$5:$D$604,C449,'Content Calendar'!$X$5:$X$604,"Published"))</f>
        <v>0</v>
      </c>
      <c r="G449" s="23">
        <f>IF(C449="","",SUMIFS(Analytics!$J$5:$J$154,Analytics!$C$5:$C$154,C449))</f>
        <v>0</v>
      </c>
      <c r="H449" s="23">
        <f>IF(C449="","",SUMIFS(Analytics!$K$5:$K$154,Analytics!$C$5:$C$154,C449))</f>
        <v>0</v>
      </c>
      <c r="I449" s="23">
        <f>IF(C449="","",SUMIFS(Analytics!$L$5:$L$154,Analytics!$C$5:$C$154,C449))</f>
        <v>0</v>
      </c>
      <c r="J449" s="24">
        <f>IF(OR(G449="",G449=0),"",I449/G449)</f>
        <v>0</v>
      </c>
      <c r="K449" s="23">
        <f>IF(C449="","",SUMIFS(Analytics!$G$5:$G$154,Analytics!$C$5:$C$154,C449))</f>
        <v>0</v>
      </c>
      <c r="L449" s="23">
        <f>IF(C449="","",SUMIFS(Analytics!$X$5:$X$154,Analytics!$C$5:$C$154,C449))</f>
        <v>0</v>
      </c>
      <c r="M449" s="23">
        <f>IF(C449="","",SUMIFS(Analytics!$R$5:$R$154,Analytics!$C$5:$C$154,C449))</f>
        <v>0</v>
      </c>
      <c r="N449" s="23">
        <f>IF(C449="","",SUMIFS(Analytics!$S$5:$S$154,Analytics!$C$5:$C$154,C449))</f>
        <v>0</v>
      </c>
      <c r="O449" s="23">
        <f>IF(C449="","",SUMIFS(Analytics!$T$5:$T$154,Analytics!$C$5:$C$154,C449))</f>
        <v>0</v>
      </c>
      <c r="P449" s="25">
        <f>IF(C449="","",SUMIFS(Analytics!$U$5:$U$154,Analytics!$C$5:$C$154,C449))</f>
        <v>0</v>
      </c>
      <c r="Q449" s="25">
        <f>IF(C449="","",SUMIFS(Budget!$H$5:$H$64,Budget!$C$5:$C$64,C449))</f>
        <v>0</v>
      </c>
      <c r="R449" s="25">
        <f>IF(C449="","",P449-Q449)</f>
        <v>0</v>
      </c>
      <c r="S449" s="23">
        <f>IF(C449="","",MonthlyPostTarget)</f>
        <v>0</v>
      </c>
      <c r="T449" s="17">
        <f>IF(Lists!$C449="","",Lists!$C449)</f>
        <v>0</v>
      </c>
      <c r="U449" s="23">
        <f>IF(T449="","",COUNTIFS('Content Calendar'!$G$5:$G$604,T449,'Content Calendar'!$B$5:$B$604,"&gt;="&amp;DashStart,'Content Calendar'!$B$5:$B$604,"&lt;="&amp;DashEnd))</f>
        <v>0</v>
      </c>
      <c r="V449" s="23">
        <f>IF(T449="","",COUNTIFS('Content Calendar'!$G$5:$G$604,T449,'Content Calendar'!$X$5:$X$604,"Published",'Content Calendar'!$B$5:$B$604,"&gt;="&amp;DashStart,'Content Calendar'!$B$5:$B$604,"&lt;="&amp;DashEnd))</f>
        <v>0</v>
      </c>
      <c r="W449" s="23">
        <f>IF(T449="","",SUMIFS(Analytics!$J$5:$J$154,Analytics!$D$5:$D$154,T449,Analytics!$B$5:$B$154,"&gt;="&amp;DashStart,Analytics!$B$5:$B$154,"&lt;="&amp;DashEnd))</f>
        <v>0</v>
      </c>
      <c r="X449" s="23">
        <f>IF(T449="","",SUMIFS(Analytics!$L$5:$L$154,Analytics!$D$5:$D$154,T449,Analytics!$B$5:$B$154,"&gt;="&amp;DashStart,Analytics!$B$5:$B$154,"&lt;="&amp;DashEnd))</f>
        <v>0</v>
      </c>
      <c r="Y449" s="24">
        <f>IF(OR(W449="",W449=0),"",X449/W449)</f>
        <v>0</v>
      </c>
      <c r="Z449" s="23">
        <f>IF(T449="","",SUMIFS(Analytics!$G$5:$G$154,Analytics!$D$5:$D$154,T449,Analytics!$B$5:$B$154,"&gt;="&amp;DashStart,Analytics!$B$5:$B$154,"&lt;="&amp;DashEnd))</f>
        <v>0</v>
      </c>
      <c r="AA449" s="23">
        <f>IF(T449="","",SUMIFS(Analytics!$X$5:$X$154,Analytics!$D$5:$D$154,T449,Analytics!$B$5:$B$154,"&gt;="&amp;DashStart,Analytics!$B$5:$B$154,"&lt;="&amp;DashEnd))</f>
        <v>0</v>
      </c>
      <c r="AB449" s="23">
        <f>IF(T449="","",SUMIFS(Analytics!$R$5:$R$154,Analytics!$D$5:$D$154,T449,Analytics!$B$5:$B$154,"&gt;="&amp;DashStart,Analytics!$B$5:$B$154,"&lt;="&amp;DashEnd))</f>
        <v>0</v>
      </c>
      <c r="AC449" s="25">
        <f>IF(T449="","",SUMIFS(Analytics!$U$5:$U$154,Analytics!$D$5:$D$154,T449,Analytics!$B$5:$B$154,"&gt;="&amp;DashStart,Analytics!$B$5:$B$154,"&lt;="&amp;DashEnd))</f>
        <v>0</v>
      </c>
      <c r="AD449" s="23">
        <f>IF(T449="","",COUNTIFS('Content Calendar'!$G$5:$G$604,T449,'Content Calendar'!$B$5:$B$604,"&gt;="&amp;DATE(PlanYear,1,1),'Content Calendar'!$B$5:$B$604,"&lt;="&amp;DATE(PlanYear,12,31)))</f>
        <v>0</v>
      </c>
      <c r="AE449" s="23">
        <f>IF(T449="","",SUMIFS(Analytics!$J$5:$J$154,Analytics!$D$5:$D$154,T449))</f>
        <v>0</v>
      </c>
      <c r="AF449" s="23">
        <f>IF(T449="","",SUMIFS(Analytics!$L$5:$L$154,Analytics!$D$5:$D$154,T449))</f>
        <v>0</v>
      </c>
      <c r="AG449" s="24">
        <f>IF(OR(AE449="",AE449=0),"",AF449/AE449)</f>
        <v>0</v>
      </c>
      <c r="AH449" s="23">
        <f>IF(T449="","",SUMIFS(Analytics!$X$5:$X$154,Analytics!$D$5:$D$154,T449))</f>
        <v>0</v>
      </c>
      <c r="AI449" s="32">
        <f>IF(T449="","",IF(AE449=0,"",AE449+ROW()/1000000))</f>
        <v>0</v>
      </c>
      <c r="AJ449" s="17">
        <f>IF('Content Pillars'!$B$449="","",'Content Pillars'!$B$449)</f>
        <v>0</v>
      </c>
      <c r="AK449" s="23">
        <f>IF(AJ449="","",COUNTIFS('Content Calendar'!$J$5:$J$604,AJ449,'Content Calendar'!$B$5:$B$604,"&gt;="&amp;DATE(PlanYear,1,1),'Content Calendar'!$B$5:$B$604,"&lt;="&amp;DATE(PlanYear,12,31)))</f>
        <v>0</v>
      </c>
      <c r="AL449" s="23">
        <f>IF(AJ449="","",SUMIFS(Performance!$O$5:$O$404,Performance!$H$5:$H$404,AJ449))</f>
        <v>0</v>
      </c>
      <c r="AM449" s="23">
        <f>IF(AJ449="","",SUMIFS(Performance!$Z$5:$Z$404,Performance!$H$5:$H$404,AJ449))</f>
        <v>0</v>
      </c>
      <c r="AN449" s="24">
        <f>IF(OR(AL449="",AL449=0),"",AM449/AL449)</f>
        <v>0</v>
      </c>
      <c r="AO449" s="32">
        <f>IF(AN449="","",AN449+ROW()/1000000)</f>
        <v>0</v>
      </c>
      <c r="AP449" s="17">
        <f>IF(Lists!$E449="","",Lists!$E449)</f>
        <v>0</v>
      </c>
      <c r="AQ449" s="23">
        <f>IF(AP449="","",COUNTIF(Performance!$G$5:$G$404,AP449))</f>
        <v>0</v>
      </c>
      <c r="AR449" s="23">
        <f>IF(AP449="","",SUMIFS(Performance!$O$5:$O$404,Performance!$G$5:$G$404,AP449))</f>
        <v>0</v>
      </c>
      <c r="AS449" s="23">
        <f>IF(AP449="","",SUMIFS(Performance!$Z$5:$Z$404,Performance!$G$5:$G$404,AP449))</f>
        <v>0</v>
      </c>
      <c r="AT449" s="24">
        <f>IF(OR(AR449="",AR449=0),"",AS449/AR449)</f>
        <v>0</v>
      </c>
      <c r="AU449" s="32">
        <f>IF(AQ449=0,"",IF(AT449="","",AT449+ROW()/1000000))</f>
        <v>0</v>
      </c>
      <c r="AV449" s="17">
        <f>IF(ROW()-4&gt;7,"",TEXT(DATE(2024,1,ROW()-4),"ddd"))</f>
        <v>0</v>
      </c>
      <c r="AW449" s="23">
        <f>IF(AV449="","",COUNTIF(Performance!$N$5:$N$404,AV449))</f>
        <v>0</v>
      </c>
      <c r="AX449" s="23">
        <f>IF(AV449="","",SUMIFS(Performance!$O$5:$O$404,Performance!$N$5:$N$404,AV449))</f>
        <v>0</v>
      </c>
      <c r="AY449" s="23">
        <f>IF(AV449="","",SUMIFS(Performance!$Z$5:$Z$404,Performance!$N$5:$N$404,AV449))</f>
        <v>0</v>
      </c>
      <c r="AZ449" s="24">
        <f>IF(OR(AX449="",AX449=0),"",AY449/AX449)</f>
        <v>0</v>
      </c>
      <c r="BA449" s="32">
        <f>IF(AW449=0,"",IF(AZ449="","",AZ449+ROW()/1000000))</f>
        <v>0</v>
      </c>
      <c r="BB449" s="17">
        <f>IF(Lists!$AL449="","",Lists!$AL449)</f>
        <v>0</v>
      </c>
      <c r="BC449" s="23">
        <f>IF(BB449="","",COUNTIF(Performance!$M$5:$M$404,BB449))</f>
        <v>0</v>
      </c>
      <c r="BD449" s="23">
        <f>IF(BB449="","",SUMIFS(Performance!$O$5:$O$404,Performance!$M$5:$M$404,BB449))</f>
        <v>0</v>
      </c>
      <c r="BE449" s="23">
        <f>IF(BB449="","",SUMIFS(Performance!$Z$5:$Z$404,Performance!$M$5:$M$404,BB449))</f>
        <v>0</v>
      </c>
      <c r="BF449" s="24">
        <f>IF(OR(BD449="",BD449=0),"",BE449/BD449)</f>
        <v>0</v>
      </c>
      <c r="BG449" s="32">
        <f>IF(BC449=0,"",IF(BF449="","",BF449+ROW()/1000000))</f>
        <v>0</v>
      </c>
      <c r="BH449" s="17">
        <f>IF(Performance!$C$449="","",Performance!$C$449)</f>
        <v>0</v>
      </c>
      <c r="BI449" s="17">
        <f>IF(Performance!$F$449="","",Performance!$F$449)</f>
        <v>0</v>
      </c>
      <c r="BJ449" s="17">
        <f>IF(Performance!$H$449="","",Performance!$H$449)</f>
        <v>0</v>
      </c>
      <c r="BK449" s="16">
        <f>IF(Performance!$D$449="","",Performance!$D$449)</f>
        <v>0</v>
      </c>
      <c r="BL449" s="17">
        <f>IF(Performance!$E$449="","",Performance!$E$449)</f>
        <v>0</v>
      </c>
      <c r="BM449" s="23">
        <f>IF(Performance!$O$449="","",Performance!$O$449)</f>
        <v>0</v>
      </c>
      <c r="BN449" s="24">
        <f>IF(Performance!$AA$449="","",Performance!$AA$449)</f>
        <v>0</v>
      </c>
      <c r="BO449" s="32">
        <f>IF(BH449="","",IF(BK449="","",IF(OR(BK449&lt;DashStart,BK449&gt;DashEnd),"",IF(BN449="","",BN449+ROW()/1000000))))</f>
        <v>0</v>
      </c>
      <c r="BP449" s="32">
        <f>IF(BM449="","",IF(BK449="","",IF(OR(BK449&lt;DashStart,BK449&gt;DashEnd),"",BM449+ROW()/1000000)))</f>
        <v>0</v>
      </c>
      <c r="BQ449" s="32">
        <f>IF(BH449="","",IF(BK449="","",IF(YEAR(BK449)&lt;&gt;PlanYear,"",IF(BN449="","",BN449+ROW()/1000000))))</f>
        <v>0</v>
      </c>
      <c r="BR449" s="32">
        <f>IF(BH449="","",IF(BK449="","",IF(OR(BK449&lt;RepFrom,BK449&gt;RepTo),"",IF(BN449="","",BN449+ROW()/1000000))))</f>
        <v>0</v>
      </c>
      <c r="BS449" s="32">
        <f>IF(BM449="","",IF(BK449="","",IF(YEAR(BK449)&lt;&gt;PlanYear,"",BM449+ROW()/1000000)))</f>
        <v>0</v>
      </c>
      <c r="BT449" s="17">
        <f>IF(Lists!$F449="","",Lists!$F449)</f>
        <v>0</v>
      </c>
      <c r="BU449" s="23">
        <f>IF(BT449="","",COUNTIF('Content Calendar'!$X$5:$X$604,BT449))</f>
        <v>0</v>
      </c>
      <c r="BV449" s="23">
        <f>IF(BT449="","",COUNTIFS('Content Calendar'!$X$5:$X$604,BT449,'Content Calendar'!$B$5:$B$604,"&gt;="&amp;DashStart,'Content Calendar'!$B$5:$B$604,"&lt;="&amp;DashEnd))</f>
        <v>0</v>
      </c>
      <c r="BW449" s="17">
        <f>IF(Team!$B$449="","",Team!$B$449)</f>
        <v>0</v>
      </c>
      <c r="BX449" s="23">
        <f>IF(BW449="","",COUNTIF('Content Calendar'!$W$5:$W$604,BW449))</f>
        <v>0</v>
      </c>
      <c r="BY449" s="23">
        <f>IF(BW449="","",COUNTIFS('Content Calendar'!$W$5:$W$604,BW449,'Content Calendar'!$X$5:$X$604,"&lt;&gt;Published"))</f>
        <v>0</v>
      </c>
      <c r="BZ449" s="23">
        <f>IF(BW449="","",COUNTIFS(Tasks!$C$5:$C$64,BW449,Tasks!$G$5:$G$64,"&lt;&gt;Complete"))</f>
        <v>0</v>
      </c>
      <c r="CA449" s="17">
        <f>IF(Campaigns!$B$449="","",Campaigns!$B$449)</f>
        <v>0</v>
      </c>
      <c r="CB449" s="25">
        <f>IF(Campaigns!$T$449="","",Campaigns!$T$449)</f>
        <v>0</v>
      </c>
      <c r="CC449" s="25">
        <f>IF(Campaigns!$Q$449="","",Campaigns!$Q$449)</f>
        <v>0</v>
      </c>
      <c r="CD449" s="23">
        <f>IF(Campaigns!$Y$449="","",Campaigns!$Y$449)</f>
        <v>0</v>
      </c>
      <c r="CE449" s="32">
        <f>IF(CA449="","",IF(N(CB449)&lt;=0,"",N(CB449)+ROW()/1000000))</f>
        <v>0</v>
      </c>
      <c r="CF449" s="17">
        <f>IF(Accounts!$C$449="","",Accounts!$C$449)</f>
        <v>0</v>
      </c>
      <c r="CG449" s="17">
        <f>IF(Accounts!$B$449="","",Accounts!$B$449)</f>
        <v>0</v>
      </c>
      <c r="CH449" s="23">
        <f>IF(Accounts!$J$449="","",Accounts!$J$449)</f>
        <v>0</v>
      </c>
      <c r="CI449" s="23">
        <f>IF(CF449="","",SUMIFS(Analytics!$X$5:$X$154,Analytics!$E$5:$E$154,CF449,Analytics!$B$5:$B$154,"&gt;="&amp;DashStart,Analytics!$B$5:$B$154,"&lt;="&amp;DashEnd))</f>
        <v>0</v>
      </c>
      <c r="CJ449" s="32">
        <f>IF(CH449="","",IF(CH449=0,"",CH449+ROW()/1000000))</f>
        <v>0</v>
      </c>
    </row>
    <row r="450" spans="1:88">
      <c r="A450" s="16">
        <f>IF(ROW()-4&gt;12,"",DATE(PlanYear,ROW()-4,1))</f>
        <v>0</v>
      </c>
      <c r="B450" s="16">
        <f>IF(A450="","",EOMONTH(A450,0))</f>
        <v>0</v>
      </c>
      <c r="C450" s="17">
        <f>IF(A450="","",TEXT(A450,"yyyy-mm"))</f>
        <v>0</v>
      </c>
      <c r="D450" s="17">
        <f>IF(A450="","",TEXT(A450,"mmm"))</f>
        <v>0</v>
      </c>
      <c r="E450" s="23">
        <f>IF(C450="","",COUNTIFS('Content Calendar'!$D$5:$D$604,C450))</f>
        <v>0</v>
      </c>
      <c r="F450" s="23">
        <f>IF(C450="","",COUNTIFS('Content Calendar'!$D$5:$D$604,C450,'Content Calendar'!$X$5:$X$604,"Published"))</f>
        <v>0</v>
      </c>
      <c r="G450" s="23">
        <f>IF(C450="","",SUMIFS(Analytics!$J$5:$J$154,Analytics!$C$5:$C$154,C450))</f>
        <v>0</v>
      </c>
      <c r="H450" s="23">
        <f>IF(C450="","",SUMIFS(Analytics!$K$5:$K$154,Analytics!$C$5:$C$154,C450))</f>
        <v>0</v>
      </c>
      <c r="I450" s="23">
        <f>IF(C450="","",SUMIFS(Analytics!$L$5:$L$154,Analytics!$C$5:$C$154,C450))</f>
        <v>0</v>
      </c>
      <c r="J450" s="24">
        <f>IF(OR(G450="",G450=0),"",I450/G450)</f>
        <v>0</v>
      </c>
      <c r="K450" s="23">
        <f>IF(C450="","",SUMIFS(Analytics!$G$5:$G$154,Analytics!$C$5:$C$154,C450))</f>
        <v>0</v>
      </c>
      <c r="L450" s="23">
        <f>IF(C450="","",SUMIFS(Analytics!$X$5:$X$154,Analytics!$C$5:$C$154,C450))</f>
        <v>0</v>
      </c>
      <c r="M450" s="23">
        <f>IF(C450="","",SUMIFS(Analytics!$R$5:$R$154,Analytics!$C$5:$C$154,C450))</f>
        <v>0</v>
      </c>
      <c r="N450" s="23">
        <f>IF(C450="","",SUMIFS(Analytics!$S$5:$S$154,Analytics!$C$5:$C$154,C450))</f>
        <v>0</v>
      </c>
      <c r="O450" s="23">
        <f>IF(C450="","",SUMIFS(Analytics!$T$5:$T$154,Analytics!$C$5:$C$154,C450))</f>
        <v>0</v>
      </c>
      <c r="P450" s="25">
        <f>IF(C450="","",SUMIFS(Analytics!$U$5:$U$154,Analytics!$C$5:$C$154,C450))</f>
        <v>0</v>
      </c>
      <c r="Q450" s="25">
        <f>IF(C450="","",SUMIFS(Budget!$H$5:$H$64,Budget!$C$5:$C$64,C450))</f>
        <v>0</v>
      </c>
      <c r="R450" s="25">
        <f>IF(C450="","",P450-Q450)</f>
        <v>0</v>
      </c>
      <c r="S450" s="23">
        <f>IF(C450="","",MonthlyPostTarget)</f>
        <v>0</v>
      </c>
      <c r="T450" s="17">
        <f>IF(Lists!$C450="","",Lists!$C450)</f>
        <v>0</v>
      </c>
      <c r="U450" s="23">
        <f>IF(T450="","",COUNTIFS('Content Calendar'!$G$5:$G$604,T450,'Content Calendar'!$B$5:$B$604,"&gt;="&amp;DashStart,'Content Calendar'!$B$5:$B$604,"&lt;="&amp;DashEnd))</f>
        <v>0</v>
      </c>
      <c r="V450" s="23">
        <f>IF(T450="","",COUNTIFS('Content Calendar'!$G$5:$G$604,T450,'Content Calendar'!$X$5:$X$604,"Published",'Content Calendar'!$B$5:$B$604,"&gt;="&amp;DashStart,'Content Calendar'!$B$5:$B$604,"&lt;="&amp;DashEnd))</f>
        <v>0</v>
      </c>
      <c r="W450" s="23">
        <f>IF(T450="","",SUMIFS(Analytics!$J$5:$J$154,Analytics!$D$5:$D$154,T450,Analytics!$B$5:$B$154,"&gt;="&amp;DashStart,Analytics!$B$5:$B$154,"&lt;="&amp;DashEnd))</f>
        <v>0</v>
      </c>
      <c r="X450" s="23">
        <f>IF(T450="","",SUMIFS(Analytics!$L$5:$L$154,Analytics!$D$5:$D$154,T450,Analytics!$B$5:$B$154,"&gt;="&amp;DashStart,Analytics!$B$5:$B$154,"&lt;="&amp;DashEnd))</f>
        <v>0</v>
      </c>
      <c r="Y450" s="24">
        <f>IF(OR(W450="",W450=0),"",X450/W450)</f>
        <v>0</v>
      </c>
      <c r="Z450" s="23">
        <f>IF(T450="","",SUMIFS(Analytics!$G$5:$G$154,Analytics!$D$5:$D$154,T450,Analytics!$B$5:$B$154,"&gt;="&amp;DashStart,Analytics!$B$5:$B$154,"&lt;="&amp;DashEnd))</f>
        <v>0</v>
      </c>
      <c r="AA450" s="23">
        <f>IF(T450="","",SUMIFS(Analytics!$X$5:$X$154,Analytics!$D$5:$D$154,T450,Analytics!$B$5:$B$154,"&gt;="&amp;DashStart,Analytics!$B$5:$B$154,"&lt;="&amp;DashEnd))</f>
        <v>0</v>
      </c>
      <c r="AB450" s="23">
        <f>IF(T450="","",SUMIFS(Analytics!$R$5:$R$154,Analytics!$D$5:$D$154,T450,Analytics!$B$5:$B$154,"&gt;="&amp;DashStart,Analytics!$B$5:$B$154,"&lt;="&amp;DashEnd))</f>
        <v>0</v>
      </c>
      <c r="AC450" s="25">
        <f>IF(T450="","",SUMIFS(Analytics!$U$5:$U$154,Analytics!$D$5:$D$154,T450,Analytics!$B$5:$B$154,"&gt;="&amp;DashStart,Analytics!$B$5:$B$154,"&lt;="&amp;DashEnd))</f>
        <v>0</v>
      </c>
      <c r="AD450" s="23">
        <f>IF(T450="","",COUNTIFS('Content Calendar'!$G$5:$G$604,T450,'Content Calendar'!$B$5:$B$604,"&gt;="&amp;DATE(PlanYear,1,1),'Content Calendar'!$B$5:$B$604,"&lt;="&amp;DATE(PlanYear,12,31)))</f>
        <v>0</v>
      </c>
      <c r="AE450" s="23">
        <f>IF(T450="","",SUMIFS(Analytics!$J$5:$J$154,Analytics!$D$5:$D$154,T450))</f>
        <v>0</v>
      </c>
      <c r="AF450" s="23">
        <f>IF(T450="","",SUMIFS(Analytics!$L$5:$L$154,Analytics!$D$5:$D$154,T450))</f>
        <v>0</v>
      </c>
      <c r="AG450" s="24">
        <f>IF(OR(AE450="",AE450=0),"",AF450/AE450)</f>
        <v>0</v>
      </c>
      <c r="AH450" s="23">
        <f>IF(T450="","",SUMIFS(Analytics!$X$5:$X$154,Analytics!$D$5:$D$154,T450))</f>
        <v>0</v>
      </c>
      <c r="AI450" s="32">
        <f>IF(T450="","",IF(AE450=0,"",AE450+ROW()/1000000))</f>
        <v>0</v>
      </c>
      <c r="AJ450" s="17">
        <f>IF('Content Pillars'!$B$450="","",'Content Pillars'!$B$450)</f>
        <v>0</v>
      </c>
      <c r="AK450" s="23">
        <f>IF(AJ450="","",COUNTIFS('Content Calendar'!$J$5:$J$604,AJ450,'Content Calendar'!$B$5:$B$604,"&gt;="&amp;DATE(PlanYear,1,1),'Content Calendar'!$B$5:$B$604,"&lt;="&amp;DATE(PlanYear,12,31)))</f>
        <v>0</v>
      </c>
      <c r="AL450" s="23">
        <f>IF(AJ450="","",SUMIFS(Performance!$O$5:$O$404,Performance!$H$5:$H$404,AJ450))</f>
        <v>0</v>
      </c>
      <c r="AM450" s="23">
        <f>IF(AJ450="","",SUMIFS(Performance!$Z$5:$Z$404,Performance!$H$5:$H$404,AJ450))</f>
        <v>0</v>
      </c>
      <c r="AN450" s="24">
        <f>IF(OR(AL450="",AL450=0),"",AM450/AL450)</f>
        <v>0</v>
      </c>
      <c r="AO450" s="32">
        <f>IF(AN450="","",AN450+ROW()/1000000)</f>
        <v>0</v>
      </c>
      <c r="AP450" s="17">
        <f>IF(Lists!$E450="","",Lists!$E450)</f>
        <v>0</v>
      </c>
      <c r="AQ450" s="23">
        <f>IF(AP450="","",COUNTIF(Performance!$G$5:$G$404,AP450))</f>
        <v>0</v>
      </c>
      <c r="AR450" s="23">
        <f>IF(AP450="","",SUMIFS(Performance!$O$5:$O$404,Performance!$G$5:$G$404,AP450))</f>
        <v>0</v>
      </c>
      <c r="AS450" s="23">
        <f>IF(AP450="","",SUMIFS(Performance!$Z$5:$Z$404,Performance!$G$5:$G$404,AP450))</f>
        <v>0</v>
      </c>
      <c r="AT450" s="24">
        <f>IF(OR(AR450="",AR450=0),"",AS450/AR450)</f>
        <v>0</v>
      </c>
      <c r="AU450" s="32">
        <f>IF(AQ450=0,"",IF(AT450="","",AT450+ROW()/1000000))</f>
        <v>0</v>
      </c>
      <c r="AV450" s="17">
        <f>IF(ROW()-4&gt;7,"",TEXT(DATE(2024,1,ROW()-4),"ddd"))</f>
        <v>0</v>
      </c>
      <c r="AW450" s="23">
        <f>IF(AV450="","",COUNTIF(Performance!$N$5:$N$404,AV450))</f>
        <v>0</v>
      </c>
      <c r="AX450" s="23">
        <f>IF(AV450="","",SUMIFS(Performance!$O$5:$O$404,Performance!$N$5:$N$404,AV450))</f>
        <v>0</v>
      </c>
      <c r="AY450" s="23">
        <f>IF(AV450="","",SUMIFS(Performance!$Z$5:$Z$404,Performance!$N$5:$N$404,AV450))</f>
        <v>0</v>
      </c>
      <c r="AZ450" s="24">
        <f>IF(OR(AX450="",AX450=0),"",AY450/AX450)</f>
        <v>0</v>
      </c>
      <c r="BA450" s="32">
        <f>IF(AW450=0,"",IF(AZ450="","",AZ450+ROW()/1000000))</f>
        <v>0</v>
      </c>
      <c r="BB450" s="17">
        <f>IF(Lists!$AL450="","",Lists!$AL450)</f>
        <v>0</v>
      </c>
      <c r="BC450" s="23">
        <f>IF(BB450="","",COUNTIF(Performance!$M$5:$M$404,BB450))</f>
        <v>0</v>
      </c>
      <c r="BD450" s="23">
        <f>IF(BB450="","",SUMIFS(Performance!$O$5:$O$404,Performance!$M$5:$M$404,BB450))</f>
        <v>0</v>
      </c>
      <c r="BE450" s="23">
        <f>IF(BB450="","",SUMIFS(Performance!$Z$5:$Z$404,Performance!$M$5:$M$404,BB450))</f>
        <v>0</v>
      </c>
      <c r="BF450" s="24">
        <f>IF(OR(BD450="",BD450=0),"",BE450/BD450)</f>
        <v>0</v>
      </c>
      <c r="BG450" s="32">
        <f>IF(BC450=0,"",IF(BF450="","",BF450+ROW()/1000000))</f>
        <v>0</v>
      </c>
      <c r="BH450" s="17">
        <f>IF(Performance!$C$450="","",Performance!$C$450)</f>
        <v>0</v>
      </c>
      <c r="BI450" s="17">
        <f>IF(Performance!$F$450="","",Performance!$F$450)</f>
        <v>0</v>
      </c>
      <c r="BJ450" s="17">
        <f>IF(Performance!$H$450="","",Performance!$H$450)</f>
        <v>0</v>
      </c>
      <c r="BK450" s="16">
        <f>IF(Performance!$D$450="","",Performance!$D$450)</f>
        <v>0</v>
      </c>
      <c r="BL450" s="17">
        <f>IF(Performance!$E$450="","",Performance!$E$450)</f>
        <v>0</v>
      </c>
      <c r="BM450" s="23">
        <f>IF(Performance!$O$450="","",Performance!$O$450)</f>
        <v>0</v>
      </c>
      <c r="BN450" s="24">
        <f>IF(Performance!$AA$450="","",Performance!$AA$450)</f>
        <v>0</v>
      </c>
      <c r="BO450" s="32">
        <f>IF(BH450="","",IF(BK450="","",IF(OR(BK450&lt;DashStart,BK450&gt;DashEnd),"",IF(BN450="","",BN450+ROW()/1000000))))</f>
        <v>0</v>
      </c>
      <c r="BP450" s="32">
        <f>IF(BM450="","",IF(BK450="","",IF(OR(BK450&lt;DashStart,BK450&gt;DashEnd),"",BM450+ROW()/1000000)))</f>
        <v>0</v>
      </c>
      <c r="BQ450" s="32">
        <f>IF(BH450="","",IF(BK450="","",IF(YEAR(BK450)&lt;&gt;PlanYear,"",IF(BN450="","",BN450+ROW()/1000000))))</f>
        <v>0</v>
      </c>
      <c r="BR450" s="32">
        <f>IF(BH450="","",IF(BK450="","",IF(OR(BK450&lt;RepFrom,BK450&gt;RepTo),"",IF(BN450="","",BN450+ROW()/1000000))))</f>
        <v>0</v>
      </c>
      <c r="BS450" s="32">
        <f>IF(BM450="","",IF(BK450="","",IF(YEAR(BK450)&lt;&gt;PlanYear,"",BM450+ROW()/1000000)))</f>
        <v>0</v>
      </c>
      <c r="BT450" s="17">
        <f>IF(Lists!$F450="","",Lists!$F450)</f>
        <v>0</v>
      </c>
      <c r="BU450" s="23">
        <f>IF(BT450="","",COUNTIF('Content Calendar'!$X$5:$X$604,BT450))</f>
        <v>0</v>
      </c>
      <c r="BV450" s="23">
        <f>IF(BT450="","",COUNTIFS('Content Calendar'!$X$5:$X$604,BT450,'Content Calendar'!$B$5:$B$604,"&gt;="&amp;DashStart,'Content Calendar'!$B$5:$B$604,"&lt;="&amp;DashEnd))</f>
        <v>0</v>
      </c>
      <c r="BW450" s="17">
        <f>IF(Team!$B$450="","",Team!$B$450)</f>
        <v>0</v>
      </c>
      <c r="BX450" s="23">
        <f>IF(BW450="","",COUNTIF('Content Calendar'!$W$5:$W$604,BW450))</f>
        <v>0</v>
      </c>
      <c r="BY450" s="23">
        <f>IF(BW450="","",COUNTIFS('Content Calendar'!$W$5:$W$604,BW450,'Content Calendar'!$X$5:$X$604,"&lt;&gt;Published"))</f>
        <v>0</v>
      </c>
      <c r="BZ450" s="23">
        <f>IF(BW450="","",COUNTIFS(Tasks!$C$5:$C$64,BW450,Tasks!$G$5:$G$64,"&lt;&gt;Complete"))</f>
        <v>0</v>
      </c>
      <c r="CA450" s="17">
        <f>IF(Campaigns!$B$450="","",Campaigns!$B$450)</f>
        <v>0</v>
      </c>
      <c r="CB450" s="25">
        <f>IF(Campaigns!$T$450="","",Campaigns!$T$450)</f>
        <v>0</v>
      </c>
      <c r="CC450" s="25">
        <f>IF(Campaigns!$Q$450="","",Campaigns!$Q$450)</f>
        <v>0</v>
      </c>
      <c r="CD450" s="23">
        <f>IF(Campaigns!$Y$450="","",Campaigns!$Y$450)</f>
        <v>0</v>
      </c>
      <c r="CE450" s="32">
        <f>IF(CA450="","",IF(N(CB450)&lt;=0,"",N(CB450)+ROW()/1000000))</f>
        <v>0</v>
      </c>
      <c r="CF450" s="17">
        <f>IF(Accounts!$C$450="","",Accounts!$C$450)</f>
        <v>0</v>
      </c>
      <c r="CG450" s="17">
        <f>IF(Accounts!$B$450="","",Accounts!$B$450)</f>
        <v>0</v>
      </c>
      <c r="CH450" s="23">
        <f>IF(Accounts!$J$450="","",Accounts!$J$450)</f>
        <v>0</v>
      </c>
      <c r="CI450" s="23">
        <f>IF(CF450="","",SUMIFS(Analytics!$X$5:$X$154,Analytics!$E$5:$E$154,CF450,Analytics!$B$5:$B$154,"&gt;="&amp;DashStart,Analytics!$B$5:$B$154,"&lt;="&amp;DashEnd))</f>
        <v>0</v>
      </c>
      <c r="CJ450" s="32">
        <f>IF(CH450="","",IF(CH450=0,"",CH450+ROW()/1000000))</f>
        <v>0</v>
      </c>
    </row>
    <row r="451" spans="1:88">
      <c r="A451" s="16">
        <f>IF(ROW()-4&gt;12,"",DATE(PlanYear,ROW()-4,1))</f>
        <v>0</v>
      </c>
      <c r="B451" s="16">
        <f>IF(A451="","",EOMONTH(A451,0))</f>
        <v>0</v>
      </c>
      <c r="C451" s="17">
        <f>IF(A451="","",TEXT(A451,"yyyy-mm"))</f>
        <v>0</v>
      </c>
      <c r="D451" s="17">
        <f>IF(A451="","",TEXT(A451,"mmm"))</f>
        <v>0</v>
      </c>
      <c r="E451" s="23">
        <f>IF(C451="","",COUNTIFS('Content Calendar'!$D$5:$D$604,C451))</f>
        <v>0</v>
      </c>
      <c r="F451" s="23">
        <f>IF(C451="","",COUNTIFS('Content Calendar'!$D$5:$D$604,C451,'Content Calendar'!$X$5:$X$604,"Published"))</f>
        <v>0</v>
      </c>
      <c r="G451" s="23">
        <f>IF(C451="","",SUMIFS(Analytics!$J$5:$J$154,Analytics!$C$5:$C$154,C451))</f>
        <v>0</v>
      </c>
      <c r="H451" s="23">
        <f>IF(C451="","",SUMIFS(Analytics!$K$5:$K$154,Analytics!$C$5:$C$154,C451))</f>
        <v>0</v>
      </c>
      <c r="I451" s="23">
        <f>IF(C451="","",SUMIFS(Analytics!$L$5:$L$154,Analytics!$C$5:$C$154,C451))</f>
        <v>0</v>
      </c>
      <c r="J451" s="24">
        <f>IF(OR(G451="",G451=0),"",I451/G451)</f>
        <v>0</v>
      </c>
      <c r="K451" s="23">
        <f>IF(C451="","",SUMIFS(Analytics!$G$5:$G$154,Analytics!$C$5:$C$154,C451))</f>
        <v>0</v>
      </c>
      <c r="L451" s="23">
        <f>IF(C451="","",SUMIFS(Analytics!$X$5:$X$154,Analytics!$C$5:$C$154,C451))</f>
        <v>0</v>
      </c>
      <c r="M451" s="23">
        <f>IF(C451="","",SUMIFS(Analytics!$R$5:$R$154,Analytics!$C$5:$C$154,C451))</f>
        <v>0</v>
      </c>
      <c r="N451" s="23">
        <f>IF(C451="","",SUMIFS(Analytics!$S$5:$S$154,Analytics!$C$5:$C$154,C451))</f>
        <v>0</v>
      </c>
      <c r="O451" s="23">
        <f>IF(C451="","",SUMIFS(Analytics!$T$5:$T$154,Analytics!$C$5:$C$154,C451))</f>
        <v>0</v>
      </c>
      <c r="P451" s="25">
        <f>IF(C451="","",SUMIFS(Analytics!$U$5:$U$154,Analytics!$C$5:$C$154,C451))</f>
        <v>0</v>
      </c>
      <c r="Q451" s="25">
        <f>IF(C451="","",SUMIFS(Budget!$H$5:$H$64,Budget!$C$5:$C$64,C451))</f>
        <v>0</v>
      </c>
      <c r="R451" s="25">
        <f>IF(C451="","",P451-Q451)</f>
        <v>0</v>
      </c>
      <c r="S451" s="23">
        <f>IF(C451="","",MonthlyPostTarget)</f>
        <v>0</v>
      </c>
      <c r="T451" s="17">
        <f>IF(Lists!$C451="","",Lists!$C451)</f>
        <v>0</v>
      </c>
      <c r="U451" s="23">
        <f>IF(T451="","",COUNTIFS('Content Calendar'!$G$5:$G$604,T451,'Content Calendar'!$B$5:$B$604,"&gt;="&amp;DashStart,'Content Calendar'!$B$5:$B$604,"&lt;="&amp;DashEnd))</f>
        <v>0</v>
      </c>
      <c r="V451" s="23">
        <f>IF(T451="","",COUNTIFS('Content Calendar'!$G$5:$G$604,T451,'Content Calendar'!$X$5:$X$604,"Published",'Content Calendar'!$B$5:$B$604,"&gt;="&amp;DashStart,'Content Calendar'!$B$5:$B$604,"&lt;="&amp;DashEnd))</f>
        <v>0</v>
      </c>
      <c r="W451" s="23">
        <f>IF(T451="","",SUMIFS(Analytics!$J$5:$J$154,Analytics!$D$5:$D$154,T451,Analytics!$B$5:$B$154,"&gt;="&amp;DashStart,Analytics!$B$5:$B$154,"&lt;="&amp;DashEnd))</f>
        <v>0</v>
      </c>
      <c r="X451" s="23">
        <f>IF(T451="","",SUMIFS(Analytics!$L$5:$L$154,Analytics!$D$5:$D$154,T451,Analytics!$B$5:$B$154,"&gt;="&amp;DashStart,Analytics!$B$5:$B$154,"&lt;="&amp;DashEnd))</f>
        <v>0</v>
      </c>
      <c r="Y451" s="24">
        <f>IF(OR(W451="",W451=0),"",X451/W451)</f>
        <v>0</v>
      </c>
      <c r="Z451" s="23">
        <f>IF(T451="","",SUMIFS(Analytics!$G$5:$G$154,Analytics!$D$5:$D$154,T451,Analytics!$B$5:$B$154,"&gt;="&amp;DashStart,Analytics!$B$5:$B$154,"&lt;="&amp;DashEnd))</f>
        <v>0</v>
      </c>
      <c r="AA451" s="23">
        <f>IF(T451="","",SUMIFS(Analytics!$X$5:$X$154,Analytics!$D$5:$D$154,T451,Analytics!$B$5:$B$154,"&gt;="&amp;DashStart,Analytics!$B$5:$B$154,"&lt;="&amp;DashEnd))</f>
        <v>0</v>
      </c>
      <c r="AB451" s="23">
        <f>IF(T451="","",SUMIFS(Analytics!$R$5:$R$154,Analytics!$D$5:$D$154,T451,Analytics!$B$5:$B$154,"&gt;="&amp;DashStart,Analytics!$B$5:$B$154,"&lt;="&amp;DashEnd))</f>
        <v>0</v>
      </c>
      <c r="AC451" s="25">
        <f>IF(T451="","",SUMIFS(Analytics!$U$5:$U$154,Analytics!$D$5:$D$154,T451,Analytics!$B$5:$B$154,"&gt;="&amp;DashStart,Analytics!$B$5:$B$154,"&lt;="&amp;DashEnd))</f>
        <v>0</v>
      </c>
      <c r="AD451" s="23">
        <f>IF(T451="","",COUNTIFS('Content Calendar'!$G$5:$G$604,T451,'Content Calendar'!$B$5:$B$604,"&gt;="&amp;DATE(PlanYear,1,1),'Content Calendar'!$B$5:$B$604,"&lt;="&amp;DATE(PlanYear,12,31)))</f>
        <v>0</v>
      </c>
      <c r="AE451" s="23">
        <f>IF(T451="","",SUMIFS(Analytics!$J$5:$J$154,Analytics!$D$5:$D$154,T451))</f>
        <v>0</v>
      </c>
      <c r="AF451" s="23">
        <f>IF(T451="","",SUMIFS(Analytics!$L$5:$L$154,Analytics!$D$5:$D$154,T451))</f>
        <v>0</v>
      </c>
      <c r="AG451" s="24">
        <f>IF(OR(AE451="",AE451=0),"",AF451/AE451)</f>
        <v>0</v>
      </c>
      <c r="AH451" s="23">
        <f>IF(T451="","",SUMIFS(Analytics!$X$5:$X$154,Analytics!$D$5:$D$154,T451))</f>
        <v>0</v>
      </c>
      <c r="AI451" s="32">
        <f>IF(T451="","",IF(AE451=0,"",AE451+ROW()/1000000))</f>
        <v>0</v>
      </c>
      <c r="AJ451" s="17">
        <f>IF('Content Pillars'!$B$451="","",'Content Pillars'!$B$451)</f>
        <v>0</v>
      </c>
      <c r="AK451" s="23">
        <f>IF(AJ451="","",COUNTIFS('Content Calendar'!$J$5:$J$604,AJ451,'Content Calendar'!$B$5:$B$604,"&gt;="&amp;DATE(PlanYear,1,1),'Content Calendar'!$B$5:$B$604,"&lt;="&amp;DATE(PlanYear,12,31)))</f>
        <v>0</v>
      </c>
      <c r="AL451" s="23">
        <f>IF(AJ451="","",SUMIFS(Performance!$O$5:$O$404,Performance!$H$5:$H$404,AJ451))</f>
        <v>0</v>
      </c>
      <c r="AM451" s="23">
        <f>IF(AJ451="","",SUMIFS(Performance!$Z$5:$Z$404,Performance!$H$5:$H$404,AJ451))</f>
        <v>0</v>
      </c>
      <c r="AN451" s="24">
        <f>IF(OR(AL451="",AL451=0),"",AM451/AL451)</f>
        <v>0</v>
      </c>
      <c r="AO451" s="32">
        <f>IF(AN451="","",AN451+ROW()/1000000)</f>
        <v>0</v>
      </c>
      <c r="AP451" s="17">
        <f>IF(Lists!$E451="","",Lists!$E451)</f>
        <v>0</v>
      </c>
      <c r="AQ451" s="23">
        <f>IF(AP451="","",COUNTIF(Performance!$G$5:$G$404,AP451))</f>
        <v>0</v>
      </c>
      <c r="AR451" s="23">
        <f>IF(AP451="","",SUMIFS(Performance!$O$5:$O$404,Performance!$G$5:$G$404,AP451))</f>
        <v>0</v>
      </c>
      <c r="AS451" s="23">
        <f>IF(AP451="","",SUMIFS(Performance!$Z$5:$Z$404,Performance!$G$5:$G$404,AP451))</f>
        <v>0</v>
      </c>
      <c r="AT451" s="24">
        <f>IF(OR(AR451="",AR451=0),"",AS451/AR451)</f>
        <v>0</v>
      </c>
      <c r="AU451" s="32">
        <f>IF(AQ451=0,"",IF(AT451="","",AT451+ROW()/1000000))</f>
        <v>0</v>
      </c>
      <c r="AV451" s="17">
        <f>IF(ROW()-4&gt;7,"",TEXT(DATE(2024,1,ROW()-4),"ddd"))</f>
        <v>0</v>
      </c>
      <c r="AW451" s="23">
        <f>IF(AV451="","",COUNTIF(Performance!$N$5:$N$404,AV451))</f>
        <v>0</v>
      </c>
      <c r="AX451" s="23">
        <f>IF(AV451="","",SUMIFS(Performance!$O$5:$O$404,Performance!$N$5:$N$404,AV451))</f>
        <v>0</v>
      </c>
      <c r="AY451" s="23">
        <f>IF(AV451="","",SUMIFS(Performance!$Z$5:$Z$404,Performance!$N$5:$N$404,AV451))</f>
        <v>0</v>
      </c>
      <c r="AZ451" s="24">
        <f>IF(OR(AX451="",AX451=0),"",AY451/AX451)</f>
        <v>0</v>
      </c>
      <c r="BA451" s="32">
        <f>IF(AW451=0,"",IF(AZ451="","",AZ451+ROW()/1000000))</f>
        <v>0</v>
      </c>
      <c r="BB451" s="17">
        <f>IF(Lists!$AL451="","",Lists!$AL451)</f>
        <v>0</v>
      </c>
      <c r="BC451" s="23">
        <f>IF(BB451="","",COUNTIF(Performance!$M$5:$M$404,BB451))</f>
        <v>0</v>
      </c>
      <c r="BD451" s="23">
        <f>IF(BB451="","",SUMIFS(Performance!$O$5:$O$404,Performance!$M$5:$M$404,BB451))</f>
        <v>0</v>
      </c>
      <c r="BE451" s="23">
        <f>IF(BB451="","",SUMIFS(Performance!$Z$5:$Z$404,Performance!$M$5:$M$404,BB451))</f>
        <v>0</v>
      </c>
      <c r="BF451" s="24">
        <f>IF(OR(BD451="",BD451=0),"",BE451/BD451)</f>
        <v>0</v>
      </c>
      <c r="BG451" s="32">
        <f>IF(BC451=0,"",IF(BF451="","",BF451+ROW()/1000000))</f>
        <v>0</v>
      </c>
      <c r="BH451" s="17">
        <f>IF(Performance!$C$451="","",Performance!$C$451)</f>
        <v>0</v>
      </c>
      <c r="BI451" s="17">
        <f>IF(Performance!$F$451="","",Performance!$F$451)</f>
        <v>0</v>
      </c>
      <c r="BJ451" s="17">
        <f>IF(Performance!$H$451="","",Performance!$H$451)</f>
        <v>0</v>
      </c>
      <c r="BK451" s="16">
        <f>IF(Performance!$D$451="","",Performance!$D$451)</f>
        <v>0</v>
      </c>
      <c r="BL451" s="17">
        <f>IF(Performance!$E$451="","",Performance!$E$451)</f>
        <v>0</v>
      </c>
      <c r="BM451" s="23">
        <f>IF(Performance!$O$451="","",Performance!$O$451)</f>
        <v>0</v>
      </c>
      <c r="BN451" s="24">
        <f>IF(Performance!$AA$451="","",Performance!$AA$451)</f>
        <v>0</v>
      </c>
      <c r="BO451" s="32">
        <f>IF(BH451="","",IF(BK451="","",IF(OR(BK451&lt;DashStart,BK451&gt;DashEnd),"",IF(BN451="","",BN451+ROW()/1000000))))</f>
        <v>0</v>
      </c>
      <c r="BP451" s="32">
        <f>IF(BM451="","",IF(BK451="","",IF(OR(BK451&lt;DashStart,BK451&gt;DashEnd),"",BM451+ROW()/1000000)))</f>
        <v>0</v>
      </c>
      <c r="BQ451" s="32">
        <f>IF(BH451="","",IF(BK451="","",IF(YEAR(BK451)&lt;&gt;PlanYear,"",IF(BN451="","",BN451+ROW()/1000000))))</f>
        <v>0</v>
      </c>
      <c r="BR451" s="32">
        <f>IF(BH451="","",IF(BK451="","",IF(OR(BK451&lt;RepFrom,BK451&gt;RepTo),"",IF(BN451="","",BN451+ROW()/1000000))))</f>
        <v>0</v>
      </c>
      <c r="BS451" s="32">
        <f>IF(BM451="","",IF(BK451="","",IF(YEAR(BK451)&lt;&gt;PlanYear,"",BM451+ROW()/1000000)))</f>
        <v>0</v>
      </c>
      <c r="BT451" s="17">
        <f>IF(Lists!$F451="","",Lists!$F451)</f>
        <v>0</v>
      </c>
      <c r="BU451" s="23">
        <f>IF(BT451="","",COUNTIF('Content Calendar'!$X$5:$X$604,BT451))</f>
        <v>0</v>
      </c>
      <c r="BV451" s="23">
        <f>IF(BT451="","",COUNTIFS('Content Calendar'!$X$5:$X$604,BT451,'Content Calendar'!$B$5:$B$604,"&gt;="&amp;DashStart,'Content Calendar'!$B$5:$B$604,"&lt;="&amp;DashEnd))</f>
        <v>0</v>
      </c>
      <c r="BW451" s="17">
        <f>IF(Team!$B$451="","",Team!$B$451)</f>
        <v>0</v>
      </c>
      <c r="BX451" s="23">
        <f>IF(BW451="","",COUNTIF('Content Calendar'!$W$5:$W$604,BW451))</f>
        <v>0</v>
      </c>
      <c r="BY451" s="23">
        <f>IF(BW451="","",COUNTIFS('Content Calendar'!$W$5:$W$604,BW451,'Content Calendar'!$X$5:$X$604,"&lt;&gt;Published"))</f>
        <v>0</v>
      </c>
      <c r="BZ451" s="23">
        <f>IF(BW451="","",COUNTIFS(Tasks!$C$5:$C$64,BW451,Tasks!$G$5:$G$64,"&lt;&gt;Complete"))</f>
        <v>0</v>
      </c>
      <c r="CA451" s="17">
        <f>IF(Campaigns!$B$451="","",Campaigns!$B$451)</f>
        <v>0</v>
      </c>
      <c r="CB451" s="25">
        <f>IF(Campaigns!$T$451="","",Campaigns!$T$451)</f>
        <v>0</v>
      </c>
      <c r="CC451" s="25">
        <f>IF(Campaigns!$Q$451="","",Campaigns!$Q$451)</f>
        <v>0</v>
      </c>
      <c r="CD451" s="23">
        <f>IF(Campaigns!$Y$451="","",Campaigns!$Y$451)</f>
        <v>0</v>
      </c>
      <c r="CE451" s="32">
        <f>IF(CA451="","",IF(N(CB451)&lt;=0,"",N(CB451)+ROW()/1000000))</f>
        <v>0</v>
      </c>
      <c r="CF451" s="17">
        <f>IF(Accounts!$C$451="","",Accounts!$C$451)</f>
        <v>0</v>
      </c>
      <c r="CG451" s="17">
        <f>IF(Accounts!$B$451="","",Accounts!$B$451)</f>
        <v>0</v>
      </c>
      <c r="CH451" s="23">
        <f>IF(Accounts!$J$451="","",Accounts!$J$451)</f>
        <v>0</v>
      </c>
      <c r="CI451" s="23">
        <f>IF(CF451="","",SUMIFS(Analytics!$X$5:$X$154,Analytics!$E$5:$E$154,CF451,Analytics!$B$5:$B$154,"&gt;="&amp;DashStart,Analytics!$B$5:$B$154,"&lt;="&amp;DashEnd))</f>
        <v>0</v>
      </c>
      <c r="CJ451" s="32">
        <f>IF(CH451="","",IF(CH451=0,"",CH451+ROW()/1000000))</f>
        <v>0</v>
      </c>
    </row>
    <row r="452" spans="1:88">
      <c r="A452" s="16">
        <f>IF(ROW()-4&gt;12,"",DATE(PlanYear,ROW()-4,1))</f>
        <v>0</v>
      </c>
      <c r="B452" s="16">
        <f>IF(A452="","",EOMONTH(A452,0))</f>
        <v>0</v>
      </c>
      <c r="C452" s="17">
        <f>IF(A452="","",TEXT(A452,"yyyy-mm"))</f>
        <v>0</v>
      </c>
      <c r="D452" s="17">
        <f>IF(A452="","",TEXT(A452,"mmm"))</f>
        <v>0</v>
      </c>
      <c r="E452" s="23">
        <f>IF(C452="","",COUNTIFS('Content Calendar'!$D$5:$D$604,C452))</f>
        <v>0</v>
      </c>
      <c r="F452" s="23">
        <f>IF(C452="","",COUNTIFS('Content Calendar'!$D$5:$D$604,C452,'Content Calendar'!$X$5:$X$604,"Published"))</f>
        <v>0</v>
      </c>
      <c r="G452" s="23">
        <f>IF(C452="","",SUMIFS(Analytics!$J$5:$J$154,Analytics!$C$5:$C$154,C452))</f>
        <v>0</v>
      </c>
      <c r="H452" s="23">
        <f>IF(C452="","",SUMIFS(Analytics!$K$5:$K$154,Analytics!$C$5:$C$154,C452))</f>
        <v>0</v>
      </c>
      <c r="I452" s="23">
        <f>IF(C452="","",SUMIFS(Analytics!$L$5:$L$154,Analytics!$C$5:$C$154,C452))</f>
        <v>0</v>
      </c>
      <c r="J452" s="24">
        <f>IF(OR(G452="",G452=0),"",I452/G452)</f>
        <v>0</v>
      </c>
      <c r="K452" s="23">
        <f>IF(C452="","",SUMIFS(Analytics!$G$5:$G$154,Analytics!$C$5:$C$154,C452))</f>
        <v>0</v>
      </c>
      <c r="L452" s="23">
        <f>IF(C452="","",SUMIFS(Analytics!$X$5:$X$154,Analytics!$C$5:$C$154,C452))</f>
        <v>0</v>
      </c>
      <c r="M452" s="23">
        <f>IF(C452="","",SUMIFS(Analytics!$R$5:$R$154,Analytics!$C$5:$C$154,C452))</f>
        <v>0</v>
      </c>
      <c r="N452" s="23">
        <f>IF(C452="","",SUMIFS(Analytics!$S$5:$S$154,Analytics!$C$5:$C$154,C452))</f>
        <v>0</v>
      </c>
      <c r="O452" s="23">
        <f>IF(C452="","",SUMIFS(Analytics!$T$5:$T$154,Analytics!$C$5:$C$154,C452))</f>
        <v>0</v>
      </c>
      <c r="P452" s="25">
        <f>IF(C452="","",SUMIFS(Analytics!$U$5:$U$154,Analytics!$C$5:$C$154,C452))</f>
        <v>0</v>
      </c>
      <c r="Q452" s="25">
        <f>IF(C452="","",SUMIFS(Budget!$H$5:$H$64,Budget!$C$5:$C$64,C452))</f>
        <v>0</v>
      </c>
      <c r="R452" s="25">
        <f>IF(C452="","",P452-Q452)</f>
        <v>0</v>
      </c>
      <c r="S452" s="23">
        <f>IF(C452="","",MonthlyPostTarget)</f>
        <v>0</v>
      </c>
      <c r="T452" s="17">
        <f>IF(Lists!$C452="","",Lists!$C452)</f>
        <v>0</v>
      </c>
      <c r="U452" s="23">
        <f>IF(T452="","",COUNTIFS('Content Calendar'!$G$5:$G$604,T452,'Content Calendar'!$B$5:$B$604,"&gt;="&amp;DashStart,'Content Calendar'!$B$5:$B$604,"&lt;="&amp;DashEnd))</f>
        <v>0</v>
      </c>
      <c r="V452" s="23">
        <f>IF(T452="","",COUNTIFS('Content Calendar'!$G$5:$G$604,T452,'Content Calendar'!$X$5:$X$604,"Published",'Content Calendar'!$B$5:$B$604,"&gt;="&amp;DashStart,'Content Calendar'!$B$5:$B$604,"&lt;="&amp;DashEnd))</f>
        <v>0</v>
      </c>
      <c r="W452" s="23">
        <f>IF(T452="","",SUMIFS(Analytics!$J$5:$J$154,Analytics!$D$5:$D$154,T452,Analytics!$B$5:$B$154,"&gt;="&amp;DashStart,Analytics!$B$5:$B$154,"&lt;="&amp;DashEnd))</f>
        <v>0</v>
      </c>
      <c r="X452" s="23">
        <f>IF(T452="","",SUMIFS(Analytics!$L$5:$L$154,Analytics!$D$5:$D$154,T452,Analytics!$B$5:$B$154,"&gt;="&amp;DashStart,Analytics!$B$5:$B$154,"&lt;="&amp;DashEnd))</f>
        <v>0</v>
      </c>
      <c r="Y452" s="24">
        <f>IF(OR(W452="",W452=0),"",X452/W452)</f>
        <v>0</v>
      </c>
      <c r="Z452" s="23">
        <f>IF(T452="","",SUMIFS(Analytics!$G$5:$G$154,Analytics!$D$5:$D$154,T452,Analytics!$B$5:$B$154,"&gt;="&amp;DashStart,Analytics!$B$5:$B$154,"&lt;="&amp;DashEnd))</f>
        <v>0</v>
      </c>
      <c r="AA452" s="23">
        <f>IF(T452="","",SUMIFS(Analytics!$X$5:$X$154,Analytics!$D$5:$D$154,T452,Analytics!$B$5:$B$154,"&gt;="&amp;DashStart,Analytics!$B$5:$B$154,"&lt;="&amp;DashEnd))</f>
        <v>0</v>
      </c>
      <c r="AB452" s="23">
        <f>IF(T452="","",SUMIFS(Analytics!$R$5:$R$154,Analytics!$D$5:$D$154,T452,Analytics!$B$5:$B$154,"&gt;="&amp;DashStart,Analytics!$B$5:$B$154,"&lt;="&amp;DashEnd))</f>
        <v>0</v>
      </c>
      <c r="AC452" s="25">
        <f>IF(T452="","",SUMIFS(Analytics!$U$5:$U$154,Analytics!$D$5:$D$154,T452,Analytics!$B$5:$B$154,"&gt;="&amp;DashStart,Analytics!$B$5:$B$154,"&lt;="&amp;DashEnd))</f>
        <v>0</v>
      </c>
      <c r="AD452" s="23">
        <f>IF(T452="","",COUNTIFS('Content Calendar'!$G$5:$G$604,T452,'Content Calendar'!$B$5:$B$604,"&gt;="&amp;DATE(PlanYear,1,1),'Content Calendar'!$B$5:$B$604,"&lt;="&amp;DATE(PlanYear,12,31)))</f>
        <v>0</v>
      </c>
      <c r="AE452" s="23">
        <f>IF(T452="","",SUMIFS(Analytics!$J$5:$J$154,Analytics!$D$5:$D$154,T452))</f>
        <v>0</v>
      </c>
      <c r="AF452" s="23">
        <f>IF(T452="","",SUMIFS(Analytics!$L$5:$L$154,Analytics!$D$5:$D$154,T452))</f>
        <v>0</v>
      </c>
      <c r="AG452" s="24">
        <f>IF(OR(AE452="",AE452=0),"",AF452/AE452)</f>
        <v>0</v>
      </c>
      <c r="AH452" s="23">
        <f>IF(T452="","",SUMIFS(Analytics!$X$5:$X$154,Analytics!$D$5:$D$154,T452))</f>
        <v>0</v>
      </c>
      <c r="AI452" s="32">
        <f>IF(T452="","",IF(AE452=0,"",AE452+ROW()/1000000))</f>
        <v>0</v>
      </c>
      <c r="AJ452" s="17">
        <f>IF('Content Pillars'!$B$452="","",'Content Pillars'!$B$452)</f>
        <v>0</v>
      </c>
      <c r="AK452" s="23">
        <f>IF(AJ452="","",COUNTIFS('Content Calendar'!$J$5:$J$604,AJ452,'Content Calendar'!$B$5:$B$604,"&gt;="&amp;DATE(PlanYear,1,1),'Content Calendar'!$B$5:$B$604,"&lt;="&amp;DATE(PlanYear,12,31)))</f>
        <v>0</v>
      </c>
      <c r="AL452" s="23">
        <f>IF(AJ452="","",SUMIFS(Performance!$O$5:$O$404,Performance!$H$5:$H$404,AJ452))</f>
        <v>0</v>
      </c>
      <c r="AM452" s="23">
        <f>IF(AJ452="","",SUMIFS(Performance!$Z$5:$Z$404,Performance!$H$5:$H$404,AJ452))</f>
        <v>0</v>
      </c>
      <c r="AN452" s="24">
        <f>IF(OR(AL452="",AL452=0),"",AM452/AL452)</f>
        <v>0</v>
      </c>
      <c r="AO452" s="32">
        <f>IF(AN452="","",AN452+ROW()/1000000)</f>
        <v>0</v>
      </c>
      <c r="AP452" s="17">
        <f>IF(Lists!$E452="","",Lists!$E452)</f>
        <v>0</v>
      </c>
      <c r="AQ452" s="23">
        <f>IF(AP452="","",COUNTIF(Performance!$G$5:$G$404,AP452))</f>
        <v>0</v>
      </c>
      <c r="AR452" s="23">
        <f>IF(AP452="","",SUMIFS(Performance!$O$5:$O$404,Performance!$G$5:$G$404,AP452))</f>
        <v>0</v>
      </c>
      <c r="AS452" s="23">
        <f>IF(AP452="","",SUMIFS(Performance!$Z$5:$Z$404,Performance!$G$5:$G$404,AP452))</f>
        <v>0</v>
      </c>
      <c r="AT452" s="24">
        <f>IF(OR(AR452="",AR452=0),"",AS452/AR452)</f>
        <v>0</v>
      </c>
      <c r="AU452" s="32">
        <f>IF(AQ452=0,"",IF(AT452="","",AT452+ROW()/1000000))</f>
        <v>0</v>
      </c>
      <c r="AV452" s="17">
        <f>IF(ROW()-4&gt;7,"",TEXT(DATE(2024,1,ROW()-4),"ddd"))</f>
        <v>0</v>
      </c>
      <c r="AW452" s="23">
        <f>IF(AV452="","",COUNTIF(Performance!$N$5:$N$404,AV452))</f>
        <v>0</v>
      </c>
      <c r="AX452" s="23">
        <f>IF(AV452="","",SUMIFS(Performance!$O$5:$O$404,Performance!$N$5:$N$404,AV452))</f>
        <v>0</v>
      </c>
      <c r="AY452" s="23">
        <f>IF(AV452="","",SUMIFS(Performance!$Z$5:$Z$404,Performance!$N$5:$N$404,AV452))</f>
        <v>0</v>
      </c>
      <c r="AZ452" s="24">
        <f>IF(OR(AX452="",AX452=0),"",AY452/AX452)</f>
        <v>0</v>
      </c>
      <c r="BA452" s="32">
        <f>IF(AW452=0,"",IF(AZ452="","",AZ452+ROW()/1000000))</f>
        <v>0</v>
      </c>
      <c r="BB452" s="17">
        <f>IF(Lists!$AL452="","",Lists!$AL452)</f>
        <v>0</v>
      </c>
      <c r="BC452" s="23">
        <f>IF(BB452="","",COUNTIF(Performance!$M$5:$M$404,BB452))</f>
        <v>0</v>
      </c>
      <c r="BD452" s="23">
        <f>IF(BB452="","",SUMIFS(Performance!$O$5:$O$404,Performance!$M$5:$M$404,BB452))</f>
        <v>0</v>
      </c>
      <c r="BE452" s="23">
        <f>IF(BB452="","",SUMIFS(Performance!$Z$5:$Z$404,Performance!$M$5:$M$404,BB452))</f>
        <v>0</v>
      </c>
      <c r="BF452" s="24">
        <f>IF(OR(BD452="",BD452=0),"",BE452/BD452)</f>
        <v>0</v>
      </c>
      <c r="BG452" s="32">
        <f>IF(BC452=0,"",IF(BF452="","",BF452+ROW()/1000000))</f>
        <v>0</v>
      </c>
      <c r="BH452" s="17">
        <f>IF(Performance!$C$452="","",Performance!$C$452)</f>
        <v>0</v>
      </c>
      <c r="BI452" s="17">
        <f>IF(Performance!$F$452="","",Performance!$F$452)</f>
        <v>0</v>
      </c>
      <c r="BJ452" s="17">
        <f>IF(Performance!$H$452="","",Performance!$H$452)</f>
        <v>0</v>
      </c>
      <c r="BK452" s="16">
        <f>IF(Performance!$D$452="","",Performance!$D$452)</f>
        <v>0</v>
      </c>
      <c r="BL452" s="17">
        <f>IF(Performance!$E$452="","",Performance!$E$452)</f>
        <v>0</v>
      </c>
      <c r="BM452" s="23">
        <f>IF(Performance!$O$452="","",Performance!$O$452)</f>
        <v>0</v>
      </c>
      <c r="BN452" s="24">
        <f>IF(Performance!$AA$452="","",Performance!$AA$452)</f>
        <v>0</v>
      </c>
      <c r="BO452" s="32">
        <f>IF(BH452="","",IF(BK452="","",IF(OR(BK452&lt;DashStart,BK452&gt;DashEnd),"",IF(BN452="","",BN452+ROW()/1000000))))</f>
        <v>0</v>
      </c>
      <c r="BP452" s="32">
        <f>IF(BM452="","",IF(BK452="","",IF(OR(BK452&lt;DashStart,BK452&gt;DashEnd),"",BM452+ROW()/1000000)))</f>
        <v>0</v>
      </c>
      <c r="BQ452" s="32">
        <f>IF(BH452="","",IF(BK452="","",IF(YEAR(BK452)&lt;&gt;PlanYear,"",IF(BN452="","",BN452+ROW()/1000000))))</f>
        <v>0</v>
      </c>
      <c r="BR452" s="32">
        <f>IF(BH452="","",IF(BK452="","",IF(OR(BK452&lt;RepFrom,BK452&gt;RepTo),"",IF(BN452="","",BN452+ROW()/1000000))))</f>
        <v>0</v>
      </c>
      <c r="BS452" s="32">
        <f>IF(BM452="","",IF(BK452="","",IF(YEAR(BK452)&lt;&gt;PlanYear,"",BM452+ROW()/1000000)))</f>
        <v>0</v>
      </c>
      <c r="BT452" s="17">
        <f>IF(Lists!$F452="","",Lists!$F452)</f>
        <v>0</v>
      </c>
      <c r="BU452" s="23">
        <f>IF(BT452="","",COUNTIF('Content Calendar'!$X$5:$X$604,BT452))</f>
        <v>0</v>
      </c>
      <c r="BV452" s="23">
        <f>IF(BT452="","",COUNTIFS('Content Calendar'!$X$5:$X$604,BT452,'Content Calendar'!$B$5:$B$604,"&gt;="&amp;DashStart,'Content Calendar'!$B$5:$B$604,"&lt;="&amp;DashEnd))</f>
        <v>0</v>
      </c>
      <c r="BW452" s="17">
        <f>IF(Team!$B$452="","",Team!$B$452)</f>
        <v>0</v>
      </c>
      <c r="BX452" s="23">
        <f>IF(BW452="","",COUNTIF('Content Calendar'!$W$5:$W$604,BW452))</f>
        <v>0</v>
      </c>
      <c r="BY452" s="23">
        <f>IF(BW452="","",COUNTIFS('Content Calendar'!$W$5:$W$604,BW452,'Content Calendar'!$X$5:$X$604,"&lt;&gt;Published"))</f>
        <v>0</v>
      </c>
      <c r="BZ452" s="23">
        <f>IF(BW452="","",COUNTIFS(Tasks!$C$5:$C$64,BW452,Tasks!$G$5:$G$64,"&lt;&gt;Complete"))</f>
        <v>0</v>
      </c>
      <c r="CA452" s="17">
        <f>IF(Campaigns!$B$452="","",Campaigns!$B$452)</f>
        <v>0</v>
      </c>
      <c r="CB452" s="25">
        <f>IF(Campaigns!$T$452="","",Campaigns!$T$452)</f>
        <v>0</v>
      </c>
      <c r="CC452" s="25">
        <f>IF(Campaigns!$Q$452="","",Campaigns!$Q$452)</f>
        <v>0</v>
      </c>
      <c r="CD452" s="23">
        <f>IF(Campaigns!$Y$452="","",Campaigns!$Y$452)</f>
        <v>0</v>
      </c>
      <c r="CE452" s="32">
        <f>IF(CA452="","",IF(N(CB452)&lt;=0,"",N(CB452)+ROW()/1000000))</f>
        <v>0</v>
      </c>
      <c r="CF452" s="17">
        <f>IF(Accounts!$C$452="","",Accounts!$C$452)</f>
        <v>0</v>
      </c>
      <c r="CG452" s="17">
        <f>IF(Accounts!$B$452="","",Accounts!$B$452)</f>
        <v>0</v>
      </c>
      <c r="CH452" s="23">
        <f>IF(Accounts!$J$452="","",Accounts!$J$452)</f>
        <v>0</v>
      </c>
      <c r="CI452" s="23">
        <f>IF(CF452="","",SUMIFS(Analytics!$X$5:$X$154,Analytics!$E$5:$E$154,CF452,Analytics!$B$5:$B$154,"&gt;="&amp;DashStart,Analytics!$B$5:$B$154,"&lt;="&amp;DashEnd))</f>
        <v>0</v>
      </c>
      <c r="CJ452" s="32">
        <f>IF(CH452="","",IF(CH452=0,"",CH452+ROW()/1000000))</f>
        <v>0</v>
      </c>
    </row>
    <row r="453" spans="1:88">
      <c r="A453" s="16">
        <f>IF(ROW()-4&gt;12,"",DATE(PlanYear,ROW()-4,1))</f>
        <v>0</v>
      </c>
      <c r="B453" s="16">
        <f>IF(A453="","",EOMONTH(A453,0))</f>
        <v>0</v>
      </c>
      <c r="C453" s="17">
        <f>IF(A453="","",TEXT(A453,"yyyy-mm"))</f>
        <v>0</v>
      </c>
      <c r="D453" s="17">
        <f>IF(A453="","",TEXT(A453,"mmm"))</f>
        <v>0</v>
      </c>
      <c r="E453" s="23">
        <f>IF(C453="","",COUNTIFS('Content Calendar'!$D$5:$D$604,C453))</f>
        <v>0</v>
      </c>
      <c r="F453" s="23">
        <f>IF(C453="","",COUNTIFS('Content Calendar'!$D$5:$D$604,C453,'Content Calendar'!$X$5:$X$604,"Published"))</f>
        <v>0</v>
      </c>
      <c r="G453" s="23">
        <f>IF(C453="","",SUMIFS(Analytics!$J$5:$J$154,Analytics!$C$5:$C$154,C453))</f>
        <v>0</v>
      </c>
      <c r="H453" s="23">
        <f>IF(C453="","",SUMIFS(Analytics!$K$5:$K$154,Analytics!$C$5:$C$154,C453))</f>
        <v>0</v>
      </c>
      <c r="I453" s="23">
        <f>IF(C453="","",SUMIFS(Analytics!$L$5:$L$154,Analytics!$C$5:$C$154,C453))</f>
        <v>0</v>
      </c>
      <c r="J453" s="24">
        <f>IF(OR(G453="",G453=0),"",I453/G453)</f>
        <v>0</v>
      </c>
      <c r="K453" s="23">
        <f>IF(C453="","",SUMIFS(Analytics!$G$5:$G$154,Analytics!$C$5:$C$154,C453))</f>
        <v>0</v>
      </c>
      <c r="L453" s="23">
        <f>IF(C453="","",SUMIFS(Analytics!$X$5:$X$154,Analytics!$C$5:$C$154,C453))</f>
        <v>0</v>
      </c>
      <c r="M453" s="23">
        <f>IF(C453="","",SUMIFS(Analytics!$R$5:$R$154,Analytics!$C$5:$C$154,C453))</f>
        <v>0</v>
      </c>
      <c r="N453" s="23">
        <f>IF(C453="","",SUMIFS(Analytics!$S$5:$S$154,Analytics!$C$5:$C$154,C453))</f>
        <v>0</v>
      </c>
      <c r="O453" s="23">
        <f>IF(C453="","",SUMIFS(Analytics!$T$5:$T$154,Analytics!$C$5:$C$154,C453))</f>
        <v>0</v>
      </c>
      <c r="P453" s="25">
        <f>IF(C453="","",SUMIFS(Analytics!$U$5:$U$154,Analytics!$C$5:$C$154,C453))</f>
        <v>0</v>
      </c>
      <c r="Q453" s="25">
        <f>IF(C453="","",SUMIFS(Budget!$H$5:$H$64,Budget!$C$5:$C$64,C453))</f>
        <v>0</v>
      </c>
      <c r="R453" s="25">
        <f>IF(C453="","",P453-Q453)</f>
        <v>0</v>
      </c>
      <c r="S453" s="23">
        <f>IF(C453="","",MonthlyPostTarget)</f>
        <v>0</v>
      </c>
      <c r="T453" s="17">
        <f>IF(Lists!$C453="","",Lists!$C453)</f>
        <v>0</v>
      </c>
      <c r="U453" s="23">
        <f>IF(T453="","",COUNTIFS('Content Calendar'!$G$5:$G$604,T453,'Content Calendar'!$B$5:$B$604,"&gt;="&amp;DashStart,'Content Calendar'!$B$5:$B$604,"&lt;="&amp;DashEnd))</f>
        <v>0</v>
      </c>
      <c r="V453" s="23">
        <f>IF(T453="","",COUNTIFS('Content Calendar'!$G$5:$G$604,T453,'Content Calendar'!$X$5:$X$604,"Published",'Content Calendar'!$B$5:$B$604,"&gt;="&amp;DashStart,'Content Calendar'!$B$5:$B$604,"&lt;="&amp;DashEnd))</f>
        <v>0</v>
      </c>
      <c r="W453" s="23">
        <f>IF(T453="","",SUMIFS(Analytics!$J$5:$J$154,Analytics!$D$5:$D$154,T453,Analytics!$B$5:$B$154,"&gt;="&amp;DashStart,Analytics!$B$5:$B$154,"&lt;="&amp;DashEnd))</f>
        <v>0</v>
      </c>
      <c r="X453" s="23">
        <f>IF(T453="","",SUMIFS(Analytics!$L$5:$L$154,Analytics!$D$5:$D$154,T453,Analytics!$B$5:$B$154,"&gt;="&amp;DashStart,Analytics!$B$5:$B$154,"&lt;="&amp;DashEnd))</f>
        <v>0</v>
      </c>
      <c r="Y453" s="24">
        <f>IF(OR(W453="",W453=0),"",X453/W453)</f>
        <v>0</v>
      </c>
      <c r="Z453" s="23">
        <f>IF(T453="","",SUMIFS(Analytics!$G$5:$G$154,Analytics!$D$5:$D$154,T453,Analytics!$B$5:$B$154,"&gt;="&amp;DashStart,Analytics!$B$5:$B$154,"&lt;="&amp;DashEnd))</f>
        <v>0</v>
      </c>
      <c r="AA453" s="23">
        <f>IF(T453="","",SUMIFS(Analytics!$X$5:$X$154,Analytics!$D$5:$D$154,T453,Analytics!$B$5:$B$154,"&gt;="&amp;DashStart,Analytics!$B$5:$B$154,"&lt;="&amp;DashEnd))</f>
        <v>0</v>
      </c>
      <c r="AB453" s="23">
        <f>IF(T453="","",SUMIFS(Analytics!$R$5:$R$154,Analytics!$D$5:$D$154,T453,Analytics!$B$5:$B$154,"&gt;="&amp;DashStart,Analytics!$B$5:$B$154,"&lt;="&amp;DashEnd))</f>
        <v>0</v>
      </c>
      <c r="AC453" s="25">
        <f>IF(T453="","",SUMIFS(Analytics!$U$5:$U$154,Analytics!$D$5:$D$154,T453,Analytics!$B$5:$B$154,"&gt;="&amp;DashStart,Analytics!$B$5:$B$154,"&lt;="&amp;DashEnd))</f>
        <v>0</v>
      </c>
      <c r="AD453" s="23">
        <f>IF(T453="","",COUNTIFS('Content Calendar'!$G$5:$G$604,T453,'Content Calendar'!$B$5:$B$604,"&gt;="&amp;DATE(PlanYear,1,1),'Content Calendar'!$B$5:$B$604,"&lt;="&amp;DATE(PlanYear,12,31)))</f>
        <v>0</v>
      </c>
      <c r="AE453" s="23">
        <f>IF(T453="","",SUMIFS(Analytics!$J$5:$J$154,Analytics!$D$5:$D$154,T453))</f>
        <v>0</v>
      </c>
      <c r="AF453" s="23">
        <f>IF(T453="","",SUMIFS(Analytics!$L$5:$L$154,Analytics!$D$5:$D$154,T453))</f>
        <v>0</v>
      </c>
      <c r="AG453" s="24">
        <f>IF(OR(AE453="",AE453=0),"",AF453/AE453)</f>
        <v>0</v>
      </c>
      <c r="AH453" s="23">
        <f>IF(T453="","",SUMIFS(Analytics!$X$5:$X$154,Analytics!$D$5:$D$154,T453))</f>
        <v>0</v>
      </c>
      <c r="AI453" s="32">
        <f>IF(T453="","",IF(AE453=0,"",AE453+ROW()/1000000))</f>
        <v>0</v>
      </c>
      <c r="AJ453" s="17">
        <f>IF('Content Pillars'!$B$453="","",'Content Pillars'!$B$453)</f>
        <v>0</v>
      </c>
      <c r="AK453" s="23">
        <f>IF(AJ453="","",COUNTIFS('Content Calendar'!$J$5:$J$604,AJ453,'Content Calendar'!$B$5:$B$604,"&gt;="&amp;DATE(PlanYear,1,1),'Content Calendar'!$B$5:$B$604,"&lt;="&amp;DATE(PlanYear,12,31)))</f>
        <v>0</v>
      </c>
      <c r="AL453" s="23">
        <f>IF(AJ453="","",SUMIFS(Performance!$O$5:$O$404,Performance!$H$5:$H$404,AJ453))</f>
        <v>0</v>
      </c>
      <c r="AM453" s="23">
        <f>IF(AJ453="","",SUMIFS(Performance!$Z$5:$Z$404,Performance!$H$5:$H$404,AJ453))</f>
        <v>0</v>
      </c>
      <c r="AN453" s="24">
        <f>IF(OR(AL453="",AL453=0),"",AM453/AL453)</f>
        <v>0</v>
      </c>
      <c r="AO453" s="32">
        <f>IF(AN453="","",AN453+ROW()/1000000)</f>
        <v>0</v>
      </c>
      <c r="AP453" s="17">
        <f>IF(Lists!$E453="","",Lists!$E453)</f>
        <v>0</v>
      </c>
      <c r="AQ453" s="23">
        <f>IF(AP453="","",COUNTIF(Performance!$G$5:$G$404,AP453))</f>
        <v>0</v>
      </c>
      <c r="AR453" s="23">
        <f>IF(AP453="","",SUMIFS(Performance!$O$5:$O$404,Performance!$G$5:$G$404,AP453))</f>
        <v>0</v>
      </c>
      <c r="AS453" s="23">
        <f>IF(AP453="","",SUMIFS(Performance!$Z$5:$Z$404,Performance!$G$5:$G$404,AP453))</f>
        <v>0</v>
      </c>
      <c r="AT453" s="24">
        <f>IF(OR(AR453="",AR453=0),"",AS453/AR453)</f>
        <v>0</v>
      </c>
      <c r="AU453" s="32">
        <f>IF(AQ453=0,"",IF(AT453="","",AT453+ROW()/1000000))</f>
        <v>0</v>
      </c>
      <c r="AV453" s="17">
        <f>IF(ROW()-4&gt;7,"",TEXT(DATE(2024,1,ROW()-4),"ddd"))</f>
        <v>0</v>
      </c>
      <c r="AW453" s="23">
        <f>IF(AV453="","",COUNTIF(Performance!$N$5:$N$404,AV453))</f>
        <v>0</v>
      </c>
      <c r="AX453" s="23">
        <f>IF(AV453="","",SUMIFS(Performance!$O$5:$O$404,Performance!$N$5:$N$404,AV453))</f>
        <v>0</v>
      </c>
      <c r="AY453" s="23">
        <f>IF(AV453="","",SUMIFS(Performance!$Z$5:$Z$404,Performance!$N$5:$N$404,AV453))</f>
        <v>0</v>
      </c>
      <c r="AZ453" s="24">
        <f>IF(OR(AX453="",AX453=0),"",AY453/AX453)</f>
        <v>0</v>
      </c>
      <c r="BA453" s="32">
        <f>IF(AW453=0,"",IF(AZ453="","",AZ453+ROW()/1000000))</f>
        <v>0</v>
      </c>
      <c r="BB453" s="17">
        <f>IF(Lists!$AL453="","",Lists!$AL453)</f>
        <v>0</v>
      </c>
      <c r="BC453" s="23">
        <f>IF(BB453="","",COUNTIF(Performance!$M$5:$M$404,BB453))</f>
        <v>0</v>
      </c>
      <c r="BD453" s="23">
        <f>IF(BB453="","",SUMIFS(Performance!$O$5:$O$404,Performance!$M$5:$M$404,BB453))</f>
        <v>0</v>
      </c>
      <c r="BE453" s="23">
        <f>IF(BB453="","",SUMIFS(Performance!$Z$5:$Z$404,Performance!$M$5:$M$404,BB453))</f>
        <v>0</v>
      </c>
      <c r="BF453" s="24">
        <f>IF(OR(BD453="",BD453=0),"",BE453/BD453)</f>
        <v>0</v>
      </c>
      <c r="BG453" s="32">
        <f>IF(BC453=0,"",IF(BF453="","",BF453+ROW()/1000000))</f>
        <v>0</v>
      </c>
      <c r="BH453" s="17">
        <f>IF(Performance!$C$453="","",Performance!$C$453)</f>
        <v>0</v>
      </c>
      <c r="BI453" s="17">
        <f>IF(Performance!$F$453="","",Performance!$F$453)</f>
        <v>0</v>
      </c>
      <c r="BJ453" s="17">
        <f>IF(Performance!$H$453="","",Performance!$H$453)</f>
        <v>0</v>
      </c>
      <c r="BK453" s="16">
        <f>IF(Performance!$D$453="","",Performance!$D$453)</f>
        <v>0</v>
      </c>
      <c r="BL453" s="17">
        <f>IF(Performance!$E$453="","",Performance!$E$453)</f>
        <v>0</v>
      </c>
      <c r="BM453" s="23">
        <f>IF(Performance!$O$453="","",Performance!$O$453)</f>
        <v>0</v>
      </c>
      <c r="BN453" s="24">
        <f>IF(Performance!$AA$453="","",Performance!$AA$453)</f>
        <v>0</v>
      </c>
      <c r="BO453" s="32">
        <f>IF(BH453="","",IF(BK453="","",IF(OR(BK453&lt;DashStart,BK453&gt;DashEnd),"",IF(BN453="","",BN453+ROW()/1000000))))</f>
        <v>0</v>
      </c>
      <c r="BP453" s="32">
        <f>IF(BM453="","",IF(BK453="","",IF(OR(BK453&lt;DashStart,BK453&gt;DashEnd),"",BM453+ROW()/1000000)))</f>
        <v>0</v>
      </c>
      <c r="BQ453" s="32">
        <f>IF(BH453="","",IF(BK453="","",IF(YEAR(BK453)&lt;&gt;PlanYear,"",IF(BN453="","",BN453+ROW()/1000000))))</f>
        <v>0</v>
      </c>
      <c r="BR453" s="32">
        <f>IF(BH453="","",IF(BK453="","",IF(OR(BK453&lt;RepFrom,BK453&gt;RepTo),"",IF(BN453="","",BN453+ROW()/1000000))))</f>
        <v>0</v>
      </c>
      <c r="BS453" s="32">
        <f>IF(BM453="","",IF(BK453="","",IF(YEAR(BK453)&lt;&gt;PlanYear,"",BM453+ROW()/1000000)))</f>
        <v>0</v>
      </c>
      <c r="BT453" s="17">
        <f>IF(Lists!$F453="","",Lists!$F453)</f>
        <v>0</v>
      </c>
      <c r="BU453" s="23">
        <f>IF(BT453="","",COUNTIF('Content Calendar'!$X$5:$X$604,BT453))</f>
        <v>0</v>
      </c>
      <c r="BV453" s="23">
        <f>IF(BT453="","",COUNTIFS('Content Calendar'!$X$5:$X$604,BT453,'Content Calendar'!$B$5:$B$604,"&gt;="&amp;DashStart,'Content Calendar'!$B$5:$B$604,"&lt;="&amp;DashEnd))</f>
        <v>0</v>
      </c>
      <c r="BW453" s="17">
        <f>IF(Team!$B$453="","",Team!$B$453)</f>
        <v>0</v>
      </c>
      <c r="BX453" s="23">
        <f>IF(BW453="","",COUNTIF('Content Calendar'!$W$5:$W$604,BW453))</f>
        <v>0</v>
      </c>
      <c r="BY453" s="23">
        <f>IF(BW453="","",COUNTIFS('Content Calendar'!$W$5:$W$604,BW453,'Content Calendar'!$X$5:$X$604,"&lt;&gt;Published"))</f>
        <v>0</v>
      </c>
      <c r="BZ453" s="23">
        <f>IF(BW453="","",COUNTIFS(Tasks!$C$5:$C$64,BW453,Tasks!$G$5:$G$64,"&lt;&gt;Complete"))</f>
        <v>0</v>
      </c>
      <c r="CA453" s="17">
        <f>IF(Campaigns!$B$453="","",Campaigns!$B$453)</f>
        <v>0</v>
      </c>
      <c r="CB453" s="25">
        <f>IF(Campaigns!$T$453="","",Campaigns!$T$453)</f>
        <v>0</v>
      </c>
      <c r="CC453" s="25">
        <f>IF(Campaigns!$Q$453="","",Campaigns!$Q$453)</f>
        <v>0</v>
      </c>
      <c r="CD453" s="23">
        <f>IF(Campaigns!$Y$453="","",Campaigns!$Y$453)</f>
        <v>0</v>
      </c>
      <c r="CE453" s="32">
        <f>IF(CA453="","",IF(N(CB453)&lt;=0,"",N(CB453)+ROW()/1000000))</f>
        <v>0</v>
      </c>
      <c r="CF453" s="17">
        <f>IF(Accounts!$C$453="","",Accounts!$C$453)</f>
        <v>0</v>
      </c>
      <c r="CG453" s="17">
        <f>IF(Accounts!$B$453="","",Accounts!$B$453)</f>
        <v>0</v>
      </c>
      <c r="CH453" s="23">
        <f>IF(Accounts!$J$453="","",Accounts!$J$453)</f>
        <v>0</v>
      </c>
      <c r="CI453" s="23">
        <f>IF(CF453="","",SUMIFS(Analytics!$X$5:$X$154,Analytics!$E$5:$E$154,CF453,Analytics!$B$5:$B$154,"&gt;="&amp;DashStart,Analytics!$B$5:$B$154,"&lt;="&amp;DashEnd))</f>
        <v>0</v>
      </c>
      <c r="CJ453" s="32">
        <f>IF(CH453="","",IF(CH453=0,"",CH453+ROW()/1000000))</f>
        <v>0</v>
      </c>
    </row>
    <row r="454" spans="1:88">
      <c r="A454" s="16">
        <f>IF(ROW()-4&gt;12,"",DATE(PlanYear,ROW()-4,1))</f>
        <v>0</v>
      </c>
      <c r="B454" s="16">
        <f>IF(A454="","",EOMONTH(A454,0))</f>
        <v>0</v>
      </c>
      <c r="C454" s="17">
        <f>IF(A454="","",TEXT(A454,"yyyy-mm"))</f>
        <v>0</v>
      </c>
      <c r="D454" s="17">
        <f>IF(A454="","",TEXT(A454,"mmm"))</f>
        <v>0</v>
      </c>
      <c r="E454" s="23">
        <f>IF(C454="","",COUNTIFS('Content Calendar'!$D$5:$D$604,C454))</f>
        <v>0</v>
      </c>
      <c r="F454" s="23">
        <f>IF(C454="","",COUNTIFS('Content Calendar'!$D$5:$D$604,C454,'Content Calendar'!$X$5:$X$604,"Published"))</f>
        <v>0</v>
      </c>
      <c r="G454" s="23">
        <f>IF(C454="","",SUMIFS(Analytics!$J$5:$J$154,Analytics!$C$5:$C$154,C454))</f>
        <v>0</v>
      </c>
      <c r="H454" s="23">
        <f>IF(C454="","",SUMIFS(Analytics!$K$5:$K$154,Analytics!$C$5:$C$154,C454))</f>
        <v>0</v>
      </c>
      <c r="I454" s="23">
        <f>IF(C454="","",SUMIFS(Analytics!$L$5:$L$154,Analytics!$C$5:$C$154,C454))</f>
        <v>0</v>
      </c>
      <c r="J454" s="24">
        <f>IF(OR(G454="",G454=0),"",I454/G454)</f>
        <v>0</v>
      </c>
      <c r="K454" s="23">
        <f>IF(C454="","",SUMIFS(Analytics!$G$5:$G$154,Analytics!$C$5:$C$154,C454))</f>
        <v>0</v>
      </c>
      <c r="L454" s="23">
        <f>IF(C454="","",SUMIFS(Analytics!$X$5:$X$154,Analytics!$C$5:$C$154,C454))</f>
        <v>0</v>
      </c>
      <c r="M454" s="23">
        <f>IF(C454="","",SUMIFS(Analytics!$R$5:$R$154,Analytics!$C$5:$C$154,C454))</f>
        <v>0</v>
      </c>
      <c r="N454" s="23">
        <f>IF(C454="","",SUMIFS(Analytics!$S$5:$S$154,Analytics!$C$5:$C$154,C454))</f>
        <v>0</v>
      </c>
      <c r="O454" s="23">
        <f>IF(C454="","",SUMIFS(Analytics!$T$5:$T$154,Analytics!$C$5:$C$154,C454))</f>
        <v>0</v>
      </c>
      <c r="P454" s="25">
        <f>IF(C454="","",SUMIFS(Analytics!$U$5:$U$154,Analytics!$C$5:$C$154,C454))</f>
        <v>0</v>
      </c>
      <c r="Q454" s="25">
        <f>IF(C454="","",SUMIFS(Budget!$H$5:$H$64,Budget!$C$5:$C$64,C454))</f>
        <v>0</v>
      </c>
      <c r="R454" s="25">
        <f>IF(C454="","",P454-Q454)</f>
        <v>0</v>
      </c>
      <c r="S454" s="23">
        <f>IF(C454="","",MonthlyPostTarget)</f>
        <v>0</v>
      </c>
      <c r="T454" s="17">
        <f>IF(Lists!$C454="","",Lists!$C454)</f>
        <v>0</v>
      </c>
      <c r="U454" s="23">
        <f>IF(T454="","",COUNTIFS('Content Calendar'!$G$5:$G$604,T454,'Content Calendar'!$B$5:$B$604,"&gt;="&amp;DashStart,'Content Calendar'!$B$5:$B$604,"&lt;="&amp;DashEnd))</f>
        <v>0</v>
      </c>
      <c r="V454" s="23">
        <f>IF(T454="","",COUNTIFS('Content Calendar'!$G$5:$G$604,T454,'Content Calendar'!$X$5:$X$604,"Published",'Content Calendar'!$B$5:$B$604,"&gt;="&amp;DashStart,'Content Calendar'!$B$5:$B$604,"&lt;="&amp;DashEnd))</f>
        <v>0</v>
      </c>
      <c r="W454" s="23">
        <f>IF(T454="","",SUMIFS(Analytics!$J$5:$J$154,Analytics!$D$5:$D$154,T454,Analytics!$B$5:$B$154,"&gt;="&amp;DashStart,Analytics!$B$5:$B$154,"&lt;="&amp;DashEnd))</f>
        <v>0</v>
      </c>
      <c r="X454" s="23">
        <f>IF(T454="","",SUMIFS(Analytics!$L$5:$L$154,Analytics!$D$5:$D$154,T454,Analytics!$B$5:$B$154,"&gt;="&amp;DashStart,Analytics!$B$5:$B$154,"&lt;="&amp;DashEnd))</f>
        <v>0</v>
      </c>
      <c r="Y454" s="24">
        <f>IF(OR(W454="",W454=0),"",X454/W454)</f>
        <v>0</v>
      </c>
      <c r="Z454" s="23">
        <f>IF(T454="","",SUMIFS(Analytics!$G$5:$G$154,Analytics!$D$5:$D$154,T454,Analytics!$B$5:$B$154,"&gt;="&amp;DashStart,Analytics!$B$5:$B$154,"&lt;="&amp;DashEnd))</f>
        <v>0</v>
      </c>
      <c r="AA454" s="23">
        <f>IF(T454="","",SUMIFS(Analytics!$X$5:$X$154,Analytics!$D$5:$D$154,T454,Analytics!$B$5:$B$154,"&gt;="&amp;DashStart,Analytics!$B$5:$B$154,"&lt;="&amp;DashEnd))</f>
        <v>0</v>
      </c>
      <c r="AB454" s="23">
        <f>IF(T454="","",SUMIFS(Analytics!$R$5:$R$154,Analytics!$D$5:$D$154,T454,Analytics!$B$5:$B$154,"&gt;="&amp;DashStart,Analytics!$B$5:$B$154,"&lt;="&amp;DashEnd))</f>
        <v>0</v>
      </c>
      <c r="AC454" s="25">
        <f>IF(T454="","",SUMIFS(Analytics!$U$5:$U$154,Analytics!$D$5:$D$154,T454,Analytics!$B$5:$B$154,"&gt;="&amp;DashStart,Analytics!$B$5:$B$154,"&lt;="&amp;DashEnd))</f>
        <v>0</v>
      </c>
      <c r="AD454" s="23">
        <f>IF(T454="","",COUNTIFS('Content Calendar'!$G$5:$G$604,T454,'Content Calendar'!$B$5:$B$604,"&gt;="&amp;DATE(PlanYear,1,1),'Content Calendar'!$B$5:$B$604,"&lt;="&amp;DATE(PlanYear,12,31)))</f>
        <v>0</v>
      </c>
      <c r="AE454" s="23">
        <f>IF(T454="","",SUMIFS(Analytics!$J$5:$J$154,Analytics!$D$5:$D$154,T454))</f>
        <v>0</v>
      </c>
      <c r="AF454" s="23">
        <f>IF(T454="","",SUMIFS(Analytics!$L$5:$L$154,Analytics!$D$5:$D$154,T454))</f>
        <v>0</v>
      </c>
      <c r="AG454" s="24">
        <f>IF(OR(AE454="",AE454=0),"",AF454/AE454)</f>
        <v>0</v>
      </c>
      <c r="AH454" s="23">
        <f>IF(T454="","",SUMIFS(Analytics!$X$5:$X$154,Analytics!$D$5:$D$154,T454))</f>
        <v>0</v>
      </c>
      <c r="AI454" s="32">
        <f>IF(T454="","",IF(AE454=0,"",AE454+ROW()/1000000))</f>
        <v>0</v>
      </c>
      <c r="AJ454" s="17">
        <f>IF('Content Pillars'!$B$454="","",'Content Pillars'!$B$454)</f>
        <v>0</v>
      </c>
      <c r="AK454" s="23">
        <f>IF(AJ454="","",COUNTIFS('Content Calendar'!$J$5:$J$604,AJ454,'Content Calendar'!$B$5:$B$604,"&gt;="&amp;DATE(PlanYear,1,1),'Content Calendar'!$B$5:$B$604,"&lt;="&amp;DATE(PlanYear,12,31)))</f>
        <v>0</v>
      </c>
      <c r="AL454" s="23">
        <f>IF(AJ454="","",SUMIFS(Performance!$O$5:$O$404,Performance!$H$5:$H$404,AJ454))</f>
        <v>0</v>
      </c>
      <c r="AM454" s="23">
        <f>IF(AJ454="","",SUMIFS(Performance!$Z$5:$Z$404,Performance!$H$5:$H$404,AJ454))</f>
        <v>0</v>
      </c>
      <c r="AN454" s="24">
        <f>IF(OR(AL454="",AL454=0),"",AM454/AL454)</f>
        <v>0</v>
      </c>
      <c r="AO454" s="32">
        <f>IF(AN454="","",AN454+ROW()/1000000)</f>
        <v>0</v>
      </c>
      <c r="AP454" s="17">
        <f>IF(Lists!$E454="","",Lists!$E454)</f>
        <v>0</v>
      </c>
      <c r="AQ454" s="23">
        <f>IF(AP454="","",COUNTIF(Performance!$G$5:$G$404,AP454))</f>
        <v>0</v>
      </c>
      <c r="AR454" s="23">
        <f>IF(AP454="","",SUMIFS(Performance!$O$5:$O$404,Performance!$G$5:$G$404,AP454))</f>
        <v>0</v>
      </c>
      <c r="AS454" s="23">
        <f>IF(AP454="","",SUMIFS(Performance!$Z$5:$Z$404,Performance!$G$5:$G$404,AP454))</f>
        <v>0</v>
      </c>
      <c r="AT454" s="24">
        <f>IF(OR(AR454="",AR454=0),"",AS454/AR454)</f>
        <v>0</v>
      </c>
      <c r="AU454" s="32">
        <f>IF(AQ454=0,"",IF(AT454="","",AT454+ROW()/1000000))</f>
        <v>0</v>
      </c>
      <c r="AV454" s="17">
        <f>IF(ROW()-4&gt;7,"",TEXT(DATE(2024,1,ROW()-4),"ddd"))</f>
        <v>0</v>
      </c>
      <c r="AW454" s="23">
        <f>IF(AV454="","",COUNTIF(Performance!$N$5:$N$404,AV454))</f>
        <v>0</v>
      </c>
      <c r="AX454" s="23">
        <f>IF(AV454="","",SUMIFS(Performance!$O$5:$O$404,Performance!$N$5:$N$404,AV454))</f>
        <v>0</v>
      </c>
      <c r="AY454" s="23">
        <f>IF(AV454="","",SUMIFS(Performance!$Z$5:$Z$404,Performance!$N$5:$N$404,AV454))</f>
        <v>0</v>
      </c>
      <c r="AZ454" s="24">
        <f>IF(OR(AX454="",AX454=0),"",AY454/AX454)</f>
        <v>0</v>
      </c>
      <c r="BA454" s="32">
        <f>IF(AW454=0,"",IF(AZ454="","",AZ454+ROW()/1000000))</f>
        <v>0</v>
      </c>
      <c r="BB454" s="17">
        <f>IF(Lists!$AL454="","",Lists!$AL454)</f>
        <v>0</v>
      </c>
      <c r="BC454" s="23">
        <f>IF(BB454="","",COUNTIF(Performance!$M$5:$M$404,BB454))</f>
        <v>0</v>
      </c>
      <c r="BD454" s="23">
        <f>IF(BB454="","",SUMIFS(Performance!$O$5:$O$404,Performance!$M$5:$M$404,BB454))</f>
        <v>0</v>
      </c>
      <c r="BE454" s="23">
        <f>IF(BB454="","",SUMIFS(Performance!$Z$5:$Z$404,Performance!$M$5:$M$404,BB454))</f>
        <v>0</v>
      </c>
      <c r="BF454" s="24">
        <f>IF(OR(BD454="",BD454=0),"",BE454/BD454)</f>
        <v>0</v>
      </c>
      <c r="BG454" s="32">
        <f>IF(BC454=0,"",IF(BF454="","",BF454+ROW()/1000000))</f>
        <v>0</v>
      </c>
      <c r="BH454" s="17">
        <f>IF(Performance!$C$454="","",Performance!$C$454)</f>
        <v>0</v>
      </c>
      <c r="BI454" s="17">
        <f>IF(Performance!$F$454="","",Performance!$F$454)</f>
        <v>0</v>
      </c>
      <c r="BJ454" s="17">
        <f>IF(Performance!$H$454="","",Performance!$H$454)</f>
        <v>0</v>
      </c>
      <c r="BK454" s="16">
        <f>IF(Performance!$D$454="","",Performance!$D$454)</f>
        <v>0</v>
      </c>
      <c r="BL454" s="17">
        <f>IF(Performance!$E$454="","",Performance!$E$454)</f>
        <v>0</v>
      </c>
      <c r="BM454" s="23">
        <f>IF(Performance!$O$454="","",Performance!$O$454)</f>
        <v>0</v>
      </c>
      <c r="BN454" s="24">
        <f>IF(Performance!$AA$454="","",Performance!$AA$454)</f>
        <v>0</v>
      </c>
      <c r="BO454" s="32">
        <f>IF(BH454="","",IF(BK454="","",IF(OR(BK454&lt;DashStart,BK454&gt;DashEnd),"",IF(BN454="","",BN454+ROW()/1000000))))</f>
        <v>0</v>
      </c>
      <c r="BP454" s="32">
        <f>IF(BM454="","",IF(BK454="","",IF(OR(BK454&lt;DashStart,BK454&gt;DashEnd),"",BM454+ROW()/1000000)))</f>
        <v>0</v>
      </c>
      <c r="BQ454" s="32">
        <f>IF(BH454="","",IF(BK454="","",IF(YEAR(BK454)&lt;&gt;PlanYear,"",IF(BN454="","",BN454+ROW()/1000000))))</f>
        <v>0</v>
      </c>
      <c r="BR454" s="32">
        <f>IF(BH454="","",IF(BK454="","",IF(OR(BK454&lt;RepFrom,BK454&gt;RepTo),"",IF(BN454="","",BN454+ROW()/1000000))))</f>
        <v>0</v>
      </c>
      <c r="BS454" s="32">
        <f>IF(BM454="","",IF(BK454="","",IF(YEAR(BK454)&lt;&gt;PlanYear,"",BM454+ROW()/1000000)))</f>
        <v>0</v>
      </c>
      <c r="BT454" s="17">
        <f>IF(Lists!$F454="","",Lists!$F454)</f>
        <v>0</v>
      </c>
      <c r="BU454" s="23">
        <f>IF(BT454="","",COUNTIF('Content Calendar'!$X$5:$X$604,BT454))</f>
        <v>0</v>
      </c>
      <c r="BV454" s="23">
        <f>IF(BT454="","",COUNTIFS('Content Calendar'!$X$5:$X$604,BT454,'Content Calendar'!$B$5:$B$604,"&gt;="&amp;DashStart,'Content Calendar'!$B$5:$B$604,"&lt;="&amp;DashEnd))</f>
        <v>0</v>
      </c>
      <c r="BW454" s="17">
        <f>IF(Team!$B$454="","",Team!$B$454)</f>
        <v>0</v>
      </c>
      <c r="BX454" s="23">
        <f>IF(BW454="","",COUNTIF('Content Calendar'!$W$5:$W$604,BW454))</f>
        <v>0</v>
      </c>
      <c r="BY454" s="23">
        <f>IF(BW454="","",COUNTIFS('Content Calendar'!$W$5:$W$604,BW454,'Content Calendar'!$X$5:$X$604,"&lt;&gt;Published"))</f>
        <v>0</v>
      </c>
      <c r="BZ454" s="23">
        <f>IF(BW454="","",COUNTIFS(Tasks!$C$5:$C$64,BW454,Tasks!$G$5:$G$64,"&lt;&gt;Complete"))</f>
        <v>0</v>
      </c>
      <c r="CA454" s="17">
        <f>IF(Campaigns!$B$454="","",Campaigns!$B$454)</f>
        <v>0</v>
      </c>
      <c r="CB454" s="25">
        <f>IF(Campaigns!$T$454="","",Campaigns!$T$454)</f>
        <v>0</v>
      </c>
      <c r="CC454" s="25">
        <f>IF(Campaigns!$Q$454="","",Campaigns!$Q$454)</f>
        <v>0</v>
      </c>
      <c r="CD454" s="23">
        <f>IF(Campaigns!$Y$454="","",Campaigns!$Y$454)</f>
        <v>0</v>
      </c>
      <c r="CE454" s="32">
        <f>IF(CA454="","",IF(N(CB454)&lt;=0,"",N(CB454)+ROW()/1000000))</f>
        <v>0</v>
      </c>
      <c r="CF454" s="17">
        <f>IF(Accounts!$C$454="","",Accounts!$C$454)</f>
        <v>0</v>
      </c>
      <c r="CG454" s="17">
        <f>IF(Accounts!$B$454="","",Accounts!$B$454)</f>
        <v>0</v>
      </c>
      <c r="CH454" s="23">
        <f>IF(Accounts!$J$454="","",Accounts!$J$454)</f>
        <v>0</v>
      </c>
      <c r="CI454" s="23">
        <f>IF(CF454="","",SUMIFS(Analytics!$X$5:$X$154,Analytics!$E$5:$E$154,CF454,Analytics!$B$5:$B$154,"&gt;="&amp;DashStart,Analytics!$B$5:$B$154,"&lt;="&amp;DashEnd))</f>
        <v>0</v>
      </c>
      <c r="CJ454" s="32">
        <f>IF(CH454="","",IF(CH454=0,"",CH454+ROW()/1000000))</f>
        <v>0</v>
      </c>
    </row>
    <row r="455" spans="1:88">
      <c r="A455" s="16">
        <f>IF(ROW()-4&gt;12,"",DATE(PlanYear,ROW()-4,1))</f>
        <v>0</v>
      </c>
      <c r="B455" s="16">
        <f>IF(A455="","",EOMONTH(A455,0))</f>
        <v>0</v>
      </c>
      <c r="C455" s="17">
        <f>IF(A455="","",TEXT(A455,"yyyy-mm"))</f>
        <v>0</v>
      </c>
      <c r="D455" s="17">
        <f>IF(A455="","",TEXT(A455,"mmm"))</f>
        <v>0</v>
      </c>
      <c r="E455" s="23">
        <f>IF(C455="","",COUNTIFS('Content Calendar'!$D$5:$D$604,C455))</f>
        <v>0</v>
      </c>
      <c r="F455" s="23">
        <f>IF(C455="","",COUNTIFS('Content Calendar'!$D$5:$D$604,C455,'Content Calendar'!$X$5:$X$604,"Published"))</f>
        <v>0</v>
      </c>
      <c r="G455" s="23">
        <f>IF(C455="","",SUMIFS(Analytics!$J$5:$J$154,Analytics!$C$5:$C$154,C455))</f>
        <v>0</v>
      </c>
      <c r="H455" s="23">
        <f>IF(C455="","",SUMIFS(Analytics!$K$5:$K$154,Analytics!$C$5:$C$154,C455))</f>
        <v>0</v>
      </c>
      <c r="I455" s="23">
        <f>IF(C455="","",SUMIFS(Analytics!$L$5:$L$154,Analytics!$C$5:$C$154,C455))</f>
        <v>0</v>
      </c>
      <c r="J455" s="24">
        <f>IF(OR(G455="",G455=0),"",I455/G455)</f>
        <v>0</v>
      </c>
      <c r="K455" s="23">
        <f>IF(C455="","",SUMIFS(Analytics!$G$5:$G$154,Analytics!$C$5:$C$154,C455))</f>
        <v>0</v>
      </c>
      <c r="L455" s="23">
        <f>IF(C455="","",SUMIFS(Analytics!$X$5:$X$154,Analytics!$C$5:$C$154,C455))</f>
        <v>0</v>
      </c>
      <c r="M455" s="23">
        <f>IF(C455="","",SUMIFS(Analytics!$R$5:$R$154,Analytics!$C$5:$C$154,C455))</f>
        <v>0</v>
      </c>
      <c r="N455" s="23">
        <f>IF(C455="","",SUMIFS(Analytics!$S$5:$S$154,Analytics!$C$5:$C$154,C455))</f>
        <v>0</v>
      </c>
      <c r="O455" s="23">
        <f>IF(C455="","",SUMIFS(Analytics!$T$5:$T$154,Analytics!$C$5:$C$154,C455))</f>
        <v>0</v>
      </c>
      <c r="P455" s="25">
        <f>IF(C455="","",SUMIFS(Analytics!$U$5:$U$154,Analytics!$C$5:$C$154,C455))</f>
        <v>0</v>
      </c>
      <c r="Q455" s="25">
        <f>IF(C455="","",SUMIFS(Budget!$H$5:$H$64,Budget!$C$5:$C$64,C455))</f>
        <v>0</v>
      </c>
      <c r="R455" s="25">
        <f>IF(C455="","",P455-Q455)</f>
        <v>0</v>
      </c>
      <c r="S455" s="23">
        <f>IF(C455="","",MonthlyPostTarget)</f>
        <v>0</v>
      </c>
      <c r="T455" s="17">
        <f>IF(Lists!$C455="","",Lists!$C455)</f>
        <v>0</v>
      </c>
      <c r="U455" s="23">
        <f>IF(T455="","",COUNTIFS('Content Calendar'!$G$5:$G$604,T455,'Content Calendar'!$B$5:$B$604,"&gt;="&amp;DashStart,'Content Calendar'!$B$5:$B$604,"&lt;="&amp;DashEnd))</f>
        <v>0</v>
      </c>
      <c r="V455" s="23">
        <f>IF(T455="","",COUNTIFS('Content Calendar'!$G$5:$G$604,T455,'Content Calendar'!$X$5:$X$604,"Published",'Content Calendar'!$B$5:$B$604,"&gt;="&amp;DashStart,'Content Calendar'!$B$5:$B$604,"&lt;="&amp;DashEnd))</f>
        <v>0</v>
      </c>
      <c r="W455" s="23">
        <f>IF(T455="","",SUMIFS(Analytics!$J$5:$J$154,Analytics!$D$5:$D$154,T455,Analytics!$B$5:$B$154,"&gt;="&amp;DashStart,Analytics!$B$5:$B$154,"&lt;="&amp;DashEnd))</f>
        <v>0</v>
      </c>
      <c r="X455" s="23">
        <f>IF(T455="","",SUMIFS(Analytics!$L$5:$L$154,Analytics!$D$5:$D$154,T455,Analytics!$B$5:$B$154,"&gt;="&amp;DashStart,Analytics!$B$5:$B$154,"&lt;="&amp;DashEnd))</f>
        <v>0</v>
      </c>
      <c r="Y455" s="24">
        <f>IF(OR(W455="",W455=0),"",X455/W455)</f>
        <v>0</v>
      </c>
      <c r="Z455" s="23">
        <f>IF(T455="","",SUMIFS(Analytics!$G$5:$G$154,Analytics!$D$5:$D$154,T455,Analytics!$B$5:$B$154,"&gt;="&amp;DashStart,Analytics!$B$5:$B$154,"&lt;="&amp;DashEnd))</f>
        <v>0</v>
      </c>
      <c r="AA455" s="23">
        <f>IF(T455="","",SUMIFS(Analytics!$X$5:$X$154,Analytics!$D$5:$D$154,T455,Analytics!$B$5:$B$154,"&gt;="&amp;DashStart,Analytics!$B$5:$B$154,"&lt;="&amp;DashEnd))</f>
        <v>0</v>
      </c>
      <c r="AB455" s="23">
        <f>IF(T455="","",SUMIFS(Analytics!$R$5:$R$154,Analytics!$D$5:$D$154,T455,Analytics!$B$5:$B$154,"&gt;="&amp;DashStart,Analytics!$B$5:$B$154,"&lt;="&amp;DashEnd))</f>
        <v>0</v>
      </c>
      <c r="AC455" s="25">
        <f>IF(T455="","",SUMIFS(Analytics!$U$5:$U$154,Analytics!$D$5:$D$154,T455,Analytics!$B$5:$B$154,"&gt;="&amp;DashStart,Analytics!$B$5:$B$154,"&lt;="&amp;DashEnd))</f>
        <v>0</v>
      </c>
      <c r="AD455" s="23">
        <f>IF(T455="","",COUNTIFS('Content Calendar'!$G$5:$G$604,T455,'Content Calendar'!$B$5:$B$604,"&gt;="&amp;DATE(PlanYear,1,1),'Content Calendar'!$B$5:$B$604,"&lt;="&amp;DATE(PlanYear,12,31)))</f>
        <v>0</v>
      </c>
      <c r="AE455" s="23">
        <f>IF(T455="","",SUMIFS(Analytics!$J$5:$J$154,Analytics!$D$5:$D$154,T455))</f>
        <v>0</v>
      </c>
      <c r="AF455" s="23">
        <f>IF(T455="","",SUMIFS(Analytics!$L$5:$L$154,Analytics!$D$5:$D$154,T455))</f>
        <v>0</v>
      </c>
      <c r="AG455" s="24">
        <f>IF(OR(AE455="",AE455=0),"",AF455/AE455)</f>
        <v>0</v>
      </c>
      <c r="AH455" s="23">
        <f>IF(T455="","",SUMIFS(Analytics!$X$5:$X$154,Analytics!$D$5:$D$154,T455))</f>
        <v>0</v>
      </c>
      <c r="AI455" s="32">
        <f>IF(T455="","",IF(AE455=0,"",AE455+ROW()/1000000))</f>
        <v>0</v>
      </c>
      <c r="AJ455" s="17">
        <f>IF('Content Pillars'!$B$455="","",'Content Pillars'!$B$455)</f>
        <v>0</v>
      </c>
      <c r="AK455" s="23">
        <f>IF(AJ455="","",COUNTIFS('Content Calendar'!$J$5:$J$604,AJ455,'Content Calendar'!$B$5:$B$604,"&gt;="&amp;DATE(PlanYear,1,1),'Content Calendar'!$B$5:$B$604,"&lt;="&amp;DATE(PlanYear,12,31)))</f>
        <v>0</v>
      </c>
      <c r="AL455" s="23">
        <f>IF(AJ455="","",SUMIFS(Performance!$O$5:$O$404,Performance!$H$5:$H$404,AJ455))</f>
        <v>0</v>
      </c>
      <c r="AM455" s="23">
        <f>IF(AJ455="","",SUMIFS(Performance!$Z$5:$Z$404,Performance!$H$5:$H$404,AJ455))</f>
        <v>0</v>
      </c>
      <c r="AN455" s="24">
        <f>IF(OR(AL455="",AL455=0),"",AM455/AL455)</f>
        <v>0</v>
      </c>
      <c r="AO455" s="32">
        <f>IF(AN455="","",AN455+ROW()/1000000)</f>
        <v>0</v>
      </c>
      <c r="AP455" s="17">
        <f>IF(Lists!$E455="","",Lists!$E455)</f>
        <v>0</v>
      </c>
      <c r="AQ455" s="23">
        <f>IF(AP455="","",COUNTIF(Performance!$G$5:$G$404,AP455))</f>
        <v>0</v>
      </c>
      <c r="AR455" s="23">
        <f>IF(AP455="","",SUMIFS(Performance!$O$5:$O$404,Performance!$G$5:$G$404,AP455))</f>
        <v>0</v>
      </c>
      <c r="AS455" s="23">
        <f>IF(AP455="","",SUMIFS(Performance!$Z$5:$Z$404,Performance!$G$5:$G$404,AP455))</f>
        <v>0</v>
      </c>
      <c r="AT455" s="24">
        <f>IF(OR(AR455="",AR455=0),"",AS455/AR455)</f>
        <v>0</v>
      </c>
      <c r="AU455" s="32">
        <f>IF(AQ455=0,"",IF(AT455="","",AT455+ROW()/1000000))</f>
        <v>0</v>
      </c>
      <c r="AV455" s="17">
        <f>IF(ROW()-4&gt;7,"",TEXT(DATE(2024,1,ROW()-4),"ddd"))</f>
        <v>0</v>
      </c>
      <c r="AW455" s="23">
        <f>IF(AV455="","",COUNTIF(Performance!$N$5:$N$404,AV455))</f>
        <v>0</v>
      </c>
      <c r="AX455" s="23">
        <f>IF(AV455="","",SUMIFS(Performance!$O$5:$O$404,Performance!$N$5:$N$404,AV455))</f>
        <v>0</v>
      </c>
      <c r="AY455" s="23">
        <f>IF(AV455="","",SUMIFS(Performance!$Z$5:$Z$404,Performance!$N$5:$N$404,AV455))</f>
        <v>0</v>
      </c>
      <c r="AZ455" s="24">
        <f>IF(OR(AX455="",AX455=0),"",AY455/AX455)</f>
        <v>0</v>
      </c>
      <c r="BA455" s="32">
        <f>IF(AW455=0,"",IF(AZ455="","",AZ455+ROW()/1000000))</f>
        <v>0</v>
      </c>
      <c r="BB455" s="17">
        <f>IF(Lists!$AL455="","",Lists!$AL455)</f>
        <v>0</v>
      </c>
      <c r="BC455" s="23">
        <f>IF(BB455="","",COUNTIF(Performance!$M$5:$M$404,BB455))</f>
        <v>0</v>
      </c>
      <c r="BD455" s="23">
        <f>IF(BB455="","",SUMIFS(Performance!$O$5:$O$404,Performance!$M$5:$M$404,BB455))</f>
        <v>0</v>
      </c>
      <c r="BE455" s="23">
        <f>IF(BB455="","",SUMIFS(Performance!$Z$5:$Z$404,Performance!$M$5:$M$404,BB455))</f>
        <v>0</v>
      </c>
      <c r="BF455" s="24">
        <f>IF(OR(BD455="",BD455=0),"",BE455/BD455)</f>
        <v>0</v>
      </c>
      <c r="BG455" s="32">
        <f>IF(BC455=0,"",IF(BF455="","",BF455+ROW()/1000000))</f>
        <v>0</v>
      </c>
      <c r="BH455" s="17">
        <f>IF(Performance!$C$455="","",Performance!$C$455)</f>
        <v>0</v>
      </c>
      <c r="BI455" s="17">
        <f>IF(Performance!$F$455="","",Performance!$F$455)</f>
        <v>0</v>
      </c>
      <c r="BJ455" s="17">
        <f>IF(Performance!$H$455="","",Performance!$H$455)</f>
        <v>0</v>
      </c>
      <c r="BK455" s="16">
        <f>IF(Performance!$D$455="","",Performance!$D$455)</f>
        <v>0</v>
      </c>
      <c r="BL455" s="17">
        <f>IF(Performance!$E$455="","",Performance!$E$455)</f>
        <v>0</v>
      </c>
      <c r="BM455" s="23">
        <f>IF(Performance!$O$455="","",Performance!$O$455)</f>
        <v>0</v>
      </c>
      <c r="BN455" s="24">
        <f>IF(Performance!$AA$455="","",Performance!$AA$455)</f>
        <v>0</v>
      </c>
      <c r="BO455" s="32">
        <f>IF(BH455="","",IF(BK455="","",IF(OR(BK455&lt;DashStart,BK455&gt;DashEnd),"",IF(BN455="","",BN455+ROW()/1000000))))</f>
        <v>0</v>
      </c>
      <c r="BP455" s="32">
        <f>IF(BM455="","",IF(BK455="","",IF(OR(BK455&lt;DashStart,BK455&gt;DashEnd),"",BM455+ROW()/1000000)))</f>
        <v>0</v>
      </c>
      <c r="BQ455" s="32">
        <f>IF(BH455="","",IF(BK455="","",IF(YEAR(BK455)&lt;&gt;PlanYear,"",IF(BN455="","",BN455+ROW()/1000000))))</f>
        <v>0</v>
      </c>
      <c r="BR455" s="32">
        <f>IF(BH455="","",IF(BK455="","",IF(OR(BK455&lt;RepFrom,BK455&gt;RepTo),"",IF(BN455="","",BN455+ROW()/1000000))))</f>
        <v>0</v>
      </c>
      <c r="BS455" s="32">
        <f>IF(BM455="","",IF(BK455="","",IF(YEAR(BK455)&lt;&gt;PlanYear,"",BM455+ROW()/1000000)))</f>
        <v>0</v>
      </c>
      <c r="BT455" s="17">
        <f>IF(Lists!$F455="","",Lists!$F455)</f>
        <v>0</v>
      </c>
      <c r="BU455" s="23">
        <f>IF(BT455="","",COUNTIF('Content Calendar'!$X$5:$X$604,BT455))</f>
        <v>0</v>
      </c>
      <c r="BV455" s="23">
        <f>IF(BT455="","",COUNTIFS('Content Calendar'!$X$5:$X$604,BT455,'Content Calendar'!$B$5:$B$604,"&gt;="&amp;DashStart,'Content Calendar'!$B$5:$B$604,"&lt;="&amp;DashEnd))</f>
        <v>0</v>
      </c>
      <c r="BW455" s="17">
        <f>IF(Team!$B$455="","",Team!$B$455)</f>
        <v>0</v>
      </c>
      <c r="BX455" s="23">
        <f>IF(BW455="","",COUNTIF('Content Calendar'!$W$5:$W$604,BW455))</f>
        <v>0</v>
      </c>
      <c r="BY455" s="23">
        <f>IF(BW455="","",COUNTIFS('Content Calendar'!$W$5:$W$604,BW455,'Content Calendar'!$X$5:$X$604,"&lt;&gt;Published"))</f>
        <v>0</v>
      </c>
      <c r="BZ455" s="23">
        <f>IF(BW455="","",COUNTIFS(Tasks!$C$5:$C$64,BW455,Tasks!$G$5:$G$64,"&lt;&gt;Complete"))</f>
        <v>0</v>
      </c>
      <c r="CA455" s="17">
        <f>IF(Campaigns!$B$455="","",Campaigns!$B$455)</f>
        <v>0</v>
      </c>
      <c r="CB455" s="25">
        <f>IF(Campaigns!$T$455="","",Campaigns!$T$455)</f>
        <v>0</v>
      </c>
      <c r="CC455" s="25">
        <f>IF(Campaigns!$Q$455="","",Campaigns!$Q$455)</f>
        <v>0</v>
      </c>
      <c r="CD455" s="23">
        <f>IF(Campaigns!$Y$455="","",Campaigns!$Y$455)</f>
        <v>0</v>
      </c>
      <c r="CE455" s="32">
        <f>IF(CA455="","",IF(N(CB455)&lt;=0,"",N(CB455)+ROW()/1000000))</f>
        <v>0</v>
      </c>
      <c r="CF455" s="17">
        <f>IF(Accounts!$C$455="","",Accounts!$C$455)</f>
        <v>0</v>
      </c>
      <c r="CG455" s="17">
        <f>IF(Accounts!$B$455="","",Accounts!$B$455)</f>
        <v>0</v>
      </c>
      <c r="CH455" s="23">
        <f>IF(Accounts!$J$455="","",Accounts!$J$455)</f>
        <v>0</v>
      </c>
      <c r="CI455" s="23">
        <f>IF(CF455="","",SUMIFS(Analytics!$X$5:$X$154,Analytics!$E$5:$E$154,CF455,Analytics!$B$5:$B$154,"&gt;="&amp;DashStart,Analytics!$B$5:$B$154,"&lt;="&amp;DashEnd))</f>
        <v>0</v>
      </c>
      <c r="CJ455" s="32">
        <f>IF(CH455="","",IF(CH455=0,"",CH455+ROW()/1000000))</f>
        <v>0</v>
      </c>
    </row>
    <row r="456" spans="1:88">
      <c r="A456" s="16">
        <f>IF(ROW()-4&gt;12,"",DATE(PlanYear,ROW()-4,1))</f>
        <v>0</v>
      </c>
      <c r="B456" s="16">
        <f>IF(A456="","",EOMONTH(A456,0))</f>
        <v>0</v>
      </c>
      <c r="C456" s="17">
        <f>IF(A456="","",TEXT(A456,"yyyy-mm"))</f>
        <v>0</v>
      </c>
      <c r="D456" s="17">
        <f>IF(A456="","",TEXT(A456,"mmm"))</f>
        <v>0</v>
      </c>
      <c r="E456" s="23">
        <f>IF(C456="","",COUNTIFS('Content Calendar'!$D$5:$D$604,C456))</f>
        <v>0</v>
      </c>
      <c r="F456" s="23">
        <f>IF(C456="","",COUNTIFS('Content Calendar'!$D$5:$D$604,C456,'Content Calendar'!$X$5:$X$604,"Published"))</f>
        <v>0</v>
      </c>
      <c r="G456" s="23">
        <f>IF(C456="","",SUMIFS(Analytics!$J$5:$J$154,Analytics!$C$5:$C$154,C456))</f>
        <v>0</v>
      </c>
      <c r="H456" s="23">
        <f>IF(C456="","",SUMIFS(Analytics!$K$5:$K$154,Analytics!$C$5:$C$154,C456))</f>
        <v>0</v>
      </c>
      <c r="I456" s="23">
        <f>IF(C456="","",SUMIFS(Analytics!$L$5:$L$154,Analytics!$C$5:$C$154,C456))</f>
        <v>0</v>
      </c>
      <c r="J456" s="24">
        <f>IF(OR(G456="",G456=0),"",I456/G456)</f>
        <v>0</v>
      </c>
      <c r="K456" s="23">
        <f>IF(C456="","",SUMIFS(Analytics!$G$5:$G$154,Analytics!$C$5:$C$154,C456))</f>
        <v>0</v>
      </c>
      <c r="L456" s="23">
        <f>IF(C456="","",SUMIFS(Analytics!$X$5:$X$154,Analytics!$C$5:$C$154,C456))</f>
        <v>0</v>
      </c>
      <c r="M456" s="23">
        <f>IF(C456="","",SUMIFS(Analytics!$R$5:$R$154,Analytics!$C$5:$C$154,C456))</f>
        <v>0</v>
      </c>
      <c r="N456" s="23">
        <f>IF(C456="","",SUMIFS(Analytics!$S$5:$S$154,Analytics!$C$5:$C$154,C456))</f>
        <v>0</v>
      </c>
      <c r="O456" s="23">
        <f>IF(C456="","",SUMIFS(Analytics!$T$5:$T$154,Analytics!$C$5:$C$154,C456))</f>
        <v>0</v>
      </c>
      <c r="P456" s="25">
        <f>IF(C456="","",SUMIFS(Analytics!$U$5:$U$154,Analytics!$C$5:$C$154,C456))</f>
        <v>0</v>
      </c>
      <c r="Q456" s="25">
        <f>IF(C456="","",SUMIFS(Budget!$H$5:$H$64,Budget!$C$5:$C$64,C456))</f>
        <v>0</v>
      </c>
      <c r="R456" s="25">
        <f>IF(C456="","",P456-Q456)</f>
        <v>0</v>
      </c>
      <c r="S456" s="23">
        <f>IF(C456="","",MonthlyPostTarget)</f>
        <v>0</v>
      </c>
      <c r="T456" s="17">
        <f>IF(Lists!$C456="","",Lists!$C456)</f>
        <v>0</v>
      </c>
      <c r="U456" s="23">
        <f>IF(T456="","",COUNTIFS('Content Calendar'!$G$5:$G$604,T456,'Content Calendar'!$B$5:$B$604,"&gt;="&amp;DashStart,'Content Calendar'!$B$5:$B$604,"&lt;="&amp;DashEnd))</f>
        <v>0</v>
      </c>
      <c r="V456" s="23">
        <f>IF(T456="","",COUNTIFS('Content Calendar'!$G$5:$G$604,T456,'Content Calendar'!$X$5:$X$604,"Published",'Content Calendar'!$B$5:$B$604,"&gt;="&amp;DashStart,'Content Calendar'!$B$5:$B$604,"&lt;="&amp;DashEnd))</f>
        <v>0</v>
      </c>
      <c r="W456" s="23">
        <f>IF(T456="","",SUMIFS(Analytics!$J$5:$J$154,Analytics!$D$5:$D$154,T456,Analytics!$B$5:$B$154,"&gt;="&amp;DashStart,Analytics!$B$5:$B$154,"&lt;="&amp;DashEnd))</f>
        <v>0</v>
      </c>
      <c r="X456" s="23">
        <f>IF(T456="","",SUMIFS(Analytics!$L$5:$L$154,Analytics!$D$5:$D$154,T456,Analytics!$B$5:$B$154,"&gt;="&amp;DashStart,Analytics!$B$5:$B$154,"&lt;="&amp;DashEnd))</f>
        <v>0</v>
      </c>
      <c r="Y456" s="24">
        <f>IF(OR(W456="",W456=0),"",X456/W456)</f>
        <v>0</v>
      </c>
      <c r="Z456" s="23">
        <f>IF(T456="","",SUMIFS(Analytics!$G$5:$G$154,Analytics!$D$5:$D$154,T456,Analytics!$B$5:$B$154,"&gt;="&amp;DashStart,Analytics!$B$5:$B$154,"&lt;="&amp;DashEnd))</f>
        <v>0</v>
      </c>
      <c r="AA456" s="23">
        <f>IF(T456="","",SUMIFS(Analytics!$X$5:$X$154,Analytics!$D$5:$D$154,T456,Analytics!$B$5:$B$154,"&gt;="&amp;DashStart,Analytics!$B$5:$B$154,"&lt;="&amp;DashEnd))</f>
        <v>0</v>
      </c>
      <c r="AB456" s="23">
        <f>IF(T456="","",SUMIFS(Analytics!$R$5:$R$154,Analytics!$D$5:$D$154,T456,Analytics!$B$5:$B$154,"&gt;="&amp;DashStart,Analytics!$B$5:$B$154,"&lt;="&amp;DashEnd))</f>
        <v>0</v>
      </c>
      <c r="AC456" s="25">
        <f>IF(T456="","",SUMIFS(Analytics!$U$5:$U$154,Analytics!$D$5:$D$154,T456,Analytics!$B$5:$B$154,"&gt;="&amp;DashStart,Analytics!$B$5:$B$154,"&lt;="&amp;DashEnd))</f>
        <v>0</v>
      </c>
      <c r="AD456" s="23">
        <f>IF(T456="","",COUNTIFS('Content Calendar'!$G$5:$G$604,T456,'Content Calendar'!$B$5:$B$604,"&gt;="&amp;DATE(PlanYear,1,1),'Content Calendar'!$B$5:$B$604,"&lt;="&amp;DATE(PlanYear,12,31)))</f>
        <v>0</v>
      </c>
      <c r="AE456" s="23">
        <f>IF(T456="","",SUMIFS(Analytics!$J$5:$J$154,Analytics!$D$5:$D$154,T456))</f>
        <v>0</v>
      </c>
      <c r="AF456" s="23">
        <f>IF(T456="","",SUMIFS(Analytics!$L$5:$L$154,Analytics!$D$5:$D$154,T456))</f>
        <v>0</v>
      </c>
      <c r="AG456" s="24">
        <f>IF(OR(AE456="",AE456=0),"",AF456/AE456)</f>
        <v>0</v>
      </c>
      <c r="AH456" s="23">
        <f>IF(T456="","",SUMIFS(Analytics!$X$5:$X$154,Analytics!$D$5:$D$154,T456))</f>
        <v>0</v>
      </c>
      <c r="AI456" s="32">
        <f>IF(T456="","",IF(AE456=0,"",AE456+ROW()/1000000))</f>
        <v>0</v>
      </c>
      <c r="AJ456" s="17">
        <f>IF('Content Pillars'!$B$456="","",'Content Pillars'!$B$456)</f>
        <v>0</v>
      </c>
      <c r="AK456" s="23">
        <f>IF(AJ456="","",COUNTIFS('Content Calendar'!$J$5:$J$604,AJ456,'Content Calendar'!$B$5:$B$604,"&gt;="&amp;DATE(PlanYear,1,1),'Content Calendar'!$B$5:$B$604,"&lt;="&amp;DATE(PlanYear,12,31)))</f>
        <v>0</v>
      </c>
      <c r="AL456" s="23">
        <f>IF(AJ456="","",SUMIFS(Performance!$O$5:$O$404,Performance!$H$5:$H$404,AJ456))</f>
        <v>0</v>
      </c>
      <c r="AM456" s="23">
        <f>IF(AJ456="","",SUMIFS(Performance!$Z$5:$Z$404,Performance!$H$5:$H$404,AJ456))</f>
        <v>0</v>
      </c>
      <c r="AN456" s="24">
        <f>IF(OR(AL456="",AL456=0),"",AM456/AL456)</f>
        <v>0</v>
      </c>
      <c r="AO456" s="32">
        <f>IF(AN456="","",AN456+ROW()/1000000)</f>
        <v>0</v>
      </c>
      <c r="AP456" s="17">
        <f>IF(Lists!$E456="","",Lists!$E456)</f>
        <v>0</v>
      </c>
      <c r="AQ456" s="23">
        <f>IF(AP456="","",COUNTIF(Performance!$G$5:$G$404,AP456))</f>
        <v>0</v>
      </c>
      <c r="AR456" s="23">
        <f>IF(AP456="","",SUMIFS(Performance!$O$5:$O$404,Performance!$G$5:$G$404,AP456))</f>
        <v>0</v>
      </c>
      <c r="AS456" s="23">
        <f>IF(AP456="","",SUMIFS(Performance!$Z$5:$Z$404,Performance!$G$5:$G$404,AP456))</f>
        <v>0</v>
      </c>
      <c r="AT456" s="24">
        <f>IF(OR(AR456="",AR456=0),"",AS456/AR456)</f>
        <v>0</v>
      </c>
      <c r="AU456" s="32">
        <f>IF(AQ456=0,"",IF(AT456="","",AT456+ROW()/1000000))</f>
        <v>0</v>
      </c>
      <c r="AV456" s="17">
        <f>IF(ROW()-4&gt;7,"",TEXT(DATE(2024,1,ROW()-4),"ddd"))</f>
        <v>0</v>
      </c>
      <c r="AW456" s="23">
        <f>IF(AV456="","",COUNTIF(Performance!$N$5:$N$404,AV456))</f>
        <v>0</v>
      </c>
      <c r="AX456" s="23">
        <f>IF(AV456="","",SUMIFS(Performance!$O$5:$O$404,Performance!$N$5:$N$404,AV456))</f>
        <v>0</v>
      </c>
      <c r="AY456" s="23">
        <f>IF(AV456="","",SUMIFS(Performance!$Z$5:$Z$404,Performance!$N$5:$N$404,AV456))</f>
        <v>0</v>
      </c>
      <c r="AZ456" s="24">
        <f>IF(OR(AX456="",AX456=0),"",AY456/AX456)</f>
        <v>0</v>
      </c>
      <c r="BA456" s="32">
        <f>IF(AW456=0,"",IF(AZ456="","",AZ456+ROW()/1000000))</f>
        <v>0</v>
      </c>
      <c r="BB456" s="17">
        <f>IF(Lists!$AL456="","",Lists!$AL456)</f>
        <v>0</v>
      </c>
      <c r="BC456" s="23">
        <f>IF(BB456="","",COUNTIF(Performance!$M$5:$M$404,BB456))</f>
        <v>0</v>
      </c>
      <c r="BD456" s="23">
        <f>IF(BB456="","",SUMIFS(Performance!$O$5:$O$404,Performance!$M$5:$M$404,BB456))</f>
        <v>0</v>
      </c>
      <c r="BE456" s="23">
        <f>IF(BB456="","",SUMIFS(Performance!$Z$5:$Z$404,Performance!$M$5:$M$404,BB456))</f>
        <v>0</v>
      </c>
      <c r="BF456" s="24">
        <f>IF(OR(BD456="",BD456=0),"",BE456/BD456)</f>
        <v>0</v>
      </c>
      <c r="BG456" s="32">
        <f>IF(BC456=0,"",IF(BF456="","",BF456+ROW()/1000000))</f>
        <v>0</v>
      </c>
      <c r="BH456" s="17">
        <f>IF(Performance!$C$456="","",Performance!$C$456)</f>
        <v>0</v>
      </c>
      <c r="BI456" s="17">
        <f>IF(Performance!$F$456="","",Performance!$F$456)</f>
        <v>0</v>
      </c>
      <c r="BJ456" s="17">
        <f>IF(Performance!$H$456="","",Performance!$H$456)</f>
        <v>0</v>
      </c>
      <c r="BK456" s="16">
        <f>IF(Performance!$D$456="","",Performance!$D$456)</f>
        <v>0</v>
      </c>
      <c r="BL456" s="17">
        <f>IF(Performance!$E$456="","",Performance!$E$456)</f>
        <v>0</v>
      </c>
      <c r="BM456" s="23">
        <f>IF(Performance!$O$456="","",Performance!$O$456)</f>
        <v>0</v>
      </c>
      <c r="BN456" s="24">
        <f>IF(Performance!$AA$456="","",Performance!$AA$456)</f>
        <v>0</v>
      </c>
      <c r="BO456" s="32">
        <f>IF(BH456="","",IF(BK456="","",IF(OR(BK456&lt;DashStart,BK456&gt;DashEnd),"",IF(BN456="","",BN456+ROW()/1000000))))</f>
        <v>0</v>
      </c>
      <c r="BP456" s="32">
        <f>IF(BM456="","",IF(BK456="","",IF(OR(BK456&lt;DashStart,BK456&gt;DashEnd),"",BM456+ROW()/1000000)))</f>
        <v>0</v>
      </c>
      <c r="BQ456" s="32">
        <f>IF(BH456="","",IF(BK456="","",IF(YEAR(BK456)&lt;&gt;PlanYear,"",IF(BN456="","",BN456+ROW()/1000000))))</f>
        <v>0</v>
      </c>
      <c r="BR456" s="32">
        <f>IF(BH456="","",IF(BK456="","",IF(OR(BK456&lt;RepFrom,BK456&gt;RepTo),"",IF(BN456="","",BN456+ROW()/1000000))))</f>
        <v>0</v>
      </c>
      <c r="BS456" s="32">
        <f>IF(BM456="","",IF(BK456="","",IF(YEAR(BK456)&lt;&gt;PlanYear,"",BM456+ROW()/1000000)))</f>
        <v>0</v>
      </c>
      <c r="BT456" s="17">
        <f>IF(Lists!$F456="","",Lists!$F456)</f>
        <v>0</v>
      </c>
      <c r="BU456" s="23">
        <f>IF(BT456="","",COUNTIF('Content Calendar'!$X$5:$X$604,BT456))</f>
        <v>0</v>
      </c>
      <c r="BV456" s="23">
        <f>IF(BT456="","",COUNTIFS('Content Calendar'!$X$5:$X$604,BT456,'Content Calendar'!$B$5:$B$604,"&gt;="&amp;DashStart,'Content Calendar'!$B$5:$B$604,"&lt;="&amp;DashEnd))</f>
        <v>0</v>
      </c>
      <c r="BW456" s="17">
        <f>IF(Team!$B$456="","",Team!$B$456)</f>
        <v>0</v>
      </c>
      <c r="BX456" s="23">
        <f>IF(BW456="","",COUNTIF('Content Calendar'!$W$5:$W$604,BW456))</f>
        <v>0</v>
      </c>
      <c r="BY456" s="23">
        <f>IF(BW456="","",COUNTIFS('Content Calendar'!$W$5:$W$604,BW456,'Content Calendar'!$X$5:$X$604,"&lt;&gt;Published"))</f>
        <v>0</v>
      </c>
      <c r="BZ456" s="23">
        <f>IF(BW456="","",COUNTIFS(Tasks!$C$5:$C$64,BW456,Tasks!$G$5:$G$64,"&lt;&gt;Complete"))</f>
        <v>0</v>
      </c>
      <c r="CA456" s="17">
        <f>IF(Campaigns!$B$456="","",Campaigns!$B$456)</f>
        <v>0</v>
      </c>
      <c r="CB456" s="25">
        <f>IF(Campaigns!$T$456="","",Campaigns!$T$456)</f>
        <v>0</v>
      </c>
      <c r="CC456" s="25">
        <f>IF(Campaigns!$Q$456="","",Campaigns!$Q$456)</f>
        <v>0</v>
      </c>
      <c r="CD456" s="23">
        <f>IF(Campaigns!$Y$456="","",Campaigns!$Y$456)</f>
        <v>0</v>
      </c>
      <c r="CE456" s="32">
        <f>IF(CA456="","",IF(N(CB456)&lt;=0,"",N(CB456)+ROW()/1000000))</f>
        <v>0</v>
      </c>
      <c r="CF456" s="17">
        <f>IF(Accounts!$C$456="","",Accounts!$C$456)</f>
        <v>0</v>
      </c>
      <c r="CG456" s="17">
        <f>IF(Accounts!$B$456="","",Accounts!$B$456)</f>
        <v>0</v>
      </c>
      <c r="CH456" s="23">
        <f>IF(Accounts!$J$456="","",Accounts!$J$456)</f>
        <v>0</v>
      </c>
      <c r="CI456" s="23">
        <f>IF(CF456="","",SUMIFS(Analytics!$X$5:$X$154,Analytics!$E$5:$E$154,CF456,Analytics!$B$5:$B$154,"&gt;="&amp;DashStart,Analytics!$B$5:$B$154,"&lt;="&amp;DashEnd))</f>
        <v>0</v>
      </c>
      <c r="CJ456" s="32">
        <f>IF(CH456="","",IF(CH456=0,"",CH456+ROW()/1000000))</f>
        <v>0</v>
      </c>
    </row>
    <row r="457" spans="1:88">
      <c r="A457" s="16">
        <f>IF(ROW()-4&gt;12,"",DATE(PlanYear,ROW()-4,1))</f>
        <v>0</v>
      </c>
      <c r="B457" s="16">
        <f>IF(A457="","",EOMONTH(A457,0))</f>
        <v>0</v>
      </c>
      <c r="C457" s="17">
        <f>IF(A457="","",TEXT(A457,"yyyy-mm"))</f>
        <v>0</v>
      </c>
      <c r="D457" s="17">
        <f>IF(A457="","",TEXT(A457,"mmm"))</f>
        <v>0</v>
      </c>
      <c r="E457" s="23">
        <f>IF(C457="","",COUNTIFS('Content Calendar'!$D$5:$D$604,C457))</f>
        <v>0</v>
      </c>
      <c r="F457" s="23">
        <f>IF(C457="","",COUNTIFS('Content Calendar'!$D$5:$D$604,C457,'Content Calendar'!$X$5:$X$604,"Published"))</f>
        <v>0</v>
      </c>
      <c r="G457" s="23">
        <f>IF(C457="","",SUMIFS(Analytics!$J$5:$J$154,Analytics!$C$5:$C$154,C457))</f>
        <v>0</v>
      </c>
      <c r="H457" s="23">
        <f>IF(C457="","",SUMIFS(Analytics!$K$5:$K$154,Analytics!$C$5:$C$154,C457))</f>
        <v>0</v>
      </c>
      <c r="I457" s="23">
        <f>IF(C457="","",SUMIFS(Analytics!$L$5:$L$154,Analytics!$C$5:$C$154,C457))</f>
        <v>0</v>
      </c>
      <c r="J457" s="24">
        <f>IF(OR(G457="",G457=0),"",I457/G457)</f>
        <v>0</v>
      </c>
      <c r="K457" s="23">
        <f>IF(C457="","",SUMIFS(Analytics!$G$5:$G$154,Analytics!$C$5:$C$154,C457))</f>
        <v>0</v>
      </c>
      <c r="L457" s="23">
        <f>IF(C457="","",SUMIFS(Analytics!$X$5:$X$154,Analytics!$C$5:$C$154,C457))</f>
        <v>0</v>
      </c>
      <c r="M457" s="23">
        <f>IF(C457="","",SUMIFS(Analytics!$R$5:$R$154,Analytics!$C$5:$C$154,C457))</f>
        <v>0</v>
      </c>
      <c r="N457" s="23">
        <f>IF(C457="","",SUMIFS(Analytics!$S$5:$S$154,Analytics!$C$5:$C$154,C457))</f>
        <v>0</v>
      </c>
      <c r="O457" s="23">
        <f>IF(C457="","",SUMIFS(Analytics!$T$5:$T$154,Analytics!$C$5:$C$154,C457))</f>
        <v>0</v>
      </c>
      <c r="P457" s="25">
        <f>IF(C457="","",SUMIFS(Analytics!$U$5:$U$154,Analytics!$C$5:$C$154,C457))</f>
        <v>0</v>
      </c>
      <c r="Q457" s="25">
        <f>IF(C457="","",SUMIFS(Budget!$H$5:$H$64,Budget!$C$5:$C$64,C457))</f>
        <v>0</v>
      </c>
      <c r="R457" s="25">
        <f>IF(C457="","",P457-Q457)</f>
        <v>0</v>
      </c>
      <c r="S457" s="23">
        <f>IF(C457="","",MonthlyPostTarget)</f>
        <v>0</v>
      </c>
      <c r="T457" s="17">
        <f>IF(Lists!$C457="","",Lists!$C457)</f>
        <v>0</v>
      </c>
      <c r="U457" s="23">
        <f>IF(T457="","",COUNTIFS('Content Calendar'!$G$5:$G$604,T457,'Content Calendar'!$B$5:$B$604,"&gt;="&amp;DashStart,'Content Calendar'!$B$5:$B$604,"&lt;="&amp;DashEnd))</f>
        <v>0</v>
      </c>
      <c r="V457" s="23">
        <f>IF(T457="","",COUNTIFS('Content Calendar'!$G$5:$G$604,T457,'Content Calendar'!$X$5:$X$604,"Published",'Content Calendar'!$B$5:$B$604,"&gt;="&amp;DashStart,'Content Calendar'!$B$5:$B$604,"&lt;="&amp;DashEnd))</f>
        <v>0</v>
      </c>
      <c r="W457" s="23">
        <f>IF(T457="","",SUMIFS(Analytics!$J$5:$J$154,Analytics!$D$5:$D$154,T457,Analytics!$B$5:$B$154,"&gt;="&amp;DashStart,Analytics!$B$5:$B$154,"&lt;="&amp;DashEnd))</f>
        <v>0</v>
      </c>
      <c r="X457" s="23">
        <f>IF(T457="","",SUMIFS(Analytics!$L$5:$L$154,Analytics!$D$5:$D$154,T457,Analytics!$B$5:$B$154,"&gt;="&amp;DashStart,Analytics!$B$5:$B$154,"&lt;="&amp;DashEnd))</f>
        <v>0</v>
      </c>
      <c r="Y457" s="24">
        <f>IF(OR(W457="",W457=0),"",X457/W457)</f>
        <v>0</v>
      </c>
      <c r="Z457" s="23">
        <f>IF(T457="","",SUMIFS(Analytics!$G$5:$G$154,Analytics!$D$5:$D$154,T457,Analytics!$B$5:$B$154,"&gt;="&amp;DashStart,Analytics!$B$5:$B$154,"&lt;="&amp;DashEnd))</f>
        <v>0</v>
      </c>
      <c r="AA457" s="23">
        <f>IF(T457="","",SUMIFS(Analytics!$X$5:$X$154,Analytics!$D$5:$D$154,T457,Analytics!$B$5:$B$154,"&gt;="&amp;DashStart,Analytics!$B$5:$B$154,"&lt;="&amp;DashEnd))</f>
        <v>0</v>
      </c>
      <c r="AB457" s="23">
        <f>IF(T457="","",SUMIFS(Analytics!$R$5:$R$154,Analytics!$D$5:$D$154,T457,Analytics!$B$5:$B$154,"&gt;="&amp;DashStart,Analytics!$B$5:$B$154,"&lt;="&amp;DashEnd))</f>
        <v>0</v>
      </c>
      <c r="AC457" s="25">
        <f>IF(T457="","",SUMIFS(Analytics!$U$5:$U$154,Analytics!$D$5:$D$154,T457,Analytics!$B$5:$B$154,"&gt;="&amp;DashStart,Analytics!$B$5:$B$154,"&lt;="&amp;DashEnd))</f>
        <v>0</v>
      </c>
      <c r="AD457" s="23">
        <f>IF(T457="","",COUNTIFS('Content Calendar'!$G$5:$G$604,T457,'Content Calendar'!$B$5:$B$604,"&gt;="&amp;DATE(PlanYear,1,1),'Content Calendar'!$B$5:$B$604,"&lt;="&amp;DATE(PlanYear,12,31)))</f>
        <v>0</v>
      </c>
      <c r="AE457" s="23">
        <f>IF(T457="","",SUMIFS(Analytics!$J$5:$J$154,Analytics!$D$5:$D$154,T457))</f>
        <v>0</v>
      </c>
      <c r="AF457" s="23">
        <f>IF(T457="","",SUMIFS(Analytics!$L$5:$L$154,Analytics!$D$5:$D$154,T457))</f>
        <v>0</v>
      </c>
      <c r="AG457" s="24">
        <f>IF(OR(AE457="",AE457=0),"",AF457/AE457)</f>
        <v>0</v>
      </c>
      <c r="AH457" s="23">
        <f>IF(T457="","",SUMIFS(Analytics!$X$5:$X$154,Analytics!$D$5:$D$154,T457))</f>
        <v>0</v>
      </c>
      <c r="AI457" s="32">
        <f>IF(T457="","",IF(AE457=0,"",AE457+ROW()/1000000))</f>
        <v>0</v>
      </c>
      <c r="AJ457" s="17">
        <f>IF('Content Pillars'!$B$457="","",'Content Pillars'!$B$457)</f>
        <v>0</v>
      </c>
      <c r="AK457" s="23">
        <f>IF(AJ457="","",COUNTIFS('Content Calendar'!$J$5:$J$604,AJ457,'Content Calendar'!$B$5:$B$604,"&gt;="&amp;DATE(PlanYear,1,1),'Content Calendar'!$B$5:$B$604,"&lt;="&amp;DATE(PlanYear,12,31)))</f>
        <v>0</v>
      </c>
      <c r="AL457" s="23">
        <f>IF(AJ457="","",SUMIFS(Performance!$O$5:$O$404,Performance!$H$5:$H$404,AJ457))</f>
        <v>0</v>
      </c>
      <c r="AM457" s="23">
        <f>IF(AJ457="","",SUMIFS(Performance!$Z$5:$Z$404,Performance!$H$5:$H$404,AJ457))</f>
        <v>0</v>
      </c>
      <c r="AN457" s="24">
        <f>IF(OR(AL457="",AL457=0),"",AM457/AL457)</f>
        <v>0</v>
      </c>
      <c r="AO457" s="32">
        <f>IF(AN457="","",AN457+ROW()/1000000)</f>
        <v>0</v>
      </c>
      <c r="AP457" s="17">
        <f>IF(Lists!$E457="","",Lists!$E457)</f>
        <v>0</v>
      </c>
      <c r="AQ457" s="23">
        <f>IF(AP457="","",COUNTIF(Performance!$G$5:$G$404,AP457))</f>
        <v>0</v>
      </c>
      <c r="AR457" s="23">
        <f>IF(AP457="","",SUMIFS(Performance!$O$5:$O$404,Performance!$G$5:$G$404,AP457))</f>
        <v>0</v>
      </c>
      <c r="AS457" s="23">
        <f>IF(AP457="","",SUMIFS(Performance!$Z$5:$Z$404,Performance!$G$5:$G$404,AP457))</f>
        <v>0</v>
      </c>
      <c r="AT457" s="24">
        <f>IF(OR(AR457="",AR457=0),"",AS457/AR457)</f>
        <v>0</v>
      </c>
      <c r="AU457" s="32">
        <f>IF(AQ457=0,"",IF(AT457="","",AT457+ROW()/1000000))</f>
        <v>0</v>
      </c>
      <c r="AV457" s="17">
        <f>IF(ROW()-4&gt;7,"",TEXT(DATE(2024,1,ROW()-4),"ddd"))</f>
        <v>0</v>
      </c>
      <c r="AW457" s="23">
        <f>IF(AV457="","",COUNTIF(Performance!$N$5:$N$404,AV457))</f>
        <v>0</v>
      </c>
      <c r="AX457" s="23">
        <f>IF(AV457="","",SUMIFS(Performance!$O$5:$O$404,Performance!$N$5:$N$404,AV457))</f>
        <v>0</v>
      </c>
      <c r="AY457" s="23">
        <f>IF(AV457="","",SUMIFS(Performance!$Z$5:$Z$404,Performance!$N$5:$N$404,AV457))</f>
        <v>0</v>
      </c>
      <c r="AZ457" s="24">
        <f>IF(OR(AX457="",AX457=0),"",AY457/AX457)</f>
        <v>0</v>
      </c>
      <c r="BA457" s="32">
        <f>IF(AW457=0,"",IF(AZ457="","",AZ457+ROW()/1000000))</f>
        <v>0</v>
      </c>
      <c r="BB457" s="17">
        <f>IF(Lists!$AL457="","",Lists!$AL457)</f>
        <v>0</v>
      </c>
      <c r="BC457" s="23">
        <f>IF(BB457="","",COUNTIF(Performance!$M$5:$M$404,BB457))</f>
        <v>0</v>
      </c>
      <c r="BD457" s="23">
        <f>IF(BB457="","",SUMIFS(Performance!$O$5:$O$404,Performance!$M$5:$M$404,BB457))</f>
        <v>0</v>
      </c>
      <c r="BE457" s="23">
        <f>IF(BB457="","",SUMIFS(Performance!$Z$5:$Z$404,Performance!$M$5:$M$404,BB457))</f>
        <v>0</v>
      </c>
      <c r="BF457" s="24">
        <f>IF(OR(BD457="",BD457=0),"",BE457/BD457)</f>
        <v>0</v>
      </c>
      <c r="BG457" s="32">
        <f>IF(BC457=0,"",IF(BF457="","",BF457+ROW()/1000000))</f>
        <v>0</v>
      </c>
      <c r="BH457" s="17">
        <f>IF(Performance!$C$457="","",Performance!$C$457)</f>
        <v>0</v>
      </c>
      <c r="BI457" s="17">
        <f>IF(Performance!$F$457="","",Performance!$F$457)</f>
        <v>0</v>
      </c>
      <c r="BJ457" s="17">
        <f>IF(Performance!$H$457="","",Performance!$H$457)</f>
        <v>0</v>
      </c>
      <c r="BK457" s="16">
        <f>IF(Performance!$D$457="","",Performance!$D$457)</f>
        <v>0</v>
      </c>
      <c r="BL457" s="17">
        <f>IF(Performance!$E$457="","",Performance!$E$457)</f>
        <v>0</v>
      </c>
      <c r="BM457" s="23">
        <f>IF(Performance!$O$457="","",Performance!$O$457)</f>
        <v>0</v>
      </c>
      <c r="BN457" s="24">
        <f>IF(Performance!$AA$457="","",Performance!$AA$457)</f>
        <v>0</v>
      </c>
      <c r="BO457" s="32">
        <f>IF(BH457="","",IF(BK457="","",IF(OR(BK457&lt;DashStart,BK457&gt;DashEnd),"",IF(BN457="","",BN457+ROW()/1000000))))</f>
        <v>0</v>
      </c>
      <c r="BP457" s="32">
        <f>IF(BM457="","",IF(BK457="","",IF(OR(BK457&lt;DashStart,BK457&gt;DashEnd),"",BM457+ROW()/1000000)))</f>
        <v>0</v>
      </c>
      <c r="BQ457" s="32">
        <f>IF(BH457="","",IF(BK457="","",IF(YEAR(BK457)&lt;&gt;PlanYear,"",IF(BN457="","",BN457+ROW()/1000000))))</f>
        <v>0</v>
      </c>
      <c r="BR457" s="32">
        <f>IF(BH457="","",IF(BK457="","",IF(OR(BK457&lt;RepFrom,BK457&gt;RepTo),"",IF(BN457="","",BN457+ROW()/1000000))))</f>
        <v>0</v>
      </c>
      <c r="BS457" s="32">
        <f>IF(BM457="","",IF(BK457="","",IF(YEAR(BK457)&lt;&gt;PlanYear,"",BM457+ROW()/1000000)))</f>
        <v>0</v>
      </c>
      <c r="BT457" s="17">
        <f>IF(Lists!$F457="","",Lists!$F457)</f>
        <v>0</v>
      </c>
      <c r="BU457" s="23">
        <f>IF(BT457="","",COUNTIF('Content Calendar'!$X$5:$X$604,BT457))</f>
        <v>0</v>
      </c>
      <c r="BV457" s="23">
        <f>IF(BT457="","",COUNTIFS('Content Calendar'!$X$5:$X$604,BT457,'Content Calendar'!$B$5:$B$604,"&gt;="&amp;DashStart,'Content Calendar'!$B$5:$B$604,"&lt;="&amp;DashEnd))</f>
        <v>0</v>
      </c>
      <c r="BW457" s="17">
        <f>IF(Team!$B$457="","",Team!$B$457)</f>
        <v>0</v>
      </c>
      <c r="BX457" s="23">
        <f>IF(BW457="","",COUNTIF('Content Calendar'!$W$5:$W$604,BW457))</f>
        <v>0</v>
      </c>
      <c r="BY457" s="23">
        <f>IF(BW457="","",COUNTIFS('Content Calendar'!$W$5:$W$604,BW457,'Content Calendar'!$X$5:$X$604,"&lt;&gt;Published"))</f>
        <v>0</v>
      </c>
      <c r="BZ457" s="23">
        <f>IF(BW457="","",COUNTIFS(Tasks!$C$5:$C$64,BW457,Tasks!$G$5:$G$64,"&lt;&gt;Complete"))</f>
        <v>0</v>
      </c>
      <c r="CA457" s="17">
        <f>IF(Campaigns!$B$457="","",Campaigns!$B$457)</f>
        <v>0</v>
      </c>
      <c r="CB457" s="25">
        <f>IF(Campaigns!$T$457="","",Campaigns!$T$457)</f>
        <v>0</v>
      </c>
      <c r="CC457" s="25">
        <f>IF(Campaigns!$Q$457="","",Campaigns!$Q$457)</f>
        <v>0</v>
      </c>
      <c r="CD457" s="23">
        <f>IF(Campaigns!$Y$457="","",Campaigns!$Y$457)</f>
        <v>0</v>
      </c>
      <c r="CE457" s="32">
        <f>IF(CA457="","",IF(N(CB457)&lt;=0,"",N(CB457)+ROW()/1000000))</f>
        <v>0</v>
      </c>
      <c r="CF457" s="17">
        <f>IF(Accounts!$C$457="","",Accounts!$C$457)</f>
        <v>0</v>
      </c>
      <c r="CG457" s="17">
        <f>IF(Accounts!$B$457="","",Accounts!$B$457)</f>
        <v>0</v>
      </c>
      <c r="CH457" s="23">
        <f>IF(Accounts!$J$457="","",Accounts!$J$457)</f>
        <v>0</v>
      </c>
      <c r="CI457" s="23">
        <f>IF(CF457="","",SUMIFS(Analytics!$X$5:$X$154,Analytics!$E$5:$E$154,CF457,Analytics!$B$5:$B$154,"&gt;="&amp;DashStart,Analytics!$B$5:$B$154,"&lt;="&amp;DashEnd))</f>
        <v>0</v>
      </c>
      <c r="CJ457" s="32">
        <f>IF(CH457="","",IF(CH457=0,"",CH457+ROW()/1000000))</f>
        <v>0</v>
      </c>
    </row>
    <row r="458" spans="1:88">
      <c r="A458" s="16">
        <f>IF(ROW()-4&gt;12,"",DATE(PlanYear,ROW()-4,1))</f>
        <v>0</v>
      </c>
      <c r="B458" s="16">
        <f>IF(A458="","",EOMONTH(A458,0))</f>
        <v>0</v>
      </c>
      <c r="C458" s="17">
        <f>IF(A458="","",TEXT(A458,"yyyy-mm"))</f>
        <v>0</v>
      </c>
      <c r="D458" s="17">
        <f>IF(A458="","",TEXT(A458,"mmm"))</f>
        <v>0</v>
      </c>
      <c r="E458" s="23">
        <f>IF(C458="","",COUNTIFS('Content Calendar'!$D$5:$D$604,C458))</f>
        <v>0</v>
      </c>
      <c r="F458" s="23">
        <f>IF(C458="","",COUNTIFS('Content Calendar'!$D$5:$D$604,C458,'Content Calendar'!$X$5:$X$604,"Published"))</f>
        <v>0</v>
      </c>
      <c r="G458" s="23">
        <f>IF(C458="","",SUMIFS(Analytics!$J$5:$J$154,Analytics!$C$5:$C$154,C458))</f>
        <v>0</v>
      </c>
      <c r="H458" s="23">
        <f>IF(C458="","",SUMIFS(Analytics!$K$5:$K$154,Analytics!$C$5:$C$154,C458))</f>
        <v>0</v>
      </c>
      <c r="I458" s="23">
        <f>IF(C458="","",SUMIFS(Analytics!$L$5:$L$154,Analytics!$C$5:$C$154,C458))</f>
        <v>0</v>
      </c>
      <c r="J458" s="24">
        <f>IF(OR(G458="",G458=0),"",I458/G458)</f>
        <v>0</v>
      </c>
      <c r="K458" s="23">
        <f>IF(C458="","",SUMIFS(Analytics!$G$5:$G$154,Analytics!$C$5:$C$154,C458))</f>
        <v>0</v>
      </c>
      <c r="L458" s="23">
        <f>IF(C458="","",SUMIFS(Analytics!$X$5:$X$154,Analytics!$C$5:$C$154,C458))</f>
        <v>0</v>
      </c>
      <c r="M458" s="23">
        <f>IF(C458="","",SUMIFS(Analytics!$R$5:$R$154,Analytics!$C$5:$C$154,C458))</f>
        <v>0</v>
      </c>
      <c r="N458" s="23">
        <f>IF(C458="","",SUMIFS(Analytics!$S$5:$S$154,Analytics!$C$5:$C$154,C458))</f>
        <v>0</v>
      </c>
      <c r="O458" s="23">
        <f>IF(C458="","",SUMIFS(Analytics!$T$5:$T$154,Analytics!$C$5:$C$154,C458))</f>
        <v>0</v>
      </c>
      <c r="P458" s="25">
        <f>IF(C458="","",SUMIFS(Analytics!$U$5:$U$154,Analytics!$C$5:$C$154,C458))</f>
        <v>0</v>
      </c>
      <c r="Q458" s="25">
        <f>IF(C458="","",SUMIFS(Budget!$H$5:$H$64,Budget!$C$5:$C$64,C458))</f>
        <v>0</v>
      </c>
      <c r="R458" s="25">
        <f>IF(C458="","",P458-Q458)</f>
        <v>0</v>
      </c>
      <c r="S458" s="23">
        <f>IF(C458="","",MonthlyPostTarget)</f>
        <v>0</v>
      </c>
      <c r="T458" s="17">
        <f>IF(Lists!$C458="","",Lists!$C458)</f>
        <v>0</v>
      </c>
      <c r="U458" s="23">
        <f>IF(T458="","",COUNTIFS('Content Calendar'!$G$5:$G$604,T458,'Content Calendar'!$B$5:$B$604,"&gt;="&amp;DashStart,'Content Calendar'!$B$5:$B$604,"&lt;="&amp;DashEnd))</f>
        <v>0</v>
      </c>
      <c r="V458" s="23">
        <f>IF(T458="","",COUNTIFS('Content Calendar'!$G$5:$G$604,T458,'Content Calendar'!$X$5:$X$604,"Published",'Content Calendar'!$B$5:$B$604,"&gt;="&amp;DashStart,'Content Calendar'!$B$5:$B$604,"&lt;="&amp;DashEnd))</f>
        <v>0</v>
      </c>
      <c r="W458" s="23">
        <f>IF(T458="","",SUMIFS(Analytics!$J$5:$J$154,Analytics!$D$5:$D$154,T458,Analytics!$B$5:$B$154,"&gt;="&amp;DashStart,Analytics!$B$5:$B$154,"&lt;="&amp;DashEnd))</f>
        <v>0</v>
      </c>
      <c r="X458" s="23">
        <f>IF(T458="","",SUMIFS(Analytics!$L$5:$L$154,Analytics!$D$5:$D$154,T458,Analytics!$B$5:$B$154,"&gt;="&amp;DashStart,Analytics!$B$5:$B$154,"&lt;="&amp;DashEnd))</f>
        <v>0</v>
      </c>
      <c r="Y458" s="24">
        <f>IF(OR(W458="",W458=0),"",X458/W458)</f>
        <v>0</v>
      </c>
      <c r="Z458" s="23">
        <f>IF(T458="","",SUMIFS(Analytics!$G$5:$G$154,Analytics!$D$5:$D$154,T458,Analytics!$B$5:$B$154,"&gt;="&amp;DashStart,Analytics!$B$5:$B$154,"&lt;="&amp;DashEnd))</f>
        <v>0</v>
      </c>
      <c r="AA458" s="23">
        <f>IF(T458="","",SUMIFS(Analytics!$X$5:$X$154,Analytics!$D$5:$D$154,T458,Analytics!$B$5:$B$154,"&gt;="&amp;DashStart,Analytics!$B$5:$B$154,"&lt;="&amp;DashEnd))</f>
        <v>0</v>
      </c>
      <c r="AB458" s="23">
        <f>IF(T458="","",SUMIFS(Analytics!$R$5:$R$154,Analytics!$D$5:$D$154,T458,Analytics!$B$5:$B$154,"&gt;="&amp;DashStart,Analytics!$B$5:$B$154,"&lt;="&amp;DashEnd))</f>
        <v>0</v>
      </c>
      <c r="AC458" s="25">
        <f>IF(T458="","",SUMIFS(Analytics!$U$5:$U$154,Analytics!$D$5:$D$154,T458,Analytics!$B$5:$B$154,"&gt;="&amp;DashStart,Analytics!$B$5:$B$154,"&lt;="&amp;DashEnd))</f>
        <v>0</v>
      </c>
      <c r="AD458" s="23">
        <f>IF(T458="","",COUNTIFS('Content Calendar'!$G$5:$G$604,T458,'Content Calendar'!$B$5:$B$604,"&gt;="&amp;DATE(PlanYear,1,1),'Content Calendar'!$B$5:$B$604,"&lt;="&amp;DATE(PlanYear,12,31)))</f>
        <v>0</v>
      </c>
      <c r="AE458" s="23">
        <f>IF(T458="","",SUMIFS(Analytics!$J$5:$J$154,Analytics!$D$5:$D$154,T458))</f>
        <v>0</v>
      </c>
      <c r="AF458" s="23">
        <f>IF(T458="","",SUMIFS(Analytics!$L$5:$L$154,Analytics!$D$5:$D$154,T458))</f>
        <v>0</v>
      </c>
      <c r="AG458" s="24">
        <f>IF(OR(AE458="",AE458=0),"",AF458/AE458)</f>
        <v>0</v>
      </c>
      <c r="AH458" s="23">
        <f>IF(T458="","",SUMIFS(Analytics!$X$5:$X$154,Analytics!$D$5:$D$154,T458))</f>
        <v>0</v>
      </c>
      <c r="AI458" s="32">
        <f>IF(T458="","",IF(AE458=0,"",AE458+ROW()/1000000))</f>
        <v>0</v>
      </c>
      <c r="AJ458" s="17">
        <f>IF('Content Pillars'!$B$458="","",'Content Pillars'!$B$458)</f>
        <v>0</v>
      </c>
      <c r="AK458" s="23">
        <f>IF(AJ458="","",COUNTIFS('Content Calendar'!$J$5:$J$604,AJ458,'Content Calendar'!$B$5:$B$604,"&gt;="&amp;DATE(PlanYear,1,1),'Content Calendar'!$B$5:$B$604,"&lt;="&amp;DATE(PlanYear,12,31)))</f>
        <v>0</v>
      </c>
      <c r="AL458" s="23">
        <f>IF(AJ458="","",SUMIFS(Performance!$O$5:$O$404,Performance!$H$5:$H$404,AJ458))</f>
        <v>0</v>
      </c>
      <c r="AM458" s="23">
        <f>IF(AJ458="","",SUMIFS(Performance!$Z$5:$Z$404,Performance!$H$5:$H$404,AJ458))</f>
        <v>0</v>
      </c>
      <c r="AN458" s="24">
        <f>IF(OR(AL458="",AL458=0),"",AM458/AL458)</f>
        <v>0</v>
      </c>
      <c r="AO458" s="32">
        <f>IF(AN458="","",AN458+ROW()/1000000)</f>
        <v>0</v>
      </c>
      <c r="AP458" s="17">
        <f>IF(Lists!$E458="","",Lists!$E458)</f>
        <v>0</v>
      </c>
      <c r="AQ458" s="23">
        <f>IF(AP458="","",COUNTIF(Performance!$G$5:$G$404,AP458))</f>
        <v>0</v>
      </c>
      <c r="AR458" s="23">
        <f>IF(AP458="","",SUMIFS(Performance!$O$5:$O$404,Performance!$G$5:$G$404,AP458))</f>
        <v>0</v>
      </c>
      <c r="AS458" s="23">
        <f>IF(AP458="","",SUMIFS(Performance!$Z$5:$Z$404,Performance!$G$5:$G$404,AP458))</f>
        <v>0</v>
      </c>
      <c r="AT458" s="24">
        <f>IF(OR(AR458="",AR458=0),"",AS458/AR458)</f>
        <v>0</v>
      </c>
      <c r="AU458" s="32">
        <f>IF(AQ458=0,"",IF(AT458="","",AT458+ROW()/1000000))</f>
        <v>0</v>
      </c>
      <c r="AV458" s="17">
        <f>IF(ROW()-4&gt;7,"",TEXT(DATE(2024,1,ROW()-4),"ddd"))</f>
        <v>0</v>
      </c>
      <c r="AW458" s="23">
        <f>IF(AV458="","",COUNTIF(Performance!$N$5:$N$404,AV458))</f>
        <v>0</v>
      </c>
      <c r="AX458" s="23">
        <f>IF(AV458="","",SUMIFS(Performance!$O$5:$O$404,Performance!$N$5:$N$404,AV458))</f>
        <v>0</v>
      </c>
      <c r="AY458" s="23">
        <f>IF(AV458="","",SUMIFS(Performance!$Z$5:$Z$404,Performance!$N$5:$N$404,AV458))</f>
        <v>0</v>
      </c>
      <c r="AZ458" s="24">
        <f>IF(OR(AX458="",AX458=0),"",AY458/AX458)</f>
        <v>0</v>
      </c>
      <c r="BA458" s="32">
        <f>IF(AW458=0,"",IF(AZ458="","",AZ458+ROW()/1000000))</f>
        <v>0</v>
      </c>
      <c r="BB458" s="17">
        <f>IF(Lists!$AL458="","",Lists!$AL458)</f>
        <v>0</v>
      </c>
      <c r="BC458" s="23">
        <f>IF(BB458="","",COUNTIF(Performance!$M$5:$M$404,BB458))</f>
        <v>0</v>
      </c>
      <c r="BD458" s="23">
        <f>IF(BB458="","",SUMIFS(Performance!$O$5:$O$404,Performance!$M$5:$M$404,BB458))</f>
        <v>0</v>
      </c>
      <c r="BE458" s="23">
        <f>IF(BB458="","",SUMIFS(Performance!$Z$5:$Z$404,Performance!$M$5:$M$404,BB458))</f>
        <v>0</v>
      </c>
      <c r="BF458" s="24">
        <f>IF(OR(BD458="",BD458=0),"",BE458/BD458)</f>
        <v>0</v>
      </c>
      <c r="BG458" s="32">
        <f>IF(BC458=0,"",IF(BF458="","",BF458+ROW()/1000000))</f>
        <v>0</v>
      </c>
      <c r="BH458" s="17">
        <f>IF(Performance!$C$458="","",Performance!$C$458)</f>
        <v>0</v>
      </c>
      <c r="BI458" s="17">
        <f>IF(Performance!$F$458="","",Performance!$F$458)</f>
        <v>0</v>
      </c>
      <c r="BJ458" s="17">
        <f>IF(Performance!$H$458="","",Performance!$H$458)</f>
        <v>0</v>
      </c>
      <c r="BK458" s="16">
        <f>IF(Performance!$D$458="","",Performance!$D$458)</f>
        <v>0</v>
      </c>
      <c r="BL458" s="17">
        <f>IF(Performance!$E$458="","",Performance!$E$458)</f>
        <v>0</v>
      </c>
      <c r="BM458" s="23">
        <f>IF(Performance!$O$458="","",Performance!$O$458)</f>
        <v>0</v>
      </c>
      <c r="BN458" s="24">
        <f>IF(Performance!$AA$458="","",Performance!$AA$458)</f>
        <v>0</v>
      </c>
      <c r="BO458" s="32">
        <f>IF(BH458="","",IF(BK458="","",IF(OR(BK458&lt;DashStart,BK458&gt;DashEnd),"",IF(BN458="","",BN458+ROW()/1000000))))</f>
        <v>0</v>
      </c>
      <c r="BP458" s="32">
        <f>IF(BM458="","",IF(BK458="","",IF(OR(BK458&lt;DashStart,BK458&gt;DashEnd),"",BM458+ROW()/1000000)))</f>
        <v>0</v>
      </c>
      <c r="BQ458" s="32">
        <f>IF(BH458="","",IF(BK458="","",IF(YEAR(BK458)&lt;&gt;PlanYear,"",IF(BN458="","",BN458+ROW()/1000000))))</f>
        <v>0</v>
      </c>
      <c r="BR458" s="32">
        <f>IF(BH458="","",IF(BK458="","",IF(OR(BK458&lt;RepFrom,BK458&gt;RepTo),"",IF(BN458="","",BN458+ROW()/1000000))))</f>
        <v>0</v>
      </c>
      <c r="BS458" s="32">
        <f>IF(BM458="","",IF(BK458="","",IF(YEAR(BK458)&lt;&gt;PlanYear,"",BM458+ROW()/1000000)))</f>
        <v>0</v>
      </c>
      <c r="BT458" s="17">
        <f>IF(Lists!$F458="","",Lists!$F458)</f>
        <v>0</v>
      </c>
      <c r="BU458" s="23">
        <f>IF(BT458="","",COUNTIF('Content Calendar'!$X$5:$X$604,BT458))</f>
        <v>0</v>
      </c>
      <c r="BV458" s="23">
        <f>IF(BT458="","",COUNTIFS('Content Calendar'!$X$5:$X$604,BT458,'Content Calendar'!$B$5:$B$604,"&gt;="&amp;DashStart,'Content Calendar'!$B$5:$B$604,"&lt;="&amp;DashEnd))</f>
        <v>0</v>
      </c>
      <c r="BW458" s="17">
        <f>IF(Team!$B$458="","",Team!$B$458)</f>
        <v>0</v>
      </c>
      <c r="BX458" s="23">
        <f>IF(BW458="","",COUNTIF('Content Calendar'!$W$5:$W$604,BW458))</f>
        <v>0</v>
      </c>
      <c r="BY458" s="23">
        <f>IF(BW458="","",COUNTIFS('Content Calendar'!$W$5:$W$604,BW458,'Content Calendar'!$X$5:$X$604,"&lt;&gt;Published"))</f>
        <v>0</v>
      </c>
      <c r="BZ458" s="23">
        <f>IF(BW458="","",COUNTIFS(Tasks!$C$5:$C$64,BW458,Tasks!$G$5:$G$64,"&lt;&gt;Complete"))</f>
        <v>0</v>
      </c>
      <c r="CA458" s="17">
        <f>IF(Campaigns!$B$458="","",Campaigns!$B$458)</f>
        <v>0</v>
      </c>
      <c r="CB458" s="25">
        <f>IF(Campaigns!$T$458="","",Campaigns!$T$458)</f>
        <v>0</v>
      </c>
      <c r="CC458" s="25">
        <f>IF(Campaigns!$Q$458="","",Campaigns!$Q$458)</f>
        <v>0</v>
      </c>
      <c r="CD458" s="23">
        <f>IF(Campaigns!$Y$458="","",Campaigns!$Y$458)</f>
        <v>0</v>
      </c>
      <c r="CE458" s="32">
        <f>IF(CA458="","",IF(N(CB458)&lt;=0,"",N(CB458)+ROW()/1000000))</f>
        <v>0</v>
      </c>
      <c r="CF458" s="17">
        <f>IF(Accounts!$C$458="","",Accounts!$C$458)</f>
        <v>0</v>
      </c>
      <c r="CG458" s="17">
        <f>IF(Accounts!$B$458="","",Accounts!$B$458)</f>
        <v>0</v>
      </c>
      <c r="CH458" s="23">
        <f>IF(Accounts!$J$458="","",Accounts!$J$458)</f>
        <v>0</v>
      </c>
      <c r="CI458" s="23">
        <f>IF(CF458="","",SUMIFS(Analytics!$X$5:$X$154,Analytics!$E$5:$E$154,CF458,Analytics!$B$5:$B$154,"&gt;="&amp;DashStart,Analytics!$B$5:$B$154,"&lt;="&amp;DashEnd))</f>
        <v>0</v>
      </c>
      <c r="CJ458" s="32">
        <f>IF(CH458="","",IF(CH458=0,"",CH458+ROW()/1000000))</f>
        <v>0</v>
      </c>
    </row>
    <row r="459" spans="1:88">
      <c r="A459" s="16">
        <f>IF(ROW()-4&gt;12,"",DATE(PlanYear,ROW()-4,1))</f>
        <v>0</v>
      </c>
      <c r="B459" s="16">
        <f>IF(A459="","",EOMONTH(A459,0))</f>
        <v>0</v>
      </c>
      <c r="C459" s="17">
        <f>IF(A459="","",TEXT(A459,"yyyy-mm"))</f>
        <v>0</v>
      </c>
      <c r="D459" s="17">
        <f>IF(A459="","",TEXT(A459,"mmm"))</f>
        <v>0</v>
      </c>
      <c r="E459" s="23">
        <f>IF(C459="","",COUNTIFS('Content Calendar'!$D$5:$D$604,C459))</f>
        <v>0</v>
      </c>
      <c r="F459" s="23">
        <f>IF(C459="","",COUNTIFS('Content Calendar'!$D$5:$D$604,C459,'Content Calendar'!$X$5:$X$604,"Published"))</f>
        <v>0</v>
      </c>
      <c r="G459" s="23">
        <f>IF(C459="","",SUMIFS(Analytics!$J$5:$J$154,Analytics!$C$5:$C$154,C459))</f>
        <v>0</v>
      </c>
      <c r="H459" s="23">
        <f>IF(C459="","",SUMIFS(Analytics!$K$5:$K$154,Analytics!$C$5:$C$154,C459))</f>
        <v>0</v>
      </c>
      <c r="I459" s="23">
        <f>IF(C459="","",SUMIFS(Analytics!$L$5:$L$154,Analytics!$C$5:$C$154,C459))</f>
        <v>0</v>
      </c>
      <c r="J459" s="24">
        <f>IF(OR(G459="",G459=0),"",I459/G459)</f>
        <v>0</v>
      </c>
      <c r="K459" s="23">
        <f>IF(C459="","",SUMIFS(Analytics!$G$5:$G$154,Analytics!$C$5:$C$154,C459))</f>
        <v>0</v>
      </c>
      <c r="L459" s="23">
        <f>IF(C459="","",SUMIFS(Analytics!$X$5:$X$154,Analytics!$C$5:$C$154,C459))</f>
        <v>0</v>
      </c>
      <c r="M459" s="23">
        <f>IF(C459="","",SUMIFS(Analytics!$R$5:$R$154,Analytics!$C$5:$C$154,C459))</f>
        <v>0</v>
      </c>
      <c r="N459" s="23">
        <f>IF(C459="","",SUMIFS(Analytics!$S$5:$S$154,Analytics!$C$5:$C$154,C459))</f>
        <v>0</v>
      </c>
      <c r="O459" s="23">
        <f>IF(C459="","",SUMIFS(Analytics!$T$5:$T$154,Analytics!$C$5:$C$154,C459))</f>
        <v>0</v>
      </c>
      <c r="P459" s="25">
        <f>IF(C459="","",SUMIFS(Analytics!$U$5:$U$154,Analytics!$C$5:$C$154,C459))</f>
        <v>0</v>
      </c>
      <c r="Q459" s="25">
        <f>IF(C459="","",SUMIFS(Budget!$H$5:$H$64,Budget!$C$5:$C$64,C459))</f>
        <v>0</v>
      </c>
      <c r="R459" s="25">
        <f>IF(C459="","",P459-Q459)</f>
        <v>0</v>
      </c>
      <c r="S459" s="23">
        <f>IF(C459="","",MonthlyPostTarget)</f>
        <v>0</v>
      </c>
      <c r="T459" s="17">
        <f>IF(Lists!$C459="","",Lists!$C459)</f>
        <v>0</v>
      </c>
      <c r="U459" s="23">
        <f>IF(T459="","",COUNTIFS('Content Calendar'!$G$5:$G$604,T459,'Content Calendar'!$B$5:$B$604,"&gt;="&amp;DashStart,'Content Calendar'!$B$5:$B$604,"&lt;="&amp;DashEnd))</f>
        <v>0</v>
      </c>
      <c r="V459" s="23">
        <f>IF(T459="","",COUNTIFS('Content Calendar'!$G$5:$G$604,T459,'Content Calendar'!$X$5:$X$604,"Published",'Content Calendar'!$B$5:$B$604,"&gt;="&amp;DashStart,'Content Calendar'!$B$5:$B$604,"&lt;="&amp;DashEnd))</f>
        <v>0</v>
      </c>
      <c r="W459" s="23">
        <f>IF(T459="","",SUMIFS(Analytics!$J$5:$J$154,Analytics!$D$5:$D$154,T459,Analytics!$B$5:$B$154,"&gt;="&amp;DashStart,Analytics!$B$5:$B$154,"&lt;="&amp;DashEnd))</f>
        <v>0</v>
      </c>
      <c r="X459" s="23">
        <f>IF(T459="","",SUMIFS(Analytics!$L$5:$L$154,Analytics!$D$5:$D$154,T459,Analytics!$B$5:$B$154,"&gt;="&amp;DashStart,Analytics!$B$5:$B$154,"&lt;="&amp;DashEnd))</f>
        <v>0</v>
      </c>
      <c r="Y459" s="24">
        <f>IF(OR(W459="",W459=0),"",X459/W459)</f>
        <v>0</v>
      </c>
      <c r="Z459" s="23">
        <f>IF(T459="","",SUMIFS(Analytics!$G$5:$G$154,Analytics!$D$5:$D$154,T459,Analytics!$B$5:$B$154,"&gt;="&amp;DashStart,Analytics!$B$5:$B$154,"&lt;="&amp;DashEnd))</f>
        <v>0</v>
      </c>
      <c r="AA459" s="23">
        <f>IF(T459="","",SUMIFS(Analytics!$X$5:$X$154,Analytics!$D$5:$D$154,T459,Analytics!$B$5:$B$154,"&gt;="&amp;DashStart,Analytics!$B$5:$B$154,"&lt;="&amp;DashEnd))</f>
        <v>0</v>
      </c>
      <c r="AB459" s="23">
        <f>IF(T459="","",SUMIFS(Analytics!$R$5:$R$154,Analytics!$D$5:$D$154,T459,Analytics!$B$5:$B$154,"&gt;="&amp;DashStart,Analytics!$B$5:$B$154,"&lt;="&amp;DashEnd))</f>
        <v>0</v>
      </c>
      <c r="AC459" s="25">
        <f>IF(T459="","",SUMIFS(Analytics!$U$5:$U$154,Analytics!$D$5:$D$154,T459,Analytics!$B$5:$B$154,"&gt;="&amp;DashStart,Analytics!$B$5:$B$154,"&lt;="&amp;DashEnd))</f>
        <v>0</v>
      </c>
      <c r="AD459" s="23">
        <f>IF(T459="","",COUNTIFS('Content Calendar'!$G$5:$G$604,T459,'Content Calendar'!$B$5:$B$604,"&gt;="&amp;DATE(PlanYear,1,1),'Content Calendar'!$B$5:$B$604,"&lt;="&amp;DATE(PlanYear,12,31)))</f>
        <v>0</v>
      </c>
      <c r="AE459" s="23">
        <f>IF(T459="","",SUMIFS(Analytics!$J$5:$J$154,Analytics!$D$5:$D$154,T459))</f>
        <v>0</v>
      </c>
      <c r="AF459" s="23">
        <f>IF(T459="","",SUMIFS(Analytics!$L$5:$L$154,Analytics!$D$5:$D$154,T459))</f>
        <v>0</v>
      </c>
      <c r="AG459" s="24">
        <f>IF(OR(AE459="",AE459=0),"",AF459/AE459)</f>
        <v>0</v>
      </c>
      <c r="AH459" s="23">
        <f>IF(T459="","",SUMIFS(Analytics!$X$5:$X$154,Analytics!$D$5:$D$154,T459))</f>
        <v>0</v>
      </c>
      <c r="AI459" s="32">
        <f>IF(T459="","",IF(AE459=0,"",AE459+ROW()/1000000))</f>
        <v>0</v>
      </c>
      <c r="AJ459" s="17">
        <f>IF('Content Pillars'!$B$459="","",'Content Pillars'!$B$459)</f>
        <v>0</v>
      </c>
      <c r="AK459" s="23">
        <f>IF(AJ459="","",COUNTIFS('Content Calendar'!$J$5:$J$604,AJ459,'Content Calendar'!$B$5:$B$604,"&gt;="&amp;DATE(PlanYear,1,1),'Content Calendar'!$B$5:$B$604,"&lt;="&amp;DATE(PlanYear,12,31)))</f>
        <v>0</v>
      </c>
      <c r="AL459" s="23">
        <f>IF(AJ459="","",SUMIFS(Performance!$O$5:$O$404,Performance!$H$5:$H$404,AJ459))</f>
        <v>0</v>
      </c>
      <c r="AM459" s="23">
        <f>IF(AJ459="","",SUMIFS(Performance!$Z$5:$Z$404,Performance!$H$5:$H$404,AJ459))</f>
        <v>0</v>
      </c>
      <c r="AN459" s="24">
        <f>IF(OR(AL459="",AL459=0),"",AM459/AL459)</f>
        <v>0</v>
      </c>
      <c r="AO459" s="32">
        <f>IF(AN459="","",AN459+ROW()/1000000)</f>
        <v>0</v>
      </c>
      <c r="AP459" s="17">
        <f>IF(Lists!$E459="","",Lists!$E459)</f>
        <v>0</v>
      </c>
      <c r="AQ459" s="23">
        <f>IF(AP459="","",COUNTIF(Performance!$G$5:$G$404,AP459))</f>
        <v>0</v>
      </c>
      <c r="AR459" s="23">
        <f>IF(AP459="","",SUMIFS(Performance!$O$5:$O$404,Performance!$G$5:$G$404,AP459))</f>
        <v>0</v>
      </c>
      <c r="AS459" s="23">
        <f>IF(AP459="","",SUMIFS(Performance!$Z$5:$Z$404,Performance!$G$5:$G$404,AP459))</f>
        <v>0</v>
      </c>
      <c r="AT459" s="24">
        <f>IF(OR(AR459="",AR459=0),"",AS459/AR459)</f>
        <v>0</v>
      </c>
      <c r="AU459" s="32">
        <f>IF(AQ459=0,"",IF(AT459="","",AT459+ROW()/1000000))</f>
        <v>0</v>
      </c>
      <c r="AV459" s="17">
        <f>IF(ROW()-4&gt;7,"",TEXT(DATE(2024,1,ROW()-4),"ddd"))</f>
        <v>0</v>
      </c>
      <c r="AW459" s="23">
        <f>IF(AV459="","",COUNTIF(Performance!$N$5:$N$404,AV459))</f>
        <v>0</v>
      </c>
      <c r="AX459" s="23">
        <f>IF(AV459="","",SUMIFS(Performance!$O$5:$O$404,Performance!$N$5:$N$404,AV459))</f>
        <v>0</v>
      </c>
      <c r="AY459" s="23">
        <f>IF(AV459="","",SUMIFS(Performance!$Z$5:$Z$404,Performance!$N$5:$N$404,AV459))</f>
        <v>0</v>
      </c>
      <c r="AZ459" s="24">
        <f>IF(OR(AX459="",AX459=0),"",AY459/AX459)</f>
        <v>0</v>
      </c>
      <c r="BA459" s="32">
        <f>IF(AW459=0,"",IF(AZ459="","",AZ459+ROW()/1000000))</f>
        <v>0</v>
      </c>
      <c r="BB459" s="17">
        <f>IF(Lists!$AL459="","",Lists!$AL459)</f>
        <v>0</v>
      </c>
      <c r="BC459" s="23">
        <f>IF(BB459="","",COUNTIF(Performance!$M$5:$M$404,BB459))</f>
        <v>0</v>
      </c>
      <c r="BD459" s="23">
        <f>IF(BB459="","",SUMIFS(Performance!$O$5:$O$404,Performance!$M$5:$M$404,BB459))</f>
        <v>0</v>
      </c>
      <c r="BE459" s="23">
        <f>IF(BB459="","",SUMIFS(Performance!$Z$5:$Z$404,Performance!$M$5:$M$404,BB459))</f>
        <v>0</v>
      </c>
      <c r="BF459" s="24">
        <f>IF(OR(BD459="",BD459=0),"",BE459/BD459)</f>
        <v>0</v>
      </c>
      <c r="BG459" s="32">
        <f>IF(BC459=0,"",IF(BF459="","",BF459+ROW()/1000000))</f>
        <v>0</v>
      </c>
      <c r="BH459" s="17">
        <f>IF(Performance!$C$459="","",Performance!$C$459)</f>
        <v>0</v>
      </c>
      <c r="BI459" s="17">
        <f>IF(Performance!$F$459="","",Performance!$F$459)</f>
        <v>0</v>
      </c>
      <c r="BJ459" s="17">
        <f>IF(Performance!$H$459="","",Performance!$H$459)</f>
        <v>0</v>
      </c>
      <c r="BK459" s="16">
        <f>IF(Performance!$D$459="","",Performance!$D$459)</f>
        <v>0</v>
      </c>
      <c r="BL459" s="17">
        <f>IF(Performance!$E$459="","",Performance!$E$459)</f>
        <v>0</v>
      </c>
      <c r="BM459" s="23">
        <f>IF(Performance!$O$459="","",Performance!$O$459)</f>
        <v>0</v>
      </c>
      <c r="BN459" s="24">
        <f>IF(Performance!$AA$459="","",Performance!$AA$459)</f>
        <v>0</v>
      </c>
      <c r="BO459" s="32">
        <f>IF(BH459="","",IF(BK459="","",IF(OR(BK459&lt;DashStart,BK459&gt;DashEnd),"",IF(BN459="","",BN459+ROW()/1000000))))</f>
        <v>0</v>
      </c>
      <c r="BP459" s="32">
        <f>IF(BM459="","",IF(BK459="","",IF(OR(BK459&lt;DashStart,BK459&gt;DashEnd),"",BM459+ROW()/1000000)))</f>
        <v>0</v>
      </c>
      <c r="BQ459" s="32">
        <f>IF(BH459="","",IF(BK459="","",IF(YEAR(BK459)&lt;&gt;PlanYear,"",IF(BN459="","",BN459+ROW()/1000000))))</f>
        <v>0</v>
      </c>
      <c r="BR459" s="32">
        <f>IF(BH459="","",IF(BK459="","",IF(OR(BK459&lt;RepFrom,BK459&gt;RepTo),"",IF(BN459="","",BN459+ROW()/1000000))))</f>
        <v>0</v>
      </c>
      <c r="BS459" s="32">
        <f>IF(BM459="","",IF(BK459="","",IF(YEAR(BK459)&lt;&gt;PlanYear,"",BM459+ROW()/1000000)))</f>
        <v>0</v>
      </c>
      <c r="BT459" s="17">
        <f>IF(Lists!$F459="","",Lists!$F459)</f>
        <v>0</v>
      </c>
      <c r="BU459" s="23">
        <f>IF(BT459="","",COUNTIF('Content Calendar'!$X$5:$X$604,BT459))</f>
        <v>0</v>
      </c>
      <c r="BV459" s="23">
        <f>IF(BT459="","",COUNTIFS('Content Calendar'!$X$5:$X$604,BT459,'Content Calendar'!$B$5:$B$604,"&gt;="&amp;DashStart,'Content Calendar'!$B$5:$B$604,"&lt;="&amp;DashEnd))</f>
        <v>0</v>
      </c>
      <c r="BW459" s="17">
        <f>IF(Team!$B$459="","",Team!$B$459)</f>
        <v>0</v>
      </c>
      <c r="BX459" s="23">
        <f>IF(BW459="","",COUNTIF('Content Calendar'!$W$5:$W$604,BW459))</f>
        <v>0</v>
      </c>
      <c r="BY459" s="23">
        <f>IF(BW459="","",COUNTIFS('Content Calendar'!$W$5:$W$604,BW459,'Content Calendar'!$X$5:$X$604,"&lt;&gt;Published"))</f>
        <v>0</v>
      </c>
      <c r="BZ459" s="23">
        <f>IF(BW459="","",COUNTIFS(Tasks!$C$5:$C$64,BW459,Tasks!$G$5:$G$64,"&lt;&gt;Complete"))</f>
        <v>0</v>
      </c>
      <c r="CA459" s="17">
        <f>IF(Campaigns!$B$459="","",Campaigns!$B$459)</f>
        <v>0</v>
      </c>
      <c r="CB459" s="25">
        <f>IF(Campaigns!$T$459="","",Campaigns!$T$459)</f>
        <v>0</v>
      </c>
      <c r="CC459" s="25">
        <f>IF(Campaigns!$Q$459="","",Campaigns!$Q$459)</f>
        <v>0</v>
      </c>
      <c r="CD459" s="23">
        <f>IF(Campaigns!$Y$459="","",Campaigns!$Y$459)</f>
        <v>0</v>
      </c>
      <c r="CE459" s="32">
        <f>IF(CA459="","",IF(N(CB459)&lt;=0,"",N(CB459)+ROW()/1000000))</f>
        <v>0</v>
      </c>
      <c r="CF459" s="17">
        <f>IF(Accounts!$C$459="","",Accounts!$C$459)</f>
        <v>0</v>
      </c>
      <c r="CG459" s="17">
        <f>IF(Accounts!$B$459="","",Accounts!$B$459)</f>
        <v>0</v>
      </c>
      <c r="CH459" s="23">
        <f>IF(Accounts!$J$459="","",Accounts!$J$459)</f>
        <v>0</v>
      </c>
      <c r="CI459" s="23">
        <f>IF(CF459="","",SUMIFS(Analytics!$X$5:$X$154,Analytics!$E$5:$E$154,CF459,Analytics!$B$5:$B$154,"&gt;="&amp;DashStart,Analytics!$B$5:$B$154,"&lt;="&amp;DashEnd))</f>
        <v>0</v>
      </c>
      <c r="CJ459" s="32">
        <f>IF(CH459="","",IF(CH459=0,"",CH459+ROW()/1000000))</f>
        <v>0</v>
      </c>
    </row>
    <row r="460" spans="1:88">
      <c r="A460" s="16">
        <f>IF(ROW()-4&gt;12,"",DATE(PlanYear,ROW()-4,1))</f>
        <v>0</v>
      </c>
      <c r="B460" s="16">
        <f>IF(A460="","",EOMONTH(A460,0))</f>
        <v>0</v>
      </c>
      <c r="C460" s="17">
        <f>IF(A460="","",TEXT(A460,"yyyy-mm"))</f>
        <v>0</v>
      </c>
      <c r="D460" s="17">
        <f>IF(A460="","",TEXT(A460,"mmm"))</f>
        <v>0</v>
      </c>
      <c r="E460" s="23">
        <f>IF(C460="","",COUNTIFS('Content Calendar'!$D$5:$D$604,C460))</f>
        <v>0</v>
      </c>
      <c r="F460" s="23">
        <f>IF(C460="","",COUNTIFS('Content Calendar'!$D$5:$D$604,C460,'Content Calendar'!$X$5:$X$604,"Published"))</f>
        <v>0</v>
      </c>
      <c r="G460" s="23">
        <f>IF(C460="","",SUMIFS(Analytics!$J$5:$J$154,Analytics!$C$5:$C$154,C460))</f>
        <v>0</v>
      </c>
      <c r="H460" s="23">
        <f>IF(C460="","",SUMIFS(Analytics!$K$5:$K$154,Analytics!$C$5:$C$154,C460))</f>
        <v>0</v>
      </c>
      <c r="I460" s="23">
        <f>IF(C460="","",SUMIFS(Analytics!$L$5:$L$154,Analytics!$C$5:$C$154,C460))</f>
        <v>0</v>
      </c>
      <c r="J460" s="24">
        <f>IF(OR(G460="",G460=0),"",I460/G460)</f>
        <v>0</v>
      </c>
      <c r="K460" s="23">
        <f>IF(C460="","",SUMIFS(Analytics!$G$5:$G$154,Analytics!$C$5:$C$154,C460))</f>
        <v>0</v>
      </c>
      <c r="L460" s="23">
        <f>IF(C460="","",SUMIFS(Analytics!$X$5:$X$154,Analytics!$C$5:$C$154,C460))</f>
        <v>0</v>
      </c>
      <c r="M460" s="23">
        <f>IF(C460="","",SUMIFS(Analytics!$R$5:$R$154,Analytics!$C$5:$C$154,C460))</f>
        <v>0</v>
      </c>
      <c r="N460" s="23">
        <f>IF(C460="","",SUMIFS(Analytics!$S$5:$S$154,Analytics!$C$5:$C$154,C460))</f>
        <v>0</v>
      </c>
      <c r="O460" s="23">
        <f>IF(C460="","",SUMIFS(Analytics!$T$5:$T$154,Analytics!$C$5:$C$154,C460))</f>
        <v>0</v>
      </c>
      <c r="P460" s="25">
        <f>IF(C460="","",SUMIFS(Analytics!$U$5:$U$154,Analytics!$C$5:$C$154,C460))</f>
        <v>0</v>
      </c>
      <c r="Q460" s="25">
        <f>IF(C460="","",SUMIFS(Budget!$H$5:$H$64,Budget!$C$5:$C$64,C460))</f>
        <v>0</v>
      </c>
      <c r="R460" s="25">
        <f>IF(C460="","",P460-Q460)</f>
        <v>0</v>
      </c>
      <c r="S460" s="23">
        <f>IF(C460="","",MonthlyPostTarget)</f>
        <v>0</v>
      </c>
      <c r="T460" s="17">
        <f>IF(Lists!$C460="","",Lists!$C460)</f>
        <v>0</v>
      </c>
      <c r="U460" s="23">
        <f>IF(T460="","",COUNTIFS('Content Calendar'!$G$5:$G$604,T460,'Content Calendar'!$B$5:$B$604,"&gt;="&amp;DashStart,'Content Calendar'!$B$5:$B$604,"&lt;="&amp;DashEnd))</f>
        <v>0</v>
      </c>
      <c r="V460" s="23">
        <f>IF(T460="","",COUNTIFS('Content Calendar'!$G$5:$G$604,T460,'Content Calendar'!$X$5:$X$604,"Published",'Content Calendar'!$B$5:$B$604,"&gt;="&amp;DashStart,'Content Calendar'!$B$5:$B$604,"&lt;="&amp;DashEnd))</f>
        <v>0</v>
      </c>
      <c r="W460" s="23">
        <f>IF(T460="","",SUMIFS(Analytics!$J$5:$J$154,Analytics!$D$5:$D$154,T460,Analytics!$B$5:$B$154,"&gt;="&amp;DashStart,Analytics!$B$5:$B$154,"&lt;="&amp;DashEnd))</f>
        <v>0</v>
      </c>
      <c r="X460" s="23">
        <f>IF(T460="","",SUMIFS(Analytics!$L$5:$L$154,Analytics!$D$5:$D$154,T460,Analytics!$B$5:$B$154,"&gt;="&amp;DashStart,Analytics!$B$5:$B$154,"&lt;="&amp;DashEnd))</f>
        <v>0</v>
      </c>
      <c r="Y460" s="24">
        <f>IF(OR(W460="",W460=0),"",X460/W460)</f>
        <v>0</v>
      </c>
      <c r="Z460" s="23">
        <f>IF(T460="","",SUMIFS(Analytics!$G$5:$G$154,Analytics!$D$5:$D$154,T460,Analytics!$B$5:$B$154,"&gt;="&amp;DashStart,Analytics!$B$5:$B$154,"&lt;="&amp;DashEnd))</f>
        <v>0</v>
      </c>
      <c r="AA460" s="23">
        <f>IF(T460="","",SUMIFS(Analytics!$X$5:$X$154,Analytics!$D$5:$D$154,T460,Analytics!$B$5:$B$154,"&gt;="&amp;DashStart,Analytics!$B$5:$B$154,"&lt;="&amp;DashEnd))</f>
        <v>0</v>
      </c>
      <c r="AB460" s="23">
        <f>IF(T460="","",SUMIFS(Analytics!$R$5:$R$154,Analytics!$D$5:$D$154,T460,Analytics!$B$5:$B$154,"&gt;="&amp;DashStart,Analytics!$B$5:$B$154,"&lt;="&amp;DashEnd))</f>
        <v>0</v>
      </c>
      <c r="AC460" s="25">
        <f>IF(T460="","",SUMIFS(Analytics!$U$5:$U$154,Analytics!$D$5:$D$154,T460,Analytics!$B$5:$B$154,"&gt;="&amp;DashStart,Analytics!$B$5:$B$154,"&lt;="&amp;DashEnd))</f>
        <v>0</v>
      </c>
      <c r="AD460" s="23">
        <f>IF(T460="","",COUNTIFS('Content Calendar'!$G$5:$G$604,T460,'Content Calendar'!$B$5:$B$604,"&gt;="&amp;DATE(PlanYear,1,1),'Content Calendar'!$B$5:$B$604,"&lt;="&amp;DATE(PlanYear,12,31)))</f>
        <v>0</v>
      </c>
      <c r="AE460" s="23">
        <f>IF(T460="","",SUMIFS(Analytics!$J$5:$J$154,Analytics!$D$5:$D$154,T460))</f>
        <v>0</v>
      </c>
      <c r="AF460" s="23">
        <f>IF(T460="","",SUMIFS(Analytics!$L$5:$L$154,Analytics!$D$5:$D$154,T460))</f>
        <v>0</v>
      </c>
      <c r="AG460" s="24">
        <f>IF(OR(AE460="",AE460=0),"",AF460/AE460)</f>
        <v>0</v>
      </c>
      <c r="AH460" s="23">
        <f>IF(T460="","",SUMIFS(Analytics!$X$5:$X$154,Analytics!$D$5:$D$154,T460))</f>
        <v>0</v>
      </c>
      <c r="AI460" s="32">
        <f>IF(T460="","",IF(AE460=0,"",AE460+ROW()/1000000))</f>
        <v>0</v>
      </c>
      <c r="AJ460" s="17">
        <f>IF('Content Pillars'!$B$460="","",'Content Pillars'!$B$460)</f>
        <v>0</v>
      </c>
      <c r="AK460" s="23">
        <f>IF(AJ460="","",COUNTIFS('Content Calendar'!$J$5:$J$604,AJ460,'Content Calendar'!$B$5:$B$604,"&gt;="&amp;DATE(PlanYear,1,1),'Content Calendar'!$B$5:$B$604,"&lt;="&amp;DATE(PlanYear,12,31)))</f>
        <v>0</v>
      </c>
      <c r="AL460" s="23">
        <f>IF(AJ460="","",SUMIFS(Performance!$O$5:$O$404,Performance!$H$5:$H$404,AJ460))</f>
        <v>0</v>
      </c>
      <c r="AM460" s="23">
        <f>IF(AJ460="","",SUMIFS(Performance!$Z$5:$Z$404,Performance!$H$5:$H$404,AJ460))</f>
        <v>0</v>
      </c>
      <c r="AN460" s="24">
        <f>IF(OR(AL460="",AL460=0),"",AM460/AL460)</f>
        <v>0</v>
      </c>
      <c r="AO460" s="32">
        <f>IF(AN460="","",AN460+ROW()/1000000)</f>
        <v>0</v>
      </c>
      <c r="AP460" s="17">
        <f>IF(Lists!$E460="","",Lists!$E460)</f>
        <v>0</v>
      </c>
      <c r="AQ460" s="23">
        <f>IF(AP460="","",COUNTIF(Performance!$G$5:$G$404,AP460))</f>
        <v>0</v>
      </c>
      <c r="AR460" s="23">
        <f>IF(AP460="","",SUMIFS(Performance!$O$5:$O$404,Performance!$G$5:$G$404,AP460))</f>
        <v>0</v>
      </c>
      <c r="AS460" s="23">
        <f>IF(AP460="","",SUMIFS(Performance!$Z$5:$Z$404,Performance!$G$5:$G$404,AP460))</f>
        <v>0</v>
      </c>
      <c r="AT460" s="24">
        <f>IF(OR(AR460="",AR460=0),"",AS460/AR460)</f>
        <v>0</v>
      </c>
      <c r="AU460" s="32">
        <f>IF(AQ460=0,"",IF(AT460="","",AT460+ROW()/1000000))</f>
        <v>0</v>
      </c>
      <c r="AV460" s="17">
        <f>IF(ROW()-4&gt;7,"",TEXT(DATE(2024,1,ROW()-4),"ddd"))</f>
        <v>0</v>
      </c>
      <c r="AW460" s="23">
        <f>IF(AV460="","",COUNTIF(Performance!$N$5:$N$404,AV460))</f>
        <v>0</v>
      </c>
      <c r="AX460" s="23">
        <f>IF(AV460="","",SUMIFS(Performance!$O$5:$O$404,Performance!$N$5:$N$404,AV460))</f>
        <v>0</v>
      </c>
      <c r="AY460" s="23">
        <f>IF(AV460="","",SUMIFS(Performance!$Z$5:$Z$404,Performance!$N$5:$N$404,AV460))</f>
        <v>0</v>
      </c>
      <c r="AZ460" s="24">
        <f>IF(OR(AX460="",AX460=0),"",AY460/AX460)</f>
        <v>0</v>
      </c>
      <c r="BA460" s="32">
        <f>IF(AW460=0,"",IF(AZ460="","",AZ460+ROW()/1000000))</f>
        <v>0</v>
      </c>
      <c r="BB460" s="17">
        <f>IF(Lists!$AL460="","",Lists!$AL460)</f>
        <v>0</v>
      </c>
      <c r="BC460" s="23">
        <f>IF(BB460="","",COUNTIF(Performance!$M$5:$M$404,BB460))</f>
        <v>0</v>
      </c>
      <c r="BD460" s="23">
        <f>IF(BB460="","",SUMIFS(Performance!$O$5:$O$404,Performance!$M$5:$M$404,BB460))</f>
        <v>0</v>
      </c>
      <c r="BE460" s="23">
        <f>IF(BB460="","",SUMIFS(Performance!$Z$5:$Z$404,Performance!$M$5:$M$404,BB460))</f>
        <v>0</v>
      </c>
      <c r="BF460" s="24">
        <f>IF(OR(BD460="",BD460=0),"",BE460/BD460)</f>
        <v>0</v>
      </c>
      <c r="BG460" s="32">
        <f>IF(BC460=0,"",IF(BF460="","",BF460+ROW()/1000000))</f>
        <v>0</v>
      </c>
      <c r="BH460" s="17">
        <f>IF(Performance!$C$460="","",Performance!$C$460)</f>
        <v>0</v>
      </c>
      <c r="BI460" s="17">
        <f>IF(Performance!$F$460="","",Performance!$F$460)</f>
        <v>0</v>
      </c>
      <c r="BJ460" s="17">
        <f>IF(Performance!$H$460="","",Performance!$H$460)</f>
        <v>0</v>
      </c>
      <c r="BK460" s="16">
        <f>IF(Performance!$D$460="","",Performance!$D$460)</f>
        <v>0</v>
      </c>
      <c r="BL460" s="17">
        <f>IF(Performance!$E$460="","",Performance!$E$460)</f>
        <v>0</v>
      </c>
      <c r="BM460" s="23">
        <f>IF(Performance!$O$460="","",Performance!$O$460)</f>
        <v>0</v>
      </c>
      <c r="BN460" s="24">
        <f>IF(Performance!$AA$460="","",Performance!$AA$460)</f>
        <v>0</v>
      </c>
      <c r="BO460" s="32">
        <f>IF(BH460="","",IF(BK460="","",IF(OR(BK460&lt;DashStart,BK460&gt;DashEnd),"",IF(BN460="","",BN460+ROW()/1000000))))</f>
        <v>0</v>
      </c>
      <c r="BP460" s="32">
        <f>IF(BM460="","",IF(BK460="","",IF(OR(BK460&lt;DashStart,BK460&gt;DashEnd),"",BM460+ROW()/1000000)))</f>
        <v>0</v>
      </c>
      <c r="BQ460" s="32">
        <f>IF(BH460="","",IF(BK460="","",IF(YEAR(BK460)&lt;&gt;PlanYear,"",IF(BN460="","",BN460+ROW()/1000000))))</f>
        <v>0</v>
      </c>
      <c r="BR460" s="32">
        <f>IF(BH460="","",IF(BK460="","",IF(OR(BK460&lt;RepFrom,BK460&gt;RepTo),"",IF(BN460="","",BN460+ROW()/1000000))))</f>
        <v>0</v>
      </c>
      <c r="BS460" s="32">
        <f>IF(BM460="","",IF(BK460="","",IF(YEAR(BK460)&lt;&gt;PlanYear,"",BM460+ROW()/1000000)))</f>
        <v>0</v>
      </c>
      <c r="BT460" s="17">
        <f>IF(Lists!$F460="","",Lists!$F460)</f>
        <v>0</v>
      </c>
      <c r="BU460" s="23">
        <f>IF(BT460="","",COUNTIF('Content Calendar'!$X$5:$X$604,BT460))</f>
        <v>0</v>
      </c>
      <c r="BV460" s="23">
        <f>IF(BT460="","",COUNTIFS('Content Calendar'!$X$5:$X$604,BT460,'Content Calendar'!$B$5:$B$604,"&gt;="&amp;DashStart,'Content Calendar'!$B$5:$B$604,"&lt;="&amp;DashEnd))</f>
        <v>0</v>
      </c>
      <c r="BW460" s="17">
        <f>IF(Team!$B$460="","",Team!$B$460)</f>
        <v>0</v>
      </c>
      <c r="BX460" s="23">
        <f>IF(BW460="","",COUNTIF('Content Calendar'!$W$5:$W$604,BW460))</f>
        <v>0</v>
      </c>
      <c r="BY460" s="23">
        <f>IF(BW460="","",COUNTIFS('Content Calendar'!$W$5:$W$604,BW460,'Content Calendar'!$X$5:$X$604,"&lt;&gt;Published"))</f>
        <v>0</v>
      </c>
      <c r="BZ460" s="23">
        <f>IF(BW460="","",COUNTIFS(Tasks!$C$5:$C$64,BW460,Tasks!$G$5:$G$64,"&lt;&gt;Complete"))</f>
        <v>0</v>
      </c>
      <c r="CA460" s="17">
        <f>IF(Campaigns!$B$460="","",Campaigns!$B$460)</f>
        <v>0</v>
      </c>
      <c r="CB460" s="25">
        <f>IF(Campaigns!$T$460="","",Campaigns!$T$460)</f>
        <v>0</v>
      </c>
      <c r="CC460" s="25">
        <f>IF(Campaigns!$Q$460="","",Campaigns!$Q$460)</f>
        <v>0</v>
      </c>
      <c r="CD460" s="23">
        <f>IF(Campaigns!$Y$460="","",Campaigns!$Y$460)</f>
        <v>0</v>
      </c>
      <c r="CE460" s="32">
        <f>IF(CA460="","",IF(N(CB460)&lt;=0,"",N(CB460)+ROW()/1000000))</f>
        <v>0</v>
      </c>
      <c r="CF460" s="17">
        <f>IF(Accounts!$C$460="","",Accounts!$C$460)</f>
        <v>0</v>
      </c>
      <c r="CG460" s="17">
        <f>IF(Accounts!$B$460="","",Accounts!$B$460)</f>
        <v>0</v>
      </c>
      <c r="CH460" s="23">
        <f>IF(Accounts!$J$460="","",Accounts!$J$460)</f>
        <v>0</v>
      </c>
      <c r="CI460" s="23">
        <f>IF(CF460="","",SUMIFS(Analytics!$X$5:$X$154,Analytics!$E$5:$E$154,CF460,Analytics!$B$5:$B$154,"&gt;="&amp;DashStart,Analytics!$B$5:$B$154,"&lt;="&amp;DashEnd))</f>
        <v>0</v>
      </c>
      <c r="CJ460" s="32">
        <f>IF(CH460="","",IF(CH460=0,"",CH460+ROW()/1000000))</f>
        <v>0</v>
      </c>
    </row>
    <row r="461" spans="1:88">
      <c r="A461" s="16">
        <f>IF(ROW()-4&gt;12,"",DATE(PlanYear,ROW()-4,1))</f>
        <v>0</v>
      </c>
      <c r="B461" s="16">
        <f>IF(A461="","",EOMONTH(A461,0))</f>
        <v>0</v>
      </c>
      <c r="C461" s="17">
        <f>IF(A461="","",TEXT(A461,"yyyy-mm"))</f>
        <v>0</v>
      </c>
      <c r="D461" s="17">
        <f>IF(A461="","",TEXT(A461,"mmm"))</f>
        <v>0</v>
      </c>
      <c r="E461" s="23">
        <f>IF(C461="","",COUNTIFS('Content Calendar'!$D$5:$D$604,C461))</f>
        <v>0</v>
      </c>
      <c r="F461" s="23">
        <f>IF(C461="","",COUNTIFS('Content Calendar'!$D$5:$D$604,C461,'Content Calendar'!$X$5:$X$604,"Published"))</f>
        <v>0</v>
      </c>
      <c r="G461" s="23">
        <f>IF(C461="","",SUMIFS(Analytics!$J$5:$J$154,Analytics!$C$5:$C$154,C461))</f>
        <v>0</v>
      </c>
      <c r="H461" s="23">
        <f>IF(C461="","",SUMIFS(Analytics!$K$5:$K$154,Analytics!$C$5:$C$154,C461))</f>
        <v>0</v>
      </c>
      <c r="I461" s="23">
        <f>IF(C461="","",SUMIFS(Analytics!$L$5:$L$154,Analytics!$C$5:$C$154,C461))</f>
        <v>0</v>
      </c>
      <c r="J461" s="24">
        <f>IF(OR(G461="",G461=0),"",I461/G461)</f>
        <v>0</v>
      </c>
      <c r="K461" s="23">
        <f>IF(C461="","",SUMIFS(Analytics!$G$5:$G$154,Analytics!$C$5:$C$154,C461))</f>
        <v>0</v>
      </c>
      <c r="L461" s="23">
        <f>IF(C461="","",SUMIFS(Analytics!$X$5:$X$154,Analytics!$C$5:$C$154,C461))</f>
        <v>0</v>
      </c>
      <c r="M461" s="23">
        <f>IF(C461="","",SUMIFS(Analytics!$R$5:$R$154,Analytics!$C$5:$C$154,C461))</f>
        <v>0</v>
      </c>
      <c r="N461" s="23">
        <f>IF(C461="","",SUMIFS(Analytics!$S$5:$S$154,Analytics!$C$5:$C$154,C461))</f>
        <v>0</v>
      </c>
      <c r="O461" s="23">
        <f>IF(C461="","",SUMIFS(Analytics!$T$5:$T$154,Analytics!$C$5:$C$154,C461))</f>
        <v>0</v>
      </c>
      <c r="P461" s="25">
        <f>IF(C461="","",SUMIFS(Analytics!$U$5:$U$154,Analytics!$C$5:$C$154,C461))</f>
        <v>0</v>
      </c>
      <c r="Q461" s="25">
        <f>IF(C461="","",SUMIFS(Budget!$H$5:$H$64,Budget!$C$5:$C$64,C461))</f>
        <v>0</v>
      </c>
      <c r="R461" s="25">
        <f>IF(C461="","",P461-Q461)</f>
        <v>0</v>
      </c>
      <c r="S461" s="23">
        <f>IF(C461="","",MonthlyPostTarget)</f>
        <v>0</v>
      </c>
      <c r="T461" s="17">
        <f>IF(Lists!$C461="","",Lists!$C461)</f>
        <v>0</v>
      </c>
      <c r="U461" s="23">
        <f>IF(T461="","",COUNTIFS('Content Calendar'!$G$5:$G$604,T461,'Content Calendar'!$B$5:$B$604,"&gt;="&amp;DashStart,'Content Calendar'!$B$5:$B$604,"&lt;="&amp;DashEnd))</f>
        <v>0</v>
      </c>
      <c r="V461" s="23">
        <f>IF(T461="","",COUNTIFS('Content Calendar'!$G$5:$G$604,T461,'Content Calendar'!$X$5:$X$604,"Published",'Content Calendar'!$B$5:$B$604,"&gt;="&amp;DashStart,'Content Calendar'!$B$5:$B$604,"&lt;="&amp;DashEnd))</f>
        <v>0</v>
      </c>
      <c r="W461" s="23">
        <f>IF(T461="","",SUMIFS(Analytics!$J$5:$J$154,Analytics!$D$5:$D$154,T461,Analytics!$B$5:$B$154,"&gt;="&amp;DashStart,Analytics!$B$5:$B$154,"&lt;="&amp;DashEnd))</f>
        <v>0</v>
      </c>
      <c r="X461" s="23">
        <f>IF(T461="","",SUMIFS(Analytics!$L$5:$L$154,Analytics!$D$5:$D$154,T461,Analytics!$B$5:$B$154,"&gt;="&amp;DashStart,Analytics!$B$5:$B$154,"&lt;="&amp;DashEnd))</f>
        <v>0</v>
      </c>
      <c r="Y461" s="24">
        <f>IF(OR(W461="",W461=0),"",X461/W461)</f>
        <v>0</v>
      </c>
      <c r="Z461" s="23">
        <f>IF(T461="","",SUMIFS(Analytics!$G$5:$G$154,Analytics!$D$5:$D$154,T461,Analytics!$B$5:$B$154,"&gt;="&amp;DashStart,Analytics!$B$5:$B$154,"&lt;="&amp;DashEnd))</f>
        <v>0</v>
      </c>
      <c r="AA461" s="23">
        <f>IF(T461="","",SUMIFS(Analytics!$X$5:$X$154,Analytics!$D$5:$D$154,T461,Analytics!$B$5:$B$154,"&gt;="&amp;DashStart,Analytics!$B$5:$B$154,"&lt;="&amp;DashEnd))</f>
        <v>0</v>
      </c>
      <c r="AB461" s="23">
        <f>IF(T461="","",SUMIFS(Analytics!$R$5:$R$154,Analytics!$D$5:$D$154,T461,Analytics!$B$5:$B$154,"&gt;="&amp;DashStart,Analytics!$B$5:$B$154,"&lt;="&amp;DashEnd))</f>
        <v>0</v>
      </c>
      <c r="AC461" s="25">
        <f>IF(T461="","",SUMIFS(Analytics!$U$5:$U$154,Analytics!$D$5:$D$154,T461,Analytics!$B$5:$B$154,"&gt;="&amp;DashStart,Analytics!$B$5:$B$154,"&lt;="&amp;DashEnd))</f>
        <v>0</v>
      </c>
      <c r="AD461" s="23">
        <f>IF(T461="","",COUNTIFS('Content Calendar'!$G$5:$G$604,T461,'Content Calendar'!$B$5:$B$604,"&gt;="&amp;DATE(PlanYear,1,1),'Content Calendar'!$B$5:$B$604,"&lt;="&amp;DATE(PlanYear,12,31)))</f>
        <v>0</v>
      </c>
      <c r="AE461" s="23">
        <f>IF(T461="","",SUMIFS(Analytics!$J$5:$J$154,Analytics!$D$5:$D$154,T461))</f>
        <v>0</v>
      </c>
      <c r="AF461" s="23">
        <f>IF(T461="","",SUMIFS(Analytics!$L$5:$L$154,Analytics!$D$5:$D$154,T461))</f>
        <v>0</v>
      </c>
      <c r="AG461" s="24">
        <f>IF(OR(AE461="",AE461=0),"",AF461/AE461)</f>
        <v>0</v>
      </c>
      <c r="AH461" s="23">
        <f>IF(T461="","",SUMIFS(Analytics!$X$5:$X$154,Analytics!$D$5:$D$154,T461))</f>
        <v>0</v>
      </c>
      <c r="AI461" s="32">
        <f>IF(T461="","",IF(AE461=0,"",AE461+ROW()/1000000))</f>
        <v>0</v>
      </c>
      <c r="AJ461" s="17">
        <f>IF('Content Pillars'!$B$461="","",'Content Pillars'!$B$461)</f>
        <v>0</v>
      </c>
      <c r="AK461" s="23">
        <f>IF(AJ461="","",COUNTIFS('Content Calendar'!$J$5:$J$604,AJ461,'Content Calendar'!$B$5:$B$604,"&gt;="&amp;DATE(PlanYear,1,1),'Content Calendar'!$B$5:$B$604,"&lt;="&amp;DATE(PlanYear,12,31)))</f>
        <v>0</v>
      </c>
      <c r="AL461" s="23">
        <f>IF(AJ461="","",SUMIFS(Performance!$O$5:$O$404,Performance!$H$5:$H$404,AJ461))</f>
        <v>0</v>
      </c>
      <c r="AM461" s="23">
        <f>IF(AJ461="","",SUMIFS(Performance!$Z$5:$Z$404,Performance!$H$5:$H$404,AJ461))</f>
        <v>0</v>
      </c>
      <c r="AN461" s="24">
        <f>IF(OR(AL461="",AL461=0),"",AM461/AL461)</f>
        <v>0</v>
      </c>
      <c r="AO461" s="32">
        <f>IF(AN461="","",AN461+ROW()/1000000)</f>
        <v>0</v>
      </c>
      <c r="AP461" s="17">
        <f>IF(Lists!$E461="","",Lists!$E461)</f>
        <v>0</v>
      </c>
      <c r="AQ461" s="23">
        <f>IF(AP461="","",COUNTIF(Performance!$G$5:$G$404,AP461))</f>
        <v>0</v>
      </c>
      <c r="AR461" s="23">
        <f>IF(AP461="","",SUMIFS(Performance!$O$5:$O$404,Performance!$G$5:$G$404,AP461))</f>
        <v>0</v>
      </c>
      <c r="AS461" s="23">
        <f>IF(AP461="","",SUMIFS(Performance!$Z$5:$Z$404,Performance!$G$5:$G$404,AP461))</f>
        <v>0</v>
      </c>
      <c r="AT461" s="24">
        <f>IF(OR(AR461="",AR461=0),"",AS461/AR461)</f>
        <v>0</v>
      </c>
      <c r="AU461" s="32">
        <f>IF(AQ461=0,"",IF(AT461="","",AT461+ROW()/1000000))</f>
        <v>0</v>
      </c>
      <c r="AV461" s="17">
        <f>IF(ROW()-4&gt;7,"",TEXT(DATE(2024,1,ROW()-4),"ddd"))</f>
        <v>0</v>
      </c>
      <c r="AW461" s="23">
        <f>IF(AV461="","",COUNTIF(Performance!$N$5:$N$404,AV461))</f>
        <v>0</v>
      </c>
      <c r="AX461" s="23">
        <f>IF(AV461="","",SUMIFS(Performance!$O$5:$O$404,Performance!$N$5:$N$404,AV461))</f>
        <v>0</v>
      </c>
      <c r="AY461" s="23">
        <f>IF(AV461="","",SUMIFS(Performance!$Z$5:$Z$404,Performance!$N$5:$N$404,AV461))</f>
        <v>0</v>
      </c>
      <c r="AZ461" s="24">
        <f>IF(OR(AX461="",AX461=0),"",AY461/AX461)</f>
        <v>0</v>
      </c>
      <c r="BA461" s="32">
        <f>IF(AW461=0,"",IF(AZ461="","",AZ461+ROW()/1000000))</f>
        <v>0</v>
      </c>
      <c r="BB461" s="17">
        <f>IF(Lists!$AL461="","",Lists!$AL461)</f>
        <v>0</v>
      </c>
      <c r="BC461" s="23">
        <f>IF(BB461="","",COUNTIF(Performance!$M$5:$M$404,BB461))</f>
        <v>0</v>
      </c>
      <c r="BD461" s="23">
        <f>IF(BB461="","",SUMIFS(Performance!$O$5:$O$404,Performance!$M$5:$M$404,BB461))</f>
        <v>0</v>
      </c>
      <c r="BE461" s="23">
        <f>IF(BB461="","",SUMIFS(Performance!$Z$5:$Z$404,Performance!$M$5:$M$404,BB461))</f>
        <v>0</v>
      </c>
      <c r="BF461" s="24">
        <f>IF(OR(BD461="",BD461=0),"",BE461/BD461)</f>
        <v>0</v>
      </c>
      <c r="BG461" s="32">
        <f>IF(BC461=0,"",IF(BF461="","",BF461+ROW()/1000000))</f>
        <v>0</v>
      </c>
      <c r="BH461" s="17">
        <f>IF(Performance!$C$461="","",Performance!$C$461)</f>
        <v>0</v>
      </c>
      <c r="BI461" s="17">
        <f>IF(Performance!$F$461="","",Performance!$F$461)</f>
        <v>0</v>
      </c>
      <c r="BJ461" s="17">
        <f>IF(Performance!$H$461="","",Performance!$H$461)</f>
        <v>0</v>
      </c>
      <c r="BK461" s="16">
        <f>IF(Performance!$D$461="","",Performance!$D$461)</f>
        <v>0</v>
      </c>
      <c r="BL461" s="17">
        <f>IF(Performance!$E$461="","",Performance!$E$461)</f>
        <v>0</v>
      </c>
      <c r="BM461" s="23">
        <f>IF(Performance!$O$461="","",Performance!$O$461)</f>
        <v>0</v>
      </c>
      <c r="BN461" s="24">
        <f>IF(Performance!$AA$461="","",Performance!$AA$461)</f>
        <v>0</v>
      </c>
      <c r="BO461" s="32">
        <f>IF(BH461="","",IF(BK461="","",IF(OR(BK461&lt;DashStart,BK461&gt;DashEnd),"",IF(BN461="","",BN461+ROW()/1000000))))</f>
        <v>0</v>
      </c>
      <c r="BP461" s="32">
        <f>IF(BM461="","",IF(BK461="","",IF(OR(BK461&lt;DashStart,BK461&gt;DashEnd),"",BM461+ROW()/1000000)))</f>
        <v>0</v>
      </c>
      <c r="BQ461" s="32">
        <f>IF(BH461="","",IF(BK461="","",IF(YEAR(BK461)&lt;&gt;PlanYear,"",IF(BN461="","",BN461+ROW()/1000000))))</f>
        <v>0</v>
      </c>
      <c r="BR461" s="32">
        <f>IF(BH461="","",IF(BK461="","",IF(OR(BK461&lt;RepFrom,BK461&gt;RepTo),"",IF(BN461="","",BN461+ROW()/1000000))))</f>
        <v>0</v>
      </c>
      <c r="BS461" s="32">
        <f>IF(BM461="","",IF(BK461="","",IF(YEAR(BK461)&lt;&gt;PlanYear,"",BM461+ROW()/1000000)))</f>
        <v>0</v>
      </c>
      <c r="BT461" s="17">
        <f>IF(Lists!$F461="","",Lists!$F461)</f>
        <v>0</v>
      </c>
      <c r="BU461" s="23">
        <f>IF(BT461="","",COUNTIF('Content Calendar'!$X$5:$X$604,BT461))</f>
        <v>0</v>
      </c>
      <c r="BV461" s="23">
        <f>IF(BT461="","",COUNTIFS('Content Calendar'!$X$5:$X$604,BT461,'Content Calendar'!$B$5:$B$604,"&gt;="&amp;DashStart,'Content Calendar'!$B$5:$B$604,"&lt;="&amp;DashEnd))</f>
        <v>0</v>
      </c>
      <c r="BW461" s="17">
        <f>IF(Team!$B$461="","",Team!$B$461)</f>
        <v>0</v>
      </c>
      <c r="BX461" s="23">
        <f>IF(BW461="","",COUNTIF('Content Calendar'!$W$5:$W$604,BW461))</f>
        <v>0</v>
      </c>
      <c r="BY461" s="23">
        <f>IF(BW461="","",COUNTIFS('Content Calendar'!$W$5:$W$604,BW461,'Content Calendar'!$X$5:$X$604,"&lt;&gt;Published"))</f>
        <v>0</v>
      </c>
      <c r="BZ461" s="23">
        <f>IF(BW461="","",COUNTIFS(Tasks!$C$5:$C$64,BW461,Tasks!$G$5:$G$64,"&lt;&gt;Complete"))</f>
        <v>0</v>
      </c>
      <c r="CA461" s="17">
        <f>IF(Campaigns!$B$461="","",Campaigns!$B$461)</f>
        <v>0</v>
      </c>
      <c r="CB461" s="25">
        <f>IF(Campaigns!$T$461="","",Campaigns!$T$461)</f>
        <v>0</v>
      </c>
      <c r="CC461" s="25">
        <f>IF(Campaigns!$Q$461="","",Campaigns!$Q$461)</f>
        <v>0</v>
      </c>
      <c r="CD461" s="23">
        <f>IF(Campaigns!$Y$461="","",Campaigns!$Y$461)</f>
        <v>0</v>
      </c>
      <c r="CE461" s="32">
        <f>IF(CA461="","",IF(N(CB461)&lt;=0,"",N(CB461)+ROW()/1000000))</f>
        <v>0</v>
      </c>
      <c r="CF461" s="17">
        <f>IF(Accounts!$C$461="","",Accounts!$C$461)</f>
        <v>0</v>
      </c>
      <c r="CG461" s="17">
        <f>IF(Accounts!$B$461="","",Accounts!$B$461)</f>
        <v>0</v>
      </c>
      <c r="CH461" s="23">
        <f>IF(Accounts!$J$461="","",Accounts!$J$461)</f>
        <v>0</v>
      </c>
      <c r="CI461" s="23">
        <f>IF(CF461="","",SUMIFS(Analytics!$X$5:$X$154,Analytics!$E$5:$E$154,CF461,Analytics!$B$5:$B$154,"&gt;="&amp;DashStart,Analytics!$B$5:$B$154,"&lt;="&amp;DashEnd))</f>
        <v>0</v>
      </c>
      <c r="CJ461" s="32">
        <f>IF(CH461="","",IF(CH461=0,"",CH461+ROW()/1000000))</f>
        <v>0</v>
      </c>
    </row>
    <row r="462" spans="1:88">
      <c r="A462" s="16">
        <f>IF(ROW()-4&gt;12,"",DATE(PlanYear,ROW()-4,1))</f>
        <v>0</v>
      </c>
      <c r="B462" s="16">
        <f>IF(A462="","",EOMONTH(A462,0))</f>
        <v>0</v>
      </c>
      <c r="C462" s="17">
        <f>IF(A462="","",TEXT(A462,"yyyy-mm"))</f>
        <v>0</v>
      </c>
      <c r="D462" s="17">
        <f>IF(A462="","",TEXT(A462,"mmm"))</f>
        <v>0</v>
      </c>
      <c r="E462" s="23">
        <f>IF(C462="","",COUNTIFS('Content Calendar'!$D$5:$D$604,C462))</f>
        <v>0</v>
      </c>
      <c r="F462" s="23">
        <f>IF(C462="","",COUNTIFS('Content Calendar'!$D$5:$D$604,C462,'Content Calendar'!$X$5:$X$604,"Published"))</f>
        <v>0</v>
      </c>
      <c r="G462" s="23">
        <f>IF(C462="","",SUMIFS(Analytics!$J$5:$J$154,Analytics!$C$5:$C$154,C462))</f>
        <v>0</v>
      </c>
      <c r="H462" s="23">
        <f>IF(C462="","",SUMIFS(Analytics!$K$5:$K$154,Analytics!$C$5:$C$154,C462))</f>
        <v>0</v>
      </c>
      <c r="I462" s="23">
        <f>IF(C462="","",SUMIFS(Analytics!$L$5:$L$154,Analytics!$C$5:$C$154,C462))</f>
        <v>0</v>
      </c>
      <c r="J462" s="24">
        <f>IF(OR(G462="",G462=0),"",I462/G462)</f>
        <v>0</v>
      </c>
      <c r="K462" s="23">
        <f>IF(C462="","",SUMIFS(Analytics!$G$5:$G$154,Analytics!$C$5:$C$154,C462))</f>
        <v>0</v>
      </c>
      <c r="L462" s="23">
        <f>IF(C462="","",SUMIFS(Analytics!$X$5:$X$154,Analytics!$C$5:$C$154,C462))</f>
        <v>0</v>
      </c>
      <c r="M462" s="23">
        <f>IF(C462="","",SUMIFS(Analytics!$R$5:$R$154,Analytics!$C$5:$C$154,C462))</f>
        <v>0</v>
      </c>
      <c r="N462" s="23">
        <f>IF(C462="","",SUMIFS(Analytics!$S$5:$S$154,Analytics!$C$5:$C$154,C462))</f>
        <v>0</v>
      </c>
      <c r="O462" s="23">
        <f>IF(C462="","",SUMIFS(Analytics!$T$5:$T$154,Analytics!$C$5:$C$154,C462))</f>
        <v>0</v>
      </c>
      <c r="P462" s="25">
        <f>IF(C462="","",SUMIFS(Analytics!$U$5:$U$154,Analytics!$C$5:$C$154,C462))</f>
        <v>0</v>
      </c>
      <c r="Q462" s="25">
        <f>IF(C462="","",SUMIFS(Budget!$H$5:$H$64,Budget!$C$5:$C$64,C462))</f>
        <v>0</v>
      </c>
      <c r="R462" s="25">
        <f>IF(C462="","",P462-Q462)</f>
        <v>0</v>
      </c>
      <c r="S462" s="23">
        <f>IF(C462="","",MonthlyPostTarget)</f>
        <v>0</v>
      </c>
      <c r="T462" s="17">
        <f>IF(Lists!$C462="","",Lists!$C462)</f>
        <v>0</v>
      </c>
      <c r="U462" s="23">
        <f>IF(T462="","",COUNTIFS('Content Calendar'!$G$5:$G$604,T462,'Content Calendar'!$B$5:$B$604,"&gt;="&amp;DashStart,'Content Calendar'!$B$5:$B$604,"&lt;="&amp;DashEnd))</f>
        <v>0</v>
      </c>
      <c r="V462" s="23">
        <f>IF(T462="","",COUNTIFS('Content Calendar'!$G$5:$G$604,T462,'Content Calendar'!$X$5:$X$604,"Published",'Content Calendar'!$B$5:$B$604,"&gt;="&amp;DashStart,'Content Calendar'!$B$5:$B$604,"&lt;="&amp;DashEnd))</f>
        <v>0</v>
      </c>
      <c r="W462" s="23">
        <f>IF(T462="","",SUMIFS(Analytics!$J$5:$J$154,Analytics!$D$5:$D$154,T462,Analytics!$B$5:$B$154,"&gt;="&amp;DashStart,Analytics!$B$5:$B$154,"&lt;="&amp;DashEnd))</f>
        <v>0</v>
      </c>
      <c r="X462" s="23">
        <f>IF(T462="","",SUMIFS(Analytics!$L$5:$L$154,Analytics!$D$5:$D$154,T462,Analytics!$B$5:$B$154,"&gt;="&amp;DashStart,Analytics!$B$5:$B$154,"&lt;="&amp;DashEnd))</f>
        <v>0</v>
      </c>
      <c r="Y462" s="24">
        <f>IF(OR(W462="",W462=0),"",X462/W462)</f>
        <v>0</v>
      </c>
      <c r="Z462" s="23">
        <f>IF(T462="","",SUMIFS(Analytics!$G$5:$G$154,Analytics!$D$5:$D$154,T462,Analytics!$B$5:$B$154,"&gt;="&amp;DashStart,Analytics!$B$5:$B$154,"&lt;="&amp;DashEnd))</f>
        <v>0</v>
      </c>
      <c r="AA462" s="23">
        <f>IF(T462="","",SUMIFS(Analytics!$X$5:$X$154,Analytics!$D$5:$D$154,T462,Analytics!$B$5:$B$154,"&gt;="&amp;DashStart,Analytics!$B$5:$B$154,"&lt;="&amp;DashEnd))</f>
        <v>0</v>
      </c>
      <c r="AB462" s="23">
        <f>IF(T462="","",SUMIFS(Analytics!$R$5:$R$154,Analytics!$D$5:$D$154,T462,Analytics!$B$5:$B$154,"&gt;="&amp;DashStart,Analytics!$B$5:$B$154,"&lt;="&amp;DashEnd))</f>
        <v>0</v>
      </c>
      <c r="AC462" s="25">
        <f>IF(T462="","",SUMIFS(Analytics!$U$5:$U$154,Analytics!$D$5:$D$154,T462,Analytics!$B$5:$B$154,"&gt;="&amp;DashStart,Analytics!$B$5:$B$154,"&lt;="&amp;DashEnd))</f>
        <v>0</v>
      </c>
      <c r="AD462" s="23">
        <f>IF(T462="","",COUNTIFS('Content Calendar'!$G$5:$G$604,T462,'Content Calendar'!$B$5:$B$604,"&gt;="&amp;DATE(PlanYear,1,1),'Content Calendar'!$B$5:$B$604,"&lt;="&amp;DATE(PlanYear,12,31)))</f>
        <v>0</v>
      </c>
      <c r="AE462" s="23">
        <f>IF(T462="","",SUMIFS(Analytics!$J$5:$J$154,Analytics!$D$5:$D$154,T462))</f>
        <v>0</v>
      </c>
      <c r="AF462" s="23">
        <f>IF(T462="","",SUMIFS(Analytics!$L$5:$L$154,Analytics!$D$5:$D$154,T462))</f>
        <v>0</v>
      </c>
      <c r="AG462" s="24">
        <f>IF(OR(AE462="",AE462=0),"",AF462/AE462)</f>
        <v>0</v>
      </c>
      <c r="AH462" s="23">
        <f>IF(T462="","",SUMIFS(Analytics!$X$5:$X$154,Analytics!$D$5:$D$154,T462))</f>
        <v>0</v>
      </c>
      <c r="AI462" s="32">
        <f>IF(T462="","",IF(AE462=0,"",AE462+ROW()/1000000))</f>
        <v>0</v>
      </c>
      <c r="AJ462" s="17">
        <f>IF('Content Pillars'!$B$462="","",'Content Pillars'!$B$462)</f>
        <v>0</v>
      </c>
      <c r="AK462" s="23">
        <f>IF(AJ462="","",COUNTIFS('Content Calendar'!$J$5:$J$604,AJ462,'Content Calendar'!$B$5:$B$604,"&gt;="&amp;DATE(PlanYear,1,1),'Content Calendar'!$B$5:$B$604,"&lt;="&amp;DATE(PlanYear,12,31)))</f>
        <v>0</v>
      </c>
      <c r="AL462" s="23">
        <f>IF(AJ462="","",SUMIFS(Performance!$O$5:$O$404,Performance!$H$5:$H$404,AJ462))</f>
        <v>0</v>
      </c>
      <c r="AM462" s="23">
        <f>IF(AJ462="","",SUMIFS(Performance!$Z$5:$Z$404,Performance!$H$5:$H$404,AJ462))</f>
        <v>0</v>
      </c>
      <c r="AN462" s="24">
        <f>IF(OR(AL462="",AL462=0),"",AM462/AL462)</f>
        <v>0</v>
      </c>
      <c r="AO462" s="32">
        <f>IF(AN462="","",AN462+ROW()/1000000)</f>
        <v>0</v>
      </c>
      <c r="AP462" s="17">
        <f>IF(Lists!$E462="","",Lists!$E462)</f>
        <v>0</v>
      </c>
      <c r="AQ462" s="23">
        <f>IF(AP462="","",COUNTIF(Performance!$G$5:$G$404,AP462))</f>
        <v>0</v>
      </c>
      <c r="AR462" s="23">
        <f>IF(AP462="","",SUMIFS(Performance!$O$5:$O$404,Performance!$G$5:$G$404,AP462))</f>
        <v>0</v>
      </c>
      <c r="AS462" s="23">
        <f>IF(AP462="","",SUMIFS(Performance!$Z$5:$Z$404,Performance!$G$5:$G$404,AP462))</f>
        <v>0</v>
      </c>
      <c r="AT462" s="24">
        <f>IF(OR(AR462="",AR462=0),"",AS462/AR462)</f>
        <v>0</v>
      </c>
      <c r="AU462" s="32">
        <f>IF(AQ462=0,"",IF(AT462="","",AT462+ROW()/1000000))</f>
        <v>0</v>
      </c>
      <c r="AV462" s="17">
        <f>IF(ROW()-4&gt;7,"",TEXT(DATE(2024,1,ROW()-4),"ddd"))</f>
        <v>0</v>
      </c>
      <c r="AW462" s="23">
        <f>IF(AV462="","",COUNTIF(Performance!$N$5:$N$404,AV462))</f>
        <v>0</v>
      </c>
      <c r="AX462" s="23">
        <f>IF(AV462="","",SUMIFS(Performance!$O$5:$O$404,Performance!$N$5:$N$404,AV462))</f>
        <v>0</v>
      </c>
      <c r="AY462" s="23">
        <f>IF(AV462="","",SUMIFS(Performance!$Z$5:$Z$404,Performance!$N$5:$N$404,AV462))</f>
        <v>0</v>
      </c>
      <c r="AZ462" s="24">
        <f>IF(OR(AX462="",AX462=0),"",AY462/AX462)</f>
        <v>0</v>
      </c>
      <c r="BA462" s="32">
        <f>IF(AW462=0,"",IF(AZ462="","",AZ462+ROW()/1000000))</f>
        <v>0</v>
      </c>
      <c r="BB462" s="17">
        <f>IF(Lists!$AL462="","",Lists!$AL462)</f>
        <v>0</v>
      </c>
      <c r="BC462" s="23">
        <f>IF(BB462="","",COUNTIF(Performance!$M$5:$M$404,BB462))</f>
        <v>0</v>
      </c>
      <c r="BD462" s="23">
        <f>IF(BB462="","",SUMIFS(Performance!$O$5:$O$404,Performance!$M$5:$M$404,BB462))</f>
        <v>0</v>
      </c>
      <c r="BE462" s="23">
        <f>IF(BB462="","",SUMIFS(Performance!$Z$5:$Z$404,Performance!$M$5:$M$404,BB462))</f>
        <v>0</v>
      </c>
      <c r="BF462" s="24">
        <f>IF(OR(BD462="",BD462=0),"",BE462/BD462)</f>
        <v>0</v>
      </c>
      <c r="BG462" s="32">
        <f>IF(BC462=0,"",IF(BF462="","",BF462+ROW()/1000000))</f>
        <v>0</v>
      </c>
      <c r="BH462" s="17">
        <f>IF(Performance!$C$462="","",Performance!$C$462)</f>
        <v>0</v>
      </c>
      <c r="BI462" s="17">
        <f>IF(Performance!$F$462="","",Performance!$F$462)</f>
        <v>0</v>
      </c>
      <c r="BJ462" s="17">
        <f>IF(Performance!$H$462="","",Performance!$H$462)</f>
        <v>0</v>
      </c>
      <c r="BK462" s="16">
        <f>IF(Performance!$D$462="","",Performance!$D$462)</f>
        <v>0</v>
      </c>
      <c r="BL462" s="17">
        <f>IF(Performance!$E$462="","",Performance!$E$462)</f>
        <v>0</v>
      </c>
      <c r="BM462" s="23">
        <f>IF(Performance!$O$462="","",Performance!$O$462)</f>
        <v>0</v>
      </c>
      <c r="BN462" s="24">
        <f>IF(Performance!$AA$462="","",Performance!$AA$462)</f>
        <v>0</v>
      </c>
      <c r="BO462" s="32">
        <f>IF(BH462="","",IF(BK462="","",IF(OR(BK462&lt;DashStart,BK462&gt;DashEnd),"",IF(BN462="","",BN462+ROW()/1000000))))</f>
        <v>0</v>
      </c>
      <c r="BP462" s="32">
        <f>IF(BM462="","",IF(BK462="","",IF(OR(BK462&lt;DashStart,BK462&gt;DashEnd),"",BM462+ROW()/1000000)))</f>
        <v>0</v>
      </c>
      <c r="BQ462" s="32">
        <f>IF(BH462="","",IF(BK462="","",IF(YEAR(BK462)&lt;&gt;PlanYear,"",IF(BN462="","",BN462+ROW()/1000000))))</f>
        <v>0</v>
      </c>
      <c r="BR462" s="32">
        <f>IF(BH462="","",IF(BK462="","",IF(OR(BK462&lt;RepFrom,BK462&gt;RepTo),"",IF(BN462="","",BN462+ROW()/1000000))))</f>
        <v>0</v>
      </c>
      <c r="BS462" s="32">
        <f>IF(BM462="","",IF(BK462="","",IF(YEAR(BK462)&lt;&gt;PlanYear,"",BM462+ROW()/1000000)))</f>
        <v>0</v>
      </c>
      <c r="BT462" s="17">
        <f>IF(Lists!$F462="","",Lists!$F462)</f>
        <v>0</v>
      </c>
      <c r="BU462" s="23">
        <f>IF(BT462="","",COUNTIF('Content Calendar'!$X$5:$X$604,BT462))</f>
        <v>0</v>
      </c>
      <c r="BV462" s="23">
        <f>IF(BT462="","",COUNTIFS('Content Calendar'!$X$5:$X$604,BT462,'Content Calendar'!$B$5:$B$604,"&gt;="&amp;DashStart,'Content Calendar'!$B$5:$B$604,"&lt;="&amp;DashEnd))</f>
        <v>0</v>
      </c>
      <c r="BW462" s="17">
        <f>IF(Team!$B$462="","",Team!$B$462)</f>
        <v>0</v>
      </c>
      <c r="BX462" s="23">
        <f>IF(BW462="","",COUNTIF('Content Calendar'!$W$5:$W$604,BW462))</f>
        <v>0</v>
      </c>
      <c r="BY462" s="23">
        <f>IF(BW462="","",COUNTIFS('Content Calendar'!$W$5:$W$604,BW462,'Content Calendar'!$X$5:$X$604,"&lt;&gt;Published"))</f>
        <v>0</v>
      </c>
      <c r="BZ462" s="23">
        <f>IF(BW462="","",COUNTIFS(Tasks!$C$5:$C$64,BW462,Tasks!$G$5:$G$64,"&lt;&gt;Complete"))</f>
        <v>0</v>
      </c>
      <c r="CA462" s="17">
        <f>IF(Campaigns!$B$462="","",Campaigns!$B$462)</f>
        <v>0</v>
      </c>
      <c r="CB462" s="25">
        <f>IF(Campaigns!$T$462="","",Campaigns!$T$462)</f>
        <v>0</v>
      </c>
      <c r="CC462" s="25">
        <f>IF(Campaigns!$Q$462="","",Campaigns!$Q$462)</f>
        <v>0</v>
      </c>
      <c r="CD462" s="23">
        <f>IF(Campaigns!$Y$462="","",Campaigns!$Y$462)</f>
        <v>0</v>
      </c>
      <c r="CE462" s="32">
        <f>IF(CA462="","",IF(N(CB462)&lt;=0,"",N(CB462)+ROW()/1000000))</f>
        <v>0</v>
      </c>
      <c r="CF462" s="17">
        <f>IF(Accounts!$C$462="","",Accounts!$C$462)</f>
        <v>0</v>
      </c>
      <c r="CG462" s="17">
        <f>IF(Accounts!$B$462="","",Accounts!$B$462)</f>
        <v>0</v>
      </c>
      <c r="CH462" s="23">
        <f>IF(Accounts!$J$462="","",Accounts!$J$462)</f>
        <v>0</v>
      </c>
      <c r="CI462" s="23">
        <f>IF(CF462="","",SUMIFS(Analytics!$X$5:$X$154,Analytics!$E$5:$E$154,CF462,Analytics!$B$5:$B$154,"&gt;="&amp;DashStart,Analytics!$B$5:$B$154,"&lt;="&amp;DashEnd))</f>
        <v>0</v>
      </c>
      <c r="CJ462" s="32">
        <f>IF(CH462="","",IF(CH462=0,"",CH462+ROW()/1000000))</f>
        <v>0</v>
      </c>
    </row>
    <row r="463" spans="1:88">
      <c r="A463" s="16">
        <f>IF(ROW()-4&gt;12,"",DATE(PlanYear,ROW()-4,1))</f>
        <v>0</v>
      </c>
      <c r="B463" s="16">
        <f>IF(A463="","",EOMONTH(A463,0))</f>
        <v>0</v>
      </c>
      <c r="C463" s="17">
        <f>IF(A463="","",TEXT(A463,"yyyy-mm"))</f>
        <v>0</v>
      </c>
      <c r="D463" s="17">
        <f>IF(A463="","",TEXT(A463,"mmm"))</f>
        <v>0</v>
      </c>
      <c r="E463" s="23">
        <f>IF(C463="","",COUNTIFS('Content Calendar'!$D$5:$D$604,C463))</f>
        <v>0</v>
      </c>
      <c r="F463" s="23">
        <f>IF(C463="","",COUNTIFS('Content Calendar'!$D$5:$D$604,C463,'Content Calendar'!$X$5:$X$604,"Published"))</f>
        <v>0</v>
      </c>
      <c r="G463" s="23">
        <f>IF(C463="","",SUMIFS(Analytics!$J$5:$J$154,Analytics!$C$5:$C$154,C463))</f>
        <v>0</v>
      </c>
      <c r="H463" s="23">
        <f>IF(C463="","",SUMIFS(Analytics!$K$5:$K$154,Analytics!$C$5:$C$154,C463))</f>
        <v>0</v>
      </c>
      <c r="I463" s="23">
        <f>IF(C463="","",SUMIFS(Analytics!$L$5:$L$154,Analytics!$C$5:$C$154,C463))</f>
        <v>0</v>
      </c>
      <c r="J463" s="24">
        <f>IF(OR(G463="",G463=0),"",I463/G463)</f>
        <v>0</v>
      </c>
      <c r="K463" s="23">
        <f>IF(C463="","",SUMIFS(Analytics!$G$5:$G$154,Analytics!$C$5:$C$154,C463))</f>
        <v>0</v>
      </c>
      <c r="L463" s="23">
        <f>IF(C463="","",SUMIFS(Analytics!$X$5:$X$154,Analytics!$C$5:$C$154,C463))</f>
        <v>0</v>
      </c>
      <c r="M463" s="23">
        <f>IF(C463="","",SUMIFS(Analytics!$R$5:$R$154,Analytics!$C$5:$C$154,C463))</f>
        <v>0</v>
      </c>
      <c r="N463" s="23">
        <f>IF(C463="","",SUMIFS(Analytics!$S$5:$S$154,Analytics!$C$5:$C$154,C463))</f>
        <v>0</v>
      </c>
      <c r="O463" s="23">
        <f>IF(C463="","",SUMIFS(Analytics!$T$5:$T$154,Analytics!$C$5:$C$154,C463))</f>
        <v>0</v>
      </c>
      <c r="P463" s="25">
        <f>IF(C463="","",SUMIFS(Analytics!$U$5:$U$154,Analytics!$C$5:$C$154,C463))</f>
        <v>0</v>
      </c>
      <c r="Q463" s="25">
        <f>IF(C463="","",SUMIFS(Budget!$H$5:$H$64,Budget!$C$5:$C$64,C463))</f>
        <v>0</v>
      </c>
      <c r="R463" s="25">
        <f>IF(C463="","",P463-Q463)</f>
        <v>0</v>
      </c>
      <c r="S463" s="23">
        <f>IF(C463="","",MonthlyPostTarget)</f>
        <v>0</v>
      </c>
      <c r="T463" s="17">
        <f>IF(Lists!$C463="","",Lists!$C463)</f>
        <v>0</v>
      </c>
      <c r="U463" s="23">
        <f>IF(T463="","",COUNTIFS('Content Calendar'!$G$5:$G$604,T463,'Content Calendar'!$B$5:$B$604,"&gt;="&amp;DashStart,'Content Calendar'!$B$5:$B$604,"&lt;="&amp;DashEnd))</f>
        <v>0</v>
      </c>
      <c r="V463" s="23">
        <f>IF(T463="","",COUNTIFS('Content Calendar'!$G$5:$G$604,T463,'Content Calendar'!$X$5:$X$604,"Published",'Content Calendar'!$B$5:$B$604,"&gt;="&amp;DashStart,'Content Calendar'!$B$5:$B$604,"&lt;="&amp;DashEnd))</f>
        <v>0</v>
      </c>
      <c r="W463" s="23">
        <f>IF(T463="","",SUMIFS(Analytics!$J$5:$J$154,Analytics!$D$5:$D$154,T463,Analytics!$B$5:$B$154,"&gt;="&amp;DashStart,Analytics!$B$5:$B$154,"&lt;="&amp;DashEnd))</f>
        <v>0</v>
      </c>
      <c r="X463" s="23">
        <f>IF(T463="","",SUMIFS(Analytics!$L$5:$L$154,Analytics!$D$5:$D$154,T463,Analytics!$B$5:$B$154,"&gt;="&amp;DashStart,Analytics!$B$5:$B$154,"&lt;="&amp;DashEnd))</f>
        <v>0</v>
      </c>
      <c r="Y463" s="24">
        <f>IF(OR(W463="",W463=0),"",X463/W463)</f>
        <v>0</v>
      </c>
      <c r="Z463" s="23">
        <f>IF(T463="","",SUMIFS(Analytics!$G$5:$G$154,Analytics!$D$5:$D$154,T463,Analytics!$B$5:$B$154,"&gt;="&amp;DashStart,Analytics!$B$5:$B$154,"&lt;="&amp;DashEnd))</f>
        <v>0</v>
      </c>
      <c r="AA463" s="23">
        <f>IF(T463="","",SUMIFS(Analytics!$X$5:$X$154,Analytics!$D$5:$D$154,T463,Analytics!$B$5:$B$154,"&gt;="&amp;DashStart,Analytics!$B$5:$B$154,"&lt;="&amp;DashEnd))</f>
        <v>0</v>
      </c>
      <c r="AB463" s="23">
        <f>IF(T463="","",SUMIFS(Analytics!$R$5:$R$154,Analytics!$D$5:$D$154,T463,Analytics!$B$5:$B$154,"&gt;="&amp;DashStart,Analytics!$B$5:$B$154,"&lt;="&amp;DashEnd))</f>
        <v>0</v>
      </c>
      <c r="AC463" s="25">
        <f>IF(T463="","",SUMIFS(Analytics!$U$5:$U$154,Analytics!$D$5:$D$154,T463,Analytics!$B$5:$B$154,"&gt;="&amp;DashStart,Analytics!$B$5:$B$154,"&lt;="&amp;DashEnd))</f>
        <v>0</v>
      </c>
      <c r="AD463" s="23">
        <f>IF(T463="","",COUNTIFS('Content Calendar'!$G$5:$G$604,T463,'Content Calendar'!$B$5:$B$604,"&gt;="&amp;DATE(PlanYear,1,1),'Content Calendar'!$B$5:$B$604,"&lt;="&amp;DATE(PlanYear,12,31)))</f>
        <v>0</v>
      </c>
      <c r="AE463" s="23">
        <f>IF(T463="","",SUMIFS(Analytics!$J$5:$J$154,Analytics!$D$5:$D$154,T463))</f>
        <v>0</v>
      </c>
      <c r="AF463" s="23">
        <f>IF(T463="","",SUMIFS(Analytics!$L$5:$L$154,Analytics!$D$5:$D$154,T463))</f>
        <v>0</v>
      </c>
      <c r="AG463" s="24">
        <f>IF(OR(AE463="",AE463=0),"",AF463/AE463)</f>
        <v>0</v>
      </c>
      <c r="AH463" s="23">
        <f>IF(T463="","",SUMIFS(Analytics!$X$5:$X$154,Analytics!$D$5:$D$154,T463))</f>
        <v>0</v>
      </c>
      <c r="AI463" s="32">
        <f>IF(T463="","",IF(AE463=0,"",AE463+ROW()/1000000))</f>
        <v>0</v>
      </c>
      <c r="AJ463" s="17">
        <f>IF('Content Pillars'!$B$463="","",'Content Pillars'!$B$463)</f>
        <v>0</v>
      </c>
      <c r="AK463" s="23">
        <f>IF(AJ463="","",COUNTIFS('Content Calendar'!$J$5:$J$604,AJ463,'Content Calendar'!$B$5:$B$604,"&gt;="&amp;DATE(PlanYear,1,1),'Content Calendar'!$B$5:$B$604,"&lt;="&amp;DATE(PlanYear,12,31)))</f>
        <v>0</v>
      </c>
      <c r="AL463" s="23">
        <f>IF(AJ463="","",SUMIFS(Performance!$O$5:$O$404,Performance!$H$5:$H$404,AJ463))</f>
        <v>0</v>
      </c>
      <c r="AM463" s="23">
        <f>IF(AJ463="","",SUMIFS(Performance!$Z$5:$Z$404,Performance!$H$5:$H$404,AJ463))</f>
        <v>0</v>
      </c>
      <c r="AN463" s="24">
        <f>IF(OR(AL463="",AL463=0),"",AM463/AL463)</f>
        <v>0</v>
      </c>
      <c r="AO463" s="32">
        <f>IF(AN463="","",AN463+ROW()/1000000)</f>
        <v>0</v>
      </c>
      <c r="AP463" s="17">
        <f>IF(Lists!$E463="","",Lists!$E463)</f>
        <v>0</v>
      </c>
      <c r="AQ463" s="23">
        <f>IF(AP463="","",COUNTIF(Performance!$G$5:$G$404,AP463))</f>
        <v>0</v>
      </c>
      <c r="AR463" s="23">
        <f>IF(AP463="","",SUMIFS(Performance!$O$5:$O$404,Performance!$G$5:$G$404,AP463))</f>
        <v>0</v>
      </c>
      <c r="AS463" s="23">
        <f>IF(AP463="","",SUMIFS(Performance!$Z$5:$Z$404,Performance!$G$5:$G$404,AP463))</f>
        <v>0</v>
      </c>
      <c r="AT463" s="24">
        <f>IF(OR(AR463="",AR463=0),"",AS463/AR463)</f>
        <v>0</v>
      </c>
      <c r="AU463" s="32">
        <f>IF(AQ463=0,"",IF(AT463="","",AT463+ROW()/1000000))</f>
        <v>0</v>
      </c>
      <c r="AV463" s="17">
        <f>IF(ROW()-4&gt;7,"",TEXT(DATE(2024,1,ROW()-4),"ddd"))</f>
        <v>0</v>
      </c>
      <c r="AW463" s="23">
        <f>IF(AV463="","",COUNTIF(Performance!$N$5:$N$404,AV463))</f>
        <v>0</v>
      </c>
      <c r="AX463" s="23">
        <f>IF(AV463="","",SUMIFS(Performance!$O$5:$O$404,Performance!$N$5:$N$404,AV463))</f>
        <v>0</v>
      </c>
      <c r="AY463" s="23">
        <f>IF(AV463="","",SUMIFS(Performance!$Z$5:$Z$404,Performance!$N$5:$N$404,AV463))</f>
        <v>0</v>
      </c>
      <c r="AZ463" s="24">
        <f>IF(OR(AX463="",AX463=0),"",AY463/AX463)</f>
        <v>0</v>
      </c>
      <c r="BA463" s="32">
        <f>IF(AW463=0,"",IF(AZ463="","",AZ463+ROW()/1000000))</f>
        <v>0</v>
      </c>
      <c r="BB463" s="17">
        <f>IF(Lists!$AL463="","",Lists!$AL463)</f>
        <v>0</v>
      </c>
      <c r="BC463" s="23">
        <f>IF(BB463="","",COUNTIF(Performance!$M$5:$M$404,BB463))</f>
        <v>0</v>
      </c>
      <c r="BD463" s="23">
        <f>IF(BB463="","",SUMIFS(Performance!$O$5:$O$404,Performance!$M$5:$M$404,BB463))</f>
        <v>0</v>
      </c>
      <c r="BE463" s="23">
        <f>IF(BB463="","",SUMIFS(Performance!$Z$5:$Z$404,Performance!$M$5:$M$404,BB463))</f>
        <v>0</v>
      </c>
      <c r="BF463" s="24">
        <f>IF(OR(BD463="",BD463=0),"",BE463/BD463)</f>
        <v>0</v>
      </c>
      <c r="BG463" s="32">
        <f>IF(BC463=0,"",IF(BF463="","",BF463+ROW()/1000000))</f>
        <v>0</v>
      </c>
      <c r="BH463" s="17">
        <f>IF(Performance!$C$463="","",Performance!$C$463)</f>
        <v>0</v>
      </c>
      <c r="BI463" s="17">
        <f>IF(Performance!$F$463="","",Performance!$F$463)</f>
        <v>0</v>
      </c>
      <c r="BJ463" s="17">
        <f>IF(Performance!$H$463="","",Performance!$H$463)</f>
        <v>0</v>
      </c>
      <c r="BK463" s="16">
        <f>IF(Performance!$D$463="","",Performance!$D$463)</f>
        <v>0</v>
      </c>
      <c r="BL463" s="17">
        <f>IF(Performance!$E$463="","",Performance!$E$463)</f>
        <v>0</v>
      </c>
      <c r="BM463" s="23">
        <f>IF(Performance!$O$463="","",Performance!$O$463)</f>
        <v>0</v>
      </c>
      <c r="BN463" s="24">
        <f>IF(Performance!$AA$463="","",Performance!$AA$463)</f>
        <v>0</v>
      </c>
      <c r="BO463" s="32">
        <f>IF(BH463="","",IF(BK463="","",IF(OR(BK463&lt;DashStart,BK463&gt;DashEnd),"",IF(BN463="","",BN463+ROW()/1000000))))</f>
        <v>0</v>
      </c>
      <c r="BP463" s="32">
        <f>IF(BM463="","",IF(BK463="","",IF(OR(BK463&lt;DashStart,BK463&gt;DashEnd),"",BM463+ROW()/1000000)))</f>
        <v>0</v>
      </c>
      <c r="BQ463" s="32">
        <f>IF(BH463="","",IF(BK463="","",IF(YEAR(BK463)&lt;&gt;PlanYear,"",IF(BN463="","",BN463+ROW()/1000000))))</f>
        <v>0</v>
      </c>
      <c r="BR463" s="32">
        <f>IF(BH463="","",IF(BK463="","",IF(OR(BK463&lt;RepFrom,BK463&gt;RepTo),"",IF(BN463="","",BN463+ROW()/1000000))))</f>
        <v>0</v>
      </c>
      <c r="BS463" s="32">
        <f>IF(BM463="","",IF(BK463="","",IF(YEAR(BK463)&lt;&gt;PlanYear,"",BM463+ROW()/1000000)))</f>
        <v>0</v>
      </c>
      <c r="BT463" s="17">
        <f>IF(Lists!$F463="","",Lists!$F463)</f>
        <v>0</v>
      </c>
      <c r="BU463" s="23">
        <f>IF(BT463="","",COUNTIF('Content Calendar'!$X$5:$X$604,BT463))</f>
        <v>0</v>
      </c>
      <c r="BV463" s="23">
        <f>IF(BT463="","",COUNTIFS('Content Calendar'!$X$5:$X$604,BT463,'Content Calendar'!$B$5:$B$604,"&gt;="&amp;DashStart,'Content Calendar'!$B$5:$B$604,"&lt;="&amp;DashEnd))</f>
        <v>0</v>
      </c>
      <c r="BW463" s="17">
        <f>IF(Team!$B$463="","",Team!$B$463)</f>
        <v>0</v>
      </c>
      <c r="BX463" s="23">
        <f>IF(BW463="","",COUNTIF('Content Calendar'!$W$5:$W$604,BW463))</f>
        <v>0</v>
      </c>
      <c r="BY463" s="23">
        <f>IF(BW463="","",COUNTIFS('Content Calendar'!$W$5:$W$604,BW463,'Content Calendar'!$X$5:$X$604,"&lt;&gt;Published"))</f>
        <v>0</v>
      </c>
      <c r="BZ463" s="23">
        <f>IF(BW463="","",COUNTIFS(Tasks!$C$5:$C$64,BW463,Tasks!$G$5:$G$64,"&lt;&gt;Complete"))</f>
        <v>0</v>
      </c>
      <c r="CA463" s="17">
        <f>IF(Campaigns!$B$463="","",Campaigns!$B$463)</f>
        <v>0</v>
      </c>
      <c r="CB463" s="25">
        <f>IF(Campaigns!$T$463="","",Campaigns!$T$463)</f>
        <v>0</v>
      </c>
      <c r="CC463" s="25">
        <f>IF(Campaigns!$Q$463="","",Campaigns!$Q$463)</f>
        <v>0</v>
      </c>
      <c r="CD463" s="23">
        <f>IF(Campaigns!$Y$463="","",Campaigns!$Y$463)</f>
        <v>0</v>
      </c>
      <c r="CE463" s="32">
        <f>IF(CA463="","",IF(N(CB463)&lt;=0,"",N(CB463)+ROW()/1000000))</f>
        <v>0</v>
      </c>
      <c r="CF463" s="17">
        <f>IF(Accounts!$C$463="","",Accounts!$C$463)</f>
        <v>0</v>
      </c>
      <c r="CG463" s="17">
        <f>IF(Accounts!$B$463="","",Accounts!$B$463)</f>
        <v>0</v>
      </c>
      <c r="CH463" s="23">
        <f>IF(Accounts!$J$463="","",Accounts!$J$463)</f>
        <v>0</v>
      </c>
      <c r="CI463" s="23">
        <f>IF(CF463="","",SUMIFS(Analytics!$X$5:$X$154,Analytics!$E$5:$E$154,CF463,Analytics!$B$5:$B$154,"&gt;="&amp;DashStart,Analytics!$B$5:$B$154,"&lt;="&amp;DashEnd))</f>
        <v>0</v>
      </c>
      <c r="CJ463" s="32">
        <f>IF(CH463="","",IF(CH463=0,"",CH463+ROW()/1000000))</f>
        <v>0</v>
      </c>
    </row>
    <row r="464" spans="1:88">
      <c r="A464" s="16">
        <f>IF(ROW()-4&gt;12,"",DATE(PlanYear,ROW()-4,1))</f>
        <v>0</v>
      </c>
      <c r="B464" s="16">
        <f>IF(A464="","",EOMONTH(A464,0))</f>
        <v>0</v>
      </c>
      <c r="C464" s="17">
        <f>IF(A464="","",TEXT(A464,"yyyy-mm"))</f>
        <v>0</v>
      </c>
      <c r="D464" s="17">
        <f>IF(A464="","",TEXT(A464,"mmm"))</f>
        <v>0</v>
      </c>
      <c r="E464" s="23">
        <f>IF(C464="","",COUNTIFS('Content Calendar'!$D$5:$D$604,C464))</f>
        <v>0</v>
      </c>
      <c r="F464" s="23">
        <f>IF(C464="","",COUNTIFS('Content Calendar'!$D$5:$D$604,C464,'Content Calendar'!$X$5:$X$604,"Published"))</f>
        <v>0</v>
      </c>
      <c r="G464" s="23">
        <f>IF(C464="","",SUMIFS(Analytics!$J$5:$J$154,Analytics!$C$5:$C$154,C464))</f>
        <v>0</v>
      </c>
      <c r="H464" s="23">
        <f>IF(C464="","",SUMIFS(Analytics!$K$5:$K$154,Analytics!$C$5:$C$154,C464))</f>
        <v>0</v>
      </c>
      <c r="I464" s="23">
        <f>IF(C464="","",SUMIFS(Analytics!$L$5:$L$154,Analytics!$C$5:$C$154,C464))</f>
        <v>0</v>
      </c>
      <c r="J464" s="24">
        <f>IF(OR(G464="",G464=0),"",I464/G464)</f>
        <v>0</v>
      </c>
      <c r="K464" s="23">
        <f>IF(C464="","",SUMIFS(Analytics!$G$5:$G$154,Analytics!$C$5:$C$154,C464))</f>
        <v>0</v>
      </c>
      <c r="L464" s="23">
        <f>IF(C464="","",SUMIFS(Analytics!$X$5:$X$154,Analytics!$C$5:$C$154,C464))</f>
        <v>0</v>
      </c>
      <c r="M464" s="23">
        <f>IF(C464="","",SUMIFS(Analytics!$R$5:$R$154,Analytics!$C$5:$C$154,C464))</f>
        <v>0</v>
      </c>
      <c r="N464" s="23">
        <f>IF(C464="","",SUMIFS(Analytics!$S$5:$S$154,Analytics!$C$5:$C$154,C464))</f>
        <v>0</v>
      </c>
      <c r="O464" s="23">
        <f>IF(C464="","",SUMIFS(Analytics!$T$5:$T$154,Analytics!$C$5:$C$154,C464))</f>
        <v>0</v>
      </c>
      <c r="P464" s="25">
        <f>IF(C464="","",SUMIFS(Analytics!$U$5:$U$154,Analytics!$C$5:$C$154,C464))</f>
        <v>0</v>
      </c>
      <c r="Q464" s="25">
        <f>IF(C464="","",SUMIFS(Budget!$H$5:$H$64,Budget!$C$5:$C$64,C464))</f>
        <v>0</v>
      </c>
      <c r="R464" s="25">
        <f>IF(C464="","",P464-Q464)</f>
        <v>0</v>
      </c>
      <c r="S464" s="23">
        <f>IF(C464="","",MonthlyPostTarget)</f>
        <v>0</v>
      </c>
      <c r="T464" s="17">
        <f>IF(Lists!$C464="","",Lists!$C464)</f>
        <v>0</v>
      </c>
      <c r="U464" s="23">
        <f>IF(T464="","",COUNTIFS('Content Calendar'!$G$5:$G$604,T464,'Content Calendar'!$B$5:$B$604,"&gt;="&amp;DashStart,'Content Calendar'!$B$5:$B$604,"&lt;="&amp;DashEnd))</f>
        <v>0</v>
      </c>
      <c r="V464" s="23">
        <f>IF(T464="","",COUNTIFS('Content Calendar'!$G$5:$G$604,T464,'Content Calendar'!$X$5:$X$604,"Published",'Content Calendar'!$B$5:$B$604,"&gt;="&amp;DashStart,'Content Calendar'!$B$5:$B$604,"&lt;="&amp;DashEnd))</f>
        <v>0</v>
      </c>
      <c r="W464" s="23">
        <f>IF(T464="","",SUMIFS(Analytics!$J$5:$J$154,Analytics!$D$5:$D$154,T464,Analytics!$B$5:$B$154,"&gt;="&amp;DashStart,Analytics!$B$5:$B$154,"&lt;="&amp;DashEnd))</f>
        <v>0</v>
      </c>
      <c r="X464" s="23">
        <f>IF(T464="","",SUMIFS(Analytics!$L$5:$L$154,Analytics!$D$5:$D$154,T464,Analytics!$B$5:$B$154,"&gt;="&amp;DashStart,Analytics!$B$5:$B$154,"&lt;="&amp;DashEnd))</f>
        <v>0</v>
      </c>
      <c r="Y464" s="24">
        <f>IF(OR(W464="",W464=0),"",X464/W464)</f>
        <v>0</v>
      </c>
      <c r="Z464" s="23">
        <f>IF(T464="","",SUMIFS(Analytics!$G$5:$G$154,Analytics!$D$5:$D$154,T464,Analytics!$B$5:$B$154,"&gt;="&amp;DashStart,Analytics!$B$5:$B$154,"&lt;="&amp;DashEnd))</f>
        <v>0</v>
      </c>
      <c r="AA464" s="23">
        <f>IF(T464="","",SUMIFS(Analytics!$X$5:$X$154,Analytics!$D$5:$D$154,T464,Analytics!$B$5:$B$154,"&gt;="&amp;DashStart,Analytics!$B$5:$B$154,"&lt;="&amp;DashEnd))</f>
        <v>0</v>
      </c>
      <c r="AB464" s="23">
        <f>IF(T464="","",SUMIFS(Analytics!$R$5:$R$154,Analytics!$D$5:$D$154,T464,Analytics!$B$5:$B$154,"&gt;="&amp;DashStart,Analytics!$B$5:$B$154,"&lt;="&amp;DashEnd))</f>
        <v>0</v>
      </c>
      <c r="AC464" s="25">
        <f>IF(T464="","",SUMIFS(Analytics!$U$5:$U$154,Analytics!$D$5:$D$154,T464,Analytics!$B$5:$B$154,"&gt;="&amp;DashStart,Analytics!$B$5:$B$154,"&lt;="&amp;DashEnd))</f>
        <v>0</v>
      </c>
      <c r="AD464" s="23">
        <f>IF(T464="","",COUNTIFS('Content Calendar'!$G$5:$G$604,T464,'Content Calendar'!$B$5:$B$604,"&gt;="&amp;DATE(PlanYear,1,1),'Content Calendar'!$B$5:$B$604,"&lt;="&amp;DATE(PlanYear,12,31)))</f>
        <v>0</v>
      </c>
      <c r="AE464" s="23">
        <f>IF(T464="","",SUMIFS(Analytics!$J$5:$J$154,Analytics!$D$5:$D$154,T464))</f>
        <v>0</v>
      </c>
      <c r="AF464" s="23">
        <f>IF(T464="","",SUMIFS(Analytics!$L$5:$L$154,Analytics!$D$5:$D$154,T464))</f>
        <v>0</v>
      </c>
      <c r="AG464" s="24">
        <f>IF(OR(AE464="",AE464=0),"",AF464/AE464)</f>
        <v>0</v>
      </c>
      <c r="AH464" s="23">
        <f>IF(T464="","",SUMIFS(Analytics!$X$5:$X$154,Analytics!$D$5:$D$154,T464))</f>
        <v>0</v>
      </c>
      <c r="AI464" s="32">
        <f>IF(T464="","",IF(AE464=0,"",AE464+ROW()/1000000))</f>
        <v>0</v>
      </c>
      <c r="AJ464" s="17">
        <f>IF('Content Pillars'!$B$464="","",'Content Pillars'!$B$464)</f>
        <v>0</v>
      </c>
      <c r="AK464" s="23">
        <f>IF(AJ464="","",COUNTIFS('Content Calendar'!$J$5:$J$604,AJ464,'Content Calendar'!$B$5:$B$604,"&gt;="&amp;DATE(PlanYear,1,1),'Content Calendar'!$B$5:$B$604,"&lt;="&amp;DATE(PlanYear,12,31)))</f>
        <v>0</v>
      </c>
      <c r="AL464" s="23">
        <f>IF(AJ464="","",SUMIFS(Performance!$O$5:$O$404,Performance!$H$5:$H$404,AJ464))</f>
        <v>0</v>
      </c>
      <c r="AM464" s="23">
        <f>IF(AJ464="","",SUMIFS(Performance!$Z$5:$Z$404,Performance!$H$5:$H$404,AJ464))</f>
        <v>0</v>
      </c>
      <c r="AN464" s="24">
        <f>IF(OR(AL464="",AL464=0),"",AM464/AL464)</f>
        <v>0</v>
      </c>
      <c r="AO464" s="32">
        <f>IF(AN464="","",AN464+ROW()/1000000)</f>
        <v>0</v>
      </c>
      <c r="AP464" s="17">
        <f>IF(Lists!$E464="","",Lists!$E464)</f>
        <v>0</v>
      </c>
      <c r="AQ464" s="23">
        <f>IF(AP464="","",COUNTIF(Performance!$G$5:$G$404,AP464))</f>
        <v>0</v>
      </c>
      <c r="AR464" s="23">
        <f>IF(AP464="","",SUMIFS(Performance!$O$5:$O$404,Performance!$G$5:$G$404,AP464))</f>
        <v>0</v>
      </c>
      <c r="AS464" s="23">
        <f>IF(AP464="","",SUMIFS(Performance!$Z$5:$Z$404,Performance!$G$5:$G$404,AP464))</f>
        <v>0</v>
      </c>
      <c r="AT464" s="24">
        <f>IF(OR(AR464="",AR464=0),"",AS464/AR464)</f>
        <v>0</v>
      </c>
      <c r="AU464" s="32">
        <f>IF(AQ464=0,"",IF(AT464="","",AT464+ROW()/1000000))</f>
        <v>0</v>
      </c>
      <c r="AV464" s="17">
        <f>IF(ROW()-4&gt;7,"",TEXT(DATE(2024,1,ROW()-4),"ddd"))</f>
        <v>0</v>
      </c>
      <c r="AW464" s="23">
        <f>IF(AV464="","",COUNTIF(Performance!$N$5:$N$404,AV464))</f>
        <v>0</v>
      </c>
      <c r="AX464" s="23">
        <f>IF(AV464="","",SUMIFS(Performance!$O$5:$O$404,Performance!$N$5:$N$404,AV464))</f>
        <v>0</v>
      </c>
      <c r="AY464" s="23">
        <f>IF(AV464="","",SUMIFS(Performance!$Z$5:$Z$404,Performance!$N$5:$N$404,AV464))</f>
        <v>0</v>
      </c>
      <c r="AZ464" s="24">
        <f>IF(OR(AX464="",AX464=0),"",AY464/AX464)</f>
        <v>0</v>
      </c>
      <c r="BA464" s="32">
        <f>IF(AW464=0,"",IF(AZ464="","",AZ464+ROW()/1000000))</f>
        <v>0</v>
      </c>
      <c r="BB464" s="17">
        <f>IF(Lists!$AL464="","",Lists!$AL464)</f>
        <v>0</v>
      </c>
      <c r="BC464" s="23">
        <f>IF(BB464="","",COUNTIF(Performance!$M$5:$M$404,BB464))</f>
        <v>0</v>
      </c>
      <c r="BD464" s="23">
        <f>IF(BB464="","",SUMIFS(Performance!$O$5:$O$404,Performance!$M$5:$M$404,BB464))</f>
        <v>0</v>
      </c>
      <c r="BE464" s="23">
        <f>IF(BB464="","",SUMIFS(Performance!$Z$5:$Z$404,Performance!$M$5:$M$404,BB464))</f>
        <v>0</v>
      </c>
      <c r="BF464" s="24">
        <f>IF(OR(BD464="",BD464=0),"",BE464/BD464)</f>
        <v>0</v>
      </c>
      <c r="BG464" s="32">
        <f>IF(BC464=0,"",IF(BF464="","",BF464+ROW()/1000000))</f>
        <v>0</v>
      </c>
      <c r="BH464" s="17">
        <f>IF(Performance!$C$464="","",Performance!$C$464)</f>
        <v>0</v>
      </c>
      <c r="BI464" s="17">
        <f>IF(Performance!$F$464="","",Performance!$F$464)</f>
        <v>0</v>
      </c>
      <c r="BJ464" s="17">
        <f>IF(Performance!$H$464="","",Performance!$H$464)</f>
        <v>0</v>
      </c>
      <c r="BK464" s="16">
        <f>IF(Performance!$D$464="","",Performance!$D$464)</f>
        <v>0</v>
      </c>
      <c r="BL464" s="17">
        <f>IF(Performance!$E$464="","",Performance!$E$464)</f>
        <v>0</v>
      </c>
      <c r="BM464" s="23">
        <f>IF(Performance!$O$464="","",Performance!$O$464)</f>
        <v>0</v>
      </c>
      <c r="BN464" s="24">
        <f>IF(Performance!$AA$464="","",Performance!$AA$464)</f>
        <v>0</v>
      </c>
      <c r="BO464" s="32">
        <f>IF(BH464="","",IF(BK464="","",IF(OR(BK464&lt;DashStart,BK464&gt;DashEnd),"",IF(BN464="","",BN464+ROW()/1000000))))</f>
        <v>0</v>
      </c>
      <c r="BP464" s="32">
        <f>IF(BM464="","",IF(BK464="","",IF(OR(BK464&lt;DashStart,BK464&gt;DashEnd),"",BM464+ROW()/1000000)))</f>
        <v>0</v>
      </c>
      <c r="BQ464" s="32">
        <f>IF(BH464="","",IF(BK464="","",IF(YEAR(BK464)&lt;&gt;PlanYear,"",IF(BN464="","",BN464+ROW()/1000000))))</f>
        <v>0</v>
      </c>
      <c r="BR464" s="32">
        <f>IF(BH464="","",IF(BK464="","",IF(OR(BK464&lt;RepFrom,BK464&gt;RepTo),"",IF(BN464="","",BN464+ROW()/1000000))))</f>
        <v>0</v>
      </c>
      <c r="BS464" s="32">
        <f>IF(BM464="","",IF(BK464="","",IF(YEAR(BK464)&lt;&gt;PlanYear,"",BM464+ROW()/1000000)))</f>
        <v>0</v>
      </c>
      <c r="BT464" s="17">
        <f>IF(Lists!$F464="","",Lists!$F464)</f>
        <v>0</v>
      </c>
      <c r="BU464" s="23">
        <f>IF(BT464="","",COUNTIF('Content Calendar'!$X$5:$X$604,BT464))</f>
        <v>0</v>
      </c>
      <c r="BV464" s="23">
        <f>IF(BT464="","",COUNTIFS('Content Calendar'!$X$5:$X$604,BT464,'Content Calendar'!$B$5:$B$604,"&gt;="&amp;DashStart,'Content Calendar'!$B$5:$B$604,"&lt;="&amp;DashEnd))</f>
        <v>0</v>
      </c>
      <c r="BW464" s="17">
        <f>IF(Team!$B$464="","",Team!$B$464)</f>
        <v>0</v>
      </c>
      <c r="BX464" s="23">
        <f>IF(BW464="","",COUNTIF('Content Calendar'!$W$5:$W$604,BW464))</f>
        <v>0</v>
      </c>
      <c r="BY464" s="23">
        <f>IF(BW464="","",COUNTIFS('Content Calendar'!$W$5:$W$604,BW464,'Content Calendar'!$X$5:$X$604,"&lt;&gt;Published"))</f>
        <v>0</v>
      </c>
      <c r="BZ464" s="23">
        <f>IF(BW464="","",COUNTIFS(Tasks!$C$5:$C$64,BW464,Tasks!$G$5:$G$64,"&lt;&gt;Complete"))</f>
        <v>0</v>
      </c>
      <c r="CA464" s="17">
        <f>IF(Campaigns!$B$464="","",Campaigns!$B$464)</f>
        <v>0</v>
      </c>
      <c r="CB464" s="25">
        <f>IF(Campaigns!$T$464="","",Campaigns!$T$464)</f>
        <v>0</v>
      </c>
      <c r="CC464" s="25">
        <f>IF(Campaigns!$Q$464="","",Campaigns!$Q$464)</f>
        <v>0</v>
      </c>
      <c r="CD464" s="23">
        <f>IF(Campaigns!$Y$464="","",Campaigns!$Y$464)</f>
        <v>0</v>
      </c>
      <c r="CE464" s="32">
        <f>IF(CA464="","",IF(N(CB464)&lt;=0,"",N(CB464)+ROW()/1000000))</f>
        <v>0</v>
      </c>
      <c r="CF464" s="17">
        <f>IF(Accounts!$C$464="","",Accounts!$C$464)</f>
        <v>0</v>
      </c>
      <c r="CG464" s="17">
        <f>IF(Accounts!$B$464="","",Accounts!$B$464)</f>
        <v>0</v>
      </c>
      <c r="CH464" s="23">
        <f>IF(Accounts!$J$464="","",Accounts!$J$464)</f>
        <v>0</v>
      </c>
      <c r="CI464" s="23">
        <f>IF(CF464="","",SUMIFS(Analytics!$X$5:$X$154,Analytics!$E$5:$E$154,CF464,Analytics!$B$5:$B$154,"&gt;="&amp;DashStart,Analytics!$B$5:$B$154,"&lt;="&amp;DashEnd))</f>
        <v>0</v>
      </c>
      <c r="CJ464" s="32">
        <f>IF(CH464="","",IF(CH464=0,"",CH464+ROW()/1000000))</f>
        <v>0</v>
      </c>
    </row>
    <row r="465" spans="1:88">
      <c r="A465" s="16">
        <f>IF(ROW()-4&gt;12,"",DATE(PlanYear,ROW()-4,1))</f>
        <v>0</v>
      </c>
      <c r="B465" s="16">
        <f>IF(A465="","",EOMONTH(A465,0))</f>
        <v>0</v>
      </c>
      <c r="C465" s="17">
        <f>IF(A465="","",TEXT(A465,"yyyy-mm"))</f>
        <v>0</v>
      </c>
      <c r="D465" s="17">
        <f>IF(A465="","",TEXT(A465,"mmm"))</f>
        <v>0</v>
      </c>
      <c r="E465" s="23">
        <f>IF(C465="","",COUNTIFS('Content Calendar'!$D$5:$D$604,C465))</f>
        <v>0</v>
      </c>
      <c r="F465" s="23">
        <f>IF(C465="","",COUNTIFS('Content Calendar'!$D$5:$D$604,C465,'Content Calendar'!$X$5:$X$604,"Published"))</f>
        <v>0</v>
      </c>
      <c r="G465" s="23">
        <f>IF(C465="","",SUMIFS(Analytics!$J$5:$J$154,Analytics!$C$5:$C$154,C465))</f>
        <v>0</v>
      </c>
      <c r="H465" s="23">
        <f>IF(C465="","",SUMIFS(Analytics!$K$5:$K$154,Analytics!$C$5:$C$154,C465))</f>
        <v>0</v>
      </c>
      <c r="I465" s="23">
        <f>IF(C465="","",SUMIFS(Analytics!$L$5:$L$154,Analytics!$C$5:$C$154,C465))</f>
        <v>0</v>
      </c>
      <c r="J465" s="24">
        <f>IF(OR(G465="",G465=0),"",I465/G465)</f>
        <v>0</v>
      </c>
      <c r="K465" s="23">
        <f>IF(C465="","",SUMIFS(Analytics!$G$5:$G$154,Analytics!$C$5:$C$154,C465))</f>
        <v>0</v>
      </c>
      <c r="L465" s="23">
        <f>IF(C465="","",SUMIFS(Analytics!$X$5:$X$154,Analytics!$C$5:$C$154,C465))</f>
        <v>0</v>
      </c>
      <c r="M465" s="23">
        <f>IF(C465="","",SUMIFS(Analytics!$R$5:$R$154,Analytics!$C$5:$C$154,C465))</f>
        <v>0</v>
      </c>
      <c r="N465" s="23">
        <f>IF(C465="","",SUMIFS(Analytics!$S$5:$S$154,Analytics!$C$5:$C$154,C465))</f>
        <v>0</v>
      </c>
      <c r="O465" s="23">
        <f>IF(C465="","",SUMIFS(Analytics!$T$5:$T$154,Analytics!$C$5:$C$154,C465))</f>
        <v>0</v>
      </c>
      <c r="P465" s="25">
        <f>IF(C465="","",SUMIFS(Analytics!$U$5:$U$154,Analytics!$C$5:$C$154,C465))</f>
        <v>0</v>
      </c>
      <c r="Q465" s="25">
        <f>IF(C465="","",SUMIFS(Budget!$H$5:$H$64,Budget!$C$5:$C$64,C465))</f>
        <v>0</v>
      </c>
      <c r="R465" s="25">
        <f>IF(C465="","",P465-Q465)</f>
        <v>0</v>
      </c>
      <c r="S465" s="23">
        <f>IF(C465="","",MonthlyPostTarget)</f>
        <v>0</v>
      </c>
      <c r="T465" s="17">
        <f>IF(Lists!$C465="","",Lists!$C465)</f>
        <v>0</v>
      </c>
      <c r="U465" s="23">
        <f>IF(T465="","",COUNTIFS('Content Calendar'!$G$5:$G$604,T465,'Content Calendar'!$B$5:$B$604,"&gt;="&amp;DashStart,'Content Calendar'!$B$5:$B$604,"&lt;="&amp;DashEnd))</f>
        <v>0</v>
      </c>
      <c r="V465" s="23">
        <f>IF(T465="","",COUNTIFS('Content Calendar'!$G$5:$G$604,T465,'Content Calendar'!$X$5:$X$604,"Published",'Content Calendar'!$B$5:$B$604,"&gt;="&amp;DashStart,'Content Calendar'!$B$5:$B$604,"&lt;="&amp;DashEnd))</f>
        <v>0</v>
      </c>
      <c r="W465" s="23">
        <f>IF(T465="","",SUMIFS(Analytics!$J$5:$J$154,Analytics!$D$5:$D$154,T465,Analytics!$B$5:$B$154,"&gt;="&amp;DashStart,Analytics!$B$5:$B$154,"&lt;="&amp;DashEnd))</f>
        <v>0</v>
      </c>
      <c r="X465" s="23">
        <f>IF(T465="","",SUMIFS(Analytics!$L$5:$L$154,Analytics!$D$5:$D$154,T465,Analytics!$B$5:$B$154,"&gt;="&amp;DashStart,Analytics!$B$5:$B$154,"&lt;="&amp;DashEnd))</f>
        <v>0</v>
      </c>
      <c r="Y465" s="24">
        <f>IF(OR(W465="",W465=0),"",X465/W465)</f>
        <v>0</v>
      </c>
      <c r="Z465" s="23">
        <f>IF(T465="","",SUMIFS(Analytics!$G$5:$G$154,Analytics!$D$5:$D$154,T465,Analytics!$B$5:$B$154,"&gt;="&amp;DashStart,Analytics!$B$5:$B$154,"&lt;="&amp;DashEnd))</f>
        <v>0</v>
      </c>
      <c r="AA465" s="23">
        <f>IF(T465="","",SUMIFS(Analytics!$X$5:$X$154,Analytics!$D$5:$D$154,T465,Analytics!$B$5:$B$154,"&gt;="&amp;DashStart,Analytics!$B$5:$B$154,"&lt;="&amp;DashEnd))</f>
        <v>0</v>
      </c>
      <c r="AB465" s="23">
        <f>IF(T465="","",SUMIFS(Analytics!$R$5:$R$154,Analytics!$D$5:$D$154,T465,Analytics!$B$5:$B$154,"&gt;="&amp;DashStart,Analytics!$B$5:$B$154,"&lt;="&amp;DashEnd))</f>
        <v>0</v>
      </c>
      <c r="AC465" s="25">
        <f>IF(T465="","",SUMIFS(Analytics!$U$5:$U$154,Analytics!$D$5:$D$154,T465,Analytics!$B$5:$B$154,"&gt;="&amp;DashStart,Analytics!$B$5:$B$154,"&lt;="&amp;DashEnd))</f>
        <v>0</v>
      </c>
      <c r="AD465" s="23">
        <f>IF(T465="","",COUNTIFS('Content Calendar'!$G$5:$G$604,T465,'Content Calendar'!$B$5:$B$604,"&gt;="&amp;DATE(PlanYear,1,1),'Content Calendar'!$B$5:$B$604,"&lt;="&amp;DATE(PlanYear,12,31)))</f>
        <v>0</v>
      </c>
      <c r="AE465" s="23">
        <f>IF(T465="","",SUMIFS(Analytics!$J$5:$J$154,Analytics!$D$5:$D$154,T465))</f>
        <v>0</v>
      </c>
      <c r="AF465" s="23">
        <f>IF(T465="","",SUMIFS(Analytics!$L$5:$L$154,Analytics!$D$5:$D$154,T465))</f>
        <v>0</v>
      </c>
      <c r="AG465" s="24">
        <f>IF(OR(AE465="",AE465=0),"",AF465/AE465)</f>
        <v>0</v>
      </c>
      <c r="AH465" s="23">
        <f>IF(T465="","",SUMIFS(Analytics!$X$5:$X$154,Analytics!$D$5:$D$154,T465))</f>
        <v>0</v>
      </c>
      <c r="AI465" s="32">
        <f>IF(T465="","",IF(AE465=0,"",AE465+ROW()/1000000))</f>
        <v>0</v>
      </c>
      <c r="AJ465" s="17">
        <f>IF('Content Pillars'!$B$465="","",'Content Pillars'!$B$465)</f>
        <v>0</v>
      </c>
      <c r="AK465" s="23">
        <f>IF(AJ465="","",COUNTIFS('Content Calendar'!$J$5:$J$604,AJ465,'Content Calendar'!$B$5:$B$604,"&gt;="&amp;DATE(PlanYear,1,1),'Content Calendar'!$B$5:$B$604,"&lt;="&amp;DATE(PlanYear,12,31)))</f>
        <v>0</v>
      </c>
      <c r="AL465" s="23">
        <f>IF(AJ465="","",SUMIFS(Performance!$O$5:$O$404,Performance!$H$5:$H$404,AJ465))</f>
        <v>0</v>
      </c>
      <c r="AM465" s="23">
        <f>IF(AJ465="","",SUMIFS(Performance!$Z$5:$Z$404,Performance!$H$5:$H$404,AJ465))</f>
        <v>0</v>
      </c>
      <c r="AN465" s="24">
        <f>IF(OR(AL465="",AL465=0),"",AM465/AL465)</f>
        <v>0</v>
      </c>
      <c r="AO465" s="32">
        <f>IF(AN465="","",AN465+ROW()/1000000)</f>
        <v>0</v>
      </c>
      <c r="AP465" s="17">
        <f>IF(Lists!$E465="","",Lists!$E465)</f>
        <v>0</v>
      </c>
      <c r="AQ465" s="23">
        <f>IF(AP465="","",COUNTIF(Performance!$G$5:$G$404,AP465))</f>
        <v>0</v>
      </c>
      <c r="AR465" s="23">
        <f>IF(AP465="","",SUMIFS(Performance!$O$5:$O$404,Performance!$G$5:$G$404,AP465))</f>
        <v>0</v>
      </c>
      <c r="AS465" s="23">
        <f>IF(AP465="","",SUMIFS(Performance!$Z$5:$Z$404,Performance!$G$5:$G$404,AP465))</f>
        <v>0</v>
      </c>
      <c r="AT465" s="24">
        <f>IF(OR(AR465="",AR465=0),"",AS465/AR465)</f>
        <v>0</v>
      </c>
      <c r="AU465" s="32">
        <f>IF(AQ465=0,"",IF(AT465="","",AT465+ROW()/1000000))</f>
        <v>0</v>
      </c>
      <c r="AV465" s="17">
        <f>IF(ROW()-4&gt;7,"",TEXT(DATE(2024,1,ROW()-4),"ddd"))</f>
        <v>0</v>
      </c>
      <c r="AW465" s="23">
        <f>IF(AV465="","",COUNTIF(Performance!$N$5:$N$404,AV465))</f>
        <v>0</v>
      </c>
      <c r="AX465" s="23">
        <f>IF(AV465="","",SUMIFS(Performance!$O$5:$O$404,Performance!$N$5:$N$404,AV465))</f>
        <v>0</v>
      </c>
      <c r="AY465" s="23">
        <f>IF(AV465="","",SUMIFS(Performance!$Z$5:$Z$404,Performance!$N$5:$N$404,AV465))</f>
        <v>0</v>
      </c>
      <c r="AZ465" s="24">
        <f>IF(OR(AX465="",AX465=0),"",AY465/AX465)</f>
        <v>0</v>
      </c>
      <c r="BA465" s="32">
        <f>IF(AW465=0,"",IF(AZ465="","",AZ465+ROW()/1000000))</f>
        <v>0</v>
      </c>
      <c r="BB465" s="17">
        <f>IF(Lists!$AL465="","",Lists!$AL465)</f>
        <v>0</v>
      </c>
      <c r="BC465" s="23">
        <f>IF(BB465="","",COUNTIF(Performance!$M$5:$M$404,BB465))</f>
        <v>0</v>
      </c>
      <c r="BD465" s="23">
        <f>IF(BB465="","",SUMIFS(Performance!$O$5:$O$404,Performance!$M$5:$M$404,BB465))</f>
        <v>0</v>
      </c>
      <c r="BE465" s="23">
        <f>IF(BB465="","",SUMIFS(Performance!$Z$5:$Z$404,Performance!$M$5:$M$404,BB465))</f>
        <v>0</v>
      </c>
      <c r="BF465" s="24">
        <f>IF(OR(BD465="",BD465=0),"",BE465/BD465)</f>
        <v>0</v>
      </c>
      <c r="BG465" s="32">
        <f>IF(BC465=0,"",IF(BF465="","",BF465+ROW()/1000000))</f>
        <v>0</v>
      </c>
      <c r="BH465" s="17">
        <f>IF(Performance!$C$465="","",Performance!$C$465)</f>
        <v>0</v>
      </c>
      <c r="BI465" s="17">
        <f>IF(Performance!$F$465="","",Performance!$F$465)</f>
        <v>0</v>
      </c>
      <c r="BJ465" s="17">
        <f>IF(Performance!$H$465="","",Performance!$H$465)</f>
        <v>0</v>
      </c>
      <c r="BK465" s="16">
        <f>IF(Performance!$D$465="","",Performance!$D$465)</f>
        <v>0</v>
      </c>
      <c r="BL465" s="17">
        <f>IF(Performance!$E$465="","",Performance!$E$465)</f>
        <v>0</v>
      </c>
      <c r="BM465" s="23">
        <f>IF(Performance!$O$465="","",Performance!$O$465)</f>
        <v>0</v>
      </c>
      <c r="BN465" s="24">
        <f>IF(Performance!$AA$465="","",Performance!$AA$465)</f>
        <v>0</v>
      </c>
      <c r="BO465" s="32">
        <f>IF(BH465="","",IF(BK465="","",IF(OR(BK465&lt;DashStart,BK465&gt;DashEnd),"",IF(BN465="","",BN465+ROW()/1000000))))</f>
        <v>0</v>
      </c>
      <c r="BP465" s="32">
        <f>IF(BM465="","",IF(BK465="","",IF(OR(BK465&lt;DashStart,BK465&gt;DashEnd),"",BM465+ROW()/1000000)))</f>
        <v>0</v>
      </c>
      <c r="BQ465" s="32">
        <f>IF(BH465="","",IF(BK465="","",IF(YEAR(BK465)&lt;&gt;PlanYear,"",IF(BN465="","",BN465+ROW()/1000000))))</f>
        <v>0</v>
      </c>
      <c r="BR465" s="32">
        <f>IF(BH465="","",IF(BK465="","",IF(OR(BK465&lt;RepFrom,BK465&gt;RepTo),"",IF(BN465="","",BN465+ROW()/1000000))))</f>
        <v>0</v>
      </c>
      <c r="BS465" s="32">
        <f>IF(BM465="","",IF(BK465="","",IF(YEAR(BK465)&lt;&gt;PlanYear,"",BM465+ROW()/1000000)))</f>
        <v>0</v>
      </c>
      <c r="BT465" s="17">
        <f>IF(Lists!$F465="","",Lists!$F465)</f>
        <v>0</v>
      </c>
      <c r="BU465" s="23">
        <f>IF(BT465="","",COUNTIF('Content Calendar'!$X$5:$X$604,BT465))</f>
        <v>0</v>
      </c>
      <c r="BV465" s="23">
        <f>IF(BT465="","",COUNTIFS('Content Calendar'!$X$5:$X$604,BT465,'Content Calendar'!$B$5:$B$604,"&gt;="&amp;DashStart,'Content Calendar'!$B$5:$B$604,"&lt;="&amp;DashEnd))</f>
        <v>0</v>
      </c>
      <c r="BW465" s="17">
        <f>IF(Team!$B$465="","",Team!$B$465)</f>
        <v>0</v>
      </c>
      <c r="BX465" s="23">
        <f>IF(BW465="","",COUNTIF('Content Calendar'!$W$5:$W$604,BW465))</f>
        <v>0</v>
      </c>
      <c r="BY465" s="23">
        <f>IF(BW465="","",COUNTIFS('Content Calendar'!$W$5:$W$604,BW465,'Content Calendar'!$X$5:$X$604,"&lt;&gt;Published"))</f>
        <v>0</v>
      </c>
      <c r="BZ465" s="23">
        <f>IF(BW465="","",COUNTIFS(Tasks!$C$5:$C$64,BW465,Tasks!$G$5:$G$64,"&lt;&gt;Complete"))</f>
        <v>0</v>
      </c>
      <c r="CA465" s="17">
        <f>IF(Campaigns!$B$465="","",Campaigns!$B$465)</f>
        <v>0</v>
      </c>
      <c r="CB465" s="25">
        <f>IF(Campaigns!$T$465="","",Campaigns!$T$465)</f>
        <v>0</v>
      </c>
      <c r="CC465" s="25">
        <f>IF(Campaigns!$Q$465="","",Campaigns!$Q$465)</f>
        <v>0</v>
      </c>
      <c r="CD465" s="23">
        <f>IF(Campaigns!$Y$465="","",Campaigns!$Y$465)</f>
        <v>0</v>
      </c>
      <c r="CE465" s="32">
        <f>IF(CA465="","",IF(N(CB465)&lt;=0,"",N(CB465)+ROW()/1000000))</f>
        <v>0</v>
      </c>
      <c r="CF465" s="17">
        <f>IF(Accounts!$C$465="","",Accounts!$C$465)</f>
        <v>0</v>
      </c>
      <c r="CG465" s="17">
        <f>IF(Accounts!$B$465="","",Accounts!$B$465)</f>
        <v>0</v>
      </c>
      <c r="CH465" s="23">
        <f>IF(Accounts!$J$465="","",Accounts!$J$465)</f>
        <v>0</v>
      </c>
      <c r="CI465" s="23">
        <f>IF(CF465="","",SUMIFS(Analytics!$X$5:$X$154,Analytics!$E$5:$E$154,CF465,Analytics!$B$5:$B$154,"&gt;="&amp;DashStart,Analytics!$B$5:$B$154,"&lt;="&amp;DashEnd))</f>
        <v>0</v>
      </c>
      <c r="CJ465" s="32">
        <f>IF(CH465="","",IF(CH465=0,"",CH465+ROW()/1000000))</f>
        <v>0</v>
      </c>
    </row>
    <row r="466" spans="1:88">
      <c r="A466" s="16">
        <f>IF(ROW()-4&gt;12,"",DATE(PlanYear,ROW()-4,1))</f>
        <v>0</v>
      </c>
      <c r="B466" s="16">
        <f>IF(A466="","",EOMONTH(A466,0))</f>
        <v>0</v>
      </c>
      <c r="C466" s="17">
        <f>IF(A466="","",TEXT(A466,"yyyy-mm"))</f>
        <v>0</v>
      </c>
      <c r="D466" s="17">
        <f>IF(A466="","",TEXT(A466,"mmm"))</f>
        <v>0</v>
      </c>
      <c r="E466" s="23">
        <f>IF(C466="","",COUNTIFS('Content Calendar'!$D$5:$D$604,C466))</f>
        <v>0</v>
      </c>
      <c r="F466" s="23">
        <f>IF(C466="","",COUNTIFS('Content Calendar'!$D$5:$D$604,C466,'Content Calendar'!$X$5:$X$604,"Published"))</f>
        <v>0</v>
      </c>
      <c r="G466" s="23">
        <f>IF(C466="","",SUMIFS(Analytics!$J$5:$J$154,Analytics!$C$5:$C$154,C466))</f>
        <v>0</v>
      </c>
      <c r="H466" s="23">
        <f>IF(C466="","",SUMIFS(Analytics!$K$5:$K$154,Analytics!$C$5:$C$154,C466))</f>
        <v>0</v>
      </c>
      <c r="I466" s="23">
        <f>IF(C466="","",SUMIFS(Analytics!$L$5:$L$154,Analytics!$C$5:$C$154,C466))</f>
        <v>0</v>
      </c>
      <c r="J466" s="24">
        <f>IF(OR(G466="",G466=0),"",I466/G466)</f>
        <v>0</v>
      </c>
      <c r="K466" s="23">
        <f>IF(C466="","",SUMIFS(Analytics!$G$5:$G$154,Analytics!$C$5:$C$154,C466))</f>
        <v>0</v>
      </c>
      <c r="L466" s="23">
        <f>IF(C466="","",SUMIFS(Analytics!$X$5:$X$154,Analytics!$C$5:$C$154,C466))</f>
        <v>0</v>
      </c>
      <c r="M466" s="23">
        <f>IF(C466="","",SUMIFS(Analytics!$R$5:$R$154,Analytics!$C$5:$C$154,C466))</f>
        <v>0</v>
      </c>
      <c r="N466" s="23">
        <f>IF(C466="","",SUMIFS(Analytics!$S$5:$S$154,Analytics!$C$5:$C$154,C466))</f>
        <v>0</v>
      </c>
      <c r="O466" s="23">
        <f>IF(C466="","",SUMIFS(Analytics!$T$5:$T$154,Analytics!$C$5:$C$154,C466))</f>
        <v>0</v>
      </c>
      <c r="P466" s="25">
        <f>IF(C466="","",SUMIFS(Analytics!$U$5:$U$154,Analytics!$C$5:$C$154,C466))</f>
        <v>0</v>
      </c>
      <c r="Q466" s="25">
        <f>IF(C466="","",SUMIFS(Budget!$H$5:$H$64,Budget!$C$5:$C$64,C466))</f>
        <v>0</v>
      </c>
      <c r="R466" s="25">
        <f>IF(C466="","",P466-Q466)</f>
        <v>0</v>
      </c>
      <c r="S466" s="23">
        <f>IF(C466="","",MonthlyPostTarget)</f>
        <v>0</v>
      </c>
      <c r="T466" s="17">
        <f>IF(Lists!$C466="","",Lists!$C466)</f>
        <v>0</v>
      </c>
      <c r="U466" s="23">
        <f>IF(T466="","",COUNTIFS('Content Calendar'!$G$5:$G$604,T466,'Content Calendar'!$B$5:$B$604,"&gt;="&amp;DashStart,'Content Calendar'!$B$5:$B$604,"&lt;="&amp;DashEnd))</f>
        <v>0</v>
      </c>
      <c r="V466" s="23">
        <f>IF(T466="","",COUNTIFS('Content Calendar'!$G$5:$G$604,T466,'Content Calendar'!$X$5:$X$604,"Published",'Content Calendar'!$B$5:$B$604,"&gt;="&amp;DashStart,'Content Calendar'!$B$5:$B$604,"&lt;="&amp;DashEnd))</f>
        <v>0</v>
      </c>
      <c r="W466" s="23">
        <f>IF(T466="","",SUMIFS(Analytics!$J$5:$J$154,Analytics!$D$5:$D$154,T466,Analytics!$B$5:$B$154,"&gt;="&amp;DashStart,Analytics!$B$5:$B$154,"&lt;="&amp;DashEnd))</f>
        <v>0</v>
      </c>
      <c r="X466" s="23">
        <f>IF(T466="","",SUMIFS(Analytics!$L$5:$L$154,Analytics!$D$5:$D$154,T466,Analytics!$B$5:$B$154,"&gt;="&amp;DashStart,Analytics!$B$5:$B$154,"&lt;="&amp;DashEnd))</f>
        <v>0</v>
      </c>
      <c r="Y466" s="24">
        <f>IF(OR(W466="",W466=0),"",X466/W466)</f>
        <v>0</v>
      </c>
      <c r="Z466" s="23">
        <f>IF(T466="","",SUMIFS(Analytics!$G$5:$G$154,Analytics!$D$5:$D$154,T466,Analytics!$B$5:$B$154,"&gt;="&amp;DashStart,Analytics!$B$5:$B$154,"&lt;="&amp;DashEnd))</f>
        <v>0</v>
      </c>
      <c r="AA466" s="23">
        <f>IF(T466="","",SUMIFS(Analytics!$X$5:$X$154,Analytics!$D$5:$D$154,T466,Analytics!$B$5:$B$154,"&gt;="&amp;DashStart,Analytics!$B$5:$B$154,"&lt;="&amp;DashEnd))</f>
        <v>0</v>
      </c>
      <c r="AB466" s="23">
        <f>IF(T466="","",SUMIFS(Analytics!$R$5:$R$154,Analytics!$D$5:$D$154,T466,Analytics!$B$5:$B$154,"&gt;="&amp;DashStart,Analytics!$B$5:$B$154,"&lt;="&amp;DashEnd))</f>
        <v>0</v>
      </c>
      <c r="AC466" s="25">
        <f>IF(T466="","",SUMIFS(Analytics!$U$5:$U$154,Analytics!$D$5:$D$154,T466,Analytics!$B$5:$B$154,"&gt;="&amp;DashStart,Analytics!$B$5:$B$154,"&lt;="&amp;DashEnd))</f>
        <v>0</v>
      </c>
      <c r="AD466" s="23">
        <f>IF(T466="","",COUNTIFS('Content Calendar'!$G$5:$G$604,T466,'Content Calendar'!$B$5:$B$604,"&gt;="&amp;DATE(PlanYear,1,1),'Content Calendar'!$B$5:$B$604,"&lt;="&amp;DATE(PlanYear,12,31)))</f>
        <v>0</v>
      </c>
      <c r="AE466" s="23">
        <f>IF(T466="","",SUMIFS(Analytics!$J$5:$J$154,Analytics!$D$5:$D$154,T466))</f>
        <v>0</v>
      </c>
      <c r="AF466" s="23">
        <f>IF(T466="","",SUMIFS(Analytics!$L$5:$L$154,Analytics!$D$5:$D$154,T466))</f>
        <v>0</v>
      </c>
      <c r="AG466" s="24">
        <f>IF(OR(AE466="",AE466=0),"",AF466/AE466)</f>
        <v>0</v>
      </c>
      <c r="AH466" s="23">
        <f>IF(T466="","",SUMIFS(Analytics!$X$5:$X$154,Analytics!$D$5:$D$154,T466))</f>
        <v>0</v>
      </c>
      <c r="AI466" s="32">
        <f>IF(T466="","",IF(AE466=0,"",AE466+ROW()/1000000))</f>
        <v>0</v>
      </c>
      <c r="AJ466" s="17">
        <f>IF('Content Pillars'!$B$466="","",'Content Pillars'!$B$466)</f>
        <v>0</v>
      </c>
      <c r="AK466" s="23">
        <f>IF(AJ466="","",COUNTIFS('Content Calendar'!$J$5:$J$604,AJ466,'Content Calendar'!$B$5:$B$604,"&gt;="&amp;DATE(PlanYear,1,1),'Content Calendar'!$B$5:$B$604,"&lt;="&amp;DATE(PlanYear,12,31)))</f>
        <v>0</v>
      </c>
      <c r="AL466" s="23">
        <f>IF(AJ466="","",SUMIFS(Performance!$O$5:$O$404,Performance!$H$5:$H$404,AJ466))</f>
        <v>0</v>
      </c>
      <c r="AM466" s="23">
        <f>IF(AJ466="","",SUMIFS(Performance!$Z$5:$Z$404,Performance!$H$5:$H$404,AJ466))</f>
        <v>0</v>
      </c>
      <c r="AN466" s="24">
        <f>IF(OR(AL466="",AL466=0),"",AM466/AL466)</f>
        <v>0</v>
      </c>
      <c r="AO466" s="32">
        <f>IF(AN466="","",AN466+ROW()/1000000)</f>
        <v>0</v>
      </c>
      <c r="AP466" s="17">
        <f>IF(Lists!$E466="","",Lists!$E466)</f>
        <v>0</v>
      </c>
      <c r="AQ466" s="23">
        <f>IF(AP466="","",COUNTIF(Performance!$G$5:$G$404,AP466))</f>
        <v>0</v>
      </c>
      <c r="AR466" s="23">
        <f>IF(AP466="","",SUMIFS(Performance!$O$5:$O$404,Performance!$G$5:$G$404,AP466))</f>
        <v>0</v>
      </c>
      <c r="AS466" s="23">
        <f>IF(AP466="","",SUMIFS(Performance!$Z$5:$Z$404,Performance!$G$5:$G$404,AP466))</f>
        <v>0</v>
      </c>
      <c r="AT466" s="24">
        <f>IF(OR(AR466="",AR466=0),"",AS466/AR466)</f>
        <v>0</v>
      </c>
      <c r="AU466" s="32">
        <f>IF(AQ466=0,"",IF(AT466="","",AT466+ROW()/1000000))</f>
        <v>0</v>
      </c>
      <c r="AV466" s="17">
        <f>IF(ROW()-4&gt;7,"",TEXT(DATE(2024,1,ROW()-4),"ddd"))</f>
        <v>0</v>
      </c>
      <c r="AW466" s="23">
        <f>IF(AV466="","",COUNTIF(Performance!$N$5:$N$404,AV466))</f>
        <v>0</v>
      </c>
      <c r="AX466" s="23">
        <f>IF(AV466="","",SUMIFS(Performance!$O$5:$O$404,Performance!$N$5:$N$404,AV466))</f>
        <v>0</v>
      </c>
      <c r="AY466" s="23">
        <f>IF(AV466="","",SUMIFS(Performance!$Z$5:$Z$404,Performance!$N$5:$N$404,AV466))</f>
        <v>0</v>
      </c>
      <c r="AZ466" s="24">
        <f>IF(OR(AX466="",AX466=0),"",AY466/AX466)</f>
        <v>0</v>
      </c>
      <c r="BA466" s="32">
        <f>IF(AW466=0,"",IF(AZ466="","",AZ466+ROW()/1000000))</f>
        <v>0</v>
      </c>
      <c r="BB466" s="17">
        <f>IF(Lists!$AL466="","",Lists!$AL466)</f>
        <v>0</v>
      </c>
      <c r="BC466" s="23">
        <f>IF(BB466="","",COUNTIF(Performance!$M$5:$M$404,BB466))</f>
        <v>0</v>
      </c>
      <c r="BD466" s="23">
        <f>IF(BB466="","",SUMIFS(Performance!$O$5:$O$404,Performance!$M$5:$M$404,BB466))</f>
        <v>0</v>
      </c>
      <c r="BE466" s="23">
        <f>IF(BB466="","",SUMIFS(Performance!$Z$5:$Z$404,Performance!$M$5:$M$404,BB466))</f>
        <v>0</v>
      </c>
      <c r="BF466" s="24">
        <f>IF(OR(BD466="",BD466=0),"",BE466/BD466)</f>
        <v>0</v>
      </c>
      <c r="BG466" s="32">
        <f>IF(BC466=0,"",IF(BF466="","",BF466+ROW()/1000000))</f>
        <v>0</v>
      </c>
      <c r="BH466" s="17">
        <f>IF(Performance!$C$466="","",Performance!$C$466)</f>
        <v>0</v>
      </c>
      <c r="BI466" s="17">
        <f>IF(Performance!$F$466="","",Performance!$F$466)</f>
        <v>0</v>
      </c>
      <c r="BJ466" s="17">
        <f>IF(Performance!$H$466="","",Performance!$H$466)</f>
        <v>0</v>
      </c>
      <c r="BK466" s="16">
        <f>IF(Performance!$D$466="","",Performance!$D$466)</f>
        <v>0</v>
      </c>
      <c r="BL466" s="17">
        <f>IF(Performance!$E$466="","",Performance!$E$466)</f>
        <v>0</v>
      </c>
      <c r="BM466" s="23">
        <f>IF(Performance!$O$466="","",Performance!$O$466)</f>
        <v>0</v>
      </c>
      <c r="BN466" s="24">
        <f>IF(Performance!$AA$466="","",Performance!$AA$466)</f>
        <v>0</v>
      </c>
      <c r="BO466" s="32">
        <f>IF(BH466="","",IF(BK466="","",IF(OR(BK466&lt;DashStart,BK466&gt;DashEnd),"",IF(BN466="","",BN466+ROW()/1000000))))</f>
        <v>0</v>
      </c>
      <c r="BP466" s="32">
        <f>IF(BM466="","",IF(BK466="","",IF(OR(BK466&lt;DashStart,BK466&gt;DashEnd),"",BM466+ROW()/1000000)))</f>
        <v>0</v>
      </c>
      <c r="BQ466" s="32">
        <f>IF(BH466="","",IF(BK466="","",IF(YEAR(BK466)&lt;&gt;PlanYear,"",IF(BN466="","",BN466+ROW()/1000000))))</f>
        <v>0</v>
      </c>
      <c r="BR466" s="32">
        <f>IF(BH466="","",IF(BK466="","",IF(OR(BK466&lt;RepFrom,BK466&gt;RepTo),"",IF(BN466="","",BN466+ROW()/1000000))))</f>
        <v>0</v>
      </c>
      <c r="BS466" s="32">
        <f>IF(BM466="","",IF(BK466="","",IF(YEAR(BK466)&lt;&gt;PlanYear,"",BM466+ROW()/1000000)))</f>
        <v>0</v>
      </c>
      <c r="BT466" s="17">
        <f>IF(Lists!$F466="","",Lists!$F466)</f>
        <v>0</v>
      </c>
      <c r="BU466" s="23">
        <f>IF(BT466="","",COUNTIF('Content Calendar'!$X$5:$X$604,BT466))</f>
        <v>0</v>
      </c>
      <c r="BV466" s="23">
        <f>IF(BT466="","",COUNTIFS('Content Calendar'!$X$5:$X$604,BT466,'Content Calendar'!$B$5:$B$604,"&gt;="&amp;DashStart,'Content Calendar'!$B$5:$B$604,"&lt;="&amp;DashEnd))</f>
        <v>0</v>
      </c>
      <c r="BW466" s="17">
        <f>IF(Team!$B$466="","",Team!$B$466)</f>
        <v>0</v>
      </c>
      <c r="BX466" s="23">
        <f>IF(BW466="","",COUNTIF('Content Calendar'!$W$5:$W$604,BW466))</f>
        <v>0</v>
      </c>
      <c r="BY466" s="23">
        <f>IF(BW466="","",COUNTIFS('Content Calendar'!$W$5:$W$604,BW466,'Content Calendar'!$X$5:$X$604,"&lt;&gt;Published"))</f>
        <v>0</v>
      </c>
      <c r="BZ466" s="23">
        <f>IF(BW466="","",COUNTIFS(Tasks!$C$5:$C$64,BW466,Tasks!$G$5:$G$64,"&lt;&gt;Complete"))</f>
        <v>0</v>
      </c>
      <c r="CA466" s="17">
        <f>IF(Campaigns!$B$466="","",Campaigns!$B$466)</f>
        <v>0</v>
      </c>
      <c r="CB466" s="25">
        <f>IF(Campaigns!$T$466="","",Campaigns!$T$466)</f>
        <v>0</v>
      </c>
      <c r="CC466" s="25">
        <f>IF(Campaigns!$Q$466="","",Campaigns!$Q$466)</f>
        <v>0</v>
      </c>
      <c r="CD466" s="23">
        <f>IF(Campaigns!$Y$466="","",Campaigns!$Y$466)</f>
        <v>0</v>
      </c>
      <c r="CE466" s="32">
        <f>IF(CA466="","",IF(N(CB466)&lt;=0,"",N(CB466)+ROW()/1000000))</f>
        <v>0</v>
      </c>
      <c r="CF466" s="17">
        <f>IF(Accounts!$C$466="","",Accounts!$C$466)</f>
        <v>0</v>
      </c>
      <c r="CG466" s="17">
        <f>IF(Accounts!$B$466="","",Accounts!$B$466)</f>
        <v>0</v>
      </c>
      <c r="CH466" s="23">
        <f>IF(Accounts!$J$466="","",Accounts!$J$466)</f>
        <v>0</v>
      </c>
      <c r="CI466" s="23">
        <f>IF(CF466="","",SUMIFS(Analytics!$X$5:$X$154,Analytics!$E$5:$E$154,CF466,Analytics!$B$5:$B$154,"&gt;="&amp;DashStart,Analytics!$B$5:$B$154,"&lt;="&amp;DashEnd))</f>
        <v>0</v>
      </c>
      <c r="CJ466" s="32">
        <f>IF(CH466="","",IF(CH466=0,"",CH466+ROW()/1000000))</f>
        <v>0</v>
      </c>
    </row>
    <row r="467" spans="1:88">
      <c r="A467" s="16">
        <f>IF(ROW()-4&gt;12,"",DATE(PlanYear,ROW()-4,1))</f>
        <v>0</v>
      </c>
      <c r="B467" s="16">
        <f>IF(A467="","",EOMONTH(A467,0))</f>
        <v>0</v>
      </c>
      <c r="C467" s="17">
        <f>IF(A467="","",TEXT(A467,"yyyy-mm"))</f>
        <v>0</v>
      </c>
      <c r="D467" s="17">
        <f>IF(A467="","",TEXT(A467,"mmm"))</f>
        <v>0</v>
      </c>
      <c r="E467" s="23">
        <f>IF(C467="","",COUNTIFS('Content Calendar'!$D$5:$D$604,C467))</f>
        <v>0</v>
      </c>
      <c r="F467" s="23">
        <f>IF(C467="","",COUNTIFS('Content Calendar'!$D$5:$D$604,C467,'Content Calendar'!$X$5:$X$604,"Published"))</f>
        <v>0</v>
      </c>
      <c r="G467" s="23">
        <f>IF(C467="","",SUMIFS(Analytics!$J$5:$J$154,Analytics!$C$5:$C$154,C467))</f>
        <v>0</v>
      </c>
      <c r="H467" s="23">
        <f>IF(C467="","",SUMIFS(Analytics!$K$5:$K$154,Analytics!$C$5:$C$154,C467))</f>
        <v>0</v>
      </c>
      <c r="I467" s="23">
        <f>IF(C467="","",SUMIFS(Analytics!$L$5:$L$154,Analytics!$C$5:$C$154,C467))</f>
        <v>0</v>
      </c>
      <c r="J467" s="24">
        <f>IF(OR(G467="",G467=0),"",I467/G467)</f>
        <v>0</v>
      </c>
      <c r="K467" s="23">
        <f>IF(C467="","",SUMIFS(Analytics!$G$5:$G$154,Analytics!$C$5:$C$154,C467))</f>
        <v>0</v>
      </c>
      <c r="L467" s="23">
        <f>IF(C467="","",SUMIFS(Analytics!$X$5:$X$154,Analytics!$C$5:$C$154,C467))</f>
        <v>0</v>
      </c>
      <c r="M467" s="23">
        <f>IF(C467="","",SUMIFS(Analytics!$R$5:$R$154,Analytics!$C$5:$C$154,C467))</f>
        <v>0</v>
      </c>
      <c r="N467" s="23">
        <f>IF(C467="","",SUMIFS(Analytics!$S$5:$S$154,Analytics!$C$5:$C$154,C467))</f>
        <v>0</v>
      </c>
      <c r="O467" s="23">
        <f>IF(C467="","",SUMIFS(Analytics!$T$5:$T$154,Analytics!$C$5:$C$154,C467))</f>
        <v>0</v>
      </c>
      <c r="P467" s="25">
        <f>IF(C467="","",SUMIFS(Analytics!$U$5:$U$154,Analytics!$C$5:$C$154,C467))</f>
        <v>0</v>
      </c>
      <c r="Q467" s="25">
        <f>IF(C467="","",SUMIFS(Budget!$H$5:$H$64,Budget!$C$5:$C$64,C467))</f>
        <v>0</v>
      </c>
      <c r="R467" s="25">
        <f>IF(C467="","",P467-Q467)</f>
        <v>0</v>
      </c>
      <c r="S467" s="23">
        <f>IF(C467="","",MonthlyPostTarget)</f>
        <v>0</v>
      </c>
      <c r="T467" s="17">
        <f>IF(Lists!$C467="","",Lists!$C467)</f>
        <v>0</v>
      </c>
      <c r="U467" s="23">
        <f>IF(T467="","",COUNTIFS('Content Calendar'!$G$5:$G$604,T467,'Content Calendar'!$B$5:$B$604,"&gt;="&amp;DashStart,'Content Calendar'!$B$5:$B$604,"&lt;="&amp;DashEnd))</f>
        <v>0</v>
      </c>
      <c r="V467" s="23">
        <f>IF(T467="","",COUNTIFS('Content Calendar'!$G$5:$G$604,T467,'Content Calendar'!$X$5:$X$604,"Published",'Content Calendar'!$B$5:$B$604,"&gt;="&amp;DashStart,'Content Calendar'!$B$5:$B$604,"&lt;="&amp;DashEnd))</f>
        <v>0</v>
      </c>
      <c r="W467" s="23">
        <f>IF(T467="","",SUMIFS(Analytics!$J$5:$J$154,Analytics!$D$5:$D$154,T467,Analytics!$B$5:$B$154,"&gt;="&amp;DashStart,Analytics!$B$5:$B$154,"&lt;="&amp;DashEnd))</f>
        <v>0</v>
      </c>
      <c r="X467" s="23">
        <f>IF(T467="","",SUMIFS(Analytics!$L$5:$L$154,Analytics!$D$5:$D$154,T467,Analytics!$B$5:$B$154,"&gt;="&amp;DashStart,Analytics!$B$5:$B$154,"&lt;="&amp;DashEnd))</f>
        <v>0</v>
      </c>
      <c r="Y467" s="24">
        <f>IF(OR(W467="",W467=0),"",X467/W467)</f>
        <v>0</v>
      </c>
      <c r="Z467" s="23">
        <f>IF(T467="","",SUMIFS(Analytics!$G$5:$G$154,Analytics!$D$5:$D$154,T467,Analytics!$B$5:$B$154,"&gt;="&amp;DashStart,Analytics!$B$5:$B$154,"&lt;="&amp;DashEnd))</f>
        <v>0</v>
      </c>
      <c r="AA467" s="23">
        <f>IF(T467="","",SUMIFS(Analytics!$X$5:$X$154,Analytics!$D$5:$D$154,T467,Analytics!$B$5:$B$154,"&gt;="&amp;DashStart,Analytics!$B$5:$B$154,"&lt;="&amp;DashEnd))</f>
        <v>0</v>
      </c>
      <c r="AB467" s="23">
        <f>IF(T467="","",SUMIFS(Analytics!$R$5:$R$154,Analytics!$D$5:$D$154,T467,Analytics!$B$5:$B$154,"&gt;="&amp;DashStart,Analytics!$B$5:$B$154,"&lt;="&amp;DashEnd))</f>
        <v>0</v>
      </c>
      <c r="AC467" s="25">
        <f>IF(T467="","",SUMIFS(Analytics!$U$5:$U$154,Analytics!$D$5:$D$154,T467,Analytics!$B$5:$B$154,"&gt;="&amp;DashStart,Analytics!$B$5:$B$154,"&lt;="&amp;DashEnd))</f>
        <v>0</v>
      </c>
      <c r="AD467" s="23">
        <f>IF(T467="","",COUNTIFS('Content Calendar'!$G$5:$G$604,T467,'Content Calendar'!$B$5:$B$604,"&gt;="&amp;DATE(PlanYear,1,1),'Content Calendar'!$B$5:$B$604,"&lt;="&amp;DATE(PlanYear,12,31)))</f>
        <v>0</v>
      </c>
      <c r="AE467" s="23">
        <f>IF(T467="","",SUMIFS(Analytics!$J$5:$J$154,Analytics!$D$5:$D$154,T467))</f>
        <v>0</v>
      </c>
      <c r="AF467" s="23">
        <f>IF(T467="","",SUMIFS(Analytics!$L$5:$L$154,Analytics!$D$5:$D$154,T467))</f>
        <v>0</v>
      </c>
      <c r="AG467" s="24">
        <f>IF(OR(AE467="",AE467=0),"",AF467/AE467)</f>
        <v>0</v>
      </c>
      <c r="AH467" s="23">
        <f>IF(T467="","",SUMIFS(Analytics!$X$5:$X$154,Analytics!$D$5:$D$154,T467))</f>
        <v>0</v>
      </c>
      <c r="AI467" s="32">
        <f>IF(T467="","",IF(AE467=0,"",AE467+ROW()/1000000))</f>
        <v>0</v>
      </c>
      <c r="AJ467" s="17">
        <f>IF('Content Pillars'!$B$467="","",'Content Pillars'!$B$467)</f>
        <v>0</v>
      </c>
      <c r="AK467" s="23">
        <f>IF(AJ467="","",COUNTIFS('Content Calendar'!$J$5:$J$604,AJ467,'Content Calendar'!$B$5:$B$604,"&gt;="&amp;DATE(PlanYear,1,1),'Content Calendar'!$B$5:$B$604,"&lt;="&amp;DATE(PlanYear,12,31)))</f>
        <v>0</v>
      </c>
      <c r="AL467" s="23">
        <f>IF(AJ467="","",SUMIFS(Performance!$O$5:$O$404,Performance!$H$5:$H$404,AJ467))</f>
        <v>0</v>
      </c>
      <c r="AM467" s="23">
        <f>IF(AJ467="","",SUMIFS(Performance!$Z$5:$Z$404,Performance!$H$5:$H$404,AJ467))</f>
        <v>0</v>
      </c>
      <c r="AN467" s="24">
        <f>IF(OR(AL467="",AL467=0),"",AM467/AL467)</f>
        <v>0</v>
      </c>
      <c r="AO467" s="32">
        <f>IF(AN467="","",AN467+ROW()/1000000)</f>
        <v>0</v>
      </c>
      <c r="AP467" s="17">
        <f>IF(Lists!$E467="","",Lists!$E467)</f>
        <v>0</v>
      </c>
      <c r="AQ467" s="23">
        <f>IF(AP467="","",COUNTIF(Performance!$G$5:$G$404,AP467))</f>
        <v>0</v>
      </c>
      <c r="AR467" s="23">
        <f>IF(AP467="","",SUMIFS(Performance!$O$5:$O$404,Performance!$G$5:$G$404,AP467))</f>
        <v>0</v>
      </c>
      <c r="AS467" s="23">
        <f>IF(AP467="","",SUMIFS(Performance!$Z$5:$Z$404,Performance!$G$5:$G$404,AP467))</f>
        <v>0</v>
      </c>
      <c r="AT467" s="24">
        <f>IF(OR(AR467="",AR467=0),"",AS467/AR467)</f>
        <v>0</v>
      </c>
      <c r="AU467" s="32">
        <f>IF(AQ467=0,"",IF(AT467="","",AT467+ROW()/1000000))</f>
        <v>0</v>
      </c>
      <c r="AV467" s="17">
        <f>IF(ROW()-4&gt;7,"",TEXT(DATE(2024,1,ROW()-4),"ddd"))</f>
        <v>0</v>
      </c>
      <c r="AW467" s="23">
        <f>IF(AV467="","",COUNTIF(Performance!$N$5:$N$404,AV467))</f>
        <v>0</v>
      </c>
      <c r="AX467" s="23">
        <f>IF(AV467="","",SUMIFS(Performance!$O$5:$O$404,Performance!$N$5:$N$404,AV467))</f>
        <v>0</v>
      </c>
      <c r="AY467" s="23">
        <f>IF(AV467="","",SUMIFS(Performance!$Z$5:$Z$404,Performance!$N$5:$N$404,AV467))</f>
        <v>0</v>
      </c>
      <c r="AZ467" s="24">
        <f>IF(OR(AX467="",AX467=0),"",AY467/AX467)</f>
        <v>0</v>
      </c>
      <c r="BA467" s="32">
        <f>IF(AW467=0,"",IF(AZ467="","",AZ467+ROW()/1000000))</f>
        <v>0</v>
      </c>
      <c r="BB467" s="17">
        <f>IF(Lists!$AL467="","",Lists!$AL467)</f>
        <v>0</v>
      </c>
      <c r="BC467" s="23">
        <f>IF(BB467="","",COUNTIF(Performance!$M$5:$M$404,BB467))</f>
        <v>0</v>
      </c>
      <c r="BD467" s="23">
        <f>IF(BB467="","",SUMIFS(Performance!$O$5:$O$404,Performance!$M$5:$M$404,BB467))</f>
        <v>0</v>
      </c>
      <c r="BE467" s="23">
        <f>IF(BB467="","",SUMIFS(Performance!$Z$5:$Z$404,Performance!$M$5:$M$404,BB467))</f>
        <v>0</v>
      </c>
      <c r="BF467" s="24">
        <f>IF(OR(BD467="",BD467=0),"",BE467/BD467)</f>
        <v>0</v>
      </c>
      <c r="BG467" s="32">
        <f>IF(BC467=0,"",IF(BF467="","",BF467+ROW()/1000000))</f>
        <v>0</v>
      </c>
      <c r="BH467" s="17">
        <f>IF(Performance!$C$467="","",Performance!$C$467)</f>
        <v>0</v>
      </c>
      <c r="BI467" s="17">
        <f>IF(Performance!$F$467="","",Performance!$F$467)</f>
        <v>0</v>
      </c>
      <c r="BJ467" s="17">
        <f>IF(Performance!$H$467="","",Performance!$H$467)</f>
        <v>0</v>
      </c>
      <c r="BK467" s="16">
        <f>IF(Performance!$D$467="","",Performance!$D$467)</f>
        <v>0</v>
      </c>
      <c r="BL467" s="17">
        <f>IF(Performance!$E$467="","",Performance!$E$467)</f>
        <v>0</v>
      </c>
      <c r="BM467" s="23">
        <f>IF(Performance!$O$467="","",Performance!$O$467)</f>
        <v>0</v>
      </c>
      <c r="BN467" s="24">
        <f>IF(Performance!$AA$467="","",Performance!$AA$467)</f>
        <v>0</v>
      </c>
      <c r="BO467" s="32">
        <f>IF(BH467="","",IF(BK467="","",IF(OR(BK467&lt;DashStart,BK467&gt;DashEnd),"",IF(BN467="","",BN467+ROW()/1000000))))</f>
        <v>0</v>
      </c>
      <c r="BP467" s="32">
        <f>IF(BM467="","",IF(BK467="","",IF(OR(BK467&lt;DashStart,BK467&gt;DashEnd),"",BM467+ROW()/1000000)))</f>
        <v>0</v>
      </c>
      <c r="BQ467" s="32">
        <f>IF(BH467="","",IF(BK467="","",IF(YEAR(BK467)&lt;&gt;PlanYear,"",IF(BN467="","",BN467+ROW()/1000000))))</f>
        <v>0</v>
      </c>
      <c r="BR467" s="32">
        <f>IF(BH467="","",IF(BK467="","",IF(OR(BK467&lt;RepFrom,BK467&gt;RepTo),"",IF(BN467="","",BN467+ROW()/1000000))))</f>
        <v>0</v>
      </c>
      <c r="BS467" s="32">
        <f>IF(BM467="","",IF(BK467="","",IF(YEAR(BK467)&lt;&gt;PlanYear,"",BM467+ROW()/1000000)))</f>
        <v>0</v>
      </c>
      <c r="BT467" s="17">
        <f>IF(Lists!$F467="","",Lists!$F467)</f>
        <v>0</v>
      </c>
      <c r="BU467" s="23">
        <f>IF(BT467="","",COUNTIF('Content Calendar'!$X$5:$X$604,BT467))</f>
        <v>0</v>
      </c>
      <c r="BV467" s="23">
        <f>IF(BT467="","",COUNTIFS('Content Calendar'!$X$5:$X$604,BT467,'Content Calendar'!$B$5:$B$604,"&gt;="&amp;DashStart,'Content Calendar'!$B$5:$B$604,"&lt;="&amp;DashEnd))</f>
        <v>0</v>
      </c>
      <c r="BW467" s="17">
        <f>IF(Team!$B$467="","",Team!$B$467)</f>
        <v>0</v>
      </c>
      <c r="BX467" s="23">
        <f>IF(BW467="","",COUNTIF('Content Calendar'!$W$5:$W$604,BW467))</f>
        <v>0</v>
      </c>
      <c r="BY467" s="23">
        <f>IF(BW467="","",COUNTIFS('Content Calendar'!$W$5:$W$604,BW467,'Content Calendar'!$X$5:$X$604,"&lt;&gt;Published"))</f>
        <v>0</v>
      </c>
      <c r="BZ467" s="23">
        <f>IF(BW467="","",COUNTIFS(Tasks!$C$5:$C$64,BW467,Tasks!$G$5:$G$64,"&lt;&gt;Complete"))</f>
        <v>0</v>
      </c>
      <c r="CA467" s="17">
        <f>IF(Campaigns!$B$467="","",Campaigns!$B$467)</f>
        <v>0</v>
      </c>
      <c r="CB467" s="25">
        <f>IF(Campaigns!$T$467="","",Campaigns!$T$467)</f>
        <v>0</v>
      </c>
      <c r="CC467" s="25">
        <f>IF(Campaigns!$Q$467="","",Campaigns!$Q$467)</f>
        <v>0</v>
      </c>
      <c r="CD467" s="23">
        <f>IF(Campaigns!$Y$467="","",Campaigns!$Y$467)</f>
        <v>0</v>
      </c>
      <c r="CE467" s="32">
        <f>IF(CA467="","",IF(N(CB467)&lt;=0,"",N(CB467)+ROW()/1000000))</f>
        <v>0</v>
      </c>
      <c r="CF467" s="17">
        <f>IF(Accounts!$C$467="","",Accounts!$C$467)</f>
        <v>0</v>
      </c>
      <c r="CG467" s="17">
        <f>IF(Accounts!$B$467="","",Accounts!$B$467)</f>
        <v>0</v>
      </c>
      <c r="CH467" s="23">
        <f>IF(Accounts!$J$467="","",Accounts!$J$467)</f>
        <v>0</v>
      </c>
      <c r="CI467" s="23">
        <f>IF(CF467="","",SUMIFS(Analytics!$X$5:$X$154,Analytics!$E$5:$E$154,CF467,Analytics!$B$5:$B$154,"&gt;="&amp;DashStart,Analytics!$B$5:$B$154,"&lt;="&amp;DashEnd))</f>
        <v>0</v>
      </c>
      <c r="CJ467" s="32">
        <f>IF(CH467="","",IF(CH467=0,"",CH467+ROW()/1000000))</f>
        <v>0</v>
      </c>
    </row>
    <row r="468" spans="1:88">
      <c r="A468" s="16">
        <f>IF(ROW()-4&gt;12,"",DATE(PlanYear,ROW()-4,1))</f>
        <v>0</v>
      </c>
      <c r="B468" s="16">
        <f>IF(A468="","",EOMONTH(A468,0))</f>
        <v>0</v>
      </c>
      <c r="C468" s="17">
        <f>IF(A468="","",TEXT(A468,"yyyy-mm"))</f>
        <v>0</v>
      </c>
      <c r="D468" s="17">
        <f>IF(A468="","",TEXT(A468,"mmm"))</f>
        <v>0</v>
      </c>
      <c r="E468" s="23">
        <f>IF(C468="","",COUNTIFS('Content Calendar'!$D$5:$D$604,C468))</f>
        <v>0</v>
      </c>
      <c r="F468" s="23">
        <f>IF(C468="","",COUNTIFS('Content Calendar'!$D$5:$D$604,C468,'Content Calendar'!$X$5:$X$604,"Published"))</f>
        <v>0</v>
      </c>
      <c r="G468" s="23">
        <f>IF(C468="","",SUMIFS(Analytics!$J$5:$J$154,Analytics!$C$5:$C$154,C468))</f>
        <v>0</v>
      </c>
      <c r="H468" s="23">
        <f>IF(C468="","",SUMIFS(Analytics!$K$5:$K$154,Analytics!$C$5:$C$154,C468))</f>
        <v>0</v>
      </c>
      <c r="I468" s="23">
        <f>IF(C468="","",SUMIFS(Analytics!$L$5:$L$154,Analytics!$C$5:$C$154,C468))</f>
        <v>0</v>
      </c>
      <c r="J468" s="24">
        <f>IF(OR(G468="",G468=0),"",I468/G468)</f>
        <v>0</v>
      </c>
      <c r="K468" s="23">
        <f>IF(C468="","",SUMIFS(Analytics!$G$5:$G$154,Analytics!$C$5:$C$154,C468))</f>
        <v>0</v>
      </c>
      <c r="L468" s="23">
        <f>IF(C468="","",SUMIFS(Analytics!$X$5:$X$154,Analytics!$C$5:$C$154,C468))</f>
        <v>0</v>
      </c>
      <c r="M468" s="23">
        <f>IF(C468="","",SUMIFS(Analytics!$R$5:$R$154,Analytics!$C$5:$C$154,C468))</f>
        <v>0</v>
      </c>
      <c r="N468" s="23">
        <f>IF(C468="","",SUMIFS(Analytics!$S$5:$S$154,Analytics!$C$5:$C$154,C468))</f>
        <v>0</v>
      </c>
      <c r="O468" s="23">
        <f>IF(C468="","",SUMIFS(Analytics!$T$5:$T$154,Analytics!$C$5:$C$154,C468))</f>
        <v>0</v>
      </c>
      <c r="P468" s="25">
        <f>IF(C468="","",SUMIFS(Analytics!$U$5:$U$154,Analytics!$C$5:$C$154,C468))</f>
        <v>0</v>
      </c>
      <c r="Q468" s="25">
        <f>IF(C468="","",SUMIFS(Budget!$H$5:$H$64,Budget!$C$5:$C$64,C468))</f>
        <v>0</v>
      </c>
      <c r="R468" s="25">
        <f>IF(C468="","",P468-Q468)</f>
        <v>0</v>
      </c>
      <c r="S468" s="23">
        <f>IF(C468="","",MonthlyPostTarget)</f>
        <v>0</v>
      </c>
      <c r="T468" s="17">
        <f>IF(Lists!$C468="","",Lists!$C468)</f>
        <v>0</v>
      </c>
      <c r="U468" s="23">
        <f>IF(T468="","",COUNTIFS('Content Calendar'!$G$5:$G$604,T468,'Content Calendar'!$B$5:$B$604,"&gt;="&amp;DashStart,'Content Calendar'!$B$5:$B$604,"&lt;="&amp;DashEnd))</f>
        <v>0</v>
      </c>
      <c r="V468" s="23">
        <f>IF(T468="","",COUNTIFS('Content Calendar'!$G$5:$G$604,T468,'Content Calendar'!$X$5:$X$604,"Published",'Content Calendar'!$B$5:$B$604,"&gt;="&amp;DashStart,'Content Calendar'!$B$5:$B$604,"&lt;="&amp;DashEnd))</f>
        <v>0</v>
      </c>
      <c r="W468" s="23">
        <f>IF(T468="","",SUMIFS(Analytics!$J$5:$J$154,Analytics!$D$5:$D$154,T468,Analytics!$B$5:$B$154,"&gt;="&amp;DashStart,Analytics!$B$5:$B$154,"&lt;="&amp;DashEnd))</f>
        <v>0</v>
      </c>
      <c r="X468" s="23">
        <f>IF(T468="","",SUMIFS(Analytics!$L$5:$L$154,Analytics!$D$5:$D$154,T468,Analytics!$B$5:$B$154,"&gt;="&amp;DashStart,Analytics!$B$5:$B$154,"&lt;="&amp;DashEnd))</f>
        <v>0</v>
      </c>
      <c r="Y468" s="24">
        <f>IF(OR(W468="",W468=0),"",X468/W468)</f>
        <v>0</v>
      </c>
      <c r="Z468" s="23">
        <f>IF(T468="","",SUMIFS(Analytics!$G$5:$G$154,Analytics!$D$5:$D$154,T468,Analytics!$B$5:$B$154,"&gt;="&amp;DashStart,Analytics!$B$5:$B$154,"&lt;="&amp;DashEnd))</f>
        <v>0</v>
      </c>
      <c r="AA468" s="23">
        <f>IF(T468="","",SUMIFS(Analytics!$X$5:$X$154,Analytics!$D$5:$D$154,T468,Analytics!$B$5:$B$154,"&gt;="&amp;DashStart,Analytics!$B$5:$B$154,"&lt;="&amp;DashEnd))</f>
        <v>0</v>
      </c>
      <c r="AB468" s="23">
        <f>IF(T468="","",SUMIFS(Analytics!$R$5:$R$154,Analytics!$D$5:$D$154,T468,Analytics!$B$5:$B$154,"&gt;="&amp;DashStart,Analytics!$B$5:$B$154,"&lt;="&amp;DashEnd))</f>
        <v>0</v>
      </c>
      <c r="AC468" s="25">
        <f>IF(T468="","",SUMIFS(Analytics!$U$5:$U$154,Analytics!$D$5:$D$154,T468,Analytics!$B$5:$B$154,"&gt;="&amp;DashStart,Analytics!$B$5:$B$154,"&lt;="&amp;DashEnd))</f>
        <v>0</v>
      </c>
      <c r="AD468" s="23">
        <f>IF(T468="","",COUNTIFS('Content Calendar'!$G$5:$G$604,T468,'Content Calendar'!$B$5:$B$604,"&gt;="&amp;DATE(PlanYear,1,1),'Content Calendar'!$B$5:$B$604,"&lt;="&amp;DATE(PlanYear,12,31)))</f>
        <v>0</v>
      </c>
      <c r="AE468" s="23">
        <f>IF(T468="","",SUMIFS(Analytics!$J$5:$J$154,Analytics!$D$5:$D$154,T468))</f>
        <v>0</v>
      </c>
      <c r="AF468" s="23">
        <f>IF(T468="","",SUMIFS(Analytics!$L$5:$L$154,Analytics!$D$5:$D$154,T468))</f>
        <v>0</v>
      </c>
      <c r="AG468" s="24">
        <f>IF(OR(AE468="",AE468=0),"",AF468/AE468)</f>
        <v>0</v>
      </c>
      <c r="AH468" s="23">
        <f>IF(T468="","",SUMIFS(Analytics!$X$5:$X$154,Analytics!$D$5:$D$154,T468))</f>
        <v>0</v>
      </c>
      <c r="AI468" s="32">
        <f>IF(T468="","",IF(AE468=0,"",AE468+ROW()/1000000))</f>
        <v>0</v>
      </c>
      <c r="AJ468" s="17">
        <f>IF('Content Pillars'!$B$468="","",'Content Pillars'!$B$468)</f>
        <v>0</v>
      </c>
      <c r="AK468" s="23">
        <f>IF(AJ468="","",COUNTIFS('Content Calendar'!$J$5:$J$604,AJ468,'Content Calendar'!$B$5:$B$604,"&gt;="&amp;DATE(PlanYear,1,1),'Content Calendar'!$B$5:$B$604,"&lt;="&amp;DATE(PlanYear,12,31)))</f>
        <v>0</v>
      </c>
      <c r="AL468" s="23">
        <f>IF(AJ468="","",SUMIFS(Performance!$O$5:$O$404,Performance!$H$5:$H$404,AJ468))</f>
        <v>0</v>
      </c>
      <c r="AM468" s="23">
        <f>IF(AJ468="","",SUMIFS(Performance!$Z$5:$Z$404,Performance!$H$5:$H$404,AJ468))</f>
        <v>0</v>
      </c>
      <c r="AN468" s="24">
        <f>IF(OR(AL468="",AL468=0),"",AM468/AL468)</f>
        <v>0</v>
      </c>
      <c r="AO468" s="32">
        <f>IF(AN468="","",AN468+ROW()/1000000)</f>
        <v>0</v>
      </c>
      <c r="AP468" s="17">
        <f>IF(Lists!$E468="","",Lists!$E468)</f>
        <v>0</v>
      </c>
      <c r="AQ468" s="23">
        <f>IF(AP468="","",COUNTIF(Performance!$G$5:$G$404,AP468))</f>
        <v>0</v>
      </c>
      <c r="AR468" s="23">
        <f>IF(AP468="","",SUMIFS(Performance!$O$5:$O$404,Performance!$G$5:$G$404,AP468))</f>
        <v>0</v>
      </c>
      <c r="AS468" s="23">
        <f>IF(AP468="","",SUMIFS(Performance!$Z$5:$Z$404,Performance!$G$5:$G$404,AP468))</f>
        <v>0</v>
      </c>
      <c r="AT468" s="24">
        <f>IF(OR(AR468="",AR468=0),"",AS468/AR468)</f>
        <v>0</v>
      </c>
      <c r="AU468" s="32">
        <f>IF(AQ468=0,"",IF(AT468="","",AT468+ROW()/1000000))</f>
        <v>0</v>
      </c>
      <c r="AV468" s="17">
        <f>IF(ROW()-4&gt;7,"",TEXT(DATE(2024,1,ROW()-4),"ddd"))</f>
        <v>0</v>
      </c>
      <c r="AW468" s="23">
        <f>IF(AV468="","",COUNTIF(Performance!$N$5:$N$404,AV468))</f>
        <v>0</v>
      </c>
      <c r="AX468" s="23">
        <f>IF(AV468="","",SUMIFS(Performance!$O$5:$O$404,Performance!$N$5:$N$404,AV468))</f>
        <v>0</v>
      </c>
      <c r="AY468" s="23">
        <f>IF(AV468="","",SUMIFS(Performance!$Z$5:$Z$404,Performance!$N$5:$N$404,AV468))</f>
        <v>0</v>
      </c>
      <c r="AZ468" s="24">
        <f>IF(OR(AX468="",AX468=0),"",AY468/AX468)</f>
        <v>0</v>
      </c>
      <c r="BA468" s="32">
        <f>IF(AW468=0,"",IF(AZ468="","",AZ468+ROW()/1000000))</f>
        <v>0</v>
      </c>
      <c r="BB468" s="17">
        <f>IF(Lists!$AL468="","",Lists!$AL468)</f>
        <v>0</v>
      </c>
      <c r="BC468" s="23">
        <f>IF(BB468="","",COUNTIF(Performance!$M$5:$M$404,BB468))</f>
        <v>0</v>
      </c>
      <c r="BD468" s="23">
        <f>IF(BB468="","",SUMIFS(Performance!$O$5:$O$404,Performance!$M$5:$M$404,BB468))</f>
        <v>0</v>
      </c>
      <c r="BE468" s="23">
        <f>IF(BB468="","",SUMIFS(Performance!$Z$5:$Z$404,Performance!$M$5:$M$404,BB468))</f>
        <v>0</v>
      </c>
      <c r="BF468" s="24">
        <f>IF(OR(BD468="",BD468=0),"",BE468/BD468)</f>
        <v>0</v>
      </c>
      <c r="BG468" s="32">
        <f>IF(BC468=0,"",IF(BF468="","",BF468+ROW()/1000000))</f>
        <v>0</v>
      </c>
      <c r="BH468" s="17">
        <f>IF(Performance!$C$468="","",Performance!$C$468)</f>
        <v>0</v>
      </c>
      <c r="BI468" s="17">
        <f>IF(Performance!$F$468="","",Performance!$F$468)</f>
        <v>0</v>
      </c>
      <c r="BJ468" s="17">
        <f>IF(Performance!$H$468="","",Performance!$H$468)</f>
        <v>0</v>
      </c>
      <c r="BK468" s="16">
        <f>IF(Performance!$D$468="","",Performance!$D$468)</f>
        <v>0</v>
      </c>
      <c r="BL468" s="17">
        <f>IF(Performance!$E$468="","",Performance!$E$468)</f>
        <v>0</v>
      </c>
      <c r="BM468" s="23">
        <f>IF(Performance!$O$468="","",Performance!$O$468)</f>
        <v>0</v>
      </c>
      <c r="BN468" s="24">
        <f>IF(Performance!$AA$468="","",Performance!$AA$468)</f>
        <v>0</v>
      </c>
      <c r="BO468" s="32">
        <f>IF(BH468="","",IF(BK468="","",IF(OR(BK468&lt;DashStart,BK468&gt;DashEnd),"",IF(BN468="","",BN468+ROW()/1000000))))</f>
        <v>0</v>
      </c>
      <c r="BP468" s="32">
        <f>IF(BM468="","",IF(BK468="","",IF(OR(BK468&lt;DashStart,BK468&gt;DashEnd),"",BM468+ROW()/1000000)))</f>
        <v>0</v>
      </c>
      <c r="BQ468" s="32">
        <f>IF(BH468="","",IF(BK468="","",IF(YEAR(BK468)&lt;&gt;PlanYear,"",IF(BN468="","",BN468+ROW()/1000000))))</f>
        <v>0</v>
      </c>
      <c r="BR468" s="32">
        <f>IF(BH468="","",IF(BK468="","",IF(OR(BK468&lt;RepFrom,BK468&gt;RepTo),"",IF(BN468="","",BN468+ROW()/1000000))))</f>
        <v>0</v>
      </c>
      <c r="BS468" s="32">
        <f>IF(BM468="","",IF(BK468="","",IF(YEAR(BK468)&lt;&gt;PlanYear,"",BM468+ROW()/1000000)))</f>
        <v>0</v>
      </c>
      <c r="BT468" s="17">
        <f>IF(Lists!$F468="","",Lists!$F468)</f>
        <v>0</v>
      </c>
      <c r="BU468" s="23">
        <f>IF(BT468="","",COUNTIF('Content Calendar'!$X$5:$X$604,BT468))</f>
        <v>0</v>
      </c>
      <c r="BV468" s="23">
        <f>IF(BT468="","",COUNTIFS('Content Calendar'!$X$5:$X$604,BT468,'Content Calendar'!$B$5:$B$604,"&gt;="&amp;DashStart,'Content Calendar'!$B$5:$B$604,"&lt;="&amp;DashEnd))</f>
        <v>0</v>
      </c>
      <c r="BW468" s="17">
        <f>IF(Team!$B$468="","",Team!$B$468)</f>
        <v>0</v>
      </c>
      <c r="BX468" s="23">
        <f>IF(BW468="","",COUNTIF('Content Calendar'!$W$5:$W$604,BW468))</f>
        <v>0</v>
      </c>
      <c r="BY468" s="23">
        <f>IF(BW468="","",COUNTIFS('Content Calendar'!$W$5:$W$604,BW468,'Content Calendar'!$X$5:$X$604,"&lt;&gt;Published"))</f>
        <v>0</v>
      </c>
      <c r="BZ468" s="23">
        <f>IF(BW468="","",COUNTIFS(Tasks!$C$5:$C$64,BW468,Tasks!$G$5:$G$64,"&lt;&gt;Complete"))</f>
        <v>0</v>
      </c>
      <c r="CA468" s="17">
        <f>IF(Campaigns!$B$468="","",Campaigns!$B$468)</f>
        <v>0</v>
      </c>
      <c r="CB468" s="25">
        <f>IF(Campaigns!$T$468="","",Campaigns!$T$468)</f>
        <v>0</v>
      </c>
      <c r="CC468" s="25">
        <f>IF(Campaigns!$Q$468="","",Campaigns!$Q$468)</f>
        <v>0</v>
      </c>
      <c r="CD468" s="23">
        <f>IF(Campaigns!$Y$468="","",Campaigns!$Y$468)</f>
        <v>0</v>
      </c>
      <c r="CE468" s="32">
        <f>IF(CA468="","",IF(N(CB468)&lt;=0,"",N(CB468)+ROW()/1000000))</f>
        <v>0</v>
      </c>
      <c r="CF468" s="17">
        <f>IF(Accounts!$C$468="","",Accounts!$C$468)</f>
        <v>0</v>
      </c>
      <c r="CG468" s="17">
        <f>IF(Accounts!$B$468="","",Accounts!$B$468)</f>
        <v>0</v>
      </c>
      <c r="CH468" s="23">
        <f>IF(Accounts!$J$468="","",Accounts!$J$468)</f>
        <v>0</v>
      </c>
      <c r="CI468" s="23">
        <f>IF(CF468="","",SUMIFS(Analytics!$X$5:$X$154,Analytics!$E$5:$E$154,CF468,Analytics!$B$5:$B$154,"&gt;="&amp;DashStart,Analytics!$B$5:$B$154,"&lt;="&amp;DashEnd))</f>
        <v>0</v>
      </c>
      <c r="CJ468" s="32">
        <f>IF(CH468="","",IF(CH468=0,"",CH468+ROW()/1000000))</f>
        <v>0</v>
      </c>
    </row>
    <row r="469" spans="1:88">
      <c r="A469" s="16">
        <f>IF(ROW()-4&gt;12,"",DATE(PlanYear,ROW()-4,1))</f>
        <v>0</v>
      </c>
      <c r="B469" s="16">
        <f>IF(A469="","",EOMONTH(A469,0))</f>
        <v>0</v>
      </c>
      <c r="C469" s="17">
        <f>IF(A469="","",TEXT(A469,"yyyy-mm"))</f>
        <v>0</v>
      </c>
      <c r="D469" s="17">
        <f>IF(A469="","",TEXT(A469,"mmm"))</f>
        <v>0</v>
      </c>
      <c r="E469" s="23">
        <f>IF(C469="","",COUNTIFS('Content Calendar'!$D$5:$D$604,C469))</f>
        <v>0</v>
      </c>
      <c r="F469" s="23">
        <f>IF(C469="","",COUNTIFS('Content Calendar'!$D$5:$D$604,C469,'Content Calendar'!$X$5:$X$604,"Published"))</f>
        <v>0</v>
      </c>
      <c r="G469" s="23">
        <f>IF(C469="","",SUMIFS(Analytics!$J$5:$J$154,Analytics!$C$5:$C$154,C469))</f>
        <v>0</v>
      </c>
      <c r="H469" s="23">
        <f>IF(C469="","",SUMIFS(Analytics!$K$5:$K$154,Analytics!$C$5:$C$154,C469))</f>
        <v>0</v>
      </c>
      <c r="I469" s="23">
        <f>IF(C469="","",SUMIFS(Analytics!$L$5:$L$154,Analytics!$C$5:$C$154,C469))</f>
        <v>0</v>
      </c>
      <c r="J469" s="24">
        <f>IF(OR(G469="",G469=0),"",I469/G469)</f>
        <v>0</v>
      </c>
      <c r="K469" s="23">
        <f>IF(C469="","",SUMIFS(Analytics!$G$5:$G$154,Analytics!$C$5:$C$154,C469))</f>
        <v>0</v>
      </c>
      <c r="L469" s="23">
        <f>IF(C469="","",SUMIFS(Analytics!$X$5:$X$154,Analytics!$C$5:$C$154,C469))</f>
        <v>0</v>
      </c>
      <c r="M469" s="23">
        <f>IF(C469="","",SUMIFS(Analytics!$R$5:$R$154,Analytics!$C$5:$C$154,C469))</f>
        <v>0</v>
      </c>
      <c r="N469" s="23">
        <f>IF(C469="","",SUMIFS(Analytics!$S$5:$S$154,Analytics!$C$5:$C$154,C469))</f>
        <v>0</v>
      </c>
      <c r="O469" s="23">
        <f>IF(C469="","",SUMIFS(Analytics!$T$5:$T$154,Analytics!$C$5:$C$154,C469))</f>
        <v>0</v>
      </c>
      <c r="P469" s="25">
        <f>IF(C469="","",SUMIFS(Analytics!$U$5:$U$154,Analytics!$C$5:$C$154,C469))</f>
        <v>0</v>
      </c>
      <c r="Q469" s="25">
        <f>IF(C469="","",SUMIFS(Budget!$H$5:$H$64,Budget!$C$5:$C$64,C469))</f>
        <v>0</v>
      </c>
      <c r="R469" s="25">
        <f>IF(C469="","",P469-Q469)</f>
        <v>0</v>
      </c>
      <c r="S469" s="23">
        <f>IF(C469="","",MonthlyPostTarget)</f>
        <v>0</v>
      </c>
      <c r="T469" s="17">
        <f>IF(Lists!$C469="","",Lists!$C469)</f>
        <v>0</v>
      </c>
      <c r="U469" s="23">
        <f>IF(T469="","",COUNTIFS('Content Calendar'!$G$5:$G$604,T469,'Content Calendar'!$B$5:$B$604,"&gt;="&amp;DashStart,'Content Calendar'!$B$5:$B$604,"&lt;="&amp;DashEnd))</f>
        <v>0</v>
      </c>
      <c r="V469" s="23">
        <f>IF(T469="","",COUNTIFS('Content Calendar'!$G$5:$G$604,T469,'Content Calendar'!$X$5:$X$604,"Published",'Content Calendar'!$B$5:$B$604,"&gt;="&amp;DashStart,'Content Calendar'!$B$5:$B$604,"&lt;="&amp;DashEnd))</f>
        <v>0</v>
      </c>
      <c r="W469" s="23">
        <f>IF(T469="","",SUMIFS(Analytics!$J$5:$J$154,Analytics!$D$5:$D$154,T469,Analytics!$B$5:$B$154,"&gt;="&amp;DashStart,Analytics!$B$5:$B$154,"&lt;="&amp;DashEnd))</f>
        <v>0</v>
      </c>
      <c r="X469" s="23">
        <f>IF(T469="","",SUMIFS(Analytics!$L$5:$L$154,Analytics!$D$5:$D$154,T469,Analytics!$B$5:$B$154,"&gt;="&amp;DashStart,Analytics!$B$5:$B$154,"&lt;="&amp;DashEnd))</f>
        <v>0</v>
      </c>
      <c r="Y469" s="24">
        <f>IF(OR(W469="",W469=0),"",X469/W469)</f>
        <v>0</v>
      </c>
      <c r="Z469" s="23">
        <f>IF(T469="","",SUMIFS(Analytics!$G$5:$G$154,Analytics!$D$5:$D$154,T469,Analytics!$B$5:$B$154,"&gt;="&amp;DashStart,Analytics!$B$5:$B$154,"&lt;="&amp;DashEnd))</f>
        <v>0</v>
      </c>
      <c r="AA469" s="23">
        <f>IF(T469="","",SUMIFS(Analytics!$X$5:$X$154,Analytics!$D$5:$D$154,T469,Analytics!$B$5:$B$154,"&gt;="&amp;DashStart,Analytics!$B$5:$B$154,"&lt;="&amp;DashEnd))</f>
        <v>0</v>
      </c>
      <c r="AB469" s="23">
        <f>IF(T469="","",SUMIFS(Analytics!$R$5:$R$154,Analytics!$D$5:$D$154,T469,Analytics!$B$5:$B$154,"&gt;="&amp;DashStart,Analytics!$B$5:$B$154,"&lt;="&amp;DashEnd))</f>
        <v>0</v>
      </c>
      <c r="AC469" s="25">
        <f>IF(T469="","",SUMIFS(Analytics!$U$5:$U$154,Analytics!$D$5:$D$154,T469,Analytics!$B$5:$B$154,"&gt;="&amp;DashStart,Analytics!$B$5:$B$154,"&lt;="&amp;DashEnd))</f>
        <v>0</v>
      </c>
      <c r="AD469" s="23">
        <f>IF(T469="","",COUNTIFS('Content Calendar'!$G$5:$G$604,T469,'Content Calendar'!$B$5:$B$604,"&gt;="&amp;DATE(PlanYear,1,1),'Content Calendar'!$B$5:$B$604,"&lt;="&amp;DATE(PlanYear,12,31)))</f>
        <v>0</v>
      </c>
      <c r="AE469" s="23">
        <f>IF(T469="","",SUMIFS(Analytics!$J$5:$J$154,Analytics!$D$5:$D$154,T469))</f>
        <v>0</v>
      </c>
      <c r="AF469" s="23">
        <f>IF(T469="","",SUMIFS(Analytics!$L$5:$L$154,Analytics!$D$5:$D$154,T469))</f>
        <v>0</v>
      </c>
      <c r="AG469" s="24">
        <f>IF(OR(AE469="",AE469=0),"",AF469/AE469)</f>
        <v>0</v>
      </c>
      <c r="AH469" s="23">
        <f>IF(T469="","",SUMIFS(Analytics!$X$5:$X$154,Analytics!$D$5:$D$154,T469))</f>
        <v>0</v>
      </c>
      <c r="AI469" s="32">
        <f>IF(T469="","",IF(AE469=0,"",AE469+ROW()/1000000))</f>
        <v>0</v>
      </c>
      <c r="AJ469" s="17">
        <f>IF('Content Pillars'!$B$469="","",'Content Pillars'!$B$469)</f>
        <v>0</v>
      </c>
      <c r="AK469" s="23">
        <f>IF(AJ469="","",COUNTIFS('Content Calendar'!$J$5:$J$604,AJ469,'Content Calendar'!$B$5:$B$604,"&gt;="&amp;DATE(PlanYear,1,1),'Content Calendar'!$B$5:$B$604,"&lt;="&amp;DATE(PlanYear,12,31)))</f>
        <v>0</v>
      </c>
      <c r="AL469" s="23">
        <f>IF(AJ469="","",SUMIFS(Performance!$O$5:$O$404,Performance!$H$5:$H$404,AJ469))</f>
        <v>0</v>
      </c>
      <c r="AM469" s="23">
        <f>IF(AJ469="","",SUMIFS(Performance!$Z$5:$Z$404,Performance!$H$5:$H$404,AJ469))</f>
        <v>0</v>
      </c>
      <c r="AN469" s="24">
        <f>IF(OR(AL469="",AL469=0),"",AM469/AL469)</f>
        <v>0</v>
      </c>
      <c r="AO469" s="32">
        <f>IF(AN469="","",AN469+ROW()/1000000)</f>
        <v>0</v>
      </c>
      <c r="AP469" s="17">
        <f>IF(Lists!$E469="","",Lists!$E469)</f>
        <v>0</v>
      </c>
      <c r="AQ469" s="23">
        <f>IF(AP469="","",COUNTIF(Performance!$G$5:$G$404,AP469))</f>
        <v>0</v>
      </c>
      <c r="AR469" s="23">
        <f>IF(AP469="","",SUMIFS(Performance!$O$5:$O$404,Performance!$G$5:$G$404,AP469))</f>
        <v>0</v>
      </c>
      <c r="AS469" s="23">
        <f>IF(AP469="","",SUMIFS(Performance!$Z$5:$Z$404,Performance!$G$5:$G$404,AP469))</f>
        <v>0</v>
      </c>
      <c r="AT469" s="24">
        <f>IF(OR(AR469="",AR469=0),"",AS469/AR469)</f>
        <v>0</v>
      </c>
      <c r="AU469" s="32">
        <f>IF(AQ469=0,"",IF(AT469="","",AT469+ROW()/1000000))</f>
        <v>0</v>
      </c>
      <c r="AV469" s="17">
        <f>IF(ROW()-4&gt;7,"",TEXT(DATE(2024,1,ROW()-4),"ddd"))</f>
        <v>0</v>
      </c>
      <c r="AW469" s="23">
        <f>IF(AV469="","",COUNTIF(Performance!$N$5:$N$404,AV469))</f>
        <v>0</v>
      </c>
      <c r="AX469" s="23">
        <f>IF(AV469="","",SUMIFS(Performance!$O$5:$O$404,Performance!$N$5:$N$404,AV469))</f>
        <v>0</v>
      </c>
      <c r="AY469" s="23">
        <f>IF(AV469="","",SUMIFS(Performance!$Z$5:$Z$404,Performance!$N$5:$N$404,AV469))</f>
        <v>0</v>
      </c>
      <c r="AZ469" s="24">
        <f>IF(OR(AX469="",AX469=0),"",AY469/AX469)</f>
        <v>0</v>
      </c>
      <c r="BA469" s="32">
        <f>IF(AW469=0,"",IF(AZ469="","",AZ469+ROW()/1000000))</f>
        <v>0</v>
      </c>
      <c r="BB469" s="17">
        <f>IF(Lists!$AL469="","",Lists!$AL469)</f>
        <v>0</v>
      </c>
      <c r="BC469" s="23">
        <f>IF(BB469="","",COUNTIF(Performance!$M$5:$M$404,BB469))</f>
        <v>0</v>
      </c>
      <c r="BD469" s="23">
        <f>IF(BB469="","",SUMIFS(Performance!$O$5:$O$404,Performance!$M$5:$M$404,BB469))</f>
        <v>0</v>
      </c>
      <c r="BE469" s="23">
        <f>IF(BB469="","",SUMIFS(Performance!$Z$5:$Z$404,Performance!$M$5:$M$404,BB469))</f>
        <v>0</v>
      </c>
      <c r="BF469" s="24">
        <f>IF(OR(BD469="",BD469=0),"",BE469/BD469)</f>
        <v>0</v>
      </c>
      <c r="BG469" s="32">
        <f>IF(BC469=0,"",IF(BF469="","",BF469+ROW()/1000000))</f>
        <v>0</v>
      </c>
      <c r="BH469" s="17">
        <f>IF(Performance!$C$469="","",Performance!$C$469)</f>
        <v>0</v>
      </c>
      <c r="BI469" s="17">
        <f>IF(Performance!$F$469="","",Performance!$F$469)</f>
        <v>0</v>
      </c>
      <c r="BJ469" s="17">
        <f>IF(Performance!$H$469="","",Performance!$H$469)</f>
        <v>0</v>
      </c>
      <c r="BK469" s="16">
        <f>IF(Performance!$D$469="","",Performance!$D$469)</f>
        <v>0</v>
      </c>
      <c r="BL469" s="17">
        <f>IF(Performance!$E$469="","",Performance!$E$469)</f>
        <v>0</v>
      </c>
      <c r="BM469" s="23">
        <f>IF(Performance!$O$469="","",Performance!$O$469)</f>
        <v>0</v>
      </c>
      <c r="BN469" s="24">
        <f>IF(Performance!$AA$469="","",Performance!$AA$469)</f>
        <v>0</v>
      </c>
      <c r="BO469" s="32">
        <f>IF(BH469="","",IF(BK469="","",IF(OR(BK469&lt;DashStart,BK469&gt;DashEnd),"",IF(BN469="","",BN469+ROW()/1000000))))</f>
        <v>0</v>
      </c>
      <c r="BP469" s="32">
        <f>IF(BM469="","",IF(BK469="","",IF(OR(BK469&lt;DashStart,BK469&gt;DashEnd),"",BM469+ROW()/1000000)))</f>
        <v>0</v>
      </c>
      <c r="BQ469" s="32">
        <f>IF(BH469="","",IF(BK469="","",IF(YEAR(BK469)&lt;&gt;PlanYear,"",IF(BN469="","",BN469+ROW()/1000000))))</f>
        <v>0</v>
      </c>
      <c r="BR469" s="32">
        <f>IF(BH469="","",IF(BK469="","",IF(OR(BK469&lt;RepFrom,BK469&gt;RepTo),"",IF(BN469="","",BN469+ROW()/1000000))))</f>
        <v>0</v>
      </c>
      <c r="BS469" s="32">
        <f>IF(BM469="","",IF(BK469="","",IF(YEAR(BK469)&lt;&gt;PlanYear,"",BM469+ROW()/1000000)))</f>
        <v>0</v>
      </c>
      <c r="BT469" s="17">
        <f>IF(Lists!$F469="","",Lists!$F469)</f>
        <v>0</v>
      </c>
      <c r="BU469" s="23">
        <f>IF(BT469="","",COUNTIF('Content Calendar'!$X$5:$X$604,BT469))</f>
        <v>0</v>
      </c>
      <c r="BV469" s="23">
        <f>IF(BT469="","",COUNTIFS('Content Calendar'!$X$5:$X$604,BT469,'Content Calendar'!$B$5:$B$604,"&gt;="&amp;DashStart,'Content Calendar'!$B$5:$B$604,"&lt;="&amp;DashEnd))</f>
        <v>0</v>
      </c>
      <c r="BW469" s="17">
        <f>IF(Team!$B$469="","",Team!$B$469)</f>
        <v>0</v>
      </c>
      <c r="BX469" s="23">
        <f>IF(BW469="","",COUNTIF('Content Calendar'!$W$5:$W$604,BW469))</f>
        <v>0</v>
      </c>
      <c r="BY469" s="23">
        <f>IF(BW469="","",COUNTIFS('Content Calendar'!$W$5:$W$604,BW469,'Content Calendar'!$X$5:$X$604,"&lt;&gt;Published"))</f>
        <v>0</v>
      </c>
      <c r="BZ469" s="23">
        <f>IF(BW469="","",COUNTIFS(Tasks!$C$5:$C$64,BW469,Tasks!$G$5:$G$64,"&lt;&gt;Complete"))</f>
        <v>0</v>
      </c>
      <c r="CA469" s="17">
        <f>IF(Campaigns!$B$469="","",Campaigns!$B$469)</f>
        <v>0</v>
      </c>
      <c r="CB469" s="25">
        <f>IF(Campaigns!$T$469="","",Campaigns!$T$469)</f>
        <v>0</v>
      </c>
      <c r="CC469" s="25">
        <f>IF(Campaigns!$Q$469="","",Campaigns!$Q$469)</f>
        <v>0</v>
      </c>
      <c r="CD469" s="23">
        <f>IF(Campaigns!$Y$469="","",Campaigns!$Y$469)</f>
        <v>0</v>
      </c>
      <c r="CE469" s="32">
        <f>IF(CA469="","",IF(N(CB469)&lt;=0,"",N(CB469)+ROW()/1000000))</f>
        <v>0</v>
      </c>
      <c r="CF469" s="17">
        <f>IF(Accounts!$C$469="","",Accounts!$C$469)</f>
        <v>0</v>
      </c>
      <c r="CG469" s="17">
        <f>IF(Accounts!$B$469="","",Accounts!$B$469)</f>
        <v>0</v>
      </c>
      <c r="CH469" s="23">
        <f>IF(Accounts!$J$469="","",Accounts!$J$469)</f>
        <v>0</v>
      </c>
      <c r="CI469" s="23">
        <f>IF(CF469="","",SUMIFS(Analytics!$X$5:$X$154,Analytics!$E$5:$E$154,CF469,Analytics!$B$5:$B$154,"&gt;="&amp;DashStart,Analytics!$B$5:$B$154,"&lt;="&amp;DashEnd))</f>
        <v>0</v>
      </c>
      <c r="CJ469" s="32">
        <f>IF(CH469="","",IF(CH469=0,"",CH469+ROW()/1000000))</f>
        <v>0</v>
      </c>
    </row>
    <row r="470" spans="1:88">
      <c r="A470" s="16">
        <f>IF(ROW()-4&gt;12,"",DATE(PlanYear,ROW()-4,1))</f>
        <v>0</v>
      </c>
      <c r="B470" s="16">
        <f>IF(A470="","",EOMONTH(A470,0))</f>
        <v>0</v>
      </c>
      <c r="C470" s="17">
        <f>IF(A470="","",TEXT(A470,"yyyy-mm"))</f>
        <v>0</v>
      </c>
      <c r="D470" s="17">
        <f>IF(A470="","",TEXT(A470,"mmm"))</f>
        <v>0</v>
      </c>
      <c r="E470" s="23">
        <f>IF(C470="","",COUNTIFS('Content Calendar'!$D$5:$D$604,C470))</f>
        <v>0</v>
      </c>
      <c r="F470" s="23">
        <f>IF(C470="","",COUNTIFS('Content Calendar'!$D$5:$D$604,C470,'Content Calendar'!$X$5:$X$604,"Published"))</f>
        <v>0</v>
      </c>
      <c r="G470" s="23">
        <f>IF(C470="","",SUMIFS(Analytics!$J$5:$J$154,Analytics!$C$5:$C$154,C470))</f>
        <v>0</v>
      </c>
      <c r="H470" s="23">
        <f>IF(C470="","",SUMIFS(Analytics!$K$5:$K$154,Analytics!$C$5:$C$154,C470))</f>
        <v>0</v>
      </c>
      <c r="I470" s="23">
        <f>IF(C470="","",SUMIFS(Analytics!$L$5:$L$154,Analytics!$C$5:$C$154,C470))</f>
        <v>0</v>
      </c>
      <c r="J470" s="24">
        <f>IF(OR(G470="",G470=0),"",I470/G470)</f>
        <v>0</v>
      </c>
      <c r="K470" s="23">
        <f>IF(C470="","",SUMIFS(Analytics!$G$5:$G$154,Analytics!$C$5:$C$154,C470))</f>
        <v>0</v>
      </c>
      <c r="L470" s="23">
        <f>IF(C470="","",SUMIFS(Analytics!$X$5:$X$154,Analytics!$C$5:$C$154,C470))</f>
        <v>0</v>
      </c>
      <c r="M470" s="23">
        <f>IF(C470="","",SUMIFS(Analytics!$R$5:$R$154,Analytics!$C$5:$C$154,C470))</f>
        <v>0</v>
      </c>
      <c r="N470" s="23">
        <f>IF(C470="","",SUMIFS(Analytics!$S$5:$S$154,Analytics!$C$5:$C$154,C470))</f>
        <v>0</v>
      </c>
      <c r="O470" s="23">
        <f>IF(C470="","",SUMIFS(Analytics!$T$5:$T$154,Analytics!$C$5:$C$154,C470))</f>
        <v>0</v>
      </c>
      <c r="P470" s="25">
        <f>IF(C470="","",SUMIFS(Analytics!$U$5:$U$154,Analytics!$C$5:$C$154,C470))</f>
        <v>0</v>
      </c>
      <c r="Q470" s="25">
        <f>IF(C470="","",SUMIFS(Budget!$H$5:$H$64,Budget!$C$5:$C$64,C470))</f>
        <v>0</v>
      </c>
      <c r="R470" s="25">
        <f>IF(C470="","",P470-Q470)</f>
        <v>0</v>
      </c>
      <c r="S470" s="23">
        <f>IF(C470="","",MonthlyPostTarget)</f>
        <v>0</v>
      </c>
      <c r="T470" s="17">
        <f>IF(Lists!$C470="","",Lists!$C470)</f>
        <v>0</v>
      </c>
      <c r="U470" s="23">
        <f>IF(T470="","",COUNTIFS('Content Calendar'!$G$5:$G$604,T470,'Content Calendar'!$B$5:$B$604,"&gt;="&amp;DashStart,'Content Calendar'!$B$5:$B$604,"&lt;="&amp;DashEnd))</f>
        <v>0</v>
      </c>
      <c r="V470" s="23">
        <f>IF(T470="","",COUNTIFS('Content Calendar'!$G$5:$G$604,T470,'Content Calendar'!$X$5:$X$604,"Published",'Content Calendar'!$B$5:$B$604,"&gt;="&amp;DashStart,'Content Calendar'!$B$5:$B$604,"&lt;="&amp;DashEnd))</f>
        <v>0</v>
      </c>
      <c r="W470" s="23">
        <f>IF(T470="","",SUMIFS(Analytics!$J$5:$J$154,Analytics!$D$5:$D$154,T470,Analytics!$B$5:$B$154,"&gt;="&amp;DashStart,Analytics!$B$5:$B$154,"&lt;="&amp;DashEnd))</f>
        <v>0</v>
      </c>
      <c r="X470" s="23">
        <f>IF(T470="","",SUMIFS(Analytics!$L$5:$L$154,Analytics!$D$5:$D$154,T470,Analytics!$B$5:$B$154,"&gt;="&amp;DashStart,Analytics!$B$5:$B$154,"&lt;="&amp;DashEnd))</f>
        <v>0</v>
      </c>
      <c r="Y470" s="24">
        <f>IF(OR(W470="",W470=0),"",X470/W470)</f>
        <v>0</v>
      </c>
      <c r="Z470" s="23">
        <f>IF(T470="","",SUMIFS(Analytics!$G$5:$G$154,Analytics!$D$5:$D$154,T470,Analytics!$B$5:$B$154,"&gt;="&amp;DashStart,Analytics!$B$5:$B$154,"&lt;="&amp;DashEnd))</f>
        <v>0</v>
      </c>
      <c r="AA470" s="23">
        <f>IF(T470="","",SUMIFS(Analytics!$X$5:$X$154,Analytics!$D$5:$D$154,T470,Analytics!$B$5:$B$154,"&gt;="&amp;DashStart,Analytics!$B$5:$B$154,"&lt;="&amp;DashEnd))</f>
        <v>0</v>
      </c>
      <c r="AB470" s="23">
        <f>IF(T470="","",SUMIFS(Analytics!$R$5:$R$154,Analytics!$D$5:$D$154,T470,Analytics!$B$5:$B$154,"&gt;="&amp;DashStart,Analytics!$B$5:$B$154,"&lt;="&amp;DashEnd))</f>
        <v>0</v>
      </c>
      <c r="AC470" s="25">
        <f>IF(T470="","",SUMIFS(Analytics!$U$5:$U$154,Analytics!$D$5:$D$154,T470,Analytics!$B$5:$B$154,"&gt;="&amp;DashStart,Analytics!$B$5:$B$154,"&lt;="&amp;DashEnd))</f>
        <v>0</v>
      </c>
      <c r="AD470" s="23">
        <f>IF(T470="","",COUNTIFS('Content Calendar'!$G$5:$G$604,T470,'Content Calendar'!$B$5:$B$604,"&gt;="&amp;DATE(PlanYear,1,1),'Content Calendar'!$B$5:$B$604,"&lt;="&amp;DATE(PlanYear,12,31)))</f>
        <v>0</v>
      </c>
      <c r="AE470" s="23">
        <f>IF(T470="","",SUMIFS(Analytics!$J$5:$J$154,Analytics!$D$5:$D$154,T470))</f>
        <v>0</v>
      </c>
      <c r="AF470" s="23">
        <f>IF(T470="","",SUMIFS(Analytics!$L$5:$L$154,Analytics!$D$5:$D$154,T470))</f>
        <v>0</v>
      </c>
      <c r="AG470" s="24">
        <f>IF(OR(AE470="",AE470=0),"",AF470/AE470)</f>
        <v>0</v>
      </c>
      <c r="AH470" s="23">
        <f>IF(T470="","",SUMIFS(Analytics!$X$5:$X$154,Analytics!$D$5:$D$154,T470))</f>
        <v>0</v>
      </c>
      <c r="AI470" s="32">
        <f>IF(T470="","",IF(AE470=0,"",AE470+ROW()/1000000))</f>
        <v>0</v>
      </c>
      <c r="AJ470" s="17">
        <f>IF('Content Pillars'!$B$470="","",'Content Pillars'!$B$470)</f>
        <v>0</v>
      </c>
      <c r="AK470" s="23">
        <f>IF(AJ470="","",COUNTIFS('Content Calendar'!$J$5:$J$604,AJ470,'Content Calendar'!$B$5:$B$604,"&gt;="&amp;DATE(PlanYear,1,1),'Content Calendar'!$B$5:$B$604,"&lt;="&amp;DATE(PlanYear,12,31)))</f>
        <v>0</v>
      </c>
      <c r="AL470" s="23">
        <f>IF(AJ470="","",SUMIFS(Performance!$O$5:$O$404,Performance!$H$5:$H$404,AJ470))</f>
        <v>0</v>
      </c>
      <c r="AM470" s="23">
        <f>IF(AJ470="","",SUMIFS(Performance!$Z$5:$Z$404,Performance!$H$5:$H$404,AJ470))</f>
        <v>0</v>
      </c>
      <c r="AN470" s="24">
        <f>IF(OR(AL470="",AL470=0),"",AM470/AL470)</f>
        <v>0</v>
      </c>
      <c r="AO470" s="32">
        <f>IF(AN470="","",AN470+ROW()/1000000)</f>
        <v>0</v>
      </c>
      <c r="AP470" s="17">
        <f>IF(Lists!$E470="","",Lists!$E470)</f>
        <v>0</v>
      </c>
      <c r="AQ470" s="23">
        <f>IF(AP470="","",COUNTIF(Performance!$G$5:$G$404,AP470))</f>
        <v>0</v>
      </c>
      <c r="AR470" s="23">
        <f>IF(AP470="","",SUMIFS(Performance!$O$5:$O$404,Performance!$G$5:$G$404,AP470))</f>
        <v>0</v>
      </c>
      <c r="AS470" s="23">
        <f>IF(AP470="","",SUMIFS(Performance!$Z$5:$Z$404,Performance!$G$5:$G$404,AP470))</f>
        <v>0</v>
      </c>
      <c r="AT470" s="24">
        <f>IF(OR(AR470="",AR470=0),"",AS470/AR470)</f>
        <v>0</v>
      </c>
      <c r="AU470" s="32">
        <f>IF(AQ470=0,"",IF(AT470="","",AT470+ROW()/1000000))</f>
        <v>0</v>
      </c>
      <c r="AV470" s="17">
        <f>IF(ROW()-4&gt;7,"",TEXT(DATE(2024,1,ROW()-4),"ddd"))</f>
        <v>0</v>
      </c>
      <c r="AW470" s="23">
        <f>IF(AV470="","",COUNTIF(Performance!$N$5:$N$404,AV470))</f>
        <v>0</v>
      </c>
      <c r="AX470" s="23">
        <f>IF(AV470="","",SUMIFS(Performance!$O$5:$O$404,Performance!$N$5:$N$404,AV470))</f>
        <v>0</v>
      </c>
      <c r="AY470" s="23">
        <f>IF(AV470="","",SUMIFS(Performance!$Z$5:$Z$404,Performance!$N$5:$N$404,AV470))</f>
        <v>0</v>
      </c>
      <c r="AZ470" s="24">
        <f>IF(OR(AX470="",AX470=0),"",AY470/AX470)</f>
        <v>0</v>
      </c>
      <c r="BA470" s="32">
        <f>IF(AW470=0,"",IF(AZ470="","",AZ470+ROW()/1000000))</f>
        <v>0</v>
      </c>
      <c r="BB470" s="17">
        <f>IF(Lists!$AL470="","",Lists!$AL470)</f>
        <v>0</v>
      </c>
      <c r="BC470" s="23">
        <f>IF(BB470="","",COUNTIF(Performance!$M$5:$M$404,BB470))</f>
        <v>0</v>
      </c>
      <c r="BD470" s="23">
        <f>IF(BB470="","",SUMIFS(Performance!$O$5:$O$404,Performance!$M$5:$M$404,BB470))</f>
        <v>0</v>
      </c>
      <c r="BE470" s="23">
        <f>IF(BB470="","",SUMIFS(Performance!$Z$5:$Z$404,Performance!$M$5:$M$404,BB470))</f>
        <v>0</v>
      </c>
      <c r="BF470" s="24">
        <f>IF(OR(BD470="",BD470=0),"",BE470/BD470)</f>
        <v>0</v>
      </c>
      <c r="BG470" s="32">
        <f>IF(BC470=0,"",IF(BF470="","",BF470+ROW()/1000000))</f>
        <v>0</v>
      </c>
      <c r="BH470" s="17">
        <f>IF(Performance!$C$470="","",Performance!$C$470)</f>
        <v>0</v>
      </c>
      <c r="BI470" s="17">
        <f>IF(Performance!$F$470="","",Performance!$F$470)</f>
        <v>0</v>
      </c>
      <c r="BJ470" s="17">
        <f>IF(Performance!$H$470="","",Performance!$H$470)</f>
        <v>0</v>
      </c>
      <c r="BK470" s="16">
        <f>IF(Performance!$D$470="","",Performance!$D$470)</f>
        <v>0</v>
      </c>
      <c r="BL470" s="17">
        <f>IF(Performance!$E$470="","",Performance!$E$470)</f>
        <v>0</v>
      </c>
      <c r="BM470" s="23">
        <f>IF(Performance!$O$470="","",Performance!$O$470)</f>
        <v>0</v>
      </c>
      <c r="BN470" s="24">
        <f>IF(Performance!$AA$470="","",Performance!$AA$470)</f>
        <v>0</v>
      </c>
      <c r="BO470" s="32">
        <f>IF(BH470="","",IF(BK470="","",IF(OR(BK470&lt;DashStart,BK470&gt;DashEnd),"",IF(BN470="","",BN470+ROW()/1000000))))</f>
        <v>0</v>
      </c>
      <c r="BP470" s="32">
        <f>IF(BM470="","",IF(BK470="","",IF(OR(BK470&lt;DashStart,BK470&gt;DashEnd),"",BM470+ROW()/1000000)))</f>
        <v>0</v>
      </c>
      <c r="BQ470" s="32">
        <f>IF(BH470="","",IF(BK470="","",IF(YEAR(BK470)&lt;&gt;PlanYear,"",IF(BN470="","",BN470+ROW()/1000000))))</f>
        <v>0</v>
      </c>
      <c r="BR470" s="32">
        <f>IF(BH470="","",IF(BK470="","",IF(OR(BK470&lt;RepFrom,BK470&gt;RepTo),"",IF(BN470="","",BN470+ROW()/1000000))))</f>
        <v>0</v>
      </c>
      <c r="BS470" s="32">
        <f>IF(BM470="","",IF(BK470="","",IF(YEAR(BK470)&lt;&gt;PlanYear,"",BM470+ROW()/1000000)))</f>
        <v>0</v>
      </c>
      <c r="BT470" s="17">
        <f>IF(Lists!$F470="","",Lists!$F470)</f>
        <v>0</v>
      </c>
      <c r="BU470" s="23">
        <f>IF(BT470="","",COUNTIF('Content Calendar'!$X$5:$X$604,BT470))</f>
        <v>0</v>
      </c>
      <c r="BV470" s="23">
        <f>IF(BT470="","",COUNTIFS('Content Calendar'!$X$5:$X$604,BT470,'Content Calendar'!$B$5:$B$604,"&gt;="&amp;DashStart,'Content Calendar'!$B$5:$B$604,"&lt;="&amp;DashEnd))</f>
        <v>0</v>
      </c>
      <c r="BW470" s="17">
        <f>IF(Team!$B$470="","",Team!$B$470)</f>
        <v>0</v>
      </c>
      <c r="BX470" s="23">
        <f>IF(BW470="","",COUNTIF('Content Calendar'!$W$5:$W$604,BW470))</f>
        <v>0</v>
      </c>
      <c r="BY470" s="23">
        <f>IF(BW470="","",COUNTIFS('Content Calendar'!$W$5:$W$604,BW470,'Content Calendar'!$X$5:$X$604,"&lt;&gt;Published"))</f>
        <v>0</v>
      </c>
      <c r="BZ470" s="23">
        <f>IF(BW470="","",COUNTIFS(Tasks!$C$5:$C$64,BW470,Tasks!$G$5:$G$64,"&lt;&gt;Complete"))</f>
        <v>0</v>
      </c>
      <c r="CA470" s="17">
        <f>IF(Campaigns!$B$470="","",Campaigns!$B$470)</f>
        <v>0</v>
      </c>
      <c r="CB470" s="25">
        <f>IF(Campaigns!$T$470="","",Campaigns!$T$470)</f>
        <v>0</v>
      </c>
      <c r="CC470" s="25">
        <f>IF(Campaigns!$Q$470="","",Campaigns!$Q$470)</f>
        <v>0</v>
      </c>
      <c r="CD470" s="23">
        <f>IF(Campaigns!$Y$470="","",Campaigns!$Y$470)</f>
        <v>0</v>
      </c>
      <c r="CE470" s="32">
        <f>IF(CA470="","",IF(N(CB470)&lt;=0,"",N(CB470)+ROW()/1000000))</f>
        <v>0</v>
      </c>
      <c r="CF470" s="17">
        <f>IF(Accounts!$C$470="","",Accounts!$C$470)</f>
        <v>0</v>
      </c>
      <c r="CG470" s="17">
        <f>IF(Accounts!$B$470="","",Accounts!$B$470)</f>
        <v>0</v>
      </c>
      <c r="CH470" s="23">
        <f>IF(Accounts!$J$470="","",Accounts!$J$470)</f>
        <v>0</v>
      </c>
      <c r="CI470" s="23">
        <f>IF(CF470="","",SUMIFS(Analytics!$X$5:$X$154,Analytics!$E$5:$E$154,CF470,Analytics!$B$5:$B$154,"&gt;="&amp;DashStart,Analytics!$B$5:$B$154,"&lt;="&amp;DashEnd))</f>
        <v>0</v>
      </c>
      <c r="CJ470" s="32">
        <f>IF(CH470="","",IF(CH470=0,"",CH470+ROW()/1000000))</f>
        <v>0</v>
      </c>
    </row>
    <row r="471" spans="1:88">
      <c r="A471" s="16">
        <f>IF(ROW()-4&gt;12,"",DATE(PlanYear,ROW()-4,1))</f>
        <v>0</v>
      </c>
      <c r="B471" s="16">
        <f>IF(A471="","",EOMONTH(A471,0))</f>
        <v>0</v>
      </c>
      <c r="C471" s="17">
        <f>IF(A471="","",TEXT(A471,"yyyy-mm"))</f>
        <v>0</v>
      </c>
      <c r="D471" s="17">
        <f>IF(A471="","",TEXT(A471,"mmm"))</f>
        <v>0</v>
      </c>
      <c r="E471" s="23">
        <f>IF(C471="","",COUNTIFS('Content Calendar'!$D$5:$D$604,C471))</f>
        <v>0</v>
      </c>
      <c r="F471" s="23">
        <f>IF(C471="","",COUNTIFS('Content Calendar'!$D$5:$D$604,C471,'Content Calendar'!$X$5:$X$604,"Published"))</f>
        <v>0</v>
      </c>
      <c r="G471" s="23">
        <f>IF(C471="","",SUMIFS(Analytics!$J$5:$J$154,Analytics!$C$5:$C$154,C471))</f>
        <v>0</v>
      </c>
      <c r="H471" s="23">
        <f>IF(C471="","",SUMIFS(Analytics!$K$5:$K$154,Analytics!$C$5:$C$154,C471))</f>
        <v>0</v>
      </c>
      <c r="I471" s="23">
        <f>IF(C471="","",SUMIFS(Analytics!$L$5:$L$154,Analytics!$C$5:$C$154,C471))</f>
        <v>0</v>
      </c>
      <c r="J471" s="24">
        <f>IF(OR(G471="",G471=0),"",I471/G471)</f>
        <v>0</v>
      </c>
      <c r="K471" s="23">
        <f>IF(C471="","",SUMIFS(Analytics!$G$5:$G$154,Analytics!$C$5:$C$154,C471))</f>
        <v>0</v>
      </c>
      <c r="L471" s="23">
        <f>IF(C471="","",SUMIFS(Analytics!$X$5:$X$154,Analytics!$C$5:$C$154,C471))</f>
        <v>0</v>
      </c>
      <c r="M471" s="23">
        <f>IF(C471="","",SUMIFS(Analytics!$R$5:$R$154,Analytics!$C$5:$C$154,C471))</f>
        <v>0</v>
      </c>
      <c r="N471" s="23">
        <f>IF(C471="","",SUMIFS(Analytics!$S$5:$S$154,Analytics!$C$5:$C$154,C471))</f>
        <v>0</v>
      </c>
      <c r="O471" s="23">
        <f>IF(C471="","",SUMIFS(Analytics!$T$5:$T$154,Analytics!$C$5:$C$154,C471))</f>
        <v>0</v>
      </c>
      <c r="P471" s="25">
        <f>IF(C471="","",SUMIFS(Analytics!$U$5:$U$154,Analytics!$C$5:$C$154,C471))</f>
        <v>0</v>
      </c>
      <c r="Q471" s="25">
        <f>IF(C471="","",SUMIFS(Budget!$H$5:$H$64,Budget!$C$5:$C$64,C471))</f>
        <v>0</v>
      </c>
      <c r="R471" s="25">
        <f>IF(C471="","",P471-Q471)</f>
        <v>0</v>
      </c>
      <c r="S471" s="23">
        <f>IF(C471="","",MonthlyPostTarget)</f>
        <v>0</v>
      </c>
      <c r="T471" s="17">
        <f>IF(Lists!$C471="","",Lists!$C471)</f>
        <v>0</v>
      </c>
      <c r="U471" s="23">
        <f>IF(T471="","",COUNTIFS('Content Calendar'!$G$5:$G$604,T471,'Content Calendar'!$B$5:$B$604,"&gt;="&amp;DashStart,'Content Calendar'!$B$5:$B$604,"&lt;="&amp;DashEnd))</f>
        <v>0</v>
      </c>
      <c r="V471" s="23">
        <f>IF(T471="","",COUNTIFS('Content Calendar'!$G$5:$G$604,T471,'Content Calendar'!$X$5:$X$604,"Published",'Content Calendar'!$B$5:$B$604,"&gt;="&amp;DashStart,'Content Calendar'!$B$5:$B$604,"&lt;="&amp;DashEnd))</f>
        <v>0</v>
      </c>
      <c r="W471" s="23">
        <f>IF(T471="","",SUMIFS(Analytics!$J$5:$J$154,Analytics!$D$5:$D$154,T471,Analytics!$B$5:$B$154,"&gt;="&amp;DashStart,Analytics!$B$5:$B$154,"&lt;="&amp;DashEnd))</f>
        <v>0</v>
      </c>
      <c r="X471" s="23">
        <f>IF(T471="","",SUMIFS(Analytics!$L$5:$L$154,Analytics!$D$5:$D$154,T471,Analytics!$B$5:$B$154,"&gt;="&amp;DashStart,Analytics!$B$5:$B$154,"&lt;="&amp;DashEnd))</f>
        <v>0</v>
      </c>
      <c r="Y471" s="24">
        <f>IF(OR(W471="",W471=0),"",X471/W471)</f>
        <v>0</v>
      </c>
      <c r="Z471" s="23">
        <f>IF(T471="","",SUMIFS(Analytics!$G$5:$G$154,Analytics!$D$5:$D$154,T471,Analytics!$B$5:$B$154,"&gt;="&amp;DashStart,Analytics!$B$5:$B$154,"&lt;="&amp;DashEnd))</f>
        <v>0</v>
      </c>
      <c r="AA471" s="23">
        <f>IF(T471="","",SUMIFS(Analytics!$X$5:$X$154,Analytics!$D$5:$D$154,T471,Analytics!$B$5:$B$154,"&gt;="&amp;DashStart,Analytics!$B$5:$B$154,"&lt;="&amp;DashEnd))</f>
        <v>0</v>
      </c>
      <c r="AB471" s="23">
        <f>IF(T471="","",SUMIFS(Analytics!$R$5:$R$154,Analytics!$D$5:$D$154,T471,Analytics!$B$5:$B$154,"&gt;="&amp;DashStart,Analytics!$B$5:$B$154,"&lt;="&amp;DashEnd))</f>
        <v>0</v>
      </c>
      <c r="AC471" s="25">
        <f>IF(T471="","",SUMIFS(Analytics!$U$5:$U$154,Analytics!$D$5:$D$154,T471,Analytics!$B$5:$B$154,"&gt;="&amp;DashStart,Analytics!$B$5:$B$154,"&lt;="&amp;DashEnd))</f>
        <v>0</v>
      </c>
      <c r="AD471" s="23">
        <f>IF(T471="","",COUNTIFS('Content Calendar'!$G$5:$G$604,T471,'Content Calendar'!$B$5:$B$604,"&gt;="&amp;DATE(PlanYear,1,1),'Content Calendar'!$B$5:$B$604,"&lt;="&amp;DATE(PlanYear,12,31)))</f>
        <v>0</v>
      </c>
      <c r="AE471" s="23">
        <f>IF(T471="","",SUMIFS(Analytics!$J$5:$J$154,Analytics!$D$5:$D$154,T471))</f>
        <v>0</v>
      </c>
      <c r="AF471" s="23">
        <f>IF(T471="","",SUMIFS(Analytics!$L$5:$L$154,Analytics!$D$5:$D$154,T471))</f>
        <v>0</v>
      </c>
      <c r="AG471" s="24">
        <f>IF(OR(AE471="",AE471=0),"",AF471/AE471)</f>
        <v>0</v>
      </c>
      <c r="AH471" s="23">
        <f>IF(T471="","",SUMIFS(Analytics!$X$5:$X$154,Analytics!$D$5:$D$154,T471))</f>
        <v>0</v>
      </c>
      <c r="AI471" s="32">
        <f>IF(T471="","",IF(AE471=0,"",AE471+ROW()/1000000))</f>
        <v>0</v>
      </c>
      <c r="AJ471" s="17">
        <f>IF('Content Pillars'!$B$471="","",'Content Pillars'!$B$471)</f>
        <v>0</v>
      </c>
      <c r="AK471" s="23">
        <f>IF(AJ471="","",COUNTIFS('Content Calendar'!$J$5:$J$604,AJ471,'Content Calendar'!$B$5:$B$604,"&gt;="&amp;DATE(PlanYear,1,1),'Content Calendar'!$B$5:$B$604,"&lt;="&amp;DATE(PlanYear,12,31)))</f>
        <v>0</v>
      </c>
      <c r="AL471" s="23">
        <f>IF(AJ471="","",SUMIFS(Performance!$O$5:$O$404,Performance!$H$5:$H$404,AJ471))</f>
        <v>0</v>
      </c>
      <c r="AM471" s="23">
        <f>IF(AJ471="","",SUMIFS(Performance!$Z$5:$Z$404,Performance!$H$5:$H$404,AJ471))</f>
        <v>0</v>
      </c>
      <c r="AN471" s="24">
        <f>IF(OR(AL471="",AL471=0),"",AM471/AL471)</f>
        <v>0</v>
      </c>
      <c r="AO471" s="32">
        <f>IF(AN471="","",AN471+ROW()/1000000)</f>
        <v>0</v>
      </c>
      <c r="AP471" s="17">
        <f>IF(Lists!$E471="","",Lists!$E471)</f>
        <v>0</v>
      </c>
      <c r="AQ471" s="23">
        <f>IF(AP471="","",COUNTIF(Performance!$G$5:$G$404,AP471))</f>
        <v>0</v>
      </c>
      <c r="AR471" s="23">
        <f>IF(AP471="","",SUMIFS(Performance!$O$5:$O$404,Performance!$G$5:$G$404,AP471))</f>
        <v>0</v>
      </c>
      <c r="AS471" s="23">
        <f>IF(AP471="","",SUMIFS(Performance!$Z$5:$Z$404,Performance!$G$5:$G$404,AP471))</f>
        <v>0</v>
      </c>
      <c r="AT471" s="24">
        <f>IF(OR(AR471="",AR471=0),"",AS471/AR471)</f>
        <v>0</v>
      </c>
      <c r="AU471" s="32">
        <f>IF(AQ471=0,"",IF(AT471="","",AT471+ROW()/1000000))</f>
        <v>0</v>
      </c>
      <c r="AV471" s="17">
        <f>IF(ROW()-4&gt;7,"",TEXT(DATE(2024,1,ROW()-4),"ddd"))</f>
        <v>0</v>
      </c>
      <c r="AW471" s="23">
        <f>IF(AV471="","",COUNTIF(Performance!$N$5:$N$404,AV471))</f>
        <v>0</v>
      </c>
      <c r="AX471" s="23">
        <f>IF(AV471="","",SUMIFS(Performance!$O$5:$O$404,Performance!$N$5:$N$404,AV471))</f>
        <v>0</v>
      </c>
      <c r="AY471" s="23">
        <f>IF(AV471="","",SUMIFS(Performance!$Z$5:$Z$404,Performance!$N$5:$N$404,AV471))</f>
        <v>0</v>
      </c>
      <c r="AZ471" s="24">
        <f>IF(OR(AX471="",AX471=0),"",AY471/AX471)</f>
        <v>0</v>
      </c>
      <c r="BA471" s="32">
        <f>IF(AW471=0,"",IF(AZ471="","",AZ471+ROW()/1000000))</f>
        <v>0</v>
      </c>
      <c r="BB471" s="17">
        <f>IF(Lists!$AL471="","",Lists!$AL471)</f>
        <v>0</v>
      </c>
      <c r="BC471" s="23">
        <f>IF(BB471="","",COUNTIF(Performance!$M$5:$M$404,BB471))</f>
        <v>0</v>
      </c>
      <c r="BD471" s="23">
        <f>IF(BB471="","",SUMIFS(Performance!$O$5:$O$404,Performance!$M$5:$M$404,BB471))</f>
        <v>0</v>
      </c>
      <c r="BE471" s="23">
        <f>IF(BB471="","",SUMIFS(Performance!$Z$5:$Z$404,Performance!$M$5:$M$404,BB471))</f>
        <v>0</v>
      </c>
      <c r="BF471" s="24">
        <f>IF(OR(BD471="",BD471=0),"",BE471/BD471)</f>
        <v>0</v>
      </c>
      <c r="BG471" s="32">
        <f>IF(BC471=0,"",IF(BF471="","",BF471+ROW()/1000000))</f>
        <v>0</v>
      </c>
      <c r="BH471" s="17">
        <f>IF(Performance!$C$471="","",Performance!$C$471)</f>
        <v>0</v>
      </c>
      <c r="BI471" s="17">
        <f>IF(Performance!$F$471="","",Performance!$F$471)</f>
        <v>0</v>
      </c>
      <c r="BJ471" s="17">
        <f>IF(Performance!$H$471="","",Performance!$H$471)</f>
        <v>0</v>
      </c>
      <c r="BK471" s="16">
        <f>IF(Performance!$D$471="","",Performance!$D$471)</f>
        <v>0</v>
      </c>
      <c r="BL471" s="17">
        <f>IF(Performance!$E$471="","",Performance!$E$471)</f>
        <v>0</v>
      </c>
      <c r="BM471" s="23">
        <f>IF(Performance!$O$471="","",Performance!$O$471)</f>
        <v>0</v>
      </c>
      <c r="BN471" s="24">
        <f>IF(Performance!$AA$471="","",Performance!$AA$471)</f>
        <v>0</v>
      </c>
      <c r="BO471" s="32">
        <f>IF(BH471="","",IF(BK471="","",IF(OR(BK471&lt;DashStart,BK471&gt;DashEnd),"",IF(BN471="","",BN471+ROW()/1000000))))</f>
        <v>0</v>
      </c>
      <c r="BP471" s="32">
        <f>IF(BM471="","",IF(BK471="","",IF(OR(BK471&lt;DashStart,BK471&gt;DashEnd),"",BM471+ROW()/1000000)))</f>
        <v>0</v>
      </c>
      <c r="BQ471" s="32">
        <f>IF(BH471="","",IF(BK471="","",IF(YEAR(BK471)&lt;&gt;PlanYear,"",IF(BN471="","",BN471+ROW()/1000000))))</f>
        <v>0</v>
      </c>
      <c r="BR471" s="32">
        <f>IF(BH471="","",IF(BK471="","",IF(OR(BK471&lt;RepFrom,BK471&gt;RepTo),"",IF(BN471="","",BN471+ROW()/1000000))))</f>
        <v>0</v>
      </c>
      <c r="BS471" s="32">
        <f>IF(BM471="","",IF(BK471="","",IF(YEAR(BK471)&lt;&gt;PlanYear,"",BM471+ROW()/1000000)))</f>
        <v>0</v>
      </c>
      <c r="BT471" s="17">
        <f>IF(Lists!$F471="","",Lists!$F471)</f>
        <v>0</v>
      </c>
      <c r="BU471" s="23">
        <f>IF(BT471="","",COUNTIF('Content Calendar'!$X$5:$X$604,BT471))</f>
        <v>0</v>
      </c>
      <c r="BV471" s="23">
        <f>IF(BT471="","",COUNTIFS('Content Calendar'!$X$5:$X$604,BT471,'Content Calendar'!$B$5:$B$604,"&gt;="&amp;DashStart,'Content Calendar'!$B$5:$B$604,"&lt;="&amp;DashEnd))</f>
        <v>0</v>
      </c>
      <c r="BW471" s="17">
        <f>IF(Team!$B$471="","",Team!$B$471)</f>
        <v>0</v>
      </c>
      <c r="BX471" s="23">
        <f>IF(BW471="","",COUNTIF('Content Calendar'!$W$5:$W$604,BW471))</f>
        <v>0</v>
      </c>
      <c r="BY471" s="23">
        <f>IF(BW471="","",COUNTIFS('Content Calendar'!$W$5:$W$604,BW471,'Content Calendar'!$X$5:$X$604,"&lt;&gt;Published"))</f>
        <v>0</v>
      </c>
      <c r="BZ471" s="23">
        <f>IF(BW471="","",COUNTIFS(Tasks!$C$5:$C$64,BW471,Tasks!$G$5:$G$64,"&lt;&gt;Complete"))</f>
        <v>0</v>
      </c>
      <c r="CA471" s="17">
        <f>IF(Campaigns!$B$471="","",Campaigns!$B$471)</f>
        <v>0</v>
      </c>
      <c r="CB471" s="25">
        <f>IF(Campaigns!$T$471="","",Campaigns!$T$471)</f>
        <v>0</v>
      </c>
      <c r="CC471" s="25">
        <f>IF(Campaigns!$Q$471="","",Campaigns!$Q$471)</f>
        <v>0</v>
      </c>
      <c r="CD471" s="23">
        <f>IF(Campaigns!$Y$471="","",Campaigns!$Y$471)</f>
        <v>0</v>
      </c>
      <c r="CE471" s="32">
        <f>IF(CA471="","",IF(N(CB471)&lt;=0,"",N(CB471)+ROW()/1000000))</f>
        <v>0</v>
      </c>
      <c r="CF471" s="17">
        <f>IF(Accounts!$C$471="","",Accounts!$C$471)</f>
        <v>0</v>
      </c>
      <c r="CG471" s="17">
        <f>IF(Accounts!$B$471="","",Accounts!$B$471)</f>
        <v>0</v>
      </c>
      <c r="CH471" s="23">
        <f>IF(Accounts!$J$471="","",Accounts!$J$471)</f>
        <v>0</v>
      </c>
      <c r="CI471" s="23">
        <f>IF(CF471="","",SUMIFS(Analytics!$X$5:$X$154,Analytics!$E$5:$E$154,CF471,Analytics!$B$5:$B$154,"&gt;="&amp;DashStart,Analytics!$B$5:$B$154,"&lt;="&amp;DashEnd))</f>
        <v>0</v>
      </c>
      <c r="CJ471" s="32">
        <f>IF(CH471="","",IF(CH471=0,"",CH471+ROW()/1000000))</f>
        <v>0</v>
      </c>
    </row>
    <row r="472" spans="1:88">
      <c r="A472" s="16">
        <f>IF(ROW()-4&gt;12,"",DATE(PlanYear,ROW()-4,1))</f>
        <v>0</v>
      </c>
      <c r="B472" s="16">
        <f>IF(A472="","",EOMONTH(A472,0))</f>
        <v>0</v>
      </c>
      <c r="C472" s="17">
        <f>IF(A472="","",TEXT(A472,"yyyy-mm"))</f>
        <v>0</v>
      </c>
      <c r="D472" s="17">
        <f>IF(A472="","",TEXT(A472,"mmm"))</f>
        <v>0</v>
      </c>
      <c r="E472" s="23">
        <f>IF(C472="","",COUNTIFS('Content Calendar'!$D$5:$D$604,C472))</f>
        <v>0</v>
      </c>
      <c r="F472" s="23">
        <f>IF(C472="","",COUNTIFS('Content Calendar'!$D$5:$D$604,C472,'Content Calendar'!$X$5:$X$604,"Published"))</f>
        <v>0</v>
      </c>
      <c r="G472" s="23">
        <f>IF(C472="","",SUMIFS(Analytics!$J$5:$J$154,Analytics!$C$5:$C$154,C472))</f>
        <v>0</v>
      </c>
      <c r="H472" s="23">
        <f>IF(C472="","",SUMIFS(Analytics!$K$5:$K$154,Analytics!$C$5:$C$154,C472))</f>
        <v>0</v>
      </c>
      <c r="I472" s="23">
        <f>IF(C472="","",SUMIFS(Analytics!$L$5:$L$154,Analytics!$C$5:$C$154,C472))</f>
        <v>0</v>
      </c>
      <c r="J472" s="24">
        <f>IF(OR(G472="",G472=0),"",I472/G472)</f>
        <v>0</v>
      </c>
      <c r="K472" s="23">
        <f>IF(C472="","",SUMIFS(Analytics!$G$5:$G$154,Analytics!$C$5:$C$154,C472))</f>
        <v>0</v>
      </c>
      <c r="L472" s="23">
        <f>IF(C472="","",SUMIFS(Analytics!$X$5:$X$154,Analytics!$C$5:$C$154,C472))</f>
        <v>0</v>
      </c>
      <c r="M472" s="23">
        <f>IF(C472="","",SUMIFS(Analytics!$R$5:$R$154,Analytics!$C$5:$C$154,C472))</f>
        <v>0</v>
      </c>
      <c r="N472" s="23">
        <f>IF(C472="","",SUMIFS(Analytics!$S$5:$S$154,Analytics!$C$5:$C$154,C472))</f>
        <v>0</v>
      </c>
      <c r="O472" s="23">
        <f>IF(C472="","",SUMIFS(Analytics!$T$5:$T$154,Analytics!$C$5:$C$154,C472))</f>
        <v>0</v>
      </c>
      <c r="P472" s="25">
        <f>IF(C472="","",SUMIFS(Analytics!$U$5:$U$154,Analytics!$C$5:$C$154,C472))</f>
        <v>0</v>
      </c>
      <c r="Q472" s="25">
        <f>IF(C472="","",SUMIFS(Budget!$H$5:$H$64,Budget!$C$5:$C$64,C472))</f>
        <v>0</v>
      </c>
      <c r="R472" s="25">
        <f>IF(C472="","",P472-Q472)</f>
        <v>0</v>
      </c>
      <c r="S472" s="23">
        <f>IF(C472="","",MonthlyPostTarget)</f>
        <v>0</v>
      </c>
      <c r="T472" s="17">
        <f>IF(Lists!$C472="","",Lists!$C472)</f>
        <v>0</v>
      </c>
      <c r="U472" s="23">
        <f>IF(T472="","",COUNTIFS('Content Calendar'!$G$5:$G$604,T472,'Content Calendar'!$B$5:$B$604,"&gt;="&amp;DashStart,'Content Calendar'!$B$5:$B$604,"&lt;="&amp;DashEnd))</f>
        <v>0</v>
      </c>
      <c r="V472" s="23">
        <f>IF(T472="","",COUNTIFS('Content Calendar'!$G$5:$G$604,T472,'Content Calendar'!$X$5:$X$604,"Published",'Content Calendar'!$B$5:$B$604,"&gt;="&amp;DashStart,'Content Calendar'!$B$5:$B$604,"&lt;="&amp;DashEnd))</f>
        <v>0</v>
      </c>
      <c r="W472" s="23">
        <f>IF(T472="","",SUMIFS(Analytics!$J$5:$J$154,Analytics!$D$5:$D$154,T472,Analytics!$B$5:$B$154,"&gt;="&amp;DashStart,Analytics!$B$5:$B$154,"&lt;="&amp;DashEnd))</f>
        <v>0</v>
      </c>
      <c r="X472" s="23">
        <f>IF(T472="","",SUMIFS(Analytics!$L$5:$L$154,Analytics!$D$5:$D$154,T472,Analytics!$B$5:$B$154,"&gt;="&amp;DashStart,Analytics!$B$5:$B$154,"&lt;="&amp;DashEnd))</f>
        <v>0</v>
      </c>
      <c r="Y472" s="24">
        <f>IF(OR(W472="",W472=0),"",X472/W472)</f>
        <v>0</v>
      </c>
      <c r="Z472" s="23">
        <f>IF(T472="","",SUMIFS(Analytics!$G$5:$G$154,Analytics!$D$5:$D$154,T472,Analytics!$B$5:$B$154,"&gt;="&amp;DashStart,Analytics!$B$5:$B$154,"&lt;="&amp;DashEnd))</f>
        <v>0</v>
      </c>
      <c r="AA472" s="23">
        <f>IF(T472="","",SUMIFS(Analytics!$X$5:$X$154,Analytics!$D$5:$D$154,T472,Analytics!$B$5:$B$154,"&gt;="&amp;DashStart,Analytics!$B$5:$B$154,"&lt;="&amp;DashEnd))</f>
        <v>0</v>
      </c>
      <c r="AB472" s="23">
        <f>IF(T472="","",SUMIFS(Analytics!$R$5:$R$154,Analytics!$D$5:$D$154,T472,Analytics!$B$5:$B$154,"&gt;="&amp;DashStart,Analytics!$B$5:$B$154,"&lt;="&amp;DashEnd))</f>
        <v>0</v>
      </c>
      <c r="AC472" s="25">
        <f>IF(T472="","",SUMIFS(Analytics!$U$5:$U$154,Analytics!$D$5:$D$154,T472,Analytics!$B$5:$B$154,"&gt;="&amp;DashStart,Analytics!$B$5:$B$154,"&lt;="&amp;DashEnd))</f>
        <v>0</v>
      </c>
      <c r="AD472" s="23">
        <f>IF(T472="","",COUNTIFS('Content Calendar'!$G$5:$G$604,T472,'Content Calendar'!$B$5:$B$604,"&gt;="&amp;DATE(PlanYear,1,1),'Content Calendar'!$B$5:$B$604,"&lt;="&amp;DATE(PlanYear,12,31)))</f>
        <v>0</v>
      </c>
      <c r="AE472" s="23">
        <f>IF(T472="","",SUMIFS(Analytics!$J$5:$J$154,Analytics!$D$5:$D$154,T472))</f>
        <v>0</v>
      </c>
      <c r="AF472" s="23">
        <f>IF(T472="","",SUMIFS(Analytics!$L$5:$L$154,Analytics!$D$5:$D$154,T472))</f>
        <v>0</v>
      </c>
      <c r="AG472" s="24">
        <f>IF(OR(AE472="",AE472=0),"",AF472/AE472)</f>
        <v>0</v>
      </c>
      <c r="AH472" s="23">
        <f>IF(T472="","",SUMIFS(Analytics!$X$5:$X$154,Analytics!$D$5:$D$154,T472))</f>
        <v>0</v>
      </c>
      <c r="AI472" s="32">
        <f>IF(T472="","",IF(AE472=0,"",AE472+ROW()/1000000))</f>
        <v>0</v>
      </c>
      <c r="AJ472" s="17">
        <f>IF('Content Pillars'!$B$472="","",'Content Pillars'!$B$472)</f>
        <v>0</v>
      </c>
      <c r="AK472" s="23">
        <f>IF(AJ472="","",COUNTIFS('Content Calendar'!$J$5:$J$604,AJ472,'Content Calendar'!$B$5:$B$604,"&gt;="&amp;DATE(PlanYear,1,1),'Content Calendar'!$B$5:$B$604,"&lt;="&amp;DATE(PlanYear,12,31)))</f>
        <v>0</v>
      </c>
      <c r="AL472" s="23">
        <f>IF(AJ472="","",SUMIFS(Performance!$O$5:$O$404,Performance!$H$5:$H$404,AJ472))</f>
        <v>0</v>
      </c>
      <c r="AM472" s="23">
        <f>IF(AJ472="","",SUMIFS(Performance!$Z$5:$Z$404,Performance!$H$5:$H$404,AJ472))</f>
        <v>0</v>
      </c>
      <c r="AN472" s="24">
        <f>IF(OR(AL472="",AL472=0),"",AM472/AL472)</f>
        <v>0</v>
      </c>
      <c r="AO472" s="32">
        <f>IF(AN472="","",AN472+ROW()/1000000)</f>
        <v>0</v>
      </c>
      <c r="AP472" s="17">
        <f>IF(Lists!$E472="","",Lists!$E472)</f>
        <v>0</v>
      </c>
      <c r="AQ472" s="23">
        <f>IF(AP472="","",COUNTIF(Performance!$G$5:$G$404,AP472))</f>
        <v>0</v>
      </c>
      <c r="AR472" s="23">
        <f>IF(AP472="","",SUMIFS(Performance!$O$5:$O$404,Performance!$G$5:$G$404,AP472))</f>
        <v>0</v>
      </c>
      <c r="AS472" s="23">
        <f>IF(AP472="","",SUMIFS(Performance!$Z$5:$Z$404,Performance!$G$5:$G$404,AP472))</f>
        <v>0</v>
      </c>
      <c r="AT472" s="24">
        <f>IF(OR(AR472="",AR472=0),"",AS472/AR472)</f>
        <v>0</v>
      </c>
      <c r="AU472" s="32">
        <f>IF(AQ472=0,"",IF(AT472="","",AT472+ROW()/1000000))</f>
        <v>0</v>
      </c>
      <c r="AV472" s="17">
        <f>IF(ROW()-4&gt;7,"",TEXT(DATE(2024,1,ROW()-4),"ddd"))</f>
        <v>0</v>
      </c>
      <c r="AW472" s="23">
        <f>IF(AV472="","",COUNTIF(Performance!$N$5:$N$404,AV472))</f>
        <v>0</v>
      </c>
      <c r="AX472" s="23">
        <f>IF(AV472="","",SUMIFS(Performance!$O$5:$O$404,Performance!$N$5:$N$404,AV472))</f>
        <v>0</v>
      </c>
      <c r="AY472" s="23">
        <f>IF(AV472="","",SUMIFS(Performance!$Z$5:$Z$404,Performance!$N$5:$N$404,AV472))</f>
        <v>0</v>
      </c>
      <c r="AZ472" s="24">
        <f>IF(OR(AX472="",AX472=0),"",AY472/AX472)</f>
        <v>0</v>
      </c>
      <c r="BA472" s="32">
        <f>IF(AW472=0,"",IF(AZ472="","",AZ472+ROW()/1000000))</f>
        <v>0</v>
      </c>
      <c r="BB472" s="17">
        <f>IF(Lists!$AL472="","",Lists!$AL472)</f>
        <v>0</v>
      </c>
      <c r="BC472" s="23">
        <f>IF(BB472="","",COUNTIF(Performance!$M$5:$M$404,BB472))</f>
        <v>0</v>
      </c>
      <c r="BD472" s="23">
        <f>IF(BB472="","",SUMIFS(Performance!$O$5:$O$404,Performance!$M$5:$M$404,BB472))</f>
        <v>0</v>
      </c>
      <c r="BE472" s="23">
        <f>IF(BB472="","",SUMIFS(Performance!$Z$5:$Z$404,Performance!$M$5:$M$404,BB472))</f>
        <v>0</v>
      </c>
      <c r="BF472" s="24">
        <f>IF(OR(BD472="",BD472=0),"",BE472/BD472)</f>
        <v>0</v>
      </c>
      <c r="BG472" s="32">
        <f>IF(BC472=0,"",IF(BF472="","",BF472+ROW()/1000000))</f>
        <v>0</v>
      </c>
      <c r="BH472" s="17">
        <f>IF(Performance!$C$472="","",Performance!$C$472)</f>
        <v>0</v>
      </c>
      <c r="BI472" s="17">
        <f>IF(Performance!$F$472="","",Performance!$F$472)</f>
        <v>0</v>
      </c>
      <c r="BJ472" s="17">
        <f>IF(Performance!$H$472="","",Performance!$H$472)</f>
        <v>0</v>
      </c>
      <c r="BK472" s="16">
        <f>IF(Performance!$D$472="","",Performance!$D$472)</f>
        <v>0</v>
      </c>
      <c r="BL472" s="17">
        <f>IF(Performance!$E$472="","",Performance!$E$472)</f>
        <v>0</v>
      </c>
      <c r="BM472" s="23">
        <f>IF(Performance!$O$472="","",Performance!$O$472)</f>
        <v>0</v>
      </c>
      <c r="BN472" s="24">
        <f>IF(Performance!$AA$472="","",Performance!$AA$472)</f>
        <v>0</v>
      </c>
      <c r="BO472" s="32">
        <f>IF(BH472="","",IF(BK472="","",IF(OR(BK472&lt;DashStart,BK472&gt;DashEnd),"",IF(BN472="","",BN472+ROW()/1000000))))</f>
        <v>0</v>
      </c>
      <c r="BP472" s="32">
        <f>IF(BM472="","",IF(BK472="","",IF(OR(BK472&lt;DashStart,BK472&gt;DashEnd),"",BM472+ROW()/1000000)))</f>
        <v>0</v>
      </c>
      <c r="BQ472" s="32">
        <f>IF(BH472="","",IF(BK472="","",IF(YEAR(BK472)&lt;&gt;PlanYear,"",IF(BN472="","",BN472+ROW()/1000000))))</f>
        <v>0</v>
      </c>
      <c r="BR472" s="32">
        <f>IF(BH472="","",IF(BK472="","",IF(OR(BK472&lt;RepFrom,BK472&gt;RepTo),"",IF(BN472="","",BN472+ROW()/1000000))))</f>
        <v>0</v>
      </c>
      <c r="BS472" s="32">
        <f>IF(BM472="","",IF(BK472="","",IF(YEAR(BK472)&lt;&gt;PlanYear,"",BM472+ROW()/1000000)))</f>
        <v>0</v>
      </c>
      <c r="BT472" s="17">
        <f>IF(Lists!$F472="","",Lists!$F472)</f>
        <v>0</v>
      </c>
      <c r="BU472" s="23">
        <f>IF(BT472="","",COUNTIF('Content Calendar'!$X$5:$X$604,BT472))</f>
        <v>0</v>
      </c>
      <c r="BV472" s="23">
        <f>IF(BT472="","",COUNTIFS('Content Calendar'!$X$5:$X$604,BT472,'Content Calendar'!$B$5:$B$604,"&gt;="&amp;DashStart,'Content Calendar'!$B$5:$B$604,"&lt;="&amp;DashEnd))</f>
        <v>0</v>
      </c>
      <c r="BW472" s="17">
        <f>IF(Team!$B$472="","",Team!$B$472)</f>
        <v>0</v>
      </c>
      <c r="BX472" s="23">
        <f>IF(BW472="","",COUNTIF('Content Calendar'!$W$5:$W$604,BW472))</f>
        <v>0</v>
      </c>
      <c r="BY472" s="23">
        <f>IF(BW472="","",COUNTIFS('Content Calendar'!$W$5:$W$604,BW472,'Content Calendar'!$X$5:$X$604,"&lt;&gt;Published"))</f>
        <v>0</v>
      </c>
      <c r="BZ472" s="23">
        <f>IF(BW472="","",COUNTIFS(Tasks!$C$5:$C$64,BW472,Tasks!$G$5:$G$64,"&lt;&gt;Complete"))</f>
        <v>0</v>
      </c>
      <c r="CA472" s="17">
        <f>IF(Campaigns!$B$472="","",Campaigns!$B$472)</f>
        <v>0</v>
      </c>
      <c r="CB472" s="25">
        <f>IF(Campaigns!$T$472="","",Campaigns!$T$472)</f>
        <v>0</v>
      </c>
      <c r="CC472" s="25">
        <f>IF(Campaigns!$Q$472="","",Campaigns!$Q$472)</f>
        <v>0</v>
      </c>
      <c r="CD472" s="23">
        <f>IF(Campaigns!$Y$472="","",Campaigns!$Y$472)</f>
        <v>0</v>
      </c>
      <c r="CE472" s="32">
        <f>IF(CA472="","",IF(N(CB472)&lt;=0,"",N(CB472)+ROW()/1000000))</f>
        <v>0</v>
      </c>
      <c r="CF472" s="17">
        <f>IF(Accounts!$C$472="","",Accounts!$C$472)</f>
        <v>0</v>
      </c>
      <c r="CG472" s="17">
        <f>IF(Accounts!$B$472="","",Accounts!$B$472)</f>
        <v>0</v>
      </c>
      <c r="CH472" s="23">
        <f>IF(Accounts!$J$472="","",Accounts!$J$472)</f>
        <v>0</v>
      </c>
      <c r="CI472" s="23">
        <f>IF(CF472="","",SUMIFS(Analytics!$X$5:$X$154,Analytics!$E$5:$E$154,CF472,Analytics!$B$5:$B$154,"&gt;="&amp;DashStart,Analytics!$B$5:$B$154,"&lt;="&amp;DashEnd))</f>
        <v>0</v>
      </c>
      <c r="CJ472" s="32">
        <f>IF(CH472="","",IF(CH472=0,"",CH472+ROW()/1000000))</f>
        <v>0</v>
      </c>
    </row>
    <row r="473" spans="1:88">
      <c r="A473" s="16">
        <f>IF(ROW()-4&gt;12,"",DATE(PlanYear,ROW()-4,1))</f>
        <v>0</v>
      </c>
      <c r="B473" s="16">
        <f>IF(A473="","",EOMONTH(A473,0))</f>
        <v>0</v>
      </c>
      <c r="C473" s="17">
        <f>IF(A473="","",TEXT(A473,"yyyy-mm"))</f>
        <v>0</v>
      </c>
      <c r="D473" s="17">
        <f>IF(A473="","",TEXT(A473,"mmm"))</f>
        <v>0</v>
      </c>
      <c r="E473" s="23">
        <f>IF(C473="","",COUNTIFS('Content Calendar'!$D$5:$D$604,C473))</f>
        <v>0</v>
      </c>
      <c r="F473" s="23">
        <f>IF(C473="","",COUNTIFS('Content Calendar'!$D$5:$D$604,C473,'Content Calendar'!$X$5:$X$604,"Published"))</f>
        <v>0</v>
      </c>
      <c r="G473" s="23">
        <f>IF(C473="","",SUMIFS(Analytics!$J$5:$J$154,Analytics!$C$5:$C$154,C473))</f>
        <v>0</v>
      </c>
      <c r="H473" s="23">
        <f>IF(C473="","",SUMIFS(Analytics!$K$5:$K$154,Analytics!$C$5:$C$154,C473))</f>
        <v>0</v>
      </c>
      <c r="I473" s="23">
        <f>IF(C473="","",SUMIFS(Analytics!$L$5:$L$154,Analytics!$C$5:$C$154,C473))</f>
        <v>0</v>
      </c>
      <c r="J473" s="24">
        <f>IF(OR(G473="",G473=0),"",I473/G473)</f>
        <v>0</v>
      </c>
      <c r="K473" s="23">
        <f>IF(C473="","",SUMIFS(Analytics!$G$5:$G$154,Analytics!$C$5:$C$154,C473))</f>
        <v>0</v>
      </c>
      <c r="L473" s="23">
        <f>IF(C473="","",SUMIFS(Analytics!$X$5:$X$154,Analytics!$C$5:$C$154,C473))</f>
        <v>0</v>
      </c>
      <c r="M473" s="23">
        <f>IF(C473="","",SUMIFS(Analytics!$R$5:$R$154,Analytics!$C$5:$C$154,C473))</f>
        <v>0</v>
      </c>
      <c r="N473" s="23">
        <f>IF(C473="","",SUMIFS(Analytics!$S$5:$S$154,Analytics!$C$5:$C$154,C473))</f>
        <v>0</v>
      </c>
      <c r="O473" s="23">
        <f>IF(C473="","",SUMIFS(Analytics!$T$5:$T$154,Analytics!$C$5:$C$154,C473))</f>
        <v>0</v>
      </c>
      <c r="P473" s="25">
        <f>IF(C473="","",SUMIFS(Analytics!$U$5:$U$154,Analytics!$C$5:$C$154,C473))</f>
        <v>0</v>
      </c>
      <c r="Q473" s="25">
        <f>IF(C473="","",SUMIFS(Budget!$H$5:$H$64,Budget!$C$5:$C$64,C473))</f>
        <v>0</v>
      </c>
      <c r="R473" s="25">
        <f>IF(C473="","",P473-Q473)</f>
        <v>0</v>
      </c>
      <c r="S473" s="23">
        <f>IF(C473="","",MonthlyPostTarget)</f>
        <v>0</v>
      </c>
      <c r="T473" s="17">
        <f>IF(Lists!$C473="","",Lists!$C473)</f>
        <v>0</v>
      </c>
      <c r="U473" s="23">
        <f>IF(T473="","",COUNTIFS('Content Calendar'!$G$5:$G$604,T473,'Content Calendar'!$B$5:$B$604,"&gt;="&amp;DashStart,'Content Calendar'!$B$5:$B$604,"&lt;="&amp;DashEnd))</f>
        <v>0</v>
      </c>
      <c r="V473" s="23">
        <f>IF(T473="","",COUNTIFS('Content Calendar'!$G$5:$G$604,T473,'Content Calendar'!$X$5:$X$604,"Published",'Content Calendar'!$B$5:$B$604,"&gt;="&amp;DashStart,'Content Calendar'!$B$5:$B$604,"&lt;="&amp;DashEnd))</f>
        <v>0</v>
      </c>
      <c r="W473" s="23">
        <f>IF(T473="","",SUMIFS(Analytics!$J$5:$J$154,Analytics!$D$5:$D$154,T473,Analytics!$B$5:$B$154,"&gt;="&amp;DashStart,Analytics!$B$5:$B$154,"&lt;="&amp;DashEnd))</f>
        <v>0</v>
      </c>
      <c r="X473" s="23">
        <f>IF(T473="","",SUMIFS(Analytics!$L$5:$L$154,Analytics!$D$5:$D$154,T473,Analytics!$B$5:$B$154,"&gt;="&amp;DashStart,Analytics!$B$5:$B$154,"&lt;="&amp;DashEnd))</f>
        <v>0</v>
      </c>
      <c r="Y473" s="24">
        <f>IF(OR(W473="",W473=0),"",X473/W473)</f>
        <v>0</v>
      </c>
      <c r="Z473" s="23">
        <f>IF(T473="","",SUMIFS(Analytics!$G$5:$G$154,Analytics!$D$5:$D$154,T473,Analytics!$B$5:$B$154,"&gt;="&amp;DashStart,Analytics!$B$5:$B$154,"&lt;="&amp;DashEnd))</f>
        <v>0</v>
      </c>
      <c r="AA473" s="23">
        <f>IF(T473="","",SUMIFS(Analytics!$X$5:$X$154,Analytics!$D$5:$D$154,T473,Analytics!$B$5:$B$154,"&gt;="&amp;DashStart,Analytics!$B$5:$B$154,"&lt;="&amp;DashEnd))</f>
        <v>0</v>
      </c>
      <c r="AB473" s="23">
        <f>IF(T473="","",SUMIFS(Analytics!$R$5:$R$154,Analytics!$D$5:$D$154,T473,Analytics!$B$5:$B$154,"&gt;="&amp;DashStart,Analytics!$B$5:$B$154,"&lt;="&amp;DashEnd))</f>
        <v>0</v>
      </c>
      <c r="AC473" s="25">
        <f>IF(T473="","",SUMIFS(Analytics!$U$5:$U$154,Analytics!$D$5:$D$154,T473,Analytics!$B$5:$B$154,"&gt;="&amp;DashStart,Analytics!$B$5:$B$154,"&lt;="&amp;DashEnd))</f>
        <v>0</v>
      </c>
      <c r="AD473" s="23">
        <f>IF(T473="","",COUNTIFS('Content Calendar'!$G$5:$G$604,T473,'Content Calendar'!$B$5:$B$604,"&gt;="&amp;DATE(PlanYear,1,1),'Content Calendar'!$B$5:$B$604,"&lt;="&amp;DATE(PlanYear,12,31)))</f>
        <v>0</v>
      </c>
      <c r="AE473" s="23">
        <f>IF(T473="","",SUMIFS(Analytics!$J$5:$J$154,Analytics!$D$5:$D$154,T473))</f>
        <v>0</v>
      </c>
      <c r="AF473" s="23">
        <f>IF(T473="","",SUMIFS(Analytics!$L$5:$L$154,Analytics!$D$5:$D$154,T473))</f>
        <v>0</v>
      </c>
      <c r="AG473" s="24">
        <f>IF(OR(AE473="",AE473=0),"",AF473/AE473)</f>
        <v>0</v>
      </c>
      <c r="AH473" s="23">
        <f>IF(T473="","",SUMIFS(Analytics!$X$5:$X$154,Analytics!$D$5:$D$154,T473))</f>
        <v>0</v>
      </c>
      <c r="AI473" s="32">
        <f>IF(T473="","",IF(AE473=0,"",AE473+ROW()/1000000))</f>
        <v>0</v>
      </c>
      <c r="AJ473" s="17">
        <f>IF('Content Pillars'!$B$473="","",'Content Pillars'!$B$473)</f>
        <v>0</v>
      </c>
      <c r="AK473" s="23">
        <f>IF(AJ473="","",COUNTIFS('Content Calendar'!$J$5:$J$604,AJ473,'Content Calendar'!$B$5:$B$604,"&gt;="&amp;DATE(PlanYear,1,1),'Content Calendar'!$B$5:$B$604,"&lt;="&amp;DATE(PlanYear,12,31)))</f>
        <v>0</v>
      </c>
      <c r="AL473" s="23">
        <f>IF(AJ473="","",SUMIFS(Performance!$O$5:$O$404,Performance!$H$5:$H$404,AJ473))</f>
        <v>0</v>
      </c>
      <c r="AM473" s="23">
        <f>IF(AJ473="","",SUMIFS(Performance!$Z$5:$Z$404,Performance!$H$5:$H$404,AJ473))</f>
        <v>0</v>
      </c>
      <c r="AN473" s="24">
        <f>IF(OR(AL473="",AL473=0),"",AM473/AL473)</f>
        <v>0</v>
      </c>
      <c r="AO473" s="32">
        <f>IF(AN473="","",AN473+ROW()/1000000)</f>
        <v>0</v>
      </c>
      <c r="AP473" s="17">
        <f>IF(Lists!$E473="","",Lists!$E473)</f>
        <v>0</v>
      </c>
      <c r="AQ473" s="23">
        <f>IF(AP473="","",COUNTIF(Performance!$G$5:$G$404,AP473))</f>
        <v>0</v>
      </c>
      <c r="AR473" s="23">
        <f>IF(AP473="","",SUMIFS(Performance!$O$5:$O$404,Performance!$G$5:$G$404,AP473))</f>
        <v>0</v>
      </c>
      <c r="AS473" s="23">
        <f>IF(AP473="","",SUMIFS(Performance!$Z$5:$Z$404,Performance!$G$5:$G$404,AP473))</f>
        <v>0</v>
      </c>
      <c r="AT473" s="24">
        <f>IF(OR(AR473="",AR473=0),"",AS473/AR473)</f>
        <v>0</v>
      </c>
      <c r="AU473" s="32">
        <f>IF(AQ473=0,"",IF(AT473="","",AT473+ROW()/1000000))</f>
        <v>0</v>
      </c>
      <c r="AV473" s="17">
        <f>IF(ROW()-4&gt;7,"",TEXT(DATE(2024,1,ROW()-4),"ddd"))</f>
        <v>0</v>
      </c>
      <c r="AW473" s="23">
        <f>IF(AV473="","",COUNTIF(Performance!$N$5:$N$404,AV473))</f>
        <v>0</v>
      </c>
      <c r="AX473" s="23">
        <f>IF(AV473="","",SUMIFS(Performance!$O$5:$O$404,Performance!$N$5:$N$404,AV473))</f>
        <v>0</v>
      </c>
      <c r="AY473" s="23">
        <f>IF(AV473="","",SUMIFS(Performance!$Z$5:$Z$404,Performance!$N$5:$N$404,AV473))</f>
        <v>0</v>
      </c>
      <c r="AZ473" s="24">
        <f>IF(OR(AX473="",AX473=0),"",AY473/AX473)</f>
        <v>0</v>
      </c>
      <c r="BA473" s="32">
        <f>IF(AW473=0,"",IF(AZ473="","",AZ473+ROW()/1000000))</f>
        <v>0</v>
      </c>
      <c r="BB473" s="17">
        <f>IF(Lists!$AL473="","",Lists!$AL473)</f>
        <v>0</v>
      </c>
      <c r="BC473" s="23">
        <f>IF(BB473="","",COUNTIF(Performance!$M$5:$M$404,BB473))</f>
        <v>0</v>
      </c>
      <c r="BD473" s="23">
        <f>IF(BB473="","",SUMIFS(Performance!$O$5:$O$404,Performance!$M$5:$M$404,BB473))</f>
        <v>0</v>
      </c>
      <c r="BE473" s="23">
        <f>IF(BB473="","",SUMIFS(Performance!$Z$5:$Z$404,Performance!$M$5:$M$404,BB473))</f>
        <v>0</v>
      </c>
      <c r="BF473" s="24">
        <f>IF(OR(BD473="",BD473=0),"",BE473/BD473)</f>
        <v>0</v>
      </c>
      <c r="BG473" s="32">
        <f>IF(BC473=0,"",IF(BF473="","",BF473+ROW()/1000000))</f>
        <v>0</v>
      </c>
      <c r="BH473" s="17">
        <f>IF(Performance!$C$473="","",Performance!$C$473)</f>
        <v>0</v>
      </c>
      <c r="BI473" s="17">
        <f>IF(Performance!$F$473="","",Performance!$F$473)</f>
        <v>0</v>
      </c>
      <c r="BJ473" s="17">
        <f>IF(Performance!$H$473="","",Performance!$H$473)</f>
        <v>0</v>
      </c>
      <c r="BK473" s="16">
        <f>IF(Performance!$D$473="","",Performance!$D$473)</f>
        <v>0</v>
      </c>
      <c r="BL473" s="17">
        <f>IF(Performance!$E$473="","",Performance!$E$473)</f>
        <v>0</v>
      </c>
      <c r="BM473" s="23">
        <f>IF(Performance!$O$473="","",Performance!$O$473)</f>
        <v>0</v>
      </c>
      <c r="BN473" s="24">
        <f>IF(Performance!$AA$473="","",Performance!$AA$473)</f>
        <v>0</v>
      </c>
      <c r="BO473" s="32">
        <f>IF(BH473="","",IF(BK473="","",IF(OR(BK473&lt;DashStart,BK473&gt;DashEnd),"",IF(BN473="","",BN473+ROW()/1000000))))</f>
        <v>0</v>
      </c>
      <c r="BP473" s="32">
        <f>IF(BM473="","",IF(BK473="","",IF(OR(BK473&lt;DashStart,BK473&gt;DashEnd),"",BM473+ROW()/1000000)))</f>
        <v>0</v>
      </c>
      <c r="BQ473" s="32">
        <f>IF(BH473="","",IF(BK473="","",IF(YEAR(BK473)&lt;&gt;PlanYear,"",IF(BN473="","",BN473+ROW()/1000000))))</f>
        <v>0</v>
      </c>
      <c r="BR473" s="32">
        <f>IF(BH473="","",IF(BK473="","",IF(OR(BK473&lt;RepFrom,BK473&gt;RepTo),"",IF(BN473="","",BN473+ROW()/1000000))))</f>
        <v>0</v>
      </c>
      <c r="BS473" s="32">
        <f>IF(BM473="","",IF(BK473="","",IF(YEAR(BK473)&lt;&gt;PlanYear,"",BM473+ROW()/1000000)))</f>
        <v>0</v>
      </c>
      <c r="BT473" s="17">
        <f>IF(Lists!$F473="","",Lists!$F473)</f>
        <v>0</v>
      </c>
      <c r="BU473" s="23">
        <f>IF(BT473="","",COUNTIF('Content Calendar'!$X$5:$X$604,BT473))</f>
        <v>0</v>
      </c>
      <c r="BV473" s="23">
        <f>IF(BT473="","",COUNTIFS('Content Calendar'!$X$5:$X$604,BT473,'Content Calendar'!$B$5:$B$604,"&gt;="&amp;DashStart,'Content Calendar'!$B$5:$B$604,"&lt;="&amp;DashEnd))</f>
        <v>0</v>
      </c>
      <c r="BW473" s="17">
        <f>IF(Team!$B$473="","",Team!$B$473)</f>
        <v>0</v>
      </c>
      <c r="BX473" s="23">
        <f>IF(BW473="","",COUNTIF('Content Calendar'!$W$5:$W$604,BW473))</f>
        <v>0</v>
      </c>
      <c r="BY473" s="23">
        <f>IF(BW473="","",COUNTIFS('Content Calendar'!$W$5:$W$604,BW473,'Content Calendar'!$X$5:$X$604,"&lt;&gt;Published"))</f>
        <v>0</v>
      </c>
      <c r="BZ473" s="23">
        <f>IF(BW473="","",COUNTIFS(Tasks!$C$5:$C$64,BW473,Tasks!$G$5:$G$64,"&lt;&gt;Complete"))</f>
        <v>0</v>
      </c>
      <c r="CA473" s="17">
        <f>IF(Campaigns!$B$473="","",Campaigns!$B$473)</f>
        <v>0</v>
      </c>
      <c r="CB473" s="25">
        <f>IF(Campaigns!$T$473="","",Campaigns!$T$473)</f>
        <v>0</v>
      </c>
      <c r="CC473" s="25">
        <f>IF(Campaigns!$Q$473="","",Campaigns!$Q$473)</f>
        <v>0</v>
      </c>
      <c r="CD473" s="23">
        <f>IF(Campaigns!$Y$473="","",Campaigns!$Y$473)</f>
        <v>0</v>
      </c>
      <c r="CE473" s="32">
        <f>IF(CA473="","",IF(N(CB473)&lt;=0,"",N(CB473)+ROW()/1000000))</f>
        <v>0</v>
      </c>
      <c r="CF473" s="17">
        <f>IF(Accounts!$C$473="","",Accounts!$C$473)</f>
        <v>0</v>
      </c>
      <c r="CG473" s="17">
        <f>IF(Accounts!$B$473="","",Accounts!$B$473)</f>
        <v>0</v>
      </c>
      <c r="CH473" s="23">
        <f>IF(Accounts!$J$473="","",Accounts!$J$473)</f>
        <v>0</v>
      </c>
      <c r="CI473" s="23">
        <f>IF(CF473="","",SUMIFS(Analytics!$X$5:$X$154,Analytics!$E$5:$E$154,CF473,Analytics!$B$5:$B$154,"&gt;="&amp;DashStart,Analytics!$B$5:$B$154,"&lt;="&amp;DashEnd))</f>
        <v>0</v>
      </c>
      <c r="CJ473" s="32">
        <f>IF(CH473="","",IF(CH473=0,"",CH473+ROW()/1000000))</f>
        <v>0</v>
      </c>
    </row>
    <row r="474" spans="1:88">
      <c r="A474" s="16">
        <f>IF(ROW()-4&gt;12,"",DATE(PlanYear,ROW()-4,1))</f>
        <v>0</v>
      </c>
      <c r="B474" s="16">
        <f>IF(A474="","",EOMONTH(A474,0))</f>
        <v>0</v>
      </c>
      <c r="C474" s="17">
        <f>IF(A474="","",TEXT(A474,"yyyy-mm"))</f>
        <v>0</v>
      </c>
      <c r="D474" s="17">
        <f>IF(A474="","",TEXT(A474,"mmm"))</f>
        <v>0</v>
      </c>
      <c r="E474" s="23">
        <f>IF(C474="","",COUNTIFS('Content Calendar'!$D$5:$D$604,C474))</f>
        <v>0</v>
      </c>
      <c r="F474" s="23">
        <f>IF(C474="","",COUNTIFS('Content Calendar'!$D$5:$D$604,C474,'Content Calendar'!$X$5:$X$604,"Published"))</f>
        <v>0</v>
      </c>
      <c r="G474" s="23">
        <f>IF(C474="","",SUMIFS(Analytics!$J$5:$J$154,Analytics!$C$5:$C$154,C474))</f>
        <v>0</v>
      </c>
      <c r="H474" s="23">
        <f>IF(C474="","",SUMIFS(Analytics!$K$5:$K$154,Analytics!$C$5:$C$154,C474))</f>
        <v>0</v>
      </c>
      <c r="I474" s="23">
        <f>IF(C474="","",SUMIFS(Analytics!$L$5:$L$154,Analytics!$C$5:$C$154,C474))</f>
        <v>0</v>
      </c>
      <c r="J474" s="24">
        <f>IF(OR(G474="",G474=0),"",I474/G474)</f>
        <v>0</v>
      </c>
      <c r="K474" s="23">
        <f>IF(C474="","",SUMIFS(Analytics!$G$5:$G$154,Analytics!$C$5:$C$154,C474))</f>
        <v>0</v>
      </c>
      <c r="L474" s="23">
        <f>IF(C474="","",SUMIFS(Analytics!$X$5:$X$154,Analytics!$C$5:$C$154,C474))</f>
        <v>0</v>
      </c>
      <c r="M474" s="23">
        <f>IF(C474="","",SUMIFS(Analytics!$R$5:$R$154,Analytics!$C$5:$C$154,C474))</f>
        <v>0</v>
      </c>
      <c r="N474" s="23">
        <f>IF(C474="","",SUMIFS(Analytics!$S$5:$S$154,Analytics!$C$5:$C$154,C474))</f>
        <v>0</v>
      </c>
      <c r="O474" s="23">
        <f>IF(C474="","",SUMIFS(Analytics!$T$5:$T$154,Analytics!$C$5:$C$154,C474))</f>
        <v>0</v>
      </c>
      <c r="P474" s="25">
        <f>IF(C474="","",SUMIFS(Analytics!$U$5:$U$154,Analytics!$C$5:$C$154,C474))</f>
        <v>0</v>
      </c>
      <c r="Q474" s="25">
        <f>IF(C474="","",SUMIFS(Budget!$H$5:$H$64,Budget!$C$5:$C$64,C474))</f>
        <v>0</v>
      </c>
      <c r="R474" s="25">
        <f>IF(C474="","",P474-Q474)</f>
        <v>0</v>
      </c>
      <c r="S474" s="23">
        <f>IF(C474="","",MonthlyPostTarget)</f>
        <v>0</v>
      </c>
      <c r="T474" s="17">
        <f>IF(Lists!$C474="","",Lists!$C474)</f>
        <v>0</v>
      </c>
      <c r="U474" s="23">
        <f>IF(T474="","",COUNTIFS('Content Calendar'!$G$5:$G$604,T474,'Content Calendar'!$B$5:$B$604,"&gt;="&amp;DashStart,'Content Calendar'!$B$5:$B$604,"&lt;="&amp;DashEnd))</f>
        <v>0</v>
      </c>
      <c r="V474" s="23">
        <f>IF(T474="","",COUNTIFS('Content Calendar'!$G$5:$G$604,T474,'Content Calendar'!$X$5:$X$604,"Published",'Content Calendar'!$B$5:$B$604,"&gt;="&amp;DashStart,'Content Calendar'!$B$5:$B$604,"&lt;="&amp;DashEnd))</f>
        <v>0</v>
      </c>
      <c r="W474" s="23">
        <f>IF(T474="","",SUMIFS(Analytics!$J$5:$J$154,Analytics!$D$5:$D$154,T474,Analytics!$B$5:$B$154,"&gt;="&amp;DashStart,Analytics!$B$5:$B$154,"&lt;="&amp;DashEnd))</f>
        <v>0</v>
      </c>
      <c r="X474" s="23">
        <f>IF(T474="","",SUMIFS(Analytics!$L$5:$L$154,Analytics!$D$5:$D$154,T474,Analytics!$B$5:$B$154,"&gt;="&amp;DashStart,Analytics!$B$5:$B$154,"&lt;="&amp;DashEnd))</f>
        <v>0</v>
      </c>
      <c r="Y474" s="24">
        <f>IF(OR(W474="",W474=0),"",X474/W474)</f>
        <v>0</v>
      </c>
      <c r="Z474" s="23">
        <f>IF(T474="","",SUMIFS(Analytics!$G$5:$G$154,Analytics!$D$5:$D$154,T474,Analytics!$B$5:$B$154,"&gt;="&amp;DashStart,Analytics!$B$5:$B$154,"&lt;="&amp;DashEnd))</f>
        <v>0</v>
      </c>
      <c r="AA474" s="23">
        <f>IF(T474="","",SUMIFS(Analytics!$X$5:$X$154,Analytics!$D$5:$D$154,T474,Analytics!$B$5:$B$154,"&gt;="&amp;DashStart,Analytics!$B$5:$B$154,"&lt;="&amp;DashEnd))</f>
        <v>0</v>
      </c>
      <c r="AB474" s="23">
        <f>IF(T474="","",SUMIFS(Analytics!$R$5:$R$154,Analytics!$D$5:$D$154,T474,Analytics!$B$5:$B$154,"&gt;="&amp;DashStart,Analytics!$B$5:$B$154,"&lt;="&amp;DashEnd))</f>
        <v>0</v>
      </c>
      <c r="AC474" s="25">
        <f>IF(T474="","",SUMIFS(Analytics!$U$5:$U$154,Analytics!$D$5:$D$154,T474,Analytics!$B$5:$B$154,"&gt;="&amp;DashStart,Analytics!$B$5:$B$154,"&lt;="&amp;DashEnd))</f>
        <v>0</v>
      </c>
      <c r="AD474" s="23">
        <f>IF(T474="","",COUNTIFS('Content Calendar'!$G$5:$G$604,T474,'Content Calendar'!$B$5:$B$604,"&gt;="&amp;DATE(PlanYear,1,1),'Content Calendar'!$B$5:$B$604,"&lt;="&amp;DATE(PlanYear,12,31)))</f>
        <v>0</v>
      </c>
      <c r="AE474" s="23">
        <f>IF(T474="","",SUMIFS(Analytics!$J$5:$J$154,Analytics!$D$5:$D$154,T474))</f>
        <v>0</v>
      </c>
      <c r="AF474" s="23">
        <f>IF(T474="","",SUMIFS(Analytics!$L$5:$L$154,Analytics!$D$5:$D$154,T474))</f>
        <v>0</v>
      </c>
      <c r="AG474" s="24">
        <f>IF(OR(AE474="",AE474=0),"",AF474/AE474)</f>
        <v>0</v>
      </c>
      <c r="AH474" s="23">
        <f>IF(T474="","",SUMIFS(Analytics!$X$5:$X$154,Analytics!$D$5:$D$154,T474))</f>
        <v>0</v>
      </c>
      <c r="AI474" s="32">
        <f>IF(T474="","",IF(AE474=0,"",AE474+ROW()/1000000))</f>
        <v>0</v>
      </c>
      <c r="AJ474" s="17">
        <f>IF('Content Pillars'!$B$474="","",'Content Pillars'!$B$474)</f>
        <v>0</v>
      </c>
      <c r="AK474" s="23">
        <f>IF(AJ474="","",COUNTIFS('Content Calendar'!$J$5:$J$604,AJ474,'Content Calendar'!$B$5:$B$604,"&gt;="&amp;DATE(PlanYear,1,1),'Content Calendar'!$B$5:$B$604,"&lt;="&amp;DATE(PlanYear,12,31)))</f>
        <v>0</v>
      </c>
      <c r="AL474" s="23">
        <f>IF(AJ474="","",SUMIFS(Performance!$O$5:$O$404,Performance!$H$5:$H$404,AJ474))</f>
        <v>0</v>
      </c>
      <c r="AM474" s="23">
        <f>IF(AJ474="","",SUMIFS(Performance!$Z$5:$Z$404,Performance!$H$5:$H$404,AJ474))</f>
        <v>0</v>
      </c>
      <c r="AN474" s="24">
        <f>IF(OR(AL474="",AL474=0),"",AM474/AL474)</f>
        <v>0</v>
      </c>
      <c r="AO474" s="32">
        <f>IF(AN474="","",AN474+ROW()/1000000)</f>
        <v>0</v>
      </c>
      <c r="AP474" s="17">
        <f>IF(Lists!$E474="","",Lists!$E474)</f>
        <v>0</v>
      </c>
      <c r="AQ474" s="23">
        <f>IF(AP474="","",COUNTIF(Performance!$G$5:$G$404,AP474))</f>
        <v>0</v>
      </c>
      <c r="AR474" s="23">
        <f>IF(AP474="","",SUMIFS(Performance!$O$5:$O$404,Performance!$G$5:$G$404,AP474))</f>
        <v>0</v>
      </c>
      <c r="AS474" s="23">
        <f>IF(AP474="","",SUMIFS(Performance!$Z$5:$Z$404,Performance!$G$5:$G$404,AP474))</f>
        <v>0</v>
      </c>
      <c r="AT474" s="24">
        <f>IF(OR(AR474="",AR474=0),"",AS474/AR474)</f>
        <v>0</v>
      </c>
      <c r="AU474" s="32">
        <f>IF(AQ474=0,"",IF(AT474="","",AT474+ROW()/1000000))</f>
        <v>0</v>
      </c>
      <c r="AV474" s="17">
        <f>IF(ROW()-4&gt;7,"",TEXT(DATE(2024,1,ROW()-4),"ddd"))</f>
        <v>0</v>
      </c>
      <c r="AW474" s="23">
        <f>IF(AV474="","",COUNTIF(Performance!$N$5:$N$404,AV474))</f>
        <v>0</v>
      </c>
      <c r="AX474" s="23">
        <f>IF(AV474="","",SUMIFS(Performance!$O$5:$O$404,Performance!$N$5:$N$404,AV474))</f>
        <v>0</v>
      </c>
      <c r="AY474" s="23">
        <f>IF(AV474="","",SUMIFS(Performance!$Z$5:$Z$404,Performance!$N$5:$N$404,AV474))</f>
        <v>0</v>
      </c>
      <c r="AZ474" s="24">
        <f>IF(OR(AX474="",AX474=0),"",AY474/AX474)</f>
        <v>0</v>
      </c>
      <c r="BA474" s="32">
        <f>IF(AW474=0,"",IF(AZ474="","",AZ474+ROW()/1000000))</f>
        <v>0</v>
      </c>
      <c r="BB474" s="17">
        <f>IF(Lists!$AL474="","",Lists!$AL474)</f>
        <v>0</v>
      </c>
      <c r="BC474" s="23">
        <f>IF(BB474="","",COUNTIF(Performance!$M$5:$M$404,BB474))</f>
        <v>0</v>
      </c>
      <c r="BD474" s="23">
        <f>IF(BB474="","",SUMIFS(Performance!$O$5:$O$404,Performance!$M$5:$M$404,BB474))</f>
        <v>0</v>
      </c>
      <c r="BE474" s="23">
        <f>IF(BB474="","",SUMIFS(Performance!$Z$5:$Z$404,Performance!$M$5:$M$404,BB474))</f>
        <v>0</v>
      </c>
      <c r="BF474" s="24">
        <f>IF(OR(BD474="",BD474=0),"",BE474/BD474)</f>
        <v>0</v>
      </c>
      <c r="BG474" s="32">
        <f>IF(BC474=0,"",IF(BF474="","",BF474+ROW()/1000000))</f>
        <v>0</v>
      </c>
      <c r="BH474" s="17">
        <f>IF(Performance!$C$474="","",Performance!$C$474)</f>
        <v>0</v>
      </c>
      <c r="BI474" s="17">
        <f>IF(Performance!$F$474="","",Performance!$F$474)</f>
        <v>0</v>
      </c>
      <c r="BJ474" s="17">
        <f>IF(Performance!$H$474="","",Performance!$H$474)</f>
        <v>0</v>
      </c>
      <c r="BK474" s="16">
        <f>IF(Performance!$D$474="","",Performance!$D$474)</f>
        <v>0</v>
      </c>
      <c r="BL474" s="17">
        <f>IF(Performance!$E$474="","",Performance!$E$474)</f>
        <v>0</v>
      </c>
      <c r="BM474" s="23">
        <f>IF(Performance!$O$474="","",Performance!$O$474)</f>
        <v>0</v>
      </c>
      <c r="BN474" s="24">
        <f>IF(Performance!$AA$474="","",Performance!$AA$474)</f>
        <v>0</v>
      </c>
      <c r="BO474" s="32">
        <f>IF(BH474="","",IF(BK474="","",IF(OR(BK474&lt;DashStart,BK474&gt;DashEnd),"",IF(BN474="","",BN474+ROW()/1000000))))</f>
        <v>0</v>
      </c>
      <c r="BP474" s="32">
        <f>IF(BM474="","",IF(BK474="","",IF(OR(BK474&lt;DashStart,BK474&gt;DashEnd),"",BM474+ROW()/1000000)))</f>
        <v>0</v>
      </c>
      <c r="BQ474" s="32">
        <f>IF(BH474="","",IF(BK474="","",IF(YEAR(BK474)&lt;&gt;PlanYear,"",IF(BN474="","",BN474+ROW()/1000000))))</f>
        <v>0</v>
      </c>
      <c r="BR474" s="32">
        <f>IF(BH474="","",IF(BK474="","",IF(OR(BK474&lt;RepFrom,BK474&gt;RepTo),"",IF(BN474="","",BN474+ROW()/1000000))))</f>
        <v>0</v>
      </c>
      <c r="BS474" s="32">
        <f>IF(BM474="","",IF(BK474="","",IF(YEAR(BK474)&lt;&gt;PlanYear,"",BM474+ROW()/1000000)))</f>
        <v>0</v>
      </c>
      <c r="BT474" s="17">
        <f>IF(Lists!$F474="","",Lists!$F474)</f>
        <v>0</v>
      </c>
      <c r="BU474" s="23">
        <f>IF(BT474="","",COUNTIF('Content Calendar'!$X$5:$X$604,BT474))</f>
        <v>0</v>
      </c>
      <c r="BV474" s="23">
        <f>IF(BT474="","",COUNTIFS('Content Calendar'!$X$5:$X$604,BT474,'Content Calendar'!$B$5:$B$604,"&gt;="&amp;DashStart,'Content Calendar'!$B$5:$B$604,"&lt;="&amp;DashEnd))</f>
        <v>0</v>
      </c>
      <c r="BW474" s="17">
        <f>IF(Team!$B$474="","",Team!$B$474)</f>
        <v>0</v>
      </c>
      <c r="BX474" s="23">
        <f>IF(BW474="","",COUNTIF('Content Calendar'!$W$5:$W$604,BW474))</f>
        <v>0</v>
      </c>
      <c r="BY474" s="23">
        <f>IF(BW474="","",COUNTIFS('Content Calendar'!$W$5:$W$604,BW474,'Content Calendar'!$X$5:$X$604,"&lt;&gt;Published"))</f>
        <v>0</v>
      </c>
      <c r="BZ474" s="23">
        <f>IF(BW474="","",COUNTIFS(Tasks!$C$5:$C$64,BW474,Tasks!$G$5:$G$64,"&lt;&gt;Complete"))</f>
        <v>0</v>
      </c>
      <c r="CA474" s="17">
        <f>IF(Campaigns!$B$474="","",Campaigns!$B$474)</f>
        <v>0</v>
      </c>
      <c r="CB474" s="25">
        <f>IF(Campaigns!$T$474="","",Campaigns!$T$474)</f>
        <v>0</v>
      </c>
      <c r="CC474" s="25">
        <f>IF(Campaigns!$Q$474="","",Campaigns!$Q$474)</f>
        <v>0</v>
      </c>
      <c r="CD474" s="23">
        <f>IF(Campaigns!$Y$474="","",Campaigns!$Y$474)</f>
        <v>0</v>
      </c>
      <c r="CE474" s="32">
        <f>IF(CA474="","",IF(N(CB474)&lt;=0,"",N(CB474)+ROW()/1000000))</f>
        <v>0</v>
      </c>
      <c r="CF474" s="17">
        <f>IF(Accounts!$C$474="","",Accounts!$C$474)</f>
        <v>0</v>
      </c>
      <c r="CG474" s="17">
        <f>IF(Accounts!$B$474="","",Accounts!$B$474)</f>
        <v>0</v>
      </c>
      <c r="CH474" s="23">
        <f>IF(Accounts!$J$474="","",Accounts!$J$474)</f>
        <v>0</v>
      </c>
      <c r="CI474" s="23">
        <f>IF(CF474="","",SUMIFS(Analytics!$X$5:$X$154,Analytics!$E$5:$E$154,CF474,Analytics!$B$5:$B$154,"&gt;="&amp;DashStart,Analytics!$B$5:$B$154,"&lt;="&amp;DashEnd))</f>
        <v>0</v>
      </c>
      <c r="CJ474" s="32">
        <f>IF(CH474="","",IF(CH474=0,"",CH474+ROW()/1000000))</f>
        <v>0</v>
      </c>
    </row>
    <row r="475" spans="1:88">
      <c r="A475" s="16">
        <f>IF(ROW()-4&gt;12,"",DATE(PlanYear,ROW()-4,1))</f>
        <v>0</v>
      </c>
      <c r="B475" s="16">
        <f>IF(A475="","",EOMONTH(A475,0))</f>
        <v>0</v>
      </c>
      <c r="C475" s="17">
        <f>IF(A475="","",TEXT(A475,"yyyy-mm"))</f>
        <v>0</v>
      </c>
      <c r="D475" s="17">
        <f>IF(A475="","",TEXT(A475,"mmm"))</f>
        <v>0</v>
      </c>
      <c r="E475" s="23">
        <f>IF(C475="","",COUNTIFS('Content Calendar'!$D$5:$D$604,C475))</f>
        <v>0</v>
      </c>
      <c r="F475" s="23">
        <f>IF(C475="","",COUNTIFS('Content Calendar'!$D$5:$D$604,C475,'Content Calendar'!$X$5:$X$604,"Published"))</f>
        <v>0</v>
      </c>
      <c r="G475" s="23">
        <f>IF(C475="","",SUMIFS(Analytics!$J$5:$J$154,Analytics!$C$5:$C$154,C475))</f>
        <v>0</v>
      </c>
      <c r="H475" s="23">
        <f>IF(C475="","",SUMIFS(Analytics!$K$5:$K$154,Analytics!$C$5:$C$154,C475))</f>
        <v>0</v>
      </c>
      <c r="I475" s="23">
        <f>IF(C475="","",SUMIFS(Analytics!$L$5:$L$154,Analytics!$C$5:$C$154,C475))</f>
        <v>0</v>
      </c>
      <c r="J475" s="24">
        <f>IF(OR(G475="",G475=0),"",I475/G475)</f>
        <v>0</v>
      </c>
      <c r="K475" s="23">
        <f>IF(C475="","",SUMIFS(Analytics!$G$5:$G$154,Analytics!$C$5:$C$154,C475))</f>
        <v>0</v>
      </c>
      <c r="L475" s="23">
        <f>IF(C475="","",SUMIFS(Analytics!$X$5:$X$154,Analytics!$C$5:$C$154,C475))</f>
        <v>0</v>
      </c>
      <c r="M475" s="23">
        <f>IF(C475="","",SUMIFS(Analytics!$R$5:$R$154,Analytics!$C$5:$C$154,C475))</f>
        <v>0</v>
      </c>
      <c r="N475" s="23">
        <f>IF(C475="","",SUMIFS(Analytics!$S$5:$S$154,Analytics!$C$5:$C$154,C475))</f>
        <v>0</v>
      </c>
      <c r="O475" s="23">
        <f>IF(C475="","",SUMIFS(Analytics!$T$5:$T$154,Analytics!$C$5:$C$154,C475))</f>
        <v>0</v>
      </c>
      <c r="P475" s="25">
        <f>IF(C475="","",SUMIFS(Analytics!$U$5:$U$154,Analytics!$C$5:$C$154,C475))</f>
        <v>0</v>
      </c>
      <c r="Q475" s="25">
        <f>IF(C475="","",SUMIFS(Budget!$H$5:$H$64,Budget!$C$5:$C$64,C475))</f>
        <v>0</v>
      </c>
      <c r="R475" s="25">
        <f>IF(C475="","",P475-Q475)</f>
        <v>0</v>
      </c>
      <c r="S475" s="23">
        <f>IF(C475="","",MonthlyPostTarget)</f>
        <v>0</v>
      </c>
      <c r="T475" s="17">
        <f>IF(Lists!$C475="","",Lists!$C475)</f>
        <v>0</v>
      </c>
      <c r="U475" s="23">
        <f>IF(T475="","",COUNTIFS('Content Calendar'!$G$5:$G$604,T475,'Content Calendar'!$B$5:$B$604,"&gt;="&amp;DashStart,'Content Calendar'!$B$5:$B$604,"&lt;="&amp;DashEnd))</f>
        <v>0</v>
      </c>
      <c r="V475" s="23">
        <f>IF(T475="","",COUNTIFS('Content Calendar'!$G$5:$G$604,T475,'Content Calendar'!$X$5:$X$604,"Published",'Content Calendar'!$B$5:$B$604,"&gt;="&amp;DashStart,'Content Calendar'!$B$5:$B$604,"&lt;="&amp;DashEnd))</f>
        <v>0</v>
      </c>
      <c r="W475" s="23">
        <f>IF(T475="","",SUMIFS(Analytics!$J$5:$J$154,Analytics!$D$5:$D$154,T475,Analytics!$B$5:$B$154,"&gt;="&amp;DashStart,Analytics!$B$5:$B$154,"&lt;="&amp;DashEnd))</f>
        <v>0</v>
      </c>
      <c r="X475" s="23">
        <f>IF(T475="","",SUMIFS(Analytics!$L$5:$L$154,Analytics!$D$5:$D$154,T475,Analytics!$B$5:$B$154,"&gt;="&amp;DashStart,Analytics!$B$5:$B$154,"&lt;="&amp;DashEnd))</f>
        <v>0</v>
      </c>
      <c r="Y475" s="24">
        <f>IF(OR(W475="",W475=0),"",X475/W475)</f>
        <v>0</v>
      </c>
      <c r="Z475" s="23">
        <f>IF(T475="","",SUMIFS(Analytics!$G$5:$G$154,Analytics!$D$5:$D$154,T475,Analytics!$B$5:$B$154,"&gt;="&amp;DashStart,Analytics!$B$5:$B$154,"&lt;="&amp;DashEnd))</f>
        <v>0</v>
      </c>
      <c r="AA475" s="23">
        <f>IF(T475="","",SUMIFS(Analytics!$X$5:$X$154,Analytics!$D$5:$D$154,T475,Analytics!$B$5:$B$154,"&gt;="&amp;DashStart,Analytics!$B$5:$B$154,"&lt;="&amp;DashEnd))</f>
        <v>0</v>
      </c>
      <c r="AB475" s="23">
        <f>IF(T475="","",SUMIFS(Analytics!$R$5:$R$154,Analytics!$D$5:$D$154,T475,Analytics!$B$5:$B$154,"&gt;="&amp;DashStart,Analytics!$B$5:$B$154,"&lt;="&amp;DashEnd))</f>
        <v>0</v>
      </c>
      <c r="AC475" s="25">
        <f>IF(T475="","",SUMIFS(Analytics!$U$5:$U$154,Analytics!$D$5:$D$154,T475,Analytics!$B$5:$B$154,"&gt;="&amp;DashStart,Analytics!$B$5:$B$154,"&lt;="&amp;DashEnd))</f>
        <v>0</v>
      </c>
      <c r="AD475" s="23">
        <f>IF(T475="","",COUNTIFS('Content Calendar'!$G$5:$G$604,T475,'Content Calendar'!$B$5:$B$604,"&gt;="&amp;DATE(PlanYear,1,1),'Content Calendar'!$B$5:$B$604,"&lt;="&amp;DATE(PlanYear,12,31)))</f>
        <v>0</v>
      </c>
      <c r="AE475" s="23">
        <f>IF(T475="","",SUMIFS(Analytics!$J$5:$J$154,Analytics!$D$5:$D$154,T475))</f>
        <v>0</v>
      </c>
      <c r="AF475" s="23">
        <f>IF(T475="","",SUMIFS(Analytics!$L$5:$L$154,Analytics!$D$5:$D$154,T475))</f>
        <v>0</v>
      </c>
      <c r="AG475" s="24">
        <f>IF(OR(AE475="",AE475=0),"",AF475/AE475)</f>
        <v>0</v>
      </c>
      <c r="AH475" s="23">
        <f>IF(T475="","",SUMIFS(Analytics!$X$5:$X$154,Analytics!$D$5:$D$154,T475))</f>
        <v>0</v>
      </c>
      <c r="AI475" s="32">
        <f>IF(T475="","",IF(AE475=0,"",AE475+ROW()/1000000))</f>
        <v>0</v>
      </c>
      <c r="AJ475" s="17">
        <f>IF('Content Pillars'!$B$475="","",'Content Pillars'!$B$475)</f>
        <v>0</v>
      </c>
      <c r="AK475" s="23">
        <f>IF(AJ475="","",COUNTIFS('Content Calendar'!$J$5:$J$604,AJ475,'Content Calendar'!$B$5:$B$604,"&gt;="&amp;DATE(PlanYear,1,1),'Content Calendar'!$B$5:$B$604,"&lt;="&amp;DATE(PlanYear,12,31)))</f>
        <v>0</v>
      </c>
      <c r="AL475" s="23">
        <f>IF(AJ475="","",SUMIFS(Performance!$O$5:$O$404,Performance!$H$5:$H$404,AJ475))</f>
        <v>0</v>
      </c>
      <c r="AM475" s="23">
        <f>IF(AJ475="","",SUMIFS(Performance!$Z$5:$Z$404,Performance!$H$5:$H$404,AJ475))</f>
        <v>0</v>
      </c>
      <c r="AN475" s="24">
        <f>IF(OR(AL475="",AL475=0),"",AM475/AL475)</f>
        <v>0</v>
      </c>
      <c r="AO475" s="32">
        <f>IF(AN475="","",AN475+ROW()/1000000)</f>
        <v>0</v>
      </c>
      <c r="AP475" s="17">
        <f>IF(Lists!$E475="","",Lists!$E475)</f>
        <v>0</v>
      </c>
      <c r="AQ475" s="23">
        <f>IF(AP475="","",COUNTIF(Performance!$G$5:$G$404,AP475))</f>
        <v>0</v>
      </c>
      <c r="AR475" s="23">
        <f>IF(AP475="","",SUMIFS(Performance!$O$5:$O$404,Performance!$G$5:$G$404,AP475))</f>
        <v>0</v>
      </c>
      <c r="AS475" s="23">
        <f>IF(AP475="","",SUMIFS(Performance!$Z$5:$Z$404,Performance!$G$5:$G$404,AP475))</f>
        <v>0</v>
      </c>
      <c r="AT475" s="24">
        <f>IF(OR(AR475="",AR475=0),"",AS475/AR475)</f>
        <v>0</v>
      </c>
      <c r="AU475" s="32">
        <f>IF(AQ475=0,"",IF(AT475="","",AT475+ROW()/1000000))</f>
        <v>0</v>
      </c>
      <c r="AV475" s="17">
        <f>IF(ROW()-4&gt;7,"",TEXT(DATE(2024,1,ROW()-4),"ddd"))</f>
        <v>0</v>
      </c>
      <c r="AW475" s="23">
        <f>IF(AV475="","",COUNTIF(Performance!$N$5:$N$404,AV475))</f>
        <v>0</v>
      </c>
      <c r="AX475" s="23">
        <f>IF(AV475="","",SUMIFS(Performance!$O$5:$O$404,Performance!$N$5:$N$404,AV475))</f>
        <v>0</v>
      </c>
      <c r="AY475" s="23">
        <f>IF(AV475="","",SUMIFS(Performance!$Z$5:$Z$404,Performance!$N$5:$N$404,AV475))</f>
        <v>0</v>
      </c>
      <c r="AZ475" s="24">
        <f>IF(OR(AX475="",AX475=0),"",AY475/AX475)</f>
        <v>0</v>
      </c>
      <c r="BA475" s="32">
        <f>IF(AW475=0,"",IF(AZ475="","",AZ475+ROW()/1000000))</f>
        <v>0</v>
      </c>
      <c r="BB475" s="17">
        <f>IF(Lists!$AL475="","",Lists!$AL475)</f>
        <v>0</v>
      </c>
      <c r="BC475" s="23">
        <f>IF(BB475="","",COUNTIF(Performance!$M$5:$M$404,BB475))</f>
        <v>0</v>
      </c>
      <c r="BD475" s="23">
        <f>IF(BB475="","",SUMIFS(Performance!$O$5:$O$404,Performance!$M$5:$M$404,BB475))</f>
        <v>0</v>
      </c>
      <c r="BE475" s="23">
        <f>IF(BB475="","",SUMIFS(Performance!$Z$5:$Z$404,Performance!$M$5:$M$404,BB475))</f>
        <v>0</v>
      </c>
      <c r="BF475" s="24">
        <f>IF(OR(BD475="",BD475=0),"",BE475/BD475)</f>
        <v>0</v>
      </c>
      <c r="BG475" s="32">
        <f>IF(BC475=0,"",IF(BF475="","",BF475+ROW()/1000000))</f>
        <v>0</v>
      </c>
      <c r="BH475" s="17">
        <f>IF(Performance!$C$475="","",Performance!$C$475)</f>
        <v>0</v>
      </c>
      <c r="BI475" s="17">
        <f>IF(Performance!$F$475="","",Performance!$F$475)</f>
        <v>0</v>
      </c>
      <c r="BJ475" s="17">
        <f>IF(Performance!$H$475="","",Performance!$H$475)</f>
        <v>0</v>
      </c>
      <c r="BK475" s="16">
        <f>IF(Performance!$D$475="","",Performance!$D$475)</f>
        <v>0</v>
      </c>
      <c r="BL475" s="17">
        <f>IF(Performance!$E$475="","",Performance!$E$475)</f>
        <v>0</v>
      </c>
      <c r="BM475" s="23">
        <f>IF(Performance!$O$475="","",Performance!$O$475)</f>
        <v>0</v>
      </c>
      <c r="BN475" s="24">
        <f>IF(Performance!$AA$475="","",Performance!$AA$475)</f>
        <v>0</v>
      </c>
      <c r="BO475" s="32">
        <f>IF(BH475="","",IF(BK475="","",IF(OR(BK475&lt;DashStart,BK475&gt;DashEnd),"",IF(BN475="","",BN475+ROW()/1000000))))</f>
        <v>0</v>
      </c>
      <c r="BP475" s="32">
        <f>IF(BM475="","",IF(BK475="","",IF(OR(BK475&lt;DashStart,BK475&gt;DashEnd),"",BM475+ROW()/1000000)))</f>
        <v>0</v>
      </c>
      <c r="BQ475" s="32">
        <f>IF(BH475="","",IF(BK475="","",IF(YEAR(BK475)&lt;&gt;PlanYear,"",IF(BN475="","",BN475+ROW()/1000000))))</f>
        <v>0</v>
      </c>
      <c r="BR475" s="32">
        <f>IF(BH475="","",IF(BK475="","",IF(OR(BK475&lt;RepFrom,BK475&gt;RepTo),"",IF(BN475="","",BN475+ROW()/1000000))))</f>
        <v>0</v>
      </c>
      <c r="BS475" s="32">
        <f>IF(BM475="","",IF(BK475="","",IF(YEAR(BK475)&lt;&gt;PlanYear,"",BM475+ROW()/1000000)))</f>
        <v>0</v>
      </c>
      <c r="BT475" s="17">
        <f>IF(Lists!$F475="","",Lists!$F475)</f>
        <v>0</v>
      </c>
      <c r="BU475" s="23">
        <f>IF(BT475="","",COUNTIF('Content Calendar'!$X$5:$X$604,BT475))</f>
        <v>0</v>
      </c>
      <c r="BV475" s="23">
        <f>IF(BT475="","",COUNTIFS('Content Calendar'!$X$5:$X$604,BT475,'Content Calendar'!$B$5:$B$604,"&gt;="&amp;DashStart,'Content Calendar'!$B$5:$B$604,"&lt;="&amp;DashEnd))</f>
        <v>0</v>
      </c>
      <c r="BW475" s="17">
        <f>IF(Team!$B$475="","",Team!$B$475)</f>
        <v>0</v>
      </c>
      <c r="BX475" s="23">
        <f>IF(BW475="","",COUNTIF('Content Calendar'!$W$5:$W$604,BW475))</f>
        <v>0</v>
      </c>
      <c r="BY475" s="23">
        <f>IF(BW475="","",COUNTIFS('Content Calendar'!$W$5:$W$604,BW475,'Content Calendar'!$X$5:$X$604,"&lt;&gt;Published"))</f>
        <v>0</v>
      </c>
      <c r="BZ475" s="23">
        <f>IF(BW475="","",COUNTIFS(Tasks!$C$5:$C$64,BW475,Tasks!$G$5:$G$64,"&lt;&gt;Complete"))</f>
        <v>0</v>
      </c>
      <c r="CA475" s="17">
        <f>IF(Campaigns!$B$475="","",Campaigns!$B$475)</f>
        <v>0</v>
      </c>
      <c r="CB475" s="25">
        <f>IF(Campaigns!$T$475="","",Campaigns!$T$475)</f>
        <v>0</v>
      </c>
      <c r="CC475" s="25">
        <f>IF(Campaigns!$Q$475="","",Campaigns!$Q$475)</f>
        <v>0</v>
      </c>
      <c r="CD475" s="23">
        <f>IF(Campaigns!$Y$475="","",Campaigns!$Y$475)</f>
        <v>0</v>
      </c>
      <c r="CE475" s="32">
        <f>IF(CA475="","",IF(N(CB475)&lt;=0,"",N(CB475)+ROW()/1000000))</f>
        <v>0</v>
      </c>
      <c r="CF475" s="17">
        <f>IF(Accounts!$C$475="","",Accounts!$C$475)</f>
        <v>0</v>
      </c>
      <c r="CG475" s="17">
        <f>IF(Accounts!$B$475="","",Accounts!$B$475)</f>
        <v>0</v>
      </c>
      <c r="CH475" s="23">
        <f>IF(Accounts!$J$475="","",Accounts!$J$475)</f>
        <v>0</v>
      </c>
      <c r="CI475" s="23">
        <f>IF(CF475="","",SUMIFS(Analytics!$X$5:$X$154,Analytics!$E$5:$E$154,CF475,Analytics!$B$5:$B$154,"&gt;="&amp;DashStart,Analytics!$B$5:$B$154,"&lt;="&amp;DashEnd))</f>
        <v>0</v>
      </c>
      <c r="CJ475" s="32">
        <f>IF(CH475="","",IF(CH475=0,"",CH475+ROW()/1000000))</f>
        <v>0</v>
      </c>
    </row>
    <row r="476" spans="1:88">
      <c r="A476" s="16">
        <f>IF(ROW()-4&gt;12,"",DATE(PlanYear,ROW()-4,1))</f>
        <v>0</v>
      </c>
      <c r="B476" s="16">
        <f>IF(A476="","",EOMONTH(A476,0))</f>
        <v>0</v>
      </c>
      <c r="C476" s="17">
        <f>IF(A476="","",TEXT(A476,"yyyy-mm"))</f>
        <v>0</v>
      </c>
      <c r="D476" s="17">
        <f>IF(A476="","",TEXT(A476,"mmm"))</f>
        <v>0</v>
      </c>
      <c r="E476" s="23">
        <f>IF(C476="","",COUNTIFS('Content Calendar'!$D$5:$D$604,C476))</f>
        <v>0</v>
      </c>
      <c r="F476" s="23">
        <f>IF(C476="","",COUNTIFS('Content Calendar'!$D$5:$D$604,C476,'Content Calendar'!$X$5:$X$604,"Published"))</f>
        <v>0</v>
      </c>
      <c r="G476" s="23">
        <f>IF(C476="","",SUMIFS(Analytics!$J$5:$J$154,Analytics!$C$5:$C$154,C476))</f>
        <v>0</v>
      </c>
      <c r="H476" s="23">
        <f>IF(C476="","",SUMIFS(Analytics!$K$5:$K$154,Analytics!$C$5:$C$154,C476))</f>
        <v>0</v>
      </c>
      <c r="I476" s="23">
        <f>IF(C476="","",SUMIFS(Analytics!$L$5:$L$154,Analytics!$C$5:$C$154,C476))</f>
        <v>0</v>
      </c>
      <c r="J476" s="24">
        <f>IF(OR(G476="",G476=0),"",I476/G476)</f>
        <v>0</v>
      </c>
      <c r="K476" s="23">
        <f>IF(C476="","",SUMIFS(Analytics!$G$5:$G$154,Analytics!$C$5:$C$154,C476))</f>
        <v>0</v>
      </c>
      <c r="L476" s="23">
        <f>IF(C476="","",SUMIFS(Analytics!$X$5:$X$154,Analytics!$C$5:$C$154,C476))</f>
        <v>0</v>
      </c>
      <c r="M476" s="23">
        <f>IF(C476="","",SUMIFS(Analytics!$R$5:$R$154,Analytics!$C$5:$C$154,C476))</f>
        <v>0</v>
      </c>
      <c r="N476" s="23">
        <f>IF(C476="","",SUMIFS(Analytics!$S$5:$S$154,Analytics!$C$5:$C$154,C476))</f>
        <v>0</v>
      </c>
      <c r="O476" s="23">
        <f>IF(C476="","",SUMIFS(Analytics!$T$5:$T$154,Analytics!$C$5:$C$154,C476))</f>
        <v>0</v>
      </c>
      <c r="P476" s="25">
        <f>IF(C476="","",SUMIFS(Analytics!$U$5:$U$154,Analytics!$C$5:$C$154,C476))</f>
        <v>0</v>
      </c>
      <c r="Q476" s="25">
        <f>IF(C476="","",SUMIFS(Budget!$H$5:$H$64,Budget!$C$5:$C$64,C476))</f>
        <v>0</v>
      </c>
      <c r="R476" s="25">
        <f>IF(C476="","",P476-Q476)</f>
        <v>0</v>
      </c>
      <c r="S476" s="23">
        <f>IF(C476="","",MonthlyPostTarget)</f>
        <v>0</v>
      </c>
      <c r="T476" s="17">
        <f>IF(Lists!$C476="","",Lists!$C476)</f>
        <v>0</v>
      </c>
      <c r="U476" s="23">
        <f>IF(T476="","",COUNTIFS('Content Calendar'!$G$5:$G$604,T476,'Content Calendar'!$B$5:$B$604,"&gt;="&amp;DashStart,'Content Calendar'!$B$5:$B$604,"&lt;="&amp;DashEnd))</f>
        <v>0</v>
      </c>
      <c r="V476" s="23">
        <f>IF(T476="","",COUNTIFS('Content Calendar'!$G$5:$G$604,T476,'Content Calendar'!$X$5:$X$604,"Published",'Content Calendar'!$B$5:$B$604,"&gt;="&amp;DashStart,'Content Calendar'!$B$5:$B$604,"&lt;="&amp;DashEnd))</f>
        <v>0</v>
      </c>
      <c r="W476" s="23">
        <f>IF(T476="","",SUMIFS(Analytics!$J$5:$J$154,Analytics!$D$5:$D$154,T476,Analytics!$B$5:$B$154,"&gt;="&amp;DashStart,Analytics!$B$5:$B$154,"&lt;="&amp;DashEnd))</f>
        <v>0</v>
      </c>
      <c r="X476" s="23">
        <f>IF(T476="","",SUMIFS(Analytics!$L$5:$L$154,Analytics!$D$5:$D$154,T476,Analytics!$B$5:$B$154,"&gt;="&amp;DashStart,Analytics!$B$5:$B$154,"&lt;="&amp;DashEnd))</f>
        <v>0</v>
      </c>
      <c r="Y476" s="24">
        <f>IF(OR(W476="",W476=0),"",X476/W476)</f>
        <v>0</v>
      </c>
      <c r="Z476" s="23">
        <f>IF(T476="","",SUMIFS(Analytics!$G$5:$G$154,Analytics!$D$5:$D$154,T476,Analytics!$B$5:$B$154,"&gt;="&amp;DashStart,Analytics!$B$5:$B$154,"&lt;="&amp;DashEnd))</f>
        <v>0</v>
      </c>
      <c r="AA476" s="23">
        <f>IF(T476="","",SUMIFS(Analytics!$X$5:$X$154,Analytics!$D$5:$D$154,T476,Analytics!$B$5:$B$154,"&gt;="&amp;DashStart,Analytics!$B$5:$B$154,"&lt;="&amp;DashEnd))</f>
        <v>0</v>
      </c>
      <c r="AB476" s="23">
        <f>IF(T476="","",SUMIFS(Analytics!$R$5:$R$154,Analytics!$D$5:$D$154,T476,Analytics!$B$5:$B$154,"&gt;="&amp;DashStart,Analytics!$B$5:$B$154,"&lt;="&amp;DashEnd))</f>
        <v>0</v>
      </c>
      <c r="AC476" s="25">
        <f>IF(T476="","",SUMIFS(Analytics!$U$5:$U$154,Analytics!$D$5:$D$154,T476,Analytics!$B$5:$B$154,"&gt;="&amp;DashStart,Analytics!$B$5:$B$154,"&lt;="&amp;DashEnd))</f>
        <v>0</v>
      </c>
      <c r="AD476" s="23">
        <f>IF(T476="","",COUNTIFS('Content Calendar'!$G$5:$G$604,T476,'Content Calendar'!$B$5:$B$604,"&gt;="&amp;DATE(PlanYear,1,1),'Content Calendar'!$B$5:$B$604,"&lt;="&amp;DATE(PlanYear,12,31)))</f>
        <v>0</v>
      </c>
      <c r="AE476" s="23">
        <f>IF(T476="","",SUMIFS(Analytics!$J$5:$J$154,Analytics!$D$5:$D$154,T476))</f>
        <v>0</v>
      </c>
      <c r="AF476" s="23">
        <f>IF(T476="","",SUMIFS(Analytics!$L$5:$L$154,Analytics!$D$5:$D$154,T476))</f>
        <v>0</v>
      </c>
      <c r="AG476" s="24">
        <f>IF(OR(AE476="",AE476=0),"",AF476/AE476)</f>
        <v>0</v>
      </c>
      <c r="AH476" s="23">
        <f>IF(T476="","",SUMIFS(Analytics!$X$5:$X$154,Analytics!$D$5:$D$154,T476))</f>
        <v>0</v>
      </c>
      <c r="AI476" s="32">
        <f>IF(T476="","",IF(AE476=0,"",AE476+ROW()/1000000))</f>
        <v>0</v>
      </c>
      <c r="AJ476" s="17">
        <f>IF('Content Pillars'!$B$476="","",'Content Pillars'!$B$476)</f>
        <v>0</v>
      </c>
      <c r="AK476" s="23">
        <f>IF(AJ476="","",COUNTIFS('Content Calendar'!$J$5:$J$604,AJ476,'Content Calendar'!$B$5:$B$604,"&gt;="&amp;DATE(PlanYear,1,1),'Content Calendar'!$B$5:$B$604,"&lt;="&amp;DATE(PlanYear,12,31)))</f>
        <v>0</v>
      </c>
      <c r="AL476" s="23">
        <f>IF(AJ476="","",SUMIFS(Performance!$O$5:$O$404,Performance!$H$5:$H$404,AJ476))</f>
        <v>0</v>
      </c>
      <c r="AM476" s="23">
        <f>IF(AJ476="","",SUMIFS(Performance!$Z$5:$Z$404,Performance!$H$5:$H$404,AJ476))</f>
        <v>0</v>
      </c>
      <c r="AN476" s="24">
        <f>IF(OR(AL476="",AL476=0),"",AM476/AL476)</f>
        <v>0</v>
      </c>
      <c r="AO476" s="32">
        <f>IF(AN476="","",AN476+ROW()/1000000)</f>
        <v>0</v>
      </c>
      <c r="AP476" s="17">
        <f>IF(Lists!$E476="","",Lists!$E476)</f>
        <v>0</v>
      </c>
      <c r="AQ476" s="23">
        <f>IF(AP476="","",COUNTIF(Performance!$G$5:$G$404,AP476))</f>
        <v>0</v>
      </c>
      <c r="AR476" s="23">
        <f>IF(AP476="","",SUMIFS(Performance!$O$5:$O$404,Performance!$G$5:$G$404,AP476))</f>
        <v>0</v>
      </c>
      <c r="AS476" s="23">
        <f>IF(AP476="","",SUMIFS(Performance!$Z$5:$Z$404,Performance!$G$5:$G$404,AP476))</f>
        <v>0</v>
      </c>
      <c r="AT476" s="24">
        <f>IF(OR(AR476="",AR476=0),"",AS476/AR476)</f>
        <v>0</v>
      </c>
      <c r="AU476" s="32">
        <f>IF(AQ476=0,"",IF(AT476="","",AT476+ROW()/1000000))</f>
        <v>0</v>
      </c>
      <c r="AV476" s="17">
        <f>IF(ROW()-4&gt;7,"",TEXT(DATE(2024,1,ROW()-4),"ddd"))</f>
        <v>0</v>
      </c>
      <c r="AW476" s="23">
        <f>IF(AV476="","",COUNTIF(Performance!$N$5:$N$404,AV476))</f>
        <v>0</v>
      </c>
      <c r="AX476" s="23">
        <f>IF(AV476="","",SUMIFS(Performance!$O$5:$O$404,Performance!$N$5:$N$404,AV476))</f>
        <v>0</v>
      </c>
      <c r="AY476" s="23">
        <f>IF(AV476="","",SUMIFS(Performance!$Z$5:$Z$404,Performance!$N$5:$N$404,AV476))</f>
        <v>0</v>
      </c>
      <c r="AZ476" s="24">
        <f>IF(OR(AX476="",AX476=0),"",AY476/AX476)</f>
        <v>0</v>
      </c>
      <c r="BA476" s="32">
        <f>IF(AW476=0,"",IF(AZ476="","",AZ476+ROW()/1000000))</f>
        <v>0</v>
      </c>
      <c r="BB476" s="17">
        <f>IF(Lists!$AL476="","",Lists!$AL476)</f>
        <v>0</v>
      </c>
      <c r="BC476" s="23">
        <f>IF(BB476="","",COUNTIF(Performance!$M$5:$M$404,BB476))</f>
        <v>0</v>
      </c>
      <c r="BD476" s="23">
        <f>IF(BB476="","",SUMIFS(Performance!$O$5:$O$404,Performance!$M$5:$M$404,BB476))</f>
        <v>0</v>
      </c>
      <c r="BE476" s="23">
        <f>IF(BB476="","",SUMIFS(Performance!$Z$5:$Z$404,Performance!$M$5:$M$404,BB476))</f>
        <v>0</v>
      </c>
      <c r="BF476" s="24">
        <f>IF(OR(BD476="",BD476=0),"",BE476/BD476)</f>
        <v>0</v>
      </c>
      <c r="BG476" s="32">
        <f>IF(BC476=0,"",IF(BF476="","",BF476+ROW()/1000000))</f>
        <v>0</v>
      </c>
      <c r="BH476" s="17">
        <f>IF(Performance!$C$476="","",Performance!$C$476)</f>
        <v>0</v>
      </c>
      <c r="BI476" s="17">
        <f>IF(Performance!$F$476="","",Performance!$F$476)</f>
        <v>0</v>
      </c>
      <c r="BJ476" s="17">
        <f>IF(Performance!$H$476="","",Performance!$H$476)</f>
        <v>0</v>
      </c>
      <c r="BK476" s="16">
        <f>IF(Performance!$D$476="","",Performance!$D$476)</f>
        <v>0</v>
      </c>
      <c r="BL476" s="17">
        <f>IF(Performance!$E$476="","",Performance!$E$476)</f>
        <v>0</v>
      </c>
      <c r="BM476" s="23">
        <f>IF(Performance!$O$476="","",Performance!$O$476)</f>
        <v>0</v>
      </c>
      <c r="BN476" s="24">
        <f>IF(Performance!$AA$476="","",Performance!$AA$476)</f>
        <v>0</v>
      </c>
      <c r="BO476" s="32">
        <f>IF(BH476="","",IF(BK476="","",IF(OR(BK476&lt;DashStart,BK476&gt;DashEnd),"",IF(BN476="","",BN476+ROW()/1000000))))</f>
        <v>0</v>
      </c>
      <c r="BP476" s="32">
        <f>IF(BM476="","",IF(BK476="","",IF(OR(BK476&lt;DashStart,BK476&gt;DashEnd),"",BM476+ROW()/1000000)))</f>
        <v>0</v>
      </c>
      <c r="BQ476" s="32">
        <f>IF(BH476="","",IF(BK476="","",IF(YEAR(BK476)&lt;&gt;PlanYear,"",IF(BN476="","",BN476+ROW()/1000000))))</f>
        <v>0</v>
      </c>
      <c r="BR476" s="32">
        <f>IF(BH476="","",IF(BK476="","",IF(OR(BK476&lt;RepFrom,BK476&gt;RepTo),"",IF(BN476="","",BN476+ROW()/1000000))))</f>
        <v>0</v>
      </c>
      <c r="BS476" s="32">
        <f>IF(BM476="","",IF(BK476="","",IF(YEAR(BK476)&lt;&gt;PlanYear,"",BM476+ROW()/1000000)))</f>
        <v>0</v>
      </c>
      <c r="BT476" s="17">
        <f>IF(Lists!$F476="","",Lists!$F476)</f>
        <v>0</v>
      </c>
      <c r="BU476" s="23">
        <f>IF(BT476="","",COUNTIF('Content Calendar'!$X$5:$X$604,BT476))</f>
        <v>0</v>
      </c>
      <c r="BV476" s="23">
        <f>IF(BT476="","",COUNTIFS('Content Calendar'!$X$5:$X$604,BT476,'Content Calendar'!$B$5:$B$604,"&gt;="&amp;DashStart,'Content Calendar'!$B$5:$B$604,"&lt;="&amp;DashEnd))</f>
        <v>0</v>
      </c>
      <c r="BW476" s="17">
        <f>IF(Team!$B$476="","",Team!$B$476)</f>
        <v>0</v>
      </c>
      <c r="BX476" s="23">
        <f>IF(BW476="","",COUNTIF('Content Calendar'!$W$5:$W$604,BW476))</f>
        <v>0</v>
      </c>
      <c r="BY476" s="23">
        <f>IF(BW476="","",COUNTIFS('Content Calendar'!$W$5:$W$604,BW476,'Content Calendar'!$X$5:$X$604,"&lt;&gt;Published"))</f>
        <v>0</v>
      </c>
      <c r="BZ476" s="23">
        <f>IF(BW476="","",COUNTIFS(Tasks!$C$5:$C$64,BW476,Tasks!$G$5:$G$64,"&lt;&gt;Complete"))</f>
        <v>0</v>
      </c>
      <c r="CA476" s="17">
        <f>IF(Campaigns!$B$476="","",Campaigns!$B$476)</f>
        <v>0</v>
      </c>
      <c r="CB476" s="25">
        <f>IF(Campaigns!$T$476="","",Campaigns!$T$476)</f>
        <v>0</v>
      </c>
      <c r="CC476" s="25">
        <f>IF(Campaigns!$Q$476="","",Campaigns!$Q$476)</f>
        <v>0</v>
      </c>
      <c r="CD476" s="23">
        <f>IF(Campaigns!$Y$476="","",Campaigns!$Y$476)</f>
        <v>0</v>
      </c>
      <c r="CE476" s="32">
        <f>IF(CA476="","",IF(N(CB476)&lt;=0,"",N(CB476)+ROW()/1000000))</f>
        <v>0</v>
      </c>
      <c r="CF476" s="17">
        <f>IF(Accounts!$C$476="","",Accounts!$C$476)</f>
        <v>0</v>
      </c>
      <c r="CG476" s="17">
        <f>IF(Accounts!$B$476="","",Accounts!$B$476)</f>
        <v>0</v>
      </c>
      <c r="CH476" s="23">
        <f>IF(Accounts!$J$476="","",Accounts!$J$476)</f>
        <v>0</v>
      </c>
      <c r="CI476" s="23">
        <f>IF(CF476="","",SUMIFS(Analytics!$X$5:$X$154,Analytics!$E$5:$E$154,CF476,Analytics!$B$5:$B$154,"&gt;="&amp;DashStart,Analytics!$B$5:$B$154,"&lt;="&amp;DashEnd))</f>
        <v>0</v>
      </c>
      <c r="CJ476" s="32">
        <f>IF(CH476="","",IF(CH476=0,"",CH476+ROW()/1000000))</f>
        <v>0</v>
      </c>
    </row>
    <row r="477" spans="1:88">
      <c r="A477" s="16">
        <f>IF(ROW()-4&gt;12,"",DATE(PlanYear,ROW()-4,1))</f>
        <v>0</v>
      </c>
      <c r="B477" s="16">
        <f>IF(A477="","",EOMONTH(A477,0))</f>
        <v>0</v>
      </c>
      <c r="C477" s="17">
        <f>IF(A477="","",TEXT(A477,"yyyy-mm"))</f>
        <v>0</v>
      </c>
      <c r="D477" s="17">
        <f>IF(A477="","",TEXT(A477,"mmm"))</f>
        <v>0</v>
      </c>
      <c r="E477" s="23">
        <f>IF(C477="","",COUNTIFS('Content Calendar'!$D$5:$D$604,C477))</f>
        <v>0</v>
      </c>
      <c r="F477" s="23">
        <f>IF(C477="","",COUNTIFS('Content Calendar'!$D$5:$D$604,C477,'Content Calendar'!$X$5:$X$604,"Published"))</f>
        <v>0</v>
      </c>
      <c r="G477" s="23">
        <f>IF(C477="","",SUMIFS(Analytics!$J$5:$J$154,Analytics!$C$5:$C$154,C477))</f>
        <v>0</v>
      </c>
      <c r="H477" s="23">
        <f>IF(C477="","",SUMIFS(Analytics!$K$5:$K$154,Analytics!$C$5:$C$154,C477))</f>
        <v>0</v>
      </c>
      <c r="I477" s="23">
        <f>IF(C477="","",SUMIFS(Analytics!$L$5:$L$154,Analytics!$C$5:$C$154,C477))</f>
        <v>0</v>
      </c>
      <c r="J477" s="24">
        <f>IF(OR(G477="",G477=0),"",I477/G477)</f>
        <v>0</v>
      </c>
      <c r="K477" s="23">
        <f>IF(C477="","",SUMIFS(Analytics!$G$5:$G$154,Analytics!$C$5:$C$154,C477))</f>
        <v>0</v>
      </c>
      <c r="L477" s="23">
        <f>IF(C477="","",SUMIFS(Analytics!$X$5:$X$154,Analytics!$C$5:$C$154,C477))</f>
        <v>0</v>
      </c>
      <c r="M477" s="23">
        <f>IF(C477="","",SUMIFS(Analytics!$R$5:$R$154,Analytics!$C$5:$C$154,C477))</f>
        <v>0</v>
      </c>
      <c r="N477" s="23">
        <f>IF(C477="","",SUMIFS(Analytics!$S$5:$S$154,Analytics!$C$5:$C$154,C477))</f>
        <v>0</v>
      </c>
      <c r="O477" s="23">
        <f>IF(C477="","",SUMIFS(Analytics!$T$5:$T$154,Analytics!$C$5:$C$154,C477))</f>
        <v>0</v>
      </c>
      <c r="P477" s="25">
        <f>IF(C477="","",SUMIFS(Analytics!$U$5:$U$154,Analytics!$C$5:$C$154,C477))</f>
        <v>0</v>
      </c>
      <c r="Q477" s="25">
        <f>IF(C477="","",SUMIFS(Budget!$H$5:$H$64,Budget!$C$5:$C$64,C477))</f>
        <v>0</v>
      </c>
      <c r="R477" s="25">
        <f>IF(C477="","",P477-Q477)</f>
        <v>0</v>
      </c>
      <c r="S477" s="23">
        <f>IF(C477="","",MonthlyPostTarget)</f>
        <v>0</v>
      </c>
      <c r="T477" s="17">
        <f>IF(Lists!$C477="","",Lists!$C477)</f>
        <v>0</v>
      </c>
      <c r="U477" s="23">
        <f>IF(T477="","",COUNTIFS('Content Calendar'!$G$5:$G$604,T477,'Content Calendar'!$B$5:$B$604,"&gt;="&amp;DashStart,'Content Calendar'!$B$5:$B$604,"&lt;="&amp;DashEnd))</f>
        <v>0</v>
      </c>
      <c r="V477" s="23">
        <f>IF(T477="","",COUNTIFS('Content Calendar'!$G$5:$G$604,T477,'Content Calendar'!$X$5:$X$604,"Published",'Content Calendar'!$B$5:$B$604,"&gt;="&amp;DashStart,'Content Calendar'!$B$5:$B$604,"&lt;="&amp;DashEnd))</f>
        <v>0</v>
      </c>
      <c r="W477" s="23">
        <f>IF(T477="","",SUMIFS(Analytics!$J$5:$J$154,Analytics!$D$5:$D$154,T477,Analytics!$B$5:$B$154,"&gt;="&amp;DashStart,Analytics!$B$5:$B$154,"&lt;="&amp;DashEnd))</f>
        <v>0</v>
      </c>
      <c r="X477" s="23">
        <f>IF(T477="","",SUMIFS(Analytics!$L$5:$L$154,Analytics!$D$5:$D$154,T477,Analytics!$B$5:$B$154,"&gt;="&amp;DashStart,Analytics!$B$5:$B$154,"&lt;="&amp;DashEnd))</f>
        <v>0</v>
      </c>
      <c r="Y477" s="24">
        <f>IF(OR(W477="",W477=0),"",X477/W477)</f>
        <v>0</v>
      </c>
      <c r="Z477" s="23">
        <f>IF(T477="","",SUMIFS(Analytics!$G$5:$G$154,Analytics!$D$5:$D$154,T477,Analytics!$B$5:$B$154,"&gt;="&amp;DashStart,Analytics!$B$5:$B$154,"&lt;="&amp;DashEnd))</f>
        <v>0</v>
      </c>
      <c r="AA477" s="23">
        <f>IF(T477="","",SUMIFS(Analytics!$X$5:$X$154,Analytics!$D$5:$D$154,T477,Analytics!$B$5:$B$154,"&gt;="&amp;DashStart,Analytics!$B$5:$B$154,"&lt;="&amp;DashEnd))</f>
        <v>0</v>
      </c>
      <c r="AB477" s="23">
        <f>IF(T477="","",SUMIFS(Analytics!$R$5:$R$154,Analytics!$D$5:$D$154,T477,Analytics!$B$5:$B$154,"&gt;="&amp;DashStart,Analytics!$B$5:$B$154,"&lt;="&amp;DashEnd))</f>
        <v>0</v>
      </c>
      <c r="AC477" s="25">
        <f>IF(T477="","",SUMIFS(Analytics!$U$5:$U$154,Analytics!$D$5:$D$154,T477,Analytics!$B$5:$B$154,"&gt;="&amp;DashStart,Analytics!$B$5:$B$154,"&lt;="&amp;DashEnd))</f>
        <v>0</v>
      </c>
      <c r="AD477" s="23">
        <f>IF(T477="","",COUNTIFS('Content Calendar'!$G$5:$G$604,T477,'Content Calendar'!$B$5:$B$604,"&gt;="&amp;DATE(PlanYear,1,1),'Content Calendar'!$B$5:$B$604,"&lt;="&amp;DATE(PlanYear,12,31)))</f>
        <v>0</v>
      </c>
      <c r="AE477" s="23">
        <f>IF(T477="","",SUMIFS(Analytics!$J$5:$J$154,Analytics!$D$5:$D$154,T477))</f>
        <v>0</v>
      </c>
      <c r="AF477" s="23">
        <f>IF(T477="","",SUMIFS(Analytics!$L$5:$L$154,Analytics!$D$5:$D$154,T477))</f>
        <v>0</v>
      </c>
      <c r="AG477" s="24">
        <f>IF(OR(AE477="",AE477=0),"",AF477/AE477)</f>
        <v>0</v>
      </c>
      <c r="AH477" s="23">
        <f>IF(T477="","",SUMIFS(Analytics!$X$5:$X$154,Analytics!$D$5:$D$154,T477))</f>
        <v>0</v>
      </c>
      <c r="AI477" s="32">
        <f>IF(T477="","",IF(AE477=0,"",AE477+ROW()/1000000))</f>
        <v>0</v>
      </c>
      <c r="AJ477" s="17">
        <f>IF('Content Pillars'!$B$477="","",'Content Pillars'!$B$477)</f>
        <v>0</v>
      </c>
      <c r="AK477" s="23">
        <f>IF(AJ477="","",COUNTIFS('Content Calendar'!$J$5:$J$604,AJ477,'Content Calendar'!$B$5:$B$604,"&gt;="&amp;DATE(PlanYear,1,1),'Content Calendar'!$B$5:$B$604,"&lt;="&amp;DATE(PlanYear,12,31)))</f>
        <v>0</v>
      </c>
      <c r="AL477" s="23">
        <f>IF(AJ477="","",SUMIFS(Performance!$O$5:$O$404,Performance!$H$5:$H$404,AJ477))</f>
        <v>0</v>
      </c>
      <c r="AM477" s="23">
        <f>IF(AJ477="","",SUMIFS(Performance!$Z$5:$Z$404,Performance!$H$5:$H$404,AJ477))</f>
        <v>0</v>
      </c>
      <c r="AN477" s="24">
        <f>IF(OR(AL477="",AL477=0),"",AM477/AL477)</f>
        <v>0</v>
      </c>
      <c r="AO477" s="32">
        <f>IF(AN477="","",AN477+ROW()/1000000)</f>
        <v>0</v>
      </c>
      <c r="AP477" s="17">
        <f>IF(Lists!$E477="","",Lists!$E477)</f>
        <v>0</v>
      </c>
      <c r="AQ477" s="23">
        <f>IF(AP477="","",COUNTIF(Performance!$G$5:$G$404,AP477))</f>
        <v>0</v>
      </c>
      <c r="AR477" s="23">
        <f>IF(AP477="","",SUMIFS(Performance!$O$5:$O$404,Performance!$G$5:$G$404,AP477))</f>
        <v>0</v>
      </c>
      <c r="AS477" s="23">
        <f>IF(AP477="","",SUMIFS(Performance!$Z$5:$Z$404,Performance!$G$5:$G$404,AP477))</f>
        <v>0</v>
      </c>
      <c r="AT477" s="24">
        <f>IF(OR(AR477="",AR477=0),"",AS477/AR477)</f>
        <v>0</v>
      </c>
      <c r="AU477" s="32">
        <f>IF(AQ477=0,"",IF(AT477="","",AT477+ROW()/1000000))</f>
        <v>0</v>
      </c>
      <c r="AV477" s="17">
        <f>IF(ROW()-4&gt;7,"",TEXT(DATE(2024,1,ROW()-4),"ddd"))</f>
        <v>0</v>
      </c>
      <c r="AW477" s="23">
        <f>IF(AV477="","",COUNTIF(Performance!$N$5:$N$404,AV477))</f>
        <v>0</v>
      </c>
      <c r="AX477" s="23">
        <f>IF(AV477="","",SUMIFS(Performance!$O$5:$O$404,Performance!$N$5:$N$404,AV477))</f>
        <v>0</v>
      </c>
      <c r="AY477" s="23">
        <f>IF(AV477="","",SUMIFS(Performance!$Z$5:$Z$404,Performance!$N$5:$N$404,AV477))</f>
        <v>0</v>
      </c>
      <c r="AZ477" s="24">
        <f>IF(OR(AX477="",AX477=0),"",AY477/AX477)</f>
        <v>0</v>
      </c>
      <c r="BA477" s="32">
        <f>IF(AW477=0,"",IF(AZ477="","",AZ477+ROW()/1000000))</f>
        <v>0</v>
      </c>
      <c r="BB477" s="17">
        <f>IF(Lists!$AL477="","",Lists!$AL477)</f>
        <v>0</v>
      </c>
      <c r="BC477" s="23">
        <f>IF(BB477="","",COUNTIF(Performance!$M$5:$M$404,BB477))</f>
        <v>0</v>
      </c>
      <c r="BD477" s="23">
        <f>IF(BB477="","",SUMIFS(Performance!$O$5:$O$404,Performance!$M$5:$M$404,BB477))</f>
        <v>0</v>
      </c>
      <c r="BE477" s="23">
        <f>IF(BB477="","",SUMIFS(Performance!$Z$5:$Z$404,Performance!$M$5:$M$404,BB477))</f>
        <v>0</v>
      </c>
      <c r="BF477" s="24">
        <f>IF(OR(BD477="",BD477=0),"",BE477/BD477)</f>
        <v>0</v>
      </c>
      <c r="BG477" s="32">
        <f>IF(BC477=0,"",IF(BF477="","",BF477+ROW()/1000000))</f>
        <v>0</v>
      </c>
      <c r="BH477" s="17">
        <f>IF(Performance!$C$477="","",Performance!$C$477)</f>
        <v>0</v>
      </c>
      <c r="BI477" s="17">
        <f>IF(Performance!$F$477="","",Performance!$F$477)</f>
        <v>0</v>
      </c>
      <c r="BJ477" s="17">
        <f>IF(Performance!$H$477="","",Performance!$H$477)</f>
        <v>0</v>
      </c>
      <c r="BK477" s="16">
        <f>IF(Performance!$D$477="","",Performance!$D$477)</f>
        <v>0</v>
      </c>
      <c r="BL477" s="17">
        <f>IF(Performance!$E$477="","",Performance!$E$477)</f>
        <v>0</v>
      </c>
      <c r="BM477" s="23">
        <f>IF(Performance!$O$477="","",Performance!$O$477)</f>
        <v>0</v>
      </c>
      <c r="BN477" s="24">
        <f>IF(Performance!$AA$477="","",Performance!$AA$477)</f>
        <v>0</v>
      </c>
      <c r="BO477" s="32">
        <f>IF(BH477="","",IF(BK477="","",IF(OR(BK477&lt;DashStart,BK477&gt;DashEnd),"",IF(BN477="","",BN477+ROW()/1000000))))</f>
        <v>0</v>
      </c>
      <c r="BP477" s="32">
        <f>IF(BM477="","",IF(BK477="","",IF(OR(BK477&lt;DashStart,BK477&gt;DashEnd),"",BM477+ROW()/1000000)))</f>
        <v>0</v>
      </c>
      <c r="BQ477" s="32">
        <f>IF(BH477="","",IF(BK477="","",IF(YEAR(BK477)&lt;&gt;PlanYear,"",IF(BN477="","",BN477+ROW()/1000000))))</f>
        <v>0</v>
      </c>
      <c r="BR477" s="32">
        <f>IF(BH477="","",IF(BK477="","",IF(OR(BK477&lt;RepFrom,BK477&gt;RepTo),"",IF(BN477="","",BN477+ROW()/1000000))))</f>
        <v>0</v>
      </c>
      <c r="BS477" s="32">
        <f>IF(BM477="","",IF(BK477="","",IF(YEAR(BK477)&lt;&gt;PlanYear,"",BM477+ROW()/1000000)))</f>
        <v>0</v>
      </c>
      <c r="BT477" s="17">
        <f>IF(Lists!$F477="","",Lists!$F477)</f>
        <v>0</v>
      </c>
      <c r="BU477" s="23">
        <f>IF(BT477="","",COUNTIF('Content Calendar'!$X$5:$X$604,BT477))</f>
        <v>0</v>
      </c>
      <c r="BV477" s="23">
        <f>IF(BT477="","",COUNTIFS('Content Calendar'!$X$5:$X$604,BT477,'Content Calendar'!$B$5:$B$604,"&gt;="&amp;DashStart,'Content Calendar'!$B$5:$B$604,"&lt;="&amp;DashEnd))</f>
        <v>0</v>
      </c>
      <c r="BW477" s="17">
        <f>IF(Team!$B$477="","",Team!$B$477)</f>
        <v>0</v>
      </c>
      <c r="BX477" s="23">
        <f>IF(BW477="","",COUNTIF('Content Calendar'!$W$5:$W$604,BW477))</f>
        <v>0</v>
      </c>
      <c r="BY477" s="23">
        <f>IF(BW477="","",COUNTIFS('Content Calendar'!$W$5:$W$604,BW477,'Content Calendar'!$X$5:$X$604,"&lt;&gt;Published"))</f>
        <v>0</v>
      </c>
      <c r="BZ477" s="23">
        <f>IF(BW477="","",COUNTIFS(Tasks!$C$5:$C$64,BW477,Tasks!$G$5:$G$64,"&lt;&gt;Complete"))</f>
        <v>0</v>
      </c>
      <c r="CA477" s="17">
        <f>IF(Campaigns!$B$477="","",Campaigns!$B$477)</f>
        <v>0</v>
      </c>
      <c r="CB477" s="25">
        <f>IF(Campaigns!$T$477="","",Campaigns!$T$477)</f>
        <v>0</v>
      </c>
      <c r="CC477" s="25">
        <f>IF(Campaigns!$Q$477="","",Campaigns!$Q$477)</f>
        <v>0</v>
      </c>
      <c r="CD477" s="23">
        <f>IF(Campaigns!$Y$477="","",Campaigns!$Y$477)</f>
        <v>0</v>
      </c>
      <c r="CE477" s="32">
        <f>IF(CA477="","",IF(N(CB477)&lt;=0,"",N(CB477)+ROW()/1000000))</f>
        <v>0</v>
      </c>
      <c r="CF477" s="17">
        <f>IF(Accounts!$C$477="","",Accounts!$C$477)</f>
        <v>0</v>
      </c>
      <c r="CG477" s="17">
        <f>IF(Accounts!$B$477="","",Accounts!$B$477)</f>
        <v>0</v>
      </c>
      <c r="CH477" s="23">
        <f>IF(Accounts!$J$477="","",Accounts!$J$477)</f>
        <v>0</v>
      </c>
      <c r="CI477" s="23">
        <f>IF(CF477="","",SUMIFS(Analytics!$X$5:$X$154,Analytics!$E$5:$E$154,CF477,Analytics!$B$5:$B$154,"&gt;="&amp;DashStart,Analytics!$B$5:$B$154,"&lt;="&amp;DashEnd))</f>
        <v>0</v>
      </c>
      <c r="CJ477" s="32">
        <f>IF(CH477="","",IF(CH477=0,"",CH477+ROW()/1000000))</f>
        <v>0</v>
      </c>
    </row>
    <row r="478" spans="1:88">
      <c r="A478" s="16">
        <f>IF(ROW()-4&gt;12,"",DATE(PlanYear,ROW()-4,1))</f>
        <v>0</v>
      </c>
      <c r="B478" s="16">
        <f>IF(A478="","",EOMONTH(A478,0))</f>
        <v>0</v>
      </c>
      <c r="C478" s="17">
        <f>IF(A478="","",TEXT(A478,"yyyy-mm"))</f>
        <v>0</v>
      </c>
      <c r="D478" s="17">
        <f>IF(A478="","",TEXT(A478,"mmm"))</f>
        <v>0</v>
      </c>
      <c r="E478" s="23">
        <f>IF(C478="","",COUNTIFS('Content Calendar'!$D$5:$D$604,C478))</f>
        <v>0</v>
      </c>
      <c r="F478" s="23">
        <f>IF(C478="","",COUNTIFS('Content Calendar'!$D$5:$D$604,C478,'Content Calendar'!$X$5:$X$604,"Published"))</f>
        <v>0</v>
      </c>
      <c r="G478" s="23">
        <f>IF(C478="","",SUMIFS(Analytics!$J$5:$J$154,Analytics!$C$5:$C$154,C478))</f>
        <v>0</v>
      </c>
      <c r="H478" s="23">
        <f>IF(C478="","",SUMIFS(Analytics!$K$5:$K$154,Analytics!$C$5:$C$154,C478))</f>
        <v>0</v>
      </c>
      <c r="I478" s="23">
        <f>IF(C478="","",SUMIFS(Analytics!$L$5:$L$154,Analytics!$C$5:$C$154,C478))</f>
        <v>0</v>
      </c>
      <c r="J478" s="24">
        <f>IF(OR(G478="",G478=0),"",I478/G478)</f>
        <v>0</v>
      </c>
      <c r="K478" s="23">
        <f>IF(C478="","",SUMIFS(Analytics!$G$5:$G$154,Analytics!$C$5:$C$154,C478))</f>
        <v>0</v>
      </c>
      <c r="L478" s="23">
        <f>IF(C478="","",SUMIFS(Analytics!$X$5:$X$154,Analytics!$C$5:$C$154,C478))</f>
        <v>0</v>
      </c>
      <c r="M478" s="23">
        <f>IF(C478="","",SUMIFS(Analytics!$R$5:$R$154,Analytics!$C$5:$C$154,C478))</f>
        <v>0</v>
      </c>
      <c r="N478" s="23">
        <f>IF(C478="","",SUMIFS(Analytics!$S$5:$S$154,Analytics!$C$5:$C$154,C478))</f>
        <v>0</v>
      </c>
      <c r="O478" s="23">
        <f>IF(C478="","",SUMIFS(Analytics!$T$5:$T$154,Analytics!$C$5:$C$154,C478))</f>
        <v>0</v>
      </c>
      <c r="P478" s="25">
        <f>IF(C478="","",SUMIFS(Analytics!$U$5:$U$154,Analytics!$C$5:$C$154,C478))</f>
        <v>0</v>
      </c>
      <c r="Q478" s="25">
        <f>IF(C478="","",SUMIFS(Budget!$H$5:$H$64,Budget!$C$5:$C$64,C478))</f>
        <v>0</v>
      </c>
      <c r="R478" s="25">
        <f>IF(C478="","",P478-Q478)</f>
        <v>0</v>
      </c>
      <c r="S478" s="23">
        <f>IF(C478="","",MonthlyPostTarget)</f>
        <v>0</v>
      </c>
      <c r="T478" s="17">
        <f>IF(Lists!$C478="","",Lists!$C478)</f>
        <v>0</v>
      </c>
      <c r="U478" s="23">
        <f>IF(T478="","",COUNTIFS('Content Calendar'!$G$5:$G$604,T478,'Content Calendar'!$B$5:$B$604,"&gt;="&amp;DashStart,'Content Calendar'!$B$5:$B$604,"&lt;="&amp;DashEnd))</f>
        <v>0</v>
      </c>
      <c r="V478" s="23">
        <f>IF(T478="","",COUNTIFS('Content Calendar'!$G$5:$G$604,T478,'Content Calendar'!$X$5:$X$604,"Published",'Content Calendar'!$B$5:$B$604,"&gt;="&amp;DashStart,'Content Calendar'!$B$5:$B$604,"&lt;="&amp;DashEnd))</f>
        <v>0</v>
      </c>
      <c r="W478" s="23">
        <f>IF(T478="","",SUMIFS(Analytics!$J$5:$J$154,Analytics!$D$5:$D$154,T478,Analytics!$B$5:$B$154,"&gt;="&amp;DashStart,Analytics!$B$5:$B$154,"&lt;="&amp;DashEnd))</f>
        <v>0</v>
      </c>
      <c r="X478" s="23">
        <f>IF(T478="","",SUMIFS(Analytics!$L$5:$L$154,Analytics!$D$5:$D$154,T478,Analytics!$B$5:$B$154,"&gt;="&amp;DashStart,Analytics!$B$5:$B$154,"&lt;="&amp;DashEnd))</f>
        <v>0</v>
      </c>
      <c r="Y478" s="24">
        <f>IF(OR(W478="",W478=0),"",X478/W478)</f>
        <v>0</v>
      </c>
      <c r="Z478" s="23">
        <f>IF(T478="","",SUMIFS(Analytics!$G$5:$G$154,Analytics!$D$5:$D$154,T478,Analytics!$B$5:$B$154,"&gt;="&amp;DashStart,Analytics!$B$5:$B$154,"&lt;="&amp;DashEnd))</f>
        <v>0</v>
      </c>
      <c r="AA478" s="23">
        <f>IF(T478="","",SUMIFS(Analytics!$X$5:$X$154,Analytics!$D$5:$D$154,T478,Analytics!$B$5:$B$154,"&gt;="&amp;DashStart,Analytics!$B$5:$B$154,"&lt;="&amp;DashEnd))</f>
        <v>0</v>
      </c>
      <c r="AB478" s="23">
        <f>IF(T478="","",SUMIFS(Analytics!$R$5:$R$154,Analytics!$D$5:$D$154,T478,Analytics!$B$5:$B$154,"&gt;="&amp;DashStart,Analytics!$B$5:$B$154,"&lt;="&amp;DashEnd))</f>
        <v>0</v>
      </c>
      <c r="AC478" s="25">
        <f>IF(T478="","",SUMIFS(Analytics!$U$5:$U$154,Analytics!$D$5:$D$154,T478,Analytics!$B$5:$B$154,"&gt;="&amp;DashStart,Analytics!$B$5:$B$154,"&lt;="&amp;DashEnd))</f>
        <v>0</v>
      </c>
      <c r="AD478" s="23">
        <f>IF(T478="","",COUNTIFS('Content Calendar'!$G$5:$G$604,T478,'Content Calendar'!$B$5:$B$604,"&gt;="&amp;DATE(PlanYear,1,1),'Content Calendar'!$B$5:$B$604,"&lt;="&amp;DATE(PlanYear,12,31)))</f>
        <v>0</v>
      </c>
      <c r="AE478" s="23">
        <f>IF(T478="","",SUMIFS(Analytics!$J$5:$J$154,Analytics!$D$5:$D$154,T478))</f>
        <v>0</v>
      </c>
      <c r="AF478" s="23">
        <f>IF(T478="","",SUMIFS(Analytics!$L$5:$L$154,Analytics!$D$5:$D$154,T478))</f>
        <v>0</v>
      </c>
      <c r="AG478" s="24">
        <f>IF(OR(AE478="",AE478=0),"",AF478/AE478)</f>
        <v>0</v>
      </c>
      <c r="AH478" s="23">
        <f>IF(T478="","",SUMIFS(Analytics!$X$5:$X$154,Analytics!$D$5:$D$154,T478))</f>
        <v>0</v>
      </c>
      <c r="AI478" s="32">
        <f>IF(T478="","",IF(AE478=0,"",AE478+ROW()/1000000))</f>
        <v>0</v>
      </c>
      <c r="AJ478" s="17">
        <f>IF('Content Pillars'!$B$478="","",'Content Pillars'!$B$478)</f>
        <v>0</v>
      </c>
      <c r="AK478" s="23">
        <f>IF(AJ478="","",COUNTIFS('Content Calendar'!$J$5:$J$604,AJ478,'Content Calendar'!$B$5:$B$604,"&gt;="&amp;DATE(PlanYear,1,1),'Content Calendar'!$B$5:$B$604,"&lt;="&amp;DATE(PlanYear,12,31)))</f>
        <v>0</v>
      </c>
      <c r="AL478" s="23">
        <f>IF(AJ478="","",SUMIFS(Performance!$O$5:$O$404,Performance!$H$5:$H$404,AJ478))</f>
        <v>0</v>
      </c>
      <c r="AM478" s="23">
        <f>IF(AJ478="","",SUMIFS(Performance!$Z$5:$Z$404,Performance!$H$5:$H$404,AJ478))</f>
        <v>0</v>
      </c>
      <c r="AN478" s="24">
        <f>IF(OR(AL478="",AL478=0),"",AM478/AL478)</f>
        <v>0</v>
      </c>
      <c r="AO478" s="32">
        <f>IF(AN478="","",AN478+ROW()/1000000)</f>
        <v>0</v>
      </c>
      <c r="AP478" s="17">
        <f>IF(Lists!$E478="","",Lists!$E478)</f>
        <v>0</v>
      </c>
      <c r="AQ478" s="23">
        <f>IF(AP478="","",COUNTIF(Performance!$G$5:$G$404,AP478))</f>
        <v>0</v>
      </c>
      <c r="AR478" s="23">
        <f>IF(AP478="","",SUMIFS(Performance!$O$5:$O$404,Performance!$G$5:$G$404,AP478))</f>
        <v>0</v>
      </c>
      <c r="AS478" s="23">
        <f>IF(AP478="","",SUMIFS(Performance!$Z$5:$Z$404,Performance!$G$5:$G$404,AP478))</f>
        <v>0</v>
      </c>
      <c r="AT478" s="24">
        <f>IF(OR(AR478="",AR478=0),"",AS478/AR478)</f>
        <v>0</v>
      </c>
      <c r="AU478" s="32">
        <f>IF(AQ478=0,"",IF(AT478="","",AT478+ROW()/1000000))</f>
        <v>0</v>
      </c>
      <c r="AV478" s="17">
        <f>IF(ROW()-4&gt;7,"",TEXT(DATE(2024,1,ROW()-4),"ddd"))</f>
        <v>0</v>
      </c>
      <c r="AW478" s="23">
        <f>IF(AV478="","",COUNTIF(Performance!$N$5:$N$404,AV478))</f>
        <v>0</v>
      </c>
      <c r="AX478" s="23">
        <f>IF(AV478="","",SUMIFS(Performance!$O$5:$O$404,Performance!$N$5:$N$404,AV478))</f>
        <v>0</v>
      </c>
      <c r="AY478" s="23">
        <f>IF(AV478="","",SUMIFS(Performance!$Z$5:$Z$404,Performance!$N$5:$N$404,AV478))</f>
        <v>0</v>
      </c>
      <c r="AZ478" s="24">
        <f>IF(OR(AX478="",AX478=0),"",AY478/AX478)</f>
        <v>0</v>
      </c>
      <c r="BA478" s="32">
        <f>IF(AW478=0,"",IF(AZ478="","",AZ478+ROW()/1000000))</f>
        <v>0</v>
      </c>
      <c r="BB478" s="17">
        <f>IF(Lists!$AL478="","",Lists!$AL478)</f>
        <v>0</v>
      </c>
      <c r="BC478" s="23">
        <f>IF(BB478="","",COUNTIF(Performance!$M$5:$M$404,BB478))</f>
        <v>0</v>
      </c>
      <c r="BD478" s="23">
        <f>IF(BB478="","",SUMIFS(Performance!$O$5:$O$404,Performance!$M$5:$M$404,BB478))</f>
        <v>0</v>
      </c>
      <c r="BE478" s="23">
        <f>IF(BB478="","",SUMIFS(Performance!$Z$5:$Z$404,Performance!$M$5:$M$404,BB478))</f>
        <v>0</v>
      </c>
      <c r="BF478" s="24">
        <f>IF(OR(BD478="",BD478=0),"",BE478/BD478)</f>
        <v>0</v>
      </c>
      <c r="BG478" s="32">
        <f>IF(BC478=0,"",IF(BF478="","",BF478+ROW()/1000000))</f>
        <v>0</v>
      </c>
      <c r="BH478" s="17">
        <f>IF(Performance!$C$478="","",Performance!$C$478)</f>
        <v>0</v>
      </c>
      <c r="BI478" s="17">
        <f>IF(Performance!$F$478="","",Performance!$F$478)</f>
        <v>0</v>
      </c>
      <c r="BJ478" s="17">
        <f>IF(Performance!$H$478="","",Performance!$H$478)</f>
        <v>0</v>
      </c>
      <c r="BK478" s="16">
        <f>IF(Performance!$D$478="","",Performance!$D$478)</f>
        <v>0</v>
      </c>
      <c r="BL478" s="17">
        <f>IF(Performance!$E$478="","",Performance!$E$478)</f>
        <v>0</v>
      </c>
      <c r="BM478" s="23">
        <f>IF(Performance!$O$478="","",Performance!$O$478)</f>
        <v>0</v>
      </c>
      <c r="BN478" s="24">
        <f>IF(Performance!$AA$478="","",Performance!$AA$478)</f>
        <v>0</v>
      </c>
      <c r="BO478" s="32">
        <f>IF(BH478="","",IF(BK478="","",IF(OR(BK478&lt;DashStart,BK478&gt;DashEnd),"",IF(BN478="","",BN478+ROW()/1000000))))</f>
        <v>0</v>
      </c>
      <c r="BP478" s="32">
        <f>IF(BM478="","",IF(BK478="","",IF(OR(BK478&lt;DashStart,BK478&gt;DashEnd),"",BM478+ROW()/1000000)))</f>
        <v>0</v>
      </c>
      <c r="BQ478" s="32">
        <f>IF(BH478="","",IF(BK478="","",IF(YEAR(BK478)&lt;&gt;PlanYear,"",IF(BN478="","",BN478+ROW()/1000000))))</f>
        <v>0</v>
      </c>
      <c r="BR478" s="32">
        <f>IF(BH478="","",IF(BK478="","",IF(OR(BK478&lt;RepFrom,BK478&gt;RepTo),"",IF(BN478="","",BN478+ROW()/1000000))))</f>
        <v>0</v>
      </c>
      <c r="BS478" s="32">
        <f>IF(BM478="","",IF(BK478="","",IF(YEAR(BK478)&lt;&gt;PlanYear,"",BM478+ROW()/1000000)))</f>
        <v>0</v>
      </c>
      <c r="BT478" s="17">
        <f>IF(Lists!$F478="","",Lists!$F478)</f>
        <v>0</v>
      </c>
      <c r="BU478" s="23">
        <f>IF(BT478="","",COUNTIF('Content Calendar'!$X$5:$X$604,BT478))</f>
        <v>0</v>
      </c>
      <c r="BV478" s="23">
        <f>IF(BT478="","",COUNTIFS('Content Calendar'!$X$5:$X$604,BT478,'Content Calendar'!$B$5:$B$604,"&gt;="&amp;DashStart,'Content Calendar'!$B$5:$B$604,"&lt;="&amp;DashEnd))</f>
        <v>0</v>
      </c>
      <c r="BW478" s="17">
        <f>IF(Team!$B$478="","",Team!$B$478)</f>
        <v>0</v>
      </c>
      <c r="BX478" s="23">
        <f>IF(BW478="","",COUNTIF('Content Calendar'!$W$5:$W$604,BW478))</f>
        <v>0</v>
      </c>
      <c r="BY478" s="23">
        <f>IF(BW478="","",COUNTIFS('Content Calendar'!$W$5:$W$604,BW478,'Content Calendar'!$X$5:$X$604,"&lt;&gt;Published"))</f>
        <v>0</v>
      </c>
      <c r="BZ478" s="23">
        <f>IF(BW478="","",COUNTIFS(Tasks!$C$5:$C$64,BW478,Tasks!$G$5:$G$64,"&lt;&gt;Complete"))</f>
        <v>0</v>
      </c>
      <c r="CA478" s="17">
        <f>IF(Campaigns!$B$478="","",Campaigns!$B$478)</f>
        <v>0</v>
      </c>
      <c r="CB478" s="25">
        <f>IF(Campaigns!$T$478="","",Campaigns!$T$478)</f>
        <v>0</v>
      </c>
      <c r="CC478" s="25">
        <f>IF(Campaigns!$Q$478="","",Campaigns!$Q$478)</f>
        <v>0</v>
      </c>
      <c r="CD478" s="23">
        <f>IF(Campaigns!$Y$478="","",Campaigns!$Y$478)</f>
        <v>0</v>
      </c>
      <c r="CE478" s="32">
        <f>IF(CA478="","",IF(N(CB478)&lt;=0,"",N(CB478)+ROW()/1000000))</f>
        <v>0</v>
      </c>
      <c r="CF478" s="17">
        <f>IF(Accounts!$C$478="","",Accounts!$C$478)</f>
        <v>0</v>
      </c>
      <c r="CG478" s="17">
        <f>IF(Accounts!$B$478="","",Accounts!$B$478)</f>
        <v>0</v>
      </c>
      <c r="CH478" s="23">
        <f>IF(Accounts!$J$478="","",Accounts!$J$478)</f>
        <v>0</v>
      </c>
      <c r="CI478" s="23">
        <f>IF(CF478="","",SUMIFS(Analytics!$X$5:$X$154,Analytics!$E$5:$E$154,CF478,Analytics!$B$5:$B$154,"&gt;="&amp;DashStart,Analytics!$B$5:$B$154,"&lt;="&amp;DashEnd))</f>
        <v>0</v>
      </c>
      <c r="CJ478" s="32">
        <f>IF(CH478="","",IF(CH478=0,"",CH478+ROW()/1000000))</f>
        <v>0</v>
      </c>
    </row>
    <row r="479" spans="1:88">
      <c r="A479" s="16">
        <f>IF(ROW()-4&gt;12,"",DATE(PlanYear,ROW()-4,1))</f>
        <v>0</v>
      </c>
      <c r="B479" s="16">
        <f>IF(A479="","",EOMONTH(A479,0))</f>
        <v>0</v>
      </c>
      <c r="C479" s="17">
        <f>IF(A479="","",TEXT(A479,"yyyy-mm"))</f>
        <v>0</v>
      </c>
      <c r="D479" s="17">
        <f>IF(A479="","",TEXT(A479,"mmm"))</f>
        <v>0</v>
      </c>
      <c r="E479" s="23">
        <f>IF(C479="","",COUNTIFS('Content Calendar'!$D$5:$D$604,C479))</f>
        <v>0</v>
      </c>
      <c r="F479" s="23">
        <f>IF(C479="","",COUNTIFS('Content Calendar'!$D$5:$D$604,C479,'Content Calendar'!$X$5:$X$604,"Published"))</f>
        <v>0</v>
      </c>
      <c r="G479" s="23">
        <f>IF(C479="","",SUMIFS(Analytics!$J$5:$J$154,Analytics!$C$5:$C$154,C479))</f>
        <v>0</v>
      </c>
      <c r="H479" s="23">
        <f>IF(C479="","",SUMIFS(Analytics!$K$5:$K$154,Analytics!$C$5:$C$154,C479))</f>
        <v>0</v>
      </c>
      <c r="I479" s="23">
        <f>IF(C479="","",SUMIFS(Analytics!$L$5:$L$154,Analytics!$C$5:$C$154,C479))</f>
        <v>0</v>
      </c>
      <c r="J479" s="24">
        <f>IF(OR(G479="",G479=0),"",I479/G479)</f>
        <v>0</v>
      </c>
      <c r="K479" s="23">
        <f>IF(C479="","",SUMIFS(Analytics!$G$5:$G$154,Analytics!$C$5:$C$154,C479))</f>
        <v>0</v>
      </c>
      <c r="L479" s="23">
        <f>IF(C479="","",SUMIFS(Analytics!$X$5:$X$154,Analytics!$C$5:$C$154,C479))</f>
        <v>0</v>
      </c>
      <c r="M479" s="23">
        <f>IF(C479="","",SUMIFS(Analytics!$R$5:$R$154,Analytics!$C$5:$C$154,C479))</f>
        <v>0</v>
      </c>
      <c r="N479" s="23">
        <f>IF(C479="","",SUMIFS(Analytics!$S$5:$S$154,Analytics!$C$5:$C$154,C479))</f>
        <v>0</v>
      </c>
      <c r="O479" s="23">
        <f>IF(C479="","",SUMIFS(Analytics!$T$5:$T$154,Analytics!$C$5:$C$154,C479))</f>
        <v>0</v>
      </c>
      <c r="P479" s="25">
        <f>IF(C479="","",SUMIFS(Analytics!$U$5:$U$154,Analytics!$C$5:$C$154,C479))</f>
        <v>0</v>
      </c>
      <c r="Q479" s="25">
        <f>IF(C479="","",SUMIFS(Budget!$H$5:$H$64,Budget!$C$5:$C$64,C479))</f>
        <v>0</v>
      </c>
      <c r="R479" s="25">
        <f>IF(C479="","",P479-Q479)</f>
        <v>0</v>
      </c>
      <c r="S479" s="23">
        <f>IF(C479="","",MonthlyPostTarget)</f>
        <v>0</v>
      </c>
      <c r="T479" s="17">
        <f>IF(Lists!$C479="","",Lists!$C479)</f>
        <v>0</v>
      </c>
      <c r="U479" s="23">
        <f>IF(T479="","",COUNTIFS('Content Calendar'!$G$5:$G$604,T479,'Content Calendar'!$B$5:$B$604,"&gt;="&amp;DashStart,'Content Calendar'!$B$5:$B$604,"&lt;="&amp;DashEnd))</f>
        <v>0</v>
      </c>
      <c r="V479" s="23">
        <f>IF(T479="","",COUNTIFS('Content Calendar'!$G$5:$G$604,T479,'Content Calendar'!$X$5:$X$604,"Published",'Content Calendar'!$B$5:$B$604,"&gt;="&amp;DashStart,'Content Calendar'!$B$5:$B$604,"&lt;="&amp;DashEnd))</f>
        <v>0</v>
      </c>
      <c r="W479" s="23">
        <f>IF(T479="","",SUMIFS(Analytics!$J$5:$J$154,Analytics!$D$5:$D$154,T479,Analytics!$B$5:$B$154,"&gt;="&amp;DashStart,Analytics!$B$5:$B$154,"&lt;="&amp;DashEnd))</f>
        <v>0</v>
      </c>
      <c r="X479" s="23">
        <f>IF(T479="","",SUMIFS(Analytics!$L$5:$L$154,Analytics!$D$5:$D$154,T479,Analytics!$B$5:$B$154,"&gt;="&amp;DashStart,Analytics!$B$5:$B$154,"&lt;="&amp;DashEnd))</f>
        <v>0</v>
      </c>
      <c r="Y479" s="24">
        <f>IF(OR(W479="",W479=0),"",X479/W479)</f>
        <v>0</v>
      </c>
      <c r="Z479" s="23">
        <f>IF(T479="","",SUMIFS(Analytics!$G$5:$G$154,Analytics!$D$5:$D$154,T479,Analytics!$B$5:$B$154,"&gt;="&amp;DashStart,Analytics!$B$5:$B$154,"&lt;="&amp;DashEnd))</f>
        <v>0</v>
      </c>
      <c r="AA479" s="23">
        <f>IF(T479="","",SUMIFS(Analytics!$X$5:$X$154,Analytics!$D$5:$D$154,T479,Analytics!$B$5:$B$154,"&gt;="&amp;DashStart,Analytics!$B$5:$B$154,"&lt;="&amp;DashEnd))</f>
        <v>0</v>
      </c>
      <c r="AB479" s="23">
        <f>IF(T479="","",SUMIFS(Analytics!$R$5:$R$154,Analytics!$D$5:$D$154,T479,Analytics!$B$5:$B$154,"&gt;="&amp;DashStart,Analytics!$B$5:$B$154,"&lt;="&amp;DashEnd))</f>
        <v>0</v>
      </c>
      <c r="AC479" s="25">
        <f>IF(T479="","",SUMIFS(Analytics!$U$5:$U$154,Analytics!$D$5:$D$154,T479,Analytics!$B$5:$B$154,"&gt;="&amp;DashStart,Analytics!$B$5:$B$154,"&lt;="&amp;DashEnd))</f>
        <v>0</v>
      </c>
      <c r="AD479" s="23">
        <f>IF(T479="","",COUNTIFS('Content Calendar'!$G$5:$G$604,T479,'Content Calendar'!$B$5:$B$604,"&gt;="&amp;DATE(PlanYear,1,1),'Content Calendar'!$B$5:$B$604,"&lt;="&amp;DATE(PlanYear,12,31)))</f>
        <v>0</v>
      </c>
      <c r="AE479" s="23">
        <f>IF(T479="","",SUMIFS(Analytics!$J$5:$J$154,Analytics!$D$5:$D$154,T479))</f>
        <v>0</v>
      </c>
      <c r="AF479" s="23">
        <f>IF(T479="","",SUMIFS(Analytics!$L$5:$L$154,Analytics!$D$5:$D$154,T479))</f>
        <v>0</v>
      </c>
      <c r="AG479" s="24">
        <f>IF(OR(AE479="",AE479=0),"",AF479/AE479)</f>
        <v>0</v>
      </c>
      <c r="AH479" s="23">
        <f>IF(T479="","",SUMIFS(Analytics!$X$5:$X$154,Analytics!$D$5:$D$154,T479))</f>
        <v>0</v>
      </c>
      <c r="AI479" s="32">
        <f>IF(T479="","",IF(AE479=0,"",AE479+ROW()/1000000))</f>
        <v>0</v>
      </c>
      <c r="AJ479" s="17">
        <f>IF('Content Pillars'!$B$479="","",'Content Pillars'!$B$479)</f>
        <v>0</v>
      </c>
      <c r="AK479" s="23">
        <f>IF(AJ479="","",COUNTIFS('Content Calendar'!$J$5:$J$604,AJ479,'Content Calendar'!$B$5:$B$604,"&gt;="&amp;DATE(PlanYear,1,1),'Content Calendar'!$B$5:$B$604,"&lt;="&amp;DATE(PlanYear,12,31)))</f>
        <v>0</v>
      </c>
      <c r="AL479" s="23">
        <f>IF(AJ479="","",SUMIFS(Performance!$O$5:$O$404,Performance!$H$5:$H$404,AJ479))</f>
        <v>0</v>
      </c>
      <c r="AM479" s="23">
        <f>IF(AJ479="","",SUMIFS(Performance!$Z$5:$Z$404,Performance!$H$5:$H$404,AJ479))</f>
        <v>0</v>
      </c>
      <c r="AN479" s="24">
        <f>IF(OR(AL479="",AL479=0),"",AM479/AL479)</f>
        <v>0</v>
      </c>
      <c r="AO479" s="32">
        <f>IF(AN479="","",AN479+ROW()/1000000)</f>
        <v>0</v>
      </c>
      <c r="AP479" s="17">
        <f>IF(Lists!$E479="","",Lists!$E479)</f>
        <v>0</v>
      </c>
      <c r="AQ479" s="23">
        <f>IF(AP479="","",COUNTIF(Performance!$G$5:$G$404,AP479))</f>
        <v>0</v>
      </c>
      <c r="AR479" s="23">
        <f>IF(AP479="","",SUMIFS(Performance!$O$5:$O$404,Performance!$G$5:$G$404,AP479))</f>
        <v>0</v>
      </c>
      <c r="AS479" s="23">
        <f>IF(AP479="","",SUMIFS(Performance!$Z$5:$Z$404,Performance!$G$5:$G$404,AP479))</f>
        <v>0</v>
      </c>
      <c r="AT479" s="24">
        <f>IF(OR(AR479="",AR479=0),"",AS479/AR479)</f>
        <v>0</v>
      </c>
      <c r="AU479" s="32">
        <f>IF(AQ479=0,"",IF(AT479="","",AT479+ROW()/1000000))</f>
        <v>0</v>
      </c>
      <c r="AV479" s="17">
        <f>IF(ROW()-4&gt;7,"",TEXT(DATE(2024,1,ROW()-4),"ddd"))</f>
        <v>0</v>
      </c>
      <c r="AW479" s="23">
        <f>IF(AV479="","",COUNTIF(Performance!$N$5:$N$404,AV479))</f>
        <v>0</v>
      </c>
      <c r="AX479" s="23">
        <f>IF(AV479="","",SUMIFS(Performance!$O$5:$O$404,Performance!$N$5:$N$404,AV479))</f>
        <v>0</v>
      </c>
      <c r="AY479" s="23">
        <f>IF(AV479="","",SUMIFS(Performance!$Z$5:$Z$404,Performance!$N$5:$N$404,AV479))</f>
        <v>0</v>
      </c>
      <c r="AZ479" s="24">
        <f>IF(OR(AX479="",AX479=0),"",AY479/AX479)</f>
        <v>0</v>
      </c>
      <c r="BA479" s="32">
        <f>IF(AW479=0,"",IF(AZ479="","",AZ479+ROW()/1000000))</f>
        <v>0</v>
      </c>
      <c r="BB479" s="17">
        <f>IF(Lists!$AL479="","",Lists!$AL479)</f>
        <v>0</v>
      </c>
      <c r="BC479" s="23">
        <f>IF(BB479="","",COUNTIF(Performance!$M$5:$M$404,BB479))</f>
        <v>0</v>
      </c>
      <c r="BD479" s="23">
        <f>IF(BB479="","",SUMIFS(Performance!$O$5:$O$404,Performance!$M$5:$M$404,BB479))</f>
        <v>0</v>
      </c>
      <c r="BE479" s="23">
        <f>IF(BB479="","",SUMIFS(Performance!$Z$5:$Z$404,Performance!$M$5:$M$404,BB479))</f>
        <v>0</v>
      </c>
      <c r="BF479" s="24">
        <f>IF(OR(BD479="",BD479=0),"",BE479/BD479)</f>
        <v>0</v>
      </c>
      <c r="BG479" s="32">
        <f>IF(BC479=0,"",IF(BF479="","",BF479+ROW()/1000000))</f>
        <v>0</v>
      </c>
      <c r="BH479" s="17">
        <f>IF(Performance!$C$479="","",Performance!$C$479)</f>
        <v>0</v>
      </c>
      <c r="BI479" s="17">
        <f>IF(Performance!$F$479="","",Performance!$F$479)</f>
        <v>0</v>
      </c>
      <c r="BJ479" s="17">
        <f>IF(Performance!$H$479="","",Performance!$H$479)</f>
        <v>0</v>
      </c>
      <c r="BK479" s="16">
        <f>IF(Performance!$D$479="","",Performance!$D$479)</f>
        <v>0</v>
      </c>
      <c r="BL479" s="17">
        <f>IF(Performance!$E$479="","",Performance!$E$479)</f>
        <v>0</v>
      </c>
      <c r="BM479" s="23">
        <f>IF(Performance!$O$479="","",Performance!$O$479)</f>
        <v>0</v>
      </c>
      <c r="BN479" s="24">
        <f>IF(Performance!$AA$479="","",Performance!$AA$479)</f>
        <v>0</v>
      </c>
      <c r="BO479" s="32">
        <f>IF(BH479="","",IF(BK479="","",IF(OR(BK479&lt;DashStart,BK479&gt;DashEnd),"",IF(BN479="","",BN479+ROW()/1000000))))</f>
        <v>0</v>
      </c>
      <c r="BP479" s="32">
        <f>IF(BM479="","",IF(BK479="","",IF(OR(BK479&lt;DashStart,BK479&gt;DashEnd),"",BM479+ROW()/1000000)))</f>
        <v>0</v>
      </c>
      <c r="BQ479" s="32">
        <f>IF(BH479="","",IF(BK479="","",IF(YEAR(BK479)&lt;&gt;PlanYear,"",IF(BN479="","",BN479+ROW()/1000000))))</f>
        <v>0</v>
      </c>
      <c r="BR479" s="32">
        <f>IF(BH479="","",IF(BK479="","",IF(OR(BK479&lt;RepFrom,BK479&gt;RepTo),"",IF(BN479="","",BN479+ROW()/1000000))))</f>
        <v>0</v>
      </c>
      <c r="BS479" s="32">
        <f>IF(BM479="","",IF(BK479="","",IF(YEAR(BK479)&lt;&gt;PlanYear,"",BM479+ROW()/1000000)))</f>
        <v>0</v>
      </c>
      <c r="BT479" s="17">
        <f>IF(Lists!$F479="","",Lists!$F479)</f>
        <v>0</v>
      </c>
      <c r="BU479" s="23">
        <f>IF(BT479="","",COUNTIF('Content Calendar'!$X$5:$X$604,BT479))</f>
        <v>0</v>
      </c>
      <c r="BV479" s="23">
        <f>IF(BT479="","",COUNTIFS('Content Calendar'!$X$5:$X$604,BT479,'Content Calendar'!$B$5:$B$604,"&gt;="&amp;DashStart,'Content Calendar'!$B$5:$B$604,"&lt;="&amp;DashEnd))</f>
        <v>0</v>
      </c>
      <c r="BW479" s="17">
        <f>IF(Team!$B$479="","",Team!$B$479)</f>
        <v>0</v>
      </c>
      <c r="BX479" s="23">
        <f>IF(BW479="","",COUNTIF('Content Calendar'!$W$5:$W$604,BW479))</f>
        <v>0</v>
      </c>
      <c r="BY479" s="23">
        <f>IF(BW479="","",COUNTIFS('Content Calendar'!$W$5:$W$604,BW479,'Content Calendar'!$X$5:$X$604,"&lt;&gt;Published"))</f>
        <v>0</v>
      </c>
      <c r="BZ479" s="23">
        <f>IF(BW479="","",COUNTIFS(Tasks!$C$5:$C$64,BW479,Tasks!$G$5:$G$64,"&lt;&gt;Complete"))</f>
        <v>0</v>
      </c>
      <c r="CA479" s="17">
        <f>IF(Campaigns!$B$479="","",Campaigns!$B$479)</f>
        <v>0</v>
      </c>
      <c r="CB479" s="25">
        <f>IF(Campaigns!$T$479="","",Campaigns!$T$479)</f>
        <v>0</v>
      </c>
      <c r="CC479" s="25">
        <f>IF(Campaigns!$Q$479="","",Campaigns!$Q$479)</f>
        <v>0</v>
      </c>
      <c r="CD479" s="23">
        <f>IF(Campaigns!$Y$479="","",Campaigns!$Y$479)</f>
        <v>0</v>
      </c>
      <c r="CE479" s="32">
        <f>IF(CA479="","",IF(N(CB479)&lt;=0,"",N(CB479)+ROW()/1000000))</f>
        <v>0</v>
      </c>
      <c r="CF479" s="17">
        <f>IF(Accounts!$C$479="","",Accounts!$C$479)</f>
        <v>0</v>
      </c>
      <c r="CG479" s="17">
        <f>IF(Accounts!$B$479="","",Accounts!$B$479)</f>
        <v>0</v>
      </c>
      <c r="CH479" s="23">
        <f>IF(Accounts!$J$479="","",Accounts!$J$479)</f>
        <v>0</v>
      </c>
      <c r="CI479" s="23">
        <f>IF(CF479="","",SUMIFS(Analytics!$X$5:$X$154,Analytics!$E$5:$E$154,CF479,Analytics!$B$5:$B$154,"&gt;="&amp;DashStart,Analytics!$B$5:$B$154,"&lt;="&amp;DashEnd))</f>
        <v>0</v>
      </c>
      <c r="CJ479" s="32">
        <f>IF(CH479="","",IF(CH479=0,"",CH479+ROW()/1000000))</f>
        <v>0</v>
      </c>
    </row>
    <row r="480" spans="1:88">
      <c r="A480" s="16">
        <f>IF(ROW()-4&gt;12,"",DATE(PlanYear,ROW()-4,1))</f>
        <v>0</v>
      </c>
      <c r="B480" s="16">
        <f>IF(A480="","",EOMONTH(A480,0))</f>
        <v>0</v>
      </c>
      <c r="C480" s="17">
        <f>IF(A480="","",TEXT(A480,"yyyy-mm"))</f>
        <v>0</v>
      </c>
      <c r="D480" s="17">
        <f>IF(A480="","",TEXT(A480,"mmm"))</f>
        <v>0</v>
      </c>
      <c r="E480" s="23">
        <f>IF(C480="","",COUNTIFS('Content Calendar'!$D$5:$D$604,C480))</f>
        <v>0</v>
      </c>
      <c r="F480" s="23">
        <f>IF(C480="","",COUNTIFS('Content Calendar'!$D$5:$D$604,C480,'Content Calendar'!$X$5:$X$604,"Published"))</f>
        <v>0</v>
      </c>
      <c r="G480" s="23">
        <f>IF(C480="","",SUMIFS(Analytics!$J$5:$J$154,Analytics!$C$5:$C$154,C480))</f>
        <v>0</v>
      </c>
      <c r="H480" s="23">
        <f>IF(C480="","",SUMIFS(Analytics!$K$5:$K$154,Analytics!$C$5:$C$154,C480))</f>
        <v>0</v>
      </c>
      <c r="I480" s="23">
        <f>IF(C480="","",SUMIFS(Analytics!$L$5:$L$154,Analytics!$C$5:$C$154,C480))</f>
        <v>0</v>
      </c>
      <c r="J480" s="24">
        <f>IF(OR(G480="",G480=0),"",I480/G480)</f>
        <v>0</v>
      </c>
      <c r="K480" s="23">
        <f>IF(C480="","",SUMIFS(Analytics!$G$5:$G$154,Analytics!$C$5:$C$154,C480))</f>
        <v>0</v>
      </c>
      <c r="L480" s="23">
        <f>IF(C480="","",SUMIFS(Analytics!$X$5:$X$154,Analytics!$C$5:$C$154,C480))</f>
        <v>0</v>
      </c>
      <c r="M480" s="23">
        <f>IF(C480="","",SUMIFS(Analytics!$R$5:$R$154,Analytics!$C$5:$C$154,C480))</f>
        <v>0</v>
      </c>
      <c r="N480" s="23">
        <f>IF(C480="","",SUMIFS(Analytics!$S$5:$S$154,Analytics!$C$5:$C$154,C480))</f>
        <v>0</v>
      </c>
      <c r="O480" s="23">
        <f>IF(C480="","",SUMIFS(Analytics!$T$5:$T$154,Analytics!$C$5:$C$154,C480))</f>
        <v>0</v>
      </c>
      <c r="P480" s="25">
        <f>IF(C480="","",SUMIFS(Analytics!$U$5:$U$154,Analytics!$C$5:$C$154,C480))</f>
        <v>0</v>
      </c>
      <c r="Q480" s="25">
        <f>IF(C480="","",SUMIFS(Budget!$H$5:$H$64,Budget!$C$5:$C$64,C480))</f>
        <v>0</v>
      </c>
      <c r="R480" s="25">
        <f>IF(C480="","",P480-Q480)</f>
        <v>0</v>
      </c>
      <c r="S480" s="23">
        <f>IF(C480="","",MonthlyPostTarget)</f>
        <v>0</v>
      </c>
      <c r="T480" s="17">
        <f>IF(Lists!$C480="","",Lists!$C480)</f>
        <v>0</v>
      </c>
      <c r="U480" s="23">
        <f>IF(T480="","",COUNTIFS('Content Calendar'!$G$5:$G$604,T480,'Content Calendar'!$B$5:$B$604,"&gt;="&amp;DashStart,'Content Calendar'!$B$5:$B$604,"&lt;="&amp;DashEnd))</f>
        <v>0</v>
      </c>
      <c r="V480" s="23">
        <f>IF(T480="","",COUNTIFS('Content Calendar'!$G$5:$G$604,T480,'Content Calendar'!$X$5:$X$604,"Published",'Content Calendar'!$B$5:$B$604,"&gt;="&amp;DashStart,'Content Calendar'!$B$5:$B$604,"&lt;="&amp;DashEnd))</f>
        <v>0</v>
      </c>
      <c r="W480" s="23">
        <f>IF(T480="","",SUMIFS(Analytics!$J$5:$J$154,Analytics!$D$5:$D$154,T480,Analytics!$B$5:$B$154,"&gt;="&amp;DashStart,Analytics!$B$5:$B$154,"&lt;="&amp;DashEnd))</f>
        <v>0</v>
      </c>
      <c r="X480" s="23">
        <f>IF(T480="","",SUMIFS(Analytics!$L$5:$L$154,Analytics!$D$5:$D$154,T480,Analytics!$B$5:$B$154,"&gt;="&amp;DashStart,Analytics!$B$5:$B$154,"&lt;="&amp;DashEnd))</f>
        <v>0</v>
      </c>
      <c r="Y480" s="24">
        <f>IF(OR(W480="",W480=0),"",X480/W480)</f>
        <v>0</v>
      </c>
      <c r="Z480" s="23">
        <f>IF(T480="","",SUMIFS(Analytics!$G$5:$G$154,Analytics!$D$5:$D$154,T480,Analytics!$B$5:$B$154,"&gt;="&amp;DashStart,Analytics!$B$5:$B$154,"&lt;="&amp;DashEnd))</f>
        <v>0</v>
      </c>
      <c r="AA480" s="23">
        <f>IF(T480="","",SUMIFS(Analytics!$X$5:$X$154,Analytics!$D$5:$D$154,T480,Analytics!$B$5:$B$154,"&gt;="&amp;DashStart,Analytics!$B$5:$B$154,"&lt;="&amp;DashEnd))</f>
        <v>0</v>
      </c>
      <c r="AB480" s="23">
        <f>IF(T480="","",SUMIFS(Analytics!$R$5:$R$154,Analytics!$D$5:$D$154,T480,Analytics!$B$5:$B$154,"&gt;="&amp;DashStart,Analytics!$B$5:$B$154,"&lt;="&amp;DashEnd))</f>
        <v>0</v>
      </c>
      <c r="AC480" s="25">
        <f>IF(T480="","",SUMIFS(Analytics!$U$5:$U$154,Analytics!$D$5:$D$154,T480,Analytics!$B$5:$B$154,"&gt;="&amp;DashStart,Analytics!$B$5:$B$154,"&lt;="&amp;DashEnd))</f>
        <v>0</v>
      </c>
      <c r="AD480" s="23">
        <f>IF(T480="","",COUNTIFS('Content Calendar'!$G$5:$G$604,T480,'Content Calendar'!$B$5:$B$604,"&gt;="&amp;DATE(PlanYear,1,1),'Content Calendar'!$B$5:$B$604,"&lt;="&amp;DATE(PlanYear,12,31)))</f>
        <v>0</v>
      </c>
      <c r="AE480" s="23">
        <f>IF(T480="","",SUMIFS(Analytics!$J$5:$J$154,Analytics!$D$5:$D$154,T480))</f>
        <v>0</v>
      </c>
      <c r="AF480" s="23">
        <f>IF(T480="","",SUMIFS(Analytics!$L$5:$L$154,Analytics!$D$5:$D$154,T480))</f>
        <v>0</v>
      </c>
      <c r="AG480" s="24">
        <f>IF(OR(AE480="",AE480=0),"",AF480/AE480)</f>
        <v>0</v>
      </c>
      <c r="AH480" s="23">
        <f>IF(T480="","",SUMIFS(Analytics!$X$5:$X$154,Analytics!$D$5:$D$154,T480))</f>
        <v>0</v>
      </c>
      <c r="AI480" s="32">
        <f>IF(T480="","",IF(AE480=0,"",AE480+ROW()/1000000))</f>
        <v>0</v>
      </c>
      <c r="AJ480" s="17">
        <f>IF('Content Pillars'!$B$480="","",'Content Pillars'!$B$480)</f>
        <v>0</v>
      </c>
      <c r="AK480" s="23">
        <f>IF(AJ480="","",COUNTIFS('Content Calendar'!$J$5:$J$604,AJ480,'Content Calendar'!$B$5:$B$604,"&gt;="&amp;DATE(PlanYear,1,1),'Content Calendar'!$B$5:$B$604,"&lt;="&amp;DATE(PlanYear,12,31)))</f>
        <v>0</v>
      </c>
      <c r="AL480" s="23">
        <f>IF(AJ480="","",SUMIFS(Performance!$O$5:$O$404,Performance!$H$5:$H$404,AJ480))</f>
        <v>0</v>
      </c>
      <c r="AM480" s="23">
        <f>IF(AJ480="","",SUMIFS(Performance!$Z$5:$Z$404,Performance!$H$5:$H$404,AJ480))</f>
        <v>0</v>
      </c>
      <c r="AN480" s="24">
        <f>IF(OR(AL480="",AL480=0),"",AM480/AL480)</f>
        <v>0</v>
      </c>
      <c r="AO480" s="32">
        <f>IF(AN480="","",AN480+ROW()/1000000)</f>
        <v>0</v>
      </c>
      <c r="AP480" s="17">
        <f>IF(Lists!$E480="","",Lists!$E480)</f>
        <v>0</v>
      </c>
      <c r="AQ480" s="23">
        <f>IF(AP480="","",COUNTIF(Performance!$G$5:$G$404,AP480))</f>
        <v>0</v>
      </c>
      <c r="AR480" s="23">
        <f>IF(AP480="","",SUMIFS(Performance!$O$5:$O$404,Performance!$G$5:$G$404,AP480))</f>
        <v>0</v>
      </c>
      <c r="AS480" s="23">
        <f>IF(AP480="","",SUMIFS(Performance!$Z$5:$Z$404,Performance!$G$5:$G$404,AP480))</f>
        <v>0</v>
      </c>
      <c r="AT480" s="24">
        <f>IF(OR(AR480="",AR480=0),"",AS480/AR480)</f>
        <v>0</v>
      </c>
      <c r="AU480" s="32">
        <f>IF(AQ480=0,"",IF(AT480="","",AT480+ROW()/1000000))</f>
        <v>0</v>
      </c>
      <c r="AV480" s="17">
        <f>IF(ROW()-4&gt;7,"",TEXT(DATE(2024,1,ROW()-4),"ddd"))</f>
        <v>0</v>
      </c>
      <c r="AW480" s="23">
        <f>IF(AV480="","",COUNTIF(Performance!$N$5:$N$404,AV480))</f>
        <v>0</v>
      </c>
      <c r="AX480" s="23">
        <f>IF(AV480="","",SUMIFS(Performance!$O$5:$O$404,Performance!$N$5:$N$404,AV480))</f>
        <v>0</v>
      </c>
      <c r="AY480" s="23">
        <f>IF(AV480="","",SUMIFS(Performance!$Z$5:$Z$404,Performance!$N$5:$N$404,AV480))</f>
        <v>0</v>
      </c>
      <c r="AZ480" s="24">
        <f>IF(OR(AX480="",AX480=0),"",AY480/AX480)</f>
        <v>0</v>
      </c>
      <c r="BA480" s="32">
        <f>IF(AW480=0,"",IF(AZ480="","",AZ480+ROW()/1000000))</f>
        <v>0</v>
      </c>
      <c r="BB480" s="17">
        <f>IF(Lists!$AL480="","",Lists!$AL480)</f>
        <v>0</v>
      </c>
      <c r="BC480" s="23">
        <f>IF(BB480="","",COUNTIF(Performance!$M$5:$M$404,BB480))</f>
        <v>0</v>
      </c>
      <c r="BD480" s="23">
        <f>IF(BB480="","",SUMIFS(Performance!$O$5:$O$404,Performance!$M$5:$M$404,BB480))</f>
        <v>0</v>
      </c>
      <c r="BE480" s="23">
        <f>IF(BB480="","",SUMIFS(Performance!$Z$5:$Z$404,Performance!$M$5:$M$404,BB480))</f>
        <v>0</v>
      </c>
      <c r="BF480" s="24">
        <f>IF(OR(BD480="",BD480=0),"",BE480/BD480)</f>
        <v>0</v>
      </c>
      <c r="BG480" s="32">
        <f>IF(BC480=0,"",IF(BF480="","",BF480+ROW()/1000000))</f>
        <v>0</v>
      </c>
      <c r="BH480" s="17">
        <f>IF(Performance!$C$480="","",Performance!$C$480)</f>
        <v>0</v>
      </c>
      <c r="BI480" s="17">
        <f>IF(Performance!$F$480="","",Performance!$F$480)</f>
        <v>0</v>
      </c>
      <c r="BJ480" s="17">
        <f>IF(Performance!$H$480="","",Performance!$H$480)</f>
        <v>0</v>
      </c>
      <c r="BK480" s="16">
        <f>IF(Performance!$D$480="","",Performance!$D$480)</f>
        <v>0</v>
      </c>
      <c r="BL480" s="17">
        <f>IF(Performance!$E$480="","",Performance!$E$480)</f>
        <v>0</v>
      </c>
      <c r="BM480" s="23">
        <f>IF(Performance!$O$480="","",Performance!$O$480)</f>
        <v>0</v>
      </c>
      <c r="BN480" s="24">
        <f>IF(Performance!$AA$480="","",Performance!$AA$480)</f>
        <v>0</v>
      </c>
      <c r="BO480" s="32">
        <f>IF(BH480="","",IF(BK480="","",IF(OR(BK480&lt;DashStart,BK480&gt;DashEnd),"",IF(BN480="","",BN480+ROW()/1000000))))</f>
        <v>0</v>
      </c>
      <c r="BP480" s="32">
        <f>IF(BM480="","",IF(BK480="","",IF(OR(BK480&lt;DashStart,BK480&gt;DashEnd),"",BM480+ROW()/1000000)))</f>
        <v>0</v>
      </c>
      <c r="BQ480" s="32">
        <f>IF(BH480="","",IF(BK480="","",IF(YEAR(BK480)&lt;&gt;PlanYear,"",IF(BN480="","",BN480+ROW()/1000000))))</f>
        <v>0</v>
      </c>
      <c r="BR480" s="32">
        <f>IF(BH480="","",IF(BK480="","",IF(OR(BK480&lt;RepFrom,BK480&gt;RepTo),"",IF(BN480="","",BN480+ROW()/1000000))))</f>
        <v>0</v>
      </c>
      <c r="BS480" s="32">
        <f>IF(BM480="","",IF(BK480="","",IF(YEAR(BK480)&lt;&gt;PlanYear,"",BM480+ROW()/1000000)))</f>
        <v>0</v>
      </c>
      <c r="BT480" s="17">
        <f>IF(Lists!$F480="","",Lists!$F480)</f>
        <v>0</v>
      </c>
      <c r="BU480" s="23">
        <f>IF(BT480="","",COUNTIF('Content Calendar'!$X$5:$X$604,BT480))</f>
        <v>0</v>
      </c>
      <c r="BV480" s="23">
        <f>IF(BT480="","",COUNTIFS('Content Calendar'!$X$5:$X$604,BT480,'Content Calendar'!$B$5:$B$604,"&gt;="&amp;DashStart,'Content Calendar'!$B$5:$B$604,"&lt;="&amp;DashEnd))</f>
        <v>0</v>
      </c>
      <c r="BW480" s="17">
        <f>IF(Team!$B$480="","",Team!$B$480)</f>
        <v>0</v>
      </c>
      <c r="BX480" s="23">
        <f>IF(BW480="","",COUNTIF('Content Calendar'!$W$5:$W$604,BW480))</f>
        <v>0</v>
      </c>
      <c r="BY480" s="23">
        <f>IF(BW480="","",COUNTIFS('Content Calendar'!$W$5:$W$604,BW480,'Content Calendar'!$X$5:$X$604,"&lt;&gt;Published"))</f>
        <v>0</v>
      </c>
      <c r="BZ480" s="23">
        <f>IF(BW480="","",COUNTIFS(Tasks!$C$5:$C$64,BW480,Tasks!$G$5:$G$64,"&lt;&gt;Complete"))</f>
        <v>0</v>
      </c>
      <c r="CA480" s="17">
        <f>IF(Campaigns!$B$480="","",Campaigns!$B$480)</f>
        <v>0</v>
      </c>
      <c r="CB480" s="25">
        <f>IF(Campaigns!$T$480="","",Campaigns!$T$480)</f>
        <v>0</v>
      </c>
      <c r="CC480" s="25">
        <f>IF(Campaigns!$Q$480="","",Campaigns!$Q$480)</f>
        <v>0</v>
      </c>
      <c r="CD480" s="23">
        <f>IF(Campaigns!$Y$480="","",Campaigns!$Y$480)</f>
        <v>0</v>
      </c>
      <c r="CE480" s="32">
        <f>IF(CA480="","",IF(N(CB480)&lt;=0,"",N(CB480)+ROW()/1000000))</f>
        <v>0</v>
      </c>
      <c r="CF480" s="17">
        <f>IF(Accounts!$C$480="","",Accounts!$C$480)</f>
        <v>0</v>
      </c>
      <c r="CG480" s="17">
        <f>IF(Accounts!$B$480="","",Accounts!$B$480)</f>
        <v>0</v>
      </c>
      <c r="CH480" s="23">
        <f>IF(Accounts!$J$480="","",Accounts!$J$480)</f>
        <v>0</v>
      </c>
      <c r="CI480" s="23">
        <f>IF(CF480="","",SUMIFS(Analytics!$X$5:$X$154,Analytics!$E$5:$E$154,CF480,Analytics!$B$5:$B$154,"&gt;="&amp;DashStart,Analytics!$B$5:$B$154,"&lt;="&amp;DashEnd))</f>
        <v>0</v>
      </c>
      <c r="CJ480" s="32">
        <f>IF(CH480="","",IF(CH480=0,"",CH480+ROW()/1000000))</f>
        <v>0</v>
      </c>
    </row>
    <row r="481" spans="1:88">
      <c r="A481" s="16">
        <f>IF(ROW()-4&gt;12,"",DATE(PlanYear,ROW()-4,1))</f>
        <v>0</v>
      </c>
      <c r="B481" s="16">
        <f>IF(A481="","",EOMONTH(A481,0))</f>
        <v>0</v>
      </c>
      <c r="C481" s="17">
        <f>IF(A481="","",TEXT(A481,"yyyy-mm"))</f>
        <v>0</v>
      </c>
      <c r="D481" s="17">
        <f>IF(A481="","",TEXT(A481,"mmm"))</f>
        <v>0</v>
      </c>
      <c r="E481" s="23">
        <f>IF(C481="","",COUNTIFS('Content Calendar'!$D$5:$D$604,C481))</f>
        <v>0</v>
      </c>
      <c r="F481" s="23">
        <f>IF(C481="","",COUNTIFS('Content Calendar'!$D$5:$D$604,C481,'Content Calendar'!$X$5:$X$604,"Published"))</f>
        <v>0</v>
      </c>
      <c r="G481" s="23">
        <f>IF(C481="","",SUMIFS(Analytics!$J$5:$J$154,Analytics!$C$5:$C$154,C481))</f>
        <v>0</v>
      </c>
      <c r="H481" s="23">
        <f>IF(C481="","",SUMIFS(Analytics!$K$5:$K$154,Analytics!$C$5:$C$154,C481))</f>
        <v>0</v>
      </c>
      <c r="I481" s="23">
        <f>IF(C481="","",SUMIFS(Analytics!$L$5:$L$154,Analytics!$C$5:$C$154,C481))</f>
        <v>0</v>
      </c>
      <c r="J481" s="24">
        <f>IF(OR(G481="",G481=0),"",I481/G481)</f>
        <v>0</v>
      </c>
      <c r="K481" s="23">
        <f>IF(C481="","",SUMIFS(Analytics!$G$5:$G$154,Analytics!$C$5:$C$154,C481))</f>
        <v>0</v>
      </c>
      <c r="L481" s="23">
        <f>IF(C481="","",SUMIFS(Analytics!$X$5:$X$154,Analytics!$C$5:$C$154,C481))</f>
        <v>0</v>
      </c>
      <c r="M481" s="23">
        <f>IF(C481="","",SUMIFS(Analytics!$R$5:$R$154,Analytics!$C$5:$C$154,C481))</f>
        <v>0</v>
      </c>
      <c r="N481" s="23">
        <f>IF(C481="","",SUMIFS(Analytics!$S$5:$S$154,Analytics!$C$5:$C$154,C481))</f>
        <v>0</v>
      </c>
      <c r="O481" s="23">
        <f>IF(C481="","",SUMIFS(Analytics!$T$5:$T$154,Analytics!$C$5:$C$154,C481))</f>
        <v>0</v>
      </c>
      <c r="P481" s="25">
        <f>IF(C481="","",SUMIFS(Analytics!$U$5:$U$154,Analytics!$C$5:$C$154,C481))</f>
        <v>0</v>
      </c>
      <c r="Q481" s="25">
        <f>IF(C481="","",SUMIFS(Budget!$H$5:$H$64,Budget!$C$5:$C$64,C481))</f>
        <v>0</v>
      </c>
      <c r="R481" s="25">
        <f>IF(C481="","",P481-Q481)</f>
        <v>0</v>
      </c>
      <c r="S481" s="23">
        <f>IF(C481="","",MonthlyPostTarget)</f>
        <v>0</v>
      </c>
      <c r="T481" s="17">
        <f>IF(Lists!$C481="","",Lists!$C481)</f>
        <v>0</v>
      </c>
      <c r="U481" s="23">
        <f>IF(T481="","",COUNTIFS('Content Calendar'!$G$5:$G$604,T481,'Content Calendar'!$B$5:$B$604,"&gt;="&amp;DashStart,'Content Calendar'!$B$5:$B$604,"&lt;="&amp;DashEnd))</f>
        <v>0</v>
      </c>
      <c r="V481" s="23">
        <f>IF(T481="","",COUNTIFS('Content Calendar'!$G$5:$G$604,T481,'Content Calendar'!$X$5:$X$604,"Published",'Content Calendar'!$B$5:$B$604,"&gt;="&amp;DashStart,'Content Calendar'!$B$5:$B$604,"&lt;="&amp;DashEnd))</f>
        <v>0</v>
      </c>
      <c r="W481" s="23">
        <f>IF(T481="","",SUMIFS(Analytics!$J$5:$J$154,Analytics!$D$5:$D$154,T481,Analytics!$B$5:$B$154,"&gt;="&amp;DashStart,Analytics!$B$5:$B$154,"&lt;="&amp;DashEnd))</f>
        <v>0</v>
      </c>
      <c r="X481" s="23">
        <f>IF(T481="","",SUMIFS(Analytics!$L$5:$L$154,Analytics!$D$5:$D$154,T481,Analytics!$B$5:$B$154,"&gt;="&amp;DashStart,Analytics!$B$5:$B$154,"&lt;="&amp;DashEnd))</f>
        <v>0</v>
      </c>
      <c r="Y481" s="24">
        <f>IF(OR(W481="",W481=0),"",X481/W481)</f>
        <v>0</v>
      </c>
      <c r="Z481" s="23">
        <f>IF(T481="","",SUMIFS(Analytics!$G$5:$G$154,Analytics!$D$5:$D$154,T481,Analytics!$B$5:$B$154,"&gt;="&amp;DashStart,Analytics!$B$5:$B$154,"&lt;="&amp;DashEnd))</f>
        <v>0</v>
      </c>
      <c r="AA481" s="23">
        <f>IF(T481="","",SUMIFS(Analytics!$X$5:$X$154,Analytics!$D$5:$D$154,T481,Analytics!$B$5:$B$154,"&gt;="&amp;DashStart,Analytics!$B$5:$B$154,"&lt;="&amp;DashEnd))</f>
        <v>0</v>
      </c>
      <c r="AB481" s="23">
        <f>IF(T481="","",SUMIFS(Analytics!$R$5:$R$154,Analytics!$D$5:$D$154,T481,Analytics!$B$5:$B$154,"&gt;="&amp;DashStart,Analytics!$B$5:$B$154,"&lt;="&amp;DashEnd))</f>
        <v>0</v>
      </c>
      <c r="AC481" s="25">
        <f>IF(T481="","",SUMIFS(Analytics!$U$5:$U$154,Analytics!$D$5:$D$154,T481,Analytics!$B$5:$B$154,"&gt;="&amp;DashStart,Analytics!$B$5:$B$154,"&lt;="&amp;DashEnd))</f>
        <v>0</v>
      </c>
      <c r="AD481" s="23">
        <f>IF(T481="","",COUNTIFS('Content Calendar'!$G$5:$G$604,T481,'Content Calendar'!$B$5:$B$604,"&gt;="&amp;DATE(PlanYear,1,1),'Content Calendar'!$B$5:$B$604,"&lt;="&amp;DATE(PlanYear,12,31)))</f>
        <v>0</v>
      </c>
      <c r="AE481" s="23">
        <f>IF(T481="","",SUMIFS(Analytics!$J$5:$J$154,Analytics!$D$5:$D$154,T481))</f>
        <v>0</v>
      </c>
      <c r="AF481" s="23">
        <f>IF(T481="","",SUMIFS(Analytics!$L$5:$L$154,Analytics!$D$5:$D$154,T481))</f>
        <v>0</v>
      </c>
      <c r="AG481" s="24">
        <f>IF(OR(AE481="",AE481=0),"",AF481/AE481)</f>
        <v>0</v>
      </c>
      <c r="AH481" s="23">
        <f>IF(T481="","",SUMIFS(Analytics!$X$5:$X$154,Analytics!$D$5:$D$154,T481))</f>
        <v>0</v>
      </c>
      <c r="AI481" s="32">
        <f>IF(T481="","",IF(AE481=0,"",AE481+ROW()/1000000))</f>
        <v>0</v>
      </c>
      <c r="AJ481" s="17">
        <f>IF('Content Pillars'!$B$481="","",'Content Pillars'!$B$481)</f>
        <v>0</v>
      </c>
      <c r="AK481" s="23">
        <f>IF(AJ481="","",COUNTIFS('Content Calendar'!$J$5:$J$604,AJ481,'Content Calendar'!$B$5:$B$604,"&gt;="&amp;DATE(PlanYear,1,1),'Content Calendar'!$B$5:$B$604,"&lt;="&amp;DATE(PlanYear,12,31)))</f>
        <v>0</v>
      </c>
      <c r="AL481" s="23">
        <f>IF(AJ481="","",SUMIFS(Performance!$O$5:$O$404,Performance!$H$5:$H$404,AJ481))</f>
        <v>0</v>
      </c>
      <c r="AM481" s="23">
        <f>IF(AJ481="","",SUMIFS(Performance!$Z$5:$Z$404,Performance!$H$5:$H$404,AJ481))</f>
        <v>0</v>
      </c>
      <c r="AN481" s="24">
        <f>IF(OR(AL481="",AL481=0),"",AM481/AL481)</f>
        <v>0</v>
      </c>
      <c r="AO481" s="32">
        <f>IF(AN481="","",AN481+ROW()/1000000)</f>
        <v>0</v>
      </c>
      <c r="AP481" s="17">
        <f>IF(Lists!$E481="","",Lists!$E481)</f>
        <v>0</v>
      </c>
      <c r="AQ481" s="23">
        <f>IF(AP481="","",COUNTIF(Performance!$G$5:$G$404,AP481))</f>
        <v>0</v>
      </c>
      <c r="AR481" s="23">
        <f>IF(AP481="","",SUMIFS(Performance!$O$5:$O$404,Performance!$G$5:$G$404,AP481))</f>
        <v>0</v>
      </c>
      <c r="AS481" s="23">
        <f>IF(AP481="","",SUMIFS(Performance!$Z$5:$Z$404,Performance!$G$5:$G$404,AP481))</f>
        <v>0</v>
      </c>
      <c r="AT481" s="24">
        <f>IF(OR(AR481="",AR481=0),"",AS481/AR481)</f>
        <v>0</v>
      </c>
      <c r="AU481" s="32">
        <f>IF(AQ481=0,"",IF(AT481="","",AT481+ROW()/1000000))</f>
        <v>0</v>
      </c>
      <c r="AV481" s="17">
        <f>IF(ROW()-4&gt;7,"",TEXT(DATE(2024,1,ROW()-4),"ddd"))</f>
        <v>0</v>
      </c>
      <c r="AW481" s="23">
        <f>IF(AV481="","",COUNTIF(Performance!$N$5:$N$404,AV481))</f>
        <v>0</v>
      </c>
      <c r="AX481" s="23">
        <f>IF(AV481="","",SUMIFS(Performance!$O$5:$O$404,Performance!$N$5:$N$404,AV481))</f>
        <v>0</v>
      </c>
      <c r="AY481" s="23">
        <f>IF(AV481="","",SUMIFS(Performance!$Z$5:$Z$404,Performance!$N$5:$N$404,AV481))</f>
        <v>0</v>
      </c>
      <c r="AZ481" s="24">
        <f>IF(OR(AX481="",AX481=0),"",AY481/AX481)</f>
        <v>0</v>
      </c>
      <c r="BA481" s="32">
        <f>IF(AW481=0,"",IF(AZ481="","",AZ481+ROW()/1000000))</f>
        <v>0</v>
      </c>
      <c r="BB481" s="17">
        <f>IF(Lists!$AL481="","",Lists!$AL481)</f>
        <v>0</v>
      </c>
      <c r="BC481" s="23">
        <f>IF(BB481="","",COUNTIF(Performance!$M$5:$M$404,BB481))</f>
        <v>0</v>
      </c>
      <c r="BD481" s="23">
        <f>IF(BB481="","",SUMIFS(Performance!$O$5:$O$404,Performance!$M$5:$M$404,BB481))</f>
        <v>0</v>
      </c>
      <c r="BE481" s="23">
        <f>IF(BB481="","",SUMIFS(Performance!$Z$5:$Z$404,Performance!$M$5:$M$404,BB481))</f>
        <v>0</v>
      </c>
      <c r="BF481" s="24">
        <f>IF(OR(BD481="",BD481=0),"",BE481/BD481)</f>
        <v>0</v>
      </c>
      <c r="BG481" s="32">
        <f>IF(BC481=0,"",IF(BF481="","",BF481+ROW()/1000000))</f>
        <v>0</v>
      </c>
      <c r="BH481" s="17">
        <f>IF(Performance!$C$481="","",Performance!$C$481)</f>
        <v>0</v>
      </c>
      <c r="BI481" s="17">
        <f>IF(Performance!$F$481="","",Performance!$F$481)</f>
        <v>0</v>
      </c>
      <c r="BJ481" s="17">
        <f>IF(Performance!$H$481="","",Performance!$H$481)</f>
        <v>0</v>
      </c>
      <c r="BK481" s="16">
        <f>IF(Performance!$D$481="","",Performance!$D$481)</f>
        <v>0</v>
      </c>
      <c r="BL481" s="17">
        <f>IF(Performance!$E$481="","",Performance!$E$481)</f>
        <v>0</v>
      </c>
      <c r="BM481" s="23">
        <f>IF(Performance!$O$481="","",Performance!$O$481)</f>
        <v>0</v>
      </c>
      <c r="BN481" s="24">
        <f>IF(Performance!$AA$481="","",Performance!$AA$481)</f>
        <v>0</v>
      </c>
      <c r="BO481" s="32">
        <f>IF(BH481="","",IF(BK481="","",IF(OR(BK481&lt;DashStart,BK481&gt;DashEnd),"",IF(BN481="","",BN481+ROW()/1000000))))</f>
        <v>0</v>
      </c>
      <c r="BP481" s="32">
        <f>IF(BM481="","",IF(BK481="","",IF(OR(BK481&lt;DashStart,BK481&gt;DashEnd),"",BM481+ROW()/1000000)))</f>
        <v>0</v>
      </c>
      <c r="BQ481" s="32">
        <f>IF(BH481="","",IF(BK481="","",IF(YEAR(BK481)&lt;&gt;PlanYear,"",IF(BN481="","",BN481+ROW()/1000000))))</f>
        <v>0</v>
      </c>
      <c r="BR481" s="32">
        <f>IF(BH481="","",IF(BK481="","",IF(OR(BK481&lt;RepFrom,BK481&gt;RepTo),"",IF(BN481="","",BN481+ROW()/1000000))))</f>
        <v>0</v>
      </c>
      <c r="BS481" s="32">
        <f>IF(BM481="","",IF(BK481="","",IF(YEAR(BK481)&lt;&gt;PlanYear,"",BM481+ROW()/1000000)))</f>
        <v>0</v>
      </c>
      <c r="BT481" s="17">
        <f>IF(Lists!$F481="","",Lists!$F481)</f>
        <v>0</v>
      </c>
      <c r="BU481" s="23">
        <f>IF(BT481="","",COUNTIF('Content Calendar'!$X$5:$X$604,BT481))</f>
        <v>0</v>
      </c>
      <c r="BV481" s="23">
        <f>IF(BT481="","",COUNTIFS('Content Calendar'!$X$5:$X$604,BT481,'Content Calendar'!$B$5:$B$604,"&gt;="&amp;DashStart,'Content Calendar'!$B$5:$B$604,"&lt;="&amp;DashEnd))</f>
        <v>0</v>
      </c>
      <c r="BW481" s="17">
        <f>IF(Team!$B$481="","",Team!$B$481)</f>
        <v>0</v>
      </c>
      <c r="BX481" s="23">
        <f>IF(BW481="","",COUNTIF('Content Calendar'!$W$5:$W$604,BW481))</f>
        <v>0</v>
      </c>
      <c r="BY481" s="23">
        <f>IF(BW481="","",COUNTIFS('Content Calendar'!$W$5:$W$604,BW481,'Content Calendar'!$X$5:$X$604,"&lt;&gt;Published"))</f>
        <v>0</v>
      </c>
      <c r="BZ481" s="23">
        <f>IF(BW481="","",COUNTIFS(Tasks!$C$5:$C$64,BW481,Tasks!$G$5:$G$64,"&lt;&gt;Complete"))</f>
        <v>0</v>
      </c>
      <c r="CA481" s="17">
        <f>IF(Campaigns!$B$481="","",Campaigns!$B$481)</f>
        <v>0</v>
      </c>
      <c r="CB481" s="25">
        <f>IF(Campaigns!$T$481="","",Campaigns!$T$481)</f>
        <v>0</v>
      </c>
      <c r="CC481" s="25">
        <f>IF(Campaigns!$Q$481="","",Campaigns!$Q$481)</f>
        <v>0</v>
      </c>
      <c r="CD481" s="23">
        <f>IF(Campaigns!$Y$481="","",Campaigns!$Y$481)</f>
        <v>0</v>
      </c>
      <c r="CE481" s="32">
        <f>IF(CA481="","",IF(N(CB481)&lt;=0,"",N(CB481)+ROW()/1000000))</f>
        <v>0</v>
      </c>
      <c r="CF481" s="17">
        <f>IF(Accounts!$C$481="","",Accounts!$C$481)</f>
        <v>0</v>
      </c>
      <c r="CG481" s="17">
        <f>IF(Accounts!$B$481="","",Accounts!$B$481)</f>
        <v>0</v>
      </c>
      <c r="CH481" s="23">
        <f>IF(Accounts!$J$481="","",Accounts!$J$481)</f>
        <v>0</v>
      </c>
      <c r="CI481" s="23">
        <f>IF(CF481="","",SUMIFS(Analytics!$X$5:$X$154,Analytics!$E$5:$E$154,CF481,Analytics!$B$5:$B$154,"&gt;="&amp;DashStart,Analytics!$B$5:$B$154,"&lt;="&amp;DashEnd))</f>
        <v>0</v>
      </c>
      <c r="CJ481" s="32">
        <f>IF(CH481="","",IF(CH481=0,"",CH481+ROW()/1000000))</f>
        <v>0</v>
      </c>
    </row>
    <row r="482" spans="1:88">
      <c r="A482" s="16">
        <f>IF(ROW()-4&gt;12,"",DATE(PlanYear,ROW()-4,1))</f>
        <v>0</v>
      </c>
      <c r="B482" s="16">
        <f>IF(A482="","",EOMONTH(A482,0))</f>
        <v>0</v>
      </c>
      <c r="C482" s="17">
        <f>IF(A482="","",TEXT(A482,"yyyy-mm"))</f>
        <v>0</v>
      </c>
      <c r="D482" s="17">
        <f>IF(A482="","",TEXT(A482,"mmm"))</f>
        <v>0</v>
      </c>
      <c r="E482" s="23">
        <f>IF(C482="","",COUNTIFS('Content Calendar'!$D$5:$D$604,C482))</f>
        <v>0</v>
      </c>
      <c r="F482" s="23">
        <f>IF(C482="","",COUNTIFS('Content Calendar'!$D$5:$D$604,C482,'Content Calendar'!$X$5:$X$604,"Published"))</f>
        <v>0</v>
      </c>
      <c r="G482" s="23">
        <f>IF(C482="","",SUMIFS(Analytics!$J$5:$J$154,Analytics!$C$5:$C$154,C482))</f>
        <v>0</v>
      </c>
      <c r="H482" s="23">
        <f>IF(C482="","",SUMIFS(Analytics!$K$5:$K$154,Analytics!$C$5:$C$154,C482))</f>
        <v>0</v>
      </c>
      <c r="I482" s="23">
        <f>IF(C482="","",SUMIFS(Analytics!$L$5:$L$154,Analytics!$C$5:$C$154,C482))</f>
        <v>0</v>
      </c>
      <c r="J482" s="24">
        <f>IF(OR(G482="",G482=0),"",I482/G482)</f>
        <v>0</v>
      </c>
      <c r="K482" s="23">
        <f>IF(C482="","",SUMIFS(Analytics!$G$5:$G$154,Analytics!$C$5:$C$154,C482))</f>
        <v>0</v>
      </c>
      <c r="L482" s="23">
        <f>IF(C482="","",SUMIFS(Analytics!$X$5:$X$154,Analytics!$C$5:$C$154,C482))</f>
        <v>0</v>
      </c>
      <c r="M482" s="23">
        <f>IF(C482="","",SUMIFS(Analytics!$R$5:$R$154,Analytics!$C$5:$C$154,C482))</f>
        <v>0</v>
      </c>
      <c r="N482" s="23">
        <f>IF(C482="","",SUMIFS(Analytics!$S$5:$S$154,Analytics!$C$5:$C$154,C482))</f>
        <v>0</v>
      </c>
      <c r="O482" s="23">
        <f>IF(C482="","",SUMIFS(Analytics!$T$5:$T$154,Analytics!$C$5:$C$154,C482))</f>
        <v>0</v>
      </c>
      <c r="P482" s="25">
        <f>IF(C482="","",SUMIFS(Analytics!$U$5:$U$154,Analytics!$C$5:$C$154,C482))</f>
        <v>0</v>
      </c>
      <c r="Q482" s="25">
        <f>IF(C482="","",SUMIFS(Budget!$H$5:$H$64,Budget!$C$5:$C$64,C482))</f>
        <v>0</v>
      </c>
      <c r="R482" s="25">
        <f>IF(C482="","",P482-Q482)</f>
        <v>0</v>
      </c>
      <c r="S482" s="23">
        <f>IF(C482="","",MonthlyPostTarget)</f>
        <v>0</v>
      </c>
      <c r="T482" s="17">
        <f>IF(Lists!$C482="","",Lists!$C482)</f>
        <v>0</v>
      </c>
      <c r="U482" s="23">
        <f>IF(T482="","",COUNTIFS('Content Calendar'!$G$5:$G$604,T482,'Content Calendar'!$B$5:$B$604,"&gt;="&amp;DashStart,'Content Calendar'!$B$5:$B$604,"&lt;="&amp;DashEnd))</f>
        <v>0</v>
      </c>
      <c r="V482" s="23">
        <f>IF(T482="","",COUNTIFS('Content Calendar'!$G$5:$G$604,T482,'Content Calendar'!$X$5:$X$604,"Published",'Content Calendar'!$B$5:$B$604,"&gt;="&amp;DashStart,'Content Calendar'!$B$5:$B$604,"&lt;="&amp;DashEnd))</f>
        <v>0</v>
      </c>
      <c r="W482" s="23">
        <f>IF(T482="","",SUMIFS(Analytics!$J$5:$J$154,Analytics!$D$5:$D$154,T482,Analytics!$B$5:$B$154,"&gt;="&amp;DashStart,Analytics!$B$5:$B$154,"&lt;="&amp;DashEnd))</f>
        <v>0</v>
      </c>
      <c r="X482" s="23">
        <f>IF(T482="","",SUMIFS(Analytics!$L$5:$L$154,Analytics!$D$5:$D$154,T482,Analytics!$B$5:$B$154,"&gt;="&amp;DashStart,Analytics!$B$5:$B$154,"&lt;="&amp;DashEnd))</f>
        <v>0</v>
      </c>
      <c r="Y482" s="24">
        <f>IF(OR(W482="",W482=0),"",X482/W482)</f>
        <v>0</v>
      </c>
      <c r="Z482" s="23">
        <f>IF(T482="","",SUMIFS(Analytics!$G$5:$G$154,Analytics!$D$5:$D$154,T482,Analytics!$B$5:$B$154,"&gt;="&amp;DashStart,Analytics!$B$5:$B$154,"&lt;="&amp;DashEnd))</f>
        <v>0</v>
      </c>
      <c r="AA482" s="23">
        <f>IF(T482="","",SUMIFS(Analytics!$X$5:$X$154,Analytics!$D$5:$D$154,T482,Analytics!$B$5:$B$154,"&gt;="&amp;DashStart,Analytics!$B$5:$B$154,"&lt;="&amp;DashEnd))</f>
        <v>0</v>
      </c>
      <c r="AB482" s="23">
        <f>IF(T482="","",SUMIFS(Analytics!$R$5:$R$154,Analytics!$D$5:$D$154,T482,Analytics!$B$5:$B$154,"&gt;="&amp;DashStart,Analytics!$B$5:$B$154,"&lt;="&amp;DashEnd))</f>
        <v>0</v>
      </c>
      <c r="AC482" s="25">
        <f>IF(T482="","",SUMIFS(Analytics!$U$5:$U$154,Analytics!$D$5:$D$154,T482,Analytics!$B$5:$B$154,"&gt;="&amp;DashStart,Analytics!$B$5:$B$154,"&lt;="&amp;DashEnd))</f>
        <v>0</v>
      </c>
      <c r="AD482" s="23">
        <f>IF(T482="","",COUNTIFS('Content Calendar'!$G$5:$G$604,T482,'Content Calendar'!$B$5:$B$604,"&gt;="&amp;DATE(PlanYear,1,1),'Content Calendar'!$B$5:$B$604,"&lt;="&amp;DATE(PlanYear,12,31)))</f>
        <v>0</v>
      </c>
      <c r="AE482" s="23">
        <f>IF(T482="","",SUMIFS(Analytics!$J$5:$J$154,Analytics!$D$5:$D$154,T482))</f>
        <v>0</v>
      </c>
      <c r="AF482" s="23">
        <f>IF(T482="","",SUMIFS(Analytics!$L$5:$L$154,Analytics!$D$5:$D$154,T482))</f>
        <v>0</v>
      </c>
      <c r="AG482" s="24">
        <f>IF(OR(AE482="",AE482=0),"",AF482/AE482)</f>
        <v>0</v>
      </c>
      <c r="AH482" s="23">
        <f>IF(T482="","",SUMIFS(Analytics!$X$5:$X$154,Analytics!$D$5:$D$154,T482))</f>
        <v>0</v>
      </c>
      <c r="AI482" s="32">
        <f>IF(T482="","",IF(AE482=0,"",AE482+ROW()/1000000))</f>
        <v>0</v>
      </c>
      <c r="AJ482" s="17">
        <f>IF('Content Pillars'!$B$482="","",'Content Pillars'!$B$482)</f>
        <v>0</v>
      </c>
      <c r="AK482" s="23">
        <f>IF(AJ482="","",COUNTIFS('Content Calendar'!$J$5:$J$604,AJ482,'Content Calendar'!$B$5:$B$604,"&gt;="&amp;DATE(PlanYear,1,1),'Content Calendar'!$B$5:$B$604,"&lt;="&amp;DATE(PlanYear,12,31)))</f>
        <v>0</v>
      </c>
      <c r="AL482" s="23">
        <f>IF(AJ482="","",SUMIFS(Performance!$O$5:$O$404,Performance!$H$5:$H$404,AJ482))</f>
        <v>0</v>
      </c>
      <c r="AM482" s="23">
        <f>IF(AJ482="","",SUMIFS(Performance!$Z$5:$Z$404,Performance!$H$5:$H$404,AJ482))</f>
        <v>0</v>
      </c>
      <c r="AN482" s="24">
        <f>IF(OR(AL482="",AL482=0),"",AM482/AL482)</f>
        <v>0</v>
      </c>
      <c r="AO482" s="32">
        <f>IF(AN482="","",AN482+ROW()/1000000)</f>
        <v>0</v>
      </c>
      <c r="AP482" s="17">
        <f>IF(Lists!$E482="","",Lists!$E482)</f>
        <v>0</v>
      </c>
      <c r="AQ482" s="23">
        <f>IF(AP482="","",COUNTIF(Performance!$G$5:$G$404,AP482))</f>
        <v>0</v>
      </c>
      <c r="AR482" s="23">
        <f>IF(AP482="","",SUMIFS(Performance!$O$5:$O$404,Performance!$G$5:$G$404,AP482))</f>
        <v>0</v>
      </c>
      <c r="AS482" s="23">
        <f>IF(AP482="","",SUMIFS(Performance!$Z$5:$Z$404,Performance!$G$5:$G$404,AP482))</f>
        <v>0</v>
      </c>
      <c r="AT482" s="24">
        <f>IF(OR(AR482="",AR482=0),"",AS482/AR482)</f>
        <v>0</v>
      </c>
      <c r="AU482" s="32">
        <f>IF(AQ482=0,"",IF(AT482="","",AT482+ROW()/1000000))</f>
        <v>0</v>
      </c>
      <c r="AV482" s="17">
        <f>IF(ROW()-4&gt;7,"",TEXT(DATE(2024,1,ROW()-4),"ddd"))</f>
        <v>0</v>
      </c>
      <c r="AW482" s="23">
        <f>IF(AV482="","",COUNTIF(Performance!$N$5:$N$404,AV482))</f>
        <v>0</v>
      </c>
      <c r="AX482" s="23">
        <f>IF(AV482="","",SUMIFS(Performance!$O$5:$O$404,Performance!$N$5:$N$404,AV482))</f>
        <v>0</v>
      </c>
      <c r="AY482" s="23">
        <f>IF(AV482="","",SUMIFS(Performance!$Z$5:$Z$404,Performance!$N$5:$N$404,AV482))</f>
        <v>0</v>
      </c>
      <c r="AZ482" s="24">
        <f>IF(OR(AX482="",AX482=0),"",AY482/AX482)</f>
        <v>0</v>
      </c>
      <c r="BA482" s="32">
        <f>IF(AW482=0,"",IF(AZ482="","",AZ482+ROW()/1000000))</f>
        <v>0</v>
      </c>
      <c r="BB482" s="17">
        <f>IF(Lists!$AL482="","",Lists!$AL482)</f>
        <v>0</v>
      </c>
      <c r="BC482" s="23">
        <f>IF(BB482="","",COUNTIF(Performance!$M$5:$M$404,BB482))</f>
        <v>0</v>
      </c>
      <c r="BD482" s="23">
        <f>IF(BB482="","",SUMIFS(Performance!$O$5:$O$404,Performance!$M$5:$M$404,BB482))</f>
        <v>0</v>
      </c>
      <c r="BE482" s="23">
        <f>IF(BB482="","",SUMIFS(Performance!$Z$5:$Z$404,Performance!$M$5:$M$404,BB482))</f>
        <v>0</v>
      </c>
      <c r="BF482" s="24">
        <f>IF(OR(BD482="",BD482=0),"",BE482/BD482)</f>
        <v>0</v>
      </c>
      <c r="BG482" s="32">
        <f>IF(BC482=0,"",IF(BF482="","",BF482+ROW()/1000000))</f>
        <v>0</v>
      </c>
      <c r="BH482" s="17">
        <f>IF(Performance!$C$482="","",Performance!$C$482)</f>
        <v>0</v>
      </c>
      <c r="BI482" s="17">
        <f>IF(Performance!$F$482="","",Performance!$F$482)</f>
        <v>0</v>
      </c>
      <c r="BJ482" s="17">
        <f>IF(Performance!$H$482="","",Performance!$H$482)</f>
        <v>0</v>
      </c>
      <c r="BK482" s="16">
        <f>IF(Performance!$D$482="","",Performance!$D$482)</f>
        <v>0</v>
      </c>
      <c r="BL482" s="17">
        <f>IF(Performance!$E$482="","",Performance!$E$482)</f>
        <v>0</v>
      </c>
      <c r="BM482" s="23">
        <f>IF(Performance!$O$482="","",Performance!$O$482)</f>
        <v>0</v>
      </c>
      <c r="BN482" s="24">
        <f>IF(Performance!$AA$482="","",Performance!$AA$482)</f>
        <v>0</v>
      </c>
      <c r="BO482" s="32">
        <f>IF(BH482="","",IF(BK482="","",IF(OR(BK482&lt;DashStart,BK482&gt;DashEnd),"",IF(BN482="","",BN482+ROW()/1000000))))</f>
        <v>0</v>
      </c>
      <c r="BP482" s="32">
        <f>IF(BM482="","",IF(BK482="","",IF(OR(BK482&lt;DashStart,BK482&gt;DashEnd),"",BM482+ROW()/1000000)))</f>
        <v>0</v>
      </c>
      <c r="BQ482" s="32">
        <f>IF(BH482="","",IF(BK482="","",IF(YEAR(BK482)&lt;&gt;PlanYear,"",IF(BN482="","",BN482+ROW()/1000000))))</f>
        <v>0</v>
      </c>
      <c r="BR482" s="32">
        <f>IF(BH482="","",IF(BK482="","",IF(OR(BK482&lt;RepFrom,BK482&gt;RepTo),"",IF(BN482="","",BN482+ROW()/1000000))))</f>
        <v>0</v>
      </c>
      <c r="BS482" s="32">
        <f>IF(BM482="","",IF(BK482="","",IF(YEAR(BK482)&lt;&gt;PlanYear,"",BM482+ROW()/1000000)))</f>
        <v>0</v>
      </c>
      <c r="BT482" s="17">
        <f>IF(Lists!$F482="","",Lists!$F482)</f>
        <v>0</v>
      </c>
      <c r="BU482" s="23">
        <f>IF(BT482="","",COUNTIF('Content Calendar'!$X$5:$X$604,BT482))</f>
        <v>0</v>
      </c>
      <c r="BV482" s="23">
        <f>IF(BT482="","",COUNTIFS('Content Calendar'!$X$5:$X$604,BT482,'Content Calendar'!$B$5:$B$604,"&gt;="&amp;DashStart,'Content Calendar'!$B$5:$B$604,"&lt;="&amp;DashEnd))</f>
        <v>0</v>
      </c>
      <c r="BW482" s="17">
        <f>IF(Team!$B$482="","",Team!$B$482)</f>
        <v>0</v>
      </c>
      <c r="BX482" s="23">
        <f>IF(BW482="","",COUNTIF('Content Calendar'!$W$5:$W$604,BW482))</f>
        <v>0</v>
      </c>
      <c r="BY482" s="23">
        <f>IF(BW482="","",COUNTIFS('Content Calendar'!$W$5:$W$604,BW482,'Content Calendar'!$X$5:$X$604,"&lt;&gt;Published"))</f>
        <v>0</v>
      </c>
      <c r="BZ482" s="23">
        <f>IF(BW482="","",COUNTIFS(Tasks!$C$5:$C$64,BW482,Tasks!$G$5:$G$64,"&lt;&gt;Complete"))</f>
        <v>0</v>
      </c>
      <c r="CA482" s="17">
        <f>IF(Campaigns!$B$482="","",Campaigns!$B$482)</f>
        <v>0</v>
      </c>
      <c r="CB482" s="25">
        <f>IF(Campaigns!$T$482="","",Campaigns!$T$482)</f>
        <v>0</v>
      </c>
      <c r="CC482" s="25">
        <f>IF(Campaigns!$Q$482="","",Campaigns!$Q$482)</f>
        <v>0</v>
      </c>
      <c r="CD482" s="23">
        <f>IF(Campaigns!$Y$482="","",Campaigns!$Y$482)</f>
        <v>0</v>
      </c>
      <c r="CE482" s="32">
        <f>IF(CA482="","",IF(N(CB482)&lt;=0,"",N(CB482)+ROW()/1000000))</f>
        <v>0</v>
      </c>
      <c r="CF482" s="17">
        <f>IF(Accounts!$C$482="","",Accounts!$C$482)</f>
        <v>0</v>
      </c>
      <c r="CG482" s="17">
        <f>IF(Accounts!$B$482="","",Accounts!$B$482)</f>
        <v>0</v>
      </c>
      <c r="CH482" s="23">
        <f>IF(Accounts!$J$482="","",Accounts!$J$482)</f>
        <v>0</v>
      </c>
      <c r="CI482" s="23">
        <f>IF(CF482="","",SUMIFS(Analytics!$X$5:$X$154,Analytics!$E$5:$E$154,CF482,Analytics!$B$5:$B$154,"&gt;="&amp;DashStart,Analytics!$B$5:$B$154,"&lt;="&amp;DashEnd))</f>
        <v>0</v>
      </c>
      <c r="CJ482" s="32">
        <f>IF(CH482="","",IF(CH482=0,"",CH482+ROW()/1000000))</f>
        <v>0</v>
      </c>
    </row>
    <row r="483" spans="1:88">
      <c r="A483" s="16">
        <f>IF(ROW()-4&gt;12,"",DATE(PlanYear,ROW()-4,1))</f>
        <v>0</v>
      </c>
      <c r="B483" s="16">
        <f>IF(A483="","",EOMONTH(A483,0))</f>
        <v>0</v>
      </c>
      <c r="C483" s="17">
        <f>IF(A483="","",TEXT(A483,"yyyy-mm"))</f>
        <v>0</v>
      </c>
      <c r="D483" s="17">
        <f>IF(A483="","",TEXT(A483,"mmm"))</f>
        <v>0</v>
      </c>
      <c r="E483" s="23">
        <f>IF(C483="","",COUNTIFS('Content Calendar'!$D$5:$D$604,C483))</f>
        <v>0</v>
      </c>
      <c r="F483" s="23">
        <f>IF(C483="","",COUNTIFS('Content Calendar'!$D$5:$D$604,C483,'Content Calendar'!$X$5:$X$604,"Published"))</f>
        <v>0</v>
      </c>
      <c r="G483" s="23">
        <f>IF(C483="","",SUMIFS(Analytics!$J$5:$J$154,Analytics!$C$5:$C$154,C483))</f>
        <v>0</v>
      </c>
      <c r="H483" s="23">
        <f>IF(C483="","",SUMIFS(Analytics!$K$5:$K$154,Analytics!$C$5:$C$154,C483))</f>
        <v>0</v>
      </c>
      <c r="I483" s="23">
        <f>IF(C483="","",SUMIFS(Analytics!$L$5:$L$154,Analytics!$C$5:$C$154,C483))</f>
        <v>0</v>
      </c>
      <c r="J483" s="24">
        <f>IF(OR(G483="",G483=0),"",I483/G483)</f>
        <v>0</v>
      </c>
      <c r="K483" s="23">
        <f>IF(C483="","",SUMIFS(Analytics!$G$5:$G$154,Analytics!$C$5:$C$154,C483))</f>
        <v>0</v>
      </c>
      <c r="L483" s="23">
        <f>IF(C483="","",SUMIFS(Analytics!$X$5:$X$154,Analytics!$C$5:$C$154,C483))</f>
        <v>0</v>
      </c>
      <c r="M483" s="23">
        <f>IF(C483="","",SUMIFS(Analytics!$R$5:$R$154,Analytics!$C$5:$C$154,C483))</f>
        <v>0</v>
      </c>
      <c r="N483" s="23">
        <f>IF(C483="","",SUMIFS(Analytics!$S$5:$S$154,Analytics!$C$5:$C$154,C483))</f>
        <v>0</v>
      </c>
      <c r="O483" s="23">
        <f>IF(C483="","",SUMIFS(Analytics!$T$5:$T$154,Analytics!$C$5:$C$154,C483))</f>
        <v>0</v>
      </c>
      <c r="P483" s="25">
        <f>IF(C483="","",SUMIFS(Analytics!$U$5:$U$154,Analytics!$C$5:$C$154,C483))</f>
        <v>0</v>
      </c>
      <c r="Q483" s="25">
        <f>IF(C483="","",SUMIFS(Budget!$H$5:$H$64,Budget!$C$5:$C$64,C483))</f>
        <v>0</v>
      </c>
      <c r="R483" s="25">
        <f>IF(C483="","",P483-Q483)</f>
        <v>0</v>
      </c>
      <c r="S483" s="23">
        <f>IF(C483="","",MonthlyPostTarget)</f>
        <v>0</v>
      </c>
      <c r="T483" s="17">
        <f>IF(Lists!$C483="","",Lists!$C483)</f>
        <v>0</v>
      </c>
      <c r="U483" s="23">
        <f>IF(T483="","",COUNTIFS('Content Calendar'!$G$5:$G$604,T483,'Content Calendar'!$B$5:$B$604,"&gt;="&amp;DashStart,'Content Calendar'!$B$5:$B$604,"&lt;="&amp;DashEnd))</f>
        <v>0</v>
      </c>
      <c r="V483" s="23">
        <f>IF(T483="","",COUNTIFS('Content Calendar'!$G$5:$G$604,T483,'Content Calendar'!$X$5:$X$604,"Published",'Content Calendar'!$B$5:$B$604,"&gt;="&amp;DashStart,'Content Calendar'!$B$5:$B$604,"&lt;="&amp;DashEnd))</f>
        <v>0</v>
      </c>
      <c r="W483" s="23">
        <f>IF(T483="","",SUMIFS(Analytics!$J$5:$J$154,Analytics!$D$5:$D$154,T483,Analytics!$B$5:$B$154,"&gt;="&amp;DashStart,Analytics!$B$5:$B$154,"&lt;="&amp;DashEnd))</f>
        <v>0</v>
      </c>
      <c r="X483" s="23">
        <f>IF(T483="","",SUMIFS(Analytics!$L$5:$L$154,Analytics!$D$5:$D$154,T483,Analytics!$B$5:$B$154,"&gt;="&amp;DashStart,Analytics!$B$5:$B$154,"&lt;="&amp;DashEnd))</f>
        <v>0</v>
      </c>
      <c r="Y483" s="24">
        <f>IF(OR(W483="",W483=0),"",X483/W483)</f>
        <v>0</v>
      </c>
      <c r="Z483" s="23">
        <f>IF(T483="","",SUMIFS(Analytics!$G$5:$G$154,Analytics!$D$5:$D$154,T483,Analytics!$B$5:$B$154,"&gt;="&amp;DashStart,Analytics!$B$5:$B$154,"&lt;="&amp;DashEnd))</f>
        <v>0</v>
      </c>
      <c r="AA483" s="23">
        <f>IF(T483="","",SUMIFS(Analytics!$X$5:$X$154,Analytics!$D$5:$D$154,T483,Analytics!$B$5:$B$154,"&gt;="&amp;DashStart,Analytics!$B$5:$B$154,"&lt;="&amp;DashEnd))</f>
        <v>0</v>
      </c>
      <c r="AB483" s="23">
        <f>IF(T483="","",SUMIFS(Analytics!$R$5:$R$154,Analytics!$D$5:$D$154,T483,Analytics!$B$5:$B$154,"&gt;="&amp;DashStart,Analytics!$B$5:$B$154,"&lt;="&amp;DashEnd))</f>
        <v>0</v>
      </c>
      <c r="AC483" s="25">
        <f>IF(T483="","",SUMIFS(Analytics!$U$5:$U$154,Analytics!$D$5:$D$154,T483,Analytics!$B$5:$B$154,"&gt;="&amp;DashStart,Analytics!$B$5:$B$154,"&lt;="&amp;DashEnd))</f>
        <v>0</v>
      </c>
      <c r="AD483" s="23">
        <f>IF(T483="","",COUNTIFS('Content Calendar'!$G$5:$G$604,T483,'Content Calendar'!$B$5:$B$604,"&gt;="&amp;DATE(PlanYear,1,1),'Content Calendar'!$B$5:$B$604,"&lt;="&amp;DATE(PlanYear,12,31)))</f>
        <v>0</v>
      </c>
      <c r="AE483" s="23">
        <f>IF(T483="","",SUMIFS(Analytics!$J$5:$J$154,Analytics!$D$5:$D$154,T483))</f>
        <v>0</v>
      </c>
      <c r="AF483" s="23">
        <f>IF(T483="","",SUMIFS(Analytics!$L$5:$L$154,Analytics!$D$5:$D$154,T483))</f>
        <v>0</v>
      </c>
      <c r="AG483" s="24">
        <f>IF(OR(AE483="",AE483=0),"",AF483/AE483)</f>
        <v>0</v>
      </c>
      <c r="AH483" s="23">
        <f>IF(T483="","",SUMIFS(Analytics!$X$5:$X$154,Analytics!$D$5:$D$154,T483))</f>
        <v>0</v>
      </c>
      <c r="AI483" s="32">
        <f>IF(T483="","",IF(AE483=0,"",AE483+ROW()/1000000))</f>
        <v>0</v>
      </c>
      <c r="AJ483" s="17">
        <f>IF('Content Pillars'!$B$483="","",'Content Pillars'!$B$483)</f>
        <v>0</v>
      </c>
      <c r="AK483" s="23">
        <f>IF(AJ483="","",COUNTIFS('Content Calendar'!$J$5:$J$604,AJ483,'Content Calendar'!$B$5:$B$604,"&gt;="&amp;DATE(PlanYear,1,1),'Content Calendar'!$B$5:$B$604,"&lt;="&amp;DATE(PlanYear,12,31)))</f>
        <v>0</v>
      </c>
      <c r="AL483" s="23">
        <f>IF(AJ483="","",SUMIFS(Performance!$O$5:$O$404,Performance!$H$5:$H$404,AJ483))</f>
        <v>0</v>
      </c>
      <c r="AM483" s="23">
        <f>IF(AJ483="","",SUMIFS(Performance!$Z$5:$Z$404,Performance!$H$5:$H$404,AJ483))</f>
        <v>0</v>
      </c>
      <c r="AN483" s="24">
        <f>IF(OR(AL483="",AL483=0),"",AM483/AL483)</f>
        <v>0</v>
      </c>
      <c r="AO483" s="32">
        <f>IF(AN483="","",AN483+ROW()/1000000)</f>
        <v>0</v>
      </c>
      <c r="AP483" s="17">
        <f>IF(Lists!$E483="","",Lists!$E483)</f>
        <v>0</v>
      </c>
      <c r="AQ483" s="23">
        <f>IF(AP483="","",COUNTIF(Performance!$G$5:$G$404,AP483))</f>
        <v>0</v>
      </c>
      <c r="AR483" s="23">
        <f>IF(AP483="","",SUMIFS(Performance!$O$5:$O$404,Performance!$G$5:$G$404,AP483))</f>
        <v>0</v>
      </c>
      <c r="AS483" s="23">
        <f>IF(AP483="","",SUMIFS(Performance!$Z$5:$Z$404,Performance!$G$5:$G$404,AP483))</f>
        <v>0</v>
      </c>
      <c r="AT483" s="24">
        <f>IF(OR(AR483="",AR483=0),"",AS483/AR483)</f>
        <v>0</v>
      </c>
      <c r="AU483" s="32">
        <f>IF(AQ483=0,"",IF(AT483="","",AT483+ROW()/1000000))</f>
        <v>0</v>
      </c>
      <c r="AV483" s="17">
        <f>IF(ROW()-4&gt;7,"",TEXT(DATE(2024,1,ROW()-4),"ddd"))</f>
        <v>0</v>
      </c>
      <c r="AW483" s="23">
        <f>IF(AV483="","",COUNTIF(Performance!$N$5:$N$404,AV483))</f>
        <v>0</v>
      </c>
      <c r="AX483" s="23">
        <f>IF(AV483="","",SUMIFS(Performance!$O$5:$O$404,Performance!$N$5:$N$404,AV483))</f>
        <v>0</v>
      </c>
      <c r="AY483" s="23">
        <f>IF(AV483="","",SUMIFS(Performance!$Z$5:$Z$404,Performance!$N$5:$N$404,AV483))</f>
        <v>0</v>
      </c>
      <c r="AZ483" s="24">
        <f>IF(OR(AX483="",AX483=0),"",AY483/AX483)</f>
        <v>0</v>
      </c>
      <c r="BA483" s="32">
        <f>IF(AW483=0,"",IF(AZ483="","",AZ483+ROW()/1000000))</f>
        <v>0</v>
      </c>
      <c r="BB483" s="17">
        <f>IF(Lists!$AL483="","",Lists!$AL483)</f>
        <v>0</v>
      </c>
      <c r="BC483" s="23">
        <f>IF(BB483="","",COUNTIF(Performance!$M$5:$M$404,BB483))</f>
        <v>0</v>
      </c>
      <c r="BD483" s="23">
        <f>IF(BB483="","",SUMIFS(Performance!$O$5:$O$404,Performance!$M$5:$M$404,BB483))</f>
        <v>0</v>
      </c>
      <c r="BE483" s="23">
        <f>IF(BB483="","",SUMIFS(Performance!$Z$5:$Z$404,Performance!$M$5:$M$404,BB483))</f>
        <v>0</v>
      </c>
      <c r="BF483" s="24">
        <f>IF(OR(BD483="",BD483=0),"",BE483/BD483)</f>
        <v>0</v>
      </c>
      <c r="BG483" s="32">
        <f>IF(BC483=0,"",IF(BF483="","",BF483+ROW()/1000000))</f>
        <v>0</v>
      </c>
      <c r="BH483" s="17">
        <f>IF(Performance!$C$483="","",Performance!$C$483)</f>
        <v>0</v>
      </c>
      <c r="BI483" s="17">
        <f>IF(Performance!$F$483="","",Performance!$F$483)</f>
        <v>0</v>
      </c>
      <c r="BJ483" s="17">
        <f>IF(Performance!$H$483="","",Performance!$H$483)</f>
        <v>0</v>
      </c>
      <c r="BK483" s="16">
        <f>IF(Performance!$D$483="","",Performance!$D$483)</f>
        <v>0</v>
      </c>
      <c r="BL483" s="17">
        <f>IF(Performance!$E$483="","",Performance!$E$483)</f>
        <v>0</v>
      </c>
      <c r="BM483" s="23">
        <f>IF(Performance!$O$483="","",Performance!$O$483)</f>
        <v>0</v>
      </c>
      <c r="BN483" s="24">
        <f>IF(Performance!$AA$483="","",Performance!$AA$483)</f>
        <v>0</v>
      </c>
      <c r="BO483" s="32">
        <f>IF(BH483="","",IF(BK483="","",IF(OR(BK483&lt;DashStart,BK483&gt;DashEnd),"",IF(BN483="","",BN483+ROW()/1000000))))</f>
        <v>0</v>
      </c>
      <c r="BP483" s="32">
        <f>IF(BM483="","",IF(BK483="","",IF(OR(BK483&lt;DashStart,BK483&gt;DashEnd),"",BM483+ROW()/1000000)))</f>
        <v>0</v>
      </c>
      <c r="BQ483" s="32">
        <f>IF(BH483="","",IF(BK483="","",IF(YEAR(BK483)&lt;&gt;PlanYear,"",IF(BN483="","",BN483+ROW()/1000000))))</f>
        <v>0</v>
      </c>
      <c r="BR483" s="32">
        <f>IF(BH483="","",IF(BK483="","",IF(OR(BK483&lt;RepFrom,BK483&gt;RepTo),"",IF(BN483="","",BN483+ROW()/1000000))))</f>
        <v>0</v>
      </c>
      <c r="BS483" s="32">
        <f>IF(BM483="","",IF(BK483="","",IF(YEAR(BK483)&lt;&gt;PlanYear,"",BM483+ROW()/1000000)))</f>
        <v>0</v>
      </c>
      <c r="BT483" s="17">
        <f>IF(Lists!$F483="","",Lists!$F483)</f>
        <v>0</v>
      </c>
      <c r="BU483" s="23">
        <f>IF(BT483="","",COUNTIF('Content Calendar'!$X$5:$X$604,BT483))</f>
        <v>0</v>
      </c>
      <c r="BV483" s="23">
        <f>IF(BT483="","",COUNTIFS('Content Calendar'!$X$5:$X$604,BT483,'Content Calendar'!$B$5:$B$604,"&gt;="&amp;DashStart,'Content Calendar'!$B$5:$B$604,"&lt;="&amp;DashEnd))</f>
        <v>0</v>
      </c>
      <c r="BW483" s="17">
        <f>IF(Team!$B$483="","",Team!$B$483)</f>
        <v>0</v>
      </c>
      <c r="BX483" s="23">
        <f>IF(BW483="","",COUNTIF('Content Calendar'!$W$5:$W$604,BW483))</f>
        <v>0</v>
      </c>
      <c r="BY483" s="23">
        <f>IF(BW483="","",COUNTIFS('Content Calendar'!$W$5:$W$604,BW483,'Content Calendar'!$X$5:$X$604,"&lt;&gt;Published"))</f>
        <v>0</v>
      </c>
      <c r="BZ483" s="23">
        <f>IF(BW483="","",COUNTIFS(Tasks!$C$5:$C$64,BW483,Tasks!$G$5:$G$64,"&lt;&gt;Complete"))</f>
        <v>0</v>
      </c>
      <c r="CA483" s="17">
        <f>IF(Campaigns!$B$483="","",Campaigns!$B$483)</f>
        <v>0</v>
      </c>
      <c r="CB483" s="25">
        <f>IF(Campaigns!$T$483="","",Campaigns!$T$483)</f>
        <v>0</v>
      </c>
      <c r="CC483" s="25">
        <f>IF(Campaigns!$Q$483="","",Campaigns!$Q$483)</f>
        <v>0</v>
      </c>
      <c r="CD483" s="23">
        <f>IF(Campaigns!$Y$483="","",Campaigns!$Y$483)</f>
        <v>0</v>
      </c>
      <c r="CE483" s="32">
        <f>IF(CA483="","",IF(N(CB483)&lt;=0,"",N(CB483)+ROW()/1000000))</f>
        <v>0</v>
      </c>
      <c r="CF483" s="17">
        <f>IF(Accounts!$C$483="","",Accounts!$C$483)</f>
        <v>0</v>
      </c>
      <c r="CG483" s="17">
        <f>IF(Accounts!$B$483="","",Accounts!$B$483)</f>
        <v>0</v>
      </c>
      <c r="CH483" s="23">
        <f>IF(Accounts!$J$483="","",Accounts!$J$483)</f>
        <v>0</v>
      </c>
      <c r="CI483" s="23">
        <f>IF(CF483="","",SUMIFS(Analytics!$X$5:$X$154,Analytics!$E$5:$E$154,CF483,Analytics!$B$5:$B$154,"&gt;="&amp;DashStart,Analytics!$B$5:$B$154,"&lt;="&amp;DashEnd))</f>
        <v>0</v>
      </c>
      <c r="CJ483" s="32">
        <f>IF(CH483="","",IF(CH483=0,"",CH483+ROW()/1000000))</f>
        <v>0</v>
      </c>
    </row>
    <row r="484" spans="1:88">
      <c r="A484" s="16">
        <f>IF(ROW()-4&gt;12,"",DATE(PlanYear,ROW()-4,1))</f>
        <v>0</v>
      </c>
      <c r="B484" s="16">
        <f>IF(A484="","",EOMONTH(A484,0))</f>
        <v>0</v>
      </c>
      <c r="C484" s="17">
        <f>IF(A484="","",TEXT(A484,"yyyy-mm"))</f>
        <v>0</v>
      </c>
      <c r="D484" s="17">
        <f>IF(A484="","",TEXT(A484,"mmm"))</f>
        <v>0</v>
      </c>
      <c r="E484" s="23">
        <f>IF(C484="","",COUNTIFS('Content Calendar'!$D$5:$D$604,C484))</f>
        <v>0</v>
      </c>
      <c r="F484" s="23">
        <f>IF(C484="","",COUNTIFS('Content Calendar'!$D$5:$D$604,C484,'Content Calendar'!$X$5:$X$604,"Published"))</f>
        <v>0</v>
      </c>
      <c r="G484" s="23">
        <f>IF(C484="","",SUMIFS(Analytics!$J$5:$J$154,Analytics!$C$5:$C$154,C484))</f>
        <v>0</v>
      </c>
      <c r="H484" s="23">
        <f>IF(C484="","",SUMIFS(Analytics!$K$5:$K$154,Analytics!$C$5:$C$154,C484))</f>
        <v>0</v>
      </c>
      <c r="I484" s="23">
        <f>IF(C484="","",SUMIFS(Analytics!$L$5:$L$154,Analytics!$C$5:$C$154,C484))</f>
        <v>0</v>
      </c>
      <c r="J484" s="24">
        <f>IF(OR(G484="",G484=0),"",I484/G484)</f>
        <v>0</v>
      </c>
      <c r="K484" s="23">
        <f>IF(C484="","",SUMIFS(Analytics!$G$5:$G$154,Analytics!$C$5:$C$154,C484))</f>
        <v>0</v>
      </c>
      <c r="L484" s="23">
        <f>IF(C484="","",SUMIFS(Analytics!$X$5:$X$154,Analytics!$C$5:$C$154,C484))</f>
        <v>0</v>
      </c>
      <c r="M484" s="23">
        <f>IF(C484="","",SUMIFS(Analytics!$R$5:$R$154,Analytics!$C$5:$C$154,C484))</f>
        <v>0</v>
      </c>
      <c r="N484" s="23">
        <f>IF(C484="","",SUMIFS(Analytics!$S$5:$S$154,Analytics!$C$5:$C$154,C484))</f>
        <v>0</v>
      </c>
      <c r="O484" s="23">
        <f>IF(C484="","",SUMIFS(Analytics!$T$5:$T$154,Analytics!$C$5:$C$154,C484))</f>
        <v>0</v>
      </c>
      <c r="P484" s="25">
        <f>IF(C484="","",SUMIFS(Analytics!$U$5:$U$154,Analytics!$C$5:$C$154,C484))</f>
        <v>0</v>
      </c>
      <c r="Q484" s="25">
        <f>IF(C484="","",SUMIFS(Budget!$H$5:$H$64,Budget!$C$5:$C$64,C484))</f>
        <v>0</v>
      </c>
      <c r="R484" s="25">
        <f>IF(C484="","",P484-Q484)</f>
        <v>0</v>
      </c>
      <c r="S484" s="23">
        <f>IF(C484="","",MonthlyPostTarget)</f>
        <v>0</v>
      </c>
      <c r="T484" s="17">
        <f>IF(Lists!$C484="","",Lists!$C484)</f>
        <v>0</v>
      </c>
      <c r="U484" s="23">
        <f>IF(T484="","",COUNTIFS('Content Calendar'!$G$5:$G$604,T484,'Content Calendar'!$B$5:$B$604,"&gt;="&amp;DashStart,'Content Calendar'!$B$5:$B$604,"&lt;="&amp;DashEnd))</f>
        <v>0</v>
      </c>
      <c r="V484" s="23">
        <f>IF(T484="","",COUNTIFS('Content Calendar'!$G$5:$G$604,T484,'Content Calendar'!$X$5:$X$604,"Published",'Content Calendar'!$B$5:$B$604,"&gt;="&amp;DashStart,'Content Calendar'!$B$5:$B$604,"&lt;="&amp;DashEnd))</f>
        <v>0</v>
      </c>
      <c r="W484" s="23">
        <f>IF(T484="","",SUMIFS(Analytics!$J$5:$J$154,Analytics!$D$5:$D$154,T484,Analytics!$B$5:$B$154,"&gt;="&amp;DashStart,Analytics!$B$5:$B$154,"&lt;="&amp;DashEnd))</f>
        <v>0</v>
      </c>
      <c r="X484" s="23">
        <f>IF(T484="","",SUMIFS(Analytics!$L$5:$L$154,Analytics!$D$5:$D$154,T484,Analytics!$B$5:$B$154,"&gt;="&amp;DashStart,Analytics!$B$5:$B$154,"&lt;="&amp;DashEnd))</f>
        <v>0</v>
      </c>
      <c r="Y484" s="24">
        <f>IF(OR(W484="",W484=0),"",X484/W484)</f>
        <v>0</v>
      </c>
      <c r="Z484" s="23">
        <f>IF(T484="","",SUMIFS(Analytics!$G$5:$G$154,Analytics!$D$5:$D$154,T484,Analytics!$B$5:$B$154,"&gt;="&amp;DashStart,Analytics!$B$5:$B$154,"&lt;="&amp;DashEnd))</f>
        <v>0</v>
      </c>
      <c r="AA484" s="23">
        <f>IF(T484="","",SUMIFS(Analytics!$X$5:$X$154,Analytics!$D$5:$D$154,T484,Analytics!$B$5:$B$154,"&gt;="&amp;DashStart,Analytics!$B$5:$B$154,"&lt;="&amp;DashEnd))</f>
        <v>0</v>
      </c>
      <c r="AB484" s="23">
        <f>IF(T484="","",SUMIFS(Analytics!$R$5:$R$154,Analytics!$D$5:$D$154,T484,Analytics!$B$5:$B$154,"&gt;="&amp;DashStart,Analytics!$B$5:$B$154,"&lt;="&amp;DashEnd))</f>
        <v>0</v>
      </c>
      <c r="AC484" s="25">
        <f>IF(T484="","",SUMIFS(Analytics!$U$5:$U$154,Analytics!$D$5:$D$154,T484,Analytics!$B$5:$B$154,"&gt;="&amp;DashStart,Analytics!$B$5:$B$154,"&lt;="&amp;DashEnd))</f>
        <v>0</v>
      </c>
      <c r="AD484" s="23">
        <f>IF(T484="","",COUNTIFS('Content Calendar'!$G$5:$G$604,T484,'Content Calendar'!$B$5:$B$604,"&gt;="&amp;DATE(PlanYear,1,1),'Content Calendar'!$B$5:$B$604,"&lt;="&amp;DATE(PlanYear,12,31)))</f>
        <v>0</v>
      </c>
      <c r="AE484" s="23">
        <f>IF(T484="","",SUMIFS(Analytics!$J$5:$J$154,Analytics!$D$5:$D$154,T484))</f>
        <v>0</v>
      </c>
      <c r="AF484" s="23">
        <f>IF(T484="","",SUMIFS(Analytics!$L$5:$L$154,Analytics!$D$5:$D$154,T484))</f>
        <v>0</v>
      </c>
      <c r="AG484" s="24">
        <f>IF(OR(AE484="",AE484=0),"",AF484/AE484)</f>
        <v>0</v>
      </c>
      <c r="AH484" s="23">
        <f>IF(T484="","",SUMIFS(Analytics!$X$5:$X$154,Analytics!$D$5:$D$154,T484))</f>
        <v>0</v>
      </c>
      <c r="AI484" s="32">
        <f>IF(T484="","",IF(AE484=0,"",AE484+ROW()/1000000))</f>
        <v>0</v>
      </c>
      <c r="AJ484" s="17">
        <f>IF('Content Pillars'!$B$484="","",'Content Pillars'!$B$484)</f>
        <v>0</v>
      </c>
      <c r="AK484" s="23">
        <f>IF(AJ484="","",COUNTIFS('Content Calendar'!$J$5:$J$604,AJ484,'Content Calendar'!$B$5:$B$604,"&gt;="&amp;DATE(PlanYear,1,1),'Content Calendar'!$B$5:$B$604,"&lt;="&amp;DATE(PlanYear,12,31)))</f>
        <v>0</v>
      </c>
      <c r="AL484" s="23">
        <f>IF(AJ484="","",SUMIFS(Performance!$O$5:$O$404,Performance!$H$5:$H$404,AJ484))</f>
        <v>0</v>
      </c>
      <c r="AM484" s="23">
        <f>IF(AJ484="","",SUMIFS(Performance!$Z$5:$Z$404,Performance!$H$5:$H$404,AJ484))</f>
        <v>0</v>
      </c>
      <c r="AN484" s="24">
        <f>IF(OR(AL484="",AL484=0),"",AM484/AL484)</f>
        <v>0</v>
      </c>
      <c r="AO484" s="32">
        <f>IF(AN484="","",AN484+ROW()/1000000)</f>
        <v>0</v>
      </c>
      <c r="AP484" s="17">
        <f>IF(Lists!$E484="","",Lists!$E484)</f>
        <v>0</v>
      </c>
      <c r="AQ484" s="23">
        <f>IF(AP484="","",COUNTIF(Performance!$G$5:$G$404,AP484))</f>
        <v>0</v>
      </c>
      <c r="AR484" s="23">
        <f>IF(AP484="","",SUMIFS(Performance!$O$5:$O$404,Performance!$G$5:$G$404,AP484))</f>
        <v>0</v>
      </c>
      <c r="AS484" s="23">
        <f>IF(AP484="","",SUMIFS(Performance!$Z$5:$Z$404,Performance!$G$5:$G$404,AP484))</f>
        <v>0</v>
      </c>
      <c r="AT484" s="24">
        <f>IF(OR(AR484="",AR484=0),"",AS484/AR484)</f>
        <v>0</v>
      </c>
      <c r="AU484" s="32">
        <f>IF(AQ484=0,"",IF(AT484="","",AT484+ROW()/1000000))</f>
        <v>0</v>
      </c>
      <c r="AV484" s="17">
        <f>IF(ROW()-4&gt;7,"",TEXT(DATE(2024,1,ROW()-4),"ddd"))</f>
        <v>0</v>
      </c>
      <c r="AW484" s="23">
        <f>IF(AV484="","",COUNTIF(Performance!$N$5:$N$404,AV484))</f>
        <v>0</v>
      </c>
      <c r="AX484" s="23">
        <f>IF(AV484="","",SUMIFS(Performance!$O$5:$O$404,Performance!$N$5:$N$404,AV484))</f>
        <v>0</v>
      </c>
      <c r="AY484" s="23">
        <f>IF(AV484="","",SUMIFS(Performance!$Z$5:$Z$404,Performance!$N$5:$N$404,AV484))</f>
        <v>0</v>
      </c>
      <c r="AZ484" s="24">
        <f>IF(OR(AX484="",AX484=0),"",AY484/AX484)</f>
        <v>0</v>
      </c>
      <c r="BA484" s="32">
        <f>IF(AW484=0,"",IF(AZ484="","",AZ484+ROW()/1000000))</f>
        <v>0</v>
      </c>
      <c r="BB484" s="17">
        <f>IF(Lists!$AL484="","",Lists!$AL484)</f>
        <v>0</v>
      </c>
      <c r="BC484" s="23">
        <f>IF(BB484="","",COUNTIF(Performance!$M$5:$M$404,BB484))</f>
        <v>0</v>
      </c>
      <c r="BD484" s="23">
        <f>IF(BB484="","",SUMIFS(Performance!$O$5:$O$404,Performance!$M$5:$M$404,BB484))</f>
        <v>0</v>
      </c>
      <c r="BE484" s="23">
        <f>IF(BB484="","",SUMIFS(Performance!$Z$5:$Z$404,Performance!$M$5:$M$404,BB484))</f>
        <v>0</v>
      </c>
      <c r="BF484" s="24">
        <f>IF(OR(BD484="",BD484=0),"",BE484/BD484)</f>
        <v>0</v>
      </c>
      <c r="BG484" s="32">
        <f>IF(BC484=0,"",IF(BF484="","",BF484+ROW()/1000000))</f>
        <v>0</v>
      </c>
      <c r="BH484" s="17">
        <f>IF(Performance!$C$484="","",Performance!$C$484)</f>
        <v>0</v>
      </c>
      <c r="BI484" s="17">
        <f>IF(Performance!$F$484="","",Performance!$F$484)</f>
        <v>0</v>
      </c>
      <c r="BJ484" s="17">
        <f>IF(Performance!$H$484="","",Performance!$H$484)</f>
        <v>0</v>
      </c>
      <c r="BK484" s="16">
        <f>IF(Performance!$D$484="","",Performance!$D$484)</f>
        <v>0</v>
      </c>
      <c r="BL484" s="17">
        <f>IF(Performance!$E$484="","",Performance!$E$484)</f>
        <v>0</v>
      </c>
      <c r="BM484" s="23">
        <f>IF(Performance!$O$484="","",Performance!$O$484)</f>
        <v>0</v>
      </c>
      <c r="BN484" s="24">
        <f>IF(Performance!$AA$484="","",Performance!$AA$484)</f>
        <v>0</v>
      </c>
      <c r="BO484" s="32">
        <f>IF(BH484="","",IF(BK484="","",IF(OR(BK484&lt;DashStart,BK484&gt;DashEnd),"",IF(BN484="","",BN484+ROW()/1000000))))</f>
        <v>0</v>
      </c>
      <c r="BP484" s="32">
        <f>IF(BM484="","",IF(BK484="","",IF(OR(BK484&lt;DashStart,BK484&gt;DashEnd),"",BM484+ROW()/1000000)))</f>
        <v>0</v>
      </c>
      <c r="BQ484" s="32">
        <f>IF(BH484="","",IF(BK484="","",IF(YEAR(BK484)&lt;&gt;PlanYear,"",IF(BN484="","",BN484+ROW()/1000000))))</f>
        <v>0</v>
      </c>
      <c r="BR484" s="32">
        <f>IF(BH484="","",IF(BK484="","",IF(OR(BK484&lt;RepFrom,BK484&gt;RepTo),"",IF(BN484="","",BN484+ROW()/1000000))))</f>
        <v>0</v>
      </c>
      <c r="BS484" s="32">
        <f>IF(BM484="","",IF(BK484="","",IF(YEAR(BK484)&lt;&gt;PlanYear,"",BM484+ROW()/1000000)))</f>
        <v>0</v>
      </c>
      <c r="BT484" s="17">
        <f>IF(Lists!$F484="","",Lists!$F484)</f>
        <v>0</v>
      </c>
      <c r="BU484" s="23">
        <f>IF(BT484="","",COUNTIF('Content Calendar'!$X$5:$X$604,BT484))</f>
        <v>0</v>
      </c>
      <c r="BV484" s="23">
        <f>IF(BT484="","",COUNTIFS('Content Calendar'!$X$5:$X$604,BT484,'Content Calendar'!$B$5:$B$604,"&gt;="&amp;DashStart,'Content Calendar'!$B$5:$B$604,"&lt;="&amp;DashEnd))</f>
        <v>0</v>
      </c>
      <c r="BW484" s="17">
        <f>IF(Team!$B$484="","",Team!$B$484)</f>
        <v>0</v>
      </c>
      <c r="BX484" s="23">
        <f>IF(BW484="","",COUNTIF('Content Calendar'!$W$5:$W$604,BW484))</f>
        <v>0</v>
      </c>
      <c r="BY484" s="23">
        <f>IF(BW484="","",COUNTIFS('Content Calendar'!$W$5:$W$604,BW484,'Content Calendar'!$X$5:$X$604,"&lt;&gt;Published"))</f>
        <v>0</v>
      </c>
      <c r="BZ484" s="23">
        <f>IF(BW484="","",COUNTIFS(Tasks!$C$5:$C$64,BW484,Tasks!$G$5:$G$64,"&lt;&gt;Complete"))</f>
        <v>0</v>
      </c>
      <c r="CA484" s="17">
        <f>IF(Campaigns!$B$484="","",Campaigns!$B$484)</f>
        <v>0</v>
      </c>
      <c r="CB484" s="25">
        <f>IF(Campaigns!$T$484="","",Campaigns!$T$484)</f>
        <v>0</v>
      </c>
      <c r="CC484" s="25">
        <f>IF(Campaigns!$Q$484="","",Campaigns!$Q$484)</f>
        <v>0</v>
      </c>
      <c r="CD484" s="23">
        <f>IF(Campaigns!$Y$484="","",Campaigns!$Y$484)</f>
        <v>0</v>
      </c>
      <c r="CE484" s="32">
        <f>IF(CA484="","",IF(N(CB484)&lt;=0,"",N(CB484)+ROW()/1000000))</f>
        <v>0</v>
      </c>
      <c r="CF484" s="17">
        <f>IF(Accounts!$C$484="","",Accounts!$C$484)</f>
        <v>0</v>
      </c>
      <c r="CG484" s="17">
        <f>IF(Accounts!$B$484="","",Accounts!$B$484)</f>
        <v>0</v>
      </c>
      <c r="CH484" s="23">
        <f>IF(Accounts!$J$484="","",Accounts!$J$484)</f>
        <v>0</v>
      </c>
      <c r="CI484" s="23">
        <f>IF(CF484="","",SUMIFS(Analytics!$X$5:$X$154,Analytics!$E$5:$E$154,CF484,Analytics!$B$5:$B$154,"&gt;="&amp;DashStart,Analytics!$B$5:$B$154,"&lt;="&amp;DashEnd))</f>
        <v>0</v>
      </c>
      <c r="CJ484" s="32">
        <f>IF(CH484="","",IF(CH484=0,"",CH484+ROW()/1000000))</f>
        <v>0</v>
      </c>
    </row>
    <row r="485" spans="1:88">
      <c r="A485" s="16">
        <f>IF(ROW()-4&gt;12,"",DATE(PlanYear,ROW()-4,1))</f>
        <v>0</v>
      </c>
      <c r="B485" s="16">
        <f>IF(A485="","",EOMONTH(A485,0))</f>
        <v>0</v>
      </c>
      <c r="C485" s="17">
        <f>IF(A485="","",TEXT(A485,"yyyy-mm"))</f>
        <v>0</v>
      </c>
      <c r="D485" s="17">
        <f>IF(A485="","",TEXT(A485,"mmm"))</f>
        <v>0</v>
      </c>
      <c r="E485" s="23">
        <f>IF(C485="","",COUNTIFS('Content Calendar'!$D$5:$D$604,C485))</f>
        <v>0</v>
      </c>
      <c r="F485" s="23">
        <f>IF(C485="","",COUNTIFS('Content Calendar'!$D$5:$D$604,C485,'Content Calendar'!$X$5:$X$604,"Published"))</f>
        <v>0</v>
      </c>
      <c r="G485" s="23">
        <f>IF(C485="","",SUMIFS(Analytics!$J$5:$J$154,Analytics!$C$5:$C$154,C485))</f>
        <v>0</v>
      </c>
      <c r="H485" s="23">
        <f>IF(C485="","",SUMIFS(Analytics!$K$5:$K$154,Analytics!$C$5:$C$154,C485))</f>
        <v>0</v>
      </c>
      <c r="I485" s="23">
        <f>IF(C485="","",SUMIFS(Analytics!$L$5:$L$154,Analytics!$C$5:$C$154,C485))</f>
        <v>0</v>
      </c>
      <c r="J485" s="24">
        <f>IF(OR(G485="",G485=0),"",I485/G485)</f>
        <v>0</v>
      </c>
      <c r="K485" s="23">
        <f>IF(C485="","",SUMIFS(Analytics!$G$5:$G$154,Analytics!$C$5:$C$154,C485))</f>
        <v>0</v>
      </c>
      <c r="L485" s="23">
        <f>IF(C485="","",SUMIFS(Analytics!$X$5:$X$154,Analytics!$C$5:$C$154,C485))</f>
        <v>0</v>
      </c>
      <c r="M485" s="23">
        <f>IF(C485="","",SUMIFS(Analytics!$R$5:$R$154,Analytics!$C$5:$C$154,C485))</f>
        <v>0</v>
      </c>
      <c r="N485" s="23">
        <f>IF(C485="","",SUMIFS(Analytics!$S$5:$S$154,Analytics!$C$5:$C$154,C485))</f>
        <v>0</v>
      </c>
      <c r="O485" s="23">
        <f>IF(C485="","",SUMIFS(Analytics!$T$5:$T$154,Analytics!$C$5:$C$154,C485))</f>
        <v>0</v>
      </c>
      <c r="P485" s="25">
        <f>IF(C485="","",SUMIFS(Analytics!$U$5:$U$154,Analytics!$C$5:$C$154,C485))</f>
        <v>0</v>
      </c>
      <c r="Q485" s="25">
        <f>IF(C485="","",SUMIFS(Budget!$H$5:$H$64,Budget!$C$5:$C$64,C485))</f>
        <v>0</v>
      </c>
      <c r="R485" s="25">
        <f>IF(C485="","",P485-Q485)</f>
        <v>0</v>
      </c>
      <c r="S485" s="23">
        <f>IF(C485="","",MonthlyPostTarget)</f>
        <v>0</v>
      </c>
      <c r="T485" s="17">
        <f>IF(Lists!$C485="","",Lists!$C485)</f>
        <v>0</v>
      </c>
      <c r="U485" s="23">
        <f>IF(T485="","",COUNTIFS('Content Calendar'!$G$5:$G$604,T485,'Content Calendar'!$B$5:$B$604,"&gt;="&amp;DashStart,'Content Calendar'!$B$5:$B$604,"&lt;="&amp;DashEnd))</f>
        <v>0</v>
      </c>
      <c r="V485" s="23">
        <f>IF(T485="","",COUNTIFS('Content Calendar'!$G$5:$G$604,T485,'Content Calendar'!$X$5:$X$604,"Published",'Content Calendar'!$B$5:$B$604,"&gt;="&amp;DashStart,'Content Calendar'!$B$5:$B$604,"&lt;="&amp;DashEnd))</f>
        <v>0</v>
      </c>
      <c r="W485" s="23">
        <f>IF(T485="","",SUMIFS(Analytics!$J$5:$J$154,Analytics!$D$5:$D$154,T485,Analytics!$B$5:$B$154,"&gt;="&amp;DashStart,Analytics!$B$5:$B$154,"&lt;="&amp;DashEnd))</f>
        <v>0</v>
      </c>
      <c r="X485" s="23">
        <f>IF(T485="","",SUMIFS(Analytics!$L$5:$L$154,Analytics!$D$5:$D$154,T485,Analytics!$B$5:$B$154,"&gt;="&amp;DashStart,Analytics!$B$5:$B$154,"&lt;="&amp;DashEnd))</f>
        <v>0</v>
      </c>
      <c r="Y485" s="24">
        <f>IF(OR(W485="",W485=0),"",X485/W485)</f>
        <v>0</v>
      </c>
      <c r="Z485" s="23">
        <f>IF(T485="","",SUMIFS(Analytics!$G$5:$G$154,Analytics!$D$5:$D$154,T485,Analytics!$B$5:$B$154,"&gt;="&amp;DashStart,Analytics!$B$5:$B$154,"&lt;="&amp;DashEnd))</f>
        <v>0</v>
      </c>
      <c r="AA485" s="23">
        <f>IF(T485="","",SUMIFS(Analytics!$X$5:$X$154,Analytics!$D$5:$D$154,T485,Analytics!$B$5:$B$154,"&gt;="&amp;DashStart,Analytics!$B$5:$B$154,"&lt;="&amp;DashEnd))</f>
        <v>0</v>
      </c>
      <c r="AB485" s="23">
        <f>IF(T485="","",SUMIFS(Analytics!$R$5:$R$154,Analytics!$D$5:$D$154,T485,Analytics!$B$5:$B$154,"&gt;="&amp;DashStart,Analytics!$B$5:$B$154,"&lt;="&amp;DashEnd))</f>
        <v>0</v>
      </c>
      <c r="AC485" s="25">
        <f>IF(T485="","",SUMIFS(Analytics!$U$5:$U$154,Analytics!$D$5:$D$154,T485,Analytics!$B$5:$B$154,"&gt;="&amp;DashStart,Analytics!$B$5:$B$154,"&lt;="&amp;DashEnd))</f>
        <v>0</v>
      </c>
      <c r="AD485" s="23">
        <f>IF(T485="","",COUNTIFS('Content Calendar'!$G$5:$G$604,T485,'Content Calendar'!$B$5:$B$604,"&gt;="&amp;DATE(PlanYear,1,1),'Content Calendar'!$B$5:$B$604,"&lt;="&amp;DATE(PlanYear,12,31)))</f>
        <v>0</v>
      </c>
      <c r="AE485" s="23">
        <f>IF(T485="","",SUMIFS(Analytics!$J$5:$J$154,Analytics!$D$5:$D$154,T485))</f>
        <v>0</v>
      </c>
      <c r="AF485" s="23">
        <f>IF(T485="","",SUMIFS(Analytics!$L$5:$L$154,Analytics!$D$5:$D$154,T485))</f>
        <v>0</v>
      </c>
      <c r="AG485" s="24">
        <f>IF(OR(AE485="",AE485=0),"",AF485/AE485)</f>
        <v>0</v>
      </c>
      <c r="AH485" s="23">
        <f>IF(T485="","",SUMIFS(Analytics!$X$5:$X$154,Analytics!$D$5:$D$154,T485))</f>
        <v>0</v>
      </c>
      <c r="AI485" s="32">
        <f>IF(T485="","",IF(AE485=0,"",AE485+ROW()/1000000))</f>
        <v>0</v>
      </c>
      <c r="AJ485" s="17">
        <f>IF('Content Pillars'!$B$485="","",'Content Pillars'!$B$485)</f>
        <v>0</v>
      </c>
      <c r="AK485" s="23">
        <f>IF(AJ485="","",COUNTIFS('Content Calendar'!$J$5:$J$604,AJ485,'Content Calendar'!$B$5:$B$604,"&gt;="&amp;DATE(PlanYear,1,1),'Content Calendar'!$B$5:$B$604,"&lt;="&amp;DATE(PlanYear,12,31)))</f>
        <v>0</v>
      </c>
      <c r="AL485" s="23">
        <f>IF(AJ485="","",SUMIFS(Performance!$O$5:$O$404,Performance!$H$5:$H$404,AJ485))</f>
        <v>0</v>
      </c>
      <c r="AM485" s="23">
        <f>IF(AJ485="","",SUMIFS(Performance!$Z$5:$Z$404,Performance!$H$5:$H$404,AJ485))</f>
        <v>0</v>
      </c>
      <c r="AN485" s="24">
        <f>IF(OR(AL485="",AL485=0),"",AM485/AL485)</f>
        <v>0</v>
      </c>
      <c r="AO485" s="32">
        <f>IF(AN485="","",AN485+ROW()/1000000)</f>
        <v>0</v>
      </c>
      <c r="AP485" s="17">
        <f>IF(Lists!$E485="","",Lists!$E485)</f>
        <v>0</v>
      </c>
      <c r="AQ485" s="23">
        <f>IF(AP485="","",COUNTIF(Performance!$G$5:$G$404,AP485))</f>
        <v>0</v>
      </c>
      <c r="AR485" s="23">
        <f>IF(AP485="","",SUMIFS(Performance!$O$5:$O$404,Performance!$G$5:$G$404,AP485))</f>
        <v>0</v>
      </c>
      <c r="AS485" s="23">
        <f>IF(AP485="","",SUMIFS(Performance!$Z$5:$Z$404,Performance!$G$5:$G$404,AP485))</f>
        <v>0</v>
      </c>
      <c r="AT485" s="24">
        <f>IF(OR(AR485="",AR485=0),"",AS485/AR485)</f>
        <v>0</v>
      </c>
      <c r="AU485" s="32">
        <f>IF(AQ485=0,"",IF(AT485="","",AT485+ROW()/1000000))</f>
        <v>0</v>
      </c>
      <c r="AV485" s="17">
        <f>IF(ROW()-4&gt;7,"",TEXT(DATE(2024,1,ROW()-4),"ddd"))</f>
        <v>0</v>
      </c>
      <c r="AW485" s="23">
        <f>IF(AV485="","",COUNTIF(Performance!$N$5:$N$404,AV485))</f>
        <v>0</v>
      </c>
      <c r="AX485" s="23">
        <f>IF(AV485="","",SUMIFS(Performance!$O$5:$O$404,Performance!$N$5:$N$404,AV485))</f>
        <v>0</v>
      </c>
      <c r="AY485" s="23">
        <f>IF(AV485="","",SUMIFS(Performance!$Z$5:$Z$404,Performance!$N$5:$N$404,AV485))</f>
        <v>0</v>
      </c>
      <c r="AZ485" s="24">
        <f>IF(OR(AX485="",AX485=0),"",AY485/AX485)</f>
        <v>0</v>
      </c>
      <c r="BA485" s="32">
        <f>IF(AW485=0,"",IF(AZ485="","",AZ485+ROW()/1000000))</f>
        <v>0</v>
      </c>
      <c r="BB485" s="17">
        <f>IF(Lists!$AL485="","",Lists!$AL485)</f>
        <v>0</v>
      </c>
      <c r="BC485" s="23">
        <f>IF(BB485="","",COUNTIF(Performance!$M$5:$M$404,BB485))</f>
        <v>0</v>
      </c>
      <c r="BD485" s="23">
        <f>IF(BB485="","",SUMIFS(Performance!$O$5:$O$404,Performance!$M$5:$M$404,BB485))</f>
        <v>0</v>
      </c>
      <c r="BE485" s="23">
        <f>IF(BB485="","",SUMIFS(Performance!$Z$5:$Z$404,Performance!$M$5:$M$404,BB485))</f>
        <v>0</v>
      </c>
      <c r="BF485" s="24">
        <f>IF(OR(BD485="",BD485=0),"",BE485/BD485)</f>
        <v>0</v>
      </c>
      <c r="BG485" s="32">
        <f>IF(BC485=0,"",IF(BF485="","",BF485+ROW()/1000000))</f>
        <v>0</v>
      </c>
      <c r="BH485" s="17">
        <f>IF(Performance!$C$485="","",Performance!$C$485)</f>
        <v>0</v>
      </c>
      <c r="BI485" s="17">
        <f>IF(Performance!$F$485="","",Performance!$F$485)</f>
        <v>0</v>
      </c>
      <c r="BJ485" s="17">
        <f>IF(Performance!$H$485="","",Performance!$H$485)</f>
        <v>0</v>
      </c>
      <c r="BK485" s="16">
        <f>IF(Performance!$D$485="","",Performance!$D$485)</f>
        <v>0</v>
      </c>
      <c r="BL485" s="17">
        <f>IF(Performance!$E$485="","",Performance!$E$485)</f>
        <v>0</v>
      </c>
      <c r="BM485" s="23">
        <f>IF(Performance!$O$485="","",Performance!$O$485)</f>
        <v>0</v>
      </c>
      <c r="BN485" s="24">
        <f>IF(Performance!$AA$485="","",Performance!$AA$485)</f>
        <v>0</v>
      </c>
      <c r="BO485" s="32">
        <f>IF(BH485="","",IF(BK485="","",IF(OR(BK485&lt;DashStart,BK485&gt;DashEnd),"",IF(BN485="","",BN485+ROW()/1000000))))</f>
        <v>0</v>
      </c>
      <c r="BP485" s="32">
        <f>IF(BM485="","",IF(BK485="","",IF(OR(BK485&lt;DashStart,BK485&gt;DashEnd),"",BM485+ROW()/1000000)))</f>
        <v>0</v>
      </c>
      <c r="BQ485" s="32">
        <f>IF(BH485="","",IF(BK485="","",IF(YEAR(BK485)&lt;&gt;PlanYear,"",IF(BN485="","",BN485+ROW()/1000000))))</f>
        <v>0</v>
      </c>
      <c r="BR485" s="32">
        <f>IF(BH485="","",IF(BK485="","",IF(OR(BK485&lt;RepFrom,BK485&gt;RepTo),"",IF(BN485="","",BN485+ROW()/1000000))))</f>
        <v>0</v>
      </c>
      <c r="BS485" s="32">
        <f>IF(BM485="","",IF(BK485="","",IF(YEAR(BK485)&lt;&gt;PlanYear,"",BM485+ROW()/1000000)))</f>
        <v>0</v>
      </c>
      <c r="BT485" s="17">
        <f>IF(Lists!$F485="","",Lists!$F485)</f>
        <v>0</v>
      </c>
      <c r="BU485" s="23">
        <f>IF(BT485="","",COUNTIF('Content Calendar'!$X$5:$X$604,BT485))</f>
        <v>0</v>
      </c>
      <c r="BV485" s="23">
        <f>IF(BT485="","",COUNTIFS('Content Calendar'!$X$5:$X$604,BT485,'Content Calendar'!$B$5:$B$604,"&gt;="&amp;DashStart,'Content Calendar'!$B$5:$B$604,"&lt;="&amp;DashEnd))</f>
        <v>0</v>
      </c>
      <c r="BW485" s="17">
        <f>IF(Team!$B$485="","",Team!$B$485)</f>
        <v>0</v>
      </c>
      <c r="BX485" s="23">
        <f>IF(BW485="","",COUNTIF('Content Calendar'!$W$5:$W$604,BW485))</f>
        <v>0</v>
      </c>
      <c r="BY485" s="23">
        <f>IF(BW485="","",COUNTIFS('Content Calendar'!$W$5:$W$604,BW485,'Content Calendar'!$X$5:$X$604,"&lt;&gt;Published"))</f>
        <v>0</v>
      </c>
      <c r="BZ485" s="23">
        <f>IF(BW485="","",COUNTIFS(Tasks!$C$5:$C$64,BW485,Tasks!$G$5:$G$64,"&lt;&gt;Complete"))</f>
        <v>0</v>
      </c>
      <c r="CA485" s="17">
        <f>IF(Campaigns!$B$485="","",Campaigns!$B$485)</f>
        <v>0</v>
      </c>
      <c r="CB485" s="25">
        <f>IF(Campaigns!$T$485="","",Campaigns!$T$485)</f>
        <v>0</v>
      </c>
      <c r="CC485" s="25">
        <f>IF(Campaigns!$Q$485="","",Campaigns!$Q$485)</f>
        <v>0</v>
      </c>
      <c r="CD485" s="23">
        <f>IF(Campaigns!$Y$485="","",Campaigns!$Y$485)</f>
        <v>0</v>
      </c>
      <c r="CE485" s="32">
        <f>IF(CA485="","",IF(N(CB485)&lt;=0,"",N(CB485)+ROW()/1000000))</f>
        <v>0</v>
      </c>
      <c r="CF485" s="17">
        <f>IF(Accounts!$C$485="","",Accounts!$C$485)</f>
        <v>0</v>
      </c>
      <c r="CG485" s="17">
        <f>IF(Accounts!$B$485="","",Accounts!$B$485)</f>
        <v>0</v>
      </c>
      <c r="CH485" s="23">
        <f>IF(Accounts!$J$485="","",Accounts!$J$485)</f>
        <v>0</v>
      </c>
      <c r="CI485" s="23">
        <f>IF(CF485="","",SUMIFS(Analytics!$X$5:$X$154,Analytics!$E$5:$E$154,CF485,Analytics!$B$5:$B$154,"&gt;="&amp;DashStart,Analytics!$B$5:$B$154,"&lt;="&amp;DashEnd))</f>
        <v>0</v>
      </c>
      <c r="CJ485" s="32">
        <f>IF(CH485="","",IF(CH485=0,"",CH485+ROW()/1000000))</f>
        <v>0</v>
      </c>
    </row>
    <row r="486" spans="1:88">
      <c r="A486" s="16">
        <f>IF(ROW()-4&gt;12,"",DATE(PlanYear,ROW()-4,1))</f>
        <v>0</v>
      </c>
      <c r="B486" s="16">
        <f>IF(A486="","",EOMONTH(A486,0))</f>
        <v>0</v>
      </c>
      <c r="C486" s="17">
        <f>IF(A486="","",TEXT(A486,"yyyy-mm"))</f>
        <v>0</v>
      </c>
      <c r="D486" s="17">
        <f>IF(A486="","",TEXT(A486,"mmm"))</f>
        <v>0</v>
      </c>
      <c r="E486" s="23">
        <f>IF(C486="","",COUNTIFS('Content Calendar'!$D$5:$D$604,C486))</f>
        <v>0</v>
      </c>
      <c r="F486" s="23">
        <f>IF(C486="","",COUNTIFS('Content Calendar'!$D$5:$D$604,C486,'Content Calendar'!$X$5:$X$604,"Published"))</f>
        <v>0</v>
      </c>
      <c r="G486" s="23">
        <f>IF(C486="","",SUMIFS(Analytics!$J$5:$J$154,Analytics!$C$5:$C$154,C486))</f>
        <v>0</v>
      </c>
      <c r="H486" s="23">
        <f>IF(C486="","",SUMIFS(Analytics!$K$5:$K$154,Analytics!$C$5:$C$154,C486))</f>
        <v>0</v>
      </c>
      <c r="I486" s="23">
        <f>IF(C486="","",SUMIFS(Analytics!$L$5:$L$154,Analytics!$C$5:$C$154,C486))</f>
        <v>0</v>
      </c>
      <c r="J486" s="24">
        <f>IF(OR(G486="",G486=0),"",I486/G486)</f>
        <v>0</v>
      </c>
      <c r="K486" s="23">
        <f>IF(C486="","",SUMIFS(Analytics!$G$5:$G$154,Analytics!$C$5:$C$154,C486))</f>
        <v>0</v>
      </c>
      <c r="L486" s="23">
        <f>IF(C486="","",SUMIFS(Analytics!$X$5:$X$154,Analytics!$C$5:$C$154,C486))</f>
        <v>0</v>
      </c>
      <c r="M486" s="23">
        <f>IF(C486="","",SUMIFS(Analytics!$R$5:$R$154,Analytics!$C$5:$C$154,C486))</f>
        <v>0</v>
      </c>
      <c r="N486" s="23">
        <f>IF(C486="","",SUMIFS(Analytics!$S$5:$S$154,Analytics!$C$5:$C$154,C486))</f>
        <v>0</v>
      </c>
      <c r="O486" s="23">
        <f>IF(C486="","",SUMIFS(Analytics!$T$5:$T$154,Analytics!$C$5:$C$154,C486))</f>
        <v>0</v>
      </c>
      <c r="P486" s="25">
        <f>IF(C486="","",SUMIFS(Analytics!$U$5:$U$154,Analytics!$C$5:$C$154,C486))</f>
        <v>0</v>
      </c>
      <c r="Q486" s="25">
        <f>IF(C486="","",SUMIFS(Budget!$H$5:$H$64,Budget!$C$5:$C$64,C486))</f>
        <v>0</v>
      </c>
      <c r="R486" s="25">
        <f>IF(C486="","",P486-Q486)</f>
        <v>0</v>
      </c>
      <c r="S486" s="23">
        <f>IF(C486="","",MonthlyPostTarget)</f>
        <v>0</v>
      </c>
      <c r="T486" s="17">
        <f>IF(Lists!$C486="","",Lists!$C486)</f>
        <v>0</v>
      </c>
      <c r="U486" s="23">
        <f>IF(T486="","",COUNTIFS('Content Calendar'!$G$5:$G$604,T486,'Content Calendar'!$B$5:$B$604,"&gt;="&amp;DashStart,'Content Calendar'!$B$5:$B$604,"&lt;="&amp;DashEnd))</f>
        <v>0</v>
      </c>
      <c r="V486" s="23">
        <f>IF(T486="","",COUNTIFS('Content Calendar'!$G$5:$G$604,T486,'Content Calendar'!$X$5:$X$604,"Published",'Content Calendar'!$B$5:$B$604,"&gt;="&amp;DashStart,'Content Calendar'!$B$5:$B$604,"&lt;="&amp;DashEnd))</f>
        <v>0</v>
      </c>
      <c r="W486" s="23">
        <f>IF(T486="","",SUMIFS(Analytics!$J$5:$J$154,Analytics!$D$5:$D$154,T486,Analytics!$B$5:$B$154,"&gt;="&amp;DashStart,Analytics!$B$5:$B$154,"&lt;="&amp;DashEnd))</f>
        <v>0</v>
      </c>
      <c r="X486" s="23">
        <f>IF(T486="","",SUMIFS(Analytics!$L$5:$L$154,Analytics!$D$5:$D$154,T486,Analytics!$B$5:$B$154,"&gt;="&amp;DashStart,Analytics!$B$5:$B$154,"&lt;="&amp;DashEnd))</f>
        <v>0</v>
      </c>
      <c r="Y486" s="24">
        <f>IF(OR(W486="",W486=0),"",X486/W486)</f>
        <v>0</v>
      </c>
      <c r="Z486" s="23">
        <f>IF(T486="","",SUMIFS(Analytics!$G$5:$G$154,Analytics!$D$5:$D$154,T486,Analytics!$B$5:$B$154,"&gt;="&amp;DashStart,Analytics!$B$5:$B$154,"&lt;="&amp;DashEnd))</f>
        <v>0</v>
      </c>
      <c r="AA486" s="23">
        <f>IF(T486="","",SUMIFS(Analytics!$X$5:$X$154,Analytics!$D$5:$D$154,T486,Analytics!$B$5:$B$154,"&gt;="&amp;DashStart,Analytics!$B$5:$B$154,"&lt;="&amp;DashEnd))</f>
        <v>0</v>
      </c>
      <c r="AB486" s="23">
        <f>IF(T486="","",SUMIFS(Analytics!$R$5:$R$154,Analytics!$D$5:$D$154,T486,Analytics!$B$5:$B$154,"&gt;="&amp;DashStart,Analytics!$B$5:$B$154,"&lt;="&amp;DashEnd))</f>
        <v>0</v>
      </c>
      <c r="AC486" s="25">
        <f>IF(T486="","",SUMIFS(Analytics!$U$5:$U$154,Analytics!$D$5:$D$154,T486,Analytics!$B$5:$B$154,"&gt;="&amp;DashStart,Analytics!$B$5:$B$154,"&lt;="&amp;DashEnd))</f>
        <v>0</v>
      </c>
      <c r="AD486" s="23">
        <f>IF(T486="","",COUNTIFS('Content Calendar'!$G$5:$G$604,T486,'Content Calendar'!$B$5:$B$604,"&gt;="&amp;DATE(PlanYear,1,1),'Content Calendar'!$B$5:$B$604,"&lt;="&amp;DATE(PlanYear,12,31)))</f>
        <v>0</v>
      </c>
      <c r="AE486" s="23">
        <f>IF(T486="","",SUMIFS(Analytics!$J$5:$J$154,Analytics!$D$5:$D$154,T486))</f>
        <v>0</v>
      </c>
      <c r="AF486" s="23">
        <f>IF(T486="","",SUMIFS(Analytics!$L$5:$L$154,Analytics!$D$5:$D$154,T486))</f>
        <v>0</v>
      </c>
      <c r="AG486" s="24">
        <f>IF(OR(AE486="",AE486=0),"",AF486/AE486)</f>
        <v>0</v>
      </c>
      <c r="AH486" s="23">
        <f>IF(T486="","",SUMIFS(Analytics!$X$5:$X$154,Analytics!$D$5:$D$154,T486))</f>
        <v>0</v>
      </c>
      <c r="AI486" s="32">
        <f>IF(T486="","",IF(AE486=0,"",AE486+ROW()/1000000))</f>
        <v>0</v>
      </c>
      <c r="AJ486" s="17">
        <f>IF('Content Pillars'!$B$486="","",'Content Pillars'!$B$486)</f>
        <v>0</v>
      </c>
      <c r="AK486" s="23">
        <f>IF(AJ486="","",COUNTIFS('Content Calendar'!$J$5:$J$604,AJ486,'Content Calendar'!$B$5:$B$604,"&gt;="&amp;DATE(PlanYear,1,1),'Content Calendar'!$B$5:$B$604,"&lt;="&amp;DATE(PlanYear,12,31)))</f>
        <v>0</v>
      </c>
      <c r="AL486" s="23">
        <f>IF(AJ486="","",SUMIFS(Performance!$O$5:$O$404,Performance!$H$5:$H$404,AJ486))</f>
        <v>0</v>
      </c>
      <c r="AM486" s="23">
        <f>IF(AJ486="","",SUMIFS(Performance!$Z$5:$Z$404,Performance!$H$5:$H$404,AJ486))</f>
        <v>0</v>
      </c>
      <c r="AN486" s="24">
        <f>IF(OR(AL486="",AL486=0),"",AM486/AL486)</f>
        <v>0</v>
      </c>
      <c r="AO486" s="32">
        <f>IF(AN486="","",AN486+ROW()/1000000)</f>
        <v>0</v>
      </c>
      <c r="AP486" s="17">
        <f>IF(Lists!$E486="","",Lists!$E486)</f>
        <v>0</v>
      </c>
      <c r="AQ486" s="23">
        <f>IF(AP486="","",COUNTIF(Performance!$G$5:$G$404,AP486))</f>
        <v>0</v>
      </c>
      <c r="AR486" s="23">
        <f>IF(AP486="","",SUMIFS(Performance!$O$5:$O$404,Performance!$G$5:$G$404,AP486))</f>
        <v>0</v>
      </c>
      <c r="AS486" s="23">
        <f>IF(AP486="","",SUMIFS(Performance!$Z$5:$Z$404,Performance!$G$5:$G$404,AP486))</f>
        <v>0</v>
      </c>
      <c r="AT486" s="24">
        <f>IF(OR(AR486="",AR486=0),"",AS486/AR486)</f>
        <v>0</v>
      </c>
      <c r="AU486" s="32">
        <f>IF(AQ486=0,"",IF(AT486="","",AT486+ROW()/1000000))</f>
        <v>0</v>
      </c>
      <c r="AV486" s="17">
        <f>IF(ROW()-4&gt;7,"",TEXT(DATE(2024,1,ROW()-4),"ddd"))</f>
        <v>0</v>
      </c>
      <c r="AW486" s="23">
        <f>IF(AV486="","",COUNTIF(Performance!$N$5:$N$404,AV486))</f>
        <v>0</v>
      </c>
      <c r="AX486" s="23">
        <f>IF(AV486="","",SUMIFS(Performance!$O$5:$O$404,Performance!$N$5:$N$404,AV486))</f>
        <v>0</v>
      </c>
      <c r="AY486" s="23">
        <f>IF(AV486="","",SUMIFS(Performance!$Z$5:$Z$404,Performance!$N$5:$N$404,AV486))</f>
        <v>0</v>
      </c>
      <c r="AZ486" s="24">
        <f>IF(OR(AX486="",AX486=0),"",AY486/AX486)</f>
        <v>0</v>
      </c>
      <c r="BA486" s="32">
        <f>IF(AW486=0,"",IF(AZ486="","",AZ486+ROW()/1000000))</f>
        <v>0</v>
      </c>
      <c r="BB486" s="17">
        <f>IF(Lists!$AL486="","",Lists!$AL486)</f>
        <v>0</v>
      </c>
      <c r="BC486" s="23">
        <f>IF(BB486="","",COUNTIF(Performance!$M$5:$M$404,BB486))</f>
        <v>0</v>
      </c>
      <c r="BD486" s="23">
        <f>IF(BB486="","",SUMIFS(Performance!$O$5:$O$404,Performance!$M$5:$M$404,BB486))</f>
        <v>0</v>
      </c>
      <c r="BE486" s="23">
        <f>IF(BB486="","",SUMIFS(Performance!$Z$5:$Z$404,Performance!$M$5:$M$404,BB486))</f>
        <v>0</v>
      </c>
      <c r="BF486" s="24">
        <f>IF(OR(BD486="",BD486=0),"",BE486/BD486)</f>
        <v>0</v>
      </c>
      <c r="BG486" s="32">
        <f>IF(BC486=0,"",IF(BF486="","",BF486+ROW()/1000000))</f>
        <v>0</v>
      </c>
      <c r="BH486" s="17">
        <f>IF(Performance!$C$486="","",Performance!$C$486)</f>
        <v>0</v>
      </c>
      <c r="BI486" s="17">
        <f>IF(Performance!$F$486="","",Performance!$F$486)</f>
        <v>0</v>
      </c>
      <c r="BJ486" s="17">
        <f>IF(Performance!$H$486="","",Performance!$H$486)</f>
        <v>0</v>
      </c>
      <c r="BK486" s="16">
        <f>IF(Performance!$D$486="","",Performance!$D$486)</f>
        <v>0</v>
      </c>
      <c r="BL486" s="17">
        <f>IF(Performance!$E$486="","",Performance!$E$486)</f>
        <v>0</v>
      </c>
      <c r="BM486" s="23">
        <f>IF(Performance!$O$486="","",Performance!$O$486)</f>
        <v>0</v>
      </c>
      <c r="BN486" s="24">
        <f>IF(Performance!$AA$486="","",Performance!$AA$486)</f>
        <v>0</v>
      </c>
      <c r="BO486" s="32">
        <f>IF(BH486="","",IF(BK486="","",IF(OR(BK486&lt;DashStart,BK486&gt;DashEnd),"",IF(BN486="","",BN486+ROW()/1000000))))</f>
        <v>0</v>
      </c>
      <c r="BP486" s="32">
        <f>IF(BM486="","",IF(BK486="","",IF(OR(BK486&lt;DashStart,BK486&gt;DashEnd),"",BM486+ROW()/1000000)))</f>
        <v>0</v>
      </c>
      <c r="BQ486" s="32">
        <f>IF(BH486="","",IF(BK486="","",IF(YEAR(BK486)&lt;&gt;PlanYear,"",IF(BN486="","",BN486+ROW()/1000000))))</f>
        <v>0</v>
      </c>
      <c r="BR486" s="32">
        <f>IF(BH486="","",IF(BK486="","",IF(OR(BK486&lt;RepFrom,BK486&gt;RepTo),"",IF(BN486="","",BN486+ROW()/1000000))))</f>
        <v>0</v>
      </c>
      <c r="BS486" s="32">
        <f>IF(BM486="","",IF(BK486="","",IF(YEAR(BK486)&lt;&gt;PlanYear,"",BM486+ROW()/1000000)))</f>
        <v>0</v>
      </c>
      <c r="BT486" s="17">
        <f>IF(Lists!$F486="","",Lists!$F486)</f>
        <v>0</v>
      </c>
      <c r="BU486" s="23">
        <f>IF(BT486="","",COUNTIF('Content Calendar'!$X$5:$X$604,BT486))</f>
        <v>0</v>
      </c>
      <c r="BV486" s="23">
        <f>IF(BT486="","",COUNTIFS('Content Calendar'!$X$5:$X$604,BT486,'Content Calendar'!$B$5:$B$604,"&gt;="&amp;DashStart,'Content Calendar'!$B$5:$B$604,"&lt;="&amp;DashEnd))</f>
        <v>0</v>
      </c>
      <c r="BW486" s="17">
        <f>IF(Team!$B$486="","",Team!$B$486)</f>
        <v>0</v>
      </c>
      <c r="BX486" s="23">
        <f>IF(BW486="","",COUNTIF('Content Calendar'!$W$5:$W$604,BW486))</f>
        <v>0</v>
      </c>
      <c r="BY486" s="23">
        <f>IF(BW486="","",COUNTIFS('Content Calendar'!$W$5:$W$604,BW486,'Content Calendar'!$X$5:$X$604,"&lt;&gt;Published"))</f>
        <v>0</v>
      </c>
      <c r="BZ486" s="23">
        <f>IF(BW486="","",COUNTIFS(Tasks!$C$5:$C$64,BW486,Tasks!$G$5:$G$64,"&lt;&gt;Complete"))</f>
        <v>0</v>
      </c>
      <c r="CA486" s="17">
        <f>IF(Campaigns!$B$486="","",Campaigns!$B$486)</f>
        <v>0</v>
      </c>
      <c r="CB486" s="25">
        <f>IF(Campaigns!$T$486="","",Campaigns!$T$486)</f>
        <v>0</v>
      </c>
      <c r="CC486" s="25">
        <f>IF(Campaigns!$Q$486="","",Campaigns!$Q$486)</f>
        <v>0</v>
      </c>
      <c r="CD486" s="23">
        <f>IF(Campaigns!$Y$486="","",Campaigns!$Y$486)</f>
        <v>0</v>
      </c>
      <c r="CE486" s="32">
        <f>IF(CA486="","",IF(N(CB486)&lt;=0,"",N(CB486)+ROW()/1000000))</f>
        <v>0</v>
      </c>
      <c r="CF486" s="17">
        <f>IF(Accounts!$C$486="","",Accounts!$C$486)</f>
        <v>0</v>
      </c>
      <c r="CG486" s="17">
        <f>IF(Accounts!$B$486="","",Accounts!$B$486)</f>
        <v>0</v>
      </c>
      <c r="CH486" s="23">
        <f>IF(Accounts!$J$486="","",Accounts!$J$486)</f>
        <v>0</v>
      </c>
      <c r="CI486" s="23">
        <f>IF(CF486="","",SUMIFS(Analytics!$X$5:$X$154,Analytics!$E$5:$E$154,CF486,Analytics!$B$5:$B$154,"&gt;="&amp;DashStart,Analytics!$B$5:$B$154,"&lt;="&amp;DashEnd))</f>
        <v>0</v>
      </c>
      <c r="CJ486" s="32">
        <f>IF(CH486="","",IF(CH486=0,"",CH486+ROW()/1000000))</f>
        <v>0</v>
      </c>
    </row>
    <row r="487" spans="1:88">
      <c r="A487" s="16">
        <f>IF(ROW()-4&gt;12,"",DATE(PlanYear,ROW()-4,1))</f>
        <v>0</v>
      </c>
      <c r="B487" s="16">
        <f>IF(A487="","",EOMONTH(A487,0))</f>
        <v>0</v>
      </c>
      <c r="C487" s="17">
        <f>IF(A487="","",TEXT(A487,"yyyy-mm"))</f>
        <v>0</v>
      </c>
      <c r="D487" s="17">
        <f>IF(A487="","",TEXT(A487,"mmm"))</f>
        <v>0</v>
      </c>
      <c r="E487" s="23">
        <f>IF(C487="","",COUNTIFS('Content Calendar'!$D$5:$D$604,C487))</f>
        <v>0</v>
      </c>
      <c r="F487" s="23">
        <f>IF(C487="","",COUNTIFS('Content Calendar'!$D$5:$D$604,C487,'Content Calendar'!$X$5:$X$604,"Published"))</f>
        <v>0</v>
      </c>
      <c r="G487" s="23">
        <f>IF(C487="","",SUMIFS(Analytics!$J$5:$J$154,Analytics!$C$5:$C$154,C487))</f>
        <v>0</v>
      </c>
      <c r="H487" s="23">
        <f>IF(C487="","",SUMIFS(Analytics!$K$5:$K$154,Analytics!$C$5:$C$154,C487))</f>
        <v>0</v>
      </c>
      <c r="I487" s="23">
        <f>IF(C487="","",SUMIFS(Analytics!$L$5:$L$154,Analytics!$C$5:$C$154,C487))</f>
        <v>0</v>
      </c>
      <c r="J487" s="24">
        <f>IF(OR(G487="",G487=0),"",I487/G487)</f>
        <v>0</v>
      </c>
      <c r="K487" s="23">
        <f>IF(C487="","",SUMIFS(Analytics!$G$5:$G$154,Analytics!$C$5:$C$154,C487))</f>
        <v>0</v>
      </c>
      <c r="L487" s="23">
        <f>IF(C487="","",SUMIFS(Analytics!$X$5:$X$154,Analytics!$C$5:$C$154,C487))</f>
        <v>0</v>
      </c>
      <c r="M487" s="23">
        <f>IF(C487="","",SUMIFS(Analytics!$R$5:$R$154,Analytics!$C$5:$C$154,C487))</f>
        <v>0</v>
      </c>
      <c r="N487" s="23">
        <f>IF(C487="","",SUMIFS(Analytics!$S$5:$S$154,Analytics!$C$5:$C$154,C487))</f>
        <v>0</v>
      </c>
      <c r="O487" s="23">
        <f>IF(C487="","",SUMIFS(Analytics!$T$5:$T$154,Analytics!$C$5:$C$154,C487))</f>
        <v>0</v>
      </c>
      <c r="P487" s="25">
        <f>IF(C487="","",SUMIFS(Analytics!$U$5:$U$154,Analytics!$C$5:$C$154,C487))</f>
        <v>0</v>
      </c>
      <c r="Q487" s="25">
        <f>IF(C487="","",SUMIFS(Budget!$H$5:$H$64,Budget!$C$5:$C$64,C487))</f>
        <v>0</v>
      </c>
      <c r="R487" s="25">
        <f>IF(C487="","",P487-Q487)</f>
        <v>0</v>
      </c>
      <c r="S487" s="23">
        <f>IF(C487="","",MonthlyPostTarget)</f>
        <v>0</v>
      </c>
      <c r="T487" s="17">
        <f>IF(Lists!$C487="","",Lists!$C487)</f>
        <v>0</v>
      </c>
      <c r="U487" s="23">
        <f>IF(T487="","",COUNTIFS('Content Calendar'!$G$5:$G$604,T487,'Content Calendar'!$B$5:$B$604,"&gt;="&amp;DashStart,'Content Calendar'!$B$5:$B$604,"&lt;="&amp;DashEnd))</f>
        <v>0</v>
      </c>
      <c r="V487" s="23">
        <f>IF(T487="","",COUNTIFS('Content Calendar'!$G$5:$G$604,T487,'Content Calendar'!$X$5:$X$604,"Published",'Content Calendar'!$B$5:$B$604,"&gt;="&amp;DashStart,'Content Calendar'!$B$5:$B$604,"&lt;="&amp;DashEnd))</f>
        <v>0</v>
      </c>
      <c r="W487" s="23">
        <f>IF(T487="","",SUMIFS(Analytics!$J$5:$J$154,Analytics!$D$5:$D$154,T487,Analytics!$B$5:$B$154,"&gt;="&amp;DashStart,Analytics!$B$5:$B$154,"&lt;="&amp;DashEnd))</f>
        <v>0</v>
      </c>
      <c r="X487" s="23">
        <f>IF(T487="","",SUMIFS(Analytics!$L$5:$L$154,Analytics!$D$5:$D$154,T487,Analytics!$B$5:$B$154,"&gt;="&amp;DashStart,Analytics!$B$5:$B$154,"&lt;="&amp;DashEnd))</f>
        <v>0</v>
      </c>
      <c r="Y487" s="24">
        <f>IF(OR(W487="",W487=0),"",X487/W487)</f>
        <v>0</v>
      </c>
      <c r="Z487" s="23">
        <f>IF(T487="","",SUMIFS(Analytics!$G$5:$G$154,Analytics!$D$5:$D$154,T487,Analytics!$B$5:$B$154,"&gt;="&amp;DashStart,Analytics!$B$5:$B$154,"&lt;="&amp;DashEnd))</f>
        <v>0</v>
      </c>
      <c r="AA487" s="23">
        <f>IF(T487="","",SUMIFS(Analytics!$X$5:$X$154,Analytics!$D$5:$D$154,T487,Analytics!$B$5:$B$154,"&gt;="&amp;DashStart,Analytics!$B$5:$B$154,"&lt;="&amp;DashEnd))</f>
        <v>0</v>
      </c>
      <c r="AB487" s="23">
        <f>IF(T487="","",SUMIFS(Analytics!$R$5:$R$154,Analytics!$D$5:$D$154,T487,Analytics!$B$5:$B$154,"&gt;="&amp;DashStart,Analytics!$B$5:$B$154,"&lt;="&amp;DashEnd))</f>
        <v>0</v>
      </c>
      <c r="AC487" s="25">
        <f>IF(T487="","",SUMIFS(Analytics!$U$5:$U$154,Analytics!$D$5:$D$154,T487,Analytics!$B$5:$B$154,"&gt;="&amp;DashStart,Analytics!$B$5:$B$154,"&lt;="&amp;DashEnd))</f>
        <v>0</v>
      </c>
      <c r="AD487" s="23">
        <f>IF(T487="","",COUNTIFS('Content Calendar'!$G$5:$G$604,T487,'Content Calendar'!$B$5:$B$604,"&gt;="&amp;DATE(PlanYear,1,1),'Content Calendar'!$B$5:$B$604,"&lt;="&amp;DATE(PlanYear,12,31)))</f>
        <v>0</v>
      </c>
      <c r="AE487" s="23">
        <f>IF(T487="","",SUMIFS(Analytics!$J$5:$J$154,Analytics!$D$5:$D$154,T487))</f>
        <v>0</v>
      </c>
      <c r="AF487" s="23">
        <f>IF(T487="","",SUMIFS(Analytics!$L$5:$L$154,Analytics!$D$5:$D$154,T487))</f>
        <v>0</v>
      </c>
      <c r="AG487" s="24">
        <f>IF(OR(AE487="",AE487=0),"",AF487/AE487)</f>
        <v>0</v>
      </c>
      <c r="AH487" s="23">
        <f>IF(T487="","",SUMIFS(Analytics!$X$5:$X$154,Analytics!$D$5:$D$154,T487))</f>
        <v>0</v>
      </c>
      <c r="AI487" s="32">
        <f>IF(T487="","",IF(AE487=0,"",AE487+ROW()/1000000))</f>
        <v>0</v>
      </c>
      <c r="AJ487" s="17">
        <f>IF('Content Pillars'!$B$487="","",'Content Pillars'!$B$487)</f>
        <v>0</v>
      </c>
      <c r="AK487" s="23">
        <f>IF(AJ487="","",COUNTIFS('Content Calendar'!$J$5:$J$604,AJ487,'Content Calendar'!$B$5:$B$604,"&gt;="&amp;DATE(PlanYear,1,1),'Content Calendar'!$B$5:$B$604,"&lt;="&amp;DATE(PlanYear,12,31)))</f>
        <v>0</v>
      </c>
      <c r="AL487" s="23">
        <f>IF(AJ487="","",SUMIFS(Performance!$O$5:$O$404,Performance!$H$5:$H$404,AJ487))</f>
        <v>0</v>
      </c>
      <c r="AM487" s="23">
        <f>IF(AJ487="","",SUMIFS(Performance!$Z$5:$Z$404,Performance!$H$5:$H$404,AJ487))</f>
        <v>0</v>
      </c>
      <c r="AN487" s="24">
        <f>IF(OR(AL487="",AL487=0),"",AM487/AL487)</f>
        <v>0</v>
      </c>
      <c r="AO487" s="32">
        <f>IF(AN487="","",AN487+ROW()/1000000)</f>
        <v>0</v>
      </c>
      <c r="AP487" s="17">
        <f>IF(Lists!$E487="","",Lists!$E487)</f>
        <v>0</v>
      </c>
      <c r="AQ487" s="23">
        <f>IF(AP487="","",COUNTIF(Performance!$G$5:$G$404,AP487))</f>
        <v>0</v>
      </c>
      <c r="AR487" s="23">
        <f>IF(AP487="","",SUMIFS(Performance!$O$5:$O$404,Performance!$G$5:$G$404,AP487))</f>
        <v>0</v>
      </c>
      <c r="AS487" s="23">
        <f>IF(AP487="","",SUMIFS(Performance!$Z$5:$Z$404,Performance!$G$5:$G$404,AP487))</f>
        <v>0</v>
      </c>
      <c r="AT487" s="24">
        <f>IF(OR(AR487="",AR487=0),"",AS487/AR487)</f>
        <v>0</v>
      </c>
      <c r="AU487" s="32">
        <f>IF(AQ487=0,"",IF(AT487="","",AT487+ROW()/1000000))</f>
        <v>0</v>
      </c>
      <c r="AV487" s="17">
        <f>IF(ROW()-4&gt;7,"",TEXT(DATE(2024,1,ROW()-4),"ddd"))</f>
        <v>0</v>
      </c>
      <c r="AW487" s="23">
        <f>IF(AV487="","",COUNTIF(Performance!$N$5:$N$404,AV487))</f>
        <v>0</v>
      </c>
      <c r="AX487" s="23">
        <f>IF(AV487="","",SUMIFS(Performance!$O$5:$O$404,Performance!$N$5:$N$404,AV487))</f>
        <v>0</v>
      </c>
      <c r="AY487" s="23">
        <f>IF(AV487="","",SUMIFS(Performance!$Z$5:$Z$404,Performance!$N$5:$N$404,AV487))</f>
        <v>0</v>
      </c>
      <c r="AZ487" s="24">
        <f>IF(OR(AX487="",AX487=0),"",AY487/AX487)</f>
        <v>0</v>
      </c>
      <c r="BA487" s="32">
        <f>IF(AW487=0,"",IF(AZ487="","",AZ487+ROW()/1000000))</f>
        <v>0</v>
      </c>
      <c r="BB487" s="17">
        <f>IF(Lists!$AL487="","",Lists!$AL487)</f>
        <v>0</v>
      </c>
      <c r="BC487" s="23">
        <f>IF(BB487="","",COUNTIF(Performance!$M$5:$M$404,BB487))</f>
        <v>0</v>
      </c>
      <c r="BD487" s="23">
        <f>IF(BB487="","",SUMIFS(Performance!$O$5:$O$404,Performance!$M$5:$M$404,BB487))</f>
        <v>0</v>
      </c>
      <c r="BE487" s="23">
        <f>IF(BB487="","",SUMIFS(Performance!$Z$5:$Z$404,Performance!$M$5:$M$404,BB487))</f>
        <v>0</v>
      </c>
      <c r="BF487" s="24">
        <f>IF(OR(BD487="",BD487=0),"",BE487/BD487)</f>
        <v>0</v>
      </c>
      <c r="BG487" s="32">
        <f>IF(BC487=0,"",IF(BF487="","",BF487+ROW()/1000000))</f>
        <v>0</v>
      </c>
      <c r="BH487" s="17">
        <f>IF(Performance!$C$487="","",Performance!$C$487)</f>
        <v>0</v>
      </c>
      <c r="BI487" s="17">
        <f>IF(Performance!$F$487="","",Performance!$F$487)</f>
        <v>0</v>
      </c>
      <c r="BJ487" s="17">
        <f>IF(Performance!$H$487="","",Performance!$H$487)</f>
        <v>0</v>
      </c>
      <c r="BK487" s="16">
        <f>IF(Performance!$D$487="","",Performance!$D$487)</f>
        <v>0</v>
      </c>
      <c r="BL487" s="17">
        <f>IF(Performance!$E$487="","",Performance!$E$487)</f>
        <v>0</v>
      </c>
      <c r="BM487" s="23">
        <f>IF(Performance!$O$487="","",Performance!$O$487)</f>
        <v>0</v>
      </c>
      <c r="BN487" s="24">
        <f>IF(Performance!$AA$487="","",Performance!$AA$487)</f>
        <v>0</v>
      </c>
      <c r="BO487" s="32">
        <f>IF(BH487="","",IF(BK487="","",IF(OR(BK487&lt;DashStart,BK487&gt;DashEnd),"",IF(BN487="","",BN487+ROW()/1000000))))</f>
        <v>0</v>
      </c>
      <c r="BP487" s="32">
        <f>IF(BM487="","",IF(BK487="","",IF(OR(BK487&lt;DashStart,BK487&gt;DashEnd),"",BM487+ROW()/1000000)))</f>
        <v>0</v>
      </c>
      <c r="BQ487" s="32">
        <f>IF(BH487="","",IF(BK487="","",IF(YEAR(BK487)&lt;&gt;PlanYear,"",IF(BN487="","",BN487+ROW()/1000000))))</f>
        <v>0</v>
      </c>
      <c r="BR487" s="32">
        <f>IF(BH487="","",IF(BK487="","",IF(OR(BK487&lt;RepFrom,BK487&gt;RepTo),"",IF(BN487="","",BN487+ROW()/1000000))))</f>
        <v>0</v>
      </c>
      <c r="BS487" s="32">
        <f>IF(BM487="","",IF(BK487="","",IF(YEAR(BK487)&lt;&gt;PlanYear,"",BM487+ROW()/1000000)))</f>
        <v>0</v>
      </c>
      <c r="BT487" s="17">
        <f>IF(Lists!$F487="","",Lists!$F487)</f>
        <v>0</v>
      </c>
      <c r="BU487" s="23">
        <f>IF(BT487="","",COUNTIF('Content Calendar'!$X$5:$X$604,BT487))</f>
        <v>0</v>
      </c>
      <c r="BV487" s="23">
        <f>IF(BT487="","",COUNTIFS('Content Calendar'!$X$5:$X$604,BT487,'Content Calendar'!$B$5:$B$604,"&gt;="&amp;DashStart,'Content Calendar'!$B$5:$B$604,"&lt;="&amp;DashEnd))</f>
        <v>0</v>
      </c>
      <c r="BW487" s="17">
        <f>IF(Team!$B$487="","",Team!$B$487)</f>
        <v>0</v>
      </c>
      <c r="BX487" s="23">
        <f>IF(BW487="","",COUNTIF('Content Calendar'!$W$5:$W$604,BW487))</f>
        <v>0</v>
      </c>
      <c r="BY487" s="23">
        <f>IF(BW487="","",COUNTIFS('Content Calendar'!$W$5:$W$604,BW487,'Content Calendar'!$X$5:$X$604,"&lt;&gt;Published"))</f>
        <v>0</v>
      </c>
      <c r="BZ487" s="23">
        <f>IF(BW487="","",COUNTIFS(Tasks!$C$5:$C$64,BW487,Tasks!$G$5:$G$64,"&lt;&gt;Complete"))</f>
        <v>0</v>
      </c>
      <c r="CA487" s="17">
        <f>IF(Campaigns!$B$487="","",Campaigns!$B$487)</f>
        <v>0</v>
      </c>
      <c r="CB487" s="25">
        <f>IF(Campaigns!$T$487="","",Campaigns!$T$487)</f>
        <v>0</v>
      </c>
      <c r="CC487" s="25">
        <f>IF(Campaigns!$Q$487="","",Campaigns!$Q$487)</f>
        <v>0</v>
      </c>
      <c r="CD487" s="23">
        <f>IF(Campaigns!$Y$487="","",Campaigns!$Y$487)</f>
        <v>0</v>
      </c>
      <c r="CE487" s="32">
        <f>IF(CA487="","",IF(N(CB487)&lt;=0,"",N(CB487)+ROW()/1000000))</f>
        <v>0</v>
      </c>
      <c r="CF487" s="17">
        <f>IF(Accounts!$C$487="","",Accounts!$C$487)</f>
        <v>0</v>
      </c>
      <c r="CG487" s="17">
        <f>IF(Accounts!$B$487="","",Accounts!$B$487)</f>
        <v>0</v>
      </c>
      <c r="CH487" s="23">
        <f>IF(Accounts!$J$487="","",Accounts!$J$487)</f>
        <v>0</v>
      </c>
      <c r="CI487" s="23">
        <f>IF(CF487="","",SUMIFS(Analytics!$X$5:$X$154,Analytics!$E$5:$E$154,CF487,Analytics!$B$5:$B$154,"&gt;="&amp;DashStart,Analytics!$B$5:$B$154,"&lt;="&amp;DashEnd))</f>
        <v>0</v>
      </c>
      <c r="CJ487" s="32">
        <f>IF(CH487="","",IF(CH487=0,"",CH487+ROW()/1000000))</f>
        <v>0</v>
      </c>
    </row>
    <row r="488" spans="1:88">
      <c r="A488" s="16">
        <f>IF(ROW()-4&gt;12,"",DATE(PlanYear,ROW()-4,1))</f>
        <v>0</v>
      </c>
      <c r="B488" s="16">
        <f>IF(A488="","",EOMONTH(A488,0))</f>
        <v>0</v>
      </c>
      <c r="C488" s="17">
        <f>IF(A488="","",TEXT(A488,"yyyy-mm"))</f>
        <v>0</v>
      </c>
      <c r="D488" s="17">
        <f>IF(A488="","",TEXT(A488,"mmm"))</f>
        <v>0</v>
      </c>
      <c r="E488" s="23">
        <f>IF(C488="","",COUNTIFS('Content Calendar'!$D$5:$D$604,C488))</f>
        <v>0</v>
      </c>
      <c r="F488" s="23">
        <f>IF(C488="","",COUNTIFS('Content Calendar'!$D$5:$D$604,C488,'Content Calendar'!$X$5:$X$604,"Published"))</f>
        <v>0</v>
      </c>
      <c r="G488" s="23">
        <f>IF(C488="","",SUMIFS(Analytics!$J$5:$J$154,Analytics!$C$5:$C$154,C488))</f>
        <v>0</v>
      </c>
      <c r="H488" s="23">
        <f>IF(C488="","",SUMIFS(Analytics!$K$5:$K$154,Analytics!$C$5:$C$154,C488))</f>
        <v>0</v>
      </c>
      <c r="I488" s="23">
        <f>IF(C488="","",SUMIFS(Analytics!$L$5:$L$154,Analytics!$C$5:$C$154,C488))</f>
        <v>0</v>
      </c>
      <c r="J488" s="24">
        <f>IF(OR(G488="",G488=0),"",I488/G488)</f>
        <v>0</v>
      </c>
      <c r="K488" s="23">
        <f>IF(C488="","",SUMIFS(Analytics!$G$5:$G$154,Analytics!$C$5:$C$154,C488))</f>
        <v>0</v>
      </c>
      <c r="L488" s="23">
        <f>IF(C488="","",SUMIFS(Analytics!$X$5:$X$154,Analytics!$C$5:$C$154,C488))</f>
        <v>0</v>
      </c>
      <c r="M488" s="23">
        <f>IF(C488="","",SUMIFS(Analytics!$R$5:$R$154,Analytics!$C$5:$C$154,C488))</f>
        <v>0</v>
      </c>
      <c r="N488" s="23">
        <f>IF(C488="","",SUMIFS(Analytics!$S$5:$S$154,Analytics!$C$5:$C$154,C488))</f>
        <v>0</v>
      </c>
      <c r="O488" s="23">
        <f>IF(C488="","",SUMIFS(Analytics!$T$5:$T$154,Analytics!$C$5:$C$154,C488))</f>
        <v>0</v>
      </c>
      <c r="P488" s="25">
        <f>IF(C488="","",SUMIFS(Analytics!$U$5:$U$154,Analytics!$C$5:$C$154,C488))</f>
        <v>0</v>
      </c>
      <c r="Q488" s="25">
        <f>IF(C488="","",SUMIFS(Budget!$H$5:$H$64,Budget!$C$5:$C$64,C488))</f>
        <v>0</v>
      </c>
      <c r="R488" s="25">
        <f>IF(C488="","",P488-Q488)</f>
        <v>0</v>
      </c>
      <c r="S488" s="23">
        <f>IF(C488="","",MonthlyPostTarget)</f>
        <v>0</v>
      </c>
      <c r="T488" s="17">
        <f>IF(Lists!$C488="","",Lists!$C488)</f>
        <v>0</v>
      </c>
      <c r="U488" s="23">
        <f>IF(T488="","",COUNTIFS('Content Calendar'!$G$5:$G$604,T488,'Content Calendar'!$B$5:$B$604,"&gt;="&amp;DashStart,'Content Calendar'!$B$5:$B$604,"&lt;="&amp;DashEnd))</f>
        <v>0</v>
      </c>
      <c r="V488" s="23">
        <f>IF(T488="","",COUNTIFS('Content Calendar'!$G$5:$G$604,T488,'Content Calendar'!$X$5:$X$604,"Published",'Content Calendar'!$B$5:$B$604,"&gt;="&amp;DashStart,'Content Calendar'!$B$5:$B$604,"&lt;="&amp;DashEnd))</f>
        <v>0</v>
      </c>
      <c r="W488" s="23">
        <f>IF(T488="","",SUMIFS(Analytics!$J$5:$J$154,Analytics!$D$5:$D$154,T488,Analytics!$B$5:$B$154,"&gt;="&amp;DashStart,Analytics!$B$5:$B$154,"&lt;="&amp;DashEnd))</f>
        <v>0</v>
      </c>
      <c r="X488" s="23">
        <f>IF(T488="","",SUMIFS(Analytics!$L$5:$L$154,Analytics!$D$5:$D$154,T488,Analytics!$B$5:$B$154,"&gt;="&amp;DashStart,Analytics!$B$5:$B$154,"&lt;="&amp;DashEnd))</f>
        <v>0</v>
      </c>
      <c r="Y488" s="24">
        <f>IF(OR(W488="",W488=0),"",X488/W488)</f>
        <v>0</v>
      </c>
      <c r="Z488" s="23">
        <f>IF(T488="","",SUMIFS(Analytics!$G$5:$G$154,Analytics!$D$5:$D$154,T488,Analytics!$B$5:$B$154,"&gt;="&amp;DashStart,Analytics!$B$5:$B$154,"&lt;="&amp;DashEnd))</f>
        <v>0</v>
      </c>
      <c r="AA488" s="23">
        <f>IF(T488="","",SUMIFS(Analytics!$X$5:$X$154,Analytics!$D$5:$D$154,T488,Analytics!$B$5:$B$154,"&gt;="&amp;DashStart,Analytics!$B$5:$B$154,"&lt;="&amp;DashEnd))</f>
        <v>0</v>
      </c>
      <c r="AB488" s="23">
        <f>IF(T488="","",SUMIFS(Analytics!$R$5:$R$154,Analytics!$D$5:$D$154,T488,Analytics!$B$5:$B$154,"&gt;="&amp;DashStart,Analytics!$B$5:$B$154,"&lt;="&amp;DashEnd))</f>
        <v>0</v>
      </c>
      <c r="AC488" s="25">
        <f>IF(T488="","",SUMIFS(Analytics!$U$5:$U$154,Analytics!$D$5:$D$154,T488,Analytics!$B$5:$B$154,"&gt;="&amp;DashStart,Analytics!$B$5:$B$154,"&lt;="&amp;DashEnd))</f>
        <v>0</v>
      </c>
      <c r="AD488" s="23">
        <f>IF(T488="","",COUNTIFS('Content Calendar'!$G$5:$G$604,T488,'Content Calendar'!$B$5:$B$604,"&gt;="&amp;DATE(PlanYear,1,1),'Content Calendar'!$B$5:$B$604,"&lt;="&amp;DATE(PlanYear,12,31)))</f>
        <v>0</v>
      </c>
      <c r="AE488" s="23">
        <f>IF(T488="","",SUMIFS(Analytics!$J$5:$J$154,Analytics!$D$5:$D$154,T488))</f>
        <v>0</v>
      </c>
      <c r="AF488" s="23">
        <f>IF(T488="","",SUMIFS(Analytics!$L$5:$L$154,Analytics!$D$5:$D$154,T488))</f>
        <v>0</v>
      </c>
      <c r="AG488" s="24">
        <f>IF(OR(AE488="",AE488=0),"",AF488/AE488)</f>
        <v>0</v>
      </c>
      <c r="AH488" s="23">
        <f>IF(T488="","",SUMIFS(Analytics!$X$5:$X$154,Analytics!$D$5:$D$154,T488))</f>
        <v>0</v>
      </c>
      <c r="AI488" s="32">
        <f>IF(T488="","",IF(AE488=0,"",AE488+ROW()/1000000))</f>
        <v>0</v>
      </c>
      <c r="AJ488" s="17">
        <f>IF('Content Pillars'!$B$488="","",'Content Pillars'!$B$488)</f>
        <v>0</v>
      </c>
      <c r="AK488" s="23">
        <f>IF(AJ488="","",COUNTIFS('Content Calendar'!$J$5:$J$604,AJ488,'Content Calendar'!$B$5:$B$604,"&gt;="&amp;DATE(PlanYear,1,1),'Content Calendar'!$B$5:$B$604,"&lt;="&amp;DATE(PlanYear,12,31)))</f>
        <v>0</v>
      </c>
      <c r="AL488" s="23">
        <f>IF(AJ488="","",SUMIFS(Performance!$O$5:$O$404,Performance!$H$5:$H$404,AJ488))</f>
        <v>0</v>
      </c>
      <c r="AM488" s="23">
        <f>IF(AJ488="","",SUMIFS(Performance!$Z$5:$Z$404,Performance!$H$5:$H$404,AJ488))</f>
        <v>0</v>
      </c>
      <c r="AN488" s="24">
        <f>IF(OR(AL488="",AL488=0),"",AM488/AL488)</f>
        <v>0</v>
      </c>
      <c r="AO488" s="32">
        <f>IF(AN488="","",AN488+ROW()/1000000)</f>
        <v>0</v>
      </c>
      <c r="AP488" s="17">
        <f>IF(Lists!$E488="","",Lists!$E488)</f>
        <v>0</v>
      </c>
      <c r="AQ488" s="23">
        <f>IF(AP488="","",COUNTIF(Performance!$G$5:$G$404,AP488))</f>
        <v>0</v>
      </c>
      <c r="AR488" s="23">
        <f>IF(AP488="","",SUMIFS(Performance!$O$5:$O$404,Performance!$G$5:$G$404,AP488))</f>
        <v>0</v>
      </c>
      <c r="AS488" s="23">
        <f>IF(AP488="","",SUMIFS(Performance!$Z$5:$Z$404,Performance!$G$5:$G$404,AP488))</f>
        <v>0</v>
      </c>
      <c r="AT488" s="24">
        <f>IF(OR(AR488="",AR488=0),"",AS488/AR488)</f>
        <v>0</v>
      </c>
      <c r="AU488" s="32">
        <f>IF(AQ488=0,"",IF(AT488="","",AT488+ROW()/1000000))</f>
        <v>0</v>
      </c>
      <c r="AV488" s="17">
        <f>IF(ROW()-4&gt;7,"",TEXT(DATE(2024,1,ROW()-4),"ddd"))</f>
        <v>0</v>
      </c>
      <c r="AW488" s="23">
        <f>IF(AV488="","",COUNTIF(Performance!$N$5:$N$404,AV488))</f>
        <v>0</v>
      </c>
      <c r="AX488" s="23">
        <f>IF(AV488="","",SUMIFS(Performance!$O$5:$O$404,Performance!$N$5:$N$404,AV488))</f>
        <v>0</v>
      </c>
      <c r="AY488" s="23">
        <f>IF(AV488="","",SUMIFS(Performance!$Z$5:$Z$404,Performance!$N$5:$N$404,AV488))</f>
        <v>0</v>
      </c>
      <c r="AZ488" s="24">
        <f>IF(OR(AX488="",AX488=0),"",AY488/AX488)</f>
        <v>0</v>
      </c>
      <c r="BA488" s="32">
        <f>IF(AW488=0,"",IF(AZ488="","",AZ488+ROW()/1000000))</f>
        <v>0</v>
      </c>
      <c r="BB488" s="17">
        <f>IF(Lists!$AL488="","",Lists!$AL488)</f>
        <v>0</v>
      </c>
      <c r="BC488" s="23">
        <f>IF(BB488="","",COUNTIF(Performance!$M$5:$M$404,BB488))</f>
        <v>0</v>
      </c>
      <c r="BD488" s="23">
        <f>IF(BB488="","",SUMIFS(Performance!$O$5:$O$404,Performance!$M$5:$M$404,BB488))</f>
        <v>0</v>
      </c>
      <c r="BE488" s="23">
        <f>IF(BB488="","",SUMIFS(Performance!$Z$5:$Z$404,Performance!$M$5:$M$404,BB488))</f>
        <v>0</v>
      </c>
      <c r="BF488" s="24">
        <f>IF(OR(BD488="",BD488=0),"",BE488/BD488)</f>
        <v>0</v>
      </c>
      <c r="BG488" s="32">
        <f>IF(BC488=0,"",IF(BF488="","",BF488+ROW()/1000000))</f>
        <v>0</v>
      </c>
      <c r="BH488" s="17">
        <f>IF(Performance!$C$488="","",Performance!$C$488)</f>
        <v>0</v>
      </c>
      <c r="BI488" s="17">
        <f>IF(Performance!$F$488="","",Performance!$F$488)</f>
        <v>0</v>
      </c>
      <c r="BJ488" s="17">
        <f>IF(Performance!$H$488="","",Performance!$H$488)</f>
        <v>0</v>
      </c>
      <c r="BK488" s="16">
        <f>IF(Performance!$D$488="","",Performance!$D$488)</f>
        <v>0</v>
      </c>
      <c r="BL488" s="17">
        <f>IF(Performance!$E$488="","",Performance!$E$488)</f>
        <v>0</v>
      </c>
      <c r="BM488" s="23">
        <f>IF(Performance!$O$488="","",Performance!$O$488)</f>
        <v>0</v>
      </c>
      <c r="BN488" s="24">
        <f>IF(Performance!$AA$488="","",Performance!$AA$488)</f>
        <v>0</v>
      </c>
      <c r="BO488" s="32">
        <f>IF(BH488="","",IF(BK488="","",IF(OR(BK488&lt;DashStart,BK488&gt;DashEnd),"",IF(BN488="","",BN488+ROW()/1000000))))</f>
        <v>0</v>
      </c>
      <c r="BP488" s="32">
        <f>IF(BM488="","",IF(BK488="","",IF(OR(BK488&lt;DashStart,BK488&gt;DashEnd),"",BM488+ROW()/1000000)))</f>
        <v>0</v>
      </c>
      <c r="BQ488" s="32">
        <f>IF(BH488="","",IF(BK488="","",IF(YEAR(BK488)&lt;&gt;PlanYear,"",IF(BN488="","",BN488+ROW()/1000000))))</f>
        <v>0</v>
      </c>
      <c r="BR488" s="32">
        <f>IF(BH488="","",IF(BK488="","",IF(OR(BK488&lt;RepFrom,BK488&gt;RepTo),"",IF(BN488="","",BN488+ROW()/1000000))))</f>
        <v>0</v>
      </c>
      <c r="BS488" s="32">
        <f>IF(BM488="","",IF(BK488="","",IF(YEAR(BK488)&lt;&gt;PlanYear,"",BM488+ROW()/1000000)))</f>
        <v>0</v>
      </c>
      <c r="BT488" s="17">
        <f>IF(Lists!$F488="","",Lists!$F488)</f>
        <v>0</v>
      </c>
      <c r="BU488" s="23">
        <f>IF(BT488="","",COUNTIF('Content Calendar'!$X$5:$X$604,BT488))</f>
        <v>0</v>
      </c>
      <c r="BV488" s="23">
        <f>IF(BT488="","",COUNTIFS('Content Calendar'!$X$5:$X$604,BT488,'Content Calendar'!$B$5:$B$604,"&gt;="&amp;DashStart,'Content Calendar'!$B$5:$B$604,"&lt;="&amp;DashEnd))</f>
        <v>0</v>
      </c>
      <c r="BW488" s="17">
        <f>IF(Team!$B$488="","",Team!$B$488)</f>
        <v>0</v>
      </c>
      <c r="BX488" s="23">
        <f>IF(BW488="","",COUNTIF('Content Calendar'!$W$5:$W$604,BW488))</f>
        <v>0</v>
      </c>
      <c r="BY488" s="23">
        <f>IF(BW488="","",COUNTIFS('Content Calendar'!$W$5:$W$604,BW488,'Content Calendar'!$X$5:$X$604,"&lt;&gt;Published"))</f>
        <v>0</v>
      </c>
      <c r="BZ488" s="23">
        <f>IF(BW488="","",COUNTIFS(Tasks!$C$5:$C$64,BW488,Tasks!$G$5:$G$64,"&lt;&gt;Complete"))</f>
        <v>0</v>
      </c>
      <c r="CA488" s="17">
        <f>IF(Campaigns!$B$488="","",Campaigns!$B$488)</f>
        <v>0</v>
      </c>
      <c r="CB488" s="25">
        <f>IF(Campaigns!$T$488="","",Campaigns!$T$488)</f>
        <v>0</v>
      </c>
      <c r="CC488" s="25">
        <f>IF(Campaigns!$Q$488="","",Campaigns!$Q$488)</f>
        <v>0</v>
      </c>
      <c r="CD488" s="23">
        <f>IF(Campaigns!$Y$488="","",Campaigns!$Y$488)</f>
        <v>0</v>
      </c>
      <c r="CE488" s="32">
        <f>IF(CA488="","",IF(N(CB488)&lt;=0,"",N(CB488)+ROW()/1000000))</f>
        <v>0</v>
      </c>
      <c r="CF488" s="17">
        <f>IF(Accounts!$C$488="","",Accounts!$C$488)</f>
        <v>0</v>
      </c>
      <c r="CG488" s="17">
        <f>IF(Accounts!$B$488="","",Accounts!$B$488)</f>
        <v>0</v>
      </c>
      <c r="CH488" s="23">
        <f>IF(Accounts!$J$488="","",Accounts!$J$488)</f>
        <v>0</v>
      </c>
      <c r="CI488" s="23">
        <f>IF(CF488="","",SUMIFS(Analytics!$X$5:$X$154,Analytics!$E$5:$E$154,CF488,Analytics!$B$5:$B$154,"&gt;="&amp;DashStart,Analytics!$B$5:$B$154,"&lt;="&amp;DashEnd))</f>
        <v>0</v>
      </c>
      <c r="CJ488" s="32">
        <f>IF(CH488="","",IF(CH488=0,"",CH488+ROW()/1000000))</f>
        <v>0</v>
      </c>
    </row>
    <row r="489" spans="1:88">
      <c r="A489" s="16">
        <f>IF(ROW()-4&gt;12,"",DATE(PlanYear,ROW()-4,1))</f>
        <v>0</v>
      </c>
      <c r="B489" s="16">
        <f>IF(A489="","",EOMONTH(A489,0))</f>
        <v>0</v>
      </c>
      <c r="C489" s="17">
        <f>IF(A489="","",TEXT(A489,"yyyy-mm"))</f>
        <v>0</v>
      </c>
      <c r="D489" s="17">
        <f>IF(A489="","",TEXT(A489,"mmm"))</f>
        <v>0</v>
      </c>
      <c r="E489" s="23">
        <f>IF(C489="","",COUNTIFS('Content Calendar'!$D$5:$D$604,C489))</f>
        <v>0</v>
      </c>
      <c r="F489" s="23">
        <f>IF(C489="","",COUNTIFS('Content Calendar'!$D$5:$D$604,C489,'Content Calendar'!$X$5:$X$604,"Published"))</f>
        <v>0</v>
      </c>
      <c r="G489" s="23">
        <f>IF(C489="","",SUMIFS(Analytics!$J$5:$J$154,Analytics!$C$5:$C$154,C489))</f>
        <v>0</v>
      </c>
      <c r="H489" s="23">
        <f>IF(C489="","",SUMIFS(Analytics!$K$5:$K$154,Analytics!$C$5:$C$154,C489))</f>
        <v>0</v>
      </c>
      <c r="I489" s="23">
        <f>IF(C489="","",SUMIFS(Analytics!$L$5:$L$154,Analytics!$C$5:$C$154,C489))</f>
        <v>0</v>
      </c>
      <c r="J489" s="24">
        <f>IF(OR(G489="",G489=0),"",I489/G489)</f>
        <v>0</v>
      </c>
      <c r="K489" s="23">
        <f>IF(C489="","",SUMIFS(Analytics!$G$5:$G$154,Analytics!$C$5:$C$154,C489))</f>
        <v>0</v>
      </c>
      <c r="L489" s="23">
        <f>IF(C489="","",SUMIFS(Analytics!$X$5:$X$154,Analytics!$C$5:$C$154,C489))</f>
        <v>0</v>
      </c>
      <c r="M489" s="23">
        <f>IF(C489="","",SUMIFS(Analytics!$R$5:$R$154,Analytics!$C$5:$C$154,C489))</f>
        <v>0</v>
      </c>
      <c r="N489" s="23">
        <f>IF(C489="","",SUMIFS(Analytics!$S$5:$S$154,Analytics!$C$5:$C$154,C489))</f>
        <v>0</v>
      </c>
      <c r="O489" s="23">
        <f>IF(C489="","",SUMIFS(Analytics!$T$5:$T$154,Analytics!$C$5:$C$154,C489))</f>
        <v>0</v>
      </c>
      <c r="P489" s="25">
        <f>IF(C489="","",SUMIFS(Analytics!$U$5:$U$154,Analytics!$C$5:$C$154,C489))</f>
        <v>0</v>
      </c>
      <c r="Q489" s="25">
        <f>IF(C489="","",SUMIFS(Budget!$H$5:$H$64,Budget!$C$5:$C$64,C489))</f>
        <v>0</v>
      </c>
      <c r="R489" s="25">
        <f>IF(C489="","",P489-Q489)</f>
        <v>0</v>
      </c>
      <c r="S489" s="23">
        <f>IF(C489="","",MonthlyPostTarget)</f>
        <v>0</v>
      </c>
      <c r="T489" s="17">
        <f>IF(Lists!$C489="","",Lists!$C489)</f>
        <v>0</v>
      </c>
      <c r="U489" s="23">
        <f>IF(T489="","",COUNTIFS('Content Calendar'!$G$5:$G$604,T489,'Content Calendar'!$B$5:$B$604,"&gt;="&amp;DashStart,'Content Calendar'!$B$5:$B$604,"&lt;="&amp;DashEnd))</f>
        <v>0</v>
      </c>
      <c r="V489" s="23">
        <f>IF(T489="","",COUNTIFS('Content Calendar'!$G$5:$G$604,T489,'Content Calendar'!$X$5:$X$604,"Published",'Content Calendar'!$B$5:$B$604,"&gt;="&amp;DashStart,'Content Calendar'!$B$5:$B$604,"&lt;="&amp;DashEnd))</f>
        <v>0</v>
      </c>
      <c r="W489" s="23">
        <f>IF(T489="","",SUMIFS(Analytics!$J$5:$J$154,Analytics!$D$5:$D$154,T489,Analytics!$B$5:$B$154,"&gt;="&amp;DashStart,Analytics!$B$5:$B$154,"&lt;="&amp;DashEnd))</f>
        <v>0</v>
      </c>
      <c r="X489" s="23">
        <f>IF(T489="","",SUMIFS(Analytics!$L$5:$L$154,Analytics!$D$5:$D$154,T489,Analytics!$B$5:$B$154,"&gt;="&amp;DashStart,Analytics!$B$5:$B$154,"&lt;="&amp;DashEnd))</f>
        <v>0</v>
      </c>
      <c r="Y489" s="24">
        <f>IF(OR(W489="",W489=0),"",X489/W489)</f>
        <v>0</v>
      </c>
      <c r="Z489" s="23">
        <f>IF(T489="","",SUMIFS(Analytics!$G$5:$G$154,Analytics!$D$5:$D$154,T489,Analytics!$B$5:$B$154,"&gt;="&amp;DashStart,Analytics!$B$5:$B$154,"&lt;="&amp;DashEnd))</f>
        <v>0</v>
      </c>
      <c r="AA489" s="23">
        <f>IF(T489="","",SUMIFS(Analytics!$X$5:$X$154,Analytics!$D$5:$D$154,T489,Analytics!$B$5:$B$154,"&gt;="&amp;DashStart,Analytics!$B$5:$B$154,"&lt;="&amp;DashEnd))</f>
        <v>0</v>
      </c>
      <c r="AB489" s="23">
        <f>IF(T489="","",SUMIFS(Analytics!$R$5:$R$154,Analytics!$D$5:$D$154,T489,Analytics!$B$5:$B$154,"&gt;="&amp;DashStart,Analytics!$B$5:$B$154,"&lt;="&amp;DashEnd))</f>
        <v>0</v>
      </c>
      <c r="AC489" s="25">
        <f>IF(T489="","",SUMIFS(Analytics!$U$5:$U$154,Analytics!$D$5:$D$154,T489,Analytics!$B$5:$B$154,"&gt;="&amp;DashStart,Analytics!$B$5:$B$154,"&lt;="&amp;DashEnd))</f>
        <v>0</v>
      </c>
      <c r="AD489" s="23">
        <f>IF(T489="","",COUNTIFS('Content Calendar'!$G$5:$G$604,T489,'Content Calendar'!$B$5:$B$604,"&gt;="&amp;DATE(PlanYear,1,1),'Content Calendar'!$B$5:$B$604,"&lt;="&amp;DATE(PlanYear,12,31)))</f>
        <v>0</v>
      </c>
      <c r="AE489" s="23">
        <f>IF(T489="","",SUMIFS(Analytics!$J$5:$J$154,Analytics!$D$5:$D$154,T489))</f>
        <v>0</v>
      </c>
      <c r="AF489" s="23">
        <f>IF(T489="","",SUMIFS(Analytics!$L$5:$L$154,Analytics!$D$5:$D$154,T489))</f>
        <v>0</v>
      </c>
      <c r="AG489" s="24">
        <f>IF(OR(AE489="",AE489=0),"",AF489/AE489)</f>
        <v>0</v>
      </c>
      <c r="AH489" s="23">
        <f>IF(T489="","",SUMIFS(Analytics!$X$5:$X$154,Analytics!$D$5:$D$154,T489))</f>
        <v>0</v>
      </c>
      <c r="AI489" s="32">
        <f>IF(T489="","",IF(AE489=0,"",AE489+ROW()/1000000))</f>
        <v>0</v>
      </c>
      <c r="AJ489" s="17">
        <f>IF('Content Pillars'!$B$489="","",'Content Pillars'!$B$489)</f>
        <v>0</v>
      </c>
      <c r="AK489" s="23">
        <f>IF(AJ489="","",COUNTIFS('Content Calendar'!$J$5:$J$604,AJ489,'Content Calendar'!$B$5:$B$604,"&gt;="&amp;DATE(PlanYear,1,1),'Content Calendar'!$B$5:$B$604,"&lt;="&amp;DATE(PlanYear,12,31)))</f>
        <v>0</v>
      </c>
      <c r="AL489" s="23">
        <f>IF(AJ489="","",SUMIFS(Performance!$O$5:$O$404,Performance!$H$5:$H$404,AJ489))</f>
        <v>0</v>
      </c>
      <c r="AM489" s="23">
        <f>IF(AJ489="","",SUMIFS(Performance!$Z$5:$Z$404,Performance!$H$5:$H$404,AJ489))</f>
        <v>0</v>
      </c>
      <c r="AN489" s="24">
        <f>IF(OR(AL489="",AL489=0),"",AM489/AL489)</f>
        <v>0</v>
      </c>
      <c r="AO489" s="32">
        <f>IF(AN489="","",AN489+ROW()/1000000)</f>
        <v>0</v>
      </c>
      <c r="AP489" s="17">
        <f>IF(Lists!$E489="","",Lists!$E489)</f>
        <v>0</v>
      </c>
      <c r="AQ489" s="23">
        <f>IF(AP489="","",COUNTIF(Performance!$G$5:$G$404,AP489))</f>
        <v>0</v>
      </c>
      <c r="AR489" s="23">
        <f>IF(AP489="","",SUMIFS(Performance!$O$5:$O$404,Performance!$G$5:$G$404,AP489))</f>
        <v>0</v>
      </c>
      <c r="AS489" s="23">
        <f>IF(AP489="","",SUMIFS(Performance!$Z$5:$Z$404,Performance!$G$5:$G$404,AP489))</f>
        <v>0</v>
      </c>
      <c r="AT489" s="24">
        <f>IF(OR(AR489="",AR489=0),"",AS489/AR489)</f>
        <v>0</v>
      </c>
      <c r="AU489" s="32">
        <f>IF(AQ489=0,"",IF(AT489="","",AT489+ROW()/1000000))</f>
        <v>0</v>
      </c>
      <c r="AV489" s="17">
        <f>IF(ROW()-4&gt;7,"",TEXT(DATE(2024,1,ROW()-4),"ddd"))</f>
        <v>0</v>
      </c>
      <c r="AW489" s="23">
        <f>IF(AV489="","",COUNTIF(Performance!$N$5:$N$404,AV489))</f>
        <v>0</v>
      </c>
      <c r="AX489" s="23">
        <f>IF(AV489="","",SUMIFS(Performance!$O$5:$O$404,Performance!$N$5:$N$404,AV489))</f>
        <v>0</v>
      </c>
      <c r="AY489" s="23">
        <f>IF(AV489="","",SUMIFS(Performance!$Z$5:$Z$404,Performance!$N$5:$N$404,AV489))</f>
        <v>0</v>
      </c>
      <c r="AZ489" s="24">
        <f>IF(OR(AX489="",AX489=0),"",AY489/AX489)</f>
        <v>0</v>
      </c>
      <c r="BA489" s="32">
        <f>IF(AW489=0,"",IF(AZ489="","",AZ489+ROW()/1000000))</f>
        <v>0</v>
      </c>
      <c r="BB489" s="17">
        <f>IF(Lists!$AL489="","",Lists!$AL489)</f>
        <v>0</v>
      </c>
      <c r="BC489" s="23">
        <f>IF(BB489="","",COUNTIF(Performance!$M$5:$M$404,BB489))</f>
        <v>0</v>
      </c>
      <c r="BD489" s="23">
        <f>IF(BB489="","",SUMIFS(Performance!$O$5:$O$404,Performance!$M$5:$M$404,BB489))</f>
        <v>0</v>
      </c>
      <c r="BE489" s="23">
        <f>IF(BB489="","",SUMIFS(Performance!$Z$5:$Z$404,Performance!$M$5:$M$404,BB489))</f>
        <v>0</v>
      </c>
      <c r="BF489" s="24">
        <f>IF(OR(BD489="",BD489=0),"",BE489/BD489)</f>
        <v>0</v>
      </c>
      <c r="BG489" s="32">
        <f>IF(BC489=0,"",IF(BF489="","",BF489+ROW()/1000000))</f>
        <v>0</v>
      </c>
      <c r="BH489" s="17">
        <f>IF(Performance!$C$489="","",Performance!$C$489)</f>
        <v>0</v>
      </c>
      <c r="BI489" s="17">
        <f>IF(Performance!$F$489="","",Performance!$F$489)</f>
        <v>0</v>
      </c>
      <c r="BJ489" s="17">
        <f>IF(Performance!$H$489="","",Performance!$H$489)</f>
        <v>0</v>
      </c>
      <c r="BK489" s="16">
        <f>IF(Performance!$D$489="","",Performance!$D$489)</f>
        <v>0</v>
      </c>
      <c r="BL489" s="17">
        <f>IF(Performance!$E$489="","",Performance!$E$489)</f>
        <v>0</v>
      </c>
      <c r="BM489" s="23">
        <f>IF(Performance!$O$489="","",Performance!$O$489)</f>
        <v>0</v>
      </c>
      <c r="BN489" s="24">
        <f>IF(Performance!$AA$489="","",Performance!$AA$489)</f>
        <v>0</v>
      </c>
      <c r="BO489" s="32">
        <f>IF(BH489="","",IF(BK489="","",IF(OR(BK489&lt;DashStart,BK489&gt;DashEnd),"",IF(BN489="","",BN489+ROW()/1000000))))</f>
        <v>0</v>
      </c>
      <c r="BP489" s="32">
        <f>IF(BM489="","",IF(BK489="","",IF(OR(BK489&lt;DashStart,BK489&gt;DashEnd),"",BM489+ROW()/1000000)))</f>
        <v>0</v>
      </c>
      <c r="BQ489" s="32">
        <f>IF(BH489="","",IF(BK489="","",IF(YEAR(BK489)&lt;&gt;PlanYear,"",IF(BN489="","",BN489+ROW()/1000000))))</f>
        <v>0</v>
      </c>
      <c r="BR489" s="32">
        <f>IF(BH489="","",IF(BK489="","",IF(OR(BK489&lt;RepFrom,BK489&gt;RepTo),"",IF(BN489="","",BN489+ROW()/1000000))))</f>
        <v>0</v>
      </c>
      <c r="BS489" s="32">
        <f>IF(BM489="","",IF(BK489="","",IF(YEAR(BK489)&lt;&gt;PlanYear,"",BM489+ROW()/1000000)))</f>
        <v>0</v>
      </c>
      <c r="BT489" s="17">
        <f>IF(Lists!$F489="","",Lists!$F489)</f>
        <v>0</v>
      </c>
      <c r="BU489" s="23">
        <f>IF(BT489="","",COUNTIF('Content Calendar'!$X$5:$X$604,BT489))</f>
        <v>0</v>
      </c>
      <c r="BV489" s="23">
        <f>IF(BT489="","",COUNTIFS('Content Calendar'!$X$5:$X$604,BT489,'Content Calendar'!$B$5:$B$604,"&gt;="&amp;DashStart,'Content Calendar'!$B$5:$B$604,"&lt;="&amp;DashEnd))</f>
        <v>0</v>
      </c>
      <c r="BW489" s="17">
        <f>IF(Team!$B$489="","",Team!$B$489)</f>
        <v>0</v>
      </c>
      <c r="BX489" s="23">
        <f>IF(BW489="","",COUNTIF('Content Calendar'!$W$5:$W$604,BW489))</f>
        <v>0</v>
      </c>
      <c r="BY489" s="23">
        <f>IF(BW489="","",COUNTIFS('Content Calendar'!$W$5:$W$604,BW489,'Content Calendar'!$X$5:$X$604,"&lt;&gt;Published"))</f>
        <v>0</v>
      </c>
      <c r="BZ489" s="23">
        <f>IF(BW489="","",COUNTIFS(Tasks!$C$5:$C$64,BW489,Tasks!$G$5:$G$64,"&lt;&gt;Complete"))</f>
        <v>0</v>
      </c>
      <c r="CA489" s="17">
        <f>IF(Campaigns!$B$489="","",Campaigns!$B$489)</f>
        <v>0</v>
      </c>
      <c r="CB489" s="25">
        <f>IF(Campaigns!$T$489="","",Campaigns!$T$489)</f>
        <v>0</v>
      </c>
      <c r="CC489" s="25">
        <f>IF(Campaigns!$Q$489="","",Campaigns!$Q$489)</f>
        <v>0</v>
      </c>
      <c r="CD489" s="23">
        <f>IF(Campaigns!$Y$489="","",Campaigns!$Y$489)</f>
        <v>0</v>
      </c>
      <c r="CE489" s="32">
        <f>IF(CA489="","",IF(N(CB489)&lt;=0,"",N(CB489)+ROW()/1000000))</f>
        <v>0</v>
      </c>
      <c r="CF489" s="17">
        <f>IF(Accounts!$C$489="","",Accounts!$C$489)</f>
        <v>0</v>
      </c>
      <c r="CG489" s="17">
        <f>IF(Accounts!$B$489="","",Accounts!$B$489)</f>
        <v>0</v>
      </c>
      <c r="CH489" s="23">
        <f>IF(Accounts!$J$489="","",Accounts!$J$489)</f>
        <v>0</v>
      </c>
      <c r="CI489" s="23">
        <f>IF(CF489="","",SUMIFS(Analytics!$X$5:$X$154,Analytics!$E$5:$E$154,CF489,Analytics!$B$5:$B$154,"&gt;="&amp;DashStart,Analytics!$B$5:$B$154,"&lt;="&amp;DashEnd))</f>
        <v>0</v>
      </c>
      <c r="CJ489" s="32">
        <f>IF(CH489="","",IF(CH489=0,"",CH489+ROW()/1000000))</f>
        <v>0</v>
      </c>
    </row>
    <row r="490" spans="1:88">
      <c r="A490" s="16">
        <f>IF(ROW()-4&gt;12,"",DATE(PlanYear,ROW()-4,1))</f>
        <v>0</v>
      </c>
      <c r="B490" s="16">
        <f>IF(A490="","",EOMONTH(A490,0))</f>
        <v>0</v>
      </c>
      <c r="C490" s="17">
        <f>IF(A490="","",TEXT(A490,"yyyy-mm"))</f>
        <v>0</v>
      </c>
      <c r="D490" s="17">
        <f>IF(A490="","",TEXT(A490,"mmm"))</f>
        <v>0</v>
      </c>
      <c r="E490" s="23">
        <f>IF(C490="","",COUNTIFS('Content Calendar'!$D$5:$D$604,C490))</f>
        <v>0</v>
      </c>
      <c r="F490" s="23">
        <f>IF(C490="","",COUNTIFS('Content Calendar'!$D$5:$D$604,C490,'Content Calendar'!$X$5:$X$604,"Published"))</f>
        <v>0</v>
      </c>
      <c r="G490" s="23">
        <f>IF(C490="","",SUMIFS(Analytics!$J$5:$J$154,Analytics!$C$5:$C$154,C490))</f>
        <v>0</v>
      </c>
      <c r="H490" s="23">
        <f>IF(C490="","",SUMIFS(Analytics!$K$5:$K$154,Analytics!$C$5:$C$154,C490))</f>
        <v>0</v>
      </c>
      <c r="I490" s="23">
        <f>IF(C490="","",SUMIFS(Analytics!$L$5:$L$154,Analytics!$C$5:$C$154,C490))</f>
        <v>0</v>
      </c>
      <c r="J490" s="24">
        <f>IF(OR(G490="",G490=0),"",I490/G490)</f>
        <v>0</v>
      </c>
      <c r="K490" s="23">
        <f>IF(C490="","",SUMIFS(Analytics!$G$5:$G$154,Analytics!$C$5:$C$154,C490))</f>
        <v>0</v>
      </c>
      <c r="L490" s="23">
        <f>IF(C490="","",SUMIFS(Analytics!$X$5:$X$154,Analytics!$C$5:$C$154,C490))</f>
        <v>0</v>
      </c>
      <c r="M490" s="23">
        <f>IF(C490="","",SUMIFS(Analytics!$R$5:$R$154,Analytics!$C$5:$C$154,C490))</f>
        <v>0</v>
      </c>
      <c r="N490" s="23">
        <f>IF(C490="","",SUMIFS(Analytics!$S$5:$S$154,Analytics!$C$5:$C$154,C490))</f>
        <v>0</v>
      </c>
      <c r="O490" s="23">
        <f>IF(C490="","",SUMIFS(Analytics!$T$5:$T$154,Analytics!$C$5:$C$154,C490))</f>
        <v>0</v>
      </c>
      <c r="P490" s="25">
        <f>IF(C490="","",SUMIFS(Analytics!$U$5:$U$154,Analytics!$C$5:$C$154,C490))</f>
        <v>0</v>
      </c>
      <c r="Q490" s="25">
        <f>IF(C490="","",SUMIFS(Budget!$H$5:$H$64,Budget!$C$5:$C$64,C490))</f>
        <v>0</v>
      </c>
      <c r="R490" s="25">
        <f>IF(C490="","",P490-Q490)</f>
        <v>0</v>
      </c>
      <c r="S490" s="23">
        <f>IF(C490="","",MonthlyPostTarget)</f>
        <v>0</v>
      </c>
      <c r="T490" s="17">
        <f>IF(Lists!$C490="","",Lists!$C490)</f>
        <v>0</v>
      </c>
      <c r="U490" s="23">
        <f>IF(T490="","",COUNTIFS('Content Calendar'!$G$5:$G$604,T490,'Content Calendar'!$B$5:$B$604,"&gt;="&amp;DashStart,'Content Calendar'!$B$5:$B$604,"&lt;="&amp;DashEnd))</f>
        <v>0</v>
      </c>
      <c r="V490" s="23">
        <f>IF(T490="","",COUNTIFS('Content Calendar'!$G$5:$G$604,T490,'Content Calendar'!$X$5:$X$604,"Published",'Content Calendar'!$B$5:$B$604,"&gt;="&amp;DashStart,'Content Calendar'!$B$5:$B$604,"&lt;="&amp;DashEnd))</f>
        <v>0</v>
      </c>
      <c r="W490" s="23">
        <f>IF(T490="","",SUMIFS(Analytics!$J$5:$J$154,Analytics!$D$5:$D$154,T490,Analytics!$B$5:$B$154,"&gt;="&amp;DashStart,Analytics!$B$5:$B$154,"&lt;="&amp;DashEnd))</f>
        <v>0</v>
      </c>
      <c r="X490" s="23">
        <f>IF(T490="","",SUMIFS(Analytics!$L$5:$L$154,Analytics!$D$5:$D$154,T490,Analytics!$B$5:$B$154,"&gt;="&amp;DashStart,Analytics!$B$5:$B$154,"&lt;="&amp;DashEnd))</f>
        <v>0</v>
      </c>
      <c r="Y490" s="24">
        <f>IF(OR(W490="",W490=0),"",X490/W490)</f>
        <v>0</v>
      </c>
      <c r="Z490" s="23">
        <f>IF(T490="","",SUMIFS(Analytics!$G$5:$G$154,Analytics!$D$5:$D$154,T490,Analytics!$B$5:$B$154,"&gt;="&amp;DashStart,Analytics!$B$5:$B$154,"&lt;="&amp;DashEnd))</f>
        <v>0</v>
      </c>
      <c r="AA490" s="23">
        <f>IF(T490="","",SUMIFS(Analytics!$X$5:$X$154,Analytics!$D$5:$D$154,T490,Analytics!$B$5:$B$154,"&gt;="&amp;DashStart,Analytics!$B$5:$B$154,"&lt;="&amp;DashEnd))</f>
        <v>0</v>
      </c>
      <c r="AB490" s="23">
        <f>IF(T490="","",SUMIFS(Analytics!$R$5:$R$154,Analytics!$D$5:$D$154,T490,Analytics!$B$5:$B$154,"&gt;="&amp;DashStart,Analytics!$B$5:$B$154,"&lt;="&amp;DashEnd))</f>
        <v>0</v>
      </c>
      <c r="AC490" s="25">
        <f>IF(T490="","",SUMIFS(Analytics!$U$5:$U$154,Analytics!$D$5:$D$154,T490,Analytics!$B$5:$B$154,"&gt;="&amp;DashStart,Analytics!$B$5:$B$154,"&lt;="&amp;DashEnd))</f>
        <v>0</v>
      </c>
      <c r="AD490" s="23">
        <f>IF(T490="","",COUNTIFS('Content Calendar'!$G$5:$G$604,T490,'Content Calendar'!$B$5:$B$604,"&gt;="&amp;DATE(PlanYear,1,1),'Content Calendar'!$B$5:$B$604,"&lt;="&amp;DATE(PlanYear,12,31)))</f>
        <v>0</v>
      </c>
      <c r="AE490" s="23">
        <f>IF(T490="","",SUMIFS(Analytics!$J$5:$J$154,Analytics!$D$5:$D$154,T490))</f>
        <v>0</v>
      </c>
      <c r="AF490" s="23">
        <f>IF(T490="","",SUMIFS(Analytics!$L$5:$L$154,Analytics!$D$5:$D$154,T490))</f>
        <v>0</v>
      </c>
      <c r="AG490" s="24">
        <f>IF(OR(AE490="",AE490=0),"",AF490/AE490)</f>
        <v>0</v>
      </c>
      <c r="AH490" s="23">
        <f>IF(T490="","",SUMIFS(Analytics!$X$5:$X$154,Analytics!$D$5:$D$154,T490))</f>
        <v>0</v>
      </c>
      <c r="AI490" s="32">
        <f>IF(T490="","",IF(AE490=0,"",AE490+ROW()/1000000))</f>
        <v>0</v>
      </c>
      <c r="AJ490" s="17">
        <f>IF('Content Pillars'!$B$490="","",'Content Pillars'!$B$490)</f>
        <v>0</v>
      </c>
      <c r="AK490" s="23">
        <f>IF(AJ490="","",COUNTIFS('Content Calendar'!$J$5:$J$604,AJ490,'Content Calendar'!$B$5:$B$604,"&gt;="&amp;DATE(PlanYear,1,1),'Content Calendar'!$B$5:$B$604,"&lt;="&amp;DATE(PlanYear,12,31)))</f>
        <v>0</v>
      </c>
      <c r="AL490" s="23">
        <f>IF(AJ490="","",SUMIFS(Performance!$O$5:$O$404,Performance!$H$5:$H$404,AJ490))</f>
        <v>0</v>
      </c>
      <c r="AM490" s="23">
        <f>IF(AJ490="","",SUMIFS(Performance!$Z$5:$Z$404,Performance!$H$5:$H$404,AJ490))</f>
        <v>0</v>
      </c>
      <c r="AN490" s="24">
        <f>IF(OR(AL490="",AL490=0),"",AM490/AL490)</f>
        <v>0</v>
      </c>
      <c r="AO490" s="32">
        <f>IF(AN490="","",AN490+ROW()/1000000)</f>
        <v>0</v>
      </c>
      <c r="AP490" s="17">
        <f>IF(Lists!$E490="","",Lists!$E490)</f>
        <v>0</v>
      </c>
      <c r="AQ490" s="23">
        <f>IF(AP490="","",COUNTIF(Performance!$G$5:$G$404,AP490))</f>
        <v>0</v>
      </c>
      <c r="AR490" s="23">
        <f>IF(AP490="","",SUMIFS(Performance!$O$5:$O$404,Performance!$G$5:$G$404,AP490))</f>
        <v>0</v>
      </c>
      <c r="AS490" s="23">
        <f>IF(AP490="","",SUMIFS(Performance!$Z$5:$Z$404,Performance!$G$5:$G$404,AP490))</f>
        <v>0</v>
      </c>
      <c r="AT490" s="24">
        <f>IF(OR(AR490="",AR490=0),"",AS490/AR490)</f>
        <v>0</v>
      </c>
      <c r="AU490" s="32">
        <f>IF(AQ490=0,"",IF(AT490="","",AT490+ROW()/1000000))</f>
        <v>0</v>
      </c>
      <c r="AV490" s="17">
        <f>IF(ROW()-4&gt;7,"",TEXT(DATE(2024,1,ROW()-4),"ddd"))</f>
        <v>0</v>
      </c>
      <c r="AW490" s="23">
        <f>IF(AV490="","",COUNTIF(Performance!$N$5:$N$404,AV490))</f>
        <v>0</v>
      </c>
      <c r="AX490" s="23">
        <f>IF(AV490="","",SUMIFS(Performance!$O$5:$O$404,Performance!$N$5:$N$404,AV490))</f>
        <v>0</v>
      </c>
      <c r="AY490" s="23">
        <f>IF(AV490="","",SUMIFS(Performance!$Z$5:$Z$404,Performance!$N$5:$N$404,AV490))</f>
        <v>0</v>
      </c>
      <c r="AZ490" s="24">
        <f>IF(OR(AX490="",AX490=0),"",AY490/AX490)</f>
        <v>0</v>
      </c>
      <c r="BA490" s="32">
        <f>IF(AW490=0,"",IF(AZ490="","",AZ490+ROW()/1000000))</f>
        <v>0</v>
      </c>
      <c r="BB490" s="17">
        <f>IF(Lists!$AL490="","",Lists!$AL490)</f>
        <v>0</v>
      </c>
      <c r="BC490" s="23">
        <f>IF(BB490="","",COUNTIF(Performance!$M$5:$M$404,BB490))</f>
        <v>0</v>
      </c>
      <c r="BD490" s="23">
        <f>IF(BB490="","",SUMIFS(Performance!$O$5:$O$404,Performance!$M$5:$M$404,BB490))</f>
        <v>0</v>
      </c>
      <c r="BE490" s="23">
        <f>IF(BB490="","",SUMIFS(Performance!$Z$5:$Z$404,Performance!$M$5:$M$404,BB490))</f>
        <v>0</v>
      </c>
      <c r="BF490" s="24">
        <f>IF(OR(BD490="",BD490=0),"",BE490/BD490)</f>
        <v>0</v>
      </c>
      <c r="BG490" s="32">
        <f>IF(BC490=0,"",IF(BF490="","",BF490+ROW()/1000000))</f>
        <v>0</v>
      </c>
      <c r="BH490" s="17">
        <f>IF(Performance!$C$490="","",Performance!$C$490)</f>
        <v>0</v>
      </c>
      <c r="BI490" s="17">
        <f>IF(Performance!$F$490="","",Performance!$F$490)</f>
        <v>0</v>
      </c>
      <c r="BJ490" s="17">
        <f>IF(Performance!$H$490="","",Performance!$H$490)</f>
        <v>0</v>
      </c>
      <c r="BK490" s="16">
        <f>IF(Performance!$D$490="","",Performance!$D$490)</f>
        <v>0</v>
      </c>
      <c r="BL490" s="17">
        <f>IF(Performance!$E$490="","",Performance!$E$490)</f>
        <v>0</v>
      </c>
      <c r="BM490" s="23">
        <f>IF(Performance!$O$490="","",Performance!$O$490)</f>
        <v>0</v>
      </c>
      <c r="BN490" s="24">
        <f>IF(Performance!$AA$490="","",Performance!$AA$490)</f>
        <v>0</v>
      </c>
      <c r="BO490" s="32">
        <f>IF(BH490="","",IF(BK490="","",IF(OR(BK490&lt;DashStart,BK490&gt;DashEnd),"",IF(BN490="","",BN490+ROW()/1000000))))</f>
        <v>0</v>
      </c>
      <c r="BP490" s="32">
        <f>IF(BM490="","",IF(BK490="","",IF(OR(BK490&lt;DashStart,BK490&gt;DashEnd),"",BM490+ROW()/1000000)))</f>
        <v>0</v>
      </c>
      <c r="BQ490" s="32">
        <f>IF(BH490="","",IF(BK490="","",IF(YEAR(BK490)&lt;&gt;PlanYear,"",IF(BN490="","",BN490+ROW()/1000000))))</f>
        <v>0</v>
      </c>
      <c r="BR490" s="32">
        <f>IF(BH490="","",IF(BK490="","",IF(OR(BK490&lt;RepFrom,BK490&gt;RepTo),"",IF(BN490="","",BN490+ROW()/1000000))))</f>
        <v>0</v>
      </c>
      <c r="BS490" s="32">
        <f>IF(BM490="","",IF(BK490="","",IF(YEAR(BK490)&lt;&gt;PlanYear,"",BM490+ROW()/1000000)))</f>
        <v>0</v>
      </c>
      <c r="BT490" s="17">
        <f>IF(Lists!$F490="","",Lists!$F490)</f>
        <v>0</v>
      </c>
      <c r="BU490" s="23">
        <f>IF(BT490="","",COUNTIF('Content Calendar'!$X$5:$X$604,BT490))</f>
        <v>0</v>
      </c>
      <c r="BV490" s="23">
        <f>IF(BT490="","",COUNTIFS('Content Calendar'!$X$5:$X$604,BT490,'Content Calendar'!$B$5:$B$604,"&gt;="&amp;DashStart,'Content Calendar'!$B$5:$B$604,"&lt;="&amp;DashEnd))</f>
        <v>0</v>
      </c>
      <c r="BW490" s="17">
        <f>IF(Team!$B$490="","",Team!$B$490)</f>
        <v>0</v>
      </c>
      <c r="BX490" s="23">
        <f>IF(BW490="","",COUNTIF('Content Calendar'!$W$5:$W$604,BW490))</f>
        <v>0</v>
      </c>
      <c r="BY490" s="23">
        <f>IF(BW490="","",COUNTIFS('Content Calendar'!$W$5:$W$604,BW490,'Content Calendar'!$X$5:$X$604,"&lt;&gt;Published"))</f>
        <v>0</v>
      </c>
      <c r="BZ490" s="23">
        <f>IF(BW490="","",COUNTIFS(Tasks!$C$5:$C$64,BW490,Tasks!$G$5:$G$64,"&lt;&gt;Complete"))</f>
        <v>0</v>
      </c>
      <c r="CA490" s="17">
        <f>IF(Campaigns!$B$490="","",Campaigns!$B$490)</f>
        <v>0</v>
      </c>
      <c r="CB490" s="25">
        <f>IF(Campaigns!$T$490="","",Campaigns!$T$490)</f>
        <v>0</v>
      </c>
      <c r="CC490" s="25">
        <f>IF(Campaigns!$Q$490="","",Campaigns!$Q$490)</f>
        <v>0</v>
      </c>
      <c r="CD490" s="23">
        <f>IF(Campaigns!$Y$490="","",Campaigns!$Y$490)</f>
        <v>0</v>
      </c>
      <c r="CE490" s="32">
        <f>IF(CA490="","",IF(N(CB490)&lt;=0,"",N(CB490)+ROW()/1000000))</f>
        <v>0</v>
      </c>
      <c r="CF490" s="17">
        <f>IF(Accounts!$C$490="","",Accounts!$C$490)</f>
        <v>0</v>
      </c>
      <c r="CG490" s="17">
        <f>IF(Accounts!$B$490="","",Accounts!$B$490)</f>
        <v>0</v>
      </c>
      <c r="CH490" s="23">
        <f>IF(Accounts!$J$490="","",Accounts!$J$490)</f>
        <v>0</v>
      </c>
      <c r="CI490" s="23">
        <f>IF(CF490="","",SUMIFS(Analytics!$X$5:$X$154,Analytics!$E$5:$E$154,CF490,Analytics!$B$5:$B$154,"&gt;="&amp;DashStart,Analytics!$B$5:$B$154,"&lt;="&amp;DashEnd))</f>
        <v>0</v>
      </c>
      <c r="CJ490" s="32">
        <f>IF(CH490="","",IF(CH490=0,"",CH490+ROW()/1000000))</f>
        <v>0</v>
      </c>
    </row>
    <row r="491" spans="1:88">
      <c r="A491" s="16">
        <f>IF(ROW()-4&gt;12,"",DATE(PlanYear,ROW()-4,1))</f>
        <v>0</v>
      </c>
      <c r="B491" s="16">
        <f>IF(A491="","",EOMONTH(A491,0))</f>
        <v>0</v>
      </c>
      <c r="C491" s="17">
        <f>IF(A491="","",TEXT(A491,"yyyy-mm"))</f>
        <v>0</v>
      </c>
      <c r="D491" s="17">
        <f>IF(A491="","",TEXT(A491,"mmm"))</f>
        <v>0</v>
      </c>
      <c r="E491" s="23">
        <f>IF(C491="","",COUNTIFS('Content Calendar'!$D$5:$D$604,C491))</f>
        <v>0</v>
      </c>
      <c r="F491" s="23">
        <f>IF(C491="","",COUNTIFS('Content Calendar'!$D$5:$D$604,C491,'Content Calendar'!$X$5:$X$604,"Published"))</f>
        <v>0</v>
      </c>
      <c r="G491" s="23">
        <f>IF(C491="","",SUMIFS(Analytics!$J$5:$J$154,Analytics!$C$5:$C$154,C491))</f>
        <v>0</v>
      </c>
      <c r="H491" s="23">
        <f>IF(C491="","",SUMIFS(Analytics!$K$5:$K$154,Analytics!$C$5:$C$154,C491))</f>
        <v>0</v>
      </c>
      <c r="I491" s="23">
        <f>IF(C491="","",SUMIFS(Analytics!$L$5:$L$154,Analytics!$C$5:$C$154,C491))</f>
        <v>0</v>
      </c>
      <c r="J491" s="24">
        <f>IF(OR(G491="",G491=0),"",I491/G491)</f>
        <v>0</v>
      </c>
      <c r="K491" s="23">
        <f>IF(C491="","",SUMIFS(Analytics!$G$5:$G$154,Analytics!$C$5:$C$154,C491))</f>
        <v>0</v>
      </c>
      <c r="L491" s="23">
        <f>IF(C491="","",SUMIFS(Analytics!$X$5:$X$154,Analytics!$C$5:$C$154,C491))</f>
        <v>0</v>
      </c>
      <c r="M491" s="23">
        <f>IF(C491="","",SUMIFS(Analytics!$R$5:$R$154,Analytics!$C$5:$C$154,C491))</f>
        <v>0</v>
      </c>
      <c r="N491" s="23">
        <f>IF(C491="","",SUMIFS(Analytics!$S$5:$S$154,Analytics!$C$5:$C$154,C491))</f>
        <v>0</v>
      </c>
      <c r="O491" s="23">
        <f>IF(C491="","",SUMIFS(Analytics!$T$5:$T$154,Analytics!$C$5:$C$154,C491))</f>
        <v>0</v>
      </c>
      <c r="P491" s="25">
        <f>IF(C491="","",SUMIFS(Analytics!$U$5:$U$154,Analytics!$C$5:$C$154,C491))</f>
        <v>0</v>
      </c>
      <c r="Q491" s="25">
        <f>IF(C491="","",SUMIFS(Budget!$H$5:$H$64,Budget!$C$5:$C$64,C491))</f>
        <v>0</v>
      </c>
      <c r="R491" s="25">
        <f>IF(C491="","",P491-Q491)</f>
        <v>0</v>
      </c>
      <c r="S491" s="23">
        <f>IF(C491="","",MonthlyPostTarget)</f>
        <v>0</v>
      </c>
      <c r="T491" s="17">
        <f>IF(Lists!$C491="","",Lists!$C491)</f>
        <v>0</v>
      </c>
      <c r="U491" s="23">
        <f>IF(T491="","",COUNTIFS('Content Calendar'!$G$5:$G$604,T491,'Content Calendar'!$B$5:$B$604,"&gt;="&amp;DashStart,'Content Calendar'!$B$5:$B$604,"&lt;="&amp;DashEnd))</f>
        <v>0</v>
      </c>
      <c r="V491" s="23">
        <f>IF(T491="","",COUNTIFS('Content Calendar'!$G$5:$G$604,T491,'Content Calendar'!$X$5:$X$604,"Published",'Content Calendar'!$B$5:$B$604,"&gt;="&amp;DashStart,'Content Calendar'!$B$5:$B$604,"&lt;="&amp;DashEnd))</f>
        <v>0</v>
      </c>
      <c r="W491" s="23">
        <f>IF(T491="","",SUMIFS(Analytics!$J$5:$J$154,Analytics!$D$5:$D$154,T491,Analytics!$B$5:$B$154,"&gt;="&amp;DashStart,Analytics!$B$5:$B$154,"&lt;="&amp;DashEnd))</f>
        <v>0</v>
      </c>
      <c r="X491" s="23">
        <f>IF(T491="","",SUMIFS(Analytics!$L$5:$L$154,Analytics!$D$5:$D$154,T491,Analytics!$B$5:$B$154,"&gt;="&amp;DashStart,Analytics!$B$5:$B$154,"&lt;="&amp;DashEnd))</f>
        <v>0</v>
      </c>
      <c r="Y491" s="24">
        <f>IF(OR(W491="",W491=0),"",X491/W491)</f>
        <v>0</v>
      </c>
      <c r="Z491" s="23">
        <f>IF(T491="","",SUMIFS(Analytics!$G$5:$G$154,Analytics!$D$5:$D$154,T491,Analytics!$B$5:$B$154,"&gt;="&amp;DashStart,Analytics!$B$5:$B$154,"&lt;="&amp;DashEnd))</f>
        <v>0</v>
      </c>
      <c r="AA491" s="23">
        <f>IF(T491="","",SUMIFS(Analytics!$X$5:$X$154,Analytics!$D$5:$D$154,T491,Analytics!$B$5:$B$154,"&gt;="&amp;DashStart,Analytics!$B$5:$B$154,"&lt;="&amp;DashEnd))</f>
        <v>0</v>
      </c>
      <c r="AB491" s="23">
        <f>IF(T491="","",SUMIFS(Analytics!$R$5:$R$154,Analytics!$D$5:$D$154,T491,Analytics!$B$5:$B$154,"&gt;="&amp;DashStart,Analytics!$B$5:$B$154,"&lt;="&amp;DashEnd))</f>
        <v>0</v>
      </c>
      <c r="AC491" s="25">
        <f>IF(T491="","",SUMIFS(Analytics!$U$5:$U$154,Analytics!$D$5:$D$154,T491,Analytics!$B$5:$B$154,"&gt;="&amp;DashStart,Analytics!$B$5:$B$154,"&lt;="&amp;DashEnd))</f>
        <v>0</v>
      </c>
      <c r="AD491" s="23">
        <f>IF(T491="","",COUNTIFS('Content Calendar'!$G$5:$G$604,T491,'Content Calendar'!$B$5:$B$604,"&gt;="&amp;DATE(PlanYear,1,1),'Content Calendar'!$B$5:$B$604,"&lt;="&amp;DATE(PlanYear,12,31)))</f>
        <v>0</v>
      </c>
      <c r="AE491" s="23">
        <f>IF(T491="","",SUMIFS(Analytics!$J$5:$J$154,Analytics!$D$5:$D$154,T491))</f>
        <v>0</v>
      </c>
      <c r="AF491" s="23">
        <f>IF(T491="","",SUMIFS(Analytics!$L$5:$L$154,Analytics!$D$5:$D$154,T491))</f>
        <v>0</v>
      </c>
      <c r="AG491" s="24">
        <f>IF(OR(AE491="",AE491=0),"",AF491/AE491)</f>
        <v>0</v>
      </c>
      <c r="AH491" s="23">
        <f>IF(T491="","",SUMIFS(Analytics!$X$5:$X$154,Analytics!$D$5:$D$154,T491))</f>
        <v>0</v>
      </c>
      <c r="AI491" s="32">
        <f>IF(T491="","",IF(AE491=0,"",AE491+ROW()/1000000))</f>
        <v>0</v>
      </c>
      <c r="AJ491" s="17">
        <f>IF('Content Pillars'!$B$491="","",'Content Pillars'!$B$491)</f>
        <v>0</v>
      </c>
      <c r="AK491" s="23">
        <f>IF(AJ491="","",COUNTIFS('Content Calendar'!$J$5:$J$604,AJ491,'Content Calendar'!$B$5:$B$604,"&gt;="&amp;DATE(PlanYear,1,1),'Content Calendar'!$B$5:$B$604,"&lt;="&amp;DATE(PlanYear,12,31)))</f>
        <v>0</v>
      </c>
      <c r="AL491" s="23">
        <f>IF(AJ491="","",SUMIFS(Performance!$O$5:$O$404,Performance!$H$5:$H$404,AJ491))</f>
        <v>0</v>
      </c>
      <c r="AM491" s="23">
        <f>IF(AJ491="","",SUMIFS(Performance!$Z$5:$Z$404,Performance!$H$5:$H$404,AJ491))</f>
        <v>0</v>
      </c>
      <c r="AN491" s="24">
        <f>IF(OR(AL491="",AL491=0),"",AM491/AL491)</f>
        <v>0</v>
      </c>
      <c r="AO491" s="32">
        <f>IF(AN491="","",AN491+ROW()/1000000)</f>
        <v>0</v>
      </c>
      <c r="AP491" s="17">
        <f>IF(Lists!$E491="","",Lists!$E491)</f>
        <v>0</v>
      </c>
      <c r="AQ491" s="23">
        <f>IF(AP491="","",COUNTIF(Performance!$G$5:$G$404,AP491))</f>
        <v>0</v>
      </c>
      <c r="AR491" s="23">
        <f>IF(AP491="","",SUMIFS(Performance!$O$5:$O$404,Performance!$G$5:$G$404,AP491))</f>
        <v>0</v>
      </c>
      <c r="AS491" s="23">
        <f>IF(AP491="","",SUMIFS(Performance!$Z$5:$Z$404,Performance!$G$5:$G$404,AP491))</f>
        <v>0</v>
      </c>
      <c r="AT491" s="24">
        <f>IF(OR(AR491="",AR491=0),"",AS491/AR491)</f>
        <v>0</v>
      </c>
      <c r="AU491" s="32">
        <f>IF(AQ491=0,"",IF(AT491="","",AT491+ROW()/1000000))</f>
        <v>0</v>
      </c>
      <c r="AV491" s="17">
        <f>IF(ROW()-4&gt;7,"",TEXT(DATE(2024,1,ROW()-4),"ddd"))</f>
        <v>0</v>
      </c>
      <c r="AW491" s="23">
        <f>IF(AV491="","",COUNTIF(Performance!$N$5:$N$404,AV491))</f>
        <v>0</v>
      </c>
      <c r="AX491" s="23">
        <f>IF(AV491="","",SUMIFS(Performance!$O$5:$O$404,Performance!$N$5:$N$404,AV491))</f>
        <v>0</v>
      </c>
      <c r="AY491" s="23">
        <f>IF(AV491="","",SUMIFS(Performance!$Z$5:$Z$404,Performance!$N$5:$N$404,AV491))</f>
        <v>0</v>
      </c>
      <c r="AZ491" s="24">
        <f>IF(OR(AX491="",AX491=0),"",AY491/AX491)</f>
        <v>0</v>
      </c>
      <c r="BA491" s="32">
        <f>IF(AW491=0,"",IF(AZ491="","",AZ491+ROW()/1000000))</f>
        <v>0</v>
      </c>
      <c r="BB491" s="17">
        <f>IF(Lists!$AL491="","",Lists!$AL491)</f>
        <v>0</v>
      </c>
      <c r="BC491" s="23">
        <f>IF(BB491="","",COUNTIF(Performance!$M$5:$M$404,BB491))</f>
        <v>0</v>
      </c>
      <c r="BD491" s="23">
        <f>IF(BB491="","",SUMIFS(Performance!$O$5:$O$404,Performance!$M$5:$M$404,BB491))</f>
        <v>0</v>
      </c>
      <c r="BE491" s="23">
        <f>IF(BB491="","",SUMIFS(Performance!$Z$5:$Z$404,Performance!$M$5:$M$404,BB491))</f>
        <v>0</v>
      </c>
      <c r="BF491" s="24">
        <f>IF(OR(BD491="",BD491=0),"",BE491/BD491)</f>
        <v>0</v>
      </c>
      <c r="BG491" s="32">
        <f>IF(BC491=0,"",IF(BF491="","",BF491+ROW()/1000000))</f>
        <v>0</v>
      </c>
      <c r="BH491" s="17">
        <f>IF(Performance!$C$491="","",Performance!$C$491)</f>
        <v>0</v>
      </c>
      <c r="BI491" s="17">
        <f>IF(Performance!$F$491="","",Performance!$F$491)</f>
        <v>0</v>
      </c>
      <c r="BJ491" s="17">
        <f>IF(Performance!$H$491="","",Performance!$H$491)</f>
        <v>0</v>
      </c>
      <c r="BK491" s="16">
        <f>IF(Performance!$D$491="","",Performance!$D$491)</f>
        <v>0</v>
      </c>
      <c r="BL491" s="17">
        <f>IF(Performance!$E$491="","",Performance!$E$491)</f>
        <v>0</v>
      </c>
      <c r="BM491" s="23">
        <f>IF(Performance!$O$491="","",Performance!$O$491)</f>
        <v>0</v>
      </c>
      <c r="BN491" s="24">
        <f>IF(Performance!$AA$491="","",Performance!$AA$491)</f>
        <v>0</v>
      </c>
      <c r="BO491" s="32">
        <f>IF(BH491="","",IF(BK491="","",IF(OR(BK491&lt;DashStart,BK491&gt;DashEnd),"",IF(BN491="","",BN491+ROW()/1000000))))</f>
        <v>0</v>
      </c>
      <c r="BP491" s="32">
        <f>IF(BM491="","",IF(BK491="","",IF(OR(BK491&lt;DashStart,BK491&gt;DashEnd),"",BM491+ROW()/1000000)))</f>
        <v>0</v>
      </c>
      <c r="BQ491" s="32">
        <f>IF(BH491="","",IF(BK491="","",IF(YEAR(BK491)&lt;&gt;PlanYear,"",IF(BN491="","",BN491+ROW()/1000000))))</f>
        <v>0</v>
      </c>
      <c r="BR491" s="32">
        <f>IF(BH491="","",IF(BK491="","",IF(OR(BK491&lt;RepFrom,BK491&gt;RepTo),"",IF(BN491="","",BN491+ROW()/1000000))))</f>
        <v>0</v>
      </c>
      <c r="BS491" s="32">
        <f>IF(BM491="","",IF(BK491="","",IF(YEAR(BK491)&lt;&gt;PlanYear,"",BM491+ROW()/1000000)))</f>
        <v>0</v>
      </c>
      <c r="BT491" s="17">
        <f>IF(Lists!$F491="","",Lists!$F491)</f>
        <v>0</v>
      </c>
      <c r="BU491" s="23">
        <f>IF(BT491="","",COUNTIF('Content Calendar'!$X$5:$X$604,BT491))</f>
        <v>0</v>
      </c>
      <c r="BV491" s="23">
        <f>IF(BT491="","",COUNTIFS('Content Calendar'!$X$5:$X$604,BT491,'Content Calendar'!$B$5:$B$604,"&gt;="&amp;DashStart,'Content Calendar'!$B$5:$B$604,"&lt;="&amp;DashEnd))</f>
        <v>0</v>
      </c>
      <c r="BW491" s="17">
        <f>IF(Team!$B$491="","",Team!$B$491)</f>
        <v>0</v>
      </c>
      <c r="BX491" s="23">
        <f>IF(BW491="","",COUNTIF('Content Calendar'!$W$5:$W$604,BW491))</f>
        <v>0</v>
      </c>
      <c r="BY491" s="23">
        <f>IF(BW491="","",COUNTIFS('Content Calendar'!$W$5:$W$604,BW491,'Content Calendar'!$X$5:$X$604,"&lt;&gt;Published"))</f>
        <v>0</v>
      </c>
      <c r="BZ491" s="23">
        <f>IF(BW491="","",COUNTIFS(Tasks!$C$5:$C$64,BW491,Tasks!$G$5:$G$64,"&lt;&gt;Complete"))</f>
        <v>0</v>
      </c>
      <c r="CA491" s="17">
        <f>IF(Campaigns!$B$491="","",Campaigns!$B$491)</f>
        <v>0</v>
      </c>
      <c r="CB491" s="25">
        <f>IF(Campaigns!$T$491="","",Campaigns!$T$491)</f>
        <v>0</v>
      </c>
      <c r="CC491" s="25">
        <f>IF(Campaigns!$Q$491="","",Campaigns!$Q$491)</f>
        <v>0</v>
      </c>
      <c r="CD491" s="23">
        <f>IF(Campaigns!$Y$491="","",Campaigns!$Y$491)</f>
        <v>0</v>
      </c>
      <c r="CE491" s="32">
        <f>IF(CA491="","",IF(N(CB491)&lt;=0,"",N(CB491)+ROW()/1000000))</f>
        <v>0</v>
      </c>
      <c r="CF491" s="17">
        <f>IF(Accounts!$C$491="","",Accounts!$C$491)</f>
        <v>0</v>
      </c>
      <c r="CG491" s="17">
        <f>IF(Accounts!$B$491="","",Accounts!$B$491)</f>
        <v>0</v>
      </c>
      <c r="CH491" s="23">
        <f>IF(Accounts!$J$491="","",Accounts!$J$491)</f>
        <v>0</v>
      </c>
      <c r="CI491" s="23">
        <f>IF(CF491="","",SUMIFS(Analytics!$X$5:$X$154,Analytics!$E$5:$E$154,CF491,Analytics!$B$5:$B$154,"&gt;="&amp;DashStart,Analytics!$B$5:$B$154,"&lt;="&amp;DashEnd))</f>
        <v>0</v>
      </c>
      <c r="CJ491" s="32">
        <f>IF(CH491="","",IF(CH491=0,"",CH491+ROW()/1000000))</f>
        <v>0</v>
      </c>
    </row>
    <row r="492" spans="1:88">
      <c r="A492" s="16">
        <f>IF(ROW()-4&gt;12,"",DATE(PlanYear,ROW()-4,1))</f>
        <v>0</v>
      </c>
      <c r="B492" s="16">
        <f>IF(A492="","",EOMONTH(A492,0))</f>
        <v>0</v>
      </c>
      <c r="C492" s="17">
        <f>IF(A492="","",TEXT(A492,"yyyy-mm"))</f>
        <v>0</v>
      </c>
      <c r="D492" s="17">
        <f>IF(A492="","",TEXT(A492,"mmm"))</f>
        <v>0</v>
      </c>
      <c r="E492" s="23">
        <f>IF(C492="","",COUNTIFS('Content Calendar'!$D$5:$D$604,C492))</f>
        <v>0</v>
      </c>
      <c r="F492" s="23">
        <f>IF(C492="","",COUNTIFS('Content Calendar'!$D$5:$D$604,C492,'Content Calendar'!$X$5:$X$604,"Published"))</f>
        <v>0</v>
      </c>
      <c r="G492" s="23">
        <f>IF(C492="","",SUMIFS(Analytics!$J$5:$J$154,Analytics!$C$5:$C$154,C492))</f>
        <v>0</v>
      </c>
      <c r="H492" s="23">
        <f>IF(C492="","",SUMIFS(Analytics!$K$5:$K$154,Analytics!$C$5:$C$154,C492))</f>
        <v>0</v>
      </c>
      <c r="I492" s="23">
        <f>IF(C492="","",SUMIFS(Analytics!$L$5:$L$154,Analytics!$C$5:$C$154,C492))</f>
        <v>0</v>
      </c>
      <c r="J492" s="24">
        <f>IF(OR(G492="",G492=0),"",I492/G492)</f>
        <v>0</v>
      </c>
      <c r="K492" s="23">
        <f>IF(C492="","",SUMIFS(Analytics!$G$5:$G$154,Analytics!$C$5:$C$154,C492))</f>
        <v>0</v>
      </c>
      <c r="L492" s="23">
        <f>IF(C492="","",SUMIFS(Analytics!$X$5:$X$154,Analytics!$C$5:$C$154,C492))</f>
        <v>0</v>
      </c>
      <c r="M492" s="23">
        <f>IF(C492="","",SUMIFS(Analytics!$R$5:$R$154,Analytics!$C$5:$C$154,C492))</f>
        <v>0</v>
      </c>
      <c r="N492" s="23">
        <f>IF(C492="","",SUMIFS(Analytics!$S$5:$S$154,Analytics!$C$5:$C$154,C492))</f>
        <v>0</v>
      </c>
      <c r="O492" s="23">
        <f>IF(C492="","",SUMIFS(Analytics!$T$5:$T$154,Analytics!$C$5:$C$154,C492))</f>
        <v>0</v>
      </c>
      <c r="P492" s="25">
        <f>IF(C492="","",SUMIFS(Analytics!$U$5:$U$154,Analytics!$C$5:$C$154,C492))</f>
        <v>0</v>
      </c>
      <c r="Q492" s="25">
        <f>IF(C492="","",SUMIFS(Budget!$H$5:$H$64,Budget!$C$5:$C$64,C492))</f>
        <v>0</v>
      </c>
      <c r="R492" s="25">
        <f>IF(C492="","",P492-Q492)</f>
        <v>0</v>
      </c>
      <c r="S492" s="23">
        <f>IF(C492="","",MonthlyPostTarget)</f>
        <v>0</v>
      </c>
      <c r="T492" s="17">
        <f>IF(Lists!$C492="","",Lists!$C492)</f>
        <v>0</v>
      </c>
      <c r="U492" s="23">
        <f>IF(T492="","",COUNTIFS('Content Calendar'!$G$5:$G$604,T492,'Content Calendar'!$B$5:$B$604,"&gt;="&amp;DashStart,'Content Calendar'!$B$5:$B$604,"&lt;="&amp;DashEnd))</f>
        <v>0</v>
      </c>
      <c r="V492" s="23">
        <f>IF(T492="","",COUNTIFS('Content Calendar'!$G$5:$G$604,T492,'Content Calendar'!$X$5:$X$604,"Published",'Content Calendar'!$B$5:$B$604,"&gt;="&amp;DashStart,'Content Calendar'!$B$5:$B$604,"&lt;="&amp;DashEnd))</f>
        <v>0</v>
      </c>
      <c r="W492" s="23">
        <f>IF(T492="","",SUMIFS(Analytics!$J$5:$J$154,Analytics!$D$5:$D$154,T492,Analytics!$B$5:$B$154,"&gt;="&amp;DashStart,Analytics!$B$5:$B$154,"&lt;="&amp;DashEnd))</f>
        <v>0</v>
      </c>
      <c r="X492" s="23">
        <f>IF(T492="","",SUMIFS(Analytics!$L$5:$L$154,Analytics!$D$5:$D$154,T492,Analytics!$B$5:$B$154,"&gt;="&amp;DashStart,Analytics!$B$5:$B$154,"&lt;="&amp;DashEnd))</f>
        <v>0</v>
      </c>
      <c r="Y492" s="24">
        <f>IF(OR(W492="",W492=0),"",X492/W492)</f>
        <v>0</v>
      </c>
      <c r="Z492" s="23">
        <f>IF(T492="","",SUMIFS(Analytics!$G$5:$G$154,Analytics!$D$5:$D$154,T492,Analytics!$B$5:$B$154,"&gt;="&amp;DashStart,Analytics!$B$5:$B$154,"&lt;="&amp;DashEnd))</f>
        <v>0</v>
      </c>
      <c r="AA492" s="23">
        <f>IF(T492="","",SUMIFS(Analytics!$X$5:$X$154,Analytics!$D$5:$D$154,T492,Analytics!$B$5:$B$154,"&gt;="&amp;DashStart,Analytics!$B$5:$B$154,"&lt;="&amp;DashEnd))</f>
        <v>0</v>
      </c>
      <c r="AB492" s="23">
        <f>IF(T492="","",SUMIFS(Analytics!$R$5:$R$154,Analytics!$D$5:$D$154,T492,Analytics!$B$5:$B$154,"&gt;="&amp;DashStart,Analytics!$B$5:$B$154,"&lt;="&amp;DashEnd))</f>
        <v>0</v>
      </c>
      <c r="AC492" s="25">
        <f>IF(T492="","",SUMIFS(Analytics!$U$5:$U$154,Analytics!$D$5:$D$154,T492,Analytics!$B$5:$B$154,"&gt;="&amp;DashStart,Analytics!$B$5:$B$154,"&lt;="&amp;DashEnd))</f>
        <v>0</v>
      </c>
      <c r="AD492" s="23">
        <f>IF(T492="","",COUNTIFS('Content Calendar'!$G$5:$G$604,T492,'Content Calendar'!$B$5:$B$604,"&gt;="&amp;DATE(PlanYear,1,1),'Content Calendar'!$B$5:$B$604,"&lt;="&amp;DATE(PlanYear,12,31)))</f>
        <v>0</v>
      </c>
      <c r="AE492" s="23">
        <f>IF(T492="","",SUMIFS(Analytics!$J$5:$J$154,Analytics!$D$5:$D$154,T492))</f>
        <v>0</v>
      </c>
      <c r="AF492" s="23">
        <f>IF(T492="","",SUMIFS(Analytics!$L$5:$L$154,Analytics!$D$5:$D$154,T492))</f>
        <v>0</v>
      </c>
      <c r="AG492" s="24">
        <f>IF(OR(AE492="",AE492=0),"",AF492/AE492)</f>
        <v>0</v>
      </c>
      <c r="AH492" s="23">
        <f>IF(T492="","",SUMIFS(Analytics!$X$5:$X$154,Analytics!$D$5:$D$154,T492))</f>
        <v>0</v>
      </c>
      <c r="AI492" s="32">
        <f>IF(T492="","",IF(AE492=0,"",AE492+ROW()/1000000))</f>
        <v>0</v>
      </c>
      <c r="AJ492" s="17">
        <f>IF('Content Pillars'!$B$492="","",'Content Pillars'!$B$492)</f>
        <v>0</v>
      </c>
      <c r="AK492" s="23">
        <f>IF(AJ492="","",COUNTIFS('Content Calendar'!$J$5:$J$604,AJ492,'Content Calendar'!$B$5:$B$604,"&gt;="&amp;DATE(PlanYear,1,1),'Content Calendar'!$B$5:$B$604,"&lt;="&amp;DATE(PlanYear,12,31)))</f>
        <v>0</v>
      </c>
      <c r="AL492" s="23">
        <f>IF(AJ492="","",SUMIFS(Performance!$O$5:$O$404,Performance!$H$5:$H$404,AJ492))</f>
        <v>0</v>
      </c>
      <c r="AM492" s="23">
        <f>IF(AJ492="","",SUMIFS(Performance!$Z$5:$Z$404,Performance!$H$5:$H$404,AJ492))</f>
        <v>0</v>
      </c>
      <c r="AN492" s="24">
        <f>IF(OR(AL492="",AL492=0),"",AM492/AL492)</f>
        <v>0</v>
      </c>
      <c r="AO492" s="32">
        <f>IF(AN492="","",AN492+ROW()/1000000)</f>
        <v>0</v>
      </c>
      <c r="AP492" s="17">
        <f>IF(Lists!$E492="","",Lists!$E492)</f>
        <v>0</v>
      </c>
      <c r="AQ492" s="23">
        <f>IF(AP492="","",COUNTIF(Performance!$G$5:$G$404,AP492))</f>
        <v>0</v>
      </c>
      <c r="AR492" s="23">
        <f>IF(AP492="","",SUMIFS(Performance!$O$5:$O$404,Performance!$G$5:$G$404,AP492))</f>
        <v>0</v>
      </c>
      <c r="AS492" s="23">
        <f>IF(AP492="","",SUMIFS(Performance!$Z$5:$Z$404,Performance!$G$5:$G$404,AP492))</f>
        <v>0</v>
      </c>
      <c r="AT492" s="24">
        <f>IF(OR(AR492="",AR492=0),"",AS492/AR492)</f>
        <v>0</v>
      </c>
      <c r="AU492" s="32">
        <f>IF(AQ492=0,"",IF(AT492="","",AT492+ROW()/1000000))</f>
        <v>0</v>
      </c>
      <c r="AV492" s="17">
        <f>IF(ROW()-4&gt;7,"",TEXT(DATE(2024,1,ROW()-4),"ddd"))</f>
        <v>0</v>
      </c>
      <c r="AW492" s="23">
        <f>IF(AV492="","",COUNTIF(Performance!$N$5:$N$404,AV492))</f>
        <v>0</v>
      </c>
      <c r="AX492" s="23">
        <f>IF(AV492="","",SUMIFS(Performance!$O$5:$O$404,Performance!$N$5:$N$404,AV492))</f>
        <v>0</v>
      </c>
      <c r="AY492" s="23">
        <f>IF(AV492="","",SUMIFS(Performance!$Z$5:$Z$404,Performance!$N$5:$N$404,AV492))</f>
        <v>0</v>
      </c>
      <c r="AZ492" s="24">
        <f>IF(OR(AX492="",AX492=0),"",AY492/AX492)</f>
        <v>0</v>
      </c>
      <c r="BA492" s="32">
        <f>IF(AW492=0,"",IF(AZ492="","",AZ492+ROW()/1000000))</f>
        <v>0</v>
      </c>
      <c r="BB492" s="17">
        <f>IF(Lists!$AL492="","",Lists!$AL492)</f>
        <v>0</v>
      </c>
      <c r="BC492" s="23">
        <f>IF(BB492="","",COUNTIF(Performance!$M$5:$M$404,BB492))</f>
        <v>0</v>
      </c>
      <c r="BD492" s="23">
        <f>IF(BB492="","",SUMIFS(Performance!$O$5:$O$404,Performance!$M$5:$M$404,BB492))</f>
        <v>0</v>
      </c>
      <c r="BE492" s="23">
        <f>IF(BB492="","",SUMIFS(Performance!$Z$5:$Z$404,Performance!$M$5:$M$404,BB492))</f>
        <v>0</v>
      </c>
      <c r="BF492" s="24">
        <f>IF(OR(BD492="",BD492=0),"",BE492/BD492)</f>
        <v>0</v>
      </c>
      <c r="BG492" s="32">
        <f>IF(BC492=0,"",IF(BF492="","",BF492+ROW()/1000000))</f>
        <v>0</v>
      </c>
      <c r="BH492" s="17">
        <f>IF(Performance!$C$492="","",Performance!$C$492)</f>
        <v>0</v>
      </c>
      <c r="BI492" s="17">
        <f>IF(Performance!$F$492="","",Performance!$F$492)</f>
        <v>0</v>
      </c>
      <c r="BJ492" s="17">
        <f>IF(Performance!$H$492="","",Performance!$H$492)</f>
        <v>0</v>
      </c>
      <c r="BK492" s="16">
        <f>IF(Performance!$D$492="","",Performance!$D$492)</f>
        <v>0</v>
      </c>
      <c r="BL492" s="17">
        <f>IF(Performance!$E$492="","",Performance!$E$492)</f>
        <v>0</v>
      </c>
      <c r="BM492" s="23">
        <f>IF(Performance!$O$492="","",Performance!$O$492)</f>
        <v>0</v>
      </c>
      <c r="BN492" s="24">
        <f>IF(Performance!$AA$492="","",Performance!$AA$492)</f>
        <v>0</v>
      </c>
      <c r="BO492" s="32">
        <f>IF(BH492="","",IF(BK492="","",IF(OR(BK492&lt;DashStart,BK492&gt;DashEnd),"",IF(BN492="","",BN492+ROW()/1000000))))</f>
        <v>0</v>
      </c>
      <c r="BP492" s="32">
        <f>IF(BM492="","",IF(BK492="","",IF(OR(BK492&lt;DashStart,BK492&gt;DashEnd),"",BM492+ROW()/1000000)))</f>
        <v>0</v>
      </c>
      <c r="BQ492" s="32">
        <f>IF(BH492="","",IF(BK492="","",IF(YEAR(BK492)&lt;&gt;PlanYear,"",IF(BN492="","",BN492+ROW()/1000000))))</f>
        <v>0</v>
      </c>
      <c r="BR492" s="32">
        <f>IF(BH492="","",IF(BK492="","",IF(OR(BK492&lt;RepFrom,BK492&gt;RepTo),"",IF(BN492="","",BN492+ROW()/1000000))))</f>
        <v>0</v>
      </c>
      <c r="BS492" s="32">
        <f>IF(BM492="","",IF(BK492="","",IF(YEAR(BK492)&lt;&gt;PlanYear,"",BM492+ROW()/1000000)))</f>
        <v>0</v>
      </c>
      <c r="BT492" s="17">
        <f>IF(Lists!$F492="","",Lists!$F492)</f>
        <v>0</v>
      </c>
      <c r="BU492" s="23">
        <f>IF(BT492="","",COUNTIF('Content Calendar'!$X$5:$X$604,BT492))</f>
        <v>0</v>
      </c>
      <c r="BV492" s="23">
        <f>IF(BT492="","",COUNTIFS('Content Calendar'!$X$5:$X$604,BT492,'Content Calendar'!$B$5:$B$604,"&gt;="&amp;DashStart,'Content Calendar'!$B$5:$B$604,"&lt;="&amp;DashEnd))</f>
        <v>0</v>
      </c>
      <c r="BW492" s="17">
        <f>IF(Team!$B$492="","",Team!$B$492)</f>
        <v>0</v>
      </c>
      <c r="BX492" s="23">
        <f>IF(BW492="","",COUNTIF('Content Calendar'!$W$5:$W$604,BW492))</f>
        <v>0</v>
      </c>
      <c r="BY492" s="23">
        <f>IF(BW492="","",COUNTIFS('Content Calendar'!$W$5:$W$604,BW492,'Content Calendar'!$X$5:$X$604,"&lt;&gt;Published"))</f>
        <v>0</v>
      </c>
      <c r="BZ492" s="23">
        <f>IF(BW492="","",COUNTIFS(Tasks!$C$5:$C$64,BW492,Tasks!$G$5:$G$64,"&lt;&gt;Complete"))</f>
        <v>0</v>
      </c>
      <c r="CA492" s="17">
        <f>IF(Campaigns!$B$492="","",Campaigns!$B$492)</f>
        <v>0</v>
      </c>
      <c r="CB492" s="25">
        <f>IF(Campaigns!$T$492="","",Campaigns!$T$492)</f>
        <v>0</v>
      </c>
      <c r="CC492" s="25">
        <f>IF(Campaigns!$Q$492="","",Campaigns!$Q$492)</f>
        <v>0</v>
      </c>
      <c r="CD492" s="23">
        <f>IF(Campaigns!$Y$492="","",Campaigns!$Y$492)</f>
        <v>0</v>
      </c>
      <c r="CE492" s="32">
        <f>IF(CA492="","",IF(N(CB492)&lt;=0,"",N(CB492)+ROW()/1000000))</f>
        <v>0</v>
      </c>
      <c r="CF492" s="17">
        <f>IF(Accounts!$C$492="","",Accounts!$C$492)</f>
        <v>0</v>
      </c>
      <c r="CG492" s="17">
        <f>IF(Accounts!$B$492="","",Accounts!$B$492)</f>
        <v>0</v>
      </c>
      <c r="CH492" s="23">
        <f>IF(Accounts!$J$492="","",Accounts!$J$492)</f>
        <v>0</v>
      </c>
      <c r="CI492" s="23">
        <f>IF(CF492="","",SUMIFS(Analytics!$X$5:$X$154,Analytics!$E$5:$E$154,CF492,Analytics!$B$5:$B$154,"&gt;="&amp;DashStart,Analytics!$B$5:$B$154,"&lt;="&amp;DashEnd))</f>
        <v>0</v>
      </c>
      <c r="CJ492" s="32">
        <f>IF(CH492="","",IF(CH492=0,"",CH492+ROW()/1000000))</f>
        <v>0</v>
      </c>
    </row>
    <row r="493" spans="1:88">
      <c r="A493" s="16">
        <f>IF(ROW()-4&gt;12,"",DATE(PlanYear,ROW()-4,1))</f>
        <v>0</v>
      </c>
      <c r="B493" s="16">
        <f>IF(A493="","",EOMONTH(A493,0))</f>
        <v>0</v>
      </c>
      <c r="C493" s="17">
        <f>IF(A493="","",TEXT(A493,"yyyy-mm"))</f>
        <v>0</v>
      </c>
      <c r="D493" s="17">
        <f>IF(A493="","",TEXT(A493,"mmm"))</f>
        <v>0</v>
      </c>
      <c r="E493" s="23">
        <f>IF(C493="","",COUNTIFS('Content Calendar'!$D$5:$D$604,C493))</f>
        <v>0</v>
      </c>
      <c r="F493" s="23">
        <f>IF(C493="","",COUNTIFS('Content Calendar'!$D$5:$D$604,C493,'Content Calendar'!$X$5:$X$604,"Published"))</f>
        <v>0</v>
      </c>
      <c r="G493" s="23">
        <f>IF(C493="","",SUMIFS(Analytics!$J$5:$J$154,Analytics!$C$5:$C$154,C493))</f>
        <v>0</v>
      </c>
      <c r="H493" s="23">
        <f>IF(C493="","",SUMIFS(Analytics!$K$5:$K$154,Analytics!$C$5:$C$154,C493))</f>
        <v>0</v>
      </c>
      <c r="I493" s="23">
        <f>IF(C493="","",SUMIFS(Analytics!$L$5:$L$154,Analytics!$C$5:$C$154,C493))</f>
        <v>0</v>
      </c>
      <c r="J493" s="24">
        <f>IF(OR(G493="",G493=0),"",I493/G493)</f>
        <v>0</v>
      </c>
      <c r="K493" s="23">
        <f>IF(C493="","",SUMIFS(Analytics!$G$5:$G$154,Analytics!$C$5:$C$154,C493))</f>
        <v>0</v>
      </c>
      <c r="L493" s="23">
        <f>IF(C493="","",SUMIFS(Analytics!$X$5:$X$154,Analytics!$C$5:$C$154,C493))</f>
        <v>0</v>
      </c>
      <c r="M493" s="23">
        <f>IF(C493="","",SUMIFS(Analytics!$R$5:$R$154,Analytics!$C$5:$C$154,C493))</f>
        <v>0</v>
      </c>
      <c r="N493" s="23">
        <f>IF(C493="","",SUMIFS(Analytics!$S$5:$S$154,Analytics!$C$5:$C$154,C493))</f>
        <v>0</v>
      </c>
      <c r="O493" s="23">
        <f>IF(C493="","",SUMIFS(Analytics!$T$5:$T$154,Analytics!$C$5:$C$154,C493))</f>
        <v>0</v>
      </c>
      <c r="P493" s="25">
        <f>IF(C493="","",SUMIFS(Analytics!$U$5:$U$154,Analytics!$C$5:$C$154,C493))</f>
        <v>0</v>
      </c>
      <c r="Q493" s="25">
        <f>IF(C493="","",SUMIFS(Budget!$H$5:$H$64,Budget!$C$5:$C$64,C493))</f>
        <v>0</v>
      </c>
      <c r="R493" s="25">
        <f>IF(C493="","",P493-Q493)</f>
        <v>0</v>
      </c>
      <c r="S493" s="23">
        <f>IF(C493="","",MonthlyPostTarget)</f>
        <v>0</v>
      </c>
      <c r="T493" s="17">
        <f>IF(Lists!$C493="","",Lists!$C493)</f>
        <v>0</v>
      </c>
      <c r="U493" s="23">
        <f>IF(T493="","",COUNTIFS('Content Calendar'!$G$5:$G$604,T493,'Content Calendar'!$B$5:$B$604,"&gt;="&amp;DashStart,'Content Calendar'!$B$5:$B$604,"&lt;="&amp;DashEnd))</f>
        <v>0</v>
      </c>
      <c r="V493" s="23">
        <f>IF(T493="","",COUNTIFS('Content Calendar'!$G$5:$G$604,T493,'Content Calendar'!$X$5:$X$604,"Published",'Content Calendar'!$B$5:$B$604,"&gt;="&amp;DashStart,'Content Calendar'!$B$5:$B$604,"&lt;="&amp;DashEnd))</f>
        <v>0</v>
      </c>
      <c r="W493" s="23">
        <f>IF(T493="","",SUMIFS(Analytics!$J$5:$J$154,Analytics!$D$5:$D$154,T493,Analytics!$B$5:$B$154,"&gt;="&amp;DashStart,Analytics!$B$5:$B$154,"&lt;="&amp;DashEnd))</f>
        <v>0</v>
      </c>
      <c r="X493" s="23">
        <f>IF(T493="","",SUMIFS(Analytics!$L$5:$L$154,Analytics!$D$5:$D$154,T493,Analytics!$B$5:$B$154,"&gt;="&amp;DashStart,Analytics!$B$5:$B$154,"&lt;="&amp;DashEnd))</f>
        <v>0</v>
      </c>
      <c r="Y493" s="24">
        <f>IF(OR(W493="",W493=0),"",X493/W493)</f>
        <v>0</v>
      </c>
      <c r="Z493" s="23">
        <f>IF(T493="","",SUMIFS(Analytics!$G$5:$G$154,Analytics!$D$5:$D$154,T493,Analytics!$B$5:$B$154,"&gt;="&amp;DashStart,Analytics!$B$5:$B$154,"&lt;="&amp;DashEnd))</f>
        <v>0</v>
      </c>
      <c r="AA493" s="23">
        <f>IF(T493="","",SUMIFS(Analytics!$X$5:$X$154,Analytics!$D$5:$D$154,T493,Analytics!$B$5:$B$154,"&gt;="&amp;DashStart,Analytics!$B$5:$B$154,"&lt;="&amp;DashEnd))</f>
        <v>0</v>
      </c>
      <c r="AB493" s="23">
        <f>IF(T493="","",SUMIFS(Analytics!$R$5:$R$154,Analytics!$D$5:$D$154,T493,Analytics!$B$5:$B$154,"&gt;="&amp;DashStart,Analytics!$B$5:$B$154,"&lt;="&amp;DashEnd))</f>
        <v>0</v>
      </c>
      <c r="AC493" s="25">
        <f>IF(T493="","",SUMIFS(Analytics!$U$5:$U$154,Analytics!$D$5:$D$154,T493,Analytics!$B$5:$B$154,"&gt;="&amp;DashStart,Analytics!$B$5:$B$154,"&lt;="&amp;DashEnd))</f>
        <v>0</v>
      </c>
      <c r="AD493" s="23">
        <f>IF(T493="","",COUNTIFS('Content Calendar'!$G$5:$G$604,T493,'Content Calendar'!$B$5:$B$604,"&gt;="&amp;DATE(PlanYear,1,1),'Content Calendar'!$B$5:$B$604,"&lt;="&amp;DATE(PlanYear,12,31)))</f>
        <v>0</v>
      </c>
      <c r="AE493" s="23">
        <f>IF(T493="","",SUMIFS(Analytics!$J$5:$J$154,Analytics!$D$5:$D$154,T493))</f>
        <v>0</v>
      </c>
      <c r="AF493" s="23">
        <f>IF(T493="","",SUMIFS(Analytics!$L$5:$L$154,Analytics!$D$5:$D$154,T493))</f>
        <v>0</v>
      </c>
      <c r="AG493" s="24">
        <f>IF(OR(AE493="",AE493=0),"",AF493/AE493)</f>
        <v>0</v>
      </c>
      <c r="AH493" s="23">
        <f>IF(T493="","",SUMIFS(Analytics!$X$5:$X$154,Analytics!$D$5:$D$154,T493))</f>
        <v>0</v>
      </c>
      <c r="AI493" s="32">
        <f>IF(T493="","",IF(AE493=0,"",AE493+ROW()/1000000))</f>
        <v>0</v>
      </c>
      <c r="AJ493" s="17">
        <f>IF('Content Pillars'!$B$493="","",'Content Pillars'!$B$493)</f>
        <v>0</v>
      </c>
      <c r="AK493" s="23">
        <f>IF(AJ493="","",COUNTIFS('Content Calendar'!$J$5:$J$604,AJ493,'Content Calendar'!$B$5:$B$604,"&gt;="&amp;DATE(PlanYear,1,1),'Content Calendar'!$B$5:$B$604,"&lt;="&amp;DATE(PlanYear,12,31)))</f>
        <v>0</v>
      </c>
      <c r="AL493" s="23">
        <f>IF(AJ493="","",SUMIFS(Performance!$O$5:$O$404,Performance!$H$5:$H$404,AJ493))</f>
        <v>0</v>
      </c>
      <c r="AM493" s="23">
        <f>IF(AJ493="","",SUMIFS(Performance!$Z$5:$Z$404,Performance!$H$5:$H$404,AJ493))</f>
        <v>0</v>
      </c>
      <c r="AN493" s="24">
        <f>IF(OR(AL493="",AL493=0),"",AM493/AL493)</f>
        <v>0</v>
      </c>
      <c r="AO493" s="32">
        <f>IF(AN493="","",AN493+ROW()/1000000)</f>
        <v>0</v>
      </c>
      <c r="AP493" s="17">
        <f>IF(Lists!$E493="","",Lists!$E493)</f>
        <v>0</v>
      </c>
      <c r="AQ493" s="23">
        <f>IF(AP493="","",COUNTIF(Performance!$G$5:$G$404,AP493))</f>
        <v>0</v>
      </c>
      <c r="AR493" s="23">
        <f>IF(AP493="","",SUMIFS(Performance!$O$5:$O$404,Performance!$G$5:$G$404,AP493))</f>
        <v>0</v>
      </c>
      <c r="AS493" s="23">
        <f>IF(AP493="","",SUMIFS(Performance!$Z$5:$Z$404,Performance!$G$5:$G$404,AP493))</f>
        <v>0</v>
      </c>
      <c r="AT493" s="24">
        <f>IF(OR(AR493="",AR493=0),"",AS493/AR493)</f>
        <v>0</v>
      </c>
      <c r="AU493" s="32">
        <f>IF(AQ493=0,"",IF(AT493="","",AT493+ROW()/1000000))</f>
        <v>0</v>
      </c>
      <c r="AV493" s="17">
        <f>IF(ROW()-4&gt;7,"",TEXT(DATE(2024,1,ROW()-4),"ddd"))</f>
        <v>0</v>
      </c>
      <c r="AW493" s="23">
        <f>IF(AV493="","",COUNTIF(Performance!$N$5:$N$404,AV493))</f>
        <v>0</v>
      </c>
      <c r="AX493" s="23">
        <f>IF(AV493="","",SUMIFS(Performance!$O$5:$O$404,Performance!$N$5:$N$404,AV493))</f>
        <v>0</v>
      </c>
      <c r="AY493" s="23">
        <f>IF(AV493="","",SUMIFS(Performance!$Z$5:$Z$404,Performance!$N$5:$N$404,AV493))</f>
        <v>0</v>
      </c>
      <c r="AZ493" s="24">
        <f>IF(OR(AX493="",AX493=0),"",AY493/AX493)</f>
        <v>0</v>
      </c>
      <c r="BA493" s="32">
        <f>IF(AW493=0,"",IF(AZ493="","",AZ493+ROW()/1000000))</f>
        <v>0</v>
      </c>
      <c r="BB493" s="17">
        <f>IF(Lists!$AL493="","",Lists!$AL493)</f>
        <v>0</v>
      </c>
      <c r="BC493" s="23">
        <f>IF(BB493="","",COUNTIF(Performance!$M$5:$M$404,BB493))</f>
        <v>0</v>
      </c>
      <c r="BD493" s="23">
        <f>IF(BB493="","",SUMIFS(Performance!$O$5:$O$404,Performance!$M$5:$M$404,BB493))</f>
        <v>0</v>
      </c>
      <c r="BE493" s="23">
        <f>IF(BB493="","",SUMIFS(Performance!$Z$5:$Z$404,Performance!$M$5:$M$404,BB493))</f>
        <v>0</v>
      </c>
      <c r="BF493" s="24">
        <f>IF(OR(BD493="",BD493=0),"",BE493/BD493)</f>
        <v>0</v>
      </c>
      <c r="BG493" s="32">
        <f>IF(BC493=0,"",IF(BF493="","",BF493+ROW()/1000000))</f>
        <v>0</v>
      </c>
      <c r="BH493" s="17">
        <f>IF(Performance!$C$493="","",Performance!$C$493)</f>
        <v>0</v>
      </c>
      <c r="BI493" s="17">
        <f>IF(Performance!$F$493="","",Performance!$F$493)</f>
        <v>0</v>
      </c>
      <c r="BJ493" s="17">
        <f>IF(Performance!$H$493="","",Performance!$H$493)</f>
        <v>0</v>
      </c>
      <c r="BK493" s="16">
        <f>IF(Performance!$D$493="","",Performance!$D$493)</f>
        <v>0</v>
      </c>
      <c r="BL493" s="17">
        <f>IF(Performance!$E$493="","",Performance!$E$493)</f>
        <v>0</v>
      </c>
      <c r="BM493" s="23">
        <f>IF(Performance!$O$493="","",Performance!$O$493)</f>
        <v>0</v>
      </c>
      <c r="BN493" s="24">
        <f>IF(Performance!$AA$493="","",Performance!$AA$493)</f>
        <v>0</v>
      </c>
      <c r="BO493" s="32">
        <f>IF(BH493="","",IF(BK493="","",IF(OR(BK493&lt;DashStart,BK493&gt;DashEnd),"",IF(BN493="","",BN493+ROW()/1000000))))</f>
        <v>0</v>
      </c>
      <c r="BP493" s="32">
        <f>IF(BM493="","",IF(BK493="","",IF(OR(BK493&lt;DashStart,BK493&gt;DashEnd),"",BM493+ROW()/1000000)))</f>
        <v>0</v>
      </c>
      <c r="BQ493" s="32">
        <f>IF(BH493="","",IF(BK493="","",IF(YEAR(BK493)&lt;&gt;PlanYear,"",IF(BN493="","",BN493+ROW()/1000000))))</f>
        <v>0</v>
      </c>
      <c r="BR493" s="32">
        <f>IF(BH493="","",IF(BK493="","",IF(OR(BK493&lt;RepFrom,BK493&gt;RepTo),"",IF(BN493="","",BN493+ROW()/1000000))))</f>
        <v>0</v>
      </c>
      <c r="BS493" s="32">
        <f>IF(BM493="","",IF(BK493="","",IF(YEAR(BK493)&lt;&gt;PlanYear,"",BM493+ROW()/1000000)))</f>
        <v>0</v>
      </c>
      <c r="BT493" s="17">
        <f>IF(Lists!$F493="","",Lists!$F493)</f>
        <v>0</v>
      </c>
      <c r="BU493" s="23">
        <f>IF(BT493="","",COUNTIF('Content Calendar'!$X$5:$X$604,BT493))</f>
        <v>0</v>
      </c>
      <c r="BV493" s="23">
        <f>IF(BT493="","",COUNTIFS('Content Calendar'!$X$5:$X$604,BT493,'Content Calendar'!$B$5:$B$604,"&gt;="&amp;DashStart,'Content Calendar'!$B$5:$B$604,"&lt;="&amp;DashEnd))</f>
        <v>0</v>
      </c>
      <c r="BW493" s="17">
        <f>IF(Team!$B$493="","",Team!$B$493)</f>
        <v>0</v>
      </c>
      <c r="BX493" s="23">
        <f>IF(BW493="","",COUNTIF('Content Calendar'!$W$5:$W$604,BW493))</f>
        <v>0</v>
      </c>
      <c r="BY493" s="23">
        <f>IF(BW493="","",COUNTIFS('Content Calendar'!$W$5:$W$604,BW493,'Content Calendar'!$X$5:$X$604,"&lt;&gt;Published"))</f>
        <v>0</v>
      </c>
      <c r="BZ493" s="23">
        <f>IF(BW493="","",COUNTIFS(Tasks!$C$5:$C$64,BW493,Tasks!$G$5:$G$64,"&lt;&gt;Complete"))</f>
        <v>0</v>
      </c>
      <c r="CA493" s="17">
        <f>IF(Campaigns!$B$493="","",Campaigns!$B$493)</f>
        <v>0</v>
      </c>
      <c r="CB493" s="25">
        <f>IF(Campaigns!$T$493="","",Campaigns!$T$493)</f>
        <v>0</v>
      </c>
      <c r="CC493" s="25">
        <f>IF(Campaigns!$Q$493="","",Campaigns!$Q$493)</f>
        <v>0</v>
      </c>
      <c r="CD493" s="23">
        <f>IF(Campaigns!$Y$493="","",Campaigns!$Y$493)</f>
        <v>0</v>
      </c>
      <c r="CE493" s="32">
        <f>IF(CA493="","",IF(N(CB493)&lt;=0,"",N(CB493)+ROW()/1000000))</f>
        <v>0</v>
      </c>
      <c r="CF493" s="17">
        <f>IF(Accounts!$C$493="","",Accounts!$C$493)</f>
        <v>0</v>
      </c>
      <c r="CG493" s="17">
        <f>IF(Accounts!$B$493="","",Accounts!$B$493)</f>
        <v>0</v>
      </c>
      <c r="CH493" s="23">
        <f>IF(Accounts!$J$493="","",Accounts!$J$493)</f>
        <v>0</v>
      </c>
      <c r="CI493" s="23">
        <f>IF(CF493="","",SUMIFS(Analytics!$X$5:$X$154,Analytics!$E$5:$E$154,CF493,Analytics!$B$5:$B$154,"&gt;="&amp;DashStart,Analytics!$B$5:$B$154,"&lt;="&amp;DashEnd))</f>
        <v>0</v>
      </c>
      <c r="CJ493" s="32">
        <f>IF(CH493="","",IF(CH493=0,"",CH493+ROW()/1000000))</f>
        <v>0</v>
      </c>
    </row>
    <row r="494" spans="1:88">
      <c r="A494" s="16">
        <f>IF(ROW()-4&gt;12,"",DATE(PlanYear,ROW()-4,1))</f>
        <v>0</v>
      </c>
      <c r="B494" s="16">
        <f>IF(A494="","",EOMONTH(A494,0))</f>
        <v>0</v>
      </c>
      <c r="C494" s="17">
        <f>IF(A494="","",TEXT(A494,"yyyy-mm"))</f>
        <v>0</v>
      </c>
      <c r="D494" s="17">
        <f>IF(A494="","",TEXT(A494,"mmm"))</f>
        <v>0</v>
      </c>
      <c r="E494" s="23">
        <f>IF(C494="","",COUNTIFS('Content Calendar'!$D$5:$D$604,C494))</f>
        <v>0</v>
      </c>
      <c r="F494" s="23">
        <f>IF(C494="","",COUNTIFS('Content Calendar'!$D$5:$D$604,C494,'Content Calendar'!$X$5:$X$604,"Published"))</f>
        <v>0</v>
      </c>
      <c r="G494" s="23">
        <f>IF(C494="","",SUMIFS(Analytics!$J$5:$J$154,Analytics!$C$5:$C$154,C494))</f>
        <v>0</v>
      </c>
      <c r="H494" s="23">
        <f>IF(C494="","",SUMIFS(Analytics!$K$5:$K$154,Analytics!$C$5:$C$154,C494))</f>
        <v>0</v>
      </c>
      <c r="I494" s="23">
        <f>IF(C494="","",SUMIFS(Analytics!$L$5:$L$154,Analytics!$C$5:$C$154,C494))</f>
        <v>0</v>
      </c>
      <c r="J494" s="24">
        <f>IF(OR(G494="",G494=0),"",I494/G494)</f>
        <v>0</v>
      </c>
      <c r="K494" s="23">
        <f>IF(C494="","",SUMIFS(Analytics!$G$5:$G$154,Analytics!$C$5:$C$154,C494))</f>
        <v>0</v>
      </c>
      <c r="L494" s="23">
        <f>IF(C494="","",SUMIFS(Analytics!$X$5:$X$154,Analytics!$C$5:$C$154,C494))</f>
        <v>0</v>
      </c>
      <c r="M494" s="23">
        <f>IF(C494="","",SUMIFS(Analytics!$R$5:$R$154,Analytics!$C$5:$C$154,C494))</f>
        <v>0</v>
      </c>
      <c r="N494" s="23">
        <f>IF(C494="","",SUMIFS(Analytics!$S$5:$S$154,Analytics!$C$5:$C$154,C494))</f>
        <v>0</v>
      </c>
      <c r="O494" s="23">
        <f>IF(C494="","",SUMIFS(Analytics!$T$5:$T$154,Analytics!$C$5:$C$154,C494))</f>
        <v>0</v>
      </c>
      <c r="P494" s="25">
        <f>IF(C494="","",SUMIFS(Analytics!$U$5:$U$154,Analytics!$C$5:$C$154,C494))</f>
        <v>0</v>
      </c>
      <c r="Q494" s="25">
        <f>IF(C494="","",SUMIFS(Budget!$H$5:$H$64,Budget!$C$5:$C$64,C494))</f>
        <v>0</v>
      </c>
      <c r="R494" s="25">
        <f>IF(C494="","",P494-Q494)</f>
        <v>0</v>
      </c>
      <c r="S494" s="23">
        <f>IF(C494="","",MonthlyPostTarget)</f>
        <v>0</v>
      </c>
      <c r="T494" s="17">
        <f>IF(Lists!$C494="","",Lists!$C494)</f>
        <v>0</v>
      </c>
      <c r="U494" s="23">
        <f>IF(T494="","",COUNTIFS('Content Calendar'!$G$5:$G$604,T494,'Content Calendar'!$B$5:$B$604,"&gt;="&amp;DashStart,'Content Calendar'!$B$5:$B$604,"&lt;="&amp;DashEnd))</f>
        <v>0</v>
      </c>
      <c r="V494" s="23">
        <f>IF(T494="","",COUNTIFS('Content Calendar'!$G$5:$G$604,T494,'Content Calendar'!$X$5:$X$604,"Published",'Content Calendar'!$B$5:$B$604,"&gt;="&amp;DashStart,'Content Calendar'!$B$5:$B$604,"&lt;="&amp;DashEnd))</f>
        <v>0</v>
      </c>
      <c r="W494" s="23">
        <f>IF(T494="","",SUMIFS(Analytics!$J$5:$J$154,Analytics!$D$5:$D$154,T494,Analytics!$B$5:$B$154,"&gt;="&amp;DashStart,Analytics!$B$5:$B$154,"&lt;="&amp;DashEnd))</f>
        <v>0</v>
      </c>
      <c r="X494" s="23">
        <f>IF(T494="","",SUMIFS(Analytics!$L$5:$L$154,Analytics!$D$5:$D$154,T494,Analytics!$B$5:$B$154,"&gt;="&amp;DashStart,Analytics!$B$5:$B$154,"&lt;="&amp;DashEnd))</f>
        <v>0</v>
      </c>
      <c r="Y494" s="24">
        <f>IF(OR(W494="",W494=0),"",X494/W494)</f>
        <v>0</v>
      </c>
      <c r="Z494" s="23">
        <f>IF(T494="","",SUMIFS(Analytics!$G$5:$G$154,Analytics!$D$5:$D$154,T494,Analytics!$B$5:$B$154,"&gt;="&amp;DashStart,Analytics!$B$5:$B$154,"&lt;="&amp;DashEnd))</f>
        <v>0</v>
      </c>
      <c r="AA494" s="23">
        <f>IF(T494="","",SUMIFS(Analytics!$X$5:$X$154,Analytics!$D$5:$D$154,T494,Analytics!$B$5:$B$154,"&gt;="&amp;DashStart,Analytics!$B$5:$B$154,"&lt;="&amp;DashEnd))</f>
        <v>0</v>
      </c>
      <c r="AB494" s="23">
        <f>IF(T494="","",SUMIFS(Analytics!$R$5:$R$154,Analytics!$D$5:$D$154,T494,Analytics!$B$5:$B$154,"&gt;="&amp;DashStart,Analytics!$B$5:$B$154,"&lt;="&amp;DashEnd))</f>
        <v>0</v>
      </c>
      <c r="AC494" s="25">
        <f>IF(T494="","",SUMIFS(Analytics!$U$5:$U$154,Analytics!$D$5:$D$154,T494,Analytics!$B$5:$B$154,"&gt;="&amp;DashStart,Analytics!$B$5:$B$154,"&lt;="&amp;DashEnd))</f>
        <v>0</v>
      </c>
      <c r="AD494" s="23">
        <f>IF(T494="","",COUNTIFS('Content Calendar'!$G$5:$G$604,T494,'Content Calendar'!$B$5:$B$604,"&gt;="&amp;DATE(PlanYear,1,1),'Content Calendar'!$B$5:$B$604,"&lt;="&amp;DATE(PlanYear,12,31)))</f>
        <v>0</v>
      </c>
      <c r="AE494" s="23">
        <f>IF(T494="","",SUMIFS(Analytics!$J$5:$J$154,Analytics!$D$5:$D$154,T494))</f>
        <v>0</v>
      </c>
      <c r="AF494" s="23">
        <f>IF(T494="","",SUMIFS(Analytics!$L$5:$L$154,Analytics!$D$5:$D$154,T494))</f>
        <v>0</v>
      </c>
      <c r="AG494" s="24">
        <f>IF(OR(AE494="",AE494=0),"",AF494/AE494)</f>
        <v>0</v>
      </c>
      <c r="AH494" s="23">
        <f>IF(T494="","",SUMIFS(Analytics!$X$5:$X$154,Analytics!$D$5:$D$154,T494))</f>
        <v>0</v>
      </c>
      <c r="AI494" s="32">
        <f>IF(T494="","",IF(AE494=0,"",AE494+ROW()/1000000))</f>
        <v>0</v>
      </c>
      <c r="AJ494" s="17">
        <f>IF('Content Pillars'!$B$494="","",'Content Pillars'!$B$494)</f>
        <v>0</v>
      </c>
      <c r="AK494" s="23">
        <f>IF(AJ494="","",COUNTIFS('Content Calendar'!$J$5:$J$604,AJ494,'Content Calendar'!$B$5:$B$604,"&gt;="&amp;DATE(PlanYear,1,1),'Content Calendar'!$B$5:$B$604,"&lt;="&amp;DATE(PlanYear,12,31)))</f>
        <v>0</v>
      </c>
      <c r="AL494" s="23">
        <f>IF(AJ494="","",SUMIFS(Performance!$O$5:$O$404,Performance!$H$5:$H$404,AJ494))</f>
        <v>0</v>
      </c>
      <c r="AM494" s="23">
        <f>IF(AJ494="","",SUMIFS(Performance!$Z$5:$Z$404,Performance!$H$5:$H$404,AJ494))</f>
        <v>0</v>
      </c>
      <c r="AN494" s="24">
        <f>IF(OR(AL494="",AL494=0),"",AM494/AL494)</f>
        <v>0</v>
      </c>
      <c r="AO494" s="32">
        <f>IF(AN494="","",AN494+ROW()/1000000)</f>
        <v>0</v>
      </c>
      <c r="AP494" s="17">
        <f>IF(Lists!$E494="","",Lists!$E494)</f>
        <v>0</v>
      </c>
      <c r="AQ494" s="23">
        <f>IF(AP494="","",COUNTIF(Performance!$G$5:$G$404,AP494))</f>
        <v>0</v>
      </c>
      <c r="AR494" s="23">
        <f>IF(AP494="","",SUMIFS(Performance!$O$5:$O$404,Performance!$G$5:$G$404,AP494))</f>
        <v>0</v>
      </c>
      <c r="AS494" s="23">
        <f>IF(AP494="","",SUMIFS(Performance!$Z$5:$Z$404,Performance!$G$5:$G$404,AP494))</f>
        <v>0</v>
      </c>
      <c r="AT494" s="24">
        <f>IF(OR(AR494="",AR494=0),"",AS494/AR494)</f>
        <v>0</v>
      </c>
      <c r="AU494" s="32">
        <f>IF(AQ494=0,"",IF(AT494="","",AT494+ROW()/1000000))</f>
        <v>0</v>
      </c>
      <c r="AV494" s="17">
        <f>IF(ROW()-4&gt;7,"",TEXT(DATE(2024,1,ROW()-4),"ddd"))</f>
        <v>0</v>
      </c>
      <c r="AW494" s="23">
        <f>IF(AV494="","",COUNTIF(Performance!$N$5:$N$404,AV494))</f>
        <v>0</v>
      </c>
      <c r="AX494" s="23">
        <f>IF(AV494="","",SUMIFS(Performance!$O$5:$O$404,Performance!$N$5:$N$404,AV494))</f>
        <v>0</v>
      </c>
      <c r="AY494" s="23">
        <f>IF(AV494="","",SUMIFS(Performance!$Z$5:$Z$404,Performance!$N$5:$N$404,AV494))</f>
        <v>0</v>
      </c>
      <c r="AZ494" s="24">
        <f>IF(OR(AX494="",AX494=0),"",AY494/AX494)</f>
        <v>0</v>
      </c>
      <c r="BA494" s="32">
        <f>IF(AW494=0,"",IF(AZ494="","",AZ494+ROW()/1000000))</f>
        <v>0</v>
      </c>
      <c r="BB494" s="17">
        <f>IF(Lists!$AL494="","",Lists!$AL494)</f>
        <v>0</v>
      </c>
      <c r="BC494" s="23">
        <f>IF(BB494="","",COUNTIF(Performance!$M$5:$M$404,BB494))</f>
        <v>0</v>
      </c>
      <c r="BD494" s="23">
        <f>IF(BB494="","",SUMIFS(Performance!$O$5:$O$404,Performance!$M$5:$M$404,BB494))</f>
        <v>0</v>
      </c>
      <c r="BE494" s="23">
        <f>IF(BB494="","",SUMIFS(Performance!$Z$5:$Z$404,Performance!$M$5:$M$404,BB494))</f>
        <v>0</v>
      </c>
      <c r="BF494" s="24">
        <f>IF(OR(BD494="",BD494=0),"",BE494/BD494)</f>
        <v>0</v>
      </c>
      <c r="BG494" s="32">
        <f>IF(BC494=0,"",IF(BF494="","",BF494+ROW()/1000000))</f>
        <v>0</v>
      </c>
      <c r="BH494" s="17">
        <f>IF(Performance!$C$494="","",Performance!$C$494)</f>
        <v>0</v>
      </c>
      <c r="BI494" s="17">
        <f>IF(Performance!$F$494="","",Performance!$F$494)</f>
        <v>0</v>
      </c>
      <c r="BJ494" s="17">
        <f>IF(Performance!$H$494="","",Performance!$H$494)</f>
        <v>0</v>
      </c>
      <c r="BK494" s="16">
        <f>IF(Performance!$D$494="","",Performance!$D$494)</f>
        <v>0</v>
      </c>
      <c r="BL494" s="17">
        <f>IF(Performance!$E$494="","",Performance!$E$494)</f>
        <v>0</v>
      </c>
      <c r="BM494" s="23">
        <f>IF(Performance!$O$494="","",Performance!$O$494)</f>
        <v>0</v>
      </c>
      <c r="BN494" s="24">
        <f>IF(Performance!$AA$494="","",Performance!$AA$494)</f>
        <v>0</v>
      </c>
      <c r="BO494" s="32">
        <f>IF(BH494="","",IF(BK494="","",IF(OR(BK494&lt;DashStart,BK494&gt;DashEnd),"",IF(BN494="","",BN494+ROW()/1000000))))</f>
        <v>0</v>
      </c>
      <c r="BP494" s="32">
        <f>IF(BM494="","",IF(BK494="","",IF(OR(BK494&lt;DashStart,BK494&gt;DashEnd),"",BM494+ROW()/1000000)))</f>
        <v>0</v>
      </c>
      <c r="BQ494" s="32">
        <f>IF(BH494="","",IF(BK494="","",IF(YEAR(BK494)&lt;&gt;PlanYear,"",IF(BN494="","",BN494+ROW()/1000000))))</f>
        <v>0</v>
      </c>
      <c r="BR494" s="32">
        <f>IF(BH494="","",IF(BK494="","",IF(OR(BK494&lt;RepFrom,BK494&gt;RepTo),"",IF(BN494="","",BN494+ROW()/1000000))))</f>
        <v>0</v>
      </c>
      <c r="BS494" s="32">
        <f>IF(BM494="","",IF(BK494="","",IF(YEAR(BK494)&lt;&gt;PlanYear,"",BM494+ROW()/1000000)))</f>
        <v>0</v>
      </c>
      <c r="BT494" s="17">
        <f>IF(Lists!$F494="","",Lists!$F494)</f>
        <v>0</v>
      </c>
      <c r="BU494" s="23">
        <f>IF(BT494="","",COUNTIF('Content Calendar'!$X$5:$X$604,BT494))</f>
        <v>0</v>
      </c>
      <c r="BV494" s="23">
        <f>IF(BT494="","",COUNTIFS('Content Calendar'!$X$5:$X$604,BT494,'Content Calendar'!$B$5:$B$604,"&gt;="&amp;DashStart,'Content Calendar'!$B$5:$B$604,"&lt;="&amp;DashEnd))</f>
        <v>0</v>
      </c>
      <c r="BW494" s="17">
        <f>IF(Team!$B$494="","",Team!$B$494)</f>
        <v>0</v>
      </c>
      <c r="BX494" s="23">
        <f>IF(BW494="","",COUNTIF('Content Calendar'!$W$5:$W$604,BW494))</f>
        <v>0</v>
      </c>
      <c r="BY494" s="23">
        <f>IF(BW494="","",COUNTIFS('Content Calendar'!$W$5:$W$604,BW494,'Content Calendar'!$X$5:$X$604,"&lt;&gt;Published"))</f>
        <v>0</v>
      </c>
      <c r="BZ494" s="23">
        <f>IF(BW494="","",COUNTIFS(Tasks!$C$5:$C$64,BW494,Tasks!$G$5:$G$64,"&lt;&gt;Complete"))</f>
        <v>0</v>
      </c>
      <c r="CA494" s="17">
        <f>IF(Campaigns!$B$494="","",Campaigns!$B$494)</f>
        <v>0</v>
      </c>
      <c r="CB494" s="25">
        <f>IF(Campaigns!$T$494="","",Campaigns!$T$494)</f>
        <v>0</v>
      </c>
      <c r="CC494" s="25">
        <f>IF(Campaigns!$Q$494="","",Campaigns!$Q$494)</f>
        <v>0</v>
      </c>
      <c r="CD494" s="23">
        <f>IF(Campaigns!$Y$494="","",Campaigns!$Y$494)</f>
        <v>0</v>
      </c>
      <c r="CE494" s="32">
        <f>IF(CA494="","",IF(N(CB494)&lt;=0,"",N(CB494)+ROW()/1000000))</f>
        <v>0</v>
      </c>
      <c r="CF494" s="17">
        <f>IF(Accounts!$C$494="","",Accounts!$C$494)</f>
        <v>0</v>
      </c>
      <c r="CG494" s="17">
        <f>IF(Accounts!$B$494="","",Accounts!$B$494)</f>
        <v>0</v>
      </c>
      <c r="CH494" s="23">
        <f>IF(Accounts!$J$494="","",Accounts!$J$494)</f>
        <v>0</v>
      </c>
      <c r="CI494" s="23">
        <f>IF(CF494="","",SUMIFS(Analytics!$X$5:$X$154,Analytics!$E$5:$E$154,CF494,Analytics!$B$5:$B$154,"&gt;="&amp;DashStart,Analytics!$B$5:$B$154,"&lt;="&amp;DashEnd))</f>
        <v>0</v>
      </c>
      <c r="CJ494" s="32">
        <f>IF(CH494="","",IF(CH494=0,"",CH494+ROW()/1000000))</f>
        <v>0</v>
      </c>
    </row>
    <row r="495" spans="1:88">
      <c r="A495" s="16">
        <f>IF(ROW()-4&gt;12,"",DATE(PlanYear,ROW()-4,1))</f>
        <v>0</v>
      </c>
      <c r="B495" s="16">
        <f>IF(A495="","",EOMONTH(A495,0))</f>
        <v>0</v>
      </c>
      <c r="C495" s="17">
        <f>IF(A495="","",TEXT(A495,"yyyy-mm"))</f>
        <v>0</v>
      </c>
      <c r="D495" s="17">
        <f>IF(A495="","",TEXT(A495,"mmm"))</f>
        <v>0</v>
      </c>
      <c r="E495" s="23">
        <f>IF(C495="","",COUNTIFS('Content Calendar'!$D$5:$D$604,C495))</f>
        <v>0</v>
      </c>
      <c r="F495" s="23">
        <f>IF(C495="","",COUNTIFS('Content Calendar'!$D$5:$D$604,C495,'Content Calendar'!$X$5:$X$604,"Published"))</f>
        <v>0</v>
      </c>
      <c r="G495" s="23">
        <f>IF(C495="","",SUMIFS(Analytics!$J$5:$J$154,Analytics!$C$5:$C$154,C495))</f>
        <v>0</v>
      </c>
      <c r="H495" s="23">
        <f>IF(C495="","",SUMIFS(Analytics!$K$5:$K$154,Analytics!$C$5:$C$154,C495))</f>
        <v>0</v>
      </c>
      <c r="I495" s="23">
        <f>IF(C495="","",SUMIFS(Analytics!$L$5:$L$154,Analytics!$C$5:$C$154,C495))</f>
        <v>0</v>
      </c>
      <c r="J495" s="24">
        <f>IF(OR(G495="",G495=0),"",I495/G495)</f>
        <v>0</v>
      </c>
      <c r="K495" s="23">
        <f>IF(C495="","",SUMIFS(Analytics!$G$5:$G$154,Analytics!$C$5:$C$154,C495))</f>
        <v>0</v>
      </c>
      <c r="L495" s="23">
        <f>IF(C495="","",SUMIFS(Analytics!$X$5:$X$154,Analytics!$C$5:$C$154,C495))</f>
        <v>0</v>
      </c>
      <c r="M495" s="23">
        <f>IF(C495="","",SUMIFS(Analytics!$R$5:$R$154,Analytics!$C$5:$C$154,C495))</f>
        <v>0</v>
      </c>
      <c r="N495" s="23">
        <f>IF(C495="","",SUMIFS(Analytics!$S$5:$S$154,Analytics!$C$5:$C$154,C495))</f>
        <v>0</v>
      </c>
      <c r="O495" s="23">
        <f>IF(C495="","",SUMIFS(Analytics!$T$5:$T$154,Analytics!$C$5:$C$154,C495))</f>
        <v>0</v>
      </c>
      <c r="P495" s="25">
        <f>IF(C495="","",SUMIFS(Analytics!$U$5:$U$154,Analytics!$C$5:$C$154,C495))</f>
        <v>0</v>
      </c>
      <c r="Q495" s="25">
        <f>IF(C495="","",SUMIFS(Budget!$H$5:$H$64,Budget!$C$5:$C$64,C495))</f>
        <v>0</v>
      </c>
      <c r="R495" s="25">
        <f>IF(C495="","",P495-Q495)</f>
        <v>0</v>
      </c>
      <c r="S495" s="23">
        <f>IF(C495="","",MonthlyPostTarget)</f>
        <v>0</v>
      </c>
      <c r="T495" s="17">
        <f>IF(Lists!$C495="","",Lists!$C495)</f>
        <v>0</v>
      </c>
      <c r="U495" s="23">
        <f>IF(T495="","",COUNTIFS('Content Calendar'!$G$5:$G$604,T495,'Content Calendar'!$B$5:$B$604,"&gt;="&amp;DashStart,'Content Calendar'!$B$5:$B$604,"&lt;="&amp;DashEnd))</f>
        <v>0</v>
      </c>
      <c r="V495" s="23">
        <f>IF(T495="","",COUNTIFS('Content Calendar'!$G$5:$G$604,T495,'Content Calendar'!$X$5:$X$604,"Published",'Content Calendar'!$B$5:$B$604,"&gt;="&amp;DashStart,'Content Calendar'!$B$5:$B$604,"&lt;="&amp;DashEnd))</f>
        <v>0</v>
      </c>
      <c r="W495" s="23">
        <f>IF(T495="","",SUMIFS(Analytics!$J$5:$J$154,Analytics!$D$5:$D$154,T495,Analytics!$B$5:$B$154,"&gt;="&amp;DashStart,Analytics!$B$5:$B$154,"&lt;="&amp;DashEnd))</f>
        <v>0</v>
      </c>
      <c r="X495" s="23">
        <f>IF(T495="","",SUMIFS(Analytics!$L$5:$L$154,Analytics!$D$5:$D$154,T495,Analytics!$B$5:$B$154,"&gt;="&amp;DashStart,Analytics!$B$5:$B$154,"&lt;="&amp;DashEnd))</f>
        <v>0</v>
      </c>
      <c r="Y495" s="24">
        <f>IF(OR(W495="",W495=0),"",X495/W495)</f>
        <v>0</v>
      </c>
      <c r="Z495" s="23">
        <f>IF(T495="","",SUMIFS(Analytics!$G$5:$G$154,Analytics!$D$5:$D$154,T495,Analytics!$B$5:$B$154,"&gt;="&amp;DashStart,Analytics!$B$5:$B$154,"&lt;="&amp;DashEnd))</f>
        <v>0</v>
      </c>
      <c r="AA495" s="23">
        <f>IF(T495="","",SUMIFS(Analytics!$X$5:$X$154,Analytics!$D$5:$D$154,T495,Analytics!$B$5:$B$154,"&gt;="&amp;DashStart,Analytics!$B$5:$B$154,"&lt;="&amp;DashEnd))</f>
        <v>0</v>
      </c>
      <c r="AB495" s="23">
        <f>IF(T495="","",SUMIFS(Analytics!$R$5:$R$154,Analytics!$D$5:$D$154,T495,Analytics!$B$5:$B$154,"&gt;="&amp;DashStart,Analytics!$B$5:$B$154,"&lt;="&amp;DashEnd))</f>
        <v>0</v>
      </c>
      <c r="AC495" s="25">
        <f>IF(T495="","",SUMIFS(Analytics!$U$5:$U$154,Analytics!$D$5:$D$154,T495,Analytics!$B$5:$B$154,"&gt;="&amp;DashStart,Analytics!$B$5:$B$154,"&lt;="&amp;DashEnd))</f>
        <v>0</v>
      </c>
      <c r="AD495" s="23">
        <f>IF(T495="","",COUNTIFS('Content Calendar'!$G$5:$G$604,T495,'Content Calendar'!$B$5:$B$604,"&gt;="&amp;DATE(PlanYear,1,1),'Content Calendar'!$B$5:$B$604,"&lt;="&amp;DATE(PlanYear,12,31)))</f>
        <v>0</v>
      </c>
      <c r="AE495" s="23">
        <f>IF(T495="","",SUMIFS(Analytics!$J$5:$J$154,Analytics!$D$5:$D$154,T495))</f>
        <v>0</v>
      </c>
      <c r="AF495" s="23">
        <f>IF(T495="","",SUMIFS(Analytics!$L$5:$L$154,Analytics!$D$5:$D$154,T495))</f>
        <v>0</v>
      </c>
      <c r="AG495" s="24">
        <f>IF(OR(AE495="",AE495=0),"",AF495/AE495)</f>
        <v>0</v>
      </c>
      <c r="AH495" s="23">
        <f>IF(T495="","",SUMIFS(Analytics!$X$5:$X$154,Analytics!$D$5:$D$154,T495))</f>
        <v>0</v>
      </c>
      <c r="AI495" s="32">
        <f>IF(T495="","",IF(AE495=0,"",AE495+ROW()/1000000))</f>
        <v>0</v>
      </c>
      <c r="AJ495" s="17">
        <f>IF('Content Pillars'!$B$495="","",'Content Pillars'!$B$495)</f>
        <v>0</v>
      </c>
      <c r="AK495" s="23">
        <f>IF(AJ495="","",COUNTIFS('Content Calendar'!$J$5:$J$604,AJ495,'Content Calendar'!$B$5:$B$604,"&gt;="&amp;DATE(PlanYear,1,1),'Content Calendar'!$B$5:$B$604,"&lt;="&amp;DATE(PlanYear,12,31)))</f>
        <v>0</v>
      </c>
      <c r="AL495" s="23">
        <f>IF(AJ495="","",SUMIFS(Performance!$O$5:$O$404,Performance!$H$5:$H$404,AJ495))</f>
        <v>0</v>
      </c>
      <c r="AM495" s="23">
        <f>IF(AJ495="","",SUMIFS(Performance!$Z$5:$Z$404,Performance!$H$5:$H$404,AJ495))</f>
        <v>0</v>
      </c>
      <c r="AN495" s="24">
        <f>IF(OR(AL495="",AL495=0),"",AM495/AL495)</f>
        <v>0</v>
      </c>
      <c r="AO495" s="32">
        <f>IF(AN495="","",AN495+ROW()/1000000)</f>
        <v>0</v>
      </c>
      <c r="AP495" s="17">
        <f>IF(Lists!$E495="","",Lists!$E495)</f>
        <v>0</v>
      </c>
      <c r="AQ495" s="23">
        <f>IF(AP495="","",COUNTIF(Performance!$G$5:$G$404,AP495))</f>
        <v>0</v>
      </c>
      <c r="AR495" s="23">
        <f>IF(AP495="","",SUMIFS(Performance!$O$5:$O$404,Performance!$G$5:$G$404,AP495))</f>
        <v>0</v>
      </c>
      <c r="AS495" s="23">
        <f>IF(AP495="","",SUMIFS(Performance!$Z$5:$Z$404,Performance!$G$5:$G$404,AP495))</f>
        <v>0</v>
      </c>
      <c r="AT495" s="24">
        <f>IF(OR(AR495="",AR495=0),"",AS495/AR495)</f>
        <v>0</v>
      </c>
      <c r="AU495" s="32">
        <f>IF(AQ495=0,"",IF(AT495="","",AT495+ROW()/1000000))</f>
        <v>0</v>
      </c>
      <c r="AV495" s="17">
        <f>IF(ROW()-4&gt;7,"",TEXT(DATE(2024,1,ROW()-4),"ddd"))</f>
        <v>0</v>
      </c>
      <c r="AW495" s="23">
        <f>IF(AV495="","",COUNTIF(Performance!$N$5:$N$404,AV495))</f>
        <v>0</v>
      </c>
      <c r="AX495" s="23">
        <f>IF(AV495="","",SUMIFS(Performance!$O$5:$O$404,Performance!$N$5:$N$404,AV495))</f>
        <v>0</v>
      </c>
      <c r="AY495" s="23">
        <f>IF(AV495="","",SUMIFS(Performance!$Z$5:$Z$404,Performance!$N$5:$N$404,AV495))</f>
        <v>0</v>
      </c>
      <c r="AZ495" s="24">
        <f>IF(OR(AX495="",AX495=0),"",AY495/AX495)</f>
        <v>0</v>
      </c>
      <c r="BA495" s="32">
        <f>IF(AW495=0,"",IF(AZ495="","",AZ495+ROW()/1000000))</f>
        <v>0</v>
      </c>
      <c r="BB495" s="17">
        <f>IF(Lists!$AL495="","",Lists!$AL495)</f>
        <v>0</v>
      </c>
      <c r="BC495" s="23">
        <f>IF(BB495="","",COUNTIF(Performance!$M$5:$M$404,BB495))</f>
        <v>0</v>
      </c>
      <c r="BD495" s="23">
        <f>IF(BB495="","",SUMIFS(Performance!$O$5:$O$404,Performance!$M$5:$M$404,BB495))</f>
        <v>0</v>
      </c>
      <c r="BE495" s="23">
        <f>IF(BB495="","",SUMIFS(Performance!$Z$5:$Z$404,Performance!$M$5:$M$404,BB495))</f>
        <v>0</v>
      </c>
      <c r="BF495" s="24">
        <f>IF(OR(BD495="",BD495=0),"",BE495/BD495)</f>
        <v>0</v>
      </c>
      <c r="BG495" s="32">
        <f>IF(BC495=0,"",IF(BF495="","",BF495+ROW()/1000000))</f>
        <v>0</v>
      </c>
      <c r="BH495" s="17">
        <f>IF(Performance!$C$495="","",Performance!$C$495)</f>
        <v>0</v>
      </c>
      <c r="BI495" s="17">
        <f>IF(Performance!$F$495="","",Performance!$F$495)</f>
        <v>0</v>
      </c>
      <c r="BJ495" s="17">
        <f>IF(Performance!$H$495="","",Performance!$H$495)</f>
        <v>0</v>
      </c>
      <c r="BK495" s="16">
        <f>IF(Performance!$D$495="","",Performance!$D$495)</f>
        <v>0</v>
      </c>
      <c r="BL495" s="17">
        <f>IF(Performance!$E$495="","",Performance!$E$495)</f>
        <v>0</v>
      </c>
      <c r="BM495" s="23">
        <f>IF(Performance!$O$495="","",Performance!$O$495)</f>
        <v>0</v>
      </c>
      <c r="BN495" s="24">
        <f>IF(Performance!$AA$495="","",Performance!$AA$495)</f>
        <v>0</v>
      </c>
      <c r="BO495" s="32">
        <f>IF(BH495="","",IF(BK495="","",IF(OR(BK495&lt;DashStart,BK495&gt;DashEnd),"",IF(BN495="","",BN495+ROW()/1000000))))</f>
        <v>0</v>
      </c>
      <c r="BP495" s="32">
        <f>IF(BM495="","",IF(BK495="","",IF(OR(BK495&lt;DashStart,BK495&gt;DashEnd),"",BM495+ROW()/1000000)))</f>
        <v>0</v>
      </c>
      <c r="BQ495" s="32">
        <f>IF(BH495="","",IF(BK495="","",IF(YEAR(BK495)&lt;&gt;PlanYear,"",IF(BN495="","",BN495+ROW()/1000000))))</f>
        <v>0</v>
      </c>
      <c r="BR495" s="32">
        <f>IF(BH495="","",IF(BK495="","",IF(OR(BK495&lt;RepFrom,BK495&gt;RepTo),"",IF(BN495="","",BN495+ROW()/1000000))))</f>
        <v>0</v>
      </c>
      <c r="BS495" s="32">
        <f>IF(BM495="","",IF(BK495="","",IF(YEAR(BK495)&lt;&gt;PlanYear,"",BM495+ROW()/1000000)))</f>
        <v>0</v>
      </c>
      <c r="BT495" s="17">
        <f>IF(Lists!$F495="","",Lists!$F495)</f>
        <v>0</v>
      </c>
      <c r="BU495" s="23">
        <f>IF(BT495="","",COUNTIF('Content Calendar'!$X$5:$X$604,BT495))</f>
        <v>0</v>
      </c>
      <c r="BV495" s="23">
        <f>IF(BT495="","",COUNTIFS('Content Calendar'!$X$5:$X$604,BT495,'Content Calendar'!$B$5:$B$604,"&gt;="&amp;DashStart,'Content Calendar'!$B$5:$B$604,"&lt;="&amp;DashEnd))</f>
        <v>0</v>
      </c>
      <c r="BW495" s="17">
        <f>IF(Team!$B$495="","",Team!$B$495)</f>
        <v>0</v>
      </c>
      <c r="BX495" s="23">
        <f>IF(BW495="","",COUNTIF('Content Calendar'!$W$5:$W$604,BW495))</f>
        <v>0</v>
      </c>
      <c r="BY495" s="23">
        <f>IF(BW495="","",COUNTIFS('Content Calendar'!$W$5:$W$604,BW495,'Content Calendar'!$X$5:$X$604,"&lt;&gt;Published"))</f>
        <v>0</v>
      </c>
      <c r="BZ495" s="23">
        <f>IF(BW495="","",COUNTIFS(Tasks!$C$5:$C$64,BW495,Tasks!$G$5:$G$64,"&lt;&gt;Complete"))</f>
        <v>0</v>
      </c>
      <c r="CA495" s="17">
        <f>IF(Campaigns!$B$495="","",Campaigns!$B$495)</f>
        <v>0</v>
      </c>
      <c r="CB495" s="25">
        <f>IF(Campaigns!$T$495="","",Campaigns!$T$495)</f>
        <v>0</v>
      </c>
      <c r="CC495" s="25">
        <f>IF(Campaigns!$Q$495="","",Campaigns!$Q$495)</f>
        <v>0</v>
      </c>
      <c r="CD495" s="23">
        <f>IF(Campaigns!$Y$495="","",Campaigns!$Y$495)</f>
        <v>0</v>
      </c>
      <c r="CE495" s="32">
        <f>IF(CA495="","",IF(N(CB495)&lt;=0,"",N(CB495)+ROW()/1000000))</f>
        <v>0</v>
      </c>
      <c r="CF495" s="17">
        <f>IF(Accounts!$C$495="","",Accounts!$C$495)</f>
        <v>0</v>
      </c>
      <c r="CG495" s="17">
        <f>IF(Accounts!$B$495="","",Accounts!$B$495)</f>
        <v>0</v>
      </c>
      <c r="CH495" s="23">
        <f>IF(Accounts!$J$495="","",Accounts!$J$495)</f>
        <v>0</v>
      </c>
      <c r="CI495" s="23">
        <f>IF(CF495="","",SUMIFS(Analytics!$X$5:$X$154,Analytics!$E$5:$E$154,CF495,Analytics!$B$5:$B$154,"&gt;="&amp;DashStart,Analytics!$B$5:$B$154,"&lt;="&amp;DashEnd))</f>
        <v>0</v>
      </c>
      <c r="CJ495" s="32">
        <f>IF(CH495="","",IF(CH495=0,"",CH495+ROW()/1000000))</f>
        <v>0</v>
      </c>
    </row>
    <row r="496" spans="1:88">
      <c r="A496" s="16">
        <f>IF(ROW()-4&gt;12,"",DATE(PlanYear,ROW()-4,1))</f>
        <v>0</v>
      </c>
      <c r="B496" s="16">
        <f>IF(A496="","",EOMONTH(A496,0))</f>
        <v>0</v>
      </c>
      <c r="C496" s="17">
        <f>IF(A496="","",TEXT(A496,"yyyy-mm"))</f>
        <v>0</v>
      </c>
      <c r="D496" s="17">
        <f>IF(A496="","",TEXT(A496,"mmm"))</f>
        <v>0</v>
      </c>
      <c r="E496" s="23">
        <f>IF(C496="","",COUNTIFS('Content Calendar'!$D$5:$D$604,C496))</f>
        <v>0</v>
      </c>
      <c r="F496" s="23">
        <f>IF(C496="","",COUNTIFS('Content Calendar'!$D$5:$D$604,C496,'Content Calendar'!$X$5:$X$604,"Published"))</f>
        <v>0</v>
      </c>
      <c r="G496" s="23">
        <f>IF(C496="","",SUMIFS(Analytics!$J$5:$J$154,Analytics!$C$5:$C$154,C496))</f>
        <v>0</v>
      </c>
      <c r="H496" s="23">
        <f>IF(C496="","",SUMIFS(Analytics!$K$5:$K$154,Analytics!$C$5:$C$154,C496))</f>
        <v>0</v>
      </c>
      <c r="I496" s="23">
        <f>IF(C496="","",SUMIFS(Analytics!$L$5:$L$154,Analytics!$C$5:$C$154,C496))</f>
        <v>0</v>
      </c>
      <c r="J496" s="24">
        <f>IF(OR(G496="",G496=0),"",I496/G496)</f>
        <v>0</v>
      </c>
      <c r="K496" s="23">
        <f>IF(C496="","",SUMIFS(Analytics!$G$5:$G$154,Analytics!$C$5:$C$154,C496))</f>
        <v>0</v>
      </c>
      <c r="L496" s="23">
        <f>IF(C496="","",SUMIFS(Analytics!$X$5:$X$154,Analytics!$C$5:$C$154,C496))</f>
        <v>0</v>
      </c>
      <c r="M496" s="23">
        <f>IF(C496="","",SUMIFS(Analytics!$R$5:$R$154,Analytics!$C$5:$C$154,C496))</f>
        <v>0</v>
      </c>
      <c r="N496" s="23">
        <f>IF(C496="","",SUMIFS(Analytics!$S$5:$S$154,Analytics!$C$5:$C$154,C496))</f>
        <v>0</v>
      </c>
      <c r="O496" s="23">
        <f>IF(C496="","",SUMIFS(Analytics!$T$5:$T$154,Analytics!$C$5:$C$154,C496))</f>
        <v>0</v>
      </c>
      <c r="P496" s="25">
        <f>IF(C496="","",SUMIFS(Analytics!$U$5:$U$154,Analytics!$C$5:$C$154,C496))</f>
        <v>0</v>
      </c>
      <c r="Q496" s="25">
        <f>IF(C496="","",SUMIFS(Budget!$H$5:$H$64,Budget!$C$5:$C$64,C496))</f>
        <v>0</v>
      </c>
      <c r="R496" s="25">
        <f>IF(C496="","",P496-Q496)</f>
        <v>0</v>
      </c>
      <c r="S496" s="23">
        <f>IF(C496="","",MonthlyPostTarget)</f>
        <v>0</v>
      </c>
      <c r="T496" s="17">
        <f>IF(Lists!$C496="","",Lists!$C496)</f>
        <v>0</v>
      </c>
      <c r="U496" s="23">
        <f>IF(T496="","",COUNTIFS('Content Calendar'!$G$5:$G$604,T496,'Content Calendar'!$B$5:$B$604,"&gt;="&amp;DashStart,'Content Calendar'!$B$5:$B$604,"&lt;="&amp;DashEnd))</f>
        <v>0</v>
      </c>
      <c r="V496" s="23">
        <f>IF(T496="","",COUNTIFS('Content Calendar'!$G$5:$G$604,T496,'Content Calendar'!$X$5:$X$604,"Published",'Content Calendar'!$B$5:$B$604,"&gt;="&amp;DashStart,'Content Calendar'!$B$5:$B$604,"&lt;="&amp;DashEnd))</f>
        <v>0</v>
      </c>
      <c r="W496" s="23">
        <f>IF(T496="","",SUMIFS(Analytics!$J$5:$J$154,Analytics!$D$5:$D$154,T496,Analytics!$B$5:$B$154,"&gt;="&amp;DashStart,Analytics!$B$5:$B$154,"&lt;="&amp;DashEnd))</f>
        <v>0</v>
      </c>
      <c r="X496" s="23">
        <f>IF(T496="","",SUMIFS(Analytics!$L$5:$L$154,Analytics!$D$5:$D$154,T496,Analytics!$B$5:$B$154,"&gt;="&amp;DashStart,Analytics!$B$5:$B$154,"&lt;="&amp;DashEnd))</f>
        <v>0</v>
      </c>
      <c r="Y496" s="24">
        <f>IF(OR(W496="",W496=0),"",X496/W496)</f>
        <v>0</v>
      </c>
      <c r="Z496" s="23">
        <f>IF(T496="","",SUMIFS(Analytics!$G$5:$G$154,Analytics!$D$5:$D$154,T496,Analytics!$B$5:$B$154,"&gt;="&amp;DashStart,Analytics!$B$5:$B$154,"&lt;="&amp;DashEnd))</f>
        <v>0</v>
      </c>
      <c r="AA496" s="23">
        <f>IF(T496="","",SUMIFS(Analytics!$X$5:$X$154,Analytics!$D$5:$D$154,T496,Analytics!$B$5:$B$154,"&gt;="&amp;DashStart,Analytics!$B$5:$B$154,"&lt;="&amp;DashEnd))</f>
        <v>0</v>
      </c>
      <c r="AB496" s="23">
        <f>IF(T496="","",SUMIFS(Analytics!$R$5:$R$154,Analytics!$D$5:$D$154,T496,Analytics!$B$5:$B$154,"&gt;="&amp;DashStart,Analytics!$B$5:$B$154,"&lt;="&amp;DashEnd))</f>
        <v>0</v>
      </c>
      <c r="AC496" s="25">
        <f>IF(T496="","",SUMIFS(Analytics!$U$5:$U$154,Analytics!$D$5:$D$154,T496,Analytics!$B$5:$B$154,"&gt;="&amp;DashStart,Analytics!$B$5:$B$154,"&lt;="&amp;DashEnd))</f>
        <v>0</v>
      </c>
      <c r="AD496" s="23">
        <f>IF(T496="","",COUNTIFS('Content Calendar'!$G$5:$G$604,T496,'Content Calendar'!$B$5:$B$604,"&gt;="&amp;DATE(PlanYear,1,1),'Content Calendar'!$B$5:$B$604,"&lt;="&amp;DATE(PlanYear,12,31)))</f>
        <v>0</v>
      </c>
      <c r="AE496" s="23">
        <f>IF(T496="","",SUMIFS(Analytics!$J$5:$J$154,Analytics!$D$5:$D$154,T496))</f>
        <v>0</v>
      </c>
      <c r="AF496" s="23">
        <f>IF(T496="","",SUMIFS(Analytics!$L$5:$L$154,Analytics!$D$5:$D$154,T496))</f>
        <v>0</v>
      </c>
      <c r="AG496" s="24">
        <f>IF(OR(AE496="",AE496=0),"",AF496/AE496)</f>
        <v>0</v>
      </c>
      <c r="AH496" s="23">
        <f>IF(T496="","",SUMIFS(Analytics!$X$5:$X$154,Analytics!$D$5:$D$154,T496))</f>
        <v>0</v>
      </c>
      <c r="AI496" s="32">
        <f>IF(T496="","",IF(AE496=0,"",AE496+ROW()/1000000))</f>
        <v>0</v>
      </c>
      <c r="AJ496" s="17">
        <f>IF('Content Pillars'!$B$496="","",'Content Pillars'!$B$496)</f>
        <v>0</v>
      </c>
      <c r="AK496" s="23">
        <f>IF(AJ496="","",COUNTIFS('Content Calendar'!$J$5:$J$604,AJ496,'Content Calendar'!$B$5:$B$604,"&gt;="&amp;DATE(PlanYear,1,1),'Content Calendar'!$B$5:$B$604,"&lt;="&amp;DATE(PlanYear,12,31)))</f>
        <v>0</v>
      </c>
      <c r="AL496" s="23">
        <f>IF(AJ496="","",SUMIFS(Performance!$O$5:$O$404,Performance!$H$5:$H$404,AJ496))</f>
        <v>0</v>
      </c>
      <c r="AM496" s="23">
        <f>IF(AJ496="","",SUMIFS(Performance!$Z$5:$Z$404,Performance!$H$5:$H$404,AJ496))</f>
        <v>0</v>
      </c>
      <c r="AN496" s="24">
        <f>IF(OR(AL496="",AL496=0),"",AM496/AL496)</f>
        <v>0</v>
      </c>
      <c r="AO496" s="32">
        <f>IF(AN496="","",AN496+ROW()/1000000)</f>
        <v>0</v>
      </c>
      <c r="AP496" s="17">
        <f>IF(Lists!$E496="","",Lists!$E496)</f>
        <v>0</v>
      </c>
      <c r="AQ496" s="23">
        <f>IF(AP496="","",COUNTIF(Performance!$G$5:$G$404,AP496))</f>
        <v>0</v>
      </c>
      <c r="AR496" s="23">
        <f>IF(AP496="","",SUMIFS(Performance!$O$5:$O$404,Performance!$G$5:$G$404,AP496))</f>
        <v>0</v>
      </c>
      <c r="AS496" s="23">
        <f>IF(AP496="","",SUMIFS(Performance!$Z$5:$Z$404,Performance!$G$5:$G$404,AP496))</f>
        <v>0</v>
      </c>
      <c r="AT496" s="24">
        <f>IF(OR(AR496="",AR496=0),"",AS496/AR496)</f>
        <v>0</v>
      </c>
      <c r="AU496" s="32">
        <f>IF(AQ496=0,"",IF(AT496="","",AT496+ROW()/1000000))</f>
        <v>0</v>
      </c>
      <c r="AV496" s="17">
        <f>IF(ROW()-4&gt;7,"",TEXT(DATE(2024,1,ROW()-4),"ddd"))</f>
        <v>0</v>
      </c>
      <c r="AW496" s="23">
        <f>IF(AV496="","",COUNTIF(Performance!$N$5:$N$404,AV496))</f>
        <v>0</v>
      </c>
      <c r="AX496" s="23">
        <f>IF(AV496="","",SUMIFS(Performance!$O$5:$O$404,Performance!$N$5:$N$404,AV496))</f>
        <v>0</v>
      </c>
      <c r="AY496" s="23">
        <f>IF(AV496="","",SUMIFS(Performance!$Z$5:$Z$404,Performance!$N$5:$N$404,AV496))</f>
        <v>0</v>
      </c>
      <c r="AZ496" s="24">
        <f>IF(OR(AX496="",AX496=0),"",AY496/AX496)</f>
        <v>0</v>
      </c>
      <c r="BA496" s="32">
        <f>IF(AW496=0,"",IF(AZ496="","",AZ496+ROW()/1000000))</f>
        <v>0</v>
      </c>
      <c r="BB496" s="17">
        <f>IF(Lists!$AL496="","",Lists!$AL496)</f>
        <v>0</v>
      </c>
      <c r="BC496" s="23">
        <f>IF(BB496="","",COUNTIF(Performance!$M$5:$M$404,BB496))</f>
        <v>0</v>
      </c>
      <c r="BD496" s="23">
        <f>IF(BB496="","",SUMIFS(Performance!$O$5:$O$404,Performance!$M$5:$M$404,BB496))</f>
        <v>0</v>
      </c>
      <c r="BE496" s="23">
        <f>IF(BB496="","",SUMIFS(Performance!$Z$5:$Z$404,Performance!$M$5:$M$404,BB496))</f>
        <v>0</v>
      </c>
      <c r="BF496" s="24">
        <f>IF(OR(BD496="",BD496=0),"",BE496/BD496)</f>
        <v>0</v>
      </c>
      <c r="BG496" s="32">
        <f>IF(BC496=0,"",IF(BF496="","",BF496+ROW()/1000000))</f>
        <v>0</v>
      </c>
      <c r="BH496" s="17">
        <f>IF(Performance!$C$496="","",Performance!$C$496)</f>
        <v>0</v>
      </c>
      <c r="BI496" s="17">
        <f>IF(Performance!$F$496="","",Performance!$F$496)</f>
        <v>0</v>
      </c>
      <c r="BJ496" s="17">
        <f>IF(Performance!$H$496="","",Performance!$H$496)</f>
        <v>0</v>
      </c>
      <c r="BK496" s="16">
        <f>IF(Performance!$D$496="","",Performance!$D$496)</f>
        <v>0</v>
      </c>
      <c r="BL496" s="17">
        <f>IF(Performance!$E$496="","",Performance!$E$496)</f>
        <v>0</v>
      </c>
      <c r="BM496" s="23">
        <f>IF(Performance!$O$496="","",Performance!$O$496)</f>
        <v>0</v>
      </c>
      <c r="BN496" s="24">
        <f>IF(Performance!$AA$496="","",Performance!$AA$496)</f>
        <v>0</v>
      </c>
      <c r="BO496" s="32">
        <f>IF(BH496="","",IF(BK496="","",IF(OR(BK496&lt;DashStart,BK496&gt;DashEnd),"",IF(BN496="","",BN496+ROW()/1000000))))</f>
        <v>0</v>
      </c>
      <c r="BP496" s="32">
        <f>IF(BM496="","",IF(BK496="","",IF(OR(BK496&lt;DashStart,BK496&gt;DashEnd),"",BM496+ROW()/1000000)))</f>
        <v>0</v>
      </c>
      <c r="BQ496" s="32">
        <f>IF(BH496="","",IF(BK496="","",IF(YEAR(BK496)&lt;&gt;PlanYear,"",IF(BN496="","",BN496+ROW()/1000000))))</f>
        <v>0</v>
      </c>
      <c r="BR496" s="32">
        <f>IF(BH496="","",IF(BK496="","",IF(OR(BK496&lt;RepFrom,BK496&gt;RepTo),"",IF(BN496="","",BN496+ROW()/1000000))))</f>
        <v>0</v>
      </c>
      <c r="BS496" s="32">
        <f>IF(BM496="","",IF(BK496="","",IF(YEAR(BK496)&lt;&gt;PlanYear,"",BM496+ROW()/1000000)))</f>
        <v>0</v>
      </c>
      <c r="BT496" s="17">
        <f>IF(Lists!$F496="","",Lists!$F496)</f>
        <v>0</v>
      </c>
      <c r="BU496" s="23">
        <f>IF(BT496="","",COUNTIF('Content Calendar'!$X$5:$X$604,BT496))</f>
        <v>0</v>
      </c>
      <c r="BV496" s="23">
        <f>IF(BT496="","",COUNTIFS('Content Calendar'!$X$5:$X$604,BT496,'Content Calendar'!$B$5:$B$604,"&gt;="&amp;DashStart,'Content Calendar'!$B$5:$B$604,"&lt;="&amp;DashEnd))</f>
        <v>0</v>
      </c>
      <c r="BW496" s="17">
        <f>IF(Team!$B$496="","",Team!$B$496)</f>
        <v>0</v>
      </c>
      <c r="BX496" s="23">
        <f>IF(BW496="","",COUNTIF('Content Calendar'!$W$5:$W$604,BW496))</f>
        <v>0</v>
      </c>
      <c r="BY496" s="23">
        <f>IF(BW496="","",COUNTIFS('Content Calendar'!$W$5:$W$604,BW496,'Content Calendar'!$X$5:$X$604,"&lt;&gt;Published"))</f>
        <v>0</v>
      </c>
      <c r="BZ496" s="23">
        <f>IF(BW496="","",COUNTIFS(Tasks!$C$5:$C$64,BW496,Tasks!$G$5:$G$64,"&lt;&gt;Complete"))</f>
        <v>0</v>
      </c>
      <c r="CA496" s="17">
        <f>IF(Campaigns!$B$496="","",Campaigns!$B$496)</f>
        <v>0</v>
      </c>
      <c r="CB496" s="25">
        <f>IF(Campaigns!$T$496="","",Campaigns!$T$496)</f>
        <v>0</v>
      </c>
      <c r="CC496" s="25">
        <f>IF(Campaigns!$Q$496="","",Campaigns!$Q$496)</f>
        <v>0</v>
      </c>
      <c r="CD496" s="23">
        <f>IF(Campaigns!$Y$496="","",Campaigns!$Y$496)</f>
        <v>0</v>
      </c>
      <c r="CE496" s="32">
        <f>IF(CA496="","",IF(N(CB496)&lt;=0,"",N(CB496)+ROW()/1000000))</f>
        <v>0</v>
      </c>
      <c r="CF496" s="17">
        <f>IF(Accounts!$C$496="","",Accounts!$C$496)</f>
        <v>0</v>
      </c>
      <c r="CG496" s="17">
        <f>IF(Accounts!$B$496="","",Accounts!$B$496)</f>
        <v>0</v>
      </c>
      <c r="CH496" s="23">
        <f>IF(Accounts!$J$496="","",Accounts!$J$496)</f>
        <v>0</v>
      </c>
      <c r="CI496" s="23">
        <f>IF(CF496="","",SUMIFS(Analytics!$X$5:$X$154,Analytics!$E$5:$E$154,CF496,Analytics!$B$5:$B$154,"&gt;="&amp;DashStart,Analytics!$B$5:$B$154,"&lt;="&amp;DashEnd))</f>
        <v>0</v>
      </c>
      <c r="CJ496" s="32">
        <f>IF(CH496="","",IF(CH496=0,"",CH496+ROW()/1000000))</f>
        <v>0</v>
      </c>
    </row>
    <row r="497" spans="1:88">
      <c r="A497" s="16">
        <f>IF(ROW()-4&gt;12,"",DATE(PlanYear,ROW()-4,1))</f>
        <v>0</v>
      </c>
      <c r="B497" s="16">
        <f>IF(A497="","",EOMONTH(A497,0))</f>
        <v>0</v>
      </c>
      <c r="C497" s="17">
        <f>IF(A497="","",TEXT(A497,"yyyy-mm"))</f>
        <v>0</v>
      </c>
      <c r="D497" s="17">
        <f>IF(A497="","",TEXT(A497,"mmm"))</f>
        <v>0</v>
      </c>
      <c r="E497" s="23">
        <f>IF(C497="","",COUNTIFS('Content Calendar'!$D$5:$D$604,C497))</f>
        <v>0</v>
      </c>
      <c r="F497" s="23">
        <f>IF(C497="","",COUNTIFS('Content Calendar'!$D$5:$D$604,C497,'Content Calendar'!$X$5:$X$604,"Published"))</f>
        <v>0</v>
      </c>
      <c r="G497" s="23">
        <f>IF(C497="","",SUMIFS(Analytics!$J$5:$J$154,Analytics!$C$5:$C$154,C497))</f>
        <v>0</v>
      </c>
      <c r="H497" s="23">
        <f>IF(C497="","",SUMIFS(Analytics!$K$5:$K$154,Analytics!$C$5:$C$154,C497))</f>
        <v>0</v>
      </c>
      <c r="I497" s="23">
        <f>IF(C497="","",SUMIFS(Analytics!$L$5:$L$154,Analytics!$C$5:$C$154,C497))</f>
        <v>0</v>
      </c>
      <c r="J497" s="24">
        <f>IF(OR(G497="",G497=0),"",I497/G497)</f>
        <v>0</v>
      </c>
      <c r="K497" s="23">
        <f>IF(C497="","",SUMIFS(Analytics!$G$5:$G$154,Analytics!$C$5:$C$154,C497))</f>
        <v>0</v>
      </c>
      <c r="L497" s="23">
        <f>IF(C497="","",SUMIFS(Analytics!$X$5:$X$154,Analytics!$C$5:$C$154,C497))</f>
        <v>0</v>
      </c>
      <c r="M497" s="23">
        <f>IF(C497="","",SUMIFS(Analytics!$R$5:$R$154,Analytics!$C$5:$C$154,C497))</f>
        <v>0</v>
      </c>
      <c r="N497" s="23">
        <f>IF(C497="","",SUMIFS(Analytics!$S$5:$S$154,Analytics!$C$5:$C$154,C497))</f>
        <v>0</v>
      </c>
      <c r="O497" s="23">
        <f>IF(C497="","",SUMIFS(Analytics!$T$5:$T$154,Analytics!$C$5:$C$154,C497))</f>
        <v>0</v>
      </c>
      <c r="P497" s="25">
        <f>IF(C497="","",SUMIFS(Analytics!$U$5:$U$154,Analytics!$C$5:$C$154,C497))</f>
        <v>0</v>
      </c>
      <c r="Q497" s="25">
        <f>IF(C497="","",SUMIFS(Budget!$H$5:$H$64,Budget!$C$5:$C$64,C497))</f>
        <v>0</v>
      </c>
      <c r="R497" s="25">
        <f>IF(C497="","",P497-Q497)</f>
        <v>0</v>
      </c>
      <c r="S497" s="23">
        <f>IF(C497="","",MonthlyPostTarget)</f>
        <v>0</v>
      </c>
      <c r="T497" s="17">
        <f>IF(Lists!$C497="","",Lists!$C497)</f>
        <v>0</v>
      </c>
      <c r="U497" s="23">
        <f>IF(T497="","",COUNTIFS('Content Calendar'!$G$5:$G$604,T497,'Content Calendar'!$B$5:$B$604,"&gt;="&amp;DashStart,'Content Calendar'!$B$5:$B$604,"&lt;="&amp;DashEnd))</f>
        <v>0</v>
      </c>
      <c r="V497" s="23">
        <f>IF(T497="","",COUNTIFS('Content Calendar'!$G$5:$G$604,T497,'Content Calendar'!$X$5:$X$604,"Published",'Content Calendar'!$B$5:$B$604,"&gt;="&amp;DashStart,'Content Calendar'!$B$5:$B$604,"&lt;="&amp;DashEnd))</f>
        <v>0</v>
      </c>
      <c r="W497" s="23">
        <f>IF(T497="","",SUMIFS(Analytics!$J$5:$J$154,Analytics!$D$5:$D$154,T497,Analytics!$B$5:$B$154,"&gt;="&amp;DashStart,Analytics!$B$5:$B$154,"&lt;="&amp;DashEnd))</f>
        <v>0</v>
      </c>
      <c r="X497" s="23">
        <f>IF(T497="","",SUMIFS(Analytics!$L$5:$L$154,Analytics!$D$5:$D$154,T497,Analytics!$B$5:$B$154,"&gt;="&amp;DashStart,Analytics!$B$5:$B$154,"&lt;="&amp;DashEnd))</f>
        <v>0</v>
      </c>
      <c r="Y497" s="24">
        <f>IF(OR(W497="",W497=0),"",X497/W497)</f>
        <v>0</v>
      </c>
      <c r="Z497" s="23">
        <f>IF(T497="","",SUMIFS(Analytics!$G$5:$G$154,Analytics!$D$5:$D$154,T497,Analytics!$B$5:$B$154,"&gt;="&amp;DashStart,Analytics!$B$5:$B$154,"&lt;="&amp;DashEnd))</f>
        <v>0</v>
      </c>
      <c r="AA497" s="23">
        <f>IF(T497="","",SUMIFS(Analytics!$X$5:$X$154,Analytics!$D$5:$D$154,T497,Analytics!$B$5:$B$154,"&gt;="&amp;DashStart,Analytics!$B$5:$B$154,"&lt;="&amp;DashEnd))</f>
        <v>0</v>
      </c>
      <c r="AB497" s="23">
        <f>IF(T497="","",SUMIFS(Analytics!$R$5:$R$154,Analytics!$D$5:$D$154,T497,Analytics!$B$5:$B$154,"&gt;="&amp;DashStart,Analytics!$B$5:$B$154,"&lt;="&amp;DashEnd))</f>
        <v>0</v>
      </c>
      <c r="AC497" s="25">
        <f>IF(T497="","",SUMIFS(Analytics!$U$5:$U$154,Analytics!$D$5:$D$154,T497,Analytics!$B$5:$B$154,"&gt;="&amp;DashStart,Analytics!$B$5:$B$154,"&lt;="&amp;DashEnd))</f>
        <v>0</v>
      </c>
      <c r="AD497" s="23">
        <f>IF(T497="","",COUNTIFS('Content Calendar'!$G$5:$G$604,T497,'Content Calendar'!$B$5:$B$604,"&gt;="&amp;DATE(PlanYear,1,1),'Content Calendar'!$B$5:$B$604,"&lt;="&amp;DATE(PlanYear,12,31)))</f>
        <v>0</v>
      </c>
      <c r="AE497" s="23">
        <f>IF(T497="","",SUMIFS(Analytics!$J$5:$J$154,Analytics!$D$5:$D$154,T497))</f>
        <v>0</v>
      </c>
      <c r="AF497" s="23">
        <f>IF(T497="","",SUMIFS(Analytics!$L$5:$L$154,Analytics!$D$5:$D$154,T497))</f>
        <v>0</v>
      </c>
      <c r="AG497" s="24">
        <f>IF(OR(AE497="",AE497=0),"",AF497/AE497)</f>
        <v>0</v>
      </c>
      <c r="AH497" s="23">
        <f>IF(T497="","",SUMIFS(Analytics!$X$5:$X$154,Analytics!$D$5:$D$154,T497))</f>
        <v>0</v>
      </c>
      <c r="AI497" s="32">
        <f>IF(T497="","",IF(AE497=0,"",AE497+ROW()/1000000))</f>
        <v>0</v>
      </c>
      <c r="AJ497" s="17">
        <f>IF('Content Pillars'!$B$497="","",'Content Pillars'!$B$497)</f>
        <v>0</v>
      </c>
      <c r="AK497" s="23">
        <f>IF(AJ497="","",COUNTIFS('Content Calendar'!$J$5:$J$604,AJ497,'Content Calendar'!$B$5:$B$604,"&gt;="&amp;DATE(PlanYear,1,1),'Content Calendar'!$B$5:$B$604,"&lt;="&amp;DATE(PlanYear,12,31)))</f>
        <v>0</v>
      </c>
      <c r="AL497" s="23">
        <f>IF(AJ497="","",SUMIFS(Performance!$O$5:$O$404,Performance!$H$5:$H$404,AJ497))</f>
        <v>0</v>
      </c>
      <c r="AM497" s="23">
        <f>IF(AJ497="","",SUMIFS(Performance!$Z$5:$Z$404,Performance!$H$5:$H$404,AJ497))</f>
        <v>0</v>
      </c>
      <c r="AN497" s="24">
        <f>IF(OR(AL497="",AL497=0),"",AM497/AL497)</f>
        <v>0</v>
      </c>
      <c r="AO497" s="32">
        <f>IF(AN497="","",AN497+ROW()/1000000)</f>
        <v>0</v>
      </c>
      <c r="AP497" s="17">
        <f>IF(Lists!$E497="","",Lists!$E497)</f>
        <v>0</v>
      </c>
      <c r="AQ497" s="23">
        <f>IF(AP497="","",COUNTIF(Performance!$G$5:$G$404,AP497))</f>
        <v>0</v>
      </c>
      <c r="AR497" s="23">
        <f>IF(AP497="","",SUMIFS(Performance!$O$5:$O$404,Performance!$G$5:$G$404,AP497))</f>
        <v>0</v>
      </c>
      <c r="AS497" s="23">
        <f>IF(AP497="","",SUMIFS(Performance!$Z$5:$Z$404,Performance!$G$5:$G$404,AP497))</f>
        <v>0</v>
      </c>
      <c r="AT497" s="24">
        <f>IF(OR(AR497="",AR497=0),"",AS497/AR497)</f>
        <v>0</v>
      </c>
      <c r="AU497" s="32">
        <f>IF(AQ497=0,"",IF(AT497="","",AT497+ROW()/1000000))</f>
        <v>0</v>
      </c>
      <c r="AV497" s="17">
        <f>IF(ROW()-4&gt;7,"",TEXT(DATE(2024,1,ROW()-4),"ddd"))</f>
        <v>0</v>
      </c>
      <c r="AW497" s="23">
        <f>IF(AV497="","",COUNTIF(Performance!$N$5:$N$404,AV497))</f>
        <v>0</v>
      </c>
      <c r="AX497" s="23">
        <f>IF(AV497="","",SUMIFS(Performance!$O$5:$O$404,Performance!$N$5:$N$404,AV497))</f>
        <v>0</v>
      </c>
      <c r="AY497" s="23">
        <f>IF(AV497="","",SUMIFS(Performance!$Z$5:$Z$404,Performance!$N$5:$N$404,AV497))</f>
        <v>0</v>
      </c>
      <c r="AZ497" s="24">
        <f>IF(OR(AX497="",AX497=0),"",AY497/AX497)</f>
        <v>0</v>
      </c>
      <c r="BA497" s="32">
        <f>IF(AW497=0,"",IF(AZ497="","",AZ497+ROW()/1000000))</f>
        <v>0</v>
      </c>
      <c r="BB497" s="17">
        <f>IF(Lists!$AL497="","",Lists!$AL497)</f>
        <v>0</v>
      </c>
      <c r="BC497" s="23">
        <f>IF(BB497="","",COUNTIF(Performance!$M$5:$M$404,BB497))</f>
        <v>0</v>
      </c>
      <c r="BD497" s="23">
        <f>IF(BB497="","",SUMIFS(Performance!$O$5:$O$404,Performance!$M$5:$M$404,BB497))</f>
        <v>0</v>
      </c>
      <c r="BE497" s="23">
        <f>IF(BB497="","",SUMIFS(Performance!$Z$5:$Z$404,Performance!$M$5:$M$404,BB497))</f>
        <v>0</v>
      </c>
      <c r="BF497" s="24">
        <f>IF(OR(BD497="",BD497=0),"",BE497/BD497)</f>
        <v>0</v>
      </c>
      <c r="BG497" s="32">
        <f>IF(BC497=0,"",IF(BF497="","",BF497+ROW()/1000000))</f>
        <v>0</v>
      </c>
      <c r="BH497" s="17">
        <f>IF(Performance!$C$497="","",Performance!$C$497)</f>
        <v>0</v>
      </c>
      <c r="BI497" s="17">
        <f>IF(Performance!$F$497="","",Performance!$F$497)</f>
        <v>0</v>
      </c>
      <c r="BJ497" s="17">
        <f>IF(Performance!$H$497="","",Performance!$H$497)</f>
        <v>0</v>
      </c>
      <c r="BK497" s="16">
        <f>IF(Performance!$D$497="","",Performance!$D$497)</f>
        <v>0</v>
      </c>
      <c r="BL497" s="17">
        <f>IF(Performance!$E$497="","",Performance!$E$497)</f>
        <v>0</v>
      </c>
      <c r="BM497" s="23">
        <f>IF(Performance!$O$497="","",Performance!$O$497)</f>
        <v>0</v>
      </c>
      <c r="BN497" s="24">
        <f>IF(Performance!$AA$497="","",Performance!$AA$497)</f>
        <v>0</v>
      </c>
      <c r="BO497" s="32">
        <f>IF(BH497="","",IF(BK497="","",IF(OR(BK497&lt;DashStart,BK497&gt;DashEnd),"",IF(BN497="","",BN497+ROW()/1000000))))</f>
        <v>0</v>
      </c>
      <c r="BP497" s="32">
        <f>IF(BM497="","",IF(BK497="","",IF(OR(BK497&lt;DashStart,BK497&gt;DashEnd),"",BM497+ROW()/1000000)))</f>
        <v>0</v>
      </c>
      <c r="BQ497" s="32">
        <f>IF(BH497="","",IF(BK497="","",IF(YEAR(BK497)&lt;&gt;PlanYear,"",IF(BN497="","",BN497+ROW()/1000000))))</f>
        <v>0</v>
      </c>
      <c r="BR497" s="32">
        <f>IF(BH497="","",IF(BK497="","",IF(OR(BK497&lt;RepFrom,BK497&gt;RepTo),"",IF(BN497="","",BN497+ROW()/1000000))))</f>
        <v>0</v>
      </c>
      <c r="BS497" s="32">
        <f>IF(BM497="","",IF(BK497="","",IF(YEAR(BK497)&lt;&gt;PlanYear,"",BM497+ROW()/1000000)))</f>
        <v>0</v>
      </c>
      <c r="BT497" s="17">
        <f>IF(Lists!$F497="","",Lists!$F497)</f>
        <v>0</v>
      </c>
      <c r="BU497" s="23">
        <f>IF(BT497="","",COUNTIF('Content Calendar'!$X$5:$X$604,BT497))</f>
        <v>0</v>
      </c>
      <c r="BV497" s="23">
        <f>IF(BT497="","",COUNTIFS('Content Calendar'!$X$5:$X$604,BT497,'Content Calendar'!$B$5:$B$604,"&gt;="&amp;DashStart,'Content Calendar'!$B$5:$B$604,"&lt;="&amp;DashEnd))</f>
        <v>0</v>
      </c>
      <c r="BW497" s="17">
        <f>IF(Team!$B$497="","",Team!$B$497)</f>
        <v>0</v>
      </c>
      <c r="BX497" s="23">
        <f>IF(BW497="","",COUNTIF('Content Calendar'!$W$5:$W$604,BW497))</f>
        <v>0</v>
      </c>
      <c r="BY497" s="23">
        <f>IF(BW497="","",COUNTIFS('Content Calendar'!$W$5:$W$604,BW497,'Content Calendar'!$X$5:$X$604,"&lt;&gt;Published"))</f>
        <v>0</v>
      </c>
      <c r="BZ497" s="23">
        <f>IF(BW497="","",COUNTIFS(Tasks!$C$5:$C$64,BW497,Tasks!$G$5:$G$64,"&lt;&gt;Complete"))</f>
        <v>0</v>
      </c>
      <c r="CA497" s="17">
        <f>IF(Campaigns!$B$497="","",Campaigns!$B$497)</f>
        <v>0</v>
      </c>
      <c r="CB497" s="25">
        <f>IF(Campaigns!$T$497="","",Campaigns!$T$497)</f>
        <v>0</v>
      </c>
      <c r="CC497" s="25">
        <f>IF(Campaigns!$Q$497="","",Campaigns!$Q$497)</f>
        <v>0</v>
      </c>
      <c r="CD497" s="23">
        <f>IF(Campaigns!$Y$497="","",Campaigns!$Y$497)</f>
        <v>0</v>
      </c>
      <c r="CE497" s="32">
        <f>IF(CA497="","",IF(N(CB497)&lt;=0,"",N(CB497)+ROW()/1000000))</f>
        <v>0</v>
      </c>
      <c r="CF497" s="17">
        <f>IF(Accounts!$C$497="","",Accounts!$C$497)</f>
        <v>0</v>
      </c>
      <c r="CG497" s="17">
        <f>IF(Accounts!$B$497="","",Accounts!$B$497)</f>
        <v>0</v>
      </c>
      <c r="CH497" s="23">
        <f>IF(Accounts!$J$497="","",Accounts!$J$497)</f>
        <v>0</v>
      </c>
      <c r="CI497" s="23">
        <f>IF(CF497="","",SUMIFS(Analytics!$X$5:$X$154,Analytics!$E$5:$E$154,CF497,Analytics!$B$5:$B$154,"&gt;="&amp;DashStart,Analytics!$B$5:$B$154,"&lt;="&amp;DashEnd))</f>
        <v>0</v>
      </c>
      <c r="CJ497" s="32">
        <f>IF(CH497="","",IF(CH497=0,"",CH497+ROW()/1000000))</f>
        <v>0</v>
      </c>
    </row>
    <row r="498" spans="1:88">
      <c r="A498" s="16">
        <f>IF(ROW()-4&gt;12,"",DATE(PlanYear,ROW()-4,1))</f>
        <v>0</v>
      </c>
      <c r="B498" s="16">
        <f>IF(A498="","",EOMONTH(A498,0))</f>
        <v>0</v>
      </c>
      <c r="C498" s="17">
        <f>IF(A498="","",TEXT(A498,"yyyy-mm"))</f>
        <v>0</v>
      </c>
      <c r="D498" s="17">
        <f>IF(A498="","",TEXT(A498,"mmm"))</f>
        <v>0</v>
      </c>
      <c r="E498" s="23">
        <f>IF(C498="","",COUNTIFS('Content Calendar'!$D$5:$D$604,C498))</f>
        <v>0</v>
      </c>
      <c r="F498" s="23">
        <f>IF(C498="","",COUNTIFS('Content Calendar'!$D$5:$D$604,C498,'Content Calendar'!$X$5:$X$604,"Published"))</f>
        <v>0</v>
      </c>
      <c r="G498" s="23">
        <f>IF(C498="","",SUMIFS(Analytics!$J$5:$J$154,Analytics!$C$5:$C$154,C498))</f>
        <v>0</v>
      </c>
      <c r="H498" s="23">
        <f>IF(C498="","",SUMIFS(Analytics!$K$5:$K$154,Analytics!$C$5:$C$154,C498))</f>
        <v>0</v>
      </c>
      <c r="I498" s="23">
        <f>IF(C498="","",SUMIFS(Analytics!$L$5:$L$154,Analytics!$C$5:$C$154,C498))</f>
        <v>0</v>
      </c>
      <c r="J498" s="24">
        <f>IF(OR(G498="",G498=0),"",I498/G498)</f>
        <v>0</v>
      </c>
      <c r="K498" s="23">
        <f>IF(C498="","",SUMIFS(Analytics!$G$5:$G$154,Analytics!$C$5:$C$154,C498))</f>
        <v>0</v>
      </c>
      <c r="L498" s="23">
        <f>IF(C498="","",SUMIFS(Analytics!$X$5:$X$154,Analytics!$C$5:$C$154,C498))</f>
        <v>0</v>
      </c>
      <c r="M498" s="23">
        <f>IF(C498="","",SUMIFS(Analytics!$R$5:$R$154,Analytics!$C$5:$C$154,C498))</f>
        <v>0</v>
      </c>
      <c r="N498" s="23">
        <f>IF(C498="","",SUMIFS(Analytics!$S$5:$S$154,Analytics!$C$5:$C$154,C498))</f>
        <v>0</v>
      </c>
      <c r="O498" s="23">
        <f>IF(C498="","",SUMIFS(Analytics!$T$5:$T$154,Analytics!$C$5:$C$154,C498))</f>
        <v>0</v>
      </c>
      <c r="P498" s="25">
        <f>IF(C498="","",SUMIFS(Analytics!$U$5:$U$154,Analytics!$C$5:$C$154,C498))</f>
        <v>0</v>
      </c>
      <c r="Q498" s="25">
        <f>IF(C498="","",SUMIFS(Budget!$H$5:$H$64,Budget!$C$5:$C$64,C498))</f>
        <v>0</v>
      </c>
      <c r="R498" s="25">
        <f>IF(C498="","",P498-Q498)</f>
        <v>0</v>
      </c>
      <c r="S498" s="23">
        <f>IF(C498="","",MonthlyPostTarget)</f>
        <v>0</v>
      </c>
      <c r="T498" s="17">
        <f>IF(Lists!$C498="","",Lists!$C498)</f>
        <v>0</v>
      </c>
      <c r="U498" s="23">
        <f>IF(T498="","",COUNTIFS('Content Calendar'!$G$5:$G$604,T498,'Content Calendar'!$B$5:$B$604,"&gt;="&amp;DashStart,'Content Calendar'!$B$5:$B$604,"&lt;="&amp;DashEnd))</f>
        <v>0</v>
      </c>
      <c r="V498" s="23">
        <f>IF(T498="","",COUNTIFS('Content Calendar'!$G$5:$G$604,T498,'Content Calendar'!$X$5:$X$604,"Published",'Content Calendar'!$B$5:$B$604,"&gt;="&amp;DashStart,'Content Calendar'!$B$5:$B$604,"&lt;="&amp;DashEnd))</f>
        <v>0</v>
      </c>
      <c r="W498" s="23">
        <f>IF(T498="","",SUMIFS(Analytics!$J$5:$J$154,Analytics!$D$5:$D$154,T498,Analytics!$B$5:$B$154,"&gt;="&amp;DashStart,Analytics!$B$5:$B$154,"&lt;="&amp;DashEnd))</f>
        <v>0</v>
      </c>
      <c r="X498" s="23">
        <f>IF(T498="","",SUMIFS(Analytics!$L$5:$L$154,Analytics!$D$5:$D$154,T498,Analytics!$B$5:$B$154,"&gt;="&amp;DashStart,Analytics!$B$5:$B$154,"&lt;="&amp;DashEnd))</f>
        <v>0</v>
      </c>
      <c r="Y498" s="24">
        <f>IF(OR(W498="",W498=0),"",X498/W498)</f>
        <v>0</v>
      </c>
      <c r="Z498" s="23">
        <f>IF(T498="","",SUMIFS(Analytics!$G$5:$G$154,Analytics!$D$5:$D$154,T498,Analytics!$B$5:$B$154,"&gt;="&amp;DashStart,Analytics!$B$5:$B$154,"&lt;="&amp;DashEnd))</f>
        <v>0</v>
      </c>
      <c r="AA498" s="23">
        <f>IF(T498="","",SUMIFS(Analytics!$X$5:$X$154,Analytics!$D$5:$D$154,T498,Analytics!$B$5:$B$154,"&gt;="&amp;DashStart,Analytics!$B$5:$B$154,"&lt;="&amp;DashEnd))</f>
        <v>0</v>
      </c>
      <c r="AB498" s="23">
        <f>IF(T498="","",SUMIFS(Analytics!$R$5:$R$154,Analytics!$D$5:$D$154,T498,Analytics!$B$5:$B$154,"&gt;="&amp;DashStart,Analytics!$B$5:$B$154,"&lt;="&amp;DashEnd))</f>
        <v>0</v>
      </c>
      <c r="AC498" s="25">
        <f>IF(T498="","",SUMIFS(Analytics!$U$5:$U$154,Analytics!$D$5:$D$154,T498,Analytics!$B$5:$B$154,"&gt;="&amp;DashStart,Analytics!$B$5:$B$154,"&lt;="&amp;DashEnd))</f>
        <v>0</v>
      </c>
      <c r="AD498" s="23">
        <f>IF(T498="","",COUNTIFS('Content Calendar'!$G$5:$G$604,T498,'Content Calendar'!$B$5:$B$604,"&gt;="&amp;DATE(PlanYear,1,1),'Content Calendar'!$B$5:$B$604,"&lt;="&amp;DATE(PlanYear,12,31)))</f>
        <v>0</v>
      </c>
      <c r="AE498" s="23">
        <f>IF(T498="","",SUMIFS(Analytics!$J$5:$J$154,Analytics!$D$5:$D$154,T498))</f>
        <v>0</v>
      </c>
      <c r="AF498" s="23">
        <f>IF(T498="","",SUMIFS(Analytics!$L$5:$L$154,Analytics!$D$5:$D$154,T498))</f>
        <v>0</v>
      </c>
      <c r="AG498" s="24">
        <f>IF(OR(AE498="",AE498=0),"",AF498/AE498)</f>
        <v>0</v>
      </c>
      <c r="AH498" s="23">
        <f>IF(T498="","",SUMIFS(Analytics!$X$5:$X$154,Analytics!$D$5:$D$154,T498))</f>
        <v>0</v>
      </c>
      <c r="AI498" s="32">
        <f>IF(T498="","",IF(AE498=0,"",AE498+ROW()/1000000))</f>
        <v>0</v>
      </c>
      <c r="AJ498" s="17">
        <f>IF('Content Pillars'!$B$498="","",'Content Pillars'!$B$498)</f>
        <v>0</v>
      </c>
      <c r="AK498" s="23">
        <f>IF(AJ498="","",COUNTIFS('Content Calendar'!$J$5:$J$604,AJ498,'Content Calendar'!$B$5:$B$604,"&gt;="&amp;DATE(PlanYear,1,1),'Content Calendar'!$B$5:$B$604,"&lt;="&amp;DATE(PlanYear,12,31)))</f>
        <v>0</v>
      </c>
      <c r="AL498" s="23">
        <f>IF(AJ498="","",SUMIFS(Performance!$O$5:$O$404,Performance!$H$5:$H$404,AJ498))</f>
        <v>0</v>
      </c>
      <c r="AM498" s="23">
        <f>IF(AJ498="","",SUMIFS(Performance!$Z$5:$Z$404,Performance!$H$5:$H$404,AJ498))</f>
        <v>0</v>
      </c>
      <c r="AN498" s="24">
        <f>IF(OR(AL498="",AL498=0),"",AM498/AL498)</f>
        <v>0</v>
      </c>
      <c r="AO498" s="32">
        <f>IF(AN498="","",AN498+ROW()/1000000)</f>
        <v>0</v>
      </c>
      <c r="AP498" s="17">
        <f>IF(Lists!$E498="","",Lists!$E498)</f>
        <v>0</v>
      </c>
      <c r="AQ498" s="23">
        <f>IF(AP498="","",COUNTIF(Performance!$G$5:$G$404,AP498))</f>
        <v>0</v>
      </c>
      <c r="AR498" s="23">
        <f>IF(AP498="","",SUMIFS(Performance!$O$5:$O$404,Performance!$G$5:$G$404,AP498))</f>
        <v>0</v>
      </c>
      <c r="AS498" s="23">
        <f>IF(AP498="","",SUMIFS(Performance!$Z$5:$Z$404,Performance!$G$5:$G$404,AP498))</f>
        <v>0</v>
      </c>
      <c r="AT498" s="24">
        <f>IF(OR(AR498="",AR498=0),"",AS498/AR498)</f>
        <v>0</v>
      </c>
      <c r="AU498" s="32">
        <f>IF(AQ498=0,"",IF(AT498="","",AT498+ROW()/1000000))</f>
        <v>0</v>
      </c>
      <c r="AV498" s="17">
        <f>IF(ROW()-4&gt;7,"",TEXT(DATE(2024,1,ROW()-4),"ddd"))</f>
        <v>0</v>
      </c>
      <c r="AW498" s="23">
        <f>IF(AV498="","",COUNTIF(Performance!$N$5:$N$404,AV498))</f>
        <v>0</v>
      </c>
      <c r="AX498" s="23">
        <f>IF(AV498="","",SUMIFS(Performance!$O$5:$O$404,Performance!$N$5:$N$404,AV498))</f>
        <v>0</v>
      </c>
      <c r="AY498" s="23">
        <f>IF(AV498="","",SUMIFS(Performance!$Z$5:$Z$404,Performance!$N$5:$N$404,AV498))</f>
        <v>0</v>
      </c>
      <c r="AZ498" s="24">
        <f>IF(OR(AX498="",AX498=0),"",AY498/AX498)</f>
        <v>0</v>
      </c>
      <c r="BA498" s="32">
        <f>IF(AW498=0,"",IF(AZ498="","",AZ498+ROW()/1000000))</f>
        <v>0</v>
      </c>
      <c r="BB498" s="17">
        <f>IF(Lists!$AL498="","",Lists!$AL498)</f>
        <v>0</v>
      </c>
      <c r="BC498" s="23">
        <f>IF(BB498="","",COUNTIF(Performance!$M$5:$M$404,BB498))</f>
        <v>0</v>
      </c>
      <c r="BD498" s="23">
        <f>IF(BB498="","",SUMIFS(Performance!$O$5:$O$404,Performance!$M$5:$M$404,BB498))</f>
        <v>0</v>
      </c>
      <c r="BE498" s="23">
        <f>IF(BB498="","",SUMIFS(Performance!$Z$5:$Z$404,Performance!$M$5:$M$404,BB498))</f>
        <v>0</v>
      </c>
      <c r="BF498" s="24">
        <f>IF(OR(BD498="",BD498=0),"",BE498/BD498)</f>
        <v>0</v>
      </c>
      <c r="BG498" s="32">
        <f>IF(BC498=0,"",IF(BF498="","",BF498+ROW()/1000000))</f>
        <v>0</v>
      </c>
      <c r="BH498" s="17">
        <f>IF(Performance!$C$498="","",Performance!$C$498)</f>
        <v>0</v>
      </c>
      <c r="BI498" s="17">
        <f>IF(Performance!$F$498="","",Performance!$F$498)</f>
        <v>0</v>
      </c>
      <c r="BJ498" s="17">
        <f>IF(Performance!$H$498="","",Performance!$H$498)</f>
        <v>0</v>
      </c>
      <c r="BK498" s="16">
        <f>IF(Performance!$D$498="","",Performance!$D$498)</f>
        <v>0</v>
      </c>
      <c r="BL498" s="17">
        <f>IF(Performance!$E$498="","",Performance!$E$498)</f>
        <v>0</v>
      </c>
      <c r="BM498" s="23">
        <f>IF(Performance!$O$498="","",Performance!$O$498)</f>
        <v>0</v>
      </c>
      <c r="BN498" s="24">
        <f>IF(Performance!$AA$498="","",Performance!$AA$498)</f>
        <v>0</v>
      </c>
      <c r="BO498" s="32">
        <f>IF(BH498="","",IF(BK498="","",IF(OR(BK498&lt;DashStart,BK498&gt;DashEnd),"",IF(BN498="","",BN498+ROW()/1000000))))</f>
        <v>0</v>
      </c>
      <c r="BP498" s="32">
        <f>IF(BM498="","",IF(BK498="","",IF(OR(BK498&lt;DashStart,BK498&gt;DashEnd),"",BM498+ROW()/1000000)))</f>
        <v>0</v>
      </c>
      <c r="BQ498" s="32">
        <f>IF(BH498="","",IF(BK498="","",IF(YEAR(BK498)&lt;&gt;PlanYear,"",IF(BN498="","",BN498+ROW()/1000000))))</f>
        <v>0</v>
      </c>
      <c r="BR498" s="32">
        <f>IF(BH498="","",IF(BK498="","",IF(OR(BK498&lt;RepFrom,BK498&gt;RepTo),"",IF(BN498="","",BN498+ROW()/1000000))))</f>
        <v>0</v>
      </c>
      <c r="BS498" s="32">
        <f>IF(BM498="","",IF(BK498="","",IF(YEAR(BK498)&lt;&gt;PlanYear,"",BM498+ROW()/1000000)))</f>
        <v>0</v>
      </c>
      <c r="BT498" s="17">
        <f>IF(Lists!$F498="","",Lists!$F498)</f>
        <v>0</v>
      </c>
      <c r="BU498" s="23">
        <f>IF(BT498="","",COUNTIF('Content Calendar'!$X$5:$X$604,BT498))</f>
        <v>0</v>
      </c>
      <c r="BV498" s="23">
        <f>IF(BT498="","",COUNTIFS('Content Calendar'!$X$5:$X$604,BT498,'Content Calendar'!$B$5:$B$604,"&gt;="&amp;DashStart,'Content Calendar'!$B$5:$B$604,"&lt;="&amp;DashEnd))</f>
        <v>0</v>
      </c>
      <c r="BW498" s="17">
        <f>IF(Team!$B$498="","",Team!$B$498)</f>
        <v>0</v>
      </c>
      <c r="BX498" s="23">
        <f>IF(BW498="","",COUNTIF('Content Calendar'!$W$5:$W$604,BW498))</f>
        <v>0</v>
      </c>
      <c r="BY498" s="23">
        <f>IF(BW498="","",COUNTIFS('Content Calendar'!$W$5:$W$604,BW498,'Content Calendar'!$X$5:$X$604,"&lt;&gt;Published"))</f>
        <v>0</v>
      </c>
      <c r="BZ498" s="23">
        <f>IF(BW498="","",COUNTIFS(Tasks!$C$5:$C$64,BW498,Tasks!$G$5:$G$64,"&lt;&gt;Complete"))</f>
        <v>0</v>
      </c>
      <c r="CA498" s="17">
        <f>IF(Campaigns!$B$498="","",Campaigns!$B$498)</f>
        <v>0</v>
      </c>
      <c r="CB498" s="25">
        <f>IF(Campaigns!$T$498="","",Campaigns!$T$498)</f>
        <v>0</v>
      </c>
      <c r="CC498" s="25">
        <f>IF(Campaigns!$Q$498="","",Campaigns!$Q$498)</f>
        <v>0</v>
      </c>
      <c r="CD498" s="23">
        <f>IF(Campaigns!$Y$498="","",Campaigns!$Y$498)</f>
        <v>0</v>
      </c>
      <c r="CE498" s="32">
        <f>IF(CA498="","",IF(N(CB498)&lt;=0,"",N(CB498)+ROW()/1000000))</f>
        <v>0</v>
      </c>
      <c r="CF498" s="17">
        <f>IF(Accounts!$C$498="","",Accounts!$C$498)</f>
        <v>0</v>
      </c>
      <c r="CG498" s="17">
        <f>IF(Accounts!$B$498="","",Accounts!$B$498)</f>
        <v>0</v>
      </c>
      <c r="CH498" s="23">
        <f>IF(Accounts!$J$498="","",Accounts!$J$498)</f>
        <v>0</v>
      </c>
      <c r="CI498" s="23">
        <f>IF(CF498="","",SUMIFS(Analytics!$X$5:$X$154,Analytics!$E$5:$E$154,CF498,Analytics!$B$5:$B$154,"&gt;="&amp;DashStart,Analytics!$B$5:$B$154,"&lt;="&amp;DashEnd))</f>
        <v>0</v>
      </c>
      <c r="CJ498" s="32">
        <f>IF(CH498="","",IF(CH498=0,"",CH498+ROW()/1000000))</f>
        <v>0</v>
      </c>
    </row>
    <row r="499" spans="1:88">
      <c r="A499" s="16">
        <f>IF(ROW()-4&gt;12,"",DATE(PlanYear,ROW()-4,1))</f>
        <v>0</v>
      </c>
      <c r="B499" s="16">
        <f>IF(A499="","",EOMONTH(A499,0))</f>
        <v>0</v>
      </c>
      <c r="C499" s="17">
        <f>IF(A499="","",TEXT(A499,"yyyy-mm"))</f>
        <v>0</v>
      </c>
      <c r="D499" s="17">
        <f>IF(A499="","",TEXT(A499,"mmm"))</f>
        <v>0</v>
      </c>
      <c r="E499" s="23">
        <f>IF(C499="","",COUNTIFS('Content Calendar'!$D$5:$D$604,C499))</f>
        <v>0</v>
      </c>
      <c r="F499" s="23">
        <f>IF(C499="","",COUNTIFS('Content Calendar'!$D$5:$D$604,C499,'Content Calendar'!$X$5:$X$604,"Published"))</f>
        <v>0</v>
      </c>
      <c r="G499" s="23">
        <f>IF(C499="","",SUMIFS(Analytics!$J$5:$J$154,Analytics!$C$5:$C$154,C499))</f>
        <v>0</v>
      </c>
      <c r="H499" s="23">
        <f>IF(C499="","",SUMIFS(Analytics!$K$5:$K$154,Analytics!$C$5:$C$154,C499))</f>
        <v>0</v>
      </c>
      <c r="I499" s="23">
        <f>IF(C499="","",SUMIFS(Analytics!$L$5:$L$154,Analytics!$C$5:$C$154,C499))</f>
        <v>0</v>
      </c>
      <c r="J499" s="24">
        <f>IF(OR(G499="",G499=0),"",I499/G499)</f>
        <v>0</v>
      </c>
      <c r="K499" s="23">
        <f>IF(C499="","",SUMIFS(Analytics!$G$5:$G$154,Analytics!$C$5:$C$154,C499))</f>
        <v>0</v>
      </c>
      <c r="L499" s="23">
        <f>IF(C499="","",SUMIFS(Analytics!$X$5:$X$154,Analytics!$C$5:$C$154,C499))</f>
        <v>0</v>
      </c>
      <c r="M499" s="23">
        <f>IF(C499="","",SUMIFS(Analytics!$R$5:$R$154,Analytics!$C$5:$C$154,C499))</f>
        <v>0</v>
      </c>
      <c r="N499" s="23">
        <f>IF(C499="","",SUMIFS(Analytics!$S$5:$S$154,Analytics!$C$5:$C$154,C499))</f>
        <v>0</v>
      </c>
      <c r="O499" s="23">
        <f>IF(C499="","",SUMIFS(Analytics!$T$5:$T$154,Analytics!$C$5:$C$154,C499))</f>
        <v>0</v>
      </c>
      <c r="P499" s="25">
        <f>IF(C499="","",SUMIFS(Analytics!$U$5:$U$154,Analytics!$C$5:$C$154,C499))</f>
        <v>0</v>
      </c>
      <c r="Q499" s="25">
        <f>IF(C499="","",SUMIFS(Budget!$H$5:$H$64,Budget!$C$5:$C$64,C499))</f>
        <v>0</v>
      </c>
      <c r="R499" s="25">
        <f>IF(C499="","",P499-Q499)</f>
        <v>0</v>
      </c>
      <c r="S499" s="23">
        <f>IF(C499="","",MonthlyPostTarget)</f>
        <v>0</v>
      </c>
      <c r="T499" s="17">
        <f>IF(Lists!$C499="","",Lists!$C499)</f>
        <v>0</v>
      </c>
      <c r="U499" s="23">
        <f>IF(T499="","",COUNTIFS('Content Calendar'!$G$5:$G$604,T499,'Content Calendar'!$B$5:$B$604,"&gt;="&amp;DashStart,'Content Calendar'!$B$5:$B$604,"&lt;="&amp;DashEnd))</f>
        <v>0</v>
      </c>
      <c r="V499" s="23">
        <f>IF(T499="","",COUNTIFS('Content Calendar'!$G$5:$G$604,T499,'Content Calendar'!$X$5:$X$604,"Published",'Content Calendar'!$B$5:$B$604,"&gt;="&amp;DashStart,'Content Calendar'!$B$5:$B$604,"&lt;="&amp;DashEnd))</f>
        <v>0</v>
      </c>
      <c r="W499" s="23">
        <f>IF(T499="","",SUMIFS(Analytics!$J$5:$J$154,Analytics!$D$5:$D$154,T499,Analytics!$B$5:$B$154,"&gt;="&amp;DashStart,Analytics!$B$5:$B$154,"&lt;="&amp;DashEnd))</f>
        <v>0</v>
      </c>
      <c r="X499" s="23">
        <f>IF(T499="","",SUMIFS(Analytics!$L$5:$L$154,Analytics!$D$5:$D$154,T499,Analytics!$B$5:$B$154,"&gt;="&amp;DashStart,Analytics!$B$5:$B$154,"&lt;="&amp;DashEnd))</f>
        <v>0</v>
      </c>
      <c r="Y499" s="24">
        <f>IF(OR(W499="",W499=0),"",X499/W499)</f>
        <v>0</v>
      </c>
      <c r="Z499" s="23">
        <f>IF(T499="","",SUMIFS(Analytics!$G$5:$G$154,Analytics!$D$5:$D$154,T499,Analytics!$B$5:$B$154,"&gt;="&amp;DashStart,Analytics!$B$5:$B$154,"&lt;="&amp;DashEnd))</f>
        <v>0</v>
      </c>
      <c r="AA499" s="23">
        <f>IF(T499="","",SUMIFS(Analytics!$X$5:$X$154,Analytics!$D$5:$D$154,T499,Analytics!$B$5:$B$154,"&gt;="&amp;DashStart,Analytics!$B$5:$B$154,"&lt;="&amp;DashEnd))</f>
        <v>0</v>
      </c>
      <c r="AB499" s="23">
        <f>IF(T499="","",SUMIFS(Analytics!$R$5:$R$154,Analytics!$D$5:$D$154,T499,Analytics!$B$5:$B$154,"&gt;="&amp;DashStart,Analytics!$B$5:$B$154,"&lt;="&amp;DashEnd))</f>
        <v>0</v>
      </c>
      <c r="AC499" s="25">
        <f>IF(T499="","",SUMIFS(Analytics!$U$5:$U$154,Analytics!$D$5:$D$154,T499,Analytics!$B$5:$B$154,"&gt;="&amp;DashStart,Analytics!$B$5:$B$154,"&lt;="&amp;DashEnd))</f>
        <v>0</v>
      </c>
      <c r="AD499" s="23">
        <f>IF(T499="","",COUNTIFS('Content Calendar'!$G$5:$G$604,T499,'Content Calendar'!$B$5:$B$604,"&gt;="&amp;DATE(PlanYear,1,1),'Content Calendar'!$B$5:$B$604,"&lt;="&amp;DATE(PlanYear,12,31)))</f>
        <v>0</v>
      </c>
      <c r="AE499" s="23">
        <f>IF(T499="","",SUMIFS(Analytics!$J$5:$J$154,Analytics!$D$5:$D$154,T499))</f>
        <v>0</v>
      </c>
      <c r="AF499" s="23">
        <f>IF(T499="","",SUMIFS(Analytics!$L$5:$L$154,Analytics!$D$5:$D$154,T499))</f>
        <v>0</v>
      </c>
      <c r="AG499" s="24">
        <f>IF(OR(AE499="",AE499=0),"",AF499/AE499)</f>
        <v>0</v>
      </c>
      <c r="AH499" s="23">
        <f>IF(T499="","",SUMIFS(Analytics!$X$5:$X$154,Analytics!$D$5:$D$154,T499))</f>
        <v>0</v>
      </c>
      <c r="AI499" s="32">
        <f>IF(T499="","",IF(AE499=0,"",AE499+ROW()/1000000))</f>
        <v>0</v>
      </c>
      <c r="AJ499" s="17">
        <f>IF('Content Pillars'!$B$499="","",'Content Pillars'!$B$499)</f>
        <v>0</v>
      </c>
      <c r="AK499" s="23">
        <f>IF(AJ499="","",COUNTIFS('Content Calendar'!$J$5:$J$604,AJ499,'Content Calendar'!$B$5:$B$604,"&gt;="&amp;DATE(PlanYear,1,1),'Content Calendar'!$B$5:$B$604,"&lt;="&amp;DATE(PlanYear,12,31)))</f>
        <v>0</v>
      </c>
      <c r="AL499" s="23">
        <f>IF(AJ499="","",SUMIFS(Performance!$O$5:$O$404,Performance!$H$5:$H$404,AJ499))</f>
        <v>0</v>
      </c>
      <c r="AM499" s="23">
        <f>IF(AJ499="","",SUMIFS(Performance!$Z$5:$Z$404,Performance!$H$5:$H$404,AJ499))</f>
        <v>0</v>
      </c>
      <c r="AN499" s="24">
        <f>IF(OR(AL499="",AL499=0),"",AM499/AL499)</f>
        <v>0</v>
      </c>
      <c r="AO499" s="32">
        <f>IF(AN499="","",AN499+ROW()/1000000)</f>
        <v>0</v>
      </c>
      <c r="AP499" s="17">
        <f>IF(Lists!$E499="","",Lists!$E499)</f>
        <v>0</v>
      </c>
      <c r="AQ499" s="23">
        <f>IF(AP499="","",COUNTIF(Performance!$G$5:$G$404,AP499))</f>
        <v>0</v>
      </c>
      <c r="AR499" s="23">
        <f>IF(AP499="","",SUMIFS(Performance!$O$5:$O$404,Performance!$G$5:$G$404,AP499))</f>
        <v>0</v>
      </c>
      <c r="AS499" s="23">
        <f>IF(AP499="","",SUMIFS(Performance!$Z$5:$Z$404,Performance!$G$5:$G$404,AP499))</f>
        <v>0</v>
      </c>
      <c r="AT499" s="24">
        <f>IF(OR(AR499="",AR499=0),"",AS499/AR499)</f>
        <v>0</v>
      </c>
      <c r="AU499" s="32">
        <f>IF(AQ499=0,"",IF(AT499="","",AT499+ROW()/1000000))</f>
        <v>0</v>
      </c>
      <c r="AV499" s="17">
        <f>IF(ROW()-4&gt;7,"",TEXT(DATE(2024,1,ROW()-4),"ddd"))</f>
        <v>0</v>
      </c>
      <c r="AW499" s="23">
        <f>IF(AV499="","",COUNTIF(Performance!$N$5:$N$404,AV499))</f>
        <v>0</v>
      </c>
      <c r="AX499" s="23">
        <f>IF(AV499="","",SUMIFS(Performance!$O$5:$O$404,Performance!$N$5:$N$404,AV499))</f>
        <v>0</v>
      </c>
      <c r="AY499" s="23">
        <f>IF(AV499="","",SUMIFS(Performance!$Z$5:$Z$404,Performance!$N$5:$N$404,AV499))</f>
        <v>0</v>
      </c>
      <c r="AZ499" s="24">
        <f>IF(OR(AX499="",AX499=0),"",AY499/AX499)</f>
        <v>0</v>
      </c>
      <c r="BA499" s="32">
        <f>IF(AW499=0,"",IF(AZ499="","",AZ499+ROW()/1000000))</f>
        <v>0</v>
      </c>
      <c r="BB499" s="17">
        <f>IF(Lists!$AL499="","",Lists!$AL499)</f>
        <v>0</v>
      </c>
      <c r="BC499" s="23">
        <f>IF(BB499="","",COUNTIF(Performance!$M$5:$M$404,BB499))</f>
        <v>0</v>
      </c>
      <c r="BD499" s="23">
        <f>IF(BB499="","",SUMIFS(Performance!$O$5:$O$404,Performance!$M$5:$M$404,BB499))</f>
        <v>0</v>
      </c>
      <c r="BE499" s="23">
        <f>IF(BB499="","",SUMIFS(Performance!$Z$5:$Z$404,Performance!$M$5:$M$404,BB499))</f>
        <v>0</v>
      </c>
      <c r="BF499" s="24">
        <f>IF(OR(BD499="",BD499=0),"",BE499/BD499)</f>
        <v>0</v>
      </c>
      <c r="BG499" s="32">
        <f>IF(BC499=0,"",IF(BF499="","",BF499+ROW()/1000000))</f>
        <v>0</v>
      </c>
      <c r="BH499" s="17">
        <f>IF(Performance!$C$499="","",Performance!$C$499)</f>
        <v>0</v>
      </c>
      <c r="BI499" s="17">
        <f>IF(Performance!$F$499="","",Performance!$F$499)</f>
        <v>0</v>
      </c>
      <c r="BJ499" s="17">
        <f>IF(Performance!$H$499="","",Performance!$H$499)</f>
        <v>0</v>
      </c>
      <c r="BK499" s="16">
        <f>IF(Performance!$D$499="","",Performance!$D$499)</f>
        <v>0</v>
      </c>
      <c r="BL499" s="17">
        <f>IF(Performance!$E$499="","",Performance!$E$499)</f>
        <v>0</v>
      </c>
      <c r="BM499" s="23">
        <f>IF(Performance!$O$499="","",Performance!$O$499)</f>
        <v>0</v>
      </c>
      <c r="BN499" s="24">
        <f>IF(Performance!$AA$499="","",Performance!$AA$499)</f>
        <v>0</v>
      </c>
      <c r="BO499" s="32">
        <f>IF(BH499="","",IF(BK499="","",IF(OR(BK499&lt;DashStart,BK499&gt;DashEnd),"",IF(BN499="","",BN499+ROW()/1000000))))</f>
        <v>0</v>
      </c>
      <c r="BP499" s="32">
        <f>IF(BM499="","",IF(BK499="","",IF(OR(BK499&lt;DashStart,BK499&gt;DashEnd),"",BM499+ROW()/1000000)))</f>
        <v>0</v>
      </c>
      <c r="BQ499" s="32">
        <f>IF(BH499="","",IF(BK499="","",IF(YEAR(BK499)&lt;&gt;PlanYear,"",IF(BN499="","",BN499+ROW()/1000000))))</f>
        <v>0</v>
      </c>
      <c r="BR499" s="32">
        <f>IF(BH499="","",IF(BK499="","",IF(OR(BK499&lt;RepFrom,BK499&gt;RepTo),"",IF(BN499="","",BN499+ROW()/1000000))))</f>
        <v>0</v>
      </c>
      <c r="BS499" s="32">
        <f>IF(BM499="","",IF(BK499="","",IF(YEAR(BK499)&lt;&gt;PlanYear,"",BM499+ROW()/1000000)))</f>
        <v>0</v>
      </c>
      <c r="BT499" s="17">
        <f>IF(Lists!$F499="","",Lists!$F499)</f>
        <v>0</v>
      </c>
      <c r="BU499" s="23">
        <f>IF(BT499="","",COUNTIF('Content Calendar'!$X$5:$X$604,BT499))</f>
        <v>0</v>
      </c>
      <c r="BV499" s="23">
        <f>IF(BT499="","",COUNTIFS('Content Calendar'!$X$5:$X$604,BT499,'Content Calendar'!$B$5:$B$604,"&gt;="&amp;DashStart,'Content Calendar'!$B$5:$B$604,"&lt;="&amp;DashEnd))</f>
        <v>0</v>
      </c>
      <c r="BW499" s="17">
        <f>IF(Team!$B$499="","",Team!$B$499)</f>
        <v>0</v>
      </c>
      <c r="BX499" s="23">
        <f>IF(BW499="","",COUNTIF('Content Calendar'!$W$5:$W$604,BW499))</f>
        <v>0</v>
      </c>
      <c r="BY499" s="23">
        <f>IF(BW499="","",COUNTIFS('Content Calendar'!$W$5:$W$604,BW499,'Content Calendar'!$X$5:$X$604,"&lt;&gt;Published"))</f>
        <v>0</v>
      </c>
      <c r="BZ499" s="23">
        <f>IF(BW499="","",COUNTIFS(Tasks!$C$5:$C$64,BW499,Tasks!$G$5:$G$64,"&lt;&gt;Complete"))</f>
        <v>0</v>
      </c>
      <c r="CA499" s="17">
        <f>IF(Campaigns!$B$499="","",Campaigns!$B$499)</f>
        <v>0</v>
      </c>
      <c r="CB499" s="25">
        <f>IF(Campaigns!$T$499="","",Campaigns!$T$499)</f>
        <v>0</v>
      </c>
      <c r="CC499" s="25">
        <f>IF(Campaigns!$Q$499="","",Campaigns!$Q$499)</f>
        <v>0</v>
      </c>
      <c r="CD499" s="23">
        <f>IF(Campaigns!$Y$499="","",Campaigns!$Y$499)</f>
        <v>0</v>
      </c>
      <c r="CE499" s="32">
        <f>IF(CA499="","",IF(N(CB499)&lt;=0,"",N(CB499)+ROW()/1000000))</f>
        <v>0</v>
      </c>
      <c r="CF499" s="17">
        <f>IF(Accounts!$C$499="","",Accounts!$C$499)</f>
        <v>0</v>
      </c>
      <c r="CG499" s="17">
        <f>IF(Accounts!$B$499="","",Accounts!$B$499)</f>
        <v>0</v>
      </c>
      <c r="CH499" s="23">
        <f>IF(Accounts!$J$499="","",Accounts!$J$499)</f>
        <v>0</v>
      </c>
      <c r="CI499" s="23">
        <f>IF(CF499="","",SUMIFS(Analytics!$X$5:$X$154,Analytics!$E$5:$E$154,CF499,Analytics!$B$5:$B$154,"&gt;="&amp;DashStart,Analytics!$B$5:$B$154,"&lt;="&amp;DashEnd))</f>
        <v>0</v>
      </c>
      <c r="CJ499" s="32">
        <f>IF(CH499="","",IF(CH499=0,"",CH499+ROW()/1000000))</f>
        <v>0</v>
      </c>
    </row>
    <row r="500" spans="1:88">
      <c r="A500" s="16">
        <f>IF(ROW()-4&gt;12,"",DATE(PlanYear,ROW()-4,1))</f>
        <v>0</v>
      </c>
      <c r="B500" s="16">
        <f>IF(A500="","",EOMONTH(A500,0))</f>
        <v>0</v>
      </c>
      <c r="C500" s="17">
        <f>IF(A500="","",TEXT(A500,"yyyy-mm"))</f>
        <v>0</v>
      </c>
      <c r="D500" s="17">
        <f>IF(A500="","",TEXT(A500,"mmm"))</f>
        <v>0</v>
      </c>
      <c r="E500" s="23">
        <f>IF(C500="","",COUNTIFS('Content Calendar'!$D$5:$D$604,C500))</f>
        <v>0</v>
      </c>
      <c r="F500" s="23">
        <f>IF(C500="","",COUNTIFS('Content Calendar'!$D$5:$D$604,C500,'Content Calendar'!$X$5:$X$604,"Published"))</f>
        <v>0</v>
      </c>
      <c r="G500" s="23">
        <f>IF(C500="","",SUMIFS(Analytics!$J$5:$J$154,Analytics!$C$5:$C$154,C500))</f>
        <v>0</v>
      </c>
      <c r="H500" s="23">
        <f>IF(C500="","",SUMIFS(Analytics!$K$5:$K$154,Analytics!$C$5:$C$154,C500))</f>
        <v>0</v>
      </c>
      <c r="I500" s="23">
        <f>IF(C500="","",SUMIFS(Analytics!$L$5:$L$154,Analytics!$C$5:$C$154,C500))</f>
        <v>0</v>
      </c>
      <c r="J500" s="24">
        <f>IF(OR(G500="",G500=0),"",I500/G500)</f>
        <v>0</v>
      </c>
      <c r="K500" s="23">
        <f>IF(C500="","",SUMIFS(Analytics!$G$5:$G$154,Analytics!$C$5:$C$154,C500))</f>
        <v>0</v>
      </c>
      <c r="L500" s="23">
        <f>IF(C500="","",SUMIFS(Analytics!$X$5:$X$154,Analytics!$C$5:$C$154,C500))</f>
        <v>0</v>
      </c>
      <c r="M500" s="23">
        <f>IF(C500="","",SUMIFS(Analytics!$R$5:$R$154,Analytics!$C$5:$C$154,C500))</f>
        <v>0</v>
      </c>
      <c r="N500" s="23">
        <f>IF(C500="","",SUMIFS(Analytics!$S$5:$S$154,Analytics!$C$5:$C$154,C500))</f>
        <v>0</v>
      </c>
      <c r="O500" s="23">
        <f>IF(C500="","",SUMIFS(Analytics!$T$5:$T$154,Analytics!$C$5:$C$154,C500))</f>
        <v>0</v>
      </c>
      <c r="P500" s="25">
        <f>IF(C500="","",SUMIFS(Analytics!$U$5:$U$154,Analytics!$C$5:$C$154,C500))</f>
        <v>0</v>
      </c>
      <c r="Q500" s="25">
        <f>IF(C500="","",SUMIFS(Budget!$H$5:$H$64,Budget!$C$5:$C$64,C500))</f>
        <v>0</v>
      </c>
      <c r="R500" s="25">
        <f>IF(C500="","",P500-Q500)</f>
        <v>0</v>
      </c>
      <c r="S500" s="23">
        <f>IF(C500="","",MonthlyPostTarget)</f>
        <v>0</v>
      </c>
      <c r="T500" s="17">
        <f>IF(Lists!$C500="","",Lists!$C500)</f>
        <v>0</v>
      </c>
      <c r="U500" s="23">
        <f>IF(T500="","",COUNTIFS('Content Calendar'!$G$5:$G$604,T500,'Content Calendar'!$B$5:$B$604,"&gt;="&amp;DashStart,'Content Calendar'!$B$5:$B$604,"&lt;="&amp;DashEnd))</f>
        <v>0</v>
      </c>
      <c r="V500" s="23">
        <f>IF(T500="","",COUNTIFS('Content Calendar'!$G$5:$G$604,T500,'Content Calendar'!$X$5:$X$604,"Published",'Content Calendar'!$B$5:$B$604,"&gt;="&amp;DashStart,'Content Calendar'!$B$5:$B$604,"&lt;="&amp;DashEnd))</f>
        <v>0</v>
      </c>
      <c r="W500" s="23">
        <f>IF(T500="","",SUMIFS(Analytics!$J$5:$J$154,Analytics!$D$5:$D$154,T500,Analytics!$B$5:$B$154,"&gt;="&amp;DashStart,Analytics!$B$5:$B$154,"&lt;="&amp;DashEnd))</f>
        <v>0</v>
      </c>
      <c r="X500" s="23">
        <f>IF(T500="","",SUMIFS(Analytics!$L$5:$L$154,Analytics!$D$5:$D$154,T500,Analytics!$B$5:$B$154,"&gt;="&amp;DashStart,Analytics!$B$5:$B$154,"&lt;="&amp;DashEnd))</f>
        <v>0</v>
      </c>
      <c r="Y500" s="24">
        <f>IF(OR(W500="",W500=0),"",X500/W500)</f>
        <v>0</v>
      </c>
      <c r="Z500" s="23">
        <f>IF(T500="","",SUMIFS(Analytics!$G$5:$G$154,Analytics!$D$5:$D$154,T500,Analytics!$B$5:$B$154,"&gt;="&amp;DashStart,Analytics!$B$5:$B$154,"&lt;="&amp;DashEnd))</f>
        <v>0</v>
      </c>
      <c r="AA500" s="23">
        <f>IF(T500="","",SUMIFS(Analytics!$X$5:$X$154,Analytics!$D$5:$D$154,T500,Analytics!$B$5:$B$154,"&gt;="&amp;DashStart,Analytics!$B$5:$B$154,"&lt;="&amp;DashEnd))</f>
        <v>0</v>
      </c>
      <c r="AB500" s="23">
        <f>IF(T500="","",SUMIFS(Analytics!$R$5:$R$154,Analytics!$D$5:$D$154,T500,Analytics!$B$5:$B$154,"&gt;="&amp;DashStart,Analytics!$B$5:$B$154,"&lt;="&amp;DashEnd))</f>
        <v>0</v>
      </c>
      <c r="AC500" s="25">
        <f>IF(T500="","",SUMIFS(Analytics!$U$5:$U$154,Analytics!$D$5:$D$154,T500,Analytics!$B$5:$B$154,"&gt;="&amp;DashStart,Analytics!$B$5:$B$154,"&lt;="&amp;DashEnd))</f>
        <v>0</v>
      </c>
      <c r="AD500" s="23">
        <f>IF(T500="","",COUNTIFS('Content Calendar'!$G$5:$G$604,T500,'Content Calendar'!$B$5:$B$604,"&gt;="&amp;DATE(PlanYear,1,1),'Content Calendar'!$B$5:$B$604,"&lt;="&amp;DATE(PlanYear,12,31)))</f>
        <v>0</v>
      </c>
      <c r="AE500" s="23">
        <f>IF(T500="","",SUMIFS(Analytics!$J$5:$J$154,Analytics!$D$5:$D$154,T500))</f>
        <v>0</v>
      </c>
      <c r="AF500" s="23">
        <f>IF(T500="","",SUMIFS(Analytics!$L$5:$L$154,Analytics!$D$5:$D$154,T500))</f>
        <v>0</v>
      </c>
      <c r="AG500" s="24">
        <f>IF(OR(AE500="",AE500=0),"",AF500/AE500)</f>
        <v>0</v>
      </c>
      <c r="AH500" s="23">
        <f>IF(T500="","",SUMIFS(Analytics!$X$5:$X$154,Analytics!$D$5:$D$154,T500))</f>
        <v>0</v>
      </c>
      <c r="AI500" s="32">
        <f>IF(T500="","",IF(AE500=0,"",AE500+ROW()/1000000))</f>
        <v>0</v>
      </c>
      <c r="AJ500" s="17">
        <f>IF('Content Pillars'!$B$500="","",'Content Pillars'!$B$500)</f>
        <v>0</v>
      </c>
      <c r="AK500" s="23">
        <f>IF(AJ500="","",COUNTIFS('Content Calendar'!$J$5:$J$604,AJ500,'Content Calendar'!$B$5:$B$604,"&gt;="&amp;DATE(PlanYear,1,1),'Content Calendar'!$B$5:$B$604,"&lt;="&amp;DATE(PlanYear,12,31)))</f>
        <v>0</v>
      </c>
      <c r="AL500" s="23">
        <f>IF(AJ500="","",SUMIFS(Performance!$O$5:$O$404,Performance!$H$5:$H$404,AJ500))</f>
        <v>0</v>
      </c>
      <c r="AM500" s="23">
        <f>IF(AJ500="","",SUMIFS(Performance!$Z$5:$Z$404,Performance!$H$5:$H$404,AJ500))</f>
        <v>0</v>
      </c>
      <c r="AN500" s="24">
        <f>IF(OR(AL500="",AL500=0),"",AM500/AL500)</f>
        <v>0</v>
      </c>
      <c r="AO500" s="32">
        <f>IF(AN500="","",AN500+ROW()/1000000)</f>
        <v>0</v>
      </c>
      <c r="AP500" s="17">
        <f>IF(Lists!$E500="","",Lists!$E500)</f>
        <v>0</v>
      </c>
      <c r="AQ500" s="23">
        <f>IF(AP500="","",COUNTIF(Performance!$G$5:$G$404,AP500))</f>
        <v>0</v>
      </c>
      <c r="AR500" s="23">
        <f>IF(AP500="","",SUMIFS(Performance!$O$5:$O$404,Performance!$G$5:$G$404,AP500))</f>
        <v>0</v>
      </c>
      <c r="AS500" s="23">
        <f>IF(AP500="","",SUMIFS(Performance!$Z$5:$Z$404,Performance!$G$5:$G$404,AP500))</f>
        <v>0</v>
      </c>
      <c r="AT500" s="24">
        <f>IF(OR(AR500="",AR500=0),"",AS500/AR500)</f>
        <v>0</v>
      </c>
      <c r="AU500" s="32">
        <f>IF(AQ500=0,"",IF(AT500="","",AT500+ROW()/1000000))</f>
        <v>0</v>
      </c>
      <c r="AV500" s="17">
        <f>IF(ROW()-4&gt;7,"",TEXT(DATE(2024,1,ROW()-4),"ddd"))</f>
        <v>0</v>
      </c>
      <c r="AW500" s="23">
        <f>IF(AV500="","",COUNTIF(Performance!$N$5:$N$404,AV500))</f>
        <v>0</v>
      </c>
      <c r="AX500" s="23">
        <f>IF(AV500="","",SUMIFS(Performance!$O$5:$O$404,Performance!$N$5:$N$404,AV500))</f>
        <v>0</v>
      </c>
      <c r="AY500" s="23">
        <f>IF(AV500="","",SUMIFS(Performance!$Z$5:$Z$404,Performance!$N$5:$N$404,AV500))</f>
        <v>0</v>
      </c>
      <c r="AZ500" s="24">
        <f>IF(OR(AX500="",AX500=0),"",AY500/AX500)</f>
        <v>0</v>
      </c>
      <c r="BA500" s="32">
        <f>IF(AW500=0,"",IF(AZ500="","",AZ500+ROW()/1000000))</f>
        <v>0</v>
      </c>
      <c r="BB500" s="17">
        <f>IF(Lists!$AL500="","",Lists!$AL500)</f>
        <v>0</v>
      </c>
      <c r="BC500" s="23">
        <f>IF(BB500="","",COUNTIF(Performance!$M$5:$M$404,BB500))</f>
        <v>0</v>
      </c>
      <c r="BD500" s="23">
        <f>IF(BB500="","",SUMIFS(Performance!$O$5:$O$404,Performance!$M$5:$M$404,BB500))</f>
        <v>0</v>
      </c>
      <c r="BE500" s="23">
        <f>IF(BB500="","",SUMIFS(Performance!$Z$5:$Z$404,Performance!$M$5:$M$404,BB500))</f>
        <v>0</v>
      </c>
      <c r="BF500" s="24">
        <f>IF(OR(BD500="",BD500=0),"",BE500/BD500)</f>
        <v>0</v>
      </c>
      <c r="BG500" s="32">
        <f>IF(BC500=0,"",IF(BF500="","",BF500+ROW()/1000000))</f>
        <v>0</v>
      </c>
      <c r="BH500" s="17">
        <f>IF(Performance!$C$500="","",Performance!$C$500)</f>
        <v>0</v>
      </c>
      <c r="BI500" s="17">
        <f>IF(Performance!$F$500="","",Performance!$F$500)</f>
        <v>0</v>
      </c>
      <c r="BJ500" s="17">
        <f>IF(Performance!$H$500="","",Performance!$H$500)</f>
        <v>0</v>
      </c>
      <c r="BK500" s="16">
        <f>IF(Performance!$D$500="","",Performance!$D$500)</f>
        <v>0</v>
      </c>
      <c r="BL500" s="17">
        <f>IF(Performance!$E$500="","",Performance!$E$500)</f>
        <v>0</v>
      </c>
      <c r="BM500" s="23">
        <f>IF(Performance!$O$500="","",Performance!$O$500)</f>
        <v>0</v>
      </c>
      <c r="BN500" s="24">
        <f>IF(Performance!$AA$500="","",Performance!$AA$500)</f>
        <v>0</v>
      </c>
      <c r="BO500" s="32">
        <f>IF(BH500="","",IF(BK500="","",IF(OR(BK500&lt;DashStart,BK500&gt;DashEnd),"",IF(BN500="","",BN500+ROW()/1000000))))</f>
        <v>0</v>
      </c>
      <c r="BP500" s="32">
        <f>IF(BM500="","",IF(BK500="","",IF(OR(BK500&lt;DashStart,BK500&gt;DashEnd),"",BM500+ROW()/1000000)))</f>
        <v>0</v>
      </c>
      <c r="BQ500" s="32">
        <f>IF(BH500="","",IF(BK500="","",IF(YEAR(BK500)&lt;&gt;PlanYear,"",IF(BN500="","",BN500+ROW()/1000000))))</f>
        <v>0</v>
      </c>
      <c r="BR500" s="32">
        <f>IF(BH500="","",IF(BK500="","",IF(OR(BK500&lt;RepFrom,BK500&gt;RepTo),"",IF(BN500="","",BN500+ROW()/1000000))))</f>
        <v>0</v>
      </c>
      <c r="BS500" s="32">
        <f>IF(BM500="","",IF(BK500="","",IF(YEAR(BK500)&lt;&gt;PlanYear,"",BM500+ROW()/1000000)))</f>
        <v>0</v>
      </c>
      <c r="BT500" s="17">
        <f>IF(Lists!$F500="","",Lists!$F500)</f>
        <v>0</v>
      </c>
      <c r="BU500" s="23">
        <f>IF(BT500="","",COUNTIF('Content Calendar'!$X$5:$X$604,BT500))</f>
        <v>0</v>
      </c>
      <c r="BV500" s="23">
        <f>IF(BT500="","",COUNTIFS('Content Calendar'!$X$5:$X$604,BT500,'Content Calendar'!$B$5:$B$604,"&gt;="&amp;DashStart,'Content Calendar'!$B$5:$B$604,"&lt;="&amp;DashEnd))</f>
        <v>0</v>
      </c>
      <c r="BW500" s="17">
        <f>IF(Team!$B$500="","",Team!$B$500)</f>
        <v>0</v>
      </c>
      <c r="BX500" s="23">
        <f>IF(BW500="","",COUNTIF('Content Calendar'!$W$5:$W$604,BW500))</f>
        <v>0</v>
      </c>
      <c r="BY500" s="23">
        <f>IF(BW500="","",COUNTIFS('Content Calendar'!$W$5:$W$604,BW500,'Content Calendar'!$X$5:$X$604,"&lt;&gt;Published"))</f>
        <v>0</v>
      </c>
      <c r="BZ500" s="23">
        <f>IF(BW500="","",COUNTIFS(Tasks!$C$5:$C$64,BW500,Tasks!$G$5:$G$64,"&lt;&gt;Complete"))</f>
        <v>0</v>
      </c>
      <c r="CA500" s="17">
        <f>IF(Campaigns!$B$500="","",Campaigns!$B$500)</f>
        <v>0</v>
      </c>
      <c r="CB500" s="25">
        <f>IF(Campaigns!$T$500="","",Campaigns!$T$500)</f>
        <v>0</v>
      </c>
      <c r="CC500" s="25">
        <f>IF(Campaigns!$Q$500="","",Campaigns!$Q$500)</f>
        <v>0</v>
      </c>
      <c r="CD500" s="23">
        <f>IF(Campaigns!$Y$500="","",Campaigns!$Y$500)</f>
        <v>0</v>
      </c>
      <c r="CE500" s="32">
        <f>IF(CA500="","",IF(N(CB500)&lt;=0,"",N(CB500)+ROW()/1000000))</f>
        <v>0</v>
      </c>
      <c r="CF500" s="17">
        <f>IF(Accounts!$C$500="","",Accounts!$C$500)</f>
        <v>0</v>
      </c>
      <c r="CG500" s="17">
        <f>IF(Accounts!$B$500="","",Accounts!$B$500)</f>
        <v>0</v>
      </c>
      <c r="CH500" s="23">
        <f>IF(Accounts!$J$500="","",Accounts!$J$500)</f>
        <v>0</v>
      </c>
      <c r="CI500" s="23">
        <f>IF(CF500="","",SUMIFS(Analytics!$X$5:$X$154,Analytics!$E$5:$E$154,CF500,Analytics!$B$5:$B$154,"&gt;="&amp;DashStart,Analytics!$B$5:$B$154,"&lt;="&amp;DashEnd))</f>
        <v>0</v>
      </c>
      <c r="CJ500" s="32">
        <f>IF(CH500="","",IF(CH500=0,"",CH500+ROW()/1000000))</f>
        <v>0</v>
      </c>
    </row>
    <row r="501" spans="1:88">
      <c r="A501" s="16">
        <f>IF(ROW()-4&gt;12,"",DATE(PlanYear,ROW()-4,1))</f>
        <v>0</v>
      </c>
      <c r="B501" s="16">
        <f>IF(A501="","",EOMONTH(A501,0))</f>
        <v>0</v>
      </c>
      <c r="C501" s="17">
        <f>IF(A501="","",TEXT(A501,"yyyy-mm"))</f>
        <v>0</v>
      </c>
      <c r="D501" s="17">
        <f>IF(A501="","",TEXT(A501,"mmm"))</f>
        <v>0</v>
      </c>
      <c r="E501" s="23">
        <f>IF(C501="","",COUNTIFS('Content Calendar'!$D$5:$D$604,C501))</f>
        <v>0</v>
      </c>
      <c r="F501" s="23">
        <f>IF(C501="","",COUNTIFS('Content Calendar'!$D$5:$D$604,C501,'Content Calendar'!$X$5:$X$604,"Published"))</f>
        <v>0</v>
      </c>
      <c r="G501" s="23">
        <f>IF(C501="","",SUMIFS(Analytics!$J$5:$J$154,Analytics!$C$5:$C$154,C501))</f>
        <v>0</v>
      </c>
      <c r="H501" s="23">
        <f>IF(C501="","",SUMIFS(Analytics!$K$5:$K$154,Analytics!$C$5:$C$154,C501))</f>
        <v>0</v>
      </c>
      <c r="I501" s="23">
        <f>IF(C501="","",SUMIFS(Analytics!$L$5:$L$154,Analytics!$C$5:$C$154,C501))</f>
        <v>0</v>
      </c>
      <c r="J501" s="24">
        <f>IF(OR(G501="",G501=0),"",I501/G501)</f>
        <v>0</v>
      </c>
      <c r="K501" s="23">
        <f>IF(C501="","",SUMIFS(Analytics!$G$5:$G$154,Analytics!$C$5:$C$154,C501))</f>
        <v>0</v>
      </c>
      <c r="L501" s="23">
        <f>IF(C501="","",SUMIFS(Analytics!$X$5:$X$154,Analytics!$C$5:$C$154,C501))</f>
        <v>0</v>
      </c>
      <c r="M501" s="23">
        <f>IF(C501="","",SUMIFS(Analytics!$R$5:$R$154,Analytics!$C$5:$C$154,C501))</f>
        <v>0</v>
      </c>
      <c r="N501" s="23">
        <f>IF(C501="","",SUMIFS(Analytics!$S$5:$S$154,Analytics!$C$5:$C$154,C501))</f>
        <v>0</v>
      </c>
      <c r="O501" s="23">
        <f>IF(C501="","",SUMIFS(Analytics!$T$5:$T$154,Analytics!$C$5:$C$154,C501))</f>
        <v>0</v>
      </c>
      <c r="P501" s="25">
        <f>IF(C501="","",SUMIFS(Analytics!$U$5:$U$154,Analytics!$C$5:$C$154,C501))</f>
        <v>0</v>
      </c>
      <c r="Q501" s="25">
        <f>IF(C501="","",SUMIFS(Budget!$H$5:$H$64,Budget!$C$5:$C$64,C501))</f>
        <v>0</v>
      </c>
      <c r="R501" s="25">
        <f>IF(C501="","",P501-Q501)</f>
        <v>0</v>
      </c>
      <c r="S501" s="23">
        <f>IF(C501="","",MonthlyPostTarget)</f>
        <v>0</v>
      </c>
      <c r="T501" s="17">
        <f>IF(Lists!$C501="","",Lists!$C501)</f>
        <v>0</v>
      </c>
      <c r="U501" s="23">
        <f>IF(T501="","",COUNTIFS('Content Calendar'!$G$5:$G$604,T501,'Content Calendar'!$B$5:$B$604,"&gt;="&amp;DashStart,'Content Calendar'!$B$5:$B$604,"&lt;="&amp;DashEnd))</f>
        <v>0</v>
      </c>
      <c r="V501" s="23">
        <f>IF(T501="","",COUNTIFS('Content Calendar'!$G$5:$G$604,T501,'Content Calendar'!$X$5:$X$604,"Published",'Content Calendar'!$B$5:$B$604,"&gt;="&amp;DashStart,'Content Calendar'!$B$5:$B$604,"&lt;="&amp;DashEnd))</f>
        <v>0</v>
      </c>
      <c r="W501" s="23">
        <f>IF(T501="","",SUMIFS(Analytics!$J$5:$J$154,Analytics!$D$5:$D$154,T501,Analytics!$B$5:$B$154,"&gt;="&amp;DashStart,Analytics!$B$5:$B$154,"&lt;="&amp;DashEnd))</f>
        <v>0</v>
      </c>
      <c r="X501" s="23">
        <f>IF(T501="","",SUMIFS(Analytics!$L$5:$L$154,Analytics!$D$5:$D$154,T501,Analytics!$B$5:$B$154,"&gt;="&amp;DashStart,Analytics!$B$5:$B$154,"&lt;="&amp;DashEnd))</f>
        <v>0</v>
      </c>
      <c r="Y501" s="24">
        <f>IF(OR(W501="",W501=0),"",X501/W501)</f>
        <v>0</v>
      </c>
      <c r="Z501" s="23">
        <f>IF(T501="","",SUMIFS(Analytics!$G$5:$G$154,Analytics!$D$5:$D$154,T501,Analytics!$B$5:$B$154,"&gt;="&amp;DashStart,Analytics!$B$5:$B$154,"&lt;="&amp;DashEnd))</f>
        <v>0</v>
      </c>
      <c r="AA501" s="23">
        <f>IF(T501="","",SUMIFS(Analytics!$X$5:$X$154,Analytics!$D$5:$D$154,T501,Analytics!$B$5:$B$154,"&gt;="&amp;DashStart,Analytics!$B$5:$B$154,"&lt;="&amp;DashEnd))</f>
        <v>0</v>
      </c>
      <c r="AB501" s="23">
        <f>IF(T501="","",SUMIFS(Analytics!$R$5:$R$154,Analytics!$D$5:$D$154,T501,Analytics!$B$5:$B$154,"&gt;="&amp;DashStart,Analytics!$B$5:$B$154,"&lt;="&amp;DashEnd))</f>
        <v>0</v>
      </c>
      <c r="AC501" s="25">
        <f>IF(T501="","",SUMIFS(Analytics!$U$5:$U$154,Analytics!$D$5:$D$154,T501,Analytics!$B$5:$B$154,"&gt;="&amp;DashStart,Analytics!$B$5:$B$154,"&lt;="&amp;DashEnd))</f>
        <v>0</v>
      </c>
      <c r="AD501" s="23">
        <f>IF(T501="","",COUNTIFS('Content Calendar'!$G$5:$G$604,T501,'Content Calendar'!$B$5:$B$604,"&gt;="&amp;DATE(PlanYear,1,1),'Content Calendar'!$B$5:$B$604,"&lt;="&amp;DATE(PlanYear,12,31)))</f>
        <v>0</v>
      </c>
      <c r="AE501" s="23">
        <f>IF(T501="","",SUMIFS(Analytics!$J$5:$J$154,Analytics!$D$5:$D$154,T501))</f>
        <v>0</v>
      </c>
      <c r="AF501" s="23">
        <f>IF(T501="","",SUMIFS(Analytics!$L$5:$L$154,Analytics!$D$5:$D$154,T501))</f>
        <v>0</v>
      </c>
      <c r="AG501" s="24">
        <f>IF(OR(AE501="",AE501=0),"",AF501/AE501)</f>
        <v>0</v>
      </c>
      <c r="AH501" s="23">
        <f>IF(T501="","",SUMIFS(Analytics!$X$5:$X$154,Analytics!$D$5:$D$154,T501))</f>
        <v>0</v>
      </c>
      <c r="AI501" s="32">
        <f>IF(T501="","",IF(AE501=0,"",AE501+ROW()/1000000))</f>
        <v>0</v>
      </c>
      <c r="AJ501" s="17">
        <f>IF('Content Pillars'!$B$501="","",'Content Pillars'!$B$501)</f>
        <v>0</v>
      </c>
      <c r="AK501" s="23">
        <f>IF(AJ501="","",COUNTIFS('Content Calendar'!$J$5:$J$604,AJ501,'Content Calendar'!$B$5:$B$604,"&gt;="&amp;DATE(PlanYear,1,1),'Content Calendar'!$B$5:$B$604,"&lt;="&amp;DATE(PlanYear,12,31)))</f>
        <v>0</v>
      </c>
      <c r="AL501" s="23">
        <f>IF(AJ501="","",SUMIFS(Performance!$O$5:$O$404,Performance!$H$5:$H$404,AJ501))</f>
        <v>0</v>
      </c>
      <c r="AM501" s="23">
        <f>IF(AJ501="","",SUMIFS(Performance!$Z$5:$Z$404,Performance!$H$5:$H$404,AJ501))</f>
        <v>0</v>
      </c>
      <c r="AN501" s="24">
        <f>IF(OR(AL501="",AL501=0),"",AM501/AL501)</f>
        <v>0</v>
      </c>
      <c r="AO501" s="32">
        <f>IF(AN501="","",AN501+ROW()/1000000)</f>
        <v>0</v>
      </c>
      <c r="AP501" s="17">
        <f>IF(Lists!$E501="","",Lists!$E501)</f>
        <v>0</v>
      </c>
      <c r="AQ501" s="23">
        <f>IF(AP501="","",COUNTIF(Performance!$G$5:$G$404,AP501))</f>
        <v>0</v>
      </c>
      <c r="AR501" s="23">
        <f>IF(AP501="","",SUMIFS(Performance!$O$5:$O$404,Performance!$G$5:$G$404,AP501))</f>
        <v>0</v>
      </c>
      <c r="AS501" s="23">
        <f>IF(AP501="","",SUMIFS(Performance!$Z$5:$Z$404,Performance!$G$5:$G$404,AP501))</f>
        <v>0</v>
      </c>
      <c r="AT501" s="24">
        <f>IF(OR(AR501="",AR501=0),"",AS501/AR501)</f>
        <v>0</v>
      </c>
      <c r="AU501" s="32">
        <f>IF(AQ501=0,"",IF(AT501="","",AT501+ROW()/1000000))</f>
        <v>0</v>
      </c>
      <c r="AV501" s="17">
        <f>IF(ROW()-4&gt;7,"",TEXT(DATE(2024,1,ROW()-4),"ddd"))</f>
        <v>0</v>
      </c>
      <c r="AW501" s="23">
        <f>IF(AV501="","",COUNTIF(Performance!$N$5:$N$404,AV501))</f>
        <v>0</v>
      </c>
      <c r="AX501" s="23">
        <f>IF(AV501="","",SUMIFS(Performance!$O$5:$O$404,Performance!$N$5:$N$404,AV501))</f>
        <v>0</v>
      </c>
      <c r="AY501" s="23">
        <f>IF(AV501="","",SUMIFS(Performance!$Z$5:$Z$404,Performance!$N$5:$N$404,AV501))</f>
        <v>0</v>
      </c>
      <c r="AZ501" s="24">
        <f>IF(OR(AX501="",AX501=0),"",AY501/AX501)</f>
        <v>0</v>
      </c>
      <c r="BA501" s="32">
        <f>IF(AW501=0,"",IF(AZ501="","",AZ501+ROW()/1000000))</f>
        <v>0</v>
      </c>
      <c r="BB501" s="17">
        <f>IF(Lists!$AL501="","",Lists!$AL501)</f>
        <v>0</v>
      </c>
      <c r="BC501" s="23">
        <f>IF(BB501="","",COUNTIF(Performance!$M$5:$M$404,BB501))</f>
        <v>0</v>
      </c>
      <c r="BD501" s="23">
        <f>IF(BB501="","",SUMIFS(Performance!$O$5:$O$404,Performance!$M$5:$M$404,BB501))</f>
        <v>0</v>
      </c>
      <c r="BE501" s="23">
        <f>IF(BB501="","",SUMIFS(Performance!$Z$5:$Z$404,Performance!$M$5:$M$404,BB501))</f>
        <v>0</v>
      </c>
      <c r="BF501" s="24">
        <f>IF(OR(BD501="",BD501=0),"",BE501/BD501)</f>
        <v>0</v>
      </c>
      <c r="BG501" s="32">
        <f>IF(BC501=0,"",IF(BF501="","",BF501+ROW()/1000000))</f>
        <v>0</v>
      </c>
      <c r="BH501" s="17">
        <f>IF(Performance!$C$501="","",Performance!$C$501)</f>
        <v>0</v>
      </c>
      <c r="BI501" s="17">
        <f>IF(Performance!$F$501="","",Performance!$F$501)</f>
        <v>0</v>
      </c>
      <c r="BJ501" s="17">
        <f>IF(Performance!$H$501="","",Performance!$H$501)</f>
        <v>0</v>
      </c>
      <c r="BK501" s="16">
        <f>IF(Performance!$D$501="","",Performance!$D$501)</f>
        <v>0</v>
      </c>
      <c r="BL501" s="17">
        <f>IF(Performance!$E$501="","",Performance!$E$501)</f>
        <v>0</v>
      </c>
      <c r="BM501" s="23">
        <f>IF(Performance!$O$501="","",Performance!$O$501)</f>
        <v>0</v>
      </c>
      <c r="BN501" s="24">
        <f>IF(Performance!$AA$501="","",Performance!$AA$501)</f>
        <v>0</v>
      </c>
      <c r="BO501" s="32">
        <f>IF(BH501="","",IF(BK501="","",IF(OR(BK501&lt;DashStart,BK501&gt;DashEnd),"",IF(BN501="","",BN501+ROW()/1000000))))</f>
        <v>0</v>
      </c>
      <c r="BP501" s="32">
        <f>IF(BM501="","",IF(BK501="","",IF(OR(BK501&lt;DashStart,BK501&gt;DashEnd),"",BM501+ROW()/1000000)))</f>
        <v>0</v>
      </c>
      <c r="BQ501" s="32">
        <f>IF(BH501="","",IF(BK501="","",IF(YEAR(BK501)&lt;&gt;PlanYear,"",IF(BN501="","",BN501+ROW()/1000000))))</f>
        <v>0</v>
      </c>
      <c r="BR501" s="32">
        <f>IF(BH501="","",IF(BK501="","",IF(OR(BK501&lt;RepFrom,BK501&gt;RepTo),"",IF(BN501="","",BN501+ROW()/1000000))))</f>
        <v>0</v>
      </c>
      <c r="BS501" s="32">
        <f>IF(BM501="","",IF(BK501="","",IF(YEAR(BK501)&lt;&gt;PlanYear,"",BM501+ROW()/1000000)))</f>
        <v>0</v>
      </c>
      <c r="BT501" s="17">
        <f>IF(Lists!$F501="","",Lists!$F501)</f>
        <v>0</v>
      </c>
      <c r="BU501" s="23">
        <f>IF(BT501="","",COUNTIF('Content Calendar'!$X$5:$X$604,BT501))</f>
        <v>0</v>
      </c>
      <c r="BV501" s="23">
        <f>IF(BT501="","",COUNTIFS('Content Calendar'!$X$5:$X$604,BT501,'Content Calendar'!$B$5:$B$604,"&gt;="&amp;DashStart,'Content Calendar'!$B$5:$B$604,"&lt;="&amp;DashEnd))</f>
        <v>0</v>
      </c>
      <c r="BW501" s="17">
        <f>IF(Team!$B$501="","",Team!$B$501)</f>
        <v>0</v>
      </c>
      <c r="BX501" s="23">
        <f>IF(BW501="","",COUNTIF('Content Calendar'!$W$5:$W$604,BW501))</f>
        <v>0</v>
      </c>
      <c r="BY501" s="23">
        <f>IF(BW501="","",COUNTIFS('Content Calendar'!$W$5:$W$604,BW501,'Content Calendar'!$X$5:$X$604,"&lt;&gt;Published"))</f>
        <v>0</v>
      </c>
      <c r="BZ501" s="23">
        <f>IF(BW501="","",COUNTIFS(Tasks!$C$5:$C$64,BW501,Tasks!$G$5:$G$64,"&lt;&gt;Complete"))</f>
        <v>0</v>
      </c>
      <c r="CA501" s="17">
        <f>IF(Campaigns!$B$501="","",Campaigns!$B$501)</f>
        <v>0</v>
      </c>
      <c r="CB501" s="25">
        <f>IF(Campaigns!$T$501="","",Campaigns!$T$501)</f>
        <v>0</v>
      </c>
      <c r="CC501" s="25">
        <f>IF(Campaigns!$Q$501="","",Campaigns!$Q$501)</f>
        <v>0</v>
      </c>
      <c r="CD501" s="23">
        <f>IF(Campaigns!$Y$501="","",Campaigns!$Y$501)</f>
        <v>0</v>
      </c>
      <c r="CE501" s="32">
        <f>IF(CA501="","",IF(N(CB501)&lt;=0,"",N(CB501)+ROW()/1000000))</f>
        <v>0</v>
      </c>
      <c r="CF501" s="17">
        <f>IF(Accounts!$C$501="","",Accounts!$C$501)</f>
        <v>0</v>
      </c>
      <c r="CG501" s="17">
        <f>IF(Accounts!$B$501="","",Accounts!$B$501)</f>
        <v>0</v>
      </c>
      <c r="CH501" s="23">
        <f>IF(Accounts!$J$501="","",Accounts!$J$501)</f>
        <v>0</v>
      </c>
      <c r="CI501" s="23">
        <f>IF(CF501="","",SUMIFS(Analytics!$X$5:$X$154,Analytics!$E$5:$E$154,CF501,Analytics!$B$5:$B$154,"&gt;="&amp;DashStart,Analytics!$B$5:$B$154,"&lt;="&amp;DashEnd))</f>
        <v>0</v>
      </c>
      <c r="CJ501" s="32">
        <f>IF(CH501="","",IF(CH501=0,"",CH501+ROW()/1000000))</f>
        <v>0</v>
      </c>
    </row>
    <row r="502" spans="1:88">
      <c r="A502" s="16">
        <f>IF(ROW()-4&gt;12,"",DATE(PlanYear,ROW()-4,1))</f>
        <v>0</v>
      </c>
      <c r="B502" s="16">
        <f>IF(A502="","",EOMONTH(A502,0))</f>
        <v>0</v>
      </c>
      <c r="C502" s="17">
        <f>IF(A502="","",TEXT(A502,"yyyy-mm"))</f>
        <v>0</v>
      </c>
      <c r="D502" s="17">
        <f>IF(A502="","",TEXT(A502,"mmm"))</f>
        <v>0</v>
      </c>
      <c r="E502" s="23">
        <f>IF(C502="","",COUNTIFS('Content Calendar'!$D$5:$D$604,C502))</f>
        <v>0</v>
      </c>
      <c r="F502" s="23">
        <f>IF(C502="","",COUNTIFS('Content Calendar'!$D$5:$D$604,C502,'Content Calendar'!$X$5:$X$604,"Published"))</f>
        <v>0</v>
      </c>
      <c r="G502" s="23">
        <f>IF(C502="","",SUMIFS(Analytics!$J$5:$J$154,Analytics!$C$5:$C$154,C502))</f>
        <v>0</v>
      </c>
      <c r="H502" s="23">
        <f>IF(C502="","",SUMIFS(Analytics!$K$5:$K$154,Analytics!$C$5:$C$154,C502))</f>
        <v>0</v>
      </c>
      <c r="I502" s="23">
        <f>IF(C502="","",SUMIFS(Analytics!$L$5:$L$154,Analytics!$C$5:$C$154,C502))</f>
        <v>0</v>
      </c>
      <c r="J502" s="24">
        <f>IF(OR(G502="",G502=0),"",I502/G502)</f>
        <v>0</v>
      </c>
      <c r="K502" s="23">
        <f>IF(C502="","",SUMIFS(Analytics!$G$5:$G$154,Analytics!$C$5:$C$154,C502))</f>
        <v>0</v>
      </c>
      <c r="L502" s="23">
        <f>IF(C502="","",SUMIFS(Analytics!$X$5:$X$154,Analytics!$C$5:$C$154,C502))</f>
        <v>0</v>
      </c>
      <c r="M502" s="23">
        <f>IF(C502="","",SUMIFS(Analytics!$R$5:$R$154,Analytics!$C$5:$C$154,C502))</f>
        <v>0</v>
      </c>
      <c r="N502" s="23">
        <f>IF(C502="","",SUMIFS(Analytics!$S$5:$S$154,Analytics!$C$5:$C$154,C502))</f>
        <v>0</v>
      </c>
      <c r="O502" s="23">
        <f>IF(C502="","",SUMIFS(Analytics!$T$5:$T$154,Analytics!$C$5:$C$154,C502))</f>
        <v>0</v>
      </c>
      <c r="P502" s="25">
        <f>IF(C502="","",SUMIFS(Analytics!$U$5:$U$154,Analytics!$C$5:$C$154,C502))</f>
        <v>0</v>
      </c>
      <c r="Q502" s="25">
        <f>IF(C502="","",SUMIFS(Budget!$H$5:$H$64,Budget!$C$5:$C$64,C502))</f>
        <v>0</v>
      </c>
      <c r="R502" s="25">
        <f>IF(C502="","",P502-Q502)</f>
        <v>0</v>
      </c>
      <c r="S502" s="23">
        <f>IF(C502="","",MonthlyPostTarget)</f>
        <v>0</v>
      </c>
      <c r="T502" s="17">
        <f>IF(Lists!$C502="","",Lists!$C502)</f>
        <v>0</v>
      </c>
      <c r="U502" s="23">
        <f>IF(T502="","",COUNTIFS('Content Calendar'!$G$5:$G$604,T502,'Content Calendar'!$B$5:$B$604,"&gt;="&amp;DashStart,'Content Calendar'!$B$5:$B$604,"&lt;="&amp;DashEnd))</f>
        <v>0</v>
      </c>
      <c r="V502" s="23">
        <f>IF(T502="","",COUNTIFS('Content Calendar'!$G$5:$G$604,T502,'Content Calendar'!$X$5:$X$604,"Published",'Content Calendar'!$B$5:$B$604,"&gt;="&amp;DashStart,'Content Calendar'!$B$5:$B$604,"&lt;="&amp;DashEnd))</f>
        <v>0</v>
      </c>
      <c r="W502" s="23">
        <f>IF(T502="","",SUMIFS(Analytics!$J$5:$J$154,Analytics!$D$5:$D$154,T502,Analytics!$B$5:$B$154,"&gt;="&amp;DashStart,Analytics!$B$5:$B$154,"&lt;="&amp;DashEnd))</f>
        <v>0</v>
      </c>
      <c r="X502" s="23">
        <f>IF(T502="","",SUMIFS(Analytics!$L$5:$L$154,Analytics!$D$5:$D$154,T502,Analytics!$B$5:$B$154,"&gt;="&amp;DashStart,Analytics!$B$5:$B$154,"&lt;="&amp;DashEnd))</f>
        <v>0</v>
      </c>
      <c r="Y502" s="24">
        <f>IF(OR(W502="",W502=0),"",X502/W502)</f>
        <v>0</v>
      </c>
      <c r="Z502" s="23">
        <f>IF(T502="","",SUMIFS(Analytics!$G$5:$G$154,Analytics!$D$5:$D$154,T502,Analytics!$B$5:$B$154,"&gt;="&amp;DashStart,Analytics!$B$5:$B$154,"&lt;="&amp;DashEnd))</f>
        <v>0</v>
      </c>
      <c r="AA502" s="23">
        <f>IF(T502="","",SUMIFS(Analytics!$X$5:$X$154,Analytics!$D$5:$D$154,T502,Analytics!$B$5:$B$154,"&gt;="&amp;DashStart,Analytics!$B$5:$B$154,"&lt;="&amp;DashEnd))</f>
        <v>0</v>
      </c>
      <c r="AB502" s="23">
        <f>IF(T502="","",SUMIFS(Analytics!$R$5:$R$154,Analytics!$D$5:$D$154,T502,Analytics!$B$5:$B$154,"&gt;="&amp;DashStart,Analytics!$B$5:$B$154,"&lt;="&amp;DashEnd))</f>
        <v>0</v>
      </c>
      <c r="AC502" s="25">
        <f>IF(T502="","",SUMIFS(Analytics!$U$5:$U$154,Analytics!$D$5:$D$154,T502,Analytics!$B$5:$B$154,"&gt;="&amp;DashStart,Analytics!$B$5:$B$154,"&lt;="&amp;DashEnd))</f>
        <v>0</v>
      </c>
      <c r="AD502" s="23">
        <f>IF(T502="","",COUNTIFS('Content Calendar'!$G$5:$G$604,T502,'Content Calendar'!$B$5:$B$604,"&gt;="&amp;DATE(PlanYear,1,1),'Content Calendar'!$B$5:$B$604,"&lt;="&amp;DATE(PlanYear,12,31)))</f>
        <v>0</v>
      </c>
      <c r="AE502" s="23">
        <f>IF(T502="","",SUMIFS(Analytics!$J$5:$J$154,Analytics!$D$5:$D$154,T502))</f>
        <v>0</v>
      </c>
      <c r="AF502" s="23">
        <f>IF(T502="","",SUMIFS(Analytics!$L$5:$L$154,Analytics!$D$5:$D$154,T502))</f>
        <v>0</v>
      </c>
      <c r="AG502" s="24">
        <f>IF(OR(AE502="",AE502=0),"",AF502/AE502)</f>
        <v>0</v>
      </c>
      <c r="AH502" s="23">
        <f>IF(T502="","",SUMIFS(Analytics!$X$5:$X$154,Analytics!$D$5:$D$154,T502))</f>
        <v>0</v>
      </c>
      <c r="AI502" s="32">
        <f>IF(T502="","",IF(AE502=0,"",AE502+ROW()/1000000))</f>
        <v>0</v>
      </c>
      <c r="AJ502" s="17">
        <f>IF('Content Pillars'!$B$502="","",'Content Pillars'!$B$502)</f>
        <v>0</v>
      </c>
      <c r="AK502" s="23">
        <f>IF(AJ502="","",COUNTIFS('Content Calendar'!$J$5:$J$604,AJ502,'Content Calendar'!$B$5:$B$604,"&gt;="&amp;DATE(PlanYear,1,1),'Content Calendar'!$B$5:$B$604,"&lt;="&amp;DATE(PlanYear,12,31)))</f>
        <v>0</v>
      </c>
      <c r="AL502" s="23">
        <f>IF(AJ502="","",SUMIFS(Performance!$O$5:$O$404,Performance!$H$5:$H$404,AJ502))</f>
        <v>0</v>
      </c>
      <c r="AM502" s="23">
        <f>IF(AJ502="","",SUMIFS(Performance!$Z$5:$Z$404,Performance!$H$5:$H$404,AJ502))</f>
        <v>0</v>
      </c>
      <c r="AN502" s="24">
        <f>IF(OR(AL502="",AL502=0),"",AM502/AL502)</f>
        <v>0</v>
      </c>
      <c r="AO502" s="32">
        <f>IF(AN502="","",AN502+ROW()/1000000)</f>
        <v>0</v>
      </c>
      <c r="AP502" s="17">
        <f>IF(Lists!$E502="","",Lists!$E502)</f>
        <v>0</v>
      </c>
      <c r="AQ502" s="23">
        <f>IF(AP502="","",COUNTIF(Performance!$G$5:$G$404,AP502))</f>
        <v>0</v>
      </c>
      <c r="AR502" s="23">
        <f>IF(AP502="","",SUMIFS(Performance!$O$5:$O$404,Performance!$G$5:$G$404,AP502))</f>
        <v>0</v>
      </c>
      <c r="AS502" s="23">
        <f>IF(AP502="","",SUMIFS(Performance!$Z$5:$Z$404,Performance!$G$5:$G$404,AP502))</f>
        <v>0</v>
      </c>
      <c r="AT502" s="24">
        <f>IF(OR(AR502="",AR502=0),"",AS502/AR502)</f>
        <v>0</v>
      </c>
      <c r="AU502" s="32">
        <f>IF(AQ502=0,"",IF(AT502="","",AT502+ROW()/1000000))</f>
        <v>0</v>
      </c>
      <c r="AV502" s="17">
        <f>IF(ROW()-4&gt;7,"",TEXT(DATE(2024,1,ROW()-4),"ddd"))</f>
        <v>0</v>
      </c>
      <c r="AW502" s="23">
        <f>IF(AV502="","",COUNTIF(Performance!$N$5:$N$404,AV502))</f>
        <v>0</v>
      </c>
      <c r="AX502" s="23">
        <f>IF(AV502="","",SUMIFS(Performance!$O$5:$O$404,Performance!$N$5:$N$404,AV502))</f>
        <v>0</v>
      </c>
      <c r="AY502" s="23">
        <f>IF(AV502="","",SUMIFS(Performance!$Z$5:$Z$404,Performance!$N$5:$N$404,AV502))</f>
        <v>0</v>
      </c>
      <c r="AZ502" s="24">
        <f>IF(OR(AX502="",AX502=0),"",AY502/AX502)</f>
        <v>0</v>
      </c>
      <c r="BA502" s="32">
        <f>IF(AW502=0,"",IF(AZ502="","",AZ502+ROW()/1000000))</f>
        <v>0</v>
      </c>
      <c r="BB502" s="17">
        <f>IF(Lists!$AL502="","",Lists!$AL502)</f>
        <v>0</v>
      </c>
      <c r="BC502" s="23">
        <f>IF(BB502="","",COUNTIF(Performance!$M$5:$M$404,BB502))</f>
        <v>0</v>
      </c>
      <c r="BD502" s="23">
        <f>IF(BB502="","",SUMIFS(Performance!$O$5:$O$404,Performance!$M$5:$M$404,BB502))</f>
        <v>0</v>
      </c>
      <c r="BE502" s="23">
        <f>IF(BB502="","",SUMIFS(Performance!$Z$5:$Z$404,Performance!$M$5:$M$404,BB502))</f>
        <v>0</v>
      </c>
      <c r="BF502" s="24">
        <f>IF(OR(BD502="",BD502=0),"",BE502/BD502)</f>
        <v>0</v>
      </c>
      <c r="BG502" s="32">
        <f>IF(BC502=0,"",IF(BF502="","",BF502+ROW()/1000000))</f>
        <v>0</v>
      </c>
      <c r="BH502" s="17">
        <f>IF(Performance!$C$502="","",Performance!$C$502)</f>
        <v>0</v>
      </c>
      <c r="BI502" s="17">
        <f>IF(Performance!$F$502="","",Performance!$F$502)</f>
        <v>0</v>
      </c>
      <c r="BJ502" s="17">
        <f>IF(Performance!$H$502="","",Performance!$H$502)</f>
        <v>0</v>
      </c>
      <c r="BK502" s="16">
        <f>IF(Performance!$D$502="","",Performance!$D$502)</f>
        <v>0</v>
      </c>
      <c r="BL502" s="17">
        <f>IF(Performance!$E$502="","",Performance!$E$502)</f>
        <v>0</v>
      </c>
      <c r="BM502" s="23">
        <f>IF(Performance!$O$502="","",Performance!$O$502)</f>
        <v>0</v>
      </c>
      <c r="BN502" s="24">
        <f>IF(Performance!$AA$502="","",Performance!$AA$502)</f>
        <v>0</v>
      </c>
      <c r="BO502" s="32">
        <f>IF(BH502="","",IF(BK502="","",IF(OR(BK502&lt;DashStart,BK502&gt;DashEnd),"",IF(BN502="","",BN502+ROW()/1000000))))</f>
        <v>0</v>
      </c>
      <c r="BP502" s="32">
        <f>IF(BM502="","",IF(BK502="","",IF(OR(BK502&lt;DashStart,BK502&gt;DashEnd),"",BM502+ROW()/1000000)))</f>
        <v>0</v>
      </c>
      <c r="BQ502" s="32">
        <f>IF(BH502="","",IF(BK502="","",IF(YEAR(BK502)&lt;&gt;PlanYear,"",IF(BN502="","",BN502+ROW()/1000000))))</f>
        <v>0</v>
      </c>
      <c r="BR502" s="32">
        <f>IF(BH502="","",IF(BK502="","",IF(OR(BK502&lt;RepFrom,BK502&gt;RepTo),"",IF(BN502="","",BN502+ROW()/1000000))))</f>
        <v>0</v>
      </c>
      <c r="BS502" s="32">
        <f>IF(BM502="","",IF(BK502="","",IF(YEAR(BK502)&lt;&gt;PlanYear,"",BM502+ROW()/1000000)))</f>
        <v>0</v>
      </c>
      <c r="BT502" s="17">
        <f>IF(Lists!$F502="","",Lists!$F502)</f>
        <v>0</v>
      </c>
      <c r="BU502" s="23">
        <f>IF(BT502="","",COUNTIF('Content Calendar'!$X$5:$X$604,BT502))</f>
        <v>0</v>
      </c>
      <c r="BV502" s="23">
        <f>IF(BT502="","",COUNTIFS('Content Calendar'!$X$5:$X$604,BT502,'Content Calendar'!$B$5:$B$604,"&gt;="&amp;DashStart,'Content Calendar'!$B$5:$B$604,"&lt;="&amp;DashEnd))</f>
        <v>0</v>
      </c>
      <c r="BW502" s="17">
        <f>IF(Team!$B$502="","",Team!$B$502)</f>
        <v>0</v>
      </c>
      <c r="BX502" s="23">
        <f>IF(BW502="","",COUNTIF('Content Calendar'!$W$5:$W$604,BW502))</f>
        <v>0</v>
      </c>
      <c r="BY502" s="23">
        <f>IF(BW502="","",COUNTIFS('Content Calendar'!$W$5:$W$604,BW502,'Content Calendar'!$X$5:$X$604,"&lt;&gt;Published"))</f>
        <v>0</v>
      </c>
      <c r="BZ502" s="23">
        <f>IF(BW502="","",COUNTIFS(Tasks!$C$5:$C$64,BW502,Tasks!$G$5:$G$64,"&lt;&gt;Complete"))</f>
        <v>0</v>
      </c>
      <c r="CA502" s="17">
        <f>IF(Campaigns!$B$502="","",Campaigns!$B$502)</f>
        <v>0</v>
      </c>
      <c r="CB502" s="25">
        <f>IF(Campaigns!$T$502="","",Campaigns!$T$502)</f>
        <v>0</v>
      </c>
      <c r="CC502" s="25">
        <f>IF(Campaigns!$Q$502="","",Campaigns!$Q$502)</f>
        <v>0</v>
      </c>
      <c r="CD502" s="23">
        <f>IF(Campaigns!$Y$502="","",Campaigns!$Y$502)</f>
        <v>0</v>
      </c>
      <c r="CE502" s="32">
        <f>IF(CA502="","",IF(N(CB502)&lt;=0,"",N(CB502)+ROW()/1000000))</f>
        <v>0</v>
      </c>
      <c r="CF502" s="17">
        <f>IF(Accounts!$C$502="","",Accounts!$C$502)</f>
        <v>0</v>
      </c>
      <c r="CG502" s="17">
        <f>IF(Accounts!$B$502="","",Accounts!$B$502)</f>
        <v>0</v>
      </c>
      <c r="CH502" s="23">
        <f>IF(Accounts!$J$502="","",Accounts!$J$502)</f>
        <v>0</v>
      </c>
      <c r="CI502" s="23">
        <f>IF(CF502="","",SUMIFS(Analytics!$X$5:$X$154,Analytics!$E$5:$E$154,CF502,Analytics!$B$5:$B$154,"&gt;="&amp;DashStart,Analytics!$B$5:$B$154,"&lt;="&amp;DashEnd))</f>
        <v>0</v>
      </c>
      <c r="CJ502" s="32">
        <f>IF(CH502="","",IF(CH502=0,"",CH502+ROW()/1000000))</f>
        <v>0</v>
      </c>
    </row>
    <row r="503" spans="1:88">
      <c r="A503" s="16">
        <f>IF(ROW()-4&gt;12,"",DATE(PlanYear,ROW()-4,1))</f>
        <v>0</v>
      </c>
      <c r="B503" s="16">
        <f>IF(A503="","",EOMONTH(A503,0))</f>
        <v>0</v>
      </c>
      <c r="C503" s="17">
        <f>IF(A503="","",TEXT(A503,"yyyy-mm"))</f>
        <v>0</v>
      </c>
      <c r="D503" s="17">
        <f>IF(A503="","",TEXT(A503,"mmm"))</f>
        <v>0</v>
      </c>
      <c r="E503" s="23">
        <f>IF(C503="","",COUNTIFS('Content Calendar'!$D$5:$D$604,C503))</f>
        <v>0</v>
      </c>
      <c r="F503" s="23">
        <f>IF(C503="","",COUNTIFS('Content Calendar'!$D$5:$D$604,C503,'Content Calendar'!$X$5:$X$604,"Published"))</f>
        <v>0</v>
      </c>
      <c r="G503" s="23">
        <f>IF(C503="","",SUMIFS(Analytics!$J$5:$J$154,Analytics!$C$5:$C$154,C503))</f>
        <v>0</v>
      </c>
      <c r="H503" s="23">
        <f>IF(C503="","",SUMIFS(Analytics!$K$5:$K$154,Analytics!$C$5:$C$154,C503))</f>
        <v>0</v>
      </c>
      <c r="I503" s="23">
        <f>IF(C503="","",SUMIFS(Analytics!$L$5:$L$154,Analytics!$C$5:$C$154,C503))</f>
        <v>0</v>
      </c>
      <c r="J503" s="24">
        <f>IF(OR(G503="",G503=0),"",I503/G503)</f>
        <v>0</v>
      </c>
      <c r="K503" s="23">
        <f>IF(C503="","",SUMIFS(Analytics!$G$5:$G$154,Analytics!$C$5:$C$154,C503))</f>
        <v>0</v>
      </c>
      <c r="L503" s="23">
        <f>IF(C503="","",SUMIFS(Analytics!$X$5:$X$154,Analytics!$C$5:$C$154,C503))</f>
        <v>0</v>
      </c>
      <c r="M503" s="23">
        <f>IF(C503="","",SUMIFS(Analytics!$R$5:$R$154,Analytics!$C$5:$C$154,C503))</f>
        <v>0</v>
      </c>
      <c r="N503" s="23">
        <f>IF(C503="","",SUMIFS(Analytics!$S$5:$S$154,Analytics!$C$5:$C$154,C503))</f>
        <v>0</v>
      </c>
      <c r="O503" s="23">
        <f>IF(C503="","",SUMIFS(Analytics!$T$5:$T$154,Analytics!$C$5:$C$154,C503))</f>
        <v>0</v>
      </c>
      <c r="P503" s="25">
        <f>IF(C503="","",SUMIFS(Analytics!$U$5:$U$154,Analytics!$C$5:$C$154,C503))</f>
        <v>0</v>
      </c>
      <c r="Q503" s="25">
        <f>IF(C503="","",SUMIFS(Budget!$H$5:$H$64,Budget!$C$5:$C$64,C503))</f>
        <v>0</v>
      </c>
      <c r="R503" s="25">
        <f>IF(C503="","",P503-Q503)</f>
        <v>0</v>
      </c>
      <c r="S503" s="23">
        <f>IF(C503="","",MonthlyPostTarget)</f>
        <v>0</v>
      </c>
      <c r="T503" s="17">
        <f>IF(Lists!$C503="","",Lists!$C503)</f>
        <v>0</v>
      </c>
      <c r="U503" s="23">
        <f>IF(T503="","",COUNTIFS('Content Calendar'!$G$5:$G$604,T503,'Content Calendar'!$B$5:$B$604,"&gt;="&amp;DashStart,'Content Calendar'!$B$5:$B$604,"&lt;="&amp;DashEnd))</f>
        <v>0</v>
      </c>
      <c r="V503" s="23">
        <f>IF(T503="","",COUNTIFS('Content Calendar'!$G$5:$G$604,T503,'Content Calendar'!$X$5:$X$604,"Published",'Content Calendar'!$B$5:$B$604,"&gt;="&amp;DashStart,'Content Calendar'!$B$5:$B$604,"&lt;="&amp;DashEnd))</f>
        <v>0</v>
      </c>
      <c r="W503" s="23">
        <f>IF(T503="","",SUMIFS(Analytics!$J$5:$J$154,Analytics!$D$5:$D$154,T503,Analytics!$B$5:$B$154,"&gt;="&amp;DashStart,Analytics!$B$5:$B$154,"&lt;="&amp;DashEnd))</f>
        <v>0</v>
      </c>
      <c r="X503" s="23">
        <f>IF(T503="","",SUMIFS(Analytics!$L$5:$L$154,Analytics!$D$5:$D$154,T503,Analytics!$B$5:$B$154,"&gt;="&amp;DashStart,Analytics!$B$5:$B$154,"&lt;="&amp;DashEnd))</f>
        <v>0</v>
      </c>
      <c r="Y503" s="24">
        <f>IF(OR(W503="",W503=0),"",X503/W503)</f>
        <v>0</v>
      </c>
      <c r="Z503" s="23">
        <f>IF(T503="","",SUMIFS(Analytics!$G$5:$G$154,Analytics!$D$5:$D$154,T503,Analytics!$B$5:$B$154,"&gt;="&amp;DashStart,Analytics!$B$5:$B$154,"&lt;="&amp;DashEnd))</f>
        <v>0</v>
      </c>
      <c r="AA503" s="23">
        <f>IF(T503="","",SUMIFS(Analytics!$X$5:$X$154,Analytics!$D$5:$D$154,T503,Analytics!$B$5:$B$154,"&gt;="&amp;DashStart,Analytics!$B$5:$B$154,"&lt;="&amp;DashEnd))</f>
        <v>0</v>
      </c>
      <c r="AB503" s="23">
        <f>IF(T503="","",SUMIFS(Analytics!$R$5:$R$154,Analytics!$D$5:$D$154,T503,Analytics!$B$5:$B$154,"&gt;="&amp;DashStart,Analytics!$B$5:$B$154,"&lt;="&amp;DashEnd))</f>
        <v>0</v>
      </c>
      <c r="AC503" s="25">
        <f>IF(T503="","",SUMIFS(Analytics!$U$5:$U$154,Analytics!$D$5:$D$154,T503,Analytics!$B$5:$B$154,"&gt;="&amp;DashStart,Analytics!$B$5:$B$154,"&lt;="&amp;DashEnd))</f>
        <v>0</v>
      </c>
      <c r="AD503" s="23">
        <f>IF(T503="","",COUNTIFS('Content Calendar'!$G$5:$G$604,T503,'Content Calendar'!$B$5:$B$604,"&gt;="&amp;DATE(PlanYear,1,1),'Content Calendar'!$B$5:$B$604,"&lt;="&amp;DATE(PlanYear,12,31)))</f>
        <v>0</v>
      </c>
      <c r="AE503" s="23">
        <f>IF(T503="","",SUMIFS(Analytics!$J$5:$J$154,Analytics!$D$5:$D$154,T503))</f>
        <v>0</v>
      </c>
      <c r="AF503" s="23">
        <f>IF(T503="","",SUMIFS(Analytics!$L$5:$L$154,Analytics!$D$5:$D$154,T503))</f>
        <v>0</v>
      </c>
      <c r="AG503" s="24">
        <f>IF(OR(AE503="",AE503=0),"",AF503/AE503)</f>
        <v>0</v>
      </c>
      <c r="AH503" s="23">
        <f>IF(T503="","",SUMIFS(Analytics!$X$5:$X$154,Analytics!$D$5:$D$154,T503))</f>
        <v>0</v>
      </c>
      <c r="AI503" s="32">
        <f>IF(T503="","",IF(AE503=0,"",AE503+ROW()/1000000))</f>
        <v>0</v>
      </c>
      <c r="AJ503" s="17">
        <f>IF('Content Pillars'!$B$503="","",'Content Pillars'!$B$503)</f>
        <v>0</v>
      </c>
      <c r="AK503" s="23">
        <f>IF(AJ503="","",COUNTIFS('Content Calendar'!$J$5:$J$604,AJ503,'Content Calendar'!$B$5:$B$604,"&gt;="&amp;DATE(PlanYear,1,1),'Content Calendar'!$B$5:$B$604,"&lt;="&amp;DATE(PlanYear,12,31)))</f>
        <v>0</v>
      </c>
      <c r="AL503" s="23">
        <f>IF(AJ503="","",SUMIFS(Performance!$O$5:$O$404,Performance!$H$5:$H$404,AJ503))</f>
        <v>0</v>
      </c>
      <c r="AM503" s="23">
        <f>IF(AJ503="","",SUMIFS(Performance!$Z$5:$Z$404,Performance!$H$5:$H$404,AJ503))</f>
        <v>0</v>
      </c>
      <c r="AN503" s="24">
        <f>IF(OR(AL503="",AL503=0),"",AM503/AL503)</f>
        <v>0</v>
      </c>
      <c r="AO503" s="32">
        <f>IF(AN503="","",AN503+ROW()/1000000)</f>
        <v>0</v>
      </c>
      <c r="AP503" s="17">
        <f>IF(Lists!$E503="","",Lists!$E503)</f>
        <v>0</v>
      </c>
      <c r="AQ503" s="23">
        <f>IF(AP503="","",COUNTIF(Performance!$G$5:$G$404,AP503))</f>
        <v>0</v>
      </c>
      <c r="AR503" s="23">
        <f>IF(AP503="","",SUMIFS(Performance!$O$5:$O$404,Performance!$G$5:$G$404,AP503))</f>
        <v>0</v>
      </c>
      <c r="AS503" s="23">
        <f>IF(AP503="","",SUMIFS(Performance!$Z$5:$Z$404,Performance!$G$5:$G$404,AP503))</f>
        <v>0</v>
      </c>
      <c r="AT503" s="24">
        <f>IF(OR(AR503="",AR503=0),"",AS503/AR503)</f>
        <v>0</v>
      </c>
      <c r="AU503" s="32">
        <f>IF(AQ503=0,"",IF(AT503="","",AT503+ROW()/1000000))</f>
        <v>0</v>
      </c>
      <c r="AV503" s="17">
        <f>IF(ROW()-4&gt;7,"",TEXT(DATE(2024,1,ROW()-4),"ddd"))</f>
        <v>0</v>
      </c>
      <c r="AW503" s="23">
        <f>IF(AV503="","",COUNTIF(Performance!$N$5:$N$404,AV503))</f>
        <v>0</v>
      </c>
      <c r="AX503" s="23">
        <f>IF(AV503="","",SUMIFS(Performance!$O$5:$O$404,Performance!$N$5:$N$404,AV503))</f>
        <v>0</v>
      </c>
      <c r="AY503" s="23">
        <f>IF(AV503="","",SUMIFS(Performance!$Z$5:$Z$404,Performance!$N$5:$N$404,AV503))</f>
        <v>0</v>
      </c>
      <c r="AZ503" s="24">
        <f>IF(OR(AX503="",AX503=0),"",AY503/AX503)</f>
        <v>0</v>
      </c>
      <c r="BA503" s="32">
        <f>IF(AW503=0,"",IF(AZ503="","",AZ503+ROW()/1000000))</f>
        <v>0</v>
      </c>
      <c r="BB503" s="17">
        <f>IF(Lists!$AL503="","",Lists!$AL503)</f>
        <v>0</v>
      </c>
      <c r="BC503" s="23">
        <f>IF(BB503="","",COUNTIF(Performance!$M$5:$M$404,BB503))</f>
        <v>0</v>
      </c>
      <c r="BD503" s="23">
        <f>IF(BB503="","",SUMIFS(Performance!$O$5:$O$404,Performance!$M$5:$M$404,BB503))</f>
        <v>0</v>
      </c>
      <c r="BE503" s="23">
        <f>IF(BB503="","",SUMIFS(Performance!$Z$5:$Z$404,Performance!$M$5:$M$404,BB503))</f>
        <v>0</v>
      </c>
      <c r="BF503" s="24">
        <f>IF(OR(BD503="",BD503=0),"",BE503/BD503)</f>
        <v>0</v>
      </c>
      <c r="BG503" s="32">
        <f>IF(BC503=0,"",IF(BF503="","",BF503+ROW()/1000000))</f>
        <v>0</v>
      </c>
      <c r="BH503" s="17">
        <f>IF(Performance!$C$503="","",Performance!$C$503)</f>
        <v>0</v>
      </c>
      <c r="BI503" s="17">
        <f>IF(Performance!$F$503="","",Performance!$F$503)</f>
        <v>0</v>
      </c>
      <c r="BJ503" s="17">
        <f>IF(Performance!$H$503="","",Performance!$H$503)</f>
        <v>0</v>
      </c>
      <c r="BK503" s="16">
        <f>IF(Performance!$D$503="","",Performance!$D$503)</f>
        <v>0</v>
      </c>
      <c r="BL503" s="17">
        <f>IF(Performance!$E$503="","",Performance!$E$503)</f>
        <v>0</v>
      </c>
      <c r="BM503" s="23">
        <f>IF(Performance!$O$503="","",Performance!$O$503)</f>
        <v>0</v>
      </c>
      <c r="BN503" s="24">
        <f>IF(Performance!$AA$503="","",Performance!$AA$503)</f>
        <v>0</v>
      </c>
      <c r="BO503" s="32">
        <f>IF(BH503="","",IF(BK503="","",IF(OR(BK503&lt;DashStart,BK503&gt;DashEnd),"",IF(BN503="","",BN503+ROW()/1000000))))</f>
        <v>0</v>
      </c>
      <c r="BP503" s="32">
        <f>IF(BM503="","",IF(BK503="","",IF(OR(BK503&lt;DashStart,BK503&gt;DashEnd),"",BM503+ROW()/1000000)))</f>
        <v>0</v>
      </c>
      <c r="BQ503" s="32">
        <f>IF(BH503="","",IF(BK503="","",IF(YEAR(BK503)&lt;&gt;PlanYear,"",IF(BN503="","",BN503+ROW()/1000000))))</f>
        <v>0</v>
      </c>
      <c r="BR503" s="32">
        <f>IF(BH503="","",IF(BK503="","",IF(OR(BK503&lt;RepFrom,BK503&gt;RepTo),"",IF(BN503="","",BN503+ROW()/1000000))))</f>
        <v>0</v>
      </c>
      <c r="BS503" s="32">
        <f>IF(BM503="","",IF(BK503="","",IF(YEAR(BK503)&lt;&gt;PlanYear,"",BM503+ROW()/1000000)))</f>
        <v>0</v>
      </c>
      <c r="BT503" s="17">
        <f>IF(Lists!$F503="","",Lists!$F503)</f>
        <v>0</v>
      </c>
      <c r="BU503" s="23">
        <f>IF(BT503="","",COUNTIF('Content Calendar'!$X$5:$X$604,BT503))</f>
        <v>0</v>
      </c>
      <c r="BV503" s="23">
        <f>IF(BT503="","",COUNTIFS('Content Calendar'!$X$5:$X$604,BT503,'Content Calendar'!$B$5:$B$604,"&gt;="&amp;DashStart,'Content Calendar'!$B$5:$B$604,"&lt;="&amp;DashEnd))</f>
        <v>0</v>
      </c>
      <c r="BW503" s="17">
        <f>IF(Team!$B$503="","",Team!$B$503)</f>
        <v>0</v>
      </c>
      <c r="BX503" s="23">
        <f>IF(BW503="","",COUNTIF('Content Calendar'!$W$5:$W$604,BW503))</f>
        <v>0</v>
      </c>
      <c r="BY503" s="23">
        <f>IF(BW503="","",COUNTIFS('Content Calendar'!$W$5:$W$604,BW503,'Content Calendar'!$X$5:$X$604,"&lt;&gt;Published"))</f>
        <v>0</v>
      </c>
      <c r="BZ503" s="23">
        <f>IF(BW503="","",COUNTIFS(Tasks!$C$5:$C$64,BW503,Tasks!$G$5:$G$64,"&lt;&gt;Complete"))</f>
        <v>0</v>
      </c>
      <c r="CA503" s="17">
        <f>IF(Campaigns!$B$503="","",Campaigns!$B$503)</f>
        <v>0</v>
      </c>
      <c r="CB503" s="25">
        <f>IF(Campaigns!$T$503="","",Campaigns!$T$503)</f>
        <v>0</v>
      </c>
      <c r="CC503" s="25">
        <f>IF(Campaigns!$Q$503="","",Campaigns!$Q$503)</f>
        <v>0</v>
      </c>
      <c r="CD503" s="23">
        <f>IF(Campaigns!$Y$503="","",Campaigns!$Y$503)</f>
        <v>0</v>
      </c>
      <c r="CE503" s="32">
        <f>IF(CA503="","",IF(N(CB503)&lt;=0,"",N(CB503)+ROW()/1000000))</f>
        <v>0</v>
      </c>
      <c r="CF503" s="17">
        <f>IF(Accounts!$C$503="","",Accounts!$C$503)</f>
        <v>0</v>
      </c>
      <c r="CG503" s="17">
        <f>IF(Accounts!$B$503="","",Accounts!$B$503)</f>
        <v>0</v>
      </c>
      <c r="CH503" s="23">
        <f>IF(Accounts!$J$503="","",Accounts!$J$503)</f>
        <v>0</v>
      </c>
      <c r="CI503" s="23">
        <f>IF(CF503="","",SUMIFS(Analytics!$X$5:$X$154,Analytics!$E$5:$E$154,CF503,Analytics!$B$5:$B$154,"&gt;="&amp;DashStart,Analytics!$B$5:$B$154,"&lt;="&amp;DashEnd))</f>
        <v>0</v>
      </c>
      <c r="CJ503" s="32">
        <f>IF(CH503="","",IF(CH503=0,"",CH503+ROW()/1000000))</f>
        <v>0</v>
      </c>
    </row>
    <row r="504" spans="1:88">
      <c r="A504" s="16">
        <f>IF(ROW()-4&gt;12,"",DATE(PlanYear,ROW()-4,1))</f>
        <v>0</v>
      </c>
      <c r="B504" s="16">
        <f>IF(A504="","",EOMONTH(A504,0))</f>
        <v>0</v>
      </c>
      <c r="C504" s="17">
        <f>IF(A504="","",TEXT(A504,"yyyy-mm"))</f>
        <v>0</v>
      </c>
      <c r="D504" s="17">
        <f>IF(A504="","",TEXT(A504,"mmm"))</f>
        <v>0</v>
      </c>
      <c r="E504" s="23">
        <f>IF(C504="","",COUNTIFS('Content Calendar'!$D$5:$D$604,C504))</f>
        <v>0</v>
      </c>
      <c r="F504" s="23">
        <f>IF(C504="","",COUNTIFS('Content Calendar'!$D$5:$D$604,C504,'Content Calendar'!$X$5:$X$604,"Published"))</f>
        <v>0</v>
      </c>
      <c r="G504" s="23">
        <f>IF(C504="","",SUMIFS(Analytics!$J$5:$J$154,Analytics!$C$5:$C$154,C504))</f>
        <v>0</v>
      </c>
      <c r="H504" s="23">
        <f>IF(C504="","",SUMIFS(Analytics!$K$5:$K$154,Analytics!$C$5:$C$154,C504))</f>
        <v>0</v>
      </c>
      <c r="I504" s="23">
        <f>IF(C504="","",SUMIFS(Analytics!$L$5:$L$154,Analytics!$C$5:$C$154,C504))</f>
        <v>0</v>
      </c>
      <c r="J504" s="24">
        <f>IF(OR(G504="",G504=0),"",I504/G504)</f>
        <v>0</v>
      </c>
      <c r="K504" s="23">
        <f>IF(C504="","",SUMIFS(Analytics!$G$5:$G$154,Analytics!$C$5:$C$154,C504))</f>
        <v>0</v>
      </c>
      <c r="L504" s="23">
        <f>IF(C504="","",SUMIFS(Analytics!$X$5:$X$154,Analytics!$C$5:$C$154,C504))</f>
        <v>0</v>
      </c>
      <c r="M504" s="23">
        <f>IF(C504="","",SUMIFS(Analytics!$R$5:$R$154,Analytics!$C$5:$C$154,C504))</f>
        <v>0</v>
      </c>
      <c r="N504" s="23">
        <f>IF(C504="","",SUMIFS(Analytics!$S$5:$S$154,Analytics!$C$5:$C$154,C504))</f>
        <v>0</v>
      </c>
      <c r="O504" s="23">
        <f>IF(C504="","",SUMIFS(Analytics!$T$5:$T$154,Analytics!$C$5:$C$154,C504))</f>
        <v>0</v>
      </c>
      <c r="P504" s="25">
        <f>IF(C504="","",SUMIFS(Analytics!$U$5:$U$154,Analytics!$C$5:$C$154,C504))</f>
        <v>0</v>
      </c>
      <c r="Q504" s="25">
        <f>IF(C504="","",SUMIFS(Budget!$H$5:$H$64,Budget!$C$5:$C$64,C504))</f>
        <v>0</v>
      </c>
      <c r="R504" s="25">
        <f>IF(C504="","",P504-Q504)</f>
        <v>0</v>
      </c>
      <c r="S504" s="23">
        <f>IF(C504="","",MonthlyPostTarget)</f>
        <v>0</v>
      </c>
      <c r="T504" s="17">
        <f>IF(Lists!$C504="","",Lists!$C504)</f>
        <v>0</v>
      </c>
      <c r="U504" s="23">
        <f>IF(T504="","",COUNTIFS('Content Calendar'!$G$5:$G$604,T504,'Content Calendar'!$B$5:$B$604,"&gt;="&amp;DashStart,'Content Calendar'!$B$5:$B$604,"&lt;="&amp;DashEnd))</f>
        <v>0</v>
      </c>
      <c r="V504" s="23">
        <f>IF(T504="","",COUNTIFS('Content Calendar'!$G$5:$G$604,T504,'Content Calendar'!$X$5:$X$604,"Published",'Content Calendar'!$B$5:$B$604,"&gt;="&amp;DashStart,'Content Calendar'!$B$5:$B$604,"&lt;="&amp;DashEnd))</f>
        <v>0</v>
      </c>
      <c r="W504" s="23">
        <f>IF(T504="","",SUMIFS(Analytics!$J$5:$J$154,Analytics!$D$5:$D$154,T504,Analytics!$B$5:$B$154,"&gt;="&amp;DashStart,Analytics!$B$5:$B$154,"&lt;="&amp;DashEnd))</f>
        <v>0</v>
      </c>
      <c r="X504" s="23">
        <f>IF(T504="","",SUMIFS(Analytics!$L$5:$L$154,Analytics!$D$5:$D$154,T504,Analytics!$B$5:$B$154,"&gt;="&amp;DashStart,Analytics!$B$5:$B$154,"&lt;="&amp;DashEnd))</f>
        <v>0</v>
      </c>
      <c r="Y504" s="24">
        <f>IF(OR(W504="",W504=0),"",X504/W504)</f>
        <v>0</v>
      </c>
      <c r="Z504" s="23">
        <f>IF(T504="","",SUMIFS(Analytics!$G$5:$G$154,Analytics!$D$5:$D$154,T504,Analytics!$B$5:$B$154,"&gt;="&amp;DashStart,Analytics!$B$5:$B$154,"&lt;="&amp;DashEnd))</f>
        <v>0</v>
      </c>
      <c r="AA504" s="23">
        <f>IF(T504="","",SUMIFS(Analytics!$X$5:$X$154,Analytics!$D$5:$D$154,T504,Analytics!$B$5:$B$154,"&gt;="&amp;DashStart,Analytics!$B$5:$B$154,"&lt;="&amp;DashEnd))</f>
        <v>0</v>
      </c>
      <c r="AB504" s="23">
        <f>IF(T504="","",SUMIFS(Analytics!$R$5:$R$154,Analytics!$D$5:$D$154,T504,Analytics!$B$5:$B$154,"&gt;="&amp;DashStart,Analytics!$B$5:$B$154,"&lt;="&amp;DashEnd))</f>
        <v>0</v>
      </c>
      <c r="AC504" s="25">
        <f>IF(T504="","",SUMIFS(Analytics!$U$5:$U$154,Analytics!$D$5:$D$154,T504,Analytics!$B$5:$B$154,"&gt;="&amp;DashStart,Analytics!$B$5:$B$154,"&lt;="&amp;DashEnd))</f>
        <v>0</v>
      </c>
      <c r="AD504" s="23">
        <f>IF(T504="","",COUNTIFS('Content Calendar'!$G$5:$G$604,T504,'Content Calendar'!$B$5:$B$604,"&gt;="&amp;DATE(PlanYear,1,1),'Content Calendar'!$B$5:$B$604,"&lt;="&amp;DATE(PlanYear,12,31)))</f>
        <v>0</v>
      </c>
      <c r="AE504" s="23">
        <f>IF(T504="","",SUMIFS(Analytics!$J$5:$J$154,Analytics!$D$5:$D$154,T504))</f>
        <v>0</v>
      </c>
      <c r="AF504" s="23">
        <f>IF(T504="","",SUMIFS(Analytics!$L$5:$L$154,Analytics!$D$5:$D$154,T504))</f>
        <v>0</v>
      </c>
      <c r="AG504" s="24">
        <f>IF(OR(AE504="",AE504=0),"",AF504/AE504)</f>
        <v>0</v>
      </c>
      <c r="AH504" s="23">
        <f>IF(T504="","",SUMIFS(Analytics!$X$5:$X$154,Analytics!$D$5:$D$154,T504))</f>
        <v>0</v>
      </c>
      <c r="AI504" s="32">
        <f>IF(T504="","",IF(AE504=0,"",AE504+ROW()/1000000))</f>
        <v>0</v>
      </c>
      <c r="AJ504" s="17">
        <f>IF('Content Pillars'!$B$504="","",'Content Pillars'!$B$504)</f>
        <v>0</v>
      </c>
      <c r="AK504" s="23">
        <f>IF(AJ504="","",COUNTIFS('Content Calendar'!$J$5:$J$604,AJ504,'Content Calendar'!$B$5:$B$604,"&gt;="&amp;DATE(PlanYear,1,1),'Content Calendar'!$B$5:$B$604,"&lt;="&amp;DATE(PlanYear,12,31)))</f>
        <v>0</v>
      </c>
      <c r="AL504" s="23">
        <f>IF(AJ504="","",SUMIFS(Performance!$O$5:$O$404,Performance!$H$5:$H$404,AJ504))</f>
        <v>0</v>
      </c>
      <c r="AM504" s="23">
        <f>IF(AJ504="","",SUMIFS(Performance!$Z$5:$Z$404,Performance!$H$5:$H$404,AJ504))</f>
        <v>0</v>
      </c>
      <c r="AN504" s="24">
        <f>IF(OR(AL504="",AL504=0),"",AM504/AL504)</f>
        <v>0</v>
      </c>
      <c r="AO504" s="32">
        <f>IF(AN504="","",AN504+ROW()/1000000)</f>
        <v>0</v>
      </c>
      <c r="AP504" s="17">
        <f>IF(Lists!$E504="","",Lists!$E504)</f>
        <v>0</v>
      </c>
      <c r="AQ504" s="23">
        <f>IF(AP504="","",COUNTIF(Performance!$G$5:$G$404,AP504))</f>
        <v>0</v>
      </c>
      <c r="AR504" s="23">
        <f>IF(AP504="","",SUMIFS(Performance!$O$5:$O$404,Performance!$G$5:$G$404,AP504))</f>
        <v>0</v>
      </c>
      <c r="AS504" s="23">
        <f>IF(AP504="","",SUMIFS(Performance!$Z$5:$Z$404,Performance!$G$5:$G$404,AP504))</f>
        <v>0</v>
      </c>
      <c r="AT504" s="24">
        <f>IF(OR(AR504="",AR504=0),"",AS504/AR504)</f>
        <v>0</v>
      </c>
      <c r="AU504" s="32">
        <f>IF(AQ504=0,"",IF(AT504="","",AT504+ROW()/1000000))</f>
        <v>0</v>
      </c>
      <c r="AV504" s="17">
        <f>IF(ROW()-4&gt;7,"",TEXT(DATE(2024,1,ROW()-4),"ddd"))</f>
        <v>0</v>
      </c>
      <c r="AW504" s="23">
        <f>IF(AV504="","",COUNTIF(Performance!$N$5:$N$404,AV504))</f>
        <v>0</v>
      </c>
      <c r="AX504" s="23">
        <f>IF(AV504="","",SUMIFS(Performance!$O$5:$O$404,Performance!$N$5:$N$404,AV504))</f>
        <v>0</v>
      </c>
      <c r="AY504" s="23">
        <f>IF(AV504="","",SUMIFS(Performance!$Z$5:$Z$404,Performance!$N$5:$N$404,AV504))</f>
        <v>0</v>
      </c>
      <c r="AZ504" s="24">
        <f>IF(OR(AX504="",AX504=0),"",AY504/AX504)</f>
        <v>0</v>
      </c>
      <c r="BA504" s="32">
        <f>IF(AW504=0,"",IF(AZ504="","",AZ504+ROW()/1000000))</f>
        <v>0</v>
      </c>
      <c r="BB504" s="17">
        <f>IF(Lists!$AL504="","",Lists!$AL504)</f>
        <v>0</v>
      </c>
      <c r="BC504" s="23">
        <f>IF(BB504="","",COUNTIF(Performance!$M$5:$M$404,BB504))</f>
        <v>0</v>
      </c>
      <c r="BD504" s="23">
        <f>IF(BB504="","",SUMIFS(Performance!$O$5:$O$404,Performance!$M$5:$M$404,BB504))</f>
        <v>0</v>
      </c>
      <c r="BE504" s="23">
        <f>IF(BB504="","",SUMIFS(Performance!$Z$5:$Z$404,Performance!$M$5:$M$404,BB504))</f>
        <v>0</v>
      </c>
      <c r="BF504" s="24">
        <f>IF(OR(BD504="",BD504=0),"",BE504/BD504)</f>
        <v>0</v>
      </c>
      <c r="BG504" s="32">
        <f>IF(BC504=0,"",IF(BF504="","",BF504+ROW()/1000000))</f>
        <v>0</v>
      </c>
      <c r="BH504" s="17">
        <f>IF(Performance!$C$504="","",Performance!$C$504)</f>
        <v>0</v>
      </c>
      <c r="BI504" s="17">
        <f>IF(Performance!$F$504="","",Performance!$F$504)</f>
        <v>0</v>
      </c>
      <c r="BJ504" s="17">
        <f>IF(Performance!$H$504="","",Performance!$H$504)</f>
        <v>0</v>
      </c>
      <c r="BK504" s="16">
        <f>IF(Performance!$D$504="","",Performance!$D$504)</f>
        <v>0</v>
      </c>
      <c r="BL504" s="17">
        <f>IF(Performance!$E$504="","",Performance!$E$504)</f>
        <v>0</v>
      </c>
      <c r="BM504" s="23">
        <f>IF(Performance!$O$504="","",Performance!$O$504)</f>
        <v>0</v>
      </c>
      <c r="BN504" s="24">
        <f>IF(Performance!$AA$504="","",Performance!$AA$504)</f>
        <v>0</v>
      </c>
      <c r="BO504" s="32">
        <f>IF(BH504="","",IF(BK504="","",IF(OR(BK504&lt;DashStart,BK504&gt;DashEnd),"",IF(BN504="","",BN504+ROW()/1000000))))</f>
        <v>0</v>
      </c>
      <c r="BP504" s="32">
        <f>IF(BM504="","",IF(BK504="","",IF(OR(BK504&lt;DashStart,BK504&gt;DashEnd),"",BM504+ROW()/1000000)))</f>
        <v>0</v>
      </c>
      <c r="BQ504" s="32">
        <f>IF(BH504="","",IF(BK504="","",IF(YEAR(BK504)&lt;&gt;PlanYear,"",IF(BN504="","",BN504+ROW()/1000000))))</f>
        <v>0</v>
      </c>
      <c r="BR504" s="32">
        <f>IF(BH504="","",IF(BK504="","",IF(OR(BK504&lt;RepFrom,BK504&gt;RepTo),"",IF(BN504="","",BN504+ROW()/1000000))))</f>
        <v>0</v>
      </c>
      <c r="BS504" s="32">
        <f>IF(BM504="","",IF(BK504="","",IF(YEAR(BK504)&lt;&gt;PlanYear,"",BM504+ROW()/1000000)))</f>
        <v>0</v>
      </c>
      <c r="BT504" s="17">
        <f>IF(Lists!$F504="","",Lists!$F504)</f>
        <v>0</v>
      </c>
      <c r="BU504" s="23">
        <f>IF(BT504="","",COUNTIF('Content Calendar'!$X$5:$X$604,BT504))</f>
        <v>0</v>
      </c>
      <c r="BV504" s="23">
        <f>IF(BT504="","",COUNTIFS('Content Calendar'!$X$5:$X$604,BT504,'Content Calendar'!$B$5:$B$604,"&gt;="&amp;DashStart,'Content Calendar'!$B$5:$B$604,"&lt;="&amp;DashEnd))</f>
        <v>0</v>
      </c>
      <c r="BW504" s="17">
        <f>IF(Team!$B$504="","",Team!$B$504)</f>
        <v>0</v>
      </c>
      <c r="BX504" s="23">
        <f>IF(BW504="","",COUNTIF('Content Calendar'!$W$5:$W$604,BW504))</f>
        <v>0</v>
      </c>
      <c r="BY504" s="23">
        <f>IF(BW504="","",COUNTIFS('Content Calendar'!$W$5:$W$604,BW504,'Content Calendar'!$X$5:$X$604,"&lt;&gt;Published"))</f>
        <v>0</v>
      </c>
      <c r="BZ504" s="23">
        <f>IF(BW504="","",COUNTIFS(Tasks!$C$5:$C$64,BW504,Tasks!$G$5:$G$64,"&lt;&gt;Complete"))</f>
        <v>0</v>
      </c>
      <c r="CA504" s="17">
        <f>IF(Campaigns!$B$504="","",Campaigns!$B$504)</f>
        <v>0</v>
      </c>
      <c r="CB504" s="25">
        <f>IF(Campaigns!$T$504="","",Campaigns!$T$504)</f>
        <v>0</v>
      </c>
      <c r="CC504" s="25">
        <f>IF(Campaigns!$Q$504="","",Campaigns!$Q$504)</f>
        <v>0</v>
      </c>
      <c r="CD504" s="23">
        <f>IF(Campaigns!$Y$504="","",Campaigns!$Y$504)</f>
        <v>0</v>
      </c>
      <c r="CE504" s="32">
        <f>IF(CA504="","",IF(N(CB504)&lt;=0,"",N(CB504)+ROW()/1000000))</f>
        <v>0</v>
      </c>
      <c r="CF504" s="17">
        <f>IF(Accounts!$C$504="","",Accounts!$C$504)</f>
        <v>0</v>
      </c>
      <c r="CG504" s="17">
        <f>IF(Accounts!$B$504="","",Accounts!$B$504)</f>
        <v>0</v>
      </c>
      <c r="CH504" s="23">
        <f>IF(Accounts!$J$504="","",Accounts!$J$504)</f>
        <v>0</v>
      </c>
      <c r="CI504" s="23">
        <f>IF(CF504="","",SUMIFS(Analytics!$X$5:$X$154,Analytics!$E$5:$E$154,CF504,Analytics!$B$5:$B$154,"&gt;="&amp;DashStart,Analytics!$B$5:$B$154,"&lt;="&amp;DashEnd))</f>
        <v>0</v>
      </c>
      <c r="CJ504" s="32">
        <f>IF(CH504="","",IF(CH504=0,"",CH504+ROW()/1000000))</f>
        <v>0</v>
      </c>
    </row>
    <row r="505" spans="1:88">
      <c r="A505" s="16">
        <f>IF(ROW()-4&gt;12,"",DATE(PlanYear,ROW()-4,1))</f>
        <v>0</v>
      </c>
      <c r="B505" s="16">
        <f>IF(A505="","",EOMONTH(A505,0))</f>
        <v>0</v>
      </c>
      <c r="C505" s="17">
        <f>IF(A505="","",TEXT(A505,"yyyy-mm"))</f>
        <v>0</v>
      </c>
      <c r="D505" s="17">
        <f>IF(A505="","",TEXT(A505,"mmm"))</f>
        <v>0</v>
      </c>
      <c r="E505" s="23">
        <f>IF(C505="","",COUNTIFS('Content Calendar'!$D$5:$D$604,C505))</f>
        <v>0</v>
      </c>
      <c r="F505" s="23">
        <f>IF(C505="","",COUNTIFS('Content Calendar'!$D$5:$D$604,C505,'Content Calendar'!$X$5:$X$604,"Published"))</f>
        <v>0</v>
      </c>
      <c r="G505" s="23">
        <f>IF(C505="","",SUMIFS(Analytics!$J$5:$J$154,Analytics!$C$5:$C$154,C505))</f>
        <v>0</v>
      </c>
      <c r="H505" s="23">
        <f>IF(C505="","",SUMIFS(Analytics!$K$5:$K$154,Analytics!$C$5:$C$154,C505))</f>
        <v>0</v>
      </c>
      <c r="I505" s="23">
        <f>IF(C505="","",SUMIFS(Analytics!$L$5:$L$154,Analytics!$C$5:$C$154,C505))</f>
        <v>0</v>
      </c>
      <c r="J505" s="24">
        <f>IF(OR(G505="",G505=0),"",I505/G505)</f>
        <v>0</v>
      </c>
      <c r="K505" s="23">
        <f>IF(C505="","",SUMIFS(Analytics!$G$5:$G$154,Analytics!$C$5:$C$154,C505))</f>
        <v>0</v>
      </c>
      <c r="L505" s="23">
        <f>IF(C505="","",SUMIFS(Analytics!$X$5:$X$154,Analytics!$C$5:$C$154,C505))</f>
        <v>0</v>
      </c>
      <c r="M505" s="23">
        <f>IF(C505="","",SUMIFS(Analytics!$R$5:$R$154,Analytics!$C$5:$C$154,C505))</f>
        <v>0</v>
      </c>
      <c r="N505" s="23">
        <f>IF(C505="","",SUMIFS(Analytics!$S$5:$S$154,Analytics!$C$5:$C$154,C505))</f>
        <v>0</v>
      </c>
      <c r="O505" s="23">
        <f>IF(C505="","",SUMIFS(Analytics!$T$5:$T$154,Analytics!$C$5:$C$154,C505))</f>
        <v>0</v>
      </c>
      <c r="P505" s="25">
        <f>IF(C505="","",SUMIFS(Analytics!$U$5:$U$154,Analytics!$C$5:$C$154,C505))</f>
        <v>0</v>
      </c>
      <c r="Q505" s="25">
        <f>IF(C505="","",SUMIFS(Budget!$H$5:$H$64,Budget!$C$5:$C$64,C505))</f>
        <v>0</v>
      </c>
      <c r="R505" s="25">
        <f>IF(C505="","",P505-Q505)</f>
        <v>0</v>
      </c>
      <c r="S505" s="23">
        <f>IF(C505="","",MonthlyPostTarget)</f>
        <v>0</v>
      </c>
      <c r="T505" s="17">
        <f>IF(Lists!$C505="","",Lists!$C505)</f>
        <v>0</v>
      </c>
      <c r="U505" s="23">
        <f>IF(T505="","",COUNTIFS('Content Calendar'!$G$5:$G$604,T505,'Content Calendar'!$B$5:$B$604,"&gt;="&amp;DashStart,'Content Calendar'!$B$5:$B$604,"&lt;="&amp;DashEnd))</f>
        <v>0</v>
      </c>
      <c r="V505" s="23">
        <f>IF(T505="","",COUNTIFS('Content Calendar'!$G$5:$G$604,T505,'Content Calendar'!$X$5:$X$604,"Published",'Content Calendar'!$B$5:$B$604,"&gt;="&amp;DashStart,'Content Calendar'!$B$5:$B$604,"&lt;="&amp;DashEnd))</f>
        <v>0</v>
      </c>
      <c r="W505" s="23">
        <f>IF(T505="","",SUMIFS(Analytics!$J$5:$J$154,Analytics!$D$5:$D$154,T505,Analytics!$B$5:$B$154,"&gt;="&amp;DashStart,Analytics!$B$5:$B$154,"&lt;="&amp;DashEnd))</f>
        <v>0</v>
      </c>
      <c r="X505" s="23">
        <f>IF(T505="","",SUMIFS(Analytics!$L$5:$L$154,Analytics!$D$5:$D$154,T505,Analytics!$B$5:$B$154,"&gt;="&amp;DashStart,Analytics!$B$5:$B$154,"&lt;="&amp;DashEnd))</f>
        <v>0</v>
      </c>
      <c r="Y505" s="24">
        <f>IF(OR(W505="",W505=0),"",X505/W505)</f>
        <v>0</v>
      </c>
      <c r="Z505" s="23">
        <f>IF(T505="","",SUMIFS(Analytics!$G$5:$G$154,Analytics!$D$5:$D$154,T505,Analytics!$B$5:$B$154,"&gt;="&amp;DashStart,Analytics!$B$5:$B$154,"&lt;="&amp;DashEnd))</f>
        <v>0</v>
      </c>
      <c r="AA505" s="23">
        <f>IF(T505="","",SUMIFS(Analytics!$X$5:$X$154,Analytics!$D$5:$D$154,T505,Analytics!$B$5:$B$154,"&gt;="&amp;DashStart,Analytics!$B$5:$B$154,"&lt;="&amp;DashEnd))</f>
        <v>0</v>
      </c>
      <c r="AB505" s="23">
        <f>IF(T505="","",SUMIFS(Analytics!$R$5:$R$154,Analytics!$D$5:$D$154,T505,Analytics!$B$5:$B$154,"&gt;="&amp;DashStart,Analytics!$B$5:$B$154,"&lt;="&amp;DashEnd))</f>
        <v>0</v>
      </c>
      <c r="AC505" s="25">
        <f>IF(T505="","",SUMIFS(Analytics!$U$5:$U$154,Analytics!$D$5:$D$154,T505,Analytics!$B$5:$B$154,"&gt;="&amp;DashStart,Analytics!$B$5:$B$154,"&lt;="&amp;DashEnd))</f>
        <v>0</v>
      </c>
      <c r="AD505" s="23">
        <f>IF(T505="","",COUNTIFS('Content Calendar'!$G$5:$G$604,T505,'Content Calendar'!$B$5:$B$604,"&gt;="&amp;DATE(PlanYear,1,1),'Content Calendar'!$B$5:$B$604,"&lt;="&amp;DATE(PlanYear,12,31)))</f>
        <v>0</v>
      </c>
      <c r="AE505" s="23">
        <f>IF(T505="","",SUMIFS(Analytics!$J$5:$J$154,Analytics!$D$5:$D$154,T505))</f>
        <v>0</v>
      </c>
      <c r="AF505" s="23">
        <f>IF(T505="","",SUMIFS(Analytics!$L$5:$L$154,Analytics!$D$5:$D$154,T505))</f>
        <v>0</v>
      </c>
      <c r="AG505" s="24">
        <f>IF(OR(AE505="",AE505=0),"",AF505/AE505)</f>
        <v>0</v>
      </c>
      <c r="AH505" s="23">
        <f>IF(T505="","",SUMIFS(Analytics!$X$5:$X$154,Analytics!$D$5:$D$154,T505))</f>
        <v>0</v>
      </c>
      <c r="AI505" s="32">
        <f>IF(T505="","",IF(AE505=0,"",AE505+ROW()/1000000))</f>
        <v>0</v>
      </c>
      <c r="AJ505" s="17">
        <f>IF('Content Pillars'!$B$505="","",'Content Pillars'!$B$505)</f>
        <v>0</v>
      </c>
      <c r="AK505" s="23">
        <f>IF(AJ505="","",COUNTIFS('Content Calendar'!$J$5:$J$604,AJ505,'Content Calendar'!$B$5:$B$604,"&gt;="&amp;DATE(PlanYear,1,1),'Content Calendar'!$B$5:$B$604,"&lt;="&amp;DATE(PlanYear,12,31)))</f>
        <v>0</v>
      </c>
      <c r="AL505" s="23">
        <f>IF(AJ505="","",SUMIFS(Performance!$O$5:$O$404,Performance!$H$5:$H$404,AJ505))</f>
        <v>0</v>
      </c>
      <c r="AM505" s="23">
        <f>IF(AJ505="","",SUMIFS(Performance!$Z$5:$Z$404,Performance!$H$5:$H$404,AJ505))</f>
        <v>0</v>
      </c>
      <c r="AN505" s="24">
        <f>IF(OR(AL505="",AL505=0),"",AM505/AL505)</f>
        <v>0</v>
      </c>
      <c r="AO505" s="32">
        <f>IF(AN505="","",AN505+ROW()/1000000)</f>
        <v>0</v>
      </c>
      <c r="AP505" s="17">
        <f>IF(Lists!$E505="","",Lists!$E505)</f>
        <v>0</v>
      </c>
      <c r="AQ505" s="23">
        <f>IF(AP505="","",COUNTIF(Performance!$G$5:$G$404,AP505))</f>
        <v>0</v>
      </c>
      <c r="AR505" s="23">
        <f>IF(AP505="","",SUMIFS(Performance!$O$5:$O$404,Performance!$G$5:$G$404,AP505))</f>
        <v>0</v>
      </c>
      <c r="AS505" s="23">
        <f>IF(AP505="","",SUMIFS(Performance!$Z$5:$Z$404,Performance!$G$5:$G$404,AP505))</f>
        <v>0</v>
      </c>
      <c r="AT505" s="24">
        <f>IF(OR(AR505="",AR505=0),"",AS505/AR505)</f>
        <v>0</v>
      </c>
      <c r="AU505" s="32">
        <f>IF(AQ505=0,"",IF(AT505="","",AT505+ROW()/1000000))</f>
        <v>0</v>
      </c>
      <c r="AV505" s="17">
        <f>IF(ROW()-4&gt;7,"",TEXT(DATE(2024,1,ROW()-4),"ddd"))</f>
        <v>0</v>
      </c>
      <c r="AW505" s="23">
        <f>IF(AV505="","",COUNTIF(Performance!$N$5:$N$404,AV505))</f>
        <v>0</v>
      </c>
      <c r="AX505" s="23">
        <f>IF(AV505="","",SUMIFS(Performance!$O$5:$O$404,Performance!$N$5:$N$404,AV505))</f>
        <v>0</v>
      </c>
      <c r="AY505" s="23">
        <f>IF(AV505="","",SUMIFS(Performance!$Z$5:$Z$404,Performance!$N$5:$N$404,AV505))</f>
        <v>0</v>
      </c>
      <c r="AZ505" s="24">
        <f>IF(OR(AX505="",AX505=0),"",AY505/AX505)</f>
        <v>0</v>
      </c>
      <c r="BA505" s="32">
        <f>IF(AW505=0,"",IF(AZ505="","",AZ505+ROW()/1000000))</f>
        <v>0</v>
      </c>
      <c r="BB505" s="17">
        <f>IF(Lists!$AL505="","",Lists!$AL505)</f>
        <v>0</v>
      </c>
      <c r="BC505" s="23">
        <f>IF(BB505="","",COUNTIF(Performance!$M$5:$M$404,BB505))</f>
        <v>0</v>
      </c>
      <c r="BD505" s="23">
        <f>IF(BB505="","",SUMIFS(Performance!$O$5:$O$404,Performance!$M$5:$M$404,BB505))</f>
        <v>0</v>
      </c>
      <c r="BE505" s="23">
        <f>IF(BB505="","",SUMIFS(Performance!$Z$5:$Z$404,Performance!$M$5:$M$404,BB505))</f>
        <v>0</v>
      </c>
      <c r="BF505" s="24">
        <f>IF(OR(BD505="",BD505=0),"",BE505/BD505)</f>
        <v>0</v>
      </c>
      <c r="BG505" s="32">
        <f>IF(BC505=0,"",IF(BF505="","",BF505+ROW()/1000000))</f>
        <v>0</v>
      </c>
      <c r="BH505" s="17">
        <f>IF(Performance!$C$505="","",Performance!$C$505)</f>
        <v>0</v>
      </c>
      <c r="BI505" s="17">
        <f>IF(Performance!$F$505="","",Performance!$F$505)</f>
        <v>0</v>
      </c>
      <c r="BJ505" s="17">
        <f>IF(Performance!$H$505="","",Performance!$H$505)</f>
        <v>0</v>
      </c>
      <c r="BK505" s="16">
        <f>IF(Performance!$D$505="","",Performance!$D$505)</f>
        <v>0</v>
      </c>
      <c r="BL505" s="17">
        <f>IF(Performance!$E$505="","",Performance!$E$505)</f>
        <v>0</v>
      </c>
      <c r="BM505" s="23">
        <f>IF(Performance!$O$505="","",Performance!$O$505)</f>
        <v>0</v>
      </c>
      <c r="BN505" s="24">
        <f>IF(Performance!$AA$505="","",Performance!$AA$505)</f>
        <v>0</v>
      </c>
      <c r="BO505" s="32">
        <f>IF(BH505="","",IF(BK505="","",IF(OR(BK505&lt;DashStart,BK505&gt;DashEnd),"",IF(BN505="","",BN505+ROW()/1000000))))</f>
        <v>0</v>
      </c>
      <c r="BP505" s="32">
        <f>IF(BM505="","",IF(BK505="","",IF(OR(BK505&lt;DashStart,BK505&gt;DashEnd),"",BM505+ROW()/1000000)))</f>
        <v>0</v>
      </c>
      <c r="BQ505" s="32">
        <f>IF(BH505="","",IF(BK505="","",IF(YEAR(BK505)&lt;&gt;PlanYear,"",IF(BN505="","",BN505+ROW()/1000000))))</f>
        <v>0</v>
      </c>
      <c r="BR505" s="32">
        <f>IF(BH505="","",IF(BK505="","",IF(OR(BK505&lt;RepFrom,BK505&gt;RepTo),"",IF(BN505="","",BN505+ROW()/1000000))))</f>
        <v>0</v>
      </c>
      <c r="BS505" s="32">
        <f>IF(BM505="","",IF(BK505="","",IF(YEAR(BK505)&lt;&gt;PlanYear,"",BM505+ROW()/1000000)))</f>
        <v>0</v>
      </c>
      <c r="BT505" s="17">
        <f>IF(Lists!$F505="","",Lists!$F505)</f>
        <v>0</v>
      </c>
      <c r="BU505" s="23">
        <f>IF(BT505="","",COUNTIF('Content Calendar'!$X$5:$X$604,BT505))</f>
        <v>0</v>
      </c>
      <c r="BV505" s="23">
        <f>IF(BT505="","",COUNTIFS('Content Calendar'!$X$5:$X$604,BT505,'Content Calendar'!$B$5:$B$604,"&gt;="&amp;DashStart,'Content Calendar'!$B$5:$B$604,"&lt;="&amp;DashEnd))</f>
        <v>0</v>
      </c>
      <c r="BW505" s="17">
        <f>IF(Team!$B$505="","",Team!$B$505)</f>
        <v>0</v>
      </c>
      <c r="BX505" s="23">
        <f>IF(BW505="","",COUNTIF('Content Calendar'!$W$5:$W$604,BW505))</f>
        <v>0</v>
      </c>
      <c r="BY505" s="23">
        <f>IF(BW505="","",COUNTIFS('Content Calendar'!$W$5:$W$604,BW505,'Content Calendar'!$X$5:$X$604,"&lt;&gt;Published"))</f>
        <v>0</v>
      </c>
      <c r="BZ505" s="23">
        <f>IF(BW505="","",COUNTIFS(Tasks!$C$5:$C$64,BW505,Tasks!$G$5:$G$64,"&lt;&gt;Complete"))</f>
        <v>0</v>
      </c>
      <c r="CA505" s="17">
        <f>IF(Campaigns!$B$505="","",Campaigns!$B$505)</f>
        <v>0</v>
      </c>
      <c r="CB505" s="25">
        <f>IF(Campaigns!$T$505="","",Campaigns!$T$505)</f>
        <v>0</v>
      </c>
      <c r="CC505" s="25">
        <f>IF(Campaigns!$Q$505="","",Campaigns!$Q$505)</f>
        <v>0</v>
      </c>
      <c r="CD505" s="23">
        <f>IF(Campaigns!$Y$505="","",Campaigns!$Y$505)</f>
        <v>0</v>
      </c>
      <c r="CE505" s="32">
        <f>IF(CA505="","",IF(N(CB505)&lt;=0,"",N(CB505)+ROW()/1000000))</f>
        <v>0</v>
      </c>
      <c r="CF505" s="17">
        <f>IF(Accounts!$C$505="","",Accounts!$C$505)</f>
        <v>0</v>
      </c>
      <c r="CG505" s="17">
        <f>IF(Accounts!$B$505="","",Accounts!$B$505)</f>
        <v>0</v>
      </c>
      <c r="CH505" s="23">
        <f>IF(Accounts!$J$505="","",Accounts!$J$505)</f>
        <v>0</v>
      </c>
      <c r="CI505" s="23">
        <f>IF(CF505="","",SUMIFS(Analytics!$X$5:$X$154,Analytics!$E$5:$E$154,CF505,Analytics!$B$5:$B$154,"&gt;="&amp;DashStart,Analytics!$B$5:$B$154,"&lt;="&amp;DashEnd))</f>
        <v>0</v>
      </c>
      <c r="CJ505" s="32">
        <f>IF(CH505="","",IF(CH505=0,"",CH505+ROW()/1000000))</f>
        <v>0</v>
      </c>
    </row>
    <row r="506" spans="1:88">
      <c r="A506" s="16">
        <f>IF(ROW()-4&gt;12,"",DATE(PlanYear,ROW()-4,1))</f>
        <v>0</v>
      </c>
      <c r="B506" s="16">
        <f>IF(A506="","",EOMONTH(A506,0))</f>
        <v>0</v>
      </c>
      <c r="C506" s="17">
        <f>IF(A506="","",TEXT(A506,"yyyy-mm"))</f>
        <v>0</v>
      </c>
      <c r="D506" s="17">
        <f>IF(A506="","",TEXT(A506,"mmm"))</f>
        <v>0</v>
      </c>
      <c r="E506" s="23">
        <f>IF(C506="","",COUNTIFS('Content Calendar'!$D$5:$D$604,C506))</f>
        <v>0</v>
      </c>
      <c r="F506" s="23">
        <f>IF(C506="","",COUNTIFS('Content Calendar'!$D$5:$D$604,C506,'Content Calendar'!$X$5:$X$604,"Published"))</f>
        <v>0</v>
      </c>
      <c r="G506" s="23">
        <f>IF(C506="","",SUMIFS(Analytics!$J$5:$J$154,Analytics!$C$5:$C$154,C506))</f>
        <v>0</v>
      </c>
      <c r="H506" s="23">
        <f>IF(C506="","",SUMIFS(Analytics!$K$5:$K$154,Analytics!$C$5:$C$154,C506))</f>
        <v>0</v>
      </c>
      <c r="I506" s="23">
        <f>IF(C506="","",SUMIFS(Analytics!$L$5:$L$154,Analytics!$C$5:$C$154,C506))</f>
        <v>0</v>
      </c>
      <c r="J506" s="24">
        <f>IF(OR(G506="",G506=0),"",I506/G506)</f>
        <v>0</v>
      </c>
      <c r="K506" s="23">
        <f>IF(C506="","",SUMIFS(Analytics!$G$5:$G$154,Analytics!$C$5:$C$154,C506))</f>
        <v>0</v>
      </c>
      <c r="L506" s="23">
        <f>IF(C506="","",SUMIFS(Analytics!$X$5:$X$154,Analytics!$C$5:$C$154,C506))</f>
        <v>0</v>
      </c>
      <c r="M506" s="23">
        <f>IF(C506="","",SUMIFS(Analytics!$R$5:$R$154,Analytics!$C$5:$C$154,C506))</f>
        <v>0</v>
      </c>
      <c r="N506" s="23">
        <f>IF(C506="","",SUMIFS(Analytics!$S$5:$S$154,Analytics!$C$5:$C$154,C506))</f>
        <v>0</v>
      </c>
      <c r="O506" s="23">
        <f>IF(C506="","",SUMIFS(Analytics!$T$5:$T$154,Analytics!$C$5:$C$154,C506))</f>
        <v>0</v>
      </c>
      <c r="P506" s="25">
        <f>IF(C506="","",SUMIFS(Analytics!$U$5:$U$154,Analytics!$C$5:$C$154,C506))</f>
        <v>0</v>
      </c>
      <c r="Q506" s="25">
        <f>IF(C506="","",SUMIFS(Budget!$H$5:$H$64,Budget!$C$5:$C$64,C506))</f>
        <v>0</v>
      </c>
      <c r="R506" s="25">
        <f>IF(C506="","",P506-Q506)</f>
        <v>0</v>
      </c>
      <c r="S506" s="23">
        <f>IF(C506="","",MonthlyPostTarget)</f>
        <v>0</v>
      </c>
      <c r="T506" s="17">
        <f>IF(Lists!$C506="","",Lists!$C506)</f>
        <v>0</v>
      </c>
      <c r="U506" s="23">
        <f>IF(T506="","",COUNTIFS('Content Calendar'!$G$5:$G$604,T506,'Content Calendar'!$B$5:$B$604,"&gt;="&amp;DashStart,'Content Calendar'!$B$5:$B$604,"&lt;="&amp;DashEnd))</f>
        <v>0</v>
      </c>
      <c r="V506" s="23">
        <f>IF(T506="","",COUNTIFS('Content Calendar'!$G$5:$G$604,T506,'Content Calendar'!$X$5:$X$604,"Published",'Content Calendar'!$B$5:$B$604,"&gt;="&amp;DashStart,'Content Calendar'!$B$5:$B$604,"&lt;="&amp;DashEnd))</f>
        <v>0</v>
      </c>
      <c r="W506" s="23">
        <f>IF(T506="","",SUMIFS(Analytics!$J$5:$J$154,Analytics!$D$5:$D$154,T506,Analytics!$B$5:$B$154,"&gt;="&amp;DashStart,Analytics!$B$5:$B$154,"&lt;="&amp;DashEnd))</f>
        <v>0</v>
      </c>
      <c r="X506" s="23">
        <f>IF(T506="","",SUMIFS(Analytics!$L$5:$L$154,Analytics!$D$5:$D$154,T506,Analytics!$B$5:$B$154,"&gt;="&amp;DashStart,Analytics!$B$5:$B$154,"&lt;="&amp;DashEnd))</f>
        <v>0</v>
      </c>
      <c r="Y506" s="24">
        <f>IF(OR(W506="",W506=0),"",X506/W506)</f>
        <v>0</v>
      </c>
      <c r="Z506" s="23">
        <f>IF(T506="","",SUMIFS(Analytics!$G$5:$G$154,Analytics!$D$5:$D$154,T506,Analytics!$B$5:$B$154,"&gt;="&amp;DashStart,Analytics!$B$5:$B$154,"&lt;="&amp;DashEnd))</f>
        <v>0</v>
      </c>
      <c r="AA506" s="23">
        <f>IF(T506="","",SUMIFS(Analytics!$X$5:$X$154,Analytics!$D$5:$D$154,T506,Analytics!$B$5:$B$154,"&gt;="&amp;DashStart,Analytics!$B$5:$B$154,"&lt;="&amp;DashEnd))</f>
        <v>0</v>
      </c>
      <c r="AB506" s="23">
        <f>IF(T506="","",SUMIFS(Analytics!$R$5:$R$154,Analytics!$D$5:$D$154,T506,Analytics!$B$5:$B$154,"&gt;="&amp;DashStart,Analytics!$B$5:$B$154,"&lt;="&amp;DashEnd))</f>
        <v>0</v>
      </c>
      <c r="AC506" s="25">
        <f>IF(T506="","",SUMIFS(Analytics!$U$5:$U$154,Analytics!$D$5:$D$154,T506,Analytics!$B$5:$B$154,"&gt;="&amp;DashStart,Analytics!$B$5:$B$154,"&lt;="&amp;DashEnd))</f>
        <v>0</v>
      </c>
      <c r="AD506" s="23">
        <f>IF(T506="","",COUNTIFS('Content Calendar'!$G$5:$G$604,T506,'Content Calendar'!$B$5:$B$604,"&gt;="&amp;DATE(PlanYear,1,1),'Content Calendar'!$B$5:$B$604,"&lt;="&amp;DATE(PlanYear,12,31)))</f>
        <v>0</v>
      </c>
      <c r="AE506" s="23">
        <f>IF(T506="","",SUMIFS(Analytics!$J$5:$J$154,Analytics!$D$5:$D$154,T506))</f>
        <v>0</v>
      </c>
      <c r="AF506" s="23">
        <f>IF(T506="","",SUMIFS(Analytics!$L$5:$L$154,Analytics!$D$5:$D$154,T506))</f>
        <v>0</v>
      </c>
      <c r="AG506" s="24">
        <f>IF(OR(AE506="",AE506=0),"",AF506/AE506)</f>
        <v>0</v>
      </c>
      <c r="AH506" s="23">
        <f>IF(T506="","",SUMIFS(Analytics!$X$5:$X$154,Analytics!$D$5:$D$154,T506))</f>
        <v>0</v>
      </c>
      <c r="AI506" s="32">
        <f>IF(T506="","",IF(AE506=0,"",AE506+ROW()/1000000))</f>
        <v>0</v>
      </c>
      <c r="AJ506" s="17">
        <f>IF('Content Pillars'!$B$506="","",'Content Pillars'!$B$506)</f>
        <v>0</v>
      </c>
      <c r="AK506" s="23">
        <f>IF(AJ506="","",COUNTIFS('Content Calendar'!$J$5:$J$604,AJ506,'Content Calendar'!$B$5:$B$604,"&gt;="&amp;DATE(PlanYear,1,1),'Content Calendar'!$B$5:$B$604,"&lt;="&amp;DATE(PlanYear,12,31)))</f>
        <v>0</v>
      </c>
      <c r="AL506" s="23">
        <f>IF(AJ506="","",SUMIFS(Performance!$O$5:$O$404,Performance!$H$5:$H$404,AJ506))</f>
        <v>0</v>
      </c>
      <c r="AM506" s="23">
        <f>IF(AJ506="","",SUMIFS(Performance!$Z$5:$Z$404,Performance!$H$5:$H$404,AJ506))</f>
        <v>0</v>
      </c>
      <c r="AN506" s="24">
        <f>IF(OR(AL506="",AL506=0),"",AM506/AL506)</f>
        <v>0</v>
      </c>
      <c r="AO506" s="32">
        <f>IF(AN506="","",AN506+ROW()/1000000)</f>
        <v>0</v>
      </c>
      <c r="AP506" s="17">
        <f>IF(Lists!$E506="","",Lists!$E506)</f>
        <v>0</v>
      </c>
      <c r="AQ506" s="23">
        <f>IF(AP506="","",COUNTIF(Performance!$G$5:$G$404,AP506))</f>
        <v>0</v>
      </c>
      <c r="AR506" s="23">
        <f>IF(AP506="","",SUMIFS(Performance!$O$5:$O$404,Performance!$G$5:$G$404,AP506))</f>
        <v>0</v>
      </c>
      <c r="AS506" s="23">
        <f>IF(AP506="","",SUMIFS(Performance!$Z$5:$Z$404,Performance!$G$5:$G$404,AP506))</f>
        <v>0</v>
      </c>
      <c r="AT506" s="24">
        <f>IF(OR(AR506="",AR506=0),"",AS506/AR506)</f>
        <v>0</v>
      </c>
      <c r="AU506" s="32">
        <f>IF(AQ506=0,"",IF(AT506="","",AT506+ROW()/1000000))</f>
        <v>0</v>
      </c>
      <c r="AV506" s="17">
        <f>IF(ROW()-4&gt;7,"",TEXT(DATE(2024,1,ROW()-4),"ddd"))</f>
        <v>0</v>
      </c>
      <c r="AW506" s="23">
        <f>IF(AV506="","",COUNTIF(Performance!$N$5:$N$404,AV506))</f>
        <v>0</v>
      </c>
      <c r="AX506" s="23">
        <f>IF(AV506="","",SUMIFS(Performance!$O$5:$O$404,Performance!$N$5:$N$404,AV506))</f>
        <v>0</v>
      </c>
      <c r="AY506" s="23">
        <f>IF(AV506="","",SUMIFS(Performance!$Z$5:$Z$404,Performance!$N$5:$N$404,AV506))</f>
        <v>0</v>
      </c>
      <c r="AZ506" s="24">
        <f>IF(OR(AX506="",AX506=0),"",AY506/AX506)</f>
        <v>0</v>
      </c>
      <c r="BA506" s="32">
        <f>IF(AW506=0,"",IF(AZ506="","",AZ506+ROW()/1000000))</f>
        <v>0</v>
      </c>
      <c r="BB506" s="17">
        <f>IF(Lists!$AL506="","",Lists!$AL506)</f>
        <v>0</v>
      </c>
      <c r="BC506" s="23">
        <f>IF(BB506="","",COUNTIF(Performance!$M$5:$M$404,BB506))</f>
        <v>0</v>
      </c>
      <c r="BD506" s="23">
        <f>IF(BB506="","",SUMIFS(Performance!$O$5:$O$404,Performance!$M$5:$M$404,BB506))</f>
        <v>0</v>
      </c>
      <c r="BE506" s="23">
        <f>IF(BB506="","",SUMIFS(Performance!$Z$5:$Z$404,Performance!$M$5:$M$404,BB506))</f>
        <v>0</v>
      </c>
      <c r="BF506" s="24">
        <f>IF(OR(BD506="",BD506=0),"",BE506/BD506)</f>
        <v>0</v>
      </c>
      <c r="BG506" s="32">
        <f>IF(BC506=0,"",IF(BF506="","",BF506+ROW()/1000000))</f>
        <v>0</v>
      </c>
      <c r="BH506" s="17">
        <f>IF(Performance!$C$506="","",Performance!$C$506)</f>
        <v>0</v>
      </c>
      <c r="BI506" s="17">
        <f>IF(Performance!$F$506="","",Performance!$F$506)</f>
        <v>0</v>
      </c>
      <c r="BJ506" s="17">
        <f>IF(Performance!$H$506="","",Performance!$H$506)</f>
        <v>0</v>
      </c>
      <c r="BK506" s="16">
        <f>IF(Performance!$D$506="","",Performance!$D$506)</f>
        <v>0</v>
      </c>
      <c r="BL506" s="17">
        <f>IF(Performance!$E$506="","",Performance!$E$506)</f>
        <v>0</v>
      </c>
      <c r="BM506" s="23">
        <f>IF(Performance!$O$506="","",Performance!$O$506)</f>
        <v>0</v>
      </c>
      <c r="BN506" s="24">
        <f>IF(Performance!$AA$506="","",Performance!$AA$506)</f>
        <v>0</v>
      </c>
      <c r="BO506" s="32">
        <f>IF(BH506="","",IF(BK506="","",IF(OR(BK506&lt;DashStart,BK506&gt;DashEnd),"",IF(BN506="","",BN506+ROW()/1000000))))</f>
        <v>0</v>
      </c>
      <c r="BP506" s="32">
        <f>IF(BM506="","",IF(BK506="","",IF(OR(BK506&lt;DashStart,BK506&gt;DashEnd),"",BM506+ROW()/1000000)))</f>
        <v>0</v>
      </c>
      <c r="BQ506" s="32">
        <f>IF(BH506="","",IF(BK506="","",IF(YEAR(BK506)&lt;&gt;PlanYear,"",IF(BN506="","",BN506+ROW()/1000000))))</f>
        <v>0</v>
      </c>
      <c r="BR506" s="32">
        <f>IF(BH506="","",IF(BK506="","",IF(OR(BK506&lt;RepFrom,BK506&gt;RepTo),"",IF(BN506="","",BN506+ROW()/1000000))))</f>
        <v>0</v>
      </c>
      <c r="BS506" s="32">
        <f>IF(BM506="","",IF(BK506="","",IF(YEAR(BK506)&lt;&gt;PlanYear,"",BM506+ROW()/1000000)))</f>
        <v>0</v>
      </c>
      <c r="BT506" s="17">
        <f>IF(Lists!$F506="","",Lists!$F506)</f>
        <v>0</v>
      </c>
      <c r="BU506" s="23">
        <f>IF(BT506="","",COUNTIF('Content Calendar'!$X$5:$X$604,BT506))</f>
        <v>0</v>
      </c>
      <c r="BV506" s="23">
        <f>IF(BT506="","",COUNTIFS('Content Calendar'!$X$5:$X$604,BT506,'Content Calendar'!$B$5:$B$604,"&gt;="&amp;DashStart,'Content Calendar'!$B$5:$B$604,"&lt;="&amp;DashEnd))</f>
        <v>0</v>
      </c>
      <c r="BW506" s="17">
        <f>IF(Team!$B$506="","",Team!$B$506)</f>
        <v>0</v>
      </c>
      <c r="BX506" s="23">
        <f>IF(BW506="","",COUNTIF('Content Calendar'!$W$5:$W$604,BW506))</f>
        <v>0</v>
      </c>
      <c r="BY506" s="23">
        <f>IF(BW506="","",COUNTIFS('Content Calendar'!$W$5:$W$604,BW506,'Content Calendar'!$X$5:$X$604,"&lt;&gt;Published"))</f>
        <v>0</v>
      </c>
      <c r="BZ506" s="23">
        <f>IF(BW506="","",COUNTIFS(Tasks!$C$5:$C$64,BW506,Tasks!$G$5:$G$64,"&lt;&gt;Complete"))</f>
        <v>0</v>
      </c>
      <c r="CA506" s="17">
        <f>IF(Campaigns!$B$506="","",Campaigns!$B$506)</f>
        <v>0</v>
      </c>
      <c r="CB506" s="25">
        <f>IF(Campaigns!$T$506="","",Campaigns!$T$506)</f>
        <v>0</v>
      </c>
      <c r="CC506" s="25">
        <f>IF(Campaigns!$Q$506="","",Campaigns!$Q$506)</f>
        <v>0</v>
      </c>
      <c r="CD506" s="23">
        <f>IF(Campaigns!$Y$506="","",Campaigns!$Y$506)</f>
        <v>0</v>
      </c>
      <c r="CE506" s="32">
        <f>IF(CA506="","",IF(N(CB506)&lt;=0,"",N(CB506)+ROW()/1000000))</f>
        <v>0</v>
      </c>
      <c r="CF506" s="17">
        <f>IF(Accounts!$C$506="","",Accounts!$C$506)</f>
        <v>0</v>
      </c>
      <c r="CG506" s="17">
        <f>IF(Accounts!$B$506="","",Accounts!$B$506)</f>
        <v>0</v>
      </c>
      <c r="CH506" s="23">
        <f>IF(Accounts!$J$506="","",Accounts!$J$506)</f>
        <v>0</v>
      </c>
      <c r="CI506" s="23">
        <f>IF(CF506="","",SUMIFS(Analytics!$X$5:$X$154,Analytics!$E$5:$E$154,CF506,Analytics!$B$5:$B$154,"&gt;="&amp;DashStart,Analytics!$B$5:$B$154,"&lt;="&amp;DashEnd))</f>
        <v>0</v>
      </c>
      <c r="CJ506" s="32">
        <f>IF(CH506="","",IF(CH506=0,"",CH506+ROW()/1000000))</f>
        <v>0</v>
      </c>
    </row>
    <row r="507" spans="1:88">
      <c r="A507" s="16">
        <f>IF(ROW()-4&gt;12,"",DATE(PlanYear,ROW()-4,1))</f>
        <v>0</v>
      </c>
      <c r="B507" s="16">
        <f>IF(A507="","",EOMONTH(A507,0))</f>
        <v>0</v>
      </c>
      <c r="C507" s="17">
        <f>IF(A507="","",TEXT(A507,"yyyy-mm"))</f>
        <v>0</v>
      </c>
      <c r="D507" s="17">
        <f>IF(A507="","",TEXT(A507,"mmm"))</f>
        <v>0</v>
      </c>
      <c r="E507" s="23">
        <f>IF(C507="","",COUNTIFS('Content Calendar'!$D$5:$D$604,C507))</f>
        <v>0</v>
      </c>
      <c r="F507" s="23">
        <f>IF(C507="","",COUNTIFS('Content Calendar'!$D$5:$D$604,C507,'Content Calendar'!$X$5:$X$604,"Published"))</f>
        <v>0</v>
      </c>
      <c r="G507" s="23">
        <f>IF(C507="","",SUMIFS(Analytics!$J$5:$J$154,Analytics!$C$5:$C$154,C507))</f>
        <v>0</v>
      </c>
      <c r="H507" s="23">
        <f>IF(C507="","",SUMIFS(Analytics!$K$5:$K$154,Analytics!$C$5:$C$154,C507))</f>
        <v>0</v>
      </c>
      <c r="I507" s="23">
        <f>IF(C507="","",SUMIFS(Analytics!$L$5:$L$154,Analytics!$C$5:$C$154,C507))</f>
        <v>0</v>
      </c>
      <c r="J507" s="24">
        <f>IF(OR(G507="",G507=0),"",I507/G507)</f>
        <v>0</v>
      </c>
      <c r="K507" s="23">
        <f>IF(C507="","",SUMIFS(Analytics!$G$5:$G$154,Analytics!$C$5:$C$154,C507))</f>
        <v>0</v>
      </c>
      <c r="L507" s="23">
        <f>IF(C507="","",SUMIFS(Analytics!$X$5:$X$154,Analytics!$C$5:$C$154,C507))</f>
        <v>0</v>
      </c>
      <c r="M507" s="23">
        <f>IF(C507="","",SUMIFS(Analytics!$R$5:$R$154,Analytics!$C$5:$C$154,C507))</f>
        <v>0</v>
      </c>
      <c r="N507" s="23">
        <f>IF(C507="","",SUMIFS(Analytics!$S$5:$S$154,Analytics!$C$5:$C$154,C507))</f>
        <v>0</v>
      </c>
      <c r="O507" s="23">
        <f>IF(C507="","",SUMIFS(Analytics!$T$5:$T$154,Analytics!$C$5:$C$154,C507))</f>
        <v>0</v>
      </c>
      <c r="P507" s="25">
        <f>IF(C507="","",SUMIFS(Analytics!$U$5:$U$154,Analytics!$C$5:$C$154,C507))</f>
        <v>0</v>
      </c>
      <c r="Q507" s="25">
        <f>IF(C507="","",SUMIFS(Budget!$H$5:$H$64,Budget!$C$5:$C$64,C507))</f>
        <v>0</v>
      </c>
      <c r="R507" s="25">
        <f>IF(C507="","",P507-Q507)</f>
        <v>0</v>
      </c>
      <c r="S507" s="23">
        <f>IF(C507="","",MonthlyPostTarget)</f>
        <v>0</v>
      </c>
      <c r="T507" s="17">
        <f>IF(Lists!$C507="","",Lists!$C507)</f>
        <v>0</v>
      </c>
      <c r="U507" s="23">
        <f>IF(T507="","",COUNTIFS('Content Calendar'!$G$5:$G$604,T507,'Content Calendar'!$B$5:$B$604,"&gt;="&amp;DashStart,'Content Calendar'!$B$5:$B$604,"&lt;="&amp;DashEnd))</f>
        <v>0</v>
      </c>
      <c r="V507" s="23">
        <f>IF(T507="","",COUNTIFS('Content Calendar'!$G$5:$G$604,T507,'Content Calendar'!$X$5:$X$604,"Published",'Content Calendar'!$B$5:$B$604,"&gt;="&amp;DashStart,'Content Calendar'!$B$5:$B$604,"&lt;="&amp;DashEnd))</f>
        <v>0</v>
      </c>
      <c r="W507" s="23">
        <f>IF(T507="","",SUMIFS(Analytics!$J$5:$J$154,Analytics!$D$5:$D$154,T507,Analytics!$B$5:$B$154,"&gt;="&amp;DashStart,Analytics!$B$5:$B$154,"&lt;="&amp;DashEnd))</f>
        <v>0</v>
      </c>
      <c r="X507" s="23">
        <f>IF(T507="","",SUMIFS(Analytics!$L$5:$L$154,Analytics!$D$5:$D$154,T507,Analytics!$B$5:$B$154,"&gt;="&amp;DashStart,Analytics!$B$5:$B$154,"&lt;="&amp;DashEnd))</f>
        <v>0</v>
      </c>
      <c r="Y507" s="24">
        <f>IF(OR(W507="",W507=0),"",X507/W507)</f>
        <v>0</v>
      </c>
      <c r="Z507" s="23">
        <f>IF(T507="","",SUMIFS(Analytics!$G$5:$G$154,Analytics!$D$5:$D$154,T507,Analytics!$B$5:$B$154,"&gt;="&amp;DashStart,Analytics!$B$5:$B$154,"&lt;="&amp;DashEnd))</f>
        <v>0</v>
      </c>
      <c r="AA507" s="23">
        <f>IF(T507="","",SUMIFS(Analytics!$X$5:$X$154,Analytics!$D$5:$D$154,T507,Analytics!$B$5:$B$154,"&gt;="&amp;DashStart,Analytics!$B$5:$B$154,"&lt;="&amp;DashEnd))</f>
        <v>0</v>
      </c>
      <c r="AB507" s="23">
        <f>IF(T507="","",SUMIFS(Analytics!$R$5:$R$154,Analytics!$D$5:$D$154,T507,Analytics!$B$5:$B$154,"&gt;="&amp;DashStart,Analytics!$B$5:$B$154,"&lt;="&amp;DashEnd))</f>
        <v>0</v>
      </c>
      <c r="AC507" s="25">
        <f>IF(T507="","",SUMIFS(Analytics!$U$5:$U$154,Analytics!$D$5:$D$154,T507,Analytics!$B$5:$B$154,"&gt;="&amp;DashStart,Analytics!$B$5:$B$154,"&lt;="&amp;DashEnd))</f>
        <v>0</v>
      </c>
      <c r="AD507" s="23">
        <f>IF(T507="","",COUNTIFS('Content Calendar'!$G$5:$G$604,T507,'Content Calendar'!$B$5:$B$604,"&gt;="&amp;DATE(PlanYear,1,1),'Content Calendar'!$B$5:$B$604,"&lt;="&amp;DATE(PlanYear,12,31)))</f>
        <v>0</v>
      </c>
      <c r="AE507" s="23">
        <f>IF(T507="","",SUMIFS(Analytics!$J$5:$J$154,Analytics!$D$5:$D$154,T507))</f>
        <v>0</v>
      </c>
      <c r="AF507" s="23">
        <f>IF(T507="","",SUMIFS(Analytics!$L$5:$L$154,Analytics!$D$5:$D$154,T507))</f>
        <v>0</v>
      </c>
      <c r="AG507" s="24">
        <f>IF(OR(AE507="",AE507=0),"",AF507/AE507)</f>
        <v>0</v>
      </c>
      <c r="AH507" s="23">
        <f>IF(T507="","",SUMIFS(Analytics!$X$5:$X$154,Analytics!$D$5:$D$154,T507))</f>
        <v>0</v>
      </c>
      <c r="AI507" s="32">
        <f>IF(T507="","",IF(AE507=0,"",AE507+ROW()/1000000))</f>
        <v>0</v>
      </c>
      <c r="AJ507" s="17">
        <f>IF('Content Pillars'!$B$507="","",'Content Pillars'!$B$507)</f>
        <v>0</v>
      </c>
      <c r="AK507" s="23">
        <f>IF(AJ507="","",COUNTIFS('Content Calendar'!$J$5:$J$604,AJ507,'Content Calendar'!$B$5:$B$604,"&gt;="&amp;DATE(PlanYear,1,1),'Content Calendar'!$B$5:$B$604,"&lt;="&amp;DATE(PlanYear,12,31)))</f>
        <v>0</v>
      </c>
      <c r="AL507" s="23">
        <f>IF(AJ507="","",SUMIFS(Performance!$O$5:$O$404,Performance!$H$5:$H$404,AJ507))</f>
        <v>0</v>
      </c>
      <c r="AM507" s="23">
        <f>IF(AJ507="","",SUMIFS(Performance!$Z$5:$Z$404,Performance!$H$5:$H$404,AJ507))</f>
        <v>0</v>
      </c>
      <c r="AN507" s="24">
        <f>IF(OR(AL507="",AL507=0),"",AM507/AL507)</f>
        <v>0</v>
      </c>
      <c r="AO507" s="32">
        <f>IF(AN507="","",AN507+ROW()/1000000)</f>
        <v>0</v>
      </c>
      <c r="AP507" s="17">
        <f>IF(Lists!$E507="","",Lists!$E507)</f>
        <v>0</v>
      </c>
      <c r="AQ507" s="23">
        <f>IF(AP507="","",COUNTIF(Performance!$G$5:$G$404,AP507))</f>
        <v>0</v>
      </c>
      <c r="AR507" s="23">
        <f>IF(AP507="","",SUMIFS(Performance!$O$5:$O$404,Performance!$G$5:$G$404,AP507))</f>
        <v>0</v>
      </c>
      <c r="AS507" s="23">
        <f>IF(AP507="","",SUMIFS(Performance!$Z$5:$Z$404,Performance!$G$5:$G$404,AP507))</f>
        <v>0</v>
      </c>
      <c r="AT507" s="24">
        <f>IF(OR(AR507="",AR507=0),"",AS507/AR507)</f>
        <v>0</v>
      </c>
      <c r="AU507" s="32">
        <f>IF(AQ507=0,"",IF(AT507="","",AT507+ROW()/1000000))</f>
        <v>0</v>
      </c>
      <c r="AV507" s="17">
        <f>IF(ROW()-4&gt;7,"",TEXT(DATE(2024,1,ROW()-4),"ddd"))</f>
        <v>0</v>
      </c>
      <c r="AW507" s="23">
        <f>IF(AV507="","",COUNTIF(Performance!$N$5:$N$404,AV507))</f>
        <v>0</v>
      </c>
      <c r="AX507" s="23">
        <f>IF(AV507="","",SUMIFS(Performance!$O$5:$O$404,Performance!$N$5:$N$404,AV507))</f>
        <v>0</v>
      </c>
      <c r="AY507" s="23">
        <f>IF(AV507="","",SUMIFS(Performance!$Z$5:$Z$404,Performance!$N$5:$N$404,AV507))</f>
        <v>0</v>
      </c>
      <c r="AZ507" s="24">
        <f>IF(OR(AX507="",AX507=0),"",AY507/AX507)</f>
        <v>0</v>
      </c>
      <c r="BA507" s="32">
        <f>IF(AW507=0,"",IF(AZ507="","",AZ507+ROW()/1000000))</f>
        <v>0</v>
      </c>
      <c r="BB507" s="17">
        <f>IF(Lists!$AL507="","",Lists!$AL507)</f>
        <v>0</v>
      </c>
      <c r="BC507" s="23">
        <f>IF(BB507="","",COUNTIF(Performance!$M$5:$M$404,BB507))</f>
        <v>0</v>
      </c>
      <c r="BD507" s="23">
        <f>IF(BB507="","",SUMIFS(Performance!$O$5:$O$404,Performance!$M$5:$M$404,BB507))</f>
        <v>0</v>
      </c>
      <c r="BE507" s="23">
        <f>IF(BB507="","",SUMIFS(Performance!$Z$5:$Z$404,Performance!$M$5:$M$404,BB507))</f>
        <v>0</v>
      </c>
      <c r="BF507" s="24">
        <f>IF(OR(BD507="",BD507=0),"",BE507/BD507)</f>
        <v>0</v>
      </c>
      <c r="BG507" s="32">
        <f>IF(BC507=0,"",IF(BF507="","",BF507+ROW()/1000000))</f>
        <v>0</v>
      </c>
      <c r="BH507" s="17">
        <f>IF(Performance!$C$507="","",Performance!$C$507)</f>
        <v>0</v>
      </c>
      <c r="BI507" s="17">
        <f>IF(Performance!$F$507="","",Performance!$F$507)</f>
        <v>0</v>
      </c>
      <c r="BJ507" s="17">
        <f>IF(Performance!$H$507="","",Performance!$H$507)</f>
        <v>0</v>
      </c>
      <c r="BK507" s="16">
        <f>IF(Performance!$D$507="","",Performance!$D$507)</f>
        <v>0</v>
      </c>
      <c r="BL507" s="17">
        <f>IF(Performance!$E$507="","",Performance!$E$507)</f>
        <v>0</v>
      </c>
      <c r="BM507" s="23">
        <f>IF(Performance!$O$507="","",Performance!$O$507)</f>
        <v>0</v>
      </c>
      <c r="BN507" s="24">
        <f>IF(Performance!$AA$507="","",Performance!$AA$507)</f>
        <v>0</v>
      </c>
      <c r="BO507" s="32">
        <f>IF(BH507="","",IF(BK507="","",IF(OR(BK507&lt;DashStart,BK507&gt;DashEnd),"",IF(BN507="","",BN507+ROW()/1000000))))</f>
        <v>0</v>
      </c>
      <c r="BP507" s="32">
        <f>IF(BM507="","",IF(BK507="","",IF(OR(BK507&lt;DashStart,BK507&gt;DashEnd),"",BM507+ROW()/1000000)))</f>
        <v>0</v>
      </c>
      <c r="BQ507" s="32">
        <f>IF(BH507="","",IF(BK507="","",IF(YEAR(BK507)&lt;&gt;PlanYear,"",IF(BN507="","",BN507+ROW()/1000000))))</f>
        <v>0</v>
      </c>
      <c r="BR507" s="32">
        <f>IF(BH507="","",IF(BK507="","",IF(OR(BK507&lt;RepFrom,BK507&gt;RepTo),"",IF(BN507="","",BN507+ROW()/1000000))))</f>
        <v>0</v>
      </c>
      <c r="BS507" s="32">
        <f>IF(BM507="","",IF(BK507="","",IF(YEAR(BK507)&lt;&gt;PlanYear,"",BM507+ROW()/1000000)))</f>
        <v>0</v>
      </c>
      <c r="BT507" s="17">
        <f>IF(Lists!$F507="","",Lists!$F507)</f>
        <v>0</v>
      </c>
      <c r="BU507" s="23">
        <f>IF(BT507="","",COUNTIF('Content Calendar'!$X$5:$X$604,BT507))</f>
        <v>0</v>
      </c>
      <c r="BV507" s="23">
        <f>IF(BT507="","",COUNTIFS('Content Calendar'!$X$5:$X$604,BT507,'Content Calendar'!$B$5:$B$604,"&gt;="&amp;DashStart,'Content Calendar'!$B$5:$B$604,"&lt;="&amp;DashEnd))</f>
        <v>0</v>
      </c>
      <c r="BW507" s="17">
        <f>IF(Team!$B$507="","",Team!$B$507)</f>
        <v>0</v>
      </c>
      <c r="BX507" s="23">
        <f>IF(BW507="","",COUNTIF('Content Calendar'!$W$5:$W$604,BW507))</f>
        <v>0</v>
      </c>
      <c r="BY507" s="23">
        <f>IF(BW507="","",COUNTIFS('Content Calendar'!$W$5:$W$604,BW507,'Content Calendar'!$X$5:$X$604,"&lt;&gt;Published"))</f>
        <v>0</v>
      </c>
      <c r="BZ507" s="23">
        <f>IF(BW507="","",COUNTIFS(Tasks!$C$5:$C$64,BW507,Tasks!$G$5:$G$64,"&lt;&gt;Complete"))</f>
        <v>0</v>
      </c>
      <c r="CA507" s="17">
        <f>IF(Campaigns!$B$507="","",Campaigns!$B$507)</f>
        <v>0</v>
      </c>
      <c r="CB507" s="25">
        <f>IF(Campaigns!$T$507="","",Campaigns!$T$507)</f>
        <v>0</v>
      </c>
      <c r="CC507" s="25">
        <f>IF(Campaigns!$Q$507="","",Campaigns!$Q$507)</f>
        <v>0</v>
      </c>
      <c r="CD507" s="23">
        <f>IF(Campaigns!$Y$507="","",Campaigns!$Y$507)</f>
        <v>0</v>
      </c>
      <c r="CE507" s="32">
        <f>IF(CA507="","",IF(N(CB507)&lt;=0,"",N(CB507)+ROW()/1000000))</f>
        <v>0</v>
      </c>
      <c r="CF507" s="17">
        <f>IF(Accounts!$C$507="","",Accounts!$C$507)</f>
        <v>0</v>
      </c>
      <c r="CG507" s="17">
        <f>IF(Accounts!$B$507="","",Accounts!$B$507)</f>
        <v>0</v>
      </c>
      <c r="CH507" s="23">
        <f>IF(Accounts!$J$507="","",Accounts!$J$507)</f>
        <v>0</v>
      </c>
      <c r="CI507" s="23">
        <f>IF(CF507="","",SUMIFS(Analytics!$X$5:$X$154,Analytics!$E$5:$E$154,CF507,Analytics!$B$5:$B$154,"&gt;="&amp;DashStart,Analytics!$B$5:$B$154,"&lt;="&amp;DashEnd))</f>
        <v>0</v>
      </c>
      <c r="CJ507" s="32">
        <f>IF(CH507="","",IF(CH507=0,"",CH507+ROW()/1000000))</f>
        <v>0</v>
      </c>
    </row>
    <row r="508" spans="1:88">
      <c r="A508" s="16">
        <f>IF(ROW()-4&gt;12,"",DATE(PlanYear,ROW()-4,1))</f>
        <v>0</v>
      </c>
      <c r="B508" s="16">
        <f>IF(A508="","",EOMONTH(A508,0))</f>
        <v>0</v>
      </c>
      <c r="C508" s="17">
        <f>IF(A508="","",TEXT(A508,"yyyy-mm"))</f>
        <v>0</v>
      </c>
      <c r="D508" s="17">
        <f>IF(A508="","",TEXT(A508,"mmm"))</f>
        <v>0</v>
      </c>
      <c r="E508" s="23">
        <f>IF(C508="","",COUNTIFS('Content Calendar'!$D$5:$D$604,C508))</f>
        <v>0</v>
      </c>
      <c r="F508" s="23">
        <f>IF(C508="","",COUNTIFS('Content Calendar'!$D$5:$D$604,C508,'Content Calendar'!$X$5:$X$604,"Published"))</f>
        <v>0</v>
      </c>
      <c r="G508" s="23">
        <f>IF(C508="","",SUMIFS(Analytics!$J$5:$J$154,Analytics!$C$5:$C$154,C508))</f>
        <v>0</v>
      </c>
      <c r="H508" s="23">
        <f>IF(C508="","",SUMIFS(Analytics!$K$5:$K$154,Analytics!$C$5:$C$154,C508))</f>
        <v>0</v>
      </c>
      <c r="I508" s="23">
        <f>IF(C508="","",SUMIFS(Analytics!$L$5:$L$154,Analytics!$C$5:$C$154,C508))</f>
        <v>0</v>
      </c>
      <c r="J508" s="24">
        <f>IF(OR(G508="",G508=0),"",I508/G508)</f>
        <v>0</v>
      </c>
      <c r="K508" s="23">
        <f>IF(C508="","",SUMIFS(Analytics!$G$5:$G$154,Analytics!$C$5:$C$154,C508))</f>
        <v>0</v>
      </c>
      <c r="L508" s="23">
        <f>IF(C508="","",SUMIFS(Analytics!$X$5:$X$154,Analytics!$C$5:$C$154,C508))</f>
        <v>0</v>
      </c>
      <c r="M508" s="23">
        <f>IF(C508="","",SUMIFS(Analytics!$R$5:$R$154,Analytics!$C$5:$C$154,C508))</f>
        <v>0</v>
      </c>
      <c r="N508" s="23">
        <f>IF(C508="","",SUMIFS(Analytics!$S$5:$S$154,Analytics!$C$5:$C$154,C508))</f>
        <v>0</v>
      </c>
      <c r="O508" s="23">
        <f>IF(C508="","",SUMIFS(Analytics!$T$5:$T$154,Analytics!$C$5:$C$154,C508))</f>
        <v>0</v>
      </c>
      <c r="P508" s="25">
        <f>IF(C508="","",SUMIFS(Analytics!$U$5:$U$154,Analytics!$C$5:$C$154,C508))</f>
        <v>0</v>
      </c>
      <c r="Q508" s="25">
        <f>IF(C508="","",SUMIFS(Budget!$H$5:$H$64,Budget!$C$5:$C$64,C508))</f>
        <v>0</v>
      </c>
      <c r="R508" s="25">
        <f>IF(C508="","",P508-Q508)</f>
        <v>0</v>
      </c>
      <c r="S508" s="23">
        <f>IF(C508="","",MonthlyPostTarget)</f>
        <v>0</v>
      </c>
      <c r="T508" s="17">
        <f>IF(Lists!$C508="","",Lists!$C508)</f>
        <v>0</v>
      </c>
      <c r="U508" s="23">
        <f>IF(T508="","",COUNTIFS('Content Calendar'!$G$5:$G$604,T508,'Content Calendar'!$B$5:$B$604,"&gt;="&amp;DashStart,'Content Calendar'!$B$5:$B$604,"&lt;="&amp;DashEnd))</f>
        <v>0</v>
      </c>
      <c r="V508" s="23">
        <f>IF(T508="","",COUNTIFS('Content Calendar'!$G$5:$G$604,T508,'Content Calendar'!$X$5:$X$604,"Published",'Content Calendar'!$B$5:$B$604,"&gt;="&amp;DashStart,'Content Calendar'!$B$5:$B$604,"&lt;="&amp;DashEnd))</f>
        <v>0</v>
      </c>
      <c r="W508" s="23">
        <f>IF(T508="","",SUMIFS(Analytics!$J$5:$J$154,Analytics!$D$5:$D$154,T508,Analytics!$B$5:$B$154,"&gt;="&amp;DashStart,Analytics!$B$5:$B$154,"&lt;="&amp;DashEnd))</f>
        <v>0</v>
      </c>
      <c r="X508" s="23">
        <f>IF(T508="","",SUMIFS(Analytics!$L$5:$L$154,Analytics!$D$5:$D$154,T508,Analytics!$B$5:$B$154,"&gt;="&amp;DashStart,Analytics!$B$5:$B$154,"&lt;="&amp;DashEnd))</f>
        <v>0</v>
      </c>
      <c r="Y508" s="24">
        <f>IF(OR(W508="",W508=0),"",X508/W508)</f>
        <v>0</v>
      </c>
      <c r="Z508" s="23">
        <f>IF(T508="","",SUMIFS(Analytics!$G$5:$G$154,Analytics!$D$5:$D$154,T508,Analytics!$B$5:$B$154,"&gt;="&amp;DashStart,Analytics!$B$5:$B$154,"&lt;="&amp;DashEnd))</f>
        <v>0</v>
      </c>
      <c r="AA508" s="23">
        <f>IF(T508="","",SUMIFS(Analytics!$X$5:$X$154,Analytics!$D$5:$D$154,T508,Analytics!$B$5:$B$154,"&gt;="&amp;DashStart,Analytics!$B$5:$B$154,"&lt;="&amp;DashEnd))</f>
        <v>0</v>
      </c>
      <c r="AB508" s="23">
        <f>IF(T508="","",SUMIFS(Analytics!$R$5:$R$154,Analytics!$D$5:$D$154,T508,Analytics!$B$5:$B$154,"&gt;="&amp;DashStart,Analytics!$B$5:$B$154,"&lt;="&amp;DashEnd))</f>
        <v>0</v>
      </c>
      <c r="AC508" s="25">
        <f>IF(T508="","",SUMIFS(Analytics!$U$5:$U$154,Analytics!$D$5:$D$154,T508,Analytics!$B$5:$B$154,"&gt;="&amp;DashStart,Analytics!$B$5:$B$154,"&lt;="&amp;DashEnd))</f>
        <v>0</v>
      </c>
      <c r="AD508" s="23">
        <f>IF(T508="","",COUNTIFS('Content Calendar'!$G$5:$G$604,T508,'Content Calendar'!$B$5:$B$604,"&gt;="&amp;DATE(PlanYear,1,1),'Content Calendar'!$B$5:$B$604,"&lt;="&amp;DATE(PlanYear,12,31)))</f>
        <v>0</v>
      </c>
      <c r="AE508" s="23">
        <f>IF(T508="","",SUMIFS(Analytics!$J$5:$J$154,Analytics!$D$5:$D$154,T508))</f>
        <v>0</v>
      </c>
      <c r="AF508" s="23">
        <f>IF(T508="","",SUMIFS(Analytics!$L$5:$L$154,Analytics!$D$5:$D$154,T508))</f>
        <v>0</v>
      </c>
      <c r="AG508" s="24">
        <f>IF(OR(AE508="",AE508=0),"",AF508/AE508)</f>
        <v>0</v>
      </c>
      <c r="AH508" s="23">
        <f>IF(T508="","",SUMIFS(Analytics!$X$5:$X$154,Analytics!$D$5:$D$154,T508))</f>
        <v>0</v>
      </c>
      <c r="AI508" s="32">
        <f>IF(T508="","",IF(AE508=0,"",AE508+ROW()/1000000))</f>
        <v>0</v>
      </c>
      <c r="AJ508" s="17">
        <f>IF('Content Pillars'!$B$508="","",'Content Pillars'!$B$508)</f>
        <v>0</v>
      </c>
      <c r="AK508" s="23">
        <f>IF(AJ508="","",COUNTIFS('Content Calendar'!$J$5:$J$604,AJ508,'Content Calendar'!$B$5:$B$604,"&gt;="&amp;DATE(PlanYear,1,1),'Content Calendar'!$B$5:$B$604,"&lt;="&amp;DATE(PlanYear,12,31)))</f>
        <v>0</v>
      </c>
      <c r="AL508" s="23">
        <f>IF(AJ508="","",SUMIFS(Performance!$O$5:$O$404,Performance!$H$5:$H$404,AJ508))</f>
        <v>0</v>
      </c>
      <c r="AM508" s="23">
        <f>IF(AJ508="","",SUMIFS(Performance!$Z$5:$Z$404,Performance!$H$5:$H$404,AJ508))</f>
        <v>0</v>
      </c>
      <c r="AN508" s="24">
        <f>IF(OR(AL508="",AL508=0),"",AM508/AL508)</f>
        <v>0</v>
      </c>
      <c r="AO508" s="32">
        <f>IF(AN508="","",AN508+ROW()/1000000)</f>
        <v>0</v>
      </c>
      <c r="AP508" s="17">
        <f>IF(Lists!$E508="","",Lists!$E508)</f>
        <v>0</v>
      </c>
      <c r="AQ508" s="23">
        <f>IF(AP508="","",COUNTIF(Performance!$G$5:$G$404,AP508))</f>
        <v>0</v>
      </c>
      <c r="AR508" s="23">
        <f>IF(AP508="","",SUMIFS(Performance!$O$5:$O$404,Performance!$G$5:$G$404,AP508))</f>
        <v>0</v>
      </c>
      <c r="AS508" s="23">
        <f>IF(AP508="","",SUMIFS(Performance!$Z$5:$Z$404,Performance!$G$5:$G$404,AP508))</f>
        <v>0</v>
      </c>
      <c r="AT508" s="24">
        <f>IF(OR(AR508="",AR508=0),"",AS508/AR508)</f>
        <v>0</v>
      </c>
      <c r="AU508" s="32">
        <f>IF(AQ508=0,"",IF(AT508="","",AT508+ROW()/1000000))</f>
        <v>0</v>
      </c>
      <c r="AV508" s="17">
        <f>IF(ROW()-4&gt;7,"",TEXT(DATE(2024,1,ROW()-4),"ddd"))</f>
        <v>0</v>
      </c>
      <c r="AW508" s="23">
        <f>IF(AV508="","",COUNTIF(Performance!$N$5:$N$404,AV508))</f>
        <v>0</v>
      </c>
      <c r="AX508" s="23">
        <f>IF(AV508="","",SUMIFS(Performance!$O$5:$O$404,Performance!$N$5:$N$404,AV508))</f>
        <v>0</v>
      </c>
      <c r="AY508" s="23">
        <f>IF(AV508="","",SUMIFS(Performance!$Z$5:$Z$404,Performance!$N$5:$N$404,AV508))</f>
        <v>0</v>
      </c>
      <c r="AZ508" s="24">
        <f>IF(OR(AX508="",AX508=0),"",AY508/AX508)</f>
        <v>0</v>
      </c>
      <c r="BA508" s="32">
        <f>IF(AW508=0,"",IF(AZ508="","",AZ508+ROW()/1000000))</f>
        <v>0</v>
      </c>
      <c r="BB508" s="17">
        <f>IF(Lists!$AL508="","",Lists!$AL508)</f>
        <v>0</v>
      </c>
      <c r="BC508" s="23">
        <f>IF(BB508="","",COUNTIF(Performance!$M$5:$M$404,BB508))</f>
        <v>0</v>
      </c>
      <c r="BD508" s="23">
        <f>IF(BB508="","",SUMIFS(Performance!$O$5:$O$404,Performance!$M$5:$M$404,BB508))</f>
        <v>0</v>
      </c>
      <c r="BE508" s="23">
        <f>IF(BB508="","",SUMIFS(Performance!$Z$5:$Z$404,Performance!$M$5:$M$404,BB508))</f>
        <v>0</v>
      </c>
      <c r="BF508" s="24">
        <f>IF(OR(BD508="",BD508=0),"",BE508/BD508)</f>
        <v>0</v>
      </c>
      <c r="BG508" s="32">
        <f>IF(BC508=0,"",IF(BF508="","",BF508+ROW()/1000000))</f>
        <v>0</v>
      </c>
      <c r="BH508" s="17">
        <f>IF(Performance!$C$508="","",Performance!$C$508)</f>
        <v>0</v>
      </c>
      <c r="BI508" s="17">
        <f>IF(Performance!$F$508="","",Performance!$F$508)</f>
        <v>0</v>
      </c>
      <c r="BJ508" s="17">
        <f>IF(Performance!$H$508="","",Performance!$H$508)</f>
        <v>0</v>
      </c>
      <c r="BK508" s="16">
        <f>IF(Performance!$D$508="","",Performance!$D$508)</f>
        <v>0</v>
      </c>
      <c r="BL508" s="17">
        <f>IF(Performance!$E$508="","",Performance!$E$508)</f>
        <v>0</v>
      </c>
      <c r="BM508" s="23">
        <f>IF(Performance!$O$508="","",Performance!$O$508)</f>
        <v>0</v>
      </c>
      <c r="BN508" s="24">
        <f>IF(Performance!$AA$508="","",Performance!$AA$508)</f>
        <v>0</v>
      </c>
      <c r="BO508" s="32">
        <f>IF(BH508="","",IF(BK508="","",IF(OR(BK508&lt;DashStart,BK508&gt;DashEnd),"",IF(BN508="","",BN508+ROW()/1000000))))</f>
        <v>0</v>
      </c>
      <c r="BP508" s="32">
        <f>IF(BM508="","",IF(BK508="","",IF(OR(BK508&lt;DashStart,BK508&gt;DashEnd),"",BM508+ROW()/1000000)))</f>
        <v>0</v>
      </c>
      <c r="BQ508" s="32">
        <f>IF(BH508="","",IF(BK508="","",IF(YEAR(BK508)&lt;&gt;PlanYear,"",IF(BN508="","",BN508+ROW()/1000000))))</f>
        <v>0</v>
      </c>
      <c r="BR508" s="32">
        <f>IF(BH508="","",IF(BK508="","",IF(OR(BK508&lt;RepFrom,BK508&gt;RepTo),"",IF(BN508="","",BN508+ROW()/1000000))))</f>
        <v>0</v>
      </c>
      <c r="BS508" s="32">
        <f>IF(BM508="","",IF(BK508="","",IF(YEAR(BK508)&lt;&gt;PlanYear,"",BM508+ROW()/1000000)))</f>
        <v>0</v>
      </c>
      <c r="BT508" s="17">
        <f>IF(Lists!$F508="","",Lists!$F508)</f>
        <v>0</v>
      </c>
      <c r="BU508" s="23">
        <f>IF(BT508="","",COUNTIF('Content Calendar'!$X$5:$X$604,BT508))</f>
        <v>0</v>
      </c>
      <c r="BV508" s="23">
        <f>IF(BT508="","",COUNTIFS('Content Calendar'!$X$5:$X$604,BT508,'Content Calendar'!$B$5:$B$604,"&gt;="&amp;DashStart,'Content Calendar'!$B$5:$B$604,"&lt;="&amp;DashEnd))</f>
        <v>0</v>
      </c>
      <c r="BW508" s="17">
        <f>IF(Team!$B$508="","",Team!$B$508)</f>
        <v>0</v>
      </c>
      <c r="BX508" s="23">
        <f>IF(BW508="","",COUNTIF('Content Calendar'!$W$5:$W$604,BW508))</f>
        <v>0</v>
      </c>
      <c r="BY508" s="23">
        <f>IF(BW508="","",COUNTIFS('Content Calendar'!$W$5:$W$604,BW508,'Content Calendar'!$X$5:$X$604,"&lt;&gt;Published"))</f>
        <v>0</v>
      </c>
      <c r="BZ508" s="23">
        <f>IF(BW508="","",COUNTIFS(Tasks!$C$5:$C$64,BW508,Tasks!$G$5:$G$64,"&lt;&gt;Complete"))</f>
        <v>0</v>
      </c>
      <c r="CA508" s="17">
        <f>IF(Campaigns!$B$508="","",Campaigns!$B$508)</f>
        <v>0</v>
      </c>
      <c r="CB508" s="25">
        <f>IF(Campaigns!$T$508="","",Campaigns!$T$508)</f>
        <v>0</v>
      </c>
      <c r="CC508" s="25">
        <f>IF(Campaigns!$Q$508="","",Campaigns!$Q$508)</f>
        <v>0</v>
      </c>
      <c r="CD508" s="23">
        <f>IF(Campaigns!$Y$508="","",Campaigns!$Y$508)</f>
        <v>0</v>
      </c>
      <c r="CE508" s="32">
        <f>IF(CA508="","",IF(N(CB508)&lt;=0,"",N(CB508)+ROW()/1000000))</f>
        <v>0</v>
      </c>
      <c r="CF508" s="17">
        <f>IF(Accounts!$C$508="","",Accounts!$C$508)</f>
        <v>0</v>
      </c>
      <c r="CG508" s="17">
        <f>IF(Accounts!$B$508="","",Accounts!$B$508)</f>
        <v>0</v>
      </c>
      <c r="CH508" s="23">
        <f>IF(Accounts!$J$508="","",Accounts!$J$508)</f>
        <v>0</v>
      </c>
      <c r="CI508" s="23">
        <f>IF(CF508="","",SUMIFS(Analytics!$X$5:$X$154,Analytics!$E$5:$E$154,CF508,Analytics!$B$5:$B$154,"&gt;="&amp;DashStart,Analytics!$B$5:$B$154,"&lt;="&amp;DashEnd))</f>
        <v>0</v>
      </c>
      <c r="CJ508" s="32">
        <f>IF(CH508="","",IF(CH508=0,"",CH508+ROW()/1000000))</f>
        <v>0</v>
      </c>
    </row>
    <row r="509" spans="1:88">
      <c r="A509" s="16">
        <f>IF(ROW()-4&gt;12,"",DATE(PlanYear,ROW()-4,1))</f>
        <v>0</v>
      </c>
      <c r="B509" s="16">
        <f>IF(A509="","",EOMONTH(A509,0))</f>
        <v>0</v>
      </c>
      <c r="C509" s="17">
        <f>IF(A509="","",TEXT(A509,"yyyy-mm"))</f>
        <v>0</v>
      </c>
      <c r="D509" s="17">
        <f>IF(A509="","",TEXT(A509,"mmm"))</f>
        <v>0</v>
      </c>
      <c r="E509" s="23">
        <f>IF(C509="","",COUNTIFS('Content Calendar'!$D$5:$D$604,C509))</f>
        <v>0</v>
      </c>
      <c r="F509" s="23">
        <f>IF(C509="","",COUNTIFS('Content Calendar'!$D$5:$D$604,C509,'Content Calendar'!$X$5:$X$604,"Published"))</f>
        <v>0</v>
      </c>
      <c r="G509" s="23">
        <f>IF(C509="","",SUMIFS(Analytics!$J$5:$J$154,Analytics!$C$5:$C$154,C509))</f>
        <v>0</v>
      </c>
      <c r="H509" s="23">
        <f>IF(C509="","",SUMIFS(Analytics!$K$5:$K$154,Analytics!$C$5:$C$154,C509))</f>
        <v>0</v>
      </c>
      <c r="I509" s="23">
        <f>IF(C509="","",SUMIFS(Analytics!$L$5:$L$154,Analytics!$C$5:$C$154,C509))</f>
        <v>0</v>
      </c>
      <c r="J509" s="24">
        <f>IF(OR(G509="",G509=0),"",I509/G509)</f>
        <v>0</v>
      </c>
      <c r="K509" s="23">
        <f>IF(C509="","",SUMIFS(Analytics!$G$5:$G$154,Analytics!$C$5:$C$154,C509))</f>
        <v>0</v>
      </c>
      <c r="L509" s="23">
        <f>IF(C509="","",SUMIFS(Analytics!$X$5:$X$154,Analytics!$C$5:$C$154,C509))</f>
        <v>0</v>
      </c>
      <c r="M509" s="23">
        <f>IF(C509="","",SUMIFS(Analytics!$R$5:$R$154,Analytics!$C$5:$C$154,C509))</f>
        <v>0</v>
      </c>
      <c r="N509" s="23">
        <f>IF(C509="","",SUMIFS(Analytics!$S$5:$S$154,Analytics!$C$5:$C$154,C509))</f>
        <v>0</v>
      </c>
      <c r="O509" s="23">
        <f>IF(C509="","",SUMIFS(Analytics!$T$5:$T$154,Analytics!$C$5:$C$154,C509))</f>
        <v>0</v>
      </c>
      <c r="P509" s="25">
        <f>IF(C509="","",SUMIFS(Analytics!$U$5:$U$154,Analytics!$C$5:$C$154,C509))</f>
        <v>0</v>
      </c>
      <c r="Q509" s="25">
        <f>IF(C509="","",SUMIFS(Budget!$H$5:$H$64,Budget!$C$5:$C$64,C509))</f>
        <v>0</v>
      </c>
      <c r="R509" s="25">
        <f>IF(C509="","",P509-Q509)</f>
        <v>0</v>
      </c>
      <c r="S509" s="23">
        <f>IF(C509="","",MonthlyPostTarget)</f>
        <v>0</v>
      </c>
      <c r="T509" s="17">
        <f>IF(Lists!$C509="","",Lists!$C509)</f>
        <v>0</v>
      </c>
      <c r="U509" s="23">
        <f>IF(T509="","",COUNTIFS('Content Calendar'!$G$5:$G$604,T509,'Content Calendar'!$B$5:$B$604,"&gt;="&amp;DashStart,'Content Calendar'!$B$5:$B$604,"&lt;="&amp;DashEnd))</f>
        <v>0</v>
      </c>
      <c r="V509" s="23">
        <f>IF(T509="","",COUNTIFS('Content Calendar'!$G$5:$G$604,T509,'Content Calendar'!$X$5:$X$604,"Published",'Content Calendar'!$B$5:$B$604,"&gt;="&amp;DashStart,'Content Calendar'!$B$5:$B$604,"&lt;="&amp;DashEnd))</f>
        <v>0</v>
      </c>
      <c r="W509" s="23">
        <f>IF(T509="","",SUMIFS(Analytics!$J$5:$J$154,Analytics!$D$5:$D$154,T509,Analytics!$B$5:$B$154,"&gt;="&amp;DashStart,Analytics!$B$5:$B$154,"&lt;="&amp;DashEnd))</f>
        <v>0</v>
      </c>
      <c r="X509" s="23">
        <f>IF(T509="","",SUMIFS(Analytics!$L$5:$L$154,Analytics!$D$5:$D$154,T509,Analytics!$B$5:$B$154,"&gt;="&amp;DashStart,Analytics!$B$5:$B$154,"&lt;="&amp;DashEnd))</f>
        <v>0</v>
      </c>
      <c r="Y509" s="24">
        <f>IF(OR(W509="",W509=0),"",X509/W509)</f>
        <v>0</v>
      </c>
      <c r="Z509" s="23">
        <f>IF(T509="","",SUMIFS(Analytics!$G$5:$G$154,Analytics!$D$5:$D$154,T509,Analytics!$B$5:$B$154,"&gt;="&amp;DashStart,Analytics!$B$5:$B$154,"&lt;="&amp;DashEnd))</f>
        <v>0</v>
      </c>
      <c r="AA509" s="23">
        <f>IF(T509="","",SUMIFS(Analytics!$X$5:$X$154,Analytics!$D$5:$D$154,T509,Analytics!$B$5:$B$154,"&gt;="&amp;DashStart,Analytics!$B$5:$B$154,"&lt;="&amp;DashEnd))</f>
        <v>0</v>
      </c>
      <c r="AB509" s="23">
        <f>IF(T509="","",SUMIFS(Analytics!$R$5:$R$154,Analytics!$D$5:$D$154,T509,Analytics!$B$5:$B$154,"&gt;="&amp;DashStart,Analytics!$B$5:$B$154,"&lt;="&amp;DashEnd))</f>
        <v>0</v>
      </c>
      <c r="AC509" s="25">
        <f>IF(T509="","",SUMIFS(Analytics!$U$5:$U$154,Analytics!$D$5:$D$154,T509,Analytics!$B$5:$B$154,"&gt;="&amp;DashStart,Analytics!$B$5:$B$154,"&lt;="&amp;DashEnd))</f>
        <v>0</v>
      </c>
      <c r="AD509" s="23">
        <f>IF(T509="","",COUNTIFS('Content Calendar'!$G$5:$G$604,T509,'Content Calendar'!$B$5:$B$604,"&gt;="&amp;DATE(PlanYear,1,1),'Content Calendar'!$B$5:$B$604,"&lt;="&amp;DATE(PlanYear,12,31)))</f>
        <v>0</v>
      </c>
      <c r="AE509" s="23">
        <f>IF(T509="","",SUMIFS(Analytics!$J$5:$J$154,Analytics!$D$5:$D$154,T509))</f>
        <v>0</v>
      </c>
      <c r="AF509" s="23">
        <f>IF(T509="","",SUMIFS(Analytics!$L$5:$L$154,Analytics!$D$5:$D$154,T509))</f>
        <v>0</v>
      </c>
      <c r="AG509" s="24">
        <f>IF(OR(AE509="",AE509=0),"",AF509/AE509)</f>
        <v>0</v>
      </c>
      <c r="AH509" s="23">
        <f>IF(T509="","",SUMIFS(Analytics!$X$5:$X$154,Analytics!$D$5:$D$154,T509))</f>
        <v>0</v>
      </c>
      <c r="AI509" s="32">
        <f>IF(T509="","",IF(AE509=0,"",AE509+ROW()/1000000))</f>
        <v>0</v>
      </c>
      <c r="AJ509" s="17">
        <f>IF('Content Pillars'!$B$509="","",'Content Pillars'!$B$509)</f>
        <v>0</v>
      </c>
      <c r="AK509" s="23">
        <f>IF(AJ509="","",COUNTIFS('Content Calendar'!$J$5:$J$604,AJ509,'Content Calendar'!$B$5:$B$604,"&gt;="&amp;DATE(PlanYear,1,1),'Content Calendar'!$B$5:$B$604,"&lt;="&amp;DATE(PlanYear,12,31)))</f>
        <v>0</v>
      </c>
      <c r="AL509" s="23">
        <f>IF(AJ509="","",SUMIFS(Performance!$O$5:$O$404,Performance!$H$5:$H$404,AJ509))</f>
        <v>0</v>
      </c>
      <c r="AM509" s="23">
        <f>IF(AJ509="","",SUMIFS(Performance!$Z$5:$Z$404,Performance!$H$5:$H$404,AJ509))</f>
        <v>0</v>
      </c>
      <c r="AN509" s="24">
        <f>IF(OR(AL509="",AL509=0),"",AM509/AL509)</f>
        <v>0</v>
      </c>
      <c r="AO509" s="32">
        <f>IF(AN509="","",AN509+ROW()/1000000)</f>
        <v>0</v>
      </c>
      <c r="AP509" s="17">
        <f>IF(Lists!$E509="","",Lists!$E509)</f>
        <v>0</v>
      </c>
      <c r="AQ509" s="23">
        <f>IF(AP509="","",COUNTIF(Performance!$G$5:$G$404,AP509))</f>
        <v>0</v>
      </c>
      <c r="AR509" s="23">
        <f>IF(AP509="","",SUMIFS(Performance!$O$5:$O$404,Performance!$G$5:$G$404,AP509))</f>
        <v>0</v>
      </c>
      <c r="AS509" s="23">
        <f>IF(AP509="","",SUMIFS(Performance!$Z$5:$Z$404,Performance!$G$5:$G$404,AP509))</f>
        <v>0</v>
      </c>
      <c r="AT509" s="24">
        <f>IF(OR(AR509="",AR509=0),"",AS509/AR509)</f>
        <v>0</v>
      </c>
      <c r="AU509" s="32">
        <f>IF(AQ509=0,"",IF(AT509="","",AT509+ROW()/1000000))</f>
        <v>0</v>
      </c>
      <c r="AV509" s="17">
        <f>IF(ROW()-4&gt;7,"",TEXT(DATE(2024,1,ROW()-4),"ddd"))</f>
        <v>0</v>
      </c>
      <c r="AW509" s="23">
        <f>IF(AV509="","",COUNTIF(Performance!$N$5:$N$404,AV509))</f>
        <v>0</v>
      </c>
      <c r="AX509" s="23">
        <f>IF(AV509="","",SUMIFS(Performance!$O$5:$O$404,Performance!$N$5:$N$404,AV509))</f>
        <v>0</v>
      </c>
      <c r="AY509" s="23">
        <f>IF(AV509="","",SUMIFS(Performance!$Z$5:$Z$404,Performance!$N$5:$N$404,AV509))</f>
        <v>0</v>
      </c>
      <c r="AZ509" s="24">
        <f>IF(OR(AX509="",AX509=0),"",AY509/AX509)</f>
        <v>0</v>
      </c>
      <c r="BA509" s="32">
        <f>IF(AW509=0,"",IF(AZ509="","",AZ509+ROW()/1000000))</f>
        <v>0</v>
      </c>
      <c r="BB509" s="17">
        <f>IF(Lists!$AL509="","",Lists!$AL509)</f>
        <v>0</v>
      </c>
      <c r="BC509" s="23">
        <f>IF(BB509="","",COUNTIF(Performance!$M$5:$M$404,BB509))</f>
        <v>0</v>
      </c>
      <c r="BD509" s="23">
        <f>IF(BB509="","",SUMIFS(Performance!$O$5:$O$404,Performance!$M$5:$M$404,BB509))</f>
        <v>0</v>
      </c>
      <c r="BE509" s="23">
        <f>IF(BB509="","",SUMIFS(Performance!$Z$5:$Z$404,Performance!$M$5:$M$404,BB509))</f>
        <v>0</v>
      </c>
      <c r="BF509" s="24">
        <f>IF(OR(BD509="",BD509=0),"",BE509/BD509)</f>
        <v>0</v>
      </c>
      <c r="BG509" s="32">
        <f>IF(BC509=0,"",IF(BF509="","",BF509+ROW()/1000000))</f>
        <v>0</v>
      </c>
      <c r="BH509" s="17">
        <f>IF(Performance!$C$509="","",Performance!$C$509)</f>
        <v>0</v>
      </c>
      <c r="BI509" s="17">
        <f>IF(Performance!$F$509="","",Performance!$F$509)</f>
        <v>0</v>
      </c>
      <c r="BJ509" s="17">
        <f>IF(Performance!$H$509="","",Performance!$H$509)</f>
        <v>0</v>
      </c>
      <c r="BK509" s="16">
        <f>IF(Performance!$D$509="","",Performance!$D$509)</f>
        <v>0</v>
      </c>
      <c r="BL509" s="17">
        <f>IF(Performance!$E$509="","",Performance!$E$509)</f>
        <v>0</v>
      </c>
      <c r="BM509" s="23">
        <f>IF(Performance!$O$509="","",Performance!$O$509)</f>
        <v>0</v>
      </c>
      <c r="BN509" s="24">
        <f>IF(Performance!$AA$509="","",Performance!$AA$509)</f>
        <v>0</v>
      </c>
      <c r="BO509" s="32">
        <f>IF(BH509="","",IF(BK509="","",IF(OR(BK509&lt;DashStart,BK509&gt;DashEnd),"",IF(BN509="","",BN509+ROW()/1000000))))</f>
        <v>0</v>
      </c>
      <c r="BP509" s="32">
        <f>IF(BM509="","",IF(BK509="","",IF(OR(BK509&lt;DashStart,BK509&gt;DashEnd),"",BM509+ROW()/1000000)))</f>
        <v>0</v>
      </c>
      <c r="BQ509" s="32">
        <f>IF(BH509="","",IF(BK509="","",IF(YEAR(BK509)&lt;&gt;PlanYear,"",IF(BN509="","",BN509+ROW()/1000000))))</f>
        <v>0</v>
      </c>
      <c r="BR509" s="32">
        <f>IF(BH509="","",IF(BK509="","",IF(OR(BK509&lt;RepFrom,BK509&gt;RepTo),"",IF(BN509="","",BN509+ROW()/1000000))))</f>
        <v>0</v>
      </c>
      <c r="BS509" s="32">
        <f>IF(BM509="","",IF(BK509="","",IF(YEAR(BK509)&lt;&gt;PlanYear,"",BM509+ROW()/1000000)))</f>
        <v>0</v>
      </c>
      <c r="BT509" s="17">
        <f>IF(Lists!$F509="","",Lists!$F509)</f>
        <v>0</v>
      </c>
      <c r="BU509" s="23">
        <f>IF(BT509="","",COUNTIF('Content Calendar'!$X$5:$X$604,BT509))</f>
        <v>0</v>
      </c>
      <c r="BV509" s="23">
        <f>IF(BT509="","",COUNTIFS('Content Calendar'!$X$5:$X$604,BT509,'Content Calendar'!$B$5:$B$604,"&gt;="&amp;DashStart,'Content Calendar'!$B$5:$B$604,"&lt;="&amp;DashEnd))</f>
        <v>0</v>
      </c>
      <c r="BW509" s="17">
        <f>IF(Team!$B$509="","",Team!$B$509)</f>
        <v>0</v>
      </c>
      <c r="BX509" s="23">
        <f>IF(BW509="","",COUNTIF('Content Calendar'!$W$5:$W$604,BW509))</f>
        <v>0</v>
      </c>
      <c r="BY509" s="23">
        <f>IF(BW509="","",COUNTIFS('Content Calendar'!$W$5:$W$604,BW509,'Content Calendar'!$X$5:$X$604,"&lt;&gt;Published"))</f>
        <v>0</v>
      </c>
      <c r="BZ509" s="23">
        <f>IF(BW509="","",COUNTIFS(Tasks!$C$5:$C$64,BW509,Tasks!$G$5:$G$64,"&lt;&gt;Complete"))</f>
        <v>0</v>
      </c>
      <c r="CA509" s="17">
        <f>IF(Campaigns!$B$509="","",Campaigns!$B$509)</f>
        <v>0</v>
      </c>
      <c r="CB509" s="25">
        <f>IF(Campaigns!$T$509="","",Campaigns!$T$509)</f>
        <v>0</v>
      </c>
      <c r="CC509" s="25">
        <f>IF(Campaigns!$Q$509="","",Campaigns!$Q$509)</f>
        <v>0</v>
      </c>
      <c r="CD509" s="23">
        <f>IF(Campaigns!$Y$509="","",Campaigns!$Y$509)</f>
        <v>0</v>
      </c>
      <c r="CE509" s="32">
        <f>IF(CA509="","",IF(N(CB509)&lt;=0,"",N(CB509)+ROW()/1000000))</f>
        <v>0</v>
      </c>
      <c r="CF509" s="17">
        <f>IF(Accounts!$C$509="","",Accounts!$C$509)</f>
        <v>0</v>
      </c>
      <c r="CG509" s="17">
        <f>IF(Accounts!$B$509="","",Accounts!$B$509)</f>
        <v>0</v>
      </c>
      <c r="CH509" s="23">
        <f>IF(Accounts!$J$509="","",Accounts!$J$509)</f>
        <v>0</v>
      </c>
      <c r="CI509" s="23">
        <f>IF(CF509="","",SUMIFS(Analytics!$X$5:$X$154,Analytics!$E$5:$E$154,CF509,Analytics!$B$5:$B$154,"&gt;="&amp;DashStart,Analytics!$B$5:$B$154,"&lt;="&amp;DashEnd))</f>
        <v>0</v>
      </c>
      <c r="CJ509" s="32">
        <f>IF(CH509="","",IF(CH509=0,"",CH509+ROW()/1000000))</f>
        <v>0</v>
      </c>
    </row>
    <row r="510" spans="1:88">
      <c r="A510" s="16">
        <f>IF(ROW()-4&gt;12,"",DATE(PlanYear,ROW()-4,1))</f>
        <v>0</v>
      </c>
      <c r="B510" s="16">
        <f>IF(A510="","",EOMONTH(A510,0))</f>
        <v>0</v>
      </c>
      <c r="C510" s="17">
        <f>IF(A510="","",TEXT(A510,"yyyy-mm"))</f>
        <v>0</v>
      </c>
      <c r="D510" s="17">
        <f>IF(A510="","",TEXT(A510,"mmm"))</f>
        <v>0</v>
      </c>
      <c r="E510" s="23">
        <f>IF(C510="","",COUNTIFS('Content Calendar'!$D$5:$D$604,C510))</f>
        <v>0</v>
      </c>
      <c r="F510" s="23">
        <f>IF(C510="","",COUNTIFS('Content Calendar'!$D$5:$D$604,C510,'Content Calendar'!$X$5:$X$604,"Published"))</f>
        <v>0</v>
      </c>
      <c r="G510" s="23">
        <f>IF(C510="","",SUMIFS(Analytics!$J$5:$J$154,Analytics!$C$5:$C$154,C510))</f>
        <v>0</v>
      </c>
      <c r="H510" s="23">
        <f>IF(C510="","",SUMIFS(Analytics!$K$5:$K$154,Analytics!$C$5:$C$154,C510))</f>
        <v>0</v>
      </c>
      <c r="I510" s="23">
        <f>IF(C510="","",SUMIFS(Analytics!$L$5:$L$154,Analytics!$C$5:$C$154,C510))</f>
        <v>0</v>
      </c>
      <c r="J510" s="24">
        <f>IF(OR(G510="",G510=0),"",I510/G510)</f>
        <v>0</v>
      </c>
      <c r="K510" s="23">
        <f>IF(C510="","",SUMIFS(Analytics!$G$5:$G$154,Analytics!$C$5:$C$154,C510))</f>
        <v>0</v>
      </c>
      <c r="L510" s="23">
        <f>IF(C510="","",SUMIFS(Analytics!$X$5:$X$154,Analytics!$C$5:$C$154,C510))</f>
        <v>0</v>
      </c>
      <c r="M510" s="23">
        <f>IF(C510="","",SUMIFS(Analytics!$R$5:$R$154,Analytics!$C$5:$C$154,C510))</f>
        <v>0</v>
      </c>
      <c r="N510" s="23">
        <f>IF(C510="","",SUMIFS(Analytics!$S$5:$S$154,Analytics!$C$5:$C$154,C510))</f>
        <v>0</v>
      </c>
      <c r="O510" s="23">
        <f>IF(C510="","",SUMIFS(Analytics!$T$5:$T$154,Analytics!$C$5:$C$154,C510))</f>
        <v>0</v>
      </c>
      <c r="P510" s="25">
        <f>IF(C510="","",SUMIFS(Analytics!$U$5:$U$154,Analytics!$C$5:$C$154,C510))</f>
        <v>0</v>
      </c>
      <c r="Q510" s="25">
        <f>IF(C510="","",SUMIFS(Budget!$H$5:$H$64,Budget!$C$5:$C$64,C510))</f>
        <v>0</v>
      </c>
      <c r="R510" s="25">
        <f>IF(C510="","",P510-Q510)</f>
        <v>0</v>
      </c>
      <c r="S510" s="23">
        <f>IF(C510="","",MonthlyPostTarget)</f>
        <v>0</v>
      </c>
      <c r="T510" s="17">
        <f>IF(Lists!$C510="","",Lists!$C510)</f>
        <v>0</v>
      </c>
      <c r="U510" s="23">
        <f>IF(T510="","",COUNTIFS('Content Calendar'!$G$5:$G$604,T510,'Content Calendar'!$B$5:$B$604,"&gt;="&amp;DashStart,'Content Calendar'!$B$5:$B$604,"&lt;="&amp;DashEnd))</f>
        <v>0</v>
      </c>
      <c r="V510" s="23">
        <f>IF(T510="","",COUNTIFS('Content Calendar'!$G$5:$G$604,T510,'Content Calendar'!$X$5:$X$604,"Published",'Content Calendar'!$B$5:$B$604,"&gt;="&amp;DashStart,'Content Calendar'!$B$5:$B$604,"&lt;="&amp;DashEnd))</f>
        <v>0</v>
      </c>
      <c r="W510" s="23">
        <f>IF(T510="","",SUMIFS(Analytics!$J$5:$J$154,Analytics!$D$5:$D$154,T510,Analytics!$B$5:$B$154,"&gt;="&amp;DashStart,Analytics!$B$5:$B$154,"&lt;="&amp;DashEnd))</f>
        <v>0</v>
      </c>
      <c r="X510" s="23">
        <f>IF(T510="","",SUMIFS(Analytics!$L$5:$L$154,Analytics!$D$5:$D$154,T510,Analytics!$B$5:$B$154,"&gt;="&amp;DashStart,Analytics!$B$5:$B$154,"&lt;="&amp;DashEnd))</f>
        <v>0</v>
      </c>
      <c r="Y510" s="24">
        <f>IF(OR(W510="",W510=0),"",X510/W510)</f>
        <v>0</v>
      </c>
      <c r="Z510" s="23">
        <f>IF(T510="","",SUMIFS(Analytics!$G$5:$G$154,Analytics!$D$5:$D$154,T510,Analytics!$B$5:$B$154,"&gt;="&amp;DashStart,Analytics!$B$5:$B$154,"&lt;="&amp;DashEnd))</f>
        <v>0</v>
      </c>
      <c r="AA510" s="23">
        <f>IF(T510="","",SUMIFS(Analytics!$X$5:$X$154,Analytics!$D$5:$D$154,T510,Analytics!$B$5:$B$154,"&gt;="&amp;DashStart,Analytics!$B$5:$B$154,"&lt;="&amp;DashEnd))</f>
        <v>0</v>
      </c>
      <c r="AB510" s="23">
        <f>IF(T510="","",SUMIFS(Analytics!$R$5:$R$154,Analytics!$D$5:$D$154,T510,Analytics!$B$5:$B$154,"&gt;="&amp;DashStart,Analytics!$B$5:$B$154,"&lt;="&amp;DashEnd))</f>
        <v>0</v>
      </c>
      <c r="AC510" s="25">
        <f>IF(T510="","",SUMIFS(Analytics!$U$5:$U$154,Analytics!$D$5:$D$154,T510,Analytics!$B$5:$B$154,"&gt;="&amp;DashStart,Analytics!$B$5:$B$154,"&lt;="&amp;DashEnd))</f>
        <v>0</v>
      </c>
      <c r="AD510" s="23">
        <f>IF(T510="","",COUNTIFS('Content Calendar'!$G$5:$G$604,T510,'Content Calendar'!$B$5:$B$604,"&gt;="&amp;DATE(PlanYear,1,1),'Content Calendar'!$B$5:$B$604,"&lt;="&amp;DATE(PlanYear,12,31)))</f>
        <v>0</v>
      </c>
      <c r="AE510" s="23">
        <f>IF(T510="","",SUMIFS(Analytics!$J$5:$J$154,Analytics!$D$5:$D$154,T510))</f>
        <v>0</v>
      </c>
      <c r="AF510" s="23">
        <f>IF(T510="","",SUMIFS(Analytics!$L$5:$L$154,Analytics!$D$5:$D$154,T510))</f>
        <v>0</v>
      </c>
      <c r="AG510" s="24">
        <f>IF(OR(AE510="",AE510=0),"",AF510/AE510)</f>
        <v>0</v>
      </c>
      <c r="AH510" s="23">
        <f>IF(T510="","",SUMIFS(Analytics!$X$5:$X$154,Analytics!$D$5:$D$154,T510))</f>
        <v>0</v>
      </c>
      <c r="AI510" s="32">
        <f>IF(T510="","",IF(AE510=0,"",AE510+ROW()/1000000))</f>
        <v>0</v>
      </c>
      <c r="AJ510" s="17">
        <f>IF('Content Pillars'!$B$510="","",'Content Pillars'!$B$510)</f>
        <v>0</v>
      </c>
      <c r="AK510" s="23">
        <f>IF(AJ510="","",COUNTIFS('Content Calendar'!$J$5:$J$604,AJ510,'Content Calendar'!$B$5:$B$604,"&gt;="&amp;DATE(PlanYear,1,1),'Content Calendar'!$B$5:$B$604,"&lt;="&amp;DATE(PlanYear,12,31)))</f>
        <v>0</v>
      </c>
      <c r="AL510" s="23">
        <f>IF(AJ510="","",SUMIFS(Performance!$O$5:$O$404,Performance!$H$5:$H$404,AJ510))</f>
        <v>0</v>
      </c>
      <c r="AM510" s="23">
        <f>IF(AJ510="","",SUMIFS(Performance!$Z$5:$Z$404,Performance!$H$5:$H$404,AJ510))</f>
        <v>0</v>
      </c>
      <c r="AN510" s="24">
        <f>IF(OR(AL510="",AL510=0),"",AM510/AL510)</f>
        <v>0</v>
      </c>
      <c r="AO510" s="32">
        <f>IF(AN510="","",AN510+ROW()/1000000)</f>
        <v>0</v>
      </c>
      <c r="AP510" s="17">
        <f>IF(Lists!$E510="","",Lists!$E510)</f>
        <v>0</v>
      </c>
      <c r="AQ510" s="23">
        <f>IF(AP510="","",COUNTIF(Performance!$G$5:$G$404,AP510))</f>
        <v>0</v>
      </c>
      <c r="AR510" s="23">
        <f>IF(AP510="","",SUMIFS(Performance!$O$5:$O$404,Performance!$G$5:$G$404,AP510))</f>
        <v>0</v>
      </c>
      <c r="AS510" s="23">
        <f>IF(AP510="","",SUMIFS(Performance!$Z$5:$Z$404,Performance!$G$5:$G$404,AP510))</f>
        <v>0</v>
      </c>
      <c r="AT510" s="24">
        <f>IF(OR(AR510="",AR510=0),"",AS510/AR510)</f>
        <v>0</v>
      </c>
      <c r="AU510" s="32">
        <f>IF(AQ510=0,"",IF(AT510="","",AT510+ROW()/1000000))</f>
        <v>0</v>
      </c>
      <c r="AV510" s="17">
        <f>IF(ROW()-4&gt;7,"",TEXT(DATE(2024,1,ROW()-4),"ddd"))</f>
        <v>0</v>
      </c>
      <c r="AW510" s="23">
        <f>IF(AV510="","",COUNTIF(Performance!$N$5:$N$404,AV510))</f>
        <v>0</v>
      </c>
      <c r="AX510" s="23">
        <f>IF(AV510="","",SUMIFS(Performance!$O$5:$O$404,Performance!$N$5:$N$404,AV510))</f>
        <v>0</v>
      </c>
      <c r="AY510" s="23">
        <f>IF(AV510="","",SUMIFS(Performance!$Z$5:$Z$404,Performance!$N$5:$N$404,AV510))</f>
        <v>0</v>
      </c>
      <c r="AZ510" s="24">
        <f>IF(OR(AX510="",AX510=0),"",AY510/AX510)</f>
        <v>0</v>
      </c>
      <c r="BA510" s="32">
        <f>IF(AW510=0,"",IF(AZ510="","",AZ510+ROW()/1000000))</f>
        <v>0</v>
      </c>
      <c r="BB510" s="17">
        <f>IF(Lists!$AL510="","",Lists!$AL510)</f>
        <v>0</v>
      </c>
      <c r="BC510" s="23">
        <f>IF(BB510="","",COUNTIF(Performance!$M$5:$M$404,BB510))</f>
        <v>0</v>
      </c>
      <c r="BD510" s="23">
        <f>IF(BB510="","",SUMIFS(Performance!$O$5:$O$404,Performance!$M$5:$M$404,BB510))</f>
        <v>0</v>
      </c>
      <c r="BE510" s="23">
        <f>IF(BB510="","",SUMIFS(Performance!$Z$5:$Z$404,Performance!$M$5:$M$404,BB510))</f>
        <v>0</v>
      </c>
      <c r="BF510" s="24">
        <f>IF(OR(BD510="",BD510=0),"",BE510/BD510)</f>
        <v>0</v>
      </c>
      <c r="BG510" s="32">
        <f>IF(BC510=0,"",IF(BF510="","",BF510+ROW()/1000000))</f>
        <v>0</v>
      </c>
      <c r="BH510" s="17">
        <f>IF(Performance!$C$510="","",Performance!$C$510)</f>
        <v>0</v>
      </c>
      <c r="BI510" s="17">
        <f>IF(Performance!$F$510="","",Performance!$F$510)</f>
        <v>0</v>
      </c>
      <c r="BJ510" s="17">
        <f>IF(Performance!$H$510="","",Performance!$H$510)</f>
        <v>0</v>
      </c>
      <c r="BK510" s="16">
        <f>IF(Performance!$D$510="","",Performance!$D$510)</f>
        <v>0</v>
      </c>
      <c r="BL510" s="17">
        <f>IF(Performance!$E$510="","",Performance!$E$510)</f>
        <v>0</v>
      </c>
      <c r="BM510" s="23">
        <f>IF(Performance!$O$510="","",Performance!$O$510)</f>
        <v>0</v>
      </c>
      <c r="BN510" s="24">
        <f>IF(Performance!$AA$510="","",Performance!$AA$510)</f>
        <v>0</v>
      </c>
      <c r="BO510" s="32">
        <f>IF(BH510="","",IF(BK510="","",IF(OR(BK510&lt;DashStart,BK510&gt;DashEnd),"",IF(BN510="","",BN510+ROW()/1000000))))</f>
        <v>0</v>
      </c>
      <c r="BP510" s="32">
        <f>IF(BM510="","",IF(BK510="","",IF(OR(BK510&lt;DashStart,BK510&gt;DashEnd),"",BM510+ROW()/1000000)))</f>
        <v>0</v>
      </c>
      <c r="BQ510" s="32">
        <f>IF(BH510="","",IF(BK510="","",IF(YEAR(BK510)&lt;&gt;PlanYear,"",IF(BN510="","",BN510+ROW()/1000000))))</f>
        <v>0</v>
      </c>
      <c r="BR510" s="32">
        <f>IF(BH510="","",IF(BK510="","",IF(OR(BK510&lt;RepFrom,BK510&gt;RepTo),"",IF(BN510="","",BN510+ROW()/1000000))))</f>
        <v>0</v>
      </c>
      <c r="BS510" s="32">
        <f>IF(BM510="","",IF(BK510="","",IF(YEAR(BK510)&lt;&gt;PlanYear,"",BM510+ROW()/1000000)))</f>
        <v>0</v>
      </c>
      <c r="BT510" s="17">
        <f>IF(Lists!$F510="","",Lists!$F510)</f>
        <v>0</v>
      </c>
      <c r="BU510" s="23">
        <f>IF(BT510="","",COUNTIF('Content Calendar'!$X$5:$X$604,BT510))</f>
        <v>0</v>
      </c>
      <c r="BV510" s="23">
        <f>IF(BT510="","",COUNTIFS('Content Calendar'!$X$5:$X$604,BT510,'Content Calendar'!$B$5:$B$604,"&gt;="&amp;DashStart,'Content Calendar'!$B$5:$B$604,"&lt;="&amp;DashEnd))</f>
        <v>0</v>
      </c>
      <c r="BW510" s="17">
        <f>IF(Team!$B$510="","",Team!$B$510)</f>
        <v>0</v>
      </c>
      <c r="BX510" s="23">
        <f>IF(BW510="","",COUNTIF('Content Calendar'!$W$5:$W$604,BW510))</f>
        <v>0</v>
      </c>
      <c r="BY510" s="23">
        <f>IF(BW510="","",COUNTIFS('Content Calendar'!$W$5:$W$604,BW510,'Content Calendar'!$X$5:$X$604,"&lt;&gt;Published"))</f>
        <v>0</v>
      </c>
      <c r="BZ510" s="23">
        <f>IF(BW510="","",COUNTIFS(Tasks!$C$5:$C$64,BW510,Tasks!$G$5:$G$64,"&lt;&gt;Complete"))</f>
        <v>0</v>
      </c>
      <c r="CA510" s="17">
        <f>IF(Campaigns!$B$510="","",Campaigns!$B$510)</f>
        <v>0</v>
      </c>
      <c r="CB510" s="25">
        <f>IF(Campaigns!$T$510="","",Campaigns!$T$510)</f>
        <v>0</v>
      </c>
      <c r="CC510" s="25">
        <f>IF(Campaigns!$Q$510="","",Campaigns!$Q$510)</f>
        <v>0</v>
      </c>
      <c r="CD510" s="23">
        <f>IF(Campaigns!$Y$510="","",Campaigns!$Y$510)</f>
        <v>0</v>
      </c>
      <c r="CE510" s="32">
        <f>IF(CA510="","",IF(N(CB510)&lt;=0,"",N(CB510)+ROW()/1000000))</f>
        <v>0</v>
      </c>
      <c r="CF510" s="17">
        <f>IF(Accounts!$C$510="","",Accounts!$C$510)</f>
        <v>0</v>
      </c>
      <c r="CG510" s="17">
        <f>IF(Accounts!$B$510="","",Accounts!$B$510)</f>
        <v>0</v>
      </c>
      <c r="CH510" s="23">
        <f>IF(Accounts!$J$510="","",Accounts!$J$510)</f>
        <v>0</v>
      </c>
      <c r="CI510" s="23">
        <f>IF(CF510="","",SUMIFS(Analytics!$X$5:$X$154,Analytics!$E$5:$E$154,CF510,Analytics!$B$5:$B$154,"&gt;="&amp;DashStart,Analytics!$B$5:$B$154,"&lt;="&amp;DashEnd))</f>
        <v>0</v>
      </c>
      <c r="CJ510" s="32">
        <f>IF(CH510="","",IF(CH510=0,"",CH510+ROW()/1000000))</f>
        <v>0</v>
      </c>
    </row>
    <row r="511" spans="1:88">
      <c r="A511" s="16">
        <f>IF(ROW()-4&gt;12,"",DATE(PlanYear,ROW()-4,1))</f>
        <v>0</v>
      </c>
      <c r="B511" s="16">
        <f>IF(A511="","",EOMONTH(A511,0))</f>
        <v>0</v>
      </c>
      <c r="C511" s="17">
        <f>IF(A511="","",TEXT(A511,"yyyy-mm"))</f>
        <v>0</v>
      </c>
      <c r="D511" s="17">
        <f>IF(A511="","",TEXT(A511,"mmm"))</f>
        <v>0</v>
      </c>
      <c r="E511" s="23">
        <f>IF(C511="","",COUNTIFS('Content Calendar'!$D$5:$D$604,C511))</f>
        <v>0</v>
      </c>
      <c r="F511" s="23">
        <f>IF(C511="","",COUNTIFS('Content Calendar'!$D$5:$D$604,C511,'Content Calendar'!$X$5:$X$604,"Published"))</f>
        <v>0</v>
      </c>
      <c r="G511" s="23">
        <f>IF(C511="","",SUMIFS(Analytics!$J$5:$J$154,Analytics!$C$5:$C$154,C511))</f>
        <v>0</v>
      </c>
      <c r="H511" s="23">
        <f>IF(C511="","",SUMIFS(Analytics!$K$5:$K$154,Analytics!$C$5:$C$154,C511))</f>
        <v>0</v>
      </c>
      <c r="I511" s="23">
        <f>IF(C511="","",SUMIFS(Analytics!$L$5:$L$154,Analytics!$C$5:$C$154,C511))</f>
        <v>0</v>
      </c>
      <c r="J511" s="24">
        <f>IF(OR(G511="",G511=0),"",I511/G511)</f>
        <v>0</v>
      </c>
      <c r="K511" s="23">
        <f>IF(C511="","",SUMIFS(Analytics!$G$5:$G$154,Analytics!$C$5:$C$154,C511))</f>
        <v>0</v>
      </c>
      <c r="L511" s="23">
        <f>IF(C511="","",SUMIFS(Analytics!$X$5:$X$154,Analytics!$C$5:$C$154,C511))</f>
        <v>0</v>
      </c>
      <c r="M511" s="23">
        <f>IF(C511="","",SUMIFS(Analytics!$R$5:$R$154,Analytics!$C$5:$C$154,C511))</f>
        <v>0</v>
      </c>
      <c r="N511" s="23">
        <f>IF(C511="","",SUMIFS(Analytics!$S$5:$S$154,Analytics!$C$5:$C$154,C511))</f>
        <v>0</v>
      </c>
      <c r="O511" s="23">
        <f>IF(C511="","",SUMIFS(Analytics!$T$5:$T$154,Analytics!$C$5:$C$154,C511))</f>
        <v>0</v>
      </c>
      <c r="P511" s="25">
        <f>IF(C511="","",SUMIFS(Analytics!$U$5:$U$154,Analytics!$C$5:$C$154,C511))</f>
        <v>0</v>
      </c>
      <c r="Q511" s="25">
        <f>IF(C511="","",SUMIFS(Budget!$H$5:$H$64,Budget!$C$5:$C$64,C511))</f>
        <v>0</v>
      </c>
      <c r="R511" s="25">
        <f>IF(C511="","",P511-Q511)</f>
        <v>0</v>
      </c>
      <c r="S511" s="23">
        <f>IF(C511="","",MonthlyPostTarget)</f>
        <v>0</v>
      </c>
      <c r="T511" s="17">
        <f>IF(Lists!$C511="","",Lists!$C511)</f>
        <v>0</v>
      </c>
      <c r="U511" s="23">
        <f>IF(T511="","",COUNTIFS('Content Calendar'!$G$5:$G$604,T511,'Content Calendar'!$B$5:$B$604,"&gt;="&amp;DashStart,'Content Calendar'!$B$5:$B$604,"&lt;="&amp;DashEnd))</f>
        <v>0</v>
      </c>
      <c r="V511" s="23">
        <f>IF(T511="","",COUNTIFS('Content Calendar'!$G$5:$G$604,T511,'Content Calendar'!$X$5:$X$604,"Published",'Content Calendar'!$B$5:$B$604,"&gt;="&amp;DashStart,'Content Calendar'!$B$5:$B$604,"&lt;="&amp;DashEnd))</f>
        <v>0</v>
      </c>
      <c r="W511" s="23">
        <f>IF(T511="","",SUMIFS(Analytics!$J$5:$J$154,Analytics!$D$5:$D$154,T511,Analytics!$B$5:$B$154,"&gt;="&amp;DashStart,Analytics!$B$5:$B$154,"&lt;="&amp;DashEnd))</f>
        <v>0</v>
      </c>
      <c r="X511" s="23">
        <f>IF(T511="","",SUMIFS(Analytics!$L$5:$L$154,Analytics!$D$5:$D$154,T511,Analytics!$B$5:$B$154,"&gt;="&amp;DashStart,Analytics!$B$5:$B$154,"&lt;="&amp;DashEnd))</f>
        <v>0</v>
      </c>
      <c r="Y511" s="24">
        <f>IF(OR(W511="",W511=0),"",X511/W511)</f>
        <v>0</v>
      </c>
      <c r="Z511" s="23">
        <f>IF(T511="","",SUMIFS(Analytics!$G$5:$G$154,Analytics!$D$5:$D$154,T511,Analytics!$B$5:$B$154,"&gt;="&amp;DashStart,Analytics!$B$5:$B$154,"&lt;="&amp;DashEnd))</f>
        <v>0</v>
      </c>
      <c r="AA511" s="23">
        <f>IF(T511="","",SUMIFS(Analytics!$X$5:$X$154,Analytics!$D$5:$D$154,T511,Analytics!$B$5:$B$154,"&gt;="&amp;DashStart,Analytics!$B$5:$B$154,"&lt;="&amp;DashEnd))</f>
        <v>0</v>
      </c>
      <c r="AB511" s="23">
        <f>IF(T511="","",SUMIFS(Analytics!$R$5:$R$154,Analytics!$D$5:$D$154,T511,Analytics!$B$5:$B$154,"&gt;="&amp;DashStart,Analytics!$B$5:$B$154,"&lt;="&amp;DashEnd))</f>
        <v>0</v>
      </c>
      <c r="AC511" s="25">
        <f>IF(T511="","",SUMIFS(Analytics!$U$5:$U$154,Analytics!$D$5:$D$154,T511,Analytics!$B$5:$B$154,"&gt;="&amp;DashStart,Analytics!$B$5:$B$154,"&lt;="&amp;DashEnd))</f>
        <v>0</v>
      </c>
      <c r="AD511" s="23">
        <f>IF(T511="","",COUNTIFS('Content Calendar'!$G$5:$G$604,T511,'Content Calendar'!$B$5:$B$604,"&gt;="&amp;DATE(PlanYear,1,1),'Content Calendar'!$B$5:$B$604,"&lt;="&amp;DATE(PlanYear,12,31)))</f>
        <v>0</v>
      </c>
      <c r="AE511" s="23">
        <f>IF(T511="","",SUMIFS(Analytics!$J$5:$J$154,Analytics!$D$5:$D$154,T511))</f>
        <v>0</v>
      </c>
      <c r="AF511" s="23">
        <f>IF(T511="","",SUMIFS(Analytics!$L$5:$L$154,Analytics!$D$5:$D$154,T511))</f>
        <v>0</v>
      </c>
      <c r="AG511" s="24">
        <f>IF(OR(AE511="",AE511=0),"",AF511/AE511)</f>
        <v>0</v>
      </c>
      <c r="AH511" s="23">
        <f>IF(T511="","",SUMIFS(Analytics!$X$5:$X$154,Analytics!$D$5:$D$154,T511))</f>
        <v>0</v>
      </c>
      <c r="AI511" s="32">
        <f>IF(T511="","",IF(AE511=0,"",AE511+ROW()/1000000))</f>
        <v>0</v>
      </c>
      <c r="AJ511" s="17">
        <f>IF('Content Pillars'!$B$511="","",'Content Pillars'!$B$511)</f>
        <v>0</v>
      </c>
      <c r="AK511" s="23">
        <f>IF(AJ511="","",COUNTIFS('Content Calendar'!$J$5:$J$604,AJ511,'Content Calendar'!$B$5:$B$604,"&gt;="&amp;DATE(PlanYear,1,1),'Content Calendar'!$B$5:$B$604,"&lt;="&amp;DATE(PlanYear,12,31)))</f>
        <v>0</v>
      </c>
      <c r="AL511" s="23">
        <f>IF(AJ511="","",SUMIFS(Performance!$O$5:$O$404,Performance!$H$5:$H$404,AJ511))</f>
        <v>0</v>
      </c>
      <c r="AM511" s="23">
        <f>IF(AJ511="","",SUMIFS(Performance!$Z$5:$Z$404,Performance!$H$5:$H$404,AJ511))</f>
        <v>0</v>
      </c>
      <c r="AN511" s="24">
        <f>IF(OR(AL511="",AL511=0),"",AM511/AL511)</f>
        <v>0</v>
      </c>
      <c r="AO511" s="32">
        <f>IF(AN511="","",AN511+ROW()/1000000)</f>
        <v>0</v>
      </c>
      <c r="AP511" s="17">
        <f>IF(Lists!$E511="","",Lists!$E511)</f>
        <v>0</v>
      </c>
      <c r="AQ511" s="23">
        <f>IF(AP511="","",COUNTIF(Performance!$G$5:$G$404,AP511))</f>
        <v>0</v>
      </c>
      <c r="AR511" s="23">
        <f>IF(AP511="","",SUMIFS(Performance!$O$5:$O$404,Performance!$G$5:$G$404,AP511))</f>
        <v>0</v>
      </c>
      <c r="AS511" s="23">
        <f>IF(AP511="","",SUMIFS(Performance!$Z$5:$Z$404,Performance!$G$5:$G$404,AP511))</f>
        <v>0</v>
      </c>
      <c r="AT511" s="24">
        <f>IF(OR(AR511="",AR511=0),"",AS511/AR511)</f>
        <v>0</v>
      </c>
      <c r="AU511" s="32">
        <f>IF(AQ511=0,"",IF(AT511="","",AT511+ROW()/1000000))</f>
        <v>0</v>
      </c>
      <c r="AV511" s="17">
        <f>IF(ROW()-4&gt;7,"",TEXT(DATE(2024,1,ROW()-4),"ddd"))</f>
        <v>0</v>
      </c>
      <c r="AW511" s="23">
        <f>IF(AV511="","",COUNTIF(Performance!$N$5:$N$404,AV511))</f>
        <v>0</v>
      </c>
      <c r="AX511" s="23">
        <f>IF(AV511="","",SUMIFS(Performance!$O$5:$O$404,Performance!$N$5:$N$404,AV511))</f>
        <v>0</v>
      </c>
      <c r="AY511" s="23">
        <f>IF(AV511="","",SUMIFS(Performance!$Z$5:$Z$404,Performance!$N$5:$N$404,AV511))</f>
        <v>0</v>
      </c>
      <c r="AZ511" s="24">
        <f>IF(OR(AX511="",AX511=0),"",AY511/AX511)</f>
        <v>0</v>
      </c>
      <c r="BA511" s="32">
        <f>IF(AW511=0,"",IF(AZ511="","",AZ511+ROW()/1000000))</f>
        <v>0</v>
      </c>
      <c r="BB511" s="17">
        <f>IF(Lists!$AL511="","",Lists!$AL511)</f>
        <v>0</v>
      </c>
      <c r="BC511" s="23">
        <f>IF(BB511="","",COUNTIF(Performance!$M$5:$M$404,BB511))</f>
        <v>0</v>
      </c>
      <c r="BD511" s="23">
        <f>IF(BB511="","",SUMIFS(Performance!$O$5:$O$404,Performance!$M$5:$M$404,BB511))</f>
        <v>0</v>
      </c>
      <c r="BE511" s="23">
        <f>IF(BB511="","",SUMIFS(Performance!$Z$5:$Z$404,Performance!$M$5:$M$404,BB511))</f>
        <v>0</v>
      </c>
      <c r="BF511" s="24">
        <f>IF(OR(BD511="",BD511=0),"",BE511/BD511)</f>
        <v>0</v>
      </c>
      <c r="BG511" s="32">
        <f>IF(BC511=0,"",IF(BF511="","",BF511+ROW()/1000000))</f>
        <v>0</v>
      </c>
      <c r="BH511" s="17">
        <f>IF(Performance!$C$511="","",Performance!$C$511)</f>
        <v>0</v>
      </c>
      <c r="BI511" s="17">
        <f>IF(Performance!$F$511="","",Performance!$F$511)</f>
        <v>0</v>
      </c>
      <c r="BJ511" s="17">
        <f>IF(Performance!$H$511="","",Performance!$H$511)</f>
        <v>0</v>
      </c>
      <c r="BK511" s="16">
        <f>IF(Performance!$D$511="","",Performance!$D$511)</f>
        <v>0</v>
      </c>
      <c r="BL511" s="17">
        <f>IF(Performance!$E$511="","",Performance!$E$511)</f>
        <v>0</v>
      </c>
      <c r="BM511" s="23">
        <f>IF(Performance!$O$511="","",Performance!$O$511)</f>
        <v>0</v>
      </c>
      <c r="BN511" s="24">
        <f>IF(Performance!$AA$511="","",Performance!$AA$511)</f>
        <v>0</v>
      </c>
      <c r="BO511" s="32">
        <f>IF(BH511="","",IF(BK511="","",IF(OR(BK511&lt;DashStart,BK511&gt;DashEnd),"",IF(BN511="","",BN511+ROW()/1000000))))</f>
        <v>0</v>
      </c>
      <c r="BP511" s="32">
        <f>IF(BM511="","",IF(BK511="","",IF(OR(BK511&lt;DashStart,BK511&gt;DashEnd),"",BM511+ROW()/1000000)))</f>
        <v>0</v>
      </c>
      <c r="BQ511" s="32">
        <f>IF(BH511="","",IF(BK511="","",IF(YEAR(BK511)&lt;&gt;PlanYear,"",IF(BN511="","",BN511+ROW()/1000000))))</f>
        <v>0</v>
      </c>
      <c r="BR511" s="32">
        <f>IF(BH511="","",IF(BK511="","",IF(OR(BK511&lt;RepFrom,BK511&gt;RepTo),"",IF(BN511="","",BN511+ROW()/1000000))))</f>
        <v>0</v>
      </c>
      <c r="BS511" s="32">
        <f>IF(BM511="","",IF(BK511="","",IF(YEAR(BK511)&lt;&gt;PlanYear,"",BM511+ROW()/1000000)))</f>
        <v>0</v>
      </c>
      <c r="BT511" s="17">
        <f>IF(Lists!$F511="","",Lists!$F511)</f>
        <v>0</v>
      </c>
      <c r="BU511" s="23">
        <f>IF(BT511="","",COUNTIF('Content Calendar'!$X$5:$X$604,BT511))</f>
        <v>0</v>
      </c>
      <c r="BV511" s="23">
        <f>IF(BT511="","",COUNTIFS('Content Calendar'!$X$5:$X$604,BT511,'Content Calendar'!$B$5:$B$604,"&gt;="&amp;DashStart,'Content Calendar'!$B$5:$B$604,"&lt;="&amp;DashEnd))</f>
        <v>0</v>
      </c>
      <c r="BW511" s="17">
        <f>IF(Team!$B$511="","",Team!$B$511)</f>
        <v>0</v>
      </c>
      <c r="BX511" s="23">
        <f>IF(BW511="","",COUNTIF('Content Calendar'!$W$5:$W$604,BW511))</f>
        <v>0</v>
      </c>
      <c r="BY511" s="23">
        <f>IF(BW511="","",COUNTIFS('Content Calendar'!$W$5:$W$604,BW511,'Content Calendar'!$X$5:$X$604,"&lt;&gt;Published"))</f>
        <v>0</v>
      </c>
      <c r="BZ511" s="23">
        <f>IF(BW511="","",COUNTIFS(Tasks!$C$5:$C$64,BW511,Tasks!$G$5:$G$64,"&lt;&gt;Complete"))</f>
        <v>0</v>
      </c>
      <c r="CA511" s="17">
        <f>IF(Campaigns!$B$511="","",Campaigns!$B$511)</f>
        <v>0</v>
      </c>
      <c r="CB511" s="25">
        <f>IF(Campaigns!$T$511="","",Campaigns!$T$511)</f>
        <v>0</v>
      </c>
      <c r="CC511" s="25">
        <f>IF(Campaigns!$Q$511="","",Campaigns!$Q$511)</f>
        <v>0</v>
      </c>
      <c r="CD511" s="23">
        <f>IF(Campaigns!$Y$511="","",Campaigns!$Y$511)</f>
        <v>0</v>
      </c>
      <c r="CE511" s="32">
        <f>IF(CA511="","",IF(N(CB511)&lt;=0,"",N(CB511)+ROW()/1000000))</f>
        <v>0</v>
      </c>
      <c r="CF511" s="17">
        <f>IF(Accounts!$C$511="","",Accounts!$C$511)</f>
        <v>0</v>
      </c>
      <c r="CG511" s="17">
        <f>IF(Accounts!$B$511="","",Accounts!$B$511)</f>
        <v>0</v>
      </c>
      <c r="CH511" s="23">
        <f>IF(Accounts!$J$511="","",Accounts!$J$511)</f>
        <v>0</v>
      </c>
      <c r="CI511" s="23">
        <f>IF(CF511="","",SUMIFS(Analytics!$X$5:$X$154,Analytics!$E$5:$E$154,CF511,Analytics!$B$5:$B$154,"&gt;="&amp;DashStart,Analytics!$B$5:$B$154,"&lt;="&amp;DashEnd))</f>
        <v>0</v>
      </c>
      <c r="CJ511" s="32">
        <f>IF(CH511="","",IF(CH511=0,"",CH511+ROW()/1000000))</f>
        <v>0</v>
      </c>
    </row>
    <row r="512" spans="1:88">
      <c r="A512" s="16">
        <f>IF(ROW()-4&gt;12,"",DATE(PlanYear,ROW()-4,1))</f>
        <v>0</v>
      </c>
      <c r="B512" s="16">
        <f>IF(A512="","",EOMONTH(A512,0))</f>
        <v>0</v>
      </c>
      <c r="C512" s="17">
        <f>IF(A512="","",TEXT(A512,"yyyy-mm"))</f>
        <v>0</v>
      </c>
      <c r="D512" s="17">
        <f>IF(A512="","",TEXT(A512,"mmm"))</f>
        <v>0</v>
      </c>
      <c r="E512" s="23">
        <f>IF(C512="","",COUNTIFS('Content Calendar'!$D$5:$D$604,C512))</f>
        <v>0</v>
      </c>
      <c r="F512" s="23">
        <f>IF(C512="","",COUNTIFS('Content Calendar'!$D$5:$D$604,C512,'Content Calendar'!$X$5:$X$604,"Published"))</f>
        <v>0</v>
      </c>
      <c r="G512" s="23">
        <f>IF(C512="","",SUMIFS(Analytics!$J$5:$J$154,Analytics!$C$5:$C$154,C512))</f>
        <v>0</v>
      </c>
      <c r="H512" s="23">
        <f>IF(C512="","",SUMIFS(Analytics!$K$5:$K$154,Analytics!$C$5:$C$154,C512))</f>
        <v>0</v>
      </c>
      <c r="I512" s="23">
        <f>IF(C512="","",SUMIFS(Analytics!$L$5:$L$154,Analytics!$C$5:$C$154,C512))</f>
        <v>0</v>
      </c>
      <c r="J512" s="24">
        <f>IF(OR(G512="",G512=0),"",I512/G512)</f>
        <v>0</v>
      </c>
      <c r="K512" s="23">
        <f>IF(C512="","",SUMIFS(Analytics!$G$5:$G$154,Analytics!$C$5:$C$154,C512))</f>
        <v>0</v>
      </c>
      <c r="L512" s="23">
        <f>IF(C512="","",SUMIFS(Analytics!$X$5:$X$154,Analytics!$C$5:$C$154,C512))</f>
        <v>0</v>
      </c>
      <c r="M512" s="23">
        <f>IF(C512="","",SUMIFS(Analytics!$R$5:$R$154,Analytics!$C$5:$C$154,C512))</f>
        <v>0</v>
      </c>
      <c r="N512" s="23">
        <f>IF(C512="","",SUMIFS(Analytics!$S$5:$S$154,Analytics!$C$5:$C$154,C512))</f>
        <v>0</v>
      </c>
      <c r="O512" s="23">
        <f>IF(C512="","",SUMIFS(Analytics!$T$5:$T$154,Analytics!$C$5:$C$154,C512))</f>
        <v>0</v>
      </c>
      <c r="P512" s="25">
        <f>IF(C512="","",SUMIFS(Analytics!$U$5:$U$154,Analytics!$C$5:$C$154,C512))</f>
        <v>0</v>
      </c>
      <c r="Q512" s="25">
        <f>IF(C512="","",SUMIFS(Budget!$H$5:$H$64,Budget!$C$5:$C$64,C512))</f>
        <v>0</v>
      </c>
      <c r="R512" s="25">
        <f>IF(C512="","",P512-Q512)</f>
        <v>0</v>
      </c>
      <c r="S512" s="23">
        <f>IF(C512="","",MonthlyPostTarget)</f>
        <v>0</v>
      </c>
      <c r="T512" s="17">
        <f>IF(Lists!$C512="","",Lists!$C512)</f>
        <v>0</v>
      </c>
      <c r="U512" s="23">
        <f>IF(T512="","",COUNTIFS('Content Calendar'!$G$5:$G$604,T512,'Content Calendar'!$B$5:$B$604,"&gt;="&amp;DashStart,'Content Calendar'!$B$5:$B$604,"&lt;="&amp;DashEnd))</f>
        <v>0</v>
      </c>
      <c r="V512" s="23">
        <f>IF(T512="","",COUNTIFS('Content Calendar'!$G$5:$G$604,T512,'Content Calendar'!$X$5:$X$604,"Published",'Content Calendar'!$B$5:$B$604,"&gt;="&amp;DashStart,'Content Calendar'!$B$5:$B$604,"&lt;="&amp;DashEnd))</f>
        <v>0</v>
      </c>
      <c r="W512" s="23">
        <f>IF(T512="","",SUMIFS(Analytics!$J$5:$J$154,Analytics!$D$5:$D$154,T512,Analytics!$B$5:$B$154,"&gt;="&amp;DashStart,Analytics!$B$5:$B$154,"&lt;="&amp;DashEnd))</f>
        <v>0</v>
      </c>
      <c r="X512" s="23">
        <f>IF(T512="","",SUMIFS(Analytics!$L$5:$L$154,Analytics!$D$5:$D$154,T512,Analytics!$B$5:$B$154,"&gt;="&amp;DashStart,Analytics!$B$5:$B$154,"&lt;="&amp;DashEnd))</f>
        <v>0</v>
      </c>
      <c r="Y512" s="24">
        <f>IF(OR(W512="",W512=0),"",X512/W512)</f>
        <v>0</v>
      </c>
      <c r="Z512" s="23">
        <f>IF(T512="","",SUMIFS(Analytics!$G$5:$G$154,Analytics!$D$5:$D$154,T512,Analytics!$B$5:$B$154,"&gt;="&amp;DashStart,Analytics!$B$5:$B$154,"&lt;="&amp;DashEnd))</f>
        <v>0</v>
      </c>
      <c r="AA512" s="23">
        <f>IF(T512="","",SUMIFS(Analytics!$X$5:$X$154,Analytics!$D$5:$D$154,T512,Analytics!$B$5:$B$154,"&gt;="&amp;DashStart,Analytics!$B$5:$B$154,"&lt;="&amp;DashEnd))</f>
        <v>0</v>
      </c>
      <c r="AB512" s="23">
        <f>IF(T512="","",SUMIFS(Analytics!$R$5:$R$154,Analytics!$D$5:$D$154,T512,Analytics!$B$5:$B$154,"&gt;="&amp;DashStart,Analytics!$B$5:$B$154,"&lt;="&amp;DashEnd))</f>
        <v>0</v>
      </c>
      <c r="AC512" s="25">
        <f>IF(T512="","",SUMIFS(Analytics!$U$5:$U$154,Analytics!$D$5:$D$154,T512,Analytics!$B$5:$B$154,"&gt;="&amp;DashStart,Analytics!$B$5:$B$154,"&lt;="&amp;DashEnd))</f>
        <v>0</v>
      </c>
      <c r="AD512" s="23">
        <f>IF(T512="","",COUNTIFS('Content Calendar'!$G$5:$G$604,T512,'Content Calendar'!$B$5:$B$604,"&gt;="&amp;DATE(PlanYear,1,1),'Content Calendar'!$B$5:$B$604,"&lt;="&amp;DATE(PlanYear,12,31)))</f>
        <v>0</v>
      </c>
      <c r="AE512" s="23">
        <f>IF(T512="","",SUMIFS(Analytics!$J$5:$J$154,Analytics!$D$5:$D$154,T512))</f>
        <v>0</v>
      </c>
      <c r="AF512" s="23">
        <f>IF(T512="","",SUMIFS(Analytics!$L$5:$L$154,Analytics!$D$5:$D$154,T512))</f>
        <v>0</v>
      </c>
      <c r="AG512" s="24">
        <f>IF(OR(AE512="",AE512=0),"",AF512/AE512)</f>
        <v>0</v>
      </c>
      <c r="AH512" s="23">
        <f>IF(T512="","",SUMIFS(Analytics!$X$5:$X$154,Analytics!$D$5:$D$154,T512))</f>
        <v>0</v>
      </c>
      <c r="AI512" s="32">
        <f>IF(T512="","",IF(AE512=0,"",AE512+ROW()/1000000))</f>
        <v>0</v>
      </c>
      <c r="AJ512" s="17">
        <f>IF('Content Pillars'!$B$512="","",'Content Pillars'!$B$512)</f>
        <v>0</v>
      </c>
      <c r="AK512" s="23">
        <f>IF(AJ512="","",COUNTIFS('Content Calendar'!$J$5:$J$604,AJ512,'Content Calendar'!$B$5:$B$604,"&gt;="&amp;DATE(PlanYear,1,1),'Content Calendar'!$B$5:$B$604,"&lt;="&amp;DATE(PlanYear,12,31)))</f>
        <v>0</v>
      </c>
      <c r="AL512" s="23">
        <f>IF(AJ512="","",SUMIFS(Performance!$O$5:$O$404,Performance!$H$5:$H$404,AJ512))</f>
        <v>0</v>
      </c>
      <c r="AM512" s="23">
        <f>IF(AJ512="","",SUMIFS(Performance!$Z$5:$Z$404,Performance!$H$5:$H$404,AJ512))</f>
        <v>0</v>
      </c>
      <c r="AN512" s="24">
        <f>IF(OR(AL512="",AL512=0),"",AM512/AL512)</f>
        <v>0</v>
      </c>
      <c r="AO512" s="32">
        <f>IF(AN512="","",AN512+ROW()/1000000)</f>
        <v>0</v>
      </c>
      <c r="AP512" s="17">
        <f>IF(Lists!$E512="","",Lists!$E512)</f>
        <v>0</v>
      </c>
      <c r="AQ512" s="23">
        <f>IF(AP512="","",COUNTIF(Performance!$G$5:$G$404,AP512))</f>
        <v>0</v>
      </c>
      <c r="AR512" s="23">
        <f>IF(AP512="","",SUMIFS(Performance!$O$5:$O$404,Performance!$G$5:$G$404,AP512))</f>
        <v>0</v>
      </c>
      <c r="AS512" s="23">
        <f>IF(AP512="","",SUMIFS(Performance!$Z$5:$Z$404,Performance!$G$5:$G$404,AP512))</f>
        <v>0</v>
      </c>
      <c r="AT512" s="24">
        <f>IF(OR(AR512="",AR512=0),"",AS512/AR512)</f>
        <v>0</v>
      </c>
      <c r="AU512" s="32">
        <f>IF(AQ512=0,"",IF(AT512="","",AT512+ROW()/1000000))</f>
        <v>0</v>
      </c>
      <c r="AV512" s="17">
        <f>IF(ROW()-4&gt;7,"",TEXT(DATE(2024,1,ROW()-4),"ddd"))</f>
        <v>0</v>
      </c>
      <c r="AW512" s="23">
        <f>IF(AV512="","",COUNTIF(Performance!$N$5:$N$404,AV512))</f>
        <v>0</v>
      </c>
      <c r="AX512" s="23">
        <f>IF(AV512="","",SUMIFS(Performance!$O$5:$O$404,Performance!$N$5:$N$404,AV512))</f>
        <v>0</v>
      </c>
      <c r="AY512" s="23">
        <f>IF(AV512="","",SUMIFS(Performance!$Z$5:$Z$404,Performance!$N$5:$N$404,AV512))</f>
        <v>0</v>
      </c>
      <c r="AZ512" s="24">
        <f>IF(OR(AX512="",AX512=0),"",AY512/AX512)</f>
        <v>0</v>
      </c>
      <c r="BA512" s="32">
        <f>IF(AW512=0,"",IF(AZ512="","",AZ512+ROW()/1000000))</f>
        <v>0</v>
      </c>
      <c r="BB512" s="17">
        <f>IF(Lists!$AL512="","",Lists!$AL512)</f>
        <v>0</v>
      </c>
      <c r="BC512" s="23">
        <f>IF(BB512="","",COUNTIF(Performance!$M$5:$M$404,BB512))</f>
        <v>0</v>
      </c>
      <c r="BD512" s="23">
        <f>IF(BB512="","",SUMIFS(Performance!$O$5:$O$404,Performance!$M$5:$M$404,BB512))</f>
        <v>0</v>
      </c>
      <c r="BE512" s="23">
        <f>IF(BB512="","",SUMIFS(Performance!$Z$5:$Z$404,Performance!$M$5:$M$404,BB512))</f>
        <v>0</v>
      </c>
      <c r="BF512" s="24">
        <f>IF(OR(BD512="",BD512=0),"",BE512/BD512)</f>
        <v>0</v>
      </c>
      <c r="BG512" s="32">
        <f>IF(BC512=0,"",IF(BF512="","",BF512+ROW()/1000000))</f>
        <v>0</v>
      </c>
      <c r="BH512" s="17">
        <f>IF(Performance!$C$512="","",Performance!$C$512)</f>
        <v>0</v>
      </c>
      <c r="BI512" s="17">
        <f>IF(Performance!$F$512="","",Performance!$F$512)</f>
        <v>0</v>
      </c>
      <c r="BJ512" s="17">
        <f>IF(Performance!$H$512="","",Performance!$H$512)</f>
        <v>0</v>
      </c>
      <c r="BK512" s="16">
        <f>IF(Performance!$D$512="","",Performance!$D$512)</f>
        <v>0</v>
      </c>
      <c r="BL512" s="17">
        <f>IF(Performance!$E$512="","",Performance!$E$512)</f>
        <v>0</v>
      </c>
      <c r="BM512" s="23">
        <f>IF(Performance!$O$512="","",Performance!$O$512)</f>
        <v>0</v>
      </c>
      <c r="BN512" s="24">
        <f>IF(Performance!$AA$512="","",Performance!$AA$512)</f>
        <v>0</v>
      </c>
      <c r="BO512" s="32">
        <f>IF(BH512="","",IF(BK512="","",IF(OR(BK512&lt;DashStart,BK512&gt;DashEnd),"",IF(BN512="","",BN512+ROW()/1000000))))</f>
        <v>0</v>
      </c>
      <c r="BP512" s="32">
        <f>IF(BM512="","",IF(BK512="","",IF(OR(BK512&lt;DashStart,BK512&gt;DashEnd),"",BM512+ROW()/1000000)))</f>
        <v>0</v>
      </c>
      <c r="BQ512" s="32">
        <f>IF(BH512="","",IF(BK512="","",IF(YEAR(BK512)&lt;&gt;PlanYear,"",IF(BN512="","",BN512+ROW()/1000000))))</f>
        <v>0</v>
      </c>
      <c r="BR512" s="32">
        <f>IF(BH512="","",IF(BK512="","",IF(OR(BK512&lt;RepFrom,BK512&gt;RepTo),"",IF(BN512="","",BN512+ROW()/1000000))))</f>
        <v>0</v>
      </c>
      <c r="BS512" s="32">
        <f>IF(BM512="","",IF(BK512="","",IF(YEAR(BK512)&lt;&gt;PlanYear,"",BM512+ROW()/1000000)))</f>
        <v>0</v>
      </c>
      <c r="BT512" s="17">
        <f>IF(Lists!$F512="","",Lists!$F512)</f>
        <v>0</v>
      </c>
      <c r="BU512" s="23">
        <f>IF(BT512="","",COUNTIF('Content Calendar'!$X$5:$X$604,BT512))</f>
        <v>0</v>
      </c>
      <c r="BV512" s="23">
        <f>IF(BT512="","",COUNTIFS('Content Calendar'!$X$5:$X$604,BT512,'Content Calendar'!$B$5:$B$604,"&gt;="&amp;DashStart,'Content Calendar'!$B$5:$B$604,"&lt;="&amp;DashEnd))</f>
        <v>0</v>
      </c>
      <c r="BW512" s="17">
        <f>IF(Team!$B$512="","",Team!$B$512)</f>
        <v>0</v>
      </c>
      <c r="BX512" s="23">
        <f>IF(BW512="","",COUNTIF('Content Calendar'!$W$5:$W$604,BW512))</f>
        <v>0</v>
      </c>
      <c r="BY512" s="23">
        <f>IF(BW512="","",COUNTIFS('Content Calendar'!$W$5:$W$604,BW512,'Content Calendar'!$X$5:$X$604,"&lt;&gt;Published"))</f>
        <v>0</v>
      </c>
      <c r="BZ512" s="23">
        <f>IF(BW512="","",COUNTIFS(Tasks!$C$5:$C$64,BW512,Tasks!$G$5:$G$64,"&lt;&gt;Complete"))</f>
        <v>0</v>
      </c>
      <c r="CA512" s="17">
        <f>IF(Campaigns!$B$512="","",Campaigns!$B$512)</f>
        <v>0</v>
      </c>
      <c r="CB512" s="25">
        <f>IF(Campaigns!$T$512="","",Campaigns!$T$512)</f>
        <v>0</v>
      </c>
      <c r="CC512" s="25">
        <f>IF(Campaigns!$Q$512="","",Campaigns!$Q$512)</f>
        <v>0</v>
      </c>
      <c r="CD512" s="23">
        <f>IF(Campaigns!$Y$512="","",Campaigns!$Y$512)</f>
        <v>0</v>
      </c>
      <c r="CE512" s="32">
        <f>IF(CA512="","",IF(N(CB512)&lt;=0,"",N(CB512)+ROW()/1000000))</f>
        <v>0</v>
      </c>
      <c r="CF512" s="17">
        <f>IF(Accounts!$C$512="","",Accounts!$C$512)</f>
        <v>0</v>
      </c>
      <c r="CG512" s="17">
        <f>IF(Accounts!$B$512="","",Accounts!$B$512)</f>
        <v>0</v>
      </c>
      <c r="CH512" s="23">
        <f>IF(Accounts!$J$512="","",Accounts!$J$512)</f>
        <v>0</v>
      </c>
      <c r="CI512" s="23">
        <f>IF(CF512="","",SUMIFS(Analytics!$X$5:$X$154,Analytics!$E$5:$E$154,CF512,Analytics!$B$5:$B$154,"&gt;="&amp;DashStart,Analytics!$B$5:$B$154,"&lt;="&amp;DashEnd))</f>
        <v>0</v>
      </c>
      <c r="CJ512" s="32">
        <f>IF(CH512="","",IF(CH512=0,"",CH512+ROW()/1000000))</f>
        <v>0</v>
      </c>
    </row>
    <row r="513" spans="1:88">
      <c r="A513" s="16">
        <f>IF(ROW()-4&gt;12,"",DATE(PlanYear,ROW()-4,1))</f>
        <v>0</v>
      </c>
      <c r="B513" s="16">
        <f>IF(A513="","",EOMONTH(A513,0))</f>
        <v>0</v>
      </c>
      <c r="C513" s="17">
        <f>IF(A513="","",TEXT(A513,"yyyy-mm"))</f>
        <v>0</v>
      </c>
      <c r="D513" s="17">
        <f>IF(A513="","",TEXT(A513,"mmm"))</f>
        <v>0</v>
      </c>
      <c r="E513" s="23">
        <f>IF(C513="","",COUNTIFS('Content Calendar'!$D$5:$D$604,C513))</f>
        <v>0</v>
      </c>
      <c r="F513" s="23">
        <f>IF(C513="","",COUNTIFS('Content Calendar'!$D$5:$D$604,C513,'Content Calendar'!$X$5:$X$604,"Published"))</f>
        <v>0</v>
      </c>
      <c r="G513" s="23">
        <f>IF(C513="","",SUMIFS(Analytics!$J$5:$J$154,Analytics!$C$5:$C$154,C513))</f>
        <v>0</v>
      </c>
      <c r="H513" s="23">
        <f>IF(C513="","",SUMIFS(Analytics!$K$5:$K$154,Analytics!$C$5:$C$154,C513))</f>
        <v>0</v>
      </c>
      <c r="I513" s="23">
        <f>IF(C513="","",SUMIFS(Analytics!$L$5:$L$154,Analytics!$C$5:$C$154,C513))</f>
        <v>0</v>
      </c>
      <c r="J513" s="24">
        <f>IF(OR(G513="",G513=0),"",I513/G513)</f>
        <v>0</v>
      </c>
      <c r="K513" s="23">
        <f>IF(C513="","",SUMIFS(Analytics!$G$5:$G$154,Analytics!$C$5:$C$154,C513))</f>
        <v>0</v>
      </c>
      <c r="L513" s="23">
        <f>IF(C513="","",SUMIFS(Analytics!$X$5:$X$154,Analytics!$C$5:$C$154,C513))</f>
        <v>0</v>
      </c>
      <c r="M513" s="23">
        <f>IF(C513="","",SUMIFS(Analytics!$R$5:$R$154,Analytics!$C$5:$C$154,C513))</f>
        <v>0</v>
      </c>
      <c r="N513" s="23">
        <f>IF(C513="","",SUMIFS(Analytics!$S$5:$S$154,Analytics!$C$5:$C$154,C513))</f>
        <v>0</v>
      </c>
      <c r="O513" s="23">
        <f>IF(C513="","",SUMIFS(Analytics!$T$5:$T$154,Analytics!$C$5:$C$154,C513))</f>
        <v>0</v>
      </c>
      <c r="P513" s="25">
        <f>IF(C513="","",SUMIFS(Analytics!$U$5:$U$154,Analytics!$C$5:$C$154,C513))</f>
        <v>0</v>
      </c>
      <c r="Q513" s="25">
        <f>IF(C513="","",SUMIFS(Budget!$H$5:$H$64,Budget!$C$5:$C$64,C513))</f>
        <v>0</v>
      </c>
      <c r="R513" s="25">
        <f>IF(C513="","",P513-Q513)</f>
        <v>0</v>
      </c>
      <c r="S513" s="23">
        <f>IF(C513="","",MonthlyPostTarget)</f>
        <v>0</v>
      </c>
      <c r="T513" s="17">
        <f>IF(Lists!$C513="","",Lists!$C513)</f>
        <v>0</v>
      </c>
      <c r="U513" s="23">
        <f>IF(T513="","",COUNTIFS('Content Calendar'!$G$5:$G$604,T513,'Content Calendar'!$B$5:$B$604,"&gt;="&amp;DashStart,'Content Calendar'!$B$5:$B$604,"&lt;="&amp;DashEnd))</f>
        <v>0</v>
      </c>
      <c r="V513" s="23">
        <f>IF(T513="","",COUNTIFS('Content Calendar'!$G$5:$G$604,T513,'Content Calendar'!$X$5:$X$604,"Published",'Content Calendar'!$B$5:$B$604,"&gt;="&amp;DashStart,'Content Calendar'!$B$5:$B$604,"&lt;="&amp;DashEnd))</f>
        <v>0</v>
      </c>
      <c r="W513" s="23">
        <f>IF(T513="","",SUMIFS(Analytics!$J$5:$J$154,Analytics!$D$5:$D$154,T513,Analytics!$B$5:$B$154,"&gt;="&amp;DashStart,Analytics!$B$5:$B$154,"&lt;="&amp;DashEnd))</f>
        <v>0</v>
      </c>
      <c r="X513" s="23">
        <f>IF(T513="","",SUMIFS(Analytics!$L$5:$L$154,Analytics!$D$5:$D$154,T513,Analytics!$B$5:$B$154,"&gt;="&amp;DashStart,Analytics!$B$5:$B$154,"&lt;="&amp;DashEnd))</f>
        <v>0</v>
      </c>
      <c r="Y513" s="24">
        <f>IF(OR(W513="",W513=0),"",X513/W513)</f>
        <v>0</v>
      </c>
      <c r="Z513" s="23">
        <f>IF(T513="","",SUMIFS(Analytics!$G$5:$G$154,Analytics!$D$5:$D$154,T513,Analytics!$B$5:$B$154,"&gt;="&amp;DashStart,Analytics!$B$5:$B$154,"&lt;="&amp;DashEnd))</f>
        <v>0</v>
      </c>
      <c r="AA513" s="23">
        <f>IF(T513="","",SUMIFS(Analytics!$X$5:$X$154,Analytics!$D$5:$D$154,T513,Analytics!$B$5:$B$154,"&gt;="&amp;DashStart,Analytics!$B$5:$B$154,"&lt;="&amp;DashEnd))</f>
        <v>0</v>
      </c>
      <c r="AB513" s="23">
        <f>IF(T513="","",SUMIFS(Analytics!$R$5:$R$154,Analytics!$D$5:$D$154,T513,Analytics!$B$5:$B$154,"&gt;="&amp;DashStart,Analytics!$B$5:$B$154,"&lt;="&amp;DashEnd))</f>
        <v>0</v>
      </c>
      <c r="AC513" s="25">
        <f>IF(T513="","",SUMIFS(Analytics!$U$5:$U$154,Analytics!$D$5:$D$154,T513,Analytics!$B$5:$B$154,"&gt;="&amp;DashStart,Analytics!$B$5:$B$154,"&lt;="&amp;DashEnd))</f>
        <v>0</v>
      </c>
      <c r="AD513" s="23">
        <f>IF(T513="","",COUNTIFS('Content Calendar'!$G$5:$G$604,T513,'Content Calendar'!$B$5:$B$604,"&gt;="&amp;DATE(PlanYear,1,1),'Content Calendar'!$B$5:$B$604,"&lt;="&amp;DATE(PlanYear,12,31)))</f>
        <v>0</v>
      </c>
      <c r="AE513" s="23">
        <f>IF(T513="","",SUMIFS(Analytics!$J$5:$J$154,Analytics!$D$5:$D$154,T513))</f>
        <v>0</v>
      </c>
      <c r="AF513" s="23">
        <f>IF(T513="","",SUMIFS(Analytics!$L$5:$L$154,Analytics!$D$5:$D$154,T513))</f>
        <v>0</v>
      </c>
      <c r="AG513" s="24">
        <f>IF(OR(AE513="",AE513=0),"",AF513/AE513)</f>
        <v>0</v>
      </c>
      <c r="AH513" s="23">
        <f>IF(T513="","",SUMIFS(Analytics!$X$5:$X$154,Analytics!$D$5:$D$154,T513))</f>
        <v>0</v>
      </c>
      <c r="AI513" s="32">
        <f>IF(T513="","",IF(AE513=0,"",AE513+ROW()/1000000))</f>
        <v>0</v>
      </c>
      <c r="AJ513" s="17">
        <f>IF('Content Pillars'!$B$513="","",'Content Pillars'!$B$513)</f>
        <v>0</v>
      </c>
      <c r="AK513" s="23">
        <f>IF(AJ513="","",COUNTIFS('Content Calendar'!$J$5:$J$604,AJ513,'Content Calendar'!$B$5:$B$604,"&gt;="&amp;DATE(PlanYear,1,1),'Content Calendar'!$B$5:$B$604,"&lt;="&amp;DATE(PlanYear,12,31)))</f>
        <v>0</v>
      </c>
      <c r="AL513" s="23">
        <f>IF(AJ513="","",SUMIFS(Performance!$O$5:$O$404,Performance!$H$5:$H$404,AJ513))</f>
        <v>0</v>
      </c>
      <c r="AM513" s="23">
        <f>IF(AJ513="","",SUMIFS(Performance!$Z$5:$Z$404,Performance!$H$5:$H$404,AJ513))</f>
        <v>0</v>
      </c>
      <c r="AN513" s="24">
        <f>IF(OR(AL513="",AL513=0),"",AM513/AL513)</f>
        <v>0</v>
      </c>
      <c r="AO513" s="32">
        <f>IF(AN513="","",AN513+ROW()/1000000)</f>
        <v>0</v>
      </c>
      <c r="AP513" s="17">
        <f>IF(Lists!$E513="","",Lists!$E513)</f>
        <v>0</v>
      </c>
      <c r="AQ513" s="23">
        <f>IF(AP513="","",COUNTIF(Performance!$G$5:$G$404,AP513))</f>
        <v>0</v>
      </c>
      <c r="AR513" s="23">
        <f>IF(AP513="","",SUMIFS(Performance!$O$5:$O$404,Performance!$G$5:$G$404,AP513))</f>
        <v>0</v>
      </c>
      <c r="AS513" s="23">
        <f>IF(AP513="","",SUMIFS(Performance!$Z$5:$Z$404,Performance!$G$5:$G$404,AP513))</f>
        <v>0</v>
      </c>
      <c r="AT513" s="24">
        <f>IF(OR(AR513="",AR513=0),"",AS513/AR513)</f>
        <v>0</v>
      </c>
      <c r="AU513" s="32">
        <f>IF(AQ513=0,"",IF(AT513="","",AT513+ROW()/1000000))</f>
        <v>0</v>
      </c>
      <c r="AV513" s="17">
        <f>IF(ROW()-4&gt;7,"",TEXT(DATE(2024,1,ROW()-4),"ddd"))</f>
        <v>0</v>
      </c>
      <c r="AW513" s="23">
        <f>IF(AV513="","",COUNTIF(Performance!$N$5:$N$404,AV513))</f>
        <v>0</v>
      </c>
      <c r="AX513" s="23">
        <f>IF(AV513="","",SUMIFS(Performance!$O$5:$O$404,Performance!$N$5:$N$404,AV513))</f>
        <v>0</v>
      </c>
      <c r="AY513" s="23">
        <f>IF(AV513="","",SUMIFS(Performance!$Z$5:$Z$404,Performance!$N$5:$N$404,AV513))</f>
        <v>0</v>
      </c>
      <c r="AZ513" s="24">
        <f>IF(OR(AX513="",AX513=0),"",AY513/AX513)</f>
        <v>0</v>
      </c>
      <c r="BA513" s="32">
        <f>IF(AW513=0,"",IF(AZ513="","",AZ513+ROW()/1000000))</f>
        <v>0</v>
      </c>
      <c r="BB513" s="17">
        <f>IF(Lists!$AL513="","",Lists!$AL513)</f>
        <v>0</v>
      </c>
      <c r="BC513" s="23">
        <f>IF(BB513="","",COUNTIF(Performance!$M$5:$M$404,BB513))</f>
        <v>0</v>
      </c>
      <c r="BD513" s="23">
        <f>IF(BB513="","",SUMIFS(Performance!$O$5:$O$404,Performance!$M$5:$M$404,BB513))</f>
        <v>0</v>
      </c>
      <c r="BE513" s="23">
        <f>IF(BB513="","",SUMIFS(Performance!$Z$5:$Z$404,Performance!$M$5:$M$404,BB513))</f>
        <v>0</v>
      </c>
      <c r="BF513" s="24">
        <f>IF(OR(BD513="",BD513=0),"",BE513/BD513)</f>
        <v>0</v>
      </c>
      <c r="BG513" s="32">
        <f>IF(BC513=0,"",IF(BF513="","",BF513+ROW()/1000000))</f>
        <v>0</v>
      </c>
      <c r="BH513" s="17">
        <f>IF(Performance!$C$513="","",Performance!$C$513)</f>
        <v>0</v>
      </c>
      <c r="BI513" s="17">
        <f>IF(Performance!$F$513="","",Performance!$F$513)</f>
        <v>0</v>
      </c>
      <c r="BJ513" s="17">
        <f>IF(Performance!$H$513="","",Performance!$H$513)</f>
        <v>0</v>
      </c>
      <c r="BK513" s="16">
        <f>IF(Performance!$D$513="","",Performance!$D$513)</f>
        <v>0</v>
      </c>
      <c r="BL513" s="17">
        <f>IF(Performance!$E$513="","",Performance!$E$513)</f>
        <v>0</v>
      </c>
      <c r="BM513" s="23">
        <f>IF(Performance!$O$513="","",Performance!$O$513)</f>
        <v>0</v>
      </c>
      <c r="BN513" s="24">
        <f>IF(Performance!$AA$513="","",Performance!$AA$513)</f>
        <v>0</v>
      </c>
      <c r="BO513" s="32">
        <f>IF(BH513="","",IF(BK513="","",IF(OR(BK513&lt;DashStart,BK513&gt;DashEnd),"",IF(BN513="","",BN513+ROW()/1000000))))</f>
        <v>0</v>
      </c>
      <c r="BP513" s="32">
        <f>IF(BM513="","",IF(BK513="","",IF(OR(BK513&lt;DashStart,BK513&gt;DashEnd),"",BM513+ROW()/1000000)))</f>
        <v>0</v>
      </c>
      <c r="BQ513" s="32">
        <f>IF(BH513="","",IF(BK513="","",IF(YEAR(BK513)&lt;&gt;PlanYear,"",IF(BN513="","",BN513+ROW()/1000000))))</f>
        <v>0</v>
      </c>
      <c r="BR513" s="32">
        <f>IF(BH513="","",IF(BK513="","",IF(OR(BK513&lt;RepFrom,BK513&gt;RepTo),"",IF(BN513="","",BN513+ROW()/1000000))))</f>
        <v>0</v>
      </c>
      <c r="BS513" s="32">
        <f>IF(BM513="","",IF(BK513="","",IF(YEAR(BK513)&lt;&gt;PlanYear,"",BM513+ROW()/1000000)))</f>
        <v>0</v>
      </c>
      <c r="BT513" s="17">
        <f>IF(Lists!$F513="","",Lists!$F513)</f>
        <v>0</v>
      </c>
      <c r="BU513" s="23">
        <f>IF(BT513="","",COUNTIF('Content Calendar'!$X$5:$X$604,BT513))</f>
        <v>0</v>
      </c>
      <c r="BV513" s="23">
        <f>IF(BT513="","",COUNTIFS('Content Calendar'!$X$5:$X$604,BT513,'Content Calendar'!$B$5:$B$604,"&gt;="&amp;DashStart,'Content Calendar'!$B$5:$B$604,"&lt;="&amp;DashEnd))</f>
        <v>0</v>
      </c>
      <c r="BW513" s="17">
        <f>IF(Team!$B$513="","",Team!$B$513)</f>
        <v>0</v>
      </c>
      <c r="BX513" s="23">
        <f>IF(BW513="","",COUNTIF('Content Calendar'!$W$5:$W$604,BW513))</f>
        <v>0</v>
      </c>
      <c r="BY513" s="23">
        <f>IF(BW513="","",COUNTIFS('Content Calendar'!$W$5:$W$604,BW513,'Content Calendar'!$X$5:$X$604,"&lt;&gt;Published"))</f>
        <v>0</v>
      </c>
      <c r="BZ513" s="23">
        <f>IF(BW513="","",COUNTIFS(Tasks!$C$5:$C$64,BW513,Tasks!$G$5:$G$64,"&lt;&gt;Complete"))</f>
        <v>0</v>
      </c>
      <c r="CA513" s="17">
        <f>IF(Campaigns!$B$513="","",Campaigns!$B$513)</f>
        <v>0</v>
      </c>
      <c r="CB513" s="25">
        <f>IF(Campaigns!$T$513="","",Campaigns!$T$513)</f>
        <v>0</v>
      </c>
      <c r="CC513" s="25">
        <f>IF(Campaigns!$Q$513="","",Campaigns!$Q$513)</f>
        <v>0</v>
      </c>
      <c r="CD513" s="23">
        <f>IF(Campaigns!$Y$513="","",Campaigns!$Y$513)</f>
        <v>0</v>
      </c>
      <c r="CE513" s="32">
        <f>IF(CA513="","",IF(N(CB513)&lt;=0,"",N(CB513)+ROW()/1000000))</f>
        <v>0</v>
      </c>
      <c r="CF513" s="17">
        <f>IF(Accounts!$C$513="","",Accounts!$C$513)</f>
        <v>0</v>
      </c>
      <c r="CG513" s="17">
        <f>IF(Accounts!$B$513="","",Accounts!$B$513)</f>
        <v>0</v>
      </c>
      <c r="CH513" s="23">
        <f>IF(Accounts!$J$513="","",Accounts!$J$513)</f>
        <v>0</v>
      </c>
      <c r="CI513" s="23">
        <f>IF(CF513="","",SUMIFS(Analytics!$X$5:$X$154,Analytics!$E$5:$E$154,CF513,Analytics!$B$5:$B$154,"&gt;="&amp;DashStart,Analytics!$B$5:$B$154,"&lt;="&amp;DashEnd))</f>
        <v>0</v>
      </c>
      <c r="CJ513" s="32">
        <f>IF(CH513="","",IF(CH513=0,"",CH513+ROW()/1000000))</f>
        <v>0</v>
      </c>
    </row>
    <row r="514" spans="1:88">
      <c r="A514" s="16">
        <f>IF(ROW()-4&gt;12,"",DATE(PlanYear,ROW()-4,1))</f>
        <v>0</v>
      </c>
      <c r="B514" s="16">
        <f>IF(A514="","",EOMONTH(A514,0))</f>
        <v>0</v>
      </c>
      <c r="C514" s="17">
        <f>IF(A514="","",TEXT(A514,"yyyy-mm"))</f>
        <v>0</v>
      </c>
      <c r="D514" s="17">
        <f>IF(A514="","",TEXT(A514,"mmm"))</f>
        <v>0</v>
      </c>
      <c r="E514" s="23">
        <f>IF(C514="","",COUNTIFS('Content Calendar'!$D$5:$D$604,C514))</f>
        <v>0</v>
      </c>
      <c r="F514" s="23">
        <f>IF(C514="","",COUNTIFS('Content Calendar'!$D$5:$D$604,C514,'Content Calendar'!$X$5:$X$604,"Published"))</f>
        <v>0</v>
      </c>
      <c r="G514" s="23">
        <f>IF(C514="","",SUMIFS(Analytics!$J$5:$J$154,Analytics!$C$5:$C$154,C514))</f>
        <v>0</v>
      </c>
      <c r="H514" s="23">
        <f>IF(C514="","",SUMIFS(Analytics!$K$5:$K$154,Analytics!$C$5:$C$154,C514))</f>
        <v>0</v>
      </c>
      <c r="I514" s="23">
        <f>IF(C514="","",SUMIFS(Analytics!$L$5:$L$154,Analytics!$C$5:$C$154,C514))</f>
        <v>0</v>
      </c>
      <c r="J514" s="24">
        <f>IF(OR(G514="",G514=0),"",I514/G514)</f>
        <v>0</v>
      </c>
      <c r="K514" s="23">
        <f>IF(C514="","",SUMIFS(Analytics!$G$5:$G$154,Analytics!$C$5:$C$154,C514))</f>
        <v>0</v>
      </c>
      <c r="L514" s="23">
        <f>IF(C514="","",SUMIFS(Analytics!$X$5:$X$154,Analytics!$C$5:$C$154,C514))</f>
        <v>0</v>
      </c>
      <c r="M514" s="23">
        <f>IF(C514="","",SUMIFS(Analytics!$R$5:$R$154,Analytics!$C$5:$C$154,C514))</f>
        <v>0</v>
      </c>
      <c r="N514" s="23">
        <f>IF(C514="","",SUMIFS(Analytics!$S$5:$S$154,Analytics!$C$5:$C$154,C514))</f>
        <v>0</v>
      </c>
      <c r="O514" s="23">
        <f>IF(C514="","",SUMIFS(Analytics!$T$5:$T$154,Analytics!$C$5:$C$154,C514))</f>
        <v>0</v>
      </c>
      <c r="P514" s="25">
        <f>IF(C514="","",SUMIFS(Analytics!$U$5:$U$154,Analytics!$C$5:$C$154,C514))</f>
        <v>0</v>
      </c>
      <c r="Q514" s="25">
        <f>IF(C514="","",SUMIFS(Budget!$H$5:$H$64,Budget!$C$5:$C$64,C514))</f>
        <v>0</v>
      </c>
      <c r="R514" s="25">
        <f>IF(C514="","",P514-Q514)</f>
        <v>0</v>
      </c>
      <c r="S514" s="23">
        <f>IF(C514="","",MonthlyPostTarget)</f>
        <v>0</v>
      </c>
      <c r="T514" s="17">
        <f>IF(Lists!$C514="","",Lists!$C514)</f>
        <v>0</v>
      </c>
      <c r="U514" s="23">
        <f>IF(T514="","",COUNTIFS('Content Calendar'!$G$5:$G$604,T514,'Content Calendar'!$B$5:$B$604,"&gt;="&amp;DashStart,'Content Calendar'!$B$5:$B$604,"&lt;="&amp;DashEnd))</f>
        <v>0</v>
      </c>
      <c r="V514" s="23">
        <f>IF(T514="","",COUNTIFS('Content Calendar'!$G$5:$G$604,T514,'Content Calendar'!$X$5:$X$604,"Published",'Content Calendar'!$B$5:$B$604,"&gt;="&amp;DashStart,'Content Calendar'!$B$5:$B$604,"&lt;="&amp;DashEnd))</f>
        <v>0</v>
      </c>
      <c r="W514" s="23">
        <f>IF(T514="","",SUMIFS(Analytics!$J$5:$J$154,Analytics!$D$5:$D$154,T514,Analytics!$B$5:$B$154,"&gt;="&amp;DashStart,Analytics!$B$5:$B$154,"&lt;="&amp;DashEnd))</f>
        <v>0</v>
      </c>
      <c r="X514" s="23">
        <f>IF(T514="","",SUMIFS(Analytics!$L$5:$L$154,Analytics!$D$5:$D$154,T514,Analytics!$B$5:$B$154,"&gt;="&amp;DashStart,Analytics!$B$5:$B$154,"&lt;="&amp;DashEnd))</f>
        <v>0</v>
      </c>
      <c r="Y514" s="24">
        <f>IF(OR(W514="",W514=0),"",X514/W514)</f>
        <v>0</v>
      </c>
      <c r="Z514" s="23">
        <f>IF(T514="","",SUMIFS(Analytics!$G$5:$G$154,Analytics!$D$5:$D$154,T514,Analytics!$B$5:$B$154,"&gt;="&amp;DashStart,Analytics!$B$5:$B$154,"&lt;="&amp;DashEnd))</f>
        <v>0</v>
      </c>
      <c r="AA514" s="23">
        <f>IF(T514="","",SUMIFS(Analytics!$X$5:$X$154,Analytics!$D$5:$D$154,T514,Analytics!$B$5:$B$154,"&gt;="&amp;DashStart,Analytics!$B$5:$B$154,"&lt;="&amp;DashEnd))</f>
        <v>0</v>
      </c>
      <c r="AB514" s="23">
        <f>IF(T514="","",SUMIFS(Analytics!$R$5:$R$154,Analytics!$D$5:$D$154,T514,Analytics!$B$5:$B$154,"&gt;="&amp;DashStart,Analytics!$B$5:$B$154,"&lt;="&amp;DashEnd))</f>
        <v>0</v>
      </c>
      <c r="AC514" s="25">
        <f>IF(T514="","",SUMIFS(Analytics!$U$5:$U$154,Analytics!$D$5:$D$154,T514,Analytics!$B$5:$B$154,"&gt;="&amp;DashStart,Analytics!$B$5:$B$154,"&lt;="&amp;DashEnd))</f>
        <v>0</v>
      </c>
      <c r="AD514" s="23">
        <f>IF(T514="","",COUNTIFS('Content Calendar'!$G$5:$G$604,T514,'Content Calendar'!$B$5:$B$604,"&gt;="&amp;DATE(PlanYear,1,1),'Content Calendar'!$B$5:$B$604,"&lt;="&amp;DATE(PlanYear,12,31)))</f>
        <v>0</v>
      </c>
      <c r="AE514" s="23">
        <f>IF(T514="","",SUMIFS(Analytics!$J$5:$J$154,Analytics!$D$5:$D$154,T514))</f>
        <v>0</v>
      </c>
      <c r="AF514" s="23">
        <f>IF(T514="","",SUMIFS(Analytics!$L$5:$L$154,Analytics!$D$5:$D$154,T514))</f>
        <v>0</v>
      </c>
      <c r="AG514" s="24">
        <f>IF(OR(AE514="",AE514=0),"",AF514/AE514)</f>
        <v>0</v>
      </c>
      <c r="AH514" s="23">
        <f>IF(T514="","",SUMIFS(Analytics!$X$5:$X$154,Analytics!$D$5:$D$154,T514))</f>
        <v>0</v>
      </c>
      <c r="AI514" s="32">
        <f>IF(T514="","",IF(AE514=0,"",AE514+ROW()/1000000))</f>
        <v>0</v>
      </c>
      <c r="AJ514" s="17">
        <f>IF('Content Pillars'!$B$514="","",'Content Pillars'!$B$514)</f>
        <v>0</v>
      </c>
      <c r="AK514" s="23">
        <f>IF(AJ514="","",COUNTIFS('Content Calendar'!$J$5:$J$604,AJ514,'Content Calendar'!$B$5:$B$604,"&gt;="&amp;DATE(PlanYear,1,1),'Content Calendar'!$B$5:$B$604,"&lt;="&amp;DATE(PlanYear,12,31)))</f>
        <v>0</v>
      </c>
      <c r="AL514" s="23">
        <f>IF(AJ514="","",SUMIFS(Performance!$O$5:$O$404,Performance!$H$5:$H$404,AJ514))</f>
        <v>0</v>
      </c>
      <c r="AM514" s="23">
        <f>IF(AJ514="","",SUMIFS(Performance!$Z$5:$Z$404,Performance!$H$5:$H$404,AJ514))</f>
        <v>0</v>
      </c>
      <c r="AN514" s="24">
        <f>IF(OR(AL514="",AL514=0),"",AM514/AL514)</f>
        <v>0</v>
      </c>
      <c r="AO514" s="32">
        <f>IF(AN514="","",AN514+ROW()/1000000)</f>
        <v>0</v>
      </c>
      <c r="AP514" s="17">
        <f>IF(Lists!$E514="","",Lists!$E514)</f>
        <v>0</v>
      </c>
      <c r="AQ514" s="23">
        <f>IF(AP514="","",COUNTIF(Performance!$G$5:$G$404,AP514))</f>
        <v>0</v>
      </c>
      <c r="AR514" s="23">
        <f>IF(AP514="","",SUMIFS(Performance!$O$5:$O$404,Performance!$G$5:$G$404,AP514))</f>
        <v>0</v>
      </c>
      <c r="AS514" s="23">
        <f>IF(AP514="","",SUMIFS(Performance!$Z$5:$Z$404,Performance!$G$5:$G$404,AP514))</f>
        <v>0</v>
      </c>
      <c r="AT514" s="24">
        <f>IF(OR(AR514="",AR514=0),"",AS514/AR514)</f>
        <v>0</v>
      </c>
      <c r="AU514" s="32">
        <f>IF(AQ514=0,"",IF(AT514="","",AT514+ROW()/1000000))</f>
        <v>0</v>
      </c>
      <c r="AV514" s="17">
        <f>IF(ROW()-4&gt;7,"",TEXT(DATE(2024,1,ROW()-4),"ddd"))</f>
        <v>0</v>
      </c>
      <c r="AW514" s="23">
        <f>IF(AV514="","",COUNTIF(Performance!$N$5:$N$404,AV514))</f>
        <v>0</v>
      </c>
      <c r="AX514" s="23">
        <f>IF(AV514="","",SUMIFS(Performance!$O$5:$O$404,Performance!$N$5:$N$404,AV514))</f>
        <v>0</v>
      </c>
      <c r="AY514" s="23">
        <f>IF(AV514="","",SUMIFS(Performance!$Z$5:$Z$404,Performance!$N$5:$N$404,AV514))</f>
        <v>0</v>
      </c>
      <c r="AZ514" s="24">
        <f>IF(OR(AX514="",AX514=0),"",AY514/AX514)</f>
        <v>0</v>
      </c>
      <c r="BA514" s="32">
        <f>IF(AW514=0,"",IF(AZ514="","",AZ514+ROW()/1000000))</f>
        <v>0</v>
      </c>
      <c r="BB514" s="17">
        <f>IF(Lists!$AL514="","",Lists!$AL514)</f>
        <v>0</v>
      </c>
      <c r="BC514" s="23">
        <f>IF(BB514="","",COUNTIF(Performance!$M$5:$M$404,BB514))</f>
        <v>0</v>
      </c>
      <c r="BD514" s="23">
        <f>IF(BB514="","",SUMIFS(Performance!$O$5:$O$404,Performance!$M$5:$M$404,BB514))</f>
        <v>0</v>
      </c>
      <c r="BE514" s="23">
        <f>IF(BB514="","",SUMIFS(Performance!$Z$5:$Z$404,Performance!$M$5:$M$404,BB514))</f>
        <v>0</v>
      </c>
      <c r="BF514" s="24">
        <f>IF(OR(BD514="",BD514=0),"",BE514/BD514)</f>
        <v>0</v>
      </c>
      <c r="BG514" s="32">
        <f>IF(BC514=0,"",IF(BF514="","",BF514+ROW()/1000000))</f>
        <v>0</v>
      </c>
      <c r="BH514" s="17">
        <f>IF(Performance!$C$514="","",Performance!$C$514)</f>
        <v>0</v>
      </c>
      <c r="BI514" s="17">
        <f>IF(Performance!$F$514="","",Performance!$F$514)</f>
        <v>0</v>
      </c>
      <c r="BJ514" s="17">
        <f>IF(Performance!$H$514="","",Performance!$H$514)</f>
        <v>0</v>
      </c>
      <c r="BK514" s="16">
        <f>IF(Performance!$D$514="","",Performance!$D$514)</f>
        <v>0</v>
      </c>
      <c r="BL514" s="17">
        <f>IF(Performance!$E$514="","",Performance!$E$514)</f>
        <v>0</v>
      </c>
      <c r="BM514" s="23">
        <f>IF(Performance!$O$514="","",Performance!$O$514)</f>
        <v>0</v>
      </c>
      <c r="BN514" s="24">
        <f>IF(Performance!$AA$514="","",Performance!$AA$514)</f>
        <v>0</v>
      </c>
      <c r="BO514" s="32">
        <f>IF(BH514="","",IF(BK514="","",IF(OR(BK514&lt;DashStart,BK514&gt;DashEnd),"",IF(BN514="","",BN514+ROW()/1000000))))</f>
        <v>0</v>
      </c>
      <c r="BP514" s="32">
        <f>IF(BM514="","",IF(BK514="","",IF(OR(BK514&lt;DashStart,BK514&gt;DashEnd),"",BM514+ROW()/1000000)))</f>
        <v>0</v>
      </c>
      <c r="BQ514" s="32">
        <f>IF(BH514="","",IF(BK514="","",IF(YEAR(BK514)&lt;&gt;PlanYear,"",IF(BN514="","",BN514+ROW()/1000000))))</f>
        <v>0</v>
      </c>
      <c r="BR514" s="32">
        <f>IF(BH514="","",IF(BK514="","",IF(OR(BK514&lt;RepFrom,BK514&gt;RepTo),"",IF(BN514="","",BN514+ROW()/1000000))))</f>
        <v>0</v>
      </c>
      <c r="BS514" s="32">
        <f>IF(BM514="","",IF(BK514="","",IF(YEAR(BK514)&lt;&gt;PlanYear,"",BM514+ROW()/1000000)))</f>
        <v>0</v>
      </c>
      <c r="BT514" s="17">
        <f>IF(Lists!$F514="","",Lists!$F514)</f>
        <v>0</v>
      </c>
      <c r="BU514" s="23">
        <f>IF(BT514="","",COUNTIF('Content Calendar'!$X$5:$X$604,BT514))</f>
        <v>0</v>
      </c>
      <c r="BV514" s="23">
        <f>IF(BT514="","",COUNTIFS('Content Calendar'!$X$5:$X$604,BT514,'Content Calendar'!$B$5:$B$604,"&gt;="&amp;DashStart,'Content Calendar'!$B$5:$B$604,"&lt;="&amp;DashEnd))</f>
        <v>0</v>
      </c>
      <c r="BW514" s="17">
        <f>IF(Team!$B$514="","",Team!$B$514)</f>
        <v>0</v>
      </c>
      <c r="BX514" s="23">
        <f>IF(BW514="","",COUNTIF('Content Calendar'!$W$5:$W$604,BW514))</f>
        <v>0</v>
      </c>
      <c r="BY514" s="23">
        <f>IF(BW514="","",COUNTIFS('Content Calendar'!$W$5:$W$604,BW514,'Content Calendar'!$X$5:$X$604,"&lt;&gt;Published"))</f>
        <v>0</v>
      </c>
      <c r="BZ514" s="23">
        <f>IF(BW514="","",COUNTIFS(Tasks!$C$5:$C$64,BW514,Tasks!$G$5:$G$64,"&lt;&gt;Complete"))</f>
        <v>0</v>
      </c>
      <c r="CA514" s="17">
        <f>IF(Campaigns!$B$514="","",Campaigns!$B$514)</f>
        <v>0</v>
      </c>
      <c r="CB514" s="25">
        <f>IF(Campaigns!$T$514="","",Campaigns!$T$514)</f>
        <v>0</v>
      </c>
      <c r="CC514" s="25">
        <f>IF(Campaigns!$Q$514="","",Campaigns!$Q$514)</f>
        <v>0</v>
      </c>
      <c r="CD514" s="23">
        <f>IF(Campaigns!$Y$514="","",Campaigns!$Y$514)</f>
        <v>0</v>
      </c>
      <c r="CE514" s="32">
        <f>IF(CA514="","",IF(N(CB514)&lt;=0,"",N(CB514)+ROW()/1000000))</f>
        <v>0</v>
      </c>
      <c r="CF514" s="17">
        <f>IF(Accounts!$C$514="","",Accounts!$C$514)</f>
        <v>0</v>
      </c>
      <c r="CG514" s="17">
        <f>IF(Accounts!$B$514="","",Accounts!$B$514)</f>
        <v>0</v>
      </c>
      <c r="CH514" s="23">
        <f>IF(Accounts!$J$514="","",Accounts!$J$514)</f>
        <v>0</v>
      </c>
      <c r="CI514" s="23">
        <f>IF(CF514="","",SUMIFS(Analytics!$X$5:$X$154,Analytics!$E$5:$E$154,CF514,Analytics!$B$5:$B$154,"&gt;="&amp;DashStart,Analytics!$B$5:$B$154,"&lt;="&amp;DashEnd))</f>
        <v>0</v>
      </c>
      <c r="CJ514" s="32">
        <f>IF(CH514="","",IF(CH514=0,"",CH514+ROW()/1000000))</f>
        <v>0</v>
      </c>
    </row>
    <row r="515" spans="1:88">
      <c r="A515" s="16">
        <f>IF(ROW()-4&gt;12,"",DATE(PlanYear,ROW()-4,1))</f>
        <v>0</v>
      </c>
      <c r="B515" s="16">
        <f>IF(A515="","",EOMONTH(A515,0))</f>
        <v>0</v>
      </c>
      <c r="C515" s="17">
        <f>IF(A515="","",TEXT(A515,"yyyy-mm"))</f>
        <v>0</v>
      </c>
      <c r="D515" s="17">
        <f>IF(A515="","",TEXT(A515,"mmm"))</f>
        <v>0</v>
      </c>
      <c r="E515" s="23">
        <f>IF(C515="","",COUNTIFS('Content Calendar'!$D$5:$D$604,C515))</f>
        <v>0</v>
      </c>
      <c r="F515" s="23">
        <f>IF(C515="","",COUNTIFS('Content Calendar'!$D$5:$D$604,C515,'Content Calendar'!$X$5:$X$604,"Published"))</f>
        <v>0</v>
      </c>
      <c r="G515" s="23">
        <f>IF(C515="","",SUMIFS(Analytics!$J$5:$J$154,Analytics!$C$5:$C$154,C515))</f>
        <v>0</v>
      </c>
      <c r="H515" s="23">
        <f>IF(C515="","",SUMIFS(Analytics!$K$5:$K$154,Analytics!$C$5:$C$154,C515))</f>
        <v>0</v>
      </c>
      <c r="I515" s="23">
        <f>IF(C515="","",SUMIFS(Analytics!$L$5:$L$154,Analytics!$C$5:$C$154,C515))</f>
        <v>0</v>
      </c>
      <c r="J515" s="24">
        <f>IF(OR(G515="",G515=0),"",I515/G515)</f>
        <v>0</v>
      </c>
      <c r="K515" s="23">
        <f>IF(C515="","",SUMIFS(Analytics!$G$5:$G$154,Analytics!$C$5:$C$154,C515))</f>
        <v>0</v>
      </c>
      <c r="L515" s="23">
        <f>IF(C515="","",SUMIFS(Analytics!$X$5:$X$154,Analytics!$C$5:$C$154,C515))</f>
        <v>0</v>
      </c>
      <c r="M515" s="23">
        <f>IF(C515="","",SUMIFS(Analytics!$R$5:$R$154,Analytics!$C$5:$C$154,C515))</f>
        <v>0</v>
      </c>
      <c r="N515" s="23">
        <f>IF(C515="","",SUMIFS(Analytics!$S$5:$S$154,Analytics!$C$5:$C$154,C515))</f>
        <v>0</v>
      </c>
      <c r="O515" s="23">
        <f>IF(C515="","",SUMIFS(Analytics!$T$5:$T$154,Analytics!$C$5:$C$154,C515))</f>
        <v>0</v>
      </c>
      <c r="P515" s="25">
        <f>IF(C515="","",SUMIFS(Analytics!$U$5:$U$154,Analytics!$C$5:$C$154,C515))</f>
        <v>0</v>
      </c>
      <c r="Q515" s="25">
        <f>IF(C515="","",SUMIFS(Budget!$H$5:$H$64,Budget!$C$5:$C$64,C515))</f>
        <v>0</v>
      </c>
      <c r="R515" s="25">
        <f>IF(C515="","",P515-Q515)</f>
        <v>0</v>
      </c>
      <c r="S515" s="23">
        <f>IF(C515="","",MonthlyPostTarget)</f>
        <v>0</v>
      </c>
      <c r="T515" s="17">
        <f>IF(Lists!$C515="","",Lists!$C515)</f>
        <v>0</v>
      </c>
      <c r="U515" s="23">
        <f>IF(T515="","",COUNTIFS('Content Calendar'!$G$5:$G$604,T515,'Content Calendar'!$B$5:$B$604,"&gt;="&amp;DashStart,'Content Calendar'!$B$5:$B$604,"&lt;="&amp;DashEnd))</f>
        <v>0</v>
      </c>
      <c r="V515" s="23">
        <f>IF(T515="","",COUNTIFS('Content Calendar'!$G$5:$G$604,T515,'Content Calendar'!$X$5:$X$604,"Published",'Content Calendar'!$B$5:$B$604,"&gt;="&amp;DashStart,'Content Calendar'!$B$5:$B$604,"&lt;="&amp;DashEnd))</f>
        <v>0</v>
      </c>
      <c r="W515" s="23">
        <f>IF(T515="","",SUMIFS(Analytics!$J$5:$J$154,Analytics!$D$5:$D$154,T515,Analytics!$B$5:$B$154,"&gt;="&amp;DashStart,Analytics!$B$5:$B$154,"&lt;="&amp;DashEnd))</f>
        <v>0</v>
      </c>
      <c r="X515" s="23">
        <f>IF(T515="","",SUMIFS(Analytics!$L$5:$L$154,Analytics!$D$5:$D$154,T515,Analytics!$B$5:$B$154,"&gt;="&amp;DashStart,Analytics!$B$5:$B$154,"&lt;="&amp;DashEnd))</f>
        <v>0</v>
      </c>
      <c r="Y515" s="24">
        <f>IF(OR(W515="",W515=0),"",X515/W515)</f>
        <v>0</v>
      </c>
      <c r="Z515" s="23">
        <f>IF(T515="","",SUMIFS(Analytics!$G$5:$G$154,Analytics!$D$5:$D$154,T515,Analytics!$B$5:$B$154,"&gt;="&amp;DashStart,Analytics!$B$5:$B$154,"&lt;="&amp;DashEnd))</f>
        <v>0</v>
      </c>
      <c r="AA515" s="23">
        <f>IF(T515="","",SUMIFS(Analytics!$X$5:$X$154,Analytics!$D$5:$D$154,T515,Analytics!$B$5:$B$154,"&gt;="&amp;DashStart,Analytics!$B$5:$B$154,"&lt;="&amp;DashEnd))</f>
        <v>0</v>
      </c>
      <c r="AB515" s="23">
        <f>IF(T515="","",SUMIFS(Analytics!$R$5:$R$154,Analytics!$D$5:$D$154,T515,Analytics!$B$5:$B$154,"&gt;="&amp;DashStart,Analytics!$B$5:$B$154,"&lt;="&amp;DashEnd))</f>
        <v>0</v>
      </c>
      <c r="AC515" s="25">
        <f>IF(T515="","",SUMIFS(Analytics!$U$5:$U$154,Analytics!$D$5:$D$154,T515,Analytics!$B$5:$B$154,"&gt;="&amp;DashStart,Analytics!$B$5:$B$154,"&lt;="&amp;DashEnd))</f>
        <v>0</v>
      </c>
      <c r="AD515" s="23">
        <f>IF(T515="","",COUNTIFS('Content Calendar'!$G$5:$G$604,T515,'Content Calendar'!$B$5:$B$604,"&gt;="&amp;DATE(PlanYear,1,1),'Content Calendar'!$B$5:$B$604,"&lt;="&amp;DATE(PlanYear,12,31)))</f>
        <v>0</v>
      </c>
      <c r="AE515" s="23">
        <f>IF(T515="","",SUMIFS(Analytics!$J$5:$J$154,Analytics!$D$5:$D$154,T515))</f>
        <v>0</v>
      </c>
      <c r="AF515" s="23">
        <f>IF(T515="","",SUMIFS(Analytics!$L$5:$L$154,Analytics!$D$5:$D$154,T515))</f>
        <v>0</v>
      </c>
      <c r="AG515" s="24">
        <f>IF(OR(AE515="",AE515=0),"",AF515/AE515)</f>
        <v>0</v>
      </c>
      <c r="AH515" s="23">
        <f>IF(T515="","",SUMIFS(Analytics!$X$5:$X$154,Analytics!$D$5:$D$154,T515))</f>
        <v>0</v>
      </c>
      <c r="AI515" s="32">
        <f>IF(T515="","",IF(AE515=0,"",AE515+ROW()/1000000))</f>
        <v>0</v>
      </c>
      <c r="AJ515" s="17">
        <f>IF('Content Pillars'!$B$515="","",'Content Pillars'!$B$515)</f>
        <v>0</v>
      </c>
      <c r="AK515" s="23">
        <f>IF(AJ515="","",COUNTIFS('Content Calendar'!$J$5:$J$604,AJ515,'Content Calendar'!$B$5:$B$604,"&gt;="&amp;DATE(PlanYear,1,1),'Content Calendar'!$B$5:$B$604,"&lt;="&amp;DATE(PlanYear,12,31)))</f>
        <v>0</v>
      </c>
      <c r="AL515" s="23">
        <f>IF(AJ515="","",SUMIFS(Performance!$O$5:$O$404,Performance!$H$5:$H$404,AJ515))</f>
        <v>0</v>
      </c>
      <c r="AM515" s="23">
        <f>IF(AJ515="","",SUMIFS(Performance!$Z$5:$Z$404,Performance!$H$5:$H$404,AJ515))</f>
        <v>0</v>
      </c>
      <c r="AN515" s="24">
        <f>IF(OR(AL515="",AL515=0),"",AM515/AL515)</f>
        <v>0</v>
      </c>
      <c r="AO515" s="32">
        <f>IF(AN515="","",AN515+ROW()/1000000)</f>
        <v>0</v>
      </c>
      <c r="AP515" s="17">
        <f>IF(Lists!$E515="","",Lists!$E515)</f>
        <v>0</v>
      </c>
      <c r="AQ515" s="23">
        <f>IF(AP515="","",COUNTIF(Performance!$G$5:$G$404,AP515))</f>
        <v>0</v>
      </c>
      <c r="AR515" s="23">
        <f>IF(AP515="","",SUMIFS(Performance!$O$5:$O$404,Performance!$G$5:$G$404,AP515))</f>
        <v>0</v>
      </c>
      <c r="AS515" s="23">
        <f>IF(AP515="","",SUMIFS(Performance!$Z$5:$Z$404,Performance!$G$5:$G$404,AP515))</f>
        <v>0</v>
      </c>
      <c r="AT515" s="24">
        <f>IF(OR(AR515="",AR515=0),"",AS515/AR515)</f>
        <v>0</v>
      </c>
      <c r="AU515" s="32">
        <f>IF(AQ515=0,"",IF(AT515="","",AT515+ROW()/1000000))</f>
        <v>0</v>
      </c>
      <c r="AV515" s="17">
        <f>IF(ROW()-4&gt;7,"",TEXT(DATE(2024,1,ROW()-4),"ddd"))</f>
        <v>0</v>
      </c>
      <c r="AW515" s="23">
        <f>IF(AV515="","",COUNTIF(Performance!$N$5:$N$404,AV515))</f>
        <v>0</v>
      </c>
      <c r="AX515" s="23">
        <f>IF(AV515="","",SUMIFS(Performance!$O$5:$O$404,Performance!$N$5:$N$404,AV515))</f>
        <v>0</v>
      </c>
      <c r="AY515" s="23">
        <f>IF(AV515="","",SUMIFS(Performance!$Z$5:$Z$404,Performance!$N$5:$N$404,AV515))</f>
        <v>0</v>
      </c>
      <c r="AZ515" s="24">
        <f>IF(OR(AX515="",AX515=0),"",AY515/AX515)</f>
        <v>0</v>
      </c>
      <c r="BA515" s="32">
        <f>IF(AW515=0,"",IF(AZ515="","",AZ515+ROW()/1000000))</f>
        <v>0</v>
      </c>
      <c r="BB515" s="17">
        <f>IF(Lists!$AL515="","",Lists!$AL515)</f>
        <v>0</v>
      </c>
      <c r="BC515" s="23">
        <f>IF(BB515="","",COUNTIF(Performance!$M$5:$M$404,BB515))</f>
        <v>0</v>
      </c>
      <c r="BD515" s="23">
        <f>IF(BB515="","",SUMIFS(Performance!$O$5:$O$404,Performance!$M$5:$M$404,BB515))</f>
        <v>0</v>
      </c>
      <c r="BE515" s="23">
        <f>IF(BB515="","",SUMIFS(Performance!$Z$5:$Z$404,Performance!$M$5:$M$404,BB515))</f>
        <v>0</v>
      </c>
      <c r="BF515" s="24">
        <f>IF(OR(BD515="",BD515=0),"",BE515/BD515)</f>
        <v>0</v>
      </c>
      <c r="BG515" s="32">
        <f>IF(BC515=0,"",IF(BF515="","",BF515+ROW()/1000000))</f>
        <v>0</v>
      </c>
      <c r="BH515" s="17">
        <f>IF(Performance!$C$515="","",Performance!$C$515)</f>
        <v>0</v>
      </c>
      <c r="BI515" s="17">
        <f>IF(Performance!$F$515="","",Performance!$F$515)</f>
        <v>0</v>
      </c>
      <c r="BJ515" s="17">
        <f>IF(Performance!$H$515="","",Performance!$H$515)</f>
        <v>0</v>
      </c>
      <c r="BK515" s="16">
        <f>IF(Performance!$D$515="","",Performance!$D$515)</f>
        <v>0</v>
      </c>
      <c r="BL515" s="17">
        <f>IF(Performance!$E$515="","",Performance!$E$515)</f>
        <v>0</v>
      </c>
      <c r="BM515" s="23">
        <f>IF(Performance!$O$515="","",Performance!$O$515)</f>
        <v>0</v>
      </c>
      <c r="BN515" s="24">
        <f>IF(Performance!$AA$515="","",Performance!$AA$515)</f>
        <v>0</v>
      </c>
      <c r="BO515" s="32">
        <f>IF(BH515="","",IF(BK515="","",IF(OR(BK515&lt;DashStart,BK515&gt;DashEnd),"",IF(BN515="","",BN515+ROW()/1000000))))</f>
        <v>0</v>
      </c>
      <c r="BP515" s="32">
        <f>IF(BM515="","",IF(BK515="","",IF(OR(BK515&lt;DashStart,BK515&gt;DashEnd),"",BM515+ROW()/1000000)))</f>
        <v>0</v>
      </c>
      <c r="BQ515" s="32">
        <f>IF(BH515="","",IF(BK515="","",IF(YEAR(BK515)&lt;&gt;PlanYear,"",IF(BN515="","",BN515+ROW()/1000000))))</f>
        <v>0</v>
      </c>
      <c r="BR515" s="32">
        <f>IF(BH515="","",IF(BK515="","",IF(OR(BK515&lt;RepFrom,BK515&gt;RepTo),"",IF(BN515="","",BN515+ROW()/1000000))))</f>
        <v>0</v>
      </c>
      <c r="BS515" s="32">
        <f>IF(BM515="","",IF(BK515="","",IF(YEAR(BK515)&lt;&gt;PlanYear,"",BM515+ROW()/1000000)))</f>
        <v>0</v>
      </c>
      <c r="BT515" s="17">
        <f>IF(Lists!$F515="","",Lists!$F515)</f>
        <v>0</v>
      </c>
      <c r="BU515" s="23">
        <f>IF(BT515="","",COUNTIF('Content Calendar'!$X$5:$X$604,BT515))</f>
        <v>0</v>
      </c>
      <c r="BV515" s="23">
        <f>IF(BT515="","",COUNTIFS('Content Calendar'!$X$5:$X$604,BT515,'Content Calendar'!$B$5:$B$604,"&gt;="&amp;DashStart,'Content Calendar'!$B$5:$B$604,"&lt;="&amp;DashEnd))</f>
        <v>0</v>
      </c>
      <c r="BW515" s="17">
        <f>IF(Team!$B$515="","",Team!$B$515)</f>
        <v>0</v>
      </c>
      <c r="BX515" s="23">
        <f>IF(BW515="","",COUNTIF('Content Calendar'!$W$5:$W$604,BW515))</f>
        <v>0</v>
      </c>
      <c r="BY515" s="23">
        <f>IF(BW515="","",COUNTIFS('Content Calendar'!$W$5:$W$604,BW515,'Content Calendar'!$X$5:$X$604,"&lt;&gt;Published"))</f>
        <v>0</v>
      </c>
      <c r="BZ515" s="23">
        <f>IF(BW515="","",COUNTIFS(Tasks!$C$5:$C$64,BW515,Tasks!$G$5:$G$64,"&lt;&gt;Complete"))</f>
        <v>0</v>
      </c>
      <c r="CA515" s="17">
        <f>IF(Campaigns!$B$515="","",Campaigns!$B$515)</f>
        <v>0</v>
      </c>
      <c r="CB515" s="25">
        <f>IF(Campaigns!$T$515="","",Campaigns!$T$515)</f>
        <v>0</v>
      </c>
      <c r="CC515" s="25">
        <f>IF(Campaigns!$Q$515="","",Campaigns!$Q$515)</f>
        <v>0</v>
      </c>
      <c r="CD515" s="23">
        <f>IF(Campaigns!$Y$515="","",Campaigns!$Y$515)</f>
        <v>0</v>
      </c>
      <c r="CE515" s="32">
        <f>IF(CA515="","",IF(N(CB515)&lt;=0,"",N(CB515)+ROW()/1000000))</f>
        <v>0</v>
      </c>
      <c r="CF515" s="17">
        <f>IF(Accounts!$C$515="","",Accounts!$C$515)</f>
        <v>0</v>
      </c>
      <c r="CG515" s="17">
        <f>IF(Accounts!$B$515="","",Accounts!$B$515)</f>
        <v>0</v>
      </c>
      <c r="CH515" s="23">
        <f>IF(Accounts!$J$515="","",Accounts!$J$515)</f>
        <v>0</v>
      </c>
      <c r="CI515" s="23">
        <f>IF(CF515="","",SUMIFS(Analytics!$X$5:$X$154,Analytics!$E$5:$E$154,CF515,Analytics!$B$5:$B$154,"&gt;="&amp;DashStart,Analytics!$B$5:$B$154,"&lt;="&amp;DashEnd))</f>
        <v>0</v>
      </c>
      <c r="CJ515" s="32">
        <f>IF(CH515="","",IF(CH515=0,"",CH515+ROW()/1000000))</f>
        <v>0</v>
      </c>
    </row>
    <row r="516" spans="1:88">
      <c r="A516" s="16">
        <f>IF(ROW()-4&gt;12,"",DATE(PlanYear,ROW()-4,1))</f>
        <v>0</v>
      </c>
      <c r="B516" s="16">
        <f>IF(A516="","",EOMONTH(A516,0))</f>
        <v>0</v>
      </c>
      <c r="C516" s="17">
        <f>IF(A516="","",TEXT(A516,"yyyy-mm"))</f>
        <v>0</v>
      </c>
      <c r="D516" s="17">
        <f>IF(A516="","",TEXT(A516,"mmm"))</f>
        <v>0</v>
      </c>
      <c r="E516" s="23">
        <f>IF(C516="","",COUNTIFS('Content Calendar'!$D$5:$D$604,C516))</f>
        <v>0</v>
      </c>
      <c r="F516" s="23">
        <f>IF(C516="","",COUNTIFS('Content Calendar'!$D$5:$D$604,C516,'Content Calendar'!$X$5:$X$604,"Published"))</f>
        <v>0</v>
      </c>
      <c r="G516" s="23">
        <f>IF(C516="","",SUMIFS(Analytics!$J$5:$J$154,Analytics!$C$5:$C$154,C516))</f>
        <v>0</v>
      </c>
      <c r="H516" s="23">
        <f>IF(C516="","",SUMIFS(Analytics!$K$5:$K$154,Analytics!$C$5:$C$154,C516))</f>
        <v>0</v>
      </c>
      <c r="I516" s="23">
        <f>IF(C516="","",SUMIFS(Analytics!$L$5:$L$154,Analytics!$C$5:$C$154,C516))</f>
        <v>0</v>
      </c>
      <c r="J516" s="24">
        <f>IF(OR(G516="",G516=0),"",I516/G516)</f>
        <v>0</v>
      </c>
      <c r="K516" s="23">
        <f>IF(C516="","",SUMIFS(Analytics!$G$5:$G$154,Analytics!$C$5:$C$154,C516))</f>
        <v>0</v>
      </c>
      <c r="L516" s="23">
        <f>IF(C516="","",SUMIFS(Analytics!$X$5:$X$154,Analytics!$C$5:$C$154,C516))</f>
        <v>0</v>
      </c>
      <c r="M516" s="23">
        <f>IF(C516="","",SUMIFS(Analytics!$R$5:$R$154,Analytics!$C$5:$C$154,C516))</f>
        <v>0</v>
      </c>
      <c r="N516" s="23">
        <f>IF(C516="","",SUMIFS(Analytics!$S$5:$S$154,Analytics!$C$5:$C$154,C516))</f>
        <v>0</v>
      </c>
      <c r="O516" s="23">
        <f>IF(C516="","",SUMIFS(Analytics!$T$5:$T$154,Analytics!$C$5:$C$154,C516))</f>
        <v>0</v>
      </c>
      <c r="P516" s="25">
        <f>IF(C516="","",SUMIFS(Analytics!$U$5:$U$154,Analytics!$C$5:$C$154,C516))</f>
        <v>0</v>
      </c>
      <c r="Q516" s="25">
        <f>IF(C516="","",SUMIFS(Budget!$H$5:$H$64,Budget!$C$5:$C$64,C516))</f>
        <v>0</v>
      </c>
      <c r="R516" s="25">
        <f>IF(C516="","",P516-Q516)</f>
        <v>0</v>
      </c>
      <c r="S516" s="23">
        <f>IF(C516="","",MonthlyPostTarget)</f>
        <v>0</v>
      </c>
      <c r="T516" s="17">
        <f>IF(Lists!$C516="","",Lists!$C516)</f>
        <v>0</v>
      </c>
      <c r="U516" s="23">
        <f>IF(T516="","",COUNTIFS('Content Calendar'!$G$5:$G$604,T516,'Content Calendar'!$B$5:$B$604,"&gt;="&amp;DashStart,'Content Calendar'!$B$5:$B$604,"&lt;="&amp;DashEnd))</f>
        <v>0</v>
      </c>
      <c r="V516" s="23">
        <f>IF(T516="","",COUNTIFS('Content Calendar'!$G$5:$G$604,T516,'Content Calendar'!$X$5:$X$604,"Published",'Content Calendar'!$B$5:$B$604,"&gt;="&amp;DashStart,'Content Calendar'!$B$5:$B$604,"&lt;="&amp;DashEnd))</f>
        <v>0</v>
      </c>
      <c r="W516" s="23">
        <f>IF(T516="","",SUMIFS(Analytics!$J$5:$J$154,Analytics!$D$5:$D$154,T516,Analytics!$B$5:$B$154,"&gt;="&amp;DashStart,Analytics!$B$5:$B$154,"&lt;="&amp;DashEnd))</f>
        <v>0</v>
      </c>
      <c r="X516" s="23">
        <f>IF(T516="","",SUMIFS(Analytics!$L$5:$L$154,Analytics!$D$5:$D$154,T516,Analytics!$B$5:$B$154,"&gt;="&amp;DashStart,Analytics!$B$5:$B$154,"&lt;="&amp;DashEnd))</f>
        <v>0</v>
      </c>
      <c r="Y516" s="24">
        <f>IF(OR(W516="",W516=0),"",X516/W516)</f>
        <v>0</v>
      </c>
      <c r="Z516" s="23">
        <f>IF(T516="","",SUMIFS(Analytics!$G$5:$G$154,Analytics!$D$5:$D$154,T516,Analytics!$B$5:$B$154,"&gt;="&amp;DashStart,Analytics!$B$5:$B$154,"&lt;="&amp;DashEnd))</f>
        <v>0</v>
      </c>
      <c r="AA516" s="23">
        <f>IF(T516="","",SUMIFS(Analytics!$X$5:$X$154,Analytics!$D$5:$D$154,T516,Analytics!$B$5:$B$154,"&gt;="&amp;DashStart,Analytics!$B$5:$B$154,"&lt;="&amp;DashEnd))</f>
        <v>0</v>
      </c>
      <c r="AB516" s="23">
        <f>IF(T516="","",SUMIFS(Analytics!$R$5:$R$154,Analytics!$D$5:$D$154,T516,Analytics!$B$5:$B$154,"&gt;="&amp;DashStart,Analytics!$B$5:$B$154,"&lt;="&amp;DashEnd))</f>
        <v>0</v>
      </c>
      <c r="AC516" s="25">
        <f>IF(T516="","",SUMIFS(Analytics!$U$5:$U$154,Analytics!$D$5:$D$154,T516,Analytics!$B$5:$B$154,"&gt;="&amp;DashStart,Analytics!$B$5:$B$154,"&lt;="&amp;DashEnd))</f>
        <v>0</v>
      </c>
      <c r="AD516" s="23">
        <f>IF(T516="","",COUNTIFS('Content Calendar'!$G$5:$G$604,T516,'Content Calendar'!$B$5:$B$604,"&gt;="&amp;DATE(PlanYear,1,1),'Content Calendar'!$B$5:$B$604,"&lt;="&amp;DATE(PlanYear,12,31)))</f>
        <v>0</v>
      </c>
      <c r="AE516" s="23">
        <f>IF(T516="","",SUMIFS(Analytics!$J$5:$J$154,Analytics!$D$5:$D$154,T516))</f>
        <v>0</v>
      </c>
      <c r="AF516" s="23">
        <f>IF(T516="","",SUMIFS(Analytics!$L$5:$L$154,Analytics!$D$5:$D$154,T516))</f>
        <v>0</v>
      </c>
      <c r="AG516" s="24">
        <f>IF(OR(AE516="",AE516=0),"",AF516/AE516)</f>
        <v>0</v>
      </c>
      <c r="AH516" s="23">
        <f>IF(T516="","",SUMIFS(Analytics!$X$5:$X$154,Analytics!$D$5:$D$154,T516))</f>
        <v>0</v>
      </c>
      <c r="AI516" s="32">
        <f>IF(T516="","",IF(AE516=0,"",AE516+ROW()/1000000))</f>
        <v>0</v>
      </c>
      <c r="AJ516" s="17">
        <f>IF('Content Pillars'!$B$516="","",'Content Pillars'!$B$516)</f>
        <v>0</v>
      </c>
      <c r="AK516" s="23">
        <f>IF(AJ516="","",COUNTIFS('Content Calendar'!$J$5:$J$604,AJ516,'Content Calendar'!$B$5:$B$604,"&gt;="&amp;DATE(PlanYear,1,1),'Content Calendar'!$B$5:$B$604,"&lt;="&amp;DATE(PlanYear,12,31)))</f>
        <v>0</v>
      </c>
      <c r="AL516" s="23">
        <f>IF(AJ516="","",SUMIFS(Performance!$O$5:$O$404,Performance!$H$5:$H$404,AJ516))</f>
        <v>0</v>
      </c>
      <c r="AM516" s="23">
        <f>IF(AJ516="","",SUMIFS(Performance!$Z$5:$Z$404,Performance!$H$5:$H$404,AJ516))</f>
        <v>0</v>
      </c>
      <c r="AN516" s="24">
        <f>IF(OR(AL516="",AL516=0),"",AM516/AL516)</f>
        <v>0</v>
      </c>
      <c r="AO516" s="32">
        <f>IF(AN516="","",AN516+ROW()/1000000)</f>
        <v>0</v>
      </c>
      <c r="AP516" s="17">
        <f>IF(Lists!$E516="","",Lists!$E516)</f>
        <v>0</v>
      </c>
      <c r="AQ516" s="23">
        <f>IF(AP516="","",COUNTIF(Performance!$G$5:$G$404,AP516))</f>
        <v>0</v>
      </c>
      <c r="AR516" s="23">
        <f>IF(AP516="","",SUMIFS(Performance!$O$5:$O$404,Performance!$G$5:$G$404,AP516))</f>
        <v>0</v>
      </c>
      <c r="AS516" s="23">
        <f>IF(AP516="","",SUMIFS(Performance!$Z$5:$Z$404,Performance!$G$5:$G$404,AP516))</f>
        <v>0</v>
      </c>
      <c r="AT516" s="24">
        <f>IF(OR(AR516="",AR516=0),"",AS516/AR516)</f>
        <v>0</v>
      </c>
      <c r="AU516" s="32">
        <f>IF(AQ516=0,"",IF(AT516="","",AT516+ROW()/1000000))</f>
        <v>0</v>
      </c>
      <c r="AV516" s="17">
        <f>IF(ROW()-4&gt;7,"",TEXT(DATE(2024,1,ROW()-4),"ddd"))</f>
        <v>0</v>
      </c>
      <c r="AW516" s="23">
        <f>IF(AV516="","",COUNTIF(Performance!$N$5:$N$404,AV516))</f>
        <v>0</v>
      </c>
      <c r="AX516" s="23">
        <f>IF(AV516="","",SUMIFS(Performance!$O$5:$O$404,Performance!$N$5:$N$404,AV516))</f>
        <v>0</v>
      </c>
      <c r="AY516" s="23">
        <f>IF(AV516="","",SUMIFS(Performance!$Z$5:$Z$404,Performance!$N$5:$N$404,AV516))</f>
        <v>0</v>
      </c>
      <c r="AZ516" s="24">
        <f>IF(OR(AX516="",AX516=0),"",AY516/AX516)</f>
        <v>0</v>
      </c>
      <c r="BA516" s="32">
        <f>IF(AW516=0,"",IF(AZ516="","",AZ516+ROW()/1000000))</f>
        <v>0</v>
      </c>
      <c r="BB516" s="17">
        <f>IF(Lists!$AL516="","",Lists!$AL516)</f>
        <v>0</v>
      </c>
      <c r="BC516" s="23">
        <f>IF(BB516="","",COUNTIF(Performance!$M$5:$M$404,BB516))</f>
        <v>0</v>
      </c>
      <c r="BD516" s="23">
        <f>IF(BB516="","",SUMIFS(Performance!$O$5:$O$404,Performance!$M$5:$M$404,BB516))</f>
        <v>0</v>
      </c>
      <c r="BE516" s="23">
        <f>IF(BB516="","",SUMIFS(Performance!$Z$5:$Z$404,Performance!$M$5:$M$404,BB516))</f>
        <v>0</v>
      </c>
      <c r="BF516" s="24">
        <f>IF(OR(BD516="",BD516=0),"",BE516/BD516)</f>
        <v>0</v>
      </c>
      <c r="BG516" s="32">
        <f>IF(BC516=0,"",IF(BF516="","",BF516+ROW()/1000000))</f>
        <v>0</v>
      </c>
      <c r="BH516" s="17">
        <f>IF(Performance!$C$516="","",Performance!$C$516)</f>
        <v>0</v>
      </c>
      <c r="BI516" s="17">
        <f>IF(Performance!$F$516="","",Performance!$F$516)</f>
        <v>0</v>
      </c>
      <c r="BJ516" s="17">
        <f>IF(Performance!$H$516="","",Performance!$H$516)</f>
        <v>0</v>
      </c>
      <c r="BK516" s="16">
        <f>IF(Performance!$D$516="","",Performance!$D$516)</f>
        <v>0</v>
      </c>
      <c r="BL516" s="17">
        <f>IF(Performance!$E$516="","",Performance!$E$516)</f>
        <v>0</v>
      </c>
      <c r="BM516" s="23">
        <f>IF(Performance!$O$516="","",Performance!$O$516)</f>
        <v>0</v>
      </c>
      <c r="BN516" s="24">
        <f>IF(Performance!$AA$516="","",Performance!$AA$516)</f>
        <v>0</v>
      </c>
      <c r="BO516" s="32">
        <f>IF(BH516="","",IF(BK516="","",IF(OR(BK516&lt;DashStart,BK516&gt;DashEnd),"",IF(BN516="","",BN516+ROW()/1000000))))</f>
        <v>0</v>
      </c>
      <c r="BP516" s="32">
        <f>IF(BM516="","",IF(BK516="","",IF(OR(BK516&lt;DashStart,BK516&gt;DashEnd),"",BM516+ROW()/1000000)))</f>
        <v>0</v>
      </c>
      <c r="BQ516" s="32">
        <f>IF(BH516="","",IF(BK516="","",IF(YEAR(BK516)&lt;&gt;PlanYear,"",IF(BN516="","",BN516+ROW()/1000000))))</f>
        <v>0</v>
      </c>
      <c r="BR516" s="32">
        <f>IF(BH516="","",IF(BK516="","",IF(OR(BK516&lt;RepFrom,BK516&gt;RepTo),"",IF(BN516="","",BN516+ROW()/1000000))))</f>
        <v>0</v>
      </c>
      <c r="BS516" s="32">
        <f>IF(BM516="","",IF(BK516="","",IF(YEAR(BK516)&lt;&gt;PlanYear,"",BM516+ROW()/1000000)))</f>
        <v>0</v>
      </c>
      <c r="BT516" s="17">
        <f>IF(Lists!$F516="","",Lists!$F516)</f>
        <v>0</v>
      </c>
      <c r="BU516" s="23">
        <f>IF(BT516="","",COUNTIF('Content Calendar'!$X$5:$X$604,BT516))</f>
        <v>0</v>
      </c>
      <c r="BV516" s="23">
        <f>IF(BT516="","",COUNTIFS('Content Calendar'!$X$5:$X$604,BT516,'Content Calendar'!$B$5:$B$604,"&gt;="&amp;DashStart,'Content Calendar'!$B$5:$B$604,"&lt;="&amp;DashEnd))</f>
        <v>0</v>
      </c>
      <c r="BW516" s="17">
        <f>IF(Team!$B$516="","",Team!$B$516)</f>
        <v>0</v>
      </c>
      <c r="BX516" s="23">
        <f>IF(BW516="","",COUNTIF('Content Calendar'!$W$5:$W$604,BW516))</f>
        <v>0</v>
      </c>
      <c r="BY516" s="23">
        <f>IF(BW516="","",COUNTIFS('Content Calendar'!$W$5:$W$604,BW516,'Content Calendar'!$X$5:$X$604,"&lt;&gt;Published"))</f>
        <v>0</v>
      </c>
      <c r="BZ516" s="23">
        <f>IF(BW516="","",COUNTIFS(Tasks!$C$5:$C$64,BW516,Tasks!$G$5:$G$64,"&lt;&gt;Complete"))</f>
        <v>0</v>
      </c>
      <c r="CA516" s="17">
        <f>IF(Campaigns!$B$516="","",Campaigns!$B$516)</f>
        <v>0</v>
      </c>
      <c r="CB516" s="25">
        <f>IF(Campaigns!$T$516="","",Campaigns!$T$516)</f>
        <v>0</v>
      </c>
      <c r="CC516" s="25">
        <f>IF(Campaigns!$Q$516="","",Campaigns!$Q$516)</f>
        <v>0</v>
      </c>
      <c r="CD516" s="23">
        <f>IF(Campaigns!$Y$516="","",Campaigns!$Y$516)</f>
        <v>0</v>
      </c>
      <c r="CE516" s="32">
        <f>IF(CA516="","",IF(N(CB516)&lt;=0,"",N(CB516)+ROW()/1000000))</f>
        <v>0</v>
      </c>
      <c r="CF516" s="17">
        <f>IF(Accounts!$C$516="","",Accounts!$C$516)</f>
        <v>0</v>
      </c>
      <c r="CG516" s="17">
        <f>IF(Accounts!$B$516="","",Accounts!$B$516)</f>
        <v>0</v>
      </c>
      <c r="CH516" s="23">
        <f>IF(Accounts!$J$516="","",Accounts!$J$516)</f>
        <v>0</v>
      </c>
      <c r="CI516" s="23">
        <f>IF(CF516="","",SUMIFS(Analytics!$X$5:$X$154,Analytics!$E$5:$E$154,CF516,Analytics!$B$5:$B$154,"&gt;="&amp;DashStart,Analytics!$B$5:$B$154,"&lt;="&amp;DashEnd))</f>
        <v>0</v>
      </c>
      <c r="CJ516" s="32">
        <f>IF(CH516="","",IF(CH516=0,"",CH516+ROW()/1000000))</f>
        <v>0</v>
      </c>
    </row>
    <row r="517" spans="1:88">
      <c r="A517" s="16">
        <f>IF(ROW()-4&gt;12,"",DATE(PlanYear,ROW()-4,1))</f>
        <v>0</v>
      </c>
      <c r="B517" s="16">
        <f>IF(A517="","",EOMONTH(A517,0))</f>
        <v>0</v>
      </c>
      <c r="C517" s="17">
        <f>IF(A517="","",TEXT(A517,"yyyy-mm"))</f>
        <v>0</v>
      </c>
      <c r="D517" s="17">
        <f>IF(A517="","",TEXT(A517,"mmm"))</f>
        <v>0</v>
      </c>
      <c r="E517" s="23">
        <f>IF(C517="","",COUNTIFS('Content Calendar'!$D$5:$D$604,C517))</f>
        <v>0</v>
      </c>
      <c r="F517" s="23">
        <f>IF(C517="","",COUNTIFS('Content Calendar'!$D$5:$D$604,C517,'Content Calendar'!$X$5:$X$604,"Published"))</f>
        <v>0</v>
      </c>
      <c r="G517" s="23">
        <f>IF(C517="","",SUMIFS(Analytics!$J$5:$J$154,Analytics!$C$5:$C$154,C517))</f>
        <v>0</v>
      </c>
      <c r="H517" s="23">
        <f>IF(C517="","",SUMIFS(Analytics!$K$5:$K$154,Analytics!$C$5:$C$154,C517))</f>
        <v>0</v>
      </c>
      <c r="I517" s="23">
        <f>IF(C517="","",SUMIFS(Analytics!$L$5:$L$154,Analytics!$C$5:$C$154,C517))</f>
        <v>0</v>
      </c>
      <c r="J517" s="24">
        <f>IF(OR(G517="",G517=0),"",I517/G517)</f>
        <v>0</v>
      </c>
      <c r="K517" s="23">
        <f>IF(C517="","",SUMIFS(Analytics!$G$5:$G$154,Analytics!$C$5:$C$154,C517))</f>
        <v>0</v>
      </c>
      <c r="L517" s="23">
        <f>IF(C517="","",SUMIFS(Analytics!$X$5:$X$154,Analytics!$C$5:$C$154,C517))</f>
        <v>0</v>
      </c>
      <c r="M517" s="23">
        <f>IF(C517="","",SUMIFS(Analytics!$R$5:$R$154,Analytics!$C$5:$C$154,C517))</f>
        <v>0</v>
      </c>
      <c r="N517" s="23">
        <f>IF(C517="","",SUMIFS(Analytics!$S$5:$S$154,Analytics!$C$5:$C$154,C517))</f>
        <v>0</v>
      </c>
      <c r="O517" s="23">
        <f>IF(C517="","",SUMIFS(Analytics!$T$5:$T$154,Analytics!$C$5:$C$154,C517))</f>
        <v>0</v>
      </c>
      <c r="P517" s="25">
        <f>IF(C517="","",SUMIFS(Analytics!$U$5:$U$154,Analytics!$C$5:$C$154,C517))</f>
        <v>0</v>
      </c>
      <c r="Q517" s="25">
        <f>IF(C517="","",SUMIFS(Budget!$H$5:$H$64,Budget!$C$5:$C$64,C517))</f>
        <v>0</v>
      </c>
      <c r="R517" s="25">
        <f>IF(C517="","",P517-Q517)</f>
        <v>0</v>
      </c>
      <c r="S517" s="23">
        <f>IF(C517="","",MonthlyPostTarget)</f>
        <v>0</v>
      </c>
      <c r="T517" s="17">
        <f>IF(Lists!$C517="","",Lists!$C517)</f>
        <v>0</v>
      </c>
      <c r="U517" s="23">
        <f>IF(T517="","",COUNTIFS('Content Calendar'!$G$5:$G$604,T517,'Content Calendar'!$B$5:$B$604,"&gt;="&amp;DashStart,'Content Calendar'!$B$5:$B$604,"&lt;="&amp;DashEnd))</f>
        <v>0</v>
      </c>
      <c r="V517" s="23">
        <f>IF(T517="","",COUNTIFS('Content Calendar'!$G$5:$G$604,T517,'Content Calendar'!$X$5:$X$604,"Published",'Content Calendar'!$B$5:$B$604,"&gt;="&amp;DashStart,'Content Calendar'!$B$5:$B$604,"&lt;="&amp;DashEnd))</f>
        <v>0</v>
      </c>
      <c r="W517" s="23">
        <f>IF(T517="","",SUMIFS(Analytics!$J$5:$J$154,Analytics!$D$5:$D$154,T517,Analytics!$B$5:$B$154,"&gt;="&amp;DashStart,Analytics!$B$5:$B$154,"&lt;="&amp;DashEnd))</f>
        <v>0</v>
      </c>
      <c r="X517" s="23">
        <f>IF(T517="","",SUMIFS(Analytics!$L$5:$L$154,Analytics!$D$5:$D$154,T517,Analytics!$B$5:$B$154,"&gt;="&amp;DashStart,Analytics!$B$5:$B$154,"&lt;="&amp;DashEnd))</f>
        <v>0</v>
      </c>
      <c r="Y517" s="24">
        <f>IF(OR(W517="",W517=0),"",X517/W517)</f>
        <v>0</v>
      </c>
      <c r="Z517" s="23">
        <f>IF(T517="","",SUMIFS(Analytics!$G$5:$G$154,Analytics!$D$5:$D$154,T517,Analytics!$B$5:$B$154,"&gt;="&amp;DashStart,Analytics!$B$5:$B$154,"&lt;="&amp;DashEnd))</f>
        <v>0</v>
      </c>
      <c r="AA517" s="23">
        <f>IF(T517="","",SUMIFS(Analytics!$X$5:$X$154,Analytics!$D$5:$D$154,T517,Analytics!$B$5:$B$154,"&gt;="&amp;DashStart,Analytics!$B$5:$B$154,"&lt;="&amp;DashEnd))</f>
        <v>0</v>
      </c>
      <c r="AB517" s="23">
        <f>IF(T517="","",SUMIFS(Analytics!$R$5:$R$154,Analytics!$D$5:$D$154,T517,Analytics!$B$5:$B$154,"&gt;="&amp;DashStart,Analytics!$B$5:$B$154,"&lt;="&amp;DashEnd))</f>
        <v>0</v>
      </c>
      <c r="AC517" s="25">
        <f>IF(T517="","",SUMIFS(Analytics!$U$5:$U$154,Analytics!$D$5:$D$154,T517,Analytics!$B$5:$B$154,"&gt;="&amp;DashStart,Analytics!$B$5:$B$154,"&lt;="&amp;DashEnd))</f>
        <v>0</v>
      </c>
      <c r="AD517" s="23">
        <f>IF(T517="","",COUNTIFS('Content Calendar'!$G$5:$G$604,T517,'Content Calendar'!$B$5:$B$604,"&gt;="&amp;DATE(PlanYear,1,1),'Content Calendar'!$B$5:$B$604,"&lt;="&amp;DATE(PlanYear,12,31)))</f>
        <v>0</v>
      </c>
      <c r="AE517" s="23">
        <f>IF(T517="","",SUMIFS(Analytics!$J$5:$J$154,Analytics!$D$5:$D$154,T517))</f>
        <v>0</v>
      </c>
      <c r="AF517" s="23">
        <f>IF(T517="","",SUMIFS(Analytics!$L$5:$L$154,Analytics!$D$5:$D$154,T517))</f>
        <v>0</v>
      </c>
      <c r="AG517" s="24">
        <f>IF(OR(AE517="",AE517=0),"",AF517/AE517)</f>
        <v>0</v>
      </c>
      <c r="AH517" s="23">
        <f>IF(T517="","",SUMIFS(Analytics!$X$5:$X$154,Analytics!$D$5:$D$154,T517))</f>
        <v>0</v>
      </c>
      <c r="AI517" s="32">
        <f>IF(T517="","",IF(AE517=0,"",AE517+ROW()/1000000))</f>
        <v>0</v>
      </c>
      <c r="AJ517" s="17">
        <f>IF('Content Pillars'!$B$517="","",'Content Pillars'!$B$517)</f>
        <v>0</v>
      </c>
      <c r="AK517" s="23">
        <f>IF(AJ517="","",COUNTIFS('Content Calendar'!$J$5:$J$604,AJ517,'Content Calendar'!$B$5:$B$604,"&gt;="&amp;DATE(PlanYear,1,1),'Content Calendar'!$B$5:$B$604,"&lt;="&amp;DATE(PlanYear,12,31)))</f>
        <v>0</v>
      </c>
      <c r="AL517" s="23">
        <f>IF(AJ517="","",SUMIFS(Performance!$O$5:$O$404,Performance!$H$5:$H$404,AJ517))</f>
        <v>0</v>
      </c>
      <c r="AM517" s="23">
        <f>IF(AJ517="","",SUMIFS(Performance!$Z$5:$Z$404,Performance!$H$5:$H$404,AJ517))</f>
        <v>0</v>
      </c>
      <c r="AN517" s="24">
        <f>IF(OR(AL517="",AL517=0),"",AM517/AL517)</f>
        <v>0</v>
      </c>
      <c r="AO517" s="32">
        <f>IF(AN517="","",AN517+ROW()/1000000)</f>
        <v>0</v>
      </c>
      <c r="AP517" s="17">
        <f>IF(Lists!$E517="","",Lists!$E517)</f>
        <v>0</v>
      </c>
      <c r="AQ517" s="23">
        <f>IF(AP517="","",COUNTIF(Performance!$G$5:$G$404,AP517))</f>
        <v>0</v>
      </c>
      <c r="AR517" s="23">
        <f>IF(AP517="","",SUMIFS(Performance!$O$5:$O$404,Performance!$G$5:$G$404,AP517))</f>
        <v>0</v>
      </c>
      <c r="AS517" s="23">
        <f>IF(AP517="","",SUMIFS(Performance!$Z$5:$Z$404,Performance!$G$5:$G$404,AP517))</f>
        <v>0</v>
      </c>
      <c r="AT517" s="24">
        <f>IF(OR(AR517="",AR517=0),"",AS517/AR517)</f>
        <v>0</v>
      </c>
      <c r="AU517" s="32">
        <f>IF(AQ517=0,"",IF(AT517="","",AT517+ROW()/1000000))</f>
        <v>0</v>
      </c>
      <c r="AV517" s="17">
        <f>IF(ROW()-4&gt;7,"",TEXT(DATE(2024,1,ROW()-4),"ddd"))</f>
        <v>0</v>
      </c>
      <c r="AW517" s="23">
        <f>IF(AV517="","",COUNTIF(Performance!$N$5:$N$404,AV517))</f>
        <v>0</v>
      </c>
      <c r="AX517" s="23">
        <f>IF(AV517="","",SUMIFS(Performance!$O$5:$O$404,Performance!$N$5:$N$404,AV517))</f>
        <v>0</v>
      </c>
      <c r="AY517" s="23">
        <f>IF(AV517="","",SUMIFS(Performance!$Z$5:$Z$404,Performance!$N$5:$N$404,AV517))</f>
        <v>0</v>
      </c>
      <c r="AZ517" s="24">
        <f>IF(OR(AX517="",AX517=0),"",AY517/AX517)</f>
        <v>0</v>
      </c>
      <c r="BA517" s="32">
        <f>IF(AW517=0,"",IF(AZ517="","",AZ517+ROW()/1000000))</f>
        <v>0</v>
      </c>
      <c r="BB517" s="17">
        <f>IF(Lists!$AL517="","",Lists!$AL517)</f>
        <v>0</v>
      </c>
      <c r="BC517" s="23">
        <f>IF(BB517="","",COUNTIF(Performance!$M$5:$M$404,BB517))</f>
        <v>0</v>
      </c>
      <c r="BD517" s="23">
        <f>IF(BB517="","",SUMIFS(Performance!$O$5:$O$404,Performance!$M$5:$M$404,BB517))</f>
        <v>0</v>
      </c>
      <c r="BE517" s="23">
        <f>IF(BB517="","",SUMIFS(Performance!$Z$5:$Z$404,Performance!$M$5:$M$404,BB517))</f>
        <v>0</v>
      </c>
      <c r="BF517" s="24">
        <f>IF(OR(BD517="",BD517=0),"",BE517/BD517)</f>
        <v>0</v>
      </c>
      <c r="BG517" s="32">
        <f>IF(BC517=0,"",IF(BF517="","",BF517+ROW()/1000000))</f>
        <v>0</v>
      </c>
      <c r="BH517" s="17">
        <f>IF(Performance!$C$517="","",Performance!$C$517)</f>
        <v>0</v>
      </c>
      <c r="BI517" s="17">
        <f>IF(Performance!$F$517="","",Performance!$F$517)</f>
        <v>0</v>
      </c>
      <c r="BJ517" s="17">
        <f>IF(Performance!$H$517="","",Performance!$H$517)</f>
        <v>0</v>
      </c>
      <c r="BK517" s="16">
        <f>IF(Performance!$D$517="","",Performance!$D$517)</f>
        <v>0</v>
      </c>
      <c r="BL517" s="17">
        <f>IF(Performance!$E$517="","",Performance!$E$517)</f>
        <v>0</v>
      </c>
      <c r="BM517" s="23">
        <f>IF(Performance!$O$517="","",Performance!$O$517)</f>
        <v>0</v>
      </c>
      <c r="BN517" s="24">
        <f>IF(Performance!$AA$517="","",Performance!$AA$517)</f>
        <v>0</v>
      </c>
      <c r="BO517" s="32">
        <f>IF(BH517="","",IF(BK517="","",IF(OR(BK517&lt;DashStart,BK517&gt;DashEnd),"",IF(BN517="","",BN517+ROW()/1000000))))</f>
        <v>0</v>
      </c>
      <c r="BP517" s="32">
        <f>IF(BM517="","",IF(BK517="","",IF(OR(BK517&lt;DashStart,BK517&gt;DashEnd),"",BM517+ROW()/1000000)))</f>
        <v>0</v>
      </c>
      <c r="BQ517" s="32">
        <f>IF(BH517="","",IF(BK517="","",IF(YEAR(BK517)&lt;&gt;PlanYear,"",IF(BN517="","",BN517+ROW()/1000000))))</f>
        <v>0</v>
      </c>
      <c r="BR517" s="32">
        <f>IF(BH517="","",IF(BK517="","",IF(OR(BK517&lt;RepFrom,BK517&gt;RepTo),"",IF(BN517="","",BN517+ROW()/1000000))))</f>
        <v>0</v>
      </c>
      <c r="BS517" s="32">
        <f>IF(BM517="","",IF(BK517="","",IF(YEAR(BK517)&lt;&gt;PlanYear,"",BM517+ROW()/1000000)))</f>
        <v>0</v>
      </c>
      <c r="BT517" s="17">
        <f>IF(Lists!$F517="","",Lists!$F517)</f>
        <v>0</v>
      </c>
      <c r="BU517" s="23">
        <f>IF(BT517="","",COUNTIF('Content Calendar'!$X$5:$X$604,BT517))</f>
        <v>0</v>
      </c>
      <c r="BV517" s="23">
        <f>IF(BT517="","",COUNTIFS('Content Calendar'!$X$5:$X$604,BT517,'Content Calendar'!$B$5:$B$604,"&gt;="&amp;DashStart,'Content Calendar'!$B$5:$B$604,"&lt;="&amp;DashEnd))</f>
        <v>0</v>
      </c>
      <c r="BW517" s="17">
        <f>IF(Team!$B$517="","",Team!$B$517)</f>
        <v>0</v>
      </c>
      <c r="BX517" s="23">
        <f>IF(BW517="","",COUNTIF('Content Calendar'!$W$5:$W$604,BW517))</f>
        <v>0</v>
      </c>
      <c r="BY517" s="23">
        <f>IF(BW517="","",COUNTIFS('Content Calendar'!$W$5:$W$604,BW517,'Content Calendar'!$X$5:$X$604,"&lt;&gt;Published"))</f>
        <v>0</v>
      </c>
      <c r="BZ517" s="23">
        <f>IF(BW517="","",COUNTIFS(Tasks!$C$5:$C$64,BW517,Tasks!$G$5:$G$64,"&lt;&gt;Complete"))</f>
        <v>0</v>
      </c>
      <c r="CA517" s="17">
        <f>IF(Campaigns!$B$517="","",Campaigns!$B$517)</f>
        <v>0</v>
      </c>
      <c r="CB517" s="25">
        <f>IF(Campaigns!$T$517="","",Campaigns!$T$517)</f>
        <v>0</v>
      </c>
      <c r="CC517" s="25">
        <f>IF(Campaigns!$Q$517="","",Campaigns!$Q$517)</f>
        <v>0</v>
      </c>
      <c r="CD517" s="23">
        <f>IF(Campaigns!$Y$517="","",Campaigns!$Y$517)</f>
        <v>0</v>
      </c>
      <c r="CE517" s="32">
        <f>IF(CA517="","",IF(N(CB517)&lt;=0,"",N(CB517)+ROW()/1000000))</f>
        <v>0</v>
      </c>
      <c r="CF517" s="17">
        <f>IF(Accounts!$C$517="","",Accounts!$C$517)</f>
        <v>0</v>
      </c>
      <c r="CG517" s="17">
        <f>IF(Accounts!$B$517="","",Accounts!$B$517)</f>
        <v>0</v>
      </c>
      <c r="CH517" s="23">
        <f>IF(Accounts!$J$517="","",Accounts!$J$517)</f>
        <v>0</v>
      </c>
      <c r="CI517" s="23">
        <f>IF(CF517="","",SUMIFS(Analytics!$X$5:$X$154,Analytics!$E$5:$E$154,CF517,Analytics!$B$5:$B$154,"&gt;="&amp;DashStart,Analytics!$B$5:$B$154,"&lt;="&amp;DashEnd))</f>
        <v>0</v>
      </c>
      <c r="CJ517" s="32">
        <f>IF(CH517="","",IF(CH517=0,"",CH517+ROW()/1000000))</f>
        <v>0</v>
      </c>
    </row>
    <row r="518" spans="1:88">
      <c r="A518" s="16">
        <f>IF(ROW()-4&gt;12,"",DATE(PlanYear,ROW()-4,1))</f>
        <v>0</v>
      </c>
      <c r="B518" s="16">
        <f>IF(A518="","",EOMONTH(A518,0))</f>
        <v>0</v>
      </c>
      <c r="C518" s="17">
        <f>IF(A518="","",TEXT(A518,"yyyy-mm"))</f>
        <v>0</v>
      </c>
      <c r="D518" s="17">
        <f>IF(A518="","",TEXT(A518,"mmm"))</f>
        <v>0</v>
      </c>
      <c r="E518" s="23">
        <f>IF(C518="","",COUNTIFS('Content Calendar'!$D$5:$D$604,C518))</f>
        <v>0</v>
      </c>
      <c r="F518" s="23">
        <f>IF(C518="","",COUNTIFS('Content Calendar'!$D$5:$D$604,C518,'Content Calendar'!$X$5:$X$604,"Published"))</f>
        <v>0</v>
      </c>
      <c r="G518" s="23">
        <f>IF(C518="","",SUMIFS(Analytics!$J$5:$J$154,Analytics!$C$5:$C$154,C518))</f>
        <v>0</v>
      </c>
      <c r="H518" s="23">
        <f>IF(C518="","",SUMIFS(Analytics!$K$5:$K$154,Analytics!$C$5:$C$154,C518))</f>
        <v>0</v>
      </c>
      <c r="I518" s="23">
        <f>IF(C518="","",SUMIFS(Analytics!$L$5:$L$154,Analytics!$C$5:$C$154,C518))</f>
        <v>0</v>
      </c>
      <c r="J518" s="24">
        <f>IF(OR(G518="",G518=0),"",I518/G518)</f>
        <v>0</v>
      </c>
      <c r="K518" s="23">
        <f>IF(C518="","",SUMIFS(Analytics!$G$5:$G$154,Analytics!$C$5:$C$154,C518))</f>
        <v>0</v>
      </c>
      <c r="L518" s="23">
        <f>IF(C518="","",SUMIFS(Analytics!$X$5:$X$154,Analytics!$C$5:$C$154,C518))</f>
        <v>0</v>
      </c>
      <c r="M518" s="23">
        <f>IF(C518="","",SUMIFS(Analytics!$R$5:$R$154,Analytics!$C$5:$C$154,C518))</f>
        <v>0</v>
      </c>
      <c r="N518" s="23">
        <f>IF(C518="","",SUMIFS(Analytics!$S$5:$S$154,Analytics!$C$5:$C$154,C518))</f>
        <v>0</v>
      </c>
      <c r="O518" s="23">
        <f>IF(C518="","",SUMIFS(Analytics!$T$5:$T$154,Analytics!$C$5:$C$154,C518))</f>
        <v>0</v>
      </c>
      <c r="P518" s="25">
        <f>IF(C518="","",SUMIFS(Analytics!$U$5:$U$154,Analytics!$C$5:$C$154,C518))</f>
        <v>0</v>
      </c>
      <c r="Q518" s="25">
        <f>IF(C518="","",SUMIFS(Budget!$H$5:$H$64,Budget!$C$5:$C$64,C518))</f>
        <v>0</v>
      </c>
      <c r="R518" s="25">
        <f>IF(C518="","",P518-Q518)</f>
        <v>0</v>
      </c>
      <c r="S518" s="23">
        <f>IF(C518="","",MonthlyPostTarget)</f>
        <v>0</v>
      </c>
      <c r="T518" s="17">
        <f>IF(Lists!$C518="","",Lists!$C518)</f>
        <v>0</v>
      </c>
      <c r="U518" s="23">
        <f>IF(T518="","",COUNTIFS('Content Calendar'!$G$5:$G$604,T518,'Content Calendar'!$B$5:$B$604,"&gt;="&amp;DashStart,'Content Calendar'!$B$5:$B$604,"&lt;="&amp;DashEnd))</f>
        <v>0</v>
      </c>
      <c r="V518" s="23">
        <f>IF(T518="","",COUNTIFS('Content Calendar'!$G$5:$G$604,T518,'Content Calendar'!$X$5:$X$604,"Published",'Content Calendar'!$B$5:$B$604,"&gt;="&amp;DashStart,'Content Calendar'!$B$5:$B$604,"&lt;="&amp;DashEnd))</f>
        <v>0</v>
      </c>
      <c r="W518" s="23">
        <f>IF(T518="","",SUMIFS(Analytics!$J$5:$J$154,Analytics!$D$5:$D$154,T518,Analytics!$B$5:$B$154,"&gt;="&amp;DashStart,Analytics!$B$5:$B$154,"&lt;="&amp;DashEnd))</f>
        <v>0</v>
      </c>
      <c r="X518" s="23">
        <f>IF(T518="","",SUMIFS(Analytics!$L$5:$L$154,Analytics!$D$5:$D$154,T518,Analytics!$B$5:$B$154,"&gt;="&amp;DashStart,Analytics!$B$5:$B$154,"&lt;="&amp;DashEnd))</f>
        <v>0</v>
      </c>
      <c r="Y518" s="24">
        <f>IF(OR(W518="",W518=0),"",X518/W518)</f>
        <v>0</v>
      </c>
      <c r="Z518" s="23">
        <f>IF(T518="","",SUMIFS(Analytics!$G$5:$G$154,Analytics!$D$5:$D$154,T518,Analytics!$B$5:$B$154,"&gt;="&amp;DashStart,Analytics!$B$5:$B$154,"&lt;="&amp;DashEnd))</f>
        <v>0</v>
      </c>
      <c r="AA518" s="23">
        <f>IF(T518="","",SUMIFS(Analytics!$X$5:$X$154,Analytics!$D$5:$D$154,T518,Analytics!$B$5:$B$154,"&gt;="&amp;DashStart,Analytics!$B$5:$B$154,"&lt;="&amp;DashEnd))</f>
        <v>0</v>
      </c>
      <c r="AB518" s="23">
        <f>IF(T518="","",SUMIFS(Analytics!$R$5:$R$154,Analytics!$D$5:$D$154,T518,Analytics!$B$5:$B$154,"&gt;="&amp;DashStart,Analytics!$B$5:$B$154,"&lt;="&amp;DashEnd))</f>
        <v>0</v>
      </c>
      <c r="AC518" s="25">
        <f>IF(T518="","",SUMIFS(Analytics!$U$5:$U$154,Analytics!$D$5:$D$154,T518,Analytics!$B$5:$B$154,"&gt;="&amp;DashStart,Analytics!$B$5:$B$154,"&lt;="&amp;DashEnd))</f>
        <v>0</v>
      </c>
      <c r="AD518" s="23">
        <f>IF(T518="","",COUNTIFS('Content Calendar'!$G$5:$G$604,T518,'Content Calendar'!$B$5:$B$604,"&gt;="&amp;DATE(PlanYear,1,1),'Content Calendar'!$B$5:$B$604,"&lt;="&amp;DATE(PlanYear,12,31)))</f>
        <v>0</v>
      </c>
      <c r="AE518" s="23">
        <f>IF(T518="","",SUMIFS(Analytics!$J$5:$J$154,Analytics!$D$5:$D$154,T518))</f>
        <v>0</v>
      </c>
      <c r="AF518" s="23">
        <f>IF(T518="","",SUMIFS(Analytics!$L$5:$L$154,Analytics!$D$5:$D$154,T518))</f>
        <v>0</v>
      </c>
      <c r="AG518" s="24">
        <f>IF(OR(AE518="",AE518=0),"",AF518/AE518)</f>
        <v>0</v>
      </c>
      <c r="AH518" s="23">
        <f>IF(T518="","",SUMIFS(Analytics!$X$5:$X$154,Analytics!$D$5:$D$154,T518))</f>
        <v>0</v>
      </c>
      <c r="AI518" s="32">
        <f>IF(T518="","",IF(AE518=0,"",AE518+ROW()/1000000))</f>
        <v>0</v>
      </c>
      <c r="AJ518" s="17">
        <f>IF('Content Pillars'!$B$518="","",'Content Pillars'!$B$518)</f>
        <v>0</v>
      </c>
      <c r="AK518" s="23">
        <f>IF(AJ518="","",COUNTIFS('Content Calendar'!$J$5:$J$604,AJ518,'Content Calendar'!$B$5:$B$604,"&gt;="&amp;DATE(PlanYear,1,1),'Content Calendar'!$B$5:$B$604,"&lt;="&amp;DATE(PlanYear,12,31)))</f>
        <v>0</v>
      </c>
      <c r="AL518" s="23">
        <f>IF(AJ518="","",SUMIFS(Performance!$O$5:$O$404,Performance!$H$5:$H$404,AJ518))</f>
        <v>0</v>
      </c>
      <c r="AM518" s="23">
        <f>IF(AJ518="","",SUMIFS(Performance!$Z$5:$Z$404,Performance!$H$5:$H$404,AJ518))</f>
        <v>0</v>
      </c>
      <c r="AN518" s="24">
        <f>IF(OR(AL518="",AL518=0),"",AM518/AL518)</f>
        <v>0</v>
      </c>
      <c r="AO518" s="32">
        <f>IF(AN518="","",AN518+ROW()/1000000)</f>
        <v>0</v>
      </c>
      <c r="AP518" s="17">
        <f>IF(Lists!$E518="","",Lists!$E518)</f>
        <v>0</v>
      </c>
      <c r="AQ518" s="23">
        <f>IF(AP518="","",COUNTIF(Performance!$G$5:$G$404,AP518))</f>
        <v>0</v>
      </c>
      <c r="AR518" s="23">
        <f>IF(AP518="","",SUMIFS(Performance!$O$5:$O$404,Performance!$G$5:$G$404,AP518))</f>
        <v>0</v>
      </c>
      <c r="AS518" s="23">
        <f>IF(AP518="","",SUMIFS(Performance!$Z$5:$Z$404,Performance!$G$5:$G$404,AP518))</f>
        <v>0</v>
      </c>
      <c r="AT518" s="24">
        <f>IF(OR(AR518="",AR518=0),"",AS518/AR518)</f>
        <v>0</v>
      </c>
      <c r="AU518" s="32">
        <f>IF(AQ518=0,"",IF(AT518="","",AT518+ROW()/1000000))</f>
        <v>0</v>
      </c>
      <c r="AV518" s="17">
        <f>IF(ROW()-4&gt;7,"",TEXT(DATE(2024,1,ROW()-4),"ddd"))</f>
        <v>0</v>
      </c>
      <c r="AW518" s="23">
        <f>IF(AV518="","",COUNTIF(Performance!$N$5:$N$404,AV518))</f>
        <v>0</v>
      </c>
      <c r="AX518" s="23">
        <f>IF(AV518="","",SUMIFS(Performance!$O$5:$O$404,Performance!$N$5:$N$404,AV518))</f>
        <v>0</v>
      </c>
      <c r="AY518" s="23">
        <f>IF(AV518="","",SUMIFS(Performance!$Z$5:$Z$404,Performance!$N$5:$N$404,AV518))</f>
        <v>0</v>
      </c>
      <c r="AZ518" s="24">
        <f>IF(OR(AX518="",AX518=0),"",AY518/AX518)</f>
        <v>0</v>
      </c>
      <c r="BA518" s="32">
        <f>IF(AW518=0,"",IF(AZ518="","",AZ518+ROW()/1000000))</f>
        <v>0</v>
      </c>
      <c r="BB518" s="17">
        <f>IF(Lists!$AL518="","",Lists!$AL518)</f>
        <v>0</v>
      </c>
      <c r="BC518" s="23">
        <f>IF(BB518="","",COUNTIF(Performance!$M$5:$M$404,BB518))</f>
        <v>0</v>
      </c>
      <c r="BD518" s="23">
        <f>IF(BB518="","",SUMIFS(Performance!$O$5:$O$404,Performance!$M$5:$M$404,BB518))</f>
        <v>0</v>
      </c>
      <c r="BE518" s="23">
        <f>IF(BB518="","",SUMIFS(Performance!$Z$5:$Z$404,Performance!$M$5:$M$404,BB518))</f>
        <v>0</v>
      </c>
      <c r="BF518" s="24">
        <f>IF(OR(BD518="",BD518=0),"",BE518/BD518)</f>
        <v>0</v>
      </c>
      <c r="BG518" s="32">
        <f>IF(BC518=0,"",IF(BF518="","",BF518+ROW()/1000000))</f>
        <v>0</v>
      </c>
      <c r="BH518" s="17">
        <f>IF(Performance!$C$518="","",Performance!$C$518)</f>
        <v>0</v>
      </c>
      <c r="BI518" s="17">
        <f>IF(Performance!$F$518="","",Performance!$F$518)</f>
        <v>0</v>
      </c>
      <c r="BJ518" s="17">
        <f>IF(Performance!$H$518="","",Performance!$H$518)</f>
        <v>0</v>
      </c>
      <c r="BK518" s="16">
        <f>IF(Performance!$D$518="","",Performance!$D$518)</f>
        <v>0</v>
      </c>
      <c r="BL518" s="17">
        <f>IF(Performance!$E$518="","",Performance!$E$518)</f>
        <v>0</v>
      </c>
      <c r="BM518" s="23">
        <f>IF(Performance!$O$518="","",Performance!$O$518)</f>
        <v>0</v>
      </c>
      <c r="BN518" s="24">
        <f>IF(Performance!$AA$518="","",Performance!$AA$518)</f>
        <v>0</v>
      </c>
      <c r="BO518" s="32">
        <f>IF(BH518="","",IF(BK518="","",IF(OR(BK518&lt;DashStart,BK518&gt;DashEnd),"",IF(BN518="","",BN518+ROW()/1000000))))</f>
        <v>0</v>
      </c>
      <c r="BP518" s="32">
        <f>IF(BM518="","",IF(BK518="","",IF(OR(BK518&lt;DashStart,BK518&gt;DashEnd),"",BM518+ROW()/1000000)))</f>
        <v>0</v>
      </c>
      <c r="BQ518" s="32">
        <f>IF(BH518="","",IF(BK518="","",IF(YEAR(BK518)&lt;&gt;PlanYear,"",IF(BN518="","",BN518+ROW()/1000000))))</f>
        <v>0</v>
      </c>
      <c r="BR518" s="32">
        <f>IF(BH518="","",IF(BK518="","",IF(OR(BK518&lt;RepFrom,BK518&gt;RepTo),"",IF(BN518="","",BN518+ROW()/1000000))))</f>
        <v>0</v>
      </c>
      <c r="BS518" s="32">
        <f>IF(BM518="","",IF(BK518="","",IF(YEAR(BK518)&lt;&gt;PlanYear,"",BM518+ROW()/1000000)))</f>
        <v>0</v>
      </c>
      <c r="BT518" s="17">
        <f>IF(Lists!$F518="","",Lists!$F518)</f>
        <v>0</v>
      </c>
      <c r="BU518" s="23">
        <f>IF(BT518="","",COUNTIF('Content Calendar'!$X$5:$X$604,BT518))</f>
        <v>0</v>
      </c>
      <c r="BV518" s="23">
        <f>IF(BT518="","",COUNTIFS('Content Calendar'!$X$5:$X$604,BT518,'Content Calendar'!$B$5:$B$604,"&gt;="&amp;DashStart,'Content Calendar'!$B$5:$B$604,"&lt;="&amp;DashEnd))</f>
        <v>0</v>
      </c>
      <c r="BW518" s="17">
        <f>IF(Team!$B$518="","",Team!$B$518)</f>
        <v>0</v>
      </c>
      <c r="BX518" s="23">
        <f>IF(BW518="","",COUNTIF('Content Calendar'!$W$5:$W$604,BW518))</f>
        <v>0</v>
      </c>
      <c r="BY518" s="23">
        <f>IF(BW518="","",COUNTIFS('Content Calendar'!$W$5:$W$604,BW518,'Content Calendar'!$X$5:$X$604,"&lt;&gt;Published"))</f>
        <v>0</v>
      </c>
      <c r="BZ518" s="23">
        <f>IF(BW518="","",COUNTIFS(Tasks!$C$5:$C$64,BW518,Tasks!$G$5:$G$64,"&lt;&gt;Complete"))</f>
        <v>0</v>
      </c>
      <c r="CA518" s="17">
        <f>IF(Campaigns!$B$518="","",Campaigns!$B$518)</f>
        <v>0</v>
      </c>
      <c r="CB518" s="25">
        <f>IF(Campaigns!$T$518="","",Campaigns!$T$518)</f>
        <v>0</v>
      </c>
      <c r="CC518" s="25">
        <f>IF(Campaigns!$Q$518="","",Campaigns!$Q$518)</f>
        <v>0</v>
      </c>
      <c r="CD518" s="23">
        <f>IF(Campaigns!$Y$518="","",Campaigns!$Y$518)</f>
        <v>0</v>
      </c>
      <c r="CE518" s="32">
        <f>IF(CA518="","",IF(N(CB518)&lt;=0,"",N(CB518)+ROW()/1000000))</f>
        <v>0</v>
      </c>
      <c r="CF518" s="17">
        <f>IF(Accounts!$C$518="","",Accounts!$C$518)</f>
        <v>0</v>
      </c>
      <c r="CG518" s="17">
        <f>IF(Accounts!$B$518="","",Accounts!$B$518)</f>
        <v>0</v>
      </c>
      <c r="CH518" s="23">
        <f>IF(Accounts!$J$518="","",Accounts!$J$518)</f>
        <v>0</v>
      </c>
      <c r="CI518" s="23">
        <f>IF(CF518="","",SUMIFS(Analytics!$X$5:$X$154,Analytics!$E$5:$E$154,CF518,Analytics!$B$5:$B$154,"&gt;="&amp;DashStart,Analytics!$B$5:$B$154,"&lt;="&amp;DashEnd))</f>
        <v>0</v>
      </c>
      <c r="CJ518" s="32">
        <f>IF(CH518="","",IF(CH518=0,"",CH518+ROW()/1000000))</f>
        <v>0</v>
      </c>
    </row>
    <row r="519" spans="1:88">
      <c r="A519" s="16">
        <f>IF(ROW()-4&gt;12,"",DATE(PlanYear,ROW()-4,1))</f>
        <v>0</v>
      </c>
      <c r="B519" s="16">
        <f>IF(A519="","",EOMONTH(A519,0))</f>
        <v>0</v>
      </c>
      <c r="C519" s="17">
        <f>IF(A519="","",TEXT(A519,"yyyy-mm"))</f>
        <v>0</v>
      </c>
      <c r="D519" s="17">
        <f>IF(A519="","",TEXT(A519,"mmm"))</f>
        <v>0</v>
      </c>
      <c r="E519" s="23">
        <f>IF(C519="","",COUNTIFS('Content Calendar'!$D$5:$D$604,C519))</f>
        <v>0</v>
      </c>
      <c r="F519" s="23">
        <f>IF(C519="","",COUNTIFS('Content Calendar'!$D$5:$D$604,C519,'Content Calendar'!$X$5:$X$604,"Published"))</f>
        <v>0</v>
      </c>
      <c r="G519" s="23">
        <f>IF(C519="","",SUMIFS(Analytics!$J$5:$J$154,Analytics!$C$5:$C$154,C519))</f>
        <v>0</v>
      </c>
      <c r="H519" s="23">
        <f>IF(C519="","",SUMIFS(Analytics!$K$5:$K$154,Analytics!$C$5:$C$154,C519))</f>
        <v>0</v>
      </c>
      <c r="I519" s="23">
        <f>IF(C519="","",SUMIFS(Analytics!$L$5:$L$154,Analytics!$C$5:$C$154,C519))</f>
        <v>0</v>
      </c>
      <c r="J519" s="24">
        <f>IF(OR(G519="",G519=0),"",I519/G519)</f>
        <v>0</v>
      </c>
      <c r="K519" s="23">
        <f>IF(C519="","",SUMIFS(Analytics!$G$5:$G$154,Analytics!$C$5:$C$154,C519))</f>
        <v>0</v>
      </c>
      <c r="L519" s="23">
        <f>IF(C519="","",SUMIFS(Analytics!$X$5:$X$154,Analytics!$C$5:$C$154,C519))</f>
        <v>0</v>
      </c>
      <c r="M519" s="23">
        <f>IF(C519="","",SUMIFS(Analytics!$R$5:$R$154,Analytics!$C$5:$C$154,C519))</f>
        <v>0</v>
      </c>
      <c r="N519" s="23">
        <f>IF(C519="","",SUMIFS(Analytics!$S$5:$S$154,Analytics!$C$5:$C$154,C519))</f>
        <v>0</v>
      </c>
      <c r="O519" s="23">
        <f>IF(C519="","",SUMIFS(Analytics!$T$5:$T$154,Analytics!$C$5:$C$154,C519))</f>
        <v>0</v>
      </c>
      <c r="P519" s="25">
        <f>IF(C519="","",SUMIFS(Analytics!$U$5:$U$154,Analytics!$C$5:$C$154,C519))</f>
        <v>0</v>
      </c>
      <c r="Q519" s="25">
        <f>IF(C519="","",SUMIFS(Budget!$H$5:$H$64,Budget!$C$5:$C$64,C519))</f>
        <v>0</v>
      </c>
      <c r="R519" s="25">
        <f>IF(C519="","",P519-Q519)</f>
        <v>0</v>
      </c>
      <c r="S519" s="23">
        <f>IF(C519="","",MonthlyPostTarget)</f>
        <v>0</v>
      </c>
      <c r="T519" s="17">
        <f>IF(Lists!$C519="","",Lists!$C519)</f>
        <v>0</v>
      </c>
      <c r="U519" s="23">
        <f>IF(T519="","",COUNTIFS('Content Calendar'!$G$5:$G$604,T519,'Content Calendar'!$B$5:$B$604,"&gt;="&amp;DashStart,'Content Calendar'!$B$5:$B$604,"&lt;="&amp;DashEnd))</f>
        <v>0</v>
      </c>
      <c r="V519" s="23">
        <f>IF(T519="","",COUNTIFS('Content Calendar'!$G$5:$G$604,T519,'Content Calendar'!$X$5:$X$604,"Published",'Content Calendar'!$B$5:$B$604,"&gt;="&amp;DashStart,'Content Calendar'!$B$5:$B$604,"&lt;="&amp;DashEnd))</f>
        <v>0</v>
      </c>
      <c r="W519" s="23">
        <f>IF(T519="","",SUMIFS(Analytics!$J$5:$J$154,Analytics!$D$5:$D$154,T519,Analytics!$B$5:$B$154,"&gt;="&amp;DashStart,Analytics!$B$5:$B$154,"&lt;="&amp;DashEnd))</f>
        <v>0</v>
      </c>
      <c r="X519" s="23">
        <f>IF(T519="","",SUMIFS(Analytics!$L$5:$L$154,Analytics!$D$5:$D$154,T519,Analytics!$B$5:$B$154,"&gt;="&amp;DashStart,Analytics!$B$5:$B$154,"&lt;="&amp;DashEnd))</f>
        <v>0</v>
      </c>
      <c r="Y519" s="24">
        <f>IF(OR(W519="",W519=0),"",X519/W519)</f>
        <v>0</v>
      </c>
      <c r="Z519" s="23">
        <f>IF(T519="","",SUMIFS(Analytics!$G$5:$G$154,Analytics!$D$5:$D$154,T519,Analytics!$B$5:$B$154,"&gt;="&amp;DashStart,Analytics!$B$5:$B$154,"&lt;="&amp;DashEnd))</f>
        <v>0</v>
      </c>
      <c r="AA519" s="23">
        <f>IF(T519="","",SUMIFS(Analytics!$X$5:$X$154,Analytics!$D$5:$D$154,T519,Analytics!$B$5:$B$154,"&gt;="&amp;DashStart,Analytics!$B$5:$B$154,"&lt;="&amp;DashEnd))</f>
        <v>0</v>
      </c>
      <c r="AB519" s="23">
        <f>IF(T519="","",SUMIFS(Analytics!$R$5:$R$154,Analytics!$D$5:$D$154,T519,Analytics!$B$5:$B$154,"&gt;="&amp;DashStart,Analytics!$B$5:$B$154,"&lt;="&amp;DashEnd))</f>
        <v>0</v>
      </c>
      <c r="AC519" s="25">
        <f>IF(T519="","",SUMIFS(Analytics!$U$5:$U$154,Analytics!$D$5:$D$154,T519,Analytics!$B$5:$B$154,"&gt;="&amp;DashStart,Analytics!$B$5:$B$154,"&lt;="&amp;DashEnd))</f>
        <v>0</v>
      </c>
      <c r="AD519" s="23">
        <f>IF(T519="","",COUNTIFS('Content Calendar'!$G$5:$G$604,T519,'Content Calendar'!$B$5:$B$604,"&gt;="&amp;DATE(PlanYear,1,1),'Content Calendar'!$B$5:$B$604,"&lt;="&amp;DATE(PlanYear,12,31)))</f>
        <v>0</v>
      </c>
      <c r="AE519" s="23">
        <f>IF(T519="","",SUMIFS(Analytics!$J$5:$J$154,Analytics!$D$5:$D$154,T519))</f>
        <v>0</v>
      </c>
      <c r="AF519" s="23">
        <f>IF(T519="","",SUMIFS(Analytics!$L$5:$L$154,Analytics!$D$5:$D$154,T519))</f>
        <v>0</v>
      </c>
      <c r="AG519" s="24">
        <f>IF(OR(AE519="",AE519=0),"",AF519/AE519)</f>
        <v>0</v>
      </c>
      <c r="AH519" s="23">
        <f>IF(T519="","",SUMIFS(Analytics!$X$5:$X$154,Analytics!$D$5:$D$154,T519))</f>
        <v>0</v>
      </c>
      <c r="AI519" s="32">
        <f>IF(T519="","",IF(AE519=0,"",AE519+ROW()/1000000))</f>
        <v>0</v>
      </c>
      <c r="AJ519" s="17">
        <f>IF('Content Pillars'!$B$519="","",'Content Pillars'!$B$519)</f>
        <v>0</v>
      </c>
      <c r="AK519" s="23">
        <f>IF(AJ519="","",COUNTIFS('Content Calendar'!$J$5:$J$604,AJ519,'Content Calendar'!$B$5:$B$604,"&gt;="&amp;DATE(PlanYear,1,1),'Content Calendar'!$B$5:$B$604,"&lt;="&amp;DATE(PlanYear,12,31)))</f>
        <v>0</v>
      </c>
      <c r="AL519" s="23">
        <f>IF(AJ519="","",SUMIFS(Performance!$O$5:$O$404,Performance!$H$5:$H$404,AJ519))</f>
        <v>0</v>
      </c>
      <c r="AM519" s="23">
        <f>IF(AJ519="","",SUMIFS(Performance!$Z$5:$Z$404,Performance!$H$5:$H$404,AJ519))</f>
        <v>0</v>
      </c>
      <c r="AN519" s="24">
        <f>IF(OR(AL519="",AL519=0),"",AM519/AL519)</f>
        <v>0</v>
      </c>
      <c r="AO519" s="32">
        <f>IF(AN519="","",AN519+ROW()/1000000)</f>
        <v>0</v>
      </c>
      <c r="AP519" s="17">
        <f>IF(Lists!$E519="","",Lists!$E519)</f>
        <v>0</v>
      </c>
      <c r="AQ519" s="23">
        <f>IF(AP519="","",COUNTIF(Performance!$G$5:$G$404,AP519))</f>
        <v>0</v>
      </c>
      <c r="AR519" s="23">
        <f>IF(AP519="","",SUMIFS(Performance!$O$5:$O$404,Performance!$G$5:$G$404,AP519))</f>
        <v>0</v>
      </c>
      <c r="AS519" s="23">
        <f>IF(AP519="","",SUMIFS(Performance!$Z$5:$Z$404,Performance!$G$5:$G$404,AP519))</f>
        <v>0</v>
      </c>
      <c r="AT519" s="24">
        <f>IF(OR(AR519="",AR519=0),"",AS519/AR519)</f>
        <v>0</v>
      </c>
      <c r="AU519" s="32">
        <f>IF(AQ519=0,"",IF(AT519="","",AT519+ROW()/1000000))</f>
        <v>0</v>
      </c>
      <c r="AV519" s="17">
        <f>IF(ROW()-4&gt;7,"",TEXT(DATE(2024,1,ROW()-4),"ddd"))</f>
        <v>0</v>
      </c>
      <c r="AW519" s="23">
        <f>IF(AV519="","",COUNTIF(Performance!$N$5:$N$404,AV519))</f>
        <v>0</v>
      </c>
      <c r="AX519" s="23">
        <f>IF(AV519="","",SUMIFS(Performance!$O$5:$O$404,Performance!$N$5:$N$404,AV519))</f>
        <v>0</v>
      </c>
      <c r="AY519" s="23">
        <f>IF(AV519="","",SUMIFS(Performance!$Z$5:$Z$404,Performance!$N$5:$N$404,AV519))</f>
        <v>0</v>
      </c>
      <c r="AZ519" s="24">
        <f>IF(OR(AX519="",AX519=0),"",AY519/AX519)</f>
        <v>0</v>
      </c>
      <c r="BA519" s="32">
        <f>IF(AW519=0,"",IF(AZ519="","",AZ519+ROW()/1000000))</f>
        <v>0</v>
      </c>
      <c r="BB519" s="17">
        <f>IF(Lists!$AL519="","",Lists!$AL519)</f>
        <v>0</v>
      </c>
      <c r="BC519" s="23">
        <f>IF(BB519="","",COUNTIF(Performance!$M$5:$M$404,BB519))</f>
        <v>0</v>
      </c>
      <c r="BD519" s="23">
        <f>IF(BB519="","",SUMIFS(Performance!$O$5:$O$404,Performance!$M$5:$M$404,BB519))</f>
        <v>0</v>
      </c>
      <c r="BE519" s="23">
        <f>IF(BB519="","",SUMIFS(Performance!$Z$5:$Z$404,Performance!$M$5:$M$404,BB519))</f>
        <v>0</v>
      </c>
      <c r="BF519" s="24">
        <f>IF(OR(BD519="",BD519=0),"",BE519/BD519)</f>
        <v>0</v>
      </c>
      <c r="BG519" s="32">
        <f>IF(BC519=0,"",IF(BF519="","",BF519+ROW()/1000000))</f>
        <v>0</v>
      </c>
      <c r="BH519" s="17">
        <f>IF(Performance!$C$519="","",Performance!$C$519)</f>
        <v>0</v>
      </c>
      <c r="BI519" s="17">
        <f>IF(Performance!$F$519="","",Performance!$F$519)</f>
        <v>0</v>
      </c>
      <c r="BJ519" s="17">
        <f>IF(Performance!$H$519="","",Performance!$H$519)</f>
        <v>0</v>
      </c>
      <c r="BK519" s="16">
        <f>IF(Performance!$D$519="","",Performance!$D$519)</f>
        <v>0</v>
      </c>
      <c r="BL519" s="17">
        <f>IF(Performance!$E$519="","",Performance!$E$519)</f>
        <v>0</v>
      </c>
      <c r="BM519" s="23">
        <f>IF(Performance!$O$519="","",Performance!$O$519)</f>
        <v>0</v>
      </c>
      <c r="BN519" s="24">
        <f>IF(Performance!$AA$519="","",Performance!$AA$519)</f>
        <v>0</v>
      </c>
      <c r="BO519" s="32">
        <f>IF(BH519="","",IF(BK519="","",IF(OR(BK519&lt;DashStart,BK519&gt;DashEnd),"",IF(BN519="","",BN519+ROW()/1000000))))</f>
        <v>0</v>
      </c>
      <c r="BP519" s="32">
        <f>IF(BM519="","",IF(BK519="","",IF(OR(BK519&lt;DashStart,BK519&gt;DashEnd),"",BM519+ROW()/1000000)))</f>
        <v>0</v>
      </c>
      <c r="BQ519" s="32">
        <f>IF(BH519="","",IF(BK519="","",IF(YEAR(BK519)&lt;&gt;PlanYear,"",IF(BN519="","",BN519+ROW()/1000000))))</f>
        <v>0</v>
      </c>
      <c r="BR519" s="32">
        <f>IF(BH519="","",IF(BK519="","",IF(OR(BK519&lt;RepFrom,BK519&gt;RepTo),"",IF(BN519="","",BN519+ROW()/1000000))))</f>
        <v>0</v>
      </c>
      <c r="BS519" s="32">
        <f>IF(BM519="","",IF(BK519="","",IF(YEAR(BK519)&lt;&gt;PlanYear,"",BM519+ROW()/1000000)))</f>
        <v>0</v>
      </c>
      <c r="BT519" s="17">
        <f>IF(Lists!$F519="","",Lists!$F519)</f>
        <v>0</v>
      </c>
      <c r="BU519" s="23">
        <f>IF(BT519="","",COUNTIF('Content Calendar'!$X$5:$X$604,BT519))</f>
        <v>0</v>
      </c>
      <c r="BV519" s="23">
        <f>IF(BT519="","",COUNTIFS('Content Calendar'!$X$5:$X$604,BT519,'Content Calendar'!$B$5:$B$604,"&gt;="&amp;DashStart,'Content Calendar'!$B$5:$B$604,"&lt;="&amp;DashEnd))</f>
        <v>0</v>
      </c>
      <c r="BW519" s="17">
        <f>IF(Team!$B$519="","",Team!$B$519)</f>
        <v>0</v>
      </c>
      <c r="BX519" s="23">
        <f>IF(BW519="","",COUNTIF('Content Calendar'!$W$5:$W$604,BW519))</f>
        <v>0</v>
      </c>
      <c r="BY519" s="23">
        <f>IF(BW519="","",COUNTIFS('Content Calendar'!$W$5:$W$604,BW519,'Content Calendar'!$X$5:$X$604,"&lt;&gt;Published"))</f>
        <v>0</v>
      </c>
      <c r="BZ519" s="23">
        <f>IF(BW519="","",COUNTIFS(Tasks!$C$5:$C$64,BW519,Tasks!$G$5:$G$64,"&lt;&gt;Complete"))</f>
        <v>0</v>
      </c>
      <c r="CA519" s="17">
        <f>IF(Campaigns!$B$519="","",Campaigns!$B$519)</f>
        <v>0</v>
      </c>
      <c r="CB519" s="25">
        <f>IF(Campaigns!$T$519="","",Campaigns!$T$519)</f>
        <v>0</v>
      </c>
      <c r="CC519" s="25">
        <f>IF(Campaigns!$Q$519="","",Campaigns!$Q$519)</f>
        <v>0</v>
      </c>
      <c r="CD519" s="23">
        <f>IF(Campaigns!$Y$519="","",Campaigns!$Y$519)</f>
        <v>0</v>
      </c>
      <c r="CE519" s="32">
        <f>IF(CA519="","",IF(N(CB519)&lt;=0,"",N(CB519)+ROW()/1000000))</f>
        <v>0</v>
      </c>
      <c r="CF519" s="17">
        <f>IF(Accounts!$C$519="","",Accounts!$C$519)</f>
        <v>0</v>
      </c>
      <c r="CG519" s="17">
        <f>IF(Accounts!$B$519="","",Accounts!$B$519)</f>
        <v>0</v>
      </c>
      <c r="CH519" s="23">
        <f>IF(Accounts!$J$519="","",Accounts!$J$519)</f>
        <v>0</v>
      </c>
      <c r="CI519" s="23">
        <f>IF(CF519="","",SUMIFS(Analytics!$X$5:$X$154,Analytics!$E$5:$E$154,CF519,Analytics!$B$5:$B$154,"&gt;="&amp;DashStart,Analytics!$B$5:$B$154,"&lt;="&amp;DashEnd))</f>
        <v>0</v>
      </c>
      <c r="CJ519" s="32">
        <f>IF(CH519="","",IF(CH519=0,"",CH519+ROW()/1000000))</f>
        <v>0</v>
      </c>
    </row>
    <row r="520" spans="1:88">
      <c r="A520" s="16">
        <f>IF(ROW()-4&gt;12,"",DATE(PlanYear,ROW()-4,1))</f>
        <v>0</v>
      </c>
      <c r="B520" s="16">
        <f>IF(A520="","",EOMONTH(A520,0))</f>
        <v>0</v>
      </c>
      <c r="C520" s="17">
        <f>IF(A520="","",TEXT(A520,"yyyy-mm"))</f>
        <v>0</v>
      </c>
      <c r="D520" s="17">
        <f>IF(A520="","",TEXT(A520,"mmm"))</f>
        <v>0</v>
      </c>
      <c r="E520" s="23">
        <f>IF(C520="","",COUNTIFS('Content Calendar'!$D$5:$D$604,C520))</f>
        <v>0</v>
      </c>
      <c r="F520" s="23">
        <f>IF(C520="","",COUNTIFS('Content Calendar'!$D$5:$D$604,C520,'Content Calendar'!$X$5:$X$604,"Published"))</f>
        <v>0</v>
      </c>
      <c r="G520" s="23">
        <f>IF(C520="","",SUMIFS(Analytics!$J$5:$J$154,Analytics!$C$5:$C$154,C520))</f>
        <v>0</v>
      </c>
      <c r="H520" s="23">
        <f>IF(C520="","",SUMIFS(Analytics!$K$5:$K$154,Analytics!$C$5:$C$154,C520))</f>
        <v>0</v>
      </c>
      <c r="I520" s="23">
        <f>IF(C520="","",SUMIFS(Analytics!$L$5:$L$154,Analytics!$C$5:$C$154,C520))</f>
        <v>0</v>
      </c>
      <c r="J520" s="24">
        <f>IF(OR(G520="",G520=0),"",I520/G520)</f>
        <v>0</v>
      </c>
      <c r="K520" s="23">
        <f>IF(C520="","",SUMIFS(Analytics!$G$5:$G$154,Analytics!$C$5:$C$154,C520))</f>
        <v>0</v>
      </c>
      <c r="L520" s="23">
        <f>IF(C520="","",SUMIFS(Analytics!$X$5:$X$154,Analytics!$C$5:$C$154,C520))</f>
        <v>0</v>
      </c>
      <c r="M520" s="23">
        <f>IF(C520="","",SUMIFS(Analytics!$R$5:$R$154,Analytics!$C$5:$C$154,C520))</f>
        <v>0</v>
      </c>
      <c r="N520" s="23">
        <f>IF(C520="","",SUMIFS(Analytics!$S$5:$S$154,Analytics!$C$5:$C$154,C520))</f>
        <v>0</v>
      </c>
      <c r="O520" s="23">
        <f>IF(C520="","",SUMIFS(Analytics!$T$5:$T$154,Analytics!$C$5:$C$154,C520))</f>
        <v>0</v>
      </c>
      <c r="P520" s="25">
        <f>IF(C520="","",SUMIFS(Analytics!$U$5:$U$154,Analytics!$C$5:$C$154,C520))</f>
        <v>0</v>
      </c>
      <c r="Q520" s="25">
        <f>IF(C520="","",SUMIFS(Budget!$H$5:$H$64,Budget!$C$5:$C$64,C520))</f>
        <v>0</v>
      </c>
      <c r="R520" s="25">
        <f>IF(C520="","",P520-Q520)</f>
        <v>0</v>
      </c>
      <c r="S520" s="23">
        <f>IF(C520="","",MonthlyPostTarget)</f>
        <v>0</v>
      </c>
      <c r="T520" s="17">
        <f>IF(Lists!$C520="","",Lists!$C520)</f>
        <v>0</v>
      </c>
      <c r="U520" s="23">
        <f>IF(T520="","",COUNTIFS('Content Calendar'!$G$5:$G$604,T520,'Content Calendar'!$B$5:$B$604,"&gt;="&amp;DashStart,'Content Calendar'!$B$5:$B$604,"&lt;="&amp;DashEnd))</f>
        <v>0</v>
      </c>
      <c r="V520" s="23">
        <f>IF(T520="","",COUNTIFS('Content Calendar'!$G$5:$G$604,T520,'Content Calendar'!$X$5:$X$604,"Published",'Content Calendar'!$B$5:$B$604,"&gt;="&amp;DashStart,'Content Calendar'!$B$5:$B$604,"&lt;="&amp;DashEnd))</f>
        <v>0</v>
      </c>
      <c r="W520" s="23">
        <f>IF(T520="","",SUMIFS(Analytics!$J$5:$J$154,Analytics!$D$5:$D$154,T520,Analytics!$B$5:$B$154,"&gt;="&amp;DashStart,Analytics!$B$5:$B$154,"&lt;="&amp;DashEnd))</f>
        <v>0</v>
      </c>
      <c r="X520" s="23">
        <f>IF(T520="","",SUMIFS(Analytics!$L$5:$L$154,Analytics!$D$5:$D$154,T520,Analytics!$B$5:$B$154,"&gt;="&amp;DashStart,Analytics!$B$5:$B$154,"&lt;="&amp;DashEnd))</f>
        <v>0</v>
      </c>
      <c r="Y520" s="24">
        <f>IF(OR(W520="",W520=0),"",X520/W520)</f>
        <v>0</v>
      </c>
      <c r="Z520" s="23">
        <f>IF(T520="","",SUMIFS(Analytics!$G$5:$G$154,Analytics!$D$5:$D$154,T520,Analytics!$B$5:$B$154,"&gt;="&amp;DashStart,Analytics!$B$5:$B$154,"&lt;="&amp;DashEnd))</f>
        <v>0</v>
      </c>
      <c r="AA520" s="23">
        <f>IF(T520="","",SUMIFS(Analytics!$X$5:$X$154,Analytics!$D$5:$D$154,T520,Analytics!$B$5:$B$154,"&gt;="&amp;DashStart,Analytics!$B$5:$B$154,"&lt;="&amp;DashEnd))</f>
        <v>0</v>
      </c>
      <c r="AB520" s="23">
        <f>IF(T520="","",SUMIFS(Analytics!$R$5:$R$154,Analytics!$D$5:$D$154,T520,Analytics!$B$5:$B$154,"&gt;="&amp;DashStart,Analytics!$B$5:$B$154,"&lt;="&amp;DashEnd))</f>
        <v>0</v>
      </c>
      <c r="AC520" s="25">
        <f>IF(T520="","",SUMIFS(Analytics!$U$5:$U$154,Analytics!$D$5:$D$154,T520,Analytics!$B$5:$B$154,"&gt;="&amp;DashStart,Analytics!$B$5:$B$154,"&lt;="&amp;DashEnd))</f>
        <v>0</v>
      </c>
      <c r="AD520" s="23">
        <f>IF(T520="","",COUNTIFS('Content Calendar'!$G$5:$G$604,T520,'Content Calendar'!$B$5:$B$604,"&gt;="&amp;DATE(PlanYear,1,1),'Content Calendar'!$B$5:$B$604,"&lt;="&amp;DATE(PlanYear,12,31)))</f>
        <v>0</v>
      </c>
      <c r="AE520" s="23">
        <f>IF(T520="","",SUMIFS(Analytics!$J$5:$J$154,Analytics!$D$5:$D$154,T520))</f>
        <v>0</v>
      </c>
      <c r="AF520" s="23">
        <f>IF(T520="","",SUMIFS(Analytics!$L$5:$L$154,Analytics!$D$5:$D$154,T520))</f>
        <v>0</v>
      </c>
      <c r="AG520" s="24">
        <f>IF(OR(AE520="",AE520=0),"",AF520/AE520)</f>
        <v>0</v>
      </c>
      <c r="AH520" s="23">
        <f>IF(T520="","",SUMIFS(Analytics!$X$5:$X$154,Analytics!$D$5:$D$154,T520))</f>
        <v>0</v>
      </c>
      <c r="AI520" s="32">
        <f>IF(T520="","",IF(AE520=0,"",AE520+ROW()/1000000))</f>
        <v>0</v>
      </c>
      <c r="AJ520" s="17">
        <f>IF('Content Pillars'!$B$520="","",'Content Pillars'!$B$520)</f>
        <v>0</v>
      </c>
      <c r="AK520" s="23">
        <f>IF(AJ520="","",COUNTIFS('Content Calendar'!$J$5:$J$604,AJ520,'Content Calendar'!$B$5:$B$604,"&gt;="&amp;DATE(PlanYear,1,1),'Content Calendar'!$B$5:$B$604,"&lt;="&amp;DATE(PlanYear,12,31)))</f>
        <v>0</v>
      </c>
      <c r="AL520" s="23">
        <f>IF(AJ520="","",SUMIFS(Performance!$O$5:$O$404,Performance!$H$5:$H$404,AJ520))</f>
        <v>0</v>
      </c>
      <c r="AM520" s="23">
        <f>IF(AJ520="","",SUMIFS(Performance!$Z$5:$Z$404,Performance!$H$5:$H$404,AJ520))</f>
        <v>0</v>
      </c>
      <c r="AN520" s="24">
        <f>IF(OR(AL520="",AL520=0),"",AM520/AL520)</f>
        <v>0</v>
      </c>
      <c r="AO520" s="32">
        <f>IF(AN520="","",AN520+ROW()/1000000)</f>
        <v>0</v>
      </c>
      <c r="AP520" s="17">
        <f>IF(Lists!$E520="","",Lists!$E520)</f>
        <v>0</v>
      </c>
      <c r="AQ520" s="23">
        <f>IF(AP520="","",COUNTIF(Performance!$G$5:$G$404,AP520))</f>
        <v>0</v>
      </c>
      <c r="AR520" s="23">
        <f>IF(AP520="","",SUMIFS(Performance!$O$5:$O$404,Performance!$G$5:$G$404,AP520))</f>
        <v>0</v>
      </c>
      <c r="AS520" s="23">
        <f>IF(AP520="","",SUMIFS(Performance!$Z$5:$Z$404,Performance!$G$5:$G$404,AP520))</f>
        <v>0</v>
      </c>
      <c r="AT520" s="24">
        <f>IF(OR(AR520="",AR520=0),"",AS520/AR520)</f>
        <v>0</v>
      </c>
      <c r="AU520" s="32">
        <f>IF(AQ520=0,"",IF(AT520="","",AT520+ROW()/1000000))</f>
        <v>0</v>
      </c>
      <c r="AV520" s="17">
        <f>IF(ROW()-4&gt;7,"",TEXT(DATE(2024,1,ROW()-4),"ddd"))</f>
        <v>0</v>
      </c>
      <c r="AW520" s="23">
        <f>IF(AV520="","",COUNTIF(Performance!$N$5:$N$404,AV520))</f>
        <v>0</v>
      </c>
      <c r="AX520" s="23">
        <f>IF(AV520="","",SUMIFS(Performance!$O$5:$O$404,Performance!$N$5:$N$404,AV520))</f>
        <v>0</v>
      </c>
      <c r="AY520" s="23">
        <f>IF(AV520="","",SUMIFS(Performance!$Z$5:$Z$404,Performance!$N$5:$N$404,AV520))</f>
        <v>0</v>
      </c>
      <c r="AZ520" s="24">
        <f>IF(OR(AX520="",AX520=0),"",AY520/AX520)</f>
        <v>0</v>
      </c>
      <c r="BA520" s="32">
        <f>IF(AW520=0,"",IF(AZ520="","",AZ520+ROW()/1000000))</f>
        <v>0</v>
      </c>
      <c r="BB520" s="17">
        <f>IF(Lists!$AL520="","",Lists!$AL520)</f>
        <v>0</v>
      </c>
      <c r="BC520" s="23">
        <f>IF(BB520="","",COUNTIF(Performance!$M$5:$M$404,BB520))</f>
        <v>0</v>
      </c>
      <c r="BD520" s="23">
        <f>IF(BB520="","",SUMIFS(Performance!$O$5:$O$404,Performance!$M$5:$M$404,BB520))</f>
        <v>0</v>
      </c>
      <c r="BE520" s="23">
        <f>IF(BB520="","",SUMIFS(Performance!$Z$5:$Z$404,Performance!$M$5:$M$404,BB520))</f>
        <v>0</v>
      </c>
      <c r="BF520" s="24">
        <f>IF(OR(BD520="",BD520=0),"",BE520/BD520)</f>
        <v>0</v>
      </c>
      <c r="BG520" s="32">
        <f>IF(BC520=0,"",IF(BF520="","",BF520+ROW()/1000000))</f>
        <v>0</v>
      </c>
      <c r="BH520" s="17">
        <f>IF(Performance!$C$520="","",Performance!$C$520)</f>
        <v>0</v>
      </c>
      <c r="BI520" s="17">
        <f>IF(Performance!$F$520="","",Performance!$F$520)</f>
        <v>0</v>
      </c>
      <c r="BJ520" s="17">
        <f>IF(Performance!$H$520="","",Performance!$H$520)</f>
        <v>0</v>
      </c>
      <c r="BK520" s="16">
        <f>IF(Performance!$D$520="","",Performance!$D$520)</f>
        <v>0</v>
      </c>
      <c r="BL520" s="17">
        <f>IF(Performance!$E$520="","",Performance!$E$520)</f>
        <v>0</v>
      </c>
      <c r="BM520" s="23">
        <f>IF(Performance!$O$520="","",Performance!$O$520)</f>
        <v>0</v>
      </c>
      <c r="BN520" s="24">
        <f>IF(Performance!$AA$520="","",Performance!$AA$520)</f>
        <v>0</v>
      </c>
      <c r="BO520" s="32">
        <f>IF(BH520="","",IF(BK520="","",IF(OR(BK520&lt;DashStart,BK520&gt;DashEnd),"",IF(BN520="","",BN520+ROW()/1000000))))</f>
        <v>0</v>
      </c>
      <c r="BP520" s="32">
        <f>IF(BM520="","",IF(BK520="","",IF(OR(BK520&lt;DashStart,BK520&gt;DashEnd),"",BM520+ROW()/1000000)))</f>
        <v>0</v>
      </c>
      <c r="BQ520" s="32">
        <f>IF(BH520="","",IF(BK520="","",IF(YEAR(BK520)&lt;&gt;PlanYear,"",IF(BN520="","",BN520+ROW()/1000000))))</f>
        <v>0</v>
      </c>
      <c r="BR520" s="32">
        <f>IF(BH520="","",IF(BK520="","",IF(OR(BK520&lt;RepFrom,BK520&gt;RepTo),"",IF(BN520="","",BN520+ROW()/1000000))))</f>
        <v>0</v>
      </c>
      <c r="BS520" s="32">
        <f>IF(BM520="","",IF(BK520="","",IF(YEAR(BK520)&lt;&gt;PlanYear,"",BM520+ROW()/1000000)))</f>
        <v>0</v>
      </c>
      <c r="BT520" s="17">
        <f>IF(Lists!$F520="","",Lists!$F520)</f>
        <v>0</v>
      </c>
      <c r="BU520" s="23">
        <f>IF(BT520="","",COUNTIF('Content Calendar'!$X$5:$X$604,BT520))</f>
        <v>0</v>
      </c>
      <c r="BV520" s="23">
        <f>IF(BT520="","",COUNTIFS('Content Calendar'!$X$5:$X$604,BT520,'Content Calendar'!$B$5:$B$604,"&gt;="&amp;DashStart,'Content Calendar'!$B$5:$B$604,"&lt;="&amp;DashEnd))</f>
        <v>0</v>
      </c>
      <c r="BW520" s="17">
        <f>IF(Team!$B$520="","",Team!$B$520)</f>
        <v>0</v>
      </c>
      <c r="BX520" s="23">
        <f>IF(BW520="","",COUNTIF('Content Calendar'!$W$5:$W$604,BW520))</f>
        <v>0</v>
      </c>
      <c r="BY520" s="23">
        <f>IF(BW520="","",COUNTIFS('Content Calendar'!$W$5:$W$604,BW520,'Content Calendar'!$X$5:$X$604,"&lt;&gt;Published"))</f>
        <v>0</v>
      </c>
      <c r="BZ520" s="23">
        <f>IF(BW520="","",COUNTIFS(Tasks!$C$5:$C$64,BW520,Tasks!$G$5:$G$64,"&lt;&gt;Complete"))</f>
        <v>0</v>
      </c>
      <c r="CA520" s="17">
        <f>IF(Campaigns!$B$520="","",Campaigns!$B$520)</f>
        <v>0</v>
      </c>
      <c r="CB520" s="25">
        <f>IF(Campaigns!$T$520="","",Campaigns!$T$520)</f>
        <v>0</v>
      </c>
      <c r="CC520" s="25">
        <f>IF(Campaigns!$Q$520="","",Campaigns!$Q$520)</f>
        <v>0</v>
      </c>
      <c r="CD520" s="23">
        <f>IF(Campaigns!$Y$520="","",Campaigns!$Y$520)</f>
        <v>0</v>
      </c>
      <c r="CE520" s="32">
        <f>IF(CA520="","",IF(N(CB520)&lt;=0,"",N(CB520)+ROW()/1000000))</f>
        <v>0</v>
      </c>
      <c r="CF520" s="17">
        <f>IF(Accounts!$C$520="","",Accounts!$C$520)</f>
        <v>0</v>
      </c>
      <c r="CG520" s="17">
        <f>IF(Accounts!$B$520="","",Accounts!$B$520)</f>
        <v>0</v>
      </c>
      <c r="CH520" s="23">
        <f>IF(Accounts!$J$520="","",Accounts!$J$520)</f>
        <v>0</v>
      </c>
      <c r="CI520" s="23">
        <f>IF(CF520="","",SUMIFS(Analytics!$X$5:$X$154,Analytics!$E$5:$E$154,CF520,Analytics!$B$5:$B$154,"&gt;="&amp;DashStart,Analytics!$B$5:$B$154,"&lt;="&amp;DashEnd))</f>
        <v>0</v>
      </c>
      <c r="CJ520" s="32">
        <f>IF(CH520="","",IF(CH520=0,"",CH520+ROW()/1000000))</f>
        <v>0</v>
      </c>
    </row>
    <row r="521" spans="1:88">
      <c r="A521" s="16">
        <f>IF(ROW()-4&gt;12,"",DATE(PlanYear,ROW()-4,1))</f>
        <v>0</v>
      </c>
      <c r="B521" s="16">
        <f>IF(A521="","",EOMONTH(A521,0))</f>
        <v>0</v>
      </c>
      <c r="C521" s="17">
        <f>IF(A521="","",TEXT(A521,"yyyy-mm"))</f>
        <v>0</v>
      </c>
      <c r="D521" s="17">
        <f>IF(A521="","",TEXT(A521,"mmm"))</f>
        <v>0</v>
      </c>
      <c r="E521" s="23">
        <f>IF(C521="","",COUNTIFS('Content Calendar'!$D$5:$D$604,C521))</f>
        <v>0</v>
      </c>
      <c r="F521" s="23">
        <f>IF(C521="","",COUNTIFS('Content Calendar'!$D$5:$D$604,C521,'Content Calendar'!$X$5:$X$604,"Published"))</f>
        <v>0</v>
      </c>
      <c r="G521" s="23">
        <f>IF(C521="","",SUMIFS(Analytics!$J$5:$J$154,Analytics!$C$5:$C$154,C521))</f>
        <v>0</v>
      </c>
      <c r="H521" s="23">
        <f>IF(C521="","",SUMIFS(Analytics!$K$5:$K$154,Analytics!$C$5:$C$154,C521))</f>
        <v>0</v>
      </c>
      <c r="I521" s="23">
        <f>IF(C521="","",SUMIFS(Analytics!$L$5:$L$154,Analytics!$C$5:$C$154,C521))</f>
        <v>0</v>
      </c>
      <c r="J521" s="24">
        <f>IF(OR(G521="",G521=0),"",I521/G521)</f>
        <v>0</v>
      </c>
      <c r="K521" s="23">
        <f>IF(C521="","",SUMIFS(Analytics!$G$5:$G$154,Analytics!$C$5:$C$154,C521))</f>
        <v>0</v>
      </c>
      <c r="L521" s="23">
        <f>IF(C521="","",SUMIFS(Analytics!$X$5:$X$154,Analytics!$C$5:$C$154,C521))</f>
        <v>0</v>
      </c>
      <c r="M521" s="23">
        <f>IF(C521="","",SUMIFS(Analytics!$R$5:$R$154,Analytics!$C$5:$C$154,C521))</f>
        <v>0</v>
      </c>
      <c r="N521" s="23">
        <f>IF(C521="","",SUMIFS(Analytics!$S$5:$S$154,Analytics!$C$5:$C$154,C521))</f>
        <v>0</v>
      </c>
      <c r="O521" s="23">
        <f>IF(C521="","",SUMIFS(Analytics!$T$5:$T$154,Analytics!$C$5:$C$154,C521))</f>
        <v>0</v>
      </c>
      <c r="P521" s="25">
        <f>IF(C521="","",SUMIFS(Analytics!$U$5:$U$154,Analytics!$C$5:$C$154,C521))</f>
        <v>0</v>
      </c>
      <c r="Q521" s="25">
        <f>IF(C521="","",SUMIFS(Budget!$H$5:$H$64,Budget!$C$5:$C$64,C521))</f>
        <v>0</v>
      </c>
      <c r="R521" s="25">
        <f>IF(C521="","",P521-Q521)</f>
        <v>0</v>
      </c>
      <c r="S521" s="23">
        <f>IF(C521="","",MonthlyPostTarget)</f>
        <v>0</v>
      </c>
      <c r="T521" s="17">
        <f>IF(Lists!$C521="","",Lists!$C521)</f>
        <v>0</v>
      </c>
      <c r="U521" s="23">
        <f>IF(T521="","",COUNTIFS('Content Calendar'!$G$5:$G$604,T521,'Content Calendar'!$B$5:$B$604,"&gt;="&amp;DashStart,'Content Calendar'!$B$5:$B$604,"&lt;="&amp;DashEnd))</f>
        <v>0</v>
      </c>
      <c r="V521" s="23">
        <f>IF(T521="","",COUNTIFS('Content Calendar'!$G$5:$G$604,T521,'Content Calendar'!$X$5:$X$604,"Published",'Content Calendar'!$B$5:$B$604,"&gt;="&amp;DashStart,'Content Calendar'!$B$5:$B$604,"&lt;="&amp;DashEnd))</f>
        <v>0</v>
      </c>
      <c r="W521" s="23">
        <f>IF(T521="","",SUMIFS(Analytics!$J$5:$J$154,Analytics!$D$5:$D$154,T521,Analytics!$B$5:$B$154,"&gt;="&amp;DashStart,Analytics!$B$5:$B$154,"&lt;="&amp;DashEnd))</f>
        <v>0</v>
      </c>
      <c r="X521" s="23">
        <f>IF(T521="","",SUMIFS(Analytics!$L$5:$L$154,Analytics!$D$5:$D$154,T521,Analytics!$B$5:$B$154,"&gt;="&amp;DashStart,Analytics!$B$5:$B$154,"&lt;="&amp;DashEnd))</f>
        <v>0</v>
      </c>
      <c r="Y521" s="24">
        <f>IF(OR(W521="",W521=0),"",X521/W521)</f>
        <v>0</v>
      </c>
      <c r="Z521" s="23">
        <f>IF(T521="","",SUMIFS(Analytics!$G$5:$G$154,Analytics!$D$5:$D$154,T521,Analytics!$B$5:$B$154,"&gt;="&amp;DashStart,Analytics!$B$5:$B$154,"&lt;="&amp;DashEnd))</f>
        <v>0</v>
      </c>
      <c r="AA521" s="23">
        <f>IF(T521="","",SUMIFS(Analytics!$X$5:$X$154,Analytics!$D$5:$D$154,T521,Analytics!$B$5:$B$154,"&gt;="&amp;DashStart,Analytics!$B$5:$B$154,"&lt;="&amp;DashEnd))</f>
        <v>0</v>
      </c>
      <c r="AB521" s="23">
        <f>IF(T521="","",SUMIFS(Analytics!$R$5:$R$154,Analytics!$D$5:$D$154,T521,Analytics!$B$5:$B$154,"&gt;="&amp;DashStart,Analytics!$B$5:$B$154,"&lt;="&amp;DashEnd))</f>
        <v>0</v>
      </c>
      <c r="AC521" s="25">
        <f>IF(T521="","",SUMIFS(Analytics!$U$5:$U$154,Analytics!$D$5:$D$154,T521,Analytics!$B$5:$B$154,"&gt;="&amp;DashStart,Analytics!$B$5:$B$154,"&lt;="&amp;DashEnd))</f>
        <v>0</v>
      </c>
      <c r="AD521" s="23">
        <f>IF(T521="","",COUNTIFS('Content Calendar'!$G$5:$G$604,T521,'Content Calendar'!$B$5:$B$604,"&gt;="&amp;DATE(PlanYear,1,1),'Content Calendar'!$B$5:$B$604,"&lt;="&amp;DATE(PlanYear,12,31)))</f>
        <v>0</v>
      </c>
      <c r="AE521" s="23">
        <f>IF(T521="","",SUMIFS(Analytics!$J$5:$J$154,Analytics!$D$5:$D$154,T521))</f>
        <v>0</v>
      </c>
      <c r="AF521" s="23">
        <f>IF(T521="","",SUMIFS(Analytics!$L$5:$L$154,Analytics!$D$5:$D$154,T521))</f>
        <v>0</v>
      </c>
      <c r="AG521" s="24">
        <f>IF(OR(AE521="",AE521=0),"",AF521/AE521)</f>
        <v>0</v>
      </c>
      <c r="AH521" s="23">
        <f>IF(T521="","",SUMIFS(Analytics!$X$5:$X$154,Analytics!$D$5:$D$154,T521))</f>
        <v>0</v>
      </c>
      <c r="AI521" s="32">
        <f>IF(T521="","",IF(AE521=0,"",AE521+ROW()/1000000))</f>
        <v>0</v>
      </c>
      <c r="AJ521" s="17">
        <f>IF('Content Pillars'!$B$521="","",'Content Pillars'!$B$521)</f>
        <v>0</v>
      </c>
      <c r="AK521" s="23">
        <f>IF(AJ521="","",COUNTIFS('Content Calendar'!$J$5:$J$604,AJ521,'Content Calendar'!$B$5:$B$604,"&gt;="&amp;DATE(PlanYear,1,1),'Content Calendar'!$B$5:$B$604,"&lt;="&amp;DATE(PlanYear,12,31)))</f>
        <v>0</v>
      </c>
      <c r="AL521" s="23">
        <f>IF(AJ521="","",SUMIFS(Performance!$O$5:$O$404,Performance!$H$5:$H$404,AJ521))</f>
        <v>0</v>
      </c>
      <c r="AM521" s="23">
        <f>IF(AJ521="","",SUMIFS(Performance!$Z$5:$Z$404,Performance!$H$5:$H$404,AJ521))</f>
        <v>0</v>
      </c>
      <c r="AN521" s="24">
        <f>IF(OR(AL521="",AL521=0),"",AM521/AL521)</f>
        <v>0</v>
      </c>
      <c r="AO521" s="32">
        <f>IF(AN521="","",AN521+ROW()/1000000)</f>
        <v>0</v>
      </c>
      <c r="AP521" s="17">
        <f>IF(Lists!$E521="","",Lists!$E521)</f>
        <v>0</v>
      </c>
      <c r="AQ521" s="23">
        <f>IF(AP521="","",COUNTIF(Performance!$G$5:$G$404,AP521))</f>
        <v>0</v>
      </c>
      <c r="AR521" s="23">
        <f>IF(AP521="","",SUMIFS(Performance!$O$5:$O$404,Performance!$G$5:$G$404,AP521))</f>
        <v>0</v>
      </c>
      <c r="AS521" s="23">
        <f>IF(AP521="","",SUMIFS(Performance!$Z$5:$Z$404,Performance!$G$5:$G$404,AP521))</f>
        <v>0</v>
      </c>
      <c r="AT521" s="24">
        <f>IF(OR(AR521="",AR521=0),"",AS521/AR521)</f>
        <v>0</v>
      </c>
      <c r="AU521" s="32">
        <f>IF(AQ521=0,"",IF(AT521="","",AT521+ROW()/1000000))</f>
        <v>0</v>
      </c>
      <c r="AV521" s="17">
        <f>IF(ROW()-4&gt;7,"",TEXT(DATE(2024,1,ROW()-4),"ddd"))</f>
        <v>0</v>
      </c>
      <c r="AW521" s="23">
        <f>IF(AV521="","",COUNTIF(Performance!$N$5:$N$404,AV521))</f>
        <v>0</v>
      </c>
      <c r="AX521" s="23">
        <f>IF(AV521="","",SUMIFS(Performance!$O$5:$O$404,Performance!$N$5:$N$404,AV521))</f>
        <v>0</v>
      </c>
      <c r="AY521" s="23">
        <f>IF(AV521="","",SUMIFS(Performance!$Z$5:$Z$404,Performance!$N$5:$N$404,AV521))</f>
        <v>0</v>
      </c>
      <c r="AZ521" s="24">
        <f>IF(OR(AX521="",AX521=0),"",AY521/AX521)</f>
        <v>0</v>
      </c>
      <c r="BA521" s="32">
        <f>IF(AW521=0,"",IF(AZ521="","",AZ521+ROW()/1000000))</f>
        <v>0</v>
      </c>
      <c r="BB521" s="17">
        <f>IF(Lists!$AL521="","",Lists!$AL521)</f>
        <v>0</v>
      </c>
      <c r="BC521" s="23">
        <f>IF(BB521="","",COUNTIF(Performance!$M$5:$M$404,BB521))</f>
        <v>0</v>
      </c>
      <c r="BD521" s="23">
        <f>IF(BB521="","",SUMIFS(Performance!$O$5:$O$404,Performance!$M$5:$M$404,BB521))</f>
        <v>0</v>
      </c>
      <c r="BE521" s="23">
        <f>IF(BB521="","",SUMIFS(Performance!$Z$5:$Z$404,Performance!$M$5:$M$404,BB521))</f>
        <v>0</v>
      </c>
      <c r="BF521" s="24">
        <f>IF(OR(BD521="",BD521=0),"",BE521/BD521)</f>
        <v>0</v>
      </c>
      <c r="BG521" s="32">
        <f>IF(BC521=0,"",IF(BF521="","",BF521+ROW()/1000000))</f>
        <v>0</v>
      </c>
      <c r="BH521" s="17">
        <f>IF(Performance!$C$521="","",Performance!$C$521)</f>
        <v>0</v>
      </c>
      <c r="BI521" s="17">
        <f>IF(Performance!$F$521="","",Performance!$F$521)</f>
        <v>0</v>
      </c>
      <c r="BJ521" s="17">
        <f>IF(Performance!$H$521="","",Performance!$H$521)</f>
        <v>0</v>
      </c>
      <c r="BK521" s="16">
        <f>IF(Performance!$D$521="","",Performance!$D$521)</f>
        <v>0</v>
      </c>
      <c r="BL521" s="17">
        <f>IF(Performance!$E$521="","",Performance!$E$521)</f>
        <v>0</v>
      </c>
      <c r="BM521" s="23">
        <f>IF(Performance!$O$521="","",Performance!$O$521)</f>
        <v>0</v>
      </c>
      <c r="BN521" s="24">
        <f>IF(Performance!$AA$521="","",Performance!$AA$521)</f>
        <v>0</v>
      </c>
      <c r="BO521" s="32">
        <f>IF(BH521="","",IF(BK521="","",IF(OR(BK521&lt;DashStart,BK521&gt;DashEnd),"",IF(BN521="","",BN521+ROW()/1000000))))</f>
        <v>0</v>
      </c>
      <c r="BP521" s="32">
        <f>IF(BM521="","",IF(BK521="","",IF(OR(BK521&lt;DashStart,BK521&gt;DashEnd),"",BM521+ROW()/1000000)))</f>
        <v>0</v>
      </c>
      <c r="BQ521" s="32">
        <f>IF(BH521="","",IF(BK521="","",IF(YEAR(BK521)&lt;&gt;PlanYear,"",IF(BN521="","",BN521+ROW()/1000000))))</f>
        <v>0</v>
      </c>
      <c r="BR521" s="32">
        <f>IF(BH521="","",IF(BK521="","",IF(OR(BK521&lt;RepFrom,BK521&gt;RepTo),"",IF(BN521="","",BN521+ROW()/1000000))))</f>
        <v>0</v>
      </c>
      <c r="BS521" s="32">
        <f>IF(BM521="","",IF(BK521="","",IF(YEAR(BK521)&lt;&gt;PlanYear,"",BM521+ROW()/1000000)))</f>
        <v>0</v>
      </c>
      <c r="BT521" s="17">
        <f>IF(Lists!$F521="","",Lists!$F521)</f>
        <v>0</v>
      </c>
      <c r="BU521" s="23">
        <f>IF(BT521="","",COUNTIF('Content Calendar'!$X$5:$X$604,BT521))</f>
        <v>0</v>
      </c>
      <c r="BV521" s="23">
        <f>IF(BT521="","",COUNTIFS('Content Calendar'!$X$5:$X$604,BT521,'Content Calendar'!$B$5:$B$604,"&gt;="&amp;DashStart,'Content Calendar'!$B$5:$B$604,"&lt;="&amp;DashEnd))</f>
        <v>0</v>
      </c>
      <c r="BW521" s="17">
        <f>IF(Team!$B$521="","",Team!$B$521)</f>
        <v>0</v>
      </c>
      <c r="BX521" s="23">
        <f>IF(BW521="","",COUNTIF('Content Calendar'!$W$5:$W$604,BW521))</f>
        <v>0</v>
      </c>
      <c r="BY521" s="23">
        <f>IF(BW521="","",COUNTIFS('Content Calendar'!$W$5:$W$604,BW521,'Content Calendar'!$X$5:$X$604,"&lt;&gt;Published"))</f>
        <v>0</v>
      </c>
      <c r="BZ521" s="23">
        <f>IF(BW521="","",COUNTIFS(Tasks!$C$5:$C$64,BW521,Tasks!$G$5:$G$64,"&lt;&gt;Complete"))</f>
        <v>0</v>
      </c>
      <c r="CA521" s="17">
        <f>IF(Campaigns!$B$521="","",Campaigns!$B$521)</f>
        <v>0</v>
      </c>
      <c r="CB521" s="25">
        <f>IF(Campaigns!$T$521="","",Campaigns!$T$521)</f>
        <v>0</v>
      </c>
      <c r="CC521" s="25">
        <f>IF(Campaigns!$Q$521="","",Campaigns!$Q$521)</f>
        <v>0</v>
      </c>
      <c r="CD521" s="23">
        <f>IF(Campaigns!$Y$521="","",Campaigns!$Y$521)</f>
        <v>0</v>
      </c>
      <c r="CE521" s="32">
        <f>IF(CA521="","",IF(N(CB521)&lt;=0,"",N(CB521)+ROW()/1000000))</f>
        <v>0</v>
      </c>
      <c r="CF521" s="17">
        <f>IF(Accounts!$C$521="","",Accounts!$C$521)</f>
        <v>0</v>
      </c>
      <c r="CG521" s="17">
        <f>IF(Accounts!$B$521="","",Accounts!$B$521)</f>
        <v>0</v>
      </c>
      <c r="CH521" s="23">
        <f>IF(Accounts!$J$521="","",Accounts!$J$521)</f>
        <v>0</v>
      </c>
      <c r="CI521" s="23">
        <f>IF(CF521="","",SUMIFS(Analytics!$X$5:$X$154,Analytics!$E$5:$E$154,CF521,Analytics!$B$5:$B$154,"&gt;="&amp;DashStart,Analytics!$B$5:$B$154,"&lt;="&amp;DashEnd))</f>
        <v>0</v>
      </c>
      <c r="CJ521" s="32">
        <f>IF(CH521="","",IF(CH521=0,"",CH521+ROW()/1000000))</f>
        <v>0</v>
      </c>
    </row>
    <row r="522" spans="1:88">
      <c r="A522" s="16">
        <f>IF(ROW()-4&gt;12,"",DATE(PlanYear,ROW()-4,1))</f>
        <v>0</v>
      </c>
      <c r="B522" s="16">
        <f>IF(A522="","",EOMONTH(A522,0))</f>
        <v>0</v>
      </c>
      <c r="C522" s="17">
        <f>IF(A522="","",TEXT(A522,"yyyy-mm"))</f>
        <v>0</v>
      </c>
      <c r="D522" s="17">
        <f>IF(A522="","",TEXT(A522,"mmm"))</f>
        <v>0</v>
      </c>
      <c r="E522" s="23">
        <f>IF(C522="","",COUNTIFS('Content Calendar'!$D$5:$D$604,C522))</f>
        <v>0</v>
      </c>
      <c r="F522" s="23">
        <f>IF(C522="","",COUNTIFS('Content Calendar'!$D$5:$D$604,C522,'Content Calendar'!$X$5:$X$604,"Published"))</f>
        <v>0</v>
      </c>
      <c r="G522" s="23">
        <f>IF(C522="","",SUMIFS(Analytics!$J$5:$J$154,Analytics!$C$5:$C$154,C522))</f>
        <v>0</v>
      </c>
      <c r="H522" s="23">
        <f>IF(C522="","",SUMIFS(Analytics!$K$5:$K$154,Analytics!$C$5:$C$154,C522))</f>
        <v>0</v>
      </c>
      <c r="I522" s="23">
        <f>IF(C522="","",SUMIFS(Analytics!$L$5:$L$154,Analytics!$C$5:$C$154,C522))</f>
        <v>0</v>
      </c>
      <c r="J522" s="24">
        <f>IF(OR(G522="",G522=0),"",I522/G522)</f>
        <v>0</v>
      </c>
      <c r="K522" s="23">
        <f>IF(C522="","",SUMIFS(Analytics!$G$5:$G$154,Analytics!$C$5:$C$154,C522))</f>
        <v>0</v>
      </c>
      <c r="L522" s="23">
        <f>IF(C522="","",SUMIFS(Analytics!$X$5:$X$154,Analytics!$C$5:$C$154,C522))</f>
        <v>0</v>
      </c>
      <c r="M522" s="23">
        <f>IF(C522="","",SUMIFS(Analytics!$R$5:$R$154,Analytics!$C$5:$C$154,C522))</f>
        <v>0</v>
      </c>
      <c r="N522" s="23">
        <f>IF(C522="","",SUMIFS(Analytics!$S$5:$S$154,Analytics!$C$5:$C$154,C522))</f>
        <v>0</v>
      </c>
      <c r="O522" s="23">
        <f>IF(C522="","",SUMIFS(Analytics!$T$5:$T$154,Analytics!$C$5:$C$154,C522))</f>
        <v>0</v>
      </c>
      <c r="P522" s="25">
        <f>IF(C522="","",SUMIFS(Analytics!$U$5:$U$154,Analytics!$C$5:$C$154,C522))</f>
        <v>0</v>
      </c>
      <c r="Q522" s="25">
        <f>IF(C522="","",SUMIFS(Budget!$H$5:$H$64,Budget!$C$5:$C$64,C522))</f>
        <v>0</v>
      </c>
      <c r="R522" s="25">
        <f>IF(C522="","",P522-Q522)</f>
        <v>0</v>
      </c>
      <c r="S522" s="23">
        <f>IF(C522="","",MonthlyPostTarget)</f>
        <v>0</v>
      </c>
      <c r="T522" s="17">
        <f>IF(Lists!$C522="","",Lists!$C522)</f>
        <v>0</v>
      </c>
      <c r="U522" s="23">
        <f>IF(T522="","",COUNTIFS('Content Calendar'!$G$5:$G$604,T522,'Content Calendar'!$B$5:$B$604,"&gt;="&amp;DashStart,'Content Calendar'!$B$5:$B$604,"&lt;="&amp;DashEnd))</f>
        <v>0</v>
      </c>
      <c r="V522" s="23">
        <f>IF(T522="","",COUNTIFS('Content Calendar'!$G$5:$G$604,T522,'Content Calendar'!$X$5:$X$604,"Published",'Content Calendar'!$B$5:$B$604,"&gt;="&amp;DashStart,'Content Calendar'!$B$5:$B$604,"&lt;="&amp;DashEnd))</f>
        <v>0</v>
      </c>
      <c r="W522" s="23">
        <f>IF(T522="","",SUMIFS(Analytics!$J$5:$J$154,Analytics!$D$5:$D$154,T522,Analytics!$B$5:$B$154,"&gt;="&amp;DashStart,Analytics!$B$5:$B$154,"&lt;="&amp;DashEnd))</f>
        <v>0</v>
      </c>
      <c r="X522" s="23">
        <f>IF(T522="","",SUMIFS(Analytics!$L$5:$L$154,Analytics!$D$5:$D$154,T522,Analytics!$B$5:$B$154,"&gt;="&amp;DashStart,Analytics!$B$5:$B$154,"&lt;="&amp;DashEnd))</f>
        <v>0</v>
      </c>
      <c r="Y522" s="24">
        <f>IF(OR(W522="",W522=0),"",X522/W522)</f>
        <v>0</v>
      </c>
      <c r="Z522" s="23">
        <f>IF(T522="","",SUMIFS(Analytics!$G$5:$G$154,Analytics!$D$5:$D$154,T522,Analytics!$B$5:$B$154,"&gt;="&amp;DashStart,Analytics!$B$5:$B$154,"&lt;="&amp;DashEnd))</f>
        <v>0</v>
      </c>
      <c r="AA522" s="23">
        <f>IF(T522="","",SUMIFS(Analytics!$X$5:$X$154,Analytics!$D$5:$D$154,T522,Analytics!$B$5:$B$154,"&gt;="&amp;DashStart,Analytics!$B$5:$B$154,"&lt;="&amp;DashEnd))</f>
        <v>0</v>
      </c>
      <c r="AB522" s="23">
        <f>IF(T522="","",SUMIFS(Analytics!$R$5:$R$154,Analytics!$D$5:$D$154,T522,Analytics!$B$5:$B$154,"&gt;="&amp;DashStart,Analytics!$B$5:$B$154,"&lt;="&amp;DashEnd))</f>
        <v>0</v>
      </c>
      <c r="AC522" s="25">
        <f>IF(T522="","",SUMIFS(Analytics!$U$5:$U$154,Analytics!$D$5:$D$154,T522,Analytics!$B$5:$B$154,"&gt;="&amp;DashStart,Analytics!$B$5:$B$154,"&lt;="&amp;DashEnd))</f>
        <v>0</v>
      </c>
      <c r="AD522" s="23">
        <f>IF(T522="","",COUNTIFS('Content Calendar'!$G$5:$G$604,T522,'Content Calendar'!$B$5:$B$604,"&gt;="&amp;DATE(PlanYear,1,1),'Content Calendar'!$B$5:$B$604,"&lt;="&amp;DATE(PlanYear,12,31)))</f>
        <v>0</v>
      </c>
      <c r="AE522" s="23">
        <f>IF(T522="","",SUMIFS(Analytics!$J$5:$J$154,Analytics!$D$5:$D$154,T522))</f>
        <v>0</v>
      </c>
      <c r="AF522" s="23">
        <f>IF(T522="","",SUMIFS(Analytics!$L$5:$L$154,Analytics!$D$5:$D$154,T522))</f>
        <v>0</v>
      </c>
      <c r="AG522" s="24">
        <f>IF(OR(AE522="",AE522=0),"",AF522/AE522)</f>
        <v>0</v>
      </c>
      <c r="AH522" s="23">
        <f>IF(T522="","",SUMIFS(Analytics!$X$5:$X$154,Analytics!$D$5:$D$154,T522))</f>
        <v>0</v>
      </c>
      <c r="AI522" s="32">
        <f>IF(T522="","",IF(AE522=0,"",AE522+ROW()/1000000))</f>
        <v>0</v>
      </c>
      <c r="AJ522" s="17">
        <f>IF('Content Pillars'!$B$522="","",'Content Pillars'!$B$522)</f>
        <v>0</v>
      </c>
      <c r="AK522" s="23">
        <f>IF(AJ522="","",COUNTIFS('Content Calendar'!$J$5:$J$604,AJ522,'Content Calendar'!$B$5:$B$604,"&gt;="&amp;DATE(PlanYear,1,1),'Content Calendar'!$B$5:$B$604,"&lt;="&amp;DATE(PlanYear,12,31)))</f>
        <v>0</v>
      </c>
      <c r="AL522" s="23">
        <f>IF(AJ522="","",SUMIFS(Performance!$O$5:$O$404,Performance!$H$5:$H$404,AJ522))</f>
        <v>0</v>
      </c>
      <c r="AM522" s="23">
        <f>IF(AJ522="","",SUMIFS(Performance!$Z$5:$Z$404,Performance!$H$5:$H$404,AJ522))</f>
        <v>0</v>
      </c>
      <c r="AN522" s="24">
        <f>IF(OR(AL522="",AL522=0),"",AM522/AL522)</f>
        <v>0</v>
      </c>
      <c r="AO522" s="32">
        <f>IF(AN522="","",AN522+ROW()/1000000)</f>
        <v>0</v>
      </c>
      <c r="AP522" s="17">
        <f>IF(Lists!$E522="","",Lists!$E522)</f>
        <v>0</v>
      </c>
      <c r="AQ522" s="23">
        <f>IF(AP522="","",COUNTIF(Performance!$G$5:$G$404,AP522))</f>
        <v>0</v>
      </c>
      <c r="AR522" s="23">
        <f>IF(AP522="","",SUMIFS(Performance!$O$5:$O$404,Performance!$G$5:$G$404,AP522))</f>
        <v>0</v>
      </c>
      <c r="AS522" s="23">
        <f>IF(AP522="","",SUMIFS(Performance!$Z$5:$Z$404,Performance!$G$5:$G$404,AP522))</f>
        <v>0</v>
      </c>
      <c r="AT522" s="24">
        <f>IF(OR(AR522="",AR522=0),"",AS522/AR522)</f>
        <v>0</v>
      </c>
      <c r="AU522" s="32">
        <f>IF(AQ522=0,"",IF(AT522="","",AT522+ROW()/1000000))</f>
        <v>0</v>
      </c>
      <c r="AV522" s="17">
        <f>IF(ROW()-4&gt;7,"",TEXT(DATE(2024,1,ROW()-4),"ddd"))</f>
        <v>0</v>
      </c>
      <c r="AW522" s="23">
        <f>IF(AV522="","",COUNTIF(Performance!$N$5:$N$404,AV522))</f>
        <v>0</v>
      </c>
      <c r="AX522" s="23">
        <f>IF(AV522="","",SUMIFS(Performance!$O$5:$O$404,Performance!$N$5:$N$404,AV522))</f>
        <v>0</v>
      </c>
      <c r="AY522" s="23">
        <f>IF(AV522="","",SUMIFS(Performance!$Z$5:$Z$404,Performance!$N$5:$N$404,AV522))</f>
        <v>0</v>
      </c>
      <c r="AZ522" s="24">
        <f>IF(OR(AX522="",AX522=0),"",AY522/AX522)</f>
        <v>0</v>
      </c>
      <c r="BA522" s="32">
        <f>IF(AW522=0,"",IF(AZ522="","",AZ522+ROW()/1000000))</f>
        <v>0</v>
      </c>
      <c r="BB522" s="17">
        <f>IF(Lists!$AL522="","",Lists!$AL522)</f>
        <v>0</v>
      </c>
      <c r="BC522" s="23">
        <f>IF(BB522="","",COUNTIF(Performance!$M$5:$M$404,BB522))</f>
        <v>0</v>
      </c>
      <c r="BD522" s="23">
        <f>IF(BB522="","",SUMIFS(Performance!$O$5:$O$404,Performance!$M$5:$M$404,BB522))</f>
        <v>0</v>
      </c>
      <c r="BE522" s="23">
        <f>IF(BB522="","",SUMIFS(Performance!$Z$5:$Z$404,Performance!$M$5:$M$404,BB522))</f>
        <v>0</v>
      </c>
      <c r="BF522" s="24">
        <f>IF(OR(BD522="",BD522=0),"",BE522/BD522)</f>
        <v>0</v>
      </c>
      <c r="BG522" s="32">
        <f>IF(BC522=0,"",IF(BF522="","",BF522+ROW()/1000000))</f>
        <v>0</v>
      </c>
      <c r="BH522" s="17">
        <f>IF(Performance!$C$522="","",Performance!$C$522)</f>
        <v>0</v>
      </c>
      <c r="BI522" s="17">
        <f>IF(Performance!$F$522="","",Performance!$F$522)</f>
        <v>0</v>
      </c>
      <c r="BJ522" s="17">
        <f>IF(Performance!$H$522="","",Performance!$H$522)</f>
        <v>0</v>
      </c>
      <c r="BK522" s="16">
        <f>IF(Performance!$D$522="","",Performance!$D$522)</f>
        <v>0</v>
      </c>
      <c r="BL522" s="17">
        <f>IF(Performance!$E$522="","",Performance!$E$522)</f>
        <v>0</v>
      </c>
      <c r="BM522" s="23">
        <f>IF(Performance!$O$522="","",Performance!$O$522)</f>
        <v>0</v>
      </c>
      <c r="BN522" s="24">
        <f>IF(Performance!$AA$522="","",Performance!$AA$522)</f>
        <v>0</v>
      </c>
      <c r="BO522" s="32">
        <f>IF(BH522="","",IF(BK522="","",IF(OR(BK522&lt;DashStart,BK522&gt;DashEnd),"",IF(BN522="","",BN522+ROW()/1000000))))</f>
        <v>0</v>
      </c>
      <c r="BP522" s="32">
        <f>IF(BM522="","",IF(BK522="","",IF(OR(BK522&lt;DashStart,BK522&gt;DashEnd),"",BM522+ROW()/1000000)))</f>
        <v>0</v>
      </c>
      <c r="BQ522" s="32">
        <f>IF(BH522="","",IF(BK522="","",IF(YEAR(BK522)&lt;&gt;PlanYear,"",IF(BN522="","",BN522+ROW()/1000000))))</f>
        <v>0</v>
      </c>
      <c r="BR522" s="32">
        <f>IF(BH522="","",IF(BK522="","",IF(OR(BK522&lt;RepFrom,BK522&gt;RepTo),"",IF(BN522="","",BN522+ROW()/1000000))))</f>
        <v>0</v>
      </c>
      <c r="BS522" s="32">
        <f>IF(BM522="","",IF(BK522="","",IF(YEAR(BK522)&lt;&gt;PlanYear,"",BM522+ROW()/1000000)))</f>
        <v>0</v>
      </c>
      <c r="BT522" s="17">
        <f>IF(Lists!$F522="","",Lists!$F522)</f>
        <v>0</v>
      </c>
      <c r="BU522" s="23">
        <f>IF(BT522="","",COUNTIF('Content Calendar'!$X$5:$X$604,BT522))</f>
        <v>0</v>
      </c>
      <c r="BV522" s="23">
        <f>IF(BT522="","",COUNTIFS('Content Calendar'!$X$5:$X$604,BT522,'Content Calendar'!$B$5:$B$604,"&gt;="&amp;DashStart,'Content Calendar'!$B$5:$B$604,"&lt;="&amp;DashEnd))</f>
        <v>0</v>
      </c>
      <c r="BW522" s="17">
        <f>IF(Team!$B$522="","",Team!$B$522)</f>
        <v>0</v>
      </c>
      <c r="BX522" s="23">
        <f>IF(BW522="","",COUNTIF('Content Calendar'!$W$5:$W$604,BW522))</f>
        <v>0</v>
      </c>
      <c r="BY522" s="23">
        <f>IF(BW522="","",COUNTIFS('Content Calendar'!$W$5:$W$604,BW522,'Content Calendar'!$X$5:$X$604,"&lt;&gt;Published"))</f>
        <v>0</v>
      </c>
      <c r="BZ522" s="23">
        <f>IF(BW522="","",COUNTIFS(Tasks!$C$5:$C$64,BW522,Tasks!$G$5:$G$64,"&lt;&gt;Complete"))</f>
        <v>0</v>
      </c>
      <c r="CA522" s="17">
        <f>IF(Campaigns!$B$522="","",Campaigns!$B$522)</f>
        <v>0</v>
      </c>
      <c r="CB522" s="25">
        <f>IF(Campaigns!$T$522="","",Campaigns!$T$522)</f>
        <v>0</v>
      </c>
      <c r="CC522" s="25">
        <f>IF(Campaigns!$Q$522="","",Campaigns!$Q$522)</f>
        <v>0</v>
      </c>
      <c r="CD522" s="23">
        <f>IF(Campaigns!$Y$522="","",Campaigns!$Y$522)</f>
        <v>0</v>
      </c>
      <c r="CE522" s="32">
        <f>IF(CA522="","",IF(N(CB522)&lt;=0,"",N(CB522)+ROW()/1000000))</f>
        <v>0</v>
      </c>
      <c r="CF522" s="17">
        <f>IF(Accounts!$C$522="","",Accounts!$C$522)</f>
        <v>0</v>
      </c>
      <c r="CG522" s="17">
        <f>IF(Accounts!$B$522="","",Accounts!$B$522)</f>
        <v>0</v>
      </c>
      <c r="CH522" s="23">
        <f>IF(Accounts!$J$522="","",Accounts!$J$522)</f>
        <v>0</v>
      </c>
      <c r="CI522" s="23">
        <f>IF(CF522="","",SUMIFS(Analytics!$X$5:$X$154,Analytics!$E$5:$E$154,CF522,Analytics!$B$5:$B$154,"&gt;="&amp;DashStart,Analytics!$B$5:$B$154,"&lt;="&amp;DashEnd))</f>
        <v>0</v>
      </c>
      <c r="CJ522" s="32">
        <f>IF(CH522="","",IF(CH522=0,"",CH522+ROW()/1000000))</f>
        <v>0</v>
      </c>
    </row>
    <row r="523" spans="1:88">
      <c r="A523" s="16">
        <f>IF(ROW()-4&gt;12,"",DATE(PlanYear,ROW()-4,1))</f>
        <v>0</v>
      </c>
      <c r="B523" s="16">
        <f>IF(A523="","",EOMONTH(A523,0))</f>
        <v>0</v>
      </c>
      <c r="C523" s="17">
        <f>IF(A523="","",TEXT(A523,"yyyy-mm"))</f>
        <v>0</v>
      </c>
      <c r="D523" s="17">
        <f>IF(A523="","",TEXT(A523,"mmm"))</f>
        <v>0</v>
      </c>
      <c r="E523" s="23">
        <f>IF(C523="","",COUNTIFS('Content Calendar'!$D$5:$D$604,C523))</f>
        <v>0</v>
      </c>
      <c r="F523" s="23">
        <f>IF(C523="","",COUNTIFS('Content Calendar'!$D$5:$D$604,C523,'Content Calendar'!$X$5:$X$604,"Published"))</f>
        <v>0</v>
      </c>
      <c r="G523" s="23">
        <f>IF(C523="","",SUMIFS(Analytics!$J$5:$J$154,Analytics!$C$5:$C$154,C523))</f>
        <v>0</v>
      </c>
      <c r="H523" s="23">
        <f>IF(C523="","",SUMIFS(Analytics!$K$5:$K$154,Analytics!$C$5:$C$154,C523))</f>
        <v>0</v>
      </c>
      <c r="I523" s="23">
        <f>IF(C523="","",SUMIFS(Analytics!$L$5:$L$154,Analytics!$C$5:$C$154,C523))</f>
        <v>0</v>
      </c>
      <c r="J523" s="24">
        <f>IF(OR(G523="",G523=0),"",I523/G523)</f>
        <v>0</v>
      </c>
      <c r="K523" s="23">
        <f>IF(C523="","",SUMIFS(Analytics!$G$5:$G$154,Analytics!$C$5:$C$154,C523))</f>
        <v>0</v>
      </c>
      <c r="L523" s="23">
        <f>IF(C523="","",SUMIFS(Analytics!$X$5:$X$154,Analytics!$C$5:$C$154,C523))</f>
        <v>0</v>
      </c>
      <c r="M523" s="23">
        <f>IF(C523="","",SUMIFS(Analytics!$R$5:$R$154,Analytics!$C$5:$C$154,C523))</f>
        <v>0</v>
      </c>
      <c r="N523" s="23">
        <f>IF(C523="","",SUMIFS(Analytics!$S$5:$S$154,Analytics!$C$5:$C$154,C523))</f>
        <v>0</v>
      </c>
      <c r="O523" s="23">
        <f>IF(C523="","",SUMIFS(Analytics!$T$5:$T$154,Analytics!$C$5:$C$154,C523))</f>
        <v>0</v>
      </c>
      <c r="P523" s="25">
        <f>IF(C523="","",SUMIFS(Analytics!$U$5:$U$154,Analytics!$C$5:$C$154,C523))</f>
        <v>0</v>
      </c>
      <c r="Q523" s="25">
        <f>IF(C523="","",SUMIFS(Budget!$H$5:$H$64,Budget!$C$5:$C$64,C523))</f>
        <v>0</v>
      </c>
      <c r="R523" s="25">
        <f>IF(C523="","",P523-Q523)</f>
        <v>0</v>
      </c>
      <c r="S523" s="23">
        <f>IF(C523="","",MonthlyPostTarget)</f>
        <v>0</v>
      </c>
      <c r="T523" s="17">
        <f>IF(Lists!$C523="","",Lists!$C523)</f>
        <v>0</v>
      </c>
      <c r="U523" s="23">
        <f>IF(T523="","",COUNTIFS('Content Calendar'!$G$5:$G$604,T523,'Content Calendar'!$B$5:$B$604,"&gt;="&amp;DashStart,'Content Calendar'!$B$5:$B$604,"&lt;="&amp;DashEnd))</f>
        <v>0</v>
      </c>
      <c r="V523" s="23">
        <f>IF(T523="","",COUNTIFS('Content Calendar'!$G$5:$G$604,T523,'Content Calendar'!$X$5:$X$604,"Published",'Content Calendar'!$B$5:$B$604,"&gt;="&amp;DashStart,'Content Calendar'!$B$5:$B$604,"&lt;="&amp;DashEnd))</f>
        <v>0</v>
      </c>
      <c r="W523" s="23">
        <f>IF(T523="","",SUMIFS(Analytics!$J$5:$J$154,Analytics!$D$5:$D$154,T523,Analytics!$B$5:$B$154,"&gt;="&amp;DashStart,Analytics!$B$5:$B$154,"&lt;="&amp;DashEnd))</f>
        <v>0</v>
      </c>
      <c r="X523" s="23">
        <f>IF(T523="","",SUMIFS(Analytics!$L$5:$L$154,Analytics!$D$5:$D$154,T523,Analytics!$B$5:$B$154,"&gt;="&amp;DashStart,Analytics!$B$5:$B$154,"&lt;="&amp;DashEnd))</f>
        <v>0</v>
      </c>
      <c r="Y523" s="24">
        <f>IF(OR(W523="",W523=0),"",X523/W523)</f>
        <v>0</v>
      </c>
      <c r="Z523" s="23">
        <f>IF(T523="","",SUMIFS(Analytics!$G$5:$G$154,Analytics!$D$5:$D$154,T523,Analytics!$B$5:$B$154,"&gt;="&amp;DashStart,Analytics!$B$5:$B$154,"&lt;="&amp;DashEnd))</f>
        <v>0</v>
      </c>
      <c r="AA523" s="23">
        <f>IF(T523="","",SUMIFS(Analytics!$X$5:$X$154,Analytics!$D$5:$D$154,T523,Analytics!$B$5:$B$154,"&gt;="&amp;DashStart,Analytics!$B$5:$B$154,"&lt;="&amp;DashEnd))</f>
        <v>0</v>
      </c>
      <c r="AB523" s="23">
        <f>IF(T523="","",SUMIFS(Analytics!$R$5:$R$154,Analytics!$D$5:$D$154,T523,Analytics!$B$5:$B$154,"&gt;="&amp;DashStart,Analytics!$B$5:$B$154,"&lt;="&amp;DashEnd))</f>
        <v>0</v>
      </c>
      <c r="AC523" s="25">
        <f>IF(T523="","",SUMIFS(Analytics!$U$5:$U$154,Analytics!$D$5:$D$154,T523,Analytics!$B$5:$B$154,"&gt;="&amp;DashStart,Analytics!$B$5:$B$154,"&lt;="&amp;DashEnd))</f>
        <v>0</v>
      </c>
      <c r="AD523" s="23">
        <f>IF(T523="","",COUNTIFS('Content Calendar'!$G$5:$G$604,T523,'Content Calendar'!$B$5:$B$604,"&gt;="&amp;DATE(PlanYear,1,1),'Content Calendar'!$B$5:$B$604,"&lt;="&amp;DATE(PlanYear,12,31)))</f>
        <v>0</v>
      </c>
      <c r="AE523" s="23">
        <f>IF(T523="","",SUMIFS(Analytics!$J$5:$J$154,Analytics!$D$5:$D$154,T523))</f>
        <v>0</v>
      </c>
      <c r="AF523" s="23">
        <f>IF(T523="","",SUMIFS(Analytics!$L$5:$L$154,Analytics!$D$5:$D$154,T523))</f>
        <v>0</v>
      </c>
      <c r="AG523" s="24">
        <f>IF(OR(AE523="",AE523=0),"",AF523/AE523)</f>
        <v>0</v>
      </c>
      <c r="AH523" s="23">
        <f>IF(T523="","",SUMIFS(Analytics!$X$5:$X$154,Analytics!$D$5:$D$154,T523))</f>
        <v>0</v>
      </c>
      <c r="AI523" s="32">
        <f>IF(T523="","",IF(AE523=0,"",AE523+ROW()/1000000))</f>
        <v>0</v>
      </c>
      <c r="AJ523" s="17">
        <f>IF('Content Pillars'!$B$523="","",'Content Pillars'!$B$523)</f>
        <v>0</v>
      </c>
      <c r="AK523" s="23">
        <f>IF(AJ523="","",COUNTIFS('Content Calendar'!$J$5:$J$604,AJ523,'Content Calendar'!$B$5:$B$604,"&gt;="&amp;DATE(PlanYear,1,1),'Content Calendar'!$B$5:$B$604,"&lt;="&amp;DATE(PlanYear,12,31)))</f>
        <v>0</v>
      </c>
      <c r="AL523" s="23">
        <f>IF(AJ523="","",SUMIFS(Performance!$O$5:$O$404,Performance!$H$5:$H$404,AJ523))</f>
        <v>0</v>
      </c>
      <c r="AM523" s="23">
        <f>IF(AJ523="","",SUMIFS(Performance!$Z$5:$Z$404,Performance!$H$5:$H$404,AJ523))</f>
        <v>0</v>
      </c>
      <c r="AN523" s="24">
        <f>IF(OR(AL523="",AL523=0),"",AM523/AL523)</f>
        <v>0</v>
      </c>
      <c r="AO523" s="32">
        <f>IF(AN523="","",AN523+ROW()/1000000)</f>
        <v>0</v>
      </c>
      <c r="AP523" s="17">
        <f>IF(Lists!$E523="","",Lists!$E523)</f>
        <v>0</v>
      </c>
      <c r="AQ523" s="23">
        <f>IF(AP523="","",COUNTIF(Performance!$G$5:$G$404,AP523))</f>
        <v>0</v>
      </c>
      <c r="AR523" s="23">
        <f>IF(AP523="","",SUMIFS(Performance!$O$5:$O$404,Performance!$G$5:$G$404,AP523))</f>
        <v>0</v>
      </c>
      <c r="AS523" s="23">
        <f>IF(AP523="","",SUMIFS(Performance!$Z$5:$Z$404,Performance!$G$5:$G$404,AP523))</f>
        <v>0</v>
      </c>
      <c r="AT523" s="24">
        <f>IF(OR(AR523="",AR523=0),"",AS523/AR523)</f>
        <v>0</v>
      </c>
      <c r="AU523" s="32">
        <f>IF(AQ523=0,"",IF(AT523="","",AT523+ROW()/1000000))</f>
        <v>0</v>
      </c>
      <c r="AV523" s="17">
        <f>IF(ROW()-4&gt;7,"",TEXT(DATE(2024,1,ROW()-4),"ddd"))</f>
        <v>0</v>
      </c>
      <c r="AW523" s="23">
        <f>IF(AV523="","",COUNTIF(Performance!$N$5:$N$404,AV523))</f>
        <v>0</v>
      </c>
      <c r="AX523" s="23">
        <f>IF(AV523="","",SUMIFS(Performance!$O$5:$O$404,Performance!$N$5:$N$404,AV523))</f>
        <v>0</v>
      </c>
      <c r="AY523" s="23">
        <f>IF(AV523="","",SUMIFS(Performance!$Z$5:$Z$404,Performance!$N$5:$N$404,AV523))</f>
        <v>0</v>
      </c>
      <c r="AZ523" s="24">
        <f>IF(OR(AX523="",AX523=0),"",AY523/AX523)</f>
        <v>0</v>
      </c>
      <c r="BA523" s="32">
        <f>IF(AW523=0,"",IF(AZ523="","",AZ523+ROW()/1000000))</f>
        <v>0</v>
      </c>
      <c r="BB523" s="17">
        <f>IF(Lists!$AL523="","",Lists!$AL523)</f>
        <v>0</v>
      </c>
      <c r="BC523" s="23">
        <f>IF(BB523="","",COUNTIF(Performance!$M$5:$M$404,BB523))</f>
        <v>0</v>
      </c>
      <c r="BD523" s="23">
        <f>IF(BB523="","",SUMIFS(Performance!$O$5:$O$404,Performance!$M$5:$M$404,BB523))</f>
        <v>0</v>
      </c>
      <c r="BE523" s="23">
        <f>IF(BB523="","",SUMIFS(Performance!$Z$5:$Z$404,Performance!$M$5:$M$404,BB523))</f>
        <v>0</v>
      </c>
      <c r="BF523" s="24">
        <f>IF(OR(BD523="",BD523=0),"",BE523/BD523)</f>
        <v>0</v>
      </c>
      <c r="BG523" s="32">
        <f>IF(BC523=0,"",IF(BF523="","",BF523+ROW()/1000000))</f>
        <v>0</v>
      </c>
      <c r="BH523" s="17">
        <f>IF(Performance!$C$523="","",Performance!$C$523)</f>
        <v>0</v>
      </c>
      <c r="BI523" s="17">
        <f>IF(Performance!$F$523="","",Performance!$F$523)</f>
        <v>0</v>
      </c>
      <c r="BJ523" s="17">
        <f>IF(Performance!$H$523="","",Performance!$H$523)</f>
        <v>0</v>
      </c>
      <c r="BK523" s="16">
        <f>IF(Performance!$D$523="","",Performance!$D$523)</f>
        <v>0</v>
      </c>
      <c r="BL523" s="17">
        <f>IF(Performance!$E$523="","",Performance!$E$523)</f>
        <v>0</v>
      </c>
      <c r="BM523" s="23">
        <f>IF(Performance!$O$523="","",Performance!$O$523)</f>
        <v>0</v>
      </c>
      <c r="BN523" s="24">
        <f>IF(Performance!$AA$523="","",Performance!$AA$523)</f>
        <v>0</v>
      </c>
      <c r="BO523" s="32">
        <f>IF(BH523="","",IF(BK523="","",IF(OR(BK523&lt;DashStart,BK523&gt;DashEnd),"",IF(BN523="","",BN523+ROW()/1000000))))</f>
        <v>0</v>
      </c>
      <c r="BP523" s="32">
        <f>IF(BM523="","",IF(BK523="","",IF(OR(BK523&lt;DashStart,BK523&gt;DashEnd),"",BM523+ROW()/1000000)))</f>
        <v>0</v>
      </c>
      <c r="BQ523" s="32">
        <f>IF(BH523="","",IF(BK523="","",IF(YEAR(BK523)&lt;&gt;PlanYear,"",IF(BN523="","",BN523+ROW()/1000000))))</f>
        <v>0</v>
      </c>
      <c r="BR523" s="32">
        <f>IF(BH523="","",IF(BK523="","",IF(OR(BK523&lt;RepFrom,BK523&gt;RepTo),"",IF(BN523="","",BN523+ROW()/1000000))))</f>
        <v>0</v>
      </c>
      <c r="BS523" s="32">
        <f>IF(BM523="","",IF(BK523="","",IF(YEAR(BK523)&lt;&gt;PlanYear,"",BM523+ROW()/1000000)))</f>
        <v>0</v>
      </c>
      <c r="BT523" s="17">
        <f>IF(Lists!$F523="","",Lists!$F523)</f>
        <v>0</v>
      </c>
      <c r="BU523" s="23">
        <f>IF(BT523="","",COUNTIF('Content Calendar'!$X$5:$X$604,BT523))</f>
        <v>0</v>
      </c>
      <c r="BV523" s="23">
        <f>IF(BT523="","",COUNTIFS('Content Calendar'!$X$5:$X$604,BT523,'Content Calendar'!$B$5:$B$604,"&gt;="&amp;DashStart,'Content Calendar'!$B$5:$B$604,"&lt;="&amp;DashEnd))</f>
        <v>0</v>
      </c>
      <c r="BW523" s="17">
        <f>IF(Team!$B$523="","",Team!$B$523)</f>
        <v>0</v>
      </c>
      <c r="BX523" s="23">
        <f>IF(BW523="","",COUNTIF('Content Calendar'!$W$5:$W$604,BW523))</f>
        <v>0</v>
      </c>
      <c r="BY523" s="23">
        <f>IF(BW523="","",COUNTIFS('Content Calendar'!$W$5:$W$604,BW523,'Content Calendar'!$X$5:$X$604,"&lt;&gt;Published"))</f>
        <v>0</v>
      </c>
      <c r="BZ523" s="23">
        <f>IF(BW523="","",COUNTIFS(Tasks!$C$5:$C$64,BW523,Tasks!$G$5:$G$64,"&lt;&gt;Complete"))</f>
        <v>0</v>
      </c>
      <c r="CA523" s="17">
        <f>IF(Campaigns!$B$523="","",Campaigns!$B$523)</f>
        <v>0</v>
      </c>
      <c r="CB523" s="25">
        <f>IF(Campaigns!$T$523="","",Campaigns!$T$523)</f>
        <v>0</v>
      </c>
      <c r="CC523" s="25">
        <f>IF(Campaigns!$Q$523="","",Campaigns!$Q$523)</f>
        <v>0</v>
      </c>
      <c r="CD523" s="23">
        <f>IF(Campaigns!$Y$523="","",Campaigns!$Y$523)</f>
        <v>0</v>
      </c>
      <c r="CE523" s="32">
        <f>IF(CA523="","",IF(N(CB523)&lt;=0,"",N(CB523)+ROW()/1000000))</f>
        <v>0</v>
      </c>
      <c r="CF523" s="17">
        <f>IF(Accounts!$C$523="","",Accounts!$C$523)</f>
        <v>0</v>
      </c>
      <c r="CG523" s="17">
        <f>IF(Accounts!$B$523="","",Accounts!$B$523)</f>
        <v>0</v>
      </c>
      <c r="CH523" s="23">
        <f>IF(Accounts!$J$523="","",Accounts!$J$523)</f>
        <v>0</v>
      </c>
      <c r="CI523" s="23">
        <f>IF(CF523="","",SUMIFS(Analytics!$X$5:$X$154,Analytics!$E$5:$E$154,CF523,Analytics!$B$5:$B$154,"&gt;="&amp;DashStart,Analytics!$B$5:$B$154,"&lt;="&amp;DashEnd))</f>
        <v>0</v>
      </c>
      <c r="CJ523" s="32">
        <f>IF(CH523="","",IF(CH523=0,"",CH523+ROW()/1000000))</f>
        <v>0</v>
      </c>
    </row>
    <row r="524" spans="1:88">
      <c r="A524" s="16">
        <f>IF(ROW()-4&gt;12,"",DATE(PlanYear,ROW()-4,1))</f>
        <v>0</v>
      </c>
      <c r="B524" s="16">
        <f>IF(A524="","",EOMONTH(A524,0))</f>
        <v>0</v>
      </c>
      <c r="C524" s="17">
        <f>IF(A524="","",TEXT(A524,"yyyy-mm"))</f>
        <v>0</v>
      </c>
      <c r="D524" s="17">
        <f>IF(A524="","",TEXT(A524,"mmm"))</f>
        <v>0</v>
      </c>
      <c r="E524" s="23">
        <f>IF(C524="","",COUNTIFS('Content Calendar'!$D$5:$D$604,C524))</f>
        <v>0</v>
      </c>
      <c r="F524" s="23">
        <f>IF(C524="","",COUNTIFS('Content Calendar'!$D$5:$D$604,C524,'Content Calendar'!$X$5:$X$604,"Published"))</f>
        <v>0</v>
      </c>
      <c r="G524" s="23">
        <f>IF(C524="","",SUMIFS(Analytics!$J$5:$J$154,Analytics!$C$5:$C$154,C524))</f>
        <v>0</v>
      </c>
      <c r="H524" s="23">
        <f>IF(C524="","",SUMIFS(Analytics!$K$5:$K$154,Analytics!$C$5:$C$154,C524))</f>
        <v>0</v>
      </c>
      <c r="I524" s="23">
        <f>IF(C524="","",SUMIFS(Analytics!$L$5:$L$154,Analytics!$C$5:$C$154,C524))</f>
        <v>0</v>
      </c>
      <c r="J524" s="24">
        <f>IF(OR(G524="",G524=0),"",I524/G524)</f>
        <v>0</v>
      </c>
      <c r="K524" s="23">
        <f>IF(C524="","",SUMIFS(Analytics!$G$5:$G$154,Analytics!$C$5:$C$154,C524))</f>
        <v>0</v>
      </c>
      <c r="L524" s="23">
        <f>IF(C524="","",SUMIFS(Analytics!$X$5:$X$154,Analytics!$C$5:$C$154,C524))</f>
        <v>0</v>
      </c>
      <c r="M524" s="23">
        <f>IF(C524="","",SUMIFS(Analytics!$R$5:$R$154,Analytics!$C$5:$C$154,C524))</f>
        <v>0</v>
      </c>
      <c r="N524" s="23">
        <f>IF(C524="","",SUMIFS(Analytics!$S$5:$S$154,Analytics!$C$5:$C$154,C524))</f>
        <v>0</v>
      </c>
      <c r="O524" s="23">
        <f>IF(C524="","",SUMIFS(Analytics!$T$5:$T$154,Analytics!$C$5:$C$154,C524))</f>
        <v>0</v>
      </c>
      <c r="P524" s="25">
        <f>IF(C524="","",SUMIFS(Analytics!$U$5:$U$154,Analytics!$C$5:$C$154,C524))</f>
        <v>0</v>
      </c>
      <c r="Q524" s="25">
        <f>IF(C524="","",SUMIFS(Budget!$H$5:$H$64,Budget!$C$5:$C$64,C524))</f>
        <v>0</v>
      </c>
      <c r="R524" s="25">
        <f>IF(C524="","",P524-Q524)</f>
        <v>0</v>
      </c>
      <c r="S524" s="23">
        <f>IF(C524="","",MonthlyPostTarget)</f>
        <v>0</v>
      </c>
      <c r="T524" s="17">
        <f>IF(Lists!$C524="","",Lists!$C524)</f>
        <v>0</v>
      </c>
      <c r="U524" s="23">
        <f>IF(T524="","",COUNTIFS('Content Calendar'!$G$5:$G$604,T524,'Content Calendar'!$B$5:$B$604,"&gt;="&amp;DashStart,'Content Calendar'!$B$5:$B$604,"&lt;="&amp;DashEnd))</f>
        <v>0</v>
      </c>
      <c r="V524" s="23">
        <f>IF(T524="","",COUNTIFS('Content Calendar'!$G$5:$G$604,T524,'Content Calendar'!$X$5:$X$604,"Published",'Content Calendar'!$B$5:$B$604,"&gt;="&amp;DashStart,'Content Calendar'!$B$5:$B$604,"&lt;="&amp;DashEnd))</f>
        <v>0</v>
      </c>
      <c r="W524" s="23">
        <f>IF(T524="","",SUMIFS(Analytics!$J$5:$J$154,Analytics!$D$5:$D$154,T524,Analytics!$B$5:$B$154,"&gt;="&amp;DashStart,Analytics!$B$5:$B$154,"&lt;="&amp;DashEnd))</f>
        <v>0</v>
      </c>
      <c r="X524" s="23">
        <f>IF(T524="","",SUMIFS(Analytics!$L$5:$L$154,Analytics!$D$5:$D$154,T524,Analytics!$B$5:$B$154,"&gt;="&amp;DashStart,Analytics!$B$5:$B$154,"&lt;="&amp;DashEnd))</f>
        <v>0</v>
      </c>
      <c r="Y524" s="24">
        <f>IF(OR(W524="",W524=0),"",X524/W524)</f>
        <v>0</v>
      </c>
      <c r="Z524" s="23">
        <f>IF(T524="","",SUMIFS(Analytics!$G$5:$G$154,Analytics!$D$5:$D$154,T524,Analytics!$B$5:$B$154,"&gt;="&amp;DashStart,Analytics!$B$5:$B$154,"&lt;="&amp;DashEnd))</f>
        <v>0</v>
      </c>
      <c r="AA524" s="23">
        <f>IF(T524="","",SUMIFS(Analytics!$X$5:$X$154,Analytics!$D$5:$D$154,T524,Analytics!$B$5:$B$154,"&gt;="&amp;DashStart,Analytics!$B$5:$B$154,"&lt;="&amp;DashEnd))</f>
        <v>0</v>
      </c>
      <c r="AB524" s="23">
        <f>IF(T524="","",SUMIFS(Analytics!$R$5:$R$154,Analytics!$D$5:$D$154,T524,Analytics!$B$5:$B$154,"&gt;="&amp;DashStart,Analytics!$B$5:$B$154,"&lt;="&amp;DashEnd))</f>
        <v>0</v>
      </c>
      <c r="AC524" s="25">
        <f>IF(T524="","",SUMIFS(Analytics!$U$5:$U$154,Analytics!$D$5:$D$154,T524,Analytics!$B$5:$B$154,"&gt;="&amp;DashStart,Analytics!$B$5:$B$154,"&lt;="&amp;DashEnd))</f>
        <v>0</v>
      </c>
      <c r="AD524" s="23">
        <f>IF(T524="","",COUNTIFS('Content Calendar'!$G$5:$G$604,T524,'Content Calendar'!$B$5:$B$604,"&gt;="&amp;DATE(PlanYear,1,1),'Content Calendar'!$B$5:$B$604,"&lt;="&amp;DATE(PlanYear,12,31)))</f>
        <v>0</v>
      </c>
      <c r="AE524" s="23">
        <f>IF(T524="","",SUMIFS(Analytics!$J$5:$J$154,Analytics!$D$5:$D$154,T524))</f>
        <v>0</v>
      </c>
      <c r="AF524" s="23">
        <f>IF(T524="","",SUMIFS(Analytics!$L$5:$L$154,Analytics!$D$5:$D$154,T524))</f>
        <v>0</v>
      </c>
      <c r="AG524" s="24">
        <f>IF(OR(AE524="",AE524=0),"",AF524/AE524)</f>
        <v>0</v>
      </c>
      <c r="AH524" s="23">
        <f>IF(T524="","",SUMIFS(Analytics!$X$5:$X$154,Analytics!$D$5:$D$154,T524))</f>
        <v>0</v>
      </c>
      <c r="AI524" s="32">
        <f>IF(T524="","",IF(AE524=0,"",AE524+ROW()/1000000))</f>
        <v>0</v>
      </c>
      <c r="AJ524" s="17">
        <f>IF('Content Pillars'!$B$524="","",'Content Pillars'!$B$524)</f>
        <v>0</v>
      </c>
      <c r="AK524" s="23">
        <f>IF(AJ524="","",COUNTIFS('Content Calendar'!$J$5:$J$604,AJ524,'Content Calendar'!$B$5:$B$604,"&gt;="&amp;DATE(PlanYear,1,1),'Content Calendar'!$B$5:$B$604,"&lt;="&amp;DATE(PlanYear,12,31)))</f>
        <v>0</v>
      </c>
      <c r="AL524" s="23">
        <f>IF(AJ524="","",SUMIFS(Performance!$O$5:$O$404,Performance!$H$5:$H$404,AJ524))</f>
        <v>0</v>
      </c>
      <c r="AM524" s="23">
        <f>IF(AJ524="","",SUMIFS(Performance!$Z$5:$Z$404,Performance!$H$5:$H$404,AJ524))</f>
        <v>0</v>
      </c>
      <c r="AN524" s="24">
        <f>IF(OR(AL524="",AL524=0),"",AM524/AL524)</f>
        <v>0</v>
      </c>
      <c r="AO524" s="32">
        <f>IF(AN524="","",AN524+ROW()/1000000)</f>
        <v>0</v>
      </c>
      <c r="AP524" s="17">
        <f>IF(Lists!$E524="","",Lists!$E524)</f>
        <v>0</v>
      </c>
      <c r="AQ524" s="23">
        <f>IF(AP524="","",COUNTIF(Performance!$G$5:$G$404,AP524))</f>
        <v>0</v>
      </c>
      <c r="AR524" s="23">
        <f>IF(AP524="","",SUMIFS(Performance!$O$5:$O$404,Performance!$G$5:$G$404,AP524))</f>
        <v>0</v>
      </c>
      <c r="AS524" s="23">
        <f>IF(AP524="","",SUMIFS(Performance!$Z$5:$Z$404,Performance!$G$5:$G$404,AP524))</f>
        <v>0</v>
      </c>
      <c r="AT524" s="24">
        <f>IF(OR(AR524="",AR524=0),"",AS524/AR524)</f>
        <v>0</v>
      </c>
      <c r="AU524" s="32">
        <f>IF(AQ524=0,"",IF(AT524="","",AT524+ROW()/1000000))</f>
        <v>0</v>
      </c>
      <c r="AV524" s="17">
        <f>IF(ROW()-4&gt;7,"",TEXT(DATE(2024,1,ROW()-4),"ddd"))</f>
        <v>0</v>
      </c>
      <c r="AW524" s="23">
        <f>IF(AV524="","",COUNTIF(Performance!$N$5:$N$404,AV524))</f>
        <v>0</v>
      </c>
      <c r="AX524" s="23">
        <f>IF(AV524="","",SUMIFS(Performance!$O$5:$O$404,Performance!$N$5:$N$404,AV524))</f>
        <v>0</v>
      </c>
      <c r="AY524" s="23">
        <f>IF(AV524="","",SUMIFS(Performance!$Z$5:$Z$404,Performance!$N$5:$N$404,AV524))</f>
        <v>0</v>
      </c>
      <c r="AZ524" s="24">
        <f>IF(OR(AX524="",AX524=0),"",AY524/AX524)</f>
        <v>0</v>
      </c>
      <c r="BA524" s="32">
        <f>IF(AW524=0,"",IF(AZ524="","",AZ524+ROW()/1000000))</f>
        <v>0</v>
      </c>
      <c r="BB524" s="17">
        <f>IF(Lists!$AL524="","",Lists!$AL524)</f>
        <v>0</v>
      </c>
      <c r="BC524" s="23">
        <f>IF(BB524="","",COUNTIF(Performance!$M$5:$M$404,BB524))</f>
        <v>0</v>
      </c>
      <c r="BD524" s="23">
        <f>IF(BB524="","",SUMIFS(Performance!$O$5:$O$404,Performance!$M$5:$M$404,BB524))</f>
        <v>0</v>
      </c>
      <c r="BE524" s="23">
        <f>IF(BB524="","",SUMIFS(Performance!$Z$5:$Z$404,Performance!$M$5:$M$404,BB524))</f>
        <v>0</v>
      </c>
      <c r="BF524" s="24">
        <f>IF(OR(BD524="",BD524=0),"",BE524/BD524)</f>
        <v>0</v>
      </c>
      <c r="BG524" s="32">
        <f>IF(BC524=0,"",IF(BF524="","",BF524+ROW()/1000000))</f>
        <v>0</v>
      </c>
      <c r="BH524" s="17">
        <f>IF(Performance!$C$524="","",Performance!$C$524)</f>
        <v>0</v>
      </c>
      <c r="BI524" s="17">
        <f>IF(Performance!$F$524="","",Performance!$F$524)</f>
        <v>0</v>
      </c>
      <c r="BJ524" s="17">
        <f>IF(Performance!$H$524="","",Performance!$H$524)</f>
        <v>0</v>
      </c>
      <c r="BK524" s="16">
        <f>IF(Performance!$D$524="","",Performance!$D$524)</f>
        <v>0</v>
      </c>
      <c r="BL524" s="17">
        <f>IF(Performance!$E$524="","",Performance!$E$524)</f>
        <v>0</v>
      </c>
      <c r="BM524" s="23">
        <f>IF(Performance!$O$524="","",Performance!$O$524)</f>
        <v>0</v>
      </c>
      <c r="BN524" s="24">
        <f>IF(Performance!$AA$524="","",Performance!$AA$524)</f>
        <v>0</v>
      </c>
      <c r="BO524" s="32">
        <f>IF(BH524="","",IF(BK524="","",IF(OR(BK524&lt;DashStart,BK524&gt;DashEnd),"",IF(BN524="","",BN524+ROW()/1000000))))</f>
        <v>0</v>
      </c>
      <c r="BP524" s="32">
        <f>IF(BM524="","",IF(BK524="","",IF(OR(BK524&lt;DashStart,BK524&gt;DashEnd),"",BM524+ROW()/1000000)))</f>
        <v>0</v>
      </c>
      <c r="BQ524" s="32">
        <f>IF(BH524="","",IF(BK524="","",IF(YEAR(BK524)&lt;&gt;PlanYear,"",IF(BN524="","",BN524+ROW()/1000000))))</f>
        <v>0</v>
      </c>
      <c r="BR524" s="32">
        <f>IF(BH524="","",IF(BK524="","",IF(OR(BK524&lt;RepFrom,BK524&gt;RepTo),"",IF(BN524="","",BN524+ROW()/1000000))))</f>
        <v>0</v>
      </c>
      <c r="BS524" s="32">
        <f>IF(BM524="","",IF(BK524="","",IF(YEAR(BK524)&lt;&gt;PlanYear,"",BM524+ROW()/1000000)))</f>
        <v>0</v>
      </c>
      <c r="BT524" s="17">
        <f>IF(Lists!$F524="","",Lists!$F524)</f>
        <v>0</v>
      </c>
      <c r="BU524" s="23">
        <f>IF(BT524="","",COUNTIF('Content Calendar'!$X$5:$X$604,BT524))</f>
        <v>0</v>
      </c>
      <c r="BV524" s="23">
        <f>IF(BT524="","",COUNTIFS('Content Calendar'!$X$5:$X$604,BT524,'Content Calendar'!$B$5:$B$604,"&gt;="&amp;DashStart,'Content Calendar'!$B$5:$B$604,"&lt;="&amp;DashEnd))</f>
        <v>0</v>
      </c>
      <c r="BW524" s="17">
        <f>IF(Team!$B$524="","",Team!$B$524)</f>
        <v>0</v>
      </c>
      <c r="BX524" s="23">
        <f>IF(BW524="","",COUNTIF('Content Calendar'!$W$5:$W$604,BW524))</f>
        <v>0</v>
      </c>
      <c r="BY524" s="23">
        <f>IF(BW524="","",COUNTIFS('Content Calendar'!$W$5:$W$604,BW524,'Content Calendar'!$X$5:$X$604,"&lt;&gt;Published"))</f>
        <v>0</v>
      </c>
      <c r="BZ524" s="23">
        <f>IF(BW524="","",COUNTIFS(Tasks!$C$5:$C$64,BW524,Tasks!$G$5:$G$64,"&lt;&gt;Complete"))</f>
        <v>0</v>
      </c>
      <c r="CA524" s="17">
        <f>IF(Campaigns!$B$524="","",Campaigns!$B$524)</f>
        <v>0</v>
      </c>
      <c r="CB524" s="25">
        <f>IF(Campaigns!$T$524="","",Campaigns!$T$524)</f>
        <v>0</v>
      </c>
      <c r="CC524" s="25">
        <f>IF(Campaigns!$Q$524="","",Campaigns!$Q$524)</f>
        <v>0</v>
      </c>
      <c r="CD524" s="23">
        <f>IF(Campaigns!$Y$524="","",Campaigns!$Y$524)</f>
        <v>0</v>
      </c>
      <c r="CE524" s="32">
        <f>IF(CA524="","",IF(N(CB524)&lt;=0,"",N(CB524)+ROW()/1000000))</f>
        <v>0</v>
      </c>
      <c r="CF524" s="17">
        <f>IF(Accounts!$C$524="","",Accounts!$C$524)</f>
        <v>0</v>
      </c>
      <c r="CG524" s="17">
        <f>IF(Accounts!$B$524="","",Accounts!$B$524)</f>
        <v>0</v>
      </c>
      <c r="CH524" s="23">
        <f>IF(Accounts!$J$524="","",Accounts!$J$524)</f>
        <v>0</v>
      </c>
      <c r="CI524" s="23">
        <f>IF(CF524="","",SUMIFS(Analytics!$X$5:$X$154,Analytics!$E$5:$E$154,CF524,Analytics!$B$5:$B$154,"&gt;="&amp;DashStart,Analytics!$B$5:$B$154,"&lt;="&amp;DashEnd))</f>
        <v>0</v>
      </c>
      <c r="CJ524" s="32">
        <f>IF(CH524="","",IF(CH524=0,"",CH524+ROW()/1000000))</f>
        <v>0</v>
      </c>
    </row>
    <row r="525" spans="1:88">
      <c r="A525" s="16">
        <f>IF(ROW()-4&gt;12,"",DATE(PlanYear,ROW()-4,1))</f>
        <v>0</v>
      </c>
      <c r="B525" s="16">
        <f>IF(A525="","",EOMONTH(A525,0))</f>
        <v>0</v>
      </c>
      <c r="C525" s="17">
        <f>IF(A525="","",TEXT(A525,"yyyy-mm"))</f>
        <v>0</v>
      </c>
      <c r="D525" s="17">
        <f>IF(A525="","",TEXT(A525,"mmm"))</f>
        <v>0</v>
      </c>
      <c r="E525" s="23">
        <f>IF(C525="","",COUNTIFS('Content Calendar'!$D$5:$D$604,C525))</f>
        <v>0</v>
      </c>
      <c r="F525" s="23">
        <f>IF(C525="","",COUNTIFS('Content Calendar'!$D$5:$D$604,C525,'Content Calendar'!$X$5:$X$604,"Published"))</f>
        <v>0</v>
      </c>
      <c r="G525" s="23">
        <f>IF(C525="","",SUMIFS(Analytics!$J$5:$J$154,Analytics!$C$5:$C$154,C525))</f>
        <v>0</v>
      </c>
      <c r="H525" s="23">
        <f>IF(C525="","",SUMIFS(Analytics!$K$5:$K$154,Analytics!$C$5:$C$154,C525))</f>
        <v>0</v>
      </c>
      <c r="I525" s="23">
        <f>IF(C525="","",SUMIFS(Analytics!$L$5:$L$154,Analytics!$C$5:$C$154,C525))</f>
        <v>0</v>
      </c>
      <c r="J525" s="24">
        <f>IF(OR(G525="",G525=0),"",I525/G525)</f>
        <v>0</v>
      </c>
      <c r="K525" s="23">
        <f>IF(C525="","",SUMIFS(Analytics!$G$5:$G$154,Analytics!$C$5:$C$154,C525))</f>
        <v>0</v>
      </c>
      <c r="L525" s="23">
        <f>IF(C525="","",SUMIFS(Analytics!$X$5:$X$154,Analytics!$C$5:$C$154,C525))</f>
        <v>0</v>
      </c>
      <c r="M525" s="23">
        <f>IF(C525="","",SUMIFS(Analytics!$R$5:$R$154,Analytics!$C$5:$C$154,C525))</f>
        <v>0</v>
      </c>
      <c r="N525" s="23">
        <f>IF(C525="","",SUMIFS(Analytics!$S$5:$S$154,Analytics!$C$5:$C$154,C525))</f>
        <v>0</v>
      </c>
      <c r="O525" s="23">
        <f>IF(C525="","",SUMIFS(Analytics!$T$5:$T$154,Analytics!$C$5:$C$154,C525))</f>
        <v>0</v>
      </c>
      <c r="P525" s="25">
        <f>IF(C525="","",SUMIFS(Analytics!$U$5:$U$154,Analytics!$C$5:$C$154,C525))</f>
        <v>0</v>
      </c>
      <c r="Q525" s="25">
        <f>IF(C525="","",SUMIFS(Budget!$H$5:$H$64,Budget!$C$5:$C$64,C525))</f>
        <v>0</v>
      </c>
      <c r="R525" s="25">
        <f>IF(C525="","",P525-Q525)</f>
        <v>0</v>
      </c>
      <c r="S525" s="23">
        <f>IF(C525="","",MonthlyPostTarget)</f>
        <v>0</v>
      </c>
      <c r="T525" s="17">
        <f>IF(Lists!$C525="","",Lists!$C525)</f>
        <v>0</v>
      </c>
      <c r="U525" s="23">
        <f>IF(T525="","",COUNTIFS('Content Calendar'!$G$5:$G$604,T525,'Content Calendar'!$B$5:$B$604,"&gt;="&amp;DashStart,'Content Calendar'!$B$5:$B$604,"&lt;="&amp;DashEnd))</f>
        <v>0</v>
      </c>
      <c r="V525" s="23">
        <f>IF(T525="","",COUNTIFS('Content Calendar'!$G$5:$G$604,T525,'Content Calendar'!$X$5:$X$604,"Published",'Content Calendar'!$B$5:$B$604,"&gt;="&amp;DashStart,'Content Calendar'!$B$5:$B$604,"&lt;="&amp;DashEnd))</f>
        <v>0</v>
      </c>
      <c r="W525" s="23">
        <f>IF(T525="","",SUMIFS(Analytics!$J$5:$J$154,Analytics!$D$5:$D$154,T525,Analytics!$B$5:$B$154,"&gt;="&amp;DashStart,Analytics!$B$5:$B$154,"&lt;="&amp;DashEnd))</f>
        <v>0</v>
      </c>
      <c r="X525" s="23">
        <f>IF(T525="","",SUMIFS(Analytics!$L$5:$L$154,Analytics!$D$5:$D$154,T525,Analytics!$B$5:$B$154,"&gt;="&amp;DashStart,Analytics!$B$5:$B$154,"&lt;="&amp;DashEnd))</f>
        <v>0</v>
      </c>
      <c r="Y525" s="24">
        <f>IF(OR(W525="",W525=0),"",X525/W525)</f>
        <v>0</v>
      </c>
      <c r="Z525" s="23">
        <f>IF(T525="","",SUMIFS(Analytics!$G$5:$G$154,Analytics!$D$5:$D$154,T525,Analytics!$B$5:$B$154,"&gt;="&amp;DashStart,Analytics!$B$5:$B$154,"&lt;="&amp;DashEnd))</f>
        <v>0</v>
      </c>
      <c r="AA525" s="23">
        <f>IF(T525="","",SUMIFS(Analytics!$X$5:$X$154,Analytics!$D$5:$D$154,T525,Analytics!$B$5:$B$154,"&gt;="&amp;DashStart,Analytics!$B$5:$B$154,"&lt;="&amp;DashEnd))</f>
        <v>0</v>
      </c>
      <c r="AB525" s="23">
        <f>IF(T525="","",SUMIFS(Analytics!$R$5:$R$154,Analytics!$D$5:$D$154,T525,Analytics!$B$5:$B$154,"&gt;="&amp;DashStart,Analytics!$B$5:$B$154,"&lt;="&amp;DashEnd))</f>
        <v>0</v>
      </c>
      <c r="AC525" s="25">
        <f>IF(T525="","",SUMIFS(Analytics!$U$5:$U$154,Analytics!$D$5:$D$154,T525,Analytics!$B$5:$B$154,"&gt;="&amp;DashStart,Analytics!$B$5:$B$154,"&lt;="&amp;DashEnd))</f>
        <v>0</v>
      </c>
      <c r="AD525" s="23">
        <f>IF(T525="","",COUNTIFS('Content Calendar'!$G$5:$G$604,T525,'Content Calendar'!$B$5:$B$604,"&gt;="&amp;DATE(PlanYear,1,1),'Content Calendar'!$B$5:$B$604,"&lt;="&amp;DATE(PlanYear,12,31)))</f>
        <v>0</v>
      </c>
      <c r="AE525" s="23">
        <f>IF(T525="","",SUMIFS(Analytics!$J$5:$J$154,Analytics!$D$5:$D$154,T525))</f>
        <v>0</v>
      </c>
      <c r="AF525" s="23">
        <f>IF(T525="","",SUMIFS(Analytics!$L$5:$L$154,Analytics!$D$5:$D$154,T525))</f>
        <v>0</v>
      </c>
      <c r="AG525" s="24">
        <f>IF(OR(AE525="",AE525=0),"",AF525/AE525)</f>
        <v>0</v>
      </c>
      <c r="AH525" s="23">
        <f>IF(T525="","",SUMIFS(Analytics!$X$5:$X$154,Analytics!$D$5:$D$154,T525))</f>
        <v>0</v>
      </c>
      <c r="AI525" s="32">
        <f>IF(T525="","",IF(AE525=0,"",AE525+ROW()/1000000))</f>
        <v>0</v>
      </c>
      <c r="AJ525" s="17">
        <f>IF('Content Pillars'!$B$525="","",'Content Pillars'!$B$525)</f>
        <v>0</v>
      </c>
      <c r="AK525" s="23">
        <f>IF(AJ525="","",COUNTIFS('Content Calendar'!$J$5:$J$604,AJ525,'Content Calendar'!$B$5:$B$604,"&gt;="&amp;DATE(PlanYear,1,1),'Content Calendar'!$B$5:$B$604,"&lt;="&amp;DATE(PlanYear,12,31)))</f>
        <v>0</v>
      </c>
      <c r="AL525" s="23">
        <f>IF(AJ525="","",SUMIFS(Performance!$O$5:$O$404,Performance!$H$5:$H$404,AJ525))</f>
        <v>0</v>
      </c>
      <c r="AM525" s="23">
        <f>IF(AJ525="","",SUMIFS(Performance!$Z$5:$Z$404,Performance!$H$5:$H$404,AJ525))</f>
        <v>0</v>
      </c>
      <c r="AN525" s="24">
        <f>IF(OR(AL525="",AL525=0),"",AM525/AL525)</f>
        <v>0</v>
      </c>
      <c r="AO525" s="32">
        <f>IF(AN525="","",AN525+ROW()/1000000)</f>
        <v>0</v>
      </c>
      <c r="AP525" s="17">
        <f>IF(Lists!$E525="","",Lists!$E525)</f>
        <v>0</v>
      </c>
      <c r="AQ525" s="23">
        <f>IF(AP525="","",COUNTIF(Performance!$G$5:$G$404,AP525))</f>
        <v>0</v>
      </c>
      <c r="AR525" s="23">
        <f>IF(AP525="","",SUMIFS(Performance!$O$5:$O$404,Performance!$G$5:$G$404,AP525))</f>
        <v>0</v>
      </c>
      <c r="AS525" s="23">
        <f>IF(AP525="","",SUMIFS(Performance!$Z$5:$Z$404,Performance!$G$5:$G$404,AP525))</f>
        <v>0</v>
      </c>
      <c r="AT525" s="24">
        <f>IF(OR(AR525="",AR525=0),"",AS525/AR525)</f>
        <v>0</v>
      </c>
      <c r="AU525" s="32">
        <f>IF(AQ525=0,"",IF(AT525="","",AT525+ROW()/1000000))</f>
        <v>0</v>
      </c>
      <c r="AV525" s="17">
        <f>IF(ROW()-4&gt;7,"",TEXT(DATE(2024,1,ROW()-4),"ddd"))</f>
        <v>0</v>
      </c>
      <c r="AW525" s="23">
        <f>IF(AV525="","",COUNTIF(Performance!$N$5:$N$404,AV525))</f>
        <v>0</v>
      </c>
      <c r="AX525" s="23">
        <f>IF(AV525="","",SUMIFS(Performance!$O$5:$O$404,Performance!$N$5:$N$404,AV525))</f>
        <v>0</v>
      </c>
      <c r="AY525" s="23">
        <f>IF(AV525="","",SUMIFS(Performance!$Z$5:$Z$404,Performance!$N$5:$N$404,AV525))</f>
        <v>0</v>
      </c>
      <c r="AZ525" s="24">
        <f>IF(OR(AX525="",AX525=0),"",AY525/AX525)</f>
        <v>0</v>
      </c>
      <c r="BA525" s="32">
        <f>IF(AW525=0,"",IF(AZ525="","",AZ525+ROW()/1000000))</f>
        <v>0</v>
      </c>
      <c r="BB525" s="17">
        <f>IF(Lists!$AL525="","",Lists!$AL525)</f>
        <v>0</v>
      </c>
      <c r="BC525" s="23">
        <f>IF(BB525="","",COUNTIF(Performance!$M$5:$M$404,BB525))</f>
        <v>0</v>
      </c>
      <c r="BD525" s="23">
        <f>IF(BB525="","",SUMIFS(Performance!$O$5:$O$404,Performance!$M$5:$M$404,BB525))</f>
        <v>0</v>
      </c>
      <c r="BE525" s="23">
        <f>IF(BB525="","",SUMIFS(Performance!$Z$5:$Z$404,Performance!$M$5:$M$404,BB525))</f>
        <v>0</v>
      </c>
      <c r="BF525" s="24">
        <f>IF(OR(BD525="",BD525=0),"",BE525/BD525)</f>
        <v>0</v>
      </c>
      <c r="BG525" s="32">
        <f>IF(BC525=0,"",IF(BF525="","",BF525+ROW()/1000000))</f>
        <v>0</v>
      </c>
      <c r="BH525" s="17">
        <f>IF(Performance!$C$525="","",Performance!$C$525)</f>
        <v>0</v>
      </c>
      <c r="BI525" s="17">
        <f>IF(Performance!$F$525="","",Performance!$F$525)</f>
        <v>0</v>
      </c>
      <c r="BJ525" s="17">
        <f>IF(Performance!$H$525="","",Performance!$H$525)</f>
        <v>0</v>
      </c>
      <c r="BK525" s="16">
        <f>IF(Performance!$D$525="","",Performance!$D$525)</f>
        <v>0</v>
      </c>
      <c r="BL525" s="17">
        <f>IF(Performance!$E$525="","",Performance!$E$525)</f>
        <v>0</v>
      </c>
      <c r="BM525" s="23">
        <f>IF(Performance!$O$525="","",Performance!$O$525)</f>
        <v>0</v>
      </c>
      <c r="BN525" s="24">
        <f>IF(Performance!$AA$525="","",Performance!$AA$525)</f>
        <v>0</v>
      </c>
      <c r="BO525" s="32">
        <f>IF(BH525="","",IF(BK525="","",IF(OR(BK525&lt;DashStart,BK525&gt;DashEnd),"",IF(BN525="","",BN525+ROW()/1000000))))</f>
        <v>0</v>
      </c>
      <c r="BP525" s="32">
        <f>IF(BM525="","",IF(BK525="","",IF(OR(BK525&lt;DashStart,BK525&gt;DashEnd),"",BM525+ROW()/1000000)))</f>
        <v>0</v>
      </c>
      <c r="BQ525" s="32">
        <f>IF(BH525="","",IF(BK525="","",IF(YEAR(BK525)&lt;&gt;PlanYear,"",IF(BN525="","",BN525+ROW()/1000000))))</f>
        <v>0</v>
      </c>
      <c r="BR525" s="32">
        <f>IF(BH525="","",IF(BK525="","",IF(OR(BK525&lt;RepFrom,BK525&gt;RepTo),"",IF(BN525="","",BN525+ROW()/1000000))))</f>
        <v>0</v>
      </c>
      <c r="BS525" s="32">
        <f>IF(BM525="","",IF(BK525="","",IF(YEAR(BK525)&lt;&gt;PlanYear,"",BM525+ROW()/1000000)))</f>
        <v>0</v>
      </c>
      <c r="BT525" s="17">
        <f>IF(Lists!$F525="","",Lists!$F525)</f>
        <v>0</v>
      </c>
      <c r="BU525" s="23">
        <f>IF(BT525="","",COUNTIF('Content Calendar'!$X$5:$X$604,BT525))</f>
        <v>0</v>
      </c>
      <c r="BV525" s="23">
        <f>IF(BT525="","",COUNTIFS('Content Calendar'!$X$5:$X$604,BT525,'Content Calendar'!$B$5:$B$604,"&gt;="&amp;DashStart,'Content Calendar'!$B$5:$B$604,"&lt;="&amp;DashEnd))</f>
        <v>0</v>
      </c>
      <c r="BW525" s="17">
        <f>IF(Team!$B$525="","",Team!$B$525)</f>
        <v>0</v>
      </c>
      <c r="BX525" s="23">
        <f>IF(BW525="","",COUNTIF('Content Calendar'!$W$5:$W$604,BW525))</f>
        <v>0</v>
      </c>
      <c r="BY525" s="23">
        <f>IF(BW525="","",COUNTIFS('Content Calendar'!$W$5:$W$604,BW525,'Content Calendar'!$X$5:$X$604,"&lt;&gt;Published"))</f>
        <v>0</v>
      </c>
      <c r="BZ525" s="23">
        <f>IF(BW525="","",COUNTIFS(Tasks!$C$5:$C$64,BW525,Tasks!$G$5:$G$64,"&lt;&gt;Complete"))</f>
        <v>0</v>
      </c>
      <c r="CA525" s="17">
        <f>IF(Campaigns!$B$525="","",Campaigns!$B$525)</f>
        <v>0</v>
      </c>
      <c r="CB525" s="25">
        <f>IF(Campaigns!$T$525="","",Campaigns!$T$525)</f>
        <v>0</v>
      </c>
      <c r="CC525" s="25">
        <f>IF(Campaigns!$Q$525="","",Campaigns!$Q$525)</f>
        <v>0</v>
      </c>
      <c r="CD525" s="23">
        <f>IF(Campaigns!$Y$525="","",Campaigns!$Y$525)</f>
        <v>0</v>
      </c>
      <c r="CE525" s="32">
        <f>IF(CA525="","",IF(N(CB525)&lt;=0,"",N(CB525)+ROW()/1000000))</f>
        <v>0</v>
      </c>
      <c r="CF525" s="17">
        <f>IF(Accounts!$C$525="","",Accounts!$C$525)</f>
        <v>0</v>
      </c>
      <c r="CG525" s="17">
        <f>IF(Accounts!$B$525="","",Accounts!$B$525)</f>
        <v>0</v>
      </c>
      <c r="CH525" s="23">
        <f>IF(Accounts!$J$525="","",Accounts!$J$525)</f>
        <v>0</v>
      </c>
      <c r="CI525" s="23">
        <f>IF(CF525="","",SUMIFS(Analytics!$X$5:$X$154,Analytics!$E$5:$E$154,CF525,Analytics!$B$5:$B$154,"&gt;="&amp;DashStart,Analytics!$B$5:$B$154,"&lt;="&amp;DashEnd))</f>
        <v>0</v>
      </c>
      <c r="CJ525" s="32">
        <f>IF(CH525="","",IF(CH525=0,"",CH525+ROW()/1000000))</f>
        <v>0</v>
      </c>
    </row>
    <row r="526" spans="1:88">
      <c r="A526" s="16">
        <f>IF(ROW()-4&gt;12,"",DATE(PlanYear,ROW()-4,1))</f>
        <v>0</v>
      </c>
      <c r="B526" s="16">
        <f>IF(A526="","",EOMONTH(A526,0))</f>
        <v>0</v>
      </c>
      <c r="C526" s="17">
        <f>IF(A526="","",TEXT(A526,"yyyy-mm"))</f>
        <v>0</v>
      </c>
      <c r="D526" s="17">
        <f>IF(A526="","",TEXT(A526,"mmm"))</f>
        <v>0</v>
      </c>
      <c r="E526" s="23">
        <f>IF(C526="","",COUNTIFS('Content Calendar'!$D$5:$D$604,C526))</f>
        <v>0</v>
      </c>
      <c r="F526" s="23">
        <f>IF(C526="","",COUNTIFS('Content Calendar'!$D$5:$D$604,C526,'Content Calendar'!$X$5:$X$604,"Published"))</f>
        <v>0</v>
      </c>
      <c r="G526" s="23">
        <f>IF(C526="","",SUMIFS(Analytics!$J$5:$J$154,Analytics!$C$5:$C$154,C526))</f>
        <v>0</v>
      </c>
      <c r="H526" s="23">
        <f>IF(C526="","",SUMIFS(Analytics!$K$5:$K$154,Analytics!$C$5:$C$154,C526))</f>
        <v>0</v>
      </c>
      <c r="I526" s="23">
        <f>IF(C526="","",SUMIFS(Analytics!$L$5:$L$154,Analytics!$C$5:$C$154,C526))</f>
        <v>0</v>
      </c>
      <c r="J526" s="24">
        <f>IF(OR(G526="",G526=0),"",I526/G526)</f>
        <v>0</v>
      </c>
      <c r="K526" s="23">
        <f>IF(C526="","",SUMIFS(Analytics!$G$5:$G$154,Analytics!$C$5:$C$154,C526))</f>
        <v>0</v>
      </c>
      <c r="L526" s="23">
        <f>IF(C526="","",SUMIFS(Analytics!$X$5:$X$154,Analytics!$C$5:$C$154,C526))</f>
        <v>0</v>
      </c>
      <c r="M526" s="23">
        <f>IF(C526="","",SUMIFS(Analytics!$R$5:$R$154,Analytics!$C$5:$C$154,C526))</f>
        <v>0</v>
      </c>
      <c r="N526" s="23">
        <f>IF(C526="","",SUMIFS(Analytics!$S$5:$S$154,Analytics!$C$5:$C$154,C526))</f>
        <v>0</v>
      </c>
      <c r="O526" s="23">
        <f>IF(C526="","",SUMIFS(Analytics!$T$5:$T$154,Analytics!$C$5:$C$154,C526))</f>
        <v>0</v>
      </c>
      <c r="P526" s="25">
        <f>IF(C526="","",SUMIFS(Analytics!$U$5:$U$154,Analytics!$C$5:$C$154,C526))</f>
        <v>0</v>
      </c>
      <c r="Q526" s="25">
        <f>IF(C526="","",SUMIFS(Budget!$H$5:$H$64,Budget!$C$5:$C$64,C526))</f>
        <v>0</v>
      </c>
      <c r="R526" s="25">
        <f>IF(C526="","",P526-Q526)</f>
        <v>0</v>
      </c>
      <c r="S526" s="23">
        <f>IF(C526="","",MonthlyPostTarget)</f>
        <v>0</v>
      </c>
      <c r="T526" s="17">
        <f>IF(Lists!$C526="","",Lists!$C526)</f>
        <v>0</v>
      </c>
      <c r="U526" s="23">
        <f>IF(T526="","",COUNTIFS('Content Calendar'!$G$5:$G$604,T526,'Content Calendar'!$B$5:$B$604,"&gt;="&amp;DashStart,'Content Calendar'!$B$5:$B$604,"&lt;="&amp;DashEnd))</f>
        <v>0</v>
      </c>
      <c r="V526" s="23">
        <f>IF(T526="","",COUNTIFS('Content Calendar'!$G$5:$G$604,T526,'Content Calendar'!$X$5:$X$604,"Published",'Content Calendar'!$B$5:$B$604,"&gt;="&amp;DashStart,'Content Calendar'!$B$5:$B$604,"&lt;="&amp;DashEnd))</f>
        <v>0</v>
      </c>
      <c r="W526" s="23">
        <f>IF(T526="","",SUMIFS(Analytics!$J$5:$J$154,Analytics!$D$5:$D$154,T526,Analytics!$B$5:$B$154,"&gt;="&amp;DashStart,Analytics!$B$5:$B$154,"&lt;="&amp;DashEnd))</f>
        <v>0</v>
      </c>
      <c r="X526" s="23">
        <f>IF(T526="","",SUMIFS(Analytics!$L$5:$L$154,Analytics!$D$5:$D$154,T526,Analytics!$B$5:$B$154,"&gt;="&amp;DashStart,Analytics!$B$5:$B$154,"&lt;="&amp;DashEnd))</f>
        <v>0</v>
      </c>
      <c r="Y526" s="24">
        <f>IF(OR(W526="",W526=0),"",X526/W526)</f>
        <v>0</v>
      </c>
      <c r="Z526" s="23">
        <f>IF(T526="","",SUMIFS(Analytics!$G$5:$G$154,Analytics!$D$5:$D$154,T526,Analytics!$B$5:$B$154,"&gt;="&amp;DashStart,Analytics!$B$5:$B$154,"&lt;="&amp;DashEnd))</f>
        <v>0</v>
      </c>
      <c r="AA526" s="23">
        <f>IF(T526="","",SUMIFS(Analytics!$X$5:$X$154,Analytics!$D$5:$D$154,T526,Analytics!$B$5:$B$154,"&gt;="&amp;DashStart,Analytics!$B$5:$B$154,"&lt;="&amp;DashEnd))</f>
        <v>0</v>
      </c>
      <c r="AB526" s="23">
        <f>IF(T526="","",SUMIFS(Analytics!$R$5:$R$154,Analytics!$D$5:$D$154,T526,Analytics!$B$5:$B$154,"&gt;="&amp;DashStart,Analytics!$B$5:$B$154,"&lt;="&amp;DashEnd))</f>
        <v>0</v>
      </c>
      <c r="AC526" s="25">
        <f>IF(T526="","",SUMIFS(Analytics!$U$5:$U$154,Analytics!$D$5:$D$154,T526,Analytics!$B$5:$B$154,"&gt;="&amp;DashStart,Analytics!$B$5:$B$154,"&lt;="&amp;DashEnd))</f>
        <v>0</v>
      </c>
      <c r="AD526" s="23">
        <f>IF(T526="","",COUNTIFS('Content Calendar'!$G$5:$G$604,T526,'Content Calendar'!$B$5:$B$604,"&gt;="&amp;DATE(PlanYear,1,1),'Content Calendar'!$B$5:$B$604,"&lt;="&amp;DATE(PlanYear,12,31)))</f>
        <v>0</v>
      </c>
      <c r="AE526" s="23">
        <f>IF(T526="","",SUMIFS(Analytics!$J$5:$J$154,Analytics!$D$5:$D$154,T526))</f>
        <v>0</v>
      </c>
      <c r="AF526" s="23">
        <f>IF(T526="","",SUMIFS(Analytics!$L$5:$L$154,Analytics!$D$5:$D$154,T526))</f>
        <v>0</v>
      </c>
      <c r="AG526" s="24">
        <f>IF(OR(AE526="",AE526=0),"",AF526/AE526)</f>
        <v>0</v>
      </c>
      <c r="AH526" s="23">
        <f>IF(T526="","",SUMIFS(Analytics!$X$5:$X$154,Analytics!$D$5:$D$154,T526))</f>
        <v>0</v>
      </c>
      <c r="AI526" s="32">
        <f>IF(T526="","",IF(AE526=0,"",AE526+ROW()/1000000))</f>
        <v>0</v>
      </c>
      <c r="AJ526" s="17">
        <f>IF('Content Pillars'!$B$526="","",'Content Pillars'!$B$526)</f>
        <v>0</v>
      </c>
      <c r="AK526" s="23">
        <f>IF(AJ526="","",COUNTIFS('Content Calendar'!$J$5:$J$604,AJ526,'Content Calendar'!$B$5:$B$604,"&gt;="&amp;DATE(PlanYear,1,1),'Content Calendar'!$B$5:$B$604,"&lt;="&amp;DATE(PlanYear,12,31)))</f>
        <v>0</v>
      </c>
      <c r="AL526" s="23">
        <f>IF(AJ526="","",SUMIFS(Performance!$O$5:$O$404,Performance!$H$5:$H$404,AJ526))</f>
        <v>0</v>
      </c>
      <c r="AM526" s="23">
        <f>IF(AJ526="","",SUMIFS(Performance!$Z$5:$Z$404,Performance!$H$5:$H$404,AJ526))</f>
        <v>0</v>
      </c>
      <c r="AN526" s="24">
        <f>IF(OR(AL526="",AL526=0),"",AM526/AL526)</f>
        <v>0</v>
      </c>
      <c r="AO526" s="32">
        <f>IF(AN526="","",AN526+ROW()/1000000)</f>
        <v>0</v>
      </c>
      <c r="AP526" s="17">
        <f>IF(Lists!$E526="","",Lists!$E526)</f>
        <v>0</v>
      </c>
      <c r="AQ526" s="23">
        <f>IF(AP526="","",COUNTIF(Performance!$G$5:$G$404,AP526))</f>
        <v>0</v>
      </c>
      <c r="AR526" s="23">
        <f>IF(AP526="","",SUMIFS(Performance!$O$5:$O$404,Performance!$G$5:$G$404,AP526))</f>
        <v>0</v>
      </c>
      <c r="AS526" s="23">
        <f>IF(AP526="","",SUMIFS(Performance!$Z$5:$Z$404,Performance!$G$5:$G$404,AP526))</f>
        <v>0</v>
      </c>
      <c r="AT526" s="24">
        <f>IF(OR(AR526="",AR526=0),"",AS526/AR526)</f>
        <v>0</v>
      </c>
      <c r="AU526" s="32">
        <f>IF(AQ526=0,"",IF(AT526="","",AT526+ROW()/1000000))</f>
        <v>0</v>
      </c>
      <c r="AV526" s="17">
        <f>IF(ROW()-4&gt;7,"",TEXT(DATE(2024,1,ROW()-4),"ddd"))</f>
        <v>0</v>
      </c>
      <c r="AW526" s="23">
        <f>IF(AV526="","",COUNTIF(Performance!$N$5:$N$404,AV526))</f>
        <v>0</v>
      </c>
      <c r="AX526" s="23">
        <f>IF(AV526="","",SUMIFS(Performance!$O$5:$O$404,Performance!$N$5:$N$404,AV526))</f>
        <v>0</v>
      </c>
      <c r="AY526" s="23">
        <f>IF(AV526="","",SUMIFS(Performance!$Z$5:$Z$404,Performance!$N$5:$N$404,AV526))</f>
        <v>0</v>
      </c>
      <c r="AZ526" s="24">
        <f>IF(OR(AX526="",AX526=0),"",AY526/AX526)</f>
        <v>0</v>
      </c>
      <c r="BA526" s="32">
        <f>IF(AW526=0,"",IF(AZ526="","",AZ526+ROW()/1000000))</f>
        <v>0</v>
      </c>
      <c r="BB526" s="17">
        <f>IF(Lists!$AL526="","",Lists!$AL526)</f>
        <v>0</v>
      </c>
      <c r="BC526" s="23">
        <f>IF(BB526="","",COUNTIF(Performance!$M$5:$M$404,BB526))</f>
        <v>0</v>
      </c>
      <c r="BD526" s="23">
        <f>IF(BB526="","",SUMIFS(Performance!$O$5:$O$404,Performance!$M$5:$M$404,BB526))</f>
        <v>0</v>
      </c>
      <c r="BE526" s="23">
        <f>IF(BB526="","",SUMIFS(Performance!$Z$5:$Z$404,Performance!$M$5:$M$404,BB526))</f>
        <v>0</v>
      </c>
      <c r="BF526" s="24">
        <f>IF(OR(BD526="",BD526=0),"",BE526/BD526)</f>
        <v>0</v>
      </c>
      <c r="BG526" s="32">
        <f>IF(BC526=0,"",IF(BF526="","",BF526+ROW()/1000000))</f>
        <v>0</v>
      </c>
      <c r="BH526" s="17">
        <f>IF(Performance!$C$526="","",Performance!$C$526)</f>
        <v>0</v>
      </c>
      <c r="BI526" s="17">
        <f>IF(Performance!$F$526="","",Performance!$F$526)</f>
        <v>0</v>
      </c>
      <c r="BJ526" s="17">
        <f>IF(Performance!$H$526="","",Performance!$H$526)</f>
        <v>0</v>
      </c>
      <c r="BK526" s="16">
        <f>IF(Performance!$D$526="","",Performance!$D$526)</f>
        <v>0</v>
      </c>
      <c r="BL526" s="17">
        <f>IF(Performance!$E$526="","",Performance!$E$526)</f>
        <v>0</v>
      </c>
      <c r="BM526" s="23">
        <f>IF(Performance!$O$526="","",Performance!$O$526)</f>
        <v>0</v>
      </c>
      <c r="BN526" s="24">
        <f>IF(Performance!$AA$526="","",Performance!$AA$526)</f>
        <v>0</v>
      </c>
      <c r="BO526" s="32">
        <f>IF(BH526="","",IF(BK526="","",IF(OR(BK526&lt;DashStart,BK526&gt;DashEnd),"",IF(BN526="","",BN526+ROW()/1000000))))</f>
        <v>0</v>
      </c>
      <c r="BP526" s="32">
        <f>IF(BM526="","",IF(BK526="","",IF(OR(BK526&lt;DashStart,BK526&gt;DashEnd),"",BM526+ROW()/1000000)))</f>
        <v>0</v>
      </c>
      <c r="BQ526" s="32">
        <f>IF(BH526="","",IF(BK526="","",IF(YEAR(BK526)&lt;&gt;PlanYear,"",IF(BN526="","",BN526+ROW()/1000000))))</f>
        <v>0</v>
      </c>
      <c r="BR526" s="32">
        <f>IF(BH526="","",IF(BK526="","",IF(OR(BK526&lt;RepFrom,BK526&gt;RepTo),"",IF(BN526="","",BN526+ROW()/1000000))))</f>
        <v>0</v>
      </c>
      <c r="BS526" s="32">
        <f>IF(BM526="","",IF(BK526="","",IF(YEAR(BK526)&lt;&gt;PlanYear,"",BM526+ROW()/1000000)))</f>
        <v>0</v>
      </c>
      <c r="BT526" s="17">
        <f>IF(Lists!$F526="","",Lists!$F526)</f>
        <v>0</v>
      </c>
      <c r="BU526" s="23">
        <f>IF(BT526="","",COUNTIF('Content Calendar'!$X$5:$X$604,BT526))</f>
        <v>0</v>
      </c>
      <c r="BV526" s="23">
        <f>IF(BT526="","",COUNTIFS('Content Calendar'!$X$5:$X$604,BT526,'Content Calendar'!$B$5:$B$604,"&gt;="&amp;DashStart,'Content Calendar'!$B$5:$B$604,"&lt;="&amp;DashEnd))</f>
        <v>0</v>
      </c>
      <c r="BW526" s="17">
        <f>IF(Team!$B$526="","",Team!$B$526)</f>
        <v>0</v>
      </c>
      <c r="BX526" s="23">
        <f>IF(BW526="","",COUNTIF('Content Calendar'!$W$5:$W$604,BW526))</f>
        <v>0</v>
      </c>
      <c r="BY526" s="23">
        <f>IF(BW526="","",COUNTIFS('Content Calendar'!$W$5:$W$604,BW526,'Content Calendar'!$X$5:$X$604,"&lt;&gt;Published"))</f>
        <v>0</v>
      </c>
      <c r="BZ526" s="23">
        <f>IF(BW526="","",COUNTIFS(Tasks!$C$5:$C$64,BW526,Tasks!$G$5:$G$64,"&lt;&gt;Complete"))</f>
        <v>0</v>
      </c>
      <c r="CA526" s="17">
        <f>IF(Campaigns!$B$526="","",Campaigns!$B$526)</f>
        <v>0</v>
      </c>
      <c r="CB526" s="25">
        <f>IF(Campaigns!$T$526="","",Campaigns!$T$526)</f>
        <v>0</v>
      </c>
      <c r="CC526" s="25">
        <f>IF(Campaigns!$Q$526="","",Campaigns!$Q$526)</f>
        <v>0</v>
      </c>
      <c r="CD526" s="23">
        <f>IF(Campaigns!$Y$526="","",Campaigns!$Y$526)</f>
        <v>0</v>
      </c>
      <c r="CE526" s="32">
        <f>IF(CA526="","",IF(N(CB526)&lt;=0,"",N(CB526)+ROW()/1000000))</f>
        <v>0</v>
      </c>
      <c r="CF526" s="17">
        <f>IF(Accounts!$C$526="","",Accounts!$C$526)</f>
        <v>0</v>
      </c>
      <c r="CG526" s="17">
        <f>IF(Accounts!$B$526="","",Accounts!$B$526)</f>
        <v>0</v>
      </c>
      <c r="CH526" s="23">
        <f>IF(Accounts!$J$526="","",Accounts!$J$526)</f>
        <v>0</v>
      </c>
      <c r="CI526" s="23">
        <f>IF(CF526="","",SUMIFS(Analytics!$X$5:$X$154,Analytics!$E$5:$E$154,CF526,Analytics!$B$5:$B$154,"&gt;="&amp;DashStart,Analytics!$B$5:$B$154,"&lt;="&amp;DashEnd))</f>
        <v>0</v>
      </c>
      <c r="CJ526" s="32">
        <f>IF(CH526="","",IF(CH526=0,"",CH526+ROW()/1000000))</f>
        <v>0</v>
      </c>
    </row>
    <row r="527" spans="1:88">
      <c r="A527" s="16">
        <f>IF(ROW()-4&gt;12,"",DATE(PlanYear,ROW()-4,1))</f>
        <v>0</v>
      </c>
      <c r="B527" s="16">
        <f>IF(A527="","",EOMONTH(A527,0))</f>
        <v>0</v>
      </c>
      <c r="C527" s="17">
        <f>IF(A527="","",TEXT(A527,"yyyy-mm"))</f>
        <v>0</v>
      </c>
      <c r="D527" s="17">
        <f>IF(A527="","",TEXT(A527,"mmm"))</f>
        <v>0</v>
      </c>
      <c r="E527" s="23">
        <f>IF(C527="","",COUNTIFS('Content Calendar'!$D$5:$D$604,C527))</f>
        <v>0</v>
      </c>
      <c r="F527" s="23">
        <f>IF(C527="","",COUNTIFS('Content Calendar'!$D$5:$D$604,C527,'Content Calendar'!$X$5:$X$604,"Published"))</f>
        <v>0</v>
      </c>
      <c r="G527" s="23">
        <f>IF(C527="","",SUMIFS(Analytics!$J$5:$J$154,Analytics!$C$5:$C$154,C527))</f>
        <v>0</v>
      </c>
      <c r="H527" s="23">
        <f>IF(C527="","",SUMIFS(Analytics!$K$5:$K$154,Analytics!$C$5:$C$154,C527))</f>
        <v>0</v>
      </c>
      <c r="I527" s="23">
        <f>IF(C527="","",SUMIFS(Analytics!$L$5:$L$154,Analytics!$C$5:$C$154,C527))</f>
        <v>0</v>
      </c>
      <c r="J527" s="24">
        <f>IF(OR(G527="",G527=0),"",I527/G527)</f>
        <v>0</v>
      </c>
      <c r="K527" s="23">
        <f>IF(C527="","",SUMIFS(Analytics!$G$5:$G$154,Analytics!$C$5:$C$154,C527))</f>
        <v>0</v>
      </c>
      <c r="L527" s="23">
        <f>IF(C527="","",SUMIFS(Analytics!$X$5:$X$154,Analytics!$C$5:$C$154,C527))</f>
        <v>0</v>
      </c>
      <c r="M527" s="23">
        <f>IF(C527="","",SUMIFS(Analytics!$R$5:$R$154,Analytics!$C$5:$C$154,C527))</f>
        <v>0</v>
      </c>
      <c r="N527" s="23">
        <f>IF(C527="","",SUMIFS(Analytics!$S$5:$S$154,Analytics!$C$5:$C$154,C527))</f>
        <v>0</v>
      </c>
      <c r="O527" s="23">
        <f>IF(C527="","",SUMIFS(Analytics!$T$5:$T$154,Analytics!$C$5:$C$154,C527))</f>
        <v>0</v>
      </c>
      <c r="P527" s="25">
        <f>IF(C527="","",SUMIFS(Analytics!$U$5:$U$154,Analytics!$C$5:$C$154,C527))</f>
        <v>0</v>
      </c>
      <c r="Q527" s="25">
        <f>IF(C527="","",SUMIFS(Budget!$H$5:$H$64,Budget!$C$5:$C$64,C527))</f>
        <v>0</v>
      </c>
      <c r="R527" s="25">
        <f>IF(C527="","",P527-Q527)</f>
        <v>0</v>
      </c>
      <c r="S527" s="23">
        <f>IF(C527="","",MonthlyPostTarget)</f>
        <v>0</v>
      </c>
      <c r="T527" s="17">
        <f>IF(Lists!$C527="","",Lists!$C527)</f>
        <v>0</v>
      </c>
      <c r="U527" s="23">
        <f>IF(T527="","",COUNTIFS('Content Calendar'!$G$5:$G$604,T527,'Content Calendar'!$B$5:$B$604,"&gt;="&amp;DashStart,'Content Calendar'!$B$5:$B$604,"&lt;="&amp;DashEnd))</f>
        <v>0</v>
      </c>
      <c r="V527" s="23">
        <f>IF(T527="","",COUNTIFS('Content Calendar'!$G$5:$G$604,T527,'Content Calendar'!$X$5:$X$604,"Published",'Content Calendar'!$B$5:$B$604,"&gt;="&amp;DashStart,'Content Calendar'!$B$5:$B$604,"&lt;="&amp;DashEnd))</f>
        <v>0</v>
      </c>
      <c r="W527" s="23">
        <f>IF(T527="","",SUMIFS(Analytics!$J$5:$J$154,Analytics!$D$5:$D$154,T527,Analytics!$B$5:$B$154,"&gt;="&amp;DashStart,Analytics!$B$5:$B$154,"&lt;="&amp;DashEnd))</f>
        <v>0</v>
      </c>
      <c r="X527" s="23">
        <f>IF(T527="","",SUMIFS(Analytics!$L$5:$L$154,Analytics!$D$5:$D$154,T527,Analytics!$B$5:$B$154,"&gt;="&amp;DashStart,Analytics!$B$5:$B$154,"&lt;="&amp;DashEnd))</f>
        <v>0</v>
      </c>
      <c r="Y527" s="24">
        <f>IF(OR(W527="",W527=0),"",X527/W527)</f>
        <v>0</v>
      </c>
      <c r="Z527" s="23">
        <f>IF(T527="","",SUMIFS(Analytics!$G$5:$G$154,Analytics!$D$5:$D$154,T527,Analytics!$B$5:$B$154,"&gt;="&amp;DashStart,Analytics!$B$5:$B$154,"&lt;="&amp;DashEnd))</f>
        <v>0</v>
      </c>
      <c r="AA527" s="23">
        <f>IF(T527="","",SUMIFS(Analytics!$X$5:$X$154,Analytics!$D$5:$D$154,T527,Analytics!$B$5:$B$154,"&gt;="&amp;DashStart,Analytics!$B$5:$B$154,"&lt;="&amp;DashEnd))</f>
        <v>0</v>
      </c>
      <c r="AB527" s="23">
        <f>IF(T527="","",SUMIFS(Analytics!$R$5:$R$154,Analytics!$D$5:$D$154,T527,Analytics!$B$5:$B$154,"&gt;="&amp;DashStart,Analytics!$B$5:$B$154,"&lt;="&amp;DashEnd))</f>
        <v>0</v>
      </c>
      <c r="AC527" s="25">
        <f>IF(T527="","",SUMIFS(Analytics!$U$5:$U$154,Analytics!$D$5:$D$154,T527,Analytics!$B$5:$B$154,"&gt;="&amp;DashStart,Analytics!$B$5:$B$154,"&lt;="&amp;DashEnd))</f>
        <v>0</v>
      </c>
      <c r="AD527" s="23">
        <f>IF(T527="","",COUNTIFS('Content Calendar'!$G$5:$G$604,T527,'Content Calendar'!$B$5:$B$604,"&gt;="&amp;DATE(PlanYear,1,1),'Content Calendar'!$B$5:$B$604,"&lt;="&amp;DATE(PlanYear,12,31)))</f>
        <v>0</v>
      </c>
      <c r="AE527" s="23">
        <f>IF(T527="","",SUMIFS(Analytics!$J$5:$J$154,Analytics!$D$5:$D$154,T527))</f>
        <v>0</v>
      </c>
      <c r="AF527" s="23">
        <f>IF(T527="","",SUMIFS(Analytics!$L$5:$L$154,Analytics!$D$5:$D$154,T527))</f>
        <v>0</v>
      </c>
      <c r="AG527" s="24">
        <f>IF(OR(AE527="",AE527=0),"",AF527/AE527)</f>
        <v>0</v>
      </c>
      <c r="AH527" s="23">
        <f>IF(T527="","",SUMIFS(Analytics!$X$5:$X$154,Analytics!$D$5:$D$154,T527))</f>
        <v>0</v>
      </c>
      <c r="AI527" s="32">
        <f>IF(T527="","",IF(AE527=0,"",AE527+ROW()/1000000))</f>
        <v>0</v>
      </c>
      <c r="AJ527" s="17">
        <f>IF('Content Pillars'!$B$527="","",'Content Pillars'!$B$527)</f>
        <v>0</v>
      </c>
      <c r="AK527" s="23">
        <f>IF(AJ527="","",COUNTIFS('Content Calendar'!$J$5:$J$604,AJ527,'Content Calendar'!$B$5:$B$604,"&gt;="&amp;DATE(PlanYear,1,1),'Content Calendar'!$B$5:$B$604,"&lt;="&amp;DATE(PlanYear,12,31)))</f>
        <v>0</v>
      </c>
      <c r="AL527" s="23">
        <f>IF(AJ527="","",SUMIFS(Performance!$O$5:$O$404,Performance!$H$5:$H$404,AJ527))</f>
        <v>0</v>
      </c>
      <c r="AM527" s="23">
        <f>IF(AJ527="","",SUMIFS(Performance!$Z$5:$Z$404,Performance!$H$5:$H$404,AJ527))</f>
        <v>0</v>
      </c>
      <c r="AN527" s="24">
        <f>IF(OR(AL527="",AL527=0),"",AM527/AL527)</f>
        <v>0</v>
      </c>
      <c r="AO527" s="32">
        <f>IF(AN527="","",AN527+ROW()/1000000)</f>
        <v>0</v>
      </c>
      <c r="AP527" s="17">
        <f>IF(Lists!$E527="","",Lists!$E527)</f>
        <v>0</v>
      </c>
      <c r="AQ527" s="23">
        <f>IF(AP527="","",COUNTIF(Performance!$G$5:$G$404,AP527))</f>
        <v>0</v>
      </c>
      <c r="AR527" s="23">
        <f>IF(AP527="","",SUMIFS(Performance!$O$5:$O$404,Performance!$G$5:$G$404,AP527))</f>
        <v>0</v>
      </c>
      <c r="AS527" s="23">
        <f>IF(AP527="","",SUMIFS(Performance!$Z$5:$Z$404,Performance!$G$5:$G$404,AP527))</f>
        <v>0</v>
      </c>
      <c r="AT527" s="24">
        <f>IF(OR(AR527="",AR527=0),"",AS527/AR527)</f>
        <v>0</v>
      </c>
      <c r="AU527" s="32">
        <f>IF(AQ527=0,"",IF(AT527="","",AT527+ROW()/1000000))</f>
        <v>0</v>
      </c>
      <c r="AV527" s="17">
        <f>IF(ROW()-4&gt;7,"",TEXT(DATE(2024,1,ROW()-4),"ddd"))</f>
        <v>0</v>
      </c>
      <c r="AW527" s="23">
        <f>IF(AV527="","",COUNTIF(Performance!$N$5:$N$404,AV527))</f>
        <v>0</v>
      </c>
      <c r="AX527" s="23">
        <f>IF(AV527="","",SUMIFS(Performance!$O$5:$O$404,Performance!$N$5:$N$404,AV527))</f>
        <v>0</v>
      </c>
      <c r="AY527" s="23">
        <f>IF(AV527="","",SUMIFS(Performance!$Z$5:$Z$404,Performance!$N$5:$N$404,AV527))</f>
        <v>0</v>
      </c>
      <c r="AZ527" s="24">
        <f>IF(OR(AX527="",AX527=0),"",AY527/AX527)</f>
        <v>0</v>
      </c>
      <c r="BA527" s="32">
        <f>IF(AW527=0,"",IF(AZ527="","",AZ527+ROW()/1000000))</f>
        <v>0</v>
      </c>
      <c r="BB527" s="17">
        <f>IF(Lists!$AL527="","",Lists!$AL527)</f>
        <v>0</v>
      </c>
      <c r="BC527" s="23">
        <f>IF(BB527="","",COUNTIF(Performance!$M$5:$M$404,BB527))</f>
        <v>0</v>
      </c>
      <c r="BD527" s="23">
        <f>IF(BB527="","",SUMIFS(Performance!$O$5:$O$404,Performance!$M$5:$M$404,BB527))</f>
        <v>0</v>
      </c>
      <c r="BE527" s="23">
        <f>IF(BB527="","",SUMIFS(Performance!$Z$5:$Z$404,Performance!$M$5:$M$404,BB527))</f>
        <v>0</v>
      </c>
      <c r="BF527" s="24">
        <f>IF(OR(BD527="",BD527=0),"",BE527/BD527)</f>
        <v>0</v>
      </c>
      <c r="BG527" s="32">
        <f>IF(BC527=0,"",IF(BF527="","",BF527+ROW()/1000000))</f>
        <v>0</v>
      </c>
      <c r="BH527" s="17">
        <f>IF(Performance!$C$527="","",Performance!$C$527)</f>
        <v>0</v>
      </c>
      <c r="BI527" s="17">
        <f>IF(Performance!$F$527="","",Performance!$F$527)</f>
        <v>0</v>
      </c>
      <c r="BJ527" s="17">
        <f>IF(Performance!$H$527="","",Performance!$H$527)</f>
        <v>0</v>
      </c>
      <c r="BK527" s="16">
        <f>IF(Performance!$D$527="","",Performance!$D$527)</f>
        <v>0</v>
      </c>
      <c r="BL527" s="17">
        <f>IF(Performance!$E$527="","",Performance!$E$527)</f>
        <v>0</v>
      </c>
      <c r="BM527" s="23">
        <f>IF(Performance!$O$527="","",Performance!$O$527)</f>
        <v>0</v>
      </c>
      <c r="BN527" s="24">
        <f>IF(Performance!$AA$527="","",Performance!$AA$527)</f>
        <v>0</v>
      </c>
      <c r="BO527" s="32">
        <f>IF(BH527="","",IF(BK527="","",IF(OR(BK527&lt;DashStart,BK527&gt;DashEnd),"",IF(BN527="","",BN527+ROW()/1000000))))</f>
        <v>0</v>
      </c>
      <c r="BP527" s="32">
        <f>IF(BM527="","",IF(BK527="","",IF(OR(BK527&lt;DashStart,BK527&gt;DashEnd),"",BM527+ROW()/1000000)))</f>
        <v>0</v>
      </c>
      <c r="BQ527" s="32">
        <f>IF(BH527="","",IF(BK527="","",IF(YEAR(BK527)&lt;&gt;PlanYear,"",IF(BN527="","",BN527+ROW()/1000000))))</f>
        <v>0</v>
      </c>
      <c r="BR527" s="32">
        <f>IF(BH527="","",IF(BK527="","",IF(OR(BK527&lt;RepFrom,BK527&gt;RepTo),"",IF(BN527="","",BN527+ROW()/1000000))))</f>
        <v>0</v>
      </c>
      <c r="BS527" s="32">
        <f>IF(BM527="","",IF(BK527="","",IF(YEAR(BK527)&lt;&gt;PlanYear,"",BM527+ROW()/1000000)))</f>
        <v>0</v>
      </c>
      <c r="BT527" s="17">
        <f>IF(Lists!$F527="","",Lists!$F527)</f>
        <v>0</v>
      </c>
      <c r="BU527" s="23">
        <f>IF(BT527="","",COUNTIF('Content Calendar'!$X$5:$X$604,BT527))</f>
        <v>0</v>
      </c>
      <c r="BV527" s="23">
        <f>IF(BT527="","",COUNTIFS('Content Calendar'!$X$5:$X$604,BT527,'Content Calendar'!$B$5:$B$604,"&gt;="&amp;DashStart,'Content Calendar'!$B$5:$B$604,"&lt;="&amp;DashEnd))</f>
        <v>0</v>
      </c>
      <c r="BW527" s="17">
        <f>IF(Team!$B$527="","",Team!$B$527)</f>
        <v>0</v>
      </c>
      <c r="BX527" s="23">
        <f>IF(BW527="","",COUNTIF('Content Calendar'!$W$5:$W$604,BW527))</f>
        <v>0</v>
      </c>
      <c r="BY527" s="23">
        <f>IF(BW527="","",COUNTIFS('Content Calendar'!$W$5:$W$604,BW527,'Content Calendar'!$X$5:$X$604,"&lt;&gt;Published"))</f>
        <v>0</v>
      </c>
      <c r="BZ527" s="23">
        <f>IF(BW527="","",COUNTIFS(Tasks!$C$5:$C$64,BW527,Tasks!$G$5:$G$64,"&lt;&gt;Complete"))</f>
        <v>0</v>
      </c>
      <c r="CA527" s="17">
        <f>IF(Campaigns!$B$527="","",Campaigns!$B$527)</f>
        <v>0</v>
      </c>
      <c r="CB527" s="25">
        <f>IF(Campaigns!$T$527="","",Campaigns!$T$527)</f>
        <v>0</v>
      </c>
      <c r="CC527" s="25">
        <f>IF(Campaigns!$Q$527="","",Campaigns!$Q$527)</f>
        <v>0</v>
      </c>
      <c r="CD527" s="23">
        <f>IF(Campaigns!$Y$527="","",Campaigns!$Y$527)</f>
        <v>0</v>
      </c>
      <c r="CE527" s="32">
        <f>IF(CA527="","",IF(N(CB527)&lt;=0,"",N(CB527)+ROW()/1000000))</f>
        <v>0</v>
      </c>
      <c r="CF527" s="17">
        <f>IF(Accounts!$C$527="","",Accounts!$C$527)</f>
        <v>0</v>
      </c>
      <c r="CG527" s="17">
        <f>IF(Accounts!$B$527="","",Accounts!$B$527)</f>
        <v>0</v>
      </c>
      <c r="CH527" s="23">
        <f>IF(Accounts!$J$527="","",Accounts!$J$527)</f>
        <v>0</v>
      </c>
      <c r="CI527" s="23">
        <f>IF(CF527="","",SUMIFS(Analytics!$X$5:$X$154,Analytics!$E$5:$E$154,CF527,Analytics!$B$5:$B$154,"&gt;="&amp;DashStart,Analytics!$B$5:$B$154,"&lt;="&amp;DashEnd))</f>
        <v>0</v>
      </c>
      <c r="CJ527" s="32">
        <f>IF(CH527="","",IF(CH527=0,"",CH527+ROW()/1000000))</f>
        <v>0</v>
      </c>
    </row>
    <row r="528" spans="1:88">
      <c r="A528" s="16">
        <f>IF(ROW()-4&gt;12,"",DATE(PlanYear,ROW()-4,1))</f>
        <v>0</v>
      </c>
      <c r="B528" s="16">
        <f>IF(A528="","",EOMONTH(A528,0))</f>
        <v>0</v>
      </c>
      <c r="C528" s="17">
        <f>IF(A528="","",TEXT(A528,"yyyy-mm"))</f>
        <v>0</v>
      </c>
      <c r="D528" s="17">
        <f>IF(A528="","",TEXT(A528,"mmm"))</f>
        <v>0</v>
      </c>
      <c r="E528" s="23">
        <f>IF(C528="","",COUNTIFS('Content Calendar'!$D$5:$D$604,C528))</f>
        <v>0</v>
      </c>
      <c r="F528" s="23">
        <f>IF(C528="","",COUNTIFS('Content Calendar'!$D$5:$D$604,C528,'Content Calendar'!$X$5:$X$604,"Published"))</f>
        <v>0</v>
      </c>
      <c r="G528" s="23">
        <f>IF(C528="","",SUMIFS(Analytics!$J$5:$J$154,Analytics!$C$5:$C$154,C528))</f>
        <v>0</v>
      </c>
      <c r="H528" s="23">
        <f>IF(C528="","",SUMIFS(Analytics!$K$5:$K$154,Analytics!$C$5:$C$154,C528))</f>
        <v>0</v>
      </c>
      <c r="I528" s="23">
        <f>IF(C528="","",SUMIFS(Analytics!$L$5:$L$154,Analytics!$C$5:$C$154,C528))</f>
        <v>0</v>
      </c>
      <c r="J528" s="24">
        <f>IF(OR(G528="",G528=0),"",I528/G528)</f>
        <v>0</v>
      </c>
      <c r="K528" s="23">
        <f>IF(C528="","",SUMIFS(Analytics!$G$5:$G$154,Analytics!$C$5:$C$154,C528))</f>
        <v>0</v>
      </c>
      <c r="L528" s="23">
        <f>IF(C528="","",SUMIFS(Analytics!$X$5:$X$154,Analytics!$C$5:$C$154,C528))</f>
        <v>0</v>
      </c>
      <c r="M528" s="23">
        <f>IF(C528="","",SUMIFS(Analytics!$R$5:$R$154,Analytics!$C$5:$C$154,C528))</f>
        <v>0</v>
      </c>
      <c r="N528" s="23">
        <f>IF(C528="","",SUMIFS(Analytics!$S$5:$S$154,Analytics!$C$5:$C$154,C528))</f>
        <v>0</v>
      </c>
      <c r="O528" s="23">
        <f>IF(C528="","",SUMIFS(Analytics!$T$5:$T$154,Analytics!$C$5:$C$154,C528))</f>
        <v>0</v>
      </c>
      <c r="P528" s="25">
        <f>IF(C528="","",SUMIFS(Analytics!$U$5:$U$154,Analytics!$C$5:$C$154,C528))</f>
        <v>0</v>
      </c>
      <c r="Q528" s="25">
        <f>IF(C528="","",SUMIFS(Budget!$H$5:$H$64,Budget!$C$5:$C$64,C528))</f>
        <v>0</v>
      </c>
      <c r="R528" s="25">
        <f>IF(C528="","",P528-Q528)</f>
        <v>0</v>
      </c>
      <c r="S528" s="23">
        <f>IF(C528="","",MonthlyPostTarget)</f>
        <v>0</v>
      </c>
      <c r="T528" s="17">
        <f>IF(Lists!$C528="","",Lists!$C528)</f>
        <v>0</v>
      </c>
      <c r="U528" s="23">
        <f>IF(T528="","",COUNTIFS('Content Calendar'!$G$5:$G$604,T528,'Content Calendar'!$B$5:$B$604,"&gt;="&amp;DashStart,'Content Calendar'!$B$5:$B$604,"&lt;="&amp;DashEnd))</f>
        <v>0</v>
      </c>
      <c r="V528" s="23">
        <f>IF(T528="","",COUNTIFS('Content Calendar'!$G$5:$G$604,T528,'Content Calendar'!$X$5:$X$604,"Published",'Content Calendar'!$B$5:$B$604,"&gt;="&amp;DashStart,'Content Calendar'!$B$5:$B$604,"&lt;="&amp;DashEnd))</f>
        <v>0</v>
      </c>
      <c r="W528" s="23">
        <f>IF(T528="","",SUMIFS(Analytics!$J$5:$J$154,Analytics!$D$5:$D$154,T528,Analytics!$B$5:$B$154,"&gt;="&amp;DashStart,Analytics!$B$5:$B$154,"&lt;="&amp;DashEnd))</f>
        <v>0</v>
      </c>
      <c r="X528" s="23">
        <f>IF(T528="","",SUMIFS(Analytics!$L$5:$L$154,Analytics!$D$5:$D$154,T528,Analytics!$B$5:$B$154,"&gt;="&amp;DashStart,Analytics!$B$5:$B$154,"&lt;="&amp;DashEnd))</f>
        <v>0</v>
      </c>
      <c r="Y528" s="24">
        <f>IF(OR(W528="",W528=0),"",X528/W528)</f>
        <v>0</v>
      </c>
      <c r="Z528" s="23">
        <f>IF(T528="","",SUMIFS(Analytics!$G$5:$G$154,Analytics!$D$5:$D$154,T528,Analytics!$B$5:$B$154,"&gt;="&amp;DashStart,Analytics!$B$5:$B$154,"&lt;="&amp;DashEnd))</f>
        <v>0</v>
      </c>
      <c r="AA528" s="23">
        <f>IF(T528="","",SUMIFS(Analytics!$X$5:$X$154,Analytics!$D$5:$D$154,T528,Analytics!$B$5:$B$154,"&gt;="&amp;DashStart,Analytics!$B$5:$B$154,"&lt;="&amp;DashEnd))</f>
        <v>0</v>
      </c>
      <c r="AB528" s="23">
        <f>IF(T528="","",SUMIFS(Analytics!$R$5:$R$154,Analytics!$D$5:$D$154,T528,Analytics!$B$5:$B$154,"&gt;="&amp;DashStart,Analytics!$B$5:$B$154,"&lt;="&amp;DashEnd))</f>
        <v>0</v>
      </c>
      <c r="AC528" s="25">
        <f>IF(T528="","",SUMIFS(Analytics!$U$5:$U$154,Analytics!$D$5:$D$154,T528,Analytics!$B$5:$B$154,"&gt;="&amp;DashStart,Analytics!$B$5:$B$154,"&lt;="&amp;DashEnd))</f>
        <v>0</v>
      </c>
      <c r="AD528" s="23">
        <f>IF(T528="","",COUNTIFS('Content Calendar'!$G$5:$G$604,T528,'Content Calendar'!$B$5:$B$604,"&gt;="&amp;DATE(PlanYear,1,1),'Content Calendar'!$B$5:$B$604,"&lt;="&amp;DATE(PlanYear,12,31)))</f>
        <v>0</v>
      </c>
      <c r="AE528" s="23">
        <f>IF(T528="","",SUMIFS(Analytics!$J$5:$J$154,Analytics!$D$5:$D$154,T528))</f>
        <v>0</v>
      </c>
      <c r="AF528" s="23">
        <f>IF(T528="","",SUMIFS(Analytics!$L$5:$L$154,Analytics!$D$5:$D$154,T528))</f>
        <v>0</v>
      </c>
      <c r="AG528" s="24">
        <f>IF(OR(AE528="",AE528=0),"",AF528/AE528)</f>
        <v>0</v>
      </c>
      <c r="AH528" s="23">
        <f>IF(T528="","",SUMIFS(Analytics!$X$5:$X$154,Analytics!$D$5:$D$154,T528))</f>
        <v>0</v>
      </c>
      <c r="AI528" s="32">
        <f>IF(T528="","",IF(AE528=0,"",AE528+ROW()/1000000))</f>
        <v>0</v>
      </c>
      <c r="AJ528" s="17">
        <f>IF('Content Pillars'!$B$528="","",'Content Pillars'!$B$528)</f>
        <v>0</v>
      </c>
      <c r="AK528" s="23">
        <f>IF(AJ528="","",COUNTIFS('Content Calendar'!$J$5:$J$604,AJ528,'Content Calendar'!$B$5:$B$604,"&gt;="&amp;DATE(PlanYear,1,1),'Content Calendar'!$B$5:$B$604,"&lt;="&amp;DATE(PlanYear,12,31)))</f>
        <v>0</v>
      </c>
      <c r="AL528" s="23">
        <f>IF(AJ528="","",SUMIFS(Performance!$O$5:$O$404,Performance!$H$5:$H$404,AJ528))</f>
        <v>0</v>
      </c>
      <c r="AM528" s="23">
        <f>IF(AJ528="","",SUMIFS(Performance!$Z$5:$Z$404,Performance!$H$5:$H$404,AJ528))</f>
        <v>0</v>
      </c>
      <c r="AN528" s="24">
        <f>IF(OR(AL528="",AL528=0),"",AM528/AL528)</f>
        <v>0</v>
      </c>
      <c r="AO528" s="32">
        <f>IF(AN528="","",AN528+ROW()/1000000)</f>
        <v>0</v>
      </c>
      <c r="AP528" s="17">
        <f>IF(Lists!$E528="","",Lists!$E528)</f>
        <v>0</v>
      </c>
      <c r="AQ528" s="23">
        <f>IF(AP528="","",COUNTIF(Performance!$G$5:$G$404,AP528))</f>
        <v>0</v>
      </c>
      <c r="AR528" s="23">
        <f>IF(AP528="","",SUMIFS(Performance!$O$5:$O$404,Performance!$G$5:$G$404,AP528))</f>
        <v>0</v>
      </c>
      <c r="AS528" s="23">
        <f>IF(AP528="","",SUMIFS(Performance!$Z$5:$Z$404,Performance!$G$5:$G$404,AP528))</f>
        <v>0</v>
      </c>
      <c r="AT528" s="24">
        <f>IF(OR(AR528="",AR528=0),"",AS528/AR528)</f>
        <v>0</v>
      </c>
      <c r="AU528" s="32">
        <f>IF(AQ528=0,"",IF(AT528="","",AT528+ROW()/1000000))</f>
        <v>0</v>
      </c>
      <c r="AV528" s="17">
        <f>IF(ROW()-4&gt;7,"",TEXT(DATE(2024,1,ROW()-4),"ddd"))</f>
        <v>0</v>
      </c>
      <c r="AW528" s="23">
        <f>IF(AV528="","",COUNTIF(Performance!$N$5:$N$404,AV528))</f>
        <v>0</v>
      </c>
      <c r="AX528" s="23">
        <f>IF(AV528="","",SUMIFS(Performance!$O$5:$O$404,Performance!$N$5:$N$404,AV528))</f>
        <v>0</v>
      </c>
      <c r="AY528" s="23">
        <f>IF(AV528="","",SUMIFS(Performance!$Z$5:$Z$404,Performance!$N$5:$N$404,AV528))</f>
        <v>0</v>
      </c>
      <c r="AZ528" s="24">
        <f>IF(OR(AX528="",AX528=0),"",AY528/AX528)</f>
        <v>0</v>
      </c>
      <c r="BA528" s="32">
        <f>IF(AW528=0,"",IF(AZ528="","",AZ528+ROW()/1000000))</f>
        <v>0</v>
      </c>
      <c r="BB528" s="17">
        <f>IF(Lists!$AL528="","",Lists!$AL528)</f>
        <v>0</v>
      </c>
      <c r="BC528" s="23">
        <f>IF(BB528="","",COUNTIF(Performance!$M$5:$M$404,BB528))</f>
        <v>0</v>
      </c>
      <c r="BD528" s="23">
        <f>IF(BB528="","",SUMIFS(Performance!$O$5:$O$404,Performance!$M$5:$M$404,BB528))</f>
        <v>0</v>
      </c>
      <c r="BE528" s="23">
        <f>IF(BB528="","",SUMIFS(Performance!$Z$5:$Z$404,Performance!$M$5:$M$404,BB528))</f>
        <v>0</v>
      </c>
      <c r="BF528" s="24">
        <f>IF(OR(BD528="",BD528=0),"",BE528/BD528)</f>
        <v>0</v>
      </c>
      <c r="BG528" s="32">
        <f>IF(BC528=0,"",IF(BF528="","",BF528+ROW()/1000000))</f>
        <v>0</v>
      </c>
      <c r="BH528" s="17">
        <f>IF(Performance!$C$528="","",Performance!$C$528)</f>
        <v>0</v>
      </c>
      <c r="BI528" s="17">
        <f>IF(Performance!$F$528="","",Performance!$F$528)</f>
        <v>0</v>
      </c>
      <c r="BJ528" s="17">
        <f>IF(Performance!$H$528="","",Performance!$H$528)</f>
        <v>0</v>
      </c>
      <c r="BK528" s="16">
        <f>IF(Performance!$D$528="","",Performance!$D$528)</f>
        <v>0</v>
      </c>
      <c r="BL528" s="17">
        <f>IF(Performance!$E$528="","",Performance!$E$528)</f>
        <v>0</v>
      </c>
      <c r="BM528" s="23">
        <f>IF(Performance!$O$528="","",Performance!$O$528)</f>
        <v>0</v>
      </c>
      <c r="BN528" s="24">
        <f>IF(Performance!$AA$528="","",Performance!$AA$528)</f>
        <v>0</v>
      </c>
      <c r="BO528" s="32">
        <f>IF(BH528="","",IF(BK528="","",IF(OR(BK528&lt;DashStart,BK528&gt;DashEnd),"",IF(BN528="","",BN528+ROW()/1000000))))</f>
        <v>0</v>
      </c>
      <c r="BP528" s="32">
        <f>IF(BM528="","",IF(BK528="","",IF(OR(BK528&lt;DashStart,BK528&gt;DashEnd),"",BM528+ROW()/1000000)))</f>
        <v>0</v>
      </c>
      <c r="BQ528" s="32">
        <f>IF(BH528="","",IF(BK528="","",IF(YEAR(BK528)&lt;&gt;PlanYear,"",IF(BN528="","",BN528+ROW()/1000000))))</f>
        <v>0</v>
      </c>
      <c r="BR528" s="32">
        <f>IF(BH528="","",IF(BK528="","",IF(OR(BK528&lt;RepFrom,BK528&gt;RepTo),"",IF(BN528="","",BN528+ROW()/1000000))))</f>
        <v>0</v>
      </c>
      <c r="BS528" s="32">
        <f>IF(BM528="","",IF(BK528="","",IF(YEAR(BK528)&lt;&gt;PlanYear,"",BM528+ROW()/1000000)))</f>
        <v>0</v>
      </c>
      <c r="BT528" s="17">
        <f>IF(Lists!$F528="","",Lists!$F528)</f>
        <v>0</v>
      </c>
      <c r="BU528" s="23">
        <f>IF(BT528="","",COUNTIF('Content Calendar'!$X$5:$X$604,BT528))</f>
        <v>0</v>
      </c>
      <c r="BV528" s="23">
        <f>IF(BT528="","",COUNTIFS('Content Calendar'!$X$5:$X$604,BT528,'Content Calendar'!$B$5:$B$604,"&gt;="&amp;DashStart,'Content Calendar'!$B$5:$B$604,"&lt;="&amp;DashEnd))</f>
        <v>0</v>
      </c>
      <c r="BW528" s="17">
        <f>IF(Team!$B$528="","",Team!$B$528)</f>
        <v>0</v>
      </c>
      <c r="BX528" s="23">
        <f>IF(BW528="","",COUNTIF('Content Calendar'!$W$5:$W$604,BW528))</f>
        <v>0</v>
      </c>
      <c r="BY528" s="23">
        <f>IF(BW528="","",COUNTIFS('Content Calendar'!$W$5:$W$604,BW528,'Content Calendar'!$X$5:$X$604,"&lt;&gt;Published"))</f>
        <v>0</v>
      </c>
      <c r="BZ528" s="23">
        <f>IF(BW528="","",COUNTIFS(Tasks!$C$5:$C$64,BW528,Tasks!$G$5:$G$64,"&lt;&gt;Complete"))</f>
        <v>0</v>
      </c>
      <c r="CA528" s="17">
        <f>IF(Campaigns!$B$528="","",Campaigns!$B$528)</f>
        <v>0</v>
      </c>
      <c r="CB528" s="25">
        <f>IF(Campaigns!$T$528="","",Campaigns!$T$528)</f>
        <v>0</v>
      </c>
      <c r="CC528" s="25">
        <f>IF(Campaigns!$Q$528="","",Campaigns!$Q$528)</f>
        <v>0</v>
      </c>
      <c r="CD528" s="23">
        <f>IF(Campaigns!$Y$528="","",Campaigns!$Y$528)</f>
        <v>0</v>
      </c>
      <c r="CE528" s="32">
        <f>IF(CA528="","",IF(N(CB528)&lt;=0,"",N(CB528)+ROW()/1000000))</f>
        <v>0</v>
      </c>
      <c r="CF528" s="17">
        <f>IF(Accounts!$C$528="","",Accounts!$C$528)</f>
        <v>0</v>
      </c>
      <c r="CG528" s="17">
        <f>IF(Accounts!$B$528="","",Accounts!$B$528)</f>
        <v>0</v>
      </c>
      <c r="CH528" s="23">
        <f>IF(Accounts!$J$528="","",Accounts!$J$528)</f>
        <v>0</v>
      </c>
      <c r="CI528" s="23">
        <f>IF(CF528="","",SUMIFS(Analytics!$X$5:$X$154,Analytics!$E$5:$E$154,CF528,Analytics!$B$5:$B$154,"&gt;="&amp;DashStart,Analytics!$B$5:$B$154,"&lt;="&amp;DashEnd))</f>
        <v>0</v>
      </c>
      <c r="CJ528" s="32">
        <f>IF(CH528="","",IF(CH528=0,"",CH528+ROW()/1000000))</f>
        <v>0</v>
      </c>
    </row>
    <row r="529" spans="1:88">
      <c r="A529" s="16">
        <f>IF(ROW()-4&gt;12,"",DATE(PlanYear,ROW()-4,1))</f>
        <v>0</v>
      </c>
      <c r="B529" s="16">
        <f>IF(A529="","",EOMONTH(A529,0))</f>
        <v>0</v>
      </c>
      <c r="C529" s="17">
        <f>IF(A529="","",TEXT(A529,"yyyy-mm"))</f>
        <v>0</v>
      </c>
      <c r="D529" s="17">
        <f>IF(A529="","",TEXT(A529,"mmm"))</f>
        <v>0</v>
      </c>
      <c r="E529" s="23">
        <f>IF(C529="","",COUNTIFS('Content Calendar'!$D$5:$D$604,C529))</f>
        <v>0</v>
      </c>
      <c r="F529" s="23">
        <f>IF(C529="","",COUNTIFS('Content Calendar'!$D$5:$D$604,C529,'Content Calendar'!$X$5:$X$604,"Published"))</f>
        <v>0</v>
      </c>
      <c r="G529" s="23">
        <f>IF(C529="","",SUMIFS(Analytics!$J$5:$J$154,Analytics!$C$5:$C$154,C529))</f>
        <v>0</v>
      </c>
      <c r="H529" s="23">
        <f>IF(C529="","",SUMIFS(Analytics!$K$5:$K$154,Analytics!$C$5:$C$154,C529))</f>
        <v>0</v>
      </c>
      <c r="I529" s="23">
        <f>IF(C529="","",SUMIFS(Analytics!$L$5:$L$154,Analytics!$C$5:$C$154,C529))</f>
        <v>0</v>
      </c>
      <c r="J529" s="24">
        <f>IF(OR(G529="",G529=0),"",I529/G529)</f>
        <v>0</v>
      </c>
      <c r="K529" s="23">
        <f>IF(C529="","",SUMIFS(Analytics!$G$5:$G$154,Analytics!$C$5:$C$154,C529))</f>
        <v>0</v>
      </c>
      <c r="L529" s="23">
        <f>IF(C529="","",SUMIFS(Analytics!$X$5:$X$154,Analytics!$C$5:$C$154,C529))</f>
        <v>0</v>
      </c>
      <c r="M529" s="23">
        <f>IF(C529="","",SUMIFS(Analytics!$R$5:$R$154,Analytics!$C$5:$C$154,C529))</f>
        <v>0</v>
      </c>
      <c r="N529" s="23">
        <f>IF(C529="","",SUMIFS(Analytics!$S$5:$S$154,Analytics!$C$5:$C$154,C529))</f>
        <v>0</v>
      </c>
      <c r="O529" s="23">
        <f>IF(C529="","",SUMIFS(Analytics!$T$5:$T$154,Analytics!$C$5:$C$154,C529))</f>
        <v>0</v>
      </c>
      <c r="P529" s="25">
        <f>IF(C529="","",SUMIFS(Analytics!$U$5:$U$154,Analytics!$C$5:$C$154,C529))</f>
        <v>0</v>
      </c>
      <c r="Q529" s="25">
        <f>IF(C529="","",SUMIFS(Budget!$H$5:$H$64,Budget!$C$5:$C$64,C529))</f>
        <v>0</v>
      </c>
      <c r="R529" s="25">
        <f>IF(C529="","",P529-Q529)</f>
        <v>0</v>
      </c>
      <c r="S529" s="23">
        <f>IF(C529="","",MonthlyPostTarget)</f>
        <v>0</v>
      </c>
      <c r="T529" s="17">
        <f>IF(Lists!$C529="","",Lists!$C529)</f>
        <v>0</v>
      </c>
      <c r="U529" s="23">
        <f>IF(T529="","",COUNTIFS('Content Calendar'!$G$5:$G$604,T529,'Content Calendar'!$B$5:$B$604,"&gt;="&amp;DashStart,'Content Calendar'!$B$5:$B$604,"&lt;="&amp;DashEnd))</f>
        <v>0</v>
      </c>
      <c r="V529" s="23">
        <f>IF(T529="","",COUNTIFS('Content Calendar'!$G$5:$G$604,T529,'Content Calendar'!$X$5:$X$604,"Published",'Content Calendar'!$B$5:$B$604,"&gt;="&amp;DashStart,'Content Calendar'!$B$5:$B$604,"&lt;="&amp;DashEnd))</f>
        <v>0</v>
      </c>
      <c r="W529" s="23">
        <f>IF(T529="","",SUMIFS(Analytics!$J$5:$J$154,Analytics!$D$5:$D$154,T529,Analytics!$B$5:$B$154,"&gt;="&amp;DashStart,Analytics!$B$5:$B$154,"&lt;="&amp;DashEnd))</f>
        <v>0</v>
      </c>
      <c r="X529" s="23">
        <f>IF(T529="","",SUMIFS(Analytics!$L$5:$L$154,Analytics!$D$5:$D$154,T529,Analytics!$B$5:$B$154,"&gt;="&amp;DashStart,Analytics!$B$5:$B$154,"&lt;="&amp;DashEnd))</f>
        <v>0</v>
      </c>
      <c r="Y529" s="24">
        <f>IF(OR(W529="",W529=0),"",X529/W529)</f>
        <v>0</v>
      </c>
      <c r="Z529" s="23">
        <f>IF(T529="","",SUMIFS(Analytics!$G$5:$G$154,Analytics!$D$5:$D$154,T529,Analytics!$B$5:$B$154,"&gt;="&amp;DashStart,Analytics!$B$5:$B$154,"&lt;="&amp;DashEnd))</f>
        <v>0</v>
      </c>
      <c r="AA529" s="23">
        <f>IF(T529="","",SUMIFS(Analytics!$X$5:$X$154,Analytics!$D$5:$D$154,T529,Analytics!$B$5:$B$154,"&gt;="&amp;DashStart,Analytics!$B$5:$B$154,"&lt;="&amp;DashEnd))</f>
        <v>0</v>
      </c>
      <c r="AB529" s="23">
        <f>IF(T529="","",SUMIFS(Analytics!$R$5:$R$154,Analytics!$D$5:$D$154,T529,Analytics!$B$5:$B$154,"&gt;="&amp;DashStart,Analytics!$B$5:$B$154,"&lt;="&amp;DashEnd))</f>
        <v>0</v>
      </c>
      <c r="AC529" s="25">
        <f>IF(T529="","",SUMIFS(Analytics!$U$5:$U$154,Analytics!$D$5:$D$154,T529,Analytics!$B$5:$B$154,"&gt;="&amp;DashStart,Analytics!$B$5:$B$154,"&lt;="&amp;DashEnd))</f>
        <v>0</v>
      </c>
      <c r="AD529" s="23">
        <f>IF(T529="","",COUNTIFS('Content Calendar'!$G$5:$G$604,T529,'Content Calendar'!$B$5:$B$604,"&gt;="&amp;DATE(PlanYear,1,1),'Content Calendar'!$B$5:$B$604,"&lt;="&amp;DATE(PlanYear,12,31)))</f>
        <v>0</v>
      </c>
      <c r="AE529" s="23">
        <f>IF(T529="","",SUMIFS(Analytics!$J$5:$J$154,Analytics!$D$5:$D$154,T529))</f>
        <v>0</v>
      </c>
      <c r="AF529" s="23">
        <f>IF(T529="","",SUMIFS(Analytics!$L$5:$L$154,Analytics!$D$5:$D$154,T529))</f>
        <v>0</v>
      </c>
      <c r="AG529" s="24">
        <f>IF(OR(AE529="",AE529=0),"",AF529/AE529)</f>
        <v>0</v>
      </c>
      <c r="AH529" s="23">
        <f>IF(T529="","",SUMIFS(Analytics!$X$5:$X$154,Analytics!$D$5:$D$154,T529))</f>
        <v>0</v>
      </c>
      <c r="AI529" s="32">
        <f>IF(T529="","",IF(AE529=0,"",AE529+ROW()/1000000))</f>
        <v>0</v>
      </c>
      <c r="AJ529" s="17">
        <f>IF('Content Pillars'!$B$529="","",'Content Pillars'!$B$529)</f>
        <v>0</v>
      </c>
      <c r="AK529" s="23">
        <f>IF(AJ529="","",COUNTIFS('Content Calendar'!$J$5:$J$604,AJ529,'Content Calendar'!$B$5:$B$604,"&gt;="&amp;DATE(PlanYear,1,1),'Content Calendar'!$B$5:$B$604,"&lt;="&amp;DATE(PlanYear,12,31)))</f>
        <v>0</v>
      </c>
      <c r="AL529" s="23">
        <f>IF(AJ529="","",SUMIFS(Performance!$O$5:$O$404,Performance!$H$5:$H$404,AJ529))</f>
        <v>0</v>
      </c>
      <c r="AM529" s="23">
        <f>IF(AJ529="","",SUMIFS(Performance!$Z$5:$Z$404,Performance!$H$5:$H$404,AJ529))</f>
        <v>0</v>
      </c>
      <c r="AN529" s="24">
        <f>IF(OR(AL529="",AL529=0),"",AM529/AL529)</f>
        <v>0</v>
      </c>
      <c r="AO529" s="32">
        <f>IF(AN529="","",AN529+ROW()/1000000)</f>
        <v>0</v>
      </c>
      <c r="AP529" s="17">
        <f>IF(Lists!$E529="","",Lists!$E529)</f>
        <v>0</v>
      </c>
      <c r="AQ529" s="23">
        <f>IF(AP529="","",COUNTIF(Performance!$G$5:$G$404,AP529))</f>
        <v>0</v>
      </c>
      <c r="AR529" s="23">
        <f>IF(AP529="","",SUMIFS(Performance!$O$5:$O$404,Performance!$G$5:$G$404,AP529))</f>
        <v>0</v>
      </c>
      <c r="AS529" s="23">
        <f>IF(AP529="","",SUMIFS(Performance!$Z$5:$Z$404,Performance!$G$5:$G$404,AP529))</f>
        <v>0</v>
      </c>
      <c r="AT529" s="24">
        <f>IF(OR(AR529="",AR529=0),"",AS529/AR529)</f>
        <v>0</v>
      </c>
      <c r="AU529" s="32">
        <f>IF(AQ529=0,"",IF(AT529="","",AT529+ROW()/1000000))</f>
        <v>0</v>
      </c>
      <c r="AV529" s="17">
        <f>IF(ROW()-4&gt;7,"",TEXT(DATE(2024,1,ROW()-4),"ddd"))</f>
        <v>0</v>
      </c>
      <c r="AW529" s="23">
        <f>IF(AV529="","",COUNTIF(Performance!$N$5:$N$404,AV529))</f>
        <v>0</v>
      </c>
      <c r="AX529" s="23">
        <f>IF(AV529="","",SUMIFS(Performance!$O$5:$O$404,Performance!$N$5:$N$404,AV529))</f>
        <v>0</v>
      </c>
      <c r="AY529" s="23">
        <f>IF(AV529="","",SUMIFS(Performance!$Z$5:$Z$404,Performance!$N$5:$N$404,AV529))</f>
        <v>0</v>
      </c>
      <c r="AZ529" s="24">
        <f>IF(OR(AX529="",AX529=0),"",AY529/AX529)</f>
        <v>0</v>
      </c>
      <c r="BA529" s="32">
        <f>IF(AW529=0,"",IF(AZ529="","",AZ529+ROW()/1000000))</f>
        <v>0</v>
      </c>
      <c r="BB529" s="17">
        <f>IF(Lists!$AL529="","",Lists!$AL529)</f>
        <v>0</v>
      </c>
      <c r="BC529" s="23">
        <f>IF(BB529="","",COUNTIF(Performance!$M$5:$M$404,BB529))</f>
        <v>0</v>
      </c>
      <c r="BD529" s="23">
        <f>IF(BB529="","",SUMIFS(Performance!$O$5:$O$404,Performance!$M$5:$M$404,BB529))</f>
        <v>0</v>
      </c>
      <c r="BE529" s="23">
        <f>IF(BB529="","",SUMIFS(Performance!$Z$5:$Z$404,Performance!$M$5:$M$404,BB529))</f>
        <v>0</v>
      </c>
      <c r="BF529" s="24">
        <f>IF(OR(BD529="",BD529=0),"",BE529/BD529)</f>
        <v>0</v>
      </c>
      <c r="BG529" s="32">
        <f>IF(BC529=0,"",IF(BF529="","",BF529+ROW()/1000000))</f>
        <v>0</v>
      </c>
      <c r="BH529" s="17">
        <f>IF(Performance!$C$529="","",Performance!$C$529)</f>
        <v>0</v>
      </c>
      <c r="BI529" s="17">
        <f>IF(Performance!$F$529="","",Performance!$F$529)</f>
        <v>0</v>
      </c>
      <c r="BJ529" s="17">
        <f>IF(Performance!$H$529="","",Performance!$H$529)</f>
        <v>0</v>
      </c>
      <c r="BK529" s="16">
        <f>IF(Performance!$D$529="","",Performance!$D$529)</f>
        <v>0</v>
      </c>
      <c r="BL529" s="17">
        <f>IF(Performance!$E$529="","",Performance!$E$529)</f>
        <v>0</v>
      </c>
      <c r="BM529" s="23">
        <f>IF(Performance!$O$529="","",Performance!$O$529)</f>
        <v>0</v>
      </c>
      <c r="BN529" s="24">
        <f>IF(Performance!$AA$529="","",Performance!$AA$529)</f>
        <v>0</v>
      </c>
      <c r="BO529" s="32">
        <f>IF(BH529="","",IF(BK529="","",IF(OR(BK529&lt;DashStart,BK529&gt;DashEnd),"",IF(BN529="","",BN529+ROW()/1000000))))</f>
        <v>0</v>
      </c>
      <c r="BP529" s="32">
        <f>IF(BM529="","",IF(BK529="","",IF(OR(BK529&lt;DashStart,BK529&gt;DashEnd),"",BM529+ROW()/1000000)))</f>
        <v>0</v>
      </c>
      <c r="BQ529" s="32">
        <f>IF(BH529="","",IF(BK529="","",IF(YEAR(BK529)&lt;&gt;PlanYear,"",IF(BN529="","",BN529+ROW()/1000000))))</f>
        <v>0</v>
      </c>
      <c r="BR529" s="32">
        <f>IF(BH529="","",IF(BK529="","",IF(OR(BK529&lt;RepFrom,BK529&gt;RepTo),"",IF(BN529="","",BN529+ROW()/1000000))))</f>
        <v>0</v>
      </c>
      <c r="BS529" s="32">
        <f>IF(BM529="","",IF(BK529="","",IF(YEAR(BK529)&lt;&gt;PlanYear,"",BM529+ROW()/1000000)))</f>
        <v>0</v>
      </c>
      <c r="BT529" s="17">
        <f>IF(Lists!$F529="","",Lists!$F529)</f>
        <v>0</v>
      </c>
      <c r="BU529" s="23">
        <f>IF(BT529="","",COUNTIF('Content Calendar'!$X$5:$X$604,BT529))</f>
        <v>0</v>
      </c>
      <c r="BV529" s="23">
        <f>IF(BT529="","",COUNTIFS('Content Calendar'!$X$5:$X$604,BT529,'Content Calendar'!$B$5:$B$604,"&gt;="&amp;DashStart,'Content Calendar'!$B$5:$B$604,"&lt;="&amp;DashEnd))</f>
        <v>0</v>
      </c>
      <c r="BW529" s="17">
        <f>IF(Team!$B$529="","",Team!$B$529)</f>
        <v>0</v>
      </c>
      <c r="BX529" s="23">
        <f>IF(BW529="","",COUNTIF('Content Calendar'!$W$5:$W$604,BW529))</f>
        <v>0</v>
      </c>
      <c r="BY529" s="23">
        <f>IF(BW529="","",COUNTIFS('Content Calendar'!$W$5:$W$604,BW529,'Content Calendar'!$X$5:$X$604,"&lt;&gt;Published"))</f>
        <v>0</v>
      </c>
      <c r="BZ529" s="23">
        <f>IF(BW529="","",COUNTIFS(Tasks!$C$5:$C$64,BW529,Tasks!$G$5:$G$64,"&lt;&gt;Complete"))</f>
        <v>0</v>
      </c>
      <c r="CA529" s="17">
        <f>IF(Campaigns!$B$529="","",Campaigns!$B$529)</f>
        <v>0</v>
      </c>
      <c r="CB529" s="25">
        <f>IF(Campaigns!$T$529="","",Campaigns!$T$529)</f>
        <v>0</v>
      </c>
      <c r="CC529" s="25">
        <f>IF(Campaigns!$Q$529="","",Campaigns!$Q$529)</f>
        <v>0</v>
      </c>
      <c r="CD529" s="23">
        <f>IF(Campaigns!$Y$529="","",Campaigns!$Y$529)</f>
        <v>0</v>
      </c>
      <c r="CE529" s="32">
        <f>IF(CA529="","",IF(N(CB529)&lt;=0,"",N(CB529)+ROW()/1000000))</f>
        <v>0</v>
      </c>
      <c r="CF529" s="17">
        <f>IF(Accounts!$C$529="","",Accounts!$C$529)</f>
        <v>0</v>
      </c>
      <c r="CG529" s="17">
        <f>IF(Accounts!$B$529="","",Accounts!$B$529)</f>
        <v>0</v>
      </c>
      <c r="CH529" s="23">
        <f>IF(Accounts!$J$529="","",Accounts!$J$529)</f>
        <v>0</v>
      </c>
      <c r="CI529" s="23">
        <f>IF(CF529="","",SUMIFS(Analytics!$X$5:$X$154,Analytics!$E$5:$E$154,CF529,Analytics!$B$5:$B$154,"&gt;="&amp;DashStart,Analytics!$B$5:$B$154,"&lt;="&amp;DashEnd))</f>
        <v>0</v>
      </c>
      <c r="CJ529" s="32">
        <f>IF(CH529="","",IF(CH529=0,"",CH529+ROW()/1000000))</f>
        <v>0</v>
      </c>
    </row>
    <row r="530" spans="1:88">
      <c r="A530" s="16">
        <f>IF(ROW()-4&gt;12,"",DATE(PlanYear,ROW()-4,1))</f>
        <v>0</v>
      </c>
      <c r="B530" s="16">
        <f>IF(A530="","",EOMONTH(A530,0))</f>
        <v>0</v>
      </c>
      <c r="C530" s="17">
        <f>IF(A530="","",TEXT(A530,"yyyy-mm"))</f>
        <v>0</v>
      </c>
      <c r="D530" s="17">
        <f>IF(A530="","",TEXT(A530,"mmm"))</f>
        <v>0</v>
      </c>
      <c r="E530" s="23">
        <f>IF(C530="","",COUNTIFS('Content Calendar'!$D$5:$D$604,C530))</f>
        <v>0</v>
      </c>
      <c r="F530" s="23">
        <f>IF(C530="","",COUNTIFS('Content Calendar'!$D$5:$D$604,C530,'Content Calendar'!$X$5:$X$604,"Published"))</f>
        <v>0</v>
      </c>
      <c r="G530" s="23">
        <f>IF(C530="","",SUMIFS(Analytics!$J$5:$J$154,Analytics!$C$5:$C$154,C530))</f>
        <v>0</v>
      </c>
      <c r="H530" s="23">
        <f>IF(C530="","",SUMIFS(Analytics!$K$5:$K$154,Analytics!$C$5:$C$154,C530))</f>
        <v>0</v>
      </c>
      <c r="I530" s="23">
        <f>IF(C530="","",SUMIFS(Analytics!$L$5:$L$154,Analytics!$C$5:$C$154,C530))</f>
        <v>0</v>
      </c>
      <c r="J530" s="24">
        <f>IF(OR(G530="",G530=0),"",I530/G530)</f>
        <v>0</v>
      </c>
      <c r="K530" s="23">
        <f>IF(C530="","",SUMIFS(Analytics!$G$5:$G$154,Analytics!$C$5:$C$154,C530))</f>
        <v>0</v>
      </c>
      <c r="L530" s="23">
        <f>IF(C530="","",SUMIFS(Analytics!$X$5:$X$154,Analytics!$C$5:$C$154,C530))</f>
        <v>0</v>
      </c>
      <c r="M530" s="23">
        <f>IF(C530="","",SUMIFS(Analytics!$R$5:$R$154,Analytics!$C$5:$C$154,C530))</f>
        <v>0</v>
      </c>
      <c r="N530" s="23">
        <f>IF(C530="","",SUMIFS(Analytics!$S$5:$S$154,Analytics!$C$5:$C$154,C530))</f>
        <v>0</v>
      </c>
      <c r="O530" s="23">
        <f>IF(C530="","",SUMIFS(Analytics!$T$5:$T$154,Analytics!$C$5:$C$154,C530))</f>
        <v>0</v>
      </c>
      <c r="P530" s="25">
        <f>IF(C530="","",SUMIFS(Analytics!$U$5:$U$154,Analytics!$C$5:$C$154,C530))</f>
        <v>0</v>
      </c>
      <c r="Q530" s="25">
        <f>IF(C530="","",SUMIFS(Budget!$H$5:$H$64,Budget!$C$5:$C$64,C530))</f>
        <v>0</v>
      </c>
      <c r="R530" s="25">
        <f>IF(C530="","",P530-Q530)</f>
        <v>0</v>
      </c>
      <c r="S530" s="23">
        <f>IF(C530="","",MonthlyPostTarget)</f>
        <v>0</v>
      </c>
      <c r="T530" s="17">
        <f>IF(Lists!$C530="","",Lists!$C530)</f>
        <v>0</v>
      </c>
      <c r="U530" s="23">
        <f>IF(T530="","",COUNTIFS('Content Calendar'!$G$5:$G$604,T530,'Content Calendar'!$B$5:$B$604,"&gt;="&amp;DashStart,'Content Calendar'!$B$5:$B$604,"&lt;="&amp;DashEnd))</f>
        <v>0</v>
      </c>
      <c r="V530" s="23">
        <f>IF(T530="","",COUNTIFS('Content Calendar'!$G$5:$G$604,T530,'Content Calendar'!$X$5:$X$604,"Published",'Content Calendar'!$B$5:$B$604,"&gt;="&amp;DashStart,'Content Calendar'!$B$5:$B$604,"&lt;="&amp;DashEnd))</f>
        <v>0</v>
      </c>
      <c r="W530" s="23">
        <f>IF(T530="","",SUMIFS(Analytics!$J$5:$J$154,Analytics!$D$5:$D$154,T530,Analytics!$B$5:$B$154,"&gt;="&amp;DashStart,Analytics!$B$5:$B$154,"&lt;="&amp;DashEnd))</f>
        <v>0</v>
      </c>
      <c r="X530" s="23">
        <f>IF(T530="","",SUMIFS(Analytics!$L$5:$L$154,Analytics!$D$5:$D$154,T530,Analytics!$B$5:$B$154,"&gt;="&amp;DashStart,Analytics!$B$5:$B$154,"&lt;="&amp;DashEnd))</f>
        <v>0</v>
      </c>
      <c r="Y530" s="24">
        <f>IF(OR(W530="",W530=0),"",X530/W530)</f>
        <v>0</v>
      </c>
      <c r="Z530" s="23">
        <f>IF(T530="","",SUMIFS(Analytics!$G$5:$G$154,Analytics!$D$5:$D$154,T530,Analytics!$B$5:$B$154,"&gt;="&amp;DashStart,Analytics!$B$5:$B$154,"&lt;="&amp;DashEnd))</f>
        <v>0</v>
      </c>
      <c r="AA530" s="23">
        <f>IF(T530="","",SUMIFS(Analytics!$X$5:$X$154,Analytics!$D$5:$D$154,T530,Analytics!$B$5:$B$154,"&gt;="&amp;DashStart,Analytics!$B$5:$B$154,"&lt;="&amp;DashEnd))</f>
        <v>0</v>
      </c>
      <c r="AB530" s="23">
        <f>IF(T530="","",SUMIFS(Analytics!$R$5:$R$154,Analytics!$D$5:$D$154,T530,Analytics!$B$5:$B$154,"&gt;="&amp;DashStart,Analytics!$B$5:$B$154,"&lt;="&amp;DashEnd))</f>
        <v>0</v>
      </c>
      <c r="AC530" s="25">
        <f>IF(T530="","",SUMIFS(Analytics!$U$5:$U$154,Analytics!$D$5:$D$154,T530,Analytics!$B$5:$B$154,"&gt;="&amp;DashStart,Analytics!$B$5:$B$154,"&lt;="&amp;DashEnd))</f>
        <v>0</v>
      </c>
      <c r="AD530" s="23">
        <f>IF(T530="","",COUNTIFS('Content Calendar'!$G$5:$G$604,T530,'Content Calendar'!$B$5:$B$604,"&gt;="&amp;DATE(PlanYear,1,1),'Content Calendar'!$B$5:$B$604,"&lt;="&amp;DATE(PlanYear,12,31)))</f>
        <v>0</v>
      </c>
      <c r="AE530" s="23">
        <f>IF(T530="","",SUMIFS(Analytics!$J$5:$J$154,Analytics!$D$5:$D$154,T530))</f>
        <v>0</v>
      </c>
      <c r="AF530" s="23">
        <f>IF(T530="","",SUMIFS(Analytics!$L$5:$L$154,Analytics!$D$5:$D$154,T530))</f>
        <v>0</v>
      </c>
      <c r="AG530" s="24">
        <f>IF(OR(AE530="",AE530=0),"",AF530/AE530)</f>
        <v>0</v>
      </c>
      <c r="AH530" s="23">
        <f>IF(T530="","",SUMIFS(Analytics!$X$5:$X$154,Analytics!$D$5:$D$154,T530))</f>
        <v>0</v>
      </c>
      <c r="AI530" s="32">
        <f>IF(T530="","",IF(AE530=0,"",AE530+ROW()/1000000))</f>
        <v>0</v>
      </c>
      <c r="AJ530" s="17">
        <f>IF('Content Pillars'!$B$530="","",'Content Pillars'!$B$530)</f>
        <v>0</v>
      </c>
      <c r="AK530" s="23">
        <f>IF(AJ530="","",COUNTIFS('Content Calendar'!$J$5:$J$604,AJ530,'Content Calendar'!$B$5:$B$604,"&gt;="&amp;DATE(PlanYear,1,1),'Content Calendar'!$B$5:$B$604,"&lt;="&amp;DATE(PlanYear,12,31)))</f>
        <v>0</v>
      </c>
      <c r="AL530" s="23">
        <f>IF(AJ530="","",SUMIFS(Performance!$O$5:$O$404,Performance!$H$5:$H$404,AJ530))</f>
        <v>0</v>
      </c>
      <c r="AM530" s="23">
        <f>IF(AJ530="","",SUMIFS(Performance!$Z$5:$Z$404,Performance!$H$5:$H$404,AJ530))</f>
        <v>0</v>
      </c>
      <c r="AN530" s="24">
        <f>IF(OR(AL530="",AL530=0),"",AM530/AL530)</f>
        <v>0</v>
      </c>
      <c r="AO530" s="32">
        <f>IF(AN530="","",AN530+ROW()/1000000)</f>
        <v>0</v>
      </c>
      <c r="AP530" s="17">
        <f>IF(Lists!$E530="","",Lists!$E530)</f>
        <v>0</v>
      </c>
      <c r="AQ530" s="23">
        <f>IF(AP530="","",COUNTIF(Performance!$G$5:$G$404,AP530))</f>
        <v>0</v>
      </c>
      <c r="AR530" s="23">
        <f>IF(AP530="","",SUMIFS(Performance!$O$5:$O$404,Performance!$G$5:$G$404,AP530))</f>
        <v>0</v>
      </c>
      <c r="AS530" s="23">
        <f>IF(AP530="","",SUMIFS(Performance!$Z$5:$Z$404,Performance!$G$5:$G$404,AP530))</f>
        <v>0</v>
      </c>
      <c r="AT530" s="24">
        <f>IF(OR(AR530="",AR530=0),"",AS530/AR530)</f>
        <v>0</v>
      </c>
      <c r="AU530" s="32">
        <f>IF(AQ530=0,"",IF(AT530="","",AT530+ROW()/1000000))</f>
        <v>0</v>
      </c>
      <c r="AV530" s="17">
        <f>IF(ROW()-4&gt;7,"",TEXT(DATE(2024,1,ROW()-4),"ddd"))</f>
        <v>0</v>
      </c>
      <c r="AW530" s="23">
        <f>IF(AV530="","",COUNTIF(Performance!$N$5:$N$404,AV530))</f>
        <v>0</v>
      </c>
      <c r="AX530" s="23">
        <f>IF(AV530="","",SUMIFS(Performance!$O$5:$O$404,Performance!$N$5:$N$404,AV530))</f>
        <v>0</v>
      </c>
      <c r="AY530" s="23">
        <f>IF(AV530="","",SUMIFS(Performance!$Z$5:$Z$404,Performance!$N$5:$N$404,AV530))</f>
        <v>0</v>
      </c>
      <c r="AZ530" s="24">
        <f>IF(OR(AX530="",AX530=0),"",AY530/AX530)</f>
        <v>0</v>
      </c>
      <c r="BA530" s="32">
        <f>IF(AW530=0,"",IF(AZ530="","",AZ530+ROW()/1000000))</f>
        <v>0</v>
      </c>
      <c r="BB530" s="17">
        <f>IF(Lists!$AL530="","",Lists!$AL530)</f>
        <v>0</v>
      </c>
      <c r="BC530" s="23">
        <f>IF(BB530="","",COUNTIF(Performance!$M$5:$M$404,BB530))</f>
        <v>0</v>
      </c>
      <c r="BD530" s="23">
        <f>IF(BB530="","",SUMIFS(Performance!$O$5:$O$404,Performance!$M$5:$M$404,BB530))</f>
        <v>0</v>
      </c>
      <c r="BE530" s="23">
        <f>IF(BB530="","",SUMIFS(Performance!$Z$5:$Z$404,Performance!$M$5:$M$404,BB530))</f>
        <v>0</v>
      </c>
      <c r="BF530" s="24">
        <f>IF(OR(BD530="",BD530=0),"",BE530/BD530)</f>
        <v>0</v>
      </c>
      <c r="BG530" s="32">
        <f>IF(BC530=0,"",IF(BF530="","",BF530+ROW()/1000000))</f>
        <v>0</v>
      </c>
      <c r="BH530" s="17">
        <f>IF(Performance!$C$530="","",Performance!$C$530)</f>
        <v>0</v>
      </c>
      <c r="BI530" s="17">
        <f>IF(Performance!$F$530="","",Performance!$F$530)</f>
        <v>0</v>
      </c>
      <c r="BJ530" s="17">
        <f>IF(Performance!$H$530="","",Performance!$H$530)</f>
        <v>0</v>
      </c>
      <c r="BK530" s="16">
        <f>IF(Performance!$D$530="","",Performance!$D$530)</f>
        <v>0</v>
      </c>
      <c r="BL530" s="17">
        <f>IF(Performance!$E$530="","",Performance!$E$530)</f>
        <v>0</v>
      </c>
      <c r="BM530" s="23">
        <f>IF(Performance!$O$530="","",Performance!$O$530)</f>
        <v>0</v>
      </c>
      <c r="BN530" s="24">
        <f>IF(Performance!$AA$530="","",Performance!$AA$530)</f>
        <v>0</v>
      </c>
      <c r="BO530" s="32">
        <f>IF(BH530="","",IF(BK530="","",IF(OR(BK530&lt;DashStart,BK530&gt;DashEnd),"",IF(BN530="","",BN530+ROW()/1000000))))</f>
        <v>0</v>
      </c>
      <c r="BP530" s="32">
        <f>IF(BM530="","",IF(BK530="","",IF(OR(BK530&lt;DashStart,BK530&gt;DashEnd),"",BM530+ROW()/1000000)))</f>
        <v>0</v>
      </c>
      <c r="BQ530" s="32">
        <f>IF(BH530="","",IF(BK530="","",IF(YEAR(BK530)&lt;&gt;PlanYear,"",IF(BN530="","",BN530+ROW()/1000000))))</f>
        <v>0</v>
      </c>
      <c r="BR530" s="32">
        <f>IF(BH530="","",IF(BK530="","",IF(OR(BK530&lt;RepFrom,BK530&gt;RepTo),"",IF(BN530="","",BN530+ROW()/1000000))))</f>
        <v>0</v>
      </c>
      <c r="BS530" s="32">
        <f>IF(BM530="","",IF(BK530="","",IF(YEAR(BK530)&lt;&gt;PlanYear,"",BM530+ROW()/1000000)))</f>
        <v>0</v>
      </c>
      <c r="BT530" s="17">
        <f>IF(Lists!$F530="","",Lists!$F530)</f>
        <v>0</v>
      </c>
      <c r="BU530" s="23">
        <f>IF(BT530="","",COUNTIF('Content Calendar'!$X$5:$X$604,BT530))</f>
        <v>0</v>
      </c>
      <c r="BV530" s="23">
        <f>IF(BT530="","",COUNTIFS('Content Calendar'!$X$5:$X$604,BT530,'Content Calendar'!$B$5:$B$604,"&gt;="&amp;DashStart,'Content Calendar'!$B$5:$B$604,"&lt;="&amp;DashEnd))</f>
        <v>0</v>
      </c>
      <c r="BW530" s="17">
        <f>IF(Team!$B$530="","",Team!$B$530)</f>
        <v>0</v>
      </c>
      <c r="BX530" s="23">
        <f>IF(BW530="","",COUNTIF('Content Calendar'!$W$5:$W$604,BW530))</f>
        <v>0</v>
      </c>
      <c r="BY530" s="23">
        <f>IF(BW530="","",COUNTIFS('Content Calendar'!$W$5:$W$604,BW530,'Content Calendar'!$X$5:$X$604,"&lt;&gt;Published"))</f>
        <v>0</v>
      </c>
      <c r="BZ530" s="23">
        <f>IF(BW530="","",COUNTIFS(Tasks!$C$5:$C$64,BW530,Tasks!$G$5:$G$64,"&lt;&gt;Complete"))</f>
        <v>0</v>
      </c>
      <c r="CA530" s="17">
        <f>IF(Campaigns!$B$530="","",Campaigns!$B$530)</f>
        <v>0</v>
      </c>
      <c r="CB530" s="25">
        <f>IF(Campaigns!$T$530="","",Campaigns!$T$530)</f>
        <v>0</v>
      </c>
      <c r="CC530" s="25">
        <f>IF(Campaigns!$Q$530="","",Campaigns!$Q$530)</f>
        <v>0</v>
      </c>
      <c r="CD530" s="23">
        <f>IF(Campaigns!$Y$530="","",Campaigns!$Y$530)</f>
        <v>0</v>
      </c>
      <c r="CE530" s="32">
        <f>IF(CA530="","",IF(N(CB530)&lt;=0,"",N(CB530)+ROW()/1000000))</f>
        <v>0</v>
      </c>
      <c r="CF530" s="17">
        <f>IF(Accounts!$C$530="","",Accounts!$C$530)</f>
        <v>0</v>
      </c>
      <c r="CG530" s="17">
        <f>IF(Accounts!$B$530="","",Accounts!$B$530)</f>
        <v>0</v>
      </c>
      <c r="CH530" s="23">
        <f>IF(Accounts!$J$530="","",Accounts!$J$530)</f>
        <v>0</v>
      </c>
      <c r="CI530" s="23">
        <f>IF(CF530="","",SUMIFS(Analytics!$X$5:$X$154,Analytics!$E$5:$E$154,CF530,Analytics!$B$5:$B$154,"&gt;="&amp;DashStart,Analytics!$B$5:$B$154,"&lt;="&amp;DashEnd))</f>
        <v>0</v>
      </c>
      <c r="CJ530" s="32">
        <f>IF(CH530="","",IF(CH530=0,"",CH530+ROW()/1000000))</f>
        <v>0</v>
      </c>
    </row>
    <row r="531" spans="1:88">
      <c r="A531" s="16">
        <f>IF(ROW()-4&gt;12,"",DATE(PlanYear,ROW()-4,1))</f>
        <v>0</v>
      </c>
      <c r="B531" s="16">
        <f>IF(A531="","",EOMONTH(A531,0))</f>
        <v>0</v>
      </c>
      <c r="C531" s="17">
        <f>IF(A531="","",TEXT(A531,"yyyy-mm"))</f>
        <v>0</v>
      </c>
      <c r="D531" s="17">
        <f>IF(A531="","",TEXT(A531,"mmm"))</f>
        <v>0</v>
      </c>
      <c r="E531" s="23">
        <f>IF(C531="","",COUNTIFS('Content Calendar'!$D$5:$D$604,C531))</f>
        <v>0</v>
      </c>
      <c r="F531" s="23">
        <f>IF(C531="","",COUNTIFS('Content Calendar'!$D$5:$D$604,C531,'Content Calendar'!$X$5:$X$604,"Published"))</f>
        <v>0</v>
      </c>
      <c r="G531" s="23">
        <f>IF(C531="","",SUMIFS(Analytics!$J$5:$J$154,Analytics!$C$5:$C$154,C531))</f>
        <v>0</v>
      </c>
      <c r="H531" s="23">
        <f>IF(C531="","",SUMIFS(Analytics!$K$5:$K$154,Analytics!$C$5:$C$154,C531))</f>
        <v>0</v>
      </c>
      <c r="I531" s="23">
        <f>IF(C531="","",SUMIFS(Analytics!$L$5:$L$154,Analytics!$C$5:$C$154,C531))</f>
        <v>0</v>
      </c>
      <c r="J531" s="24">
        <f>IF(OR(G531="",G531=0),"",I531/G531)</f>
        <v>0</v>
      </c>
      <c r="K531" s="23">
        <f>IF(C531="","",SUMIFS(Analytics!$G$5:$G$154,Analytics!$C$5:$C$154,C531))</f>
        <v>0</v>
      </c>
      <c r="L531" s="23">
        <f>IF(C531="","",SUMIFS(Analytics!$X$5:$X$154,Analytics!$C$5:$C$154,C531))</f>
        <v>0</v>
      </c>
      <c r="M531" s="23">
        <f>IF(C531="","",SUMIFS(Analytics!$R$5:$R$154,Analytics!$C$5:$C$154,C531))</f>
        <v>0</v>
      </c>
      <c r="N531" s="23">
        <f>IF(C531="","",SUMIFS(Analytics!$S$5:$S$154,Analytics!$C$5:$C$154,C531))</f>
        <v>0</v>
      </c>
      <c r="O531" s="23">
        <f>IF(C531="","",SUMIFS(Analytics!$T$5:$T$154,Analytics!$C$5:$C$154,C531))</f>
        <v>0</v>
      </c>
      <c r="P531" s="25">
        <f>IF(C531="","",SUMIFS(Analytics!$U$5:$U$154,Analytics!$C$5:$C$154,C531))</f>
        <v>0</v>
      </c>
      <c r="Q531" s="25">
        <f>IF(C531="","",SUMIFS(Budget!$H$5:$H$64,Budget!$C$5:$C$64,C531))</f>
        <v>0</v>
      </c>
      <c r="R531" s="25">
        <f>IF(C531="","",P531-Q531)</f>
        <v>0</v>
      </c>
      <c r="S531" s="23">
        <f>IF(C531="","",MonthlyPostTarget)</f>
        <v>0</v>
      </c>
      <c r="T531" s="17">
        <f>IF(Lists!$C531="","",Lists!$C531)</f>
        <v>0</v>
      </c>
      <c r="U531" s="23">
        <f>IF(T531="","",COUNTIFS('Content Calendar'!$G$5:$G$604,T531,'Content Calendar'!$B$5:$B$604,"&gt;="&amp;DashStart,'Content Calendar'!$B$5:$B$604,"&lt;="&amp;DashEnd))</f>
        <v>0</v>
      </c>
      <c r="V531" s="23">
        <f>IF(T531="","",COUNTIFS('Content Calendar'!$G$5:$G$604,T531,'Content Calendar'!$X$5:$X$604,"Published",'Content Calendar'!$B$5:$B$604,"&gt;="&amp;DashStart,'Content Calendar'!$B$5:$B$604,"&lt;="&amp;DashEnd))</f>
        <v>0</v>
      </c>
      <c r="W531" s="23">
        <f>IF(T531="","",SUMIFS(Analytics!$J$5:$J$154,Analytics!$D$5:$D$154,T531,Analytics!$B$5:$B$154,"&gt;="&amp;DashStart,Analytics!$B$5:$B$154,"&lt;="&amp;DashEnd))</f>
        <v>0</v>
      </c>
      <c r="X531" s="23">
        <f>IF(T531="","",SUMIFS(Analytics!$L$5:$L$154,Analytics!$D$5:$D$154,T531,Analytics!$B$5:$B$154,"&gt;="&amp;DashStart,Analytics!$B$5:$B$154,"&lt;="&amp;DashEnd))</f>
        <v>0</v>
      </c>
      <c r="Y531" s="24">
        <f>IF(OR(W531="",W531=0),"",X531/W531)</f>
        <v>0</v>
      </c>
      <c r="Z531" s="23">
        <f>IF(T531="","",SUMIFS(Analytics!$G$5:$G$154,Analytics!$D$5:$D$154,T531,Analytics!$B$5:$B$154,"&gt;="&amp;DashStart,Analytics!$B$5:$B$154,"&lt;="&amp;DashEnd))</f>
        <v>0</v>
      </c>
      <c r="AA531" s="23">
        <f>IF(T531="","",SUMIFS(Analytics!$X$5:$X$154,Analytics!$D$5:$D$154,T531,Analytics!$B$5:$B$154,"&gt;="&amp;DashStart,Analytics!$B$5:$B$154,"&lt;="&amp;DashEnd))</f>
        <v>0</v>
      </c>
      <c r="AB531" s="23">
        <f>IF(T531="","",SUMIFS(Analytics!$R$5:$R$154,Analytics!$D$5:$D$154,T531,Analytics!$B$5:$B$154,"&gt;="&amp;DashStart,Analytics!$B$5:$B$154,"&lt;="&amp;DashEnd))</f>
        <v>0</v>
      </c>
      <c r="AC531" s="25">
        <f>IF(T531="","",SUMIFS(Analytics!$U$5:$U$154,Analytics!$D$5:$D$154,T531,Analytics!$B$5:$B$154,"&gt;="&amp;DashStart,Analytics!$B$5:$B$154,"&lt;="&amp;DashEnd))</f>
        <v>0</v>
      </c>
      <c r="AD531" s="23">
        <f>IF(T531="","",COUNTIFS('Content Calendar'!$G$5:$G$604,T531,'Content Calendar'!$B$5:$B$604,"&gt;="&amp;DATE(PlanYear,1,1),'Content Calendar'!$B$5:$B$604,"&lt;="&amp;DATE(PlanYear,12,31)))</f>
        <v>0</v>
      </c>
      <c r="AE531" s="23">
        <f>IF(T531="","",SUMIFS(Analytics!$J$5:$J$154,Analytics!$D$5:$D$154,T531))</f>
        <v>0</v>
      </c>
      <c r="AF531" s="23">
        <f>IF(T531="","",SUMIFS(Analytics!$L$5:$L$154,Analytics!$D$5:$D$154,T531))</f>
        <v>0</v>
      </c>
      <c r="AG531" s="24">
        <f>IF(OR(AE531="",AE531=0),"",AF531/AE531)</f>
        <v>0</v>
      </c>
      <c r="AH531" s="23">
        <f>IF(T531="","",SUMIFS(Analytics!$X$5:$X$154,Analytics!$D$5:$D$154,T531))</f>
        <v>0</v>
      </c>
      <c r="AI531" s="32">
        <f>IF(T531="","",IF(AE531=0,"",AE531+ROW()/1000000))</f>
        <v>0</v>
      </c>
      <c r="AJ531" s="17">
        <f>IF('Content Pillars'!$B$531="","",'Content Pillars'!$B$531)</f>
        <v>0</v>
      </c>
      <c r="AK531" s="23">
        <f>IF(AJ531="","",COUNTIFS('Content Calendar'!$J$5:$J$604,AJ531,'Content Calendar'!$B$5:$B$604,"&gt;="&amp;DATE(PlanYear,1,1),'Content Calendar'!$B$5:$B$604,"&lt;="&amp;DATE(PlanYear,12,31)))</f>
        <v>0</v>
      </c>
      <c r="AL531" s="23">
        <f>IF(AJ531="","",SUMIFS(Performance!$O$5:$O$404,Performance!$H$5:$H$404,AJ531))</f>
        <v>0</v>
      </c>
      <c r="AM531" s="23">
        <f>IF(AJ531="","",SUMIFS(Performance!$Z$5:$Z$404,Performance!$H$5:$H$404,AJ531))</f>
        <v>0</v>
      </c>
      <c r="AN531" s="24">
        <f>IF(OR(AL531="",AL531=0),"",AM531/AL531)</f>
        <v>0</v>
      </c>
      <c r="AO531" s="32">
        <f>IF(AN531="","",AN531+ROW()/1000000)</f>
        <v>0</v>
      </c>
      <c r="AP531" s="17">
        <f>IF(Lists!$E531="","",Lists!$E531)</f>
        <v>0</v>
      </c>
      <c r="AQ531" s="23">
        <f>IF(AP531="","",COUNTIF(Performance!$G$5:$G$404,AP531))</f>
        <v>0</v>
      </c>
      <c r="AR531" s="23">
        <f>IF(AP531="","",SUMIFS(Performance!$O$5:$O$404,Performance!$G$5:$G$404,AP531))</f>
        <v>0</v>
      </c>
      <c r="AS531" s="23">
        <f>IF(AP531="","",SUMIFS(Performance!$Z$5:$Z$404,Performance!$G$5:$G$404,AP531))</f>
        <v>0</v>
      </c>
      <c r="AT531" s="24">
        <f>IF(OR(AR531="",AR531=0),"",AS531/AR531)</f>
        <v>0</v>
      </c>
      <c r="AU531" s="32">
        <f>IF(AQ531=0,"",IF(AT531="","",AT531+ROW()/1000000))</f>
        <v>0</v>
      </c>
      <c r="AV531" s="17">
        <f>IF(ROW()-4&gt;7,"",TEXT(DATE(2024,1,ROW()-4),"ddd"))</f>
        <v>0</v>
      </c>
      <c r="AW531" s="23">
        <f>IF(AV531="","",COUNTIF(Performance!$N$5:$N$404,AV531))</f>
        <v>0</v>
      </c>
      <c r="AX531" s="23">
        <f>IF(AV531="","",SUMIFS(Performance!$O$5:$O$404,Performance!$N$5:$N$404,AV531))</f>
        <v>0</v>
      </c>
      <c r="AY531" s="23">
        <f>IF(AV531="","",SUMIFS(Performance!$Z$5:$Z$404,Performance!$N$5:$N$404,AV531))</f>
        <v>0</v>
      </c>
      <c r="AZ531" s="24">
        <f>IF(OR(AX531="",AX531=0),"",AY531/AX531)</f>
        <v>0</v>
      </c>
      <c r="BA531" s="32">
        <f>IF(AW531=0,"",IF(AZ531="","",AZ531+ROW()/1000000))</f>
        <v>0</v>
      </c>
      <c r="BB531" s="17">
        <f>IF(Lists!$AL531="","",Lists!$AL531)</f>
        <v>0</v>
      </c>
      <c r="BC531" s="23">
        <f>IF(BB531="","",COUNTIF(Performance!$M$5:$M$404,BB531))</f>
        <v>0</v>
      </c>
      <c r="BD531" s="23">
        <f>IF(BB531="","",SUMIFS(Performance!$O$5:$O$404,Performance!$M$5:$M$404,BB531))</f>
        <v>0</v>
      </c>
      <c r="BE531" s="23">
        <f>IF(BB531="","",SUMIFS(Performance!$Z$5:$Z$404,Performance!$M$5:$M$404,BB531))</f>
        <v>0</v>
      </c>
      <c r="BF531" s="24">
        <f>IF(OR(BD531="",BD531=0),"",BE531/BD531)</f>
        <v>0</v>
      </c>
      <c r="BG531" s="32">
        <f>IF(BC531=0,"",IF(BF531="","",BF531+ROW()/1000000))</f>
        <v>0</v>
      </c>
      <c r="BH531" s="17">
        <f>IF(Performance!$C$531="","",Performance!$C$531)</f>
        <v>0</v>
      </c>
      <c r="BI531" s="17">
        <f>IF(Performance!$F$531="","",Performance!$F$531)</f>
        <v>0</v>
      </c>
      <c r="BJ531" s="17">
        <f>IF(Performance!$H$531="","",Performance!$H$531)</f>
        <v>0</v>
      </c>
      <c r="BK531" s="16">
        <f>IF(Performance!$D$531="","",Performance!$D$531)</f>
        <v>0</v>
      </c>
      <c r="BL531" s="17">
        <f>IF(Performance!$E$531="","",Performance!$E$531)</f>
        <v>0</v>
      </c>
      <c r="BM531" s="23">
        <f>IF(Performance!$O$531="","",Performance!$O$531)</f>
        <v>0</v>
      </c>
      <c r="BN531" s="24">
        <f>IF(Performance!$AA$531="","",Performance!$AA$531)</f>
        <v>0</v>
      </c>
      <c r="BO531" s="32">
        <f>IF(BH531="","",IF(BK531="","",IF(OR(BK531&lt;DashStart,BK531&gt;DashEnd),"",IF(BN531="","",BN531+ROW()/1000000))))</f>
        <v>0</v>
      </c>
      <c r="BP531" s="32">
        <f>IF(BM531="","",IF(BK531="","",IF(OR(BK531&lt;DashStart,BK531&gt;DashEnd),"",BM531+ROW()/1000000)))</f>
        <v>0</v>
      </c>
      <c r="BQ531" s="32">
        <f>IF(BH531="","",IF(BK531="","",IF(YEAR(BK531)&lt;&gt;PlanYear,"",IF(BN531="","",BN531+ROW()/1000000))))</f>
        <v>0</v>
      </c>
      <c r="BR531" s="32">
        <f>IF(BH531="","",IF(BK531="","",IF(OR(BK531&lt;RepFrom,BK531&gt;RepTo),"",IF(BN531="","",BN531+ROW()/1000000))))</f>
        <v>0</v>
      </c>
      <c r="BS531" s="32">
        <f>IF(BM531="","",IF(BK531="","",IF(YEAR(BK531)&lt;&gt;PlanYear,"",BM531+ROW()/1000000)))</f>
        <v>0</v>
      </c>
      <c r="BT531" s="17">
        <f>IF(Lists!$F531="","",Lists!$F531)</f>
        <v>0</v>
      </c>
      <c r="BU531" s="23">
        <f>IF(BT531="","",COUNTIF('Content Calendar'!$X$5:$X$604,BT531))</f>
        <v>0</v>
      </c>
      <c r="BV531" s="23">
        <f>IF(BT531="","",COUNTIFS('Content Calendar'!$X$5:$X$604,BT531,'Content Calendar'!$B$5:$B$604,"&gt;="&amp;DashStart,'Content Calendar'!$B$5:$B$604,"&lt;="&amp;DashEnd))</f>
        <v>0</v>
      </c>
      <c r="BW531" s="17">
        <f>IF(Team!$B$531="","",Team!$B$531)</f>
        <v>0</v>
      </c>
      <c r="BX531" s="23">
        <f>IF(BW531="","",COUNTIF('Content Calendar'!$W$5:$W$604,BW531))</f>
        <v>0</v>
      </c>
      <c r="BY531" s="23">
        <f>IF(BW531="","",COUNTIFS('Content Calendar'!$W$5:$W$604,BW531,'Content Calendar'!$X$5:$X$604,"&lt;&gt;Published"))</f>
        <v>0</v>
      </c>
      <c r="BZ531" s="23">
        <f>IF(BW531="","",COUNTIFS(Tasks!$C$5:$C$64,BW531,Tasks!$G$5:$G$64,"&lt;&gt;Complete"))</f>
        <v>0</v>
      </c>
      <c r="CA531" s="17">
        <f>IF(Campaigns!$B$531="","",Campaigns!$B$531)</f>
        <v>0</v>
      </c>
      <c r="CB531" s="25">
        <f>IF(Campaigns!$T$531="","",Campaigns!$T$531)</f>
        <v>0</v>
      </c>
      <c r="CC531" s="25">
        <f>IF(Campaigns!$Q$531="","",Campaigns!$Q$531)</f>
        <v>0</v>
      </c>
      <c r="CD531" s="23">
        <f>IF(Campaigns!$Y$531="","",Campaigns!$Y$531)</f>
        <v>0</v>
      </c>
      <c r="CE531" s="32">
        <f>IF(CA531="","",IF(N(CB531)&lt;=0,"",N(CB531)+ROW()/1000000))</f>
        <v>0</v>
      </c>
      <c r="CF531" s="17">
        <f>IF(Accounts!$C$531="","",Accounts!$C$531)</f>
        <v>0</v>
      </c>
      <c r="CG531" s="17">
        <f>IF(Accounts!$B$531="","",Accounts!$B$531)</f>
        <v>0</v>
      </c>
      <c r="CH531" s="23">
        <f>IF(Accounts!$J$531="","",Accounts!$J$531)</f>
        <v>0</v>
      </c>
      <c r="CI531" s="23">
        <f>IF(CF531="","",SUMIFS(Analytics!$X$5:$X$154,Analytics!$E$5:$E$154,CF531,Analytics!$B$5:$B$154,"&gt;="&amp;DashStart,Analytics!$B$5:$B$154,"&lt;="&amp;DashEnd))</f>
        <v>0</v>
      </c>
      <c r="CJ531" s="32">
        <f>IF(CH531="","",IF(CH531=0,"",CH531+ROW()/1000000))</f>
        <v>0</v>
      </c>
    </row>
    <row r="532" spans="1:88">
      <c r="A532" s="16">
        <f>IF(ROW()-4&gt;12,"",DATE(PlanYear,ROW()-4,1))</f>
        <v>0</v>
      </c>
      <c r="B532" s="16">
        <f>IF(A532="","",EOMONTH(A532,0))</f>
        <v>0</v>
      </c>
      <c r="C532" s="17">
        <f>IF(A532="","",TEXT(A532,"yyyy-mm"))</f>
        <v>0</v>
      </c>
      <c r="D532" s="17">
        <f>IF(A532="","",TEXT(A532,"mmm"))</f>
        <v>0</v>
      </c>
      <c r="E532" s="23">
        <f>IF(C532="","",COUNTIFS('Content Calendar'!$D$5:$D$604,C532))</f>
        <v>0</v>
      </c>
      <c r="F532" s="23">
        <f>IF(C532="","",COUNTIFS('Content Calendar'!$D$5:$D$604,C532,'Content Calendar'!$X$5:$X$604,"Published"))</f>
        <v>0</v>
      </c>
      <c r="G532" s="23">
        <f>IF(C532="","",SUMIFS(Analytics!$J$5:$J$154,Analytics!$C$5:$C$154,C532))</f>
        <v>0</v>
      </c>
      <c r="H532" s="23">
        <f>IF(C532="","",SUMIFS(Analytics!$K$5:$K$154,Analytics!$C$5:$C$154,C532))</f>
        <v>0</v>
      </c>
      <c r="I532" s="23">
        <f>IF(C532="","",SUMIFS(Analytics!$L$5:$L$154,Analytics!$C$5:$C$154,C532))</f>
        <v>0</v>
      </c>
      <c r="J532" s="24">
        <f>IF(OR(G532="",G532=0),"",I532/G532)</f>
        <v>0</v>
      </c>
      <c r="K532" s="23">
        <f>IF(C532="","",SUMIFS(Analytics!$G$5:$G$154,Analytics!$C$5:$C$154,C532))</f>
        <v>0</v>
      </c>
      <c r="L532" s="23">
        <f>IF(C532="","",SUMIFS(Analytics!$X$5:$X$154,Analytics!$C$5:$C$154,C532))</f>
        <v>0</v>
      </c>
      <c r="M532" s="23">
        <f>IF(C532="","",SUMIFS(Analytics!$R$5:$R$154,Analytics!$C$5:$C$154,C532))</f>
        <v>0</v>
      </c>
      <c r="N532" s="23">
        <f>IF(C532="","",SUMIFS(Analytics!$S$5:$S$154,Analytics!$C$5:$C$154,C532))</f>
        <v>0</v>
      </c>
      <c r="O532" s="23">
        <f>IF(C532="","",SUMIFS(Analytics!$T$5:$T$154,Analytics!$C$5:$C$154,C532))</f>
        <v>0</v>
      </c>
      <c r="P532" s="25">
        <f>IF(C532="","",SUMIFS(Analytics!$U$5:$U$154,Analytics!$C$5:$C$154,C532))</f>
        <v>0</v>
      </c>
      <c r="Q532" s="25">
        <f>IF(C532="","",SUMIFS(Budget!$H$5:$H$64,Budget!$C$5:$C$64,C532))</f>
        <v>0</v>
      </c>
      <c r="R532" s="25">
        <f>IF(C532="","",P532-Q532)</f>
        <v>0</v>
      </c>
      <c r="S532" s="23">
        <f>IF(C532="","",MonthlyPostTarget)</f>
        <v>0</v>
      </c>
      <c r="T532" s="17">
        <f>IF(Lists!$C532="","",Lists!$C532)</f>
        <v>0</v>
      </c>
      <c r="U532" s="23">
        <f>IF(T532="","",COUNTIFS('Content Calendar'!$G$5:$G$604,T532,'Content Calendar'!$B$5:$B$604,"&gt;="&amp;DashStart,'Content Calendar'!$B$5:$B$604,"&lt;="&amp;DashEnd))</f>
        <v>0</v>
      </c>
      <c r="V532" s="23">
        <f>IF(T532="","",COUNTIFS('Content Calendar'!$G$5:$G$604,T532,'Content Calendar'!$X$5:$X$604,"Published",'Content Calendar'!$B$5:$B$604,"&gt;="&amp;DashStart,'Content Calendar'!$B$5:$B$604,"&lt;="&amp;DashEnd))</f>
        <v>0</v>
      </c>
      <c r="W532" s="23">
        <f>IF(T532="","",SUMIFS(Analytics!$J$5:$J$154,Analytics!$D$5:$D$154,T532,Analytics!$B$5:$B$154,"&gt;="&amp;DashStart,Analytics!$B$5:$B$154,"&lt;="&amp;DashEnd))</f>
        <v>0</v>
      </c>
      <c r="X532" s="23">
        <f>IF(T532="","",SUMIFS(Analytics!$L$5:$L$154,Analytics!$D$5:$D$154,T532,Analytics!$B$5:$B$154,"&gt;="&amp;DashStart,Analytics!$B$5:$B$154,"&lt;="&amp;DashEnd))</f>
        <v>0</v>
      </c>
      <c r="Y532" s="24">
        <f>IF(OR(W532="",W532=0),"",X532/W532)</f>
        <v>0</v>
      </c>
      <c r="Z532" s="23">
        <f>IF(T532="","",SUMIFS(Analytics!$G$5:$G$154,Analytics!$D$5:$D$154,T532,Analytics!$B$5:$B$154,"&gt;="&amp;DashStart,Analytics!$B$5:$B$154,"&lt;="&amp;DashEnd))</f>
        <v>0</v>
      </c>
      <c r="AA532" s="23">
        <f>IF(T532="","",SUMIFS(Analytics!$X$5:$X$154,Analytics!$D$5:$D$154,T532,Analytics!$B$5:$B$154,"&gt;="&amp;DashStart,Analytics!$B$5:$B$154,"&lt;="&amp;DashEnd))</f>
        <v>0</v>
      </c>
      <c r="AB532" s="23">
        <f>IF(T532="","",SUMIFS(Analytics!$R$5:$R$154,Analytics!$D$5:$D$154,T532,Analytics!$B$5:$B$154,"&gt;="&amp;DashStart,Analytics!$B$5:$B$154,"&lt;="&amp;DashEnd))</f>
        <v>0</v>
      </c>
      <c r="AC532" s="25">
        <f>IF(T532="","",SUMIFS(Analytics!$U$5:$U$154,Analytics!$D$5:$D$154,T532,Analytics!$B$5:$B$154,"&gt;="&amp;DashStart,Analytics!$B$5:$B$154,"&lt;="&amp;DashEnd))</f>
        <v>0</v>
      </c>
      <c r="AD532" s="23">
        <f>IF(T532="","",COUNTIFS('Content Calendar'!$G$5:$G$604,T532,'Content Calendar'!$B$5:$B$604,"&gt;="&amp;DATE(PlanYear,1,1),'Content Calendar'!$B$5:$B$604,"&lt;="&amp;DATE(PlanYear,12,31)))</f>
        <v>0</v>
      </c>
      <c r="AE532" s="23">
        <f>IF(T532="","",SUMIFS(Analytics!$J$5:$J$154,Analytics!$D$5:$D$154,T532))</f>
        <v>0</v>
      </c>
      <c r="AF532" s="23">
        <f>IF(T532="","",SUMIFS(Analytics!$L$5:$L$154,Analytics!$D$5:$D$154,T532))</f>
        <v>0</v>
      </c>
      <c r="AG532" s="24">
        <f>IF(OR(AE532="",AE532=0),"",AF532/AE532)</f>
        <v>0</v>
      </c>
      <c r="AH532" s="23">
        <f>IF(T532="","",SUMIFS(Analytics!$X$5:$X$154,Analytics!$D$5:$D$154,T532))</f>
        <v>0</v>
      </c>
      <c r="AI532" s="32">
        <f>IF(T532="","",IF(AE532=0,"",AE532+ROW()/1000000))</f>
        <v>0</v>
      </c>
      <c r="AJ532" s="17">
        <f>IF('Content Pillars'!$B$532="","",'Content Pillars'!$B$532)</f>
        <v>0</v>
      </c>
      <c r="AK532" s="23">
        <f>IF(AJ532="","",COUNTIFS('Content Calendar'!$J$5:$J$604,AJ532,'Content Calendar'!$B$5:$B$604,"&gt;="&amp;DATE(PlanYear,1,1),'Content Calendar'!$B$5:$B$604,"&lt;="&amp;DATE(PlanYear,12,31)))</f>
        <v>0</v>
      </c>
      <c r="AL532" s="23">
        <f>IF(AJ532="","",SUMIFS(Performance!$O$5:$O$404,Performance!$H$5:$H$404,AJ532))</f>
        <v>0</v>
      </c>
      <c r="AM532" s="23">
        <f>IF(AJ532="","",SUMIFS(Performance!$Z$5:$Z$404,Performance!$H$5:$H$404,AJ532))</f>
        <v>0</v>
      </c>
      <c r="AN532" s="24">
        <f>IF(OR(AL532="",AL532=0),"",AM532/AL532)</f>
        <v>0</v>
      </c>
      <c r="AO532" s="32">
        <f>IF(AN532="","",AN532+ROW()/1000000)</f>
        <v>0</v>
      </c>
      <c r="AP532" s="17">
        <f>IF(Lists!$E532="","",Lists!$E532)</f>
        <v>0</v>
      </c>
      <c r="AQ532" s="23">
        <f>IF(AP532="","",COUNTIF(Performance!$G$5:$G$404,AP532))</f>
        <v>0</v>
      </c>
      <c r="AR532" s="23">
        <f>IF(AP532="","",SUMIFS(Performance!$O$5:$O$404,Performance!$G$5:$G$404,AP532))</f>
        <v>0</v>
      </c>
      <c r="AS532" s="23">
        <f>IF(AP532="","",SUMIFS(Performance!$Z$5:$Z$404,Performance!$G$5:$G$404,AP532))</f>
        <v>0</v>
      </c>
      <c r="AT532" s="24">
        <f>IF(OR(AR532="",AR532=0),"",AS532/AR532)</f>
        <v>0</v>
      </c>
      <c r="AU532" s="32">
        <f>IF(AQ532=0,"",IF(AT532="","",AT532+ROW()/1000000))</f>
        <v>0</v>
      </c>
      <c r="AV532" s="17">
        <f>IF(ROW()-4&gt;7,"",TEXT(DATE(2024,1,ROW()-4),"ddd"))</f>
        <v>0</v>
      </c>
      <c r="AW532" s="23">
        <f>IF(AV532="","",COUNTIF(Performance!$N$5:$N$404,AV532))</f>
        <v>0</v>
      </c>
      <c r="AX532" s="23">
        <f>IF(AV532="","",SUMIFS(Performance!$O$5:$O$404,Performance!$N$5:$N$404,AV532))</f>
        <v>0</v>
      </c>
      <c r="AY532" s="23">
        <f>IF(AV532="","",SUMIFS(Performance!$Z$5:$Z$404,Performance!$N$5:$N$404,AV532))</f>
        <v>0</v>
      </c>
      <c r="AZ532" s="24">
        <f>IF(OR(AX532="",AX532=0),"",AY532/AX532)</f>
        <v>0</v>
      </c>
      <c r="BA532" s="32">
        <f>IF(AW532=0,"",IF(AZ532="","",AZ532+ROW()/1000000))</f>
        <v>0</v>
      </c>
      <c r="BB532" s="17">
        <f>IF(Lists!$AL532="","",Lists!$AL532)</f>
        <v>0</v>
      </c>
      <c r="BC532" s="23">
        <f>IF(BB532="","",COUNTIF(Performance!$M$5:$M$404,BB532))</f>
        <v>0</v>
      </c>
      <c r="BD532" s="23">
        <f>IF(BB532="","",SUMIFS(Performance!$O$5:$O$404,Performance!$M$5:$M$404,BB532))</f>
        <v>0</v>
      </c>
      <c r="BE532" s="23">
        <f>IF(BB532="","",SUMIFS(Performance!$Z$5:$Z$404,Performance!$M$5:$M$404,BB532))</f>
        <v>0</v>
      </c>
      <c r="BF532" s="24">
        <f>IF(OR(BD532="",BD532=0),"",BE532/BD532)</f>
        <v>0</v>
      </c>
      <c r="BG532" s="32">
        <f>IF(BC532=0,"",IF(BF532="","",BF532+ROW()/1000000))</f>
        <v>0</v>
      </c>
      <c r="BH532" s="17">
        <f>IF(Performance!$C$532="","",Performance!$C$532)</f>
        <v>0</v>
      </c>
      <c r="BI532" s="17">
        <f>IF(Performance!$F$532="","",Performance!$F$532)</f>
        <v>0</v>
      </c>
      <c r="BJ532" s="17">
        <f>IF(Performance!$H$532="","",Performance!$H$532)</f>
        <v>0</v>
      </c>
      <c r="BK532" s="16">
        <f>IF(Performance!$D$532="","",Performance!$D$532)</f>
        <v>0</v>
      </c>
      <c r="BL532" s="17">
        <f>IF(Performance!$E$532="","",Performance!$E$532)</f>
        <v>0</v>
      </c>
      <c r="BM532" s="23">
        <f>IF(Performance!$O$532="","",Performance!$O$532)</f>
        <v>0</v>
      </c>
      <c r="BN532" s="24">
        <f>IF(Performance!$AA$532="","",Performance!$AA$532)</f>
        <v>0</v>
      </c>
      <c r="BO532" s="32">
        <f>IF(BH532="","",IF(BK532="","",IF(OR(BK532&lt;DashStart,BK532&gt;DashEnd),"",IF(BN532="","",BN532+ROW()/1000000))))</f>
        <v>0</v>
      </c>
      <c r="BP532" s="32">
        <f>IF(BM532="","",IF(BK532="","",IF(OR(BK532&lt;DashStart,BK532&gt;DashEnd),"",BM532+ROW()/1000000)))</f>
        <v>0</v>
      </c>
      <c r="BQ532" s="32">
        <f>IF(BH532="","",IF(BK532="","",IF(YEAR(BK532)&lt;&gt;PlanYear,"",IF(BN532="","",BN532+ROW()/1000000))))</f>
        <v>0</v>
      </c>
      <c r="BR532" s="32">
        <f>IF(BH532="","",IF(BK532="","",IF(OR(BK532&lt;RepFrom,BK532&gt;RepTo),"",IF(BN532="","",BN532+ROW()/1000000))))</f>
        <v>0</v>
      </c>
      <c r="BS532" s="32">
        <f>IF(BM532="","",IF(BK532="","",IF(YEAR(BK532)&lt;&gt;PlanYear,"",BM532+ROW()/1000000)))</f>
        <v>0</v>
      </c>
      <c r="BT532" s="17">
        <f>IF(Lists!$F532="","",Lists!$F532)</f>
        <v>0</v>
      </c>
      <c r="BU532" s="23">
        <f>IF(BT532="","",COUNTIF('Content Calendar'!$X$5:$X$604,BT532))</f>
        <v>0</v>
      </c>
      <c r="BV532" s="23">
        <f>IF(BT532="","",COUNTIFS('Content Calendar'!$X$5:$X$604,BT532,'Content Calendar'!$B$5:$B$604,"&gt;="&amp;DashStart,'Content Calendar'!$B$5:$B$604,"&lt;="&amp;DashEnd))</f>
        <v>0</v>
      </c>
      <c r="BW532" s="17">
        <f>IF(Team!$B$532="","",Team!$B$532)</f>
        <v>0</v>
      </c>
      <c r="BX532" s="23">
        <f>IF(BW532="","",COUNTIF('Content Calendar'!$W$5:$W$604,BW532))</f>
        <v>0</v>
      </c>
      <c r="BY532" s="23">
        <f>IF(BW532="","",COUNTIFS('Content Calendar'!$W$5:$W$604,BW532,'Content Calendar'!$X$5:$X$604,"&lt;&gt;Published"))</f>
        <v>0</v>
      </c>
      <c r="BZ532" s="23">
        <f>IF(BW532="","",COUNTIFS(Tasks!$C$5:$C$64,BW532,Tasks!$G$5:$G$64,"&lt;&gt;Complete"))</f>
        <v>0</v>
      </c>
      <c r="CA532" s="17">
        <f>IF(Campaigns!$B$532="","",Campaigns!$B$532)</f>
        <v>0</v>
      </c>
      <c r="CB532" s="25">
        <f>IF(Campaigns!$T$532="","",Campaigns!$T$532)</f>
        <v>0</v>
      </c>
      <c r="CC532" s="25">
        <f>IF(Campaigns!$Q$532="","",Campaigns!$Q$532)</f>
        <v>0</v>
      </c>
      <c r="CD532" s="23">
        <f>IF(Campaigns!$Y$532="","",Campaigns!$Y$532)</f>
        <v>0</v>
      </c>
      <c r="CE532" s="32">
        <f>IF(CA532="","",IF(N(CB532)&lt;=0,"",N(CB532)+ROW()/1000000))</f>
        <v>0</v>
      </c>
      <c r="CF532" s="17">
        <f>IF(Accounts!$C$532="","",Accounts!$C$532)</f>
        <v>0</v>
      </c>
      <c r="CG532" s="17">
        <f>IF(Accounts!$B$532="","",Accounts!$B$532)</f>
        <v>0</v>
      </c>
      <c r="CH532" s="23">
        <f>IF(Accounts!$J$532="","",Accounts!$J$532)</f>
        <v>0</v>
      </c>
      <c r="CI532" s="23">
        <f>IF(CF532="","",SUMIFS(Analytics!$X$5:$X$154,Analytics!$E$5:$E$154,CF532,Analytics!$B$5:$B$154,"&gt;="&amp;DashStart,Analytics!$B$5:$B$154,"&lt;="&amp;DashEnd))</f>
        <v>0</v>
      </c>
      <c r="CJ532" s="32">
        <f>IF(CH532="","",IF(CH532=0,"",CH532+ROW()/1000000))</f>
        <v>0</v>
      </c>
    </row>
    <row r="533" spans="1:88">
      <c r="A533" s="16">
        <f>IF(ROW()-4&gt;12,"",DATE(PlanYear,ROW()-4,1))</f>
        <v>0</v>
      </c>
      <c r="B533" s="16">
        <f>IF(A533="","",EOMONTH(A533,0))</f>
        <v>0</v>
      </c>
      <c r="C533" s="17">
        <f>IF(A533="","",TEXT(A533,"yyyy-mm"))</f>
        <v>0</v>
      </c>
      <c r="D533" s="17">
        <f>IF(A533="","",TEXT(A533,"mmm"))</f>
        <v>0</v>
      </c>
      <c r="E533" s="23">
        <f>IF(C533="","",COUNTIFS('Content Calendar'!$D$5:$D$604,C533))</f>
        <v>0</v>
      </c>
      <c r="F533" s="23">
        <f>IF(C533="","",COUNTIFS('Content Calendar'!$D$5:$D$604,C533,'Content Calendar'!$X$5:$X$604,"Published"))</f>
        <v>0</v>
      </c>
      <c r="G533" s="23">
        <f>IF(C533="","",SUMIFS(Analytics!$J$5:$J$154,Analytics!$C$5:$C$154,C533))</f>
        <v>0</v>
      </c>
      <c r="H533" s="23">
        <f>IF(C533="","",SUMIFS(Analytics!$K$5:$K$154,Analytics!$C$5:$C$154,C533))</f>
        <v>0</v>
      </c>
      <c r="I533" s="23">
        <f>IF(C533="","",SUMIFS(Analytics!$L$5:$L$154,Analytics!$C$5:$C$154,C533))</f>
        <v>0</v>
      </c>
      <c r="J533" s="24">
        <f>IF(OR(G533="",G533=0),"",I533/G533)</f>
        <v>0</v>
      </c>
      <c r="K533" s="23">
        <f>IF(C533="","",SUMIFS(Analytics!$G$5:$G$154,Analytics!$C$5:$C$154,C533))</f>
        <v>0</v>
      </c>
      <c r="L533" s="23">
        <f>IF(C533="","",SUMIFS(Analytics!$X$5:$X$154,Analytics!$C$5:$C$154,C533))</f>
        <v>0</v>
      </c>
      <c r="M533" s="23">
        <f>IF(C533="","",SUMIFS(Analytics!$R$5:$R$154,Analytics!$C$5:$C$154,C533))</f>
        <v>0</v>
      </c>
      <c r="N533" s="23">
        <f>IF(C533="","",SUMIFS(Analytics!$S$5:$S$154,Analytics!$C$5:$C$154,C533))</f>
        <v>0</v>
      </c>
      <c r="O533" s="23">
        <f>IF(C533="","",SUMIFS(Analytics!$T$5:$T$154,Analytics!$C$5:$C$154,C533))</f>
        <v>0</v>
      </c>
      <c r="P533" s="25">
        <f>IF(C533="","",SUMIFS(Analytics!$U$5:$U$154,Analytics!$C$5:$C$154,C533))</f>
        <v>0</v>
      </c>
      <c r="Q533" s="25">
        <f>IF(C533="","",SUMIFS(Budget!$H$5:$H$64,Budget!$C$5:$C$64,C533))</f>
        <v>0</v>
      </c>
      <c r="R533" s="25">
        <f>IF(C533="","",P533-Q533)</f>
        <v>0</v>
      </c>
      <c r="S533" s="23">
        <f>IF(C533="","",MonthlyPostTarget)</f>
        <v>0</v>
      </c>
      <c r="T533" s="17">
        <f>IF(Lists!$C533="","",Lists!$C533)</f>
        <v>0</v>
      </c>
      <c r="U533" s="23">
        <f>IF(T533="","",COUNTIFS('Content Calendar'!$G$5:$G$604,T533,'Content Calendar'!$B$5:$B$604,"&gt;="&amp;DashStart,'Content Calendar'!$B$5:$B$604,"&lt;="&amp;DashEnd))</f>
        <v>0</v>
      </c>
      <c r="V533" s="23">
        <f>IF(T533="","",COUNTIFS('Content Calendar'!$G$5:$G$604,T533,'Content Calendar'!$X$5:$X$604,"Published",'Content Calendar'!$B$5:$B$604,"&gt;="&amp;DashStart,'Content Calendar'!$B$5:$B$604,"&lt;="&amp;DashEnd))</f>
        <v>0</v>
      </c>
      <c r="W533" s="23">
        <f>IF(T533="","",SUMIFS(Analytics!$J$5:$J$154,Analytics!$D$5:$D$154,T533,Analytics!$B$5:$B$154,"&gt;="&amp;DashStart,Analytics!$B$5:$B$154,"&lt;="&amp;DashEnd))</f>
        <v>0</v>
      </c>
      <c r="X533" s="23">
        <f>IF(T533="","",SUMIFS(Analytics!$L$5:$L$154,Analytics!$D$5:$D$154,T533,Analytics!$B$5:$B$154,"&gt;="&amp;DashStart,Analytics!$B$5:$B$154,"&lt;="&amp;DashEnd))</f>
        <v>0</v>
      </c>
      <c r="Y533" s="24">
        <f>IF(OR(W533="",W533=0),"",X533/W533)</f>
        <v>0</v>
      </c>
      <c r="Z533" s="23">
        <f>IF(T533="","",SUMIFS(Analytics!$G$5:$G$154,Analytics!$D$5:$D$154,T533,Analytics!$B$5:$B$154,"&gt;="&amp;DashStart,Analytics!$B$5:$B$154,"&lt;="&amp;DashEnd))</f>
        <v>0</v>
      </c>
      <c r="AA533" s="23">
        <f>IF(T533="","",SUMIFS(Analytics!$X$5:$X$154,Analytics!$D$5:$D$154,T533,Analytics!$B$5:$B$154,"&gt;="&amp;DashStart,Analytics!$B$5:$B$154,"&lt;="&amp;DashEnd))</f>
        <v>0</v>
      </c>
      <c r="AB533" s="23">
        <f>IF(T533="","",SUMIFS(Analytics!$R$5:$R$154,Analytics!$D$5:$D$154,T533,Analytics!$B$5:$B$154,"&gt;="&amp;DashStart,Analytics!$B$5:$B$154,"&lt;="&amp;DashEnd))</f>
        <v>0</v>
      </c>
      <c r="AC533" s="25">
        <f>IF(T533="","",SUMIFS(Analytics!$U$5:$U$154,Analytics!$D$5:$D$154,T533,Analytics!$B$5:$B$154,"&gt;="&amp;DashStart,Analytics!$B$5:$B$154,"&lt;="&amp;DashEnd))</f>
        <v>0</v>
      </c>
      <c r="AD533" s="23">
        <f>IF(T533="","",COUNTIFS('Content Calendar'!$G$5:$G$604,T533,'Content Calendar'!$B$5:$B$604,"&gt;="&amp;DATE(PlanYear,1,1),'Content Calendar'!$B$5:$B$604,"&lt;="&amp;DATE(PlanYear,12,31)))</f>
        <v>0</v>
      </c>
      <c r="AE533" s="23">
        <f>IF(T533="","",SUMIFS(Analytics!$J$5:$J$154,Analytics!$D$5:$D$154,T533))</f>
        <v>0</v>
      </c>
      <c r="AF533" s="23">
        <f>IF(T533="","",SUMIFS(Analytics!$L$5:$L$154,Analytics!$D$5:$D$154,T533))</f>
        <v>0</v>
      </c>
      <c r="AG533" s="24">
        <f>IF(OR(AE533="",AE533=0),"",AF533/AE533)</f>
        <v>0</v>
      </c>
      <c r="AH533" s="23">
        <f>IF(T533="","",SUMIFS(Analytics!$X$5:$X$154,Analytics!$D$5:$D$154,T533))</f>
        <v>0</v>
      </c>
      <c r="AI533" s="32">
        <f>IF(T533="","",IF(AE533=0,"",AE533+ROW()/1000000))</f>
        <v>0</v>
      </c>
      <c r="AJ533" s="17">
        <f>IF('Content Pillars'!$B$533="","",'Content Pillars'!$B$533)</f>
        <v>0</v>
      </c>
      <c r="AK533" s="23">
        <f>IF(AJ533="","",COUNTIFS('Content Calendar'!$J$5:$J$604,AJ533,'Content Calendar'!$B$5:$B$604,"&gt;="&amp;DATE(PlanYear,1,1),'Content Calendar'!$B$5:$B$604,"&lt;="&amp;DATE(PlanYear,12,31)))</f>
        <v>0</v>
      </c>
      <c r="AL533" s="23">
        <f>IF(AJ533="","",SUMIFS(Performance!$O$5:$O$404,Performance!$H$5:$H$404,AJ533))</f>
        <v>0</v>
      </c>
      <c r="AM533" s="23">
        <f>IF(AJ533="","",SUMIFS(Performance!$Z$5:$Z$404,Performance!$H$5:$H$404,AJ533))</f>
        <v>0</v>
      </c>
      <c r="AN533" s="24">
        <f>IF(OR(AL533="",AL533=0),"",AM533/AL533)</f>
        <v>0</v>
      </c>
      <c r="AO533" s="32">
        <f>IF(AN533="","",AN533+ROW()/1000000)</f>
        <v>0</v>
      </c>
      <c r="AP533" s="17">
        <f>IF(Lists!$E533="","",Lists!$E533)</f>
        <v>0</v>
      </c>
      <c r="AQ533" s="23">
        <f>IF(AP533="","",COUNTIF(Performance!$G$5:$G$404,AP533))</f>
        <v>0</v>
      </c>
      <c r="AR533" s="23">
        <f>IF(AP533="","",SUMIFS(Performance!$O$5:$O$404,Performance!$G$5:$G$404,AP533))</f>
        <v>0</v>
      </c>
      <c r="AS533" s="23">
        <f>IF(AP533="","",SUMIFS(Performance!$Z$5:$Z$404,Performance!$G$5:$G$404,AP533))</f>
        <v>0</v>
      </c>
      <c r="AT533" s="24">
        <f>IF(OR(AR533="",AR533=0),"",AS533/AR533)</f>
        <v>0</v>
      </c>
      <c r="AU533" s="32">
        <f>IF(AQ533=0,"",IF(AT533="","",AT533+ROW()/1000000))</f>
        <v>0</v>
      </c>
      <c r="AV533" s="17">
        <f>IF(ROW()-4&gt;7,"",TEXT(DATE(2024,1,ROW()-4),"ddd"))</f>
        <v>0</v>
      </c>
      <c r="AW533" s="23">
        <f>IF(AV533="","",COUNTIF(Performance!$N$5:$N$404,AV533))</f>
        <v>0</v>
      </c>
      <c r="AX533" s="23">
        <f>IF(AV533="","",SUMIFS(Performance!$O$5:$O$404,Performance!$N$5:$N$404,AV533))</f>
        <v>0</v>
      </c>
      <c r="AY533" s="23">
        <f>IF(AV533="","",SUMIFS(Performance!$Z$5:$Z$404,Performance!$N$5:$N$404,AV533))</f>
        <v>0</v>
      </c>
      <c r="AZ533" s="24">
        <f>IF(OR(AX533="",AX533=0),"",AY533/AX533)</f>
        <v>0</v>
      </c>
      <c r="BA533" s="32">
        <f>IF(AW533=0,"",IF(AZ533="","",AZ533+ROW()/1000000))</f>
        <v>0</v>
      </c>
      <c r="BB533" s="17">
        <f>IF(Lists!$AL533="","",Lists!$AL533)</f>
        <v>0</v>
      </c>
      <c r="BC533" s="23">
        <f>IF(BB533="","",COUNTIF(Performance!$M$5:$M$404,BB533))</f>
        <v>0</v>
      </c>
      <c r="BD533" s="23">
        <f>IF(BB533="","",SUMIFS(Performance!$O$5:$O$404,Performance!$M$5:$M$404,BB533))</f>
        <v>0</v>
      </c>
      <c r="BE533" s="23">
        <f>IF(BB533="","",SUMIFS(Performance!$Z$5:$Z$404,Performance!$M$5:$M$404,BB533))</f>
        <v>0</v>
      </c>
      <c r="BF533" s="24">
        <f>IF(OR(BD533="",BD533=0),"",BE533/BD533)</f>
        <v>0</v>
      </c>
      <c r="BG533" s="32">
        <f>IF(BC533=0,"",IF(BF533="","",BF533+ROW()/1000000))</f>
        <v>0</v>
      </c>
      <c r="BH533" s="17">
        <f>IF(Performance!$C$533="","",Performance!$C$533)</f>
        <v>0</v>
      </c>
      <c r="BI533" s="17">
        <f>IF(Performance!$F$533="","",Performance!$F$533)</f>
        <v>0</v>
      </c>
      <c r="BJ533" s="17">
        <f>IF(Performance!$H$533="","",Performance!$H$533)</f>
        <v>0</v>
      </c>
      <c r="BK533" s="16">
        <f>IF(Performance!$D$533="","",Performance!$D$533)</f>
        <v>0</v>
      </c>
      <c r="BL533" s="17">
        <f>IF(Performance!$E$533="","",Performance!$E$533)</f>
        <v>0</v>
      </c>
      <c r="BM533" s="23">
        <f>IF(Performance!$O$533="","",Performance!$O$533)</f>
        <v>0</v>
      </c>
      <c r="BN533" s="24">
        <f>IF(Performance!$AA$533="","",Performance!$AA$533)</f>
        <v>0</v>
      </c>
      <c r="BO533" s="32">
        <f>IF(BH533="","",IF(BK533="","",IF(OR(BK533&lt;DashStart,BK533&gt;DashEnd),"",IF(BN533="","",BN533+ROW()/1000000))))</f>
        <v>0</v>
      </c>
      <c r="BP533" s="32">
        <f>IF(BM533="","",IF(BK533="","",IF(OR(BK533&lt;DashStart,BK533&gt;DashEnd),"",BM533+ROW()/1000000)))</f>
        <v>0</v>
      </c>
      <c r="BQ533" s="32">
        <f>IF(BH533="","",IF(BK533="","",IF(YEAR(BK533)&lt;&gt;PlanYear,"",IF(BN533="","",BN533+ROW()/1000000))))</f>
        <v>0</v>
      </c>
      <c r="BR533" s="32">
        <f>IF(BH533="","",IF(BK533="","",IF(OR(BK533&lt;RepFrom,BK533&gt;RepTo),"",IF(BN533="","",BN533+ROW()/1000000))))</f>
        <v>0</v>
      </c>
      <c r="BS533" s="32">
        <f>IF(BM533="","",IF(BK533="","",IF(YEAR(BK533)&lt;&gt;PlanYear,"",BM533+ROW()/1000000)))</f>
        <v>0</v>
      </c>
      <c r="BT533" s="17">
        <f>IF(Lists!$F533="","",Lists!$F533)</f>
        <v>0</v>
      </c>
      <c r="BU533" s="23">
        <f>IF(BT533="","",COUNTIF('Content Calendar'!$X$5:$X$604,BT533))</f>
        <v>0</v>
      </c>
      <c r="BV533" s="23">
        <f>IF(BT533="","",COUNTIFS('Content Calendar'!$X$5:$X$604,BT533,'Content Calendar'!$B$5:$B$604,"&gt;="&amp;DashStart,'Content Calendar'!$B$5:$B$604,"&lt;="&amp;DashEnd))</f>
        <v>0</v>
      </c>
      <c r="BW533" s="17">
        <f>IF(Team!$B$533="","",Team!$B$533)</f>
        <v>0</v>
      </c>
      <c r="BX533" s="23">
        <f>IF(BW533="","",COUNTIF('Content Calendar'!$W$5:$W$604,BW533))</f>
        <v>0</v>
      </c>
      <c r="BY533" s="23">
        <f>IF(BW533="","",COUNTIFS('Content Calendar'!$W$5:$W$604,BW533,'Content Calendar'!$X$5:$X$604,"&lt;&gt;Published"))</f>
        <v>0</v>
      </c>
      <c r="BZ533" s="23">
        <f>IF(BW533="","",COUNTIFS(Tasks!$C$5:$C$64,BW533,Tasks!$G$5:$G$64,"&lt;&gt;Complete"))</f>
        <v>0</v>
      </c>
      <c r="CA533" s="17">
        <f>IF(Campaigns!$B$533="","",Campaigns!$B$533)</f>
        <v>0</v>
      </c>
      <c r="CB533" s="25">
        <f>IF(Campaigns!$T$533="","",Campaigns!$T$533)</f>
        <v>0</v>
      </c>
      <c r="CC533" s="25">
        <f>IF(Campaigns!$Q$533="","",Campaigns!$Q$533)</f>
        <v>0</v>
      </c>
      <c r="CD533" s="23">
        <f>IF(Campaigns!$Y$533="","",Campaigns!$Y$533)</f>
        <v>0</v>
      </c>
      <c r="CE533" s="32">
        <f>IF(CA533="","",IF(N(CB533)&lt;=0,"",N(CB533)+ROW()/1000000))</f>
        <v>0</v>
      </c>
      <c r="CF533" s="17">
        <f>IF(Accounts!$C$533="","",Accounts!$C$533)</f>
        <v>0</v>
      </c>
      <c r="CG533" s="17">
        <f>IF(Accounts!$B$533="","",Accounts!$B$533)</f>
        <v>0</v>
      </c>
      <c r="CH533" s="23">
        <f>IF(Accounts!$J$533="","",Accounts!$J$533)</f>
        <v>0</v>
      </c>
      <c r="CI533" s="23">
        <f>IF(CF533="","",SUMIFS(Analytics!$X$5:$X$154,Analytics!$E$5:$E$154,CF533,Analytics!$B$5:$B$154,"&gt;="&amp;DashStart,Analytics!$B$5:$B$154,"&lt;="&amp;DashEnd))</f>
        <v>0</v>
      </c>
      <c r="CJ533" s="32">
        <f>IF(CH533="","",IF(CH533=0,"",CH533+ROW()/1000000))</f>
        <v>0</v>
      </c>
    </row>
    <row r="534" spans="1:88">
      <c r="A534" s="16">
        <f>IF(ROW()-4&gt;12,"",DATE(PlanYear,ROW()-4,1))</f>
        <v>0</v>
      </c>
      <c r="B534" s="16">
        <f>IF(A534="","",EOMONTH(A534,0))</f>
        <v>0</v>
      </c>
      <c r="C534" s="17">
        <f>IF(A534="","",TEXT(A534,"yyyy-mm"))</f>
        <v>0</v>
      </c>
      <c r="D534" s="17">
        <f>IF(A534="","",TEXT(A534,"mmm"))</f>
        <v>0</v>
      </c>
      <c r="E534" s="23">
        <f>IF(C534="","",COUNTIFS('Content Calendar'!$D$5:$D$604,C534))</f>
        <v>0</v>
      </c>
      <c r="F534" s="23">
        <f>IF(C534="","",COUNTIFS('Content Calendar'!$D$5:$D$604,C534,'Content Calendar'!$X$5:$X$604,"Published"))</f>
        <v>0</v>
      </c>
      <c r="G534" s="23">
        <f>IF(C534="","",SUMIFS(Analytics!$J$5:$J$154,Analytics!$C$5:$C$154,C534))</f>
        <v>0</v>
      </c>
      <c r="H534" s="23">
        <f>IF(C534="","",SUMIFS(Analytics!$K$5:$K$154,Analytics!$C$5:$C$154,C534))</f>
        <v>0</v>
      </c>
      <c r="I534" s="23">
        <f>IF(C534="","",SUMIFS(Analytics!$L$5:$L$154,Analytics!$C$5:$C$154,C534))</f>
        <v>0</v>
      </c>
      <c r="J534" s="24">
        <f>IF(OR(G534="",G534=0),"",I534/G534)</f>
        <v>0</v>
      </c>
      <c r="K534" s="23">
        <f>IF(C534="","",SUMIFS(Analytics!$G$5:$G$154,Analytics!$C$5:$C$154,C534))</f>
        <v>0</v>
      </c>
      <c r="L534" s="23">
        <f>IF(C534="","",SUMIFS(Analytics!$X$5:$X$154,Analytics!$C$5:$C$154,C534))</f>
        <v>0</v>
      </c>
      <c r="M534" s="23">
        <f>IF(C534="","",SUMIFS(Analytics!$R$5:$R$154,Analytics!$C$5:$C$154,C534))</f>
        <v>0</v>
      </c>
      <c r="N534" s="23">
        <f>IF(C534="","",SUMIFS(Analytics!$S$5:$S$154,Analytics!$C$5:$C$154,C534))</f>
        <v>0</v>
      </c>
      <c r="O534" s="23">
        <f>IF(C534="","",SUMIFS(Analytics!$T$5:$T$154,Analytics!$C$5:$C$154,C534))</f>
        <v>0</v>
      </c>
      <c r="P534" s="25">
        <f>IF(C534="","",SUMIFS(Analytics!$U$5:$U$154,Analytics!$C$5:$C$154,C534))</f>
        <v>0</v>
      </c>
      <c r="Q534" s="25">
        <f>IF(C534="","",SUMIFS(Budget!$H$5:$H$64,Budget!$C$5:$C$64,C534))</f>
        <v>0</v>
      </c>
      <c r="R534" s="25">
        <f>IF(C534="","",P534-Q534)</f>
        <v>0</v>
      </c>
      <c r="S534" s="23">
        <f>IF(C534="","",MonthlyPostTarget)</f>
        <v>0</v>
      </c>
      <c r="T534" s="17">
        <f>IF(Lists!$C534="","",Lists!$C534)</f>
        <v>0</v>
      </c>
      <c r="U534" s="23">
        <f>IF(T534="","",COUNTIFS('Content Calendar'!$G$5:$G$604,T534,'Content Calendar'!$B$5:$B$604,"&gt;="&amp;DashStart,'Content Calendar'!$B$5:$B$604,"&lt;="&amp;DashEnd))</f>
        <v>0</v>
      </c>
      <c r="V534" s="23">
        <f>IF(T534="","",COUNTIFS('Content Calendar'!$G$5:$G$604,T534,'Content Calendar'!$X$5:$X$604,"Published",'Content Calendar'!$B$5:$B$604,"&gt;="&amp;DashStart,'Content Calendar'!$B$5:$B$604,"&lt;="&amp;DashEnd))</f>
        <v>0</v>
      </c>
      <c r="W534" s="23">
        <f>IF(T534="","",SUMIFS(Analytics!$J$5:$J$154,Analytics!$D$5:$D$154,T534,Analytics!$B$5:$B$154,"&gt;="&amp;DashStart,Analytics!$B$5:$B$154,"&lt;="&amp;DashEnd))</f>
        <v>0</v>
      </c>
      <c r="X534" s="23">
        <f>IF(T534="","",SUMIFS(Analytics!$L$5:$L$154,Analytics!$D$5:$D$154,T534,Analytics!$B$5:$B$154,"&gt;="&amp;DashStart,Analytics!$B$5:$B$154,"&lt;="&amp;DashEnd))</f>
        <v>0</v>
      </c>
      <c r="Y534" s="24">
        <f>IF(OR(W534="",W534=0),"",X534/W534)</f>
        <v>0</v>
      </c>
      <c r="Z534" s="23">
        <f>IF(T534="","",SUMIFS(Analytics!$G$5:$G$154,Analytics!$D$5:$D$154,T534,Analytics!$B$5:$B$154,"&gt;="&amp;DashStart,Analytics!$B$5:$B$154,"&lt;="&amp;DashEnd))</f>
        <v>0</v>
      </c>
      <c r="AA534" s="23">
        <f>IF(T534="","",SUMIFS(Analytics!$X$5:$X$154,Analytics!$D$5:$D$154,T534,Analytics!$B$5:$B$154,"&gt;="&amp;DashStart,Analytics!$B$5:$B$154,"&lt;="&amp;DashEnd))</f>
        <v>0</v>
      </c>
      <c r="AB534" s="23">
        <f>IF(T534="","",SUMIFS(Analytics!$R$5:$R$154,Analytics!$D$5:$D$154,T534,Analytics!$B$5:$B$154,"&gt;="&amp;DashStart,Analytics!$B$5:$B$154,"&lt;="&amp;DashEnd))</f>
        <v>0</v>
      </c>
      <c r="AC534" s="25">
        <f>IF(T534="","",SUMIFS(Analytics!$U$5:$U$154,Analytics!$D$5:$D$154,T534,Analytics!$B$5:$B$154,"&gt;="&amp;DashStart,Analytics!$B$5:$B$154,"&lt;="&amp;DashEnd))</f>
        <v>0</v>
      </c>
      <c r="AD534" s="23">
        <f>IF(T534="","",COUNTIFS('Content Calendar'!$G$5:$G$604,T534,'Content Calendar'!$B$5:$B$604,"&gt;="&amp;DATE(PlanYear,1,1),'Content Calendar'!$B$5:$B$604,"&lt;="&amp;DATE(PlanYear,12,31)))</f>
        <v>0</v>
      </c>
      <c r="AE534" s="23">
        <f>IF(T534="","",SUMIFS(Analytics!$J$5:$J$154,Analytics!$D$5:$D$154,T534))</f>
        <v>0</v>
      </c>
      <c r="AF534" s="23">
        <f>IF(T534="","",SUMIFS(Analytics!$L$5:$L$154,Analytics!$D$5:$D$154,T534))</f>
        <v>0</v>
      </c>
      <c r="AG534" s="24">
        <f>IF(OR(AE534="",AE534=0),"",AF534/AE534)</f>
        <v>0</v>
      </c>
      <c r="AH534" s="23">
        <f>IF(T534="","",SUMIFS(Analytics!$X$5:$X$154,Analytics!$D$5:$D$154,T534))</f>
        <v>0</v>
      </c>
      <c r="AI534" s="32">
        <f>IF(T534="","",IF(AE534=0,"",AE534+ROW()/1000000))</f>
        <v>0</v>
      </c>
      <c r="AJ534" s="17">
        <f>IF('Content Pillars'!$B$534="","",'Content Pillars'!$B$534)</f>
        <v>0</v>
      </c>
      <c r="AK534" s="23">
        <f>IF(AJ534="","",COUNTIFS('Content Calendar'!$J$5:$J$604,AJ534,'Content Calendar'!$B$5:$B$604,"&gt;="&amp;DATE(PlanYear,1,1),'Content Calendar'!$B$5:$B$604,"&lt;="&amp;DATE(PlanYear,12,31)))</f>
        <v>0</v>
      </c>
      <c r="AL534" s="23">
        <f>IF(AJ534="","",SUMIFS(Performance!$O$5:$O$404,Performance!$H$5:$H$404,AJ534))</f>
        <v>0</v>
      </c>
      <c r="AM534" s="23">
        <f>IF(AJ534="","",SUMIFS(Performance!$Z$5:$Z$404,Performance!$H$5:$H$404,AJ534))</f>
        <v>0</v>
      </c>
      <c r="AN534" s="24">
        <f>IF(OR(AL534="",AL534=0),"",AM534/AL534)</f>
        <v>0</v>
      </c>
      <c r="AO534" s="32">
        <f>IF(AN534="","",AN534+ROW()/1000000)</f>
        <v>0</v>
      </c>
      <c r="AP534" s="17">
        <f>IF(Lists!$E534="","",Lists!$E534)</f>
        <v>0</v>
      </c>
      <c r="AQ534" s="23">
        <f>IF(AP534="","",COUNTIF(Performance!$G$5:$G$404,AP534))</f>
        <v>0</v>
      </c>
      <c r="AR534" s="23">
        <f>IF(AP534="","",SUMIFS(Performance!$O$5:$O$404,Performance!$G$5:$G$404,AP534))</f>
        <v>0</v>
      </c>
      <c r="AS534" s="23">
        <f>IF(AP534="","",SUMIFS(Performance!$Z$5:$Z$404,Performance!$G$5:$G$404,AP534))</f>
        <v>0</v>
      </c>
      <c r="AT534" s="24">
        <f>IF(OR(AR534="",AR534=0),"",AS534/AR534)</f>
        <v>0</v>
      </c>
      <c r="AU534" s="32">
        <f>IF(AQ534=0,"",IF(AT534="","",AT534+ROW()/1000000))</f>
        <v>0</v>
      </c>
      <c r="AV534" s="17">
        <f>IF(ROW()-4&gt;7,"",TEXT(DATE(2024,1,ROW()-4),"ddd"))</f>
        <v>0</v>
      </c>
      <c r="AW534" s="23">
        <f>IF(AV534="","",COUNTIF(Performance!$N$5:$N$404,AV534))</f>
        <v>0</v>
      </c>
      <c r="AX534" s="23">
        <f>IF(AV534="","",SUMIFS(Performance!$O$5:$O$404,Performance!$N$5:$N$404,AV534))</f>
        <v>0</v>
      </c>
      <c r="AY534" s="23">
        <f>IF(AV534="","",SUMIFS(Performance!$Z$5:$Z$404,Performance!$N$5:$N$404,AV534))</f>
        <v>0</v>
      </c>
      <c r="AZ534" s="24">
        <f>IF(OR(AX534="",AX534=0),"",AY534/AX534)</f>
        <v>0</v>
      </c>
      <c r="BA534" s="32">
        <f>IF(AW534=0,"",IF(AZ534="","",AZ534+ROW()/1000000))</f>
        <v>0</v>
      </c>
      <c r="BB534" s="17">
        <f>IF(Lists!$AL534="","",Lists!$AL534)</f>
        <v>0</v>
      </c>
      <c r="BC534" s="23">
        <f>IF(BB534="","",COUNTIF(Performance!$M$5:$M$404,BB534))</f>
        <v>0</v>
      </c>
      <c r="BD534" s="23">
        <f>IF(BB534="","",SUMIFS(Performance!$O$5:$O$404,Performance!$M$5:$M$404,BB534))</f>
        <v>0</v>
      </c>
      <c r="BE534" s="23">
        <f>IF(BB534="","",SUMIFS(Performance!$Z$5:$Z$404,Performance!$M$5:$M$404,BB534))</f>
        <v>0</v>
      </c>
      <c r="BF534" s="24">
        <f>IF(OR(BD534="",BD534=0),"",BE534/BD534)</f>
        <v>0</v>
      </c>
      <c r="BG534" s="32">
        <f>IF(BC534=0,"",IF(BF534="","",BF534+ROW()/1000000))</f>
        <v>0</v>
      </c>
      <c r="BH534" s="17">
        <f>IF(Performance!$C$534="","",Performance!$C$534)</f>
        <v>0</v>
      </c>
      <c r="BI534" s="17">
        <f>IF(Performance!$F$534="","",Performance!$F$534)</f>
        <v>0</v>
      </c>
      <c r="BJ534" s="17">
        <f>IF(Performance!$H$534="","",Performance!$H$534)</f>
        <v>0</v>
      </c>
      <c r="BK534" s="16">
        <f>IF(Performance!$D$534="","",Performance!$D$534)</f>
        <v>0</v>
      </c>
      <c r="BL534" s="17">
        <f>IF(Performance!$E$534="","",Performance!$E$534)</f>
        <v>0</v>
      </c>
      <c r="BM534" s="23">
        <f>IF(Performance!$O$534="","",Performance!$O$534)</f>
        <v>0</v>
      </c>
      <c r="BN534" s="24">
        <f>IF(Performance!$AA$534="","",Performance!$AA$534)</f>
        <v>0</v>
      </c>
      <c r="BO534" s="32">
        <f>IF(BH534="","",IF(BK534="","",IF(OR(BK534&lt;DashStart,BK534&gt;DashEnd),"",IF(BN534="","",BN534+ROW()/1000000))))</f>
        <v>0</v>
      </c>
      <c r="BP534" s="32">
        <f>IF(BM534="","",IF(BK534="","",IF(OR(BK534&lt;DashStart,BK534&gt;DashEnd),"",BM534+ROW()/1000000)))</f>
        <v>0</v>
      </c>
      <c r="BQ534" s="32">
        <f>IF(BH534="","",IF(BK534="","",IF(YEAR(BK534)&lt;&gt;PlanYear,"",IF(BN534="","",BN534+ROW()/1000000))))</f>
        <v>0</v>
      </c>
      <c r="BR534" s="32">
        <f>IF(BH534="","",IF(BK534="","",IF(OR(BK534&lt;RepFrom,BK534&gt;RepTo),"",IF(BN534="","",BN534+ROW()/1000000))))</f>
        <v>0</v>
      </c>
      <c r="BS534" s="32">
        <f>IF(BM534="","",IF(BK534="","",IF(YEAR(BK534)&lt;&gt;PlanYear,"",BM534+ROW()/1000000)))</f>
        <v>0</v>
      </c>
      <c r="BT534" s="17">
        <f>IF(Lists!$F534="","",Lists!$F534)</f>
        <v>0</v>
      </c>
      <c r="BU534" s="23">
        <f>IF(BT534="","",COUNTIF('Content Calendar'!$X$5:$X$604,BT534))</f>
        <v>0</v>
      </c>
      <c r="BV534" s="23">
        <f>IF(BT534="","",COUNTIFS('Content Calendar'!$X$5:$X$604,BT534,'Content Calendar'!$B$5:$B$604,"&gt;="&amp;DashStart,'Content Calendar'!$B$5:$B$604,"&lt;="&amp;DashEnd))</f>
        <v>0</v>
      </c>
      <c r="BW534" s="17">
        <f>IF(Team!$B$534="","",Team!$B$534)</f>
        <v>0</v>
      </c>
      <c r="BX534" s="23">
        <f>IF(BW534="","",COUNTIF('Content Calendar'!$W$5:$W$604,BW534))</f>
        <v>0</v>
      </c>
      <c r="BY534" s="23">
        <f>IF(BW534="","",COUNTIFS('Content Calendar'!$W$5:$W$604,BW534,'Content Calendar'!$X$5:$X$604,"&lt;&gt;Published"))</f>
        <v>0</v>
      </c>
      <c r="BZ534" s="23">
        <f>IF(BW534="","",COUNTIFS(Tasks!$C$5:$C$64,BW534,Tasks!$G$5:$G$64,"&lt;&gt;Complete"))</f>
        <v>0</v>
      </c>
      <c r="CA534" s="17">
        <f>IF(Campaigns!$B$534="","",Campaigns!$B$534)</f>
        <v>0</v>
      </c>
      <c r="CB534" s="25">
        <f>IF(Campaigns!$T$534="","",Campaigns!$T$534)</f>
        <v>0</v>
      </c>
      <c r="CC534" s="25">
        <f>IF(Campaigns!$Q$534="","",Campaigns!$Q$534)</f>
        <v>0</v>
      </c>
      <c r="CD534" s="23">
        <f>IF(Campaigns!$Y$534="","",Campaigns!$Y$534)</f>
        <v>0</v>
      </c>
      <c r="CE534" s="32">
        <f>IF(CA534="","",IF(N(CB534)&lt;=0,"",N(CB534)+ROW()/1000000))</f>
        <v>0</v>
      </c>
      <c r="CF534" s="17">
        <f>IF(Accounts!$C$534="","",Accounts!$C$534)</f>
        <v>0</v>
      </c>
      <c r="CG534" s="17">
        <f>IF(Accounts!$B$534="","",Accounts!$B$534)</f>
        <v>0</v>
      </c>
      <c r="CH534" s="23">
        <f>IF(Accounts!$J$534="","",Accounts!$J$534)</f>
        <v>0</v>
      </c>
      <c r="CI534" s="23">
        <f>IF(CF534="","",SUMIFS(Analytics!$X$5:$X$154,Analytics!$E$5:$E$154,CF534,Analytics!$B$5:$B$154,"&gt;="&amp;DashStart,Analytics!$B$5:$B$154,"&lt;="&amp;DashEnd))</f>
        <v>0</v>
      </c>
      <c r="CJ534" s="32">
        <f>IF(CH534="","",IF(CH534=0,"",CH534+ROW()/1000000))</f>
        <v>0</v>
      </c>
    </row>
    <row r="535" spans="1:88">
      <c r="A535" s="16">
        <f>IF(ROW()-4&gt;12,"",DATE(PlanYear,ROW()-4,1))</f>
        <v>0</v>
      </c>
      <c r="B535" s="16">
        <f>IF(A535="","",EOMONTH(A535,0))</f>
        <v>0</v>
      </c>
      <c r="C535" s="17">
        <f>IF(A535="","",TEXT(A535,"yyyy-mm"))</f>
        <v>0</v>
      </c>
      <c r="D535" s="17">
        <f>IF(A535="","",TEXT(A535,"mmm"))</f>
        <v>0</v>
      </c>
      <c r="E535" s="23">
        <f>IF(C535="","",COUNTIFS('Content Calendar'!$D$5:$D$604,C535))</f>
        <v>0</v>
      </c>
      <c r="F535" s="23">
        <f>IF(C535="","",COUNTIFS('Content Calendar'!$D$5:$D$604,C535,'Content Calendar'!$X$5:$X$604,"Published"))</f>
        <v>0</v>
      </c>
      <c r="G535" s="23">
        <f>IF(C535="","",SUMIFS(Analytics!$J$5:$J$154,Analytics!$C$5:$C$154,C535))</f>
        <v>0</v>
      </c>
      <c r="H535" s="23">
        <f>IF(C535="","",SUMIFS(Analytics!$K$5:$K$154,Analytics!$C$5:$C$154,C535))</f>
        <v>0</v>
      </c>
      <c r="I535" s="23">
        <f>IF(C535="","",SUMIFS(Analytics!$L$5:$L$154,Analytics!$C$5:$C$154,C535))</f>
        <v>0</v>
      </c>
      <c r="J535" s="24">
        <f>IF(OR(G535="",G535=0),"",I535/G535)</f>
        <v>0</v>
      </c>
      <c r="K535" s="23">
        <f>IF(C535="","",SUMIFS(Analytics!$G$5:$G$154,Analytics!$C$5:$C$154,C535))</f>
        <v>0</v>
      </c>
      <c r="L535" s="23">
        <f>IF(C535="","",SUMIFS(Analytics!$X$5:$X$154,Analytics!$C$5:$C$154,C535))</f>
        <v>0</v>
      </c>
      <c r="M535" s="23">
        <f>IF(C535="","",SUMIFS(Analytics!$R$5:$R$154,Analytics!$C$5:$C$154,C535))</f>
        <v>0</v>
      </c>
      <c r="N535" s="23">
        <f>IF(C535="","",SUMIFS(Analytics!$S$5:$S$154,Analytics!$C$5:$C$154,C535))</f>
        <v>0</v>
      </c>
      <c r="O535" s="23">
        <f>IF(C535="","",SUMIFS(Analytics!$T$5:$T$154,Analytics!$C$5:$C$154,C535))</f>
        <v>0</v>
      </c>
      <c r="P535" s="25">
        <f>IF(C535="","",SUMIFS(Analytics!$U$5:$U$154,Analytics!$C$5:$C$154,C535))</f>
        <v>0</v>
      </c>
      <c r="Q535" s="25">
        <f>IF(C535="","",SUMIFS(Budget!$H$5:$H$64,Budget!$C$5:$C$64,C535))</f>
        <v>0</v>
      </c>
      <c r="R535" s="25">
        <f>IF(C535="","",P535-Q535)</f>
        <v>0</v>
      </c>
      <c r="S535" s="23">
        <f>IF(C535="","",MonthlyPostTarget)</f>
        <v>0</v>
      </c>
      <c r="T535" s="17">
        <f>IF(Lists!$C535="","",Lists!$C535)</f>
        <v>0</v>
      </c>
      <c r="U535" s="23">
        <f>IF(T535="","",COUNTIFS('Content Calendar'!$G$5:$G$604,T535,'Content Calendar'!$B$5:$B$604,"&gt;="&amp;DashStart,'Content Calendar'!$B$5:$B$604,"&lt;="&amp;DashEnd))</f>
        <v>0</v>
      </c>
      <c r="V535" s="23">
        <f>IF(T535="","",COUNTIFS('Content Calendar'!$G$5:$G$604,T535,'Content Calendar'!$X$5:$X$604,"Published",'Content Calendar'!$B$5:$B$604,"&gt;="&amp;DashStart,'Content Calendar'!$B$5:$B$604,"&lt;="&amp;DashEnd))</f>
        <v>0</v>
      </c>
      <c r="W535" s="23">
        <f>IF(T535="","",SUMIFS(Analytics!$J$5:$J$154,Analytics!$D$5:$D$154,T535,Analytics!$B$5:$B$154,"&gt;="&amp;DashStart,Analytics!$B$5:$B$154,"&lt;="&amp;DashEnd))</f>
        <v>0</v>
      </c>
      <c r="X535" s="23">
        <f>IF(T535="","",SUMIFS(Analytics!$L$5:$L$154,Analytics!$D$5:$D$154,T535,Analytics!$B$5:$B$154,"&gt;="&amp;DashStart,Analytics!$B$5:$B$154,"&lt;="&amp;DashEnd))</f>
        <v>0</v>
      </c>
      <c r="Y535" s="24">
        <f>IF(OR(W535="",W535=0),"",X535/W535)</f>
        <v>0</v>
      </c>
      <c r="Z535" s="23">
        <f>IF(T535="","",SUMIFS(Analytics!$G$5:$G$154,Analytics!$D$5:$D$154,T535,Analytics!$B$5:$B$154,"&gt;="&amp;DashStart,Analytics!$B$5:$B$154,"&lt;="&amp;DashEnd))</f>
        <v>0</v>
      </c>
      <c r="AA535" s="23">
        <f>IF(T535="","",SUMIFS(Analytics!$X$5:$X$154,Analytics!$D$5:$D$154,T535,Analytics!$B$5:$B$154,"&gt;="&amp;DashStart,Analytics!$B$5:$B$154,"&lt;="&amp;DashEnd))</f>
        <v>0</v>
      </c>
      <c r="AB535" s="23">
        <f>IF(T535="","",SUMIFS(Analytics!$R$5:$R$154,Analytics!$D$5:$D$154,T535,Analytics!$B$5:$B$154,"&gt;="&amp;DashStart,Analytics!$B$5:$B$154,"&lt;="&amp;DashEnd))</f>
        <v>0</v>
      </c>
      <c r="AC535" s="25">
        <f>IF(T535="","",SUMIFS(Analytics!$U$5:$U$154,Analytics!$D$5:$D$154,T535,Analytics!$B$5:$B$154,"&gt;="&amp;DashStart,Analytics!$B$5:$B$154,"&lt;="&amp;DashEnd))</f>
        <v>0</v>
      </c>
      <c r="AD535" s="23">
        <f>IF(T535="","",COUNTIFS('Content Calendar'!$G$5:$G$604,T535,'Content Calendar'!$B$5:$B$604,"&gt;="&amp;DATE(PlanYear,1,1),'Content Calendar'!$B$5:$B$604,"&lt;="&amp;DATE(PlanYear,12,31)))</f>
        <v>0</v>
      </c>
      <c r="AE535" s="23">
        <f>IF(T535="","",SUMIFS(Analytics!$J$5:$J$154,Analytics!$D$5:$D$154,T535))</f>
        <v>0</v>
      </c>
      <c r="AF535" s="23">
        <f>IF(T535="","",SUMIFS(Analytics!$L$5:$L$154,Analytics!$D$5:$D$154,T535))</f>
        <v>0</v>
      </c>
      <c r="AG535" s="24">
        <f>IF(OR(AE535="",AE535=0),"",AF535/AE535)</f>
        <v>0</v>
      </c>
      <c r="AH535" s="23">
        <f>IF(T535="","",SUMIFS(Analytics!$X$5:$X$154,Analytics!$D$5:$D$154,T535))</f>
        <v>0</v>
      </c>
      <c r="AI535" s="32">
        <f>IF(T535="","",IF(AE535=0,"",AE535+ROW()/1000000))</f>
        <v>0</v>
      </c>
      <c r="AJ535" s="17">
        <f>IF('Content Pillars'!$B$535="","",'Content Pillars'!$B$535)</f>
        <v>0</v>
      </c>
      <c r="AK535" s="23">
        <f>IF(AJ535="","",COUNTIFS('Content Calendar'!$J$5:$J$604,AJ535,'Content Calendar'!$B$5:$B$604,"&gt;="&amp;DATE(PlanYear,1,1),'Content Calendar'!$B$5:$B$604,"&lt;="&amp;DATE(PlanYear,12,31)))</f>
        <v>0</v>
      </c>
      <c r="AL535" s="23">
        <f>IF(AJ535="","",SUMIFS(Performance!$O$5:$O$404,Performance!$H$5:$H$404,AJ535))</f>
        <v>0</v>
      </c>
      <c r="AM535" s="23">
        <f>IF(AJ535="","",SUMIFS(Performance!$Z$5:$Z$404,Performance!$H$5:$H$404,AJ535))</f>
        <v>0</v>
      </c>
      <c r="AN535" s="24">
        <f>IF(OR(AL535="",AL535=0),"",AM535/AL535)</f>
        <v>0</v>
      </c>
      <c r="AO535" s="32">
        <f>IF(AN535="","",AN535+ROW()/1000000)</f>
        <v>0</v>
      </c>
      <c r="AP535" s="17">
        <f>IF(Lists!$E535="","",Lists!$E535)</f>
        <v>0</v>
      </c>
      <c r="AQ535" s="23">
        <f>IF(AP535="","",COUNTIF(Performance!$G$5:$G$404,AP535))</f>
        <v>0</v>
      </c>
      <c r="AR535" s="23">
        <f>IF(AP535="","",SUMIFS(Performance!$O$5:$O$404,Performance!$G$5:$G$404,AP535))</f>
        <v>0</v>
      </c>
      <c r="AS535" s="23">
        <f>IF(AP535="","",SUMIFS(Performance!$Z$5:$Z$404,Performance!$G$5:$G$404,AP535))</f>
        <v>0</v>
      </c>
      <c r="AT535" s="24">
        <f>IF(OR(AR535="",AR535=0),"",AS535/AR535)</f>
        <v>0</v>
      </c>
      <c r="AU535" s="32">
        <f>IF(AQ535=0,"",IF(AT535="","",AT535+ROW()/1000000))</f>
        <v>0</v>
      </c>
      <c r="AV535" s="17">
        <f>IF(ROW()-4&gt;7,"",TEXT(DATE(2024,1,ROW()-4),"ddd"))</f>
        <v>0</v>
      </c>
      <c r="AW535" s="23">
        <f>IF(AV535="","",COUNTIF(Performance!$N$5:$N$404,AV535))</f>
        <v>0</v>
      </c>
      <c r="AX535" s="23">
        <f>IF(AV535="","",SUMIFS(Performance!$O$5:$O$404,Performance!$N$5:$N$404,AV535))</f>
        <v>0</v>
      </c>
      <c r="AY535" s="23">
        <f>IF(AV535="","",SUMIFS(Performance!$Z$5:$Z$404,Performance!$N$5:$N$404,AV535))</f>
        <v>0</v>
      </c>
      <c r="AZ535" s="24">
        <f>IF(OR(AX535="",AX535=0),"",AY535/AX535)</f>
        <v>0</v>
      </c>
      <c r="BA535" s="32">
        <f>IF(AW535=0,"",IF(AZ535="","",AZ535+ROW()/1000000))</f>
        <v>0</v>
      </c>
      <c r="BB535" s="17">
        <f>IF(Lists!$AL535="","",Lists!$AL535)</f>
        <v>0</v>
      </c>
      <c r="BC535" s="23">
        <f>IF(BB535="","",COUNTIF(Performance!$M$5:$M$404,BB535))</f>
        <v>0</v>
      </c>
      <c r="BD535" s="23">
        <f>IF(BB535="","",SUMIFS(Performance!$O$5:$O$404,Performance!$M$5:$M$404,BB535))</f>
        <v>0</v>
      </c>
      <c r="BE535" s="23">
        <f>IF(BB535="","",SUMIFS(Performance!$Z$5:$Z$404,Performance!$M$5:$M$404,BB535))</f>
        <v>0</v>
      </c>
      <c r="BF535" s="24">
        <f>IF(OR(BD535="",BD535=0),"",BE535/BD535)</f>
        <v>0</v>
      </c>
      <c r="BG535" s="32">
        <f>IF(BC535=0,"",IF(BF535="","",BF535+ROW()/1000000))</f>
        <v>0</v>
      </c>
      <c r="BH535" s="17">
        <f>IF(Performance!$C$535="","",Performance!$C$535)</f>
        <v>0</v>
      </c>
      <c r="BI535" s="17">
        <f>IF(Performance!$F$535="","",Performance!$F$535)</f>
        <v>0</v>
      </c>
      <c r="BJ535" s="17">
        <f>IF(Performance!$H$535="","",Performance!$H$535)</f>
        <v>0</v>
      </c>
      <c r="BK535" s="16">
        <f>IF(Performance!$D$535="","",Performance!$D$535)</f>
        <v>0</v>
      </c>
      <c r="BL535" s="17">
        <f>IF(Performance!$E$535="","",Performance!$E$535)</f>
        <v>0</v>
      </c>
      <c r="BM535" s="23">
        <f>IF(Performance!$O$535="","",Performance!$O$535)</f>
        <v>0</v>
      </c>
      <c r="BN535" s="24">
        <f>IF(Performance!$AA$535="","",Performance!$AA$535)</f>
        <v>0</v>
      </c>
      <c r="BO535" s="32">
        <f>IF(BH535="","",IF(BK535="","",IF(OR(BK535&lt;DashStart,BK535&gt;DashEnd),"",IF(BN535="","",BN535+ROW()/1000000))))</f>
        <v>0</v>
      </c>
      <c r="BP535" s="32">
        <f>IF(BM535="","",IF(BK535="","",IF(OR(BK535&lt;DashStart,BK535&gt;DashEnd),"",BM535+ROW()/1000000)))</f>
        <v>0</v>
      </c>
      <c r="BQ535" s="32">
        <f>IF(BH535="","",IF(BK535="","",IF(YEAR(BK535)&lt;&gt;PlanYear,"",IF(BN535="","",BN535+ROW()/1000000))))</f>
        <v>0</v>
      </c>
      <c r="BR535" s="32">
        <f>IF(BH535="","",IF(BK535="","",IF(OR(BK535&lt;RepFrom,BK535&gt;RepTo),"",IF(BN535="","",BN535+ROW()/1000000))))</f>
        <v>0</v>
      </c>
      <c r="BS535" s="32">
        <f>IF(BM535="","",IF(BK535="","",IF(YEAR(BK535)&lt;&gt;PlanYear,"",BM535+ROW()/1000000)))</f>
        <v>0</v>
      </c>
      <c r="BT535" s="17">
        <f>IF(Lists!$F535="","",Lists!$F535)</f>
        <v>0</v>
      </c>
      <c r="BU535" s="23">
        <f>IF(BT535="","",COUNTIF('Content Calendar'!$X$5:$X$604,BT535))</f>
        <v>0</v>
      </c>
      <c r="BV535" s="23">
        <f>IF(BT535="","",COUNTIFS('Content Calendar'!$X$5:$X$604,BT535,'Content Calendar'!$B$5:$B$604,"&gt;="&amp;DashStart,'Content Calendar'!$B$5:$B$604,"&lt;="&amp;DashEnd))</f>
        <v>0</v>
      </c>
      <c r="BW535" s="17">
        <f>IF(Team!$B$535="","",Team!$B$535)</f>
        <v>0</v>
      </c>
      <c r="BX535" s="23">
        <f>IF(BW535="","",COUNTIF('Content Calendar'!$W$5:$W$604,BW535))</f>
        <v>0</v>
      </c>
      <c r="BY535" s="23">
        <f>IF(BW535="","",COUNTIFS('Content Calendar'!$W$5:$W$604,BW535,'Content Calendar'!$X$5:$X$604,"&lt;&gt;Published"))</f>
        <v>0</v>
      </c>
      <c r="BZ535" s="23">
        <f>IF(BW535="","",COUNTIFS(Tasks!$C$5:$C$64,BW535,Tasks!$G$5:$G$64,"&lt;&gt;Complete"))</f>
        <v>0</v>
      </c>
      <c r="CA535" s="17">
        <f>IF(Campaigns!$B$535="","",Campaigns!$B$535)</f>
        <v>0</v>
      </c>
      <c r="CB535" s="25">
        <f>IF(Campaigns!$T$535="","",Campaigns!$T$535)</f>
        <v>0</v>
      </c>
      <c r="CC535" s="25">
        <f>IF(Campaigns!$Q$535="","",Campaigns!$Q$535)</f>
        <v>0</v>
      </c>
      <c r="CD535" s="23">
        <f>IF(Campaigns!$Y$535="","",Campaigns!$Y$535)</f>
        <v>0</v>
      </c>
      <c r="CE535" s="32">
        <f>IF(CA535="","",IF(N(CB535)&lt;=0,"",N(CB535)+ROW()/1000000))</f>
        <v>0</v>
      </c>
      <c r="CF535" s="17">
        <f>IF(Accounts!$C$535="","",Accounts!$C$535)</f>
        <v>0</v>
      </c>
      <c r="CG535" s="17">
        <f>IF(Accounts!$B$535="","",Accounts!$B$535)</f>
        <v>0</v>
      </c>
      <c r="CH535" s="23">
        <f>IF(Accounts!$J$535="","",Accounts!$J$535)</f>
        <v>0</v>
      </c>
      <c r="CI535" s="23">
        <f>IF(CF535="","",SUMIFS(Analytics!$X$5:$X$154,Analytics!$E$5:$E$154,CF535,Analytics!$B$5:$B$154,"&gt;="&amp;DashStart,Analytics!$B$5:$B$154,"&lt;="&amp;DashEnd))</f>
        <v>0</v>
      </c>
      <c r="CJ535" s="32">
        <f>IF(CH535="","",IF(CH535=0,"",CH535+ROW()/1000000))</f>
        <v>0</v>
      </c>
    </row>
    <row r="536" spans="1:88">
      <c r="A536" s="16">
        <f>IF(ROW()-4&gt;12,"",DATE(PlanYear,ROW()-4,1))</f>
        <v>0</v>
      </c>
      <c r="B536" s="16">
        <f>IF(A536="","",EOMONTH(A536,0))</f>
        <v>0</v>
      </c>
      <c r="C536" s="17">
        <f>IF(A536="","",TEXT(A536,"yyyy-mm"))</f>
        <v>0</v>
      </c>
      <c r="D536" s="17">
        <f>IF(A536="","",TEXT(A536,"mmm"))</f>
        <v>0</v>
      </c>
      <c r="E536" s="23">
        <f>IF(C536="","",COUNTIFS('Content Calendar'!$D$5:$D$604,C536))</f>
        <v>0</v>
      </c>
      <c r="F536" s="23">
        <f>IF(C536="","",COUNTIFS('Content Calendar'!$D$5:$D$604,C536,'Content Calendar'!$X$5:$X$604,"Published"))</f>
        <v>0</v>
      </c>
      <c r="G536" s="23">
        <f>IF(C536="","",SUMIFS(Analytics!$J$5:$J$154,Analytics!$C$5:$C$154,C536))</f>
        <v>0</v>
      </c>
      <c r="H536" s="23">
        <f>IF(C536="","",SUMIFS(Analytics!$K$5:$K$154,Analytics!$C$5:$C$154,C536))</f>
        <v>0</v>
      </c>
      <c r="I536" s="23">
        <f>IF(C536="","",SUMIFS(Analytics!$L$5:$L$154,Analytics!$C$5:$C$154,C536))</f>
        <v>0</v>
      </c>
      <c r="J536" s="24">
        <f>IF(OR(G536="",G536=0),"",I536/G536)</f>
        <v>0</v>
      </c>
      <c r="K536" s="23">
        <f>IF(C536="","",SUMIFS(Analytics!$G$5:$G$154,Analytics!$C$5:$C$154,C536))</f>
        <v>0</v>
      </c>
      <c r="L536" s="23">
        <f>IF(C536="","",SUMIFS(Analytics!$X$5:$X$154,Analytics!$C$5:$C$154,C536))</f>
        <v>0</v>
      </c>
      <c r="M536" s="23">
        <f>IF(C536="","",SUMIFS(Analytics!$R$5:$R$154,Analytics!$C$5:$C$154,C536))</f>
        <v>0</v>
      </c>
      <c r="N536" s="23">
        <f>IF(C536="","",SUMIFS(Analytics!$S$5:$S$154,Analytics!$C$5:$C$154,C536))</f>
        <v>0</v>
      </c>
      <c r="O536" s="23">
        <f>IF(C536="","",SUMIFS(Analytics!$T$5:$T$154,Analytics!$C$5:$C$154,C536))</f>
        <v>0</v>
      </c>
      <c r="P536" s="25">
        <f>IF(C536="","",SUMIFS(Analytics!$U$5:$U$154,Analytics!$C$5:$C$154,C536))</f>
        <v>0</v>
      </c>
      <c r="Q536" s="25">
        <f>IF(C536="","",SUMIFS(Budget!$H$5:$H$64,Budget!$C$5:$C$64,C536))</f>
        <v>0</v>
      </c>
      <c r="R536" s="25">
        <f>IF(C536="","",P536-Q536)</f>
        <v>0</v>
      </c>
      <c r="S536" s="23">
        <f>IF(C536="","",MonthlyPostTarget)</f>
        <v>0</v>
      </c>
      <c r="T536" s="17">
        <f>IF(Lists!$C536="","",Lists!$C536)</f>
        <v>0</v>
      </c>
      <c r="U536" s="23">
        <f>IF(T536="","",COUNTIFS('Content Calendar'!$G$5:$G$604,T536,'Content Calendar'!$B$5:$B$604,"&gt;="&amp;DashStart,'Content Calendar'!$B$5:$B$604,"&lt;="&amp;DashEnd))</f>
        <v>0</v>
      </c>
      <c r="V536" s="23">
        <f>IF(T536="","",COUNTIFS('Content Calendar'!$G$5:$G$604,T536,'Content Calendar'!$X$5:$X$604,"Published",'Content Calendar'!$B$5:$B$604,"&gt;="&amp;DashStart,'Content Calendar'!$B$5:$B$604,"&lt;="&amp;DashEnd))</f>
        <v>0</v>
      </c>
      <c r="W536" s="23">
        <f>IF(T536="","",SUMIFS(Analytics!$J$5:$J$154,Analytics!$D$5:$D$154,T536,Analytics!$B$5:$B$154,"&gt;="&amp;DashStart,Analytics!$B$5:$B$154,"&lt;="&amp;DashEnd))</f>
        <v>0</v>
      </c>
      <c r="X536" s="23">
        <f>IF(T536="","",SUMIFS(Analytics!$L$5:$L$154,Analytics!$D$5:$D$154,T536,Analytics!$B$5:$B$154,"&gt;="&amp;DashStart,Analytics!$B$5:$B$154,"&lt;="&amp;DashEnd))</f>
        <v>0</v>
      </c>
      <c r="Y536" s="24">
        <f>IF(OR(W536="",W536=0),"",X536/W536)</f>
        <v>0</v>
      </c>
      <c r="Z536" s="23">
        <f>IF(T536="","",SUMIFS(Analytics!$G$5:$G$154,Analytics!$D$5:$D$154,T536,Analytics!$B$5:$B$154,"&gt;="&amp;DashStart,Analytics!$B$5:$B$154,"&lt;="&amp;DashEnd))</f>
        <v>0</v>
      </c>
      <c r="AA536" s="23">
        <f>IF(T536="","",SUMIFS(Analytics!$X$5:$X$154,Analytics!$D$5:$D$154,T536,Analytics!$B$5:$B$154,"&gt;="&amp;DashStart,Analytics!$B$5:$B$154,"&lt;="&amp;DashEnd))</f>
        <v>0</v>
      </c>
      <c r="AB536" s="23">
        <f>IF(T536="","",SUMIFS(Analytics!$R$5:$R$154,Analytics!$D$5:$D$154,T536,Analytics!$B$5:$B$154,"&gt;="&amp;DashStart,Analytics!$B$5:$B$154,"&lt;="&amp;DashEnd))</f>
        <v>0</v>
      </c>
      <c r="AC536" s="25">
        <f>IF(T536="","",SUMIFS(Analytics!$U$5:$U$154,Analytics!$D$5:$D$154,T536,Analytics!$B$5:$B$154,"&gt;="&amp;DashStart,Analytics!$B$5:$B$154,"&lt;="&amp;DashEnd))</f>
        <v>0</v>
      </c>
      <c r="AD536" s="23">
        <f>IF(T536="","",COUNTIFS('Content Calendar'!$G$5:$G$604,T536,'Content Calendar'!$B$5:$B$604,"&gt;="&amp;DATE(PlanYear,1,1),'Content Calendar'!$B$5:$B$604,"&lt;="&amp;DATE(PlanYear,12,31)))</f>
        <v>0</v>
      </c>
      <c r="AE536" s="23">
        <f>IF(T536="","",SUMIFS(Analytics!$J$5:$J$154,Analytics!$D$5:$D$154,T536))</f>
        <v>0</v>
      </c>
      <c r="AF536" s="23">
        <f>IF(T536="","",SUMIFS(Analytics!$L$5:$L$154,Analytics!$D$5:$D$154,T536))</f>
        <v>0</v>
      </c>
      <c r="AG536" s="24">
        <f>IF(OR(AE536="",AE536=0),"",AF536/AE536)</f>
        <v>0</v>
      </c>
      <c r="AH536" s="23">
        <f>IF(T536="","",SUMIFS(Analytics!$X$5:$X$154,Analytics!$D$5:$D$154,T536))</f>
        <v>0</v>
      </c>
      <c r="AI536" s="32">
        <f>IF(T536="","",IF(AE536=0,"",AE536+ROW()/1000000))</f>
        <v>0</v>
      </c>
      <c r="AJ536" s="17">
        <f>IF('Content Pillars'!$B$536="","",'Content Pillars'!$B$536)</f>
        <v>0</v>
      </c>
      <c r="AK536" s="23">
        <f>IF(AJ536="","",COUNTIFS('Content Calendar'!$J$5:$J$604,AJ536,'Content Calendar'!$B$5:$B$604,"&gt;="&amp;DATE(PlanYear,1,1),'Content Calendar'!$B$5:$B$604,"&lt;="&amp;DATE(PlanYear,12,31)))</f>
        <v>0</v>
      </c>
      <c r="AL536" s="23">
        <f>IF(AJ536="","",SUMIFS(Performance!$O$5:$O$404,Performance!$H$5:$H$404,AJ536))</f>
        <v>0</v>
      </c>
      <c r="AM536" s="23">
        <f>IF(AJ536="","",SUMIFS(Performance!$Z$5:$Z$404,Performance!$H$5:$H$404,AJ536))</f>
        <v>0</v>
      </c>
      <c r="AN536" s="24">
        <f>IF(OR(AL536="",AL536=0),"",AM536/AL536)</f>
        <v>0</v>
      </c>
      <c r="AO536" s="32">
        <f>IF(AN536="","",AN536+ROW()/1000000)</f>
        <v>0</v>
      </c>
      <c r="AP536" s="17">
        <f>IF(Lists!$E536="","",Lists!$E536)</f>
        <v>0</v>
      </c>
      <c r="AQ536" s="23">
        <f>IF(AP536="","",COUNTIF(Performance!$G$5:$G$404,AP536))</f>
        <v>0</v>
      </c>
      <c r="AR536" s="23">
        <f>IF(AP536="","",SUMIFS(Performance!$O$5:$O$404,Performance!$G$5:$G$404,AP536))</f>
        <v>0</v>
      </c>
      <c r="AS536" s="23">
        <f>IF(AP536="","",SUMIFS(Performance!$Z$5:$Z$404,Performance!$G$5:$G$404,AP536))</f>
        <v>0</v>
      </c>
      <c r="AT536" s="24">
        <f>IF(OR(AR536="",AR536=0),"",AS536/AR536)</f>
        <v>0</v>
      </c>
      <c r="AU536" s="32">
        <f>IF(AQ536=0,"",IF(AT536="","",AT536+ROW()/1000000))</f>
        <v>0</v>
      </c>
      <c r="AV536" s="17">
        <f>IF(ROW()-4&gt;7,"",TEXT(DATE(2024,1,ROW()-4),"ddd"))</f>
        <v>0</v>
      </c>
      <c r="AW536" s="23">
        <f>IF(AV536="","",COUNTIF(Performance!$N$5:$N$404,AV536))</f>
        <v>0</v>
      </c>
      <c r="AX536" s="23">
        <f>IF(AV536="","",SUMIFS(Performance!$O$5:$O$404,Performance!$N$5:$N$404,AV536))</f>
        <v>0</v>
      </c>
      <c r="AY536" s="23">
        <f>IF(AV536="","",SUMIFS(Performance!$Z$5:$Z$404,Performance!$N$5:$N$404,AV536))</f>
        <v>0</v>
      </c>
      <c r="AZ536" s="24">
        <f>IF(OR(AX536="",AX536=0),"",AY536/AX536)</f>
        <v>0</v>
      </c>
      <c r="BA536" s="32">
        <f>IF(AW536=0,"",IF(AZ536="","",AZ536+ROW()/1000000))</f>
        <v>0</v>
      </c>
      <c r="BB536" s="17">
        <f>IF(Lists!$AL536="","",Lists!$AL536)</f>
        <v>0</v>
      </c>
      <c r="BC536" s="23">
        <f>IF(BB536="","",COUNTIF(Performance!$M$5:$M$404,BB536))</f>
        <v>0</v>
      </c>
      <c r="BD536" s="23">
        <f>IF(BB536="","",SUMIFS(Performance!$O$5:$O$404,Performance!$M$5:$M$404,BB536))</f>
        <v>0</v>
      </c>
      <c r="BE536" s="23">
        <f>IF(BB536="","",SUMIFS(Performance!$Z$5:$Z$404,Performance!$M$5:$M$404,BB536))</f>
        <v>0</v>
      </c>
      <c r="BF536" s="24">
        <f>IF(OR(BD536="",BD536=0),"",BE536/BD536)</f>
        <v>0</v>
      </c>
      <c r="BG536" s="32">
        <f>IF(BC536=0,"",IF(BF536="","",BF536+ROW()/1000000))</f>
        <v>0</v>
      </c>
      <c r="BH536" s="17">
        <f>IF(Performance!$C$536="","",Performance!$C$536)</f>
        <v>0</v>
      </c>
      <c r="BI536" s="17">
        <f>IF(Performance!$F$536="","",Performance!$F$536)</f>
        <v>0</v>
      </c>
      <c r="BJ536" s="17">
        <f>IF(Performance!$H$536="","",Performance!$H$536)</f>
        <v>0</v>
      </c>
      <c r="BK536" s="16">
        <f>IF(Performance!$D$536="","",Performance!$D$536)</f>
        <v>0</v>
      </c>
      <c r="BL536" s="17">
        <f>IF(Performance!$E$536="","",Performance!$E$536)</f>
        <v>0</v>
      </c>
      <c r="BM536" s="23">
        <f>IF(Performance!$O$536="","",Performance!$O$536)</f>
        <v>0</v>
      </c>
      <c r="BN536" s="24">
        <f>IF(Performance!$AA$536="","",Performance!$AA$536)</f>
        <v>0</v>
      </c>
      <c r="BO536" s="32">
        <f>IF(BH536="","",IF(BK536="","",IF(OR(BK536&lt;DashStart,BK536&gt;DashEnd),"",IF(BN536="","",BN536+ROW()/1000000))))</f>
        <v>0</v>
      </c>
      <c r="BP536" s="32">
        <f>IF(BM536="","",IF(BK536="","",IF(OR(BK536&lt;DashStart,BK536&gt;DashEnd),"",BM536+ROW()/1000000)))</f>
        <v>0</v>
      </c>
      <c r="BQ536" s="32">
        <f>IF(BH536="","",IF(BK536="","",IF(YEAR(BK536)&lt;&gt;PlanYear,"",IF(BN536="","",BN536+ROW()/1000000))))</f>
        <v>0</v>
      </c>
      <c r="BR536" s="32">
        <f>IF(BH536="","",IF(BK536="","",IF(OR(BK536&lt;RepFrom,BK536&gt;RepTo),"",IF(BN536="","",BN536+ROW()/1000000))))</f>
        <v>0</v>
      </c>
      <c r="BS536" s="32">
        <f>IF(BM536="","",IF(BK536="","",IF(YEAR(BK536)&lt;&gt;PlanYear,"",BM536+ROW()/1000000)))</f>
        <v>0</v>
      </c>
      <c r="BT536" s="17">
        <f>IF(Lists!$F536="","",Lists!$F536)</f>
        <v>0</v>
      </c>
      <c r="BU536" s="23">
        <f>IF(BT536="","",COUNTIF('Content Calendar'!$X$5:$X$604,BT536))</f>
        <v>0</v>
      </c>
      <c r="BV536" s="23">
        <f>IF(BT536="","",COUNTIFS('Content Calendar'!$X$5:$X$604,BT536,'Content Calendar'!$B$5:$B$604,"&gt;="&amp;DashStart,'Content Calendar'!$B$5:$B$604,"&lt;="&amp;DashEnd))</f>
        <v>0</v>
      </c>
      <c r="BW536" s="17">
        <f>IF(Team!$B$536="","",Team!$B$536)</f>
        <v>0</v>
      </c>
      <c r="BX536" s="23">
        <f>IF(BW536="","",COUNTIF('Content Calendar'!$W$5:$W$604,BW536))</f>
        <v>0</v>
      </c>
      <c r="BY536" s="23">
        <f>IF(BW536="","",COUNTIFS('Content Calendar'!$W$5:$W$604,BW536,'Content Calendar'!$X$5:$X$604,"&lt;&gt;Published"))</f>
        <v>0</v>
      </c>
      <c r="BZ536" s="23">
        <f>IF(BW536="","",COUNTIFS(Tasks!$C$5:$C$64,BW536,Tasks!$G$5:$G$64,"&lt;&gt;Complete"))</f>
        <v>0</v>
      </c>
      <c r="CA536" s="17">
        <f>IF(Campaigns!$B$536="","",Campaigns!$B$536)</f>
        <v>0</v>
      </c>
      <c r="CB536" s="25">
        <f>IF(Campaigns!$T$536="","",Campaigns!$T$536)</f>
        <v>0</v>
      </c>
      <c r="CC536" s="25">
        <f>IF(Campaigns!$Q$536="","",Campaigns!$Q$536)</f>
        <v>0</v>
      </c>
      <c r="CD536" s="23">
        <f>IF(Campaigns!$Y$536="","",Campaigns!$Y$536)</f>
        <v>0</v>
      </c>
      <c r="CE536" s="32">
        <f>IF(CA536="","",IF(N(CB536)&lt;=0,"",N(CB536)+ROW()/1000000))</f>
        <v>0</v>
      </c>
      <c r="CF536" s="17">
        <f>IF(Accounts!$C$536="","",Accounts!$C$536)</f>
        <v>0</v>
      </c>
      <c r="CG536" s="17">
        <f>IF(Accounts!$B$536="","",Accounts!$B$536)</f>
        <v>0</v>
      </c>
      <c r="CH536" s="23">
        <f>IF(Accounts!$J$536="","",Accounts!$J$536)</f>
        <v>0</v>
      </c>
      <c r="CI536" s="23">
        <f>IF(CF536="","",SUMIFS(Analytics!$X$5:$X$154,Analytics!$E$5:$E$154,CF536,Analytics!$B$5:$B$154,"&gt;="&amp;DashStart,Analytics!$B$5:$B$154,"&lt;="&amp;DashEnd))</f>
        <v>0</v>
      </c>
      <c r="CJ536" s="32">
        <f>IF(CH536="","",IF(CH536=0,"",CH536+ROW()/1000000))</f>
        <v>0</v>
      </c>
    </row>
    <row r="537" spans="1:88">
      <c r="A537" s="16">
        <f>IF(ROW()-4&gt;12,"",DATE(PlanYear,ROW()-4,1))</f>
        <v>0</v>
      </c>
      <c r="B537" s="16">
        <f>IF(A537="","",EOMONTH(A537,0))</f>
        <v>0</v>
      </c>
      <c r="C537" s="17">
        <f>IF(A537="","",TEXT(A537,"yyyy-mm"))</f>
        <v>0</v>
      </c>
      <c r="D537" s="17">
        <f>IF(A537="","",TEXT(A537,"mmm"))</f>
        <v>0</v>
      </c>
      <c r="E537" s="23">
        <f>IF(C537="","",COUNTIFS('Content Calendar'!$D$5:$D$604,C537))</f>
        <v>0</v>
      </c>
      <c r="F537" s="23">
        <f>IF(C537="","",COUNTIFS('Content Calendar'!$D$5:$D$604,C537,'Content Calendar'!$X$5:$X$604,"Published"))</f>
        <v>0</v>
      </c>
      <c r="G537" s="23">
        <f>IF(C537="","",SUMIFS(Analytics!$J$5:$J$154,Analytics!$C$5:$C$154,C537))</f>
        <v>0</v>
      </c>
      <c r="H537" s="23">
        <f>IF(C537="","",SUMIFS(Analytics!$K$5:$K$154,Analytics!$C$5:$C$154,C537))</f>
        <v>0</v>
      </c>
      <c r="I537" s="23">
        <f>IF(C537="","",SUMIFS(Analytics!$L$5:$L$154,Analytics!$C$5:$C$154,C537))</f>
        <v>0</v>
      </c>
      <c r="J537" s="24">
        <f>IF(OR(G537="",G537=0),"",I537/G537)</f>
        <v>0</v>
      </c>
      <c r="K537" s="23">
        <f>IF(C537="","",SUMIFS(Analytics!$G$5:$G$154,Analytics!$C$5:$C$154,C537))</f>
        <v>0</v>
      </c>
      <c r="L537" s="23">
        <f>IF(C537="","",SUMIFS(Analytics!$X$5:$X$154,Analytics!$C$5:$C$154,C537))</f>
        <v>0</v>
      </c>
      <c r="M537" s="23">
        <f>IF(C537="","",SUMIFS(Analytics!$R$5:$R$154,Analytics!$C$5:$C$154,C537))</f>
        <v>0</v>
      </c>
      <c r="N537" s="23">
        <f>IF(C537="","",SUMIFS(Analytics!$S$5:$S$154,Analytics!$C$5:$C$154,C537))</f>
        <v>0</v>
      </c>
      <c r="O537" s="23">
        <f>IF(C537="","",SUMIFS(Analytics!$T$5:$T$154,Analytics!$C$5:$C$154,C537))</f>
        <v>0</v>
      </c>
      <c r="P537" s="25">
        <f>IF(C537="","",SUMIFS(Analytics!$U$5:$U$154,Analytics!$C$5:$C$154,C537))</f>
        <v>0</v>
      </c>
      <c r="Q537" s="25">
        <f>IF(C537="","",SUMIFS(Budget!$H$5:$H$64,Budget!$C$5:$C$64,C537))</f>
        <v>0</v>
      </c>
      <c r="R537" s="25">
        <f>IF(C537="","",P537-Q537)</f>
        <v>0</v>
      </c>
      <c r="S537" s="23">
        <f>IF(C537="","",MonthlyPostTarget)</f>
        <v>0</v>
      </c>
      <c r="T537" s="17">
        <f>IF(Lists!$C537="","",Lists!$C537)</f>
        <v>0</v>
      </c>
      <c r="U537" s="23">
        <f>IF(T537="","",COUNTIFS('Content Calendar'!$G$5:$G$604,T537,'Content Calendar'!$B$5:$B$604,"&gt;="&amp;DashStart,'Content Calendar'!$B$5:$B$604,"&lt;="&amp;DashEnd))</f>
        <v>0</v>
      </c>
      <c r="V537" s="23">
        <f>IF(T537="","",COUNTIFS('Content Calendar'!$G$5:$G$604,T537,'Content Calendar'!$X$5:$X$604,"Published",'Content Calendar'!$B$5:$B$604,"&gt;="&amp;DashStart,'Content Calendar'!$B$5:$B$604,"&lt;="&amp;DashEnd))</f>
        <v>0</v>
      </c>
      <c r="W537" s="23">
        <f>IF(T537="","",SUMIFS(Analytics!$J$5:$J$154,Analytics!$D$5:$D$154,T537,Analytics!$B$5:$B$154,"&gt;="&amp;DashStart,Analytics!$B$5:$B$154,"&lt;="&amp;DashEnd))</f>
        <v>0</v>
      </c>
      <c r="X537" s="23">
        <f>IF(T537="","",SUMIFS(Analytics!$L$5:$L$154,Analytics!$D$5:$D$154,T537,Analytics!$B$5:$B$154,"&gt;="&amp;DashStart,Analytics!$B$5:$B$154,"&lt;="&amp;DashEnd))</f>
        <v>0</v>
      </c>
      <c r="Y537" s="24">
        <f>IF(OR(W537="",W537=0),"",X537/W537)</f>
        <v>0</v>
      </c>
      <c r="Z537" s="23">
        <f>IF(T537="","",SUMIFS(Analytics!$G$5:$G$154,Analytics!$D$5:$D$154,T537,Analytics!$B$5:$B$154,"&gt;="&amp;DashStart,Analytics!$B$5:$B$154,"&lt;="&amp;DashEnd))</f>
        <v>0</v>
      </c>
      <c r="AA537" s="23">
        <f>IF(T537="","",SUMIFS(Analytics!$X$5:$X$154,Analytics!$D$5:$D$154,T537,Analytics!$B$5:$B$154,"&gt;="&amp;DashStart,Analytics!$B$5:$B$154,"&lt;="&amp;DashEnd))</f>
        <v>0</v>
      </c>
      <c r="AB537" s="23">
        <f>IF(T537="","",SUMIFS(Analytics!$R$5:$R$154,Analytics!$D$5:$D$154,T537,Analytics!$B$5:$B$154,"&gt;="&amp;DashStart,Analytics!$B$5:$B$154,"&lt;="&amp;DashEnd))</f>
        <v>0</v>
      </c>
      <c r="AC537" s="25">
        <f>IF(T537="","",SUMIFS(Analytics!$U$5:$U$154,Analytics!$D$5:$D$154,T537,Analytics!$B$5:$B$154,"&gt;="&amp;DashStart,Analytics!$B$5:$B$154,"&lt;="&amp;DashEnd))</f>
        <v>0</v>
      </c>
      <c r="AD537" s="23">
        <f>IF(T537="","",COUNTIFS('Content Calendar'!$G$5:$G$604,T537,'Content Calendar'!$B$5:$B$604,"&gt;="&amp;DATE(PlanYear,1,1),'Content Calendar'!$B$5:$B$604,"&lt;="&amp;DATE(PlanYear,12,31)))</f>
        <v>0</v>
      </c>
      <c r="AE537" s="23">
        <f>IF(T537="","",SUMIFS(Analytics!$J$5:$J$154,Analytics!$D$5:$D$154,T537))</f>
        <v>0</v>
      </c>
      <c r="AF537" s="23">
        <f>IF(T537="","",SUMIFS(Analytics!$L$5:$L$154,Analytics!$D$5:$D$154,T537))</f>
        <v>0</v>
      </c>
      <c r="AG537" s="24">
        <f>IF(OR(AE537="",AE537=0),"",AF537/AE537)</f>
        <v>0</v>
      </c>
      <c r="AH537" s="23">
        <f>IF(T537="","",SUMIFS(Analytics!$X$5:$X$154,Analytics!$D$5:$D$154,T537))</f>
        <v>0</v>
      </c>
      <c r="AI537" s="32">
        <f>IF(T537="","",IF(AE537=0,"",AE537+ROW()/1000000))</f>
        <v>0</v>
      </c>
      <c r="AJ537" s="17">
        <f>IF('Content Pillars'!$B$537="","",'Content Pillars'!$B$537)</f>
        <v>0</v>
      </c>
      <c r="AK537" s="23">
        <f>IF(AJ537="","",COUNTIFS('Content Calendar'!$J$5:$J$604,AJ537,'Content Calendar'!$B$5:$B$604,"&gt;="&amp;DATE(PlanYear,1,1),'Content Calendar'!$B$5:$B$604,"&lt;="&amp;DATE(PlanYear,12,31)))</f>
        <v>0</v>
      </c>
      <c r="AL537" s="23">
        <f>IF(AJ537="","",SUMIFS(Performance!$O$5:$O$404,Performance!$H$5:$H$404,AJ537))</f>
        <v>0</v>
      </c>
      <c r="AM537" s="23">
        <f>IF(AJ537="","",SUMIFS(Performance!$Z$5:$Z$404,Performance!$H$5:$H$404,AJ537))</f>
        <v>0</v>
      </c>
      <c r="AN537" s="24">
        <f>IF(OR(AL537="",AL537=0),"",AM537/AL537)</f>
        <v>0</v>
      </c>
      <c r="AO537" s="32">
        <f>IF(AN537="","",AN537+ROW()/1000000)</f>
        <v>0</v>
      </c>
      <c r="AP537" s="17">
        <f>IF(Lists!$E537="","",Lists!$E537)</f>
        <v>0</v>
      </c>
      <c r="AQ537" s="23">
        <f>IF(AP537="","",COUNTIF(Performance!$G$5:$G$404,AP537))</f>
        <v>0</v>
      </c>
      <c r="AR537" s="23">
        <f>IF(AP537="","",SUMIFS(Performance!$O$5:$O$404,Performance!$G$5:$G$404,AP537))</f>
        <v>0</v>
      </c>
      <c r="AS537" s="23">
        <f>IF(AP537="","",SUMIFS(Performance!$Z$5:$Z$404,Performance!$G$5:$G$404,AP537))</f>
        <v>0</v>
      </c>
      <c r="AT537" s="24">
        <f>IF(OR(AR537="",AR537=0),"",AS537/AR537)</f>
        <v>0</v>
      </c>
      <c r="AU537" s="32">
        <f>IF(AQ537=0,"",IF(AT537="","",AT537+ROW()/1000000))</f>
        <v>0</v>
      </c>
      <c r="AV537" s="17">
        <f>IF(ROW()-4&gt;7,"",TEXT(DATE(2024,1,ROW()-4),"ddd"))</f>
        <v>0</v>
      </c>
      <c r="AW537" s="23">
        <f>IF(AV537="","",COUNTIF(Performance!$N$5:$N$404,AV537))</f>
        <v>0</v>
      </c>
      <c r="AX537" s="23">
        <f>IF(AV537="","",SUMIFS(Performance!$O$5:$O$404,Performance!$N$5:$N$404,AV537))</f>
        <v>0</v>
      </c>
      <c r="AY537" s="23">
        <f>IF(AV537="","",SUMIFS(Performance!$Z$5:$Z$404,Performance!$N$5:$N$404,AV537))</f>
        <v>0</v>
      </c>
      <c r="AZ537" s="24">
        <f>IF(OR(AX537="",AX537=0),"",AY537/AX537)</f>
        <v>0</v>
      </c>
      <c r="BA537" s="32">
        <f>IF(AW537=0,"",IF(AZ537="","",AZ537+ROW()/1000000))</f>
        <v>0</v>
      </c>
      <c r="BB537" s="17">
        <f>IF(Lists!$AL537="","",Lists!$AL537)</f>
        <v>0</v>
      </c>
      <c r="BC537" s="23">
        <f>IF(BB537="","",COUNTIF(Performance!$M$5:$M$404,BB537))</f>
        <v>0</v>
      </c>
      <c r="BD537" s="23">
        <f>IF(BB537="","",SUMIFS(Performance!$O$5:$O$404,Performance!$M$5:$M$404,BB537))</f>
        <v>0</v>
      </c>
      <c r="BE537" s="23">
        <f>IF(BB537="","",SUMIFS(Performance!$Z$5:$Z$404,Performance!$M$5:$M$404,BB537))</f>
        <v>0</v>
      </c>
      <c r="BF537" s="24">
        <f>IF(OR(BD537="",BD537=0),"",BE537/BD537)</f>
        <v>0</v>
      </c>
      <c r="BG537" s="32">
        <f>IF(BC537=0,"",IF(BF537="","",BF537+ROW()/1000000))</f>
        <v>0</v>
      </c>
      <c r="BH537" s="17">
        <f>IF(Performance!$C$537="","",Performance!$C$537)</f>
        <v>0</v>
      </c>
      <c r="BI537" s="17">
        <f>IF(Performance!$F$537="","",Performance!$F$537)</f>
        <v>0</v>
      </c>
      <c r="BJ537" s="17">
        <f>IF(Performance!$H$537="","",Performance!$H$537)</f>
        <v>0</v>
      </c>
      <c r="BK537" s="16">
        <f>IF(Performance!$D$537="","",Performance!$D$537)</f>
        <v>0</v>
      </c>
      <c r="BL537" s="17">
        <f>IF(Performance!$E$537="","",Performance!$E$537)</f>
        <v>0</v>
      </c>
      <c r="BM537" s="23">
        <f>IF(Performance!$O$537="","",Performance!$O$537)</f>
        <v>0</v>
      </c>
      <c r="BN537" s="24">
        <f>IF(Performance!$AA$537="","",Performance!$AA$537)</f>
        <v>0</v>
      </c>
      <c r="BO537" s="32">
        <f>IF(BH537="","",IF(BK537="","",IF(OR(BK537&lt;DashStart,BK537&gt;DashEnd),"",IF(BN537="","",BN537+ROW()/1000000))))</f>
        <v>0</v>
      </c>
      <c r="BP537" s="32">
        <f>IF(BM537="","",IF(BK537="","",IF(OR(BK537&lt;DashStart,BK537&gt;DashEnd),"",BM537+ROW()/1000000)))</f>
        <v>0</v>
      </c>
      <c r="BQ537" s="32">
        <f>IF(BH537="","",IF(BK537="","",IF(YEAR(BK537)&lt;&gt;PlanYear,"",IF(BN537="","",BN537+ROW()/1000000))))</f>
        <v>0</v>
      </c>
      <c r="BR537" s="32">
        <f>IF(BH537="","",IF(BK537="","",IF(OR(BK537&lt;RepFrom,BK537&gt;RepTo),"",IF(BN537="","",BN537+ROW()/1000000))))</f>
        <v>0</v>
      </c>
      <c r="BS537" s="32">
        <f>IF(BM537="","",IF(BK537="","",IF(YEAR(BK537)&lt;&gt;PlanYear,"",BM537+ROW()/1000000)))</f>
        <v>0</v>
      </c>
      <c r="BT537" s="17">
        <f>IF(Lists!$F537="","",Lists!$F537)</f>
        <v>0</v>
      </c>
      <c r="BU537" s="23">
        <f>IF(BT537="","",COUNTIF('Content Calendar'!$X$5:$X$604,BT537))</f>
        <v>0</v>
      </c>
      <c r="BV537" s="23">
        <f>IF(BT537="","",COUNTIFS('Content Calendar'!$X$5:$X$604,BT537,'Content Calendar'!$B$5:$B$604,"&gt;="&amp;DashStart,'Content Calendar'!$B$5:$B$604,"&lt;="&amp;DashEnd))</f>
        <v>0</v>
      </c>
      <c r="BW537" s="17">
        <f>IF(Team!$B$537="","",Team!$B$537)</f>
        <v>0</v>
      </c>
      <c r="BX537" s="23">
        <f>IF(BW537="","",COUNTIF('Content Calendar'!$W$5:$W$604,BW537))</f>
        <v>0</v>
      </c>
      <c r="BY537" s="23">
        <f>IF(BW537="","",COUNTIFS('Content Calendar'!$W$5:$W$604,BW537,'Content Calendar'!$X$5:$X$604,"&lt;&gt;Published"))</f>
        <v>0</v>
      </c>
      <c r="BZ537" s="23">
        <f>IF(BW537="","",COUNTIFS(Tasks!$C$5:$C$64,BW537,Tasks!$G$5:$G$64,"&lt;&gt;Complete"))</f>
        <v>0</v>
      </c>
      <c r="CA537" s="17">
        <f>IF(Campaigns!$B$537="","",Campaigns!$B$537)</f>
        <v>0</v>
      </c>
      <c r="CB537" s="25">
        <f>IF(Campaigns!$T$537="","",Campaigns!$T$537)</f>
        <v>0</v>
      </c>
      <c r="CC537" s="25">
        <f>IF(Campaigns!$Q$537="","",Campaigns!$Q$537)</f>
        <v>0</v>
      </c>
      <c r="CD537" s="23">
        <f>IF(Campaigns!$Y$537="","",Campaigns!$Y$537)</f>
        <v>0</v>
      </c>
      <c r="CE537" s="32">
        <f>IF(CA537="","",IF(N(CB537)&lt;=0,"",N(CB537)+ROW()/1000000))</f>
        <v>0</v>
      </c>
      <c r="CF537" s="17">
        <f>IF(Accounts!$C$537="","",Accounts!$C$537)</f>
        <v>0</v>
      </c>
      <c r="CG537" s="17">
        <f>IF(Accounts!$B$537="","",Accounts!$B$537)</f>
        <v>0</v>
      </c>
      <c r="CH537" s="23">
        <f>IF(Accounts!$J$537="","",Accounts!$J$537)</f>
        <v>0</v>
      </c>
      <c r="CI537" s="23">
        <f>IF(CF537="","",SUMIFS(Analytics!$X$5:$X$154,Analytics!$E$5:$E$154,CF537,Analytics!$B$5:$B$154,"&gt;="&amp;DashStart,Analytics!$B$5:$B$154,"&lt;="&amp;DashEnd))</f>
        <v>0</v>
      </c>
      <c r="CJ537" s="32">
        <f>IF(CH537="","",IF(CH537=0,"",CH537+ROW()/1000000))</f>
        <v>0</v>
      </c>
    </row>
    <row r="538" spans="1:88">
      <c r="A538" s="16">
        <f>IF(ROW()-4&gt;12,"",DATE(PlanYear,ROW()-4,1))</f>
        <v>0</v>
      </c>
      <c r="B538" s="16">
        <f>IF(A538="","",EOMONTH(A538,0))</f>
        <v>0</v>
      </c>
      <c r="C538" s="17">
        <f>IF(A538="","",TEXT(A538,"yyyy-mm"))</f>
        <v>0</v>
      </c>
      <c r="D538" s="17">
        <f>IF(A538="","",TEXT(A538,"mmm"))</f>
        <v>0</v>
      </c>
      <c r="E538" s="23">
        <f>IF(C538="","",COUNTIFS('Content Calendar'!$D$5:$D$604,C538))</f>
        <v>0</v>
      </c>
      <c r="F538" s="23">
        <f>IF(C538="","",COUNTIFS('Content Calendar'!$D$5:$D$604,C538,'Content Calendar'!$X$5:$X$604,"Published"))</f>
        <v>0</v>
      </c>
      <c r="G538" s="23">
        <f>IF(C538="","",SUMIFS(Analytics!$J$5:$J$154,Analytics!$C$5:$C$154,C538))</f>
        <v>0</v>
      </c>
      <c r="H538" s="23">
        <f>IF(C538="","",SUMIFS(Analytics!$K$5:$K$154,Analytics!$C$5:$C$154,C538))</f>
        <v>0</v>
      </c>
      <c r="I538" s="23">
        <f>IF(C538="","",SUMIFS(Analytics!$L$5:$L$154,Analytics!$C$5:$C$154,C538))</f>
        <v>0</v>
      </c>
      <c r="J538" s="24">
        <f>IF(OR(G538="",G538=0),"",I538/G538)</f>
        <v>0</v>
      </c>
      <c r="K538" s="23">
        <f>IF(C538="","",SUMIFS(Analytics!$G$5:$G$154,Analytics!$C$5:$C$154,C538))</f>
        <v>0</v>
      </c>
      <c r="L538" s="23">
        <f>IF(C538="","",SUMIFS(Analytics!$X$5:$X$154,Analytics!$C$5:$C$154,C538))</f>
        <v>0</v>
      </c>
      <c r="M538" s="23">
        <f>IF(C538="","",SUMIFS(Analytics!$R$5:$R$154,Analytics!$C$5:$C$154,C538))</f>
        <v>0</v>
      </c>
      <c r="N538" s="23">
        <f>IF(C538="","",SUMIFS(Analytics!$S$5:$S$154,Analytics!$C$5:$C$154,C538))</f>
        <v>0</v>
      </c>
      <c r="O538" s="23">
        <f>IF(C538="","",SUMIFS(Analytics!$T$5:$T$154,Analytics!$C$5:$C$154,C538))</f>
        <v>0</v>
      </c>
      <c r="P538" s="25">
        <f>IF(C538="","",SUMIFS(Analytics!$U$5:$U$154,Analytics!$C$5:$C$154,C538))</f>
        <v>0</v>
      </c>
      <c r="Q538" s="25">
        <f>IF(C538="","",SUMIFS(Budget!$H$5:$H$64,Budget!$C$5:$C$64,C538))</f>
        <v>0</v>
      </c>
      <c r="R538" s="25">
        <f>IF(C538="","",P538-Q538)</f>
        <v>0</v>
      </c>
      <c r="S538" s="23">
        <f>IF(C538="","",MonthlyPostTarget)</f>
        <v>0</v>
      </c>
      <c r="T538" s="17">
        <f>IF(Lists!$C538="","",Lists!$C538)</f>
        <v>0</v>
      </c>
      <c r="U538" s="23">
        <f>IF(T538="","",COUNTIFS('Content Calendar'!$G$5:$G$604,T538,'Content Calendar'!$B$5:$B$604,"&gt;="&amp;DashStart,'Content Calendar'!$B$5:$B$604,"&lt;="&amp;DashEnd))</f>
        <v>0</v>
      </c>
      <c r="V538" s="23">
        <f>IF(T538="","",COUNTIFS('Content Calendar'!$G$5:$G$604,T538,'Content Calendar'!$X$5:$X$604,"Published",'Content Calendar'!$B$5:$B$604,"&gt;="&amp;DashStart,'Content Calendar'!$B$5:$B$604,"&lt;="&amp;DashEnd))</f>
        <v>0</v>
      </c>
      <c r="W538" s="23">
        <f>IF(T538="","",SUMIFS(Analytics!$J$5:$J$154,Analytics!$D$5:$D$154,T538,Analytics!$B$5:$B$154,"&gt;="&amp;DashStart,Analytics!$B$5:$B$154,"&lt;="&amp;DashEnd))</f>
        <v>0</v>
      </c>
      <c r="X538" s="23">
        <f>IF(T538="","",SUMIFS(Analytics!$L$5:$L$154,Analytics!$D$5:$D$154,T538,Analytics!$B$5:$B$154,"&gt;="&amp;DashStart,Analytics!$B$5:$B$154,"&lt;="&amp;DashEnd))</f>
        <v>0</v>
      </c>
      <c r="Y538" s="24">
        <f>IF(OR(W538="",W538=0),"",X538/W538)</f>
        <v>0</v>
      </c>
      <c r="Z538" s="23">
        <f>IF(T538="","",SUMIFS(Analytics!$G$5:$G$154,Analytics!$D$5:$D$154,T538,Analytics!$B$5:$B$154,"&gt;="&amp;DashStart,Analytics!$B$5:$B$154,"&lt;="&amp;DashEnd))</f>
        <v>0</v>
      </c>
      <c r="AA538" s="23">
        <f>IF(T538="","",SUMIFS(Analytics!$X$5:$X$154,Analytics!$D$5:$D$154,T538,Analytics!$B$5:$B$154,"&gt;="&amp;DashStart,Analytics!$B$5:$B$154,"&lt;="&amp;DashEnd))</f>
        <v>0</v>
      </c>
      <c r="AB538" s="23">
        <f>IF(T538="","",SUMIFS(Analytics!$R$5:$R$154,Analytics!$D$5:$D$154,T538,Analytics!$B$5:$B$154,"&gt;="&amp;DashStart,Analytics!$B$5:$B$154,"&lt;="&amp;DashEnd))</f>
        <v>0</v>
      </c>
      <c r="AC538" s="25">
        <f>IF(T538="","",SUMIFS(Analytics!$U$5:$U$154,Analytics!$D$5:$D$154,T538,Analytics!$B$5:$B$154,"&gt;="&amp;DashStart,Analytics!$B$5:$B$154,"&lt;="&amp;DashEnd))</f>
        <v>0</v>
      </c>
      <c r="AD538" s="23">
        <f>IF(T538="","",COUNTIFS('Content Calendar'!$G$5:$G$604,T538,'Content Calendar'!$B$5:$B$604,"&gt;="&amp;DATE(PlanYear,1,1),'Content Calendar'!$B$5:$B$604,"&lt;="&amp;DATE(PlanYear,12,31)))</f>
        <v>0</v>
      </c>
      <c r="AE538" s="23">
        <f>IF(T538="","",SUMIFS(Analytics!$J$5:$J$154,Analytics!$D$5:$D$154,T538))</f>
        <v>0</v>
      </c>
      <c r="AF538" s="23">
        <f>IF(T538="","",SUMIFS(Analytics!$L$5:$L$154,Analytics!$D$5:$D$154,T538))</f>
        <v>0</v>
      </c>
      <c r="AG538" s="24">
        <f>IF(OR(AE538="",AE538=0),"",AF538/AE538)</f>
        <v>0</v>
      </c>
      <c r="AH538" s="23">
        <f>IF(T538="","",SUMIFS(Analytics!$X$5:$X$154,Analytics!$D$5:$D$154,T538))</f>
        <v>0</v>
      </c>
      <c r="AI538" s="32">
        <f>IF(T538="","",IF(AE538=0,"",AE538+ROW()/1000000))</f>
        <v>0</v>
      </c>
      <c r="AJ538" s="17">
        <f>IF('Content Pillars'!$B$538="","",'Content Pillars'!$B$538)</f>
        <v>0</v>
      </c>
      <c r="AK538" s="23">
        <f>IF(AJ538="","",COUNTIFS('Content Calendar'!$J$5:$J$604,AJ538,'Content Calendar'!$B$5:$B$604,"&gt;="&amp;DATE(PlanYear,1,1),'Content Calendar'!$B$5:$B$604,"&lt;="&amp;DATE(PlanYear,12,31)))</f>
        <v>0</v>
      </c>
      <c r="AL538" s="23">
        <f>IF(AJ538="","",SUMIFS(Performance!$O$5:$O$404,Performance!$H$5:$H$404,AJ538))</f>
        <v>0</v>
      </c>
      <c r="AM538" s="23">
        <f>IF(AJ538="","",SUMIFS(Performance!$Z$5:$Z$404,Performance!$H$5:$H$404,AJ538))</f>
        <v>0</v>
      </c>
      <c r="AN538" s="24">
        <f>IF(OR(AL538="",AL538=0),"",AM538/AL538)</f>
        <v>0</v>
      </c>
      <c r="AO538" s="32">
        <f>IF(AN538="","",AN538+ROW()/1000000)</f>
        <v>0</v>
      </c>
      <c r="AP538" s="17">
        <f>IF(Lists!$E538="","",Lists!$E538)</f>
        <v>0</v>
      </c>
      <c r="AQ538" s="23">
        <f>IF(AP538="","",COUNTIF(Performance!$G$5:$G$404,AP538))</f>
        <v>0</v>
      </c>
      <c r="AR538" s="23">
        <f>IF(AP538="","",SUMIFS(Performance!$O$5:$O$404,Performance!$G$5:$G$404,AP538))</f>
        <v>0</v>
      </c>
      <c r="AS538" s="23">
        <f>IF(AP538="","",SUMIFS(Performance!$Z$5:$Z$404,Performance!$G$5:$G$404,AP538))</f>
        <v>0</v>
      </c>
      <c r="AT538" s="24">
        <f>IF(OR(AR538="",AR538=0),"",AS538/AR538)</f>
        <v>0</v>
      </c>
      <c r="AU538" s="32">
        <f>IF(AQ538=0,"",IF(AT538="","",AT538+ROW()/1000000))</f>
        <v>0</v>
      </c>
      <c r="AV538" s="17">
        <f>IF(ROW()-4&gt;7,"",TEXT(DATE(2024,1,ROW()-4),"ddd"))</f>
        <v>0</v>
      </c>
      <c r="AW538" s="23">
        <f>IF(AV538="","",COUNTIF(Performance!$N$5:$N$404,AV538))</f>
        <v>0</v>
      </c>
      <c r="AX538" s="23">
        <f>IF(AV538="","",SUMIFS(Performance!$O$5:$O$404,Performance!$N$5:$N$404,AV538))</f>
        <v>0</v>
      </c>
      <c r="AY538" s="23">
        <f>IF(AV538="","",SUMIFS(Performance!$Z$5:$Z$404,Performance!$N$5:$N$404,AV538))</f>
        <v>0</v>
      </c>
      <c r="AZ538" s="24">
        <f>IF(OR(AX538="",AX538=0),"",AY538/AX538)</f>
        <v>0</v>
      </c>
      <c r="BA538" s="32">
        <f>IF(AW538=0,"",IF(AZ538="","",AZ538+ROW()/1000000))</f>
        <v>0</v>
      </c>
      <c r="BB538" s="17">
        <f>IF(Lists!$AL538="","",Lists!$AL538)</f>
        <v>0</v>
      </c>
      <c r="BC538" s="23">
        <f>IF(BB538="","",COUNTIF(Performance!$M$5:$M$404,BB538))</f>
        <v>0</v>
      </c>
      <c r="BD538" s="23">
        <f>IF(BB538="","",SUMIFS(Performance!$O$5:$O$404,Performance!$M$5:$M$404,BB538))</f>
        <v>0</v>
      </c>
      <c r="BE538" s="23">
        <f>IF(BB538="","",SUMIFS(Performance!$Z$5:$Z$404,Performance!$M$5:$M$404,BB538))</f>
        <v>0</v>
      </c>
      <c r="BF538" s="24">
        <f>IF(OR(BD538="",BD538=0),"",BE538/BD538)</f>
        <v>0</v>
      </c>
      <c r="BG538" s="32">
        <f>IF(BC538=0,"",IF(BF538="","",BF538+ROW()/1000000))</f>
        <v>0</v>
      </c>
      <c r="BH538" s="17">
        <f>IF(Performance!$C$538="","",Performance!$C$538)</f>
        <v>0</v>
      </c>
      <c r="BI538" s="17">
        <f>IF(Performance!$F$538="","",Performance!$F$538)</f>
        <v>0</v>
      </c>
      <c r="BJ538" s="17">
        <f>IF(Performance!$H$538="","",Performance!$H$538)</f>
        <v>0</v>
      </c>
      <c r="BK538" s="16">
        <f>IF(Performance!$D$538="","",Performance!$D$538)</f>
        <v>0</v>
      </c>
      <c r="BL538" s="17">
        <f>IF(Performance!$E$538="","",Performance!$E$538)</f>
        <v>0</v>
      </c>
      <c r="BM538" s="23">
        <f>IF(Performance!$O$538="","",Performance!$O$538)</f>
        <v>0</v>
      </c>
      <c r="BN538" s="24">
        <f>IF(Performance!$AA$538="","",Performance!$AA$538)</f>
        <v>0</v>
      </c>
      <c r="BO538" s="32">
        <f>IF(BH538="","",IF(BK538="","",IF(OR(BK538&lt;DashStart,BK538&gt;DashEnd),"",IF(BN538="","",BN538+ROW()/1000000))))</f>
        <v>0</v>
      </c>
      <c r="BP538" s="32">
        <f>IF(BM538="","",IF(BK538="","",IF(OR(BK538&lt;DashStart,BK538&gt;DashEnd),"",BM538+ROW()/1000000)))</f>
        <v>0</v>
      </c>
      <c r="BQ538" s="32">
        <f>IF(BH538="","",IF(BK538="","",IF(YEAR(BK538)&lt;&gt;PlanYear,"",IF(BN538="","",BN538+ROW()/1000000))))</f>
        <v>0</v>
      </c>
      <c r="BR538" s="32">
        <f>IF(BH538="","",IF(BK538="","",IF(OR(BK538&lt;RepFrom,BK538&gt;RepTo),"",IF(BN538="","",BN538+ROW()/1000000))))</f>
        <v>0</v>
      </c>
      <c r="BS538" s="32">
        <f>IF(BM538="","",IF(BK538="","",IF(YEAR(BK538)&lt;&gt;PlanYear,"",BM538+ROW()/1000000)))</f>
        <v>0</v>
      </c>
      <c r="BT538" s="17">
        <f>IF(Lists!$F538="","",Lists!$F538)</f>
        <v>0</v>
      </c>
      <c r="BU538" s="23">
        <f>IF(BT538="","",COUNTIF('Content Calendar'!$X$5:$X$604,BT538))</f>
        <v>0</v>
      </c>
      <c r="BV538" s="23">
        <f>IF(BT538="","",COUNTIFS('Content Calendar'!$X$5:$X$604,BT538,'Content Calendar'!$B$5:$B$604,"&gt;="&amp;DashStart,'Content Calendar'!$B$5:$B$604,"&lt;="&amp;DashEnd))</f>
        <v>0</v>
      </c>
      <c r="BW538" s="17">
        <f>IF(Team!$B$538="","",Team!$B$538)</f>
        <v>0</v>
      </c>
      <c r="BX538" s="23">
        <f>IF(BW538="","",COUNTIF('Content Calendar'!$W$5:$W$604,BW538))</f>
        <v>0</v>
      </c>
      <c r="BY538" s="23">
        <f>IF(BW538="","",COUNTIFS('Content Calendar'!$W$5:$W$604,BW538,'Content Calendar'!$X$5:$X$604,"&lt;&gt;Published"))</f>
        <v>0</v>
      </c>
      <c r="BZ538" s="23">
        <f>IF(BW538="","",COUNTIFS(Tasks!$C$5:$C$64,BW538,Tasks!$G$5:$G$64,"&lt;&gt;Complete"))</f>
        <v>0</v>
      </c>
      <c r="CA538" s="17">
        <f>IF(Campaigns!$B$538="","",Campaigns!$B$538)</f>
        <v>0</v>
      </c>
      <c r="CB538" s="25">
        <f>IF(Campaigns!$T$538="","",Campaigns!$T$538)</f>
        <v>0</v>
      </c>
      <c r="CC538" s="25">
        <f>IF(Campaigns!$Q$538="","",Campaigns!$Q$538)</f>
        <v>0</v>
      </c>
      <c r="CD538" s="23">
        <f>IF(Campaigns!$Y$538="","",Campaigns!$Y$538)</f>
        <v>0</v>
      </c>
      <c r="CE538" s="32">
        <f>IF(CA538="","",IF(N(CB538)&lt;=0,"",N(CB538)+ROW()/1000000))</f>
        <v>0</v>
      </c>
      <c r="CF538" s="17">
        <f>IF(Accounts!$C$538="","",Accounts!$C$538)</f>
        <v>0</v>
      </c>
      <c r="CG538" s="17">
        <f>IF(Accounts!$B$538="","",Accounts!$B$538)</f>
        <v>0</v>
      </c>
      <c r="CH538" s="23">
        <f>IF(Accounts!$J$538="","",Accounts!$J$538)</f>
        <v>0</v>
      </c>
      <c r="CI538" s="23">
        <f>IF(CF538="","",SUMIFS(Analytics!$X$5:$X$154,Analytics!$E$5:$E$154,CF538,Analytics!$B$5:$B$154,"&gt;="&amp;DashStart,Analytics!$B$5:$B$154,"&lt;="&amp;DashEnd))</f>
        <v>0</v>
      </c>
      <c r="CJ538" s="32">
        <f>IF(CH538="","",IF(CH538=0,"",CH538+ROW()/1000000))</f>
        <v>0</v>
      </c>
    </row>
    <row r="539" spans="1:88">
      <c r="A539" s="16">
        <f>IF(ROW()-4&gt;12,"",DATE(PlanYear,ROW()-4,1))</f>
        <v>0</v>
      </c>
      <c r="B539" s="16">
        <f>IF(A539="","",EOMONTH(A539,0))</f>
        <v>0</v>
      </c>
      <c r="C539" s="17">
        <f>IF(A539="","",TEXT(A539,"yyyy-mm"))</f>
        <v>0</v>
      </c>
      <c r="D539" s="17">
        <f>IF(A539="","",TEXT(A539,"mmm"))</f>
        <v>0</v>
      </c>
      <c r="E539" s="23">
        <f>IF(C539="","",COUNTIFS('Content Calendar'!$D$5:$D$604,C539))</f>
        <v>0</v>
      </c>
      <c r="F539" s="23">
        <f>IF(C539="","",COUNTIFS('Content Calendar'!$D$5:$D$604,C539,'Content Calendar'!$X$5:$X$604,"Published"))</f>
        <v>0</v>
      </c>
      <c r="G539" s="23">
        <f>IF(C539="","",SUMIFS(Analytics!$J$5:$J$154,Analytics!$C$5:$C$154,C539))</f>
        <v>0</v>
      </c>
      <c r="H539" s="23">
        <f>IF(C539="","",SUMIFS(Analytics!$K$5:$K$154,Analytics!$C$5:$C$154,C539))</f>
        <v>0</v>
      </c>
      <c r="I539" s="23">
        <f>IF(C539="","",SUMIFS(Analytics!$L$5:$L$154,Analytics!$C$5:$C$154,C539))</f>
        <v>0</v>
      </c>
      <c r="J539" s="24">
        <f>IF(OR(G539="",G539=0),"",I539/G539)</f>
        <v>0</v>
      </c>
      <c r="K539" s="23">
        <f>IF(C539="","",SUMIFS(Analytics!$G$5:$G$154,Analytics!$C$5:$C$154,C539))</f>
        <v>0</v>
      </c>
      <c r="L539" s="23">
        <f>IF(C539="","",SUMIFS(Analytics!$X$5:$X$154,Analytics!$C$5:$C$154,C539))</f>
        <v>0</v>
      </c>
      <c r="M539" s="23">
        <f>IF(C539="","",SUMIFS(Analytics!$R$5:$R$154,Analytics!$C$5:$C$154,C539))</f>
        <v>0</v>
      </c>
      <c r="N539" s="23">
        <f>IF(C539="","",SUMIFS(Analytics!$S$5:$S$154,Analytics!$C$5:$C$154,C539))</f>
        <v>0</v>
      </c>
      <c r="O539" s="23">
        <f>IF(C539="","",SUMIFS(Analytics!$T$5:$T$154,Analytics!$C$5:$C$154,C539))</f>
        <v>0</v>
      </c>
      <c r="P539" s="25">
        <f>IF(C539="","",SUMIFS(Analytics!$U$5:$U$154,Analytics!$C$5:$C$154,C539))</f>
        <v>0</v>
      </c>
      <c r="Q539" s="25">
        <f>IF(C539="","",SUMIFS(Budget!$H$5:$H$64,Budget!$C$5:$C$64,C539))</f>
        <v>0</v>
      </c>
      <c r="R539" s="25">
        <f>IF(C539="","",P539-Q539)</f>
        <v>0</v>
      </c>
      <c r="S539" s="23">
        <f>IF(C539="","",MonthlyPostTarget)</f>
        <v>0</v>
      </c>
      <c r="T539" s="17">
        <f>IF(Lists!$C539="","",Lists!$C539)</f>
        <v>0</v>
      </c>
      <c r="U539" s="23">
        <f>IF(T539="","",COUNTIFS('Content Calendar'!$G$5:$G$604,T539,'Content Calendar'!$B$5:$B$604,"&gt;="&amp;DashStart,'Content Calendar'!$B$5:$B$604,"&lt;="&amp;DashEnd))</f>
        <v>0</v>
      </c>
      <c r="V539" s="23">
        <f>IF(T539="","",COUNTIFS('Content Calendar'!$G$5:$G$604,T539,'Content Calendar'!$X$5:$X$604,"Published",'Content Calendar'!$B$5:$B$604,"&gt;="&amp;DashStart,'Content Calendar'!$B$5:$B$604,"&lt;="&amp;DashEnd))</f>
        <v>0</v>
      </c>
      <c r="W539" s="23">
        <f>IF(T539="","",SUMIFS(Analytics!$J$5:$J$154,Analytics!$D$5:$D$154,T539,Analytics!$B$5:$B$154,"&gt;="&amp;DashStart,Analytics!$B$5:$B$154,"&lt;="&amp;DashEnd))</f>
        <v>0</v>
      </c>
      <c r="X539" s="23">
        <f>IF(T539="","",SUMIFS(Analytics!$L$5:$L$154,Analytics!$D$5:$D$154,T539,Analytics!$B$5:$B$154,"&gt;="&amp;DashStart,Analytics!$B$5:$B$154,"&lt;="&amp;DashEnd))</f>
        <v>0</v>
      </c>
      <c r="Y539" s="24">
        <f>IF(OR(W539="",W539=0),"",X539/W539)</f>
        <v>0</v>
      </c>
      <c r="Z539" s="23">
        <f>IF(T539="","",SUMIFS(Analytics!$G$5:$G$154,Analytics!$D$5:$D$154,T539,Analytics!$B$5:$B$154,"&gt;="&amp;DashStart,Analytics!$B$5:$B$154,"&lt;="&amp;DashEnd))</f>
        <v>0</v>
      </c>
      <c r="AA539" s="23">
        <f>IF(T539="","",SUMIFS(Analytics!$X$5:$X$154,Analytics!$D$5:$D$154,T539,Analytics!$B$5:$B$154,"&gt;="&amp;DashStart,Analytics!$B$5:$B$154,"&lt;="&amp;DashEnd))</f>
        <v>0</v>
      </c>
      <c r="AB539" s="23">
        <f>IF(T539="","",SUMIFS(Analytics!$R$5:$R$154,Analytics!$D$5:$D$154,T539,Analytics!$B$5:$B$154,"&gt;="&amp;DashStart,Analytics!$B$5:$B$154,"&lt;="&amp;DashEnd))</f>
        <v>0</v>
      </c>
      <c r="AC539" s="25">
        <f>IF(T539="","",SUMIFS(Analytics!$U$5:$U$154,Analytics!$D$5:$D$154,T539,Analytics!$B$5:$B$154,"&gt;="&amp;DashStart,Analytics!$B$5:$B$154,"&lt;="&amp;DashEnd))</f>
        <v>0</v>
      </c>
      <c r="AD539" s="23">
        <f>IF(T539="","",COUNTIFS('Content Calendar'!$G$5:$G$604,T539,'Content Calendar'!$B$5:$B$604,"&gt;="&amp;DATE(PlanYear,1,1),'Content Calendar'!$B$5:$B$604,"&lt;="&amp;DATE(PlanYear,12,31)))</f>
        <v>0</v>
      </c>
      <c r="AE539" s="23">
        <f>IF(T539="","",SUMIFS(Analytics!$J$5:$J$154,Analytics!$D$5:$D$154,T539))</f>
        <v>0</v>
      </c>
      <c r="AF539" s="23">
        <f>IF(T539="","",SUMIFS(Analytics!$L$5:$L$154,Analytics!$D$5:$D$154,T539))</f>
        <v>0</v>
      </c>
      <c r="AG539" s="24">
        <f>IF(OR(AE539="",AE539=0),"",AF539/AE539)</f>
        <v>0</v>
      </c>
      <c r="AH539" s="23">
        <f>IF(T539="","",SUMIFS(Analytics!$X$5:$X$154,Analytics!$D$5:$D$154,T539))</f>
        <v>0</v>
      </c>
      <c r="AI539" s="32">
        <f>IF(T539="","",IF(AE539=0,"",AE539+ROW()/1000000))</f>
        <v>0</v>
      </c>
      <c r="AJ539" s="17">
        <f>IF('Content Pillars'!$B$539="","",'Content Pillars'!$B$539)</f>
        <v>0</v>
      </c>
      <c r="AK539" s="23">
        <f>IF(AJ539="","",COUNTIFS('Content Calendar'!$J$5:$J$604,AJ539,'Content Calendar'!$B$5:$B$604,"&gt;="&amp;DATE(PlanYear,1,1),'Content Calendar'!$B$5:$B$604,"&lt;="&amp;DATE(PlanYear,12,31)))</f>
        <v>0</v>
      </c>
      <c r="AL539" s="23">
        <f>IF(AJ539="","",SUMIFS(Performance!$O$5:$O$404,Performance!$H$5:$H$404,AJ539))</f>
        <v>0</v>
      </c>
      <c r="AM539" s="23">
        <f>IF(AJ539="","",SUMIFS(Performance!$Z$5:$Z$404,Performance!$H$5:$H$404,AJ539))</f>
        <v>0</v>
      </c>
      <c r="AN539" s="24">
        <f>IF(OR(AL539="",AL539=0),"",AM539/AL539)</f>
        <v>0</v>
      </c>
      <c r="AO539" s="32">
        <f>IF(AN539="","",AN539+ROW()/1000000)</f>
        <v>0</v>
      </c>
      <c r="AP539" s="17">
        <f>IF(Lists!$E539="","",Lists!$E539)</f>
        <v>0</v>
      </c>
      <c r="AQ539" s="23">
        <f>IF(AP539="","",COUNTIF(Performance!$G$5:$G$404,AP539))</f>
        <v>0</v>
      </c>
      <c r="AR539" s="23">
        <f>IF(AP539="","",SUMIFS(Performance!$O$5:$O$404,Performance!$G$5:$G$404,AP539))</f>
        <v>0</v>
      </c>
      <c r="AS539" s="23">
        <f>IF(AP539="","",SUMIFS(Performance!$Z$5:$Z$404,Performance!$G$5:$G$404,AP539))</f>
        <v>0</v>
      </c>
      <c r="AT539" s="24">
        <f>IF(OR(AR539="",AR539=0),"",AS539/AR539)</f>
        <v>0</v>
      </c>
      <c r="AU539" s="32">
        <f>IF(AQ539=0,"",IF(AT539="","",AT539+ROW()/1000000))</f>
        <v>0</v>
      </c>
      <c r="AV539" s="17">
        <f>IF(ROW()-4&gt;7,"",TEXT(DATE(2024,1,ROW()-4),"ddd"))</f>
        <v>0</v>
      </c>
      <c r="AW539" s="23">
        <f>IF(AV539="","",COUNTIF(Performance!$N$5:$N$404,AV539))</f>
        <v>0</v>
      </c>
      <c r="AX539" s="23">
        <f>IF(AV539="","",SUMIFS(Performance!$O$5:$O$404,Performance!$N$5:$N$404,AV539))</f>
        <v>0</v>
      </c>
      <c r="AY539" s="23">
        <f>IF(AV539="","",SUMIFS(Performance!$Z$5:$Z$404,Performance!$N$5:$N$404,AV539))</f>
        <v>0</v>
      </c>
      <c r="AZ539" s="24">
        <f>IF(OR(AX539="",AX539=0),"",AY539/AX539)</f>
        <v>0</v>
      </c>
      <c r="BA539" s="32">
        <f>IF(AW539=0,"",IF(AZ539="","",AZ539+ROW()/1000000))</f>
        <v>0</v>
      </c>
      <c r="BB539" s="17">
        <f>IF(Lists!$AL539="","",Lists!$AL539)</f>
        <v>0</v>
      </c>
      <c r="BC539" s="23">
        <f>IF(BB539="","",COUNTIF(Performance!$M$5:$M$404,BB539))</f>
        <v>0</v>
      </c>
      <c r="BD539" s="23">
        <f>IF(BB539="","",SUMIFS(Performance!$O$5:$O$404,Performance!$M$5:$M$404,BB539))</f>
        <v>0</v>
      </c>
      <c r="BE539" s="23">
        <f>IF(BB539="","",SUMIFS(Performance!$Z$5:$Z$404,Performance!$M$5:$M$404,BB539))</f>
        <v>0</v>
      </c>
      <c r="BF539" s="24">
        <f>IF(OR(BD539="",BD539=0),"",BE539/BD539)</f>
        <v>0</v>
      </c>
      <c r="BG539" s="32">
        <f>IF(BC539=0,"",IF(BF539="","",BF539+ROW()/1000000))</f>
        <v>0</v>
      </c>
      <c r="BH539" s="17">
        <f>IF(Performance!$C$539="","",Performance!$C$539)</f>
        <v>0</v>
      </c>
      <c r="BI539" s="17">
        <f>IF(Performance!$F$539="","",Performance!$F$539)</f>
        <v>0</v>
      </c>
      <c r="BJ539" s="17">
        <f>IF(Performance!$H$539="","",Performance!$H$539)</f>
        <v>0</v>
      </c>
      <c r="BK539" s="16">
        <f>IF(Performance!$D$539="","",Performance!$D$539)</f>
        <v>0</v>
      </c>
      <c r="BL539" s="17">
        <f>IF(Performance!$E$539="","",Performance!$E$539)</f>
        <v>0</v>
      </c>
      <c r="BM539" s="23">
        <f>IF(Performance!$O$539="","",Performance!$O$539)</f>
        <v>0</v>
      </c>
      <c r="BN539" s="24">
        <f>IF(Performance!$AA$539="","",Performance!$AA$539)</f>
        <v>0</v>
      </c>
      <c r="BO539" s="32">
        <f>IF(BH539="","",IF(BK539="","",IF(OR(BK539&lt;DashStart,BK539&gt;DashEnd),"",IF(BN539="","",BN539+ROW()/1000000))))</f>
        <v>0</v>
      </c>
      <c r="BP539" s="32">
        <f>IF(BM539="","",IF(BK539="","",IF(OR(BK539&lt;DashStart,BK539&gt;DashEnd),"",BM539+ROW()/1000000)))</f>
        <v>0</v>
      </c>
      <c r="BQ539" s="32">
        <f>IF(BH539="","",IF(BK539="","",IF(YEAR(BK539)&lt;&gt;PlanYear,"",IF(BN539="","",BN539+ROW()/1000000))))</f>
        <v>0</v>
      </c>
      <c r="BR539" s="32">
        <f>IF(BH539="","",IF(BK539="","",IF(OR(BK539&lt;RepFrom,BK539&gt;RepTo),"",IF(BN539="","",BN539+ROW()/1000000))))</f>
        <v>0</v>
      </c>
      <c r="BS539" s="32">
        <f>IF(BM539="","",IF(BK539="","",IF(YEAR(BK539)&lt;&gt;PlanYear,"",BM539+ROW()/1000000)))</f>
        <v>0</v>
      </c>
      <c r="BT539" s="17">
        <f>IF(Lists!$F539="","",Lists!$F539)</f>
        <v>0</v>
      </c>
      <c r="BU539" s="23">
        <f>IF(BT539="","",COUNTIF('Content Calendar'!$X$5:$X$604,BT539))</f>
        <v>0</v>
      </c>
      <c r="BV539" s="23">
        <f>IF(BT539="","",COUNTIFS('Content Calendar'!$X$5:$X$604,BT539,'Content Calendar'!$B$5:$B$604,"&gt;="&amp;DashStart,'Content Calendar'!$B$5:$B$604,"&lt;="&amp;DashEnd))</f>
        <v>0</v>
      </c>
      <c r="BW539" s="17">
        <f>IF(Team!$B$539="","",Team!$B$539)</f>
        <v>0</v>
      </c>
      <c r="BX539" s="23">
        <f>IF(BW539="","",COUNTIF('Content Calendar'!$W$5:$W$604,BW539))</f>
        <v>0</v>
      </c>
      <c r="BY539" s="23">
        <f>IF(BW539="","",COUNTIFS('Content Calendar'!$W$5:$W$604,BW539,'Content Calendar'!$X$5:$X$604,"&lt;&gt;Published"))</f>
        <v>0</v>
      </c>
      <c r="BZ539" s="23">
        <f>IF(BW539="","",COUNTIFS(Tasks!$C$5:$C$64,BW539,Tasks!$G$5:$G$64,"&lt;&gt;Complete"))</f>
        <v>0</v>
      </c>
      <c r="CA539" s="17">
        <f>IF(Campaigns!$B$539="","",Campaigns!$B$539)</f>
        <v>0</v>
      </c>
      <c r="CB539" s="25">
        <f>IF(Campaigns!$T$539="","",Campaigns!$T$539)</f>
        <v>0</v>
      </c>
      <c r="CC539" s="25">
        <f>IF(Campaigns!$Q$539="","",Campaigns!$Q$539)</f>
        <v>0</v>
      </c>
      <c r="CD539" s="23">
        <f>IF(Campaigns!$Y$539="","",Campaigns!$Y$539)</f>
        <v>0</v>
      </c>
      <c r="CE539" s="32">
        <f>IF(CA539="","",IF(N(CB539)&lt;=0,"",N(CB539)+ROW()/1000000))</f>
        <v>0</v>
      </c>
      <c r="CF539" s="17">
        <f>IF(Accounts!$C$539="","",Accounts!$C$539)</f>
        <v>0</v>
      </c>
      <c r="CG539" s="17">
        <f>IF(Accounts!$B$539="","",Accounts!$B$539)</f>
        <v>0</v>
      </c>
      <c r="CH539" s="23">
        <f>IF(Accounts!$J$539="","",Accounts!$J$539)</f>
        <v>0</v>
      </c>
      <c r="CI539" s="23">
        <f>IF(CF539="","",SUMIFS(Analytics!$X$5:$X$154,Analytics!$E$5:$E$154,CF539,Analytics!$B$5:$B$154,"&gt;="&amp;DashStart,Analytics!$B$5:$B$154,"&lt;="&amp;DashEnd))</f>
        <v>0</v>
      </c>
      <c r="CJ539" s="32">
        <f>IF(CH539="","",IF(CH539=0,"",CH539+ROW()/1000000))</f>
        <v>0</v>
      </c>
    </row>
    <row r="540" spans="1:88">
      <c r="A540" s="16">
        <f>IF(ROW()-4&gt;12,"",DATE(PlanYear,ROW()-4,1))</f>
        <v>0</v>
      </c>
      <c r="B540" s="16">
        <f>IF(A540="","",EOMONTH(A540,0))</f>
        <v>0</v>
      </c>
      <c r="C540" s="17">
        <f>IF(A540="","",TEXT(A540,"yyyy-mm"))</f>
        <v>0</v>
      </c>
      <c r="D540" s="17">
        <f>IF(A540="","",TEXT(A540,"mmm"))</f>
        <v>0</v>
      </c>
      <c r="E540" s="23">
        <f>IF(C540="","",COUNTIFS('Content Calendar'!$D$5:$D$604,C540))</f>
        <v>0</v>
      </c>
      <c r="F540" s="23">
        <f>IF(C540="","",COUNTIFS('Content Calendar'!$D$5:$D$604,C540,'Content Calendar'!$X$5:$X$604,"Published"))</f>
        <v>0</v>
      </c>
      <c r="G540" s="23">
        <f>IF(C540="","",SUMIFS(Analytics!$J$5:$J$154,Analytics!$C$5:$C$154,C540))</f>
        <v>0</v>
      </c>
      <c r="H540" s="23">
        <f>IF(C540="","",SUMIFS(Analytics!$K$5:$K$154,Analytics!$C$5:$C$154,C540))</f>
        <v>0</v>
      </c>
      <c r="I540" s="23">
        <f>IF(C540="","",SUMIFS(Analytics!$L$5:$L$154,Analytics!$C$5:$C$154,C540))</f>
        <v>0</v>
      </c>
      <c r="J540" s="24">
        <f>IF(OR(G540="",G540=0),"",I540/G540)</f>
        <v>0</v>
      </c>
      <c r="K540" s="23">
        <f>IF(C540="","",SUMIFS(Analytics!$G$5:$G$154,Analytics!$C$5:$C$154,C540))</f>
        <v>0</v>
      </c>
      <c r="L540" s="23">
        <f>IF(C540="","",SUMIFS(Analytics!$X$5:$X$154,Analytics!$C$5:$C$154,C540))</f>
        <v>0</v>
      </c>
      <c r="M540" s="23">
        <f>IF(C540="","",SUMIFS(Analytics!$R$5:$R$154,Analytics!$C$5:$C$154,C540))</f>
        <v>0</v>
      </c>
      <c r="N540" s="23">
        <f>IF(C540="","",SUMIFS(Analytics!$S$5:$S$154,Analytics!$C$5:$C$154,C540))</f>
        <v>0</v>
      </c>
      <c r="O540" s="23">
        <f>IF(C540="","",SUMIFS(Analytics!$T$5:$T$154,Analytics!$C$5:$C$154,C540))</f>
        <v>0</v>
      </c>
      <c r="P540" s="25">
        <f>IF(C540="","",SUMIFS(Analytics!$U$5:$U$154,Analytics!$C$5:$C$154,C540))</f>
        <v>0</v>
      </c>
      <c r="Q540" s="25">
        <f>IF(C540="","",SUMIFS(Budget!$H$5:$H$64,Budget!$C$5:$C$64,C540))</f>
        <v>0</v>
      </c>
      <c r="R540" s="25">
        <f>IF(C540="","",P540-Q540)</f>
        <v>0</v>
      </c>
      <c r="S540" s="23">
        <f>IF(C540="","",MonthlyPostTarget)</f>
        <v>0</v>
      </c>
      <c r="T540" s="17">
        <f>IF(Lists!$C540="","",Lists!$C540)</f>
        <v>0</v>
      </c>
      <c r="U540" s="23">
        <f>IF(T540="","",COUNTIFS('Content Calendar'!$G$5:$G$604,T540,'Content Calendar'!$B$5:$B$604,"&gt;="&amp;DashStart,'Content Calendar'!$B$5:$B$604,"&lt;="&amp;DashEnd))</f>
        <v>0</v>
      </c>
      <c r="V540" s="23">
        <f>IF(T540="","",COUNTIFS('Content Calendar'!$G$5:$G$604,T540,'Content Calendar'!$X$5:$X$604,"Published",'Content Calendar'!$B$5:$B$604,"&gt;="&amp;DashStart,'Content Calendar'!$B$5:$B$604,"&lt;="&amp;DashEnd))</f>
        <v>0</v>
      </c>
      <c r="W540" s="23">
        <f>IF(T540="","",SUMIFS(Analytics!$J$5:$J$154,Analytics!$D$5:$D$154,T540,Analytics!$B$5:$B$154,"&gt;="&amp;DashStart,Analytics!$B$5:$B$154,"&lt;="&amp;DashEnd))</f>
        <v>0</v>
      </c>
      <c r="X540" s="23">
        <f>IF(T540="","",SUMIFS(Analytics!$L$5:$L$154,Analytics!$D$5:$D$154,T540,Analytics!$B$5:$B$154,"&gt;="&amp;DashStart,Analytics!$B$5:$B$154,"&lt;="&amp;DashEnd))</f>
        <v>0</v>
      </c>
      <c r="Y540" s="24">
        <f>IF(OR(W540="",W540=0),"",X540/W540)</f>
        <v>0</v>
      </c>
      <c r="Z540" s="23">
        <f>IF(T540="","",SUMIFS(Analytics!$G$5:$G$154,Analytics!$D$5:$D$154,T540,Analytics!$B$5:$B$154,"&gt;="&amp;DashStart,Analytics!$B$5:$B$154,"&lt;="&amp;DashEnd))</f>
        <v>0</v>
      </c>
      <c r="AA540" s="23">
        <f>IF(T540="","",SUMIFS(Analytics!$X$5:$X$154,Analytics!$D$5:$D$154,T540,Analytics!$B$5:$B$154,"&gt;="&amp;DashStart,Analytics!$B$5:$B$154,"&lt;="&amp;DashEnd))</f>
        <v>0</v>
      </c>
      <c r="AB540" s="23">
        <f>IF(T540="","",SUMIFS(Analytics!$R$5:$R$154,Analytics!$D$5:$D$154,T540,Analytics!$B$5:$B$154,"&gt;="&amp;DashStart,Analytics!$B$5:$B$154,"&lt;="&amp;DashEnd))</f>
        <v>0</v>
      </c>
      <c r="AC540" s="25">
        <f>IF(T540="","",SUMIFS(Analytics!$U$5:$U$154,Analytics!$D$5:$D$154,T540,Analytics!$B$5:$B$154,"&gt;="&amp;DashStart,Analytics!$B$5:$B$154,"&lt;="&amp;DashEnd))</f>
        <v>0</v>
      </c>
      <c r="AD540" s="23">
        <f>IF(T540="","",COUNTIFS('Content Calendar'!$G$5:$G$604,T540,'Content Calendar'!$B$5:$B$604,"&gt;="&amp;DATE(PlanYear,1,1),'Content Calendar'!$B$5:$B$604,"&lt;="&amp;DATE(PlanYear,12,31)))</f>
        <v>0</v>
      </c>
      <c r="AE540" s="23">
        <f>IF(T540="","",SUMIFS(Analytics!$J$5:$J$154,Analytics!$D$5:$D$154,T540))</f>
        <v>0</v>
      </c>
      <c r="AF540" s="23">
        <f>IF(T540="","",SUMIFS(Analytics!$L$5:$L$154,Analytics!$D$5:$D$154,T540))</f>
        <v>0</v>
      </c>
      <c r="AG540" s="24">
        <f>IF(OR(AE540="",AE540=0),"",AF540/AE540)</f>
        <v>0</v>
      </c>
      <c r="AH540" s="23">
        <f>IF(T540="","",SUMIFS(Analytics!$X$5:$X$154,Analytics!$D$5:$D$154,T540))</f>
        <v>0</v>
      </c>
      <c r="AI540" s="32">
        <f>IF(T540="","",IF(AE540=0,"",AE540+ROW()/1000000))</f>
        <v>0</v>
      </c>
      <c r="AJ540" s="17">
        <f>IF('Content Pillars'!$B$540="","",'Content Pillars'!$B$540)</f>
        <v>0</v>
      </c>
      <c r="AK540" s="23">
        <f>IF(AJ540="","",COUNTIFS('Content Calendar'!$J$5:$J$604,AJ540,'Content Calendar'!$B$5:$B$604,"&gt;="&amp;DATE(PlanYear,1,1),'Content Calendar'!$B$5:$B$604,"&lt;="&amp;DATE(PlanYear,12,31)))</f>
        <v>0</v>
      </c>
      <c r="AL540" s="23">
        <f>IF(AJ540="","",SUMIFS(Performance!$O$5:$O$404,Performance!$H$5:$H$404,AJ540))</f>
        <v>0</v>
      </c>
      <c r="AM540" s="23">
        <f>IF(AJ540="","",SUMIFS(Performance!$Z$5:$Z$404,Performance!$H$5:$H$404,AJ540))</f>
        <v>0</v>
      </c>
      <c r="AN540" s="24">
        <f>IF(OR(AL540="",AL540=0),"",AM540/AL540)</f>
        <v>0</v>
      </c>
      <c r="AO540" s="32">
        <f>IF(AN540="","",AN540+ROW()/1000000)</f>
        <v>0</v>
      </c>
      <c r="AP540" s="17">
        <f>IF(Lists!$E540="","",Lists!$E540)</f>
        <v>0</v>
      </c>
      <c r="AQ540" s="23">
        <f>IF(AP540="","",COUNTIF(Performance!$G$5:$G$404,AP540))</f>
        <v>0</v>
      </c>
      <c r="AR540" s="23">
        <f>IF(AP540="","",SUMIFS(Performance!$O$5:$O$404,Performance!$G$5:$G$404,AP540))</f>
        <v>0</v>
      </c>
      <c r="AS540" s="23">
        <f>IF(AP540="","",SUMIFS(Performance!$Z$5:$Z$404,Performance!$G$5:$G$404,AP540))</f>
        <v>0</v>
      </c>
      <c r="AT540" s="24">
        <f>IF(OR(AR540="",AR540=0),"",AS540/AR540)</f>
        <v>0</v>
      </c>
      <c r="AU540" s="32">
        <f>IF(AQ540=0,"",IF(AT540="","",AT540+ROW()/1000000))</f>
        <v>0</v>
      </c>
      <c r="AV540" s="17">
        <f>IF(ROW()-4&gt;7,"",TEXT(DATE(2024,1,ROW()-4),"ddd"))</f>
        <v>0</v>
      </c>
      <c r="AW540" s="23">
        <f>IF(AV540="","",COUNTIF(Performance!$N$5:$N$404,AV540))</f>
        <v>0</v>
      </c>
      <c r="AX540" s="23">
        <f>IF(AV540="","",SUMIFS(Performance!$O$5:$O$404,Performance!$N$5:$N$404,AV540))</f>
        <v>0</v>
      </c>
      <c r="AY540" s="23">
        <f>IF(AV540="","",SUMIFS(Performance!$Z$5:$Z$404,Performance!$N$5:$N$404,AV540))</f>
        <v>0</v>
      </c>
      <c r="AZ540" s="24">
        <f>IF(OR(AX540="",AX540=0),"",AY540/AX540)</f>
        <v>0</v>
      </c>
      <c r="BA540" s="32">
        <f>IF(AW540=0,"",IF(AZ540="","",AZ540+ROW()/1000000))</f>
        <v>0</v>
      </c>
      <c r="BB540" s="17">
        <f>IF(Lists!$AL540="","",Lists!$AL540)</f>
        <v>0</v>
      </c>
      <c r="BC540" s="23">
        <f>IF(BB540="","",COUNTIF(Performance!$M$5:$M$404,BB540))</f>
        <v>0</v>
      </c>
      <c r="BD540" s="23">
        <f>IF(BB540="","",SUMIFS(Performance!$O$5:$O$404,Performance!$M$5:$M$404,BB540))</f>
        <v>0</v>
      </c>
      <c r="BE540" s="23">
        <f>IF(BB540="","",SUMIFS(Performance!$Z$5:$Z$404,Performance!$M$5:$M$404,BB540))</f>
        <v>0</v>
      </c>
      <c r="BF540" s="24">
        <f>IF(OR(BD540="",BD540=0),"",BE540/BD540)</f>
        <v>0</v>
      </c>
      <c r="BG540" s="32">
        <f>IF(BC540=0,"",IF(BF540="","",BF540+ROW()/1000000))</f>
        <v>0</v>
      </c>
      <c r="BH540" s="17">
        <f>IF(Performance!$C$540="","",Performance!$C$540)</f>
        <v>0</v>
      </c>
      <c r="BI540" s="17">
        <f>IF(Performance!$F$540="","",Performance!$F$540)</f>
        <v>0</v>
      </c>
      <c r="BJ540" s="17">
        <f>IF(Performance!$H$540="","",Performance!$H$540)</f>
        <v>0</v>
      </c>
      <c r="BK540" s="16">
        <f>IF(Performance!$D$540="","",Performance!$D$540)</f>
        <v>0</v>
      </c>
      <c r="BL540" s="17">
        <f>IF(Performance!$E$540="","",Performance!$E$540)</f>
        <v>0</v>
      </c>
      <c r="BM540" s="23">
        <f>IF(Performance!$O$540="","",Performance!$O$540)</f>
        <v>0</v>
      </c>
      <c r="BN540" s="24">
        <f>IF(Performance!$AA$540="","",Performance!$AA$540)</f>
        <v>0</v>
      </c>
      <c r="BO540" s="32">
        <f>IF(BH540="","",IF(BK540="","",IF(OR(BK540&lt;DashStart,BK540&gt;DashEnd),"",IF(BN540="","",BN540+ROW()/1000000))))</f>
        <v>0</v>
      </c>
      <c r="BP540" s="32">
        <f>IF(BM540="","",IF(BK540="","",IF(OR(BK540&lt;DashStart,BK540&gt;DashEnd),"",BM540+ROW()/1000000)))</f>
        <v>0</v>
      </c>
      <c r="BQ540" s="32">
        <f>IF(BH540="","",IF(BK540="","",IF(YEAR(BK540)&lt;&gt;PlanYear,"",IF(BN540="","",BN540+ROW()/1000000))))</f>
        <v>0</v>
      </c>
      <c r="BR540" s="32">
        <f>IF(BH540="","",IF(BK540="","",IF(OR(BK540&lt;RepFrom,BK540&gt;RepTo),"",IF(BN540="","",BN540+ROW()/1000000))))</f>
        <v>0</v>
      </c>
      <c r="BS540" s="32">
        <f>IF(BM540="","",IF(BK540="","",IF(YEAR(BK540)&lt;&gt;PlanYear,"",BM540+ROW()/1000000)))</f>
        <v>0</v>
      </c>
      <c r="BT540" s="17">
        <f>IF(Lists!$F540="","",Lists!$F540)</f>
        <v>0</v>
      </c>
      <c r="BU540" s="23">
        <f>IF(BT540="","",COUNTIF('Content Calendar'!$X$5:$X$604,BT540))</f>
        <v>0</v>
      </c>
      <c r="BV540" s="23">
        <f>IF(BT540="","",COUNTIFS('Content Calendar'!$X$5:$X$604,BT540,'Content Calendar'!$B$5:$B$604,"&gt;="&amp;DashStart,'Content Calendar'!$B$5:$B$604,"&lt;="&amp;DashEnd))</f>
        <v>0</v>
      </c>
      <c r="BW540" s="17">
        <f>IF(Team!$B$540="","",Team!$B$540)</f>
        <v>0</v>
      </c>
      <c r="BX540" s="23">
        <f>IF(BW540="","",COUNTIF('Content Calendar'!$W$5:$W$604,BW540))</f>
        <v>0</v>
      </c>
      <c r="BY540" s="23">
        <f>IF(BW540="","",COUNTIFS('Content Calendar'!$W$5:$W$604,BW540,'Content Calendar'!$X$5:$X$604,"&lt;&gt;Published"))</f>
        <v>0</v>
      </c>
      <c r="BZ540" s="23">
        <f>IF(BW540="","",COUNTIFS(Tasks!$C$5:$C$64,BW540,Tasks!$G$5:$G$64,"&lt;&gt;Complete"))</f>
        <v>0</v>
      </c>
      <c r="CA540" s="17">
        <f>IF(Campaigns!$B$540="","",Campaigns!$B$540)</f>
        <v>0</v>
      </c>
      <c r="CB540" s="25">
        <f>IF(Campaigns!$T$540="","",Campaigns!$T$540)</f>
        <v>0</v>
      </c>
      <c r="CC540" s="25">
        <f>IF(Campaigns!$Q$540="","",Campaigns!$Q$540)</f>
        <v>0</v>
      </c>
      <c r="CD540" s="23">
        <f>IF(Campaigns!$Y$540="","",Campaigns!$Y$540)</f>
        <v>0</v>
      </c>
      <c r="CE540" s="32">
        <f>IF(CA540="","",IF(N(CB540)&lt;=0,"",N(CB540)+ROW()/1000000))</f>
        <v>0</v>
      </c>
      <c r="CF540" s="17">
        <f>IF(Accounts!$C$540="","",Accounts!$C$540)</f>
        <v>0</v>
      </c>
      <c r="CG540" s="17">
        <f>IF(Accounts!$B$540="","",Accounts!$B$540)</f>
        <v>0</v>
      </c>
      <c r="CH540" s="23">
        <f>IF(Accounts!$J$540="","",Accounts!$J$540)</f>
        <v>0</v>
      </c>
      <c r="CI540" s="23">
        <f>IF(CF540="","",SUMIFS(Analytics!$X$5:$X$154,Analytics!$E$5:$E$154,CF540,Analytics!$B$5:$B$154,"&gt;="&amp;DashStart,Analytics!$B$5:$B$154,"&lt;="&amp;DashEnd))</f>
        <v>0</v>
      </c>
      <c r="CJ540" s="32">
        <f>IF(CH540="","",IF(CH540=0,"",CH540+ROW()/1000000))</f>
        <v>0</v>
      </c>
    </row>
    <row r="541" spans="1:88">
      <c r="A541" s="16">
        <f>IF(ROW()-4&gt;12,"",DATE(PlanYear,ROW()-4,1))</f>
        <v>0</v>
      </c>
      <c r="B541" s="16">
        <f>IF(A541="","",EOMONTH(A541,0))</f>
        <v>0</v>
      </c>
      <c r="C541" s="17">
        <f>IF(A541="","",TEXT(A541,"yyyy-mm"))</f>
        <v>0</v>
      </c>
      <c r="D541" s="17">
        <f>IF(A541="","",TEXT(A541,"mmm"))</f>
        <v>0</v>
      </c>
      <c r="E541" s="23">
        <f>IF(C541="","",COUNTIFS('Content Calendar'!$D$5:$D$604,C541))</f>
        <v>0</v>
      </c>
      <c r="F541" s="23">
        <f>IF(C541="","",COUNTIFS('Content Calendar'!$D$5:$D$604,C541,'Content Calendar'!$X$5:$X$604,"Published"))</f>
        <v>0</v>
      </c>
      <c r="G541" s="23">
        <f>IF(C541="","",SUMIFS(Analytics!$J$5:$J$154,Analytics!$C$5:$C$154,C541))</f>
        <v>0</v>
      </c>
      <c r="H541" s="23">
        <f>IF(C541="","",SUMIFS(Analytics!$K$5:$K$154,Analytics!$C$5:$C$154,C541))</f>
        <v>0</v>
      </c>
      <c r="I541" s="23">
        <f>IF(C541="","",SUMIFS(Analytics!$L$5:$L$154,Analytics!$C$5:$C$154,C541))</f>
        <v>0</v>
      </c>
      <c r="J541" s="24">
        <f>IF(OR(G541="",G541=0),"",I541/G541)</f>
        <v>0</v>
      </c>
      <c r="K541" s="23">
        <f>IF(C541="","",SUMIFS(Analytics!$G$5:$G$154,Analytics!$C$5:$C$154,C541))</f>
        <v>0</v>
      </c>
      <c r="L541" s="23">
        <f>IF(C541="","",SUMIFS(Analytics!$X$5:$X$154,Analytics!$C$5:$C$154,C541))</f>
        <v>0</v>
      </c>
      <c r="M541" s="23">
        <f>IF(C541="","",SUMIFS(Analytics!$R$5:$R$154,Analytics!$C$5:$C$154,C541))</f>
        <v>0</v>
      </c>
      <c r="N541" s="23">
        <f>IF(C541="","",SUMIFS(Analytics!$S$5:$S$154,Analytics!$C$5:$C$154,C541))</f>
        <v>0</v>
      </c>
      <c r="O541" s="23">
        <f>IF(C541="","",SUMIFS(Analytics!$T$5:$T$154,Analytics!$C$5:$C$154,C541))</f>
        <v>0</v>
      </c>
      <c r="P541" s="25">
        <f>IF(C541="","",SUMIFS(Analytics!$U$5:$U$154,Analytics!$C$5:$C$154,C541))</f>
        <v>0</v>
      </c>
      <c r="Q541" s="25">
        <f>IF(C541="","",SUMIFS(Budget!$H$5:$H$64,Budget!$C$5:$C$64,C541))</f>
        <v>0</v>
      </c>
      <c r="R541" s="25">
        <f>IF(C541="","",P541-Q541)</f>
        <v>0</v>
      </c>
      <c r="S541" s="23">
        <f>IF(C541="","",MonthlyPostTarget)</f>
        <v>0</v>
      </c>
      <c r="T541" s="17">
        <f>IF(Lists!$C541="","",Lists!$C541)</f>
        <v>0</v>
      </c>
      <c r="U541" s="23">
        <f>IF(T541="","",COUNTIFS('Content Calendar'!$G$5:$G$604,T541,'Content Calendar'!$B$5:$B$604,"&gt;="&amp;DashStart,'Content Calendar'!$B$5:$B$604,"&lt;="&amp;DashEnd))</f>
        <v>0</v>
      </c>
      <c r="V541" s="23">
        <f>IF(T541="","",COUNTIFS('Content Calendar'!$G$5:$G$604,T541,'Content Calendar'!$X$5:$X$604,"Published",'Content Calendar'!$B$5:$B$604,"&gt;="&amp;DashStart,'Content Calendar'!$B$5:$B$604,"&lt;="&amp;DashEnd))</f>
        <v>0</v>
      </c>
      <c r="W541" s="23">
        <f>IF(T541="","",SUMIFS(Analytics!$J$5:$J$154,Analytics!$D$5:$D$154,T541,Analytics!$B$5:$B$154,"&gt;="&amp;DashStart,Analytics!$B$5:$B$154,"&lt;="&amp;DashEnd))</f>
        <v>0</v>
      </c>
      <c r="X541" s="23">
        <f>IF(T541="","",SUMIFS(Analytics!$L$5:$L$154,Analytics!$D$5:$D$154,T541,Analytics!$B$5:$B$154,"&gt;="&amp;DashStart,Analytics!$B$5:$B$154,"&lt;="&amp;DashEnd))</f>
        <v>0</v>
      </c>
      <c r="Y541" s="24">
        <f>IF(OR(W541="",W541=0),"",X541/W541)</f>
        <v>0</v>
      </c>
      <c r="Z541" s="23">
        <f>IF(T541="","",SUMIFS(Analytics!$G$5:$G$154,Analytics!$D$5:$D$154,T541,Analytics!$B$5:$B$154,"&gt;="&amp;DashStart,Analytics!$B$5:$B$154,"&lt;="&amp;DashEnd))</f>
        <v>0</v>
      </c>
      <c r="AA541" s="23">
        <f>IF(T541="","",SUMIFS(Analytics!$X$5:$X$154,Analytics!$D$5:$D$154,T541,Analytics!$B$5:$B$154,"&gt;="&amp;DashStart,Analytics!$B$5:$B$154,"&lt;="&amp;DashEnd))</f>
        <v>0</v>
      </c>
      <c r="AB541" s="23">
        <f>IF(T541="","",SUMIFS(Analytics!$R$5:$R$154,Analytics!$D$5:$D$154,T541,Analytics!$B$5:$B$154,"&gt;="&amp;DashStart,Analytics!$B$5:$B$154,"&lt;="&amp;DashEnd))</f>
        <v>0</v>
      </c>
      <c r="AC541" s="25">
        <f>IF(T541="","",SUMIFS(Analytics!$U$5:$U$154,Analytics!$D$5:$D$154,T541,Analytics!$B$5:$B$154,"&gt;="&amp;DashStart,Analytics!$B$5:$B$154,"&lt;="&amp;DashEnd))</f>
        <v>0</v>
      </c>
      <c r="AD541" s="23">
        <f>IF(T541="","",COUNTIFS('Content Calendar'!$G$5:$G$604,T541,'Content Calendar'!$B$5:$B$604,"&gt;="&amp;DATE(PlanYear,1,1),'Content Calendar'!$B$5:$B$604,"&lt;="&amp;DATE(PlanYear,12,31)))</f>
        <v>0</v>
      </c>
      <c r="AE541" s="23">
        <f>IF(T541="","",SUMIFS(Analytics!$J$5:$J$154,Analytics!$D$5:$D$154,T541))</f>
        <v>0</v>
      </c>
      <c r="AF541" s="23">
        <f>IF(T541="","",SUMIFS(Analytics!$L$5:$L$154,Analytics!$D$5:$D$154,T541))</f>
        <v>0</v>
      </c>
      <c r="AG541" s="24">
        <f>IF(OR(AE541="",AE541=0),"",AF541/AE541)</f>
        <v>0</v>
      </c>
      <c r="AH541" s="23">
        <f>IF(T541="","",SUMIFS(Analytics!$X$5:$X$154,Analytics!$D$5:$D$154,T541))</f>
        <v>0</v>
      </c>
      <c r="AI541" s="32">
        <f>IF(T541="","",IF(AE541=0,"",AE541+ROW()/1000000))</f>
        <v>0</v>
      </c>
      <c r="AJ541" s="17">
        <f>IF('Content Pillars'!$B$541="","",'Content Pillars'!$B$541)</f>
        <v>0</v>
      </c>
      <c r="AK541" s="23">
        <f>IF(AJ541="","",COUNTIFS('Content Calendar'!$J$5:$J$604,AJ541,'Content Calendar'!$B$5:$B$604,"&gt;="&amp;DATE(PlanYear,1,1),'Content Calendar'!$B$5:$B$604,"&lt;="&amp;DATE(PlanYear,12,31)))</f>
        <v>0</v>
      </c>
      <c r="AL541" s="23">
        <f>IF(AJ541="","",SUMIFS(Performance!$O$5:$O$404,Performance!$H$5:$H$404,AJ541))</f>
        <v>0</v>
      </c>
      <c r="AM541" s="23">
        <f>IF(AJ541="","",SUMIFS(Performance!$Z$5:$Z$404,Performance!$H$5:$H$404,AJ541))</f>
        <v>0</v>
      </c>
      <c r="AN541" s="24">
        <f>IF(OR(AL541="",AL541=0),"",AM541/AL541)</f>
        <v>0</v>
      </c>
      <c r="AO541" s="32">
        <f>IF(AN541="","",AN541+ROW()/1000000)</f>
        <v>0</v>
      </c>
      <c r="AP541" s="17">
        <f>IF(Lists!$E541="","",Lists!$E541)</f>
        <v>0</v>
      </c>
      <c r="AQ541" s="23">
        <f>IF(AP541="","",COUNTIF(Performance!$G$5:$G$404,AP541))</f>
        <v>0</v>
      </c>
      <c r="AR541" s="23">
        <f>IF(AP541="","",SUMIFS(Performance!$O$5:$O$404,Performance!$G$5:$G$404,AP541))</f>
        <v>0</v>
      </c>
      <c r="AS541" s="23">
        <f>IF(AP541="","",SUMIFS(Performance!$Z$5:$Z$404,Performance!$G$5:$G$404,AP541))</f>
        <v>0</v>
      </c>
      <c r="AT541" s="24">
        <f>IF(OR(AR541="",AR541=0),"",AS541/AR541)</f>
        <v>0</v>
      </c>
      <c r="AU541" s="32">
        <f>IF(AQ541=0,"",IF(AT541="","",AT541+ROW()/1000000))</f>
        <v>0</v>
      </c>
      <c r="AV541" s="17">
        <f>IF(ROW()-4&gt;7,"",TEXT(DATE(2024,1,ROW()-4),"ddd"))</f>
        <v>0</v>
      </c>
      <c r="AW541" s="23">
        <f>IF(AV541="","",COUNTIF(Performance!$N$5:$N$404,AV541))</f>
        <v>0</v>
      </c>
      <c r="AX541" s="23">
        <f>IF(AV541="","",SUMIFS(Performance!$O$5:$O$404,Performance!$N$5:$N$404,AV541))</f>
        <v>0</v>
      </c>
      <c r="AY541" s="23">
        <f>IF(AV541="","",SUMIFS(Performance!$Z$5:$Z$404,Performance!$N$5:$N$404,AV541))</f>
        <v>0</v>
      </c>
      <c r="AZ541" s="24">
        <f>IF(OR(AX541="",AX541=0),"",AY541/AX541)</f>
        <v>0</v>
      </c>
      <c r="BA541" s="32">
        <f>IF(AW541=0,"",IF(AZ541="","",AZ541+ROW()/1000000))</f>
        <v>0</v>
      </c>
      <c r="BB541" s="17">
        <f>IF(Lists!$AL541="","",Lists!$AL541)</f>
        <v>0</v>
      </c>
      <c r="BC541" s="23">
        <f>IF(BB541="","",COUNTIF(Performance!$M$5:$M$404,BB541))</f>
        <v>0</v>
      </c>
      <c r="BD541" s="23">
        <f>IF(BB541="","",SUMIFS(Performance!$O$5:$O$404,Performance!$M$5:$M$404,BB541))</f>
        <v>0</v>
      </c>
      <c r="BE541" s="23">
        <f>IF(BB541="","",SUMIFS(Performance!$Z$5:$Z$404,Performance!$M$5:$M$404,BB541))</f>
        <v>0</v>
      </c>
      <c r="BF541" s="24">
        <f>IF(OR(BD541="",BD541=0),"",BE541/BD541)</f>
        <v>0</v>
      </c>
      <c r="BG541" s="32">
        <f>IF(BC541=0,"",IF(BF541="","",BF541+ROW()/1000000))</f>
        <v>0</v>
      </c>
      <c r="BH541" s="17">
        <f>IF(Performance!$C$541="","",Performance!$C$541)</f>
        <v>0</v>
      </c>
      <c r="BI541" s="17">
        <f>IF(Performance!$F$541="","",Performance!$F$541)</f>
        <v>0</v>
      </c>
      <c r="BJ541" s="17">
        <f>IF(Performance!$H$541="","",Performance!$H$541)</f>
        <v>0</v>
      </c>
      <c r="BK541" s="16">
        <f>IF(Performance!$D$541="","",Performance!$D$541)</f>
        <v>0</v>
      </c>
      <c r="BL541" s="17">
        <f>IF(Performance!$E$541="","",Performance!$E$541)</f>
        <v>0</v>
      </c>
      <c r="BM541" s="23">
        <f>IF(Performance!$O$541="","",Performance!$O$541)</f>
        <v>0</v>
      </c>
      <c r="BN541" s="24">
        <f>IF(Performance!$AA$541="","",Performance!$AA$541)</f>
        <v>0</v>
      </c>
      <c r="BO541" s="32">
        <f>IF(BH541="","",IF(BK541="","",IF(OR(BK541&lt;DashStart,BK541&gt;DashEnd),"",IF(BN541="","",BN541+ROW()/1000000))))</f>
        <v>0</v>
      </c>
      <c r="BP541" s="32">
        <f>IF(BM541="","",IF(BK541="","",IF(OR(BK541&lt;DashStart,BK541&gt;DashEnd),"",BM541+ROW()/1000000)))</f>
        <v>0</v>
      </c>
      <c r="BQ541" s="32">
        <f>IF(BH541="","",IF(BK541="","",IF(YEAR(BK541)&lt;&gt;PlanYear,"",IF(BN541="","",BN541+ROW()/1000000))))</f>
        <v>0</v>
      </c>
      <c r="BR541" s="32">
        <f>IF(BH541="","",IF(BK541="","",IF(OR(BK541&lt;RepFrom,BK541&gt;RepTo),"",IF(BN541="","",BN541+ROW()/1000000))))</f>
        <v>0</v>
      </c>
      <c r="BS541" s="32">
        <f>IF(BM541="","",IF(BK541="","",IF(YEAR(BK541)&lt;&gt;PlanYear,"",BM541+ROW()/1000000)))</f>
        <v>0</v>
      </c>
      <c r="BT541" s="17">
        <f>IF(Lists!$F541="","",Lists!$F541)</f>
        <v>0</v>
      </c>
      <c r="BU541" s="23">
        <f>IF(BT541="","",COUNTIF('Content Calendar'!$X$5:$X$604,BT541))</f>
        <v>0</v>
      </c>
      <c r="BV541" s="23">
        <f>IF(BT541="","",COUNTIFS('Content Calendar'!$X$5:$X$604,BT541,'Content Calendar'!$B$5:$B$604,"&gt;="&amp;DashStart,'Content Calendar'!$B$5:$B$604,"&lt;="&amp;DashEnd))</f>
        <v>0</v>
      </c>
      <c r="BW541" s="17">
        <f>IF(Team!$B$541="","",Team!$B$541)</f>
        <v>0</v>
      </c>
      <c r="BX541" s="23">
        <f>IF(BW541="","",COUNTIF('Content Calendar'!$W$5:$W$604,BW541))</f>
        <v>0</v>
      </c>
      <c r="BY541" s="23">
        <f>IF(BW541="","",COUNTIFS('Content Calendar'!$W$5:$W$604,BW541,'Content Calendar'!$X$5:$X$604,"&lt;&gt;Published"))</f>
        <v>0</v>
      </c>
      <c r="BZ541" s="23">
        <f>IF(BW541="","",COUNTIFS(Tasks!$C$5:$C$64,BW541,Tasks!$G$5:$G$64,"&lt;&gt;Complete"))</f>
        <v>0</v>
      </c>
      <c r="CA541" s="17">
        <f>IF(Campaigns!$B$541="","",Campaigns!$B$541)</f>
        <v>0</v>
      </c>
      <c r="CB541" s="25">
        <f>IF(Campaigns!$T$541="","",Campaigns!$T$541)</f>
        <v>0</v>
      </c>
      <c r="CC541" s="25">
        <f>IF(Campaigns!$Q$541="","",Campaigns!$Q$541)</f>
        <v>0</v>
      </c>
      <c r="CD541" s="23">
        <f>IF(Campaigns!$Y$541="","",Campaigns!$Y$541)</f>
        <v>0</v>
      </c>
      <c r="CE541" s="32">
        <f>IF(CA541="","",IF(N(CB541)&lt;=0,"",N(CB541)+ROW()/1000000))</f>
        <v>0</v>
      </c>
      <c r="CF541" s="17">
        <f>IF(Accounts!$C$541="","",Accounts!$C$541)</f>
        <v>0</v>
      </c>
      <c r="CG541" s="17">
        <f>IF(Accounts!$B$541="","",Accounts!$B$541)</f>
        <v>0</v>
      </c>
      <c r="CH541" s="23">
        <f>IF(Accounts!$J$541="","",Accounts!$J$541)</f>
        <v>0</v>
      </c>
      <c r="CI541" s="23">
        <f>IF(CF541="","",SUMIFS(Analytics!$X$5:$X$154,Analytics!$E$5:$E$154,CF541,Analytics!$B$5:$B$154,"&gt;="&amp;DashStart,Analytics!$B$5:$B$154,"&lt;="&amp;DashEnd))</f>
        <v>0</v>
      </c>
      <c r="CJ541" s="32">
        <f>IF(CH541="","",IF(CH541=0,"",CH541+ROW()/1000000))</f>
        <v>0</v>
      </c>
    </row>
    <row r="542" spans="1:88">
      <c r="A542" s="16">
        <f>IF(ROW()-4&gt;12,"",DATE(PlanYear,ROW()-4,1))</f>
        <v>0</v>
      </c>
      <c r="B542" s="16">
        <f>IF(A542="","",EOMONTH(A542,0))</f>
        <v>0</v>
      </c>
      <c r="C542" s="17">
        <f>IF(A542="","",TEXT(A542,"yyyy-mm"))</f>
        <v>0</v>
      </c>
      <c r="D542" s="17">
        <f>IF(A542="","",TEXT(A542,"mmm"))</f>
        <v>0</v>
      </c>
      <c r="E542" s="23">
        <f>IF(C542="","",COUNTIFS('Content Calendar'!$D$5:$D$604,C542))</f>
        <v>0</v>
      </c>
      <c r="F542" s="23">
        <f>IF(C542="","",COUNTIFS('Content Calendar'!$D$5:$D$604,C542,'Content Calendar'!$X$5:$X$604,"Published"))</f>
        <v>0</v>
      </c>
      <c r="G542" s="23">
        <f>IF(C542="","",SUMIFS(Analytics!$J$5:$J$154,Analytics!$C$5:$C$154,C542))</f>
        <v>0</v>
      </c>
      <c r="H542" s="23">
        <f>IF(C542="","",SUMIFS(Analytics!$K$5:$K$154,Analytics!$C$5:$C$154,C542))</f>
        <v>0</v>
      </c>
      <c r="I542" s="23">
        <f>IF(C542="","",SUMIFS(Analytics!$L$5:$L$154,Analytics!$C$5:$C$154,C542))</f>
        <v>0</v>
      </c>
      <c r="J542" s="24">
        <f>IF(OR(G542="",G542=0),"",I542/G542)</f>
        <v>0</v>
      </c>
      <c r="K542" s="23">
        <f>IF(C542="","",SUMIFS(Analytics!$G$5:$G$154,Analytics!$C$5:$C$154,C542))</f>
        <v>0</v>
      </c>
      <c r="L542" s="23">
        <f>IF(C542="","",SUMIFS(Analytics!$X$5:$X$154,Analytics!$C$5:$C$154,C542))</f>
        <v>0</v>
      </c>
      <c r="M542" s="23">
        <f>IF(C542="","",SUMIFS(Analytics!$R$5:$R$154,Analytics!$C$5:$C$154,C542))</f>
        <v>0</v>
      </c>
      <c r="N542" s="23">
        <f>IF(C542="","",SUMIFS(Analytics!$S$5:$S$154,Analytics!$C$5:$C$154,C542))</f>
        <v>0</v>
      </c>
      <c r="O542" s="23">
        <f>IF(C542="","",SUMIFS(Analytics!$T$5:$T$154,Analytics!$C$5:$C$154,C542))</f>
        <v>0</v>
      </c>
      <c r="P542" s="25">
        <f>IF(C542="","",SUMIFS(Analytics!$U$5:$U$154,Analytics!$C$5:$C$154,C542))</f>
        <v>0</v>
      </c>
      <c r="Q542" s="25">
        <f>IF(C542="","",SUMIFS(Budget!$H$5:$H$64,Budget!$C$5:$C$64,C542))</f>
        <v>0</v>
      </c>
      <c r="R542" s="25">
        <f>IF(C542="","",P542-Q542)</f>
        <v>0</v>
      </c>
      <c r="S542" s="23">
        <f>IF(C542="","",MonthlyPostTarget)</f>
        <v>0</v>
      </c>
      <c r="T542" s="17">
        <f>IF(Lists!$C542="","",Lists!$C542)</f>
        <v>0</v>
      </c>
      <c r="U542" s="23">
        <f>IF(T542="","",COUNTIFS('Content Calendar'!$G$5:$G$604,T542,'Content Calendar'!$B$5:$B$604,"&gt;="&amp;DashStart,'Content Calendar'!$B$5:$B$604,"&lt;="&amp;DashEnd))</f>
        <v>0</v>
      </c>
      <c r="V542" s="23">
        <f>IF(T542="","",COUNTIFS('Content Calendar'!$G$5:$G$604,T542,'Content Calendar'!$X$5:$X$604,"Published",'Content Calendar'!$B$5:$B$604,"&gt;="&amp;DashStart,'Content Calendar'!$B$5:$B$604,"&lt;="&amp;DashEnd))</f>
        <v>0</v>
      </c>
      <c r="W542" s="23">
        <f>IF(T542="","",SUMIFS(Analytics!$J$5:$J$154,Analytics!$D$5:$D$154,T542,Analytics!$B$5:$B$154,"&gt;="&amp;DashStart,Analytics!$B$5:$B$154,"&lt;="&amp;DashEnd))</f>
        <v>0</v>
      </c>
      <c r="X542" s="23">
        <f>IF(T542="","",SUMIFS(Analytics!$L$5:$L$154,Analytics!$D$5:$D$154,T542,Analytics!$B$5:$B$154,"&gt;="&amp;DashStart,Analytics!$B$5:$B$154,"&lt;="&amp;DashEnd))</f>
        <v>0</v>
      </c>
      <c r="Y542" s="24">
        <f>IF(OR(W542="",W542=0),"",X542/W542)</f>
        <v>0</v>
      </c>
      <c r="Z542" s="23">
        <f>IF(T542="","",SUMIFS(Analytics!$G$5:$G$154,Analytics!$D$5:$D$154,T542,Analytics!$B$5:$B$154,"&gt;="&amp;DashStart,Analytics!$B$5:$B$154,"&lt;="&amp;DashEnd))</f>
        <v>0</v>
      </c>
      <c r="AA542" s="23">
        <f>IF(T542="","",SUMIFS(Analytics!$X$5:$X$154,Analytics!$D$5:$D$154,T542,Analytics!$B$5:$B$154,"&gt;="&amp;DashStart,Analytics!$B$5:$B$154,"&lt;="&amp;DashEnd))</f>
        <v>0</v>
      </c>
      <c r="AB542" s="23">
        <f>IF(T542="","",SUMIFS(Analytics!$R$5:$R$154,Analytics!$D$5:$D$154,T542,Analytics!$B$5:$B$154,"&gt;="&amp;DashStart,Analytics!$B$5:$B$154,"&lt;="&amp;DashEnd))</f>
        <v>0</v>
      </c>
      <c r="AC542" s="25">
        <f>IF(T542="","",SUMIFS(Analytics!$U$5:$U$154,Analytics!$D$5:$D$154,T542,Analytics!$B$5:$B$154,"&gt;="&amp;DashStart,Analytics!$B$5:$B$154,"&lt;="&amp;DashEnd))</f>
        <v>0</v>
      </c>
      <c r="AD542" s="23">
        <f>IF(T542="","",COUNTIFS('Content Calendar'!$G$5:$G$604,T542,'Content Calendar'!$B$5:$B$604,"&gt;="&amp;DATE(PlanYear,1,1),'Content Calendar'!$B$5:$B$604,"&lt;="&amp;DATE(PlanYear,12,31)))</f>
        <v>0</v>
      </c>
      <c r="AE542" s="23">
        <f>IF(T542="","",SUMIFS(Analytics!$J$5:$J$154,Analytics!$D$5:$D$154,T542))</f>
        <v>0</v>
      </c>
      <c r="AF542" s="23">
        <f>IF(T542="","",SUMIFS(Analytics!$L$5:$L$154,Analytics!$D$5:$D$154,T542))</f>
        <v>0</v>
      </c>
      <c r="AG542" s="24">
        <f>IF(OR(AE542="",AE542=0),"",AF542/AE542)</f>
        <v>0</v>
      </c>
      <c r="AH542" s="23">
        <f>IF(T542="","",SUMIFS(Analytics!$X$5:$X$154,Analytics!$D$5:$D$154,T542))</f>
        <v>0</v>
      </c>
      <c r="AI542" s="32">
        <f>IF(T542="","",IF(AE542=0,"",AE542+ROW()/1000000))</f>
        <v>0</v>
      </c>
      <c r="AJ542" s="17">
        <f>IF('Content Pillars'!$B$542="","",'Content Pillars'!$B$542)</f>
        <v>0</v>
      </c>
      <c r="AK542" s="23">
        <f>IF(AJ542="","",COUNTIFS('Content Calendar'!$J$5:$J$604,AJ542,'Content Calendar'!$B$5:$B$604,"&gt;="&amp;DATE(PlanYear,1,1),'Content Calendar'!$B$5:$B$604,"&lt;="&amp;DATE(PlanYear,12,31)))</f>
        <v>0</v>
      </c>
      <c r="AL542" s="23">
        <f>IF(AJ542="","",SUMIFS(Performance!$O$5:$O$404,Performance!$H$5:$H$404,AJ542))</f>
        <v>0</v>
      </c>
      <c r="AM542" s="23">
        <f>IF(AJ542="","",SUMIFS(Performance!$Z$5:$Z$404,Performance!$H$5:$H$404,AJ542))</f>
        <v>0</v>
      </c>
      <c r="AN542" s="24">
        <f>IF(OR(AL542="",AL542=0),"",AM542/AL542)</f>
        <v>0</v>
      </c>
      <c r="AO542" s="32">
        <f>IF(AN542="","",AN542+ROW()/1000000)</f>
        <v>0</v>
      </c>
      <c r="AP542" s="17">
        <f>IF(Lists!$E542="","",Lists!$E542)</f>
        <v>0</v>
      </c>
      <c r="AQ542" s="23">
        <f>IF(AP542="","",COUNTIF(Performance!$G$5:$G$404,AP542))</f>
        <v>0</v>
      </c>
      <c r="AR542" s="23">
        <f>IF(AP542="","",SUMIFS(Performance!$O$5:$O$404,Performance!$G$5:$G$404,AP542))</f>
        <v>0</v>
      </c>
      <c r="AS542" s="23">
        <f>IF(AP542="","",SUMIFS(Performance!$Z$5:$Z$404,Performance!$G$5:$G$404,AP542))</f>
        <v>0</v>
      </c>
      <c r="AT542" s="24">
        <f>IF(OR(AR542="",AR542=0),"",AS542/AR542)</f>
        <v>0</v>
      </c>
      <c r="AU542" s="32">
        <f>IF(AQ542=0,"",IF(AT542="","",AT542+ROW()/1000000))</f>
        <v>0</v>
      </c>
      <c r="AV542" s="17">
        <f>IF(ROW()-4&gt;7,"",TEXT(DATE(2024,1,ROW()-4),"ddd"))</f>
        <v>0</v>
      </c>
      <c r="AW542" s="23">
        <f>IF(AV542="","",COUNTIF(Performance!$N$5:$N$404,AV542))</f>
        <v>0</v>
      </c>
      <c r="AX542" s="23">
        <f>IF(AV542="","",SUMIFS(Performance!$O$5:$O$404,Performance!$N$5:$N$404,AV542))</f>
        <v>0</v>
      </c>
      <c r="AY542" s="23">
        <f>IF(AV542="","",SUMIFS(Performance!$Z$5:$Z$404,Performance!$N$5:$N$404,AV542))</f>
        <v>0</v>
      </c>
      <c r="AZ542" s="24">
        <f>IF(OR(AX542="",AX542=0),"",AY542/AX542)</f>
        <v>0</v>
      </c>
      <c r="BA542" s="32">
        <f>IF(AW542=0,"",IF(AZ542="","",AZ542+ROW()/1000000))</f>
        <v>0</v>
      </c>
      <c r="BB542" s="17">
        <f>IF(Lists!$AL542="","",Lists!$AL542)</f>
        <v>0</v>
      </c>
      <c r="BC542" s="23">
        <f>IF(BB542="","",COUNTIF(Performance!$M$5:$M$404,BB542))</f>
        <v>0</v>
      </c>
      <c r="BD542" s="23">
        <f>IF(BB542="","",SUMIFS(Performance!$O$5:$O$404,Performance!$M$5:$M$404,BB542))</f>
        <v>0</v>
      </c>
      <c r="BE542" s="23">
        <f>IF(BB542="","",SUMIFS(Performance!$Z$5:$Z$404,Performance!$M$5:$M$404,BB542))</f>
        <v>0</v>
      </c>
      <c r="BF542" s="24">
        <f>IF(OR(BD542="",BD542=0),"",BE542/BD542)</f>
        <v>0</v>
      </c>
      <c r="BG542" s="32">
        <f>IF(BC542=0,"",IF(BF542="","",BF542+ROW()/1000000))</f>
        <v>0</v>
      </c>
      <c r="BH542" s="17">
        <f>IF(Performance!$C$542="","",Performance!$C$542)</f>
        <v>0</v>
      </c>
      <c r="BI542" s="17">
        <f>IF(Performance!$F$542="","",Performance!$F$542)</f>
        <v>0</v>
      </c>
      <c r="BJ542" s="17">
        <f>IF(Performance!$H$542="","",Performance!$H$542)</f>
        <v>0</v>
      </c>
      <c r="BK542" s="16">
        <f>IF(Performance!$D$542="","",Performance!$D$542)</f>
        <v>0</v>
      </c>
      <c r="BL542" s="17">
        <f>IF(Performance!$E$542="","",Performance!$E$542)</f>
        <v>0</v>
      </c>
      <c r="BM542" s="23">
        <f>IF(Performance!$O$542="","",Performance!$O$542)</f>
        <v>0</v>
      </c>
      <c r="BN542" s="24">
        <f>IF(Performance!$AA$542="","",Performance!$AA$542)</f>
        <v>0</v>
      </c>
      <c r="BO542" s="32">
        <f>IF(BH542="","",IF(BK542="","",IF(OR(BK542&lt;DashStart,BK542&gt;DashEnd),"",IF(BN542="","",BN542+ROW()/1000000))))</f>
        <v>0</v>
      </c>
      <c r="BP542" s="32">
        <f>IF(BM542="","",IF(BK542="","",IF(OR(BK542&lt;DashStart,BK542&gt;DashEnd),"",BM542+ROW()/1000000)))</f>
        <v>0</v>
      </c>
      <c r="BQ542" s="32">
        <f>IF(BH542="","",IF(BK542="","",IF(YEAR(BK542)&lt;&gt;PlanYear,"",IF(BN542="","",BN542+ROW()/1000000))))</f>
        <v>0</v>
      </c>
      <c r="BR542" s="32">
        <f>IF(BH542="","",IF(BK542="","",IF(OR(BK542&lt;RepFrom,BK542&gt;RepTo),"",IF(BN542="","",BN542+ROW()/1000000))))</f>
        <v>0</v>
      </c>
      <c r="BS542" s="32">
        <f>IF(BM542="","",IF(BK542="","",IF(YEAR(BK542)&lt;&gt;PlanYear,"",BM542+ROW()/1000000)))</f>
        <v>0</v>
      </c>
      <c r="BT542" s="17">
        <f>IF(Lists!$F542="","",Lists!$F542)</f>
        <v>0</v>
      </c>
      <c r="BU542" s="23">
        <f>IF(BT542="","",COUNTIF('Content Calendar'!$X$5:$X$604,BT542))</f>
        <v>0</v>
      </c>
      <c r="BV542" s="23">
        <f>IF(BT542="","",COUNTIFS('Content Calendar'!$X$5:$X$604,BT542,'Content Calendar'!$B$5:$B$604,"&gt;="&amp;DashStart,'Content Calendar'!$B$5:$B$604,"&lt;="&amp;DashEnd))</f>
        <v>0</v>
      </c>
      <c r="BW542" s="17">
        <f>IF(Team!$B$542="","",Team!$B$542)</f>
        <v>0</v>
      </c>
      <c r="BX542" s="23">
        <f>IF(BW542="","",COUNTIF('Content Calendar'!$W$5:$W$604,BW542))</f>
        <v>0</v>
      </c>
      <c r="BY542" s="23">
        <f>IF(BW542="","",COUNTIFS('Content Calendar'!$W$5:$W$604,BW542,'Content Calendar'!$X$5:$X$604,"&lt;&gt;Published"))</f>
        <v>0</v>
      </c>
      <c r="BZ542" s="23">
        <f>IF(BW542="","",COUNTIFS(Tasks!$C$5:$C$64,BW542,Tasks!$G$5:$G$64,"&lt;&gt;Complete"))</f>
        <v>0</v>
      </c>
      <c r="CA542" s="17">
        <f>IF(Campaigns!$B$542="","",Campaigns!$B$542)</f>
        <v>0</v>
      </c>
      <c r="CB542" s="25">
        <f>IF(Campaigns!$T$542="","",Campaigns!$T$542)</f>
        <v>0</v>
      </c>
      <c r="CC542" s="25">
        <f>IF(Campaigns!$Q$542="","",Campaigns!$Q$542)</f>
        <v>0</v>
      </c>
      <c r="CD542" s="23">
        <f>IF(Campaigns!$Y$542="","",Campaigns!$Y$542)</f>
        <v>0</v>
      </c>
      <c r="CE542" s="32">
        <f>IF(CA542="","",IF(N(CB542)&lt;=0,"",N(CB542)+ROW()/1000000))</f>
        <v>0</v>
      </c>
      <c r="CF542" s="17">
        <f>IF(Accounts!$C$542="","",Accounts!$C$542)</f>
        <v>0</v>
      </c>
      <c r="CG542" s="17">
        <f>IF(Accounts!$B$542="","",Accounts!$B$542)</f>
        <v>0</v>
      </c>
      <c r="CH542" s="23">
        <f>IF(Accounts!$J$542="","",Accounts!$J$542)</f>
        <v>0</v>
      </c>
      <c r="CI542" s="23">
        <f>IF(CF542="","",SUMIFS(Analytics!$X$5:$X$154,Analytics!$E$5:$E$154,CF542,Analytics!$B$5:$B$154,"&gt;="&amp;DashStart,Analytics!$B$5:$B$154,"&lt;="&amp;DashEnd))</f>
        <v>0</v>
      </c>
      <c r="CJ542" s="32">
        <f>IF(CH542="","",IF(CH542=0,"",CH542+ROW()/1000000))</f>
        <v>0</v>
      </c>
    </row>
    <row r="543" spans="1:88">
      <c r="A543" s="16">
        <f>IF(ROW()-4&gt;12,"",DATE(PlanYear,ROW()-4,1))</f>
        <v>0</v>
      </c>
      <c r="B543" s="16">
        <f>IF(A543="","",EOMONTH(A543,0))</f>
        <v>0</v>
      </c>
      <c r="C543" s="17">
        <f>IF(A543="","",TEXT(A543,"yyyy-mm"))</f>
        <v>0</v>
      </c>
      <c r="D543" s="17">
        <f>IF(A543="","",TEXT(A543,"mmm"))</f>
        <v>0</v>
      </c>
      <c r="E543" s="23">
        <f>IF(C543="","",COUNTIFS('Content Calendar'!$D$5:$D$604,C543))</f>
        <v>0</v>
      </c>
      <c r="F543" s="23">
        <f>IF(C543="","",COUNTIFS('Content Calendar'!$D$5:$D$604,C543,'Content Calendar'!$X$5:$X$604,"Published"))</f>
        <v>0</v>
      </c>
      <c r="G543" s="23">
        <f>IF(C543="","",SUMIFS(Analytics!$J$5:$J$154,Analytics!$C$5:$C$154,C543))</f>
        <v>0</v>
      </c>
      <c r="H543" s="23">
        <f>IF(C543="","",SUMIFS(Analytics!$K$5:$K$154,Analytics!$C$5:$C$154,C543))</f>
        <v>0</v>
      </c>
      <c r="I543" s="23">
        <f>IF(C543="","",SUMIFS(Analytics!$L$5:$L$154,Analytics!$C$5:$C$154,C543))</f>
        <v>0</v>
      </c>
      <c r="J543" s="24">
        <f>IF(OR(G543="",G543=0),"",I543/G543)</f>
        <v>0</v>
      </c>
      <c r="K543" s="23">
        <f>IF(C543="","",SUMIFS(Analytics!$G$5:$G$154,Analytics!$C$5:$C$154,C543))</f>
        <v>0</v>
      </c>
      <c r="L543" s="23">
        <f>IF(C543="","",SUMIFS(Analytics!$X$5:$X$154,Analytics!$C$5:$C$154,C543))</f>
        <v>0</v>
      </c>
      <c r="M543" s="23">
        <f>IF(C543="","",SUMIFS(Analytics!$R$5:$R$154,Analytics!$C$5:$C$154,C543))</f>
        <v>0</v>
      </c>
      <c r="N543" s="23">
        <f>IF(C543="","",SUMIFS(Analytics!$S$5:$S$154,Analytics!$C$5:$C$154,C543))</f>
        <v>0</v>
      </c>
      <c r="O543" s="23">
        <f>IF(C543="","",SUMIFS(Analytics!$T$5:$T$154,Analytics!$C$5:$C$154,C543))</f>
        <v>0</v>
      </c>
      <c r="P543" s="25">
        <f>IF(C543="","",SUMIFS(Analytics!$U$5:$U$154,Analytics!$C$5:$C$154,C543))</f>
        <v>0</v>
      </c>
      <c r="Q543" s="25">
        <f>IF(C543="","",SUMIFS(Budget!$H$5:$H$64,Budget!$C$5:$C$64,C543))</f>
        <v>0</v>
      </c>
      <c r="R543" s="25">
        <f>IF(C543="","",P543-Q543)</f>
        <v>0</v>
      </c>
      <c r="S543" s="23">
        <f>IF(C543="","",MonthlyPostTarget)</f>
        <v>0</v>
      </c>
      <c r="T543" s="17">
        <f>IF(Lists!$C543="","",Lists!$C543)</f>
        <v>0</v>
      </c>
      <c r="U543" s="23">
        <f>IF(T543="","",COUNTIFS('Content Calendar'!$G$5:$G$604,T543,'Content Calendar'!$B$5:$B$604,"&gt;="&amp;DashStart,'Content Calendar'!$B$5:$B$604,"&lt;="&amp;DashEnd))</f>
        <v>0</v>
      </c>
      <c r="V543" s="23">
        <f>IF(T543="","",COUNTIFS('Content Calendar'!$G$5:$G$604,T543,'Content Calendar'!$X$5:$X$604,"Published",'Content Calendar'!$B$5:$B$604,"&gt;="&amp;DashStart,'Content Calendar'!$B$5:$B$604,"&lt;="&amp;DashEnd))</f>
        <v>0</v>
      </c>
      <c r="W543" s="23">
        <f>IF(T543="","",SUMIFS(Analytics!$J$5:$J$154,Analytics!$D$5:$D$154,T543,Analytics!$B$5:$B$154,"&gt;="&amp;DashStart,Analytics!$B$5:$B$154,"&lt;="&amp;DashEnd))</f>
        <v>0</v>
      </c>
      <c r="X543" s="23">
        <f>IF(T543="","",SUMIFS(Analytics!$L$5:$L$154,Analytics!$D$5:$D$154,T543,Analytics!$B$5:$B$154,"&gt;="&amp;DashStart,Analytics!$B$5:$B$154,"&lt;="&amp;DashEnd))</f>
        <v>0</v>
      </c>
      <c r="Y543" s="24">
        <f>IF(OR(W543="",W543=0),"",X543/W543)</f>
        <v>0</v>
      </c>
      <c r="Z543" s="23">
        <f>IF(T543="","",SUMIFS(Analytics!$G$5:$G$154,Analytics!$D$5:$D$154,T543,Analytics!$B$5:$B$154,"&gt;="&amp;DashStart,Analytics!$B$5:$B$154,"&lt;="&amp;DashEnd))</f>
        <v>0</v>
      </c>
      <c r="AA543" s="23">
        <f>IF(T543="","",SUMIFS(Analytics!$X$5:$X$154,Analytics!$D$5:$D$154,T543,Analytics!$B$5:$B$154,"&gt;="&amp;DashStart,Analytics!$B$5:$B$154,"&lt;="&amp;DashEnd))</f>
        <v>0</v>
      </c>
      <c r="AB543" s="23">
        <f>IF(T543="","",SUMIFS(Analytics!$R$5:$R$154,Analytics!$D$5:$D$154,T543,Analytics!$B$5:$B$154,"&gt;="&amp;DashStart,Analytics!$B$5:$B$154,"&lt;="&amp;DashEnd))</f>
        <v>0</v>
      </c>
      <c r="AC543" s="25">
        <f>IF(T543="","",SUMIFS(Analytics!$U$5:$U$154,Analytics!$D$5:$D$154,T543,Analytics!$B$5:$B$154,"&gt;="&amp;DashStart,Analytics!$B$5:$B$154,"&lt;="&amp;DashEnd))</f>
        <v>0</v>
      </c>
      <c r="AD543" s="23">
        <f>IF(T543="","",COUNTIFS('Content Calendar'!$G$5:$G$604,T543,'Content Calendar'!$B$5:$B$604,"&gt;="&amp;DATE(PlanYear,1,1),'Content Calendar'!$B$5:$B$604,"&lt;="&amp;DATE(PlanYear,12,31)))</f>
        <v>0</v>
      </c>
      <c r="AE543" s="23">
        <f>IF(T543="","",SUMIFS(Analytics!$J$5:$J$154,Analytics!$D$5:$D$154,T543))</f>
        <v>0</v>
      </c>
      <c r="AF543" s="23">
        <f>IF(T543="","",SUMIFS(Analytics!$L$5:$L$154,Analytics!$D$5:$D$154,T543))</f>
        <v>0</v>
      </c>
      <c r="AG543" s="24">
        <f>IF(OR(AE543="",AE543=0),"",AF543/AE543)</f>
        <v>0</v>
      </c>
      <c r="AH543" s="23">
        <f>IF(T543="","",SUMIFS(Analytics!$X$5:$X$154,Analytics!$D$5:$D$154,T543))</f>
        <v>0</v>
      </c>
      <c r="AI543" s="32">
        <f>IF(T543="","",IF(AE543=0,"",AE543+ROW()/1000000))</f>
        <v>0</v>
      </c>
      <c r="AJ543" s="17">
        <f>IF('Content Pillars'!$B$543="","",'Content Pillars'!$B$543)</f>
        <v>0</v>
      </c>
      <c r="AK543" s="23">
        <f>IF(AJ543="","",COUNTIFS('Content Calendar'!$J$5:$J$604,AJ543,'Content Calendar'!$B$5:$B$604,"&gt;="&amp;DATE(PlanYear,1,1),'Content Calendar'!$B$5:$B$604,"&lt;="&amp;DATE(PlanYear,12,31)))</f>
        <v>0</v>
      </c>
      <c r="AL543" s="23">
        <f>IF(AJ543="","",SUMIFS(Performance!$O$5:$O$404,Performance!$H$5:$H$404,AJ543))</f>
        <v>0</v>
      </c>
      <c r="AM543" s="23">
        <f>IF(AJ543="","",SUMIFS(Performance!$Z$5:$Z$404,Performance!$H$5:$H$404,AJ543))</f>
        <v>0</v>
      </c>
      <c r="AN543" s="24">
        <f>IF(OR(AL543="",AL543=0),"",AM543/AL543)</f>
        <v>0</v>
      </c>
      <c r="AO543" s="32">
        <f>IF(AN543="","",AN543+ROW()/1000000)</f>
        <v>0</v>
      </c>
      <c r="AP543" s="17">
        <f>IF(Lists!$E543="","",Lists!$E543)</f>
        <v>0</v>
      </c>
      <c r="AQ543" s="23">
        <f>IF(AP543="","",COUNTIF(Performance!$G$5:$G$404,AP543))</f>
        <v>0</v>
      </c>
      <c r="AR543" s="23">
        <f>IF(AP543="","",SUMIFS(Performance!$O$5:$O$404,Performance!$G$5:$G$404,AP543))</f>
        <v>0</v>
      </c>
      <c r="AS543" s="23">
        <f>IF(AP543="","",SUMIFS(Performance!$Z$5:$Z$404,Performance!$G$5:$G$404,AP543))</f>
        <v>0</v>
      </c>
      <c r="AT543" s="24">
        <f>IF(OR(AR543="",AR543=0),"",AS543/AR543)</f>
        <v>0</v>
      </c>
      <c r="AU543" s="32">
        <f>IF(AQ543=0,"",IF(AT543="","",AT543+ROW()/1000000))</f>
        <v>0</v>
      </c>
      <c r="AV543" s="17">
        <f>IF(ROW()-4&gt;7,"",TEXT(DATE(2024,1,ROW()-4),"ddd"))</f>
        <v>0</v>
      </c>
      <c r="AW543" s="23">
        <f>IF(AV543="","",COUNTIF(Performance!$N$5:$N$404,AV543))</f>
        <v>0</v>
      </c>
      <c r="AX543" s="23">
        <f>IF(AV543="","",SUMIFS(Performance!$O$5:$O$404,Performance!$N$5:$N$404,AV543))</f>
        <v>0</v>
      </c>
      <c r="AY543" s="23">
        <f>IF(AV543="","",SUMIFS(Performance!$Z$5:$Z$404,Performance!$N$5:$N$404,AV543))</f>
        <v>0</v>
      </c>
      <c r="AZ543" s="24">
        <f>IF(OR(AX543="",AX543=0),"",AY543/AX543)</f>
        <v>0</v>
      </c>
      <c r="BA543" s="32">
        <f>IF(AW543=0,"",IF(AZ543="","",AZ543+ROW()/1000000))</f>
        <v>0</v>
      </c>
      <c r="BB543" s="17">
        <f>IF(Lists!$AL543="","",Lists!$AL543)</f>
        <v>0</v>
      </c>
      <c r="BC543" s="23">
        <f>IF(BB543="","",COUNTIF(Performance!$M$5:$M$404,BB543))</f>
        <v>0</v>
      </c>
      <c r="BD543" s="23">
        <f>IF(BB543="","",SUMIFS(Performance!$O$5:$O$404,Performance!$M$5:$M$404,BB543))</f>
        <v>0</v>
      </c>
      <c r="BE543" s="23">
        <f>IF(BB543="","",SUMIFS(Performance!$Z$5:$Z$404,Performance!$M$5:$M$404,BB543))</f>
        <v>0</v>
      </c>
      <c r="BF543" s="24">
        <f>IF(OR(BD543="",BD543=0),"",BE543/BD543)</f>
        <v>0</v>
      </c>
      <c r="BG543" s="32">
        <f>IF(BC543=0,"",IF(BF543="","",BF543+ROW()/1000000))</f>
        <v>0</v>
      </c>
      <c r="BH543" s="17">
        <f>IF(Performance!$C$543="","",Performance!$C$543)</f>
        <v>0</v>
      </c>
      <c r="BI543" s="17">
        <f>IF(Performance!$F$543="","",Performance!$F$543)</f>
        <v>0</v>
      </c>
      <c r="BJ543" s="17">
        <f>IF(Performance!$H$543="","",Performance!$H$543)</f>
        <v>0</v>
      </c>
      <c r="BK543" s="16">
        <f>IF(Performance!$D$543="","",Performance!$D$543)</f>
        <v>0</v>
      </c>
      <c r="BL543" s="17">
        <f>IF(Performance!$E$543="","",Performance!$E$543)</f>
        <v>0</v>
      </c>
      <c r="BM543" s="23">
        <f>IF(Performance!$O$543="","",Performance!$O$543)</f>
        <v>0</v>
      </c>
      <c r="BN543" s="24">
        <f>IF(Performance!$AA$543="","",Performance!$AA$543)</f>
        <v>0</v>
      </c>
      <c r="BO543" s="32">
        <f>IF(BH543="","",IF(BK543="","",IF(OR(BK543&lt;DashStart,BK543&gt;DashEnd),"",IF(BN543="","",BN543+ROW()/1000000))))</f>
        <v>0</v>
      </c>
      <c r="BP543" s="32">
        <f>IF(BM543="","",IF(BK543="","",IF(OR(BK543&lt;DashStart,BK543&gt;DashEnd),"",BM543+ROW()/1000000)))</f>
        <v>0</v>
      </c>
      <c r="BQ543" s="32">
        <f>IF(BH543="","",IF(BK543="","",IF(YEAR(BK543)&lt;&gt;PlanYear,"",IF(BN543="","",BN543+ROW()/1000000))))</f>
        <v>0</v>
      </c>
      <c r="BR543" s="32">
        <f>IF(BH543="","",IF(BK543="","",IF(OR(BK543&lt;RepFrom,BK543&gt;RepTo),"",IF(BN543="","",BN543+ROW()/1000000))))</f>
        <v>0</v>
      </c>
      <c r="BS543" s="32">
        <f>IF(BM543="","",IF(BK543="","",IF(YEAR(BK543)&lt;&gt;PlanYear,"",BM543+ROW()/1000000)))</f>
        <v>0</v>
      </c>
      <c r="BT543" s="17">
        <f>IF(Lists!$F543="","",Lists!$F543)</f>
        <v>0</v>
      </c>
      <c r="BU543" s="23">
        <f>IF(BT543="","",COUNTIF('Content Calendar'!$X$5:$X$604,BT543))</f>
        <v>0</v>
      </c>
      <c r="BV543" s="23">
        <f>IF(BT543="","",COUNTIFS('Content Calendar'!$X$5:$X$604,BT543,'Content Calendar'!$B$5:$B$604,"&gt;="&amp;DashStart,'Content Calendar'!$B$5:$B$604,"&lt;="&amp;DashEnd))</f>
        <v>0</v>
      </c>
      <c r="BW543" s="17">
        <f>IF(Team!$B$543="","",Team!$B$543)</f>
        <v>0</v>
      </c>
      <c r="BX543" s="23">
        <f>IF(BW543="","",COUNTIF('Content Calendar'!$W$5:$W$604,BW543))</f>
        <v>0</v>
      </c>
      <c r="BY543" s="23">
        <f>IF(BW543="","",COUNTIFS('Content Calendar'!$W$5:$W$604,BW543,'Content Calendar'!$X$5:$X$604,"&lt;&gt;Published"))</f>
        <v>0</v>
      </c>
      <c r="BZ543" s="23">
        <f>IF(BW543="","",COUNTIFS(Tasks!$C$5:$C$64,BW543,Tasks!$G$5:$G$64,"&lt;&gt;Complete"))</f>
        <v>0</v>
      </c>
      <c r="CA543" s="17">
        <f>IF(Campaigns!$B$543="","",Campaigns!$B$543)</f>
        <v>0</v>
      </c>
      <c r="CB543" s="25">
        <f>IF(Campaigns!$T$543="","",Campaigns!$T$543)</f>
        <v>0</v>
      </c>
      <c r="CC543" s="25">
        <f>IF(Campaigns!$Q$543="","",Campaigns!$Q$543)</f>
        <v>0</v>
      </c>
      <c r="CD543" s="23">
        <f>IF(Campaigns!$Y$543="","",Campaigns!$Y$543)</f>
        <v>0</v>
      </c>
      <c r="CE543" s="32">
        <f>IF(CA543="","",IF(N(CB543)&lt;=0,"",N(CB543)+ROW()/1000000))</f>
        <v>0</v>
      </c>
      <c r="CF543" s="17">
        <f>IF(Accounts!$C$543="","",Accounts!$C$543)</f>
        <v>0</v>
      </c>
      <c r="CG543" s="17">
        <f>IF(Accounts!$B$543="","",Accounts!$B$543)</f>
        <v>0</v>
      </c>
      <c r="CH543" s="23">
        <f>IF(Accounts!$J$543="","",Accounts!$J$543)</f>
        <v>0</v>
      </c>
      <c r="CI543" s="23">
        <f>IF(CF543="","",SUMIFS(Analytics!$X$5:$X$154,Analytics!$E$5:$E$154,CF543,Analytics!$B$5:$B$154,"&gt;="&amp;DashStart,Analytics!$B$5:$B$154,"&lt;="&amp;DashEnd))</f>
        <v>0</v>
      </c>
      <c r="CJ543" s="32">
        <f>IF(CH543="","",IF(CH543=0,"",CH543+ROW()/1000000))</f>
        <v>0</v>
      </c>
    </row>
    <row r="544" spans="1:88">
      <c r="A544" s="16">
        <f>IF(ROW()-4&gt;12,"",DATE(PlanYear,ROW()-4,1))</f>
        <v>0</v>
      </c>
      <c r="B544" s="16">
        <f>IF(A544="","",EOMONTH(A544,0))</f>
        <v>0</v>
      </c>
      <c r="C544" s="17">
        <f>IF(A544="","",TEXT(A544,"yyyy-mm"))</f>
        <v>0</v>
      </c>
      <c r="D544" s="17">
        <f>IF(A544="","",TEXT(A544,"mmm"))</f>
        <v>0</v>
      </c>
      <c r="E544" s="23">
        <f>IF(C544="","",COUNTIFS('Content Calendar'!$D$5:$D$604,C544))</f>
        <v>0</v>
      </c>
      <c r="F544" s="23">
        <f>IF(C544="","",COUNTIFS('Content Calendar'!$D$5:$D$604,C544,'Content Calendar'!$X$5:$X$604,"Published"))</f>
        <v>0</v>
      </c>
      <c r="G544" s="23">
        <f>IF(C544="","",SUMIFS(Analytics!$J$5:$J$154,Analytics!$C$5:$C$154,C544))</f>
        <v>0</v>
      </c>
      <c r="H544" s="23">
        <f>IF(C544="","",SUMIFS(Analytics!$K$5:$K$154,Analytics!$C$5:$C$154,C544))</f>
        <v>0</v>
      </c>
      <c r="I544" s="23">
        <f>IF(C544="","",SUMIFS(Analytics!$L$5:$L$154,Analytics!$C$5:$C$154,C544))</f>
        <v>0</v>
      </c>
      <c r="J544" s="24">
        <f>IF(OR(G544="",G544=0),"",I544/G544)</f>
        <v>0</v>
      </c>
      <c r="K544" s="23">
        <f>IF(C544="","",SUMIFS(Analytics!$G$5:$G$154,Analytics!$C$5:$C$154,C544))</f>
        <v>0</v>
      </c>
      <c r="L544" s="23">
        <f>IF(C544="","",SUMIFS(Analytics!$X$5:$X$154,Analytics!$C$5:$C$154,C544))</f>
        <v>0</v>
      </c>
      <c r="M544" s="23">
        <f>IF(C544="","",SUMIFS(Analytics!$R$5:$R$154,Analytics!$C$5:$C$154,C544))</f>
        <v>0</v>
      </c>
      <c r="N544" s="23">
        <f>IF(C544="","",SUMIFS(Analytics!$S$5:$S$154,Analytics!$C$5:$C$154,C544))</f>
        <v>0</v>
      </c>
      <c r="O544" s="23">
        <f>IF(C544="","",SUMIFS(Analytics!$T$5:$T$154,Analytics!$C$5:$C$154,C544))</f>
        <v>0</v>
      </c>
      <c r="P544" s="25">
        <f>IF(C544="","",SUMIFS(Analytics!$U$5:$U$154,Analytics!$C$5:$C$154,C544))</f>
        <v>0</v>
      </c>
      <c r="Q544" s="25">
        <f>IF(C544="","",SUMIFS(Budget!$H$5:$H$64,Budget!$C$5:$C$64,C544))</f>
        <v>0</v>
      </c>
      <c r="R544" s="25">
        <f>IF(C544="","",P544-Q544)</f>
        <v>0</v>
      </c>
      <c r="S544" s="23">
        <f>IF(C544="","",MonthlyPostTarget)</f>
        <v>0</v>
      </c>
      <c r="T544" s="17">
        <f>IF(Lists!$C544="","",Lists!$C544)</f>
        <v>0</v>
      </c>
      <c r="U544" s="23">
        <f>IF(T544="","",COUNTIFS('Content Calendar'!$G$5:$G$604,T544,'Content Calendar'!$B$5:$B$604,"&gt;="&amp;DashStart,'Content Calendar'!$B$5:$B$604,"&lt;="&amp;DashEnd))</f>
        <v>0</v>
      </c>
      <c r="V544" s="23">
        <f>IF(T544="","",COUNTIFS('Content Calendar'!$G$5:$G$604,T544,'Content Calendar'!$X$5:$X$604,"Published",'Content Calendar'!$B$5:$B$604,"&gt;="&amp;DashStart,'Content Calendar'!$B$5:$B$604,"&lt;="&amp;DashEnd))</f>
        <v>0</v>
      </c>
      <c r="W544" s="23">
        <f>IF(T544="","",SUMIFS(Analytics!$J$5:$J$154,Analytics!$D$5:$D$154,T544,Analytics!$B$5:$B$154,"&gt;="&amp;DashStart,Analytics!$B$5:$B$154,"&lt;="&amp;DashEnd))</f>
        <v>0</v>
      </c>
      <c r="X544" s="23">
        <f>IF(T544="","",SUMIFS(Analytics!$L$5:$L$154,Analytics!$D$5:$D$154,T544,Analytics!$B$5:$B$154,"&gt;="&amp;DashStart,Analytics!$B$5:$B$154,"&lt;="&amp;DashEnd))</f>
        <v>0</v>
      </c>
      <c r="Y544" s="24">
        <f>IF(OR(W544="",W544=0),"",X544/W544)</f>
        <v>0</v>
      </c>
      <c r="Z544" s="23">
        <f>IF(T544="","",SUMIFS(Analytics!$G$5:$G$154,Analytics!$D$5:$D$154,T544,Analytics!$B$5:$B$154,"&gt;="&amp;DashStart,Analytics!$B$5:$B$154,"&lt;="&amp;DashEnd))</f>
        <v>0</v>
      </c>
      <c r="AA544" s="23">
        <f>IF(T544="","",SUMIFS(Analytics!$X$5:$X$154,Analytics!$D$5:$D$154,T544,Analytics!$B$5:$B$154,"&gt;="&amp;DashStart,Analytics!$B$5:$B$154,"&lt;="&amp;DashEnd))</f>
        <v>0</v>
      </c>
      <c r="AB544" s="23">
        <f>IF(T544="","",SUMIFS(Analytics!$R$5:$R$154,Analytics!$D$5:$D$154,T544,Analytics!$B$5:$B$154,"&gt;="&amp;DashStart,Analytics!$B$5:$B$154,"&lt;="&amp;DashEnd))</f>
        <v>0</v>
      </c>
      <c r="AC544" s="25">
        <f>IF(T544="","",SUMIFS(Analytics!$U$5:$U$154,Analytics!$D$5:$D$154,T544,Analytics!$B$5:$B$154,"&gt;="&amp;DashStart,Analytics!$B$5:$B$154,"&lt;="&amp;DashEnd))</f>
        <v>0</v>
      </c>
      <c r="AD544" s="23">
        <f>IF(T544="","",COUNTIFS('Content Calendar'!$G$5:$G$604,T544,'Content Calendar'!$B$5:$B$604,"&gt;="&amp;DATE(PlanYear,1,1),'Content Calendar'!$B$5:$B$604,"&lt;="&amp;DATE(PlanYear,12,31)))</f>
        <v>0</v>
      </c>
      <c r="AE544" s="23">
        <f>IF(T544="","",SUMIFS(Analytics!$J$5:$J$154,Analytics!$D$5:$D$154,T544))</f>
        <v>0</v>
      </c>
      <c r="AF544" s="23">
        <f>IF(T544="","",SUMIFS(Analytics!$L$5:$L$154,Analytics!$D$5:$D$154,T544))</f>
        <v>0</v>
      </c>
      <c r="AG544" s="24">
        <f>IF(OR(AE544="",AE544=0),"",AF544/AE544)</f>
        <v>0</v>
      </c>
      <c r="AH544" s="23">
        <f>IF(T544="","",SUMIFS(Analytics!$X$5:$X$154,Analytics!$D$5:$D$154,T544))</f>
        <v>0</v>
      </c>
      <c r="AI544" s="32">
        <f>IF(T544="","",IF(AE544=0,"",AE544+ROW()/1000000))</f>
        <v>0</v>
      </c>
      <c r="AJ544" s="17">
        <f>IF('Content Pillars'!$B$544="","",'Content Pillars'!$B$544)</f>
        <v>0</v>
      </c>
      <c r="AK544" s="23">
        <f>IF(AJ544="","",COUNTIFS('Content Calendar'!$J$5:$J$604,AJ544,'Content Calendar'!$B$5:$B$604,"&gt;="&amp;DATE(PlanYear,1,1),'Content Calendar'!$B$5:$B$604,"&lt;="&amp;DATE(PlanYear,12,31)))</f>
        <v>0</v>
      </c>
      <c r="AL544" s="23">
        <f>IF(AJ544="","",SUMIFS(Performance!$O$5:$O$404,Performance!$H$5:$H$404,AJ544))</f>
        <v>0</v>
      </c>
      <c r="AM544" s="23">
        <f>IF(AJ544="","",SUMIFS(Performance!$Z$5:$Z$404,Performance!$H$5:$H$404,AJ544))</f>
        <v>0</v>
      </c>
      <c r="AN544" s="24">
        <f>IF(OR(AL544="",AL544=0),"",AM544/AL544)</f>
        <v>0</v>
      </c>
      <c r="AO544" s="32">
        <f>IF(AN544="","",AN544+ROW()/1000000)</f>
        <v>0</v>
      </c>
      <c r="AP544" s="17">
        <f>IF(Lists!$E544="","",Lists!$E544)</f>
        <v>0</v>
      </c>
      <c r="AQ544" s="23">
        <f>IF(AP544="","",COUNTIF(Performance!$G$5:$G$404,AP544))</f>
        <v>0</v>
      </c>
      <c r="AR544" s="23">
        <f>IF(AP544="","",SUMIFS(Performance!$O$5:$O$404,Performance!$G$5:$G$404,AP544))</f>
        <v>0</v>
      </c>
      <c r="AS544" s="23">
        <f>IF(AP544="","",SUMIFS(Performance!$Z$5:$Z$404,Performance!$G$5:$G$404,AP544))</f>
        <v>0</v>
      </c>
      <c r="AT544" s="24">
        <f>IF(OR(AR544="",AR544=0),"",AS544/AR544)</f>
        <v>0</v>
      </c>
      <c r="AU544" s="32">
        <f>IF(AQ544=0,"",IF(AT544="","",AT544+ROW()/1000000))</f>
        <v>0</v>
      </c>
      <c r="AV544" s="17">
        <f>IF(ROW()-4&gt;7,"",TEXT(DATE(2024,1,ROW()-4),"ddd"))</f>
        <v>0</v>
      </c>
      <c r="AW544" s="23">
        <f>IF(AV544="","",COUNTIF(Performance!$N$5:$N$404,AV544))</f>
        <v>0</v>
      </c>
      <c r="AX544" s="23">
        <f>IF(AV544="","",SUMIFS(Performance!$O$5:$O$404,Performance!$N$5:$N$404,AV544))</f>
        <v>0</v>
      </c>
      <c r="AY544" s="23">
        <f>IF(AV544="","",SUMIFS(Performance!$Z$5:$Z$404,Performance!$N$5:$N$404,AV544))</f>
        <v>0</v>
      </c>
      <c r="AZ544" s="24">
        <f>IF(OR(AX544="",AX544=0),"",AY544/AX544)</f>
        <v>0</v>
      </c>
      <c r="BA544" s="32">
        <f>IF(AW544=0,"",IF(AZ544="","",AZ544+ROW()/1000000))</f>
        <v>0</v>
      </c>
      <c r="BB544" s="17">
        <f>IF(Lists!$AL544="","",Lists!$AL544)</f>
        <v>0</v>
      </c>
      <c r="BC544" s="23">
        <f>IF(BB544="","",COUNTIF(Performance!$M$5:$M$404,BB544))</f>
        <v>0</v>
      </c>
      <c r="BD544" s="23">
        <f>IF(BB544="","",SUMIFS(Performance!$O$5:$O$404,Performance!$M$5:$M$404,BB544))</f>
        <v>0</v>
      </c>
      <c r="BE544" s="23">
        <f>IF(BB544="","",SUMIFS(Performance!$Z$5:$Z$404,Performance!$M$5:$M$404,BB544))</f>
        <v>0</v>
      </c>
      <c r="BF544" s="24">
        <f>IF(OR(BD544="",BD544=0),"",BE544/BD544)</f>
        <v>0</v>
      </c>
      <c r="BG544" s="32">
        <f>IF(BC544=0,"",IF(BF544="","",BF544+ROW()/1000000))</f>
        <v>0</v>
      </c>
      <c r="BH544" s="17">
        <f>IF(Performance!$C$544="","",Performance!$C$544)</f>
        <v>0</v>
      </c>
      <c r="BI544" s="17">
        <f>IF(Performance!$F$544="","",Performance!$F$544)</f>
        <v>0</v>
      </c>
      <c r="BJ544" s="17">
        <f>IF(Performance!$H$544="","",Performance!$H$544)</f>
        <v>0</v>
      </c>
      <c r="BK544" s="16">
        <f>IF(Performance!$D$544="","",Performance!$D$544)</f>
        <v>0</v>
      </c>
      <c r="BL544" s="17">
        <f>IF(Performance!$E$544="","",Performance!$E$544)</f>
        <v>0</v>
      </c>
      <c r="BM544" s="23">
        <f>IF(Performance!$O$544="","",Performance!$O$544)</f>
        <v>0</v>
      </c>
      <c r="BN544" s="24">
        <f>IF(Performance!$AA$544="","",Performance!$AA$544)</f>
        <v>0</v>
      </c>
      <c r="BO544" s="32">
        <f>IF(BH544="","",IF(BK544="","",IF(OR(BK544&lt;DashStart,BK544&gt;DashEnd),"",IF(BN544="","",BN544+ROW()/1000000))))</f>
        <v>0</v>
      </c>
      <c r="BP544" s="32">
        <f>IF(BM544="","",IF(BK544="","",IF(OR(BK544&lt;DashStart,BK544&gt;DashEnd),"",BM544+ROW()/1000000)))</f>
        <v>0</v>
      </c>
      <c r="BQ544" s="32">
        <f>IF(BH544="","",IF(BK544="","",IF(YEAR(BK544)&lt;&gt;PlanYear,"",IF(BN544="","",BN544+ROW()/1000000))))</f>
        <v>0</v>
      </c>
      <c r="BR544" s="32">
        <f>IF(BH544="","",IF(BK544="","",IF(OR(BK544&lt;RepFrom,BK544&gt;RepTo),"",IF(BN544="","",BN544+ROW()/1000000))))</f>
        <v>0</v>
      </c>
      <c r="BS544" s="32">
        <f>IF(BM544="","",IF(BK544="","",IF(YEAR(BK544)&lt;&gt;PlanYear,"",BM544+ROW()/1000000)))</f>
        <v>0</v>
      </c>
      <c r="BT544" s="17">
        <f>IF(Lists!$F544="","",Lists!$F544)</f>
        <v>0</v>
      </c>
      <c r="BU544" s="23">
        <f>IF(BT544="","",COUNTIF('Content Calendar'!$X$5:$X$604,BT544))</f>
        <v>0</v>
      </c>
      <c r="BV544" s="23">
        <f>IF(BT544="","",COUNTIFS('Content Calendar'!$X$5:$X$604,BT544,'Content Calendar'!$B$5:$B$604,"&gt;="&amp;DashStart,'Content Calendar'!$B$5:$B$604,"&lt;="&amp;DashEnd))</f>
        <v>0</v>
      </c>
      <c r="BW544" s="17">
        <f>IF(Team!$B$544="","",Team!$B$544)</f>
        <v>0</v>
      </c>
      <c r="BX544" s="23">
        <f>IF(BW544="","",COUNTIF('Content Calendar'!$W$5:$W$604,BW544))</f>
        <v>0</v>
      </c>
      <c r="BY544" s="23">
        <f>IF(BW544="","",COUNTIFS('Content Calendar'!$W$5:$W$604,BW544,'Content Calendar'!$X$5:$X$604,"&lt;&gt;Published"))</f>
        <v>0</v>
      </c>
      <c r="BZ544" s="23">
        <f>IF(BW544="","",COUNTIFS(Tasks!$C$5:$C$64,BW544,Tasks!$G$5:$G$64,"&lt;&gt;Complete"))</f>
        <v>0</v>
      </c>
      <c r="CA544" s="17">
        <f>IF(Campaigns!$B$544="","",Campaigns!$B$544)</f>
        <v>0</v>
      </c>
      <c r="CB544" s="25">
        <f>IF(Campaigns!$T$544="","",Campaigns!$T$544)</f>
        <v>0</v>
      </c>
      <c r="CC544" s="25">
        <f>IF(Campaigns!$Q$544="","",Campaigns!$Q$544)</f>
        <v>0</v>
      </c>
      <c r="CD544" s="23">
        <f>IF(Campaigns!$Y$544="","",Campaigns!$Y$544)</f>
        <v>0</v>
      </c>
      <c r="CE544" s="32">
        <f>IF(CA544="","",IF(N(CB544)&lt;=0,"",N(CB544)+ROW()/1000000))</f>
        <v>0</v>
      </c>
      <c r="CF544" s="17">
        <f>IF(Accounts!$C$544="","",Accounts!$C$544)</f>
        <v>0</v>
      </c>
      <c r="CG544" s="17">
        <f>IF(Accounts!$B$544="","",Accounts!$B$544)</f>
        <v>0</v>
      </c>
      <c r="CH544" s="23">
        <f>IF(Accounts!$J$544="","",Accounts!$J$544)</f>
        <v>0</v>
      </c>
      <c r="CI544" s="23">
        <f>IF(CF544="","",SUMIFS(Analytics!$X$5:$X$154,Analytics!$E$5:$E$154,CF544,Analytics!$B$5:$B$154,"&gt;="&amp;DashStart,Analytics!$B$5:$B$154,"&lt;="&amp;DashEnd))</f>
        <v>0</v>
      </c>
      <c r="CJ544" s="32">
        <f>IF(CH544="","",IF(CH544=0,"",CH544+ROW()/1000000))</f>
        <v>0</v>
      </c>
    </row>
    <row r="545" spans="1:88">
      <c r="A545" s="16">
        <f>IF(ROW()-4&gt;12,"",DATE(PlanYear,ROW()-4,1))</f>
        <v>0</v>
      </c>
      <c r="B545" s="16">
        <f>IF(A545="","",EOMONTH(A545,0))</f>
        <v>0</v>
      </c>
      <c r="C545" s="17">
        <f>IF(A545="","",TEXT(A545,"yyyy-mm"))</f>
        <v>0</v>
      </c>
      <c r="D545" s="17">
        <f>IF(A545="","",TEXT(A545,"mmm"))</f>
        <v>0</v>
      </c>
      <c r="E545" s="23">
        <f>IF(C545="","",COUNTIFS('Content Calendar'!$D$5:$D$604,C545))</f>
        <v>0</v>
      </c>
      <c r="F545" s="23">
        <f>IF(C545="","",COUNTIFS('Content Calendar'!$D$5:$D$604,C545,'Content Calendar'!$X$5:$X$604,"Published"))</f>
        <v>0</v>
      </c>
      <c r="G545" s="23">
        <f>IF(C545="","",SUMIFS(Analytics!$J$5:$J$154,Analytics!$C$5:$C$154,C545))</f>
        <v>0</v>
      </c>
      <c r="H545" s="23">
        <f>IF(C545="","",SUMIFS(Analytics!$K$5:$K$154,Analytics!$C$5:$C$154,C545))</f>
        <v>0</v>
      </c>
      <c r="I545" s="23">
        <f>IF(C545="","",SUMIFS(Analytics!$L$5:$L$154,Analytics!$C$5:$C$154,C545))</f>
        <v>0</v>
      </c>
      <c r="J545" s="24">
        <f>IF(OR(G545="",G545=0),"",I545/G545)</f>
        <v>0</v>
      </c>
      <c r="K545" s="23">
        <f>IF(C545="","",SUMIFS(Analytics!$G$5:$G$154,Analytics!$C$5:$C$154,C545))</f>
        <v>0</v>
      </c>
      <c r="L545" s="23">
        <f>IF(C545="","",SUMIFS(Analytics!$X$5:$X$154,Analytics!$C$5:$C$154,C545))</f>
        <v>0</v>
      </c>
      <c r="M545" s="23">
        <f>IF(C545="","",SUMIFS(Analytics!$R$5:$R$154,Analytics!$C$5:$C$154,C545))</f>
        <v>0</v>
      </c>
      <c r="N545" s="23">
        <f>IF(C545="","",SUMIFS(Analytics!$S$5:$S$154,Analytics!$C$5:$C$154,C545))</f>
        <v>0</v>
      </c>
      <c r="O545" s="23">
        <f>IF(C545="","",SUMIFS(Analytics!$T$5:$T$154,Analytics!$C$5:$C$154,C545))</f>
        <v>0</v>
      </c>
      <c r="P545" s="25">
        <f>IF(C545="","",SUMIFS(Analytics!$U$5:$U$154,Analytics!$C$5:$C$154,C545))</f>
        <v>0</v>
      </c>
      <c r="Q545" s="25">
        <f>IF(C545="","",SUMIFS(Budget!$H$5:$H$64,Budget!$C$5:$C$64,C545))</f>
        <v>0</v>
      </c>
      <c r="R545" s="25">
        <f>IF(C545="","",P545-Q545)</f>
        <v>0</v>
      </c>
      <c r="S545" s="23">
        <f>IF(C545="","",MonthlyPostTarget)</f>
        <v>0</v>
      </c>
      <c r="T545" s="17">
        <f>IF(Lists!$C545="","",Lists!$C545)</f>
        <v>0</v>
      </c>
      <c r="U545" s="23">
        <f>IF(T545="","",COUNTIFS('Content Calendar'!$G$5:$G$604,T545,'Content Calendar'!$B$5:$B$604,"&gt;="&amp;DashStart,'Content Calendar'!$B$5:$B$604,"&lt;="&amp;DashEnd))</f>
        <v>0</v>
      </c>
      <c r="V545" s="23">
        <f>IF(T545="","",COUNTIFS('Content Calendar'!$G$5:$G$604,T545,'Content Calendar'!$X$5:$X$604,"Published",'Content Calendar'!$B$5:$B$604,"&gt;="&amp;DashStart,'Content Calendar'!$B$5:$B$604,"&lt;="&amp;DashEnd))</f>
        <v>0</v>
      </c>
      <c r="W545" s="23">
        <f>IF(T545="","",SUMIFS(Analytics!$J$5:$J$154,Analytics!$D$5:$D$154,T545,Analytics!$B$5:$B$154,"&gt;="&amp;DashStart,Analytics!$B$5:$B$154,"&lt;="&amp;DashEnd))</f>
        <v>0</v>
      </c>
      <c r="X545" s="23">
        <f>IF(T545="","",SUMIFS(Analytics!$L$5:$L$154,Analytics!$D$5:$D$154,T545,Analytics!$B$5:$B$154,"&gt;="&amp;DashStart,Analytics!$B$5:$B$154,"&lt;="&amp;DashEnd))</f>
        <v>0</v>
      </c>
      <c r="Y545" s="24">
        <f>IF(OR(W545="",W545=0),"",X545/W545)</f>
        <v>0</v>
      </c>
      <c r="Z545" s="23">
        <f>IF(T545="","",SUMIFS(Analytics!$G$5:$G$154,Analytics!$D$5:$D$154,T545,Analytics!$B$5:$B$154,"&gt;="&amp;DashStart,Analytics!$B$5:$B$154,"&lt;="&amp;DashEnd))</f>
        <v>0</v>
      </c>
      <c r="AA545" s="23">
        <f>IF(T545="","",SUMIFS(Analytics!$X$5:$X$154,Analytics!$D$5:$D$154,T545,Analytics!$B$5:$B$154,"&gt;="&amp;DashStart,Analytics!$B$5:$B$154,"&lt;="&amp;DashEnd))</f>
        <v>0</v>
      </c>
      <c r="AB545" s="23">
        <f>IF(T545="","",SUMIFS(Analytics!$R$5:$R$154,Analytics!$D$5:$D$154,T545,Analytics!$B$5:$B$154,"&gt;="&amp;DashStart,Analytics!$B$5:$B$154,"&lt;="&amp;DashEnd))</f>
        <v>0</v>
      </c>
      <c r="AC545" s="25">
        <f>IF(T545="","",SUMIFS(Analytics!$U$5:$U$154,Analytics!$D$5:$D$154,T545,Analytics!$B$5:$B$154,"&gt;="&amp;DashStart,Analytics!$B$5:$B$154,"&lt;="&amp;DashEnd))</f>
        <v>0</v>
      </c>
      <c r="AD545" s="23">
        <f>IF(T545="","",COUNTIFS('Content Calendar'!$G$5:$G$604,T545,'Content Calendar'!$B$5:$B$604,"&gt;="&amp;DATE(PlanYear,1,1),'Content Calendar'!$B$5:$B$604,"&lt;="&amp;DATE(PlanYear,12,31)))</f>
        <v>0</v>
      </c>
      <c r="AE545" s="23">
        <f>IF(T545="","",SUMIFS(Analytics!$J$5:$J$154,Analytics!$D$5:$D$154,T545))</f>
        <v>0</v>
      </c>
      <c r="AF545" s="23">
        <f>IF(T545="","",SUMIFS(Analytics!$L$5:$L$154,Analytics!$D$5:$D$154,T545))</f>
        <v>0</v>
      </c>
      <c r="AG545" s="24">
        <f>IF(OR(AE545="",AE545=0),"",AF545/AE545)</f>
        <v>0</v>
      </c>
      <c r="AH545" s="23">
        <f>IF(T545="","",SUMIFS(Analytics!$X$5:$X$154,Analytics!$D$5:$D$154,T545))</f>
        <v>0</v>
      </c>
      <c r="AI545" s="32">
        <f>IF(T545="","",IF(AE545=0,"",AE545+ROW()/1000000))</f>
        <v>0</v>
      </c>
      <c r="AJ545" s="17">
        <f>IF('Content Pillars'!$B$545="","",'Content Pillars'!$B$545)</f>
        <v>0</v>
      </c>
      <c r="AK545" s="23">
        <f>IF(AJ545="","",COUNTIFS('Content Calendar'!$J$5:$J$604,AJ545,'Content Calendar'!$B$5:$B$604,"&gt;="&amp;DATE(PlanYear,1,1),'Content Calendar'!$B$5:$B$604,"&lt;="&amp;DATE(PlanYear,12,31)))</f>
        <v>0</v>
      </c>
      <c r="AL545" s="23">
        <f>IF(AJ545="","",SUMIFS(Performance!$O$5:$O$404,Performance!$H$5:$H$404,AJ545))</f>
        <v>0</v>
      </c>
      <c r="AM545" s="23">
        <f>IF(AJ545="","",SUMIFS(Performance!$Z$5:$Z$404,Performance!$H$5:$H$404,AJ545))</f>
        <v>0</v>
      </c>
      <c r="AN545" s="24">
        <f>IF(OR(AL545="",AL545=0),"",AM545/AL545)</f>
        <v>0</v>
      </c>
      <c r="AO545" s="32">
        <f>IF(AN545="","",AN545+ROW()/1000000)</f>
        <v>0</v>
      </c>
      <c r="AP545" s="17">
        <f>IF(Lists!$E545="","",Lists!$E545)</f>
        <v>0</v>
      </c>
      <c r="AQ545" s="23">
        <f>IF(AP545="","",COUNTIF(Performance!$G$5:$G$404,AP545))</f>
        <v>0</v>
      </c>
      <c r="AR545" s="23">
        <f>IF(AP545="","",SUMIFS(Performance!$O$5:$O$404,Performance!$G$5:$G$404,AP545))</f>
        <v>0</v>
      </c>
      <c r="AS545" s="23">
        <f>IF(AP545="","",SUMIFS(Performance!$Z$5:$Z$404,Performance!$G$5:$G$404,AP545))</f>
        <v>0</v>
      </c>
      <c r="AT545" s="24">
        <f>IF(OR(AR545="",AR545=0),"",AS545/AR545)</f>
        <v>0</v>
      </c>
      <c r="AU545" s="32">
        <f>IF(AQ545=0,"",IF(AT545="","",AT545+ROW()/1000000))</f>
        <v>0</v>
      </c>
      <c r="AV545" s="17">
        <f>IF(ROW()-4&gt;7,"",TEXT(DATE(2024,1,ROW()-4),"ddd"))</f>
        <v>0</v>
      </c>
      <c r="AW545" s="23">
        <f>IF(AV545="","",COUNTIF(Performance!$N$5:$N$404,AV545))</f>
        <v>0</v>
      </c>
      <c r="AX545" s="23">
        <f>IF(AV545="","",SUMIFS(Performance!$O$5:$O$404,Performance!$N$5:$N$404,AV545))</f>
        <v>0</v>
      </c>
      <c r="AY545" s="23">
        <f>IF(AV545="","",SUMIFS(Performance!$Z$5:$Z$404,Performance!$N$5:$N$404,AV545))</f>
        <v>0</v>
      </c>
      <c r="AZ545" s="24">
        <f>IF(OR(AX545="",AX545=0),"",AY545/AX545)</f>
        <v>0</v>
      </c>
      <c r="BA545" s="32">
        <f>IF(AW545=0,"",IF(AZ545="","",AZ545+ROW()/1000000))</f>
        <v>0</v>
      </c>
      <c r="BB545" s="17">
        <f>IF(Lists!$AL545="","",Lists!$AL545)</f>
        <v>0</v>
      </c>
      <c r="BC545" s="23">
        <f>IF(BB545="","",COUNTIF(Performance!$M$5:$M$404,BB545))</f>
        <v>0</v>
      </c>
      <c r="BD545" s="23">
        <f>IF(BB545="","",SUMIFS(Performance!$O$5:$O$404,Performance!$M$5:$M$404,BB545))</f>
        <v>0</v>
      </c>
      <c r="BE545" s="23">
        <f>IF(BB545="","",SUMIFS(Performance!$Z$5:$Z$404,Performance!$M$5:$M$404,BB545))</f>
        <v>0</v>
      </c>
      <c r="BF545" s="24">
        <f>IF(OR(BD545="",BD545=0),"",BE545/BD545)</f>
        <v>0</v>
      </c>
      <c r="BG545" s="32">
        <f>IF(BC545=0,"",IF(BF545="","",BF545+ROW()/1000000))</f>
        <v>0</v>
      </c>
      <c r="BH545" s="17">
        <f>IF(Performance!$C$545="","",Performance!$C$545)</f>
        <v>0</v>
      </c>
      <c r="BI545" s="17">
        <f>IF(Performance!$F$545="","",Performance!$F$545)</f>
        <v>0</v>
      </c>
      <c r="BJ545" s="17">
        <f>IF(Performance!$H$545="","",Performance!$H$545)</f>
        <v>0</v>
      </c>
      <c r="BK545" s="16">
        <f>IF(Performance!$D$545="","",Performance!$D$545)</f>
        <v>0</v>
      </c>
      <c r="BL545" s="17">
        <f>IF(Performance!$E$545="","",Performance!$E$545)</f>
        <v>0</v>
      </c>
      <c r="BM545" s="23">
        <f>IF(Performance!$O$545="","",Performance!$O$545)</f>
        <v>0</v>
      </c>
      <c r="BN545" s="24">
        <f>IF(Performance!$AA$545="","",Performance!$AA$545)</f>
        <v>0</v>
      </c>
      <c r="BO545" s="32">
        <f>IF(BH545="","",IF(BK545="","",IF(OR(BK545&lt;DashStart,BK545&gt;DashEnd),"",IF(BN545="","",BN545+ROW()/1000000))))</f>
        <v>0</v>
      </c>
      <c r="BP545" s="32">
        <f>IF(BM545="","",IF(BK545="","",IF(OR(BK545&lt;DashStart,BK545&gt;DashEnd),"",BM545+ROW()/1000000)))</f>
        <v>0</v>
      </c>
      <c r="BQ545" s="32">
        <f>IF(BH545="","",IF(BK545="","",IF(YEAR(BK545)&lt;&gt;PlanYear,"",IF(BN545="","",BN545+ROW()/1000000))))</f>
        <v>0</v>
      </c>
      <c r="BR545" s="32">
        <f>IF(BH545="","",IF(BK545="","",IF(OR(BK545&lt;RepFrom,BK545&gt;RepTo),"",IF(BN545="","",BN545+ROW()/1000000))))</f>
        <v>0</v>
      </c>
      <c r="BS545" s="32">
        <f>IF(BM545="","",IF(BK545="","",IF(YEAR(BK545)&lt;&gt;PlanYear,"",BM545+ROW()/1000000)))</f>
        <v>0</v>
      </c>
      <c r="BT545" s="17">
        <f>IF(Lists!$F545="","",Lists!$F545)</f>
        <v>0</v>
      </c>
      <c r="BU545" s="23">
        <f>IF(BT545="","",COUNTIF('Content Calendar'!$X$5:$X$604,BT545))</f>
        <v>0</v>
      </c>
      <c r="BV545" s="23">
        <f>IF(BT545="","",COUNTIFS('Content Calendar'!$X$5:$X$604,BT545,'Content Calendar'!$B$5:$B$604,"&gt;="&amp;DashStart,'Content Calendar'!$B$5:$B$604,"&lt;="&amp;DashEnd))</f>
        <v>0</v>
      </c>
      <c r="BW545" s="17">
        <f>IF(Team!$B$545="","",Team!$B$545)</f>
        <v>0</v>
      </c>
      <c r="BX545" s="23">
        <f>IF(BW545="","",COUNTIF('Content Calendar'!$W$5:$W$604,BW545))</f>
        <v>0</v>
      </c>
      <c r="BY545" s="23">
        <f>IF(BW545="","",COUNTIFS('Content Calendar'!$W$5:$W$604,BW545,'Content Calendar'!$X$5:$X$604,"&lt;&gt;Published"))</f>
        <v>0</v>
      </c>
      <c r="BZ545" s="23">
        <f>IF(BW545="","",COUNTIFS(Tasks!$C$5:$C$64,BW545,Tasks!$G$5:$G$64,"&lt;&gt;Complete"))</f>
        <v>0</v>
      </c>
      <c r="CA545" s="17">
        <f>IF(Campaigns!$B$545="","",Campaigns!$B$545)</f>
        <v>0</v>
      </c>
      <c r="CB545" s="25">
        <f>IF(Campaigns!$T$545="","",Campaigns!$T$545)</f>
        <v>0</v>
      </c>
      <c r="CC545" s="25">
        <f>IF(Campaigns!$Q$545="","",Campaigns!$Q$545)</f>
        <v>0</v>
      </c>
      <c r="CD545" s="23">
        <f>IF(Campaigns!$Y$545="","",Campaigns!$Y$545)</f>
        <v>0</v>
      </c>
      <c r="CE545" s="32">
        <f>IF(CA545="","",IF(N(CB545)&lt;=0,"",N(CB545)+ROW()/1000000))</f>
        <v>0</v>
      </c>
      <c r="CF545" s="17">
        <f>IF(Accounts!$C$545="","",Accounts!$C$545)</f>
        <v>0</v>
      </c>
      <c r="CG545" s="17">
        <f>IF(Accounts!$B$545="","",Accounts!$B$545)</f>
        <v>0</v>
      </c>
      <c r="CH545" s="23">
        <f>IF(Accounts!$J$545="","",Accounts!$J$545)</f>
        <v>0</v>
      </c>
      <c r="CI545" s="23">
        <f>IF(CF545="","",SUMIFS(Analytics!$X$5:$X$154,Analytics!$E$5:$E$154,CF545,Analytics!$B$5:$B$154,"&gt;="&amp;DashStart,Analytics!$B$5:$B$154,"&lt;="&amp;DashEnd))</f>
        <v>0</v>
      </c>
      <c r="CJ545" s="32">
        <f>IF(CH545="","",IF(CH545=0,"",CH545+ROW()/1000000))</f>
        <v>0</v>
      </c>
    </row>
    <row r="546" spans="1:88">
      <c r="A546" s="16">
        <f>IF(ROW()-4&gt;12,"",DATE(PlanYear,ROW()-4,1))</f>
        <v>0</v>
      </c>
      <c r="B546" s="16">
        <f>IF(A546="","",EOMONTH(A546,0))</f>
        <v>0</v>
      </c>
      <c r="C546" s="17">
        <f>IF(A546="","",TEXT(A546,"yyyy-mm"))</f>
        <v>0</v>
      </c>
      <c r="D546" s="17">
        <f>IF(A546="","",TEXT(A546,"mmm"))</f>
        <v>0</v>
      </c>
      <c r="E546" s="23">
        <f>IF(C546="","",COUNTIFS('Content Calendar'!$D$5:$D$604,C546))</f>
        <v>0</v>
      </c>
      <c r="F546" s="23">
        <f>IF(C546="","",COUNTIFS('Content Calendar'!$D$5:$D$604,C546,'Content Calendar'!$X$5:$X$604,"Published"))</f>
        <v>0</v>
      </c>
      <c r="G546" s="23">
        <f>IF(C546="","",SUMIFS(Analytics!$J$5:$J$154,Analytics!$C$5:$C$154,C546))</f>
        <v>0</v>
      </c>
      <c r="H546" s="23">
        <f>IF(C546="","",SUMIFS(Analytics!$K$5:$K$154,Analytics!$C$5:$C$154,C546))</f>
        <v>0</v>
      </c>
      <c r="I546" s="23">
        <f>IF(C546="","",SUMIFS(Analytics!$L$5:$L$154,Analytics!$C$5:$C$154,C546))</f>
        <v>0</v>
      </c>
      <c r="J546" s="24">
        <f>IF(OR(G546="",G546=0),"",I546/G546)</f>
        <v>0</v>
      </c>
      <c r="K546" s="23">
        <f>IF(C546="","",SUMIFS(Analytics!$G$5:$G$154,Analytics!$C$5:$C$154,C546))</f>
        <v>0</v>
      </c>
      <c r="L546" s="23">
        <f>IF(C546="","",SUMIFS(Analytics!$X$5:$X$154,Analytics!$C$5:$C$154,C546))</f>
        <v>0</v>
      </c>
      <c r="M546" s="23">
        <f>IF(C546="","",SUMIFS(Analytics!$R$5:$R$154,Analytics!$C$5:$C$154,C546))</f>
        <v>0</v>
      </c>
      <c r="N546" s="23">
        <f>IF(C546="","",SUMIFS(Analytics!$S$5:$S$154,Analytics!$C$5:$C$154,C546))</f>
        <v>0</v>
      </c>
      <c r="O546" s="23">
        <f>IF(C546="","",SUMIFS(Analytics!$T$5:$T$154,Analytics!$C$5:$C$154,C546))</f>
        <v>0</v>
      </c>
      <c r="P546" s="25">
        <f>IF(C546="","",SUMIFS(Analytics!$U$5:$U$154,Analytics!$C$5:$C$154,C546))</f>
        <v>0</v>
      </c>
      <c r="Q546" s="25">
        <f>IF(C546="","",SUMIFS(Budget!$H$5:$H$64,Budget!$C$5:$C$64,C546))</f>
        <v>0</v>
      </c>
      <c r="R546" s="25">
        <f>IF(C546="","",P546-Q546)</f>
        <v>0</v>
      </c>
      <c r="S546" s="23">
        <f>IF(C546="","",MonthlyPostTarget)</f>
        <v>0</v>
      </c>
      <c r="T546" s="17">
        <f>IF(Lists!$C546="","",Lists!$C546)</f>
        <v>0</v>
      </c>
      <c r="U546" s="23">
        <f>IF(T546="","",COUNTIFS('Content Calendar'!$G$5:$G$604,T546,'Content Calendar'!$B$5:$B$604,"&gt;="&amp;DashStart,'Content Calendar'!$B$5:$B$604,"&lt;="&amp;DashEnd))</f>
        <v>0</v>
      </c>
      <c r="V546" s="23">
        <f>IF(T546="","",COUNTIFS('Content Calendar'!$G$5:$G$604,T546,'Content Calendar'!$X$5:$X$604,"Published",'Content Calendar'!$B$5:$B$604,"&gt;="&amp;DashStart,'Content Calendar'!$B$5:$B$604,"&lt;="&amp;DashEnd))</f>
        <v>0</v>
      </c>
      <c r="W546" s="23">
        <f>IF(T546="","",SUMIFS(Analytics!$J$5:$J$154,Analytics!$D$5:$D$154,T546,Analytics!$B$5:$B$154,"&gt;="&amp;DashStart,Analytics!$B$5:$B$154,"&lt;="&amp;DashEnd))</f>
        <v>0</v>
      </c>
      <c r="X546" s="23">
        <f>IF(T546="","",SUMIFS(Analytics!$L$5:$L$154,Analytics!$D$5:$D$154,T546,Analytics!$B$5:$B$154,"&gt;="&amp;DashStart,Analytics!$B$5:$B$154,"&lt;="&amp;DashEnd))</f>
        <v>0</v>
      </c>
      <c r="Y546" s="24">
        <f>IF(OR(W546="",W546=0),"",X546/W546)</f>
        <v>0</v>
      </c>
      <c r="Z546" s="23">
        <f>IF(T546="","",SUMIFS(Analytics!$G$5:$G$154,Analytics!$D$5:$D$154,T546,Analytics!$B$5:$B$154,"&gt;="&amp;DashStart,Analytics!$B$5:$B$154,"&lt;="&amp;DashEnd))</f>
        <v>0</v>
      </c>
      <c r="AA546" s="23">
        <f>IF(T546="","",SUMIFS(Analytics!$X$5:$X$154,Analytics!$D$5:$D$154,T546,Analytics!$B$5:$B$154,"&gt;="&amp;DashStart,Analytics!$B$5:$B$154,"&lt;="&amp;DashEnd))</f>
        <v>0</v>
      </c>
      <c r="AB546" s="23">
        <f>IF(T546="","",SUMIFS(Analytics!$R$5:$R$154,Analytics!$D$5:$D$154,T546,Analytics!$B$5:$B$154,"&gt;="&amp;DashStart,Analytics!$B$5:$B$154,"&lt;="&amp;DashEnd))</f>
        <v>0</v>
      </c>
      <c r="AC546" s="25">
        <f>IF(T546="","",SUMIFS(Analytics!$U$5:$U$154,Analytics!$D$5:$D$154,T546,Analytics!$B$5:$B$154,"&gt;="&amp;DashStart,Analytics!$B$5:$B$154,"&lt;="&amp;DashEnd))</f>
        <v>0</v>
      </c>
      <c r="AD546" s="23">
        <f>IF(T546="","",COUNTIFS('Content Calendar'!$G$5:$G$604,T546,'Content Calendar'!$B$5:$B$604,"&gt;="&amp;DATE(PlanYear,1,1),'Content Calendar'!$B$5:$B$604,"&lt;="&amp;DATE(PlanYear,12,31)))</f>
        <v>0</v>
      </c>
      <c r="AE546" s="23">
        <f>IF(T546="","",SUMIFS(Analytics!$J$5:$J$154,Analytics!$D$5:$D$154,T546))</f>
        <v>0</v>
      </c>
      <c r="AF546" s="23">
        <f>IF(T546="","",SUMIFS(Analytics!$L$5:$L$154,Analytics!$D$5:$D$154,T546))</f>
        <v>0</v>
      </c>
      <c r="AG546" s="24">
        <f>IF(OR(AE546="",AE546=0),"",AF546/AE546)</f>
        <v>0</v>
      </c>
      <c r="AH546" s="23">
        <f>IF(T546="","",SUMIFS(Analytics!$X$5:$X$154,Analytics!$D$5:$D$154,T546))</f>
        <v>0</v>
      </c>
      <c r="AI546" s="32">
        <f>IF(T546="","",IF(AE546=0,"",AE546+ROW()/1000000))</f>
        <v>0</v>
      </c>
      <c r="AJ546" s="17">
        <f>IF('Content Pillars'!$B$546="","",'Content Pillars'!$B$546)</f>
        <v>0</v>
      </c>
      <c r="AK546" s="23">
        <f>IF(AJ546="","",COUNTIFS('Content Calendar'!$J$5:$J$604,AJ546,'Content Calendar'!$B$5:$B$604,"&gt;="&amp;DATE(PlanYear,1,1),'Content Calendar'!$B$5:$B$604,"&lt;="&amp;DATE(PlanYear,12,31)))</f>
        <v>0</v>
      </c>
      <c r="AL546" s="23">
        <f>IF(AJ546="","",SUMIFS(Performance!$O$5:$O$404,Performance!$H$5:$H$404,AJ546))</f>
        <v>0</v>
      </c>
      <c r="AM546" s="23">
        <f>IF(AJ546="","",SUMIFS(Performance!$Z$5:$Z$404,Performance!$H$5:$H$404,AJ546))</f>
        <v>0</v>
      </c>
      <c r="AN546" s="24">
        <f>IF(OR(AL546="",AL546=0),"",AM546/AL546)</f>
        <v>0</v>
      </c>
      <c r="AO546" s="32">
        <f>IF(AN546="","",AN546+ROW()/1000000)</f>
        <v>0</v>
      </c>
      <c r="AP546" s="17">
        <f>IF(Lists!$E546="","",Lists!$E546)</f>
        <v>0</v>
      </c>
      <c r="AQ546" s="23">
        <f>IF(AP546="","",COUNTIF(Performance!$G$5:$G$404,AP546))</f>
        <v>0</v>
      </c>
      <c r="AR546" s="23">
        <f>IF(AP546="","",SUMIFS(Performance!$O$5:$O$404,Performance!$G$5:$G$404,AP546))</f>
        <v>0</v>
      </c>
      <c r="AS546" s="23">
        <f>IF(AP546="","",SUMIFS(Performance!$Z$5:$Z$404,Performance!$G$5:$G$404,AP546))</f>
        <v>0</v>
      </c>
      <c r="AT546" s="24">
        <f>IF(OR(AR546="",AR546=0),"",AS546/AR546)</f>
        <v>0</v>
      </c>
      <c r="AU546" s="32">
        <f>IF(AQ546=0,"",IF(AT546="","",AT546+ROW()/1000000))</f>
        <v>0</v>
      </c>
      <c r="AV546" s="17">
        <f>IF(ROW()-4&gt;7,"",TEXT(DATE(2024,1,ROW()-4),"ddd"))</f>
        <v>0</v>
      </c>
      <c r="AW546" s="23">
        <f>IF(AV546="","",COUNTIF(Performance!$N$5:$N$404,AV546))</f>
        <v>0</v>
      </c>
      <c r="AX546" s="23">
        <f>IF(AV546="","",SUMIFS(Performance!$O$5:$O$404,Performance!$N$5:$N$404,AV546))</f>
        <v>0</v>
      </c>
      <c r="AY546" s="23">
        <f>IF(AV546="","",SUMIFS(Performance!$Z$5:$Z$404,Performance!$N$5:$N$404,AV546))</f>
        <v>0</v>
      </c>
      <c r="AZ546" s="24">
        <f>IF(OR(AX546="",AX546=0),"",AY546/AX546)</f>
        <v>0</v>
      </c>
      <c r="BA546" s="32">
        <f>IF(AW546=0,"",IF(AZ546="","",AZ546+ROW()/1000000))</f>
        <v>0</v>
      </c>
      <c r="BB546" s="17">
        <f>IF(Lists!$AL546="","",Lists!$AL546)</f>
        <v>0</v>
      </c>
      <c r="BC546" s="23">
        <f>IF(BB546="","",COUNTIF(Performance!$M$5:$M$404,BB546))</f>
        <v>0</v>
      </c>
      <c r="BD546" s="23">
        <f>IF(BB546="","",SUMIFS(Performance!$O$5:$O$404,Performance!$M$5:$M$404,BB546))</f>
        <v>0</v>
      </c>
      <c r="BE546" s="23">
        <f>IF(BB546="","",SUMIFS(Performance!$Z$5:$Z$404,Performance!$M$5:$M$404,BB546))</f>
        <v>0</v>
      </c>
      <c r="BF546" s="24">
        <f>IF(OR(BD546="",BD546=0),"",BE546/BD546)</f>
        <v>0</v>
      </c>
      <c r="BG546" s="32">
        <f>IF(BC546=0,"",IF(BF546="","",BF546+ROW()/1000000))</f>
        <v>0</v>
      </c>
      <c r="BH546" s="17">
        <f>IF(Performance!$C$546="","",Performance!$C$546)</f>
        <v>0</v>
      </c>
      <c r="BI546" s="17">
        <f>IF(Performance!$F$546="","",Performance!$F$546)</f>
        <v>0</v>
      </c>
      <c r="BJ546" s="17">
        <f>IF(Performance!$H$546="","",Performance!$H$546)</f>
        <v>0</v>
      </c>
      <c r="BK546" s="16">
        <f>IF(Performance!$D$546="","",Performance!$D$546)</f>
        <v>0</v>
      </c>
      <c r="BL546" s="17">
        <f>IF(Performance!$E$546="","",Performance!$E$546)</f>
        <v>0</v>
      </c>
      <c r="BM546" s="23">
        <f>IF(Performance!$O$546="","",Performance!$O$546)</f>
        <v>0</v>
      </c>
      <c r="BN546" s="24">
        <f>IF(Performance!$AA$546="","",Performance!$AA$546)</f>
        <v>0</v>
      </c>
      <c r="BO546" s="32">
        <f>IF(BH546="","",IF(BK546="","",IF(OR(BK546&lt;DashStart,BK546&gt;DashEnd),"",IF(BN546="","",BN546+ROW()/1000000))))</f>
        <v>0</v>
      </c>
      <c r="BP546" s="32">
        <f>IF(BM546="","",IF(BK546="","",IF(OR(BK546&lt;DashStart,BK546&gt;DashEnd),"",BM546+ROW()/1000000)))</f>
        <v>0</v>
      </c>
      <c r="BQ546" s="32">
        <f>IF(BH546="","",IF(BK546="","",IF(YEAR(BK546)&lt;&gt;PlanYear,"",IF(BN546="","",BN546+ROW()/1000000))))</f>
        <v>0</v>
      </c>
      <c r="BR546" s="32">
        <f>IF(BH546="","",IF(BK546="","",IF(OR(BK546&lt;RepFrom,BK546&gt;RepTo),"",IF(BN546="","",BN546+ROW()/1000000))))</f>
        <v>0</v>
      </c>
      <c r="BS546" s="32">
        <f>IF(BM546="","",IF(BK546="","",IF(YEAR(BK546)&lt;&gt;PlanYear,"",BM546+ROW()/1000000)))</f>
        <v>0</v>
      </c>
      <c r="BT546" s="17">
        <f>IF(Lists!$F546="","",Lists!$F546)</f>
        <v>0</v>
      </c>
      <c r="BU546" s="23">
        <f>IF(BT546="","",COUNTIF('Content Calendar'!$X$5:$X$604,BT546))</f>
        <v>0</v>
      </c>
      <c r="BV546" s="23">
        <f>IF(BT546="","",COUNTIFS('Content Calendar'!$X$5:$X$604,BT546,'Content Calendar'!$B$5:$B$604,"&gt;="&amp;DashStart,'Content Calendar'!$B$5:$B$604,"&lt;="&amp;DashEnd))</f>
        <v>0</v>
      </c>
      <c r="BW546" s="17">
        <f>IF(Team!$B$546="","",Team!$B$546)</f>
        <v>0</v>
      </c>
      <c r="BX546" s="23">
        <f>IF(BW546="","",COUNTIF('Content Calendar'!$W$5:$W$604,BW546))</f>
        <v>0</v>
      </c>
      <c r="BY546" s="23">
        <f>IF(BW546="","",COUNTIFS('Content Calendar'!$W$5:$W$604,BW546,'Content Calendar'!$X$5:$X$604,"&lt;&gt;Published"))</f>
        <v>0</v>
      </c>
      <c r="BZ546" s="23">
        <f>IF(BW546="","",COUNTIFS(Tasks!$C$5:$C$64,BW546,Tasks!$G$5:$G$64,"&lt;&gt;Complete"))</f>
        <v>0</v>
      </c>
      <c r="CA546" s="17">
        <f>IF(Campaigns!$B$546="","",Campaigns!$B$546)</f>
        <v>0</v>
      </c>
      <c r="CB546" s="25">
        <f>IF(Campaigns!$T$546="","",Campaigns!$T$546)</f>
        <v>0</v>
      </c>
      <c r="CC546" s="25">
        <f>IF(Campaigns!$Q$546="","",Campaigns!$Q$546)</f>
        <v>0</v>
      </c>
      <c r="CD546" s="23">
        <f>IF(Campaigns!$Y$546="","",Campaigns!$Y$546)</f>
        <v>0</v>
      </c>
      <c r="CE546" s="32">
        <f>IF(CA546="","",IF(N(CB546)&lt;=0,"",N(CB546)+ROW()/1000000))</f>
        <v>0</v>
      </c>
      <c r="CF546" s="17">
        <f>IF(Accounts!$C$546="","",Accounts!$C$546)</f>
        <v>0</v>
      </c>
      <c r="CG546" s="17">
        <f>IF(Accounts!$B$546="","",Accounts!$B$546)</f>
        <v>0</v>
      </c>
      <c r="CH546" s="23">
        <f>IF(Accounts!$J$546="","",Accounts!$J$546)</f>
        <v>0</v>
      </c>
      <c r="CI546" s="23">
        <f>IF(CF546="","",SUMIFS(Analytics!$X$5:$X$154,Analytics!$E$5:$E$154,CF546,Analytics!$B$5:$B$154,"&gt;="&amp;DashStart,Analytics!$B$5:$B$154,"&lt;="&amp;DashEnd))</f>
        <v>0</v>
      </c>
      <c r="CJ546" s="32">
        <f>IF(CH546="","",IF(CH546=0,"",CH546+ROW()/1000000))</f>
        <v>0</v>
      </c>
    </row>
    <row r="547" spans="1:88">
      <c r="A547" s="16">
        <f>IF(ROW()-4&gt;12,"",DATE(PlanYear,ROW()-4,1))</f>
        <v>0</v>
      </c>
      <c r="B547" s="16">
        <f>IF(A547="","",EOMONTH(A547,0))</f>
        <v>0</v>
      </c>
      <c r="C547" s="17">
        <f>IF(A547="","",TEXT(A547,"yyyy-mm"))</f>
        <v>0</v>
      </c>
      <c r="D547" s="17">
        <f>IF(A547="","",TEXT(A547,"mmm"))</f>
        <v>0</v>
      </c>
      <c r="E547" s="23">
        <f>IF(C547="","",COUNTIFS('Content Calendar'!$D$5:$D$604,C547))</f>
        <v>0</v>
      </c>
      <c r="F547" s="23">
        <f>IF(C547="","",COUNTIFS('Content Calendar'!$D$5:$D$604,C547,'Content Calendar'!$X$5:$X$604,"Published"))</f>
        <v>0</v>
      </c>
      <c r="G547" s="23">
        <f>IF(C547="","",SUMIFS(Analytics!$J$5:$J$154,Analytics!$C$5:$C$154,C547))</f>
        <v>0</v>
      </c>
      <c r="H547" s="23">
        <f>IF(C547="","",SUMIFS(Analytics!$K$5:$K$154,Analytics!$C$5:$C$154,C547))</f>
        <v>0</v>
      </c>
      <c r="I547" s="23">
        <f>IF(C547="","",SUMIFS(Analytics!$L$5:$L$154,Analytics!$C$5:$C$154,C547))</f>
        <v>0</v>
      </c>
      <c r="J547" s="24">
        <f>IF(OR(G547="",G547=0),"",I547/G547)</f>
        <v>0</v>
      </c>
      <c r="K547" s="23">
        <f>IF(C547="","",SUMIFS(Analytics!$G$5:$G$154,Analytics!$C$5:$C$154,C547))</f>
        <v>0</v>
      </c>
      <c r="L547" s="23">
        <f>IF(C547="","",SUMIFS(Analytics!$X$5:$X$154,Analytics!$C$5:$C$154,C547))</f>
        <v>0</v>
      </c>
      <c r="M547" s="23">
        <f>IF(C547="","",SUMIFS(Analytics!$R$5:$R$154,Analytics!$C$5:$C$154,C547))</f>
        <v>0</v>
      </c>
      <c r="N547" s="23">
        <f>IF(C547="","",SUMIFS(Analytics!$S$5:$S$154,Analytics!$C$5:$C$154,C547))</f>
        <v>0</v>
      </c>
      <c r="O547" s="23">
        <f>IF(C547="","",SUMIFS(Analytics!$T$5:$T$154,Analytics!$C$5:$C$154,C547))</f>
        <v>0</v>
      </c>
      <c r="P547" s="25">
        <f>IF(C547="","",SUMIFS(Analytics!$U$5:$U$154,Analytics!$C$5:$C$154,C547))</f>
        <v>0</v>
      </c>
      <c r="Q547" s="25">
        <f>IF(C547="","",SUMIFS(Budget!$H$5:$H$64,Budget!$C$5:$C$64,C547))</f>
        <v>0</v>
      </c>
      <c r="R547" s="25">
        <f>IF(C547="","",P547-Q547)</f>
        <v>0</v>
      </c>
      <c r="S547" s="23">
        <f>IF(C547="","",MonthlyPostTarget)</f>
        <v>0</v>
      </c>
      <c r="T547" s="17">
        <f>IF(Lists!$C547="","",Lists!$C547)</f>
        <v>0</v>
      </c>
      <c r="U547" s="23">
        <f>IF(T547="","",COUNTIFS('Content Calendar'!$G$5:$G$604,T547,'Content Calendar'!$B$5:$B$604,"&gt;="&amp;DashStart,'Content Calendar'!$B$5:$B$604,"&lt;="&amp;DashEnd))</f>
        <v>0</v>
      </c>
      <c r="V547" s="23">
        <f>IF(T547="","",COUNTIFS('Content Calendar'!$G$5:$G$604,T547,'Content Calendar'!$X$5:$X$604,"Published",'Content Calendar'!$B$5:$B$604,"&gt;="&amp;DashStart,'Content Calendar'!$B$5:$B$604,"&lt;="&amp;DashEnd))</f>
        <v>0</v>
      </c>
      <c r="W547" s="23">
        <f>IF(T547="","",SUMIFS(Analytics!$J$5:$J$154,Analytics!$D$5:$D$154,T547,Analytics!$B$5:$B$154,"&gt;="&amp;DashStart,Analytics!$B$5:$B$154,"&lt;="&amp;DashEnd))</f>
        <v>0</v>
      </c>
      <c r="X547" s="23">
        <f>IF(T547="","",SUMIFS(Analytics!$L$5:$L$154,Analytics!$D$5:$D$154,T547,Analytics!$B$5:$B$154,"&gt;="&amp;DashStart,Analytics!$B$5:$B$154,"&lt;="&amp;DashEnd))</f>
        <v>0</v>
      </c>
      <c r="Y547" s="24">
        <f>IF(OR(W547="",W547=0),"",X547/W547)</f>
        <v>0</v>
      </c>
      <c r="Z547" s="23">
        <f>IF(T547="","",SUMIFS(Analytics!$G$5:$G$154,Analytics!$D$5:$D$154,T547,Analytics!$B$5:$B$154,"&gt;="&amp;DashStart,Analytics!$B$5:$B$154,"&lt;="&amp;DashEnd))</f>
        <v>0</v>
      </c>
      <c r="AA547" s="23">
        <f>IF(T547="","",SUMIFS(Analytics!$X$5:$X$154,Analytics!$D$5:$D$154,T547,Analytics!$B$5:$B$154,"&gt;="&amp;DashStart,Analytics!$B$5:$B$154,"&lt;="&amp;DashEnd))</f>
        <v>0</v>
      </c>
      <c r="AB547" s="23">
        <f>IF(T547="","",SUMIFS(Analytics!$R$5:$R$154,Analytics!$D$5:$D$154,T547,Analytics!$B$5:$B$154,"&gt;="&amp;DashStart,Analytics!$B$5:$B$154,"&lt;="&amp;DashEnd))</f>
        <v>0</v>
      </c>
      <c r="AC547" s="25">
        <f>IF(T547="","",SUMIFS(Analytics!$U$5:$U$154,Analytics!$D$5:$D$154,T547,Analytics!$B$5:$B$154,"&gt;="&amp;DashStart,Analytics!$B$5:$B$154,"&lt;="&amp;DashEnd))</f>
        <v>0</v>
      </c>
      <c r="AD547" s="23">
        <f>IF(T547="","",COUNTIFS('Content Calendar'!$G$5:$G$604,T547,'Content Calendar'!$B$5:$B$604,"&gt;="&amp;DATE(PlanYear,1,1),'Content Calendar'!$B$5:$B$604,"&lt;="&amp;DATE(PlanYear,12,31)))</f>
        <v>0</v>
      </c>
      <c r="AE547" s="23">
        <f>IF(T547="","",SUMIFS(Analytics!$J$5:$J$154,Analytics!$D$5:$D$154,T547))</f>
        <v>0</v>
      </c>
      <c r="AF547" s="23">
        <f>IF(T547="","",SUMIFS(Analytics!$L$5:$L$154,Analytics!$D$5:$D$154,T547))</f>
        <v>0</v>
      </c>
      <c r="AG547" s="24">
        <f>IF(OR(AE547="",AE547=0),"",AF547/AE547)</f>
        <v>0</v>
      </c>
      <c r="AH547" s="23">
        <f>IF(T547="","",SUMIFS(Analytics!$X$5:$X$154,Analytics!$D$5:$D$154,T547))</f>
        <v>0</v>
      </c>
      <c r="AI547" s="32">
        <f>IF(T547="","",IF(AE547=0,"",AE547+ROW()/1000000))</f>
        <v>0</v>
      </c>
      <c r="AJ547" s="17">
        <f>IF('Content Pillars'!$B$547="","",'Content Pillars'!$B$547)</f>
        <v>0</v>
      </c>
      <c r="AK547" s="23">
        <f>IF(AJ547="","",COUNTIFS('Content Calendar'!$J$5:$J$604,AJ547,'Content Calendar'!$B$5:$B$604,"&gt;="&amp;DATE(PlanYear,1,1),'Content Calendar'!$B$5:$B$604,"&lt;="&amp;DATE(PlanYear,12,31)))</f>
        <v>0</v>
      </c>
      <c r="AL547" s="23">
        <f>IF(AJ547="","",SUMIFS(Performance!$O$5:$O$404,Performance!$H$5:$H$404,AJ547))</f>
        <v>0</v>
      </c>
      <c r="AM547" s="23">
        <f>IF(AJ547="","",SUMIFS(Performance!$Z$5:$Z$404,Performance!$H$5:$H$404,AJ547))</f>
        <v>0</v>
      </c>
      <c r="AN547" s="24">
        <f>IF(OR(AL547="",AL547=0),"",AM547/AL547)</f>
        <v>0</v>
      </c>
      <c r="AO547" s="32">
        <f>IF(AN547="","",AN547+ROW()/1000000)</f>
        <v>0</v>
      </c>
      <c r="AP547" s="17">
        <f>IF(Lists!$E547="","",Lists!$E547)</f>
        <v>0</v>
      </c>
      <c r="AQ547" s="23">
        <f>IF(AP547="","",COUNTIF(Performance!$G$5:$G$404,AP547))</f>
        <v>0</v>
      </c>
      <c r="AR547" s="23">
        <f>IF(AP547="","",SUMIFS(Performance!$O$5:$O$404,Performance!$G$5:$G$404,AP547))</f>
        <v>0</v>
      </c>
      <c r="AS547" s="23">
        <f>IF(AP547="","",SUMIFS(Performance!$Z$5:$Z$404,Performance!$G$5:$G$404,AP547))</f>
        <v>0</v>
      </c>
      <c r="AT547" s="24">
        <f>IF(OR(AR547="",AR547=0),"",AS547/AR547)</f>
        <v>0</v>
      </c>
      <c r="AU547" s="32">
        <f>IF(AQ547=0,"",IF(AT547="","",AT547+ROW()/1000000))</f>
        <v>0</v>
      </c>
      <c r="AV547" s="17">
        <f>IF(ROW()-4&gt;7,"",TEXT(DATE(2024,1,ROW()-4),"ddd"))</f>
        <v>0</v>
      </c>
      <c r="AW547" s="23">
        <f>IF(AV547="","",COUNTIF(Performance!$N$5:$N$404,AV547))</f>
        <v>0</v>
      </c>
      <c r="AX547" s="23">
        <f>IF(AV547="","",SUMIFS(Performance!$O$5:$O$404,Performance!$N$5:$N$404,AV547))</f>
        <v>0</v>
      </c>
      <c r="AY547" s="23">
        <f>IF(AV547="","",SUMIFS(Performance!$Z$5:$Z$404,Performance!$N$5:$N$404,AV547))</f>
        <v>0</v>
      </c>
      <c r="AZ547" s="24">
        <f>IF(OR(AX547="",AX547=0),"",AY547/AX547)</f>
        <v>0</v>
      </c>
      <c r="BA547" s="32">
        <f>IF(AW547=0,"",IF(AZ547="","",AZ547+ROW()/1000000))</f>
        <v>0</v>
      </c>
      <c r="BB547" s="17">
        <f>IF(Lists!$AL547="","",Lists!$AL547)</f>
        <v>0</v>
      </c>
      <c r="BC547" s="23">
        <f>IF(BB547="","",COUNTIF(Performance!$M$5:$M$404,BB547))</f>
        <v>0</v>
      </c>
      <c r="BD547" s="23">
        <f>IF(BB547="","",SUMIFS(Performance!$O$5:$O$404,Performance!$M$5:$M$404,BB547))</f>
        <v>0</v>
      </c>
      <c r="BE547" s="23">
        <f>IF(BB547="","",SUMIFS(Performance!$Z$5:$Z$404,Performance!$M$5:$M$404,BB547))</f>
        <v>0</v>
      </c>
      <c r="BF547" s="24">
        <f>IF(OR(BD547="",BD547=0),"",BE547/BD547)</f>
        <v>0</v>
      </c>
      <c r="BG547" s="32">
        <f>IF(BC547=0,"",IF(BF547="","",BF547+ROW()/1000000))</f>
        <v>0</v>
      </c>
      <c r="BH547" s="17">
        <f>IF(Performance!$C$547="","",Performance!$C$547)</f>
        <v>0</v>
      </c>
      <c r="BI547" s="17">
        <f>IF(Performance!$F$547="","",Performance!$F$547)</f>
        <v>0</v>
      </c>
      <c r="BJ547" s="17">
        <f>IF(Performance!$H$547="","",Performance!$H$547)</f>
        <v>0</v>
      </c>
      <c r="BK547" s="16">
        <f>IF(Performance!$D$547="","",Performance!$D$547)</f>
        <v>0</v>
      </c>
      <c r="BL547" s="17">
        <f>IF(Performance!$E$547="","",Performance!$E$547)</f>
        <v>0</v>
      </c>
      <c r="BM547" s="23">
        <f>IF(Performance!$O$547="","",Performance!$O$547)</f>
        <v>0</v>
      </c>
      <c r="BN547" s="24">
        <f>IF(Performance!$AA$547="","",Performance!$AA$547)</f>
        <v>0</v>
      </c>
      <c r="BO547" s="32">
        <f>IF(BH547="","",IF(BK547="","",IF(OR(BK547&lt;DashStart,BK547&gt;DashEnd),"",IF(BN547="","",BN547+ROW()/1000000))))</f>
        <v>0</v>
      </c>
      <c r="BP547" s="32">
        <f>IF(BM547="","",IF(BK547="","",IF(OR(BK547&lt;DashStart,BK547&gt;DashEnd),"",BM547+ROW()/1000000)))</f>
        <v>0</v>
      </c>
      <c r="BQ547" s="32">
        <f>IF(BH547="","",IF(BK547="","",IF(YEAR(BK547)&lt;&gt;PlanYear,"",IF(BN547="","",BN547+ROW()/1000000))))</f>
        <v>0</v>
      </c>
      <c r="BR547" s="32">
        <f>IF(BH547="","",IF(BK547="","",IF(OR(BK547&lt;RepFrom,BK547&gt;RepTo),"",IF(BN547="","",BN547+ROW()/1000000))))</f>
        <v>0</v>
      </c>
      <c r="BS547" s="32">
        <f>IF(BM547="","",IF(BK547="","",IF(YEAR(BK547)&lt;&gt;PlanYear,"",BM547+ROW()/1000000)))</f>
        <v>0</v>
      </c>
      <c r="BT547" s="17">
        <f>IF(Lists!$F547="","",Lists!$F547)</f>
        <v>0</v>
      </c>
      <c r="BU547" s="23">
        <f>IF(BT547="","",COUNTIF('Content Calendar'!$X$5:$X$604,BT547))</f>
        <v>0</v>
      </c>
      <c r="BV547" s="23">
        <f>IF(BT547="","",COUNTIFS('Content Calendar'!$X$5:$X$604,BT547,'Content Calendar'!$B$5:$B$604,"&gt;="&amp;DashStart,'Content Calendar'!$B$5:$B$604,"&lt;="&amp;DashEnd))</f>
        <v>0</v>
      </c>
      <c r="BW547" s="17">
        <f>IF(Team!$B$547="","",Team!$B$547)</f>
        <v>0</v>
      </c>
      <c r="BX547" s="23">
        <f>IF(BW547="","",COUNTIF('Content Calendar'!$W$5:$W$604,BW547))</f>
        <v>0</v>
      </c>
      <c r="BY547" s="23">
        <f>IF(BW547="","",COUNTIFS('Content Calendar'!$W$5:$W$604,BW547,'Content Calendar'!$X$5:$X$604,"&lt;&gt;Published"))</f>
        <v>0</v>
      </c>
      <c r="BZ547" s="23">
        <f>IF(BW547="","",COUNTIFS(Tasks!$C$5:$C$64,BW547,Tasks!$G$5:$G$64,"&lt;&gt;Complete"))</f>
        <v>0</v>
      </c>
      <c r="CA547" s="17">
        <f>IF(Campaigns!$B$547="","",Campaigns!$B$547)</f>
        <v>0</v>
      </c>
      <c r="CB547" s="25">
        <f>IF(Campaigns!$T$547="","",Campaigns!$T$547)</f>
        <v>0</v>
      </c>
      <c r="CC547" s="25">
        <f>IF(Campaigns!$Q$547="","",Campaigns!$Q$547)</f>
        <v>0</v>
      </c>
      <c r="CD547" s="23">
        <f>IF(Campaigns!$Y$547="","",Campaigns!$Y$547)</f>
        <v>0</v>
      </c>
      <c r="CE547" s="32">
        <f>IF(CA547="","",IF(N(CB547)&lt;=0,"",N(CB547)+ROW()/1000000))</f>
        <v>0</v>
      </c>
      <c r="CF547" s="17">
        <f>IF(Accounts!$C$547="","",Accounts!$C$547)</f>
        <v>0</v>
      </c>
      <c r="CG547" s="17">
        <f>IF(Accounts!$B$547="","",Accounts!$B$547)</f>
        <v>0</v>
      </c>
      <c r="CH547" s="23">
        <f>IF(Accounts!$J$547="","",Accounts!$J$547)</f>
        <v>0</v>
      </c>
      <c r="CI547" s="23">
        <f>IF(CF547="","",SUMIFS(Analytics!$X$5:$X$154,Analytics!$E$5:$E$154,CF547,Analytics!$B$5:$B$154,"&gt;="&amp;DashStart,Analytics!$B$5:$B$154,"&lt;="&amp;DashEnd))</f>
        <v>0</v>
      </c>
      <c r="CJ547" s="32">
        <f>IF(CH547="","",IF(CH547=0,"",CH547+ROW()/1000000))</f>
        <v>0</v>
      </c>
    </row>
    <row r="548" spans="1:88">
      <c r="A548" s="16">
        <f>IF(ROW()-4&gt;12,"",DATE(PlanYear,ROW()-4,1))</f>
        <v>0</v>
      </c>
      <c r="B548" s="16">
        <f>IF(A548="","",EOMONTH(A548,0))</f>
        <v>0</v>
      </c>
      <c r="C548" s="17">
        <f>IF(A548="","",TEXT(A548,"yyyy-mm"))</f>
        <v>0</v>
      </c>
      <c r="D548" s="17">
        <f>IF(A548="","",TEXT(A548,"mmm"))</f>
        <v>0</v>
      </c>
      <c r="E548" s="23">
        <f>IF(C548="","",COUNTIFS('Content Calendar'!$D$5:$D$604,C548))</f>
        <v>0</v>
      </c>
      <c r="F548" s="23">
        <f>IF(C548="","",COUNTIFS('Content Calendar'!$D$5:$D$604,C548,'Content Calendar'!$X$5:$X$604,"Published"))</f>
        <v>0</v>
      </c>
      <c r="G548" s="23">
        <f>IF(C548="","",SUMIFS(Analytics!$J$5:$J$154,Analytics!$C$5:$C$154,C548))</f>
        <v>0</v>
      </c>
      <c r="H548" s="23">
        <f>IF(C548="","",SUMIFS(Analytics!$K$5:$K$154,Analytics!$C$5:$C$154,C548))</f>
        <v>0</v>
      </c>
      <c r="I548" s="23">
        <f>IF(C548="","",SUMIFS(Analytics!$L$5:$L$154,Analytics!$C$5:$C$154,C548))</f>
        <v>0</v>
      </c>
      <c r="J548" s="24">
        <f>IF(OR(G548="",G548=0),"",I548/G548)</f>
        <v>0</v>
      </c>
      <c r="K548" s="23">
        <f>IF(C548="","",SUMIFS(Analytics!$G$5:$G$154,Analytics!$C$5:$C$154,C548))</f>
        <v>0</v>
      </c>
      <c r="L548" s="23">
        <f>IF(C548="","",SUMIFS(Analytics!$X$5:$X$154,Analytics!$C$5:$C$154,C548))</f>
        <v>0</v>
      </c>
      <c r="M548" s="23">
        <f>IF(C548="","",SUMIFS(Analytics!$R$5:$R$154,Analytics!$C$5:$C$154,C548))</f>
        <v>0</v>
      </c>
      <c r="N548" s="23">
        <f>IF(C548="","",SUMIFS(Analytics!$S$5:$S$154,Analytics!$C$5:$C$154,C548))</f>
        <v>0</v>
      </c>
      <c r="O548" s="23">
        <f>IF(C548="","",SUMIFS(Analytics!$T$5:$T$154,Analytics!$C$5:$C$154,C548))</f>
        <v>0</v>
      </c>
      <c r="P548" s="25">
        <f>IF(C548="","",SUMIFS(Analytics!$U$5:$U$154,Analytics!$C$5:$C$154,C548))</f>
        <v>0</v>
      </c>
      <c r="Q548" s="25">
        <f>IF(C548="","",SUMIFS(Budget!$H$5:$H$64,Budget!$C$5:$C$64,C548))</f>
        <v>0</v>
      </c>
      <c r="R548" s="25">
        <f>IF(C548="","",P548-Q548)</f>
        <v>0</v>
      </c>
      <c r="S548" s="23">
        <f>IF(C548="","",MonthlyPostTarget)</f>
        <v>0</v>
      </c>
      <c r="T548" s="17">
        <f>IF(Lists!$C548="","",Lists!$C548)</f>
        <v>0</v>
      </c>
      <c r="U548" s="23">
        <f>IF(T548="","",COUNTIFS('Content Calendar'!$G$5:$G$604,T548,'Content Calendar'!$B$5:$B$604,"&gt;="&amp;DashStart,'Content Calendar'!$B$5:$B$604,"&lt;="&amp;DashEnd))</f>
        <v>0</v>
      </c>
      <c r="V548" s="23">
        <f>IF(T548="","",COUNTIFS('Content Calendar'!$G$5:$G$604,T548,'Content Calendar'!$X$5:$X$604,"Published",'Content Calendar'!$B$5:$B$604,"&gt;="&amp;DashStart,'Content Calendar'!$B$5:$B$604,"&lt;="&amp;DashEnd))</f>
        <v>0</v>
      </c>
      <c r="W548" s="23">
        <f>IF(T548="","",SUMIFS(Analytics!$J$5:$J$154,Analytics!$D$5:$D$154,T548,Analytics!$B$5:$B$154,"&gt;="&amp;DashStart,Analytics!$B$5:$B$154,"&lt;="&amp;DashEnd))</f>
        <v>0</v>
      </c>
      <c r="X548" s="23">
        <f>IF(T548="","",SUMIFS(Analytics!$L$5:$L$154,Analytics!$D$5:$D$154,T548,Analytics!$B$5:$B$154,"&gt;="&amp;DashStart,Analytics!$B$5:$B$154,"&lt;="&amp;DashEnd))</f>
        <v>0</v>
      </c>
      <c r="Y548" s="24">
        <f>IF(OR(W548="",W548=0),"",X548/W548)</f>
        <v>0</v>
      </c>
      <c r="Z548" s="23">
        <f>IF(T548="","",SUMIFS(Analytics!$G$5:$G$154,Analytics!$D$5:$D$154,T548,Analytics!$B$5:$B$154,"&gt;="&amp;DashStart,Analytics!$B$5:$B$154,"&lt;="&amp;DashEnd))</f>
        <v>0</v>
      </c>
      <c r="AA548" s="23">
        <f>IF(T548="","",SUMIFS(Analytics!$X$5:$X$154,Analytics!$D$5:$D$154,T548,Analytics!$B$5:$B$154,"&gt;="&amp;DashStart,Analytics!$B$5:$B$154,"&lt;="&amp;DashEnd))</f>
        <v>0</v>
      </c>
      <c r="AB548" s="23">
        <f>IF(T548="","",SUMIFS(Analytics!$R$5:$R$154,Analytics!$D$5:$D$154,T548,Analytics!$B$5:$B$154,"&gt;="&amp;DashStart,Analytics!$B$5:$B$154,"&lt;="&amp;DashEnd))</f>
        <v>0</v>
      </c>
      <c r="AC548" s="25">
        <f>IF(T548="","",SUMIFS(Analytics!$U$5:$U$154,Analytics!$D$5:$D$154,T548,Analytics!$B$5:$B$154,"&gt;="&amp;DashStart,Analytics!$B$5:$B$154,"&lt;="&amp;DashEnd))</f>
        <v>0</v>
      </c>
      <c r="AD548" s="23">
        <f>IF(T548="","",COUNTIFS('Content Calendar'!$G$5:$G$604,T548,'Content Calendar'!$B$5:$B$604,"&gt;="&amp;DATE(PlanYear,1,1),'Content Calendar'!$B$5:$B$604,"&lt;="&amp;DATE(PlanYear,12,31)))</f>
        <v>0</v>
      </c>
      <c r="AE548" s="23">
        <f>IF(T548="","",SUMIFS(Analytics!$J$5:$J$154,Analytics!$D$5:$D$154,T548))</f>
        <v>0</v>
      </c>
      <c r="AF548" s="23">
        <f>IF(T548="","",SUMIFS(Analytics!$L$5:$L$154,Analytics!$D$5:$D$154,T548))</f>
        <v>0</v>
      </c>
      <c r="AG548" s="24">
        <f>IF(OR(AE548="",AE548=0),"",AF548/AE548)</f>
        <v>0</v>
      </c>
      <c r="AH548" s="23">
        <f>IF(T548="","",SUMIFS(Analytics!$X$5:$X$154,Analytics!$D$5:$D$154,T548))</f>
        <v>0</v>
      </c>
      <c r="AI548" s="32">
        <f>IF(T548="","",IF(AE548=0,"",AE548+ROW()/1000000))</f>
        <v>0</v>
      </c>
      <c r="AJ548" s="17">
        <f>IF('Content Pillars'!$B$548="","",'Content Pillars'!$B$548)</f>
        <v>0</v>
      </c>
      <c r="AK548" s="23">
        <f>IF(AJ548="","",COUNTIFS('Content Calendar'!$J$5:$J$604,AJ548,'Content Calendar'!$B$5:$B$604,"&gt;="&amp;DATE(PlanYear,1,1),'Content Calendar'!$B$5:$B$604,"&lt;="&amp;DATE(PlanYear,12,31)))</f>
        <v>0</v>
      </c>
      <c r="AL548" s="23">
        <f>IF(AJ548="","",SUMIFS(Performance!$O$5:$O$404,Performance!$H$5:$H$404,AJ548))</f>
        <v>0</v>
      </c>
      <c r="AM548" s="23">
        <f>IF(AJ548="","",SUMIFS(Performance!$Z$5:$Z$404,Performance!$H$5:$H$404,AJ548))</f>
        <v>0</v>
      </c>
      <c r="AN548" s="24">
        <f>IF(OR(AL548="",AL548=0),"",AM548/AL548)</f>
        <v>0</v>
      </c>
      <c r="AO548" s="32">
        <f>IF(AN548="","",AN548+ROW()/1000000)</f>
        <v>0</v>
      </c>
      <c r="AP548" s="17">
        <f>IF(Lists!$E548="","",Lists!$E548)</f>
        <v>0</v>
      </c>
      <c r="AQ548" s="23">
        <f>IF(AP548="","",COUNTIF(Performance!$G$5:$G$404,AP548))</f>
        <v>0</v>
      </c>
      <c r="AR548" s="23">
        <f>IF(AP548="","",SUMIFS(Performance!$O$5:$O$404,Performance!$G$5:$G$404,AP548))</f>
        <v>0</v>
      </c>
      <c r="AS548" s="23">
        <f>IF(AP548="","",SUMIFS(Performance!$Z$5:$Z$404,Performance!$G$5:$G$404,AP548))</f>
        <v>0</v>
      </c>
      <c r="AT548" s="24">
        <f>IF(OR(AR548="",AR548=0),"",AS548/AR548)</f>
        <v>0</v>
      </c>
      <c r="AU548" s="32">
        <f>IF(AQ548=0,"",IF(AT548="","",AT548+ROW()/1000000))</f>
        <v>0</v>
      </c>
      <c r="AV548" s="17">
        <f>IF(ROW()-4&gt;7,"",TEXT(DATE(2024,1,ROW()-4),"ddd"))</f>
        <v>0</v>
      </c>
      <c r="AW548" s="23">
        <f>IF(AV548="","",COUNTIF(Performance!$N$5:$N$404,AV548))</f>
        <v>0</v>
      </c>
      <c r="AX548" s="23">
        <f>IF(AV548="","",SUMIFS(Performance!$O$5:$O$404,Performance!$N$5:$N$404,AV548))</f>
        <v>0</v>
      </c>
      <c r="AY548" s="23">
        <f>IF(AV548="","",SUMIFS(Performance!$Z$5:$Z$404,Performance!$N$5:$N$404,AV548))</f>
        <v>0</v>
      </c>
      <c r="AZ548" s="24">
        <f>IF(OR(AX548="",AX548=0),"",AY548/AX548)</f>
        <v>0</v>
      </c>
      <c r="BA548" s="32">
        <f>IF(AW548=0,"",IF(AZ548="","",AZ548+ROW()/1000000))</f>
        <v>0</v>
      </c>
      <c r="BB548" s="17">
        <f>IF(Lists!$AL548="","",Lists!$AL548)</f>
        <v>0</v>
      </c>
      <c r="BC548" s="23">
        <f>IF(BB548="","",COUNTIF(Performance!$M$5:$M$404,BB548))</f>
        <v>0</v>
      </c>
      <c r="BD548" s="23">
        <f>IF(BB548="","",SUMIFS(Performance!$O$5:$O$404,Performance!$M$5:$M$404,BB548))</f>
        <v>0</v>
      </c>
      <c r="BE548" s="23">
        <f>IF(BB548="","",SUMIFS(Performance!$Z$5:$Z$404,Performance!$M$5:$M$404,BB548))</f>
        <v>0</v>
      </c>
      <c r="BF548" s="24">
        <f>IF(OR(BD548="",BD548=0),"",BE548/BD548)</f>
        <v>0</v>
      </c>
      <c r="BG548" s="32">
        <f>IF(BC548=0,"",IF(BF548="","",BF548+ROW()/1000000))</f>
        <v>0</v>
      </c>
      <c r="BH548" s="17">
        <f>IF(Performance!$C$548="","",Performance!$C$548)</f>
        <v>0</v>
      </c>
      <c r="BI548" s="17">
        <f>IF(Performance!$F$548="","",Performance!$F$548)</f>
        <v>0</v>
      </c>
      <c r="BJ548" s="17">
        <f>IF(Performance!$H$548="","",Performance!$H$548)</f>
        <v>0</v>
      </c>
      <c r="BK548" s="16">
        <f>IF(Performance!$D$548="","",Performance!$D$548)</f>
        <v>0</v>
      </c>
      <c r="BL548" s="17">
        <f>IF(Performance!$E$548="","",Performance!$E$548)</f>
        <v>0</v>
      </c>
      <c r="BM548" s="23">
        <f>IF(Performance!$O$548="","",Performance!$O$548)</f>
        <v>0</v>
      </c>
      <c r="BN548" s="24">
        <f>IF(Performance!$AA$548="","",Performance!$AA$548)</f>
        <v>0</v>
      </c>
      <c r="BO548" s="32">
        <f>IF(BH548="","",IF(BK548="","",IF(OR(BK548&lt;DashStart,BK548&gt;DashEnd),"",IF(BN548="","",BN548+ROW()/1000000))))</f>
        <v>0</v>
      </c>
      <c r="BP548" s="32">
        <f>IF(BM548="","",IF(BK548="","",IF(OR(BK548&lt;DashStart,BK548&gt;DashEnd),"",BM548+ROW()/1000000)))</f>
        <v>0</v>
      </c>
      <c r="BQ548" s="32">
        <f>IF(BH548="","",IF(BK548="","",IF(YEAR(BK548)&lt;&gt;PlanYear,"",IF(BN548="","",BN548+ROW()/1000000))))</f>
        <v>0</v>
      </c>
      <c r="BR548" s="32">
        <f>IF(BH548="","",IF(BK548="","",IF(OR(BK548&lt;RepFrom,BK548&gt;RepTo),"",IF(BN548="","",BN548+ROW()/1000000))))</f>
        <v>0</v>
      </c>
      <c r="BS548" s="32">
        <f>IF(BM548="","",IF(BK548="","",IF(YEAR(BK548)&lt;&gt;PlanYear,"",BM548+ROW()/1000000)))</f>
        <v>0</v>
      </c>
      <c r="BT548" s="17">
        <f>IF(Lists!$F548="","",Lists!$F548)</f>
        <v>0</v>
      </c>
      <c r="BU548" s="23">
        <f>IF(BT548="","",COUNTIF('Content Calendar'!$X$5:$X$604,BT548))</f>
        <v>0</v>
      </c>
      <c r="BV548" s="23">
        <f>IF(BT548="","",COUNTIFS('Content Calendar'!$X$5:$X$604,BT548,'Content Calendar'!$B$5:$B$604,"&gt;="&amp;DashStart,'Content Calendar'!$B$5:$B$604,"&lt;="&amp;DashEnd))</f>
        <v>0</v>
      </c>
      <c r="BW548" s="17">
        <f>IF(Team!$B$548="","",Team!$B$548)</f>
        <v>0</v>
      </c>
      <c r="BX548" s="23">
        <f>IF(BW548="","",COUNTIF('Content Calendar'!$W$5:$W$604,BW548))</f>
        <v>0</v>
      </c>
      <c r="BY548" s="23">
        <f>IF(BW548="","",COUNTIFS('Content Calendar'!$W$5:$W$604,BW548,'Content Calendar'!$X$5:$X$604,"&lt;&gt;Published"))</f>
        <v>0</v>
      </c>
      <c r="BZ548" s="23">
        <f>IF(BW548="","",COUNTIFS(Tasks!$C$5:$C$64,BW548,Tasks!$G$5:$G$64,"&lt;&gt;Complete"))</f>
        <v>0</v>
      </c>
      <c r="CA548" s="17">
        <f>IF(Campaigns!$B$548="","",Campaigns!$B$548)</f>
        <v>0</v>
      </c>
      <c r="CB548" s="25">
        <f>IF(Campaigns!$T$548="","",Campaigns!$T$548)</f>
        <v>0</v>
      </c>
      <c r="CC548" s="25">
        <f>IF(Campaigns!$Q$548="","",Campaigns!$Q$548)</f>
        <v>0</v>
      </c>
      <c r="CD548" s="23">
        <f>IF(Campaigns!$Y$548="","",Campaigns!$Y$548)</f>
        <v>0</v>
      </c>
      <c r="CE548" s="32">
        <f>IF(CA548="","",IF(N(CB548)&lt;=0,"",N(CB548)+ROW()/1000000))</f>
        <v>0</v>
      </c>
      <c r="CF548" s="17">
        <f>IF(Accounts!$C$548="","",Accounts!$C$548)</f>
        <v>0</v>
      </c>
      <c r="CG548" s="17">
        <f>IF(Accounts!$B$548="","",Accounts!$B$548)</f>
        <v>0</v>
      </c>
      <c r="CH548" s="23">
        <f>IF(Accounts!$J$548="","",Accounts!$J$548)</f>
        <v>0</v>
      </c>
      <c r="CI548" s="23">
        <f>IF(CF548="","",SUMIFS(Analytics!$X$5:$X$154,Analytics!$E$5:$E$154,CF548,Analytics!$B$5:$B$154,"&gt;="&amp;DashStart,Analytics!$B$5:$B$154,"&lt;="&amp;DashEnd))</f>
        <v>0</v>
      </c>
      <c r="CJ548" s="32">
        <f>IF(CH548="","",IF(CH548=0,"",CH548+ROW()/1000000))</f>
        <v>0</v>
      </c>
    </row>
    <row r="549" spans="1:88">
      <c r="A549" s="16">
        <f>IF(ROW()-4&gt;12,"",DATE(PlanYear,ROW()-4,1))</f>
        <v>0</v>
      </c>
      <c r="B549" s="16">
        <f>IF(A549="","",EOMONTH(A549,0))</f>
        <v>0</v>
      </c>
      <c r="C549" s="17">
        <f>IF(A549="","",TEXT(A549,"yyyy-mm"))</f>
        <v>0</v>
      </c>
      <c r="D549" s="17">
        <f>IF(A549="","",TEXT(A549,"mmm"))</f>
        <v>0</v>
      </c>
      <c r="E549" s="23">
        <f>IF(C549="","",COUNTIFS('Content Calendar'!$D$5:$D$604,C549))</f>
        <v>0</v>
      </c>
      <c r="F549" s="23">
        <f>IF(C549="","",COUNTIFS('Content Calendar'!$D$5:$D$604,C549,'Content Calendar'!$X$5:$X$604,"Published"))</f>
        <v>0</v>
      </c>
      <c r="G549" s="23">
        <f>IF(C549="","",SUMIFS(Analytics!$J$5:$J$154,Analytics!$C$5:$C$154,C549))</f>
        <v>0</v>
      </c>
      <c r="H549" s="23">
        <f>IF(C549="","",SUMIFS(Analytics!$K$5:$K$154,Analytics!$C$5:$C$154,C549))</f>
        <v>0</v>
      </c>
      <c r="I549" s="23">
        <f>IF(C549="","",SUMIFS(Analytics!$L$5:$L$154,Analytics!$C$5:$C$154,C549))</f>
        <v>0</v>
      </c>
      <c r="J549" s="24">
        <f>IF(OR(G549="",G549=0),"",I549/G549)</f>
        <v>0</v>
      </c>
      <c r="K549" s="23">
        <f>IF(C549="","",SUMIFS(Analytics!$G$5:$G$154,Analytics!$C$5:$C$154,C549))</f>
        <v>0</v>
      </c>
      <c r="L549" s="23">
        <f>IF(C549="","",SUMIFS(Analytics!$X$5:$X$154,Analytics!$C$5:$C$154,C549))</f>
        <v>0</v>
      </c>
      <c r="M549" s="23">
        <f>IF(C549="","",SUMIFS(Analytics!$R$5:$R$154,Analytics!$C$5:$C$154,C549))</f>
        <v>0</v>
      </c>
      <c r="N549" s="23">
        <f>IF(C549="","",SUMIFS(Analytics!$S$5:$S$154,Analytics!$C$5:$C$154,C549))</f>
        <v>0</v>
      </c>
      <c r="O549" s="23">
        <f>IF(C549="","",SUMIFS(Analytics!$T$5:$T$154,Analytics!$C$5:$C$154,C549))</f>
        <v>0</v>
      </c>
      <c r="P549" s="25">
        <f>IF(C549="","",SUMIFS(Analytics!$U$5:$U$154,Analytics!$C$5:$C$154,C549))</f>
        <v>0</v>
      </c>
      <c r="Q549" s="25">
        <f>IF(C549="","",SUMIFS(Budget!$H$5:$H$64,Budget!$C$5:$C$64,C549))</f>
        <v>0</v>
      </c>
      <c r="R549" s="25">
        <f>IF(C549="","",P549-Q549)</f>
        <v>0</v>
      </c>
      <c r="S549" s="23">
        <f>IF(C549="","",MonthlyPostTarget)</f>
        <v>0</v>
      </c>
      <c r="T549" s="17">
        <f>IF(Lists!$C549="","",Lists!$C549)</f>
        <v>0</v>
      </c>
      <c r="U549" s="23">
        <f>IF(T549="","",COUNTIFS('Content Calendar'!$G$5:$G$604,T549,'Content Calendar'!$B$5:$B$604,"&gt;="&amp;DashStart,'Content Calendar'!$B$5:$B$604,"&lt;="&amp;DashEnd))</f>
        <v>0</v>
      </c>
      <c r="V549" s="23">
        <f>IF(T549="","",COUNTIFS('Content Calendar'!$G$5:$G$604,T549,'Content Calendar'!$X$5:$X$604,"Published",'Content Calendar'!$B$5:$B$604,"&gt;="&amp;DashStart,'Content Calendar'!$B$5:$B$604,"&lt;="&amp;DashEnd))</f>
        <v>0</v>
      </c>
      <c r="W549" s="23">
        <f>IF(T549="","",SUMIFS(Analytics!$J$5:$J$154,Analytics!$D$5:$D$154,T549,Analytics!$B$5:$B$154,"&gt;="&amp;DashStart,Analytics!$B$5:$B$154,"&lt;="&amp;DashEnd))</f>
        <v>0</v>
      </c>
      <c r="X549" s="23">
        <f>IF(T549="","",SUMIFS(Analytics!$L$5:$L$154,Analytics!$D$5:$D$154,T549,Analytics!$B$5:$B$154,"&gt;="&amp;DashStart,Analytics!$B$5:$B$154,"&lt;="&amp;DashEnd))</f>
        <v>0</v>
      </c>
      <c r="Y549" s="24">
        <f>IF(OR(W549="",W549=0),"",X549/W549)</f>
        <v>0</v>
      </c>
      <c r="Z549" s="23">
        <f>IF(T549="","",SUMIFS(Analytics!$G$5:$G$154,Analytics!$D$5:$D$154,T549,Analytics!$B$5:$B$154,"&gt;="&amp;DashStart,Analytics!$B$5:$B$154,"&lt;="&amp;DashEnd))</f>
        <v>0</v>
      </c>
      <c r="AA549" s="23">
        <f>IF(T549="","",SUMIFS(Analytics!$X$5:$X$154,Analytics!$D$5:$D$154,T549,Analytics!$B$5:$B$154,"&gt;="&amp;DashStart,Analytics!$B$5:$B$154,"&lt;="&amp;DashEnd))</f>
        <v>0</v>
      </c>
      <c r="AB549" s="23">
        <f>IF(T549="","",SUMIFS(Analytics!$R$5:$R$154,Analytics!$D$5:$D$154,T549,Analytics!$B$5:$B$154,"&gt;="&amp;DashStart,Analytics!$B$5:$B$154,"&lt;="&amp;DashEnd))</f>
        <v>0</v>
      </c>
      <c r="AC549" s="25">
        <f>IF(T549="","",SUMIFS(Analytics!$U$5:$U$154,Analytics!$D$5:$D$154,T549,Analytics!$B$5:$B$154,"&gt;="&amp;DashStart,Analytics!$B$5:$B$154,"&lt;="&amp;DashEnd))</f>
        <v>0</v>
      </c>
      <c r="AD549" s="23">
        <f>IF(T549="","",COUNTIFS('Content Calendar'!$G$5:$G$604,T549,'Content Calendar'!$B$5:$B$604,"&gt;="&amp;DATE(PlanYear,1,1),'Content Calendar'!$B$5:$B$604,"&lt;="&amp;DATE(PlanYear,12,31)))</f>
        <v>0</v>
      </c>
      <c r="AE549" s="23">
        <f>IF(T549="","",SUMIFS(Analytics!$J$5:$J$154,Analytics!$D$5:$D$154,T549))</f>
        <v>0</v>
      </c>
      <c r="AF549" s="23">
        <f>IF(T549="","",SUMIFS(Analytics!$L$5:$L$154,Analytics!$D$5:$D$154,T549))</f>
        <v>0</v>
      </c>
      <c r="AG549" s="24">
        <f>IF(OR(AE549="",AE549=0),"",AF549/AE549)</f>
        <v>0</v>
      </c>
      <c r="AH549" s="23">
        <f>IF(T549="","",SUMIFS(Analytics!$X$5:$X$154,Analytics!$D$5:$D$154,T549))</f>
        <v>0</v>
      </c>
      <c r="AI549" s="32">
        <f>IF(T549="","",IF(AE549=0,"",AE549+ROW()/1000000))</f>
        <v>0</v>
      </c>
      <c r="AJ549" s="17">
        <f>IF('Content Pillars'!$B$549="","",'Content Pillars'!$B$549)</f>
        <v>0</v>
      </c>
      <c r="AK549" s="23">
        <f>IF(AJ549="","",COUNTIFS('Content Calendar'!$J$5:$J$604,AJ549,'Content Calendar'!$B$5:$B$604,"&gt;="&amp;DATE(PlanYear,1,1),'Content Calendar'!$B$5:$B$604,"&lt;="&amp;DATE(PlanYear,12,31)))</f>
        <v>0</v>
      </c>
      <c r="AL549" s="23">
        <f>IF(AJ549="","",SUMIFS(Performance!$O$5:$O$404,Performance!$H$5:$H$404,AJ549))</f>
        <v>0</v>
      </c>
      <c r="AM549" s="23">
        <f>IF(AJ549="","",SUMIFS(Performance!$Z$5:$Z$404,Performance!$H$5:$H$404,AJ549))</f>
        <v>0</v>
      </c>
      <c r="AN549" s="24">
        <f>IF(OR(AL549="",AL549=0),"",AM549/AL549)</f>
        <v>0</v>
      </c>
      <c r="AO549" s="32">
        <f>IF(AN549="","",AN549+ROW()/1000000)</f>
        <v>0</v>
      </c>
      <c r="AP549" s="17">
        <f>IF(Lists!$E549="","",Lists!$E549)</f>
        <v>0</v>
      </c>
      <c r="AQ549" s="23">
        <f>IF(AP549="","",COUNTIF(Performance!$G$5:$G$404,AP549))</f>
        <v>0</v>
      </c>
      <c r="AR549" s="23">
        <f>IF(AP549="","",SUMIFS(Performance!$O$5:$O$404,Performance!$G$5:$G$404,AP549))</f>
        <v>0</v>
      </c>
      <c r="AS549" s="23">
        <f>IF(AP549="","",SUMIFS(Performance!$Z$5:$Z$404,Performance!$G$5:$G$404,AP549))</f>
        <v>0</v>
      </c>
      <c r="AT549" s="24">
        <f>IF(OR(AR549="",AR549=0),"",AS549/AR549)</f>
        <v>0</v>
      </c>
      <c r="AU549" s="32">
        <f>IF(AQ549=0,"",IF(AT549="","",AT549+ROW()/1000000))</f>
        <v>0</v>
      </c>
      <c r="AV549" s="17">
        <f>IF(ROW()-4&gt;7,"",TEXT(DATE(2024,1,ROW()-4),"ddd"))</f>
        <v>0</v>
      </c>
      <c r="AW549" s="23">
        <f>IF(AV549="","",COUNTIF(Performance!$N$5:$N$404,AV549))</f>
        <v>0</v>
      </c>
      <c r="AX549" s="23">
        <f>IF(AV549="","",SUMIFS(Performance!$O$5:$O$404,Performance!$N$5:$N$404,AV549))</f>
        <v>0</v>
      </c>
      <c r="AY549" s="23">
        <f>IF(AV549="","",SUMIFS(Performance!$Z$5:$Z$404,Performance!$N$5:$N$404,AV549))</f>
        <v>0</v>
      </c>
      <c r="AZ549" s="24">
        <f>IF(OR(AX549="",AX549=0),"",AY549/AX549)</f>
        <v>0</v>
      </c>
      <c r="BA549" s="32">
        <f>IF(AW549=0,"",IF(AZ549="","",AZ549+ROW()/1000000))</f>
        <v>0</v>
      </c>
      <c r="BB549" s="17">
        <f>IF(Lists!$AL549="","",Lists!$AL549)</f>
        <v>0</v>
      </c>
      <c r="BC549" s="23">
        <f>IF(BB549="","",COUNTIF(Performance!$M$5:$M$404,BB549))</f>
        <v>0</v>
      </c>
      <c r="BD549" s="23">
        <f>IF(BB549="","",SUMIFS(Performance!$O$5:$O$404,Performance!$M$5:$M$404,BB549))</f>
        <v>0</v>
      </c>
      <c r="BE549" s="23">
        <f>IF(BB549="","",SUMIFS(Performance!$Z$5:$Z$404,Performance!$M$5:$M$404,BB549))</f>
        <v>0</v>
      </c>
      <c r="BF549" s="24">
        <f>IF(OR(BD549="",BD549=0),"",BE549/BD549)</f>
        <v>0</v>
      </c>
      <c r="BG549" s="32">
        <f>IF(BC549=0,"",IF(BF549="","",BF549+ROW()/1000000))</f>
        <v>0</v>
      </c>
      <c r="BH549" s="17">
        <f>IF(Performance!$C$549="","",Performance!$C$549)</f>
        <v>0</v>
      </c>
      <c r="BI549" s="17">
        <f>IF(Performance!$F$549="","",Performance!$F$549)</f>
        <v>0</v>
      </c>
      <c r="BJ549" s="17">
        <f>IF(Performance!$H$549="","",Performance!$H$549)</f>
        <v>0</v>
      </c>
      <c r="BK549" s="16">
        <f>IF(Performance!$D$549="","",Performance!$D$549)</f>
        <v>0</v>
      </c>
      <c r="BL549" s="17">
        <f>IF(Performance!$E$549="","",Performance!$E$549)</f>
        <v>0</v>
      </c>
      <c r="BM549" s="23">
        <f>IF(Performance!$O$549="","",Performance!$O$549)</f>
        <v>0</v>
      </c>
      <c r="BN549" s="24">
        <f>IF(Performance!$AA$549="","",Performance!$AA$549)</f>
        <v>0</v>
      </c>
      <c r="BO549" s="32">
        <f>IF(BH549="","",IF(BK549="","",IF(OR(BK549&lt;DashStart,BK549&gt;DashEnd),"",IF(BN549="","",BN549+ROW()/1000000))))</f>
        <v>0</v>
      </c>
      <c r="BP549" s="32">
        <f>IF(BM549="","",IF(BK549="","",IF(OR(BK549&lt;DashStart,BK549&gt;DashEnd),"",BM549+ROW()/1000000)))</f>
        <v>0</v>
      </c>
      <c r="BQ549" s="32">
        <f>IF(BH549="","",IF(BK549="","",IF(YEAR(BK549)&lt;&gt;PlanYear,"",IF(BN549="","",BN549+ROW()/1000000))))</f>
        <v>0</v>
      </c>
      <c r="BR549" s="32">
        <f>IF(BH549="","",IF(BK549="","",IF(OR(BK549&lt;RepFrom,BK549&gt;RepTo),"",IF(BN549="","",BN549+ROW()/1000000))))</f>
        <v>0</v>
      </c>
      <c r="BS549" s="32">
        <f>IF(BM549="","",IF(BK549="","",IF(YEAR(BK549)&lt;&gt;PlanYear,"",BM549+ROW()/1000000)))</f>
        <v>0</v>
      </c>
      <c r="BT549" s="17">
        <f>IF(Lists!$F549="","",Lists!$F549)</f>
        <v>0</v>
      </c>
      <c r="BU549" s="23">
        <f>IF(BT549="","",COUNTIF('Content Calendar'!$X$5:$X$604,BT549))</f>
        <v>0</v>
      </c>
      <c r="BV549" s="23">
        <f>IF(BT549="","",COUNTIFS('Content Calendar'!$X$5:$X$604,BT549,'Content Calendar'!$B$5:$B$604,"&gt;="&amp;DashStart,'Content Calendar'!$B$5:$B$604,"&lt;="&amp;DashEnd))</f>
        <v>0</v>
      </c>
      <c r="BW549" s="17">
        <f>IF(Team!$B$549="","",Team!$B$549)</f>
        <v>0</v>
      </c>
      <c r="BX549" s="23">
        <f>IF(BW549="","",COUNTIF('Content Calendar'!$W$5:$W$604,BW549))</f>
        <v>0</v>
      </c>
      <c r="BY549" s="23">
        <f>IF(BW549="","",COUNTIFS('Content Calendar'!$W$5:$W$604,BW549,'Content Calendar'!$X$5:$X$604,"&lt;&gt;Published"))</f>
        <v>0</v>
      </c>
      <c r="BZ549" s="23">
        <f>IF(BW549="","",COUNTIFS(Tasks!$C$5:$C$64,BW549,Tasks!$G$5:$G$64,"&lt;&gt;Complete"))</f>
        <v>0</v>
      </c>
      <c r="CA549" s="17">
        <f>IF(Campaigns!$B$549="","",Campaigns!$B$549)</f>
        <v>0</v>
      </c>
      <c r="CB549" s="25">
        <f>IF(Campaigns!$T$549="","",Campaigns!$T$549)</f>
        <v>0</v>
      </c>
      <c r="CC549" s="25">
        <f>IF(Campaigns!$Q$549="","",Campaigns!$Q$549)</f>
        <v>0</v>
      </c>
      <c r="CD549" s="23">
        <f>IF(Campaigns!$Y$549="","",Campaigns!$Y$549)</f>
        <v>0</v>
      </c>
      <c r="CE549" s="32">
        <f>IF(CA549="","",IF(N(CB549)&lt;=0,"",N(CB549)+ROW()/1000000))</f>
        <v>0</v>
      </c>
      <c r="CF549" s="17">
        <f>IF(Accounts!$C$549="","",Accounts!$C$549)</f>
        <v>0</v>
      </c>
      <c r="CG549" s="17">
        <f>IF(Accounts!$B$549="","",Accounts!$B$549)</f>
        <v>0</v>
      </c>
      <c r="CH549" s="23">
        <f>IF(Accounts!$J$549="","",Accounts!$J$549)</f>
        <v>0</v>
      </c>
      <c r="CI549" s="23">
        <f>IF(CF549="","",SUMIFS(Analytics!$X$5:$X$154,Analytics!$E$5:$E$154,CF549,Analytics!$B$5:$B$154,"&gt;="&amp;DashStart,Analytics!$B$5:$B$154,"&lt;="&amp;DashEnd))</f>
        <v>0</v>
      </c>
      <c r="CJ549" s="32">
        <f>IF(CH549="","",IF(CH549=0,"",CH549+ROW()/1000000))</f>
        <v>0</v>
      </c>
    </row>
    <row r="550" spans="1:88">
      <c r="A550" s="16">
        <f>IF(ROW()-4&gt;12,"",DATE(PlanYear,ROW()-4,1))</f>
        <v>0</v>
      </c>
      <c r="B550" s="16">
        <f>IF(A550="","",EOMONTH(A550,0))</f>
        <v>0</v>
      </c>
      <c r="C550" s="17">
        <f>IF(A550="","",TEXT(A550,"yyyy-mm"))</f>
        <v>0</v>
      </c>
      <c r="D550" s="17">
        <f>IF(A550="","",TEXT(A550,"mmm"))</f>
        <v>0</v>
      </c>
      <c r="E550" s="23">
        <f>IF(C550="","",COUNTIFS('Content Calendar'!$D$5:$D$604,C550))</f>
        <v>0</v>
      </c>
      <c r="F550" s="23">
        <f>IF(C550="","",COUNTIFS('Content Calendar'!$D$5:$D$604,C550,'Content Calendar'!$X$5:$X$604,"Published"))</f>
        <v>0</v>
      </c>
      <c r="G550" s="23">
        <f>IF(C550="","",SUMIFS(Analytics!$J$5:$J$154,Analytics!$C$5:$C$154,C550))</f>
        <v>0</v>
      </c>
      <c r="H550" s="23">
        <f>IF(C550="","",SUMIFS(Analytics!$K$5:$K$154,Analytics!$C$5:$C$154,C550))</f>
        <v>0</v>
      </c>
      <c r="I550" s="23">
        <f>IF(C550="","",SUMIFS(Analytics!$L$5:$L$154,Analytics!$C$5:$C$154,C550))</f>
        <v>0</v>
      </c>
      <c r="J550" s="24">
        <f>IF(OR(G550="",G550=0),"",I550/G550)</f>
        <v>0</v>
      </c>
      <c r="K550" s="23">
        <f>IF(C550="","",SUMIFS(Analytics!$G$5:$G$154,Analytics!$C$5:$C$154,C550))</f>
        <v>0</v>
      </c>
      <c r="L550" s="23">
        <f>IF(C550="","",SUMIFS(Analytics!$X$5:$X$154,Analytics!$C$5:$C$154,C550))</f>
        <v>0</v>
      </c>
      <c r="M550" s="23">
        <f>IF(C550="","",SUMIFS(Analytics!$R$5:$R$154,Analytics!$C$5:$C$154,C550))</f>
        <v>0</v>
      </c>
      <c r="N550" s="23">
        <f>IF(C550="","",SUMIFS(Analytics!$S$5:$S$154,Analytics!$C$5:$C$154,C550))</f>
        <v>0</v>
      </c>
      <c r="O550" s="23">
        <f>IF(C550="","",SUMIFS(Analytics!$T$5:$T$154,Analytics!$C$5:$C$154,C550))</f>
        <v>0</v>
      </c>
      <c r="P550" s="25">
        <f>IF(C550="","",SUMIFS(Analytics!$U$5:$U$154,Analytics!$C$5:$C$154,C550))</f>
        <v>0</v>
      </c>
      <c r="Q550" s="25">
        <f>IF(C550="","",SUMIFS(Budget!$H$5:$H$64,Budget!$C$5:$C$64,C550))</f>
        <v>0</v>
      </c>
      <c r="R550" s="25">
        <f>IF(C550="","",P550-Q550)</f>
        <v>0</v>
      </c>
      <c r="S550" s="23">
        <f>IF(C550="","",MonthlyPostTarget)</f>
        <v>0</v>
      </c>
      <c r="T550" s="17">
        <f>IF(Lists!$C550="","",Lists!$C550)</f>
        <v>0</v>
      </c>
      <c r="U550" s="23">
        <f>IF(T550="","",COUNTIFS('Content Calendar'!$G$5:$G$604,T550,'Content Calendar'!$B$5:$B$604,"&gt;="&amp;DashStart,'Content Calendar'!$B$5:$B$604,"&lt;="&amp;DashEnd))</f>
        <v>0</v>
      </c>
      <c r="V550" s="23">
        <f>IF(T550="","",COUNTIFS('Content Calendar'!$G$5:$G$604,T550,'Content Calendar'!$X$5:$X$604,"Published",'Content Calendar'!$B$5:$B$604,"&gt;="&amp;DashStart,'Content Calendar'!$B$5:$B$604,"&lt;="&amp;DashEnd))</f>
        <v>0</v>
      </c>
      <c r="W550" s="23">
        <f>IF(T550="","",SUMIFS(Analytics!$J$5:$J$154,Analytics!$D$5:$D$154,T550,Analytics!$B$5:$B$154,"&gt;="&amp;DashStart,Analytics!$B$5:$B$154,"&lt;="&amp;DashEnd))</f>
        <v>0</v>
      </c>
      <c r="X550" s="23">
        <f>IF(T550="","",SUMIFS(Analytics!$L$5:$L$154,Analytics!$D$5:$D$154,T550,Analytics!$B$5:$B$154,"&gt;="&amp;DashStart,Analytics!$B$5:$B$154,"&lt;="&amp;DashEnd))</f>
        <v>0</v>
      </c>
      <c r="Y550" s="24">
        <f>IF(OR(W550="",W550=0),"",X550/W550)</f>
        <v>0</v>
      </c>
      <c r="Z550" s="23">
        <f>IF(T550="","",SUMIFS(Analytics!$G$5:$G$154,Analytics!$D$5:$D$154,T550,Analytics!$B$5:$B$154,"&gt;="&amp;DashStart,Analytics!$B$5:$B$154,"&lt;="&amp;DashEnd))</f>
        <v>0</v>
      </c>
      <c r="AA550" s="23">
        <f>IF(T550="","",SUMIFS(Analytics!$X$5:$X$154,Analytics!$D$5:$D$154,T550,Analytics!$B$5:$B$154,"&gt;="&amp;DashStart,Analytics!$B$5:$B$154,"&lt;="&amp;DashEnd))</f>
        <v>0</v>
      </c>
      <c r="AB550" s="23">
        <f>IF(T550="","",SUMIFS(Analytics!$R$5:$R$154,Analytics!$D$5:$D$154,T550,Analytics!$B$5:$B$154,"&gt;="&amp;DashStart,Analytics!$B$5:$B$154,"&lt;="&amp;DashEnd))</f>
        <v>0</v>
      </c>
      <c r="AC550" s="25">
        <f>IF(T550="","",SUMIFS(Analytics!$U$5:$U$154,Analytics!$D$5:$D$154,T550,Analytics!$B$5:$B$154,"&gt;="&amp;DashStart,Analytics!$B$5:$B$154,"&lt;="&amp;DashEnd))</f>
        <v>0</v>
      </c>
      <c r="AD550" s="23">
        <f>IF(T550="","",COUNTIFS('Content Calendar'!$G$5:$G$604,T550,'Content Calendar'!$B$5:$B$604,"&gt;="&amp;DATE(PlanYear,1,1),'Content Calendar'!$B$5:$B$604,"&lt;="&amp;DATE(PlanYear,12,31)))</f>
        <v>0</v>
      </c>
      <c r="AE550" s="23">
        <f>IF(T550="","",SUMIFS(Analytics!$J$5:$J$154,Analytics!$D$5:$D$154,T550))</f>
        <v>0</v>
      </c>
      <c r="AF550" s="23">
        <f>IF(T550="","",SUMIFS(Analytics!$L$5:$L$154,Analytics!$D$5:$D$154,T550))</f>
        <v>0</v>
      </c>
      <c r="AG550" s="24">
        <f>IF(OR(AE550="",AE550=0),"",AF550/AE550)</f>
        <v>0</v>
      </c>
      <c r="AH550" s="23">
        <f>IF(T550="","",SUMIFS(Analytics!$X$5:$X$154,Analytics!$D$5:$D$154,T550))</f>
        <v>0</v>
      </c>
      <c r="AI550" s="32">
        <f>IF(T550="","",IF(AE550=0,"",AE550+ROW()/1000000))</f>
        <v>0</v>
      </c>
      <c r="AJ550" s="17">
        <f>IF('Content Pillars'!$B$550="","",'Content Pillars'!$B$550)</f>
        <v>0</v>
      </c>
      <c r="AK550" s="23">
        <f>IF(AJ550="","",COUNTIFS('Content Calendar'!$J$5:$J$604,AJ550,'Content Calendar'!$B$5:$B$604,"&gt;="&amp;DATE(PlanYear,1,1),'Content Calendar'!$B$5:$B$604,"&lt;="&amp;DATE(PlanYear,12,31)))</f>
        <v>0</v>
      </c>
      <c r="AL550" s="23">
        <f>IF(AJ550="","",SUMIFS(Performance!$O$5:$O$404,Performance!$H$5:$H$404,AJ550))</f>
        <v>0</v>
      </c>
      <c r="AM550" s="23">
        <f>IF(AJ550="","",SUMIFS(Performance!$Z$5:$Z$404,Performance!$H$5:$H$404,AJ550))</f>
        <v>0</v>
      </c>
      <c r="AN550" s="24">
        <f>IF(OR(AL550="",AL550=0),"",AM550/AL550)</f>
        <v>0</v>
      </c>
      <c r="AO550" s="32">
        <f>IF(AN550="","",AN550+ROW()/1000000)</f>
        <v>0</v>
      </c>
      <c r="AP550" s="17">
        <f>IF(Lists!$E550="","",Lists!$E550)</f>
        <v>0</v>
      </c>
      <c r="AQ550" s="23">
        <f>IF(AP550="","",COUNTIF(Performance!$G$5:$G$404,AP550))</f>
        <v>0</v>
      </c>
      <c r="AR550" s="23">
        <f>IF(AP550="","",SUMIFS(Performance!$O$5:$O$404,Performance!$G$5:$G$404,AP550))</f>
        <v>0</v>
      </c>
      <c r="AS550" s="23">
        <f>IF(AP550="","",SUMIFS(Performance!$Z$5:$Z$404,Performance!$G$5:$G$404,AP550))</f>
        <v>0</v>
      </c>
      <c r="AT550" s="24">
        <f>IF(OR(AR550="",AR550=0),"",AS550/AR550)</f>
        <v>0</v>
      </c>
      <c r="AU550" s="32">
        <f>IF(AQ550=0,"",IF(AT550="","",AT550+ROW()/1000000))</f>
        <v>0</v>
      </c>
      <c r="AV550" s="17">
        <f>IF(ROW()-4&gt;7,"",TEXT(DATE(2024,1,ROW()-4),"ddd"))</f>
        <v>0</v>
      </c>
      <c r="AW550" s="23">
        <f>IF(AV550="","",COUNTIF(Performance!$N$5:$N$404,AV550))</f>
        <v>0</v>
      </c>
      <c r="AX550" s="23">
        <f>IF(AV550="","",SUMIFS(Performance!$O$5:$O$404,Performance!$N$5:$N$404,AV550))</f>
        <v>0</v>
      </c>
      <c r="AY550" s="23">
        <f>IF(AV550="","",SUMIFS(Performance!$Z$5:$Z$404,Performance!$N$5:$N$404,AV550))</f>
        <v>0</v>
      </c>
      <c r="AZ550" s="24">
        <f>IF(OR(AX550="",AX550=0),"",AY550/AX550)</f>
        <v>0</v>
      </c>
      <c r="BA550" s="32">
        <f>IF(AW550=0,"",IF(AZ550="","",AZ550+ROW()/1000000))</f>
        <v>0</v>
      </c>
      <c r="BB550" s="17">
        <f>IF(Lists!$AL550="","",Lists!$AL550)</f>
        <v>0</v>
      </c>
      <c r="BC550" s="23">
        <f>IF(BB550="","",COUNTIF(Performance!$M$5:$M$404,BB550))</f>
        <v>0</v>
      </c>
      <c r="BD550" s="23">
        <f>IF(BB550="","",SUMIFS(Performance!$O$5:$O$404,Performance!$M$5:$M$404,BB550))</f>
        <v>0</v>
      </c>
      <c r="BE550" s="23">
        <f>IF(BB550="","",SUMIFS(Performance!$Z$5:$Z$404,Performance!$M$5:$M$404,BB550))</f>
        <v>0</v>
      </c>
      <c r="BF550" s="24">
        <f>IF(OR(BD550="",BD550=0),"",BE550/BD550)</f>
        <v>0</v>
      </c>
      <c r="BG550" s="32">
        <f>IF(BC550=0,"",IF(BF550="","",BF550+ROW()/1000000))</f>
        <v>0</v>
      </c>
      <c r="BH550" s="17">
        <f>IF(Performance!$C$550="","",Performance!$C$550)</f>
        <v>0</v>
      </c>
      <c r="BI550" s="17">
        <f>IF(Performance!$F$550="","",Performance!$F$550)</f>
        <v>0</v>
      </c>
      <c r="BJ550" s="17">
        <f>IF(Performance!$H$550="","",Performance!$H$550)</f>
        <v>0</v>
      </c>
      <c r="BK550" s="16">
        <f>IF(Performance!$D$550="","",Performance!$D$550)</f>
        <v>0</v>
      </c>
      <c r="BL550" s="17">
        <f>IF(Performance!$E$550="","",Performance!$E$550)</f>
        <v>0</v>
      </c>
      <c r="BM550" s="23">
        <f>IF(Performance!$O$550="","",Performance!$O$550)</f>
        <v>0</v>
      </c>
      <c r="BN550" s="24">
        <f>IF(Performance!$AA$550="","",Performance!$AA$550)</f>
        <v>0</v>
      </c>
      <c r="BO550" s="32">
        <f>IF(BH550="","",IF(BK550="","",IF(OR(BK550&lt;DashStart,BK550&gt;DashEnd),"",IF(BN550="","",BN550+ROW()/1000000))))</f>
        <v>0</v>
      </c>
      <c r="BP550" s="32">
        <f>IF(BM550="","",IF(BK550="","",IF(OR(BK550&lt;DashStart,BK550&gt;DashEnd),"",BM550+ROW()/1000000)))</f>
        <v>0</v>
      </c>
      <c r="BQ550" s="32">
        <f>IF(BH550="","",IF(BK550="","",IF(YEAR(BK550)&lt;&gt;PlanYear,"",IF(BN550="","",BN550+ROW()/1000000))))</f>
        <v>0</v>
      </c>
      <c r="BR550" s="32">
        <f>IF(BH550="","",IF(BK550="","",IF(OR(BK550&lt;RepFrom,BK550&gt;RepTo),"",IF(BN550="","",BN550+ROW()/1000000))))</f>
        <v>0</v>
      </c>
      <c r="BS550" s="32">
        <f>IF(BM550="","",IF(BK550="","",IF(YEAR(BK550)&lt;&gt;PlanYear,"",BM550+ROW()/1000000)))</f>
        <v>0</v>
      </c>
      <c r="BT550" s="17">
        <f>IF(Lists!$F550="","",Lists!$F550)</f>
        <v>0</v>
      </c>
      <c r="BU550" s="23">
        <f>IF(BT550="","",COUNTIF('Content Calendar'!$X$5:$X$604,BT550))</f>
        <v>0</v>
      </c>
      <c r="BV550" s="23">
        <f>IF(BT550="","",COUNTIFS('Content Calendar'!$X$5:$X$604,BT550,'Content Calendar'!$B$5:$B$604,"&gt;="&amp;DashStart,'Content Calendar'!$B$5:$B$604,"&lt;="&amp;DashEnd))</f>
        <v>0</v>
      </c>
      <c r="BW550" s="17">
        <f>IF(Team!$B$550="","",Team!$B$550)</f>
        <v>0</v>
      </c>
      <c r="BX550" s="23">
        <f>IF(BW550="","",COUNTIF('Content Calendar'!$W$5:$W$604,BW550))</f>
        <v>0</v>
      </c>
      <c r="BY550" s="23">
        <f>IF(BW550="","",COUNTIFS('Content Calendar'!$W$5:$W$604,BW550,'Content Calendar'!$X$5:$X$604,"&lt;&gt;Published"))</f>
        <v>0</v>
      </c>
      <c r="BZ550" s="23">
        <f>IF(BW550="","",COUNTIFS(Tasks!$C$5:$C$64,BW550,Tasks!$G$5:$G$64,"&lt;&gt;Complete"))</f>
        <v>0</v>
      </c>
      <c r="CA550" s="17">
        <f>IF(Campaigns!$B$550="","",Campaigns!$B$550)</f>
        <v>0</v>
      </c>
      <c r="CB550" s="25">
        <f>IF(Campaigns!$T$550="","",Campaigns!$T$550)</f>
        <v>0</v>
      </c>
      <c r="CC550" s="25">
        <f>IF(Campaigns!$Q$550="","",Campaigns!$Q$550)</f>
        <v>0</v>
      </c>
      <c r="CD550" s="23">
        <f>IF(Campaigns!$Y$550="","",Campaigns!$Y$550)</f>
        <v>0</v>
      </c>
      <c r="CE550" s="32">
        <f>IF(CA550="","",IF(N(CB550)&lt;=0,"",N(CB550)+ROW()/1000000))</f>
        <v>0</v>
      </c>
      <c r="CF550" s="17">
        <f>IF(Accounts!$C$550="","",Accounts!$C$550)</f>
        <v>0</v>
      </c>
      <c r="CG550" s="17">
        <f>IF(Accounts!$B$550="","",Accounts!$B$550)</f>
        <v>0</v>
      </c>
      <c r="CH550" s="23">
        <f>IF(Accounts!$J$550="","",Accounts!$J$550)</f>
        <v>0</v>
      </c>
      <c r="CI550" s="23">
        <f>IF(CF550="","",SUMIFS(Analytics!$X$5:$X$154,Analytics!$E$5:$E$154,CF550,Analytics!$B$5:$B$154,"&gt;="&amp;DashStart,Analytics!$B$5:$B$154,"&lt;="&amp;DashEnd))</f>
        <v>0</v>
      </c>
      <c r="CJ550" s="32">
        <f>IF(CH550="","",IF(CH550=0,"",CH550+ROW()/1000000))</f>
        <v>0</v>
      </c>
    </row>
    <row r="551" spans="1:88">
      <c r="A551" s="16">
        <f>IF(ROW()-4&gt;12,"",DATE(PlanYear,ROW()-4,1))</f>
        <v>0</v>
      </c>
      <c r="B551" s="16">
        <f>IF(A551="","",EOMONTH(A551,0))</f>
        <v>0</v>
      </c>
      <c r="C551" s="17">
        <f>IF(A551="","",TEXT(A551,"yyyy-mm"))</f>
        <v>0</v>
      </c>
      <c r="D551" s="17">
        <f>IF(A551="","",TEXT(A551,"mmm"))</f>
        <v>0</v>
      </c>
      <c r="E551" s="23">
        <f>IF(C551="","",COUNTIFS('Content Calendar'!$D$5:$D$604,C551))</f>
        <v>0</v>
      </c>
      <c r="F551" s="23">
        <f>IF(C551="","",COUNTIFS('Content Calendar'!$D$5:$D$604,C551,'Content Calendar'!$X$5:$X$604,"Published"))</f>
        <v>0</v>
      </c>
      <c r="G551" s="23">
        <f>IF(C551="","",SUMIFS(Analytics!$J$5:$J$154,Analytics!$C$5:$C$154,C551))</f>
        <v>0</v>
      </c>
      <c r="H551" s="23">
        <f>IF(C551="","",SUMIFS(Analytics!$K$5:$K$154,Analytics!$C$5:$C$154,C551))</f>
        <v>0</v>
      </c>
      <c r="I551" s="23">
        <f>IF(C551="","",SUMIFS(Analytics!$L$5:$L$154,Analytics!$C$5:$C$154,C551))</f>
        <v>0</v>
      </c>
      <c r="J551" s="24">
        <f>IF(OR(G551="",G551=0),"",I551/G551)</f>
        <v>0</v>
      </c>
      <c r="K551" s="23">
        <f>IF(C551="","",SUMIFS(Analytics!$G$5:$G$154,Analytics!$C$5:$C$154,C551))</f>
        <v>0</v>
      </c>
      <c r="L551" s="23">
        <f>IF(C551="","",SUMIFS(Analytics!$X$5:$X$154,Analytics!$C$5:$C$154,C551))</f>
        <v>0</v>
      </c>
      <c r="M551" s="23">
        <f>IF(C551="","",SUMIFS(Analytics!$R$5:$R$154,Analytics!$C$5:$C$154,C551))</f>
        <v>0</v>
      </c>
      <c r="N551" s="23">
        <f>IF(C551="","",SUMIFS(Analytics!$S$5:$S$154,Analytics!$C$5:$C$154,C551))</f>
        <v>0</v>
      </c>
      <c r="O551" s="23">
        <f>IF(C551="","",SUMIFS(Analytics!$T$5:$T$154,Analytics!$C$5:$C$154,C551))</f>
        <v>0</v>
      </c>
      <c r="P551" s="25">
        <f>IF(C551="","",SUMIFS(Analytics!$U$5:$U$154,Analytics!$C$5:$C$154,C551))</f>
        <v>0</v>
      </c>
      <c r="Q551" s="25">
        <f>IF(C551="","",SUMIFS(Budget!$H$5:$H$64,Budget!$C$5:$C$64,C551))</f>
        <v>0</v>
      </c>
      <c r="R551" s="25">
        <f>IF(C551="","",P551-Q551)</f>
        <v>0</v>
      </c>
      <c r="S551" s="23">
        <f>IF(C551="","",MonthlyPostTarget)</f>
        <v>0</v>
      </c>
      <c r="T551" s="17">
        <f>IF(Lists!$C551="","",Lists!$C551)</f>
        <v>0</v>
      </c>
      <c r="U551" s="23">
        <f>IF(T551="","",COUNTIFS('Content Calendar'!$G$5:$G$604,T551,'Content Calendar'!$B$5:$B$604,"&gt;="&amp;DashStart,'Content Calendar'!$B$5:$B$604,"&lt;="&amp;DashEnd))</f>
        <v>0</v>
      </c>
      <c r="V551" s="23">
        <f>IF(T551="","",COUNTIFS('Content Calendar'!$G$5:$G$604,T551,'Content Calendar'!$X$5:$X$604,"Published",'Content Calendar'!$B$5:$B$604,"&gt;="&amp;DashStart,'Content Calendar'!$B$5:$B$604,"&lt;="&amp;DashEnd))</f>
        <v>0</v>
      </c>
      <c r="W551" s="23">
        <f>IF(T551="","",SUMIFS(Analytics!$J$5:$J$154,Analytics!$D$5:$D$154,T551,Analytics!$B$5:$B$154,"&gt;="&amp;DashStart,Analytics!$B$5:$B$154,"&lt;="&amp;DashEnd))</f>
        <v>0</v>
      </c>
      <c r="X551" s="23">
        <f>IF(T551="","",SUMIFS(Analytics!$L$5:$L$154,Analytics!$D$5:$D$154,T551,Analytics!$B$5:$B$154,"&gt;="&amp;DashStart,Analytics!$B$5:$B$154,"&lt;="&amp;DashEnd))</f>
        <v>0</v>
      </c>
      <c r="Y551" s="24">
        <f>IF(OR(W551="",W551=0),"",X551/W551)</f>
        <v>0</v>
      </c>
      <c r="Z551" s="23">
        <f>IF(T551="","",SUMIFS(Analytics!$G$5:$G$154,Analytics!$D$5:$D$154,T551,Analytics!$B$5:$B$154,"&gt;="&amp;DashStart,Analytics!$B$5:$B$154,"&lt;="&amp;DashEnd))</f>
        <v>0</v>
      </c>
      <c r="AA551" s="23">
        <f>IF(T551="","",SUMIFS(Analytics!$X$5:$X$154,Analytics!$D$5:$D$154,T551,Analytics!$B$5:$B$154,"&gt;="&amp;DashStart,Analytics!$B$5:$B$154,"&lt;="&amp;DashEnd))</f>
        <v>0</v>
      </c>
      <c r="AB551" s="23">
        <f>IF(T551="","",SUMIFS(Analytics!$R$5:$R$154,Analytics!$D$5:$D$154,T551,Analytics!$B$5:$B$154,"&gt;="&amp;DashStart,Analytics!$B$5:$B$154,"&lt;="&amp;DashEnd))</f>
        <v>0</v>
      </c>
      <c r="AC551" s="25">
        <f>IF(T551="","",SUMIFS(Analytics!$U$5:$U$154,Analytics!$D$5:$D$154,T551,Analytics!$B$5:$B$154,"&gt;="&amp;DashStart,Analytics!$B$5:$B$154,"&lt;="&amp;DashEnd))</f>
        <v>0</v>
      </c>
      <c r="AD551" s="23">
        <f>IF(T551="","",COUNTIFS('Content Calendar'!$G$5:$G$604,T551,'Content Calendar'!$B$5:$B$604,"&gt;="&amp;DATE(PlanYear,1,1),'Content Calendar'!$B$5:$B$604,"&lt;="&amp;DATE(PlanYear,12,31)))</f>
        <v>0</v>
      </c>
      <c r="AE551" s="23">
        <f>IF(T551="","",SUMIFS(Analytics!$J$5:$J$154,Analytics!$D$5:$D$154,T551))</f>
        <v>0</v>
      </c>
      <c r="AF551" s="23">
        <f>IF(T551="","",SUMIFS(Analytics!$L$5:$L$154,Analytics!$D$5:$D$154,T551))</f>
        <v>0</v>
      </c>
      <c r="AG551" s="24">
        <f>IF(OR(AE551="",AE551=0),"",AF551/AE551)</f>
        <v>0</v>
      </c>
      <c r="AH551" s="23">
        <f>IF(T551="","",SUMIFS(Analytics!$X$5:$X$154,Analytics!$D$5:$D$154,T551))</f>
        <v>0</v>
      </c>
      <c r="AI551" s="32">
        <f>IF(T551="","",IF(AE551=0,"",AE551+ROW()/1000000))</f>
        <v>0</v>
      </c>
      <c r="AJ551" s="17">
        <f>IF('Content Pillars'!$B$551="","",'Content Pillars'!$B$551)</f>
        <v>0</v>
      </c>
      <c r="AK551" s="23">
        <f>IF(AJ551="","",COUNTIFS('Content Calendar'!$J$5:$J$604,AJ551,'Content Calendar'!$B$5:$B$604,"&gt;="&amp;DATE(PlanYear,1,1),'Content Calendar'!$B$5:$B$604,"&lt;="&amp;DATE(PlanYear,12,31)))</f>
        <v>0</v>
      </c>
      <c r="AL551" s="23">
        <f>IF(AJ551="","",SUMIFS(Performance!$O$5:$O$404,Performance!$H$5:$H$404,AJ551))</f>
        <v>0</v>
      </c>
      <c r="AM551" s="23">
        <f>IF(AJ551="","",SUMIFS(Performance!$Z$5:$Z$404,Performance!$H$5:$H$404,AJ551))</f>
        <v>0</v>
      </c>
      <c r="AN551" s="24">
        <f>IF(OR(AL551="",AL551=0),"",AM551/AL551)</f>
        <v>0</v>
      </c>
      <c r="AO551" s="32">
        <f>IF(AN551="","",AN551+ROW()/1000000)</f>
        <v>0</v>
      </c>
      <c r="AP551" s="17">
        <f>IF(Lists!$E551="","",Lists!$E551)</f>
        <v>0</v>
      </c>
      <c r="AQ551" s="23">
        <f>IF(AP551="","",COUNTIF(Performance!$G$5:$G$404,AP551))</f>
        <v>0</v>
      </c>
      <c r="AR551" s="23">
        <f>IF(AP551="","",SUMIFS(Performance!$O$5:$O$404,Performance!$G$5:$G$404,AP551))</f>
        <v>0</v>
      </c>
      <c r="AS551" s="23">
        <f>IF(AP551="","",SUMIFS(Performance!$Z$5:$Z$404,Performance!$G$5:$G$404,AP551))</f>
        <v>0</v>
      </c>
      <c r="AT551" s="24">
        <f>IF(OR(AR551="",AR551=0),"",AS551/AR551)</f>
        <v>0</v>
      </c>
      <c r="AU551" s="32">
        <f>IF(AQ551=0,"",IF(AT551="","",AT551+ROW()/1000000))</f>
        <v>0</v>
      </c>
      <c r="AV551" s="17">
        <f>IF(ROW()-4&gt;7,"",TEXT(DATE(2024,1,ROW()-4),"ddd"))</f>
        <v>0</v>
      </c>
      <c r="AW551" s="23">
        <f>IF(AV551="","",COUNTIF(Performance!$N$5:$N$404,AV551))</f>
        <v>0</v>
      </c>
      <c r="AX551" s="23">
        <f>IF(AV551="","",SUMIFS(Performance!$O$5:$O$404,Performance!$N$5:$N$404,AV551))</f>
        <v>0</v>
      </c>
      <c r="AY551" s="23">
        <f>IF(AV551="","",SUMIFS(Performance!$Z$5:$Z$404,Performance!$N$5:$N$404,AV551))</f>
        <v>0</v>
      </c>
      <c r="AZ551" s="24">
        <f>IF(OR(AX551="",AX551=0),"",AY551/AX551)</f>
        <v>0</v>
      </c>
      <c r="BA551" s="32">
        <f>IF(AW551=0,"",IF(AZ551="","",AZ551+ROW()/1000000))</f>
        <v>0</v>
      </c>
      <c r="BB551" s="17">
        <f>IF(Lists!$AL551="","",Lists!$AL551)</f>
        <v>0</v>
      </c>
      <c r="BC551" s="23">
        <f>IF(BB551="","",COUNTIF(Performance!$M$5:$M$404,BB551))</f>
        <v>0</v>
      </c>
      <c r="BD551" s="23">
        <f>IF(BB551="","",SUMIFS(Performance!$O$5:$O$404,Performance!$M$5:$M$404,BB551))</f>
        <v>0</v>
      </c>
      <c r="BE551" s="23">
        <f>IF(BB551="","",SUMIFS(Performance!$Z$5:$Z$404,Performance!$M$5:$M$404,BB551))</f>
        <v>0</v>
      </c>
      <c r="BF551" s="24">
        <f>IF(OR(BD551="",BD551=0),"",BE551/BD551)</f>
        <v>0</v>
      </c>
      <c r="BG551" s="32">
        <f>IF(BC551=0,"",IF(BF551="","",BF551+ROW()/1000000))</f>
        <v>0</v>
      </c>
      <c r="BH551" s="17">
        <f>IF(Performance!$C$551="","",Performance!$C$551)</f>
        <v>0</v>
      </c>
      <c r="BI551" s="17">
        <f>IF(Performance!$F$551="","",Performance!$F$551)</f>
        <v>0</v>
      </c>
      <c r="BJ551" s="17">
        <f>IF(Performance!$H$551="","",Performance!$H$551)</f>
        <v>0</v>
      </c>
      <c r="BK551" s="16">
        <f>IF(Performance!$D$551="","",Performance!$D$551)</f>
        <v>0</v>
      </c>
      <c r="BL551" s="17">
        <f>IF(Performance!$E$551="","",Performance!$E$551)</f>
        <v>0</v>
      </c>
      <c r="BM551" s="23">
        <f>IF(Performance!$O$551="","",Performance!$O$551)</f>
        <v>0</v>
      </c>
      <c r="BN551" s="24">
        <f>IF(Performance!$AA$551="","",Performance!$AA$551)</f>
        <v>0</v>
      </c>
      <c r="BO551" s="32">
        <f>IF(BH551="","",IF(BK551="","",IF(OR(BK551&lt;DashStart,BK551&gt;DashEnd),"",IF(BN551="","",BN551+ROW()/1000000))))</f>
        <v>0</v>
      </c>
      <c r="BP551" s="32">
        <f>IF(BM551="","",IF(BK551="","",IF(OR(BK551&lt;DashStart,BK551&gt;DashEnd),"",BM551+ROW()/1000000)))</f>
        <v>0</v>
      </c>
      <c r="BQ551" s="32">
        <f>IF(BH551="","",IF(BK551="","",IF(YEAR(BK551)&lt;&gt;PlanYear,"",IF(BN551="","",BN551+ROW()/1000000))))</f>
        <v>0</v>
      </c>
      <c r="BR551" s="32">
        <f>IF(BH551="","",IF(BK551="","",IF(OR(BK551&lt;RepFrom,BK551&gt;RepTo),"",IF(BN551="","",BN551+ROW()/1000000))))</f>
        <v>0</v>
      </c>
      <c r="BS551" s="32">
        <f>IF(BM551="","",IF(BK551="","",IF(YEAR(BK551)&lt;&gt;PlanYear,"",BM551+ROW()/1000000)))</f>
        <v>0</v>
      </c>
      <c r="BT551" s="17">
        <f>IF(Lists!$F551="","",Lists!$F551)</f>
        <v>0</v>
      </c>
      <c r="BU551" s="23">
        <f>IF(BT551="","",COUNTIF('Content Calendar'!$X$5:$X$604,BT551))</f>
        <v>0</v>
      </c>
      <c r="BV551" s="23">
        <f>IF(BT551="","",COUNTIFS('Content Calendar'!$X$5:$X$604,BT551,'Content Calendar'!$B$5:$B$604,"&gt;="&amp;DashStart,'Content Calendar'!$B$5:$B$604,"&lt;="&amp;DashEnd))</f>
        <v>0</v>
      </c>
      <c r="BW551" s="17">
        <f>IF(Team!$B$551="","",Team!$B$551)</f>
        <v>0</v>
      </c>
      <c r="BX551" s="23">
        <f>IF(BW551="","",COUNTIF('Content Calendar'!$W$5:$W$604,BW551))</f>
        <v>0</v>
      </c>
      <c r="BY551" s="23">
        <f>IF(BW551="","",COUNTIFS('Content Calendar'!$W$5:$W$604,BW551,'Content Calendar'!$X$5:$X$604,"&lt;&gt;Published"))</f>
        <v>0</v>
      </c>
      <c r="BZ551" s="23">
        <f>IF(BW551="","",COUNTIFS(Tasks!$C$5:$C$64,BW551,Tasks!$G$5:$G$64,"&lt;&gt;Complete"))</f>
        <v>0</v>
      </c>
      <c r="CA551" s="17">
        <f>IF(Campaigns!$B$551="","",Campaigns!$B$551)</f>
        <v>0</v>
      </c>
      <c r="CB551" s="25">
        <f>IF(Campaigns!$T$551="","",Campaigns!$T$551)</f>
        <v>0</v>
      </c>
      <c r="CC551" s="25">
        <f>IF(Campaigns!$Q$551="","",Campaigns!$Q$551)</f>
        <v>0</v>
      </c>
      <c r="CD551" s="23">
        <f>IF(Campaigns!$Y$551="","",Campaigns!$Y$551)</f>
        <v>0</v>
      </c>
      <c r="CE551" s="32">
        <f>IF(CA551="","",IF(N(CB551)&lt;=0,"",N(CB551)+ROW()/1000000))</f>
        <v>0</v>
      </c>
      <c r="CF551" s="17">
        <f>IF(Accounts!$C$551="","",Accounts!$C$551)</f>
        <v>0</v>
      </c>
      <c r="CG551" s="17">
        <f>IF(Accounts!$B$551="","",Accounts!$B$551)</f>
        <v>0</v>
      </c>
      <c r="CH551" s="23">
        <f>IF(Accounts!$J$551="","",Accounts!$J$551)</f>
        <v>0</v>
      </c>
      <c r="CI551" s="23">
        <f>IF(CF551="","",SUMIFS(Analytics!$X$5:$X$154,Analytics!$E$5:$E$154,CF551,Analytics!$B$5:$B$154,"&gt;="&amp;DashStart,Analytics!$B$5:$B$154,"&lt;="&amp;DashEnd))</f>
        <v>0</v>
      </c>
      <c r="CJ551" s="32">
        <f>IF(CH551="","",IF(CH551=0,"",CH551+ROW()/1000000))</f>
        <v>0</v>
      </c>
    </row>
    <row r="552" spans="1:88">
      <c r="A552" s="16">
        <f>IF(ROW()-4&gt;12,"",DATE(PlanYear,ROW()-4,1))</f>
        <v>0</v>
      </c>
      <c r="B552" s="16">
        <f>IF(A552="","",EOMONTH(A552,0))</f>
        <v>0</v>
      </c>
      <c r="C552" s="17">
        <f>IF(A552="","",TEXT(A552,"yyyy-mm"))</f>
        <v>0</v>
      </c>
      <c r="D552" s="17">
        <f>IF(A552="","",TEXT(A552,"mmm"))</f>
        <v>0</v>
      </c>
      <c r="E552" s="23">
        <f>IF(C552="","",COUNTIFS('Content Calendar'!$D$5:$D$604,C552))</f>
        <v>0</v>
      </c>
      <c r="F552" s="23">
        <f>IF(C552="","",COUNTIFS('Content Calendar'!$D$5:$D$604,C552,'Content Calendar'!$X$5:$X$604,"Published"))</f>
        <v>0</v>
      </c>
      <c r="G552" s="23">
        <f>IF(C552="","",SUMIFS(Analytics!$J$5:$J$154,Analytics!$C$5:$C$154,C552))</f>
        <v>0</v>
      </c>
      <c r="H552" s="23">
        <f>IF(C552="","",SUMIFS(Analytics!$K$5:$K$154,Analytics!$C$5:$C$154,C552))</f>
        <v>0</v>
      </c>
      <c r="I552" s="23">
        <f>IF(C552="","",SUMIFS(Analytics!$L$5:$L$154,Analytics!$C$5:$C$154,C552))</f>
        <v>0</v>
      </c>
      <c r="J552" s="24">
        <f>IF(OR(G552="",G552=0),"",I552/G552)</f>
        <v>0</v>
      </c>
      <c r="K552" s="23">
        <f>IF(C552="","",SUMIFS(Analytics!$G$5:$G$154,Analytics!$C$5:$C$154,C552))</f>
        <v>0</v>
      </c>
      <c r="L552" s="23">
        <f>IF(C552="","",SUMIFS(Analytics!$X$5:$X$154,Analytics!$C$5:$C$154,C552))</f>
        <v>0</v>
      </c>
      <c r="M552" s="23">
        <f>IF(C552="","",SUMIFS(Analytics!$R$5:$R$154,Analytics!$C$5:$C$154,C552))</f>
        <v>0</v>
      </c>
      <c r="N552" s="23">
        <f>IF(C552="","",SUMIFS(Analytics!$S$5:$S$154,Analytics!$C$5:$C$154,C552))</f>
        <v>0</v>
      </c>
      <c r="O552" s="23">
        <f>IF(C552="","",SUMIFS(Analytics!$T$5:$T$154,Analytics!$C$5:$C$154,C552))</f>
        <v>0</v>
      </c>
      <c r="P552" s="25">
        <f>IF(C552="","",SUMIFS(Analytics!$U$5:$U$154,Analytics!$C$5:$C$154,C552))</f>
        <v>0</v>
      </c>
      <c r="Q552" s="25">
        <f>IF(C552="","",SUMIFS(Budget!$H$5:$H$64,Budget!$C$5:$C$64,C552))</f>
        <v>0</v>
      </c>
      <c r="R552" s="25">
        <f>IF(C552="","",P552-Q552)</f>
        <v>0</v>
      </c>
      <c r="S552" s="23">
        <f>IF(C552="","",MonthlyPostTarget)</f>
        <v>0</v>
      </c>
      <c r="T552" s="17">
        <f>IF(Lists!$C552="","",Lists!$C552)</f>
        <v>0</v>
      </c>
      <c r="U552" s="23">
        <f>IF(T552="","",COUNTIFS('Content Calendar'!$G$5:$G$604,T552,'Content Calendar'!$B$5:$B$604,"&gt;="&amp;DashStart,'Content Calendar'!$B$5:$B$604,"&lt;="&amp;DashEnd))</f>
        <v>0</v>
      </c>
      <c r="V552" s="23">
        <f>IF(T552="","",COUNTIFS('Content Calendar'!$G$5:$G$604,T552,'Content Calendar'!$X$5:$X$604,"Published",'Content Calendar'!$B$5:$B$604,"&gt;="&amp;DashStart,'Content Calendar'!$B$5:$B$604,"&lt;="&amp;DashEnd))</f>
        <v>0</v>
      </c>
      <c r="W552" s="23">
        <f>IF(T552="","",SUMIFS(Analytics!$J$5:$J$154,Analytics!$D$5:$D$154,T552,Analytics!$B$5:$B$154,"&gt;="&amp;DashStart,Analytics!$B$5:$B$154,"&lt;="&amp;DashEnd))</f>
        <v>0</v>
      </c>
      <c r="X552" s="23">
        <f>IF(T552="","",SUMIFS(Analytics!$L$5:$L$154,Analytics!$D$5:$D$154,T552,Analytics!$B$5:$B$154,"&gt;="&amp;DashStart,Analytics!$B$5:$B$154,"&lt;="&amp;DashEnd))</f>
        <v>0</v>
      </c>
      <c r="Y552" s="24">
        <f>IF(OR(W552="",W552=0),"",X552/W552)</f>
        <v>0</v>
      </c>
      <c r="Z552" s="23">
        <f>IF(T552="","",SUMIFS(Analytics!$G$5:$G$154,Analytics!$D$5:$D$154,T552,Analytics!$B$5:$B$154,"&gt;="&amp;DashStart,Analytics!$B$5:$B$154,"&lt;="&amp;DashEnd))</f>
        <v>0</v>
      </c>
      <c r="AA552" s="23">
        <f>IF(T552="","",SUMIFS(Analytics!$X$5:$X$154,Analytics!$D$5:$D$154,T552,Analytics!$B$5:$B$154,"&gt;="&amp;DashStart,Analytics!$B$5:$B$154,"&lt;="&amp;DashEnd))</f>
        <v>0</v>
      </c>
      <c r="AB552" s="23">
        <f>IF(T552="","",SUMIFS(Analytics!$R$5:$R$154,Analytics!$D$5:$D$154,T552,Analytics!$B$5:$B$154,"&gt;="&amp;DashStart,Analytics!$B$5:$B$154,"&lt;="&amp;DashEnd))</f>
        <v>0</v>
      </c>
      <c r="AC552" s="25">
        <f>IF(T552="","",SUMIFS(Analytics!$U$5:$U$154,Analytics!$D$5:$D$154,T552,Analytics!$B$5:$B$154,"&gt;="&amp;DashStart,Analytics!$B$5:$B$154,"&lt;="&amp;DashEnd))</f>
        <v>0</v>
      </c>
      <c r="AD552" s="23">
        <f>IF(T552="","",COUNTIFS('Content Calendar'!$G$5:$G$604,T552,'Content Calendar'!$B$5:$B$604,"&gt;="&amp;DATE(PlanYear,1,1),'Content Calendar'!$B$5:$B$604,"&lt;="&amp;DATE(PlanYear,12,31)))</f>
        <v>0</v>
      </c>
      <c r="AE552" s="23">
        <f>IF(T552="","",SUMIFS(Analytics!$J$5:$J$154,Analytics!$D$5:$D$154,T552))</f>
        <v>0</v>
      </c>
      <c r="AF552" s="23">
        <f>IF(T552="","",SUMIFS(Analytics!$L$5:$L$154,Analytics!$D$5:$D$154,T552))</f>
        <v>0</v>
      </c>
      <c r="AG552" s="24">
        <f>IF(OR(AE552="",AE552=0),"",AF552/AE552)</f>
        <v>0</v>
      </c>
      <c r="AH552" s="23">
        <f>IF(T552="","",SUMIFS(Analytics!$X$5:$X$154,Analytics!$D$5:$D$154,T552))</f>
        <v>0</v>
      </c>
      <c r="AI552" s="32">
        <f>IF(T552="","",IF(AE552=0,"",AE552+ROW()/1000000))</f>
        <v>0</v>
      </c>
      <c r="AJ552" s="17">
        <f>IF('Content Pillars'!$B$552="","",'Content Pillars'!$B$552)</f>
        <v>0</v>
      </c>
      <c r="AK552" s="23">
        <f>IF(AJ552="","",COUNTIFS('Content Calendar'!$J$5:$J$604,AJ552,'Content Calendar'!$B$5:$B$604,"&gt;="&amp;DATE(PlanYear,1,1),'Content Calendar'!$B$5:$B$604,"&lt;="&amp;DATE(PlanYear,12,31)))</f>
        <v>0</v>
      </c>
      <c r="AL552" s="23">
        <f>IF(AJ552="","",SUMIFS(Performance!$O$5:$O$404,Performance!$H$5:$H$404,AJ552))</f>
        <v>0</v>
      </c>
      <c r="AM552" s="23">
        <f>IF(AJ552="","",SUMIFS(Performance!$Z$5:$Z$404,Performance!$H$5:$H$404,AJ552))</f>
        <v>0</v>
      </c>
      <c r="AN552" s="24">
        <f>IF(OR(AL552="",AL552=0),"",AM552/AL552)</f>
        <v>0</v>
      </c>
      <c r="AO552" s="32">
        <f>IF(AN552="","",AN552+ROW()/1000000)</f>
        <v>0</v>
      </c>
      <c r="AP552" s="17">
        <f>IF(Lists!$E552="","",Lists!$E552)</f>
        <v>0</v>
      </c>
      <c r="AQ552" s="23">
        <f>IF(AP552="","",COUNTIF(Performance!$G$5:$G$404,AP552))</f>
        <v>0</v>
      </c>
      <c r="AR552" s="23">
        <f>IF(AP552="","",SUMIFS(Performance!$O$5:$O$404,Performance!$G$5:$G$404,AP552))</f>
        <v>0</v>
      </c>
      <c r="AS552" s="23">
        <f>IF(AP552="","",SUMIFS(Performance!$Z$5:$Z$404,Performance!$G$5:$G$404,AP552))</f>
        <v>0</v>
      </c>
      <c r="AT552" s="24">
        <f>IF(OR(AR552="",AR552=0),"",AS552/AR552)</f>
        <v>0</v>
      </c>
      <c r="AU552" s="32">
        <f>IF(AQ552=0,"",IF(AT552="","",AT552+ROW()/1000000))</f>
        <v>0</v>
      </c>
      <c r="AV552" s="17">
        <f>IF(ROW()-4&gt;7,"",TEXT(DATE(2024,1,ROW()-4),"ddd"))</f>
        <v>0</v>
      </c>
      <c r="AW552" s="23">
        <f>IF(AV552="","",COUNTIF(Performance!$N$5:$N$404,AV552))</f>
        <v>0</v>
      </c>
      <c r="AX552" s="23">
        <f>IF(AV552="","",SUMIFS(Performance!$O$5:$O$404,Performance!$N$5:$N$404,AV552))</f>
        <v>0</v>
      </c>
      <c r="AY552" s="23">
        <f>IF(AV552="","",SUMIFS(Performance!$Z$5:$Z$404,Performance!$N$5:$N$404,AV552))</f>
        <v>0</v>
      </c>
      <c r="AZ552" s="24">
        <f>IF(OR(AX552="",AX552=0),"",AY552/AX552)</f>
        <v>0</v>
      </c>
      <c r="BA552" s="32">
        <f>IF(AW552=0,"",IF(AZ552="","",AZ552+ROW()/1000000))</f>
        <v>0</v>
      </c>
      <c r="BB552" s="17">
        <f>IF(Lists!$AL552="","",Lists!$AL552)</f>
        <v>0</v>
      </c>
      <c r="BC552" s="23">
        <f>IF(BB552="","",COUNTIF(Performance!$M$5:$M$404,BB552))</f>
        <v>0</v>
      </c>
      <c r="BD552" s="23">
        <f>IF(BB552="","",SUMIFS(Performance!$O$5:$O$404,Performance!$M$5:$M$404,BB552))</f>
        <v>0</v>
      </c>
      <c r="BE552" s="23">
        <f>IF(BB552="","",SUMIFS(Performance!$Z$5:$Z$404,Performance!$M$5:$M$404,BB552))</f>
        <v>0</v>
      </c>
      <c r="BF552" s="24">
        <f>IF(OR(BD552="",BD552=0),"",BE552/BD552)</f>
        <v>0</v>
      </c>
      <c r="BG552" s="32">
        <f>IF(BC552=0,"",IF(BF552="","",BF552+ROW()/1000000))</f>
        <v>0</v>
      </c>
      <c r="BH552" s="17">
        <f>IF(Performance!$C$552="","",Performance!$C$552)</f>
        <v>0</v>
      </c>
      <c r="BI552" s="17">
        <f>IF(Performance!$F$552="","",Performance!$F$552)</f>
        <v>0</v>
      </c>
      <c r="BJ552" s="17">
        <f>IF(Performance!$H$552="","",Performance!$H$552)</f>
        <v>0</v>
      </c>
      <c r="BK552" s="16">
        <f>IF(Performance!$D$552="","",Performance!$D$552)</f>
        <v>0</v>
      </c>
      <c r="BL552" s="17">
        <f>IF(Performance!$E$552="","",Performance!$E$552)</f>
        <v>0</v>
      </c>
      <c r="BM552" s="23">
        <f>IF(Performance!$O$552="","",Performance!$O$552)</f>
        <v>0</v>
      </c>
      <c r="BN552" s="24">
        <f>IF(Performance!$AA$552="","",Performance!$AA$552)</f>
        <v>0</v>
      </c>
      <c r="BO552" s="32">
        <f>IF(BH552="","",IF(BK552="","",IF(OR(BK552&lt;DashStart,BK552&gt;DashEnd),"",IF(BN552="","",BN552+ROW()/1000000))))</f>
        <v>0</v>
      </c>
      <c r="BP552" s="32">
        <f>IF(BM552="","",IF(BK552="","",IF(OR(BK552&lt;DashStart,BK552&gt;DashEnd),"",BM552+ROW()/1000000)))</f>
        <v>0</v>
      </c>
      <c r="BQ552" s="32">
        <f>IF(BH552="","",IF(BK552="","",IF(YEAR(BK552)&lt;&gt;PlanYear,"",IF(BN552="","",BN552+ROW()/1000000))))</f>
        <v>0</v>
      </c>
      <c r="BR552" s="32">
        <f>IF(BH552="","",IF(BK552="","",IF(OR(BK552&lt;RepFrom,BK552&gt;RepTo),"",IF(BN552="","",BN552+ROW()/1000000))))</f>
        <v>0</v>
      </c>
      <c r="BS552" s="32">
        <f>IF(BM552="","",IF(BK552="","",IF(YEAR(BK552)&lt;&gt;PlanYear,"",BM552+ROW()/1000000)))</f>
        <v>0</v>
      </c>
      <c r="BT552" s="17">
        <f>IF(Lists!$F552="","",Lists!$F552)</f>
        <v>0</v>
      </c>
      <c r="BU552" s="23">
        <f>IF(BT552="","",COUNTIF('Content Calendar'!$X$5:$X$604,BT552))</f>
        <v>0</v>
      </c>
      <c r="BV552" s="23">
        <f>IF(BT552="","",COUNTIFS('Content Calendar'!$X$5:$X$604,BT552,'Content Calendar'!$B$5:$B$604,"&gt;="&amp;DashStart,'Content Calendar'!$B$5:$B$604,"&lt;="&amp;DashEnd))</f>
        <v>0</v>
      </c>
      <c r="BW552" s="17">
        <f>IF(Team!$B$552="","",Team!$B$552)</f>
        <v>0</v>
      </c>
      <c r="BX552" s="23">
        <f>IF(BW552="","",COUNTIF('Content Calendar'!$W$5:$W$604,BW552))</f>
        <v>0</v>
      </c>
      <c r="BY552" s="23">
        <f>IF(BW552="","",COUNTIFS('Content Calendar'!$W$5:$W$604,BW552,'Content Calendar'!$X$5:$X$604,"&lt;&gt;Published"))</f>
        <v>0</v>
      </c>
      <c r="BZ552" s="23">
        <f>IF(BW552="","",COUNTIFS(Tasks!$C$5:$C$64,BW552,Tasks!$G$5:$G$64,"&lt;&gt;Complete"))</f>
        <v>0</v>
      </c>
      <c r="CA552" s="17">
        <f>IF(Campaigns!$B$552="","",Campaigns!$B$552)</f>
        <v>0</v>
      </c>
      <c r="CB552" s="25">
        <f>IF(Campaigns!$T$552="","",Campaigns!$T$552)</f>
        <v>0</v>
      </c>
      <c r="CC552" s="25">
        <f>IF(Campaigns!$Q$552="","",Campaigns!$Q$552)</f>
        <v>0</v>
      </c>
      <c r="CD552" s="23">
        <f>IF(Campaigns!$Y$552="","",Campaigns!$Y$552)</f>
        <v>0</v>
      </c>
      <c r="CE552" s="32">
        <f>IF(CA552="","",IF(N(CB552)&lt;=0,"",N(CB552)+ROW()/1000000))</f>
        <v>0</v>
      </c>
      <c r="CF552" s="17">
        <f>IF(Accounts!$C$552="","",Accounts!$C$552)</f>
        <v>0</v>
      </c>
      <c r="CG552" s="17">
        <f>IF(Accounts!$B$552="","",Accounts!$B$552)</f>
        <v>0</v>
      </c>
      <c r="CH552" s="23">
        <f>IF(Accounts!$J$552="","",Accounts!$J$552)</f>
        <v>0</v>
      </c>
      <c r="CI552" s="23">
        <f>IF(CF552="","",SUMIFS(Analytics!$X$5:$X$154,Analytics!$E$5:$E$154,CF552,Analytics!$B$5:$B$154,"&gt;="&amp;DashStart,Analytics!$B$5:$B$154,"&lt;="&amp;DashEnd))</f>
        <v>0</v>
      </c>
      <c r="CJ552" s="32">
        <f>IF(CH552="","",IF(CH552=0,"",CH552+ROW()/1000000))</f>
        <v>0</v>
      </c>
    </row>
    <row r="553" spans="1:88">
      <c r="A553" s="16">
        <f>IF(ROW()-4&gt;12,"",DATE(PlanYear,ROW()-4,1))</f>
        <v>0</v>
      </c>
      <c r="B553" s="16">
        <f>IF(A553="","",EOMONTH(A553,0))</f>
        <v>0</v>
      </c>
      <c r="C553" s="17">
        <f>IF(A553="","",TEXT(A553,"yyyy-mm"))</f>
        <v>0</v>
      </c>
      <c r="D553" s="17">
        <f>IF(A553="","",TEXT(A553,"mmm"))</f>
        <v>0</v>
      </c>
      <c r="E553" s="23">
        <f>IF(C553="","",COUNTIFS('Content Calendar'!$D$5:$D$604,C553))</f>
        <v>0</v>
      </c>
      <c r="F553" s="23">
        <f>IF(C553="","",COUNTIFS('Content Calendar'!$D$5:$D$604,C553,'Content Calendar'!$X$5:$X$604,"Published"))</f>
        <v>0</v>
      </c>
      <c r="G553" s="23">
        <f>IF(C553="","",SUMIFS(Analytics!$J$5:$J$154,Analytics!$C$5:$C$154,C553))</f>
        <v>0</v>
      </c>
      <c r="H553" s="23">
        <f>IF(C553="","",SUMIFS(Analytics!$K$5:$K$154,Analytics!$C$5:$C$154,C553))</f>
        <v>0</v>
      </c>
      <c r="I553" s="23">
        <f>IF(C553="","",SUMIFS(Analytics!$L$5:$L$154,Analytics!$C$5:$C$154,C553))</f>
        <v>0</v>
      </c>
      <c r="J553" s="24">
        <f>IF(OR(G553="",G553=0),"",I553/G553)</f>
        <v>0</v>
      </c>
      <c r="K553" s="23">
        <f>IF(C553="","",SUMIFS(Analytics!$G$5:$G$154,Analytics!$C$5:$C$154,C553))</f>
        <v>0</v>
      </c>
      <c r="L553" s="23">
        <f>IF(C553="","",SUMIFS(Analytics!$X$5:$X$154,Analytics!$C$5:$C$154,C553))</f>
        <v>0</v>
      </c>
      <c r="M553" s="23">
        <f>IF(C553="","",SUMIFS(Analytics!$R$5:$R$154,Analytics!$C$5:$C$154,C553))</f>
        <v>0</v>
      </c>
      <c r="N553" s="23">
        <f>IF(C553="","",SUMIFS(Analytics!$S$5:$S$154,Analytics!$C$5:$C$154,C553))</f>
        <v>0</v>
      </c>
      <c r="O553" s="23">
        <f>IF(C553="","",SUMIFS(Analytics!$T$5:$T$154,Analytics!$C$5:$C$154,C553))</f>
        <v>0</v>
      </c>
      <c r="P553" s="25">
        <f>IF(C553="","",SUMIFS(Analytics!$U$5:$U$154,Analytics!$C$5:$C$154,C553))</f>
        <v>0</v>
      </c>
      <c r="Q553" s="25">
        <f>IF(C553="","",SUMIFS(Budget!$H$5:$H$64,Budget!$C$5:$C$64,C553))</f>
        <v>0</v>
      </c>
      <c r="R553" s="25">
        <f>IF(C553="","",P553-Q553)</f>
        <v>0</v>
      </c>
      <c r="S553" s="23">
        <f>IF(C553="","",MonthlyPostTarget)</f>
        <v>0</v>
      </c>
      <c r="T553" s="17">
        <f>IF(Lists!$C553="","",Lists!$C553)</f>
        <v>0</v>
      </c>
      <c r="U553" s="23">
        <f>IF(T553="","",COUNTIFS('Content Calendar'!$G$5:$G$604,T553,'Content Calendar'!$B$5:$B$604,"&gt;="&amp;DashStart,'Content Calendar'!$B$5:$B$604,"&lt;="&amp;DashEnd))</f>
        <v>0</v>
      </c>
      <c r="V553" s="23">
        <f>IF(T553="","",COUNTIFS('Content Calendar'!$G$5:$G$604,T553,'Content Calendar'!$X$5:$X$604,"Published",'Content Calendar'!$B$5:$B$604,"&gt;="&amp;DashStart,'Content Calendar'!$B$5:$B$604,"&lt;="&amp;DashEnd))</f>
        <v>0</v>
      </c>
      <c r="W553" s="23">
        <f>IF(T553="","",SUMIFS(Analytics!$J$5:$J$154,Analytics!$D$5:$D$154,T553,Analytics!$B$5:$B$154,"&gt;="&amp;DashStart,Analytics!$B$5:$B$154,"&lt;="&amp;DashEnd))</f>
        <v>0</v>
      </c>
      <c r="X553" s="23">
        <f>IF(T553="","",SUMIFS(Analytics!$L$5:$L$154,Analytics!$D$5:$D$154,T553,Analytics!$B$5:$B$154,"&gt;="&amp;DashStart,Analytics!$B$5:$B$154,"&lt;="&amp;DashEnd))</f>
        <v>0</v>
      </c>
      <c r="Y553" s="24">
        <f>IF(OR(W553="",W553=0),"",X553/W553)</f>
        <v>0</v>
      </c>
      <c r="Z553" s="23">
        <f>IF(T553="","",SUMIFS(Analytics!$G$5:$G$154,Analytics!$D$5:$D$154,T553,Analytics!$B$5:$B$154,"&gt;="&amp;DashStart,Analytics!$B$5:$B$154,"&lt;="&amp;DashEnd))</f>
        <v>0</v>
      </c>
      <c r="AA553" s="23">
        <f>IF(T553="","",SUMIFS(Analytics!$X$5:$X$154,Analytics!$D$5:$D$154,T553,Analytics!$B$5:$B$154,"&gt;="&amp;DashStart,Analytics!$B$5:$B$154,"&lt;="&amp;DashEnd))</f>
        <v>0</v>
      </c>
      <c r="AB553" s="23">
        <f>IF(T553="","",SUMIFS(Analytics!$R$5:$R$154,Analytics!$D$5:$D$154,T553,Analytics!$B$5:$B$154,"&gt;="&amp;DashStart,Analytics!$B$5:$B$154,"&lt;="&amp;DashEnd))</f>
        <v>0</v>
      </c>
      <c r="AC553" s="25">
        <f>IF(T553="","",SUMIFS(Analytics!$U$5:$U$154,Analytics!$D$5:$D$154,T553,Analytics!$B$5:$B$154,"&gt;="&amp;DashStart,Analytics!$B$5:$B$154,"&lt;="&amp;DashEnd))</f>
        <v>0</v>
      </c>
      <c r="AD553" s="23">
        <f>IF(T553="","",COUNTIFS('Content Calendar'!$G$5:$G$604,T553,'Content Calendar'!$B$5:$B$604,"&gt;="&amp;DATE(PlanYear,1,1),'Content Calendar'!$B$5:$B$604,"&lt;="&amp;DATE(PlanYear,12,31)))</f>
        <v>0</v>
      </c>
      <c r="AE553" s="23">
        <f>IF(T553="","",SUMIFS(Analytics!$J$5:$J$154,Analytics!$D$5:$D$154,T553))</f>
        <v>0</v>
      </c>
      <c r="AF553" s="23">
        <f>IF(T553="","",SUMIFS(Analytics!$L$5:$L$154,Analytics!$D$5:$D$154,T553))</f>
        <v>0</v>
      </c>
      <c r="AG553" s="24">
        <f>IF(OR(AE553="",AE553=0),"",AF553/AE553)</f>
        <v>0</v>
      </c>
      <c r="AH553" s="23">
        <f>IF(T553="","",SUMIFS(Analytics!$X$5:$X$154,Analytics!$D$5:$D$154,T553))</f>
        <v>0</v>
      </c>
      <c r="AI553" s="32">
        <f>IF(T553="","",IF(AE553=0,"",AE553+ROW()/1000000))</f>
        <v>0</v>
      </c>
      <c r="AJ553" s="17">
        <f>IF('Content Pillars'!$B$553="","",'Content Pillars'!$B$553)</f>
        <v>0</v>
      </c>
      <c r="AK553" s="23">
        <f>IF(AJ553="","",COUNTIFS('Content Calendar'!$J$5:$J$604,AJ553,'Content Calendar'!$B$5:$B$604,"&gt;="&amp;DATE(PlanYear,1,1),'Content Calendar'!$B$5:$B$604,"&lt;="&amp;DATE(PlanYear,12,31)))</f>
        <v>0</v>
      </c>
      <c r="AL553" s="23">
        <f>IF(AJ553="","",SUMIFS(Performance!$O$5:$O$404,Performance!$H$5:$H$404,AJ553))</f>
        <v>0</v>
      </c>
      <c r="AM553" s="23">
        <f>IF(AJ553="","",SUMIFS(Performance!$Z$5:$Z$404,Performance!$H$5:$H$404,AJ553))</f>
        <v>0</v>
      </c>
      <c r="AN553" s="24">
        <f>IF(OR(AL553="",AL553=0),"",AM553/AL553)</f>
        <v>0</v>
      </c>
      <c r="AO553" s="32">
        <f>IF(AN553="","",AN553+ROW()/1000000)</f>
        <v>0</v>
      </c>
      <c r="AP553" s="17">
        <f>IF(Lists!$E553="","",Lists!$E553)</f>
        <v>0</v>
      </c>
      <c r="AQ553" s="23">
        <f>IF(AP553="","",COUNTIF(Performance!$G$5:$G$404,AP553))</f>
        <v>0</v>
      </c>
      <c r="AR553" s="23">
        <f>IF(AP553="","",SUMIFS(Performance!$O$5:$O$404,Performance!$G$5:$G$404,AP553))</f>
        <v>0</v>
      </c>
      <c r="AS553" s="23">
        <f>IF(AP553="","",SUMIFS(Performance!$Z$5:$Z$404,Performance!$G$5:$G$404,AP553))</f>
        <v>0</v>
      </c>
      <c r="AT553" s="24">
        <f>IF(OR(AR553="",AR553=0),"",AS553/AR553)</f>
        <v>0</v>
      </c>
      <c r="AU553" s="32">
        <f>IF(AQ553=0,"",IF(AT553="","",AT553+ROW()/1000000))</f>
        <v>0</v>
      </c>
      <c r="AV553" s="17">
        <f>IF(ROW()-4&gt;7,"",TEXT(DATE(2024,1,ROW()-4),"ddd"))</f>
        <v>0</v>
      </c>
      <c r="AW553" s="23">
        <f>IF(AV553="","",COUNTIF(Performance!$N$5:$N$404,AV553))</f>
        <v>0</v>
      </c>
      <c r="AX553" s="23">
        <f>IF(AV553="","",SUMIFS(Performance!$O$5:$O$404,Performance!$N$5:$N$404,AV553))</f>
        <v>0</v>
      </c>
      <c r="AY553" s="23">
        <f>IF(AV553="","",SUMIFS(Performance!$Z$5:$Z$404,Performance!$N$5:$N$404,AV553))</f>
        <v>0</v>
      </c>
      <c r="AZ553" s="24">
        <f>IF(OR(AX553="",AX553=0),"",AY553/AX553)</f>
        <v>0</v>
      </c>
      <c r="BA553" s="32">
        <f>IF(AW553=0,"",IF(AZ553="","",AZ553+ROW()/1000000))</f>
        <v>0</v>
      </c>
      <c r="BB553" s="17">
        <f>IF(Lists!$AL553="","",Lists!$AL553)</f>
        <v>0</v>
      </c>
      <c r="BC553" s="23">
        <f>IF(BB553="","",COUNTIF(Performance!$M$5:$M$404,BB553))</f>
        <v>0</v>
      </c>
      <c r="BD553" s="23">
        <f>IF(BB553="","",SUMIFS(Performance!$O$5:$O$404,Performance!$M$5:$M$404,BB553))</f>
        <v>0</v>
      </c>
      <c r="BE553" s="23">
        <f>IF(BB553="","",SUMIFS(Performance!$Z$5:$Z$404,Performance!$M$5:$M$404,BB553))</f>
        <v>0</v>
      </c>
      <c r="BF553" s="24">
        <f>IF(OR(BD553="",BD553=0),"",BE553/BD553)</f>
        <v>0</v>
      </c>
      <c r="BG553" s="32">
        <f>IF(BC553=0,"",IF(BF553="","",BF553+ROW()/1000000))</f>
        <v>0</v>
      </c>
      <c r="BH553" s="17">
        <f>IF(Performance!$C$553="","",Performance!$C$553)</f>
        <v>0</v>
      </c>
      <c r="BI553" s="17">
        <f>IF(Performance!$F$553="","",Performance!$F$553)</f>
        <v>0</v>
      </c>
      <c r="BJ553" s="17">
        <f>IF(Performance!$H$553="","",Performance!$H$553)</f>
        <v>0</v>
      </c>
      <c r="BK553" s="16">
        <f>IF(Performance!$D$553="","",Performance!$D$553)</f>
        <v>0</v>
      </c>
      <c r="BL553" s="17">
        <f>IF(Performance!$E$553="","",Performance!$E$553)</f>
        <v>0</v>
      </c>
      <c r="BM553" s="23">
        <f>IF(Performance!$O$553="","",Performance!$O$553)</f>
        <v>0</v>
      </c>
      <c r="BN553" s="24">
        <f>IF(Performance!$AA$553="","",Performance!$AA$553)</f>
        <v>0</v>
      </c>
      <c r="BO553" s="32">
        <f>IF(BH553="","",IF(BK553="","",IF(OR(BK553&lt;DashStart,BK553&gt;DashEnd),"",IF(BN553="","",BN553+ROW()/1000000))))</f>
        <v>0</v>
      </c>
      <c r="BP553" s="32">
        <f>IF(BM553="","",IF(BK553="","",IF(OR(BK553&lt;DashStart,BK553&gt;DashEnd),"",BM553+ROW()/1000000)))</f>
        <v>0</v>
      </c>
      <c r="BQ553" s="32">
        <f>IF(BH553="","",IF(BK553="","",IF(YEAR(BK553)&lt;&gt;PlanYear,"",IF(BN553="","",BN553+ROW()/1000000))))</f>
        <v>0</v>
      </c>
      <c r="BR553" s="32">
        <f>IF(BH553="","",IF(BK553="","",IF(OR(BK553&lt;RepFrom,BK553&gt;RepTo),"",IF(BN553="","",BN553+ROW()/1000000))))</f>
        <v>0</v>
      </c>
      <c r="BS553" s="32">
        <f>IF(BM553="","",IF(BK553="","",IF(YEAR(BK553)&lt;&gt;PlanYear,"",BM553+ROW()/1000000)))</f>
        <v>0</v>
      </c>
      <c r="BT553" s="17">
        <f>IF(Lists!$F553="","",Lists!$F553)</f>
        <v>0</v>
      </c>
      <c r="BU553" s="23">
        <f>IF(BT553="","",COUNTIF('Content Calendar'!$X$5:$X$604,BT553))</f>
        <v>0</v>
      </c>
      <c r="BV553" s="23">
        <f>IF(BT553="","",COUNTIFS('Content Calendar'!$X$5:$X$604,BT553,'Content Calendar'!$B$5:$B$604,"&gt;="&amp;DashStart,'Content Calendar'!$B$5:$B$604,"&lt;="&amp;DashEnd))</f>
        <v>0</v>
      </c>
      <c r="BW553" s="17">
        <f>IF(Team!$B$553="","",Team!$B$553)</f>
        <v>0</v>
      </c>
      <c r="BX553" s="23">
        <f>IF(BW553="","",COUNTIF('Content Calendar'!$W$5:$W$604,BW553))</f>
        <v>0</v>
      </c>
      <c r="BY553" s="23">
        <f>IF(BW553="","",COUNTIFS('Content Calendar'!$W$5:$W$604,BW553,'Content Calendar'!$X$5:$X$604,"&lt;&gt;Published"))</f>
        <v>0</v>
      </c>
      <c r="BZ553" s="23">
        <f>IF(BW553="","",COUNTIFS(Tasks!$C$5:$C$64,BW553,Tasks!$G$5:$G$64,"&lt;&gt;Complete"))</f>
        <v>0</v>
      </c>
      <c r="CA553" s="17">
        <f>IF(Campaigns!$B$553="","",Campaigns!$B$553)</f>
        <v>0</v>
      </c>
      <c r="CB553" s="25">
        <f>IF(Campaigns!$T$553="","",Campaigns!$T$553)</f>
        <v>0</v>
      </c>
      <c r="CC553" s="25">
        <f>IF(Campaigns!$Q$553="","",Campaigns!$Q$553)</f>
        <v>0</v>
      </c>
      <c r="CD553" s="23">
        <f>IF(Campaigns!$Y$553="","",Campaigns!$Y$553)</f>
        <v>0</v>
      </c>
      <c r="CE553" s="32">
        <f>IF(CA553="","",IF(N(CB553)&lt;=0,"",N(CB553)+ROW()/1000000))</f>
        <v>0</v>
      </c>
      <c r="CF553" s="17">
        <f>IF(Accounts!$C$553="","",Accounts!$C$553)</f>
        <v>0</v>
      </c>
      <c r="CG553" s="17">
        <f>IF(Accounts!$B$553="","",Accounts!$B$553)</f>
        <v>0</v>
      </c>
      <c r="CH553" s="23">
        <f>IF(Accounts!$J$553="","",Accounts!$J$553)</f>
        <v>0</v>
      </c>
      <c r="CI553" s="23">
        <f>IF(CF553="","",SUMIFS(Analytics!$X$5:$X$154,Analytics!$E$5:$E$154,CF553,Analytics!$B$5:$B$154,"&gt;="&amp;DashStart,Analytics!$B$5:$B$154,"&lt;="&amp;DashEnd))</f>
        <v>0</v>
      </c>
      <c r="CJ553" s="32">
        <f>IF(CH553="","",IF(CH553=0,"",CH553+ROW()/1000000))</f>
        <v>0</v>
      </c>
    </row>
    <row r="554" spans="1:88">
      <c r="A554" s="16">
        <f>IF(ROW()-4&gt;12,"",DATE(PlanYear,ROW()-4,1))</f>
        <v>0</v>
      </c>
      <c r="B554" s="16">
        <f>IF(A554="","",EOMONTH(A554,0))</f>
        <v>0</v>
      </c>
      <c r="C554" s="17">
        <f>IF(A554="","",TEXT(A554,"yyyy-mm"))</f>
        <v>0</v>
      </c>
      <c r="D554" s="17">
        <f>IF(A554="","",TEXT(A554,"mmm"))</f>
        <v>0</v>
      </c>
      <c r="E554" s="23">
        <f>IF(C554="","",COUNTIFS('Content Calendar'!$D$5:$D$604,C554))</f>
        <v>0</v>
      </c>
      <c r="F554" s="23">
        <f>IF(C554="","",COUNTIFS('Content Calendar'!$D$5:$D$604,C554,'Content Calendar'!$X$5:$X$604,"Published"))</f>
        <v>0</v>
      </c>
      <c r="G554" s="23">
        <f>IF(C554="","",SUMIFS(Analytics!$J$5:$J$154,Analytics!$C$5:$C$154,C554))</f>
        <v>0</v>
      </c>
      <c r="H554" s="23">
        <f>IF(C554="","",SUMIFS(Analytics!$K$5:$K$154,Analytics!$C$5:$C$154,C554))</f>
        <v>0</v>
      </c>
      <c r="I554" s="23">
        <f>IF(C554="","",SUMIFS(Analytics!$L$5:$L$154,Analytics!$C$5:$C$154,C554))</f>
        <v>0</v>
      </c>
      <c r="J554" s="24">
        <f>IF(OR(G554="",G554=0),"",I554/G554)</f>
        <v>0</v>
      </c>
      <c r="K554" s="23">
        <f>IF(C554="","",SUMIFS(Analytics!$G$5:$G$154,Analytics!$C$5:$C$154,C554))</f>
        <v>0</v>
      </c>
      <c r="L554" s="23">
        <f>IF(C554="","",SUMIFS(Analytics!$X$5:$X$154,Analytics!$C$5:$C$154,C554))</f>
        <v>0</v>
      </c>
      <c r="M554" s="23">
        <f>IF(C554="","",SUMIFS(Analytics!$R$5:$R$154,Analytics!$C$5:$C$154,C554))</f>
        <v>0</v>
      </c>
      <c r="N554" s="23">
        <f>IF(C554="","",SUMIFS(Analytics!$S$5:$S$154,Analytics!$C$5:$C$154,C554))</f>
        <v>0</v>
      </c>
      <c r="O554" s="23">
        <f>IF(C554="","",SUMIFS(Analytics!$T$5:$T$154,Analytics!$C$5:$C$154,C554))</f>
        <v>0</v>
      </c>
      <c r="P554" s="25">
        <f>IF(C554="","",SUMIFS(Analytics!$U$5:$U$154,Analytics!$C$5:$C$154,C554))</f>
        <v>0</v>
      </c>
      <c r="Q554" s="25">
        <f>IF(C554="","",SUMIFS(Budget!$H$5:$H$64,Budget!$C$5:$C$64,C554))</f>
        <v>0</v>
      </c>
      <c r="R554" s="25">
        <f>IF(C554="","",P554-Q554)</f>
        <v>0</v>
      </c>
      <c r="S554" s="23">
        <f>IF(C554="","",MonthlyPostTarget)</f>
        <v>0</v>
      </c>
      <c r="T554" s="17">
        <f>IF(Lists!$C554="","",Lists!$C554)</f>
        <v>0</v>
      </c>
      <c r="U554" s="23">
        <f>IF(T554="","",COUNTIFS('Content Calendar'!$G$5:$G$604,T554,'Content Calendar'!$B$5:$B$604,"&gt;="&amp;DashStart,'Content Calendar'!$B$5:$B$604,"&lt;="&amp;DashEnd))</f>
        <v>0</v>
      </c>
      <c r="V554" s="23">
        <f>IF(T554="","",COUNTIFS('Content Calendar'!$G$5:$G$604,T554,'Content Calendar'!$X$5:$X$604,"Published",'Content Calendar'!$B$5:$B$604,"&gt;="&amp;DashStart,'Content Calendar'!$B$5:$B$604,"&lt;="&amp;DashEnd))</f>
        <v>0</v>
      </c>
      <c r="W554" s="23">
        <f>IF(T554="","",SUMIFS(Analytics!$J$5:$J$154,Analytics!$D$5:$D$154,T554,Analytics!$B$5:$B$154,"&gt;="&amp;DashStart,Analytics!$B$5:$B$154,"&lt;="&amp;DashEnd))</f>
        <v>0</v>
      </c>
      <c r="X554" s="23">
        <f>IF(T554="","",SUMIFS(Analytics!$L$5:$L$154,Analytics!$D$5:$D$154,T554,Analytics!$B$5:$B$154,"&gt;="&amp;DashStart,Analytics!$B$5:$B$154,"&lt;="&amp;DashEnd))</f>
        <v>0</v>
      </c>
      <c r="Y554" s="24">
        <f>IF(OR(W554="",W554=0),"",X554/W554)</f>
        <v>0</v>
      </c>
      <c r="Z554" s="23">
        <f>IF(T554="","",SUMIFS(Analytics!$G$5:$G$154,Analytics!$D$5:$D$154,T554,Analytics!$B$5:$B$154,"&gt;="&amp;DashStart,Analytics!$B$5:$B$154,"&lt;="&amp;DashEnd))</f>
        <v>0</v>
      </c>
      <c r="AA554" s="23">
        <f>IF(T554="","",SUMIFS(Analytics!$X$5:$X$154,Analytics!$D$5:$D$154,T554,Analytics!$B$5:$B$154,"&gt;="&amp;DashStart,Analytics!$B$5:$B$154,"&lt;="&amp;DashEnd))</f>
        <v>0</v>
      </c>
      <c r="AB554" s="23">
        <f>IF(T554="","",SUMIFS(Analytics!$R$5:$R$154,Analytics!$D$5:$D$154,T554,Analytics!$B$5:$B$154,"&gt;="&amp;DashStart,Analytics!$B$5:$B$154,"&lt;="&amp;DashEnd))</f>
        <v>0</v>
      </c>
      <c r="AC554" s="25">
        <f>IF(T554="","",SUMIFS(Analytics!$U$5:$U$154,Analytics!$D$5:$D$154,T554,Analytics!$B$5:$B$154,"&gt;="&amp;DashStart,Analytics!$B$5:$B$154,"&lt;="&amp;DashEnd))</f>
        <v>0</v>
      </c>
      <c r="AD554" s="23">
        <f>IF(T554="","",COUNTIFS('Content Calendar'!$G$5:$G$604,T554,'Content Calendar'!$B$5:$B$604,"&gt;="&amp;DATE(PlanYear,1,1),'Content Calendar'!$B$5:$B$604,"&lt;="&amp;DATE(PlanYear,12,31)))</f>
        <v>0</v>
      </c>
      <c r="AE554" s="23">
        <f>IF(T554="","",SUMIFS(Analytics!$J$5:$J$154,Analytics!$D$5:$D$154,T554))</f>
        <v>0</v>
      </c>
      <c r="AF554" s="23">
        <f>IF(T554="","",SUMIFS(Analytics!$L$5:$L$154,Analytics!$D$5:$D$154,T554))</f>
        <v>0</v>
      </c>
      <c r="AG554" s="24">
        <f>IF(OR(AE554="",AE554=0),"",AF554/AE554)</f>
        <v>0</v>
      </c>
      <c r="AH554" s="23">
        <f>IF(T554="","",SUMIFS(Analytics!$X$5:$X$154,Analytics!$D$5:$D$154,T554))</f>
        <v>0</v>
      </c>
      <c r="AI554" s="32">
        <f>IF(T554="","",IF(AE554=0,"",AE554+ROW()/1000000))</f>
        <v>0</v>
      </c>
      <c r="AJ554" s="17">
        <f>IF('Content Pillars'!$B$554="","",'Content Pillars'!$B$554)</f>
        <v>0</v>
      </c>
      <c r="AK554" s="23">
        <f>IF(AJ554="","",COUNTIFS('Content Calendar'!$J$5:$J$604,AJ554,'Content Calendar'!$B$5:$B$604,"&gt;="&amp;DATE(PlanYear,1,1),'Content Calendar'!$B$5:$B$604,"&lt;="&amp;DATE(PlanYear,12,31)))</f>
        <v>0</v>
      </c>
      <c r="AL554" s="23">
        <f>IF(AJ554="","",SUMIFS(Performance!$O$5:$O$404,Performance!$H$5:$H$404,AJ554))</f>
        <v>0</v>
      </c>
      <c r="AM554" s="23">
        <f>IF(AJ554="","",SUMIFS(Performance!$Z$5:$Z$404,Performance!$H$5:$H$404,AJ554))</f>
        <v>0</v>
      </c>
      <c r="AN554" s="24">
        <f>IF(OR(AL554="",AL554=0),"",AM554/AL554)</f>
        <v>0</v>
      </c>
      <c r="AO554" s="32">
        <f>IF(AN554="","",AN554+ROW()/1000000)</f>
        <v>0</v>
      </c>
      <c r="AP554" s="17">
        <f>IF(Lists!$E554="","",Lists!$E554)</f>
        <v>0</v>
      </c>
      <c r="AQ554" s="23">
        <f>IF(AP554="","",COUNTIF(Performance!$G$5:$G$404,AP554))</f>
        <v>0</v>
      </c>
      <c r="AR554" s="23">
        <f>IF(AP554="","",SUMIFS(Performance!$O$5:$O$404,Performance!$G$5:$G$404,AP554))</f>
        <v>0</v>
      </c>
      <c r="AS554" s="23">
        <f>IF(AP554="","",SUMIFS(Performance!$Z$5:$Z$404,Performance!$G$5:$G$404,AP554))</f>
        <v>0</v>
      </c>
      <c r="AT554" s="24">
        <f>IF(OR(AR554="",AR554=0),"",AS554/AR554)</f>
        <v>0</v>
      </c>
      <c r="AU554" s="32">
        <f>IF(AQ554=0,"",IF(AT554="","",AT554+ROW()/1000000))</f>
        <v>0</v>
      </c>
      <c r="AV554" s="17">
        <f>IF(ROW()-4&gt;7,"",TEXT(DATE(2024,1,ROW()-4),"ddd"))</f>
        <v>0</v>
      </c>
      <c r="AW554" s="23">
        <f>IF(AV554="","",COUNTIF(Performance!$N$5:$N$404,AV554))</f>
        <v>0</v>
      </c>
      <c r="AX554" s="23">
        <f>IF(AV554="","",SUMIFS(Performance!$O$5:$O$404,Performance!$N$5:$N$404,AV554))</f>
        <v>0</v>
      </c>
      <c r="AY554" s="23">
        <f>IF(AV554="","",SUMIFS(Performance!$Z$5:$Z$404,Performance!$N$5:$N$404,AV554))</f>
        <v>0</v>
      </c>
      <c r="AZ554" s="24">
        <f>IF(OR(AX554="",AX554=0),"",AY554/AX554)</f>
        <v>0</v>
      </c>
      <c r="BA554" s="32">
        <f>IF(AW554=0,"",IF(AZ554="","",AZ554+ROW()/1000000))</f>
        <v>0</v>
      </c>
      <c r="BB554" s="17">
        <f>IF(Lists!$AL554="","",Lists!$AL554)</f>
        <v>0</v>
      </c>
      <c r="BC554" s="23">
        <f>IF(BB554="","",COUNTIF(Performance!$M$5:$M$404,BB554))</f>
        <v>0</v>
      </c>
      <c r="BD554" s="23">
        <f>IF(BB554="","",SUMIFS(Performance!$O$5:$O$404,Performance!$M$5:$M$404,BB554))</f>
        <v>0</v>
      </c>
      <c r="BE554" s="23">
        <f>IF(BB554="","",SUMIFS(Performance!$Z$5:$Z$404,Performance!$M$5:$M$404,BB554))</f>
        <v>0</v>
      </c>
      <c r="BF554" s="24">
        <f>IF(OR(BD554="",BD554=0),"",BE554/BD554)</f>
        <v>0</v>
      </c>
      <c r="BG554" s="32">
        <f>IF(BC554=0,"",IF(BF554="","",BF554+ROW()/1000000))</f>
        <v>0</v>
      </c>
      <c r="BH554" s="17">
        <f>IF(Performance!$C$554="","",Performance!$C$554)</f>
        <v>0</v>
      </c>
      <c r="BI554" s="17">
        <f>IF(Performance!$F$554="","",Performance!$F$554)</f>
        <v>0</v>
      </c>
      <c r="BJ554" s="17">
        <f>IF(Performance!$H$554="","",Performance!$H$554)</f>
        <v>0</v>
      </c>
      <c r="BK554" s="16">
        <f>IF(Performance!$D$554="","",Performance!$D$554)</f>
        <v>0</v>
      </c>
      <c r="BL554" s="17">
        <f>IF(Performance!$E$554="","",Performance!$E$554)</f>
        <v>0</v>
      </c>
      <c r="BM554" s="23">
        <f>IF(Performance!$O$554="","",Performance!$O$554)</f>
        <v>0</v>
      </c>
      <c r="BN554" s="24">
        <f>IF(Performance!$AA$554="","",Performance!$AA$554)</f>
        <v>0</v>
      </c>
      <c r="BO554" s="32">
        <f>IF(BH554="","",IF(BK554="","",IF(OR(BK554&lt;DashStart,BK554&gt;DashEnd),"",IF(BN554="","",BN554+ROW()/1000000))))</f>
        <v>0</v>
      </c>
      <c r="BP554" s="32">
        <f>IF(BM554="","",IF(BK554="","",IF(OR(BK554&lt;DashStart,BK554&gt;DashEnd),"",BM554+ROW()/1000000)))</f>
        <v>0</v>
      </c>
      <c r="BQ554" s="32">
        <f>IF(BH554="","",IF(BK554="","",IF(YEAR(BK554)&lt;&gt;PlanYear,"",IF(BN554="","",BN554+ROW()/1000000))))</f>
        <v>0</v>
      </c>
      <c r="BR554" s="32">
        <f>IF(BH554="","",IF(BK554="","",IF(OR(BK554&lt;RepFrom,BK554&gt;RepTo),"",IF(BN554="","",BN554+ROW()/1000000))))</f>
        <v>0</v>
      </c>
      <c r="BS554" s="32">
        <f>IF(BM554="","",IF(BK554="","",IF(YEAR(BK554)&lt;&gt;PlanYear,"",BM554+ROW()/1000000)))</f>
        <v>0</v>
      </c>
      <c r="BT554" s="17">
        <f>IF(Lists!$F554="","",Lists!$F554)</f>
        <v>0</v>
      </c>
      <c r="BU554" s="23">
        <f>IF(BT554="","",COUNTIF('Content Calendar'!$X$5:$X$604,BT554))</f>
        <v>0</v>
      </c>
      <c r="BV554" s="23">
        <f>IF(BT554="","",COUNTIFS('Content Calendar'!$X$5:$X$604,BT554,'Content Calendar'!$B$5:$B$604,"&gt;="&amp;DashStart,'Content Calendar'!$B$5:$B$604,"&lt;="&amp;DashEnd))</f>
        <v>0</v>
      </c>
      <c r="BW554" s="17">
        <f>IF(Team!$B$554="","",Team!$B$554)</f>
        <v>0</v>
      </c>
      <c r="BX554" s="23">
        <f>IF(BW554="","",COUNTIF('Content Calendar'!$W$5:$W$604,BW554))</f>
        <v>0</v>
      </c>
      <c r="BY554" s="23">
        <f>IF(BW554="","",COUNTIFS('Content Calendar'!$W$5:$W$604,BW554,'Content Calendar'!$X$5:$X$604,"&lt;&gt;Published"))</f>
        <v>0</v>
      </c>
      <c r="BZ554" s="23">
        <f>IF(BW554="","",COUNTIFS(Tasks!$C$5:$C$64,BW554,Tasks!$G$5:$G$64,"&lt;&gt;Complete"))</f>
        <v>0</v>
      </c>
      <c r="CA554" s="17">
        <f>IF(Campaigns!$B$554="","",Campaigns!$B$554)</f>
        <v>0</v>
      </c>
      <c r="CB554" s="25">
        <f>IF(Campaigns!$T$554="","",Campaigns!$T$554)</f>
        <v>0</v>
      </c>
      <c r="CC554" s="25">
        <f>IF(Campaigns!$Q$554="","",Campaigns!$Q$554)</f>
        <v>0</v>
      </c>
      <c r="CD554" s="23">
        <f>IF(Campaigns!$Y$554="","",Campaigns!$Y$554)</f>
        <v>0</v>
      </c>
      <c r="CE554" s="32">
        <f>IF(CA554="","",IF(N(CB554)&lt;=0,"",N(CB554)+ROW()/1000000))</f>
        <v>0</v>
      </c>
      <c r="CF554" s="17">
        <f>IF(Accounts!$C$554="","",Accounts!$C$554)</f>
        <v>0</v>
      </c>
      <c r="CG554" s="17">
        <f>IF(Accounts!$B$554="","",Accounts!$B$554)</f>
        <v>0</v>
      </c>
      <c r="CH554" s="23">
        <f>IF(Accounts!$J$554="","",Accounts!$J$554)</f>
        <v>0</v>
      </c>
      <c r="CI554" s="23">
        <f>IF(CF554="","",SUMIFS(Analytics!$X$5:$X$154,Analytics!$E$5:$E$154,CF554,Analytics!$B$5:$B$154,"&gt;="&amp;DashStart,Analytics!$B$5:$B$154,"&lt;="&amp;DashEnd))</f>
        <v>0</v>
      </c>
      <c r="CJ554" s="32">
        <f>IF(CH554="","",IF(CH554=0,"",CH554+ROW()/1000000))</f>
        <v>0</v>
      </c>
    </row>
    <row r="555" spans="1:88">
      <c r="A555" s="16">
        <f>IF(ROW()-4&gt;12,"",DATE(PlanYear,ROW()-4,1))</f>
        <v>0</v>
      </c>
      <c r="B555" s="16">
        <f>IF(A555="","",EOMONTH(A555,0))</f>
        <v>0</v>
      </c>
      <c r="C555" s="17">
        <f>IF(A555="","",TEXT(A555,"yyyy-mm"))</f>
        <v>0</v>
      </c>
      <c r="D555" s="17">
        <f>IF(A555="","",TEXT(A555,"mmm"))</f>
        <v>0</v>
      </c>
      <c r="E555" s="23">
        <f>IF(C555="","",COUNTIFS('Content Calendar'!$D$5:$D$604,C555))</f>
        <v>0</v>
      </c>
      <c r="F555" s="23">
        <f>IF(C555="","",COUNTIFS('Content Calendar'!$D$5:$D$604,C555,'Content Calendar'!$X$5:$X$604,"Published"))</f>
        <v>0</v>
      </c>
      <c r="G555" s="23">
        <f>IF(C555="","",SUMIFS(Analytics!$J$5:$J$154,Analytics!$C$5:$C$154,C555))</f>
        <v>0</v>
      </c>
      <c r="H555" s="23">
        <f>IF(C555="","",SUMIFS(Analytics!$K$5:$K$154,Analytics!$C$5:$C$154,C555))</f>
        <v>0</v>
      </c>
      <c r="I555" s="23">
        <f>IF(C555="","",SUMIFS(Analytics!$L$5:$L$154,Analytics!$C$5:$C$154,C555))</f>
        <v>0</v>
      </c>
      <c r="J555" s="24">
        <f>IF(OR(G555="",G555=0),"",I555/G555)</f>
        <v>0</v>
      </c>
      <c r="K555" s="23">
        <f>IF(C555="","",SUMIFS(Analytics!$G$5:$G$154,Analytics!$C$5:$C$154,C555))</f>
        <v>0</v>
      </c>
      <c r="L555" s="23">
        <f>IF(C555="","",SUMIFS(Analytics!$X$5:$X$154,Analytics!$C$5:$C$154,C555))</f>
        <v>0</v>
      </c>
      <c r="M555" s="23">
        <f>IF(C555="","",SUMIFS(Analytics!$R$5:$R$154,Analytics!$C$5:$C$154,C555))</f>
        <v>0</v>
      </c>
      <c r="N555" s="23">
        <f>IF(C555="","",SUMIFS(Analytics!$S$5:$S$154,Analytics!$C$5:$C$154,C555))</f>
        <v>0</v>
      </c>
      <c r="O555" s="23">
        <f>IF(C555="","",SUMIFS(Analytics!$T$5:$T$154,Analytics!$C$5:$C$154,C555))</f>
        <v>0</v>
      </c>
      <c r="P555" s="25">
        <f>IF(C555="","",SUMIFS(Analytics!$U$5:$U$154,Analytics!$C$5:$C$154,C555))</f>
        <v>0</v>
      </c>
      <c r="Q555" s="25">
        <f>IF(C555="","",SUMIFS(Budget!$H$5:$H$64,Budget!$C$5:$C$64,C555))</f>
        <v>0</v>
      </c>
      <c r="R555" s="25">
        <f>IF(C555="","",P555-Q555)</f>
        <v>0</v>
      </c>
      <c r="S555" s="23">
        <f>IF(C555="","",MonthlyPostTarget)</f>
        <v>0</v>
      </c>
      <c r="T555" s="17">
        <f>IF(Lists!$C555="","",Lists!$C555)</f>
        <v>0</v>
      </c>
      <c r="U555" s="23">
        <f>IF(T555="","",COUNTIFS('Content Calendar'!$G$5:$G$604,T555,'Content Calendar'!$B$5:$B$604,"&gt;="&amp;DashStart,'Content Calendar'!$B$5:$B$604,"&lt;="&amp;DashEnd))</f>
        <v>0</v>
      </c>
      <c r="V555" s="23">
        <f>IF(T555="","",COUNTIFS('Content Calendar'!$G$5:$G$604,T555,'Content Calendar'!$X$5:$X$604,"Published",'Content Calendar'!$B$5:$B$604,"&gt;="&amp;DashStart,'Content Calendar'!$B$5:$B$604,"&lt;="&amp;DashEnd))</f>
        <v>0</v>
      </c>
      <c r="W555" s="23">
        <f>IF(T555="","",SUMIFS(Analytics!$J$5:$J$154,Analytics!$D$5:$D$154,T555,Analytics!$B$5:$B$154,"&gt;="&amp;DashStart,Analytics!$B$5:$B$154,"&lt;="&amp;DashEnd))</f>
        <v>0</v>
      </c>
      <c r="X555" s="23">
        <f>IF(T555="","",SUMIFS(Analytics!$L$5:$L$154,Analytics!$D$5:$D$154,T555,Analytics!$B$5:$B$154,"&gt;="&amp;DashStart,Analytics!$B$5:$B$154,"&lt;="&amp;DashEnd))</f>
        <v>0</v>
      </c>
      <c r="Y555" s="24">
        <f>IF(OR(W555="",W555=0),"",X555/W555)</f>
        <v>0</v>
      </c>
      <c r="Z555" s="23">
        <f>IF(T555="","",SUMIFS(Analytics!$G$5:$G$154,Analytics!$D$5:$D$154,T555,Analytics!$B$5:$B$154,"&gt;="&amp;DashStart,Analytics!$B$5:$B$154,"&lt;="&amp;DashEnd))</f>
        <v>0</v>
      </c>
      <c r="AA555" s="23">
        <f>IF(T555="","",SUMIFS(Analytics!$X$5:$X$154,Analytics!$D$5:$D$154,T555,Analytics!$B$5:$B$154,"&gt;="&amp;DashStart,Analytics!$B$5:$B$154,"&lt;="&amp;DashEnd))</f>
        <v>0</v>
      </c>
      <c r="AB555" s="23">
        <f>IF(T555="","",SUMIFS(Analytics!$R$5:$R$154,Analytics!$D$5:$D$154,T555,Analytics!$B$5:$B$154,"&gt;="&amp;DashStart,Analytics!$B$5:$B$154,"&lt;="&amp;DashEnd))</f>
        <v>0</v>
      </c>
      <c r="AC555" s="25">
        <f>IF(T555="","",SUMIFS(Analytics!$U$5:$U$154,Analytics!$D$5:$D$154,T555,Analytics!$B$5:$B$154,"&gt;="&amp;DashStart,Analytics!$B$5:$B$154,"&lt;="&amp;DashEnd))</f>
        <v>0</v>
      </c>
      <c r="AD555" s="23">
        <f>IF(T555="","",COUNTIFS('Content Calendar'!$G$5:$G$604,T555,'Content Calendar'!$B$5:$B$604,"&gt;="&amp;DATE(PlanYear,1,1),'Content Calendar'!$B$5:$B$604,"&lt;="&amp;DATE(PlanYear,12,31)))</f>
        <v>0</v>
      </c>
      <c r="AE555" s="23">
        <f>IF(T555="","",SUMIFS(Analytics!$J$5:$J$154,Analytics!$D$5:$D$154,T555))</f>
        <v>0</v>
      </c>
      <c r="AF555" s="23">
        <f>IF(T555="","",SUMIFS(Analytics!$L$5:$L$154,Analytics!$D$5:$D$154,T555))</f>
        <v>0</v>
      </c>
      <c r="AG555" s="24">
        <f>IF(OR(AE555="",AE555=0),"",AF555/AE555)</f>
        <v>0</v>
      </c>
      <c r="AH555" s="23">
        <f>IF(T555="","",SUMIFS(Analytics!$X$5:$X$154,Analytics!$D$5:$D$154,T555))</f>
        <v>0</v>
      </c>
      <c r="AI555" s="32">
        <f>IF(T555="","",IF(AE555=0,"",AE555+ROW()/1000000))</f>
        <v>0</v>
      </c>
      <c r="AJ555" s="17">
        <f>IF('Content Pillars'!$B$555="","",'Content Pillars'!$B$555)</f>
        <v>0</v>
      </c>
      <c r="AK555" s="23">
        <f>IF(AJ555="","",COUNTIFS('Content Calendar'!$J$5:$J$604,AJ555,'Content Calendar'!$B$5:$B$604,"&gt;="&amp;DATE(PlanYear,1,1),'Content Calendar'!$B$5:$B$604,"&lt;="&amp;DATE(PlanYear,12,31)))</f>
        <v>0</v>
      </c>
      <c r="AL555" s="23">
        <f>IF(AJ555="","",SUMIFS(Performance!$O$5:$O$404,Performance!$H$5:$H$404,AJ555))</f>
        <v>0</v>
      </c>
      <c r="AM555" s="23">
        <f>IF(AJ555="","",SUMIFS(Performance!$Z$5:$Z$404,Performance!$H$5:$H$404,AJ555))</f>
        <v>0</v>
      </c>
      <c r="AN555" s="24">
        <f>IF(OR(AL555="",AL555=0),"",AM555/AL555)</f>
        <v>0</v>
      </c>
      <c r="AO555" s="32">
        <f>IF(AN555="","",AN555+ROW()/1000000)</f>
        <v>0</v>
      </c>
      <c r="AP555" s="17">
        <f>IF(Lists!$E555="","",Lists!$E555)</f>
        <v>0</v>
      </c>
      <c r="AQ555" s="23">
        <f>IF(AP555="","",COUNTIF(Performance!$G$5:$G$404,AP555))</f>
        <v>0</v>
      </c>
      <c r="AR555" s="23">
        <f>IF(AP555="","",SUMIFS(Performance!$O$5:$O$404,Performance!$G$5:$G$404,AP555))</f>
        <v>0</v>
      </c>
      <c r="AS555" s="23">
        <f>IF(AP555="","",SUMIFS(Performance!$Z$5:$Z$404,Performance!$G$5:$G$404,AP555))</f>
        <v>0</v>
      </c>
      <c r="AT555" s="24">
        <f>IF(OR(AR555="",AR555=0),"",AS555/AR555)</f>
        <v>0</v>
      </c>
      <c r="AU555" s="32">
        <f>IF(AQ555=0,"",IF(AT555="","",AT555+ROW()/1000000))</f>
        <v>0</v>
      </c>
      <c r="AV555" s="17">
        <f>IF(ROW()-4&gt;7,"",TEXT(DATE(2024,1,ROW()-4),"ddd"))</f>
        <v>0</v>
      </c>
      <c r="AW555" s="23">
        <f>IF(AV555="","",COUNTIF(Performance!$N$5:$N$404,AV555))</f>
        <v>0</v>
      </c>
      <c r="AX555" s="23">
        <f>IF(AV555="","",SUMIFS(Performance!$O$5:$O$404,Performance!$N$5:$N$404,AV555))</f>
        <v>0</v>
      </c>
      <c r="AY555" s="23">
        <f>IF(AV555="","",SUMIFS(Performance!$Z$5:$Z$404,Performance!$N$5:$N$404,AV555))</f>
        <v>0</v>
      </c>
      <c r="AZ555" s="24">
        <f>IF(OR(AX555="",AX555=0),"",AY555/AX555)</f>
        <v>0</v>
      </c>
      <c r="BA555" s="32">
        <f>IF(AW555=0,"",IF(AZ555="","",AZ555+ROW()/1000000))</f>
        <v>0</v>
      </c>
      <c r="BB555" s="17">
        <f>IF(Lists!$AL555="","",Lists!$AL555)</f>
        <v>0</v>
      </c>
      <c r="BC555" s="23">
        <f>IF(BB555="","",COUNTIF(Performance!$M$5:$M$404,BB555))</f>
        <v>0</v>
      </c>
      <c r="BD555" s="23">
        <f>IF(BB555="","",SUMIFS(Performance!$O$5:$O$404,Performance!$M$5:$M$404,BB555))</f>
        <v>0</v>
      </c>
      <c r="BE555" s="23">
        <f>IF(BB555="","",SUMIFS(Performance!$Z$5:$Z$404,Performance!$M$5:$M$404,BB555))</f>
        <v>0</v>
      </c>
      <c r="BF555" s="24">
        <f>IF(OR(BD555="",BD555=0),"",BE555/BD555)</f>
        <v>0</v>
      </c>
      <c r="BG555" s="32">
        <f>IF(BC555=0,"",IF(BF555="","",BF555+ROW()/1000000))</f>
        <v>0</v>
      </c>
      <c r="BH555" s="17">
        <f>IF(Performance!$C$555="","",Performance!$C$555)</f>
        <v>0</v>
      </c>
      <c r="BI555" s="17">
        <f>IF(Performance!$F$555="","",Performance!$F$555)</f>
        <v>0</v>
      </c>
      <c r="BJ555" s="17">
        <f>IF(Performance!$H$555="","",Performance!$H$555)</f>
        <v>0</v>
      </c>
      <c r="BK555" s="16">
        <f>IF(Performance!$D$555="","",Performance!$D$555)</f>
        <v>0</v>
      </c>
      <c r="BL555" s="17">
        <f>IF(Performance!$E$555="","",Performance!$E$555)</f>
        <v>0</v>
      </c>
      <c r="BM555" s="23">
        <f>IF(Performance!$O$555="","",Performance!$O$555)</f>
        <v>0</v>
      </c>
      <c r="BN555" s="24">
        <f>IF(Performance!$AA$555="","",Performance!$AA$555)</f>
        <v>0</v>
      </c>
      <c r="BO555" s="32">
        <f>IF(BH555="","",IF(BK555="","",IF(OR(BK555&lt;DashStart,BK555&gt;DashEnd),"",IF(BN555="","",BN555+ROW()/1000000))))</f>
        <v>0</v>
      </c>
      <c r="BP555" s="32">
        <f>IF(BM555="","",IF(BK555="","",IF(OR(BK555&lt;DashStart,BK555&gt;DashEnd),"",BM555+ROW()/1000000)))</f>
        <v>0</v>
      </c>
      <c r="BQ555" s="32">
        <f>IF(BH555="","",IF(BK555="","",IF(YEAR(BK555)&lt;&gt;PlanYear,"",IF(BN555="","",BN555+ROW()/1000000))))</f>
        <v>0</v>
      </c>
      <c r="BR555" s="32">
        <f>IF(BH555="","",IF(BK555="","",IF(OR(BK555&lt;RepFrom,BK555&gt;RepTo),"",IF(BN555="","",BN555+ROW()/1000000))))</f>
        <v>0</v>
      </c>
      <c r="BS555" s="32">
        <f>IF(BM555="","",IF(BK555="","",IF(YEAR(BK555)&lt;&gt;PlanYear,"",BM555+ROW()/1000000)))</f>
        <v>0</v>
      </c>
      <c r="BT555" s="17">
        <f>IF(Lists!$F555="","",Lists!$F555)</f>
        <v>0</v>
      </c>
      <c r="BU555" s="23">
        <f>IF(BT555="","",COUNTIF('Content Calendar'!$X$5:$X$604,BT555))</f>
        <v>0</v>
      </c>
      <c r="BV555" s="23">
        <f>IF(BT555="","",COUNTIFS('Content Calendar'!$X$5:$X$604,BT555,'Content Calendar'!$B$5:$B$604,"&gt;="&amp;DashStart,'Content Calendar'!$B$5:$B$604,"&lt;="&amp;DashEnd))</f>
        <v>0</v>
      </c>
      <c r="BW555" s="17">
        <f>IF(Team!$B$555="","",Team!$B$555)</f>
        <v>0</v>
      </c>
      <c r="BX555" s="23">
        <f>IF(BW555="","",COUNTIF('Content Calendar'!$W$5:$W$604,BW555))</f>
        <v>0</v>
      </c>
      <c r="BY555" s="23">
        <f>IF(BW555="","",COUNTIFS('Content Calendar'!$W$5:$W$604,BW555,'Content Calendar'!$X$5:$X$604,"&lt;&gt;Published"))</f>
        <v>0</v>
      </c>
      <c r="BZ555" s="23">
        <f>IF(BW555="","",COUNTIFS(Tasks!$C$5:$C$64,BW555,Tasks!$G$5:$G$64,"&lt;&gt;Complete"))</f>
        <v>0</v>
      </c>
      <c r="CA555" s="17">
        <f>IF(Campaigns!$B$555="","",Campaigns!$B$555)</f>
        <v>0</v>
      </c>
      <c r="CB555" s="25">
        <f>IF(Campaigns!$T$555="","",Campaigns!$T$555)</f>
        <v>0</v>
      </c>
      <c r="CC555" s="25">
        <f>IF(Campaigns!$Q$555="","",Campaigns!$Q$555)</f>
        <v>0</v>
      </c>
      <c r="CD555" s="23">
        <f>IF(Campaigns!$Y$555="","",Campaigns!$Y$555)</f>
        <v>0</v>
      </c>
      <c r="CE555" s="32">
        <f>IF(CA555="","",IF(N(CB555)&lt;=0,"",N(CB555)+ROW()/1000000))</f>
        <v>0</v>
      </c>
      <c r="CF555" s="17">
        <f>IF(Accounts!$C$555="","",Accounts!$C$555)</f>
        <v>0</v>
      </c>
      <c r="CG555" s="17">
        <f>IF(Accounts!$B$555="","",Accounts!$B$555)</f>
        <v>0</v>
      </c>
      <c r="CH555" s="23">
        <f>IF(Accounts!$J$555="","",Accounts!$J$555)</f>
        <v>0</v>
      </c>
      <c r="CI555" s="23">
        <f>IF(CF555="","",SUMIFS(Analytics!$X$5:$X$154,Analytics!$E$5:$E$154,CF555,Analytics!$B$5:$B$154,"&gt;="&amp;DashStart,Analytics!$B$5:$B$154,"&lt;="&amp;DashEnd))</f>
        <v>0</v>
      </c>
      <c r="CJ555" s="32">
        <f>IF(CH555="","",IF(CH555=0,"",CH555+ROW()/1000000))</f>
        <v>0</v>
      </c>
    </row>
    <row r="556" spans="1:88">
      <c r="A556" s="16">
        <f>IF(ROW()-4&gt;12,"",DATE(PlanYear,ROW()-4,1))</f>
        <v>0</v>
      </c>
      <c r="B556" s="16">
        <f>IF(A556="","",EOMONTH(A556,0))</f>
        <v>0</v>
      </c>
      <c r="C556" s="17">
        <f>IF(A556="","",TEXT(A556,"yyyy-mm"))</f>
        <v>0</v>
      </c>
      <c r="D556" s="17">
        <f>IF(A556="","",TEXT(A556,"mmm"))</f>
        <v>0</v>
      </c>
      <c r="E556" s="23">
        <f>IF(C556="","",COUNTIFS('Content Calendar'!$D$5:$D$604,C556))</f>
        <v>0</v>
      </c>
      <c r="F556" s="23">
        <f>IF(C556="","",COUNTIFS('Content Calendar'!$D$5:$D$604,C556,'Content Calendar'!$X$5:$X$604,"Published"))</f>
        <v>0</v>
      </c>
      <c r="G556" s="23">
        <f>IF(C556="","",SUMIFS(Analytics!$J$5:$J$154,Analytics!$C$5:$C$154,C556))</f>
        <v>0</v>
      </c>
      <c r="H556" s="23">
        <f>IF(C556="","",SUMIFS(Analytics!$K$5:$K$154,Analytics!$C$5:$C$154,C556))</f>
        <v>0</v>
      </c>
      <c r="I556" s="23">
        <f>IF(C556="","",SUMIFS(Analytics!$L$5:$L$154,Analytics!$C$5:$C$154,C556))</f>
        <v>0</v>
      </c>
      <c r="J556" s="24">
        <f>IF(OR(G556="",G556=0),"",I556/G556)</f>
        <v>0</v>
      </c>
      <c r="K556" s="23">
        <f>IF(C556="","",SUMIFS(Analytics!$G$5:$G$154,Analytics!$C$5:$C$154,C556))</f>
        <v>0</v>
      </c>
      <c r="L556" s="23">
        <f>IF(C556="","",SUMIFS(Analytics!$X$5:$X$154,Analytics!$C$5:$C$154,C556))</f>
        <v>0</v>
      </c>
      <c r="M556" s="23">
        <f>IF(C556="","",SUMIFS(Analytics!$R$5:$R$154,Analytics!$C$5:$C$154,C556))</f>
        <v>0</v>
      </c>
      <c r="N556" s="23">
        <f>IF(C556="","",SUMIFS(Analytics!$S$5:$S$154,Analytics!$C$5:$C$154,C556))</f>
        <v>0</v>
      </c>
      <c r="O556" s="23">
        <f>IF(C556="","",SUMIFS(Analytics!$T$5:$T$154,Analytics!$C$5:$C$154,C556))</f>
        <v>0</v>
      </c>
      <c r="P556" s="25">
        <f>IF(C556="","",SUMIFS(Analytics!$U$5:$U$154,Analytics!$C$5:$C$154,C556))</f>
        <v>0</v>
      </c>
      <c r="Q556" s="25">
        <f>IF(C556="","",SUMIFS(Budget!$H$5:$H$64,Budget!$C$5:$C$64,C556))</f>
        <v>0</v>
      </c>
      <c r="R556" s="25">
        <f>IF(C556="","",P556-Q556)</f>
        <v>0</v>
      </c>
      <c r="S556" s="23">
        <f>IF(C556="","",MonthlyPostTarget)</f>
        <v>0</v>
      </c>
      <c r="T556" s="17">
        <f>IF(Lists!$C556="","",Lists!$C556)</f>
        <v>0</v>
      </c>
      <c r="U556" s="23">
        <f>IF(T556="","",COUNTIFS('Content Calendar'!$G$5:$G$604,T556,'Content Calendar'!$B$5:$B$604,"&gt;="&amp;DashStart,'Content Calendar'!$B$5:$B$604,"&lt;="&amp;DashEnd))</f>
        <v>0</v>
      </c>
      <c r="V556" s="23">
        <f>IF(T556="","",COUNTIFS('Content Calendar'!$G$5:$G$604,T556,'Content Calendar'!$X$5:$X$604,"Published",'Content Calendar'!$B$5:$B$604,"&gt;="&amp;DashStart,'Content Calendar'!$B$5:$B$604,"&lt;="&amp;DashEnd))</f>
        <v>0</v>
      </c>
      <c r="W556" s="23">
        <f>IF(T556="","",SUMIFS(Analytics!$J$5:$J$154,Analytics!$D$5:$D$154,T556,Analytics!$B$5:$B$154,"&gt;="&amp;DashStart,Analytics!$B$5:$B$154,"&lt;="&amp;DashEnd))</f>
        <v>0</v>
      </c>
      <c r="X556" s="23">
        <f>IF(T556="","",SUMIFS(Analytics!$L$5:$L$154,Analytics!$D$5:$D$154,T556,Analytics!$B$5:$B$154,"&gt;="&amp;DashStart,Analytics!$B$5:$B$154,"&lt;="&amp;DashEnd))</f>
        <v>0</v>
      </c>
      <c r="Y556" s="24">
        <f>IF(OR(W556="",W556=0),"",X556/W556)</f>
        <v>0</v>
      </c>
      <c r="Z556" s="23">
        <f>IF(T556="","",SUMIFS(Analytics!$G$5:$G$154,Analytics!$D$5:$D$154,T556,Analytics!$B$5:$B$154,"&gt;="&amp;DashStart,Analytics!$B$5:$B$154,"&lt;="&amp;DashEnd))</f>
        <v>0</v>
      </c>
      <c r="AA556" s="23">
        <f>IF(T556="","",SUMIFS(Analytics!$X$5:$X$154,Analytics!$D$5:$D$154,T556,Analytics!$B$5:$B$154,"&gt;="&amp;DashStart,Analytics!$B$5:$B$154,"&lt;="&amp;DashEnd))</f>
        <v>0</v>
      </c>
      <c r="AB556" s="23">
        <f>IF(T556="","",SUMIFS(Analytics!$R$5:$R$154,Analytics!$D$5:$D$154,T556,Analytics!$B$5:$B$154,"&gt;="&amp;DashStart,Analytics!$B$5:$B$154,"&lt;="&amp;DashEnd))</f>
        <v>0</v>
      </c>
      <c r="AC556" s="25">
        <f>IF(T556="","",SUMIFS(Analytics!$U$5:$U$154,Analytics!$D$5:$D$154,T556,Analytics!$B$5:$B$154,"&gt;="&amp;DashStart,Analytics!$B$5:$B$154,"&lt;="&amp;DashEnd))</f>
        <v>0</v>
      </c>
      <c r="AD556" s="23">
        <f>IF(T556="","",COUNTIFS('Content Calendar'!$G$5:$G$604,T556,'Content Calendar'!$B$5:$B$604,"&gt;="&amp;DATE(PlanYear,1,1),'Content Calendar'!$B$5:$B$604,"&lt;="&amp;DATE(PlanYear,12,31)))</f>
        <v>0</v>
      </c>
      <c r="AE556" s="23">
        <f>IF(T556="","",SUMIFS(Analytics!$J$5:$J$154,Analytics!$D$5:$D$154,T556))</f>
        <v>0</v>
      </c>
      <c r="AF556" s="23">
        <f>IF(T556="","",SUMIFS(Analytics!$L$5:$L$154,Analytics!$D$5:$D$154,T556))</f>
        <v>0</v>
      </c>
      <c r="AG556" s="24">
        <f>IF(OR(AE556="",AE556=0),"",AF556/AE556)</f>
        <v>0</v>
      </c>
      <c r="AH556" s="23">
        <f>IF(T556="","",SUMIFS(Analytics!$X$5:$X$154,Analytics!$D$5:$D$154,T556))</f>
        <v>0</v>
      </c>
      <c r="AI556" s="32">
        <f>IF(T556="","",IF(AE556=0,"",AE556+ROW()/1000000))</f>
        <v>0</v>
      </c>
      <c r="AJ556" s="17">
        <f>IF('Content Pillars'!$B$556="","",'Content Pillars'!$B$556)</f>
        <v>0</v>
      </c>
      <c r="AK556" s="23">
        <f>IF(AJ556="","",COUNTIFS('Content Calendar'!$J$5:$J$604,AJ556,'Content Calendar'!$B$5:$B$604,"&gt;="&amp;DATE(PlanYear,1,1),'Content Calendar'!$B$5:$B$604,"&lt;="&amp;DATE(PlanYear,12,31)))</f>
        <v>0</v>
      </c>
      <c r="AL556" s="23">
        <f>IF(AJ556="","",SUMIFS(Performance!$O$5:$O$404,Performance!$H$5:$H$404,AJ556))</f>
        <v>0</v>
      </c>
      <c r="AM556" s="23">
        <f>IF(AJ556="","",SUMIFS(Performance!$Z$5:$Z$404,Performance!$H$5:$H$404,AJ556))</f>
        <v>0</v>
      </c>
      <c r="AN556" s="24">
        <f>IF(OR(AL556="",AL556=0),"",AM556/AL556)</f>
        <v>0</v>
      </c>
      <c r="AO556" s="32">
        <f>IF(AN556="","",AN556+ROW()/1000000)</f>
        <v>0</v>
      </c>
      <c r="AP556" s="17">
        <f>IF(Lists!$E556="","",Lists!$E556)</f>
        <v>0</v>
      </c>
      <c r="AQ556" s="23">
        <f>IF(AP556="","",COUNTIF(Performance!$G$5:$G$404,AP556))</f>
        <v>0</v>
      </c>
      <c r="AR556" s="23">
        <f>IF(AP556="","",SUMIFS(Performance!$O$5:$O$404,Performance!$G$5:$G$404,AP556))</f>
        <v>0</v>
      </c>
      <c r="AS556" s="23">
        <f>IF(AP556="","",SUMIFS(Performance!$Z$5:$Z$404,Performance!$G$5:$G$404,AP556))</f>
        <v>0</v>
      </c>
      <c r="AT556" s="24">
        <f>IF(OR(AR556="",AR556=0),"",AS556/AR556)</f>
        <v>0</v>
      </c>
      <c r="AU556" s="32">
        <f>IF(AQ556=0,"",IF(AT556="","",AT556+ROW()/1000000))</f>
        <v>0</v>
      </c>
      <c r="AV556" s="17">
        <f>IF(ROW()-4&gt;7,"",TEXT(DATE(2024,1,ROW()-4),"ddd"))</f>
        <v>0</v>
      </c>
      <c r="AW556" s="23">
        <f>IF(AV556="","",COUNTIF(Performance!$N$5:$N$404,AV556))</f>
        <v>0</v>
      </c>
      <c r="AX556" s="23">
        <f>IF(AV556="","",SUMIFS(Performance!$O$5:$O$404,Performance!$N$5:$N$404,AV556))</f>
        <v>0</v>
      </c>
      <c r="AY556" s="23">
        <f>IF(AV556="","",SUMIFS(Performance!$Z$5:$Z$404,Performance!$N$5:$N$404,AV556))</f>
        <v>0</v>
      </c>
      <c r="AZ556" s="24">
        <f>IF(OR(AX556="",AX556=0),"",AY556/AX556)</f>
        <v>0</v>
      </c>
      <c r="BA556" s="32">
        <f>IF(AW556=0,"",IF(AZ556="","",AZ556+ROW()/1000000))</f>
        <v>0</v>
      </c>
      <c r="BB556" s="17">
        <f>IF(Lists!$AL556="","",Lists!$AL556)</f>
        <v>0</v>
      </c>
      <c r="BC556" s="23">
        <f>IF(BB556="","",COUNTIF(Performance!$M$5:$M$404,BB556))</f>
        <v>0</v>
      </c>
      <c r="BD556" s="23">
        <f>IF(BB556="","",SUMIFS(Performance!$O$5:$O$404,Performance!$M$5:$M$404,BB556))</f>
        <v>0</v>
      </c>
      <c r="BE556" s="23">
        <f>IF(BB556="","",SUMIFS(Performance!$Z$5:$Z$404,Performance!$M$5:$M$404,BB556))</f>
        <v>0</v>
      </c>
      <c r="BF556" s="24">
        <f>IF(OR(BD556="",BD556=0),"",BE556/BD556)</f>
        <v>0</v>
      </c>
      <c r="BG556" s="32">
        <f>IF(BC556=0,"",IF(BF556="","",BF556+ROW()/1000000))</f>
        <v>0</v>
      </c>
      <c r="BH556" s="17">
        <f>IF(Performance!$C$556="","",Performance!$C$556)</f>
        <v>0</v>
      </c>
      <c r="BI556" s="17">
        <f>IF(Performance!$F$556="","",Performance!$F$556)</f>
        <v>0</v>
      </c>
      <c r="BJ556" s="17">
        <f>IF(Performance!$H$556="","",Performance!$H$556)</f>
        <v>0</v>
      </c>
      <c r="BK556" s="16">
        <f>IF(Performance!$D$556="","",Performance!$D$556)</f>
        <v>0</v>
      </c>
      <c r="BL556" s="17">
        <f>IF(Performance!$E$556="","",Performance!$E$556)</f>
        <v>0</v>
      </c>
      <c r="BM556" s="23">
        <f>IF(Performance!$O$556="","",Performance!$O$556)</f>
        <v>0</v>
      </c>
      <c r="BN556" s="24">
        <f>IF(Performance!$AA$556="","",Performance!$AA$556)</f>
        <v>0</v>
      </c>
      <c r="BO556" s="32">
        <f>IF(BH556="","",IF(BK556="","",IF(OR(BK556&lt;DashStart,BK556&gt;DashEnd),"",IF(BN556="","",BN556+ROW()/1000000))))</f>
        <v>0</v>
      </c>
      <c r="BP556" s="32">
        <f>IF(BM556="","",IF(BK556="","",IF(OR(BK556&lt;DashStart,BK556&gt;DashEnd),"",BM556+ROW()/1000000)))</f>
        <v>0</v>
      </c>
      <c r="BQ556" s="32">
        <f>IF(BH556="","",IF(BK556="","",IF(YEAR(BK556)&lt;&gt;PlanYear,"",IF(BN556="","",BN556+ROW()/1000000))))</f>
        <v>0</v>
      </c>
      <c r="BR556" s="32">
        <f>IF(BH556="","",IF(BK556="","",IF(OR(BK556&lt;RepFrom,BK556&gt;RepTo),"",IF(BN556="","",BN556+ROW()/1000000))))</f>
        <v>0</v>
      </c>
      <c r="BS556" s="32">
        <f>IF(BM556="","",IF(BK556="","",IF(YEAR(BK556)&lt;&gt;PlanYear,"",BM556+ROW()/1000000)))</f>
        <v>0</v>
      </c>
      <c r="BT556" s="17">
        <f>IF(Lists!$F556="","",Lists!$F556)</f>
        <v>0</v>
      </c>
      <c r="BU556" s="23">
        <f>IF(BT556="","",COUNTIF('Content Calendar'!$X$5:$X$604,BT556))</f>
        <v>0</v>
      </c>
      <c r="BV556" s="23">
        <f>IF(BT556="","",COUNTIFS('Content Calendar'!$X$5:$X$604,BT556,'Content Calendar'!$B$5:$B$604,"&gt;="&amp;DashStart,'Content Calendar'!$B$5:$B$604,"&lt;="&amp;DashEnd))</f>
        <v>0</v>
      </c>
      <c r="BW556" s="17">
        <f>IF(Team!$B$556="","",Team!$B$556)</f>
        <v>0</v>
      </c>
      <c r="BX556" s="23">
        <f>IF(BW556="","",COUNTIF('Content Calendar'!$W$5:$W$604,BW556))</f>
        <v>0</v>
      </c>
      <c r="BY556" s="23">
        <f>IF(BW556="","",COUNTIFS('Content Calendar'!$W$5:$W$604,BW556,'Content Calendar'!$X$5:$X$604,"&lt;&gt;Published"))</f>
        <v>0</v>
      </c>
      <c r="BZ556" s="23">
        <f>IF(BW556="","",COUNTIFS(Tasks!$C$5:$C$64,BW556,Tasks!$G$5:$G$64,"&lt;&gt;Complete"))</f>
        <v>0</v>
      </c>
      <c r="CA556" s="17">
        <f>IF(Campaigns!$B$556="","",Campaigns!$B$556)</f>
        <v>0</v>
      </c>
      <c r="CB556" s="25">
        <f>IF(Campaigns!$T$556="","",Campaigns!$T$556)</f>
        <v>0</v>
      </c>
      <c r="CC556" s="25">
        <f>IF(Campaigns!$Q$556="","",Campaigns!$Q$556)</f>
        <v>0</v>
      </c>
      <c r="CD556" s="23">
        <f>IF(Campaigns!$Y$556="","",Campaigns!$Y$556)</f>
        <v>0</v>
      </c>
      <c r="CE556" s="32">
        <f>IF(CA556="","",IF(N(CB556)&lt;=0,"",N(CB556)+ROW()/1000000))</f>
        <v>0</v>
      </c>
      <c r="CF556" s="17">
        <f>IF(Accounts!$C$556="","",Accounts!$C$556)</f>
        <v>0</v>
      </c>
      <c r="CG556" s="17">
        <f>IF(Accounts!$B$556="","",Accounts!$B$556)</f>
        <v>0</v>
      </c>
      <c r="CH556" s="23">
        <f>IF(Accounts!$J$556="","",Accounts!$J$556)</f>
        <v>0</v>
      </c>
      <c r="CI556" s="23">
        <f>IF(CF556="","",SUMIFS(Analytics!$X$5:$X$154,Analytics!$E$5:$E$154,CF556,Analytics!$B$5:$B$154,"&gt;="&amp;DashStart,Analytics!$B$5:$B$154,"&lt;="&amp;DashEnd))</f>
        <v>0</v>
      </c>
      <c r="CJ556" s="32">
        <f>IF(CH556="","",IF(CH556=0,"",CH556+ROW()/1000000))</f>
        <v>0</v>
      </c>
    </row>
    <row r="557" spans="1:88">
      <c r="A557" s="16">
        <f>IF(ROW()-4&gt;12,"",DATE(PlanYear,ROW()-4,1))</f>
        <v>0</v>
      </c>
      <c r="B557" s="16">
        <f>IF(A557="","",EOMONTH(A557,0))</f>
        <v>0</v>
      </c>
      <c r="C557" s="17">
        <f>IF(A557="","",TEXT(A557,"yyyy-mm"))</f>
        <v>0</v>
      </c>
      <c r="D557" s="17">
        <f>IF(A557="","",TEXT(A557,"mmm"))</f>
        <v>0</v>
      </c>
      <c r="E557" s="23">
        <f>IF(C557="","",COUNTIFS('Content Calendar'!$D$5:$D$604,C557))</f>
        <v>0</v>
      </c>
      <c r="F557" s="23">
        <f>IF(C557="","",COUNTIFS('Content Calendar'!$D$5:$D$604,C557,'Content Calendar'!$X$5:$X$604,"Published"))</f>
        <v>0</v>
      </c>
      <c r="G557" s="23">
        <f>IF(C557="","",SUMIFS(Analytics!$J$5:$J$154,Analytics!$C$5:$C$154,C557))</f>
        <v>0</v>
      </c>
      <c r="H557" s="23">
        <f>IF(C557="","",SUMIFS(Analytics!$K$5:$K$154,Analytics!$C$5:$C$154,C557))</f>
        <v>0</v>
      </c>
      <c r="I557" s="23">
        <f>IF(C557="","",SUMIFS(Analytics!$L$5:$L$154,Analytics!$C$5:$C$154,C557))</f>
        <v>0</v>
      </c>
      <c r="J557" s="24">
        <f>IF(OR(G557="",G557=0),"",I557/G557)</f>
        <v>0</v>
      </c>
      <c r="K557" s="23">
        <f>IF(C557="","",SUMIFS(Analytics!$G$5:$G$154,Analytics!$C$5:$C$154,C557))</f>
        <v>0</v>
      </c>
      <c r="L557" s="23">
        <f>IF(C557="","",SUMIFS(Analytics!$X$5:$X$154,Analytics!$C$5:$C$154,C557))</f>
        <v>0</v>
      </c>
      <c r="M557" s="23">
        <f>IF(C557="","",SUMIFS(Analytics!$R$5:$R$154,Analytics!$C$5:$C$154,C557))</f>
        <v>0</v>
      </c>
      <c r="N557" s="23">
        <f>IF(C557="","",SUMIFS(Analytics!$S$5:$S$154,Analytics!$C$5:$C$154,C557))</f>
        <v>0</v>
      </c>
      <c r="O557" s="23">
        <f>IF(C557="","",SUMIFS(Analytics!$T$5:$T$154,Analytics!$C$5:$C$154,C557))</f>
        <v>0</v>
      </c>
      <c r="P557" s="25">
        <f>IF(C557="","",SUMIFS(Analytics!$U$5:$U$154,Analytics!$C$5:$C$154,C557))</f>
        <v>0</v>
      </c>
      <c r="Q557" s="25">
        <f>IF(C557="","",SUMIFS(Budget!$H$5:$H$64,Budget!$C$5:$C$64,C557))</f>
        <v>0</v>
      </c>
      <c r="R557" s="25">
        <f>IF(C557="","",P557-Q557)</f>
        <v>0</v>
      </c>
      <c r="S557" s="23">
        <f>IF(C557="","",MonthlyPostTarget)</f>
        <v>0</v>
      </c>
      <c r="T557" s="17">
        <f>IF(Lists!$C557="","",Lists!$C557)</f>
        <v>0</v>
      </c>
      <c r="U557" s="23">
        <f>IF(T557="","",COUNTIFS('Content Calendar'!$G$5:$G$604,T557,'Content Calendar'!$B$5:$B$604,"&gt;="&amp;DashStart,'Content Calendar'!$B$5:$B$604,"&lt;="&amp;DashEnd))</f>
        <v>0</v>
      </c>
      <c r="V557" s="23">
        <f>IF(T557="","",COUNTIFS('Content Calendar'!$G$5:$G$604,T557,'Content Calendar'!$X$5:$X$604,"Published",'Content Calendar'!$B$5:$B$604,"&gt;="&amp;DashStart,'Content Calendar'!$B$5:$B$604,"&lt;="&amp;DashEnd))</f>
        <v>0</v>
      </c>
      <c r="W557" s="23">
        <f>IF(T557="","",SUMIFS(Analytics!$J$5:$J$154,Analytics!$D$5:$D$154,T557,Analytics!$B$5:$B$154,"&gt;="&amp;DashStart,Analytics!$B$5:$B$154,"&lt;="&amp;DashEnd))</f>
        <v>0</v>
      </c>
      <c r="X557" s="23">
        <f>IF(T557="","",SUMIFS(Analytics!$L$5:$L$154,Analytics!$D$5:$D$154,T557,Analytics!$B$5:$B$154,"&gt;="&amp;DashStart,Analytics!$B$5:$B$154,"&lt;="&amp;DashEnd))</f>
        <v>0</v>
      </c>
      <c r="Y557" s="24">
        <f>IF(OR(W557="",W557=0),"",X557/W557)</f>
        <v>0</v>
      </c>
      <c r="Z557" s="23">
        <f>IF(T557="","",SUMIFS(Analytics!$G$5:$G$154,Analytics!$D$5:$D$154,T557,Analytics!$B$5:$B$154,"&gt;="&amp;DashStart,Analytics!$B$5:$B$154,"&lt;="&amp;DashEnd))</f>
        <v>0</v>
      </c>
      <c r="AA557" s="23">
        <f>IF(T557="","",SUMIFS(Analytics!$X$5:$X$154,Analytics!$D$5:$D$154,T557,Analytics!$B$5:$B$154,"&gt;="&amp;DashStart,Analytics!$B$5:$B$154,"&lt;="&amp;DashEnd))</f>
        <v>0</v>
      </c>
      <c r="AB557" s="23">
        <f>IF(T557="","",SUMIFS(Analytics!$R$5:$R$154,Analytics!$D$5:$D$154,T557,Analytics!$B$5:$B$154,"&gt;="&amp;DashStart,Analytics!$B$5:$B$154,"&lt;="&amp;DashEnd))</f>
        <v>0</v>
      </c>
      <c r="AC557" s="25">
        <f>IF(T557="","",SUMIFS(Analytics!$U$5:$U$154,Analytics!$D$5:$D$154,T557,Analytics!$B$5:$B$154,"&gt;="&amp;DashStart,Analytics!$B$5:$B$154,"&lt;="&amp;DashEnd))</f>
        <v>0</v>
      </c>
      <c r="AD557" s="23">
        <f>IF(T557="","",COUNTIFS('Content Calendar'!$G$5:$G$604,T557,'Content Calendar'!$B$5:$B$604,"&gt;="&amp;DATE(PlanYear,1,1),'Content Calendar'!$B$5:$B$604,"&lt;="&amp;DATE(PlanYear,12,31)))</f>
        <v>0</v>
      </c>
      <c r="AE557" s="23">
        <f>IF(T557="","",SUMIFS(Analytics!$J$5:$J$154,Analytics!$D$5:$D$154,T557))</f>
        <v>0</v>
      </c>
      <c r="AF557" s="23">
        <f>IF(T557="","",SUMIFS(Analytics!$L$5:$L$154,Analytics!$D$5:$D$154,T557))</f>
        <v>0</v>
      </c>
      <c r="AG557" s="24">
        <f>IF(OR(AE557="",AE557=0),"",AF557/AE557)</f>
        <v>0</v>
      </c>
      <c r="AH557" s="23">
        <f>IF(T557="","",SUMIFS(Analytics!$X$5:$X$154,Analytics!$D$5:$D$154,T557))</f>
        <v>0</v>
      </c>
      <c r="AI557" s="32">
        <f>IF(T557="","",IF(AE557=0,"",AE557+ROW()/1000000))</f>
        <v>0</v>
      </c>
      <c r="AJ557" s="17">
        <f>IF('Content Pillars'!$B$557="","",'Content Pillars'!$B$557)</f>
        <v>0</v>
      </c>
      <c r="AK557" s="23">
        <f>IF(AJ557="","",COUNTIFS('Content Calendar'!$J$5:$J$604,AJ557,'Content Calendar'!$B$5:$B$604,"&gt;="&amp;DATE(PlanYear,1,1),'Content Calendar'!$B$5:$B$604,"&lt;="&amp;DATE(PlanYear,12,31)))</f>
        <v>0</v>
      </c>
      <c r="AL557" s="23">
        <f>IF(AJ557="","",SUMIFS(Performance!$O$5:$O$404,Performance!$H$5:$H$404,AJ557))</f>
        <v>0</v>
      </c>
      <c r="AM557" s="23">
        <f>IF(AJ557="","",SUMIFS(Performance!$Z$5:$Z$404,Performance!$H$5:$H$404,AJ557))</f>
        <v>0</v>
      </c>
      <c r="AN557" s="24">
        <f>IF(OR(AL557="",AL557=0),"",AM557/AL557)</f>
        <v>0</v>
      </c>
      <c r="AO557" s="32">
        <f>IF(AN557="","",AN557+ROW()/1000000)</f>
        <v>0</v>
      </c>
      <c r="AP557" s="17">
        <f>IF(Lists!$E557="","",Lists!$E557)</f>
        <v>0</v>
      </c>
      <c r="AQ557" s="23">
        <f>IF(AP557="","",COUNTIF(Performance!$G$5:$G$404,AP557))</f>
        <v>0</v>
      </c>
      <c r="AR557" s="23">
        <f>IF(AP557="","",SUMIFS(Performance!$O$5:$O$404,Performance!$G$5:$G$404,AP557))</f>
        <v>0</v>
      </c>
      <c r="AS557" s="23">
        <f>IF(AP557="","",SUMIFS(Performance!$Z$5:$Z$404,Performance!$G$5:$G$404,AP557))</f>
        <v>0</v>
      </c>
      <c r="AT557" s="24">
        <f>IF(OR(AR557="",AR557=0),"",AS557/AR557)</f>
        <v>0</v>
      </c>
      <c r="AU557" s="32">
        <f>IF(AQ557=0,"",IF(AT557="","",AT557+ROW()/1000000))</f>
        <v>0</v>
      </c>
      <c r="AV557" s="17">
        <f>IF(ROW()-4&gt;7,"",TEXT(DATE(2024,1,ROW()-4),"ddd"))</f>
        <v>0</v>
      </c>
      <c r="AW557" s="23">
        <f>IF(AV557="","",COUNTIF(Performance!$N$5:$N$404,AV557))</f>
        <v>0</v>
      </c>
      <c r="AX557" s="23">
        <f>IF(AV557="","",SUMIFS(Performance!$O$5:$O$404,Performance!$N$5:$N$404,AV557))</f>
        <v>0</v>
      </c>
      <c r="AY557" s="23">
        <f>IF(AV557="","",SUMIFS(Performance!$Z$5:$Z$404,Performance!$N$5:$N$404,AV557))</f>
        <v>0</v>
      </c>
      <c r="AZ557" s="24">
        <f>IF(OR(AX557="",AX557=0),"",AY557/AX557)</f>
        <v>0</v>
      </c>
      <c r="BA557" s="32">
        <f>IF(AW557=0,"",IF(AZ557="","",AZ557+ROW()/1000000))</f>
        <v>0</v>
      </c>
      <c r="BB557" s="17">
        <f>IF(Lists!$AL557="","",Lists!$AL557)</f>
        <v>0</v>
      </c>
      <c r="BC557" s="23">
        <f>IF(BB557="","",COUNTIF(Performance!$M$5:$M$404,BB557))</f>
        <v>0</v>
      </c>
      <c r="BD557" s="23">
        <f>IF(BB557="","",SUMIFS(Performance!$O$5:$O$404,Performance!$M$5:$M$404,BB557))</f>
        <v>0</v>
      </c>
      <c r="BE557" s="23">
        <f>IF(BB557="","",SUMIFS(Performance!$Z$5:$Z$404,Performance!$M$5:$M$404,BB557))</f>
        <v>0</v>
      </c>
      <c r="BF557" s="24">
        <f>IF(OR(BD557="",BD557=0),"",BE557/BD557)</f>
        <v>0</v>
      </c>
      <c r="BG557" s="32">
        <f>IF(BC557=0,"",IF(BF557="","",BF557+ROW()/1000000))</f>
        <v>0</v>
      </c>
      <c r="BH557" s="17">
        <f>IF(Performance!$C$557="","",Performance!$C$557)</f>
        <v>0</v>
      </c>
      <c r="BI557" s="17">
        <f>IF(Performance!$F$557="","",Performance!$F$557)</f>
        <v>0</v>
      </c>
      <c r="BJ557" s="17">
        <f>IF(Performance!$H$557="","",Performance!$H$557)</f>
        <v>0</v>
      </c>
      <c r="BK557" s="16">
        <f>IF(Performance!$D$557="","",Performance!$D$557)</f>
        <v>0</v>
      </c>
      <c r="BL557" s="17">
        <f>IF(Performance!$E$557="","",Performance!$E$557)</f>
        <v>0</v>
      </c>
      <c r="BM557" s="23">
        <f>IF(Performance!$O$557="","",Performance!$O$557)</f>
        <v>0</v>
      </c>
      <c r="BN557" s="24">
        <f>IF(Performance!$AA$557="","",Performance!$AA$557)</f>
        <v>0</v>
      </c>
      <c r="BO557" s="32">
        <f>IF(BH557="","",IF(BK557="","",IF(OR(BK557&lt;DashStart,BK557&gt;DashEnd),"",IF(BN557="","",BN557+ROW()/1000000))))</f>
        <v>0</v>
      </c>
      <c r="BP557" s="32">
        <f>IF(BM557="","",IF(BK557="","",IF(OR(BK557&lt;DashStart,BK557&gt;DashEnd),"",BM557+ROW()/1000000)))</f>
        <v>0</v>
      </c>
      <c r="BQ557" s="32">
        <f>IF(BH557="","",IF(BK557="","",IF(YEAR(BK557)&lt;&gt;PlanYear,"",IF(BN557="","",BN557+ROW()/1000000))))</f>
        <v>0</v>
      </c>
      <c r="BR557" s="32">
        <f>IF(BH557="","",IF(BK557="","",IF(OR(BK557&lt;RepFrom,BK557&gt;RepTo),"",IF(BN557="","",BN557+ROW()/1000000))))</f>
        <v>0</v>
      </c>
      <c r="BS557" s="32">
        <f>IF(BM557="","",IF(BK557="","",IF(YEAR(BK557)&lt;&gt;PlanYear,"",BM557+ROW()/1000000)))</f>
        <v>0</v>
      </c>
      <c r="BT557" s="17">
        <f>IF(Lists!$F557="","",Lists!$F557)</f>
        <v>0</v>
      </c>
      <c r="BU557" s="23">
        <f>IF(BT557="","",COUNTIF('Content Calendar'!$X$5:$X$604,BT557))</f>
        <v>0</v>
      </c>
      <c r="BV557" s="23">
        <f>IF(BT557="","",COUNTIFS('Content Calendar'!$X$5:$X$604,BT557,'Content Calendar'!$B$5:$B$604,"&gt;="&amp;DashStart,'Content Calendar'!$B$5:$B$604,"&lt;="&amp;DashEnd))</f>
        <v>0</v>
      </c>
      <c r="BW557" s="17">
        <f>IF(Team!$B$557="","",Team!$B$557)</f>
        <v>0</v>
      </c>
      <c r="BX557" s="23">
        <f>IF(BW557="","",COUNTIF('Content Calendar'!$W$5:$W$604,BW557))</f>
        <v>0</v>
      </c>
      <c r="BY557" s="23">
        <f>IF(BW557="","",COUNTIFS('Content Calendar'!$W$5:$W$604,BW557,'Content Calendar'!$X$5:$X$604,"&lt;&gt;Published"))</f>
        <v>0</v>
      </c>
      <c r="BZ557" s="23">
        <f>IF(BW557="","",COUNTIFS(Tasks!$C$5:$C$64,BW557,Tasks!$G$5:$G$64,"&lt;&gt;Complete"))</f>
        <v>0</v>
      </c>
      <c r="CA557" s="17">
        <f>IF(Campaigns!$B$557="","",Campaigns!$B$557)</f>
        <v>0</v>
      </c>
      <c r="CB557" s="25">
        <f>IF(Campaigns!$T$557="","",Campaigns!$T$557)</f>
        <v>0</v>
      </c>
      <c r="CC557" s="25">
        <f>IF(Campaigns!$Q$557="","",Campaigns!$Q$557)</f>
        <v>0</v>
      </c>
      <c r="CD557" s="23">
        <f>IF(Campaigns!$Y$557="","",Campaigns!$Y$557)</f>
        <v>0</v>
      </c>
      <c r="CE557" s="32">
        <f>IF(CA557="","",IF(N(CB557)&lt;=0,"",N(CB557)+ROW()/1000000))</f>
        <v>0</v>
      </c>
      <c r="CF557" s="17">
        <f>IF(Accounts!$C$557="","",Accounts!$C$557)</f>
        <v>0</v>
      </c>
      <c r="CG557" s="17">
        <f>IF(Accounts!$B$557="","",Accounts!$B$557)</f>
        <v>0</v>
      </c>
      <c r="CH557" s="23">
        <f>IF(Accounts!$J$557="","",Accounts!$J$557)</f>
        <v>0</v>
      </c>
      <c r="CI557" s="23">
        <f>IF(CF557="","",SUMIFS(Analytics!$X$5:$X$154,Analytics!$E$5:$E$154,CF557,Analytics!$B$5:$B$154,"&gt;="&amp;DashStart,Analytics!$B$5:$B$154,"&lt;="&amp;DashEnd))</f>
        <v>0</v>
      </c>
      <c r="CJ557" s="32">
        <f>IF(CH557="","",IF(CH557=0,"",CH557+ROW()/1000000))</f>
        <v>0</v>
      </c>
    </row>
    <row r="558" spans="1:88">
      <c r="A558" s="16">
        <f>IF(ROW()-4&gt;12,"",DATE(PlanYear,ROW()-4,1))</f>
        <v>0</v>
      </c>
      <c r="B558" s="16">
        <f>IF(A558="","",EOMONTH(A558,0))</f>
        <v>0</v>
      </c>
      <c r="C558" s="17">
        <f>IF(A558="","",TEXT(A558,"yyyy-mm"))</f>
        <v>0</v>
      </c>
      <c r="D558" s="17">
        <f>IF(A558="","",TEXT(A558,"mmm"))</f>
        <v>0</v>
      </c>
      <c r="E558" s="23">
        <f>IF(C558="","",COUNTIFS('Content Calendar'!$D$5:$D$604,C558))</f>
        <v>0</v>
      </c>
      <c r="F558" s="23">
        <f>IF(C558="","",COUNTIFS('Content Calendar'!$D$5:$D$604,C558,'Content Calendar'!$X$5:$X$604,"Published"))</f>
        <v>0</v>
      </c>
      <c r="G558" s="23">
        <f>IF(C558="","",SUMIFS(Analytics!$J$5:$J$154,Analytics!$C$5:$C$154,C558))</f>
        <v>0</v>
      </c>
      <c r="H558" s="23">
        <f>IF(C558="","",SUMIFS(Analytics!$K$5:$K$154,Analytics!$C$5:$C$154,C558))</f>
        <v>0</v>
      </c>
      <c r="I558" s="23">
        <f>IF(C558="","",SUMIFS(Analytics!$L$5:$L$154,Analytics!$C$5:$C$154,C558))</f>
        <v>0</v>
      </c>
      <c r="J558" s="24">
        <f>IF(OR(G558="",G558=0),"",I558/G558)</f>
        <v>0</v>
      </c>
      <c r="K558" s="23">
        <f>IF(C558="","",SUMIFS(Analytics!$G$5:$G$154,Analytics!$C$5:$C$154,C558))</f>
        <v>0</v>
      </c>
      <c r="L558" s="23">
        <f>IF(C558="","",SUMIFS(Analytics!$X$5:$X$154,Analytics!$C$5:$C$154,C558))</f>
        <v>0</v>
      </c>
      <c r="M558" s="23">
        <f>IF(C558="","",SUMIFS(Analytics!$R$5:$R$154,Analytics!$C$5:$C$154,C558))</f>
        <v>0</v>
      </c>
      <c r="N558" s="23">
        <f>IF(C558="","",SUMIFS(Analytics!$S$5:$S$154,Analytics!$C$5:$C$154,C558))</f>
        <v>0</v>
      </c>
      <c r="O558" s="23">
        <f>IF(C558="","",SUMIFS(Analytics!$T$5:$T$154,Analytics!$C$5:$C$154,C558))</f>
        <v>0</v>
      </c>
      <c r="P558" s="25">
        <f>IF(C558="","",SUMIFS(Analytics!$U$5:$U$154,Analytics!$C$5:$C$154,C558))</f>
        <v>0</v>
      </c>
      <c r="Q558" s="25">
        <f>IF(C558="","",SUMIFS(Budget!$H$5:$H$64,Budget!$C$5:$C$64,C558))</f>
        <v>0</v>
      </c>
      <c r="R558" s="25">
        <f>IF(C558="","",P558-Q558)</f>
        <v>0</v>
      </c>
      <c r="S558" s="23">
        <f>IF(C558="","",MonthlyPostTarget)</f>
        <v>0</v>
      </c>
      <c r="T558" s="17">
        <f>IF(Lists!$C558="","",Lists!$C558)</f>
        <v>0</v>
      </c>
      <c r="U558" s="23">
        <f>IF(T558="","",COUNTIFS('Content Calendar'!$G$5:$G$604,T558,'Content Calendar'!$B$5:$B$604,"&gt;="&amp;DashStart,'Content Calendar'!$B$5:$B$604,"&lt;="&amp;DashEnd))</f>
        <v>0</v>
      </c>
      <c r="V558" s="23">
        <f>IF(T558="","",COUNTIFS('Content Calendar'!$G$5:$G$604,T558,'Content Calendar'!$X$5:$X$604,"Published",'Content Calendar'!$B$5:$B$604,"&gt;="&amp;DashStart,'Content Calendar'!$B$5:$B$604,"&lt;="&amp;DashEnd))</f>
        <v>0</v>
      </c>
      <c r="W558" s="23">
        <f>IF(T558="","",SUMIFS(Analytics!$J$5:$J$154,Analytics!$D$5:$D$154,T558,Analytics!$B$5:$B$154,"&gt;="&amp;DashStart,Analytics!$B$5:$B$154,"&lt;="&amp;DashEnd))</f>
        <v>0</v>
      </c>
      <c r="X558" s="23">
        <f>IF(T558="","",SUMIFS(Analytics!$L$5:$L$154,Analytics!$D$5:$D$154,T558,Analytics!$B$5:$B$154,"&gt;="&amp;DashStart,Analytics!$B$5:$B$154,"&lt;="&amp;DashEnd))</f>
        <v>0</v>
      </c>
      <c r="Y558" s="24">
        <f>IF(OR(W558="",W558=0),"",X558/W558)</f>
        <v>0</v>
      </c>
      <c r="Z558" s="23">
        <f>IF(T558="","",SUMIFS(Analytics!$G$5:$G$154,Analytics!$D$5:$D$154,T558,Analytics!$B$5:$B$154,"&gt;="&amp;DashStart,Analytics!$B$5:$B$154,"&lt;="&amp;DashEnd))</f>
        <v>0</v>
      </c>
      <c r="AA558" s="23">
        <f>IF(T558="","",SUMIFS(Analytics!$X$5:$X$154,Analytics!$D$5:$D$154,T558,Analytics!$B$5:$B$154,"&gt;="&amp;DashStart,Analytics!$B$5:$B$154,"&lt;="&amp;DashEnd))</f>
        <v>0</v>
      </c>
      <c r="AB558" s="23">
        <f>IF(T558="","",SUMIFS(Analytics!$R$5:$R$154,Analytics!$D$5:$D$154,T558,Analytics!$B$5:$B$154,"&gt;="&amp;DashStart,Analytics!$B$5:$B$154,"&lt;="&amp;DashEnd))</f>
        <v>0</v>
      </c>
      <c r="AC558" s="25">
        <f>IF(T558="","",SUMIFS(Analytics!$U$5:$U$154,Analytics!$D$5:$D$154,T558,Analytics!$B$5:$B$154,"&gt;="&amp;DashStart,Analytics!$B$5:$B$154,"&lt;="&amp;DashEnd))</f>
        <v>0</v>
      </c>
      <c r="AD558" s="23">
        <f>IF(T558="","",COUNTIFS('Content Calendar'!$G$5:$G$604,T558,'Content Calendar'!$B$5:$B$604,"&gt;="&amp;DATE(PlanYear,1,1),'Content Calendar'!$B$5:$B$604,"&lt;="&amp;DATE(PlanYear,12,31)))</f>
        <v>0</v>
      </c>
      <c r="AE558" s="23">
        <f>IF(T558="","",SUMIFS(Analytics!$J$5:$J$154,Analytics!$D$5:$D$154,T558))</f>
        <v>0</v>
      </c>
      <c r="AF558" s="23">
        <f>IF(T558="","",SUMIFS(Analytics!$L$5:$L$154,Analytics!$D$5:$D$154,T558))</f>
        <v>0</v>
      </c>
      <c r="AG558" s="24">
        <f>IF(OR(AE558="",AE558=0),"",AF558/AE558)</f>
        <v>0</v>
      </c>
      <c r="AH558" s="23">
        <f>IF(T558="","",SUMIFS(Analytics!$X$5:$X$154,Analytics!$D$5:$D$154,T558))</f>
        <v>0</v>
      </c>
      <c r="AI558" s="32">
        <f>IF(T558="","",IF(AE558=0,"",AE558+ROW()/1000000))</f>
        <v>0</v>
      </c>
      <c r="AJ558" s="17">
        <f>IF('Content Pillars'!$B$558="","",'Content Pillars'!$B$558)</f>
        <v>0</v>
      </c>
      <c r="AK558" s="23">
        <f>IF(AJ558="","",COUNTIFS('Content Calendar'!$J$5:$J$604,AJ558,'Content Calendar'!$B$5:$B$604,"&gt;="&amp;DATE(PlanYear,1,1),'Content Calendar'!$B$5:$B$604,"&lt;="&amp;DATE(PlanYear,12,31)))</f>
        <v>0</v>
      </c>
      <c r="AL558" s="23">
        <f>IF(AJ558="","",SUMIFS(Performance!$O$5:$O$404,Performance!$H$5:$H$404,AJ558))</f>
        <v>0</v>
      </c>
      <c r="AM558" s="23">
        <f>IF(AJ558="","",SUMIFS(Performance!$Z$5:$Z$404,Performance!$H$5:$H$404,AJ558))</f>
        <v>0</v>
      </c>
      <c r="AN558" s="24">
        <f>IF(OR(AL558="",AL558=0),"",AM558/AL558)</f>
        <v>0</v>
      </c>
      <c r="AO558" s="32">
        <f>IF(AN558="","",AN558+ROW()/1000000)</f>
        <v>0</v>
      </c>
      <c r="AP558" s="17">
        <f>IF(Lists!$E558="","",Lists!$E558)</f>
        <v>0</v>
      </c>
      <c r="AQ558" s="23">
        <f>IF(AP558="","",COUNTIF(Performance!$G$5:$G$404,AP558))</f>
        <v>0</v>
      </c>
      <c r="AR558" s="23">
        <f>IF(AP558="","",SUMIFS(Performance!$O$5:$O$404,Performance!$G$5:$G$404,AP558))</f>
        <v>0</v>
      </c>
      <c r="AS558" s="23">
        <f>IF(AP558="","",SUMIFS(Performance!$Z$5:$Z$404,Performance!$G$5:$G$404,AP558))</f>
        <v>0</v>
      </c>
      <c r="AT558" s="24">
        <f>IF(OR(AR558="",AR558=0),"",AS558/AR558)</f>
        <v>0</v>
      </c>
      <c r="AU558" s="32">
        <f>IF(AQ558=0,"",IF(AT558="","",AT558+ROW()/1000000))</f>
        <v>0</v>
      </c>
      <c r="AV558" s="17">
        <f>IF(ROW()-4&gt;7,"",TEXT(DATE(2024,1,ROW()-4),"ddd"))</f>
        <v>0</v>
      </c>
      <c r="AW558" s="23">
        <f>IF(AV558="","",COUNTIF(Performance!$N$5:$N$404,AV558))</f>
        <v>0</v>
      </c>
      <c r="AX558" s="23">
        <f>IF(AV558="","",SUMIFS(Performance!$O$5:$O$404,Performance!$N$5:$N$404,AV558))</f>
        <v>0</v>
      </c>
      <c r="AY558" s="23">
        <f>IF(AV558="","",SUMIFS(Performance!$Z$5:$Z$404,Performance!$N$5:$N$404,AV558))</f>
        <v>0</v>
      </c>
      <c r="AZ558" s="24">
        <f>IF(OR(AX558="",AX558=0),"",AY558/AX558)</f>
        <v>0</v>
      </c>
      <c r="BA558" s="32">
        <f>IF(AW558=0,"",IF(AZ558="","",AZ558+ROW()/1000000))</f>
        <v>0</v>
      </c>
      <c r="BB558" s="17">
        <f>IF(Lists!$AL558="","",Lists!$AL558)</f>
        <v>0</v>
      </c>
      <c r="BC558" s="23">
        <f>IF(BB558="","",COUNTIF(Performance!$M$5:$M$404,BB558))</f>
        <v>0</v>
      </c>
      <c r="BD558" s="23">
        <f>IF(BB558="","",SUMIFS(Performance!$O$5:$O$404,Performance!$M$5:$M$404,BB558))</f>
        <v>0</v>
      </c>
      <c r="BE558" s="23">
        <f>IF(BB558="","",SUMIFS(Performance!$Z$5:$Z$404,Performance!$M$5:$M$404,BB558))</f>
        <v>0</v>
      </c>
      <c r="BF558" s="24">
        <f>IF(OR(BD558="",BD558=0),"",BE558/BD558)</f>
        <v>0</v>
      </c>
      <c r="BG558" s="32">
        <f>IF(BC558=0,"",IF(BF558="","",BF558+ROW()/1000000))</f>
        <v>0</v>
      </c>
      <c r="BH558" s="17">
        <f>IF(Performance!$C$558="","",Performance!$C$558)</f>
        <v>0</v>
      </c>
      <c r="BI558" s="17">
        <f>IF(Performance!$F$558="","",Performance!$F$558)</f>
        <v>0</v>
      </c>
      <c r="BJ558" s="17">
        <f>IF(Performance!$H$558="","",Performance!$H$558)</f>
        <v>0</v>
      </c>
      <c r="BK558" s="16">
        <f>IF(Performance!$D$558="","",Performance!$D$558)</f>
        <v>0</v>
      </c>
      <c r="BL558" s="17">
        <f>IF(Performance!$E$558="","",Performance!$E$558)</f>
        <v>0</v>
      </c>
      <c r="BM558" s="23">
        <f>IF(Performance!$O$558="","",Performance!$O$558)</f>
        <v>0</v>
      </c>
      <c r="BN558" s="24">
        <f>IF(Performance!$AA$558="","",Performance!$AA$558)</f>
        <v>0</v>
      </c>
      <c r="BO558" s="32">
        <f>IF(BH558="","",IF(BK558="","",IF(OR(BK558&lt;DashStart,BK558&gt;DashEnd),"",IF(BN558="","",BN558+ROW()/1000000))))</f>
        <v>0</v>
      </c>
      <c r="BP558" s="32">
        <f>IF(BM558="","",IF(BK558="","",IF(OR(BK558&lt;DashStart,BK558&gt;DashEnd),"",BM558+ROW()/1000000)))</f>
        <v>0</v>
      </c>
      <c r="BQ558" s="32">
        <f>IF(BH558="","",IF(BK558="","",IF(YEAR(BK558)&lt;&gt;PlanYear,"",IF(BN558="","",BN558+ROW()/1000000))))</f>
        <v>0</v>
      </c>
      <c r="BR558" s="32">
        <f>IF(BH558="","",IF(BK558="","",IF(OR(BK558&lt;RepFrom,BK558&gt;RepTo),"",IF(BN558="","",BN558+ROW()/1000000))))</f>
        <v>0</v>
      </c>
      <c r="BS558" s="32">
        <f>IF(BM558="","",IF(BK558="","",IF(YEAR(BK558)&lt;&gt;PlanYear,"",BM558+ROW()/1000000)))</f>
        <v>0</v>
      </c>
      <c r="BT558" s="17">
        <f>IF(Lists!$F558="","",Lists!$F558)</f>
        <v>0</v>
      </c>
      <c r="BU558" s="23">
        <f>IF(BT558="","",COUNTIF('Content Calendar'!$X$5:$X$604,BT558))</f>
        <v>0</v>
      </c>
      <c r="BV558" s="23">
        <f>IF(BT558="","",COUNTIFS('Content Calendar'!$X$5:$X$604,BT558,'Content Calendar'!$B$5:$B$604,"&gt;="&amp;DashStart,'Content Calendar'!$B$5:$B$604,"&lt;="&amp;DashEnd))</f>
        <v>0</v>
      </c>
      <c r="BW558" s="17">
        <f>IF(Team!$B$558="","",Team!$B$558)</f>
        <v>0</v>
      </c>
      <c r="BX558" s="23">
        <f>IF(BW558="","",COUNTIF('Content Calendar'!$W$5:$W$604,BW558))</f>
        <v>0</v>
      </c>
      <c r="BY558" s="23">
        <f>IF(BW558="","",COUNTIFS('Content Calendar'!$W$5:$W$604,BW558,'Content Calendar'!$X$5:$X$604,"&lt;&gt;Published"))</f>
        <v>0</v>
      </c>
      <c r="BZ558" s="23">
        <f>IF(BW558="","",COUNTIFS(Tasks!$C$5:$C$64,BW558,Tasks!$G$5:$G$64,"&lt;&gt;Complete"))</f>
        <v>0</v>
      </c>
      <c r="CA558" s="17">
        <f>IF(Campaigns!$B$558="","",Campaigns!$B$558)</f>
        <v>0</v>
      </c>
      <c r="CB558" s="25">
        <f>IF(Campaigns!$T$558="","",Campaigns!$T$558)</f>
        <v>0</v>
      </c>
      <c r="CC558" s="25">
        <f>IF(Campaigns!$Q$558="","",Campaigns!$Q$558)</f>
        <v>0</v>
      </c>
      <c r="CD558" s="23">
        <f>IF(Campaigns!$Y$558="","",Campaigns!$Y$558)</f>
        <v>0</v>
      </c>
      <c r="CE558" s="32">
        <f>IF(CA558="","",IF(N(CB558)&lt;=0,"",N(CB558)+ROW()/1000000))</f>
        <v>0</v>
      </c>
      <c r="CF558" s="17">
        <f>IF(Accounts!$C$558="","",Accounts!$C$558)</f>
        <v>0</v>
      </c>
      <c r="CG558" s="17">
        <f>IF(Accounts!$B$558="","",Accounts!$B$558)</f>
        <v>0</v>
      </c>
      <c r="CH558" s="23">
        <f>IF(Accounts!$J$558="","",Accounts!$J$558)</f>
        <v>0</v>
      </c>
      <c r="CI558" s="23">
        <f>IF(CF558="","",SUMIFS(Analytics!$X$5:$X$154,Analytics!$E$5:$E$154,CF558,Analytics!$B$5:$B$154,"&gt;="&amp;DashStart,Analytics!$B$5:$B$154,"&lt;="&amp;DashEnd))</f>
        <v>0</v>
      </c>
      <c r="CJ558" s="32">
        <f>IF(CH558="","",IF(CH558=0,"",CH558+ROW()/1000000))</f>
        <v>0</v>
      </c>
    </row>
    <row r="559" spans="1:88">
      <c r="A559" s="16">
        <f>IF(ROW()-4&gt;12,"",DATE(PlanYear,ROW()-4,1))</f>
        <v>0</v>
      </c>
      <c r="B559" s="16">
        <f>IF(A559="","",EOMONTH(A559,0))</f>
        <v>0</v>
      </c>
      <c r="C559" s="17">
        <f>IF(A559="","",TEXT(A559,"yyyy-mm"))</f>
        <v>0</v>
      </c>
      <c r="D559" s="17">
        <f>IF(A559="","",TEXT(A559,"mmm"))</f>
        <v>0</v>
      </c>
      <c r="E559" s="23">
        <f>IF(C559="","",COUNTIFS('Content Calendar'!$D$5:$D$604,C559))</f>
        <v>0</v>
      </c>
      <c r="F559" s="23">
        <f>IF(C559="","",COUNTIFS('Content Calendar'!$D$5:$D$604,C559,'Content Calendar'!$X$5:$X$604,"Published"))</f>
        <v>0</v>
      </c>
      <c r="G559" s="23">
        <f>IF(C559="","",SUMIFS(Analytics!$J$5:$J$154,Analytics!$C$5:$C$154,C559))</f>
        <v>0</v>
      </c>
      <c r="H559" s="23">
        <f>IF(C559="","",SUMIFS(Analytics!$K$5:$K$154,Analytics!$C$5:$C$154,C559))</f>
        <v>0</v>
      </c>
      <c r="I559" s="23">
        <f>IF(C559="","",SUMIFS(Analytics!$L$5:$L$154,Analytics!$C$5:$C$154,C559))</f>
        <v>0</v>
      </c>
      <c r="J559" s="24">
        <f>IF(OR(G559="",G559=0),"",I559/G559)</f>
        <v>0</v>
      </c>
      <c r="K559" s="23">
        <f>IF(C559="","",SUMIFS(Analytics!$G$5:$G$154,Analytics!$C$5:$C$154,C559))</f>
        <v>0</v>
      </c>
      <c r="L559" s="23">
        <f>IF(C559="","",SUMIFS(Analytics!$X$5:$X$154,Analytics!$C$5:$C$154,C559))</f>
        <v>0</v>
      </c>
      <c r="M559" s="23">
        <f>IF(C559="","",SUMIFS(Analytics!$R$5:$R$154,Analytics!$C$5:$C$154,C559))</f>
        <v>0</v>
      </c>
      <c r="N559" s="23">
        <f>IF(C559="","",SUMIFS(Analytics!$S$5:$S$154,Analytics!$C$5:$C$154,C559))</f>
        <v>0</v>
      </c>
      <c r="O559" s="23">
        <f>IF(C559="","",SUMIFS(Analytics!$T$5:$T$154,Analytics!$C$5:$C$154,C559))</f>
        <v>0</v>
      </c>
      <c r="P559" s="25">
        <f>IF(C559="","",SUMIFS(Analytics!$U$5:$U$154,Analytics!$C$5:$C$154,C559))</f>
        <v>0</v>
      </c>
      <c r="Q559" s="25">
        <f>IF(C559="","",SUMIFS(Budget!$H$5:$H$64,Budget!$C$5:$C$64,C559))</f>
        <v>0</v>
      </c>
      <c r="R559" s="25">
        <f>IF(C559="","",P559-Q559)</f>
        <v>0</v>
      </c>
      <c r="S559" s="23">
        <f>IF(C559="","",MonthlyPostTarget)</f>
        <v>0</v>
      </c>
      <c r="T559" s="17">
        <f>IF(Lists!$C559="","",Lists!$C559)</f>
        <v>0</v>
      </c>
      <c r="U559" s="23">
        <f>IF(T559="","",COUNTIFS('Content Calendar'!$G$5:$G$604,T559,'Content Calendar'!$B$5:$B$604,"&gt;="&amp;DashStart,'Content Calendar'!$B$5:$B$604,"&lt;="&amp;DashEnd))</f>
        <v>0</v>
      </c>
      <c r="V559" s="23">
        <f>IF(T559="","",COUNTIFS('Content Calendar'!$G$5:$G$604,T559,'Content Calendar'!$X$5:$X$604,"Published",'Content Calendar'!$B$5:$B$604,"&gt;="&amp;DashStart,'Content Calendar'!$B$5:$B$604,"&lt;="&amp;DashEnd))</f>
        <v>0</v>
      </c>
      <c r="W559" s="23">
        <f>IF(T559="","",SUMIFS(Analytics!$J$5:$J$154,Analytics!$D$5:$D$154,T559,Analytics!$B$5:$B$154,"&gt;="&amp;DashStart,Analytics!$B$5:$B$154,"&lt;="&amp;DashEnd))</f>
        <v>0</v>
      </c>
      <c r="X559" s="23">
        <f>IF(T559="","",SUMIFS(Analytics!$L$5:$L$154,Analytics!$D$5:$D$154,T559,Analytics!$B$5:$B$154,"&gt;="&amp;DashStart,Analytics!$B$5:$B$154,"&lt;="&amp;DashEnd))</f>
        <v>0</v>
      </c>
      <c r="Y559" s="24">
        <f>IF(OR(W559="",W559=0),"",X559/W559)</f>
        <v>0</v>
      </c>
      <c r="Z559" s="23">
        <f>IF(T559="","",SUMIFS(Analytics!$G$5:$G$154,Analytics!$D$5:$D$154,T559,Analytics!$B$5:$B$154,"&gt;="&amp;DashStart,Analytics!$B$5:$B$154,"&lt;="&amp;DashEnd))</f>
        <v>0</v>
      </c>
      <c r="AA559" s="23">
        <f>IF(T559="","",SUMIFS(Analytics!$X$5:$X$154,Analytics!$D$5:$D$154,T559,Analytics!$B$5:$B$154,"&gt;="&amp;DashStart,Analytics!$B$5:$B$154,"&lt;="&amp;DashEnd))</f>
        <v>0</v>
      </c>
      <c r="AB559" s="23">
        <f>IF(T559="","",SUMIFS(Analytics!$R$5:$R$154,Analytics!$D$5:$D$154,T559,Analytics!$B$5:$B$154,"&gt;="&amp;DashStart,Analytics!$B$5:$B$154,"&lt;="&amp;DashEnd))</f>
        <v>0</v>
      </c>
      <c r="AC559" s="25">
        <f>IF(T559="","",SUMIFS(Analytics!$U$5:$U$154,Analytics!$D$5:$D$154,T559,Analytics!$B$5:$B$154,"&gt;="&amp;DashStart,Analytics!$B$5:$B$154,"&lt;="&amp;DashEnd))</f>
        <v>0</v>
      </c>
      <c r="AD559" s="23">
        <f>IF(T559="","",COUNTIFS('Content Calendar'!$G$5:$G$604,T559,'Content Calendar'!$B$5:$B$604,"&gt;="&amp;DATE(PlanYear,1,1),'Content Calendar'!$B$5:$B$604,"&lt;="&amp;DATE(PlanYear,12,31)))</f>
        <v>0</v>
      </c>
      <c r="AE559" s="23">
        <f>IF(T559="","",SUMIFS(Analytics!$J$5:$J$154,Analytics!$D$5:$D$154,T559))</f>
        <v>0</v>
      </c>
      <c r="AF559" s="23">
        <f>IF(T559="","",SUMIFS(Analytics!$L$5:$L$154,Analytics!$D$5:$D$154,T559))</f>
        <v>0</v>
      </c>
      <c r="AG559" s="24">
        <f>IF(OR(AE559="",AE559=0),"",AF559/AE559)</f>
        <v>0</v>
      </c>
      <c r="AH559" s="23">
        <f>IF(T559="","",SUMIFS(Analytics!$X$5:$X$154,Analytics!$D$5:$D$154,T559))</f>
        <v>0</v>
      </c>
      <c r="AI559" s="32">
        <f>IF(T559="","",IF(AE559=0,"",AE559+ROW()/1000000))</f>
        <v>0</v>
      </c>
      <c r="AJ559" s="17">
        <f>IF('Content Pillars'!$B$559="","",'Content Pillars'!$B$559)</f>
        <v>0</v>
      </c>
      <c r="AK559" s="23">
        <f>IF(AJ559="","",COUNTIFS('Content Calendar'!$J$5:$J$604,AJ559,'Content Calendar'!$B$5:$B$604,"&gt;="&amp;DATE(PlanYear,1,1),'Content Calendar'!$B$5:$B$604,"&lt;="&amp;DATE(PlanYear,12,31)))</f>
        <v>0</v>
      </c>
      <c r="AL559" s="23">
        <f>IF(AJ559="","",SUMIFS(Performance!$O$5:$O$404,Performance!$H$5:$H$404,AJ559))</f>
        <v>0</v>
      </c>
      <c r="AM559" s="23">
        <f>IF(AJ559="","",SUMIFS(Performance!$Z$5:$Z$404,Performance!$H$5:$H$404,AJ559))</f>
        <v>0</v>
      </c>
      <c r="AN559" s="24">
        <f>IF(OR(AL559="",AL559=0),"",AM559/AL559)</f>
        <v>0</v>
      </c>
      <c r="AO559" s="32">
        <f>IF(AN559="","",AN559+ROW()/1000000)</f>
        <v>0</v>
      </c>
      <c r="AP559" s="17">
        <f>IF(Lists!$E559="","",Lists!$E559)</f>
        <v>0</v>
      </c>
      <c r="AQ559" s="23">
        <f>IF(AP559="","",COUNTIF(Performance!$G$5:$G$404,AP559))</f>
        <v>0</v>
      </c>
      <c r="AR559" s="23">
        <f>IF(AP559="","",SUMIFS(Performance!$O$5:$O$404,Performance!$G$5:$G$404,AP559))</f>
        <v>0</v>
      </c>
      <c r="AS559" s="23">
        <f>IF(AP559="","",SUMIFS(Performance!$Z$5:$Z$404,Performance!$G$5:$G$404,AP559))</f>
        <v>0</v>
      </c>
      <c r="AT559" s="24">
        <f>IF(OR(AR559="",AR559=0),"",AS559/AR559)</f>
        <v>0</v>
      </c>
      <c r="AU559" s="32">
        <f>IF(AQ559=0,"",IF(AT559="","",AT559+ROW()/1000000))</f>
        <v>0</v>
      </c>
      <c r="AV559" s="17">
        <f>IF(ROW()-4&gt;7,"",TEXT(DATE(2024,1,ROW()-4),"ddd"))</f>
        <v>0</v>
      </c>
      <c r="AW559" s="23">
        <f>IF(AV559="","",COUNTIF(Performance!$N$5:$N$404,AV559))</f>
        <v>0</v>
      </c>
      <c r="AX559" s="23">
        <f>IF(AV559="","",SUMIFS(Performance!$O$5:$O$404,Performance!$N$5:$N$404,AV559))</f>
        <v>0</v>
      </c>
      <c r="AY559" s="23">
        <f>IF(AV559="","",SUMIFS(Performance!$Z$5:$Z$404,Performance!$N$5:$N$404,AV559))</f>
        <v>0</v>
      </c>
      <c r="AZ559" s="24">
        <f>IF(OR(AX559="",AX559=0),"",AY559/AX559)</f>
        <v>0</v>
      </c>
      <c r="BA559" s="32">
        <f>IF(AW559=0,"",IF(AZ559="","",AZ559+ROW()/1000000))</f>
        <v>0</v>
      </c>
      <c r="BB559" s="17">
        <f>IF(Lists!$AL559="","",Lists!$AL559)</f>
        <v>0</v>
      </c>
      <c r="BC559" s="23">
        <f>IF(BB559="","",COUNTIF(Performance!$M$5:$M$404,BB559))</f>
        <v>0</v>
      </c>
      <c r="BD559" s="23">
        <f>IF(BB559="","",SUMIFS(Performance!$O$5:$O$404,Performance!$M$5:$M$404,BB559))</f>
        <v>0</v>
      </c>
      <c r="BE559" s="23">
        <f>IF(BB559="","",SUMIFS(Performance!$Z$5:$Z$404,Performance!$M$5:$M$404,BB559))</f>
        <v>0</v>
      </c>
      <c r="BF559" s="24">
        <f>IF(OR(BD559="",BD559=0),"",BE559/BD559)</f>
        <v>0</v>
      </c>
      <c r="BG559" s="32">
        <f>IF(BC559=0,"",IF(BF559="","",BF559+ROW()/1000000))</f>
        <v>0</v>
      </c>
      <c r="BH559" s="17">
        <f>IF(Performance!$C$559="","",Performance!$C$559)</f>
        <v>0</v>
      </c>
      <c r="BI559" s="17">
        <f>IF(Performance!$F$559="","",Performance!$F$559)</f>
        <v>0</v>
      </c>
      <c r="BJ559" s="17">
        <f>IF(Performance!$H$559="","",Performance!$H$559)</f>
        <v>0</v>
      </c>
      <c r="BK559" s="16">
        <f>IF(Performance!$D$559="","",Performance!$D$559)</f>
        <v>0</v>
      </c>
      <c r="BL559" s="17">
        <f>IF(Performance!$E$559="","",Performance!$E$559)</f>
        <v>0</v>
      </c>
      <c r="BM559" s="23">
        <f>IF(Performance!$O$559="","",Performance!$O$559)</f>
        <v>0</v>
      </c>
      <c r="BN559" s="24">
        <f>IF(Performance!$AA$559="","",Performance!$AA$559)</f>
        <v>0</v>
      </c>
      <c r="BO559" s="32">
        <f>IF(BH559="","",IF(BK559="","",IF(OR(BK559&lt;DashStart,BK559&gt;DashEnd),"",IF(BN559="","",BN559+ROW()/1000000))))</f>
        <v>0</v>
      </c>
      <c r="BP559" s="32">
        <f>IF(BM559="","",IF(BK559="","",IF(OR(BK559&lt;DashStart,BK559&gt;DashEnd),"",BM559+ROW()/1000000)))</f>
        <v>0</v>
      </c>
      <c r="BQ559" s="32">
        <f>IF(BH559="","",IF(BK559="","",IF(YEAR(BK559)&lt;&gt;PlanYear,"",IF(BN559="","",BN559+ROW()/1000000))))</f>
        <v>0</v>
      </c>
      <c r="BR559" s="32">
        <f>IF(BH559="","",IF(BK559="","",IF(OR(BK559&lt;RepFrom,BK559&gt;RepTo),"",IF(BN559="","",BN559+ROW()/1000000))))</f>
        <v>0</v>
      </c>
      <c r="BS559" s="32">
        <f>IF(BM559="","",IF(BK559="","",IF(YEAR(BK559)&lt;&gt;PlanYear,"",BM559+ROW()/1000000)))</f>
        <v>0</v>
      </c>
      <c r="BT559" s="17">
        <f>IF(Lists!$F559="","",Lists!$F559)</f>
        <v>0</v>
      </c>
      <c r="BU559" s="23">
        <f>IF(BT559="","",COUNTIF('Content Calendar'!$X$5:$X$604,BT559))</f>
        <v>0</v>
      </c>
      <c r="BV559" s="23">
        <f>IF(BT559="","",COUNTIFS('Content Calendar'!$X$5:$X$604,BT559,'Content Calendar'!$B$5:$B$604,"&gt;="&amp;DashStart,'Content Calendar'!$B$5:$B$604,"&lt;="&amp;DashEnd))</f>
        <v>0</v>
      </c>
      <c r="BW559" s="17">
        <f>IF(Team!$B$559="","",Team!$B$559)</f>
        <v>0</v>
      </c>
      <c r="BX559" s="23">
        <f>IF(BW559="","",COUNTIF('Content Calendar'!$W$5:$W$604,BW559))</f>
        <v>0</v>
      </c>
      <c r="BY559" s="23">
        <f>IF(BW559="","",COUNTIFS('Content Calendar'!$W$5:$W$604,BW559,'Content Calendar'!$X$5:$X$604,"&lt;&gt;Published"))</f>
        <v>0</v>
      </c>
      <c r="BZ559" s="23">
        <f>IF(BW559="","",COUNTIFS(Tasks!$C$5:$C$64,BW559,Tasks!$G$5:$G$64,"&lt;&gt;Complete"))</f>
        <v>0</v>
      </c>
      <c r="CA559" s="17">
        <f>IF(Campaigns!$B$559="","",Campaigns!$B$559)</f>
        <v>0</v>
      </c>
      <c r="CB559" s="25">
        <f>IF(Campaigns!$T$559="","",Campaigns!$T$559)</f>
        <v>0</v>
      </c>
      <c r="CC559" s="25">
        <f>IF(Campaigns!$Q$559="","",Campaigns!$Q$559)</f>
        <v>0</v>
      </c>
      <c r="CD559" s="23">
        <f>IF(Campaigns!$Y$559="","",Campaigns!$Y$559)</f>
        <v>0</v>
      </c>
      <c r="CE559" s="32">
        <f>IF(CA559="","",IF(N(CB559)&lt;=0,"",N(CB559)+ROW()/1000000))</f>
        <v>0</v>
      </c>
      <c r="CF559" s="17">
        <f>IF(Accounts!$C$559="","",Accounts!$C$559)</f>
        <v>0</v>
      </c>
      <c r="CG559" s="17">
        <f>IF(Accounts!$B$559="","",Accounts!$B$559)</f>
        <v>0</v>
      </c>
      <c r="CH559" s="23">
        <f>IF(Accounts!$J$559="","",Accounts!$J$559)</f>
        <v>0</v>
      </c>
      <c r="CI559" s="23">
        <f>IF(CF559="","",SUMIFS(Analytics!$X$5:$X$154,Analytics!$E$5:$E$154,CF559,Analytics!$B$5:$B$154,"&gt;="&amp;DashStart,Analytics!$B$5:$B$154,"&lt;="&amp;DashEnd))</f>
        <v>0</v>
      </c>
      <c r="CJ559" s="32">
        <f>IF(CH559="","",IF(CH559=0,"",CH559+ROW()/1000000))</f>
        <v>0</v>
      </c>
    </row>
    <row r="560" spans="1:88">
      <c r="A560" s="16">
        <f>IF(ROW()-4&gt;12,"",DATE(PlanYear,ROW()-4,1))</f>
        <v>0</v>
      </c>
      <c r="B560" s="16">
        <f>IF(A560="","",EOMONTH(A560,0))</f>
        <v>0</v>
      </c>
      <c r="C560" s="17">
        <f>IF(A560="","",TEXT(A560,"yyyy-mm"))</f>
        <v>0</v>
      </c>
      <c r="D560" s="17">
        <f>IF(A560="","",TEXT(A560,"mmm"))</f>
        <v>0</v>
      </c>
      <c r="E560" s="23">
        <f>IF(C560="","",COUNTIFS('Content Calendar'!$D$5:$D$604,C560))</f>
        <v>0</v>
      </c>
      <c r="F560" s="23">
        <f>IF(C560="","",COUNTIFS('Content Calendar'!$D$5:$D$604,C560,'Content Calendar'!$X$5:$X$604,"Published"))</f>
        <v>0</v>
      </c>
      <c r="G560" s="23">
        <f>IF(C560="","",SUMIFS(Analytics!$J$5:$J$154,Analytics!$C$5:$C$154,C560))</f>
        <v>0</v>
      </c>
      <c r="H560" s="23">
        <f>IF(C560="","",SUMIFS(Analytics!$K$5:$K$154,Analytics!$C$5:$C$154,C560))</f>
        <v>0</v>
      </c>
      <c r="I560" s="23">
        <f>IF(C560="","",SUMIFS(Analytics!$L$5:$L$154,Analytics!$C$5:$C$154,C560))</f>
        <v>0</v>
      </c>
      <c r="J560" s="24">
        <f>IF(OR(G560="",G560=0),"",I560/G560)</f>
        <v>0</v>
      </c>
      <c r="K560" s="23">
        <f>IF(C560="","",SUMIFS(Analytics!$G$5:$G$154,Analytics!$C$5:$C$154,C560))</f>
        <v>0</v>
      </c>
      <c r="L560" s="23">
        <f>IF(C560="","",SUMIFS(Analytics!$X$5:$X$154,Analytics!$C$5:$C$154,C560))</f>
        <v>0</v>
      </c>
      <c r="M560" s="23">
        <f>IF(C560="","",SUMIFS(Analytics!$R$5:$R$154,Analytics!$C$5:$C$154,C560))</f>
        <v>0</v>
      </c>
      <c r="N560" s="23">
        <f>IF(C560="","",SUMIFS(Analytics!$S$5:$S$154,Analytics!$C$5:$C$154,C560))</f>
        <v>0</v>
      </c>
      <c r="O560" s="23">
        <f>IF(C560="","",SUMIFS(Analytics!$T$5:$T$154,Analytics!$C$5:$C$154,C560))</f>
        <v>0</v>
      </c>
      <c r="P560" s="25">
        <f>IF(C560="","",SUMIFS(Analytics!$U$5:$U$154,Analytics!$C$5:$C$154,C560))</f>
        <v>0</v>
      </c>
      <c r="Q560" s="25">
        <f>IF(C560="","",SUMIFS(Budget!$H$5:$H$64,Budget!$C$5:$C$64,C560))</f>
        <v>0</v>
      </c>
      <c r="R560" s="25">
        <f>IF(C560="","",P560-Q560)</f>
        <v>0</v>
      </c>
      <c r="S560" s="23">
        <f>IF(C560="","",MonthlyPostTarget)</f>
        <v>0</v>
      </c>
      <c r="T560" s="17">
        <f>IF(Lists!$C560="","",Lists!$C560)</f>
        <v>0</v>
      </c>
      <c r="U560" s="23">
        <f>IF(T560="","",COUNTIFS('Content Calendar'!$G$5:$G$604,T560,'Content Calendar'!$B$5:$B$604,"&gt;="&amp;DashStart,'Content Calendar'!$B$5:$B$604,"&lt;="&amp;DashEnd))</f>
        <v>0</v>
      </c>
      <c r="V560" s="23">
        <f>IF(T560="","",COUNTIFS('Content Calendar'!$G$5:$G$604,T560,'Content Calendar'!$X$5:$X$604,"Published",'Content Calendar'!$B$5:$B$604,"&gt;="&amp;DashStart,'Content Calendar'!$B$5:$B$604,"&lt;="&amp;DashEnd))</f>
        <v>0</v>
      </c>
      <c r="W560" s="23">
        <f>IF(T560="","",SUMIFS(Analytics!$J$5:$J$154,Analytics!$D$5:$D$154,T560,Analytics!$B$5:$B$154,"&gt;="&amp;DashStart,Analytics!$B$5:$B$154,"&lt;="&amp;DashEnd))</f>
        <v>0</v>
      </c>
      <c r="X560" s="23">
        <f>IF(T560="","",SUMIFS(Analytics!$L$5:$L$154,Analytics!$D$5:$D$154,T560,Analytics!$B$5:$B$154,"&gt;="&amp;DashStart,Analytics!$B$5:$B$154,"&lt;="&amp;DashEnd))</f>
        <v>0</v>
      </c>
      <c r="Y560" s="24">
        <f>IF(OR(W560="",W560=0),"",X560/W560)</f>
        <v>0</v>
      </c>
      <c r="Z560" s="23">
        <f>IF(T560="","",SUMIFS(Analytics!$G$5:$G$154,Analytics!$D$5:$D$154,T560,Analytics!$B$5:$B$154,"&gt;="&amp;DashStart,Analytics!$B$5:$B$154,"&lt;="&amp;DashEnd))</f>
        <v>0</v>
      </c>
      <c r="AA560" s="23">
        <f>IF(T560="","",SUMIFS(Analytics!$X$5:$X$154,Analytics!$D$5:$D$154,T560,Analytics!$B$5:$B$154,"&gt;="&amp;DashStart,Analytics!$B$5:$B$154,"&lt;="&amp;DashEnd))</f>
        <v>0</v>
      </c>
      <c r="AB560" s="23">
        <f>IF(T560="","",SUMIFS(Analytics!$R$5:$R$154,Analytics!$D$5:$D$154,T560,Analytics!$B$5:$B$154,"&gt;="&amp;DashStart,Analytics!$B$5:$B$154,"&lt;="&amp;DashEnd))</f>
        <v>0</v>
      </c>
      <c r="AC560" s="25">
        <f>IF(T560="","",SUMIFS(Analytics!$U$5:$U$154,Analytics!$D$5:$D$154,T560,Analytics!$B$5:$B$154,"&gt;="&amp;DashStart,Analytics!$B$5:$B$154,"&lt;="&amp;DashEnd))</f>
        <v>0</v>
      </c>
      <c r="AD560" s="23">
        <f>IF(T560="","",COUNTIFS('Content Calendar'!$G$5:$G$604,T560,'Content Calendar'!$B$5:$B$604,"&gt;="&amp;DATE(PlanYear,1,1),'Content Calendar'!$B$5:$B$604,"&lt;="&amp;DATE(PlanYear,12,31)))</f>
        <v>0</v>
      </c>
      <c r="AE560" s="23">
        <f>IF(T560="","",SUMIFS(Analytics!$J$5:$J$154,Analytics!$D$5:$D$154,T560))</f>
        <v>0</v>
      </c>
      <c r="AF560" s="23">
        <f>IF(T560="","",SUMIFS(Analytics!$L$5:$L$154,Analytics!$D$5:$D$154,T560))</f>
        <v>0</v>
      </c>
      <c r="AG560" s="24">
        <f>IF(OR(AE560="",AE560=0),"",AF560/AE560)</f>
        <v>0</v>
      </c>
      <c r="AH560" s="23">
        <f>IF(T560="","",SUMIFS(Analytics!$X$5:$X$154,Analytics!$D$5:$D$154,T560))</f>
        <v>0</v>
      </c>
      <c r="AI560" s="32">
        <f>IF(T560="","",IF(AE560=0,"",AE560+ROW()/1000000))</f>
        <v>0</v>
      </c>
      <c r="AJ560" s="17">
        <f>IF('Content Pillars'!$B$560="","",'Content Pillars'!$B$560)</f>
        <v>0</v>
      </c>
      <c r="AK560" s="23">
        <f>IF(AJ560="","",COUNTIFS('Content Calendar'!$J$5:$J$604,AJ560,'Content Calendar'!$B$5:$B$604,"&gt;="&amp;DATE(PlanYear,1,1),'Content Calendar'!$B$5:$B$604,"&lt;="&amp;DATE(PlanYear,12,31)))</f>
        <v>0</v>
      </c>
      <c r="AL560" s="23">
        <f>IF(AJ560="","",SUMIFS(Performance!$O$5:$O$404,Performance!$H$5:$H$404,AJ560))</f>
        <v>0</v>
      </c>
      <c r="AM560" s="23">
        <f>IF(AJ560="","",SUMIFS(Performance!$Z$5:$Z$404,Performance!$H$5:$H$404,AJ560))</f>
        <v>0</v>
      </c>
      <c r="AN560" s="24">
        <f>IF(OR(AL560="",AL560=0),"",AM560/AL560)</f>
        <v>0</v>
      </c>
      <c r="AO560" s="32">
        <f>IF(AN560="","",AN560+ROW()/1000000)</f>
        <v>0</v>
      </c>
      <c r="AP560" s="17">
        <f>IF(Lists!$E560="","",Lists!$E560)</f>
        <v>0</v>
      </c>
      <c r="AQ560" s="23">
        <f>IF(AP560="","",COUNTIF(Performance!$G$5:$G$404,AP560))</f>
        <v>0</v>
      </c>
      <c r="AR560" s="23">
        <f>IF(AP560="","",SUMIFS(Performance!$O$5:$O$404,Performance!$G$5:$G$404,AP560))</f>
        <v>0</v>
      </c>
      <c r="AS560" s="23">
        <f>IF(AP560="","",SUMIFS(Performance!$Z$5:$Z$404,Performance!$G$5:$G$404,AP560))</f>
        <v>0</v>
      </c>
      <c r="AT560" s="24">
        <f>IF(OR(AR560="",AR560=0),"",AS560/AR560)</f>
        <v>0</v>
      </c>
      <c r="AU560" s="32">
        <f>IF(AQ560=0,"",IF(AT560="","",AT560+ROW()/1000000))</f>
        <v>0</v>
      </c>
      <c r="AV560" s="17">
        <f>IF(ROW()-4&gt;7,"",TEXT(DATE(2024,1,ROW()-4),"ddd"))</f>
        <v>0</v>
      </c>
      <c r="AW560" s="23">
        <f>IF(AV560="","",COUNTIF(Performance!$N$5:$N$404,AV560))</f>
        <v>0</v>
      </c>
      <c r="AX560" s="23">
        <f>IF(AV560="","",SUMIFS(Performance!$O$5:$O$404,Performance!$N$5:$N$404,AV560))</f>
        <v>0</v>
      </c>
      <c r="AY560" s="23">
        <f>IF(AV560="","",SUMIFS(Performance!$Z$5:$Z$404,Performance!$N$5:$N$404,AV560))</f>
        <v>0</v>
      </c>
      <c r="AZ560" s="24">
        <f>IF(OR(AX560="",AX560=0),"",AY560/AX560)</f>
        <v>0</v>
      </c>
      <c r="BA560" s="32">
        <f>IF(AW560=0,"",IF(AZ560="","",AZ560+ROW()/1000000))</f>
        <v>0</v>
      </c>
      <c r="BB560" s="17">
        <f>IF(Lists!$AL560="","",Lists!$AL560)</f>
        <v>0</v>
      </c>
      <c r="BC560" s="23">
        <f>IF(BB560="","",COUNTIF(Performance!$M$5:$M$404,BB560))</f>
        <v>0</v>
      </c>
      <c r="BD560" s="23">
        <f>IF(BB560="","",SUMIFS(Performance!$O$5:$O$404,Performance!$M$5:$M$404,BB560))</f>
        <v>0</v>
      </c>
      <c r="BE560" s="23">
        <f>IF(BB560="","",SUMIFS(Performance!$Z$5:$Z$404,Performance!$M$5:$M$404,BB560))</f>
        <v>0</v>
      </c>
      <c r="BF560" s="24">
        <f>IF(OR(BD560="",BD560=0),"",BE560/BD560)</f>
        <v>0</v>
      </c>
      <c r="BG560" s="32">
        <f>IF(BC560=0,"",IF(BF560="","",BF560+ROW()/1000000))</f>
        <v>0</v>
      </c>
      <c r="BH560" s="17">
        <f>IF(Performance!$C$560="","",Performance!$C$560)</f>
        <v>0</v>
      </c>
      <c r="BI560" s="17">
        <f>IF(Performance!$F$560="","",Performance!$F$560)</f>
        <v>0</v>
      </c>
      <c r="BJ560" s="17">
        <f>IF(Performance!$H$560="","",Performance!$H$560)</f>
        <v>0</v>
      </c>
      <c r="BK560" s="16">
        <f>IF(Performance!$D$560="","",Performance!$D$560)</f>
        <v>0</v>
      </c>
      <c r="BL560" s="17">
        <f>IF(Performance!$E$560="","",Performance!$E$560)</f>
        <v>0</v>
      </c>
      <c r="BM560" s="23">
        <f>IF(Performance!$O$560="","",Performance!$O$560)</f>
        <v>0</v>
      </c>
      <c r="BN560" s="24">
        <f>IF(Performance!$AA$560="","",Performance!$AA$560)</f>
        <v>0</v>
      </c>
      <c r="BO560" s="32">
        <f>IF(BH560="","",IF(BK560="","",IF(OR(BK560&lt;DashStart,BK560&gt;DashEnd),"",IF(BN560="","",BN560+ROW()/1000000))))</f>
        <v>0</v>
      </c>
      <c r="BP560" s="32">
        <f>IF(BM560="","",IF(BK560="","",IF(OR(BK560&lt;DashStart,BK560&gt;DashEnd),"",BM560+ROW()/1000000)))</f>
        <v>0</v>
      </c>
      <c r="BQ560" s="32">
        <f>IF(BH560="","",IF(BK560="","",IF(YEAR(BK560)&lt;&gt;PlanYear,"",IF(BN560="","",BN560+ROW()/1000000))))</f>
        <v>0</v>
      </c>
      <c r="BR560" s="32">
        <f>IF(BH560="","",IF(BK560="","",IF(OR(BK560&lt;RepFrom,BK560&gt;RepTo),"",IF(BN560="","",BN560+ROW()/1000000))))</f>
        <v>0</v>
      </c>
      <c r="BS560" s="32">
        <f>IF(BM560="","",IF(BK560="","",IF(YEAR(BK560)&lt;&gt;PlanYear,"",BM560+ROW()/1000000)))</f>
        <v>0</v>
      </c>
      <c r="BT560" s="17">
        <f>IF(Lists!$F560="","",Lists!$F560)</f>
        <v>0</v>
      </c>
      <c r="BU560" s="23">
        <f>IF(BT560="","",COUNTIF('Content Calendar'!$X$5:$X$604,BT560))</f>
        <v>0</v>
      </c>
      <c r="BV560" s="23">
        <f>IF(BT560="","",COUNTIFS('Content Calendar'!$X$5:$X$604,BT560,'Content Calendar'!$B$5:$B$604,"&gt;="&amp;DashStart,'Content Calendar'!$B$5:$B$604,"&lt;="&amp;DashEnd))</f>
        <v>0</v>
      </c>
      <c r="BW560" s="17">
        <f>IF(Team!$B$560="","",Team!$B$560)</f>
        <v>0</v>
      </c>
      <c r="BX560" s="23">
        <f>IF(BW560="","",COUNTIF('Content Calendar'!$W$5:$W$604,BW560))</f>
        <v>0</v>
      </c>
      <c r="BY560" s="23">
        <f>IF(BW560="","",COUNTIFS('Content Calendar'!$W$5:$W$604,BW560,'Content Calendar'!$X$5:$X$604,"&lt;&gt;Published"))</f>
        <v>0</v>
      </c>
      <c r="BZ560" s="23">
        <f>IF(BW560="","",COUNTIFS(Tasks!$C$5:$C$64,BW560,Tasks!$G$5:$G$64,"&lt;&gt;Complete"))</f>
        <v>0</v>
      </c>
      <c r="CA560" s="17">
        <f>IF(Campaigns!$B$560="","",Campaigns!$B$560)</f>
        <v>0</v>
      </c>
      <c r="CB560" s="25">
        <f>IF(Campaigns!$T$560="","",Campaigns!$T$560)</f>
        <v>0</v>
      </c>
      <c r="CC560" s="25">
        <f>IF(Campaigns!$Q$560="","",Campaigns!$Q$560)</f>
        <v>0</v>
      </c>
      <c r="CD560" s="23">
        <f>IF(Campaigns!$Y$560="","",Campaigns!$Y$560)</f>
        <v>0</v>
      </c>
      <c r="CE560" s="32">
        <f>IF(CA560="","",IF(N(CB560)&lt;=0,"",N(CB560)+ROW()/1000000))</f>
        <v>0</v>
      </c>
      <c r="CF560" s="17">
        <f>IF(Accounts!$C$560="","",Accounts!$C$560)</f>
        <v>0</v>
      </c>
      <c r="CG560" s="17">
        <f>IF(Accounts!$B$560="","",Accounts!$B$560)</f>
        <v>0</v>
      </c>
      <c r="CH560" s="23">
        <f>IF(Accounts!$J$560="","",Accounts!$J$560)</f>
        <v>0</v>
      </c>
      <c r="CI560" s="23">
        <f>IF(CF560="","",SUMIFS(Analytics!$X$5:$X$154,Analytics!$E$5:$E$154,CF560,Analytics!$B$5:$B$154,"&gt;="&amp;DashStart,Analytics!$B$5:$B$154,"&lt;="&amp;DashEnd))</f>
        <v>0</v>
      </c>
      <c r="CJ560" s="32">
        <f>IF(CH560="","",IF(CH560=0,"",CH560+ROW()/1000000))</f>
        <v>0</v>
      </c>
    </row>
    <row r="561" spans="1:88">
      <c r="A561" s="16">
        <f>IF(ROW()-4&gt;12,"",DATE(PlanYear,ROW()-4,1))</f>
        <v>0</v>
      </c>
      <c r="B561" s="16">
        <f>IF(A561="","",EOMONTH(A561,0))</f>
        <v>0</v>
      </c>
      <c r="C561" s="17">
        <f>IF(A561="","",TEXT(A561,"yyyy-mm"))</f>
        <v>0</v>
      </c>
      <c r="D561" s="17">
        <f>IF(A561="","",TEXT(A561,"mmm"))</f>
        <v>0</v>
      </c>
      <c r="E561" s="23">
        <f>IF(C561="","",COUNTIFS('Content Calendar'!$D$5:$D$604,C561))</f>
        <v>0</v>
      </c>
      <c r="F561" s="23">
        <f>IF(C561="","",COUNTIFS('Content Calendar'!$D$5:$D$604,C561,'Content Calendar'!$X$5:$X$604,"Published"))</f>
        <v>0</v>
      </c>
      <c r="G561" s="23">
        <f>IF(C561="","",SUMIFS(Analytics!$J$5:$J$154,Analytics!$C$5:$C$154,C561))</f>
        <v>0</v>
      </c>
      <c r="H561" s="23">
        <f>IF(C561="","",SUMIFS(Analytics!$K$5:$K$154,Analytics!$C$5:$C$154,C561))</f>
        <v>0</v>
      </c>
      <c r="I561" s="23">
        <f>IF(C561="","",SUMIFS(Analytics!$L$5:$L$154,Analytics!$C$5:$C$154,C561))</f>
        <v>0</v>
      </c>
      <c r="J561" s="24">
        <f>IF(OR(G561="",G561=0),"",I561/G561)</f>
        <v>0</v>
      </c>
      <c r="K561" s="23">
        <f>IF(C561="","",SUMIFS(Analytics!$G$5:$G$154,Analytics!$C$5:$C$154,C561))</f>
        <v>0</v>
      </c>
      <c r="L561" s="23">
        <f>IF(C561="","",SUMIFS(Analytics!$X$5:$X$154,Analytics!$C$5:$C$154,C561))</f>
        <v>0</v>
      </c>
      <c r="M561" s="23">
        <f>IF(C561="","",SUMIFS(Analytics!$R$5:$R$154,Analytics!$C$5:$C$154,C561))</f>
        <v>0</v>
      </c>
      <c r="N561" s="23">
        <f>IF(C561="","",SUMIFS(Analytics!$S$5:$S$154,Analytics!$C$5:$C$154,C561))</f>
        <v>0</v>
      </c>
      <c r="O561" s="23">
        <f>IF(C561="","",SUMIFS(Analytics!$T$5:$T$154,Analytics!$C$5:$C$154,C561))</f>
        <v>0</v>
      </c>
      <c r="P561" s="25">
        <f>IF(C561="","",SUMIFS(Analytics!$U$5:$U$154,Analytics!$C$5:$C$154,C561))</f>
        <v>0</v>
      </c>
      <c r="Q561" s="25">
        <f>IF(C561="","",SUMIFS(Budget!$H$5:$H$64,Budget!$C$5:$C$64,C561))</f>
        <v>0</v>
      </c>
      <c r="R561" s="25">
        <f>IF(C561="","",P561-Q561)</f>
        <v>0</v>
      </c>
      <c r="S561" s="23">
        <f>IF(C561="","",MonthlyPostTarget)</f>
        <v>0</v>
      </c>
      <c r="T561" s="17">
        <f>IF(Lists!$C561="","",Lists!$C561)</f>
        <v>0</v>
      </c>
      <c r="U561" s="23">
        <f>IF(T561="","",COUNTIFS('Content Calendar'!$G$5:$G$604,T561,'Content Calendar'!$B$5:$B$604,"&gt;="&amp;DashStart,'Content Calendar'!$B$5:$B$604,"&lt;="&amp;DashEnd))</f>
        <v>0</v>
      </c>
      <c r="V561" s="23">
        <f>IF(T561="","",COUNTIFS('Content Calendar'!$G$5:$G$604,T561,'Content Calendar'!$X$5:$X$604,"Published",'Content Calendar'!$B$5:$B$604,"&gt;="&amp;DashStart,'Content Calendar'!$B$5:$B$604,"&lt;="&amp;DashEnd))</f>
        <v>0</v>
      </c>
      <c r="W561" s="23">
        <f>IF(T561="","",SUMIFS(Analytics!$J$5:$J$154,Analytics!$D$5:$D$154,T561,Analytics!$B$5:$B$154,"&gt;="&amp;DashStart,Analytics!$B$5:$B$154,"&lt;="&amp;DashEnd))</f>
        <v>0</v>
      </c>
      <c r="X561" s="23">
        <f>IF(T561="","",SUMIFS(Analytics!$L$5:$L$154,Analytics!$D$5:$D$154,T561,Analytics!$B$5:$B$154,"&gt;="&amp;DashStart,Analytics!$B$5:$B$154,"&lt;="&amp;DashEnd))</f>
        <v>0</v>
      </c>
      <c r="Y561" s="24">
        <f>IF(OR(W561="",W561=0),"",X561/W561)</f>
        <v>0</v>
      </c>
      <c r="Z561" s="23">
        <f>IF(T561="","",SUMIFS(Analytics!$G$5:$G$154,Analytics!$D$5:$D$154,T561,Analytics!$B$5:$B$154,"&gt;="&amp;DashStart,Analytics!$B$5:$B$154,"&lt;="&amp;DashEnd))</f>
        <v>0</v>
      </c>
      <c r="AA561" s="23">
        <f>IF(T561="","",SUMIFS(Analytics!$X$5:$X$154,Analytics!$D$5:$D$154,T561,Analytics!$B$5:$B$154,"&gt;="&amp;DashStart,Analytics!$B$5:$B$154,"&lt;="&amp;DashEnd))</f>
        <v>0</v>
      </c>
      <c r="AB561" s="23">
        <f>IF(T561="","",SUMIFS(Analytics!$R$5:$R$154,Analytics!$D$5:$D$154,T561,Analytics!$B$5:$B$154,"&gt;="&amp;DashStart,Analytics!$B$5:$B$154,"&lt;="&amp;DashEnd))</f>
        <v>0</v>
      </c>
      <c r="AC561" s="25">
        <f>IF(T561="","",SUMIFS(Analytics!$U$5:$U$154,Analytics!$D$5:$D$154,T561,Analytics!$B$5:$B$154,"&gt;="&amp;DashStart,Analytics!$B$5:$B$154,"&lt;="&amp;DashEnd))</f>
        <v>0</v>
      </c>
      <c r="AD561" s="23">
        <f>IF(T561="","",COUNTIFS('Content Calendar'!$G$5:$G$604,T561,'Content Calendar'!$B$5:$B$604,"&gt;="&amp;DATE(PlanYear,1,1),'Content Calendar'!$B$5:$B$604,"&lt;="&amp;DATE(PlanYear,12,31)))</f>
        <v>0</v>
      </c>
      <c r="AE561" s="23">
        <f>IF(T561="","",SUMIFS(Analytics!$J$5:$J$154,Analytics!$D$5:$D$154,T561))</f>
        <v>0</v>
      </c>
      <c r="AF561" s="23">
        <f>IF(T561="","",SUMIFS(Analytics!$L$5:$L$154,Analytics!$D$5:$D$154,T561))</f>
        <v>0</v>
      </c>
      <c r="AG561" s="24">
        <f>IF(OR(AE561="",AE561=0),"",AF561/AE561)</f>
        <v>0</v>
      </c>
      <c r="AH561" s="23">
        <f>IF(T561="","",SUMIFS(Analytics!$X$5:$X$154,Analytics!$D$5:$D$154,T561))</f>
        <v>0</v>
      </c>
      <c r="AI561" s="32">
        <f>IF(T561="","",IF(AE561=0,"",AE561+ROW()/1000000))</f>
        <v>0</v>
      </c>
      <c r="AJ561" s="17">
        <f>IF('Content Pillars'!$B$561="","",'Content Pillars'!$B$561)</f>
        <v>0</v>
      </c>
      <c r="AK561" s="23">
        <f>IF(AJ561="","",COUNTIFS('Content Calendar'!$J$5:$J$604,AJ561,'Content Calendar'!$B$5:$B$604,"&gt;="&amp;DATE(PlanYear,1,1),'Content Calendar'!$B$5:$B$604,"&lt;="&amp;DATE(PlanYear,12,31)))</f>
        <v>0</v>
      </c>
      <c r="AL561" s="23">
        <f>IF(AJ561="","",SUMIFS(Performance!$O$5:$O$404,Performance!$H$5:$H$404,AJ561))</f>
        <v>0</v>
      </c>
      <c r="AM561" s="23">
        <f>IF(AJ561="","",SUMIFS(Performance!$Z$5:$Z$404,Performance!$H$5:$H$404,AJ561))</f>
        <v>0</v>
      </c>
      <c r="AN561" s="24">
        <f>IF(OR(AL561="",AL561=0),"",AM561/AL561)</f>
        <v>0</v>
      </c>
      <c r="AO561" s="32">
        <f>IF(AN561="","",AN561+ROW()/1000000)</f>
        <v>0</v>
      </c>
      <c r="AP561" s="17">
        <f>IF(Lists!$E561="","",Lists!$E561)</f>
        <v>0</v>
      </c>
      <c r="AQ561" s="23">
        <f>IF(AP561="","",COUNTIF(Performance!$G$5:$G$404,AP561))</f>
        <v>0</v>
      </c>
      <c r="AR561" s="23">
        <f>IF(AP561="","",SUMIFS(Performance!$O$5:$O$404,Performance!$G$5:$G$404,AP561))</f>
        <v>0</v>
      </c>
      <c r="AS561" s="23">
        <f>IF(AP561="","",SUMIFS(Performance!$Z$5:$Z$404,Performance!$G$5:$G$404,AP561))</f>
        <v>0</v>
      </c>
      <c r="AT561" s="24">
        <f>IF(OR(AR561="",AR561=0),"",AS561/AR561)</f>
        <v>0</v>
      </c>
      <c r="AU561" s="32">
        <f>IF(AQ561=0,"",IF(AT561="","",AT561+ROW()/1000000))</f>
        <v>0</v>
      </c>
      <c r="AV561" s="17">
        <f>IF(ROW()-4&gt;7,"",TEXT(DATE(2024,1,ROW()-4),"ddd"))</f>
        <v>0</v>
      </c>
      <c r="AW561" s="23">
        <f>IF(AV561="","",COUNTIF(Performance!$N$5:$N$404,AV561))</f>
        <v>0</v>
      </c>
      <c r="AX561" s="23">
        <f>IF(AV561="","",SUMIFS(Performance!$O$5:$O$404,Performance!$N$5:$N$404,AV561))</f>
        <v>0</v>
      </c>
      <c r="AY561" s="23">
        <f>IF(AV561="","",SUMIFS(Performance!$Z$5:$Z$404,Performance!$N$5:$N$404,AV561))</f>
        <v>0</v>
      </c>
      <c r="AZ561" s="24">
        <f>IF(OR(AX561="",AX561=0),"",AY561/AX561)</f>
        <v>0</v>
      </c>
      <c r="BA561" s="32">
        <f>IF(AW561=0,"",IF(AZ561="","",AZ561+ROW()/1000000))</f>
        <v>0</v>
      </c>
      <c r="BB561" s="17">
        <f>IF(Lists!$AL561="","",Lists!$AL561)</f>
        <v>0</v>
      </c>
      <c r="BC561" s="23">
        <f>IF(BB561="","",COUNTIF(Performance!$M$5:$M$404,BB561))</f>
        <v>0</v>
      </c>
      <c r="BD561" s="23">
        <f>IF(BB561="","",SUMIFS(Performance!$O$5:$O$404,Performance!$M$5:$M$404,BB561))</f>
        <v>0</v>
      </c>
      <c r="BE561" s="23">
        <f>IF(BB561="","",SUMIFS(Performance!$Z$5:$Z$404,Performance!$M$5:$M$404,BB561))</f>
        <v>0</v>
      </c>
      <c r="BF561" s="24">
        <f>IF(OR(BD561="",BD561=0),"",BE561/BD561)</f>
        <v>0</v>
      </c>
      <c r="BG561" s="32">
        <f>IF(BC561=0,"",IF(BF561="","",BF561+ROW()/1000000))</f>
        <v>0</v>
      </c>
      <c r="BH561" s="17">
        <f>IF(Performance!$C$561="","",Performance!$C$561)</f>
        <v>0</v>
      </c>
      <c r="BI561" s="17">
        <f>IF(Performance!$F$561="","",Performance!$F$561)</f>
        <v>0</v>
      </c>
      <c r="BJ561" s="17">
        <f>IF(Performance!$H$561="","",Performance!$H$561)</f>
        <v>0</v>
      </c>
      <c r="BK561" s="16">
        <f>IF(Performance!$D$561="","",Performance!$D$561)</f>
        <v>0</v>
      </c>
      <c r="BL561" s="17">
        <f>IF(Performance!$E$561="","",Performance!$E$561)</f>
        <v>0</v>
      </c>
      <c r="BM561" s="23">
        <f>IF(Performance!$O$561="","",Performance!$O$561)</f>
        <v>0</v>
      </c>
      <c r="BN561" s="24">
        <f>IF(Performance!$AA$561="","",Performance!$AA$561)</f>
        <v>0</v>
      </c>
      <c r="BO561" s="32">
        <f>IF(BH561="","",IF(BK561="","",IF(OR(BK561&lt;DashStart,BK561&gt;DashEnd),"",IF(BN561="","",BN561+ROW()/1000000))))</f>
        <v>0</v>
      </c>
      <c r="BP561" s="32">
        <f>IF(BM561="","",IF(BK561="","",IF(OR(BK561&lt;DashStart,BK561&gt;DashEnd),"",BM561+ROW()/1000000)))</f>
        <v>0</v>
      </c>
      <c r="BQ561" s="32">
        <f>IF(BH561="","",IF(BK561="","",IF(YEAR(BK561)&lt;&gt;PlanYear,"",IF(BN561="","",BN561+ROW()/1000000))))</f>
        <v>0</v>
      </c>
      <c r="BR561" s="32">
        <f>IF(BH561="","",IF(BK561="","",IF(OR(BK561&lt;RepFrom,BK561&gt;RepTo),"",IF(BN561="","",BN561+ROW()/1000000))))</f>
        <v>0</v>
      </c>
      <c r="BS561" s="32">
        <f>IF(BM561="","",IF(BK561="","",IF(YEAR(BK561)&lt;&gt;PlanYear,"",BM561+ROW()/1000000)))</f>
        <v>0</v>
      </c>
      <c r="BT561" s="17">
        <f>IF(Lists!$F561="","",Lists!$F561)</f>
        <v>0</v>
      </c>
      <c r="BU561" s="23">
        <f>IF(BT561="","",COUNTIF('Content Calendar'!$X$5:$X$604,BT561))</f>
        <v>0</v>
      </c>
      <c r="BV561" s="23">
        <f>IF(BT561="","",COUNTIFS('Content Calendar'!$X$5:$X$604,BT561,'Content Calendar'!$B$5:$B$604,"&gt;="&amp;DashStart,'Content Calendar'!$B$5:$B$604,"&lt;="&amp;DashEnd))</f>
        <v>0</v>
      </c>
      <c r="BW561" s="17">
        <f>IF(Team!$B$561="","",Team!$B$561)</f>
        <v>0</v>
      </c>
      <c r="BX561" s="23">
        <f>IF(BW561="","",COUNTIF('Content Calendar'!$W$5:$W$604,BW561))</f>
        <v>0</v>
      </c>
      <c r="BY561" s="23">
        <f>IF(BW561="","",COUNTIFS('Content Calendar'!$W$5:$W$604,BW561,'Content Calendar'!$X$5:$X$604,"&lt;&gt;Published"))</f>
        <v>0</v>
      </c>
      <c r="BZ561" s="23">
        <f>IF(BW561="","",COUNTIFS(Tasks!$C$5:$C$64,BW561,Tasks!$G$5:$G$64,"&lt;&gt;Complete"))</f>
        <v>0</v>
      </c>
      <c r="CA561" s="17">
        <f>IF(Campaigns!$B$561="","",Campaigns!$B$561)</f>
        <v>0</v>
      </c>
      <c r="CB561" s="25">
        <f>IF(Campaigns!$T$561="","",Campaigns!$T$561)</f>
        <v>0</v>
      </c>
      <c r="CC561" s="25">
        <f>IF(Campaigns!$Q$561="","",Campaigns!$Q$561)</f>
        <v>0</v>
      </c>
      <c r="CD561" s="23">
        <f>IF(Campaigns!$Y$561="","",Campaigns!$Y$561)</f>
        <v>0</v>
      </c>
      <c r="CE561" s="32">
        <f>IF(CA561="","",IF(N(CB561)&lt;=0,"",N(CB561)+ROW()/1000000))</f>
        <v>0</v>
      </c>
      <c r="CF561" s="17">
        <f>IF(Accounts!$C$561="","",Accounts!$C$561)</f>
        <v>0</v>
      </c>
      <c r="CG561" s="17">
        <f>IF(Accounts!$B$561="","",Accounts!$B$561)</f>
        <v>0</v>
      </c>
      <c r="CH561" s="23">
        <f>IF(Accounts!$J$561="","",Accounts!$J$561)</f>
        <v>0</v>
      </c>
      <c r="CI561" s="23">
        <f>IF(CF561="","",SUMIFS(Analytics!$X$5:$X$154,Analytics!$E$5:$E$154,CF561,Analytics!$B$5:$B$154,"&gt;="&amp;DashStart,Analytics!$B$5:$B$154,"&lt;="&amp;DashEnd))</f>
        <v>0</v>
      </c>
      <c r="CJ561" s="32">
        <f>IF(CH561="","",IF(CH561=0,"",CH561+ROW()/1000000))</f>
        <v>0</v>
      </c>
    </row>
    <row r="562" spans="1:88">
      <c r="A562" s="16">
        <f>IF(ROW()-4&gt;12,"",DATE(PlanYear,ROW()-4,1))</f>
        <v>0</v>
      </c>
      <c r="B562" s="16">
        <f>IF(A562="","",EOMONTH(A562,0))</f>
        <v>0</v>
      </c>
      <c r="C562" s="17">
        <f>IF(A562="","",TEXT(A562,"yyyy-mm"))</f>
        <v>0</v>
      </c>
      <c r="D562" s="17">
        <f>IF(A562="","",TEXT(A562,"mmm"))</f>
        <v>0</v>
      </c>
      <c r="E562" s="23">
        <f>IF(C562="","",COUNTIFS('Content Calendar'!$D$5:$D$604,C562))</f>
        <v>0</v>
      </c>
      <c r="F562" s="23">
        <f>IF(C562="","",COUNTIFS('Content Calendar'!$D$5:$D$604,C562,'Content Calendar'!$X$5:$X$604,"Published"))</f>
        <v>0</v>
      </c>
      <c r="G562" s="23">
        <f>IF(C562="","",SUMIFS(Analytics!$J$5:$J$154,Analytics!$C$5:$C$154,C562))</f>
        <v>0</v>
      </c>
      <c r="H562" s="23">
        <f>IF(C562="","",SUMIFS(Analytics!$K$5:$K$154,Analytics!$C$5:$C$154,C562))</f>
        <v>0</v>
      </c>
      <c r="I562" s="23">
        <f>IF(C562="","",SUMIFS(Analytics!$L$5:$L$154,Analytics!$C$5:$C$154,C562))</f>
        <v>0</v>
      </c>
      <c r="J562" s="24">
        <f>IF(OR(G562="",G562=0),"",I562/G562)</f>
        <v>0</v>
      </c>
      <c r="K562" s="23">
        <f>IF(C562="","",SUMIFS(Analytics!$G$5:$G$154,Analytics!$C$5:$C$154,C562))</f>
        <v>0</v>
      </c>
      <c r="L562" s="23">
        <f>IF(C562="","",SUMIFS(Analytics!$X$5:$X$154,Analytics!$C$5:$C$154,C562))</f>
        <v>0</v>
      </c>
      <c r="M562" s="23">
        <f>IF(C562="","",SUMIFS(Analytics!$R$5:$R$154,Analytics!$C$5:$C$154,C562))</f>
        <v>0</v>
      </c>
      <c r="N562" s="23">
        <f>IF(C562="","",SUMIFS(Analytics!$S$5:$S$154,Analytics!$C$5:$C$154,C562))</f>
        <v>0</v>
      </c>
      <c r="O562" s="23">
        <f>IF(C562="","",SUMIFS(Analytics!$T$5:$T$154,Analytics!$C$5:$C$154,C562))</f>
        <v>0</v>
      </c>
      <c r="P562" s="25">
        <f>IF(C562="","",SUMIFS(Analytics!$U$5:$U$154,Analytics!$C$5:$C$154,C562))</f>
        <v>0</v>
      </c>
      <c r="Q562" s="25">
        <f>IF(C562="","",SUMIFS(Budget!$H$5:$H$64,Budget!$C$5:$C$64,C562))</f>
        <v>0</v>
      </c>
      <c r="R562" s="25">
        <f>IF(C562="","",P562-Q562)</f>
        <v>0</v>
      </c>
      <c r="S562" s="23">
        <f>IF(C562="","",MonthlyPostTarget)</f>
        <v>0</v>
      </c>
      <c r="T562" s="17">
        <f>IF(Lists!$C562="","",Lists!$C562)</f>
        <v>0</v>
      </c>
      <c r="U562" s="23">
        <f>IF(T562="","",COUNTIFS('Content Calendar'!$G$5:$G$604,T562,'Content Calendar'!$B$5:$B$604,"&gt;="&amp;DashStart,'Content Calendar'!$B$5:$B$604,"&lt;="&amp;DashEnd))</f>
        <v>0</v>
      </c>
      <c r="V562" s="23">
        <f>IF(T562="","",COUNTIFS('Content Calendar'!$G$5:$G$604,T562,'Content Calendar'!$X$5:$X$604,"Published",'Content Calendar'!$B$5:$B$604,"&gt;="&amp;DashStart,'Content Calendar'!$B$5:$B$604,"&lt;="&amp;DashEnd))</f>
        <v>0</v>
      </c>
      <c r="W562" s="23">
        <f>IF(T562="","",SUMIFS(Analytics!$J$5:$J$154,Analytics!$D$5:$D$154,T562,Analytics!$B$5:$B$154,"&gt;="&amp;DashStart,Analytics!$B$5:$B$154,"&lt;="&amp;DashEnd))</f>
        <v>0</v>
      </c>
      <c r="X562" s="23">
        <f>IF(T562="","",SUMIFS(Analytics!$L$5:$L$154,Analytics!$D$5:$D$154,T562,Analytics!$B$5:$B$154,"&gt;="&amp;DashStart,Analytics!$B$5:$B$154,"&lt;="&amp;DashEnd))</f>
        <v>0</v>
      </c>
      <c r="Y562" s="24">
        <f>IF(OR(W562="",W562=0),"",X562/W562)</f>
        <v>0</v>
      </c>
      <c r="Z562" s="23">
        <f>IF(T562="","",SUMIFS(Analytics!$G$5:$G$154,Analytics!$D$5:$D$154,T562,Analytics!$B$5:$B$154,"&gt;="&amp;DashStart,Analytics!$B$5:$B$154,"&lt;="&amp;DashEnd))</f>
        <v>0</v>
      </c>
      <c r="AA562" s="23">
        <f>IF(T562="","",SUMIFS(Analytics!$X$5:$X$154,Analytics!$D$5:$D$154,T562,Analytics!$B$5:$B$154,"&gt;="&amp;DashStart,Analytics!$B$5:$B$154,"&lt;="&amp;DashEnd))</f>
        <v>0</v>
      </c>
      <c r="AB562" s="23">
        <f>IF(T562="","",SUMIFS(Analytics!$R$5:$R$154,Analytics!$D$5:$D$154,T562,Analytics!$B$5:$B$154,"&gt;="&amp;DashStart,Analytics!$B$5:$B$154,"&lt;="&amp;DashEnd))</f>
        <v>0</v>
      </c>
      <c r="AC562" s="25">
        <f>IF(T562="","",SUMIFS(Analytics!$U$5:$U$154,Analytics!$D$5:$D$154,T562,Analytics!$B$5:$B$154,"&gt;="&amp;DashStart,Analytics!$B$5:$B$154,"&lt;="&amp;DashEnd))</f>
        <v>0</v>
      </c>
      <c r="AD562" s="23">
        <f>IF(T562="","",COUNTIFS('Content Calendar'!$G$5:$G$604,T562,'Content Calendar'!$B$5:$B$604,"&gt;="&amp;DATE(PlanYear,1,1),'Content Calendar'!$B$5:$B$604,"&lt;="&amp;DATE(PlanYear,12,31)))</f>
        <v>0</v>
      </c>
      <c r="AE562" s="23">
        <f>IF(T562="","",SUMIFS(Analytics!$J$5:$J$154,Analytics!$D$5:$D$154,T562))</f>
        <v>0</v>
      </c>
      <c r="AF562" s="23">
        <f>IF(T562="","",SUMIFS(Analytics!$L$5:$L$154,Analytics!$D$5:$D$154,T562))</f>
        <v>0</v>
      </c>
      <c r="AG562" s="24">
        <f>IF(OR(AE562="",AE562=0),"",AF562/AE562)</f>
        <v>0</v>
      </c>
      <c r="AH562" s="23">
        <f>IF(T562="","",SUMIFS(Analytics!$X$5:$X$154,Analytics!$D$5:$D$154,T562))</f>
        <v>0</v>
      </c>
      <c r="AI562" s="32">
        <f>IF(T562="","",IF(AE562=0,"",AE562+ROW()/1000000))</f>
        <v>0</v>
      </c>
      <c r="AJ562" s="17">
        <f>IF('Content Pillars'!$B$562="","",'Content Pillars'!$B$562)</f>
        <v>0</v>
      </c>
      <c r="AK562" s="23">
        <f>IF(AJ562="","",COUNTIFS('Content Calendar'!$J$5:$J$604,AJ562,'Content Calendar'!$B$5:$B$604,"&gt;="&amp;DATE(PlanYear,1,1),'Content Calendar'!$B$5:$B$604,"&lt;="&amp;DATE(PlanYear,12,31)))</f>
        <v>0</v>
      </c>
      <c r="AL562" s="23">
        <f>IF(AJ562="","",SUMIFS(Performance!$O$5:$O$404,Performance!$H$5:$H$404,AJ562))</f>
        <v>0</v>
      </c>
      <c r="AM562" s="23">
        <f>IF(AJ562="","",SUMIFS(Performance!$Z$5:$Z$404,Performance!$H$5:$H$404,AJ562))</f>
        <v>0</v>
      </c>
      <c r="AN562" s="24">
        <f>IF(OR(AL562="",AL562=0),"",AM562/AL562)</f>
        <v>0</v>
      </c>
      <c r="AO562" s="32">
        <f>IF(AN562="","",AN562+ROW()/1000000)</f>
        <v>0</v>
      </c>
      <c r="AP562" s="17">
        <f>IF(Lists!$E562="","",Lists!$E562)</f>
        <v>0</v>
      </c>
      <c r="AQ562" s="23">
        <f>IF(AP562="","",COUNTIF(Performance!$G$5:$G$404,AP562))</f>
        <v>0</v>
      </c>
      <c r="AR562" s="23">
        <f>IF(AP562="","",SUMIFS(Performance!$O$5:$O$404,Performance!$G$5:$G$404,AP562))</f>
        <v>0</v>
      </c>
      <c r="AS562" s="23">
        <f>IF(AP562="","",SUMIFS(Performance!$Z$5:$Z$404,Performance!$G$5:$G$404,AP562))</f>
        <v>0</v>
      </c>
      <c r="AT562" s="24">
        <f>IF(OR(AR562="",AR562=0),"",AS562/AR562)</f>
        <v>0</v>
      </c>
      <c r="AU562" s="32">
        <f>IF(AQ562=0,"",IF(AT562="","",AT562+ROW()/1000000))</f>
        <v>0</v>
      </c>
      <c r="AV562" s="17">
        <f>IF(ROW()-4&gt;7,"",TEXT(DATE(2024,1,ROW()-4),"ddd"))</f>
        <v>0</v>
      </c>
      <c r="AW562" s="23">
        <f>IF(AV562="","",COUNTIF(Performance!$N$5:$N$404,AV562))</f>
        <v>0</v>
      </c>
      <c r="AX562" s="23">
        <f>IF(AV562="","",SUMIFS(Performance!$O$5:$O$404,Performance!$N$5:$N$404,AV562))</f>
        <v>0</v>
      </c>
      <c r="AY562" s="23">
        <f>IF(AV562="","",SUMIFS(Performance!$Z$5:$Z$404,Performance!$N$5:$N$404,AV562))</f>
        <v>0</v>
      </c>
      <c r="AZ562" s="24">
        <f>IF(OR(AX562="",AX562=0),"",AY562/AX562)</f>
        <v>0</v>
      </c>
      <c r="BA562" s="32">
        <f>IF(AW562=0,"",IF(AZ562="","",AZ562+ROW()/1000000))</f>
        <v>0</v>
      </c>
      <c r="BB562" s="17">
        <f>IF(Lists!$AL562="","",Lists!$AL562)</f>
        <v>0</v>
      </c>
      <c r="BC562" s="23">
        <f>IF(BB562="","",COUNTIF(Performance!$M$5:$M$404,BB562))</f>
        <v>0</v>
      </c>
      <c r="BD562" s="23">
        <f>IF(BB562="","",SUMIFS(Performance!$O$5:$O$404,Performance!$M$5:$M$404,BB562))</f>
        <v>0</v>
      </c>
      <c r="BE562" s="23">
        <f>IF(BB562="","",SUMIFS(Performance!$Z$5:$Z$404,Performance!$M$5:$M$404,BB562))</f>
        <v>0</v>
      </c>
      <c r="BF562" s="24">
        <f>IF(OR(BD562="",BD562=0),"",BE562/BD562)</f>
        <v>0</v>
      </c>
      <c r="BG562" s="32">
        <f>IF(BC562=0,"",IF(BF562="","",BF562+ROW()/1000000))</f>
        <v>0</v>
      </c>
      <c r="BH562" s="17">
        <f>IF(Performance!$C$562="","",Performance!$C$562)</f>
        <v>0</v>
      </c>
      <c r="BI562" s="17">
        <f>IF(Performance!$F$562="","",Performance!$F$562)</f>
        <v>0</v>
      </c>
      <c r="BJ562" s="17">
        <f>IF(Performance!$H$562="","",Performance!$H$562)</f>
        <v>0</v>
      </c>
      <c r="BK562" s="16">
        <f>IF(Performance!$D$562="","",Performance!$D$562)</f>
        <v>0</v>
      </c>
      <c r="BL562" s="17">
        <f>IF(Performance!$E$562="","",Performance!$E$562)</f>
        <v>0</v>
      </c>
      <c r="BM562" s="23">
        <f>IF(Performance!$O$562="","",Performance!$O$562)</f>
        <v>0</v>
      </c>
      <c r="BN562" s="24">
        <f>IF(Performance!$AA$562="","",Performance!$AA$562)</f>
        <v>0</v>
      </c>
      <c r="BO562" s="32">
        <f>IF(BH562="","",IF(BK562="","",IF(OR(BK562&lt;DashStart,BK562&gt;DashEnd),"",IF(BN562="","",BN562+ROW()/1000000))))</f>
        <v>0</v>
      </c>
      <c r="BP562" s="32">
        <f>IF(BM562="","",IF(BK562="","",IF(OR(BK562&lt;DashStart,BK562&gt;DashEnd),"",BM562+ROW()/1000000)))</f>
        <v>0</v>
      </c>
      <c r="BQ562" s="32">
        <f>IF(BH562="","",IF(BK562="","",IF(YEAR(BK562)&lt;&gt;PlanYear,"",IF(BN562="","",BN562+ROW()/1000000))))</f>
        <v>0</v>
      </c>
      <c r="BR562" s="32">
        <f>IF(BH562="","",IF(BK562="","",IF(OR(BK562&lt;RepFrom,BK562&gt;RepTo),"",IF(BN562="","",BN562+ROW()/1000000))))</f>
        <v>0</v>
      </c>
      <c r="BS562" s="32">
        <f>IF(BM562="","",IF(BK562="","",IF(YEAR(BK562)&lt;&gt;PlanYear,"",BM562+ROW()/1000000)))</f>
        <v>0</v>
      </c>
      <c r="BT562" s="17">
        <f>IF(Lists!$F562="","",Lists!$F562)</f>
        <v>0</v>
      </c>
      <c r="BU562" s="23">
        <f>IF(BT562="","",COUNTIF('Content Calendar'!$X$5:$X$604,BT562))</f>
        <v>0</v>
      </c>
      <c r="BV562" s="23">
        <f>IF(BT562="","",COUNTIFS('Content Calendar'!$X$5:$X$604,BT562,'Content Calendar'!$B$5:$B$604,"&gt;="&amp;DashStart,'Content Calendar'!$B$5:$B$604,"&lt;="&amp;DashEnd))</f>
        <v>0</v>
      </c>
      <c r="BW562" s="17">
        <f>IF(Team!$B$562="","",Team!$B$562)</f>
        <v>0</v>
      </c>
      <c r="BX562" s="23">
        <f>IF(BW562="","",COUNTIF('Content Calendar'!$W$5:$W$604,BW562))</f>
        <v>0</v>
      </c>
      <c r="BY562" s="23">
        <f>IF(BW562="","",COUNTIFS('Content Calendar'!$W$5:$W$604,BW562,'Content Calendar'!$X$5:$X$604,"&lt;&gt;Published"))</f>
        <v>0</v>
      </c>
      <c r="BZ562" s="23">
        <f>IF(BW562="","",COUNTIFS(Tasks!$C$5:$C$64,BW562,Tasks!$G$5:$G$64,"&lt;&gt;Complete"))</f>
        <v>0</v>
      </c>
      <c r="CA562" s="17">
        <f>IF(Campaigns!$B$562="","",Campaigns!$B$562)</f>
        <v>0</v>
      </c>
      <c r="CB562" s="25">
        <f>IF(Campaigns!$T$562="","",Campaigns!$T$562)</f>
        <v>0</v>
      </c>
      <c r="CC562" s="25">
        <f>IF(Campaigns!$Q$562="","",Campaigns!$Q$562)</f>
        <v>0</v>
      </c>
      <c r="CD562" s="23">
        <f>IF(Campaigns!$Y$562="","",Campaigns!$Y$562)</f>
        <v>0</v>
      </c>
      <c r="CE562" s="32">
        <f>IF(CA562="","",IF(N(CB562)&lt;=0,"",N(CB562)+ROW()/1000000))</f>
        <v>0</v>
      </c>
      <c r="CF562" s="17">
        <f>IF(Accounts!$C$562="","",Accounts!$C$562)</f>
        <v>0</v>
      </c>
      <c r="CG562" s="17">
        <f>IF(Accounts!$B$562="","",Accounts!$B$562)</f>
        <v>0</v>
      </c>
      <c r="CH562" s="23">
        <f>IF(Accounts!$J$562="","",Accounts!$J$562)</f>
        <v>0</v>
      </c>
      <c r="CI562" s="23">
        <f>IF(CF562="","",SUMIFS(Analytics!$X$5:$X$154,Analytics!$E$5:$E$154,CF562,Analytics!$B$5:$B$154,"&gt;="&amp;DashStart,Analytics!$B$5:$B$154,"&lt;="&amp;DashEnd))</f>
        <v>0</v>
      </c>
      <c r="CJ562" s="32">
        <f>IF(CH562="","",IF(CH562=0,"",CH562+ROW()/1000000))</f>
        <v>0</v>
      </c>
    </row>
    <row r="563" spans="1:88">
      <c r="A563" s="16">
        <f>IF(ROW()-4&gt;12,"",DATE(PlanYear,ROW()-4,1))</f>
        <v>0</v>
      </c>
      <c r="B563" s="16">
        <f>IF(A563="","",EOMONTH(A563,0))</f>
        <v>0</v>
      </c>
      <c r="C563" s="17">
        <f>IF(A563="","",TEXT(A563,"yyyy-mm"))</f>
        <v>0</v>
      </c>
      <c r="D563" s="17">
        <f>IF(A563="","",TEXT(A563,"mmm"))</f>
        <v>0</v>
      </c>
      <c r="E563" s="23">
        <f>IF(C563="","",COUNTIFS('Content Calendar'!$D$5:$D$604,C563))</f>
        <v>0</v>
      </c>
      <c r="F563" s="23">
        <f>IF(C563="","",COUNTIFS('Content Calendar'!$D$5:$D$604,C563,'Content Calendar'!$X$5:$X$604,"Published"))</f>
        <v>0</v>
      </c>
      <c r="G563" s="23">
        <f>IF(C563="","",SUMIFS(Analytics!$J$5:$J$154,Analytics!$C$5:$C$154,C563))</f>
        <v>0</v>
      </c>
      <c r="H563" s="23">
        <f>IF(C563="","",SUMIFS(Analytics!$K$5:$K$154,Analytics!$C$5:$C$154,C563))</f>
        <v>0</v>
      </c>
      <c r="I563" s="23">
        <f>IF(C563="","",SUMIFS(Analytics!$L$5:$L$154,Analytics!$C$5:$C$154,C563))</f>
        <v>0</v>
      </c>
      <c r="J563" s="24">
        <f>IF(OR(G563="",G563=0),"",I563/G563)</f>
        <v>0</v>
      </c>
      <c r="K563" s="23">
        <f>IF(C563="","",SUMIFS(Analytics!$G$5:$G$154,Analytics!$C$5:$C$154,C563))</f>
        <v>0</v>
      </c>
      <c r="L563" s="23">
        <f>IF(C563="","",SUMIFS(Analytics!$X$5:$X$154,Analytics!$C$5:$C$154,C563))</f>
        <v>0</v>
      </c>
      <c r="M563" s="23">
        <f>IF(C563="","",SUMIFS(Analytics!$R$5:$R$154,Analytics!$C$5:$C$154,C563))</f>
        <v>0</v>
      </c>
      <c r="N563" s="23">
        <f>IF(C563="","",SUMIFS(Analytics!$S$5:$S$154,Analytics!$C$5:$C$154,C563))</f>
        <v>0</v>
      </c>
      <c r="O563" s="23">
        <f>IF(C563="","",SUMIFS(Analytics!$T$5:$T$154,Analytics!$C$5:$C$154,C563))</f>
        <v>0</v>
      </c>
      <c r="P563" s="25">
        <f>IF(C563="","",SUMIFS(Analytics!$U$5:$U$154,Analytics!$C$5:$C$154,C563))</f>
        <v>0</v>
      </c>
      <c r="Q563" s="25">
        <f>IF(C563="","",SUMIFS(Budget!$H$5:$H$64,Budget!$C$5:$C$64,C563))</f>
        <v>0</v>
      </c>
      <c r="R563" s="25">
        <f>IF(C563="","",P563-Q563)</f>
        <v>0</v>
      </c>
      <c r="S563" s="23">
        <f>IF(C563="","",MonthlyPostTarget)</f>
        <v>0</v>
      </c>
      <c r="T563" s="17">
        <f>IF(Lists!$C563="","",Lists!$C563)</f>
        <v>0</v>
      </c>
      <c r="U563" s="23">
        <f>IF(T563="","",COUNTIFS('Content Calendar'!$G$5:$G$604,T563,'Content Calendar'!$B$5:$B$604,"&gt;="&amp;DashStart,'Content Calendar'!$B$5:$B$604,"&lt;="&amp;DashEnd))</f>
        <v>0</v>
      </c>
      <c r="V563" s="23">
        <f>IF(T563="","",COUNTIFS('Content Calendar'!$G$5:$G$604,T563,'Content Calendar'!$X$5:$X$604,"Published",'Content Calendar'!$B$5:$B$604,"&gt;="&amp;DashStart,'Content Calendar'!$B$5:$B$604,"&lt;="&amp;DashEnd))</f>
        <v>0</v>
      </c>
      <c r="W563" s="23">
        <f>IF(T563="","",SUMIFS(Analytics!$J$5:$J$154,Analytics!$D$5:$D$154,T563,Analytics!$B$5:$B$154,"&gt;="&amp;DashStart,Analytics!$B$5:$B$154,"&lt;="&amp;DashEnd))</f>
        <v>0</v>
      </c>
      <c r="X563" s="23">
        <f>IF(T563="","",SUMIFS(Analytics!$L$5:$L$154,Analytics!$D$5:$D$154,T563,Analytics!$B$5:$B$154,"&gt;="&amp;DashStart,Analytics!$B$5:$B$154,"&lt;="&amp;DashEnd))</f>
        <v>0</v>
      </c>
      <c r="Y563" s="24">
        <f>IF(OR(W563="",W563=0),"",X563/W563)</f>
        <v>0</v>
      </c>
      <c r="Z563" s="23">
        <f>IF(T563="","",SUMIFS(Analytics!$G$5:$G$154,Analytics!$D$5:$D$154,T563,Analytics!$B$5:$B$154,"&gt;="&amp;DashStart,Analytics!$B$5:$B$154,"&lt;="&amp;DashEnd))</f>
        <v>0</v>
      </c>
      <c r="AA563" s="23">
        <f>IF(T563="","",SUMIFS(Analytics!$X$5:$X$154,Analytics!$D$5:$D$154,T563,Analytics!$B$5:$B$154,"&gt;="&amp;DashStart,Analytics!$B$5:$B$154,"&lt;="&amp;DashEnd))</f>
        <v>0</v>
      </c>
      <c r="AB563" s="23">
        <f>IF(T563="","",SUMIFS(Analytics!$R$5:$R$154,Analytics!$D$5:$D$154,T563,Analytics!$B$5:$B$154,"&gt;="&amp;DashStart,Analytics!$B$5:$B$154,"&lt;="&amp;DashEnd))</f>
        <v>0</v>
      </c>
      <c r="AC563" s="25">
        <f>IF(T563="","",SUMIFS(Analytics!$U$5:$U$154,Analytics!$D$5:$D$154,T563,Analytics!$B$5:$B$154,"&gt;="&amp;DashStart,Analytics!$B$5:$B$154,"&lt;="&amp;DashEnd))</f>
        <v>0</v>
      </c>
      <c r="AD563" s="23">
        <f>IF(T563="","",COUNTIFS('Content Calendar'!$G$5:$G$604,T563,'Content Calendar'!$B$5:$B$604,"&gt;="&amp;DATE(PlanYear,1,1),'Content Calendar'!$B$5:$B$604,"&lt;="&amp;DATE(PlanYear,12,31)))</f>
        <v>0</v>
      </c>
      <c r="AE563" s="23">
        <f>IF(T563="","",SUMIFS(Analytics!$J$5:$J$154,Analytics!$D$5:$D$154,T563))</f>
        <v>0</v>
      </c>
      <c r="AF563" s="23">
        <f>IF(T563="","",SUMIFS(Analytics!$L$5:$L$154,Analytics!$D$5:$D$154,T563))</f>
        <v>0</v>
      </c>
      <c r="AG563" s="24">
        <f>IF(OR(AE563="",AE563=0),"",AF563/AE563)</f>
        <v>0</v>
      </c>
      <c r="AH563" s="23">
        <f>IF(T563="","",SUMIFS(Analytics!$X$5:$X$154,Analytics!$D$5:$D$154,T563))</f>
        <v>0</v>
      </c>
      <c r="AI563" s="32">
        <f>IF(T563="","",IF(AE563=0,"",AE563+ROW()/1000000))</f>
        <v>0</v>
      </c>
      <c r="AJ563" s="17">
        <f>IF('Content Pillars'!$B$563="","",'Content Pillars'!$B$563)</f>
        <v>0</v>
      </c>
      <c r="AK563" s="23">
        <f>IF(AJ563="","",COUNTIFS('Content Calendar'!$J$5:$J$604,AJ563,'Content Calendar'!$B$5:$B$604,"&gt;="&amp;DATE(PlanYear,1,1),'Content Calendar'!$B$5:$B$604,"&lt;="&amp;DATE(PlanYear,12,31)))</f>
        <v>0</v>
      </c>
      <c r="AL563" s="23">
        <f>IF(AJ563="","",SUMIFS(Performance!$O$5:$O$404,Performance!$H$5:$H$404,AJ563))</f>
        <v>0</v>
      </c>
      <c r="AM563" s="23">
        <f>IF(AJ563="","",SUMIFS(Performance!$Z$5:$Z$404,Performance!$H$5:$H$404,AJ563))</f>
        <v>0</v>
      </c>
      <c r="AN563" s="24">
        <f>IF(OR(AL563="",AL563=0),"",AM563/AL563)</f>
        <v>0</v>
      </c>
      <c r="AO563" s="32">
        <f>IF(AN563="","",AN563+ROW()/1000000)</f>
        <v>0</v>
      </c>
      <c r="AP563" s="17">
        <f>IF(Lists!$E563="","",Lists!$E563)</f>
        <v>0</v>
      </c>
      <c r="AQ563" s="23">
        <f>IF(AP563="","",COUNTIF(Performance!$G$5:$G$404,AP563))</f>
        <v>0</v>
      </c>
      <c r="AR563" s="23">
        <f>IF(AP563="","",SUMIFS(Performance!$O$5:$O$404,Performance!$G$5:$G$404,AP563))</f>
        <v>0</v>
      </c>
      <c r="AS563" s="23">
        <f>IF(AP563="","",SUMIFS(Performance!$Z$5:$Z$404,Performance!$G$5:$G$404,AP563))</f>
        <v>0</v>
      </c>
      <c r="AT563" s="24">
        <f>IF(OR(AR563="",AR563=0),"",AS563/AR563)</f>
        <v>0</v>
      </c>
      <c r="AU563" s="32">
        <f>IF(AQ563=0,"",IF(AT563="","",AT563+ROW()/1000000))</f>
        <v>0</v>
      </c>
      <c r="AV563" s="17">
        <f>IF(ROW()-4&gt;7,"",TEXT(DATE(2024,1,ROW()-4),"ddd"))</f>
        <v>0</v>
      </c>
      <c r="AW563" s="23">
        <f>IF(AV563="","",COUNTIF(Performance!$N$5:$N$404,AV563))</f>
        <v>0</v>
      </c>
      <c r="AX563" s="23">
        <f>IF(AV563="","",SUMIFS(Performance!$O$5:$O$404,Performance!$N$5:$N$404,AV563))</f>
        <v>0</v>
      </c>
      <c r="AY563" s="23">
        <f>IF(AV563="","",SUMIFS(Performance!$Z$5:$Z$404,Performance!$N$5:$N$404,AV563))</f>
        <v>0</v>
      </c>
      <c r="AZ563" s="24">
        <f>IF(OR(AX563="",AX563=0),"",AY563/AX563)</f>
        <v>0</v>
      </c>
      <c r="BA563" s="32">
        <f>IF(AW563=0,"",IF(AZ563="","",AZ563+ROW()/1000000))</f>
        <v>0</v>
      </c>
      <c r="BB563" s="17">
        <f>IF(Lists!$AL563="","",Lists!$AL563)</f>
        <v>0</v>
      </c>
      <c r="BC563" s="23">
        <f>IF(BB563="","",COUNTIF(Performance!$M$5:$M$404,BB563))</f>
        <v>0</v>
      </c>
      <c r="BD563" s="23">
        <f>IF(BB563="","",SUMIFS(Performance!$O$5:$O$404,Performance!$M$5:$M$404,BB563))</f>
        <v>0</v>
      </c>
      <c r="BE563" s="23">
        <f>IF(BB563="","",SUMIFS(Performance!$Z$5:$Z$404,Performance!$M$5:$M$404,BB563))</f>
        <v>0</v>
      </c>
      <c r="BF563" s="24">
        <f>IF(OR(BD563="",BD563=0),"",BE563/BD563)</f>
        <v>0</v>
      </c>
      <c r="BG563" s="32">
        <f>IF(BC563=0,"",IF(BF563="","",BF563+ROW()/1000000))</f>
        <v>0</v>
      </c>
      <c r="BH563" s="17">
        <f>IF(Performance!$C$563="","",Performance!$C$563)</f>
        <v>0</v>
      </c>
      <c r="BI563" s="17">
        <f>IF(Performance!$F$563="","",Performance!$F$563)</f>
        <v>0</v>
      </c>
      <c r="BJ563" s="17">
        <f>IF(Performance!$H$563="","",Performance!$H$563)</f>
        <v>0</v>
      </c>
      <c r="BK563" s="16">
        <f>IF(Performance!$D$563="","",Performance!$D$563)</f>
        <v>0</v>
      </c>
      <c r="BL563" s="17">
        <f>IF(Performance!$E$563="","",Performance!$E$563)</f>
        <v>0</v>
      </c>
      <c r="BM563" s="23">
        <f>IF(Performance!$O$563="","",Performance!$O$563)</f>
        <v>0</v>
      </c>
      <c r="BN563" s="24">
        <f>IF(Performance!$AA$563="","",Performance!$AA$563)</f>
        <v>0</v>
      </c>
      <c r="BO563" s="32">
        <f>IF(BH563="","",IF(BK563="","",IF(OR(BK563&lt;DashStart,BK563&gt;DashEnd),"",IF(BN563="","",BN563+ROW()/1000000))))</f>
        <v>0</v>
      </c>
      <c r="BP563" s="32">
        <f>IF(BM563="","",IF(BK563="","",IF(OR(BK563&lt;DashStart,BK563&gt;DashEnd),"",BM563+ROW()/1000000)))</f>
        <v>0</v>
      </c>
      <c r="BQ563" s="32">
        <f>IF(BH563="","",IF(BK563="","",IF(YEAR(BK563)&lt;&gt;PlanYear,"",IF(BN563="","",BN563+ROW()/1000000))))</f>
        <v>0</v>
      </c>
      <c r="BR563" s="32">
        <f>IF(BH563="","",IF(BK563="","",IF(OR(BK563&lt;RepFrom,BK563&gt;RepTo),"",IF(BN563="","",BN563+ROW()/1000000))))</f>
        <v>0</v>
      </c>
      <c r="BS563" s="32">
        <f>IF(BM563="","",IF(BK563="","",IF(YEAR(BK563)&lt;&gt;PlanYear,"",BM563+ROW()/1000000)))</f>
        <v>0</v>
      </c>
      <c r="BT563" s="17">
        <f>IF(Lists!$F563="","",Lists!$F563)</f>
        <v>0</v>
      </c>
      <c r="BU563" s="23">
        <f>IF(BT563="","",COUNTIF('Content Calendar'!$X$5:$X$604,BT563))</f>
        <v>0</v>
      </c>
      <c r="BV563" s="23">
        <f>IF(BT563="","",COUNTIFS('Content Calendar'!$X$5:$X$604,BT563,'Content Calendar'!$B$5:$B$604,"&gt;="&amp;DashStart,'Content Calendar'!$B$5:$B$604,"&lt;="&amp;DashEnd))</f>
        <v>0</v>
      </c>
      <c r="BW563" s="17">
        <f>IF(Team!$B$563="","",Team!$B$563)</f>
        <v>0</v>
      </c>
      <c r="BX563" s="23">
        <f>IF(BW563="","",COUNTIF('Content Calendar'!$W$5:$W$604,BW563))</f>
        <v>0</v>
      </c>
      <c r="BY563" s="23">
        <f>IF(BW563="","",COUNTIFS('Content Calendar'!$W$5:$W$604,BW563,'Content Calendar'!$X$5:$X$604,"&lt;&gt;Published"))</f>
        <v>0</v>
      </c>
      <c r="BZ563" s="23">
        <f>IF(BW563="","",COUNTIFS(Tasks!$C$5:$C$64,BW563,Tasks!$G$5:$G$64,"&lt;&gt;Complete"))</f>
        <v>0</v>
      </c>
      <c r="CA563" s="17">
        <f>IF(Campaigns!$B$563="","",Campaigns!$B$563)</f>
        <v>0</v>
      </c>
      <c r="CB563" s="25">
        <f>IF(Campaigns!$T$563="","",Campaigns!$T$563)</f>
        <v>0</v>
      </c>
      <c r="CC563" s="25">
        <f>IF(Campaigns!$Q$563="","",Campaigns!$Q$563)</f>
        <v>0</v>
      </c>
      <c r="CD563" s="23">
        <f>IF(Campaigns!$Y$563="","",Campaigns!$Y$563)</f>
        <v>0</v>
      </c>
      <c r="CE563" s="32">
        <f>IF(CA563="","",IF(N(CB563)&lt;=0,"",N(CB563)+ROW()/1000000))</f>
        <v>0</v>
      </c>
      <c r="CF563" s="17">
        <f>IF(Accounts!$C$563="","",Accounts!$C$563)</f>
        <v>0</v>
      </c>
      <c r="CG563" s="17">
        <f>IF(Accounts!$B$563="","",Accounts!$B$563)</f>
        <v>0</v>
      </c>
      <c r="CH563" s="23">
        <f>IF(Accounts!$J$563="","",Accounts!$J$563)</f>
        <v>0</v>
      </c>
      <c r="CI563" s="23">
        <f>IF(CF563="","",SUMIFS(Analytics!$X$5:$X$154,Analytics!$E$5:$E$154,CF563,Analytics!$B$5:$B$154,"&gt;="&amp;DashStart,Analytics!$B$5:$B$154,"&lt;="&amp;DashEnd))</f>
        <v>0</v>
      </c>
      <c r="CJ563" s="32">
        <f>IF(CH563="","",IF(CH563=0,"",CH563+ROW()/1000000))</f>
        <v>0</v>
      </c>
    </row>
    <row r="564" spans="1:88">
      <c r="A564" s="16">
        <f>IF(ROW()-4&gt;12,"",DATE(PlanYear,ROW()-4,1))</f>
        <v>0</v>
      </c>
      <c r="B564" s="16">
        <f>IF(A564="","",EOMONTH(A564,0))</f>
        <v>0</v>
      </c>
      <c r="C564" s="17">
        <f>IF(A564="","",TEXT(A564,"yyyy-mm"))</f>
        <v>0</v>
      </c>
      <c r="D564" s="17">
        <f>IF(A564="","",TEXT(A564,"mmm"))</f>
        <v>0</v>
      </c>
      <c r="E564" s="23">
        <f>IF(C564="","",COUNTIFS('Content Calendar'!$D$5:$D$604,C564))</f>
        <v>0</v>
      </c>
      <c r="F564" s="23">
        <f>IF(C564="","",COUNTIFS('Content Calendar'!$D$5:$D$604,C564,'Content Calendar'!$X$5:$X$604,"Published"))</f>
        <v>0</v>
      </c>
      <c r="G564" s="23">
        <f>IF(C564="","",SUMIFS(Analytics!$J$5:$J$154,Analytics!$C$5:$C$154,C564))</f>
        <v>0</v>
      </c>
      <c r="H564" s="23">
        <f>IF(C564="","",SUMIFS(Analytics!$K$5:$K$154,Analytics!$C$5:$C$154,C564))</f>
        <v>0</v>
      </c>
      <c r="I564" s="23">
        <f>IF(C564="","",SUMIFS(Analytics!$L$5:$L$154,Analytics!$C$5:$C$154,C564))</f>
        <v>0</v>
      </c>
      <c r="J564" s="24">
        <f>IF(OR(G564="",G564=0),"",I564/G564)</f>
        <v>0</v>
      </c>
      <c r="K564" s="23">
        <f>IF(C564="","",SUMIFS(Analytics!$G$5:$G$154,Analytics!$C$5:$C$154,C564))</f>
        <v>0</v>
      </c>
      <c r="L564" s="23">
        <f>IF(C564="","",SUMIFS(Analytics!$X$5:$X$154,Analytics!$C$5:$C$154,C564))</f>
        <v>0</v>
      </c>
      <c r="M564" s="23">
        <f>IF(C564="","",SUMIFS(Analytics!$R$5:$R$154,Analytics!$C$5:$C$154,C564))</f>
        <v>0</v>
      </c>
      <c r="N564" s="23">
        <f>IF(C564="","",SUMIFS(Analytics!$S$5:$S$154,Analytics!$C$5:$C$154,C564))</f>
        <v>0</v>
      </c>
      <c r="O564" s="23">
        <f>IF(C564="","",SUMIFS(Analytics!$T$5:$T$154,Analytics!$C$5:$C$154,C564))</f>
        <v>0</v>
      </c>
      <c r="P564" s="25">
        <f>IF(C564="","",SUMIFS(Analytics!$U$5:$U$154,Analytics!$C$5:$C$154,C564))</f>
        <v>0</v>
      </c>
      <c r="Q564" s="25">
        <f>IF(C564="","",SUMIFS(Budget!$H$5:$H$64,Budget!$C$5:$C$64,C564))</f>
        <v>0</v>
      </c>
      <c r="R564" s="25">
        <f>IF(C564="","",P564-Q564)</f>
        <v>0</v>
      </c>
      <c r="S564" s="23">
        <f>IF(C564="","",MonthlyPostTarget)</f>
        <v>0</v>
      </c>
      <c r="T564" s="17">
        <f>IF(Lists!$C564="","",Lists!$C564)</f>
        <v>0</v>
      </c>
      <c r="U564" s="23">
        <f>IF(T564="","",COUNTIFS('Content Calendar'!$G$5:$G$604,T564,'Content Calendar'!$B$5:$B$604,"&gt;="&amp;DashStart,'Content Calendar'!$B$5:$B$604,"&lt;="&amp;DashEnd))</f>
        <v>0</v>
      </c>
      <c r="V564" s="23">
        <f>IF(T564="","",COUNTIFS('Content Calendar'!$G$5:$G$604,T564,'Content Calendar'!$X$5:$X$604,"Published",'Content Calendar'!$B$5:$B$604,"&gt;="&amp;DashStart,'Content Calendar'!$B$5:$B$604,"&lt;="&amp;DashEnd))</f>
        <v>0</v>
      </c>
      <c r="W564" s="23">
        <f>IF(T564="","",SUMIFS(Analytics!$J$5:$J$154,Analytics!$D$5:$D$154,T564,Analytics!$B$5:$B$154,"&gt;="&amp;DashStart,Analytics!$B$5:$B$154,"&lt;="&amp;DashEnd))</f>
        <v>0</v>
      </c>
      <c r="X564" s="23">
        <f>IF(T564="","",SUMIFS(Analytics!$L$5:$L$154,Analytics!$D$5:$D$154,T564,Analytics!$B$5:$B$154,"&gt;="&amp;DashStart,Analytics!$B$5:$B$154,"&lt;="&amp;DashEnd))</f>
        <v>0</v>
      </c>
      <c r="Y564" s="24">
        <f>IF(OR(W564="",W564=0),"",X564/W564)</f>
        <v>0</v>
      </c>
      <c r="Z564" s="23">
        <f>IF(T564="","",SUMIFS(Analytics!$G$5:$G$154,Analytics!$D$5:$D$154,T564,Analytics!$B$5:$B$154,"&gt;="&amp;DashStart,Analytics!$B$5:$B$154,"&lt;="&amp;DashEnd))</f>
        <v>0</v>
      </c>
      <c r="AA564" s="23">
        <f>IF(T564="","",SUMIFS(Analytics!$X$5:$X$154,Analytics!$D$5:$D$154,T564,Analytics!$B$5:$B$154,"&gt;="&amp;DashStart,Analytics!$B$5:$B$154,"&lt;="&amp;DashEnd))</f>
        <v>0</v>
      </c>
      <c r="AB564" s="23">
        <f>IF(T564="","",SUMIFS(Analytics!$R$5:$R$154,Analytics!$D$5:$D$154,T564,Analytics!$B$5:$B$154,"&gt;="&amp;DashStart,Analytics!$B$5:$B$154,"&lt;="&amp;DashEnd))</f>
        <v>0</v>
      </c>
      <c r="AC564" s="25">
        <f>IF(T564="","",SUMIFS(Analytics!$U$5:$U$154,Analytics!$D$5:$D$154,T564,Analytics!$B$5:$B$154,"&gt;="&amp;DashStart,Analytics!$B$5:$B$154,"&lt;="&amp;DashEnd))</f>
        <v>0</v>
      </c>
      <c r="AD564" s="23">
        <f>IF(T564="","",COUNTIFS('Content Calendar'!$G$5:$G$604,T564,'Content Calendar'!$B$5:$B$604,"&gt;="&amp;DATE(PlanYear,1,1),'Content Calendar'!$B$5:$B$604,"&lt;="&amp;DATE(PlanYear,12,31)))</f>
        <v>0</v>
      </c>
      <c r="AE564" s="23">
        <f>IF(T564="","",SUMIFS(Analytics!$J$5:$J$154,Analytics!$D$5:$D$154,T564))</f>
        <v>0</v>
      </c>
      <c r="AF564" s="23">
        <f>IF(T564="","",SUMIFS(Analytics!$L$5:$L$154,Analytics!$D$5:$D$154,T564))</f>
        <v>0</v>
      </c>
      <c r="AG564" s="24">
        <f>IF(OR(AE564="",AE564=0),"",AF564/AE564)</f>
        <v>0</v>
      </c>
      <c r="AH564" s="23">
        <f>IF(T564="","",SUMIFS(Analytics!$X$5:$X$154,Analytics!$D$5:$D$154,T564))</f>
        <v>0</v>
      </c>
      <c r="AI564" s="32">
        <f>IF(T564="","",IF(AE564=0,"",AE564+ROW()/1000000))</f>
        <v>0</v>
      </c>
      <c r="AJ564" s="17">
        <f>IF('Content Pillars'!$B$564="","",'Content Pillars'!$B$564)</f>
        <v>0</v>
      </c>
      <c r="AK564" s="23">
        <f>IF(AJ564="","",COUNTIFS('Content Calendar'!$J$5:$J$604,AJ564,'Content Calendar'!$B$5:$B$604,"&gt;="&amp;DATE(PlanYear,1,1),'Content Calendar'!$B$5:$B$604,"&lt;="&amp;DATE(PlanYear,12,31)))</f>
        <v>0</v>
      </c>
      <c r="AL564" s="23">
        <f>IF(AJ564="","",SUMIFS(Performance!$O$5:$O$404,Performance!$H$5:$H$404,AJ564))</f>
        <v>0</v>
      </c>
      <c r="AM564" s="23">
        <f>IF(AJ564="","",SUMIFS(Performance!$Z$5:$Z$404,Performance!$H$5:$H$404,AJ564))</f>
        <v>0</v>
      </c>
      <c r="AN564" s="24">
        <f>IF(OR(AL564="",AL564=0),"",AM564/AL564)</f>
        <v>0</v>
      </c>
      <c r="AO564" s="32">
        <f>IF(AN564="","",AN564+ROW()/1000000)</f>
        <v>0</v>
      </c>
      <c r="AP564" s="17">
        <f>IF(Lists!$E564="","",Lists!$E564)</f>
        <v>0</v>
      </c>
      <c r="AQ564" s="23">
        <f>IF(AP564="","",COUNTIF(Performance!$G$5:$G$404,AP564))</f>
        <v>0</v>
      </c>
      <c r="AR564" s="23">
        <f>IF(AP564="","",SUMIFS(Performance!$O$5:$O$404,Performance!$G$5:$G$404,AP564))</f>
        <v>0</v>
      </c>
      <c r="AS564" s="23">
        <f>IF(AP564="","",SUMIFS(Performance!$Z$5:$Z$404,Performance!$G$5:$G$404,AP564))</f>
        <v>0</v>
      </c>
      <c r="AT564" s="24">
        <f>IF(OR(AR564="",AR564=0),"",AS564/AR564)</f>
        <v>0</v>
      </c>
      <c r="AU564" s="32">
        <f>IF(AQ564=0,"",IF(AT564="","",AT564+ROW()/1000000))</f>
        <v>0</v>
      </c>
      <c r="AV564" s="17">
        <f>IF(ROW()-4&gt;7,"",TEXT(DATE(2024,1,ROW()-4),"ddd"))</f>
        <v>0</v>
      </c>
      <c r="AW564" s="23">
        <f>IF(AV564="","",COUNTIF(Performance!$N$5:$N$404,AV564))</f>
        <v>0</v>
      </c>
      <c r="AX564" s="23">
        <f>IF(AV564="","",SUMIFS(Performance!$O$5:$O$404,Performance!$N$5:$N$404,AV564))</f>
        <v>0</v>
      </c>
      <c r="AY564" s="23">
        <f>IF(AV564="","",SUMIFS(Performance!$Z$5:$Z$404,Performance!$N$5:$N$404,AV564))</f>
        <v>0</v>
      </c>
      <c r="AZ564" s="24">
        <f>IF(OR(AX564="",AX564=0),"",AY564/AX564)</f>
        <v>0</v>
      </c>
      <c r="BA564" s="32">
        <f>IF(AW564=0,"",IF(AZ564="","",AZ564+ROW()/1000000))</f>
        <v>0</v>
      </c>
      <c r="BB564" s="17">
        <f>IF(Lists!$AL564="","",Lists!$AL564)</f>
        <v>0</v>
      </c>
      <c r="BC564" s="23">
        <f>IF(BB564="","",COUNTIF(Performance!$M$5:$M$404,BB564))</f>
        <v>0</v>
      </c>
      <c r="BD564" s="23">
        <f>IF(BB564="","",SUMIFS(Performance!$O$5:$O$404,Performance!$M$5:$M$404,BB564))</f>
        <v>0</v>
      </c>
      <c r="BE564" s="23">
        <f>IF(BB564="","",SUMIFS(Performance!$Z$5:$Z$404,Performance!$M$5:$M$404,BB564))</f>
        <v>0</v>
      </c>
      <c r="BF564" s="24">
        <f>IF(OR(BD564="",BD564=0),"",BE564/BD564)</f>
        <v>0</v>
      </c>
      <c r="BG564" s="32">
        <f>IF(BC564=0,"",IF(BF564="","",BF564+ROW()/1000000))</f>
        <v>0</v>
      </c>
      <c r="BH564" s="17">
        <f>IF(Performance!$C$564="","",Performance!$C$564)</f>
        <v>0</v>
      </c>
      <c r="BI564" s="17">
        <f>IF(Performance!$F$564="","",Performance!$F$564)</f>
        <v>0</v>
      </c>
      <c r="BJ564" s="17">
        <f>IF(Performance!$H$564="","",Performance!$H$564)</f>
        <v>0</v>
      </c>
      <c r="BK564" s="16">
        <f>IF(Performance!$D$564="","",Performance!$D$564)</f>
        <v>0</v>
      </c>
      <c r="BL564" s="17">
        <f>IF(Performance!$E$564="","",Performance!$E$564)</f>
        <v>0</v>
      </c>
      <c r="BM564" s="23">
        <f>IF(Performance!$O$564="","",Performance!$O$564)</f>
        <v>0</v>
      </c>
      <c r="BN564" s="24">
        <f>IF(Performance!$AA$564="","",Performance!$AA$564)</f>
        <v>0</v>
      </c>
      <c r="BO564" s="32">
        <f>IF(BH564="","",IF(BK564="","",IF(OR(BK564&lt;DashStart,BK564&gt;DashEnd),"",IF(BN564="","",BN564+ROW()/1000000))))</f>
        <v>0</v>
      </c>
      <c r="BP564" s="32">
        <f>IF(BM564="","",IF(BK564="","",IF(OR(BK564&lt;DashStart,BK564&gt;DashEnd),"",BM564+ROW()/1000000)))</f>
        <v>0</v>
      </c>
      <c r="BQ564" s="32">
        <f>IF(BH564="","",IF(BK564="","",IF(YEAR(BK564)&lt;&gt;PlanYear,"",IF(BN564="","",BN564+ROW()/1000000))))</f>
        <v>0</v>
      </c>
      <c r="BR564" s="32">
        <f>IF(BH564="","",IF(BK564="","",IF(OR(BK564&lt;RepFrom,BK564&gt;RepTo),"",IF(BN564="","",BN564+ROW()/1000000))))</f>
        <v>0</v>
      </c>
      <c r="BS564" s="32">
        <f>IF(BM564="","",IF(BK564="","",IF(YEAR(BK564)&lt;&gt;PlanYear,"",BM564+ROW()/1000000)))</f>
        <v>0</v>
      </c>
      <c r="BT564" s="17">
        <f>IF(Lists!$F564="","",Lists!$F564)</f>
        <v>0</v>
      </c>
      <c r="BU564" s="23">
        <f>IF(BT564="","",COUNTIF('Content Calendar'!$X$5:$X$604,BT564))</f>
        <v>0</v>
      </c>
      <c r="BV564" s="23">
        <f>IF(BT564="","",COUNTIFS('Content Calendar'!$X$5:$X$604,BT564,'Content Calendar'!$B$5:$B$604,"&gt;="&amp;DashStart,'Content Calendar'!$B$5:$B$604,"&lt;="&amp;DashEnd))</f>
        <v>0</v>
      </c>
      <c r="BW564" s="17">
        <f>IF(Team!$B$564="","",Team!$B$564)</f>
        <v>0</v>
      </c>
      <c r="BX564" s="23">
        <f>IF(BW564="","",COUNTIF('Content Calendar'!$W$5:$W$604,BW564))</f>
        <v>0</v>
      </c>
      <c r="BY564" s="23">
        <f>IF(BW564="","",COUNTIFS('Content Calendar'!$W$5:$W$604,BW564,'Content Calendar'!$X$5:$X$604,"&lt;&gt;Published"))</f>
        <v>0</v>
      </c>
      <c r="BZ564" s="23">
        <f>IF(BW564="","",COUNTIFS(Tasks!$C$5:$C$64,BW564,Tasks!$G$5:$G$64,"&lt;&gt;Complete"))</f>
        <v>0</v>
      </c>
      <c r="CA564" s="17">
        <f>IF(Campaigns!$B$564="","",Campaigns!$B$564)</f>
        <v>0</v>
      </c>
      <c r="CB564" s="25">
        <f>IF(Campaigns!$T$564="","",Campaigns!$T$564)</f>
        <v>0</v>
      </c>
      <c r="CC564" s="25">
        <f>IF(Campaigns!$Q$564="","",Campaigns!$Q$564)</f>
        <v>0</v>
      </c>
      <c r="CD564" s="23">
        <f>IF(Campaigns!$Y$564="","",Campaigns!$Y$564)</f>
        <v>0</v>
      </c>
      <c r="CE564" s="32">
        <f>IF(CA564="","",IF(N(CB564)&lt;=0,"",N(CB564)+ROW()/1000000))</f>
        <v>0</v>
      </c>
      <c r="CF564" s="17">
        <f>IF(Accounts!$C$564="","",Accounts!$C$564)</f>
        <v>0</v>
      </c>
      <c r="CG564" s="17">
        <f>IF(Accounts!$B$564="","",Accounts!$B$564)</f>
        <v>0</v>
      </c>
      <c r="CH564" s="23">
        <f>IF(Accounts!$J$564="","",Accounts!$J$564)</f>
        <v>0</v>
      </c>
      <c r="CI564" s="23">
        <f>IF(CF564="","",SUMIFS(Analytics!$X$5:$X$154,Analytics!$E$5:$E$154,CF564,Analytics!$B$5:$B$154,"&gt;="&amp;DashStart,Analytics!$B$5:$B$154,"&lt;="&amp;DashEnd))</f>
        <v>0</v>
      </c>
      <c r="CJ564" s="32">
        <f>IF(CH564="","",IF(CH564=0,"",CH564+ROW()/1000000))</f>
        <v>0</v>
      </c>
    </row>
    <row r="565" spans="1:88">
      <c r="A565" s="16">
        <f>IF(ROW()-4&gt;12,"",DATE(PlanYear,ROW()-4,1))</f>
        <v>0</v>
      </c>
      <c r="B565" s="16">
        <f>IF(A565="","",EOMONTH(A565,0))</f>
        <v>0</v>
      </c>
      <c r="C565" s="17">
        <f>IF(A565="","",TEXT(A565,"yyyy-mm"))</f>
        <v>0</v>
      </c>
      <c r="D565" s="17">
        <f>IF(A565="","",TEXT(A565,"mmm"))</f>
        <v>0</v>
      </c>
      <c r="E565" s="23">
        <f>IF(C565="","",COUNTIFS('Content Calendar'!$D$5:$D$604,C565))</f>
        <v>0</v>
      </c>
      <c r="F565" s="23">
        <f>IF(C565="","",COUNTIFS('Content Calendar'!$D$5:$D$604,C565,'Content Calendar'!$X$5:$X$604,"Published"))</f>
        <v>0</v>
      </c>
      <c r="G565" s="23">
        <f>IF(C565="","",SUMIFS(Analytics!$J$5:$J$154,Analytics!$C$5:$C$154,C565))</f>
        <v>0</v>
      </c>
      <c r="H565" s="23">
        <f>IF(C565="","",SUMIFS(Analytics!$K$5:$K$154,Analytics!$C$5:$C$154,C565))</f>
        <v>0</v>
      </c>
      <c r="I565" s="23">
        <f>IF(C565="","",SUMIFS(Analytics!$L$5:$L$154,Analytics!$C$5:$C$154,C565))</f>
        <v>0</v>
      </c>
      <c r="J565" s="24">
        <f>IF(OR(G565="",G565=0),"",I565/G565)</f>
        <v>0</v>
      </c>
      <c r="K565" s="23">
        <f>IF(C565="","",SUMIFS(Analytics!$G$5:$G$154,Analytics!$C$5:$C$154,C565))</f>
        <v>0</v>
      </c>
      <c r="L565" s="23">
        <f>IF(C565="","",SUMIFS(Analytics!$X$5:$X$154,Analytics!$C$5:$C$154,C565))</f>
        <v>0</v>
      </c>
      <c r="M565" s="23">
        <f>IF(C565="","",SUMIFS(Analytics!$R$5:$R$154,Analytics!$C$5:$C$154,C565))</f>
        <v>0</v>
      </c>
      <c r="N565" s="23">
        <f>IF(C565="","",SUMIFS(Analytics!$S$5:$S$154,Analytics!$C$5:$C$154,C565))</f>
        <v>0</v>
      </c>
      <c r="O565" s="23">
        <f>IF(C565="","",SUMIFS(Analytics!$T$5:$T$154,Analytics!$C$5:$C$154,C565))</f>
        <v>0</v>
      </c>
      <c r="P565" s="25">
        <f>IF(C565="","",SUMIFS(Analytics!$U$5:$U$154,Analytics!$C$5:$C$154,C565))</f>
        <v>0</v>
      </c>
      <c r="Q565" s="25">
        <f>IF(C565="","",SUMIFS(Budget!$H$5:$H$64,Budget!$C$5:$C$64,C565))</f>
        <v>0</v>
      </c>
      <c r="R565" s="25">
        <f>IF(C565="","",P565-Q565)</f>
        <v>0</v>
      </c>
      <c r="S565" s="23">
        <f>IF(C565="","",MonthlyPostTarget)</f>
        <v>0</v>
      </c>
      <c r="T565" s="17">
        <f>IF(Lists!$C565="","",Lists!$C565)</f>
        <v>0</v>
      </c>
      <c r="U565" s="23">
        <f>IF(T565="","",COUNTIFS('Content Calendar'!$G$5:$G$604,T565,'Content Calendar'!$B$5:$B$604,"&gt;="&amp;DashStart,'Content Calendar'!$B$5:$B$604,"&lt;="&amp;DashEnd))</f>
        <v>0</v>
      </c>
      <c r="V565" s="23">
        <f>IF(T565="","",COUNTIFS('Content Calendar'!$G$5:$G$604,T565,'Content Calendar'!$X$5:$X$604,"Published",'Content Calendar'!$B$5:$B$604,"&gt;="&amp;DashStart,'Content Calendar'!$B$5:$B$604,"&lt;="&amp;DashEnd))</f>
        <v>0</v>
      </c>
      <c r="W565" s="23">
        <f>IF(T565="","",SUMIFS(Analytics!$J$5:$J$154,Analytics!$D$5:$D$154,T565,Analytics!$B$5:$B$154,"&gt;="&amp;DashStart,Analytics!$B$5:$B$154,"&lt;="&amp;DashEnd))</f>
        <v>0</v>
      </c>
      <c r="X565" s="23">
        <f>IF(T565="","",SUMIFS(Analytics!$L$5:$L$154,Analytics!$D$5:$D$154,T565,Analytics!$B$5:$B$154,"&gt;="&amp;DashStart,Analytics!$B$5:$B$154,"&lt;="&amp;DashEnd))</f>
        <v>0</v>
      </c>
      <c r="Y565" s="24">
        <f>IF(OR(W565="",W565=0),"",X565/W565)</f>
        <v>0</v>
      </c>
      <c r="Z565" s="23">
        <f>IF(T565="","",SUMIFS(Analytics!$G$5:$G$154,Analytics!$D$5:$D$154,T565,Analytics!$B$5:$B$154,"&gt;="&amp;DashStart,Analytics!$B$5:$B$154,"&lt;="&amp;DashEnd))</f>
        <v>0</v>
      </c>
      <c r="AA565" s="23">
        <f>IF(T565="","",SUMIFS(Analytics!$X$5:$X$154,Analytics!$D$5:$D$154,T565,Analytics!$B$5:$B$154,"&gt;="&amp;DashStart,Analytics!$B$5:$B$154,"&lt;="&amp;DashEnd))</f>
        <v>0</v>
      </c>
      <c r="AB565" s="23">
        <f>IF(T565="","",SUMIFS(Analytics!$R$5:$R$154,Analytics!$D$5:$D$154,T565,Analytics!$B$5:$B$154,"&gt;="&amp;DashStart,Analytics!$B$5:$B$154,"&lt;="&amp;DashEnd))</f>
        <v>0</v>
      </c>
      <c r="AC565" s="25">
        <f>IF(T565="","",SUMIFS(Analytics!$U$5:$U$154,Analytics!$D$5:$D$154,T565,Analytics!$B$5:$B$154,"&gt;="&amp;DashStart,Analytics!$B$5:$B$154,"&lt;="&amp;DashEnd))</f>
        <v>0</v>
      </c>
      <c r="AD565" s="23">
        <f>IF(T565="","",COUNTIFS('Content Calendar'!$G$5:$G$604,T565,'Content Calendar'!$B$5:$B$604,"&gt;="&amp;DATE(PlanYear,1,1),'Content Calendar'!$B$5:$B$604,"&lt;="&amp;DATE(PlanYear,12,31)))</f>
        <v>0</v>
      </c>
      <c r="AE565" s="23">
        <f>IF(T565="","",SUMIFS(Analytics!$J$5:$J$154,Analytics!$D$5:$D$154,T565))</f>
        <v>0</v>
      </c>
      <c r="AF565" s="23">
        <f>IF(T565="","",SUMIFS(Analytics!$L$5:$L$154,Analytics!$D$5:$D$154,T565))</f>
        <v>0</v>
      </c>
      <c r="AG565" s="24">
        <f>IF(OR(AE565="",AE565=0),"",AF565/AE565)</f>
        <v>0</v>
      </c>
      <c r="AH565" s="23">
        <f>IF(T565="","",SUMIFS(Analytics!$X$5:$X$154,Analytics!$D$5:$D$154,T565))</f>
        <v>0</v>
      </c>
      <c r="AI565" s="32">
        <f>IF(T565="","",IF(AE565=0,"",AE565+ROW()/1000000))</f>
        <v>0</v>
      </c>
      <c r="AJ565" s="17">
        <f>IF('Content Pillars'!$B$565="","",'Content Pillars'!$B$565)</f>
        <v>0</v>
      </c>
      <c r="AK565" s="23">
        <f>IF(AJ565="","",COUNTIFS('Content Calendar'!$J$5:$J$604,AJ565,'Content Calendar'!$B$5:$B$604,"&gt;="&amp;DATE(PlanYear,1,1),'Content Calendar'!$B$5:$B$604,"&lt;="&amp;DATE(PlanYear,12,31)))</f>
        <v>0</v>
      </c>
      <c r="AL565" s="23">
        <f>IF(AJ565="","",SUMIFS(Performance!$O$5:$O$404,Performance!$H$5:$H$404,AJ565))</f>
        <v>0</v>
      </c>
      <c r="AM565" s="23">
        <f>IF(AJ565="","",SUMIFS(Performance!$Z$5:$Z$404,Performance!$H$5:$H$404,AJ565))</f>
        <v>0</v>
      </c>
      <c r="AN565" s="24">
        <f>IF(OR(AL565="",AL565=0),"",AM565/AL565)</f>
        <v>0</v>
      </c>
      <c r="AO565" s="32">
        <f>IF(AN565="","",AN565+ROW()/1000000)</f>
        <v>0</v>
      </c>
      <c r="AP565" s="17">
        <f>IF(Lists!$E565="","",Lists!$E565)</f>
        <v>0</v>
      </c>
      <c r="AQ565" s="23">
        <f>IF(AP565="","",COUNTIF(Performance!$G$5:$G$404,AP565))</f>
        <v>0</v>
      </c>
      <c r="AR565" s="23">
        <f>IF(AP565="","",SUMIFS(Performance!$O$5:$O$404,Performance!$G$5:$G$404,AP565))</f>
        <v>0</v>
      </c>
      <c r="AS565" s="23">
        <f>IF(AP565="","",SUMIFS(Performance!$Z$5:$Z$404,Performance!$G$5:$G$404,AP565))</f>
        <v>0</v>
      </c>
      <c r="AT565" s="24">
        <f>IF(OR(AR565="",AR565=0),"",AS565/AR565)</f>
        <v>0</v>
      </c>
      <c r="AU565" s="32">
        <f>IF(AQ565=0,"",IF(AT565="","",AT565+ROW()/1000000))</f>
        <v>0</v>
      </c>
      <c r="AV565" s="17">
        <f>IF(ROW()-4&gt;7,"",TEXT(DATE(2024,1,ROW()-4),"ddd"))</f>
        <v>0</v>
      </c>
      <c r="AW565" s="23">
        <f>IF(AV565="","",COUNTIF(Performance!$N$5:$N$404,AV565))</f>
        <v>0</v>
      </c>
      <c r="AX565" s="23">
        <f>IF(AV565="","",SUMIFS(Performance!$O$5:$O$404,Performance!$N$5:$N$404,AV565))</f>
        <v>0</v>
      </c>
      <c r="AY565" s="23">
        <f>IF(AV565="","",SUMIFS(Performance!$Z$5:$Z$404,Performance!$N$5:$N$404,AV565))</f>
        <v>0</v>
      </c>
      <c r="AZ565" s="24">
        <f>IF(OR(AX565="",AX565=0),"",AY565/AX565)</f>
        <v>0</v>
      </c>
      <c r="BA565" s="32">
        <f>IF(AW565=0,"",IF(AZ565="","",AZ565+ROW()/1000000))</f>
        <v>0</v>
      </c>
      <c r="BB565" s="17">
        <f>IF(Lists!$AL565="","",Lists!$AL565)</f>
        <v>0</v>
      </c>
      <c r="BC565" s="23">
        <f>IF(BB565="","",COUNTIF(Performance!$M$5:$M$404,BB565))</f>
        <v>0</v>
      </c>
      <c r="BD565" s="23">
        <f>IF(BB565="","",SUMIFS(Performance!$O$5:$O$404,Performance!$M$5:$M$404,BB565))</f>
        <v>0</v>
      </c>
      <c r="BE565" s="23">
        <f>IF(BB565="","",SUMIFS(Performance!$Z$5:$Z$404,Performance!$M$5:$M$404,BB565))</f>
        <v>0</v>
      </c>
      <c r="BF565" s="24">
        <f>IF(OR(BD565="",BD565=0),"",BE565/BD565)</f>
        <v>0</v>
      </c>
      <c r="BG565" s="32">
        <f>IF(BC565=0,"",IF(BF565="","",BF565+ROW()/1000000))</f>
        <v>0</v>
      </c>
      <c r="BH565" s="17">
        <f>IF(Performance!$C$565="","",Performance!$C$565)</f>
        <v>0</v>
      </c>
      <c r="BI565" s="17">
        <f>IF(Performance!$F$565="","",Performance!$F$565)</f>
        <v>0</v>
      </c>
      <c r="BJ565" s="17">
        <f>IF(Performance!$H$565="","",Performance!$H$565)</f>
        <v>0</v>
      </c>
      <c r="BK565" s="16">
        <f>IF(Performance!$D$565="","",Performance!$D$565)</f>
        <v>0</v>
      </c>
      <c r="BL565" s="17">
        <f>IF(Performance!$E$565="","",Performance!$E$565)</f>
        <v>0</v>
      </c>
      <c r="BM565" s="23">
        <f>IF(Performance!$O$565="","",Performance!$O$565)</f>
        <v>0</v>
      </c>
      <c r="BN565" s="24">
        <f>IF(Performance!$AA$565="","",Performance!$AA$565)</f>
        <v>0</v>
      </c>
      <c r="BO565" s="32">
        <f>IF(BH565="","",IF(BK565="","",IF(OR(BK565&lt;DashStart,BK565&gt;DashEnd),"",IF(BN565="","",BN565+ROW()/1000000))))</f>
        <v>0</v>
      </c>
      <c r="BP565" s="32">
        <f>IF(BM565="","",IF(BK565="","",IF(OR(BK565&lt;DashStart,BK565&gt;DashEnd),"",BM565+ROW()/1000000)))</f>
        <v>0</v>
      </c>
      <c r="BQ565" s="32">
        <f>IF(BH565="","",IF(BK565="","",IF(YEAR(BK565)&lt;&gt;PlanYear,"",IF(BN565="","",BN565+ROW()/1000000))))</f>
        <v>0</v>
      </c>
      <c r="BR565" s="32">
        <f>IF(BH565="","",IF(BK565="","",IF(OR(BK565&lt;RepFrom,BK565&gt;RepTo),"",IF(BN565="","",BN565+ROW()/1000000))))</f>
        <v>0</v>
      </c>
      <c r="BS565" s="32">
        <f>IF(BM565="","",IF(BK565="","",IF(YEAR(BK565)&lt;&gt;PlanYear,"",BM565+ROW()/1000000)))</f>
        <v>0</v>
      </c>
      <c r="BT565" s="17">
        <f>IF(Lists!$F565="","",Lists!$F565)</f>
        <v>0</v>
      </c>
      <c r="BU565" s="23">
        <f>IF(BT565="","",COUNTIF('Content Calendar'!$X$5:$X$604,BT565))</f>
        <v>0</v>
      </c>
      <c r="BV565" s="23">
        <f>IF(BT565="","",COUNTIFS('Content Calendar'!$X$5:$X$604,BT565,'Content Calendar'!$B$5:$B$604,"&gt;="&amp;DashStart,'Content Calendar'!$B$5:$B$604,"&lt;="&amp;DashEnd))</f>
        <v>0</v>
      </c>
      <c r="BW565" s="17">
        <f>IF(Team!$B$565="","",Team!$B$565)</f>
        <v>0</v>
      </c>
      <c r="BX565" s="23">
        <f>IF(BW565="","",COUNTIF('Content Calendar'!$W$5:$W$604,BW565))</f>
        <v>0</v>
      </c>
      <c r="BY565" s="23">
        <f>IF(BW565="","",COUNTIFS('Content Calendar'!$W$5:$W$604,BW565,'Content Calendar'!$X$5:$X$604,"&lt;&gt;Published"))</f>
        <v>0</v>
      </c>
      <c r="BZ565" s="23">
        <f>IF(BW565="","",COUNTIFS(Tasks!$C$5:$C$64,BW565,Tasks!$G$5:$G$64,"&lt;&gt;Complete"))</f>
        <v>0</v>
      </c>
      <c r="CA565" s="17">
        <f>IF(Campaigns!$B$565="","",Campaigns!$B$565)</f>
        <v>0</v>
      </c>
      <c r="CB565" s="25">
        <f>IF(Campaigns!$T$565="","",Campaigns!$T$565)</f>
        <v>0</v>
      </c>
      <c r="CC565" s="25">
        <f>IF(Campaigns!$Q$565="","",Campaigns!$Q$565)</f>
        <v>0</v>
      </c>
      <c r="CD565" s="23">
        <f>IF(Campaigns!$Y$565="","",Campaigns!$Y$565)</f>
        <v>0</v>
      </c>
      <c r="CE565" s="32">
        <f>IF(CA565="","",IF(N(CB565)&lt;=0,"",N(CB565)+ROW()/1000000))</f>
        <v>0</v>
      </c>
      <c r="CF565" s="17">
        <f>IF(Accounts!$C$565="","",Accounts!$C$565)</f>
        <v>0</v>
      </c>
      <c r="CG565" s="17">
        <f>IF(Accounts!$B$565="","",Accounts!$B$565)</f>
        <v>0</v>
      </c>
      <c r="CH565" s="23">
        <f>IF(Accounts!$J$565="","",Accounts!$J$565)</f>
        <v>0</v>
      </c>
      <c r="CI565" s="23">
        <f>IF(CF565="","",SUMIFS(Analytics!$X$5:$X$154,Analytics!$E$5:$E$154,CF565,Analytics!$B$5:$B$154,"&gt;="&amp;DashStart,Analytics!$B$5:$B$154,"&lt;="&amp;DashEnd))</f>
        <v>0</v>
      </c>
      <c r="CJ565" s="32">
        <f>IF(CH565="","",IF(CH565=0,"",CH565+ROW()/1000000))</f>
        <v>0</v>
      </c>
    </row>
    <row r="566" spans="1:88">
      <c r="A566" s="16">
        <f>IF(ROW()-4&gt;12,"",DATE(PlanYear,ROW()-4,1))</f>
        <v>0</v>
      </c>
      <c r="B566" s="16">
        <f>IF(A566="","",EOMONTH(A566,0))</f>
        <v>0</v>
      </c>
      <c r="C566" s="17">
        <f>IF(A566="","",TEXT(A566,"yyyy-mm"))</f>
        <v>0</v>
      </c>
      <c r="D566" s="17">
        <f>IF(A566="","",TEXT(A566,"mmm"))</f>
        <v>0</v>
      </c>
      <c r="E566" s="23">
        <f>IF(C566="","",COUNTIFS('Content Calendar'!$D$5:$D$604,C566))</f>
        <v>0</v>
      </c>
      <c r="F566" s="23">
        <f>IF(C566="","",COUNTIFS('Content Calendar'!$D$5:$D$604,C566,'Content Calendar'!$X$5:$X$604,"Published"))</f>
        <v>0</v>
      </c>
      <c r="G566" s="23">
        <f>IF(C566="","",SUMIFS(Analytics!$J$5:$J$154,Analytics!$C$5:$C$154,C566))</f>
        <v>0</v>
      </c>
      <c r="H566" s="23">
        <f>IF(C566="","",SUMIFS(Analytics!$K$5:$K$154,Analytics!$C$5:$C$154,C566))</f>
        <v>0</v>
      </c>
      <c r="I566" s="23">
        <f>IF(C566="","",SUMIFS(Analytics!$L$5:$L$154,Analytics!$C$5:$C$154,C566))</f>
        <v>0</v>
      </c>
      <c r="J566" s="24">
        <f>IF(OR(G566="",G566=0),"",I566/G566)</f>
        <v>0</v>
      </c>
      <c r="K566" s="23">
        <f>IF(C566="","",SUMIFS(Analytics!$G$5:$G$154,Analytics!$C$5:$C$154,C566))</f>
        <v>0</v>
      </c>
      <c r="L566" s="23">
        <f>IF(C566="","",SUMIFS(Analytics!$X$5:$X$154,Analytics!$C$5:$C$154,C566))</f>
        <v>0</v>
      </c>
      <c r="M566" s="23">
        <f>IF(C566="","",SUMIFS(Analytics!$R$5:$R$154,Analytics!$C$5:$C$154,C566))</f>
        <v>0</v>
      </c>
      <c r="N566" s="23">
        <f>IF(C566="","",SUMIFS(Analytics!$S$5:$S$154,Analytics!$C$5:$C$154,C566))</f>
        <v>0</v>
      </c>
      <c r="O566" s="23">
        <f>IF(C566="","",SUMIFS(Analytics!$T$5:$T$154,Analytics!$C$5:$C$154,C566))</f>
        <v>0</v>
      </c>
      <c r="P566" s="25">
        <f>IF(C566="","",SUMIFS(Analytics!$U$5:$U$154,Analytics!$C$5:$C$154,C566))</f>
        <v>0</v>
      </c>
      <c r="Q566" s="25">
        <f>IF(C566="","",SUMIFS(Budget!$H$5:$H$64,Budget!$C$5:$C$64,C566))</f>
        <v>0</v>
      </c>
      <c r="R566" s="25">
        <f>IF(C566="","",P566-Q566)</f>
        <v>0</v>
      </c>
      <c r="S566" s="23">
        <f>IF(C566="","",MonthlyPostTarget)</f>
        <v>0</v>
      </c>
      <c r="T566" s="17">
        <f>IF(Lists!$C566="","",Lists!$C566)</f>
        <v>0</v>
      </c>
      <c r="U566" s="23">
        <f>IF(T566="","",COUNTIFS('Content Calendar'!$G$5:$G$604,T566,'Content Calendar'!$B$5:$B$604,"&gt;="&amp;DashStart,'Content Calendar'!$B$5:$B$604,"&lt;="&amp;DashEnd))</f>
        <v>0</v>
      </c>
      <c r="V566" s="23">
        <f>IF(T566="","",COUNTIFS('Content Calendar'!$G$5:$G$604,T566,'Content Calendar'!$X$5:$X$604,"Published",'Content Calendar'!$B$5:$B$604,"&gt;="&amp;DashStart,'Content Calendar'!$B$5:$B$604,"&lt;="&amp;DashEnd))</f>
        <v>0</v>
      </c>
      <c r="W566" s="23">
        <f>IF(T566="","",SUMIFS(Analytics!$J$5:$J$154,Analytics!$D$5:$D$154,T566,Analytics!$B$5:$B$154,"&gt;="&amp;DashStart,Analytics!$B$5:$B$154,"&lt;="&amp;DashEnd))</f>
        <v>0</v>
      </c>
      <c r="X566" s="23">
        <f>IF(T566="","",SUMIFS(Analytics!$L$5:$L$154,Analytics!$D$5:$D$154,T566,Analytics!$B$5:$B$154,"&gt;="&amp;DashStart,Analytics!$B$5:$B$154,"&lt;="&amp;DashEnd))</f>
        <v>0</v>
      </c>
      <c r="Y566" s="24">
        <f>IF(OR(W566="",W566=0),"",X566/W566)</f>
        <v>0</v>
      </c>
      <c r="Z566" s="23">
        <f>IF(T566="","",SUMIFS(Analytics!$G$5:$G$154,Analytics!$D$5:$D$154,T566,Analytics!$B$5:$B$154,"&gt;="&amp;DashStart,Analytics!$B$5:$B$154,"&lt;="&amp;DashEnd))</f>
        <v>0</v>
      </c>
      <c r="AA566" s="23">
        <f>IF(T566="","",SUMIFS(Analytics!$X$5:$X$154,Analytics!$D$5:$D$154,T566,Analytics!$B$5:$B$154,"&gt;="&amp;DashStart,Analytics!$B$5:$B$154,"&lt;="&amp;DashEnd))</f>
        <v>0</v>
      </c>
      <c r="AB566" s="23">
        <f>IF(T566="","",SUMIFS(Analytics!$R$5:$R$154,Analytics!$D$5:$D$154,T566,Analytics!$B$5:$B$154,"&gt;="&amp;DashStart,Analytics!$B$5:$B$154,"&lt;="&amp;DashEnd))</f>
        <v>0</v>
      </c>
      <c r="AC566" s="25">
        <f>IF(T566="","",SUMIFS(Analytics!$U$5:$U$154,Analytics!$D$5:$D$154,T566,Analytics!$B$5:$B$154,"&gt;="&amp;DashStart,Analytics!$B$5:$B$154,"&lt;="&amp;DashEnd))</f>
        <v>0</v>
      </c>
      <c r="AD566" s="23">
        <f>IF(T566="","",COUNTIFS('Content Calendar'!$G$5:$G$604,T566,'Content Calendar'!$B$5:$B$604,"&gt;="&amp;DATE(PlanYear,1,1),'Content Calendar'!$B$5:$B$604,"&lt;="&amp;DATE(PlanYear,12,31)))</f>
        <v>0</v>
      </c>
      <c r="AE566" s="23">
        <f>IF(T566="","",SUMIFS(Analytics!$J$5:$J$154,Analytics!$D$5:$D$154,T566))</f>
        <v>0</v>
      </c>
      <c r="AF566" s="23">
        <f>IF(T566="","",SUMIFS(Analytics!$L$5:$L$154,Analytics!$D$5:$D$154,T566))</f>
        <v>0</v>
      </c>
      <c r="AG566" s="24">
        <f>IF(OR(AE566="",AE566=0),"",AF566/AE566)</f>
        <v>0</v>
      </c>
      <c r="AH566" s="23">
        <f>IF(T566="","",SUMIFS(Analytics!$X$5:$X$154,Analytics!$D$5:$D$154,T566))</f>
        <v>0</v>
      </c>
      <c r="AI566" s="32">
        <f>IF(T566="","",IF(AE566=0,"",AE566+ROW()/1000000))</f>
        <v>0</v>
      </c>
      <c r="AJ566" s="17">
        <f>IF('Content Pillars'!$B$566="","",'Content Pillars'!$B$566)</f>
        <v>0</v>
      </c>
      <c r="AK566" s="23">
        <f>IF(AJ566="","",COUNTIFS('Content Calendar'!$J$5:$J$604,AJ566,'Content Calendar'!$B$5:$B$604,"&gt;="&amp;DATE(PlanYear,1,1),'Content Calendar'!$B$5:$B$604,"&lt;="&amp;DATE(PlanYear,12,31)))</f>
        <v>0</v>
      </c>
      <c r="AL566" s="23">
        <f>IF(AJ566="","",SUMIFS(Performance!$O$5:$O$404,Performance!$H$5:$H$404,AJ566))</f>
        <v>0</v>
      </c>
      <c r="AM566" s="23">
        <f>IF(AJ566="","",SUMIFS(Performance!$Z$5:$Z$404,Performance!$H$5:$H$404,AJ566))</f>
        <v>0</v>
      </c>
      <c r="AN566" s="24">
        <f>IF(OR(AL566="",AL566=0),"",AM566/AL566)</f>
        <v>0</v>
      </c>
      <c r="AO566" s="32">
        <f>IF(AN566="","",AN566+ROW()/1000000)</f>
        <v>0</v>
      </c>
      <c r="AP566" s="17">
        <f>IF(Lists!$E566="","",Lists!$E566)</f>
        <v>0</v>
      </c>
      <c r="AQ566" s="23">
        <f>IF(AP566="","",COUNTIF(Performance!$G$5:$G$404,AP566))</f>
        <v>0</v>
      </c>
      <c r="AR566" s="23">
        <f>IF(AP566="","",SUMIFS(Performance!$O$5:$O$404,Performance!$G$5:$G$404,AP566))</f>
        <v>0</v>
      </c>
      <c r="AS566" s="23">
        <f>IF(AP566="","",SUMIFS(Performance!$Z$5:$Z$404,Performance!$G$5:$G$404,AP566))</f>
        <v>0</v>
      </c>
      <c r="AT566" s="24">
        <f>IF(OR(AR566="",AR566=0),"",AS566/AR566)</f>
        <v>0</v>
      </c>
      <c r="AU566" s="32">
        <f>IF(AQ566=0,"",IF(AT566="","",AT566+ROW()/1000000))</f>
        <v>0</v>
      </c>
      <c r="AV566" s="17">
        <f>IF(ROW()-4&gt;7,"",TEXT(DATE(2024,1,ROW()-4),"ddd"))</f>
        <v>0</v>
      </c>
      <c r="AW566" s="23">
        <f>IF(AV566="","",COUNTIF(Performance!$N$5:$N$404,AV566))</f>
        <v>0</v>
      </c>
      <c r="AX566" s="23">
        <f>IF(AV566="","",SUMIFS(Performance!$O$5:$O$404,Performance!$N$5:$N$404,AV566))</f>
        <v>0</v>
      </c>
      <c r="AY566" s="23">
        <f>IF(AV566="","",SUMIFS(Performance!$Z$5:$Z$404,Performance!$N$5:$N$404,AV566))</f>
        <v>0</v>
      </c>
      <c r="AZ566" s="24">
        <f>IF(OR(AX566="",AX566=0),"",AY566/AX566)</f>
        <v>0</v>
      </c>
      <c r="BA566" s="32">
        <f>IF(AW566=0,"",IF(AZ566="","",AZ566+ROW()/1000000))</f>
        <v>0</v>
      </c>
      <c r="BB566" s="17">
        <f>IF(Lists!$AL566="","",Lists!$AL566)</f>
        <v>0</v>
      </c>
      <c r="BC566" s="23">
        <f>IF(BB566="","",COUNTIF(Performance!$M$5:$M$404,BB566))</f>
        <v>0</v>
      </c>
      <c r="BD566" s="23">
        <f>IF(BB566="","",SUMIFS(Performance!$O$5:$O$404,Performance!$M$5:$M$404,BB566))</f>
        <v>0</v>
      </c>
      <c r="BE566" s="23">
        <f>IF(BB566="","",SUMIFS(Performance!$Z$5:$Z$404,Performance!$M$5:$M$404,BB566))</f>
        <v>0</v>
      </c>
      <c r="BF566" s="24">
        <f>IF(OR(BD566="",BD566=0),"",BE566/BD566)</f>
        <v>0</v>
      </c>
      <c r="BG566" s="32">
        <f>IF(BC566=0,"",IF(BF566="","",BF566+ROW()/1000000))</f>
        <v>0</v>
      </c>
      <c r="BH566" s="17">
        <f>IF(Performance!$C$566="","",Performance!$C$566)</f>
        <v>0</v>
      </c>
      <c r="BI566" s="17">
        <f>IF(Performance!$F$566="","",Performance!$F$566)</f>
        <v>0</v>
      </c>
      <c r="BJ566" s="17">
        <f>IF(Performance!$H$566="","",Performance!$H$566)</f>
        <v>0</v>
      </c>
      <c r="BK566" s="16">
        <f>IF(Performance!$D$566="","",Performance!$D$566)</f>
        <v>0</v>
      </c>
      <c r="BL566" s="17">
        <f>IF(Performance!$E$566="","",Performance!$E$566)</f>
        <v>0</v>
      </c>
      <c r="BM566" s="23">
        <f>IF(Performance!$O$566="","",Performance!$O$566)</f>
        <v>0</v>
      </c>
      <c r="BN566" s="24">
        <f>IF(Performance!$AA$566="","",Performance!$AA$566)</f>
        <v>0</v>
      </c>
      <c r="BO566" s="32">
        <f>IF(BH566="","",IF(BK566="","",IF(OR(BK566&lt;DashStart,BK566&gt;DashEnd),"",IF(BN566="","",BN566+ROW()/1000000))))</f>
        <v>0</v>
      </c>
      <c r="BP566" s="32">
        <f>IF(BM566="","",IF(BK566="","",IF(OR(BK566&lt;DashStart,BK566&gt;DashEnd),"",BM566+ROW()/1000000)))</f>
        <v>0</v>
      </c>
      <c r="BQ566" s="32">
        <f>IF(BH566="","",IF(BK566="","",IF(YEAR(BK566)&lt;&gt;PlanYear,"",IF(BN566="","",BN566+ROW()/1000000))))</f>
        <v>0</v>
      </c>
      <c r="BR566" s="32">
        <f>IF(BH566="","",IF(BK566="","",IF(OR(BK566&lt;RepFrom,BK566&gt;RepTo),"",IF(BN566="","",BN566+ROW()/1000000))))</f>
        <v>0</v>
      </c>
      <c r="BS566" s="32">
        <f>IF(BM566="","",IF(BK566="","",IF(YEAR(BK566)&lt;&gt;PlanYear,"",BM566+ROW()/1000000)))</f>
        <v>0</v>
      </c>
      <c r="BT566" s="17">
        <f>IF(Lists!$F566="","",Lists!$F566)</f>
        <v>0</v>
      </c>
      <c r="BU566" s="23">
        <f>IF(BT566="","",COUNTIF('Content Calendar'!$X$5:$X$604,BT566))</f>
        <v>0</v>
      </c>
      <c r="BV566" s="23">
        <f>IF(BT566="","",COUNTIFS('Content Calendar'!$X$5:$X$604,BT566,'Content Calendar'!$B$5:$B$604,"&gt;="&amp;DashStart,'Content Calendar'!$B$5:$B$604,"&lt;="&amp;DashEnd))</f>
        <v>0</v>
      </c>
      <c r="BW566" s="17">
        <f>IF(Team!$B$566="","",Team!$B$566)</f>
        <v>0</v>
      </c>
      <c r="BX566" s="23">
        <f>IF(BW566="","",COUNTIF('Content Calendar'!$W$5:$W$604,BW566))</f>
        <v>0</v>
      </c>
      <c r="BY566" s="23">
        <f>IF(BW566="","",COUNTIFS('Content Calendar'!$W$5:$W$604,BW566,'Content Calendar'!$X$5:$X$604,"&lt;&gt;Published"))</f>
        <v>0</v>
      </c>
      <c r="BZ566" s="23">
        <f>IF(BW566="","",COUNTIFS(Tasks!$C$5:$C$64,BW566,Tasks!$G$5:$G$64,"&lt;&gt;Complete"))</f>
        <v>0</v>
      </c>
      <c r="CA566" s="17">
        <f>IF(Campaigns!$B$566="","",Campaigns!$B$566)</f>
        <v>0</v>
      </c>
      <c r="CB566" s="25">
        <f>IF(Campaigns!$T$566="","",Campaigns!$T$566)</f>
        <v>0</v>
      </c>
      <c r="CC566" s="25">
        <f>IF(Campaigns!$Q$566="","",Campaigns!$Q$566)</f>
        <v>0</v>
      </c>
      <c r="CD566" s="23">
        <f>IF(Campaigns!$Y$566="","",Campaigns!$Y$566)</f>
        <v>0</v>
      </c>
      <c r="CE566" s="32">
        <f>IF(CA566="","",IF(N(CB566)&lt;=0,"",N(CB566)+ROW()/1000000))</f>
        <v>0</v>
      </c>
      <c r="CF566" s="17">
        <f>IF(Accounts!$C$566="","",Accounts!$C$566)</f>
        <v>0</v>
      </c>
      <c r="CG566" s="17">
        <f>IF(Accounts!$B$566="","",Accounts!$B$566)</f>
        <v>0</v>
      </c>
      <c r="CH566" s="23">
        <f>IF(Accounts!$J$566="","",Accounts!$J$566)</f>
        <v>0</v>
      </c>
      <c r="CI566" s="23">
        <f>IF(CF566="","",SUMIFS(Analytics!$X$5:$X$154,Analytics!$E$5:$E$154,CF566,Analytics!$B$5:$B$154,"&gt;="&amp;DashStart,Analytics!$B$5:$B$154,"&lt;="&amp;DashEnd))</f>
        <v>0</v>
      </c>
      <c r="CJ566" s="32">
        <f>IF(CH566="","",IF(CH566=0,"",CH566+ROW()/1000000))</f>
        <v>0</v>
      </c>
    </row>
    <row r="567" spans="1:88">
      <c r="A567" s="16">
        <f>IF(ROW()-4&gt;12,"",DATE(PlanYear,ROW()-4,1))</f>
        <v>0</v>
      </c>
      <c r="B567" s="16">
        <f>IF(A567="","",EOMONTH(A567,0))</f>
        <v>0</v>
      </c>
      <c r="C567" s="17">
        <f>IF(A567="","",TEXT(A567,"yyyy-mm"))</f>
        <v>0</v>
      </c>
      <c r="D567" s="17">
        <f>IF(A567="","",TEXT(A567,"mmm"))</f>
        <v>0</v>
      </c>
      <c r="E567" s="23">
        <f>IF(C567="","",COUNTIFS('Content Calendar'!$D$5:$D$604,C567))</f>
        <v>0</v>
      </c>
      <c r="F567" s="23">
        <f>IF(C567="","",COUNTIFS('Content Calendar'!$D$5:$D$604,C567,'Content Calendar'!$X$5:$X$604,"Published"))</f>
        <v>0</v>
      </c>
      <c r="G567" s="23">
        <f>IF(C567="","",SUMIFS(Analytics!$J$5:$J$154,Analytics!$C$5:$C$154,C567))</f>
        <v>0</v>
      </c>
      <c r="H567" s="23">
        <f>IF(C567="","",SUMIFS(Analytics!$K$5:$K$154,Analytics!$C$5:$C$154,C567))</f>
        <v>0</v>
      </c>
      <c r="I567" s="23">
        <f>IF(C567="","",SUMIFS(Analytics!$L$5:$L$154,Analytics!$C$5:$C$154,C567))</f>
        <v>0</v>
      </c>
      <c r="J567" s="24">
        <f>IF(OR(G567="",G567=0),"",I567/G567)</f>
        <v>0</v>
      </c>
      <c r="K567" s="23">
        <f>IF(C567="","",SUMIFS(Analytics!$G$5:$G$154,Analytics!$C$5:$C$154,C567))</f>
        <v>0</v>
      </c>
      <c r="L567" s="23">
        <f>IF(C567="","",SUMIFS(Analytics!$X$5:$X$154,Analytics!$C$5:$C$154,C567))</f>
        <v>0</v>
      </c>
      <c r="M567" s="23">
        <f>IF(C567="","",SUMIFS(Analytics!$R$5:$R$154,Analytics!$C$5:$C$154,C567))</f>
        <v>0</v>
      </c>
      <c r="N567" s="23">
        <f>IF(C567="","",SUMIFS(Analytics!$S$5:$S$154,Analytics!$C$5:$C$154,C567))</f>
        <v>0</v>
      </c>
      <c r="O567" s="23">
        <f>IF(C567="","",SUMIFS(Analytics!$T$5:$T$154,Analytics!$C$5:$C$154,C567))</f>
        <v>0</v>
      </c>
      <c r="P567" s="25">
        <f>IF(C567="","",SUMIFS(Analytics!$U$5:$U$154,Analytics!$C$5:$C$154,C567))</f>
        <v>0</v>
      </c>
      <c r="Q567" s="25">
        <f>IF(C567="","",SUMIFS(Budget!$H$5:$H$64,Budget!$C$5:$C$64,C567))</f>
        <v>0</v>
      </c>
      <c r="R567" s="25">
        <f>IF(C567="","",P567-Q567)</f>
        <v>0</v>
      </c>
      <c r="S567" s="23">
        <f>IF(C567="","",MonthlyPostTarget)</f>
        <v>0</v>
      </c>
      <c r="T567" s="17">
        <f>IF(Lists!$C567="","",Lists!$C567)</f>
        <v>0</v>
      </c>
      <c r="U567" s="23">
        <f>IF(T567="","",COUNTIFS('Content Calendar'!$G$5:$G$604,T567,'Content Calendar'!$B$5:$B$604,"&gt;="&amp;DashStart,'Content Calendar'!$B$5:$B$604,"&lt;="&amp;DashEnd))</f>
        <v>0</v>
      </c>
      <c r="V567" s="23">
        <f>IF(T567="","",COUNTIFS('Content Calendar'!$G$5:$G$604,T567,'Content Calendar'!$X$5:$X$604,"Published",'Content Calendar'!$B$5:$B$604,"&gt;="&amp;DashStart,'Content Calendar'!$B$5:$B$604,"&lt;="&amp;DashEnd))</f>
        <v>0</v>
      </c>
      <c r="W567" s="23">
        <f>IF(T567="","",SUMIFS(Analytics!$J$5:$J$154,Analytics!$D$5:$D$154,T567,Analytics!$B$5:$B$154,"&gt;="&amp;DashStart,Analytics!$B$5:$B$154,"&lt;="&amp;DashEnd))</f>
        <v>0</v>
      </c>
      <c r="X567" s="23">
        <f>IF(T567="","",SUMIFS(Analytics!$L$5:$L$154,Analytics!$D$5:$D$154,T567,Analytics!$B$5:$B$154,"&gt;="&amp;DashStart,Analytics!$B$5:$B$154,"&lt;="&amp;DashEnd))</f>
        <v>0</v>
      </c>
      <c r="Y567" s="24">
        <f>IF(OR(W567="",W567=0),"",X567/W567)</f>
        <v>0</v>
      </c>
      <c r="Z567" s="23">
        <f>IF(T567="","",SUMIFS(Analytics!$G$5:$G$154,Analytics!$D$5:$D$154,T567,Analytics!$B$5:$B$154,"&gt;="&amp;DashStart,Analytics!$B$5:$B$154,"&lt;="&amp;DashEnd))</f>
        <v>0</v>
      </c>
      <c r="AA567" s="23">
        <f>IF(T567="","",SUMIFS(Analytics!$X$5:$X$154,Analytics!$D$5:$D$154,T567,Analytics!$B$5:$B$154,"&gt;="&amp;DashStart,Analytics!$B$5:$B$154,"&lt;="&amp;DashEnd))</f>
        <v>0</v>
      </c>
      <c r="AB567" s="23">
        <f>IF(T567="","",SUMIFS(Analytics!$R$5:$R$154,Analytics!$D$5:$D$154,T567,Analytics!$B$5:$B$154,"&gt;="&amp;DashStart,Analytics!$B$5:$B$154,"&lt;="&amp;DashEnd))</f>
        <v>0</v>
      </c>
      <c r="AC567" s="25">
        <f>IF(T567="","",SUMIFS(Analytics!$U$5:$U$154,Analytics!$D$5:$D$154,T567,Analytics!$B$5:$B$154,"&gt;="&amp;DashStart,Analytics!$B$5:$B$154,"&lt;="&amp;DashEnd))</f>
        <v>0</v>
      </c>
      <c r="AD567" s="23">
        <f>IF(T567="","",COUNTIFS('Content Calendar'!$G$5:$G$604,T567,'Content Calendar'!$B$5:$B$604,"&gt;="&amp;DATE(PlanYear,1,1),'Content Calendar'!$B$5:$B$604,"&lt;="&amp;DATE(PlanYear,12,31)))</f>
        <v>0</v>
      </c>
      <c r="AE567" s="23">
        <f>IF(T567="","",SUMIFS(Analytics!$J$5:$J$154,Analytics!$D$5:$D$154,T567))</f>
        <v>0</v>
      </c>
      <c r="AF567" s="23">
        <f>IF(T567="","",SUMIFS(Analytics!$L$5:$L$154,Analytics!$D$5:$D$154,T567))</f>
        <v>0</v>
      </c>
      <c r="AG567" s="24">
        <f>IF(OR(AE567="",AE567=0),"",AF567/AE567)</f>
        <v>0</v>
      </c>
      <c r="AH567" s="23">
        <f>IF(T567="","",SUMIFS(Analytics!$X$5:$X$154,Analytics!$D$5:$D$154,T567))</f>
        <v>0</v>
      </c>
      <c r="AI567" s="32">
        <f>IF(T567="","",IF(AE567=0,"",AE567+ROW()/1000000))</f>
        <v>0</v>
      </c>
      <c r="AJ567" s="17">
        <f>IF('Content Pillars'!$B$567="","",'Content Pillars'!$B$567)</f>
        <v>0</v>
      </c>
      <c r="AK567" s="23">
        <f>IF(AJ567="","",COUNTIFS('Content Calendar'!$J$5:$J$604,AJ567,'Content Calendar'!$B$5:$B$604,"&gt;="&amp;DATE(PlanYear,1,1),'Content Calendar'!$B$5:$B$604,"&lt;="&amp;DATE(PlanYear,12,31)))</f>
        <v>0</v>
      </c>
      <c r="AL567" s="23">
        <f>IF(AJ567="","",SUMIFS(Performance!$O$5:$O$404,Performance!$H$5:$H$404,AJ567))</f>
        <v>0</v>
      </c>
      <c r="AM567" s="23">
        <f>IF(AJ567="","",SUMIFS(Performance!$Z$5:$Z$404,Performance!$H$5:$H$404,AJ567))</f>
        <v>0</v>
      </c>
      <c r="AN567" s="24">
        <f>IF(OR(AL567="",AL567=0),"",AM567/AL567)</f>
        <v>0</v>
      </c>
      <c r="AO567" s="32">
        <f>IF(AN567="","",AN567+ROW()/1000000)</f>
        <v>0</v>
      </c>
      <c r="AP567" s="17">
        <f>IF(Lists!$E567="","",Lists!$E567)</f>
        <v>0</v>
      </c>
      <c r="AQ567" s="23">
        <f>IF(AP567="","",COUNTIF(Performance!$G$5:$G$404,AP567))</f>
        <v>0</v>
      </c>
      <c r="AR567" s="23">
        <f>IF(AP567="","",SUMIFS(Performance!$O$5:$O$404,Performance!$G$5:$G$404,AP567))</f>
        <v>0</v>
      </c>
      <c r="AS567" s="23">
        <f>IF(AP567="","",SUMIFS(Performance!$Z$5:$Z$404,Performance!$G$5:$G$404,AP567))</f>
        <v>0</v>
      </c>
      <c r="AT567" s="24">
        <f>IF(OR(AR567="",AR567=0),"",AS567/AR567)</f>
        <v>0</v>
      </c>
      <c r="AU567" s="32">
        <f>IF(AQ567=0,"",IF(AT567="","",AT567+ROW()/1000000))</f>
        <v>0</v>
      </c>
      <c r="AV567" s="17">
        <f>IF(ROW()-4&gt;7,"",TEXT(DATE(2024,1,ROW()-4),"ddd"))</f>
        <v>0</v>
      </c>
      <c r="AW567" s="23">
        <f>IF(AV567="","",COUNTIF(Performance!$N$5:$N$404,AV567))</f>
        <v>0</v>
      </c>
      <c r="AX567" s="23">
        <f>IF(AV567="","",SUMIFS(Performance!$O$5:$O$404,Performance!$N$5:$N$404,AV567))</f>
        <v>0</v>
      </c>
      <c r="AY567" s="23">
        <f>IF(AV567="","",SUMIFS(Performance!$Z$5:$Z$404,Performance!$N$5:$N$404,AV567))</f>
        <v>0</v>
      </c>
      <c r="AZ567" s="24">
        <f>IF(OR(AX567="",AX567=0),"",AY567/AX567)</f>
        <v>0</v>
      </c>
      <c r="BA567" s="32">
        <f>IF(AW567=0,"",IF(AZ567="","",AZ567+ROW()/1000000))</f>
        <v>0</v>
      </c>
      <c r="BB567" s="17">
        <f>IF(Lists!$AL567="","",Lists!$AL567)</f>
        <v>0</v>
      </c>
      <c r="BC567" s="23">
        <f>IF(BB567="","",COUNTIF(Performance!$M$5:$M$404,BB567))</f>
        <v>0</v>
      </c>
      <c r="BD567" s="23">
        <f>IF(BB567="","",SUMIFS(Performance!$O$5:$O$404,Performance!$M$5:$M$404,BB567))</f>
        <v>0</v>
      </c>
      <c r="BE567" s="23">
        <f>IF(BB567="","",SUMIFS(Performance!$Z$5:$Z$404,Performance!$M$5:$M$404,BB567))</f>
        <v>0</v>
      </c>
      <c r="BF567" s="24">
        <f>IF(OR(BD567="",BD567=0),"",BE567/BD567)</f>
        <v>0</v>
      </c>
      <c r="BG567" s="32">
        <f>IF(BC567=0,"",IF(BF567="","",BF567+ROW()/1000000))</f>
        <v>0</v>
      </c>
      <c r="BH567" s="17">
        <f>IF(Performance!$C$567="","",Performance!$C$567)</f>
        <v>0</v>
      </c>
      <c r="BI567" s="17">
        <f>IF(Performance!$F$567="","",Performance!$F$567)</f>
        <v>0</v>
      </c>
      <c r="BJ567" s="17">
        <f>IF(Performance!$H$567="","",Performance!$H$567)</f>
        <v>0</v>
      </c>
      <c r="BK567" s="16">
        <f>IF(Performance!$D$567="","",Performance!$D$567)</f>
        <v>0</v>
      </c>
      <c r="BL567" s="17">
        <f>IF(Performance!$E$567="","",Performance!$E$567)</f>
        <v>0</v>
      </c>
      <c r="BM567" s="23">
        <f>IF(Performance!$O$567="","",Performance!$O$567)</f>
        <v>0</v>
      </c>
      <c r="BN567" s="24">
        <f>IF(Performance!$AA$567="","",Performance!$AA$567)</f>
        <v>0</v>
      </c>
      <c r="BO567" s="32">
        <f>IF(BH567="","",IF(BK567="","",IF(OR(BK567&lt;DashStart,BK567&gt;DashEnd),"",IF(BN567="","",BN567+ROW()/1000000))))</f>
        <v>0</v>
      </c>
      <c r="BP567" s="32">
        <f>IF(BM567="","",IF(BK567="","",IF(OR(BK567&lt;DashStart,BK567&gt;DashEnd),"",BM567+ROW()/1000000)))</f>
        <v>0</v>
      </c>
      <c r="BQ567" s="32">
        <f>IF(BH567="","",IF(BK567="","",IF(YEAR(BK567)&lt;&gt;PlanYear,"",IF(BN567="","",BN567+ROW()/1000000))))</f>
        <v>0</v>
      </c>
      <c r="BR567" s="32">
        <f>IF(BH567="","",IF(BK567="","",IF(OR(BK567&lt;RepFrom,BK567&gt;RepTo),"",IF(BN567="","",BN567+ROW()/1000000))))</f>
        <v>0</v>
      </c>
      <c r="BS567" s="32">
        <f>IF(BM567="","",IF(BK567="","",IF(YEAR(BK567)&lt;&gt;PlanYear,"",BM567+ROW()/1000000)))</f>
        <v>0</v>
      </c>
      <c r="BT567" s="17">
        <f>IF(Lists!$F567="","",Lists!$F567)</f>
        <v>0</v>
      </c>
      <c r="BU567" s="23">
        <f>IF(BT567="","",COUNTIF('Content Calendar'!$X$5:$X$604,BT567))</f>
        <v>0</v>
      </c>
      <c r="BV567" s="23">
        <f>IF(BT567="","",COUNTIFS('Content Calendar'!$X$5:$X$604,BT567,'Content Calendar'!$B$5:$B$604,"&gt;="&amp;DashStart,'Content Calendar'!$B$5:$B$604,"&lt;="&amp;DashEnd))</f>
        <v>0</v>
      </c>
      <c r="BW567" s="17">
        <f>IF(Team!$B$567="","",Team!$B$567)</f>
        <v>0</v>
      </c>
      <c r="BX567" s="23">
        <f>IF(BW567="","",COUNTIF('Content Calendar'!$W$5:$W$604,BW567))</f>
        <v>0</v>
      </c>
      <c r="BY567" s="23">
        <f>IF(BW567="","",COUNTIFS('Content Calendar'!$W$5:$W$604,BW567,'Content Calendar'!$X$5:$X$604,"&lt;&gt;Published"))</f>
        <v>0</v>
      </c>
      <c r="BZ567" s="23">
        <f>IF(BW567="","",COUNTIFS(Tasks!$C$5:$C$64,BW567,Tasks!$G$5:$G$64,"&lt;&gt;Complete"))</f>
        <v>0</v>
      </c>
      <c r="CA567" s="17">
        <f>IF(Campaigns!$B$567="","",Campaigns!$B$567)</f>
        <v>0</v>
      </c>
      <c r="CB567" s="25">
        <f>IF(Campaigns!$T$567="","",Campaigns!$T$567)</f>
        <v>0</v>
      </c>
      <c r="CC567" s="25">
        <f>IF(Campaigns!$Q$567="","",Campaigns!$Q$567)</f>
        <v>0</v>
      </c>
      <c r="CD567" s="23">
        <f>IF(Campaigns!$Y$567="","",Campaigns!$Y$567)</f>
        <v>0</v>
      </c>
      <c r="CE567" s="32">
        <f>IF(CA567="","",IF(N(CB567)&lt;=0,"",N(CB567)+ROW()/1000000))</f>
        <v>0</v>
      </c>
      <c r="CF567" s="17">
        <f>IF(Accounts!$C$567="","",Accounts!$C$567)</f>
        <v>0</v>
      </c>
      <c r="CG567" s="17">
        <f>IF(Accounts!$B$567="","",Accounts!$B$567)</f>
        <v>0</v>
      </c>
      <c r="CH567" s="23">
        <f>IF(Accounts!$J$567="","",Accounts!$J$567)</f>
        <v>0</v>
      </c>
      <c r="CI567" s="23">
        <f>IF(CF567="","",SUMIFS(Analytics!$X$5:$X$154,Analytics!$E$5:$E$154,CF567,Analytics!$B$5:$B$154,"&gt;="&amp;DashStart,Analytics!$B$5:$B$154,"&lt;="&amp;DashEnd))</f>
        <v>0</v>
      </c>
      <c r="CJ567" s="32">
        <f>IF(CH567="","",IF(CH567=0,"",CH567+ROW()/1000000))</f>
        <v>0</v>
      </c>
    </row>
    <row r="568" spans="1:88">
      <c r="A568" s="16">
        <f>IF(ROW()-4&gt;12,"",DATE(PlanYear,ROW()-4,1))</f>
        <v>0</v>
      </c>
      <c r="B568" s="16">
        <f>IF(A568="","",EOMONTH(A568,0))</f>
        <v>0</v>
      </c>
      <c r="C568" s="17">
        <f>IF(A568="","",TEXT(A568,"yyyy-mm"))</f>
        <v>0</v>
      </c>
      <c r="D568" s="17">
        <f>IF(A568="","",TEXT(A568,"mmm"))</f>
        <v>0</v>
      </c>
      <c r="E568" s="23">
        <f>IF(C568="","",COUNTIFS('Content Calendar'!$D$5:$D$604,C568))</f>
        <v>0</v>
      </c>
      <c r="F568" s="23">
        <f>IF(C568="","",COUNTIFS('Content Calendar'!$D$5:$D$604,C568,'Content Calendar'!$X$5:$X$604,"Published"))</f>
        <v>0</v>
      </c>
      <c r="G568" s="23">
        <f>IF(C568="","",SUMIFS(Analytics!$J$5:$J$154,Analytics!$C$5:$C$154,C568))</f>
        <v>0</v>
      </c>
      <c r="H568" s="23">
        <f>IF(C568="","",SUMIFS(Analytics!$K$5:$K$154,Analytics!$C$5:$C$154,C568))</f>
        <v>0</v>
      </c>
      <c r="I568" s="23">
        <f>IF(C568="","",SUMIFS(Analytics!$L$5:$L$154,Analytics!$C$5:$C$154,C568))</f>
        <v>0</v>
      </c>
      <c r="J568" s="24">
        <f>IF(OR(G568="",G568=0),"",I568/G568)</f>
        <v>0</v>
      </c>
      <c r="K568" s="23">
        <f>IF(C568="","",SUMIFS(Analytics!$G$5:$G$154,Analytics!$C$5:$C$154,C568))</f>
        <v>0</v>
      </c>
      <c r="L568" s="23">
        <f>IF(C568="","",SUMIFS(Analytics!$X$5:$X$154,Analytics!$C$5:$C$154,C568))</f>
        <v>0</v>
      </c>
      <c r="M568" s="23">
        <f>IF(C568="","",SUMIFS(Analytics!$R$5:$R$154,Analytics!$C$5:$C$154,C568))</f>
        <v>0</v>
      </c>
      <c r="N568" s="23">
        <f>IF(C568="","",SUMIFS(Analytics!$S$5:$S$154,Analytics!$C$5:$C$154,C568))</f>
        <v>0</v>
      </c>
      <c r="O568" s="23">
        <f>IF(C568="","",SUMIFS(Analytics!$T$5:$T$154,Analytics!$C$5:$C$154,C568))</f>
        <v>0</v>
      </c>
      <c r="P568" s="25">
        <f>IF(C568="","",SUMIFS(Analytics!$U$5:$U$154,Analytics!$C$5:$C$154,C568))</f>
        <v>0</v>
      </c>
      <c r="Q568" s="25">
        <f>IF(C568="","",SUMIFS(Budget!$H$5:$H$64,Budget!$C$5:$C$64,C568))</f>
        <v>0</v>
      </c>
      <c r="R568" s="25">
        <f>IF(C568="","",P568-Q568)</f>
        <v>0</v>
      </c>
      <c r="S568" s="23">
        <f>IF(C568="","",MonthlyPostTarget)</f>
        <v>0</v>
      </c>
      <c r="T568" s="17">
        <f>IF(Lists!$C568="","",Lists!$C568)</f>
        <v>0</v>
      </c>
      <c r="U568" s="23">
        <f>IF(T568="","",COUNTIFS('Content Calendar'!$G$5:$G$604,T568,'Content Calendar'!$B$5:$B$604,"&gt;="&amp;DashStart,'Content Calendar'!$B$5:$B$604,"&lt;="&amp;DashEnd))</f>
        <v>0</v>
      </c>
      <c r="V568" s="23">
        <f>IF(T568="","",COUNTIFS('Content Calendar'!$G$5:$G$604,T568,'Content Calendar'!$X$5:$X$604,"Published",'Content Calendar'!$B$5:$B$604,"&gt;="&amp;DashStart,'Content Calendar'!$B$5:$B$604,"&lt;="&amp;DashEnd))</f>
        <v>0</v>
      </c>
      <c r="W568" s="23">
        <f>IF(T568="","",SUMIFS(Analytics!$J$5:$J$154,Analytics!$D$5:$D$154,T568,Analytics!$B$5:$B$154,"&gt;="&amp;DashStart,Analytics!$B$5:$B$154,"&lt;="&amp;DashEnd))</f>
        <v>0</v>
      </c>
      <c r="X568" s="23">
        <f>IF(T568="","",SUMIFS(Analytics!$L$5:$L$154,Analytics!$D$5:$D$154,T568,Analytics!$B$5:$B$154,"&gt;="&amp;DashStart,Analytics!$B$5:$B$154,"&lt;="&amp;DashEnd))</f>
        <v>0</v>
      </c>
      <c r="Y568" s="24">
        <f>IF(OR(W568="",W568=0),"",X568/W568)</f>
        <v>0</v>
      </c>
      <c r="Z568" s="23">
        <f>IF(T568="","",SUMIFS(Analytics!$G$5:$G$154,Analytics!$D$5:$D$154,T568,Analytics!$B$5:$B$154,"&gt;="&amp;DashStart,Analytics!$B$5:$B$154,"&lt;="&amp;DashEnd))</f>
        <v>0</v>
      </c>
      <c r="AA568" s="23">
        <f>IF(T568="","",SUMIFS(Analytics!$X$5:$X$154,Analytics!$D$5:$D$154,T568,Analytics!$B$5:$B$154,"&gt;="&amp;DashStart,Analytics!$B$5:$B$154,"&lt;="&amp;DashEnd))</f>
        <v>0</v>
      </c>
      <c r="AB568" s="23">
        <f>IF(T568="","",SUMIFS(Analytics!$R$5:$R$154,Analytics!$D$5:$D$154,T568,Analytics!$B$5:$B$154,"&gt;="&amp;DashStart,Analytics!$B$5:$B$154,"&lt;="&amp;DashEnd))</f>
        <v>0</v>
      </c>
      <c r="AC568" s="25">
        <f>IF(T568="","",SUMIFS(Analytics!$U$5:$U$154,Analytics!$D$5:$D$154,T568,Analytics!$B$5:$B$154,"&gt;="&amp;DashStart,Analytics!$B$5:$B$154,"&lt;="&amp;DashEnd))</f>
        <v>0</v>
      </c>
      <c r="AD568" s="23">
        <f>IF(T568="","",COUNTIFS('Content Calendar'!$G$5:$G$604,T568,'Content Calendar'!$B$5:$B$604,"&gt;="&amp;DATE(PlanYear,1,1),'Content Calendar'!$B$5:$B$604,"&lt;="&amp;DATE(PlanYear,12,31)))</f>
        <v>0</v>
      </c>
      <c r="AE568" s="23">
        <f>IF(T568="","",SUMIFS(Analytics!$J$5:$J$154,Analytics!$D$5:$D$154,T568))</f>
        <v>0</v>
      </c>
      <c r="AF568" s="23">
        <f>IF(T568="","",SUMIFS(Analytics!$L$5:$L$154,Analytics!$D$5:$D$154,T568))</f>
        <v>0</v>
      </c>
      <c r="AG568" s="24">
        <f>IF(OR(AE568="",AE568=0),"",AF568/AE568)</f>
        <v>0</v>
      </c>
      <c r="AH568" s="23">
        <f>IF(T568="","",SUMIFS(Analytics!$X$5:$X$154,Analytics!$D$5:$D$154,T568))</f>
        <v>0</v>
      </c>
      <c r="AI568" s="32">
        <f>IF(T568="","",IF(AE568=0,"",AE568+ROW()/1000000))</f>
        <v>0</v>
      </c>
      <c r="AJ568" s="17">
        <f>IF('Content Pillars'!$B$568="","",'Content Pillars'!$B$568)</f>
        <v>0</v>
      </c>
      <c r="AK568" s="23">
        <f>IF(AJ568="","",COUNTIFS('Content Calendar'!$J$5:$J$604,AJ568,'Content Calendar'!$B$5:$B$604,"&gt;="&amp;DATE(PlanYear,1,1),'Content Calendar'!$B$5:$B$604,"&lt;="&amp;DATE(PlanYear,12,31)))</f>
        <v>0</v>
      </c>
      <c r="AL568" s="23">
        <f>IF(AJ568="","",SUMIFS(Performance!$O$5:$O$404,Performance!$H$5:$H$404,AJ568))</f>
        <v>0</v>
      </c>
      <c r="AM568" s="23">
        <f>IF(AJ568="","",SUMIFS(Performance!$Z$5:$Z$404,Performance!$H$5:$H$404,AJ568))</f>
        <v>0</v>
      </c>
      <c r="AN568" s="24">
        <f>IF(OR(AL568="",AL568=0),"",AM568/AL568)</f>
        <v>0</v>
      </c>
      <c r="AO568" s="32">
        <f>IF(AN568="","",AN568+ROW()/1000000)</f>
        <v>0</v>
      </c>
      <c r="AP568" s="17">
        <f>IF(Lists!$E568="","",Lists!$E568)</f>
        <v>0</v>
      </c>
      <c r="AQ568" s="23">
        <f>IF(AP568="","",COUNTIF(Performance!$G$5:$G$404,AP568))</f>
        <v>0</v>
      </c>
      <c r="AR568" s="23">
        <f>IF(AP568="","",SUMIFS(Performance!$O$5:$O$404,Performance!$G$5:$G$404,AP568))</f>
        <v>0</v>
      </c>
      <c r="AS568" s="23">
        <f>IF(AP568="","",SUMIFS(Performance!$Z$5:$Z$404,Performance!$G$5:$G$404,AP568))</f>
        <v>0</v>
      </c>
      <c r="AT568" s="24">
        <f>IF(OR(AR568="",AR568=0),"",AS568/AR568)</f>
        <v>0</v>
      </c>
      <c r="AU568" s="32">
        <f>IF(AQ568=0,"",IF(AT568="","",AT568+ROW()/1000000))</f>
        <v>0</v>
      </c>
      <c r="AV568" s="17">
        <f>IF(ROW()-4&gt;7,"",TEXT(DATE(2024,1,ROW()-4),"ddd"))</f>
        <v>0</v>
      </c>
      <c r="AW568" s="23">
        <f>IF(AV568="","",COUNTIF(Performance!$N$5:$N$404,AV568))</f>
        <v>0</v>
      </c>
      <c r="AX568" s="23">
        <f>IF(AV568="","",SUMIFS(Performance!$O$5:$O$404,Performance!$N$5:$N$404,AV568))</f>
        <v>0</v>
      </c>
      <c r="AY568" s="23">
        <f>IF(AV568="","",SUMIFS(Performance!$Z$5:$Z$404,Performance!$N$5:$N$404,AV568))</f>
        <v>0</v>
      </c>
      <c r="AZ568" s="24">
        <f>IF(OR(AX568="",AX568=0),"",AY568/AX568)</f>
        <v>0</v>
      </c>
      <c r="BA568" s="32">
        <f>IF(AW568=0,"",IF(AZ568="","",AZ568+ROW()/1000000))</f>
        <v>0</v>
      </c>
      <c r="BB568" s="17">
        <f>IF(Lists!$AL568="","",Lists!$AL568)</f>
        <v>0</v>
      </c>
      <c r="BC568" s="23">
        <f>IF(BB568="","",COUNTIF(Performance!$M$5:$M$404,BB568))</f>
        <v>0</v>
      </c>
      <c r="BD568" s="23">
        <f>IF(BB568="","",SUMIFS(Performance!$O$5:$O$404,Performance!$M$5:$M$404,BB568))</f>
        <v>0</v>
      </c>
      <c r="BE568" s="23">
        <f>IF(BB568="","",SUMIFS(Performance!$Z$5:$Z$404,Performance!$M$5:$M$404,BB568))</f>
        <v>0</v>
      </c>
      <c r="BF568" s="24">
        <f>IF(OR(BD568="",BD568=0),"",BE568/BD568)</f>
        <v>0</v>
      </c>
      <c r="BG568" s="32">
        <f>IF(BC568=0,"",IF(BF568="","",BF568+ROW()/1000000))</f>
        <v>0</v>
      </c>
      <c r="BH568" s="17">
        <f>IF(Performance!$C$568="","",Performance!$C$568)</f>
        <v>0</v>
      </c>
      <c r="BI568" s="17">
        <f>IF(Performance!$F$568="","",Performance!$F$568)</f>
        <v>0</v>
      </c>
      <c r="BJ568" s="17">
        <f>IF(Performance!$H$568="","",Performance!$H$568)</f>
        <v>0</v>
      </c>
      <c r="BK568" s="16">
        <f>IF(Performance!$D$568="","",Performance!$D$568)</f>
        <v>0</v>
      </c>
      <c r="BL568" s="17">
        <f>IF(Performance!$E$568="","",Performance!$E$568)</f>
        <v>0</v>
      </c>
      <c r="BM568" s="23">
        <f>IF(Performance!$O$568="","",Performance!$O$568)</f>
        <v>0</v>
      </c>
      <c r="BN568" s="24">
        <f>IF(Performance!$AA$568="","",Performance!$AA$568)</f>
        <v>0</v>
      </c>
      <c r="BO568" s="32">
        <f>IF(BH568="","",IF(BK568="","",IF(OR(BK568&lt;DashStart,BK568&gt;DashEnd),"",IF(BN568="","",BN568+ROW()/1000000))))</f>
        <v>0</v>
      </c>
      <c r="BP568" s="32">
        <f>IF(BM568="","",IF(BK568="","",IF(OR(BK568&lt;DashStart,BK568&gt;DashEnd),"",BM568+ROW()/1000000)))</f>
        <v>0</v>
      </c>
      <c r="BQ568" s="32">
        <f>IF(BH568="","",IF(BK568="","",IF(YEAR(BK568)&lt;&gt;PlanYear,"",IF(BN568="","",BN568+ROW()/1000000))))</f>
        <v>0</v>
      </c>
      <c r="BR568" s="32">
        <f>IF(BH568="","",IF(BK568="","",IF(OR(BK568&lt;RepFrom,BK568&gt;RepTo),"",IF(BN568="","",BN568+ROW()/1000000))))</f>
        <v>0</v>
      </c>
      <c r="BS568" s="32">
        <f>IF(BM568="","",IF(BK568="","",IF(YEAR(BK568)&lt;&gt;PlanYear,"",BM568+ROW()/1000000)))</f>
        <v>0</v>
      </c>
      <c r="BT568" s="17">
        <f>IF(Lists!$F568="","",Lists!$F568)</f>
        <v>0</v>
      </c>
      <c r="BU568" s="23">
        <f>IF(BT568="","",COUNTIF('Content Calendar'!$X$5:$X$604,BT568))</f>
        <v>0</v>
      </c>
      <c r="BV568" s="23">
        <f>IF(BT568="","",COUNTIFS('Content Calendar'!$X$5:$X$604,BT568,'Content Calendar'!$B$5:$B$604,"&gt;="&amp;DashStart,'Content Calendar'!$B$5:$B$604,"&lt;="&amp;DashEnd))</f>
        <v>0</v>
      </c>
      <c r="BW568" s="17">
        <f>IF(Team!$B$568="","",Team!$B$568)</f>
        <v>0</v>
      </c>
      <c r="BX568" s="23">
        <f>IF(BW568="","",COUNTIF('Content Calendar'!$W$5:$W$604,BW568))</f>
        <v>0</v>
      </c>
      <c r="BY568" s="23">
        <f>IF(BW568="","",COUNTIFS('Content Calendar'!$W$5:$W$604,BW568,'Content Calendar'!$X$5:$X$604,"&lt;&gt;Published"))</f>
        <v>0</v>
      </c>
      <c r="BZ568" s="23">
        <f>IF(BW568="","",COUNTIFS(Tasks!$C$5:$C$64,BW568,Tasks!$G$5:$G$64,"&lt;&gt;Complete"))</f>
        <v>0</v>
      </c>
      <c r="CA568" s="17">
        <f>IF(Campaigns!$B$568="","",Campaigns!$B$568)</f>
        <v>0</v>
      </c>
      <c r="CB568" s="25">
        <f>IF(Campaigns!$T$568="","",Campaigns!$T$568)</f>
        <v>0</v>
      </c>
      <c r="CC568" s="25">
        <f>IF(Campaigns!$Q$568="","",Campaigns!$Q$568)</f>
        <v>0</v>
      </c>
      <c r="CD568" s="23">
        <f>IF(Campaigns!$Y$568="","",Campaigns!$Y$568)</f>
        <v>0</v>
      </c>
      <c r="CE568" s="32">
        <f>IF(CA568="","",IF(N(CB568)&lt;=0,"",N(CB568)+ROW()/1000000))</f>
        <v>0</v>
      </c>
      <c r="CF568" s="17">
        <f>IF(Accounts!$C$568="","",Accounts!$C$568)</f>
        <v>0</v>
      </c>
      <c r="CG568" s="17">
        <f>IF(Accounts!$B$568="","",Accounts!$B$568)</f>
        <v>0</v>
      </c>
      <c r="CH568" s="23">
        <f>IF(Accounts!$J$568="","",Accounts!$J$568)</f>
        <v>0</v>
      </c>
      <c r="CI568" s="23">
        <f>IF(CF568="","",SUMIFS(Analytics!$X$5:$X$154,Analytics!$E$5:$E$154,CF568,Analytics!$B$5:$B$154,"&gt;="&amp;DashStart,Analytics!$B$5:$B$154,"&lt;="&amp;DashEnd))</f>
        <v>0</v>
      </c>
      <c r="CJ568" s="32">
        <f>IF(CH568="","",IF(CH568=0,"",CH568+ROW()/1000000))</f>
        <v>0</v>
      </c>
    </row>
    <row r="569" spans="1:88">
      <c r="A569" s="16">
        <f>IF(ROW()-4&gt;12,"",DATE(PlanYear,ROW()-4,1))</f>
        <v>0</v>
      </c>
      <c r="B569" s="16">
        <f>IF(A569="","",EOMONTH(A569,0))</f>
        <v>0</v>
      </c>
      <c r="C569" s="17">
        <f>IF(A569="","",TEXT(A569,"yyyy-mm"))</f>
        <v>0</v>
      </c>
      <c r="D569" s="17">
        <f>IF(A569="","",TEXT(A569,"mmm"))</f>
        <v>0</v>
      </c>
      <c r="E569" s="23">
        <f>IF(C569="","",COUNTIFS('Content Calendar'!$D$5:$D$604,C569))</f>
        <v>0</v>
      </c>
      <c r="F569" s="23">
        <f>IF(C569="","",COUNTIFS('Content Calendar'!$D$5:$D$604,C569,'Content Calendar'!$X$5:$X$604,"Published"))</f>
        <v>0</v>
      </c>
      <c r="G569" s="23">
        <f>IF(C569="","",SUMIFS(Analytics!$J$5:$J$154,Analytics!$C$5:$C$154,C569))</f>
        <v>0</v>
      </c>
      <c r="H569" s="23">
        <f>IF(C569="","",SUMIFS(Analytics!$K$5:$K$154,Analytics!$C$5:$C$154,C569))</f>
        <v>0</v>
      </c>
      <c r="I569" s="23">
        <f>IF(C569="","",SUMIFS(Analytics!$L$5:$L$154,Analytics!$C$5:$C$154,C569))</f>
        <v>0</v>
      </c>
      <c r="J569" s="24">
        <f>IF(OR(G569="",G569=0),"",I569/G569)</f>
        <v>0</v>
      </c>
      <c r="K569" s="23">
        <f>IF(C569="","",SUMIFS(Analytics!$G$5:$G$154,Analytics!$C$5:$C$154,C569))</f>
        <v>0</v>
      </c>
      <c r="L569" s="23">
        <f>IF(C569="","",SUMIFS(Analytics!$X$5:$X$154,Analytics!$C$5:$C$154,C569))</f>
        <v>0</v>
      </c>
      <c r="M569" s="23">
        <f>IF(C569="","",SUMIFS(Analytics!$R$5:$R$154,Analytics!$C$5:$C$154,C569))</f>
        <v>0</v>
      </c>
      <c r="N569" s="23">
        <f>IF(C569="","",SUMIFS(Analytics!$S$5:$S$154,Analytics!$C$5:$C$154,C569))</f>
        <v>0</v>
      </c>
      <c r="O569" s="23">
        <f>IF(C569="","",SUMIFS(Analytics!$T$5:$T$154,Analytics!$C$5:$C$154,C569))</f>
        <v>0</v>
      </c>
      <c r="P569" s="25">
        <f>IF(C569="","",SUMIFS(Analytics!$U$5:$U$154,Analytics!$C$5:$C$154,C569))</f>
        <v>0</v>
      </c>
      <c r="Q569" s="25">
        <f>IF(C569="","",SUMIFS(Budget!$H$5:$H$64,Budget!$C$5:$C$64,C569))</f>
        <v>0</v>
      </c>
      <c r="R569" s="25">
        <f>IF(C569="","",P569-Q569)</f>
        <v>0</v>
      </c>
      <c r="S569" s="23">
        <f>IF(C569="","",MonthlyPostTarget)</f>
        <v>0</v>
      </c>
      <c r="T569" s="17">
        <f>IF(Lists!$C569="","",Lists!$C569)</f>
        <v>0</v>
      </c>
      <c r="U569" s="23">
        <f>IF(T569="","",COUNTIFS('Content Calendar'!$G$5:$G$604,T569,'Content Calendar'!$B$5:$B$604,"&gt;="&amp;DashStart,'Content Calendar'!$B$5:$B$604,"&lt;="&amp;DashEnd))</f>
        <v>0</v>
      </c>
      <c r="V569" s="23">
        <f>IF(T569="","",COUNTIFS('Content Calendar'!$G$5:$G$604,T569,'Content Calendar'!$X$5:$X$604,"Published",'Content Calendar'!$B$5:$B$604,"&gt;="&amp;DashStart,'Content Calendar'!$B$5:$B$604,"&lt;="&amp;DashEnd))</f>
        <v>0</v>
      </c>
      <c r="W569" s="23">
        <f>IF(T569="","",SUMIFS(Analytics!$J$5:$J$154,Analytics!$D$5:$D$154,T569,Analytics!$B$5:$B$154,"&gt;="&amp;DashStart,Analytics!$B$5:$B$154,"&lt;="&amp;DashEnd))</f>
        <v>0</v>
      </c>
      <c r="X569" s="23">
        <f>IF(T569="","",SUMIFS(Analytics!$L$5:$L$154,Analytics!$D$5:$D$154,T569,Analytics!$B$5:$B$154,"&gt;="&amp;DashStart,Analytics!$B$5:$B$154,"&lt;="&amp;DashEnd))</f>
        <v>0</v>
      </c>
      <c r="Y569" s="24">
        <f>IF(OR(W569="",W569=0),"",X569/W569)</f>
        <v>0</v>
      </c>
      <c r="Z569" s="23">
        <f>IF(T569="","",SUMIFS(Analytics!$G$5:$G$154,Analytics!$D$5:$D$154,T569,Analytics!$B$5:$B$154,"&gt;="&amp;DashStart,Analytics!$B$5:$B$154,"&lt;="&amp;DashEnd))</f>
        <v>0</v>
      </c>
      <c r="AA569" s="23">
        <f>IF(T569="","",SUMIFS(Analytics!$X$5:$X$154,Analytics!$D$5:$D$154,T569,Analytics!$B$5:$B$154,"&gt;="&amp;DashStart,Analytics!$B$5:$B$154,"&lt;="&amp;DashEnd))</f>
        <v>0</v>
      </c>
      <c r="AB569" s="23">
        <f>IF(T569="","",SUMIFS(Analytics!$R$5:$R$154,Analytics!$D$5:$D$154,T569,Analytics!$B$5:$B$154,"&gt;="&amp;DashStart,Analytics!$B$5:$B$154,"&lt;="&amp;DashEnd))</f>
        <v>0</v>
      </c>
      <c r="AC569" s="25">
        <f>IF(T569="","",SUMIFS(Analytics!$U$5:$U$154,Analytics!$D$5:$D$154,T569,Analytics!$B$5:$B$154,"&gt;="&amp;DashStart,Analytics!$B$5:$B$154,"&lt;="&amp;DashEnd))</f>
        <v>0</v>
      </c>
      <c r="AD569" s="23">
        <f>IF(T569="","",COUNTIFS('Content Calendar'!$G$5:$G$604,T569,'Content Calendar'!$B$5:$B$604,"&gt;="&amp;DATE(PlanYear,1,1),'Content Calendar'!$B$5:$B$604,"&lt;="&amp;DATE(PlanYear,12,31)))</f>
        <v>0</v>
      </c>
      <c r="AE569" s="23">
        <f>IF(T569="","",SUMIFS(Analytics!$J$5:$J$154,Analytics!$D$5:$D$154,T569))</f>
        <v>0</v>
      </c>
      <c r="AF569" s="23">
        <f>IF(T569="","",SUMIFS(Analytics!$L$5:$L$154,Analytics!$D$5:$D$154,T569))</f>
        <v>0</v>
      </c>
      <c r="AG569" s="24">
        <f>IF(OR(AE569="",AE569=0),"",AF569/AE569)</f>
        <v>0</v>
      </c>
      <c r="AH569" s="23">
        <f>IF(T569="","",SUMIFS(Analytics!$X$5:$X$154,Analytics!$D$5:$D$154,T569))</f>
        <v>0</v>
      </c>
      <c r="AI569" s="32">
        <f>IF(T569="","",IF(AE569=0,"",AE569+ROW()/1000000))</f>
        <v>0</v>
      </c>
      <c r="AJ569" s="17">
        <f>IF('Content Pillars'!$B$569="","",'Content Pillars'!$B$569)</f>
        <v>0</v>
      </c>
      <c r="AK569" s="23">
        <f>IF(AJ569="","",COUNTIFS('Content Calendar'!$J$5:$J$604,AJ569,'Content Calendar'!$B$5:$B$604,"&gt;="&amp;DATE(PlanYear,1,1),'Content Calendar'!$B$5:$B$604,"&lt;="&amp;DATE(PlanYear,12,31)))</f>
        <v>0</v>
      </c>
      <c r="AL569" s="23">
        <f>IF(AJ569="","",SUMIFS(Performance!$O$5:$O$404,Performance!$H$5:$H$404,AJ569))</f>
        <v>0</v>
      </c>
      <c r="AM569" s="23">
        <f>IF(AJ569="","",SUMIFS(Performance!$Z$5:$Z$404,Performance!$H$5:$H$404,AJ569))</f>
        <v>0</v>
      </c>
      <c r="AN569" s="24">
        <f>IF(OR(AL569="",AL569=0),"",AM569/AL569)</f>
        <v>0</v>
      </c>
      <c r="AO569" s="32">
        <f>IF(AN569="","",AN569+ROW()/1000000)</f>
        <v>0</v>
      </c>
      <c r="AP569" s="17">
        <f>IF(Lists!$E569="","",Lists!$E569)</f>
        <v>0</v>
      </c>
      <c r="AQ569" s="23">
        <f>IF(AP569="","",COUNTIF(Performance!$G$5:$G$404,AP569))</f>
        <v>0</v>
      </c>
      <c r="AR569" s="23">
        <f>IF(AP569="","",SUMIFS(Performance!$O$5:$O$404,Performance!$G$5:$G$404,AP569))</f>
        <v>0</v>
      </c>
      <c r="AS569" s="23">
        <f>IF(AP569="","",SUMIFS(Performance!$Z$5:$Z$404,Performance!$G$5:$G$404,AP569))</f>
        <v>0</v>
      </c>
      <c r="AT569" s="24">
        <f>IF(OR(AR569="",AR569=0),"",AS569/AR569)</f>
        <v>0</v>
      </c>
      <c r="AU569" s="32">
        <f>IF(AQ569=0,"",IF(AT569="","",AT569+ROW()/1000000))</f>
        <v>0</v>
      </c>
      <c r="AV569" s="17">
        <f>IF(ROW()-4&gt;7,"",TEXT(DATE(2024,1,ROW()-4),"ddd"))</f>
        <v>0</v>
      </c>
      <c r="AW569" s="23">
        <f>IF(AV569="","",COUNTIF(Performance!$N$5:$N$404,AV569))</f>
        <v>0</v>
      </c>
      <c r="AX569" s="23">
        <f>IF(AV569="","",SUMIFS(Performance!$O$5:$O$404,Performance!$N$5:$N$404,AV569))</f>
        <v>0</v>
      </c>
      <c r="AY569" s="23">
        <f>IF(AV569="","",SUMIFS(Performance!$Z$5:$Z$404,Performance!$N$5:$N$404,AV569))</f>
        <v>0</v>
      </c>
      <c r="AZ569" s="24">
        <f>IF(OR(AX569="",AX569=0),"",AY569/AX569)</f>
        <v>0</v>
      </c>
      <c r="BA569" s="32">
        <f>IF(AW569=0,"",IF(AZ569="","",AZ569+ROW()/1000000))</f>
        <v>0</v>
      </c>
      <c r="BB569" s="17">
        <f>IF(Lists!$AL569="","",Lists!$AL569)</f>
        <v>0</v>
      </c>
      <c r="BC569" s="23">
        <f>IF(BB569="","",COUNTIF(Performance!$M$5:$M$404,BB569))</f>
        <v>0</v>
      </c>
      <c r="BD569" s="23">
        <f>IF(BB569="","",SUMIFS(Performance!$O$5:$O$404,Performance!$M$5:$M$404,BB569))</f>
        <v>0</v>
      </c>
      <c r="BE569" s="23">
        <f>IF(BB569="","",SUMIFS(Performance!$Z$5:$Z$404,Performance!$M$5:$M$404,BB569))</f>
        <v>0</v>
      </c>
      <c r="BF569" s="24">
        <f>IF(OR(BD569="",BD569=0),"",BE569/BD569)</f>
        <v>0</v>
      </c>
      <c r="BG569" s="32">
        <f>IF(BC569=0,"",IF(BF569="","",BF569+ROW()/1000000))</f>
        <v>0</v>
      </c>
      <c r="BH569" s="17">
        <f>IF(Performance!$C$569="","",Performance!$C$569)</f>
        <v>0</v>
      </c>
      <c r="BI569" s="17">
        <f>IF(Performance!$F$569="","",Performance!$F$569)</f>
        <v>0</v>
      </c>
      <c r="BJ569" s="17">
        <f>IF(Performance!$H$569="","",Performance!$H$569)</f>
        <v>0</v>
      </c>
      <c r="BK569" s="16">
        <f>IF(Performance!$D$569="","",Performance!$D$569)</f>
        <v>0</v>
      </c>
      <c r="BL569" s="17">
        <f>IF(Performance!$E$569="","",Performance!$E$569)</f>
        <v>0</v>
      </c>
      <c r="BM569" s="23">
        <f>IF(Performance!$O$569="","",Performance!$O$569)</f>
        <v>0</v>
      </c>
      <c r="BN569" s="24">
        <f>IF(Performance!$AA$569="","",Performance!$AA$569)</f>
        <v>0</v>
      </c>
      <c r="BO569" s="32">
        <f>IF(BH569="","",IF(BK569="","",IF(OR(BK569&lt;DashStart,BK569&gt;DashEnd),"",IF(BN569="","",BN569+ROW()/1000000))))</f>
        <v>0</v>
      </c>
      <c r="BP569" s="32">
        <f>IF(BM569="","",IF(BK569="","",IF(OR(BK569&lt;DashStart,BK569&gt;DashEnd),"",BM569+ROW()/1000000)))</f>
        <v>0</v>
      </c>
      <c r="BQ569" s="32">
        <f>IF(BH569="","",IF(BK569="","",IF(YEAR(BK569)&lt;&gt;PlanYear,"",IF(BN569="","",BN569+ROW()/1000000))))</f>
        <v>0</v>
      </c>
      <c r="BR569" s="32">
        <f>IF(BH569="","",IF(BK569="","",IF(OR(BK569&lt;RepFrom,BK569&gt;RepTo),"",IF(BN569="","",BN569+ROW()/1000000))))</f>
        <v>0</v>
      </c>
      <c r="BS569" s="32">
        <f>IF(BM569="","",IF(BK569="","",IF(YEAR(BK569)&lt;&gt;PlanYear,"",BM569+ROW()/1000000)))</f>
        <v>0</v>
      </c>
      <c r="BT569" s="17">
        <f>IF(Lists!$F569="","",Lists!$F569)</f>
        <v>0</v>
      </c>
      <c r="BU569" s="23">
        <f>IF(BT569="","",COUNTIF('Content Calendar'!$X$5:$X$604,BT569))</f>
        <v>0</v>
      </c>
      <c r="BV569" s="23">
        <f>IF(BT569="","",COUNTIFS('Content Calendar'!$X$5:$X$604,BT569,'Content Calendar'!$B$5:$B$604,"&gt;="&amp;DashStart,'Content Calendar'!$B$5:$B$604,"&lt;="&amp;DashEnd))</f>
        <v>0</v>
      </c>
      <c r="BW569" s="17">
        <f>IF(Team!$B$569="","",Team!$B$569)</f>
        <v>0</v>
      </c>
      <c r="BX569" s="23">
        <f>IF(BW569="","",COUNTIF('Content Calendar'!$W$5:$W$604,BW569))</f>
        <v>0</v>
      </c>
      <c r="BY569" s="23">
        <f>IF(BW569="","",COUNTIFS('Content Calendar'!$W$5:$W$604,BW569,'Content Calendar'!$X$5:$X$604,"&lt;&gt;Published"))</f>
        <v>0</v>
      </c>
      <c r="BZ569" s="23">
        <f>IF(BW569="","",COUNTIFS(Tasks!$C$5:$C$64,BW569,Tasks!$G$5:$G$64,"&lt;&gt;Complete"))</f>
        <v>0</v>
      </c>
      <c r="CA569" s="17">
        <f>IF(Campaigns!$B$569="","",Campaigns!$B$569)</f>
        <v>0</v>
      </c>
      <c r="CB569" s="25">
        <f>IF(Campaigns!$T$569="","",Campaigns!$T$569)</f>
        <v>0</v>
      </c>
      <c r="CC569" s="25">
        <f>IF(Campaigns!$Q$569="","",Campaigns!$Q$569)</f>
        <v>0</v>
      </c>
      <c r="CD569" s="23">
        <f>IF(Campaigns!$Y$569="","",Campaigns!$Y$569)</f>
        <v>0</v>
      </c>
      <c r="CE569" s="32">
        <f>IF(CA569="","",IF(N(CB569)&lt;=0,"",N(CB569)+ROW()/1000000))</f>
        <v>0</v>
      </c>
      <c r="CF569" s="17">
        <f>IF(Accounts!$C$569="","",Accounts!$C$569)</f>
        <v>0</v>
      </c>
      <c r="CG569" s="17">
        <f>IF(Accounts!$B$569="","",Accounts!$B$569)</f>
        <v>0</v>
      </c>
      <c r="CH569" s="23">
        <f>IF(Accounts!$J$569="","",Accounts!$J$569)</f>
        <v>0</v>
      </c>
      <c r="CI569" s="23">
        <f>IF(CF569="","",SUMIFS(Analytics!$X$5:$X$154,Analytics!$E$5:$E$154,CF569,Analytics!$B$5:$B$154,"&gt;="&amp;DashStart,Analytics!$B$5:$B$154,"&lt;="&amp;DashEnd))</f>
        <v>0</v>
      </c>
      <c r="CJ569" s="32">
        <f>IF(CH569="","",IF(CH569=0,"",CH569+ROW()/1000000))</f>
        <v>0</v>
      </c>
    </row>
    <row r="570" spans="1:88">
      <c r="A570" s="16">
        <f>IF(ROW()-4&gt;12,"",DATE(PlanYear,ROW()-4,1))</f>
        <v>0</v>
      </c>
      <c r="B570" s="16">
        <f>IF(A570="","",EOMONTH(A570,0))</f>
        <v>0</v>
      </c>
      <c r="C570" s="17">
        <f>IF(A570="","",TEXT(A570,"yyyy-mm"))</f>
        <v>0</v>
      </c>
      <c r="D570" s="17">
        <f>IF(A570="","",TEXT(A570,"mmm"))</f>
        <v>0</v>
      </c>
      <c r="E570" s="23">
        <f>IF(C570="","",COUNTIFS('Content Calendar'!$D$5:$D$604,C570))</f>
        <v>0</v>
      </c>
      <c r="F570" s="23">
        <f>IF(C570="","",COUNTIFS('Content Calendar'!$D$5:$D$604,C570,'Content Calendar'!$X$5:$X$604,"Published"))</f>
        <v>0</v>
      </c>
      <c r="G570" s="23">
        <f>IF(C570="","",SUMIFS(Analytics!$J$5:$J$154,Analytics!$C$5:$C$154,C570))</f>
        <v>0</v>
      </c>
      <c r="H570" s="23">
        <f>IF(C570="","",SUMIFS(Analytics!$K$5:$K$154,Analytics!$C$5:$C$154,C570))</f>
        <v>0</v>
      </c>
      <c r="I570" s="23">
        <f>IF(C570="","",SUMIFS(Analytics!$L$5:$L$154,Analytics!$C$5:$C$154,C570))</f>
        <v>0</v>
      </c>
      <c r="J570" s="24">
        <f>IF(OR(G570="",G570=0),"",I570/G570)</f>
        <v>0</v>
      </c>
      <c r="K570" s="23">
        <f>IF(C570="","",SUMIFS(Analytics!$G$5:$G$154,Analytics!$C$5:$C$154,C570))</f>
        <v>0</v>
      </c>
      <c r="L570" s="23">
        <f>IF(C570="","",SUMIFS(Analytics!$X$5:$X$154,Analytics!$C$5:$C$154,C570))</f>
        <v>0</v>
      </c>
      <c r="M570" s="23">
        <f>IF(C570="","",SUMIFS(Analytics!$R$5:$R$154,Analytics!$C$5:$C$154,C570))</f>
        <v>0</v>
      </c>
      <c r="N570" s="23">
        <f>IF(C570="","",SUMIFS(Analytics!$S$5:$S$154,Analytics!$C$5:$C$154,C570))</f>
        <v>0</v>
      </c>
      <c r="O570" s="23">
        <f>IF(C570="","",SUMIFS(Analytics!$T$5:$T$154,Analytics!$C$5:$C$154,C570))</f>
        <v>0</v>
      </c>
      <c r="P570" s="25">
        <f>IF(C570="","",SUMIFS(Analytics!$U$5:$U$154,Analytics!$C$5:$C$154,C570))</f>
        <v>0</v>
      </c>
      <c r="Q570" s="25">
        <f>IF(C570="","",SUMIFS(Budget!$H$5:$H$64,Budget!$C$5:$C$64,C570))</f>
        <v>0</v>
      </c>
      <c r="R570" s="25">
        <f>IF(C570="","",P570-Q570)</f>
        <v>0</v>
      </c>
      <c r="S570" s="23">
        <f>IF(C570="","",MonthlyPostTarget)</f>
        <v>0</v>
      </c>
      <c r="T570" s="17">
        <f>IF(Lists!$C570="","",Lists!$C570)</f>
        <v>0</v>
      </c>
      <c r="U570" s="23">
        <f>IF(T570="","",COUNTIFS('Content Calendar'!$G$5:$G$604,T570,'Content Calendar'!$B$5:$B$604,"&gt;="&amp;DashStart,'Content Calendar'!$B$5:$B$604,"&lt;="&amp;DashEnd))</f>
        <v>0</v>
      </c>
      <c r="V570" s="23">
        <f>IF(T570="","",COUNTIFS('Content Calendar'!$G$5:$G$604,T570,'Content Calendar'!$X$5:$X$604,"Published",'Content Calendar'!$B$5:$B$604,"&gt;="&amp;DashStart,'Content Calendar'!$B$5:$B$604,"&lt;="&amp;DashEnd))</f>
        <v>0</v>
      </c>
      <c r="W570" s="23">
        <f>IF(T570="","",SUMIFS(Analytics!$J$5:$J$154,Analytics!$D$5:$D$154,T570,Analytics!$B$5:$B$154,"&gt;="&amp;DashStart,Analytics!$B$5:$B$154,"&lt;="&amp;DashEnd))</f>
        <v>0</v>
      </c>
      <c r="X570" s="23">
        <f>IF(T570="","",SUMIFS(Analytics!$L$5:$L$154,Analytics!$D$5:$D$154,T570,Analytics!$B$5:$B$154,"&gt;="&amp;DashStart,Analytics!$B$5:$B$154,"&lt;="&amp;DashEnd))</f>
        <v>0</v>
      </c>
      <c r="Y570" s="24">
        <f>IF(OR(W570="",W570=0),"",X570/W570)</f>
        <v>0</v>
      </c>
      <c r="Z570" s="23">
        <f>IF(T570="","",SUMIFS(Analytics!$G$5:$G$154,Analytics!$D$5:$D$154,T570,Analytics!$B$5:$B$154,"&gt;="&amp;DashStart,Analytics!$B$5:$B$154,"&lt;="&amp;DashEnd))</f>
        <v>0</v>
      </c>
      <c r="AA570" s="23">
        <f>IF(T570="","",SUMIFS(Analytics!$X$5:$X$154,Analytics!$D$5:$D$154,T570,Analytics!$B$5:$B$154,"&gt;="&amp;DashStart,Analytics!$B$5:$B$154,"&lt;="&amp;DashEnd))</f>
        <v>0</v>
      </c>
      <c r="AB570" s="23">
        <f>IF(T570="","",SUMIFS(Analytics!$R$5:$R$154,Analytics!$D$5:$D$154,T570,Analytics!$B$5:$B$154,"&gt;="&amp;DashStart,Analytics!$B$5:$B$154,"&lt;="&amp;DashEnd))</f>
        <v>0</v>
      </c>
      <c r="AC570" s="25">
        <f>IF(T570="","",SUMIFS(Analytics!$U$5:$U$154,Analytics!$D$5:$D$154,T570,Analytics!$B$5:$B$154,"&gt;="&amp;DashStart,Analytics!$B$5:$B$154,"&lt;="&amp;DashEnd))</f>
        <v>0</v>
      </c>
      <c r="AD570" s="23">
        <f>IF(T570="","",COUNTIFS('Content Calendar'!$G$5:$G$604,T570,'Content Calendar'!$B$5:$B$604,"&gt;="&amp;DATE(PlanYear,1,1),'Content Calendar'!$B$5:$B$604,"&lt;="&amp;DATE(PlanYear,12,31)))</f>
        <v>0</v>
      </c>
      <c r="AE570" s="23">
        <f>IF(T570="","",SUMIFS(Analytics!$J$5:$J$154,Analytics!$D$5:$D$154,T570))</f>
        <v>0</v>
      </c>
      <c r="AF570" s="23">
        <f>IF(T570="","",SUMIFS(Analytics!$L$5:$L$154,Analytics!$D$5:$D$154,T570))</f>
        <v>0</v>
      </c>
      <c r="AG570" s="24">
        <f>IF(OR(AE570="",AE570=0),"",AF570/AE570)</f>
        <v>0</v>
      </c>
      <c r="AH570" s="23">
        <f>IF(T570="","",SUMIFS(Analytics!$X$5:$X$154,Analytics!$D$5:$D$154,T570))</f>
        <v>0</v>
      </c>
      <c r="AI570" s="32">
        <f>IF(T570="","",IF(AE570=0,"",AE570+ROW()/1000000))</f>
        <v>0</v>
      </c>
      <c r="AJ570" s="17">
        <f>IF('Content Pillars'!$B$570="","",'Content Pillars'!$B$570)</f>
        <v>0</v>
      </c>
      <c r="AK570" s="23">
        <f>IF(AJ570="","",COUNTIFS('Content Calendar'!$J$5:$J$604,AJ570,'Content Calendar'!$B$5:$B$604,"&gt;="&amp;DATE(PlanYear,1,1),'Content Calendar'!$B$5:$B$604,"&lt;="&amp;DATE(PlanYear,12,31)))</f>
        <v>0</v>
      </c>
      <c r="AL570" s="23">
        <f>IF(AJ570="","",SUMIFS(Performance!$O$5:$O$404,Performance!$H$5:$H$404,AJ570))</f>
        <v>0</v>
      </c>
      <c r="AM570" s="23">
        <f>IF(AJ570="","",SUMIFS(Performance!$Z$5:$Z$404,Performance!$H$5:$H$404,AJ570))</f>
        <v>0</v>
      </c>
      <c r="AN570" s="24">
        <f>IF(OR(AL570="",AL570=0),"",AM570/AL570)</f>
        <v>0</v>
      </c>
      <c r="AO570" s="32">
        <f>IF(AN570="","",AN570+ROW()/1000000)</f>
        <v>0</v>
      </c>
      <c r="AP570" s="17">
        <f>IF(Lists!$E570="","",Lists!$E570)</f>
        <v>0</v>
      </c>
      <c r="AQ570" s="23">
        <f>IF(AP570="","",COUNTIF(Performance!$G$5:$G$404,AP570))</f>
        <v>0</v>
      </c>
      <c r="AR570" s="23">
        <f>IF(AP570="","",SUMIFS(Performance!$O$5:$O$404,Performance!$G$5:$G$404,AP570))</f>
        <v>0</v>
      </c>
      <c r="AS570" s="23">
        <f>IF(AP570="","",SUMIFS(Performance!$Z$5:$Z$404,Performance!$G$5:$G$404,AP570))</f>
        <v>0</v>
      </c>
      <c r="AT570" s="24">
        <f>IF(OR(AR570="",AR570=0),"",AS570/AR570)</f>
        <v>0</v>
      </c>
      <c r="AU570" s="32">
        <f>IF(AQ570=0,"",IF(AT570="","",AT570+ROW()/1000000))</f>
        <v>0</v>
      </c>
      <c r="AV570" s="17">
        <f>IF(ROW()-4&gt;7,"",TEXT(DATE(2024,1,ROW()-4),"ddd"))</f>
        <v>0</v>
      </c>
      <c r="AW570" s="23">
        <f>IF(AV570="","",COUNTIF(Performance!$N$5:$N$404,AV570))</f>
        <v>0</v>
      </c>
      <c r="AX570" s="23">
        <f>IF(AV570="","",SUMIFS(Performance!$O$5:$O$404,Performance!$N$5:$N$404,AV570))</f>
        <v>0</v>
      </c>
      <c r="AY570" s="23">
        <f>IF(AV570="","",SUMIFS(Performance!$Z$5:$Z$404,Performance!$N$5:$N$404,AV570))</f>
        <v>0</v>
      </c>
      <c r="AZ570" s="24">
        <f>IF(OR(AX570="",AX570=0),"",AY570/AX570)</f>
        <v>0</v>
      </c>
      <c r="BA570" s="32">
        <f>IF(AW570=0,"",IF(AZ570="","",AZ570+ROW()/1000000))</f>
        <v>0</v>
      </c>
      <c r="BB570" s="17">
        <f>IF(Lists!$AL570="","",Lists!$AL570)</f>
        <v>0</v>
      </c>
      <c r="BC570" s="23">
        <f>IF(BB570="","",COUNTIF(Performance!$M$5:$M$404,BB570))</f>
        <v>0</v>
      </c>
      <c r="BD570" s="23">
        <f>IF(BB570="","",SUMIFS(Performance!$O$5:$O$404,Performance!$M$5:$M$404,BB570))</f>
        <v>0</v>
      </c>
      <c r="BE570" s="23">
        <f>IF(BB570="","",SUMIFS(Performance!$Z$5:$Z$404,Performance!$M$5:$M$404,BB570))</f>
        <v>0</v>
      </c>
      <c r="BF570" s="24">
        <f>IF(OR(BD570="",BD570=0),"",BE570/BD570)</f>
        <v>0</v>
      </c>
      <c r="BG570" s="32">
        <f>IF(BC570=0,"",IF(BF570="","",BF570+ROW()/1000000))</f>
        <v>0</v>
      </c>
      <c r="BH570" s="17">
        <f>IF(Performance!$C$570="","",Performance!$C$570)</f>
        <v>0</v>
      </c>
      <c r="BI570" s="17">
        <f>IF(Performance!$F$570="","",Performance!$F$570)</f>
        <v>0</v>
      </c>
      <c r="BJ570" s="17">
        <f>IF(Performance!$H$570="","",Performance!$H$570)</f>
        <v>0</v>
      </c>
      <c r="BK570" s="16">
        <f>IF(Performance!$D$570="","",Performance!$D$570)</f>
        <v>0</v>
      </c>
      <c r="BL570" s="17">
        <f>IF(Performance!$E$570="","",Performance!$E$570)</f>
        <v>0</v>
      </c>
      <c r="BM570" s="23">
        <f>IF(Performance!$O$570="","",Performance!$O$570)</f>
        <v>0</v>
      </c>
      <c r="BN570" s="24">
        <f>IF(Performance!$AA$570="","",Performance!$AA$570)</f>
        <v>0</v>
      </c>
      <c r="BO570" s="32">
        <f>IF(BH570="","",IF(BK570="","",IF(OR(BK570&lt;DashStart,BK570&gt;DashEnd),"",IF(BN570="","",BN570+ROW()/1000000))))</f>
        <v>0</v>
      </c>
      <c r="BP570" s="32">
        <f>IF(BM570="","",IF(BK570="","",IF(OR(BK570&lt;DashStart,BK570&gt;DashEnd),"",BM570+ROW()/1000000)))</f>
        <v>0</v>
      </c>
      <c r="BQ570" s="32">
        <f>IF(BH570="","",IF(BK570="","",IF(YEAR(BK570)&lt;&gt;PlanYear,"",IF(BN570="","",BN570+ROW()/1000000))))</f>
        <v>0</v>
      </c>
      <c r="BR570" s="32">
        <f>IF(BH570="","",IF(BK570="","",IF(OR(BK570&lt;RepFrom,BK570&gt;RepTo),"",IF(BN570="","",BN570+ROW()/1000000))))</f>
        <v>0</v>
      </c>
      <c r="BS570" s="32">
        <f>IF(BM570="","",IF(BK570="","",IF(YEAR(BK570)&lt;&gt;PlanYear,"",BM570+ROW()/1000000)))</f>
        <v>0</v>
      </c>
      <c r="BT570" s="17">
        <f>IF(Lists!$F570="","",Lists!$F570)</f>
        <v>0</v>
      </c>
      <c r="BU570" s="23">
        <f>IF(BT570="","",COUNTIF('Content Calendar'!$X$5:$X$604,BT570))</f>
        <v>0</v>
      </c>
      <c r="BV570" s="23">
        <f>IF(BT570="","",COUNTIFS('Content Calendar'!$X$5:$X$604,BT570,'Content Calendar'!$B$5:$B$604,"&gt;="&amp;DashStart,'Content Calendar'!$B$5:$B$604,"&lt;="&amp;DashEnd))</f>
        <v>0</v>
      </c>
      <c r="BW570" s="17">
        <f>IF(Team!$B$570="","",Team!$B$570)</f>
        <v>0</v>
      </c>
      <c r="BX570" s="23">
        <f>IF(BW570="","",COUNTIF('Content Calendar'!$W$5:$W$604,BW570))</f>
        <v>0</v>
      </c>
      <c r="BY570" s="23">
        <f>IF(BW570="","",COUNTIFS('Content Calendar'!$W$5:$W$604,BW570,'Content Calendar'!$X$5:$X$604,"&lt;&gt;Published"))</f>
        <v>0</v>
      </c>
      <c r="BZ570" s="23">
        <f>IF(BW570="","",COUNTIFS(Tasks!$C$5:$C$64,BW570,Tasks!$G$5:$G$64,"&lt;&gt;Complete"))</f>
        <v>0</v>
      </c>
      <c r="CA570" s="17">
        <f>IF(Campaigns!$B$570="","",Campaigns!$B$570)</f>
        <v>0</v>
      </c>
      <c r="CB570" s="25">
        <f>IF(Campaigns!$T$570="","",Campaigns!$T$570)</f>
        <v>0</v>
      </c>
      <c r="CC570" s="25">
        <f>IF(Campaigns!$Q$570="","",Campaigns!$Q$570)</f>
        <v>0</v>
      </c>
      <c r="CD570" s="23">
        <f>IF(Campaigns!$Y$570="","",Campaigns!$Y$570)</f>
        <v>0</v>
      </c>
      <c r="CE570" s="32">
        <f>IF(CA570="","",IF(N(CB570)&lt;=0,"",N(CB570)+ROW()/1000000))</f>
        <v>0</v>
      </c>
      <c r="CF570" s="17">
        <f>IF(Accounts!$C$570="","",Accounts!$C$570)</f>
        <v>0</v>
      </c>
      <c r="CG570" s="17">
        <f>IF(Accounts!$B$570="","",Accounts!$B$570)</f>
        <v>0</v>
      </c>
      <c r="CH570" s="23">
        <f>IF(Accounts!$J$570="","",Accounts!$J$570)</f>
        <v>0</v>
      </c>
      <c r="CI570" s="23">
        <f>IF(CF570="","",SUMIFS(Analytics!$X$5:$X$154,Analytics!$E$5:$E$154,CF570,Analytics!$B$5:$B$154,"&gt;="&amp;DashStart,Analytics!$B$5:$B$154,"&lt;="&amp;DashEnd))</f>
        <v>0</v>
      </c>
      <c r="CJ570" s="32">
        <f>IF(CH570="","",IF(CH570=0,"",CH570+ROW()/1000000))</f>
        <v>0</v>
      </c>
    </row>
    <row r="571" spans="1:88">
      <c r="A571" s="16">
        <f>IF(ROW()-4&gt;12,"",DATE(PlanYear,ROW()-4,1))</f>
        <v>0</v>
      </c>
      <c r="B571" s="16">
        <f>IF(A571="","",EOMONTH(A571,0))</f>
        <v>0</v>
      </c>
      <c r="C571" s="17">
        <f>IF(A571="","",TEXT(A571,"yyyy-mm"))</f>
        <v>0</v>
      </c>
      <c r="D571" s="17">
        <f>IF(A571="","",TEXT(A571,"mmm"))</f>
        <v>0</v>
      </c>
      <c r="E571" s="23">
        <f>IF(C571="","",COUNTIFS('Content Calendar'!$D$5:$D$604,C571))</f>
        <v>0</v>
      </c>
      <c r="F571" s="23">
        <f>IF(C571="","",COUNTIFS('Content Calendar'!$D$5:$D$604,C571,'Content Calendar'!$X$5:$X$604,"Published"))</f>
        <v>0</v>
      </c>
      <c r="G571" s="23">
        <f>IF(C571="","",SUMIFS(Analytics!$J$5:$J$154,Analytics!$C$5:$C$154,C571))</f>
        <v>0</v>
      </c>
      <c r="H571" s="23">
        <f>IF(C571="","",SUMIFS(Analytics!$K$5:$K$154,Analytics!$C$5:$C$154,C571))</f>
        <v>0</v>
      </c>
      <c r="I571" s="23">
        <f>IF(C571="","",SUMIFS(Analytics!$L$5:$L$154,Analytics!$C$5:$C$154,C571))</f>
        <v>0</v>
      </c>
      <c r="J571" s="24">
        <f>IF(OR(G571="",G571=0),"",I571/G571)</f>
        <v>0</v>
      </c>
      <c r="K571" s="23">
        <f>IF(C571="","",SUMIFS(Analytics!$G$5:$G$154,Analytics!$C$5:$C$154,C571))</f>
        <v>0</v>
      </c>
      <c r="L571" s="23">
        <f>IF(C571="","",SUMIFS(Analytics!$X$5:$X$154,Analytics!$C$5:$C$154,C571))</f>
        <v>0</v>
      </c>
      <c r="M571" s="23">
        <f>IF(C571="","",SUMIFS(Analytics!$R$5:$R$154,Analytics!$C$5:$C$154,C571))</f>
        <v>0</v>
      </c>
      <c r="N571" s="23">
        <f>IF(C571="","",SUMIFS(Analytics!$S$5:$S$154,Analytics!$C$5:$C$154,C571))</f>
        <v>0</v>
      </c>
      <c r="O571" s="23">
        <f>IF(C571="","",SUMIFS(Analytics!$T$5:$T$154,Analytics!$C$5:$C$154,C571))</f>
        <v>0</v>
      </c>
      <c r="P571" s="25">
        <f>IF(C571="","",SUMIFS(Analytics!$U$5:$U$154,Analytics!$C$5:$C$154,C571))</f>
        <v>0</v>
      </c>
      <c r="Q571" s="25">
        <f>IF(C571="","",SUMIFS(Budget!$H$5:$H$64,Budget!$C$5:$C$64,C571))</f>
        <v>0</v>
      </c>
      <c r="R571" s="25">
        <f>IF(C571="","",P571-Q571)</f>
        <v>0</v>
      </c>
      <c r="S571" s="23">
        <f>IF(C571="","",MonthlyPostTarget)</f>
        <v>0</v>
      </c>
      <c r="T571" s="17">
        <f>IF(Lists!$C571="","",Lists!$C571)</f>
        <v>0</v>
      </c>
      <c r="U571" s="23">
        <f>IF(T571="","",COUNTIFS('Content Calendar'!$G$5:$G$604,T571,'Content Calendar'!$B$5:$B$604,"&gt;="&amp;DashStart,'Content Calendar'!$B$5:$B$604,"&lt;="&amp;DashEnd))</f>
        <v>0</v>
      </c>
      <c r="V571" s="23">
        <f>IF(T571="","",COUNTIFS('Content Calendar'!$G$5:$G$604,T571,'Content Calendar'!$X$5:$X$604,"Published",'Content Calendar'!$B$5:$B$604,"&gt;="&amp;DashStart,'Content Calendar'!$B$5:$B$604,"&lt;="&amp;DashEnd))</f>
        <v>0</v>
      </c>
      <c r="W571" s="23">
        <f>IF(T571="","",SUMIFS(Analytics!$J$5:$J$154,Analytics!$D$5:$D$154,T571,Analytics!$B$5:$B$154,"&gt;="&amp;DashStart,Analytics!$B$5:$B$154,"&lt;="&amp;DashEnd))</f>
        <v>0</v>
      </c>
      <c r="X571" s="23">
        <f>IF(T571="","",SUMIFS(Analytics!$L$5:$L$154,Analytics!$D$5:$D$154,T571,Analytics!$B$5:$B$154,"&gt;="&amp;DashStart,Analytics!$B$5:$B$154,"&lt;="&amp;DashEnd))</f>
        <v>0</v>
      </c>
      <c r="Y571" s="24">
        <f>IF(OR(W571="",W571=0),"",X571/W571)</f>
        <v>0</v>
      </c>
      <c r="Z571" s="23">
        <f>IF(T571="","",SUMIFS(Analytics!$G$5:$G$154,Analytics!$D$5:$D$154,T571,Analytics!$B$5:$B$154,"&gt;="&amp;DashStart,Analytics!$B$5:$B$154,"&lt;="&amp;DashEnd))</f>
        <v>0</v>
      </c>
      <c r="AA571" s="23">
        <f>IF(T571="","",SUMIFS(Analytics!$X$5:$X$154,Analytics!$D$5:$D$154,T571,Analytics!$B$5:$B$154,"&gt;="&amp;DashStart,Analytics!$B$5:$B$154,"&lt;="&amp;DashEnd))</f>
        <v>0</v>
      </c>
      <c r="AB571" s="23">
        <f>IF(T571="","",SUMIFS(Analytics!$R$5:$R$154,Analytics!$D$5:$D$154,T571,Analytics!$B$5:$B$154,"&gt;="&amp;DashStart,Analytics!$B$5:$B$154,"&lt;="&amp;DashEnd))</f>
        <v>0</v>
      </c>
      <c r="AC571" s="25">
        <f>IF(T571="","",SUMIFS(Analytics!$U$5:$U$154,Analytics!$D$5:$D$154,T571,Analytics!$B$5:$B$154,"&gt;="&amp;DashStart,Analytics!$B$5:$B$154,"&lt;="&amp;DashEnd))</f>
        <v>0</v>
      </c>
      <c r="AD571" s="23">
        <f>IF(T571="","",COUNTIFS('Content Calendar'!$G$5:$G$604,T571,'Content Calendar'!$B$5:$B$604,"&gt;="&amp;DATE(PlanYear,1,1),'Content Calendar'!$B$5:$B$604,"&lt;="&amp;DATE(PlanYear,12,31)))</f>
        <v>0</v>
      </c>
      <c r="AE571" s="23">
        <f>IF(T571="","",SUMIFS(Analytics!$J$5:$J$154,Analytics!$D$5:$D$154,T571))</f>
        <v>0</v>
      </c>
      <c r="AF571" s="23">
        <f>IF(T571="","",SUMIFS(Analytics!$L$5:$L$154,Analytics!$D$5:$D$154,T571))</f>
        <v>0</v>
      </c>
      <c r="AG571" s="24">
        <f>IF(OR(AE571="",AE571=0),"",AF571/AE571)</f>
        <v>0</v>
      </c>
      <c r="AH571" s="23">
        <f>IF(T571="","",SUMIFS(Analytics!$X$5:$X$154,Analytics!$D$5:$D$154,T571))</f>
        <v>0</v>
      </c>
      <c r="AI571" s="32">
        <f>IF(T571="","",IF(AE571=0,"",AE571+ROW()/1000000))</f>
        <v>0</v>
      </c>
      <c r="AJ571" s="17">
        <f>IF('Content Pillars'!$B$571="","",'Content Pillars'!$B$571)</f>
        <v>0</v>
      </c>
      <c r="AK571" s="23">
        <f>IF(AJ571="","",COUNTIFS('Content Calendar'!$J$5:$J$604,AJ571,'Content Calendar'!$B$5:$B$604,"&gt;="&amp;DATE(PlanYear,1,1),'Content Calendar'!$B$5:$B$604,"&lt;="&amp;DATE(PlanYear,12,31)))</f>
        <v>0</v>
      </c>
      <c r="AL571" s="23">
        <f>IF(AJ571="","",SUMIFS(Performance!$O$5:$O$404,Performance!$H$5:$H$404,AJ571))</f>
        <v>0</v>
      </c>
      <c r="AM571" s="23">
        <f>IF(AJ571="","",SUMIFS(Performance!$Z$5:$Z$404,Performance!$H$5:$H$404,AJ571))</f>
        <v>0</v>
      </c>
      <c r="AN571" s="24">
        <f>IF(OR(AL571="",AL571=0),"",AM571/AL571)</f>
        <v>0</v>
      </c>
      <c r="AO571" s="32">
        <f>IF(AN571="","",AN571+ROW()/1000000)</f>
        <v>0</v>
      </c>
      <c r="AP571" s="17">
        <f>IF(Lists!$E571="","",Lists!$E571)</f>
        <v>0</v>
      </c>
      <c r="AQ571" s="23">
        <f>IF(AP571="","",COUNTIF(Performance!$G$5:$G$404,AP571))</f>
        <v>0</v>
      </c>
      <c r="AR571" s="23">
        <f>IF(AP571="","",SUMIFS(Performance!$O$5:$O$404,Performance!$G$5:$G$404,AP571))</f>
        <v>0</v>
      </c>
      <c r="AS571" s="23">
        <f>IF(AP571="","",SUMIFS(Performance!$Z$5:$Z$404,Performance!$G$5:$G$404,AP571))</f>
        <v>0</v>
      </c>
      <c r="AT571" s="24">
        <f>IF(OR(AR571="",AR571=0),"",AS571/AR571)</f>
        <v>0</v>
      </c>
      <c r="AU571" s="32">
        <f>IF(AQ571=0,"",IF(AT571="","",AT571+ROW()/1000000))</f>
        <v>0</v>
      </c>
      <c r="AV571" s="17">
        <f>IF(ROW()-4&gt;7,"",TEXT(DATE(2024,1,ROW()-4),"ddd"))</f>
        <v>0</v>
      </c>
      <c r="AW571" s="23">
        <f>IF(AV571="","",COUNTIF(Performance!$N$5:$N$404,AV571))</f>
        <v>0</v>
      </c>
      <c r="AX571" s="23">
        <f>IF(AV571="","",SUMIFS(Performance!$O$5:$O$404,Performance!$N$5:$N$404,AV571))</f>
        <v>0</v>
      </c>
      <c r="AY571" s="23">
        <f>IF(AV571="","",SUMIFS(Performance!$Z$5:$Z$404,Performance!$N$5:$N$404,AV571))</f>
        <v>0</v>
      </c>
      <c r="AZ571" s="24">
        <f>IF(OR(AX571="",AX571=0),"",AY571/AX571)</f>
        <v>0</v>
      </c>
      <c r="BA571" s="32">
        <f>IF(AW571=0,"",IF(AZ571="","",AZ571+ROW()/1000000))</f>
        <v>0</v>
      </c>
      <c r="BB571" s="17">
        <f>IF(Lists!$AL571="","",Lists!$AL571)</f>
        <v>0</v>
      </c>
      <c r="BC571" s="23">
        <f>IF(BB571="","",COUNTIF(Performance!$M$5:$M$404,BB571))</f>
        <v>0</v>
      </c>
      <c r="BD571" s="23">
        <f>IF(BB571="","",SUMIFS(Performance!$O$5:$O$404,Performance!$M$5:$M$404,BB571))</f>
        <v>0</v>
      </c>
      <c r="BE571" s="23">
        <f>IF(BB571="","",SUMIFS(Performance!$Z$5:$Z$404,Performance!$M$5:$M$404,BB571))</f>
        <v>0</v>
      </c>
      <c r="BF571" s="24">
        <f>IF(OR(BD571="",BD571=0),"",BE571/BD571)</f>
        <v>0</v>
      </c>
      <c r="BG571" s="32">
        <f>IF(BC571=0,"",IF(BF571="","",BF571+ROW()/1000000))</f>
        <v>0</v>
      </c>
      <c r="BH571" s="17">
        <f>IF(Performance!$C$571="","",Performance!$C$571)</f>
        <v>0</v>
      </c>
      <c r="BI571" s="17">
        <f>IF(Performance!$F$571="","",Performance!$F$571)</f>
        <v>0</v>
      </c>
      <c r="BJ571" s="17">
        <f>IF(Performance!$H$571="","",Performance!$H$571)</f>
        <v>0</v>
      </c>
      <c r="BK571" s="16">
        <f>IF(Performance!$D$571="","",Performance!$D$571)</f>
        <v>0</v>
      </c>
      <c r="BL571" s="17">
        <f>IF(Performance!$E$571="","",Performance!$E$571)</f>
        <v>0</v>
      </c>
      <c r="BM571" s="23">
        <f>IF(Performance!$O$571="","",Performance!$O$571)</f>
        <v>0</v>
      </c>
      <c r="BN571" s="24">
        <f>IF(Performance!$AA$571="","",Performance!$AA$571)</f>
        <v>0</v>
      </c>
      <c r="BO571" s="32">
        <f>IF(BH571="","",IF(BK571="","",IF(OR(BK571&lt;DashStart,BK571&gt;DashEnd),"",IF(BN571="","",BN571+ROW()/1000000))))</f>
        <v>0</v>
      </c>
      <c r="BP571" s="32">
        <f>IF(BM571="","",IF(BK571="","",IF(OR(BK571&lt;DashStart,BK571&gt;DashEnd),"",BM571+ROW()/1000000)))</f>
        <v>0</v>
      </c>
      <c r="BQ571" s="32">
        <f>IF(BH571="","",IF(BK571="","",IF(YEAR(BK571)&lt;&gt;PlanYear,"",IF(BN571="","",BN571+ROW()/1000000))))</f>
        <v>0</v>
      </c>
      <c r="BR571" s="32">
        <f>IF(BH571="","",IF(BK571="","",IF(OR(BK571&lt;RepFrom,BK571&gt;RepTo),"",IF(BN571="","",BN571+ROW()/1000000))))</f>
        <v>0</v>
      </c>
      <c r="BS571" s="32">
        <f>IF(BM571="","",IF(BK571="","",IF(YEAR(BK571)&lt;&gt;PlanYear,"",BM571+ROW()/1000000)))</f>
        <v>0</v>
      </c>
      <c r="BT571" s="17">
        <f>IF(Lists!$F571="","",Lists!$F571)</f>
        <v>0</v>
      </c>
      <c r="BU571" s="23">
        <f>IF(BT571="","",COUNTIF('Content Calendar'!$X$5:$X$604,BT571))</f>
        <v>0</v>
      </c>
      <c r="BV571" s="23">
        <f>IF(BT571="","",COUNTIFS('Content Calendar'!$X$5:$X$604,BT571,'Content Calendar'!$B$5:$B$604,"&gt;="&amp;DashStart,'Content Calendar'!$B$5:$B$604,"&lt;="&amp;DashEnd))</f>
        <v>0</v>
      </c>
      <c r="BW571" s="17">
        <f>IF(Team!$B$571="","",Team!$B$571)</f>
        <v>0</v>
      </c>
      <c r="BX571" s="23">
        <f>IF(BW571="","",COUNTIF('Content Calendar'!$W$5:$W$604,BW571))</f>
        <v>0</v>
      </c>
      <c r="BY571" s="23">
        <f>IF(BW571="","",COUNTIFS('Content Calendar'!$W$5:$W$604,BW571,'Content Calendar'!$X$5:$X$604,"&lt;&gt;Published"))</f>
        <v>0</v>
      </c>
      <c r="BZ571" s="23">
        <f>IF(BW571="","",COUNTIFS(Tasks!$C$5:$C$64,BW571,Tasks!$G$5:$G$64,"&lt;&gt;Complete"))</f>
        <v>0</v>
      </c>
      <c r="CA571" s="17">
        <f>IF(Campaigns!$B$571="","",Campaigns!$B$571)</f>
        <v>0</v>
      </c>
      <c r="CB571" s="25">
        <f>IF(Campaigns!$T$571="","",Campaigns!$T$571)</f>
        <v>0</v>
      </c>
      <c r="CC571" s="25">
        <f>IF(Campaigns!$Q$571="","",Campaigns!$Q$571)</f>
        <v>0</v>
      </c>
      <c r="CD571" s="23">
        <f>IF(Campaigns!$Y$571="","",Campaigns!$Y$571)</f>
        <v>0</v>
      </c>
      <c r="CE571" s="32">
        <f>IF(CA571="","",IF(N(CB571)&lt;=0,"",N(CB571)+ROW()/1000000))</f>
        <v>0</v>
      </c>
      <c r="CF571" s="17">
        <f>IF(Accounts!$C$571="","",Accounts!$C$571)</f>
        <v>0</v>
      </c>
      <c r="CG571" s="17">
        <f>IF(Accounts!$B$571="","",Accounts!$B$571)</f>
        <v>0</v>
      </c>
      <c r="CH571" s="23">
        <f>IF(Accounts!$J$571="","",Accounts!$J$571)</f>
        <v>0</v>
      </c>
      <c r="CI571" s="23">
        <f>IF(CF571="","",SUMIFS(Analytics!$X$5:$X$154,Analytics!$E$5:$E$154,CF571,Analytics!$B$5:$B$154,"&gt;="&amp;DashStart,Analytics!$B$5:$B$154,"&lt;="&amp;DashEnd))</f>
        <v>0</v>
      </c>
      <c r="CJ571" s="32">
        <f>IF(CH571="","",IF(CH571=0,"",CH571+ROW()/1000000))</f>
        <v>0</v>
      </c>
    </row>
    <row r="572" spans="1:88">
      <c r="A572" s="16">
        <f>IF(ROW()-4&gt;12,"",DATE(PlanYear,ROW()-4,1))</f>
        <v>0</v>
      </c>
      <c r="B572" s="16">
        <f>IF(A572="","",EOMONTH(A572,0))</f>
        <v>0</v>
      </c>
      <c r="C572" s="17">
        <f>IF(A572="","",TEXT(A572,"yyyy-mm"))</f>
        <v>0</v>
      </c>
      <c r="D572" s="17">
        <f>IF(A572="","",TEXT(A572,"mmm"))</f>
        <v>0</v>
      </c>
      <c r="E572" s="23">
        <f>IF(C572="","",COUNTIFS('Content Calendar'!$D$5:$D$604,C572))</f>
        <v>0</v>
      </c>
      <c r="F572" s="23">
        <f>IF(C572="","",COUNTIFS('Content Calendar'!$D$5:$D$604,C572,'Content Calendar'!$X$5:$X$604,"Published"))</f>
        <v>0</v>
      </c>
      <c r="G572" s="23">
        <f>IF(C572="","",SUMIFS(Analytics!$J$5:$J$154,Analytics!$C$5:$C$154,C572))</f>
        <v>0</v>
      </c>
      <c r="H572" s="23">
        <f>IF(C572="","",SUMIFS(Analytics!$K$5:$K$154,Analytics!$C$5:$C$154,C572))</f>
        <v>0</v>
      </c>
      <c r="I572" s="23">
        <f>IF(C572="","",SUMIFS(Analytics!$L$5:$L$154,Analytics!$C$5:$C$154,C572))</f>
        <v>0</v>
      </c>
      <c r="J572" s="24">
        <f>IF(OR(G572="",G572=0),"",I572/G572)</f>
        <v>0</v>
      </c>
      <c r="K572" s="23">
        <f>IF(C572="","",SUMIFS(Analytics!$G$5:$G$154,Analytics!$C$5:$C$154,C572))</f>
        <v>0</v>
      </c>
      <c r="L572" s="23">
        <f>IF(C572="","",SUMIFS(Analytics!$X$5:$X$154,Analytics!$C$5:$C$154,C572))</f>
        <v>0</v>
      </c>
      <c r="M572" s="23">
        <f>IF(C572="","",SUMIFS(Analytics!$R$5:$R$154,Analytics!$C$5:$C$154,C572))</f>
        <v>0</v>
      </c>
      <c r="N572" s="23">
        <f>IF(C572="","",SUMIFS(Analytics!$S$5:$S$154,Analytics!$C$5:$C$154,C572))</f>
        <v>0</v>
      </c>
      <c r="O572" s="23">
        <f>IF(C572="","",SUMIFS(Analytics!$T$5:$T$154,Analytics!$C$5:$C$154,C572))</f>
        <v>0</v>
      </c>
      <c r="P572" s="25">
        <f>IF(C572="","",SUMIFS(Analytics!$U$5:$U$154,Analytics!$C$5:$C$154,C572))</f>
        <v>0</v>
      </c>
      <c r="Q572" s="25">
        <f>IF(C572="","",SUMIFS(Budget!$H$5:$H$64,Budget!$C$5:$C$64,C572))</f>
        <v>0</v>
      </c>
      <c r="R572" s="25">
        <f>IF(C572="","",P572-Q572)</f>
        <v>0</v>
      </c>
      <c r="S572" s="23">
        <f>IF(C572="","",MonthlyPostTarget)</f>
        <v>0</v>
      </c>
      <c r="T572" s="17">
        <f>IF(Lists!$C572="","",Lists!$C572)</f>
        <v>0</v>
      </c>
      <c r="U572" s="23">
        <f>IF(T572="","",COUNTIFS('Content Calendar'!$G$5:$G$604,T572,'Content Calendar'!$B$5:$B$604,"&gt;="&amp;DashStart,'Content Calendar'!$B$5:$B$604,"&lt;="&amp;DashEnd))</f>
        <v>0</v>
      </c>
      <c r="V572" s="23">
        <f>IF(T572="","",COUNTIFS('Content Calendar'!$G$5:$G$604,T572,'Content Calendar'!$X$5:$X$604,"Published",'Content Calendar'!$B$5:$B$604,"&gt;="&amp;DashStart,'Content Calendar'!$B$5:$B$604,"&lt;="&amp;DashEnd))</f>
        <v>0</v>
      </c>
      <c r="W572" s="23">
        <f>IF(T572="","",SUMIFS(Analytics!$J$5:$J$154,Analytics!$D$5:$D$154,T572,Analytics!$B$5:$B$154,"&gt;="&amp;DashStart,Analytics!$B$5:$B$154,"&lt;="&amp;DashEnd))</f>
        <v>0</v>
      </c>
      <c r="X572" s="23">
        <f>IF(T572="","",SUMIFS(Analytics!$L$5:$L$154,Analytics!$D$5:$D$154,T572,Analytics!$B$5:$B$154,"&gt;="&amp;DashStart,Analytics!$B$5:$B$154,"&lt;="&amp;DashEnd))</f>
        <v>0</v>
      </c>
      <c r="Y572" s="24">
        <f>IF(OR(W572="",W572=0),"",X572/W572)</f>
        <v>0</v>
      </c>
      <c r="Z572" s="23">
        <f>IF(T572="","",SUMIFS(Analytics!$G$5:$G$154,Analytics!$D$5:$D$154,T572,Analytics!$B$5:$B$154,"&gt;="&amp;DashStart,Analytics!$B$5:$B$154,"&lt;="&amp;DashEnd))</f>
        <v>0</v>
      </c>
      <c r="AA572" s="23">
        <f>IF(T572="","",SUMIFS(Analytics!$X$5:$X$154,Analytics!$D$5:$D$154,T572,Analytics!$B$5:$B$154,"&gt;="&amp;DashStart,Analytics!$B$5:$B$154,"&lt;="&amp;DashEnd))</f>
        <v>0</v>
      </c>
      <c r="AB572" s="23">
        <f>IF(T572="","",SUMIFS(Analytics!$R$5:$R$154,Analytics!$D$5:$D$154,T572,Analytics!$B$5:$B$154,"&gt;="&amp;DashStart,Analytics!$B$5:$B$154,"&lt;="&amp;DashEnd))</f>
        <v>0</v>
      </c>
      <c r="AC572" s="25">
        <f>IF(T572="","",SUMIFS(Analytics!$U$5:$U$154,Analytics!$D$5:$D$154,T572,Analytics!$B$5:$B$154,"&gt;="&amp;DashStart,Analytics!$B$5:$B$154,"&lt;="&amp;DashEnd))</f>
        <v>0</v>
      </c>
      <c r="AD572" s="23">
        <f>IF(T572="","",COUNTIFS('Content Calendar'!$G$5:$G$604,T572,'Content Calendar'!$B$5:$B$604,"&gt;="&amp;DATE(PlanYear,1,1),'Content Calendar'!$B$5:$B$604,"&lt;="&amp;DATE(PlanYear,12,31)))</f>
        <v>0</v>
      </c>
      <c r="AE572" s="23">
        <f>IF(T572="","",SUMIFS(Analytics!$J$5:$J$154,Analytics!$D$5:$D$154,T572))</f>
        <v>0</v>
      </c>
      <c r="AF572" s="23">
        <f>IF(T572="","",SUMIFS(Analytics!$L$5:$L$154,Analytics!$D$5:$D$154,T572))</f>
        <v>0</v>
      </c>
      <c r="AG572" s="24">
        <f>IF(OR(AE572="",AE572=0),"",AF572/AE572)</f>
        <v>0</v>
      </c>
      <c r="AH572" s="23">
        <f>IF(T572="","",SUMIFS(Analytics!$X$5:$X$154,Analytics!$D$5:$D$154,T572))</f>
        <v>0</v>
      </c>
      <c r="AI572" s="32">
        <f>IF(T572="","",IF(AE572=0,"",AE572+ROW()/1000000))</f>
        <v>0</v>
      </c>
      <c r="AJ572" s="17">
        <f>IF('Content Pillars'!$B$572="","",'Content Pillars'!$B$572)</f>
        <v>0</v>
      </c>
      <c r="AK572" s="23">
        <f>IF(AJ572="","",COUNTIFS('Content Calendar'!$J$5:$J$604,AJ572,'Content Calendar'!$B$5:$B$604,"&gt;="&amp;DATE(PlanYear,1,1),'Content Calendar'!$B$5:$B$604,"&lt;="&amp;DATE(PlanYear,12,31)))</f>
        <v>0</v>
      </c>
      <c r="AL572" s="23">
        <f>IF(AJ572="","",SUMIFS(Performance!$O$5:$O$404,Performance!$H$5:$H$404,AJ572))</f>
        <v>0</v>
      </c>
      <c r="AM572" s="23">
        <f>IF(AJ572="","",SUMIFS(Performance!$Z$5:$Z$404,Performance!$H$5:$H$404,AJ572))</f>
        <v>0</v>
      </c>
      <c r="AN572" s="24">
        <f>IF(OR(AL572="",AL572=0),"",AM572/AL572)</f>
        <v>0</v>
      </c>
      <c r="AO572" s="32">
        <f>IF(AN572="","",AN572+ROW()/1000000)</f>
        <v>0</v>
      </c>
      <c r="AP572" s="17">
        <f>IF(Lists!$E572="","",Lists!$E572)</f>
        <v>0</v>
      </c>
      <c r="AQ572" s="23">
        <f>IF(AP572="","",COUNTIF(Performance!$G$5:$G$404,AP572))</f>
        <v>0</v>
      </c>
      <c r="AR572" s="23">
        <f>IF(AP572="","",SUMIFS(Performance!$O$5:$O$404,Performance!$G$5:$G$404,AP572))</f>
        <v>0</v>
      </c>
      <c r="AS572" s="23">
        <f>IF(AP572="","",SUMIFS(Performance!$Z$5:$Z$404,Performance!$G$5:$G$404,AP572))</f>
        <v>0</v>
      </c>
      <c r="AT572" s="24">
        <f>IF(OR(AR572="",AR572=0),"",AS572/AR572)</f>
        <v>0</v>
      </c>
      <c r="AU572" s="32">
        <f>IF(AQ572=0,"",IF(AT572="","",AT572+ROW()/1000000))</f>
        <v>0</v>
      </c>
      <c r="AV572" s="17">
        <f>IF(ROW()-4&gt;7,"",TEXT(DATE(2024,1,ROW()-4),"ddd"))</f>
        <v>0</v>
      </c>
      <c r="AW572" s="23">
        <f>IF(AV572="","",COUNTIF(Performance!$N$5:$N$404,AV572))</f>
        <v>0</v>
      </c>
      <c r="AX572" s="23">
        <f>IF(AV572="","",SUMIFS(Performance!$O$5:$O$404,Performance!$N$5:$N$404,AV572))</f>
        <v>0</v>
      </c>
      <c r="AY572" s="23">
        <f>IF(AV572="","",SUMIFS(Performance!$Z$5:$Z$404,Performance!$N$5:$N$404,AV572))</f>
        <v>0</v>
      </c>
      <c r="AZ572" s="24">
        <f>IF(OR(AX572="",AX572=0),"",AY572/AX572)</f>
        <v>0</v>
      </c>
      <c r="BA572" s="32">
        <f>IF(AW572=0,"",IF(AZ572="","",AZ572+ROW()/1000000))</f>
        <v>0</v>
      </c>
      <c r="BB572" s="17">
        <f>IF(Lists!$AL572="","",Lists!$AL572)</f>
        <v>0</v>
      </c>
      <c r="BC572" s="23">
        <f>IF(BB572="","",COUNTIF(Performance!$M$5:$M$404,BB572))</f>
        <v>0</v>
      </c>
      <c r="BD572" s="23">
        <f>IF(BB572="","",SUMIFS(Performance!$O$5:$O$404,Performance!$M$5:$M$404,BB572))</f>
        <v>0</v>
      </c>
      <c r="BE572" s="23">
        <f>IF(BB572="","",SUMIFS(Performance!$Z$5:$Z$404,Performance!$M$5:$M$404,BB572))</f>
        <v>0</v>
      </c>
      <c r="BF572" s="24">
        <f>IF(OR(BD572="",BD572=0),"",BE572/BD572)</f>
        <v>0</v>
      </c>
      <c r="BG572" s="32">
        <f>IF(BC572=0,"",IF(BF572="","",BF572+ROW()/1000000))</f>
        <v>0</v>
      </c>
      <c r="BH572" s="17">
        <f>IF(Performance!$C$572="","",Performance!$C$572)</f>
        <v>0</v>
      </c>
      <c r="BI572" s="17">
        <f>IF(Performance!$F$572="","",Performance!$F$572)</f>
        <v>0</v>
      </c>
      <c r="BJ572" s="17">
        <f>IF(Performance!$H$572="","",Performance!$H$572)</f>
        <v>0</v>
      </c>
      <c r="BK572" s="16">
        <f>IF(Performance!$D$572="","",Performance!$D$572)</f>
        <v>0</v>
      </c>
      <c r="BL572" s="17">
        <f>IF(Performance!$E$572="","",Performance!$E$572)</f>
        <v>0</v>
      </c>
      <c r="BM572" s="23">
        <f>IF(Performance!$O$572="","",Performance!$O$572)</f>
        <v>0</v>
      </c>
      <c r="BN572" s="24">
        <f>IF(Performance!$AA$572="","",Performance!$AA$572)</f>
        <v>0</v>
      </c>
      <c r="BO572" s="32">
        <f>IF(BH572="","",IF(BK572="","",IF(OR(BK572&lt;DashStart,BK572&gt;DashEnd),"",IF(BN572="","",BN572+ROW()/1000000))))</f>
        <v>0</v>
      </c>
      <c r="BP572" s="32">
        <f>IF(BM572="","",IF(BK572="","",IF(OR(BK572&lt;DashStart,BK572&gt;DashEnd),"",BM572+ROW()/1000000)))</f>
        <v>0</v>
      </c>
      <c r="BQ572" s="32">
        <f>IF(BH572="","",IF(BK572="","",IF(YEAR(BK572)&lt;&gt;PlanYear,"",IF(BN572="","",BN572+ROW()/1000000))))</f>
        <v>0</v>
      </c>
      <c r="BR572" s="32">
        <f>IF(BH572="","",IF(BK572="","",IF(OR(BK572&lt;RepFrom,BK572&gt;RepTo),"",IF(BN572="","",BN572+ROW()/1000000))))</f>
        <v>0</v>
      </c>
      <c r="BS572" s="32">
        <f>IF(BM572="","",IF(BK572="","",IF(YEAR(BK572)&lt;&gt;PlanYear,"",BM572+ROW()/1000000)))</f>
        <v>0</v>
      </c>
      <c r="BT572" s="17">
        <f>IF(Lists!$F572="","",Lists!$F572)</f>
        <v>0</v>
      </c>
      <c r="BU572" s="23">
        <f>IF(BT572="","",COUNTIF('Content Calendar'!$X$5:$X$604,BT572))</f>
        <v>0</v>
      </c>
      <c r="BV572" s="23">
        <f>IF(BT572="","",COUNTIFS('Content Calendar'!$X$5:$X$604,BT572,'Content Calendar'!$B$5:$B$604,"&gt;="&amp;DashStart,'Content Calendar'!$B$5:$B$604,"&lt;="&amp;DashEnd))</f>
        <v>0</v>
      </c>
      <c r="BW572" s="17">
        <f>IF(Team!$B$572="","",Team!$B$572)</f>
        <v>0</v>
      </c>
      <c r="BX572" s="23">
        <f>IF(BW572="","",COUNTIF('Content Calendar'!$W$5:$W$604,BW572))</f>
        <v>0</v>
      </c>
      <c r="BY572" s="23">
        <f>IF(BW572="","",COUNTIFS('Content Calendar'!$W$5:$W$604,BW572,'Content Calendar'!$X$5:$X$604,"&lt;&gt;Published"))</f>
        <v>0</v>
      </c>
      <c r="BZ572" s="23">
        <f>IF(BW572="","",COUNTIFS(Tasks!$C$5:$C$64,BW572,Tasks!$G$5:$G$64,"&lt;&gt;Complete"))</f>
        <v>0</v>
      </c>
      <c r="CA572" s="17">
        <f>IF(Campaigns!$B$572="","",Campaigns!$B$572)</f>
        <v>0</v>
      </c>
      <c r="CB572" s="25">
        <f>IF(Campaigns!$T$572="","",Campaigns!$T$572)</f>
        <v>0</v>
      </c>
      <c r="CC572" s="25">
        <f>IF(Campaigns!$Q$572="","",Campaigns!$Q$572)</f>
        <v>0</v>
      </c>
      <c r="CD572" s="23">
        <f>IF(Campaigns!$Y$572="","",Campaigns!$Y$572)</f>
        <v>0</v>
      </c>
      <c r="CE572" s="32">
        <f>IF(CA572="","",IF(N(CB572)&lt;=0,"",N(CB572)+ROW()/1000000))</f>
        <v>0</v>
      </c>
      <c r="CF572" s="17">
        <f>IF(Accounts!$C$572="","",Accounts!$C$572)</f>
        <v>0</v>
      </c>
      <c r="CG572" s="17">
        <f>IF(Accounts!$B$572="","",Accounts!$B$572)</f>
        <v>0</v>
      </c>
      <c r="CH572" s="23">
        <f>IF(Accounts!$J$572="","",Accounts!$J$572)</f>
        <v>0</v>
      </c>
      <c r="CI572" s="23">
        <f>IF(CF572="","",SUMIFS(Analytics!$X$5:$X$154,Analytics!$E$5:$E$154,CF572,Analytics!$B$5:$B$154,"&gt;="&amp;DashStart,Analytics!$B$5:$B$154,"&lt;="&amp;DashEnd))</f>
        <v>0</v>
      </c>
      <c r="CJ572" s="32">
        <f>IF(CH572="","",IF(CH572=0,"",CH572+ROW()/1000000))</f>
        <v>0</v>
      </c>
    </row>
    <row r="573" spans="1:88">
      <c r="A573" s="16">
        <f>IF(ROW()-4&gt;12,"",DATE(PlanYear,ROW()-4,1))</f>
        <v>0</v>
      </c>
      <c r="B573" s="16">
        <f>IF(A573="","",EOMONTH(A573,0))</f>
        <v>0</v>
      </c>
      <c r="C573" s="17">
        <f>IF(A573="","",TEXT(A573,"yyyy-mm"))</f>
        <v>0</v>
      </c>
      <c r="D573" s="17">
        <f>IF(A573="","",TEXT(A573,"mmm"))</f>
        <v>0</v>
      </c>
      <c r="E573" s="23">
        <f>IF(C573="","",COUNTIFS('Content Calendar'!$D$5:$D$604,C573))</f>
        <v>0</v>
      </c>
      <c r="F573" s="23">
        <f>IF(C573="","",COUNTIFS('Content Calendar'!$D$5:$D$604,C573,'Content Calendar'!$X$5:$X$604,"Published"))</f>
        <v>0</v>
      </c>
      <c r="G573" s="23">
        <f>IF(C573="","",SUMIFS(Analytics!$J$5:$J$154,Analytics!$C$5:$C$154,C573))</f>
        <v>0</v>
      </c>
      <c r="H573" s="23">
        <f>IF(C573="","",SUMIFS(Analytics!$K$5:$K$154,Analytics!$C$5:$C$154,C573))</f>
        <v>0</v>
      </c>
      <c r="I573" s="23">
        <f>IF(C573="","",SUMIFS(Analytics!$L$5:$L$154,Analytics!$C$5:$C$154,C573))</f>
        <v>0</v>
      </c>
      <c r="J573" s="24">
        <f>IF(OR(G573="",G573=0),"",I573/G573)</f>
        <v>0</v>
      </c>
      <c r="K573" s="23">
        <f>IF(C573="","",SUMIFS(Analytics!$G$5:$G$154,Analytics!$C$5:$C$154,C573))</f>
        <v>0</v>
      </c>
      <c r="L573" s="23">
        <f>IF(C573="","",SUMIFS(Analytics!$X$5:$X$154,Analytics!$C$5:$C$154,C573))</f>
        <v>0</v>
      </c>
      <c r="M573" s="23">
        <f>IF(C573="","",SUMIFS(Analytics!$R$5:$R$154,Analytics!$C$5:$C$154,C573))</f>
        <v>0</v>
      </c>
      <c r="N573" s="23">
        <f>IF(C573="","",SUMIFS(Analytics!$S$5:$S$154,Analytics!$C$5:$C$154,C573))</f>
        <v>0</v>
      </c>
      <c r="O573" s="23">
        <f>IF(C573="","",SUMIFS(Analytics!$T$5:$T$154,Analytics!$C$5:$C$154,C573))</f>
        <v>0</v>
      </c>
      <c r="P573" s="25">
        <f>IF(C573="","",SUMIFS(Analytics!$U$5:$U$154,Analytics!$C$5:$C$154,C573))</f>
        <v>0</v>
      </c>
      <c r="Q573" s="25">
        <f>IF(C573="","",SUMIFS(Budget!$H$5:$H$64,Budget!$C$5:$C$64,C573))</f>
        <v>0</v>
      </c>
      <c r="R573" s="25">
        <f>IF(C573="","",P573-Q573)</f>
        <v>0</v>
      </c>
      <c r="S573" s="23">
        <f>IF(C573="","",MonthlyPostTarget)</f>
        <v>0</v>
      </c>
      <c r="T573" s="17">
        <f>IF(Lists!$C573="","",Lists!$C573)</f>
        <v>0</v>
      </c>
      <c r="U573" s="23">
        <f>IF(T573="","",COUNTIFS('Content Calendar'!$G$5:$G$604,T573,'Content Calendar'!$B$5:$B$604,"&gt;="&amp;DashStart,'Content Calendar'!$B$5:$B$604,"&lt;="&amp;DashEnd))</f>
        <v>0</v>
      </c>
      <c r="V573" s="23">
        <f>IF(T573="","",COUNTIFS('Content Calendar'!$G$5:$G$604,T573,'Content Calendar'!$X$5:$X$604,"Published",'Content Calendar'!$B$5:$B$604,"&gt;="&amp;DashStart,'Content Calendar'!$B$5:$B$604,"&lt;="&amp;DashEnd))</f>
        <v>0</v>
      </c>
      <c r="W573" s="23">
        <f>IF(T573="","",SUMIFS(Analytics!$J$5:$J$154,Analytics!$D$5:$D$154,T573,Analytics!$B$5:$B$154,"&gt;="&amp;DashStart,Analytics!$B$5:$B$154,"&lt;="&amp;DashEnd))</f>
        <v>0</v>
      </c>
      <c r="X573" s="23">
        <f>IF(T573="","",SUMIFS(Analytics!$L$5:$L$154,Analytics!$D$5:$D$154,T573,Analytics!$B$5:$B$154,"&gt;="&amp;DashStart,Analytics!$B$5:$B$154,"&lt;="&amp;DashEnd))</f>
        <v>0</v>
      </c>
      <c r="Y573" s="24">
        <f>IF(OR(W573="",W573=0),"",X573/W573)</f>
        <v>0</v>
      </c>
      <c r="Z573" s="23">
        <f>IF(T573="","",SUMIFS(Analytics!$G$5:$G$154,Analytics!$D$5:$D$154,T573,Analytics!$B$5:$B$154,"&gt;="&amp;DashStart,Analytics!$B$5:$B$154,"&lt;="&amp;DashEnd))</f>
        <v>0</v>
      </c>
      <c r="AA573" s="23">
        <f>IF(T573="","",SUMIFS(Analytics!$X$5:$X$154,Analytics!$D$5:$D$154,T573,Analytics!$B$5:$B$154,"&gt;="&amp;DashStart,Analytics!$B$5:$B$154,"&lt;="&amp;DashEnd))</f>
        <v>0</v>
      </c>
      <c r="AB573" s="23">
        <f>IF(T573="","",SUMIFS(Analytics!$R$5:$R$154,Analytics!$D$5:$D$154,T573,Analytics!$B$5:$B$154,"&gt;="&amp;DashStart,Analytics!$B$5:$B$154,"&lt;="&amp;DashEnd))</f>
        <v>0</v>
      </c>
      <c r="AC573" s="25">
        <f>IF(T573="","",SUMIFS(Analytics!$U$5:$U$154,Analytics!$D$5:$D$154,T573,Analytics!$B$5:$B$154,"&gt;="&amp;DashStart,Analytics!$B$5:$B$154,"&lt;="&amp;DashEnd))</f>
        <v>0</v>
      </c>
      <c r="AD573" s="23">
        <f>IF(T573="","",COUNTIFS('Content Calendar'!$G$5:$G$604,T573,'Content Calendar'!$B$5:$B$604,"&gt;="&amp;DATE(PlanYear,1,1),'Content Calendar'!$B$5:$B$604,"&lt;="&amp;DATE(PlanYear,12,31)))</f>
        <v>0</v>
      </c>
      <c r="AE573" s="23">
        <f>IF(T573="","",SUMIFS(Analytics!$J$5:$J$154,Analytics!$D$5:$D$154,T573))</f>
        <v>0</v>
      </c>
      <c r="AF573" s="23">
        <f>IF(T573="","",SUMIFS(Analytics!$L$5:$L$154,Analytics!$D$5:$D$154,T573))</f>
        <v>0</v>
      </c>
      <c r="AG573" s="24">
        <f>IF(OR(AE573="",AE573=0),"",AF573/AE573)</f>
        <v>0</v>
      </c>
      <c r="AH573" s="23">
        <f>IF(T573="","",SUMIFS(Analytics!$X$5:$X$154,Analytics!$D$5:$D$154,T573))</f>
        <v>0</v>
      </c>
      <c r="AI573" s="32">
        <f>IF(T573="","",IF(AE573=0,"",AE573+ROW()/1000000))</f>
        <v>0</v>
      </c>
      <c r="AJ573" s="17">
        <f>IF('Content Pillars'!$B$573="","",'Content Pillars'!$B$573)</f>
        <v>0</v>
      </c>
      <c r="AK573" s="23">
        <f>IF(AJ573="","",COUNTIFS('Content Calendar'!$J$5:$J$604,AJ573,'Content Calendar'!$B$5:$B$604,"&gt;="&amp;DATE(PlanYear,1,1),'Content Calendar'!$B$5:$B$604,"&lt;="&amp;DATE(PlanYear,12,31)))</f>
        <v>0</v>
      </c>
      <c r="AL573" s="23">
        <f>IF(AJ573="","",SUMIFS(Performance!$O$5:$O$404,Performance!$H$5:$H$404,AJ573))</f>
        <v>0</v>
      </c>
      <c r="AM573" s="23">
        <f>IF(AJ573="","",SUMIFS(Performance!$Z$5:$Z$404,Performance!$H$5:$H$404,AJ573))</f>
        <v>0</v>
      </c>
      <c r="AN573" s="24">
        <f>IF(OR(AL573="",AL573=0),"",AM573/AL573)</f>
        <v>0</v>
      </c>
      <c r="AO573" s="32">
        <f>IF(AN573="","",AN573+ROW()/1000000)</f>
        <v>0</v>
      </c>
      <c r="AP573" s="17">
        <f>IF(Lists!$E573="","",Lists!$E573)</f>
        <v>0</v>
      </c>
      <c r="AQ573" s="23">
        <f>IF(AP573="","",COUNTIF(Performance!$G$5:$G$404,AP573))</f>
        <v>0</v>
      </c>
      <c r="AR573" s="23">
        <f>IF(AP573="","",SUMIFS(Performance!$O$5:$O$404,Performance!$G$5:$G$404,AP573))</f>
        <v>0</v>
      </c>
      <c r="AS573" s="23">
        <f>IF(AP573="","",SUMIFS(Performance!$Z$5:$Z$404,Performance!$G$5:$G$404,AP573))</f>
        <v>0</v>
      </c>
      <c r="AT573" s="24">
        <f>IF(OR(AR573="",AR573=0),"",AS573/AR573)</f>
        <v>0</v>
      </c>
      <c r="AU573" s="32">
        <f>IF(AQ573=0,"",IF(AT573="","",AT573+ROW()/1000000))</f>
        <v>0</v>
      </c>
      <c r="AV573" s="17">
        <f>IF(ROW()-4&gt;7,"",TEXT(DATE(2024,1,ROW()-4),"ddd"))</f>
        <v>0</v>
      </c>
      <c r="AW573" s="23">
        <f>IF(AV573="","",COUNTIF(Performance!$N$5:$N$404,AV573))</f>
        <v>0</v>
      </c>
      <c r="AX573" s="23">
        <f>IF(AV573="","",SUMIFS(Performance!$O$5:$O$404,Performance!$N$5:$N$404,AV573))</f>
        <v>0</v>
      </c>
      <c r="AY573" s="23">
        <f>IF(AV573="","",SUMIFS(Performance!$Z$5:$Z$404,Performance!$N$5:$N$404,AV573))</f>
        <v>0</v>
      </c>
      <c r="AZ573" s="24">
        <f>IF(OR(AX573="",AX573=0),"",AY573/AX573)</f>
        <v>0</v>
      </c>
      <c r="BA573" s="32">
        <f>IF(AW573=0,"",IF(AZ573="","",AZ573+ROW()/1000000))</f>
        <v>0</v>
      </c>
      <c r="BB573" s="17">
        <f>IF(Lists!$AL573="","",Lists!$AL573)</f>
        <v>0</v>
      </c>
      <c r="BC573" s="23">
        <f>IF(BB573="","",COUNTIF(Performance!$M$5:$M$404,BB573))</f>
        <v>0</v>
      </c>
      <c r="BD573" s="23">
        <f>IF(BB573="","",SUMIFS(Performance!$O$5:$O$404,Performance!$M$5:$M$404,BB573))</f>
        <v>0</v>
      </c>
      <c r="BE573" s="23">
        <f>IF(BB573="","",SUMIFS(Performance!$Z$5:$Z$404,Performance!$M$5:$M$404,BB573))</f>
        <v>0</v>
      </c>
      <c r="BF573" s="24">
        <f>IF(OR(BD573="",BD573=0),"",BE573/BD573)</f>
        <v>0</v>
      </c>
      <c r="BG573" s="32">
        <f>IF(BC573=0,"",IF(BF573="","",BF573+ROW()/1000000))</f>
        <v>0</v>
      </c>
      <c r="BH573" s="17">
        <f>IF(Performance!$C$573="","",Performance!$C$573)</f>
        <v>0</v>
      </c>
      <c r="BI573" s="17">
        <f>IF(Performance!$F$573="","",Performance!$F$573)</f>
        <v>0</v>
      </c>
      <c r="BJ573" s="17">
        <f>IF(Performance!$H$573="","",Performance!$H$573)</f>
        <v>0</v>
      </c>
      <c r="BK573" s="16">
        <f>IF(Performance!$D$573="","",Performance!$D$573)</f>
        <v>0</v>
      </c>
      <c r="BL573" s="17">
        <f>IF(Performance!$E$573="","",Performance!$E$573)</f>
        <v>0</v>
      </c>
      <c r="BM573" s="23">
        <f>IF(Performance!$O$573="","",Performance!$O$573)</f>
        <v>0</v>
      </c>
      <c r="BN573" s="24">
        <f>IF(Performance!$AA$573="","",Performance!$AA$573)</f>
        <v>0</v>
      </c>
      <c r="BO573" s="32">
        <f>IF(BH573="","",IF(BK573="","",IF(OR(BK573&lt;DashStart,BK573&gt;DashEnd),"",IF(BN573="","",BN573+ROW()/1000000))))</f>
        <v>0</v>
      </c>
      <c r="BP573" s="32">
        <f>IF(BM573="","",IF(BK573="","",IF(OR(BK573&lt;DashStart,BK573&gt;DashEnd),"",BM573+ROW()/1000000)))</f>
        <v>0</v>
      </c>
      <c r="BQ573" s="32">
        <f>IF(BH573="","",IF(BK573="","",IF(YEAR(BK573)&lt;&gt;PlanYear,"",IF(BN573="","",BN573+ROW()/1000000))))</f>
        <v>0</v>
      </c>
      <c r="BR573" s="32">
        <f>IF(BH573="","",IF(BK573="","",IF(OR(BK573&lt;RepFrom,BK573&gt;RepTo),"",IF(BN573="","",BN573+ROW()/1000000))))</f>
        <v>0</v>
      </c>
      <c r="BS573" s="32">
        <f>IF(BM573="","",IF(BK573="","",IF(YEAR(BK573)&lt;&gt;PlanYear,"",BM573+ROW()/1000000)))</f>
        <v>0</v>
      </c>
      <c r="BT573" s="17">
        <f>IF(Lists!$F573="","",Lists!$F573)</f>
        <v>0</v>
      </c>
      <c r="BU573" s="23">
        <f>IF(BT573="","",COUNTIF('Content Calendar'!$X$5:$X$604,BT573))</f>
        <v>0</v>
      </c>
      <c r="BV573" s="23">
        <f>IF(BT573="","",COUNTIFS('Content Calendar'!$X$5:$X$604,BT573,'Content Calendar'!$B$5:$B$604,"&gt;="&amp;DashStart,'Content Calendar'!$B$5:$B$604,"&lt;="&amp;DashEnd))</f>
        <v>0</v>
      </c>
      <c r="BW573" s="17">
        <f>IF(Team!$B$573="","",Team!$B$573)</f>
        <v>0</v>
      </c>
      <c r="BX573" s="23">
        <f>IF(BW573="","",COUNTIF('Content Calendar'!$W$5:$W$604,BW573))</f>
        <v>0</v>
      </c>
      <c r="BY573" s="23">
        <f>IF(BW573="","",COUNTIFS('Content Calendar'!$W$5:$W$604,BW573,'Content Calendar'!$X$5:$X$604,"&lt;&gt;Published"))</f>
        <v>0</v>
      </c>
      <c r="BZ573" s="23">
        <f>IF(BW573="","",COUNTIFS(Tasks!$C$5:$C$64,BW573,Tasks!$G$5:$G$64,"&lt;&gt;Complete"))</f>
        <v>0</v>
      </c>
      <c r="CA573" s="17">
        <f>IF(Campaigns!$B$573="","",Campaigns!$B$573)</f>
        <v>0</v>
      </c>
      <c r="CB573" s="25">
        <f>IF(Campaigns!$T$573="","",Campaigns!$T$573)</f>
        <v>0</v>
      </c>
      <c r="CC573" s="25">
        <f>IF(Campaigns!$Q$573="","",Campaigns!$Q$573)</f>
        <v>0</v>
      </c>
      <c r="CD573" s="23">
        <f>IF(Campaigns!$Y$573="","",Campaigns!$Y$573)</f>
        <v>0</v>
      </c>
      <c r="CE573" s="32">
        <f>IF(CA573="","",IF(N(CB573)&lt;=0,"",N(CB573)+ROW()/1000000))</f>
        <v>0</v>
      </c>
      <c r="CF573" s="17">
        <f>IF(Accounts!$C$573="","",Accounts!$C$573)</f>
        <v>0</v>
      </c>
      <c r="CG573" s="17">
        <f>IF(Accounts!$B$573="","",Accounts!$B$573)</f>
        <v>0</v>
      </c>
      <c r="CH573" s="23">
        <f>IF(Accounts!$J$573="","",Accounts!$J$573)</f>
        <v>0</v>
      </c>
      <c r="CI573" s="23">
        <f>IF(CF573="","",SUMIFS(Analytics!$X$5:$X$154,Analytics!$E$5:$E$154,CF573,Analytics!$B$5:$B$154,"&gt;="&amp;DashStart,Analytics!$B$5:$B$154,"&lt;="&amp;DashEnd))</f>
        <v>0</v>
      </c>
      <c r="CJ573" s="32">
        <f>IF(CH573="","",IF(CH573=0,"",CH573+ROW()/1000000))</f>
        <v>0</v>
      </c>
    </row>
    <row r="574" spans="1:88">
      <c r="A574" s="16">
        <f>IF(ROW()-4&gt;12,"",DATE(PlanYear,ROW()-4,1))</f>
        <v>0</v>
      </c>
      <c r="B574" s="16">
        <f>IF(A574="","",EOMONTH(A574,0))</f>
        <v>0</v>
      </c>
      <c r="C574" s="17">
        <f>IF(A574="","",TEXT(A574,"yyyy-mm"))</f>
        <v>0</v>
      </c>
      <c r="D574" s="17">
        <f>IF(A574="","",TEXT(A574,"mmm"))</f>
        <v>0</v>
      </c>
      <c r="E574" s="23">
        <f>IF(C574="","",COUNTIFS('Content Calendar'!$D$5:$D$604,C574))</f>
        <v>0</v>
      </c>
      <c r="F574" s="23">
        <f>IF(C574="","",COUNTIFS('Content Calendar'!$D$5:$D$604,C574,'Content Calendar'!$X$5:$X$604,"Published"))</f>
        <v>0</v>
      </c>
      <c r="G574" s="23">
        <f>IF(C574="","",SUMIFS(Analytics!$J$5:$J$154,Analytics!$C$5:$C$154,C574))</f>
        <v>0</v>
      </c>
      <c r="H574" s="23">
        <f>IF(C574="","",SUMIFS(Analytics!$K$5:$K$154,Analytics!$C$5:$C$154,C574))</f>
        <v>0</v>
      </c>
      <c r="I574" s="23">
        <f>IF(C574="","",SUMIFS(Analytics!$L$5:$L$154,Analytics!$C$5:$C$154,C574))</f>
        <v>0</v>
      </c>
      <c r="J574" s="24">
        <f>IF(OR(G574="",G574=0),"",I574/G574)</f>
        <v>0</v>
      </c>
      <c r="K574" s="23">
        <f>IF(C574="","",SUMIFS(Analytics!$G$5:$G$154,Analytics!$C$5:$C$154,C574))</f>
        <v>0</v>
      </c>
      <c r="L574" s="23">
        <f>IF(C574="","",SUMIFS(Analytics!$X$5:$X$154,Analytics!$C$5:$C$154,C574))</f>
        <v>0</v>
      </c>
      <c r="M574" s="23">
        <f>IF(C574="","",SUMIFS(Analytics!$R$5:$R$154,Analytics!$C$5:$C$154,C574))</f>
        <v>0</v>
      </c>
      <c r="N574" s="23">
        <f>IF(C574="","",SUMIFS(Analytics!$S$5:$S$154,Analytics!$C$5:$C$154,C574))</f>
        <v>0</v>
      </c>
      <c r="O574" s="23">
        <f>IF(C574="","",SUMIFS(Analytics!$T$5:$T$154,Analytics!$C$5:$C$154,C574))</f>
        <v>0</v>
      </c>
      <c r="P574" s="25">
        <f>IF(C574="","",SUMIFS(Analytics!$U$5:$U$154,Analytics!$C$5:$C$154,C574))</f>
        <v>0</v>
      </c>
      <c r="Q574" s="25">
        <f>IF(C574="","",SUMIFS(Budget!$H$5:$H$64,Budget!$C$5:$C$64,C574))</f>
        <v>0</v>
      </c>
      <c r="R574" s="25">
        <f>IF(C574="","",P574-Q574)</f>
        <v>0</v>
      </c>
      <c r="S574" s="23">
        <f>IF(C574="","",MonthlyPostTarget)</f>
        <v>0</v>
      </c>
      <c r="T574" s="17">
        <f>IF(Lists!$C574="","",Lists!$C574)</f>
        <v>0</v>
      </c>
      <c r="U574" s="23">
        <f>IF(T574="","",COUNTIFS('Content Calendar'!$G$5:$G$604,T574,'Content Calendar'!$B$5:$B$604,"&gt;="&amp;DashStart,'Content Calendar'!$B$5:$B$604,"&lt;="&amp;DashEnd))</f>
        <v>0</v>
      </c>
      <c r="V574" s="23">
        <f>IF(T574="","",COUNTIFS('Content Calendar'!$G$5:$G$604,T574,'Content Calendar'!$X$5:$X$604,"Published",'Content Calendar'!$B$5:$B$604,"&gt;="&amp;DashStart,'Content Calendar'!$B$5:$B$604,"&lt;="&amp;DashEnd))</f>
        <v>0</v>
      </c>
      <c r="W574" s="23">
        <f>IF(T574="","",SUMIFS(Analytics!$J$5:$J$154,Analytics!$D$5:$D$154,T574,Analytics!$B$5:$B$154,"&gt;="&amp;DashStart,Analytics!$B$5:$B$154,"&lt;="&amp;DashEnd))</f>
        <v>0</v>
      </c>
      <c r="X574" s="23">
        <f>IF(T574="","",SUMIFS(Analytics!$L$5:$L$154,Analytics!$D$5:$D$154,T574,Analytics!$B$5:$B$154,"&gt;="&amp;DashStart,Analytics!$B$5:$B$154,"&lt;="&amp;DashEnd))</f>
        <v>0</v>
      </c>
      <c r="Y574" s="24">
        <f>IF(OR(W574="",W574=0),"",X574/W574)</f>
        <v>0</v>
      </c>
      <c r="Z574" s="23">
        <f>IF(T574="","",SUMIFS(Analytics!$G$5:$G$154,Analytics!$D$5:$D$154,T574,Analytics!$B$5:$B$154,"&gt;="&amp;DashStart,Analytics!$B$5:$B$154,"&lt;="&amp;DashEnd))</f>
        <v>0</v>
      </c>
      <c r="AA574" s="23">
        <f>IF(T574="","",SUMIFS(Analytics!$X$5:$X$154,Analytics!$D$5:$D$154,T574,Analytics!$B$5:$B$154,"&gt;="&amp;DashStart,Analytics!$B$5:$B$154,"&lt;="&amp;DashEnd))</f>
        <v>0</v>
      </c>
      <c r="AB574" s="23">
        <f>IF(T574="","",SUMIFS(Analytics!$R$5:$R$154,Analytics!$D$5:$D$154,T574,Analytics!$B$5:$B$154,"&gt;="&amp;DashStart,Analytics!$B$5:$B$154,"&lt;="&amp;DashEnd))</f>
        <v>0</v>
      </c>
      <c r="AC574" s="25">
        <f>IF(T574="","",SUMIFS(Analytics!$U$5:$U$154,Analytics!$D$5:$D$154,T574,Analytics!$B$5:$B$154,"&gt;="&amp;DashStart,Analytics!$B$5:$B$154,"&lt;="&amp;DashEnd))</f>
        <v>0</v>
      </c>
      <c r="AD574" s="23">
        <f>IF(T574="","",COUNTIFS('Content Calendar'!$G$5:$G$604,T574,'Content Calendar'!$B$5:$B$604,"&gt;="&amp;DATE(PlanYear,1,1),'Content Calendar'!$B$5:$B$604,"&lt;="&amp;DATE(PlanYear,12,31)))</f>
        <v>0</v>
      </c>
      <c r="AE574" s="23">
        <f>IF(T574="","",SUMIFS(Analytics!$J$5:$J$154,Analytics!$D$5:$D$154,T574))</f>
        <v>0</v>
      </c>
      <c r="AF574" s="23">
        <f>IF(T574="","",SUMIFS(Analytics!$L$5:$L$154,Analytics!$D$5:$D$154,T574))</f>
        <v>0</v>
      </c>
      <c r="AG574" s="24">
        <f>IF(OR(AE574="",AE574=0),"",AF574/AE574)</f>
        <v>0</v>
      </c>
      <c r="AH574" s="23">
        <f>IF(T574="","",SUMIFS(Analytics!$X$5:$X$154,Analytics!$D$5:$D$154,T574))</f>
        <v>0</v>
      </c>
      <c r="AI574" s="32">
        <f>IF(T574="","",IF(AE574=0,"",AE574+ROW()/1000000))</f>
        <v>0</v>
      </c>
      <c r="AJ574" s="17">
        <f>IF('Content Pillars'!$B$574="","",'Content Pillars'!$B$574)</f>
        <v>0</v>
      </c>
      <c r="AK574" s="23">
        <f>IF(AJ574="","",COUNTIFS('Content Calendar'!$J$5:$J$604,AJ574,'Content Calendar'!$B$5:$B$604,"&gt;="&amp;DATE(PlanYear,1,1),'Content Calendar'!$B$5:$B$604,"&lt;="&amp;DATE(PlanYear,12,31)))</f>
        <v>0</v>
      </c>
      <c r="AL574" s="23">
        <f>IF(AJ574="","",SUMIFS(Performance!$O$5:$O$404,Performance!$H$5:$H$404,AJ574))</f>
        <v>0</v>
      </c>
      <c r="AM574" s="23">
        <f>IF(AJ574="","",SUMIFS(Performance!$Z$5:$Z$404,Performance!$H$5:$H$404,AJ574))</f>
        <v>0</v>
      </c>
      <c r="AN574" s="24">
        <f>IF(OR(AL574="",AL574=0),"",AM574/AL574)</f>
        <v>0</v>
      </c>
      <c r="AO574" s="32">
        <f>IF(AN574="","",AN574+ROW()/1000000)</f>
        <v>0</v>
      </c>
      <c r="AP574" s="17">
        <f>IF(Lists!$E574="","",Lists!$E574)</f>
        <v>0</v>
      </c>
      <c r="AQ574" s="23">
        <f>IF(AP574="","",COUNTIF(Performance!$G$5:$G$404,AP574))</f>
        <v>0</v>
      </c>
      <c r="AR574" s="23">
        <f>IF(AP574="","",SUMIFS(Performance!$O$5:$O$404,Performance!$G$5:$G$404,AP574))</f>
        <v>0</v>
      </c>
      <c r="AS574" s="23">
        <f>IF(AP574="","",SUMIFS(Performance!$Z$5:$Z$404,Performance!$G$5:$G$404,AP574))</f>
        <v>0</v>
      </c>
      <c r="AT574" s="24">
        <f>IF(OR(AR574="",AR574=0),"",AS574/AR574)</f>
        <v>0</v>
      </c>
      <c r="AU574" s="32">
        <f>IF(AQ574=0,"",IF(AT574="","",AT574+ROW()/1000000))</f>
        <v>0</v>
      </c>
      <c r="AV574" s="17">
        <f>IF(ROW()-4&gt;7,"",TEXT(DATE(2024,1,ROW()-4),"ddd"))</f>
        <v>0</v>
      </c>
      <c r="AW574" s="23">
        <f>IF(AV574="","",COUNTIF(Performance!$N$5:$N$404,AV574))</f>
        <v>0</v>
      </c>
      <c r="AX574" s="23">
        <f>IF(AV574="","",SUMIFS(Performance!$O$5:$O$404,Performance!$N$5:$N$404,AV574))</f>
        <v>0</v>
      </c>
      <c r="AY574" s="23">
        <f>IF(AV574="","",SUMIFS(Performance!$Z$5:$Z$404,Performance!$N$5:$N$404,AV574))</f>
        <v>0</v>
      </c>
      <c r="AZ574" s="24">
        <f>IF(OR(AX574="",AX574=0),"",AY574/AX574)</f>
        <v>0</v>
      </c>
      <c r="BA574" s="32">
        <f>IF(AW574=0,"",IF(AZ574="","",AZ574+ROW()/1000000))</f>
        <v>0</v>
      </c>
      <c r="BB574" s="17">
        <f>IF(Lists!$AL574="","",Lists!$AL574)</f>
        <v>0</v>
      </c>
      <c r="BC574" s="23">
        <f>IF(BB574="","",COUNTIF(Performance!$M$5:$M$404,BB574))</f>
        <v>0</v>
      </c>
      <c r="BD574" s="23">
        <f>IF(BB574="","",SUMIFS(Performance!$O$5:$O$404,Performance!$M$5:$M$404,BB574))</f>
        <v>0</v>
      </c>
      <c r="BE574" s="23">
        <f>IF(BB574="","",SUMIFS(Performance!$Z$5:$Z$404,Performance!$M$5:$M$404,BB574))</f>
        <v>0</v>
      </c>
      <c r="BF574" s="24">
        <f>IF(OR(BD574="",BD574=0),"",BE574/BD574)</f>
        <v>0</v>
      </c>
      <c r="BG574" s="32">
        <f>IF(BC574=0,"",IF(BF574="","",BF574+ROW()/1000000))</f>
        <v>0</v>
      </c>
      <c r="BH574" s="17">
        <f>IF(Performance!$C$574="","",Performance!$C$574)</f>
        <v>0</v>
      </c>
      <c r="BI574" s="17">
        <f>IF(Performance!$F$574="","",Performance!$F$574)</f>
        <v>0</v>
      </c>
      <c r="BJ574" s="17">
        <f>IF(Performance!$H$574="","",Performance!$H$574)</f>
        <v>0</v>
      </c>
      <c r="BK574" s="16">
        <f>IF(Performance!$D$574="","",Performance!$D$574)</f>
        <v>0</v>
      </c>
      <c r="BL574" s="17">
        <f>IF(Performance!$E$574="","",Performance!$E$574)</f>
        <v>0</v>
      </c>
      <c r="BM574" s="23">
        <f>IF(Performance!$O$574="","",Performance!$O$574)</f>
        <v>0</v>
      </c>
      <c r="BN574" s="24">
        <f>IF(Performance!$AA$574="","",Performance!$AA$574)</f>
        <v>0</v>
      </c>
      <c r="BO574" s="32">
        <f>IF(BH574="","",IF(BK574="","",IF(OR(BK574&lt;DashStart,BK574&gt;DashEnd),"",IF(BN574="","",BN574+ROW()/1000000))))</f>
        <v>0</v>
      </c>
      <c r="BP574" s="32">
        <f>IF(BM574="","",IF(BK574="","",IF(OR(BK574&lt;DashStart,BK574&gt;DashEnd),"",BM574+ROW()/1000000)))</f>
        <v>0</v>
      </c>
      <c r="BQ574" s="32">
        <f>IF(BH574="","",IF(BK574="","",IF(YEAR(BK574)&lt;&gt;PlanYear,"",IF(BN574="","",BN574+ROW()/1000000))))</f>
        <v>0</v>
      </c>
      <c r="BR574" s="32">
        <f>IF(BH574="","",IF(BK574="","",IF(OR(BK574&lt;RepFrom,BK574&gt;RepTo),"",IF(BN574="","",BN574+ROW()/1000000))))</f>
        <v>0</v>
      </c>
      <c r="BS574" s="32">
        <f>IF(BM574="","",IF(BK574="","",IF(YEAR(BK574)&lt;&gt;PlanYear,"",BM574+ROW()/1000000)))</f>
        <v>0</v>
      </c>
      <c r="BT574" s="17">
        <f>IF(Lists!$F574="","",Lists!$F574)</f>
        <v>0</v>
      </c>
      <c r="BU574" s="23">
        <f>IF(BT574="","",COUNTIF('Content Calendar'!$X$5:$X$604,BT574))</f>
        <v>0</v>
      </c>
      <c r="BV574" s="23">
        <f>IF(BT574="","",COUNTIFS('Content Calendar'!$X$5:$X$604,BT574,'Content Calendar'!$B$5:$B$604,"&gt;="&amp;DashStart,'Content Calendar'!$B$5:$B$604,"&lt;="&amp;DashEnd))</f>
        <v>0</v>
      </c>
      <c r="BW574" s="17">
        <f>IF(Team!$B$574="","",Team!$B$574)</f>
        <v>0</v>
      </c>
      <c r="BX574" s="23">
        <f>IF(BW574="","",COUNTIF('Content Calendar'!$W$5:$W$604,BW574))</f>
        <v>0</v>
      </c>
      <c r="BY574" s="23">
        <f>IF(BW574="","",COUNTIFS('Content Calendar'!$W$5:$W$604,BW574,'Content Calendar'!$X$5:$X$604,"&lt;&gt;Published"))</f>
        <v>0</v>
      </c>
      <c r="BZ574" s="23">
        <f>IF(BW574="","",COUNTIFS(Tasks!$C$5:$C$64,BW574,Tasks!$G$5:$G$64,"&lt;&gt;Complete"))</f>
        <v>0</v>
      </c>
      <c r="CA574" s="17">
        <f>IF(Campaigns!$B$574="","",Campaigns!$B$574)</f>
        <v>0</v>
      </c>
      <c r="CB574" s="25">
        <f>IF(Campaigns!$T$574="","",Campaigns!$T$574)</f>
        <v>0</v>
      </c>
      <c r="CC574" s="25">
        <f>IF(Campaigns!$Q$574="","",Campaigns!$Q$574)</f>
        <v>0</v>
      </c>
      <c r="CD574" s="23">
        <f>IF(Campaigns!$Y$574="","",Campaigns!$Y$574)</f>
        <v>0</v>
      </c>
      <c r="CE574" s="32">
        <f>IF(CA574="","",IF(N(CB574)&lt;=0,"",N(CB574)+ROW()/1000000))</f>
        <v>0</v>
      </c>
      <c r="CF574" s="17">
        <f>IF(Accounts!$C$574="","",Accounts!$C$574)</f>
        <v>0</v>
      </c>
      <c r="CG574" s="17">
        <f>IF(Accounts!$B$574="","",Accounts!$B$574)</f>
        <v>0</v>
      </c>
      <c r="CH574" s="23">
        <f>IF(Accounts!$J$574="","",Accounts!$J$574)</f>
        <v>0</v>
      </c>
      <c r="CI574" s="23">
        <f>IF(CF574="","",SUMIFS(Analytics!$X$5:$X$154,Analytics!$E$5:$E$154,CF574,Analytics!$B$5:$B$154,"&gt;="&amp;DashStart,Analytics!$B$5:$B$154,"&lt;="&amp;DashEnd))</f>
        <v>0</v>
      </c>
      <c r="CJ574" s="32">
        <f>IF(CH574="","",IF(CH574=0,"",CH574+ROW()/1000000))</f>
        <v>0</v>
      </c>
    </row>
    <row r="575" spans="1:88">
      <c r="A575" s="16">
        <f>IF(ROW()-4&gt;12,"",DATE(PlanYear,ROW()-4,1))</f>
        <v>0</v>
      </c>
      <c r="B575" s="16">
        <f>IF(A575="","",EOMONTH(A575,0))</f>
        <v>0</v>
      </c>
      <c r="C575" s="17">
        <f>IF(A575="","",TEXT(A575,"yyyy-mm"))</f>
        <v>0</v>
      </c>
      <c r="D575" s="17">
        <f>IF(A575="","",TEXT(A575,"mmm"))</f>
        <v>0</v>
      </c>
      <c r="E575" s="23">
        <f>IF(C575="","",COUNTIFS('Content Calendar'!$D$5:$D$604,C575))</f>
        <v>0</v>
      </c>
      <c r="F575" s="23">
        <f>IF(C575="","",COUNTIFS('Content Calendar'!$D$5:$D$604,C575,'Content Calendar'!$X$5:$X$604,"Published"))</f>
        <v>0</v>
      </c>
      <c r="G575" s="23">
        <f>IF(C575="","",SUMIFS(Analytics!$J$5:$J$154,Analytics!$C$5:$C$154,C575))</f>
        <v>0</v>
      </c>
      <c r="H575" s="23">
        <f>IF(C575="","",SUMIFS(Analytics!$K$5:$K$154,Analytics!$C$5:$C$154,C575))</f>
        <v>0</v>
      </c>
      <c r="I575" s="23">
        <f>IF(C575="","",SUMIFS(Analytics!$L$5:$L$154,Analytics!$C$5:$C$154,C575))</f>
        <v>0</v>
      </c>
      <c r="J575" s="24">
        <f>IF(OR(G575="",G575=0),"",I575/G575)</f>
        <v>0</v>
      </c>
      <c r="K575" s="23">
        <f>IF(C575="","",SUMIFS(Analytics!$G$5:$G$154,Analytics!$C$5:$C$154,C575))</f>
        <v>0</v>
      </c>
      <c r="L575" s="23">
        <f>IF(C575="","",SUMIFS(Analytics!$X$5:$X$154,Analytics!$C$5:$C$154,C575))</f>
        <v>0</v>
      </c>
      <c r="M575" s="23">
        <f>IF(C575="","",SUMIFS(Analytics!$R$5:$R$154,Analytics!$C$5:$C$154,C575))</f>
        <v>0</v>
      </c>
      <c r="N575" s="23">
        <f>IF(C575="","",SUMIFS(Analytics!$S$5:$S$154,Analytics!$C$5:$C$154,C575))</f>
        <v>0</v>
      </c>
      <c r="O575" s="23">
        <f>IF(C575="","",SUMIFS(Analytics!$T$5:$T$154,Analytics!$C$5:$C$154,C575))</f>
        <v>0</v>
      </c>
      <c r="P575" s="25">
        <f>IF(C575="","",SUMIFS(Analytics!$U$5:$U$154,Analytics!$C$5:$C$154,C575))</f>
        <v>0</v>
      </c>
      <c r="Q575" s="25">
        <f>IF(C575="","",SUMIFS(Budget!$H$5:$H$64,Budget!$C$5:$C$64,C575))</f>
        <v>0</v>
      </c>
      <c r="R575" s="25">
        <f>IF(C575="","",P575-Q575)</f>
        <v>0</v>
      </c>
      <c r="S575" s="23">
        <f>IF(C575="","",MonthlyPostTarget)</f>
        <v>0</v>
      </c>
      <c r="T575" s="17">
        <f>IF(Lists!$C575="","",Lists!$C575)</f>
        <v>0</v>
      </c>
      <c r="U575" s="23">
        <f>IF(T575="","",COUNTIFS('Content Calendar'!$G$5:$G$604,T575,'Content Calendar'!$B$5:$B$604,"&gt;="&amp;DashStart,'Content Calendar'!$B$5:$B$604,"&lt;="&amp;DashEnd))</f>
        <v>0</v>
      </c>
      <c r="V575" s="23">
        <f>IF(T575="","",COUNTIFS('Content Calendar'!$G$5:$G$604,T575,'Content Calendar'!$X$5:$X$604,"Published",'Content Calendar'!$B$5:$B$604,"&gt;="&amp;DashStart,'Content Calendar'!$B$5:$B$604,"&lt;="&amp;DashEnd))</f>
        <v>0</v>
      </c>
      <c r="W575" s="23">
        <f>IF(T575="","",SUMIFS(Analytics!$J$5:$J$154,Analytics!$D$5:$D$154,T575,Analytics!$B$5:$B$154,"&gt;="&amp;DashStart,Analytics!$B$5:$B$154,"&lt;="&amp;DashEnd))</f>
        <v>0</v>
      </c>
      <c r="X575" s="23">
        <f>IF(T575="","",SUMIFS(Analytics!$L$5:$L$154,Analytics!$D$5:$D$154,T575,Analytics!$B$5:$B$154,"&gt;="&amp;DashStart,Analytics!$B$5:$B$154,"&lt;="&amp;DashEnd))</f>
        <v>0</v>
      </c>
      <c r="Y575" s="24">
        <f>IF(OR(W575="",W575=0),"",X575/W575)</f>
        <v>0</v>
      </c>
      <c r="Z575" s="23">
        <f>IF(T575="","",SUMIFS(Analytics!$G$5:$G$154,Analytics!$D$5:$D$154,T575,Analytics!$B$5:$B$154,"&gt;="&amp;DashStart,Analytics!$B$5:$B$154,"&lt;="&amp;DashEnd))</f>
        <v>0</v>
      </c>
      <c r="AA575" s="23">
        <f>IF(T575="","",SUMIFS(Analytics!$X$5:$X$154,Analytics!$D$5:$D$154,T575,Analytics!$B$5:$B$154,"&gt;="&amp;DashStart,Analytics!$B$5:$B$154,"&lt;="&amp;DashEnd))</f>
        <v>0</v>
      </c>
      <c r="AB575" s="23">
        <f>IF(T575="","",SUMIFS(Analytics!$R$5:$R$154,Analytics!$D$5:$D$154,T575,Analytics!$B$5:$B$154,"&gt;="&amp;DashStart,Analytics!$B$5:$B$154,"&lt;="&amp;DashEnd))</f>
        <v>0</v>
      </c>
      <c r="AC575" s="25">
        <f>IF(T575="","",SUMIFS(Analytics!$U$5:$U$154,Analytics!$D$5:$D$154,T575,Analytics!$B$5:$B$154,"&gt;="&amp;DashStart,Analytics!$B$5:$B$154,"&lt;="&amp;DashEnd))</f>
        <v>0</v>
      </c>
      <c r="AD575" s="23">
        <f>IF(T575="","",COUNTIFS('Content Calendar'!$G$5:$G$604,T575,'Content Calendar'!$B$5:$B$604,"&gt;="&amp;DATE(PlanYear,1,1),'Content Calendar'!$B$5:$B$604,"&lt;="&amp;DATE(PlanYear,12,31)))</f>
        <v>0</v>
      </c>
      <c r="AE575" s="23">
        <f>IF(T575="","",SUMIFS(Analytics!$J$5:$J$154,Analytics!$D$5:$D$154,T575))</f>
        <v>0</v>
      </c>
      <c r="AF575" s="23">
        <f>IF(T575="","",SUMIFS(Analytics!$L$5:$L$154,Analytics!$D$5:$D$154,T575))</f>
        <v>0</v>
      </c>
      <c r="AG575" s="24">
        <f>IF(OR(AE575="",AE575=0),"",AF575/AE575)</f>
        <v>0</v>
      </c>
      <c r="AH575" s="23">
        <f>IF(T575="","",SUMIFS(Analytics!$X$5:$X$154,Analytics!$D$5:$D$154,T575))</f>
        <v>0</v>
      </c>
      <c r="AI575" s="32">
        <f>IF(T575="","",IF(AE575=0,"",AE575+ROW()/1000000))</f>
        <v>0</v>
      </c>
      <c r="AJ575" s="17">
        <f>IF('Content Pillars'!$B$575="","",'Content Pillars'!$B$575)</f>
        <v>0</v>
      </c>
      <c r="AK575" s="23">
        <f>IF(AJ575="","",COUNTIFS('Content Calendar'!$J$5:$J$604,AJ575,'Content Calendar'!$B$5:$B$604,"&gt;="&amp;DATE(PlanYear,1,1),'Content Calendar'!$B$5:$B$604,"&lt;="&amp;DATE(PlanYear,12,31)))</f>
        <v>0</v>
      </c>
      <c r="AL575" s="23">
        <f>IF(AJ575="","",SUMIFS(Performance!$O$5:$O$404,Performance!$H$5:$H$404,AJ575))</f>
        <v>0</v>
      </c>
      <c r="AM575" s="23">
        <f>IF(AJ575="","",SUMIFS(Performance!$Z$5:$Z$404,Performance!$H$5:$H$404,AJ575))</f>
        <v>0</v>
      </c>
      <c r="AN575" s="24">
        <f>IF(OR(AL575="",AL575=0),"",AM575/AL575)</f>
        <v>0</v>
      </c>
      <c r="AO575" s="32">
        <f>IF(AN575="","",AN575+ROW()/1000000)</f>
        <v>0</v>
      </c>
      <c r="AP575" s="17">
        <f>IF(Lists!$E575="","",Lists!$E575)</f>
        <v>0</v>
      </c>
      <c r="AQ575" s="23">
        <f>IF(AP575="","",COUNTIF(Performance!$G$5:$G$404,AP575))</f>
        <v>0</v>
      </c>
      <c r="AR575" s="23">
        <f>IF(AP575="","",SUMIFS(Performance!$O$5:$O$404,Performance!$G$5:$G$404,AP575))</f>
        <v>0</v>
      </c>
      <c r="AS575" s="23">
        <f>IF(AP575="","",SUMIFS(Performance!$Z$5:$Z$404,Performance!$G$5:$G$404,AP575))</f>
        <v>0</v>
      </c>
      <c r="AT575" s="24">
        <f>IF(OR(AR575="",AR575=0),"",AS575/AR575)</f>
        <v>0</v>
      </c>
      <c r="AU575" s="32">
        <f>IF(AQ575=0,"",IF(AT575="","",AT575+ROW()/1000000))</f>
        <v>0</v>
      </c>
      <c r="AV575" s="17">
        <f>IF(ROW()-4&gt;7,"",TEXT(DATE(2024,1,ROW()-4),"ddd"))</f>
        <v>0</v>
      </c>
      <c r="AW575" s="23">
        <f>IF(AV575="","",COUNTIF(Performance!$N$5:$N$404,AV575))</f>
        <v>0</v>
      </c>
      <c r="AX575" s="23">
        <f>IF(AV575="","",SUMIFS(Performance!$O$5:$O$404,Performance!$N$5:$N$404,AV575))</f>
        <v>0</v>
      </c>
      <c r="AY575" s="23">
        <f>IF(AV575="","",SUMIFS(Performance!$Z$5:$Z$404,Performance!$N$5:$N$404,AV575))</f>
        <v>0</v>
      </c>
      <c r="AZ575" s="24">
        <f>IF(OR(AX575="",AX575=0),"",AY575/AX575)</f>
        <v>0</v>
      </c>
      <c r="BA575" s="32">
        <f>IF(AW575=0,"",IF(AZ575="","",AZ575+ROW()/1000000))</f>
        <v>0</v>
      </c>
      <c r="BB575" s="17">
        <f>IF(Lists!$AL575="","",Lists!$AL575)</f>
        <v>0</v>
      </c>
      <c r="BC575" s="23">
        <f>IF(BB575="","",COUNTIF(Performance!$M$5:$M$404,BB575))</f>
        <v>0</v>
      </c>
      <c r="BD575" s="23">
        <f>IF(BB575="","",SUMIFS(Performance!$O$5:$O$404,Performance!$M$5:$M$404,BB575))</f>
        <v>0</v>
      </c>
      <c r="BE575" s="23">
        <f>IF(BB575="","",SUMIFS(Performance!$Z$5:$Z$404,Performance!$M$5:$M$404,BB575))</f>
        <v>0</v>
      </c>
      <c r="BF575" s="24">
        <f>IF(OR(BD575="",BD575=0),"",BE575/BD575)</f>
        <v>0</v>
      </c>
      <c r="BG575" s="32">
        <f>IF(BC575=0,"",IF(BF575="","",BF575+ROW()/1000000))</f>
        <v>0</v>
      </c>
      <c r="BH575" s="17">
        <f>IF(Performance!$C$575="","",Performance!$C$575)</f>
        <v>0</v>
      </c>
      <c r="BI575" s="17">
        <f>IF(Performance!$F$575="","",Performance!$F$575)</f>
        <v>0</v>
      </c>
      <c r="BJ575" s="17">
        <f>IF(Performance!$H$575="","",Performance!$H$575)</f>
        <v>0</v>
      </c>
      <c r="BK575" s="16">
        <f>IF(Performance!$D$575="","",Performance!$D$575)</f>
        <v>0</v>
      </c>
      <c r="BL575" s="17">
        <f>IF(Performance!$E$575="","",Performance!$E$575)</f>
        <v>0</v>
      </c>
      <c r="BM575" s="23">
        <f>IF(Performance!$O$575="","",Performance!$O$575)</f>
        <v>0</v>
      </c>
      <c r="BN575" s="24">
        <f>IF(Performance!$AA$575="","",Performance!$AA$575)</f>
        <v>0</v>
      </c>
      <c r="BO575" s="32">
        <f>IF(BH575="","",IF(BK575="","",IF(OR(BK575&lt;DashStart,BK575&gt;DashEnd),"",IF(BN575="","",BN575+ROW()/1000000))))</f>
        <v>0</v>
      </c>
      <c r="BP575" s="32">
        <f>IF(BM575="","",IF(BK575="","",IF(OR(BK575&lt;DashStart,BK575&gt;DashEnd),"",BM575+ROW()/1000000)))</f>
        <v>0</v>
      </c>
      <c r="BQ575" s="32">
        <f>IF(BH575="","",IF(BK575="","",IF(YEAR(BK575)&lt;&gt;PlanYear,"",IF(BN575="","",BN575+ROW()/1000000))))</f>
        <v>0</v>
      </c>
      <c r="BR575" s="32">
        <f>IF(BH575="","",IF(BK575="","",IF(OR(BK575&lt;RepFrom,BK575&gt;RepTo),"",IF(BN575="","",BN575+ROW()/1000000))))</f>
        <v>0</v>
      </c>
      <c r="BS575" s="32">
        <f>IF(BM575="","",IF(BK575="","",IF(YEAR(BK575)&lt;&gt;PlanYear,"",BM575+ROW()/1000000)))</f>
        <v>0</v>
      </c>
      <c r="BT575" s="17">
        <f>IF(Lists!$F575="","",Lists!$F575)</f>
        <v>0</v>
      </c>
      <c r="BU575" s="23">
        <f>IF(BT575="","",COUNTIF('Content Calendar'!$X$5:$X$604,BT575))</f>
        <v>0</v>
      </c>
      <c r="BV575" s="23">
        <f>IF(BT575="","",COUNTIFS('Content Calendar'!$X$5:$X$604,BT575,'Content Calendar'!$B$5:$B$604,"&gt;="&amp;DashStart,'Content Calendar'!$B$5:$B$604,"&lt;="&amp;DashEnd))</f>
        <v>0</v>
      </c>
      <c r="BW575" s="17">
        <f>IF(Team!$B$575="","",Team!$B$575)</f>
        <v>0</v>
      </c>
      <c r="BX575" s="23">
        <f>IF(BW575="","",COUNTIF('Content Calendar'!$W$5:$W$604,BW575))</f>
        <v>0</v>
      </c>
      <c r="BY575" s="23">
        <f>IF(BW575="","",COUNTIFS('Content Calendar'!$W$5:$W$604,BW575,'Content Calendar'!$X$5:$X$604,"&lt;&gt;Published"))</f>
        <v>0</v>
      </c>
      <c r="BZ575" s="23">
        <f>IF(BW575="","",COUNTIFS(Tasks!$C$5:$C$64,BW575,Tasks!$G$5:$G$64,"&lt;&gt;Complete"))</f>
        <v>0</v>
      </c>
      <c r="CA575" s="17">
        <f>IF(Campaigns!$B$575="","",Campaigns!$B$575)</f>
        <v>0</v>
      </c>
      <c r="CB575" s="25">
        <f>IF(Campaigns!$T$575="","",Campaigns!$T$575)</f>
        <v>0</v>
      </c>
      <c r="CC575" s="25">
        <f>IF(Campaigns!$Q$575="","",Campaigns!$Q$575)</f>
        <v>0</v>
      </c>
      <c r="CD575" s="23">
        <f>IF(Campaigns!$Y$575="","",Campaigns!$Y$575)</f>
        <v>0</v>
      </c>
      <c r="CE575" s="32">
        <f>IF(CA575="","",IF(N(CB575)&lt;=0,"",N(CB575)+ROW()/1000000))</f>
        <v>0</v>
      </c>
      <c r="CF575" s="17">
        <f>IF(Accounts!$C$575="","",Accounts!$C$575)</f>
        <v>0</v>
      </c>
      <c r="CG575" s="17">
        <f>IF(Accounts!$B$575="","",Accounts!$B$575)</f>
        <v>0</v>
      </c>
      <c r="CH575" s="23">
        <f>IF(Accounts!$J$575="","",Accounts!$J$575)</f>
        <v>0</v>
      </c>
      <c r="CI575" s="23">
        <f>IF(CF575="","",SUMIFS(Analytics!$X$5:$X$154,Analytics!$E$5:$E$154,CF575,Analytics!$B$5:$B$154,"&gt;="&amp;DashStart,Analytics!$B$5:$B$154,"&lt;="&amp;DashEnd))</f>
        <v>0</v>
      </c>
      <c r="CJ575" s="32">
        <f>IF(CH575="","",IF(CH575=0,"",CH575+ROW()/1000000))</f>
        <v>0</v>
      </c>
    </row>
    <row r="576" spans="1:88">
      <c r="A576" s="16">
        <f>IF(ROW()-4&gt;12,"",DATE(PlanYear,ROW()-4,1))</f>
        <v>0</v>
      </c>
      <c r="B576" s="16">
        <f>IF(A576="","",EOMONTH(A576,0))</f>
        <v>0</v>
      </c>
      <c r="C576" s="17">
        <f>IF(A576="","",TEXT(A576,"yyyy-mm"))</f>
        <v>0</v>
      </c>
      <c r="D576" s="17">
        <f>IF(A576="","",TEXT(A576,"mmm"))</f>
        <v>0</v>
      </c>
      <c r="E576" s="23">
        <f>IF(C576="","",COUNTIFS('Content Calendar'!$D$5:$D$604,C576))</f>
        <v>0</v>
      </c>
      <c r="F576" s="23">
        <f>IF(C576="","",COUNTIFS('Content Calendar'!$D$5:$D$604,C576,'Content Calendar'!$X$5:$X$604,"Published"))</f>
        <v>0</v>
      </c>
      <c r="G576" s="23">
        <f>IF(C576="","",SUMIFS(Analytics!$J$5:$J$154,Analytics!$C$5:$C$154,C576))</f>
        <v>0</v>
      </c>
      <c r="H576" s="23">
        <f>IF(C576="","",SUMIFS(Analytics!$K$5:$K$154,Analytics!$C$5:$C$154,C576))</f>
        <v>0</v>
      </c>
      <c r="I576" s="23">
        <f>IF(C576="","",SUMIFS(Analytics!$L$5:$L$154,Analytics!$C$5:$C$154,C576))</f>
        <v>0</v>
      </c>
      <c r="J576" s="24">
        <f>IF(OR(G576="",G576=0),"",I576/G576)</f>
        <v>0</v>
      </c>
      <c r="K576" s="23">
        <f>IF(C576="","",SUMIFS(Analytics!$G$5:$G$154,Analytics!$C$5:$C$154,C576))</f>
        <v>0</v>
      </c>
      <c r="L576" s="23">
        <f>IF(C576="","",SUMIFS(Analytics!$X$5:$X$154,Analytics!$C$5:$C$154,C576))</f>
        <v>0</v>
      </c>
      <c r="M576" s="23">
        <f>IF(C576="","",SUMIFS(Analytics!$R$5:$R$154,Analytics!$C$5:$C$154,C576))</f>
        <v>0</v>
      </c>
      <c r="N576" s="23">
        <f>IF(C576="","",SUMIFS(Analytics!$S$5:$S$154,Analytics!$C$5:$C$154,C576))</f>
        <v>0</v>
      </c>
      <c r="O576" s="23">
        <f>IF(C576="","",SUMIFS(Analytics!$T$5:$T$154,Analytics!$C$5:$C$154,C576))</f>
        <v>0</v>
      </c>
      <c r="P576" s="25">
        <f>IF(C576="","",SUMIFS(Analytics!$U$5:$U$154,Analytics!$C$5:$C$154,C576))</f>
        <v>0</v>
      </c>
      <c r="Q576" s="25">
        <f>IF(C576="","",SUMIFS(Budget!$H$5:$H$64,Budget!$C$5:$C$64,C576))</f>
        <v>0</v>
      </c>
      <c r="R576" s="25">
        <f>IF(C576="","",P576-Q576)</f>
        <v>0</v>
      </c>
      <c r="S576" s="23">
        <f>IF(C576="","",MonthlyPostTarget)</f>
        <v>0</v>
      </c>
      <c r="T576" s="17">
        <f>IF(Lists!$C576="","",Lists!$C576)</f>
        <v>0</v>
      </c>
      <c r="U576" s="23">
        <f>IF(T576="","",COUNTIFS('Content Calendar'!$G$5:$G$604,T576,'Content Calendar'!$B$5:$B$604,"&gt;="&amp;DashStart,'Content Calendar'!$B$5:$B$604,"&lt;="&amp;DashEnd))</f>
        <v>0</v>
      </c>
      <c r="V576" s="23">
        <f>IF(T576="","",COUNTIFS('Content Calendar'!$G$5:$G$604,T576,'Content Calendar'!$X$5:$X$604,"Published",'Content Calendar'!$B$5:$B$604,"&gt;="&amp;DashStart,'Content Calendar'!$B$5:$B$604,"&lt;="&amp;DashEnd))</f>
        <v>0</v>
      </c>
      <c r="W576" s="23">
        <f>IF(T576="","",SUMIFS(Analytics!$J$5:$J$154,Analytics!$D$5:$D$154,T576,Analytics!$B$5:$B$154,"&gt;="&amp;DashStart,Analytics!$B$5:$B$154,"&lt;="&amp;DashEnd))</f>
        <v>0</v>
      </c>
      <c r="X576" s="23">
        <f>IF(T576="","",SUMIFS(Analytics!$L$5:$L$154,Analytics!$D$5:$D$154,T576,Analytics!$B$5:$B$154,"&gt;="&amp;DashStart,Analytics!$B$5:$B$154,"&lt;="&amp;DashEnd))</f>
        <v>0</v>
      </c>
      <c r="Y576" s="24">
        <f>IF(OR(W576="",W576=0),"",X576/W576)</f>
        <v>0</v>
      </c>
      <c r="Z576" s="23">
        <f>IF(T576="","",SUMIFS(Analytics!$G$5:$G$154,Analytics!$D$5:$D$154,T576,Analytics!$B$5:$B$154,"&gt;="&amp;DashStart,Analytics!$B$5:$B$154,"&lt;="&amp;DashEnd))</f>
        <v>0</v>
      </c>
      <c r="AA576" s="23">
        <f>IF(T576="","",SUMIFS(Analytics!$X$5:$X$154,Analytics!$D$5:$D$154,T576,Analytics!$B$5:$B$154,"&gt;="&amp;DashStart,Analytics!$B$5:$B$154,"&lt;="&amp;DashEnd))</f>
        <v>0</v>
      </c>
      <c r="AB576" s="23">
        <f>IF(T576="","",SUMIFS(Analytics!$R$5:$R$154,Analytics!$D$5:$D$154,T576,Analytics!$B$5:$B$154,"&gt;="&amp;DashStart,Analytics!$B$5:$B$154,"&lt;="&amp;DashEnd))</f>
        <v>0</v>
      </c>
      <c r="AC576" s="25">
        <f>IF(T576="","",SUMIFS(Analytics!$U$5:$U$154,Analytics!$D$5:$D$154,T576,Analytics!$B$5:$B$154,"&gt;="&amp;DashStart,Analytics!$B$5:$B$154,"&lt;="&amp;DashEnd))</f>
        <v>0</v>
      </c>
      <c r="AD576" s="23">
        <f>IF(T576="","",COUNTIFS('Content Calendar'!$G$5:$G$604,T576,'Content Calendar'!$B$5:$B$604,"&gt;="&amp;DATE(PlanYear,1,1),'Content Calendar'!$B$5:$B$604,"&lt;="&amp;DATE(PlanYear,12,31)))</f>
        <v>0</v>
      </c>
      <c r="AE576" s="23">
        <f>IF(T576="","",SUMIFS(Analytics!$J$5:$J$154,Analytics!$D$5:$D$154,T576))</f>
        <v>0</v>
      </c>
      <c r="AF576" s="23">
        <f>IF(T576="","",SUMIFS(Analytics!$L$5:$L$154,Analytics!$D$5:$D$154,T576))</f>
        <v>0</v>
      </c>
      <c r="AG576" s="24">
        <f>IF(OR(AE576="",AE576=0),"",AF576/AE576)</f>
        <v>0</v>
      </c>
      <c r="AH576" s="23">
        <f>IF(T576="","",SUMIFS(Analytics!$X$5:$X$154,Analytics!$D$5:$D$154,T576))</f>
        <v>0</v>
      </c>
      <c r="AI576" s="32">
        <f>IF(T576="","",IF(AE576=0,"",AE576+ROW()/1000000))</f>
        <v>0</v>
      </c>
      <c r="AJ576" s="17">
        <f>IF('Content Pillars'!$B$576="","",'Content Pillars'!$B$576)</f>
        <v>0</v>
      </c>
      <c r="AK576" s="23">
        <f>IF(AJ576="","",COUNTIFS('Content Calendar'!$J$5:$J$604,AJ576,'Content Calendar'!$B$5:$B$604,"&gt;="&amp;DATE(PlanYear,1,1),'Content Calendar'!$B$5:$B$604,"&lt;="&amp;DATE(PlanYear,12,31)))</f>
        <v>0</v>
      </c>
      <c r="AL576" s="23">
        <f>IF(AJ576="","",SUMIFS(Performance!$O$5:$O$404,Performance!$H$5:$H$404,AJ576))</f>
        <v>0</v>
      </c>
      <c r="AM576" s="23">
        <f>IF(AJ576="","",SUMIFS(Performance!$Z$5:$Z$404,Performance!$H$5:$H$404,AJ576))</f>
        <v>0</v>
      </c>
      <c r="AN576" s="24">
        <f>IF(OR(AL576="",AL576=0),"",AM576/AL576)</f>
        <v>0</v>
      </c>
      <c r="AO576" s="32">
        <f>IF(AN576="","",AN576+ROW()/1000000)</f>
        <v>0</v>
      </c>
      <c r="AP576" s="17">
        <f>IF(Lists!$E576="","",Lists!$E576)</f>
        <v>0</v>
      </c>
      <c r="AQ576" s="23">
        <f>IF(AP576="","",COUNTIF(Performance!$G$5:$G$404,AP576))</f>
        <v>0</v>
      </c>
      <c r="AR576" s="23">
        <f>IF(AP576="","",SUMIFS(Performance!$O$5:$O$404,Performance!$G$5:$G$404,AP576))</f>
        <v>0</v>
      </c>
      <c r="AS576" s="23">
        <f>IF(AP576="","",SUMIFS(Performance!$Z$5:$Z$404,Performance!$G$5:$G$404,AP576))</f>
        <v>0</v>
      </c>
      <c r="AT576" s="24">
        <f>IF(OR(AR576="",AR576=0),"",AS576/AR576)</f>
        <v>0</v>
      </c>
      <c r="AU576" s="32">
        <f>IF(AQ576=0,"",IF(AT576="","",AT576+ROW()/1000000))</f>
        <v>0</v>
      </c>
      <c r="AV576" s="17">
        <f>IF(ROW()-4&gt;7,"",TEXT(DATE(2024,1,ROW()-4),"ddd"))</f>
        <v>0</v>
      </c>
      <c r="AW576" s="23">
        <f>IF(AV576="","",COUNTIF(Performance!$N$5:$N$404,AV576))</f>
        <v>0</v>
      </c>
      <c r="AX576" s="23">
        <f>IF(AV576="","",SUMIFS(Performance!$O$5:$O$404,Performance!$N$5:$N$404,AV576))</f>
        <v>0</v>
      </c>
      <c r="AY576" s="23">
        <f>IF(AV576="","",SUMIFS(Performance!$Z$5:$Z$404,Performance!$N$5:$N$404,AV576))</f>
        <v>0</v>
      </c>
      <c r="AZ576" s="24">
        <f>IF(OR(AX576="",AX576=0),"",AY576/AX576)</f>
        <v>0</v>
      </c>
      <c r="BA576" s="32">
        <f>IF(AW576=0,"",IF(AZ576="","",AZ576+ROW()/1000000))</f>
        <v>0</v>
      </c>
      <c r="BB576" s="17">
        <f>IF(Lists!$AL576="","",Lists!$AL576)</f>
        <v>0</v>
      </c>
      <c r="BC576" s="23">
        <f>IF(BB576="","",COUNTIF(Performance!$M$5:$M$404,BB576))</f>
        <v>0</v>
      </c>
      <c r="BD576" s="23">
        <f>IF(BB576="","",SUMIFS(Performance!$O$5:$O$404,Performance!$M$5:$M$404,BB576))</f>
        <v>0</v>
      </c>
      <c r="BE576" s="23">
        <f>IF(BB576="","",SUMIFS(Performance!$Z$5:$Z$404,Performance!$M$5:$M$404,BB576))</f>
        <v>0</v>
      </c>
      <c r="BF576" s="24">
        <f>IF(OR(BD576="",BD576=0),"",BE576/BD576)</f>
        <v>0</v>
      </c>
      <c r="BG576" s="32">
        <f>IF(BC576=0,"",IF(BF576="","",BF576+ROW()/1000000))</f>
        <v>0</v>
      </c>
      <c r="BH576" s="17">
        <f>IF(Performance!$C$576="","",Performance!$C$576)</f>
        <v>0</v>
      </c>
      <c r="BI576" s="17">
        <f>IF(Performance!$F$576="","",Performance!$F$576)</f>
        <v>0</v>
      </c>
      <c r="BJ576" s="17">
        <f>IF(Performance!$H$576="","",Performance!$H$576)</f>
        <v>0</v>
      </c>
      <c r="BK576" s="16">
        <f>IF(Performance!$D$576="","",Performance!$D$576)</f>
        <v>0</v>
      </c>
      <c r="BL576" s="17">
        <f>IF(Performance!$E$576="","",Performance!$E$576)</f>
        <v>0</v>
      </c>
      <c r="BM576" s="23">
        <f>IF(Performance!$O$576="","",Performance!$O$576)</f>
        <v>0</v>
      </c>
      <c r="BN576" s="24">
        <f>IF(Performance!$AA$576="","",Performance!$AA$576)</f>
        <v>0</v>
      </c>
      <c r="BO576" s="32">
        <f>IF(BH576="","",IF(BK576="","",IF(OR(BK576&lt;DashStart,BK576&gt;DashEnd),"",IF(BN576="","",BN576+ROW()/1000000))))</f>
        <v>0</v>
      </c>
      <c r="BP576" s="32">
        <f>IF(BM576="","",IF(BK576="","",IF(OR(BK576&lt;DashStart,BK576&gt;DashEnd),"",BM576+ROW()/1000000)))</f>
        <v>0</v>
      </c>
      <c r="BQ576" s="32">
        <f>IF(BH576="","",IF(BK576="","",IF(YEAR(BK576)&lt;&gt;PlanYear,"",IF(BN576="","",BN576+ROW()/1000000))))</f>
        <v>0</v>
      </c>
      <c r="BR576" s="32">
        <f>IF(BH576="","",IF(BK576="","",IF(OR(BK576&lt;RepFrom,BK576&gt;RepTo),"",IF(BN576="","",BN576+ROW()/1000000))))</f>
        <v>0</v>
      </c>
      <c r="BS576" s="32">
        <f>IF(BM576="","",IF(BK576="","",IF(YEAR(BK576)&lt;&gt;PlanYear,"",BM576+ROW()/1000000)))</f>
        <v>0</v>
      </c>
      <c r="BT576" s="17">
        <f>IF(Lists!$F576="","",Lists!$F576)</f>
        <v>0</v>
      </c>
      <c r="BU576" s="23">
        <f>IF(BT576="","",COUNTIF('Content Calendar'!$X$5:$X$604,BT576))</f>
        <v>0</v>
      </c>
      <c r="BV576" s="23">
        <f>IF(BT576="","",COUNTIFS('Content Calendar'!$X$5:$X$604,BT576,'Content Calendar'!$B$5:$B$604,"&gt;="&amp;DashStart,'Content Calendar'!$B$5:$B$604,"&lt;="&amp;DashEnd))</f>
        <v>0</v>
      </c>
      <c r="BW576" s="17">
        <f>IF(Team!$B$576="","",Team!$B$576)</f>
        <v>0</v>
      </c>
      <c r="BX576" s="23">
        <f>IF(BW576="","",COUNTIF('Content Calendar'!$W$5:$W$604,BW576))</f>
        <v>0</v>
      </c>
      <c r="BY576" s="23">
        <f>IF(BW576="","",COUNTIFS('Content Calendar'!$W$5:$W$604,BW576,'Content Calendar'!$X$5:$X$604,"&lt;&gt;Published"))</f>
        <v>0</v>
      </c>
      <c r="BZ576" s="23">
        <f>IF(BW576="","",COUNTIFS(Tasks!$C$5:$C$64,BW576,Tasks!$G$5:$G$64,"&lt;&gt;Complete"))</f>
        <v>0</v>
      </c>
      <c r="CA576" s="17">
        <f>IF(Campaigns!$B$576="","",Campaigns!$B$576)</f>
        <v>0</v>
      </c>
      <c r="CB576" s="25">
        <f>IF(Campaigns!$T$576="","",Campaigns!$T$576)</f>
        <v>0</v>
      </c>
      <c r="CC576" s="25">
        <f>IF(Campaigns!$Q$576="","",Campaigns!$Q$576)</f>
        <v>0</v>
      </c>
      <c r="CD576" s="23">
        <f>IF(Campaigns!$Y$576="","",Campaigns!$Y$576)</f>
        <v>0</v>
      </c>
      <c r="CE576" s="32">
        <f>IF(CA576="","",IF(N(CB576)&lt;=0,"",N(CB576)+ROW()/1000000))</f>
        <v>0</v>
      </c>
      <c r="CF576" s="17">
        <f>IF(Accounts!$C$576="","",Accounts!$C$576)</f>
        <v>0</v>
      </c>
      <c r="CG576" s="17">
        <f>IF(Accounts!$B$576="","",Accounts!$B$576)</f>
        <v>0</v>
      </c>
      <c r="CH576" s="23">
        <f>IF(Accounts!$J$576="","",Accounts!$J$576)</f>
        <v>0</v>
      </c>
      <c r="CI576" s="23">
        <f>IF(CF576="","",SUMIFS(Analytics!$X$5:$X$154,Analytics!$E$5:$E$154,CF576,Analytics!$B$5:$B$154,"&gt;="&amp;DashStart,Analytics!$B$5:$B$154,"&lt;="&amp;DashEnd))</f>
        <v>0</v>
      </c>
      <c r="CJ576" s="32">
        <f>IF(CH576="","",IF(CH576=0,"",CH576+ROW()/1000000))</f>
        <v>0</v>
      </c>
    </row>
    <row r="577" spans="1:88">
      <c r="A577" s="16">
        <f>IF(ROW()-4&gt;12,"",DATE(PlanYear,ROW()-4,1))</f>
        <v>0</v>
      </c>
      <c r="B577" s="16">
        <f>IF(A577="","",EOMONTH(A577,0))</f>
        <v>0</v>
      </c>
      <c r="C577" s="17">
        <f>IF(A577="","",TEXT(A577,"yyyy-mm"))</f>
        <v>0</v>
      </c>
      <c r="D577" s="17">
        <f>IF(A577="","",TEXT(A577,"mmm"))</f>
        <v>0</v>
      </c>
      <c r="E577" s="23">
        <f>IF(C577="","",COUNTIFS('Content Calendar'!$D$5:$D$604,C577))</f>
        <v>0</v>
      </c>
      <c r="F577" s="23">
        <f>IF(C577="","",COUNTIFS('Content Calendar'!$D$5:$D$604,C577,'Content Calendar'!$X$5:$X$604,"Published"))</f>
        <v>0</v>
      </c>
      <c r="G577" s="23">
        <f>IF(C577="","",SUMIFS(Analytics!$J$5:$J$154,Analytics!$C$5:$C$154,C577))</f>
        <v>0</v>
      </c>
      <c r="H577" s="23">
        <f>IF(C577="","",SUMIFS(Analytics!$K$5:$K$154,Analytics!$C$5:$C$154,C577))</f>
        <v>0</v>
      </c>
      <c r="I577" s="23">
        <f>IF(C577="","",SUMIFS(Analytics!$L$5:$L$154,Analytics!$C$5:$C$154,C577))</f>
        <v>0</v>
      </c>
      <c r="J577" s="24">
        <f>IF(OR(G577="",G577=0),"",I577/G577)</f>
        <v>0</v>
      </c>
      <c r="K577" s="23">
        <f>IF(C577="","",SUMIFS(Analytics!$G$5:$G$154,Analytics!$C$5:$C$154,C577))</f>
        <v>0</v>
      </c>
      <c r="L577" s="23">
        <f>IF(C577="","",SUMIFS(Analytics!$X$5:$X$154,Analytics!$C$5:$C$154,C577))</f>
        <v>0</v>
      </c>
      <c r="M577" s="23">
        <f>IF(C577="","",SUMIFS(Analytics!$R$5:$R$154,Analytics!$C$5:$C$154,C577))</f>
        <v>0</v>
      </c>
      <c r="N577" s="23">
        <f>IF(C577="","",SUMIFS(Analytics!$S$5:$S$154,Analytics!$C$5:$C$154,C577))</f>
        <v>0</v>
      </c>
      <c r="O577" s="23">
        <f>IF(C577="","",SUMIFS(Analytics!$T$5:$T$154,Analytics!$C$5:$C$154,C577))</f>
        <v>0</v>
      </c>
      <c r="P577" s="25">
        <f>IF(C577="","",SUMIFS(Analytics!$U$5:$U$154,Analytics!$C$5:$C$154,C577))</f>
        <v>0</v>
      </c>
      <c r="Q577" s="25">
        <f>IF(C577="","",SUMIFS(Budget!$H$5:$H$64,Budget!$C$5:$C$64,C577))</f>
        <v>0</v>
      </c>
      <c r="R577" s="25">
        <f>IF(C577="","",P577-Q577)</f>
        <v>0</v>
      </c>
      <c r="S577" s="23">
        <f>IF(C577="","",MonthlyPostTarget)</f>
        <v>0</v>
      </c>
      <c r="T577" s="17">
        <f>IF(Lists!$C577="","",Lists!$C577)</f>
        <v>0</v>
      </c>
      <c r="U577" s="23">
        <f>IF(T577="","",COUNTIFS('Content Calendar'!$G$5:$G$604,T577,'Content Calendar'!$B$5:$B$604,"&gt;="&amp;DashStart,'Content Calendar'!$B$5:$B$604,"&lt;="&amp;DashEnd))</f>
        <v>0</v>
      </c>
      <c r="V577" s="23">
        <f>IF(T577="","",COUNTIFS('Content Calendar'!$G$5:$G$604,T577,'Content Calendar'!$X$5:$X$604,"Published",'Content Calendar'!$B$5:$B$604,"&gt;="&amp;DashStart,'Content Calendar'!$B$5:$B$604,"&lt;="&amp;DashEnd))</f>
        <v>0</v>
      </c>
      <c r="W577" s="23">
        <f>IF(T577="","",SUMIFS(Analytics!$J$5:$J$154,Analytics!$D$5:$D$154,T577,Analytics!$B$5:$B$154,"&gt;="&amp;DashStart,Analytics!$B$5:$B$154,"&lt;="&amp;DashEnd))</f>
        <v>0</v>
      </c>
      <c r="X577" s="23">
        <f>IF(T577="","",SUMIFS(Analytics!$L$5:$L$154,Analytics!$D$5:$D$154,T577,Analytics!$B$5:$B$154,"&gt;="&amp;DashStart,Analytics!$B$5:$B$154,"&lt;="&amp;DashEnd))</f>
        <v>0</v>
      </c>
      <c r="Y577" s="24">
        <f>IF(OR(W577="",W577=0),"",X577/W577)</f>
        <v>0</v>
      </c>
      <c r="Z577" s="23">
        <f>IF(T577="","",SUMIFS(Analytics!$G$5:$G$154,Analytics!$D$5:$D$154,T577,Analytics!$B$5:$B$154,"&gt;="&amp;DashStart,Analytics!$B$5:$B$154,"&lt;="&amp;DashEnd))</f>
        <v>0</v>
      </c>
      <c r="AA577" s="23">
        <f>IF(T577="","",SUMIFS(Analytics!$X$5:$X$154,Analytics!$D$5:$D$154,T577,Analytics!$B$5:$B$154,"&gt;="&amp;DashStart,Analytics!$B$5:$B$154,"&lt;="&amp;DashEnd))</f>
        <v>0</v>
      </c>
      <c r="AB577" s="23">
        <f>IF(T577="","",SUMIFS(Analytics!$R$5:$R$154,Analytics!$D$5:$D$154,T577,Analytics!$B$5:$B$154,"&gt;="&amp;DashStart,Analytics!$B$5:$B$154,"&lt;="&amp;DashEnd))</f>
        <v>0</v>
      </c>
      <c r="AC577" s="25">
        <f>IF(T577="","",SUMIFS(Analytics!$U$5:$U$154,Analytics!$D$5:$D$154,T577,Analytics!$B$5:$B$154,"&gt;="&amp;DashStart,Analytics!$B$5:$B$154,"&lt;="&amp;DashEnd))</f>
        <v>0</v>
      </c>
      <c r="AD577" s="23">
        <f>IF(T577="","",COUNTIFS('Content Calendar'!$G$5:$G$604,T577,'Content Calendar'!$B$5:$B$604,"&gt;="&amp;DATE(PlanYear,1,1),'Content Calendar'!$B$5:$B$604,"&lt;="&amp;DATE(PlanYear,12,31)))</f>
        <v>0</v>
      </c>
      <c r="AE577" s="23">
        <f>IF(T577="","",SUMIFS(Analytics!$J$5:$J$154,Analytics!$D$5:$D$154,T577))</f>
        <v>0</v>
      </c>
      <c r="AF577" s="23">
        <f>IF(T577="","",SUMIFS(Analytics!$L$5:$L$154,Analytics!$D$5:$D$154,T577))</f>
        <v>0</v>
      </c>
      <c r="AG577" s="24">
        <f>IF(OR(AE577="",AE577=0),"",AF577/AE577)</f>
        <v>0</v>
      </c>
      <c r="AH577" s="23">
        <f>IF(T577="","",SUMIFS(Analytics!$X$5:$X$154,Analytics!$D$5:$D$154,T577))</f>
        <v>0</v>
      </c>
      <c r="AI577" s="32">
        <f>IF(T577="","",IF(AE577=0,"",AE577+ROW()/1000000))</f>
        <v>0</v>
      </c>
      <c r="AJ577" s="17">
        <f>IF('Content Pillars'!$B$577="","",'Content Pillars'!$B$577)</f>
        <v>0</v>
      </c>
      <c r="AK577" s="23">
        <f>IF(AJ577="","",COUNTIFS('Content Calendar'!$J$5:$J$604,AJ577,'Content Calendar'!$B$5:$B$604,"&gt;="&amp;DATE(PlanYear,1,1),'Content Calendar'!$B$5:$B$604,"&lt;="&amp;DATE(PlanYear,12,31)))</f>
        <v>0</v>
      </c>
      <c r="AL577" s="23">
        <f>IF(AJ577="","",SUMIFS(Performance!$O$5:$O$404,Performance!$H$5:$H$404,AJ577))</f>
        <v>0</v>
      </c>
      <c r="AM577" s="23">
        <f>IF(AJ577="","",SUMIFS(Performance!$Z$5:$Z$404,Performance!$H$5:$H$404,AJ577))</f>
        <v>0</v>
      </c>
      <c r="AN577" s="24">
        <f>IF(OR(AL577="",AL577=0),"",AM577/AL577)</f>
        <v>0</v>
      </c>
      <c r="AO577" s="32">
        <f>IF(AN577="","",AN577+ROW()/1000000)</f>
        <v>0</v>
      </c>
      <c r="AP577" s="17">
        <f>IF(Lists!$E577="","",Lists!$E577)</f>
        <v>0</v>
      </c>
      <c r="AQ577" s="23">
        <f>IF(AP577="","",COUNTIF(Performance!$G$5:$G$404,AP577))</f>
        <v>0</v>
      </c>
      <c r="AR577" s="23">
        <f>IF(AP577="","",SUMIFS(Performance!$O$5:$O$404,Performance!$G$5:$G$404,AP577))</f>
        <v>0</v>
      </c>
      <c r="AS577" s="23">
        <f>IF(AP577="","",SUMIFS(Performance!$Z$5:$Z$404,Performance!$G$5:$G$404,AP577))</f>
        <v>0</v>
      </c>
      <c r="AT577" s="24">
        <f>IF(OR(AR577="",AR577=0),"",AS577/AR577)</f>
        <v>0</v>
      </c>
      <c r="AU577" s="32">
        <f>IF(AQ577=0,"",IF(AT577="","",AT577+ROW()/1000000))</f>
        <v>0</v>
      </c>
      <c r="AV577" s="17">
        <f>IF(ROW()-4&gt;7,"",TEXT(DATE(2024,1,ROW()-4),"ddd"))</f>
        <v>0</v>
      </c>
      <c r="AW577" s="23">
        <f>IF(AV577="","",COUNTIF(Performance!$N$5:$N$404,AV577))</f>
        <v>0</v>
      </c>
      <c r="AX577" s="23">
        <f>IF(AV577="","",SUMIFS(Performance!$O$5:$O$404,Performance!$N$5:$N$404,AV577))</f>
        <v>0</v>
      </c>
      <c r="AY577" s="23">
        <f>IF(AV577="","",SUMIFS(Performance!$Z$5:$Z$404,Performance!$N$5:$N$404,AV577))</f>
        <v>0</v>
      </c>
      <c r="AZ577" s="24">
        <f>IF(OR(AX577="",AX577=0),"",AY577/AX577)</f>
        <v>0</v>
      </c>
      <c r="BA577" s="32">
        <f>IF(AW577=0,"",IF(AZ577="","",AZ577+ROW()/1000000))</f>
        <v>0</v>
      </c>
      <c r="BB577" s="17">
        <f>IF(Lists!$AL577="","",Lists!$AL577)</f>
        <v>0</v>
      </c>
      <c r="BC577" s="23">
        <f>IF(BB577="","",COUNTIF(Performance!$M$5:$M$404,BB577))</f>
        <v>0</v>
      </c>
      <c r="BD577" s="23">
        <f>IF(BB577="","",SUMIFS(Performance!$O$5:$O$404,Performance!$M$5:$M$404,BB577))</f>
        <v>0</v>
      </c>
      <c r="BE577" s="23">
        <f>IF(BB577="","",SUMIFS(Performance!$Z$5:$Z$404,Performance!$M$5:$M$404,BB577))</f>
        <v>0</v>
      </c>
      <c r="BF577" s="24">
        <f>IF(OR(BD577="",BD577=0),"",BE577/BD577)</f>
        <v>0</v>
      </c>
      <c r="BG577" s="32">
        <f>IF(BC577=0,"",IF(BF577="","",BF577+ROW()/1000000))</f>
        <v>0</v>
      </c>
      <c r="BH577" s="17">
        <f>IF(Performance!$C$577="","",Performance!$C$577)</f>
        <v>0</v>
      </c>
      <c r="BI577" s="17">
        <f>IF(Performance!$F$577="","",Performance!$F$577)</f>
        <v>0</v>
      </c>
      <c r="BJ577" s="17">
        <f>IF(Performance!$H$577="","",Performance!$H$577)</f>
        <v>0</v>
      </c>
      <c r="BK577" s="16">
        <f>IF(Performance!$D$577="","",Performance!$D$577)</f>
        <v>0</v>
      </c>
      <c r="BL577" s="17">
        <f>IF(Performance!$E$577="","",Performance!$E$577)</f>
        <v>0</v>
      </c>
      <c r="BM577" s="23">
        <f>IF(Performance!$O$577="","",Performance!$O$577)</f>
        <v>0</v>
      </c>
      <c r="BN577" s="24">
        <f>IF(Performance!$AA$577="","",Performance!$AA$577)</f>
        <v>0</v>
      </c>
      <c r="BO577" s="32">
        <f>IF(BH577="","",IF(BK577="","",IF(OR(BK577&lt;DashStart,BK577&gt;DashEnd),"",IF(BN577="","",BN577+ROW()/1000000))))</f>
        <v>0</v>
      </c>
      <c r="BP577" s="32">
        <f>IF(BM577="","",IF(BK577="","",IF(OR(BK577&lt;DashStart,BK577&gt;DashEnd),"",BM577+ROW()/1000000)))</f>
        <v>0</v>
      </c>
      <c r="BQ577" s="32">
        <f>IF(BH577="","",IF(BK577="","",IF(YEAR(BK577)&lt;&gt;PlanYear,"",IF(BN577="","",BN577+ROW()/1000000))))</f>
        <v>0</v>
      </c>
      <c r="BR577" s="32">
        <f>IF(BH577="","",IF(BK577="","",IF(OR(BK577&lt;RepFrom,BK577&gt;RepTo),"",IF(BN577="","",BN577+ROW()/1000000))))</f>
        <v>0</v>
      </c>
      <c r="BS577" s="32">
        <f>IF(BM577="","",IF(BK577="","",IF(YEAR(BK577)&lt;&gt;PlanYear,"",BM577+ROW()/1000000)))</f>
        <v>0</v>
      </c>
      <c r="BT577" s="17">
        <f>IF(Lists!$F577="","",Lists!$F577)</f>
        <v>0</v>
      </c>
      <c r="BU577" s="23">
        <f>IF(BT577="","",COUNTIF('Content Calendar'!$X$5:$X$604,BT577))</f>
        <v>0</v>
      </c>
      <c r="BV577" s="23">
        <f>IF(BT577="","",COUNTIFS('Content Calendar'!$X$5:$X$604,BT577,'Content Calendar'!$B$5:$B$604,"&gt;="&amp;DashStart,'Content Calendar'!$B$5:$B$604,"&lt;="&amp;DashEnd))</f>
        <v>0</v>
      </c>
      <c r="BW577" s="17">
        <f>IF(Team!$B$577="","",Team!$B$577)</f>
        <v>0</v>
      </c>
      <c r="BX577" s="23">
        <f>IF(BW577="","",COUNTIF('Content Calendar'!$W$5:$W$604,BW577))</f>
        <v>0</v>
      </c>
      <c r="BY577" s="23">
        <f>IF(BW577="","",COUNTIFS('Content Calendar'!$W$5:$W$604,BW577,'Content Calendar'!$X$5:$X$604,"&lt;&gt;Published"))</f>
        <v>0</v>
      </c>
      <c r="BZ577" s="23">
        <f>IF(BW577="","",COUNTIFS(Tasks!$C$5:$C$64,BW577,Tasks!$G$5:$G$64,"&lt;&gt;Complete"))</f>
        <v>0</v>
      </c>
      <c r="CA577" s="17">
        <f>IF(Campaigns!$B$577="","",Campaigns!$B$577)</f>
        <v>0</v>
      </c>
      <c r="CB577" s="25">
        <f>IF(Campaigns!$T$577="","",Campaigns!$T$577)</f>
        <v>0</v>
      </c>
      <c r="CC577" s="25">
        <f>IF(Campaigns!$Q$577="","",Campaigns!$Q$577)</f>
        <v>0</v>
      </c>
      <c r="CD577" s="23">
        <f>IF(Campaigns!$Y$577="","",Campaigns!$Y$577)</f>
        <v>0</v>
      </c>
      <c r="CE577" s="32">
        <f>IF(CA577="","",IF(N(CB577)&lt;=0,"",N(CB577)+ROW()/1000000))</f>
        <v>0</v>
      </c>
      <c r="CF577" s="17">
        <f>IF(Accounts!$C$577="","",Accounts!$C$577)</f>
        <v>0</v>
      </c>
      <c r="CG577" s="17">
        <f>IF(Accounts!$B$577="","",Accounts!$B$577)</f>
        <v>0</v>
      </c>
      <c r="CH577" s="23">
        <f>IF(Accounts!$J$577="","",Accounts!$J$577)</f>
        <v>0</v>
      </c>
      <c r="CI577" s="23">
        <f>IF(CF577="","",SUMIFS(Analytics!$X$5:$X$154,Analytics!$E$5:$E$154,CF577,Analytics!$B$5:$B$154,"&gt;="&amp;DashStart,Analytics!$B$5:$B$154,"&lt;="&amp;DashEnd))</f>
        <v>0</v>
      </c>
      <c r="CJ577" s="32">
        <f>IF(CH577="","",IF(CH577=0,"",CH577+ROW()/1000000))</f>
        <v>0</v>
      </c>
    </row>
    <row r="578" spans="1:88">
      <c r="A578" s="16">
        <f>IF(ROW()-4&gt;12,"",DATE(PlanYear,ROW()-4,1))</f>
        <v>0</v>
      </c>
      <c r="B578" s="16">
        <f>IF(A578="","",EOMONTH(A578,0))</f>
        <v>0</v>
      </c>
      <c r="C578" s="17">
        <f>IF(A578="","",TEXT(A578,"yyyy-mm"))</f>
        <v>0</v>
      </c>
      <c r="D578" s="17">
        <f>IF(A578="","",TEXT(A578,"mmm"))</f>
        <v>0</v>
      </c>
      <c r="E578" s="23">
        <f>IF(C578="","",COUNTIFS('Content Calendar'!$D$5:$D$604,C578))</f>
        <v>0</v>
      </c>
      <c r="F578" s="23">
        <f>IF(C578="","",COUNTIFS('Content Calendar'!$D$5:$D$604,C578,'Content Calendar'!$X$5:$X$604,"Published"))</f>
        <v>0</v>
      </c>
      <c r="G578" s="23">
        <f>IF(C578="","",SUMIFS(Analytics!$J$5:$J$154,Analytics!$C$5:$C$154,C578))</f>
        <v>0</v>
      </c>
      <c r="H578" s="23">
        <f>IF(C578="","",SUMIFS(Analytics!$K$5:$K$154,Analytics!$C$5:$C$154,C578))</f>
        <v>0</v>
      </c>
      <c r="I578" s="23">
        <f>IF(C578="","",SUMIFS(Analytics!$L$5:$L$154,Analytics!$C$5:$C$154,C578))</f>
        <v>0</v>
      </c>
      <c r="J578" s="24">
        <f>IF(OR(G578="",G578=0),"",I578/G578)</f>
        <v>0</v>
      </c>
      <c r="K578" s="23">
        <f>IF(C578="","",SUMIFS(Analytics!$G$5:$G$154,Analytics!$C$5:$C$154,C578))</f>
        <v>0</v>
      </c>
      <c r="L578" s="23">
        <f>IF(C578="","",SUMIFS(Analytics!$X$5:$X$154,Analytics!$C$5:$C$154,C578))</f>
        <v>0</v>
      </c>
      <c r="M578" s="23">
        <f>IF(C578="","",SUMIFS(Analytics!$R$5:$R$154,Analytics!$C$5:$C$154,C578))</f>
        <v>0</v>
      </c>
      <c r="N578" s="23">
        <f>IF(C578="","",SUMIFS(Analytics!$S$5:$S$154,Analytics!$C$5:$C$154,C578))</f>
        <v>0</v>
      </c>
      <c r="O578" s="23">
        <f>IF(C578="","",SUMIFS(Analytics!$T$5:$T$154,Analytics!$C$5:$C$154,C578))</f>
        <v>0</v>
      </c>
      <c r="P578" s="25">
        <f>IF(C578="","",SUMIFS(Analytics!$U$5:$U$154,Analytics!$C$5:$C$154,C578))</f>
        <v>0</v>
      </c>
      <c r="Q578" s="25">
        <f>IF(C578="","",SUMIFS(Budget!$H$5:$H$64,Budget!$C$5:$C$64,C578))</f>
        <v>0</v>
      </c>
      <c r="R578" s="25">
        <f>IF(C578="","",P578-Q578)</f>
        <v>0</v>
      </c>
      <c r="S578" s="23">
        <f>IF(C578="","",MonthlyPostTarget)</f>
        <v>0</v>
      </c>
      <c r="T578" s="17">
        <f>IF(Lists!$C578="","",Lists!$C578)</f>
        <v>0</v>
      </c>
      <c r="U578" s="23">
        <f>IF(T578="","",COUNTIFS('Content Calendar'!$G$5:$G$604,T578,'Content Calendar'!$B$5:$B$604,"&gt;="&amp;DashStart,'Content Calendar'!$B$5:$B$604,"&lt;="&amp;DashEnd))</f>
        <v>0</v>
      </c>
      <c r="V578" s="23">
        <f>IF(T578="","",COUNTIFS('Content Calendar'!$G$5:$G$604,T578,'Content Calendar'!$X$5:$X$604,"Published",'Content Calendar'!$B$5:$B$604,"&gt;="&amp;DashStart,'Content Calendar'!$B$5:$B$604,"&lt;="&amp;DashEnd))</f>
        <v>0</v>
      </c>
      <c r="W578" s="23">
        <f>IF(T578="","",SUMIFS(Analytics!$J$5:$J$154,Analytics!$D$5:$D$154,T578,Analytics!$B$5:$B$154,"&gt;="&amp;DashStart,Analytics!$B$5:$B$154,"&lt;="&amp;DashEnd))</f>
        <v>0</v>
      </c>
      <c r="X578" s="23">
        <f>IF(T578="","",SUMIFS(Analytics!$L$5:$L$154,Analytics!$D$5:$D$154,T578,Analytics!$B$5:$B$154,"&gt;="&amp;DashStart,Analytics!$B$5:$B$154,"&lt;="&amp;DashEnd))</f>
        <v>0</v>
      </c>
      <c r="Y578" s="24">
        <f>IF(OR(W578="",W578=0),"",X578/W578)</f>
        <v>0</v>
      </c>
      <c r="Z578" s="23">
        <f>IF(T578="","",SUMIFS(Analytics!$G$5:$G$154,Analytics!$D$5:$D$154,T578,Analytics!$B$5:$B$154,"&gt;="&amp;DashStart,Analytics!$B$5:$B$154,"&lt;="&amp;DashEnd))</f>
        <v>0</v>
      </c>
      <c r="AA578" s="23">
        <f>IF(T578="","",SUMIFS(Analytics!$X$5:$X$154,Analytics!$D$5:$D$154,T578,Analytics!$B$5:$B$154,"&gt;="&amp;DashStart,Analytics!$B$5:$B$154,"&lt;="&amp;DashEnd))</f>
        <v>0</v>
      </c>
      <c r="AB578" s="23">
        <f>IF(T578="","",SUMIFS(Analytics!$R$5:$R$154,Analytics!$D$5:$D$154,T578,Analytics!$B$5:$B$154,"&gt;="&amp;DashStart,Analytics!$B$5:$B$154,"&lt;="&amp;DashEnd))</f>
        <v>0</v>
      </c>
      <c r="AC578" s="25">
        <f>IF(T578="","",SUMIFS(Analytics!$U$5:$U$154,Analytics!$D$5:$D$154,T578,Analytics!$B$5:$B$154,"&gt;="&amp;DashStart,Analytics!$B$5:$B$154,"&lt;="&amp;DashEnd))</f>
        <v>0</v>
      </c>
      <c r="AD578" s="23">
        <f>IF(T578="","",COUNTIFS('Content Calendar'!$G$5:$G$604,T578,'Content Calendar'!$B$5:$B$604,"&gt;="&amp;DATE(PlanYear,1,1),'Content Calendar'!$B$5:$B$604,"&lt;="&amp;DATE(PlanYear,12,31)))</f>
        <v>0</v>
      </c>
      <c r="AE578" s="23">
        <f>IF(T578="","",SUMIFS(Analytics!$J$5:$J$154,Analytics!$D$5:$D$154,T578))</f>
        <v>0</v>
      </c>
      <c r="AF578" s="23">
        <f>IF(T578="","",SUMIFS(Analytics!$L$5:$L$154,Analytics!$D$5:$D$154,T578))</f>
        <v>0</v>
      </c>
      <c r="AG578" s="24">
        <f>IF(OR(AE578="",AE578=0),"",AF578/AE578)</f>
        <v>0</v>
      </c>
      <c r="AH578" s="23">
        <f>IF(T578="","",SUMIFS(Analytics!$X$5:$X$154,Analytics!$D$5:$D$154,T578))</f>
        <v>0</v>
      </c>
      <c r="AI578" s="32">
        <f>IF(T578="","",IF(AE578=0,"",AE578+ROW()/1000000))</f>
        <v>0</v>
      </c>
      <c r="AJ578" s="17">
        <f>IF('Content Pillars'!$B$578="","",'Content Pillars'!$B$578)</f>
        <v>0</v>
      </c>
      <c r="AK578" s="23">
        <f>IF(AJ578="","",COUNTIFS('Content Calendar'!$J$5:$J$604,AJ578,'Content Calendar'!$B$5:$B$604,"&gt;="&amp;DATE(PlanYear,1,1),'Content Calendar'!$B$5:$B$604,"&lt;="&amp;DATE(PlanYear,12,31)))</f>
        <v>0</v>
      </c>
      <c r="AL578" s="23">
        <f>IF(AJ578="","",SUMIFS(Performance!$O$5:$O$404,Performance!$H$5:$H$404,AJ578))</f>
        <v>0</v>
      </c>
      <c r="AM578" s="23">
        <f>IF(AJ578="","",SUMIFS(Performance!$Z$5:$Z$404,Performance!$H$5:$H$404,AJ578))</f>
        <v>0</v>
      </c>
      <c r="AN578" s="24">
        <f>IF(OR(AL578="",AL578=0),"",AM578/AL578)</f>
        <v>0</v>
      </c>
      <c r="AO578" s="32">
        <f>IF(AN578="","",AN578+ROW()/1000000)</f>
        <v>0</v>
      </c>
      <c r="AP578" s="17">
        <f>IF(Lists!$E578="","",Lists!$E578)</f>
        <v>0</v>
      </c>
      <c r="AQ578" s="23">
        <f>IF(AP578="","",COUNTIF(Performance!$G$5:$G$404,AP578))</f>
        <v>0</v>
      </c>
      <c r="AR578" s="23">
        <f>IF(AP578="","",SUMIFS(Performance!$O$5:$O$404,Performance!$G$5:$G$404,AP578))</f>
        <v>0</v>
      </c>
      <c r="AS578" s="23">
        <f>IF(AP578="","",SUMIFS(Performance!$Z$5:$Z$404,Performance!$G$5:$G$404,AP578))</f>
        <v>0</v>
      </c>
      <c r="AT578" s="24">
        <f>IF(OR(AR578="",AR578=0),"",AS578/AR578)</f>
        <v>0</v>
      </c>
      <c r="AU578" s="32">
        <f>IF(AQ578=0,"",IF(AT578="","",AT578+ROW()/1000000))</f>
        <v>0</v>
      </c>
      <c r="AV578" s="17">
        <f>IF(ROW()-4&gt;7,"",TEXT(DATE(2024,1,ROW()-4),"ddd"))</f>
        <v>0</v>
      </c>
      <c r="AW578" s="23">
        <f>IF(AV578="","",COUNTIF(Performance!$N$5:$N$404,AV578))</f>
        <v>0</v>
      </c>
      <c r="AX578" s="23">
        <f>IF(AV578="","",SUMIFS(Performance!$O$5:$O$404,Performance!$N$5:$N$404,AV578))</f>
        <v>0</v>
      </c>
      <c r="AY578" s="23">
        <f>IF(AV578="","",SUMIFS(Performance!$Z$5:$Z$404,Performance!$N$5:$N$404,AV578))</f>
        <v>0</v>
      </c>
      <c r="AZ578" s="24">
        <f>IF(OR(AX578="",AX578=0),"",AY578/AX578)</f>
        <v>0</v>
      </c>
      <c r="BA578" s="32">
        <f>IF(AW578=0,"",IF(AZ578="","",AZ578+ROW()/1000000))</f>
        <v>0</v>
      </c>
      <c r="BB578" s="17">
        <f>IF(Lists!$AL578="","",Lists!$AL578)</f>
        <v>0</v>
      </c>
      <c r="BC578" s="23">
        <f>IF(BB578="","",COUNTIF(Performance!$M$5:$M$404,BB578))</f>
        <v>0</v>
      </c>
      <c r="BD578" s="23">
        <f>IF(BB578="","",SUMIFS(Performance!$O$5:$O$404,Performance!$M$5:$M$404,BB578))</f>
        <v>0</v>
      </c>
      <c r="BE578" s="23">
        <f>IF(BB578="","",SUMIFS(Performance!$Z$5:$Z$404,Performance!$M$5:$M$404,BB578))</f>
        <v>0</v>
      </c>
      <c r="BF578" s="24">
        <f>IF(OR(BD578="",BD578=0),"",BE578/BD578)</f>
        <v>0</v>
      </c>
      <c r="BG578" s="32">
        <f>IF(BC578=0,"",IF(BF578="","",BF578+ROW()/1000000))</f>
        <v>0</v>
      </c>
      <c r="BH578" s="17">
        <f>IF(Performance!$C$578="","",Performance!$C$578)</f>
        <v>0</v>
      </c>
      <c r="BI578" s="17">
        <f>IF(Performance!$F$578="","",Performance!$F$578)</f>
        <v>0</v>
      </c>
      <c r="BJ578" s="17">
        <f>IF(Performance!$H$578="","",Performance!$H$578)</f>
        <v>0</v>
      </c>
      <c r="BK578" s="16">
        <f>IF(Performance!$D$578="","",Performance!$D$578)</f>
        <v>0</v>
      </c>
      <c r="BL578" s="17">
        <f>IF(Performance!$E$578="","",Performance!$E$578)</f>
        <v>0</v>
      </c>
      <c r="BM578" s="23">
        <f>IF(Performance!$O$578="","",Performance!$O$578)</f>
        <v>0</v>
      </c>
      <c r="BN578" s="24">
        <f>IF(Performance!$AA$578="","",Performance!$AA$578)</f>
        <v>0</v>
      </c>
      <c r="BO578" s="32">
        <f>IF(BH578="","",IF(BK578="","",IF(OR(BK578&lt;DashStart,BK578&gt;DashEnd),"",IF(BN578="","",BN578+ROW()/1000000))))</f>
        <v>0</v>
      </c>
      <c r="BP578" s="32">
        <f>IF(BM578="","",IF(BK578="","",IF(OR(BK578&lt;DashStart,BK578&gt;DashEnd),"",BM578+ROW()/1000000)))</f>
        <v>0</v>
      </c>
      <c r="BQ578" s="32">
        <f>IF(BH578="","",IF(BK578="","",IF(YEAR(BK578)&lt;&gt;PlanYear,"",IF(BN578="","",BN578+ROW()/1000000))))</f>
        <v>0</v>
      </c>
      <c r="BR578" s="32">
        <f>IF(BH578="","",IF(BK578="","",IF(OR(BK578&lt;RepFrom,BK578&gt;RepTo),"",IF(BN578="","",BN578+ROW()/1000000))))</f>
        <v>0</v>
      </c>
      <c r="BS578" s="32">
        <f>IF(BM578="","",IF(BK578="","",IF(YEAR(BK578)&lt;&gt;PlanYear,"",BM578+ROW()/1000000)))</f>
        <v>0</v>
      </c>
      <c r="BT578" s="17">
        <f>IF(Lists!$F578="","",Lists!$F578)</f>
        <v>0</v>
      </c>
      <c r="BU578" s="23">
        <f>IF(BT578="","",COUNTIF('Content Calendar'!$X$5:$X$604,BT578))</f>
        <v>0</v>
      </c>
      <c r="BV578" s="23">
        <f>IF(BT578="","",COUNTIFS('Content Calendar'!$X$5:$X$604,BT578,'Content Calendar'!$B$5:$B$604,"&gt;="&amp;DashStart,'Content Calendar'!$B$5:$B$604,"&lt;="&amp;DashEnd))</f>
        <v>0</v>
      </c>
      <c r="BW578" s="17">
        <f>IF(Team!$B$578="","",Team!$B$578)</f>
        <v>0</v>
      </c>
      <c r="BX578" s="23">
        <f>IF(BW578="","",COUNTIF('Content Calendar'!$W$5:$W$604,BW578))</f>
        <v>0</v>
      </c>
      <c r="BY578" s="23">
        <f>IF(BW578="","",COUNTIFS('Content Calendar'!$W$5:$W$604,BW578,'Content Calendar'!$X$5:$X$604,"&lt;&gt;Published"))</f>
        <v>0</v>
      </c>
      <c r="BZ578" s="23">
        <f>IF(BW578="","",COUNTIFS(Tasks!$C$5:$C$64,BW578,Tasks!$G$5:$G$64,"&lt;&gt;Complete"))</f>
        <v>0</v>
      </c>
      <c r="CA578" s="17">
        <f>IF(Campaigns!$B$578="","",Campaigns!$B$578)</f>
        <v>0</v>
      </c>
      <c r="CB578" s="25">
        <f>IF(Campaigns!$T$578="","",Campaigns!$T$578)</f>
        <v>0</v>
      </c>
      <c r="CC578" s="25">
        <f>IF(Campaigns!$Q$578="","",Campaigns!$Q$578)</f>
        <v>0</v>
      </c>
      <c r="CD578" s="23">
        <f>IF(Campaigns!$Y$578="","",Campaigns!$Y$578)</f>
        <v>0</v>
      </c>
      <c r="CE578" s="32">
        <f>IF(CA578="","",IF(N(CB578)&lt;=0,"",N(CB578)+ROW()/1000000))</f>
        <v>0</v>
      </c>
      <c r="CF578" s="17">
        <f>IF(Accounts!$C$578="","",Accounts!$C$578)</f>
        <v>0</v>
      </c>
      <c r="CG578" s="17">
        <f>IF(Accounts!$B$578="","",Accounts!$B$578)</f>
        <v>0</v>
      </c>
      <c r="CH578" s="23">
        <f>IF(Accounts!$J$578="","",Accounts!$J$578)</f>
        <v>0</v>
      </c>
      <c r="CI578" s="23">
        <f>IF(CF578="","",SUMIFS(Analytics!$X$5:$X$154,Analytics!$E$5:$E$154,CF578,Analytics!$B$5:$B$154,"&gt;="&amp;DashStart,Analytics!$B$5:$B$154,"&lt;="&amp;DashEnd))</f>
        <v>0</v>
      </c>
      <c r="CJ578" s="32">
        <f>IF(CH578="","",IF(CH578=0,"",CH578+ROW()/1000000))</f>
        <v>0</v>
      </c>
    </row>
    <row r="579" spans="1:88">
      <c r="A579" s="16">
        <f>IF(ROW()-4&gt;12,"",DATE(PlanYear,ROW()-4,1))</f>
        <v>0</v>
      </c>
      <c r="B579" s="16">
        <f>IF(A579="","",EOMONTH(A579,0))</f>
        <v>0</v>
      </c>
      <c r="C579" s="17">
        <f>IF(A579="","",TEXT(A579,"yyyy-mm"))</f>
        <v>0</v>
      </c>
      <c r="D579" s="17">
        <f>IF(A579="","",TEXT(A579,"mmm"))</f>
        <v>0</v>
      </c>
      <c r="E579" s="23">
        <f>IF(C579="","",COUNTIFS('Content Calendar'!$D$5:$D$604,C579))</f>
        <v>0</v>
      </c>
      <c r="F579" s="23">
        <f>IF(C579="","",COUNTIFS('Content Calendar'!$D$5:$D$604,C579,'Content Calendar'!$X$5:$X$604,"Published"))</f>
        <v>0</v>
      </c>
      <c r="G579" s="23">
        <f>IF(C579="","",SUMIFS(Analytics!$J$5:$J$154,Analytics!$C$5:$C$154,C579))</f>
        <v>0</v>
      </c>
      <c r="H579" s="23">
        <f>IF(C579="","",SUMIFS(Analytics!$K$5:$K$154,Analytics!$C$5:$C$154,C579))</f>
        <v>0</v>
      </c>
      <c r="I579" s="23">
        <f>IF(C579="","",SUMIFS(Analytics!$L$5:$L$154,Analytics!$C$5:$C$154,C579))</f>
        <v>0</v>
      </c>
      <c r="J579" s="24">
        <f>IF(OR(G579="",G579=0),"",I579/G579)</f>
        <v>0</v>
      </c>
      <c r="K579" s="23">
        <f>IF(C579="","",SUMIFS(Analytics!$G$5:$G$154,Analytics!$C$5:$C$154,C579))</f>
        <v>0</v>
      </c>
      <c r="L579" s="23">
        <f>IF(C579="","",SUMIFS(Analytics!$X$5:$X$154,Analytics!$C$5:$C$154,C579))</f>
        <v>0</v>
      </c>
      <c r="M579" s="23">
        <f>IF(C579="","",SUMIFS(Analytics!$R$5:$R$154,Analytics!$C$5:$C$154,C579))</f>
        <v>0</v>
      </c>
      <c r="N579" s="23">
        <f>IF(C579="","",SUMIFS(Analytics!$S$5:$S$154,Analytics!$C$5:$C$154,C579))</f>
        <v>0</v>
      </c>
      <c r="O579" s="23">
        <f>IF(C579="","",SUMIFS(Analytics!$T$5:$T$154,Analytics!$C$5:$C$154,C579))</f>
        <v>0</v>
      </c>
      <c r="P579" s="25">
        <f>IF(C579="","",SUMIFS(Analytics!$U$5:$U$154,Analytics!$C$5:$C$154,C579))</f>
        <v>0</v>
      </c>
      <c r="Q579" s="25">
        <f>IF(C579="","",SUMIFS(Budget!$H$5:$H$64,Budget!$C$5:$C$64,C579))</f>
        <v>0</v>
      </c>
      <c r="R579" s="25">
        <f>IF(C579="","",P579-Q579)</f>
        <v>0</v>
      </c>
      <c r="S579" s="23">
        <f>IF(C579="","",MonthlyPostTarget)</f>
        <v>0</v>
      </c>
      <c r="T579" s="17">
        <f>IF(Lists!$C579="","",Lists!$C579)</f>
        <v>0</v>
      </c>
      <c r="U579" s="23">
        <f>IF(T579="","",COUNTIFS('Content Calendar'!$G$5:$G$604,T579,'Content Calendar'!$B$5:$B$604,"&gt;="&amp;DashStart,'Content Calendar'!$B$5:$B$604,"&lt;="&amp;DashEnd))</f>
        <v>0</v>
      </c>
      <c r="V579" s="23">
        <f>IF(T579="","",COUNTIFS('Content Calendar'!$G$5:$G$604,T579,'Content Calendar'!$X$5:$X$604,"Published",'Content Calendar'!$B$5:$B$604,"&gt;="&amp;DashStart,'Content Calendar'!$B$5:$B$604,"&lt;="&amp;DashEnd))</f>
        <v>0</v>
      </c>
      <c r="W579" s="23">
        <f>IF(T579="","",SUMIFS(Analytics!$J$5:$J$154,Analytics!$D$5:$D$154,T579,Analytics!$B$5:$B$154,"&gt;="&amp;DashStart,Analytics!$B$5:$B$154,"&lt;="&amp;DashEnd))</f>
        <v>0</v>
      </c>
      <c r="X579" s="23">
        <f>IF(T579="","",SUMIFS(Analytics!$L$5:$L$154,Analytics!$D$5:$D$154,T579,Analytics!$B$5:$B$154,"&gt;="&amp;DashStart,Analytics!$B$5:$B$154,"&lt;="&amp;DashEnd))</f>
        <v>0</v>
      </c>
      <c r="Y579" s="24">
        <f>IF(OR(W579="",W579=0),"",X579/W579)</f>
        <v>0</v>
      </c>
      <c r="Z579" s="23">
        <f>IF(T579="","",SUMIFS(Analytics!$G$5:$G$154,Analytics!$D$5:$D$154,T579,Analytics!$B$5:$B$154,"&gt;="&amp;DashStart,Analytics!$B$5:$B$154,"&lt;="&amp;DashEnd))</f>
        <v>0</v>
      </c>
      <c r="AA579" s="23">
        <f>IF(T579="","",SUMIFS(Analytics!$X$5:$X$154,Analytics!$D$5:$D$154,T579,Analytics!$B$5:$B$154,"&gt;="&amp;DashStart,Analytics!$B$5:$B$154,"&lt;="&amp;DashEnd))</f>
        <v>0</v>
      </c>
      <c r="AB579" s="23">
        <f>IF(T579="","",SUMIFS(Analytics!$R$5:$R$154,Analytics!$D$5:$D$154,T579,Analytics!$B$5:$B$154,"&gt;="&amp;DashStart,Analytics!$B$5:$B$154,"&lt;="&amp;DashEnd))</f>
        <v>0</v>
      </c>
      <c r="AC579" s="25">
        <f>IF(T579="","",SUMIFS(Analytics!$U$5:$U$154,Analytics!$D$5:$D$154,T579,Analytics!$B$5:$B$154,"&gt;="&amp;DashStart,Analytics!$B$5:$B$154,"&lt;="&amp;DashEnd))</f>
        <v>0</v>
      </c>
      <c r="AD579" s="23">
        <f>IF(T579="","",COUNTIFS('Content Calendar'!$G$5:$G$604,T579,'Content Calendar'!$B$5:$B$604,"&gt;="&amp;DATE(PlanYear,1,1),'Content Calendar'!$B$5:$B$604,"&lt;="&amp;DATE(PlanYear,12,31)))</f>
        <v>0</v>
      </c>
      <c r="AE579" s="23">
        <f>IF(T579="","",SUMIFS(Analytics!$J$5:$J$154,Analytics!$D$5:$D$154,T579))</f>
        <v>0</v>
      </c>
      <c r="AF579" s="23">
        <f>IF(T579="","",SUMIFS(Analytics!$L$5:$L$154,Analytics!$D$5:$D$154,T579))</f>
        <v>0</v>
      </c>
      <c r="AG579" s="24">
        <f>IF(OR(AE579="",AE579=0),"",AF579/AE579)</f>
        <v>0</v>
      </c>
      <c r="AH579" s="23">
        <f>IF(T579="","",SUMIFS(Analytics!$X$5:$X$154,Analytics!$D$5:$D$154,T579))</f>
        <v>0</v>
      </c>
      <c r="AI579" s="32">
        <f>IF(T579="","",IF(AE579=0,"",AE579+ROW()/1000000))</f>
        <v>0</v>
      </c>
      <c r="AJ579" s="17">
        <f>IF('Content Pillars'!$B$579="","",'Content Pillars'!$B$579)</f>
        <v>0</v>
      </c>
      <c r="AK579" s="23">
        <f>IF(AJ579="","",COUNTIFS('Content Calendar'!$J$5:$J$604,AJ579,'Content Calendar'!$B$5:$B$604,"&gt;="&amp;DATE(PlanYear,1,1),'Content Calendar'!$B$5:$B$604,"&lt;="&amp;DATE(PlanYear,12,31)))</f>
        <v>0</v>
      </c>
      <c r="AL579" s="23">
        <f>IF(AJ579="","",SUMIFS(Performance!$O$5:$O$404,Performance!$H$5:$H$404,AJ579))</f>
        <v>0</v>
      </c>
      <c r="AM579" s="23">
        <f>IF(AJ579="","",SUMIFS(Performance!$Z$5:$Z$404,Performance!$H$5:$H$404,AJ579))</f>
        <v>0</v>
      </c>
      <c r="AN579" s="24">
        <f>IF(OR(AL579="",AL579=0),"",AM579/AL579)</f>
        <v>0</v>
      </c>
      <c r="AO579" s="32">
        <f>IF(AN579="","",AN579+ROW()/1000000)</f>
        <v>0</v>
      </c>
      <c r="AP579" s="17">
        <f>IF(Lists!$E579="","",Lists!$E579)</f>
        <v>0</v>
      </c>
      <c r="AQ579" s="23">
        <f>IF(AP579="","",COUNTIF(Performance!$G$5:$G$404,AP579))</f>
        <v>0</v>
      </c>
      <c r="AR579" s="23">
        <f>IF(AP579="","",SUMIFS(Performance!$O$5:$O$404,Performance!$G$5:$G$404,AP579))</f>
        <v>0</v>
      </c>
      <c r="AS579" s="23">
        <f>IF(AP579="","",SUMIFS(Performance!$Z$5:$Z$404,Performance!$G$5:$G$404,AP579))</f>
        <v>0</v>
      </c>
      <c r="AT579" s="24">
        <f>IF(OR(AR579="",AR579=0),"",AS579/AR579)</f>
        <v>0</v>
      </c>
      <c r="AU579" s="32">
        <f>IF(AQ579=0,"",IF(AT579="","",AT579+ROW()/1000000))</f>
        <v>0</v>
      </c>
      <c r="AV579" s="17">
        <f>IF(ROW()-4&gt;7,"",TEXT(DATE(2024,1,ROW()-4),"ddd"))</f>
        <v>0</v>
      </c>
      <c r="AW579" s="23">
        <f>IF(AV579="","",COUNTIF(Performance!$N$5:$N$404,AV579))</f>
        <v>0</v>
      </c>
      <c r="AX579" s="23">
        <f>IF(AV579="","",SUMIFS(Performance!$O$5:$O$404,Performance!$N$5:$N$404,AV579))</f>
        <v>0</v>
      </c>
      <c r="AY579" s="23">
        <f>IF(AV579="","",SUMIFS(Performance!$Z$5:$Z$404,Performance!$N$5:$N$404,AV579))</f>
        <v>0</v>
      </c>
      <c r="AZ579" s="24">
        <f>IF(OR(AX579="",AX579=0),"",AY579/AX579)</f>
        <v>0</v>
      </c>
      <c r="BA579" s="32">
        <f>IF(AW579=0,"",IF(AZ579="","",AZ579+ROW()/1000000))</f>
        <v>0</v>
      </c>
      <c r="BB579" s="17">
        <f>IF(Lists!$AL579="","",Lists!$AL579)</f>
        <v>0</v>
      </c>
      <c r="BC579" s="23">
        <f>IF(BB579="","",COUNTIF(Performance!$M$5:$M$404,BB579))</f>
        <v>0</v>
      </c>
      <c r="BD579" s="23">
        <f>IF(BB579="","",SUMIFS(Performance!$O$5:$O$404,Performance!$M$5:$M$404,BB579))</f>
        <v>0</v>
      </c>
      <c r="BE579" s="23">
        <f>IF(BB579="","",SUMIFS(Performance!$Z$5:$Z$404,Performance!$M$5:$M$404,BB579))</f>
        <v>0</v>
      </c>
      <c r="BF579" s="24">
        <f>IF(OR(BD579="",BD579=0),"",BE579/BD579)</f>
        <v>0</v>
      </c>
      <c r="BG579" s="32">
        <f>IF(BC579=0,"",IF(BF579="","",BF579+ROW()/1000000))</f>
        <v>0</v>
      </c>
      <c r="BH579" s="17">
        <f>IF(Performance!$C$579="","",Performance!$C$579)</f>
        <v>0</v>
      </c>
      <c r="BI579" s="17">
        <f>IF(Performance!$F$579="","",Performance!$F$579)</f>
        <v>0</v>
      </c>
      <c r="BJ579" s="17">
        <f>IF(Performance!$H$579="","",Performance!$H$579)</f>
        <v>0</v>
      </c>
      <c r="BK579" s="16">
        <f>IF(Performance!$D$579="","",Performance!$D$579)</f>
        <v>0</v>
      </c>
      <c r="BL579" s="17">
        <f>IF(Performance!$E$579="","",Performance!$E$579)</f>
        <v>0</v>
      </c>
      <c r="BM579" s="23">
        <f>IF(Performance!$O$579="","",Performance!$O$579)</f>
        <v>0</v>
      </c>
      <c r="BN579" s="24">
        <f>IF(Performance!$AA$579="","",Performance!$AA$579)</f>
        <v>0</v>
      </c>
      <c r="BO579" s="32">
        <f>IF(BH579="","",IF(BK579="","",IF(OR(BK579&lt;DashStart,BK579&gt;DashEnd),"",IF(BN579="","",BN579+ROW()/1000000))))</f>
        <v>0</v>
      </c>
      <c r="BP579" s="32">
        <f>IF(BM579="","",IF(BK579="","",IF(OR(BK579&lt;DashStart,BK579&gt;DashEnd),"",BM579+ROW()/1000000)))</f>
        <v>0</v>
      </c>
      <c r="BQ579" s="32">
        <f>IF(BH579="","",IF(BK579="","",IF(YEAR(BK579)&lt;&gt;PlanYear,"",IF(BN579="","",BN579+ROW()/1000000))))</f>
        <v>0</v>
      </c>
      <c r="BR579" s="32">
        <f>IF(BH579="","",IF(BK579="","",IF(OR(BK579&lt;RepFrom,BK579&gt;RepTo),"",IF(BN579="","",BN579+ROW()/1000000))))</f>
        <v>0</v>
      </c>
      <c r="BS579" s="32">
        <f>IF(BM579="","",IF(BK579="","",IF(YEAR(BK579)&lt;&gt;PlanYear,"",BM579+ROW()/1000000)))</f>
        <v>0</v>
      </c>
      <c r="BT579" s="17">
        <f>IF(Lists!$F579="","",Lists!$F579)</f>
        <v>0</v>
      </c>
      <c r="BU579" s="23">
        <f>IF(BT579="","",COUNTIF('Content Calendar'!$X$5:$X$604,BT579))</f>
        <v>0</v>
      </c>
      <c r="BV579" s="23">
        <f>IF(BT579="","",COUNTIFS('Content Calendar'!$X$5:$X$604,BT579,'Content Calendar'!$B$5:$B$604,"&gt;="&amp;DashStart,'Content Calendar'!$B$5:$B$604,"&lt;="&amp;DashEnd))</f>
        <v>0</v>
      </c>
      <c r="BW579" s="17">
        <f>IF(Team!$B$579="","",Team!$B$579)</f>
        <v>0</v>
      </c>
      <c r="BX579" s="23">
        <f>IF(BW579="","",COUNTIF('Content Calendar'!$W$5:$W$604,BW579))</f>
        <v>0</v>
      </c>
      <c r="BY579" s="23">
        <f>IF(BW579="","",COUNTIFS('Content Calendar'!$W$5:$W$604,BW579,'Content Calendar'!$X$5:$X$604,"&lt;&gt;Published"))</f>
        <v>0</v>
      </c>
      <c r="BZ579" s="23">
        <f>IF(BW579="","",COUNTIFS(Tasks!$C$5:$C$64,BW579,Tasks!$G$5:$G$64,"&lt;&gt;Complete"))</f>
        <v>0</v>
      </c>
      <c r="CA579" s="17">
        <f>IF(Campaigns!$B$579="","",Campaigns!$B$579)</f>
        <v>0</v>
      </c>
      <c r="CB579" s="25">
        <f>IF(Campaigns!$T$579="","",Campaigns!$T$579)</f>
        <v>0</v>
      </c>
      <c r="CC579" s="25">
        <f>IF(Campaigns!$Q$579="","",Campaigns!$Q$579)</f>
        <v>0</v>
      </c>
      <c r="CD579" s="23">
        <f>IF(Campaigns!$Y$579="","",Campaigns!$Y$579)</f>
        <v>0</v>
      </c>
      <c r="CE579" s="32">
        <f>IF(CA579="","",IF(N(CB579)&lt;=0,"",N(CB579)+ROW()/1000000))</f>
        <v>0</v>
      </c>
      <c r="CF579" s="17">
        <f>IF(Accounts!$C$579="","",Accounts!$C$579)</f>
        <v>0</v>
      </c>
      <c r="CG579" s="17">
        <f>IF(Accounts!$B$579="","",Accounts!$B$579)</f>
        <v>0</v>
      </c>
      <c r="CH579" s="23">
        <f>IF(Accounts!$J$579="","",Accounts!$J$579)</f>
        <v>0</v>
      </c>
      <c r="CI579" s="23">
        <f>IF(CF579="","",SUMIFS(Analytics!$X$5:$X$154,Analytics!$E$5:$E$154,CF579,Analytics!$B$5:$B$154,"&gt;="&amp;DashStart,Analytics!$B$5:$B$154,"&lt;="&amp;DashEnd))</f>
        <v>0</v>
      </c>
      <c r="CJ579" s="32">
        <f>IF(CH579="","",IF(CH579=0,"",CH579+ROW()/1000000))</f>
        <v>0</v>
      </c>
    </row>
    <row r="580" spans="1:88">
      <c r="A580" s="16">
        <f>IF(ROW()-4&gt;12,"",DATE(PlanYear,ROW()-4,1))</f>
        <v>0</v>
      </c>
      <c r="B580" s="16">
        <f>IF(A580="","",EOMONTH(A580,0))</f>
        <v>0</v>
      </c>
      <c r="C580" s="17">
        <f>IF(A580="","",TEXT(A580,"yyyy-mm"))</f>
        <v>0</v>
      </c>
      <c r="D580" s="17">
        <f>IF(A580="","",TEXT(A580,"mmm"))</f>
        <v>0</v>
      </c>
      <c r="E580" s="23">
        <f>IF(C580="","",COUNTIFS('Content Calendar'!$D$5:$D$604,C580))</f>
        <v>0</v>
      </c>
      <c r="F580" s="23">
        <f>IF(C580="","",COUNTIFS('Content Calendar'!$D$5:$D$604,C580,'Content Calendar'!$X$5:$X$604,"Published"))</f>
        <v>0</v>
      </c>
      <c r="G580" s="23">
        <f>IF(C580="","",SUMIFS(Analytics!$J$5:$J$154,Analytics!$C$5:$C$154,C580))</f>
        <v>0</v>
      </c>
      <c r="H580" s="23">
        <f>IF(C580="","",SUMIFS(Analytics!$K$5:$K$154,Analytics!$C$5:$C$154,C580))</f>
        <v>0</v>
      </c>
      <c r="I580" s="23">
        <f>IF(C580="","",SUMIFS(Analytics!$L$5:$L$154,Analytics!$C$5:$C$154,C580))</f>
        <v>0</v>
      </c>
      <c r="J580" s="24">
        <f>IF(OR(G580="",G580=0),"",I580/G580)</f>
        <v>0</v>
      </c>
      <c r="K580" s="23">
        <f>IF(C580="","",SUMIFS(Analytics!$G$5:$G$154,Analytics!$C$5:$C$154,C580))</f>
        <v>0</v>
      </c>
      <c r="L580" s="23">
        <f>IF(C580="","",SUMIFS(Analytics!$X$5:$X$154,Analytics!$C$5:$C$154,C580))</f>
        <v>0</v>
      </c>
      <c r="M580" s="23">
        <f>IF(C580="","",SUMIFS(Analytics!$R$5:$R$154,Analytics!$C$5:$C$154,C580))</f>
        <v>0</v>
      </c>
      <c r="N580" s="23">
        <f>IF(C580="","",SUMIFS(Analytics!$S$5:$S$154,Analytics!$C$5:$C$154,C580))</f>
        <v>0</v>
      </c>
      <c r="O580" s="23">
        <f>IF(C580="","",SUMIFS(Analytics!$T$5:$T$154,Analytics!$C$5:$C$154,C580))</f>
        <v>0</v>
      </c>
      <c r="P580" s="25">
        <f>IF(C580="","",SUMIFS(Analytics!$U$5:$U$154,Analytics!$C$5:$C$154,C580))</f>
        <v>0</v>
      </c>
      <c r="Q580" s="25">
        <f>IF(C580="","",SUMIFS(Budget!$H$5:$H$64,Budget!$C$5:$C$64,C580))</f>
        <v>0</v>
      </c>
      <c r="R580" s="25">
        <f>IF(C580="","",P580-Q580)</f>
        <v>0</v>
      </c>
      <c r="S580" s="23">
        <f>IF(C580="","",MonthlyPostTarget)</f>
        <v>0</v>
      </c>
      <c r="T580" s="17">
        <f>IF(Lists!$C580="","",Lists!$C580)</f>
        <v>0</v>
      </c>
      <c r="U580" s="23">
        <f>IF(T580="","",COUNTIFS('Content Calendar'!$G$5:$G$604,T580,'Content Calendar'!$B$5:$B$604,"&gt;="&amp;DashStart,'Content Calendar'!$B$5:$B$604,"&lt;="&amp;DashEnd))</f>
        <v>0</v>
      </c>
      <c r="V580" s="23">
        <f>IF(T580="","",COUNTIFS('Content Calendar'!$G$5:$G$604,T580,'Content Calendar'!$X$5:$X$604,"Published",'Content Calendar'!$B$5:$B$604,"&gt;="&amp;DashStart,'Content Calendar'!$B$5:$B$604,"&lt;="&amp;DashEnd))</f>
        <v>0</v>
      </c>
      <c r="W580" s="23">
        <f>IF(T580="","",SUMIFS(Analytics!$J$5:$J$154,Analytics!$D$5:$D$154,T580,Analytics!$B$5:$B$154,"&gt;="&amp;DashStart,Analytics!$B$5:$B$154,"&lt;="&amp;DashEnd))</f>
        <v>0</v>
      </c>
      <c r="X580" s="23">
        <f>IF(T580="","",SUMIFS(Analytics!$L$5:$L$154,Analytics!$D$5:$D$154,T580,Analytics!$B$5:$B$154,"&gt;="&amp;DashStart,Analytics!$B$5:$B$154,"&lt;="&amp;DashEnd))</f>
        <v>0</v>
      </c>
      <c r="Y580" s="24">
        <f>IF(OR(W580="",W580=0),"",X580/W580)</f>
        <v>0</v>
      </c>
      <c r="Z580" s="23">
        <f>IF(T580="","",SUMIFS(Analytics!$G$5:$G$154,Analytics!$D$5:$D$154,T580,Analytics!$B$5:$B$154,"&gt;="&amp;DashStart,Analytics!$B$5:$B$154,"&lt;="&amp;DashEnd))</f>
        <v>0</v>
      </c>
      <c r="AA580" s="23">
        <f>IF(T580="","",SUMIFS(Analytics!$X$5:$X$154,Analytics!$D$5:$D$154,T580,Analytics!$B$5:$B$154,"&gt;="&amp;DashStart,Analytics!$B$5:$B$154,"&lt;="&amp;DashEnd))</f>
        <v>0</v>
      </c>
      <c r="AB580" s="23">
        <f>IF(T580="","",SUMIFS(Analytics!$R$5:$R$154,Analytics!$D$5:$D$154,T580,Analytics!$B$5:$B$154,"&gt;="&amp;DashStart,Analytics!$B$5:$B$154,"&lt;="&amp;DashEnd))</f>
        <v>0</v>
      </c>
      <c r="AC580" s="25">
        <f>IF(T580="","",SUMIFS(Analytics!$U$5:$U$154,Analytics!$D$5:$D$154,T580,Analytics!$B$5:$B$154,"&gt;="&amp;DashStart,Analytics!$B$5:$B$154,"&lt;="&amp;DashEnd))</f>
        <v>0</v>
      </c>
      <c r="AD580" s="23">
        <f>IF(T580="","",COUNTIFS('Content Calendar'!$G$5:$G$604,T580,'Content Calendar'!$B$5:$B$604,"&gt;="&amp;DATE(PlanYear,1,1),'Content Calendar'!$B$5:$B$604,"&lt;="&amp;DATE(PlanYear,12,31)))</f>
        <v>0</v>
      </c>
      <c r="AE580" s="23">
        <f>IF(T580="","",SUMIFS(Analytics!$J$5:$J$154,Analytics!$D$5:$D$154,T580))</f>
        <v>0</v>
      </c>
      <c r="AF580" s="23">
        <f>IF(T580="","",SUMIFS(Analytics!$L$5:$L$154,Analytics!$D$5:$D$154,T580))</f>
        <v>0</v>
      </c>
      <c r="AG580" s="24">
        <f>IF(OR(AE580="",AE580=0),"",AF580/AE580)</f>
        <v>0</v>
      </c>
      <c r="AH580" s="23">
        <f>IF(T580="","",SUMIFS(Analytics!$X$5:$X$154,Analytics!$D$5:$D$154,T580))</f>
        <v>0</v>
      </c>
      <c r="AI580" s="32">
        <f>IF(T580="","",IF(AE580=0,"",AE580+ROW()/1000000))</f>
        <v>0</v>
      </c>
      <c r="AJ580" s="17">
        <f>IF('Content Pillars'!$B$580="","",'Content Pillars'!$B$580)</f>
        <v>0</v>
      </c>
      <c r="AK580" s="23">
        <f>IF(AJ580="","",COUNTIFS('Content Calendar'!$J$5:$J$604,AJ580,'Content Calendar'!$B$5:$B$604,"&gt;="&amp;DATE(PlanYear,1,1),'Content Calendar'!$B$5:$B$604,"&lt;="&amp;DATE(PlanYear,12,31)))</f>
        <v>0</v>
      </c>
      <c r="AL580" s="23">
        <f>IF(AJ580="","",SUMIFS(Performance!$O$5:$O$404,Performance!$H$5:$H$404,AJ580))</f>
        <v>0</v>
      </c>
      <c r="AM580" s="23">
        <f>IF(AJ580="","",SUMIFS(Performance!$Z$5:$Z$404,Performance!$H$5:$H$404,AJ580))</f>
        <v>0</v>
      </c>
      <c r="AN580" s="24">
        <f>IF(OR(AL580="",AL580=0),"",AM580/AL580)</f>
        <v>0</v>
      </c>
      <c r="AO580" s="32">
        <f>IF(AN580="","",AN580+ROW()/1000000)</f>
        <v>0</v>
      </c>
      <c r="AP580" s="17">
        <f>IF(Lists!$E580="","",Lists!$E580)</f>
        <v>0</v>
      </c>
      <c r="AQ580" s="23">
        <f>IF(AP580="","",COUNTIF(Performance!$G$5:$G$404,AP580))</f>
        <v>0</v>
      </c>
      <c r="AR580" s="23">
        <f>IF(AP580="","",SUMIFS(Performance!$O$5:$O$404,Performance!$G$5:$G$404,AP580))</f>
        <v>0</v>
      </c>
      <c r="AS580" s="23">
        <f>IF(AP580="","",SUMIFS(Performance!$Z$5:$Z$404,Performance!$G$5:$G$404,AP580))</f>
        <v>0</v>
      </c>
      <c r="AT580" s="24">
        <f>IF(OR(AR580="",AR580=0),"",AS580/AR580)</f>
        <v>0</v>
      </c>
      <c r="AU580" s="32">
        <f>IF(AQ580=0,"",IF(AT580="","",AT580+ROW()/1000000))</f>
        <v>0</v>
      </c>
      <c r="AV580" s="17">
        <f>IF(ROW()-4&gt;7,"",TEXT(DATE(2024,1,ROW()-4),"ddd"))</f>
        <v>0</v>
      </c>
      <c r="AW580" s="23">
        <f>IF(AV580="","",COUNTIF(Performance!$N$5:$N$404,AV580))</f>
        <v>0</v>
      </c>
      <c r="AX580" s="23">
        <f>IF(AV580="","",SUMIFS(Performance!$O$5:$O$404,Performance!$N$5:$N$404,AV580))</f>
        <v>0</v>
      </c>
      <c r="AY580" s="23">
        <f>IF(AV580="","",SUMIFS(Performance!$Z$5:$Z$404,Performance!$N$5:$N$404,AV580))</f>
        <v>0</v>
      </c>
      <c r="AZ580" s="24">
        <f>IF(OR(AX580="",AX580=0),"",AY580/AX580)</f>
        <v>0</v>
      </c>
      <c r="BA580" s="32">
        <f>IF(AW580=0,"",IF(AZ580="","",AZ580+ROW()/1000000))</f>
        <v>0</v>
      </c>
      <c r="BB580" s="17">
        <f>IF(Lists!$AL580="","",Lists!$AL580)</f>
        <v>0</v>
      </c>
      <c r="BC580" s="23">
        <f>IF(BB580="","",COUNTIF(Performance!$M$5:$M$404,BB580))</f>
        <v>0</v>
      </c>
      <c r="BD580" s="23">
        <f>IF(BB580="","",SUMIFS(Performance!$O$5:$O$404,Performance!$M$5:$M$404,BB580))</f>
        <v>0</v>
      </c>
      <c r="BE580" s="23">
        <f>IF(BB580="","",SUMIFS(Performance!$Z$5:$Z$404,Performance!$M$5:$M$404,BB580))</f>
        <v>0</v>
      </c>
      <c r="BF580" s="24">
        <f>IF(OR(BD580="",BD580=0),"",BE580/BD580)</f>
        <v>0</v>
      </c>
      <c r="BG580" s="32">
        <f>IF(BC580=0,"",IF(BF580="","",BF580+ROW()/1000000))</f>
        <v>0</v>
      </c>
      <c r="BH580" s="17">
        <f>IF(Performance!$C$580="","",Performance!$C$580)</f>
        <v>0</v>
      </c>
      <c r="BI580" s="17">
        <f>IF(Performance!$F$580="","",Performance!$F$580)</f>
        <v>0</v>
      </c>
      <c r="BJ580" s="17">
        <f>IF(Performance!$H$580="","",Performance!$H$580)</f>
        <v>0</v>
      </c>
      <c r="BK580" s="16">
        <f>IF(Performance!$D$580="","",Performance!$D$580)</f>
        <v>0</v>
      </c>
      <c r="BL580" s="17">
        <f>IF(Performance!$E$580="","",Performance!$E$580)</f>
        <v>0</v>
      </c>
      <c r="BM580" s="23">
        <f>IF(Performance!$O$580="","",Performance!$O$580)</f>
        <v>0</v>
      </c>
      <c r="BN580" s="24">
        <f>IF(Performance!$AA$580="","",Performance!$AA$580)</f>
        <v>0</v>
      </c>
      <c r="BO580" s="32">
        <f>IF(BH580="","",IF(BK580="","",IF(OR(BK580&lt;DashStart,BK580&gt;DashEnd),"",IF(BN580="","",BN580+ROW()/1000000))))</f>
        <v>0</v>
      </c>
      <c r="BP580" s="32">
        <f>IF(BM580="","",IF(BK580="","",IF(OR(BK580&lt;DashStart,BK580&gt;DashEnd),"",BM580+ROW()/1000000)))</f>
        <v>0</v>
      </c>
      <c r="BQ580" s="32">
        <f>IF(BH580="","",IF(BK580="","",IF(YEAR(BK580)&lt;&gt;PlanYear,"",IF(BN580="","",BN580+ROW()/1000000))))</f>
        <v>0</v>
      </c>
      <c r="BR580" s="32">
        <f>IF(BH580="","",IF(BK580="","",IF(OR(BK580&lt;RepFrom,BK580&gt;RepTo),"",IF(BN580="","",BN580+ROW()/1000000))))</f>
        <v>0</v>
      </c>
      <c r="BS580" s="32">
        <f>IF(BM580="","",IF(BK580="","",IF(YEAR(BK580)&lt;&gt;PlanYear,"",BM580+ROW()/1000000)))</f>
        <v>0</v>
      </c>
      <c r="BT580" s="17">
        <f>IF(Lists!$F580="","",Lists!$F580)</f>
        <v>0</v>
      </c>
      <c r="BU580" s="23">
        <f>IF(BT580="","",COUNTIF('Content Calendar'!$X$5:$X$604,BT580))</f>
        <v>0</v>
      </c>
      <c r="BV580" s="23">
        <f>IF(BT580="","",COUNTIFS('Content Calendar'!$X$5:$X$604,BT580,'Content Calendar'!$B$5:$B$604,"&gt;="&amp;DashStart,'Content Calendar'!$B$5:$B$604,"&lt;="&amp;DashEnd))</f>
        <v>0</v>
      </c>
      <c r="BW580" s="17">
        <f>IF(Team!$B$580="","",Team!$B$580)</f>
        <v>0</v>
      </c>
      <c r="BX580" s="23">
        <f>IF(BW580="","",COUNTIF('Content Calendar'!$W$5:$W$604,BW580))</f>
        <v>0</v>
      </c>
      <c r="BY580" s="23">
        <f>IF(BW580="","",COUNTIFS('Content Calendar'!$W$5:$W$604,BW580,'Content Calendar'!$X$5:$X$604,"&lt;&gt;Published"))</f>
        <v>0</v>
      </c>
      <c r="BZ580" s="23">
        <f>IF(BW580="","",COUNTIFS(Tasks!$C$5:$C$64,BW580,Tasks!$G$5:$G$64,"&lt;&gt;Complete"))</f>
        <v>0</v>
      </c>
      <c r="CA580" s="17">
        <f>IF(Campaigns!$B$580="","",Campaigns!$B$580)</f>
        <v>0</v>
      </c>
      <c r="CB580" s="25">
        <f>IF(Campaigns!$T$580="","",Campaigns!$T$580)</f>
        <v>0</v>
      </c>
      <c r="CC580" s="25">
        <f>IF(Campaigns!$Q$580="","",Campaigns!$Q$580)</f>
        <v>0</v>
      </c>
      <c r="CD580" s="23">
        <f>IF(Campaigns!$Y$580="","",Campaigns!$Y$580)</f>
        <v>0</v>
      </c>
      <c r="CE580" s="32">
        <f>IF(CA580="","",IF(N(CB580)&lt;=0,"",N(CB580)+ROW()/1000000))</f>
        <v>0</v>
      </c>
      <c r="CF580" s="17">
        <f>IF(Accounts!$C$580="","",Accounts!$C$580)</f>
        <v>0</v>
      </c>
      <c r="CG580" s="17">
        <f>IF(Accounts!$B$580="","",Accounts!$B$580)</f>
        <v>0</v>
      </c>
      <c r="CH580" s="23">
        <f>IF(Accounts!$J$580="","",Accounts!$J$580)</f>
        <v>0</v>
      </c>
      <c r="CI580" s="23">
        <f>IF(CF580="","",SUMIFS(Analytics!$X$5:$X$154,Analytics!$E$5:$E$154,CF580,Analytics!$B$5:$B$154,"&gt;="&amp;DashStart,Analytics!$B$5:$B$154,"&lt;="&amp;DashEnd))</f>
        <v>0</v>
      </c>
      <c r="CJ580" s="32">
        <f>IF(CH580="","",IF(CH580=0,"",CH580+ROW()/1000000))</f>
        <v>0</v>
      </c>
    </row>
    <row r="581" spans="1:88">
      <c r="A581" s="16">
        <f>IF(ROW()-4&gt;12,"",DATE(PlanYear,ROW()-4,1))</f>
        <v>0</v>
      </c>
      <c r="B581" s="16">
        <f>IF(A581="","",EOMONTH(A581,0))</f>
        <v>0</v>
      </c>
      <c r="C581" s="17">
        <f>IF(A581="","",TEXT(A581,"yyyy-mm"))</f>
        <v>0</v>
      </c>
      <c r="D581" s="17">
        <f>IF(A581="","",TEXT(A581,"mmm"))</f>
        <v>0</v>
      </c>
      <c r="E581" s="23">
        <f>IF(C581="","",COUNTIFS('Content Calendar'!$D$5:$D$604,C581))</f>
        <v>0</v>
      </c>
      <c r="F581" s="23">
        <f>IF(C581="","",COUNTIFS('Content Calendar'!$D$5:$D$604,C581,'Content Calendar'!$X$5:$X$604,"Published"))</f>
        <v>0</v>
      </c>
      <c r="G581" s="23">
        <f>IF(C581="","",SUMIFS(Analytics!$J$5:$J$154,Analytics!$C$5:$C$154,C581))</f>
        <v>0</v>
      </c>
      <c r="H581" s="23">
        <f>IF(C581="","",SUMIFS(Analytics!$K$5:$K$154,Analytics!$C$5:$C$154,C581))</f>
        <v>0</v>
      </c>
      <c r="I581" s="23">
        <f>IF(C581="","",SUMIFS(Analytics!$L$5:$L$154,Analytics!$C$5:$C$154,C581))</f>
        <v>0</v>
      </c>
      <c r="J581" s="24">
        <f>IF(OR(G581="",G581=0),"",I581/G581)</f>
        <v>0</v>
      </c>
      <c r="K581" s="23">
        <f>IF(C581="","",SUMIFS(Analytics!$G$5:$G$154,Analytics!$C$5:$C$154,C581))</f>
        <v>0</v>
      </c>
      <c r="L581" s="23">
        <f>IF(C581="","",SUMIFS(Analytics!$X$5:$X$154,Analytics!$C$5:$C$154,C581))</f>
        <v>0</v>
      </c>
      <c r="M581" s="23">
        <f>IF(C581="","",SUMIFS(Analytics!$R$5:$R$154,Analytics!$C$5:$C$154,C581))</f>
        <v>0</v>
      </c>
      <c r="N581" s="23">
        <f>IF(C581="","",SUMIFS(Analytics!$S$5:$S$154,Analytics!$C$5:$C$154,C581))</f>
        <v>0</v>
      </c>
      <c r="O581" s="23">
        <f>IF(C581="","",SUMIFS(Analytics!$T$5:$T$154,Analytics!$C$5:$C$154,C581))</f>
        <v>0</v>
      </c>
      <c r="P581" s="25">
        <f>IF(C581="","",SUMIFS(Analytics!$U$5:$U$154,Analytics!$C$5:$C$154,C581))</f>
        <v>0</v>
      </c>
      <c r="Q581" s="25">
        <f>IF(C581="","",SUMIFS(Budget!$H$5:$H$64,Budget!$C$5:$C$64,C581))</f>
        <v>0</v>
      </c>
      <c r="R581" s="25">
        <f>IF(C581="","",P581-Q581)</f>
        <v>0</v>
      </c>
      <c r="S581" s="23">
        <f>IF(C581="","",MonthlyPostTarget)</f>
        <v>0</v>
      </c>
      <c r="T581" s="17">
        <f>IF(Lists!$C581="","",Lists!$C581)</f>
        <v>0</v>
      </c>
      <c r="U581" s="23">
        <f>IF(T581="","",COUNTIFS('Content Calendar'!$G$5:$G$604,T581,'Content Calendar'!$B$5:$B$604,"&gt;="&amp;DashStart,'Content Calendar'!$B$5:$B$604,"&lt;="&amp;DashEnd))</f>
        <v>0</v>
      </c>
      <c r="V581" s="23">
        <f>IF(T581="","",COUNTIFS('Content Calendar'!$G$5:$G$604,T581,'Content Calendar'!$X$5:$X$604,"Published",'Content Calendar'!$B$5:$B$604,"&gt;="&amp;DashStart,'Content Calendar'!$B$5:$B$604,"&lt;="&amp;DashEnd))</f>
        <v>0</v>
      </c>
      <c r="W581" s="23">
        <f>IF(T581="","",SUMIFS(Analytics!$J$5:$J$154,Analytics!$D$5:$D$154,T581,Analytics!$B$5:$B$154,"&gt;="&amp;DashStart,Analytics!$B$5:$B$154,"&lt;="&amp;DashEnd))</f>
        <v>0</v>
      </c>
      <c r="X581" s="23">
        <f>IF(T581="","",SUMIFS(Analytics!$L$5:$L$154,Analytics!$D$5:$D$154,T581,Analytics!$B$5:$B$154,"&gt;="&amp;DashStart,Analytics!$B$5:$B$154,"&lt;="&amp;DashEnd))</f>
        <v>0</v>
      </c>
      <c r="Y581" s="24">
        <f>IF(OR(W581="",W581=0),"",X581/W581)</f>
        <v>0</v>
      </c>
      <c r="Z581" s="23">
        <f>IF(T581="","",SUMIFS(Analytics!$G$5:$G$154,Analytics!$D$5:$D$154,T581,Analytics!$B$5:$B$154,"&gt;="&amp;DashStart,Analytics!$B$5:$B$154,"&lt;="&amp;DashEnd))</f>
        <v>0</v>
      </c>
      <c r="AA581" s="23">
        <f>IF(T581="","",SUMIFS(Analytics!$X$5:$X$154,Analytics!$D$5:$D$154,T581,Analytics!$B$5:$B$154,"&gt;="&amp;DashStart,Analytics!$B$5:$B$154,"&lt;="&amp;DashEnd))</f>
        <v>0</v>
      </c>
      <c r="AB581" s="23">
        <f>IF(T581="","",SUMIFS(Analytics!$R$5:$R$154,Analytics!$D$5:$D$154,T581,Analytics!$B$5:$B$154,"&gt;="&amp;DashStart,Analytics!$B$5:$B$154,"&lt;="&amp;DashEnd))</f>
        <v>0</v>
      </c>
      <c r="AC581" s="25">
        <f>IF(T581="","",SUMIFS(Analytics!$U$5:$U$154,Analytics!$D$5:$D$154,T581,Analytics!$B$5:$B$154,"&gt;="&amp;DashStart,Analytics!$B$5:$B$154,"&lt;="&amp;DashEnd))</f>
        <v>0</v>
      </c>
      <c r="AD581" s="23">
        <f>IF(T581="","",COUNTIFS('Content Calendar'!$G$5:$G$604,T581,'Content Calendar'!$B$5:$B$604,"&gt;="&amp;DATE(PlanYear,1,1),'Content Calendar'!$B$5:$B$604,"&lt;="&amp;DATE(PlanYear,12,31)))</f>
        <v>0</v>
      </c>
      <c r="AE581" s="23">
        <f>IF(T581="","",SUMIFS(Analytics!$J$5:$J$154,Analytics!$D$5:$D$154,T581))</f>
        <v>0</v>
      </c>
      <c r="AF581" s="23">
        <f>IF(T581="","",SUMIFS(Analytics!$L$5:$L$154,Analytics!$D$5:$D$154,T581))</f>
        <v>0</v>
      </c>
      <c r="AG581" s="24">
        <f>IF(OR(AE581="",AE581=0),"",AF581/AE581)</f>
        <v>0</v>
      </c>
      <c r="AH581" s="23">
        <f>IF(T581="","",SUMIFS(Analytics!$X$5:$X$154,Analytics!$D$5:$D$154,T581))</f>
        <v>0</v>
      </c>
      <c r="AI581" s="32">
        <f>IF(T581="","",IF(AE581=0,"",AE581+ROW()/1000000))</f>
        <v>0</v>
      </c>
      <c r="AJ581" s="17">
        <f>IF('Content Pillars'!$B$581="","",'Content Pillars'!$B$581)</f>
        <v>0</v>
      </c>
      <c r="AK581" s="23">
        <f>IF(AJ581="","",COUNTIFS('Content Calendar'!$J$5:$J$604,AJ581,'Content Calendar'!$B$5:$B$604,"&gt;="&amp;DATE(PlanYear,1,1),'Content Calendar'!$B$5:$B$604,"&lt;="&amp;DATE(PlanYear,12,31)))</f>
        <v>0</v>
      </c>
      <c r="AL581" s="23">
        <f>IF(AJ581="","",SUMIFS(Performance!$O$5:$O$404,Performance!$H$5:$H$404,AJ581))</f>
        <v>0</v>
      </c>
      <c r="AM581" s="23">
        <f>IF(AJ581="","",SUMIFS(Performance!$Z$5:$Z$404,Performance!$H$5:$H$404,AJ581))</f>
        <v>0</v>
      </c>
      <c r="AN581" s="24">
        <f>IF(OR(AL581="",AL581=0),"",AM581/AL581)</f>
        <v>0</v>
      </c>
      <c r="AO581" s="32">
        <f>IF(AN581="","",AN581+ROW()/1000000)</f>
        <v>0</v>
      </c>
      <c r="AP581" s="17">
        <f>IF(Lists!$E581="","",Lists!$E581)</f>
        <v>0</v>
      </c>
      <c r="AQ581" s="23">
        <f>IF(AP581="","",COUNTIF(Performance!$G$5:$G$404,AP581))</f>
        <v>0</v>
      </c>
      <c r="AR581" s="23">
        <f>IF(AP581="","",SUMIFS(Performance!$O$5:$O$404,Performance!$G$5:$G$404,AP581))</f>
        <v>0</v>
      </c>
      <c r="AS581" s="23">
        <f>IF(AP581="","",SUMIFS(Performance!$Z$5:$Z$404,Performance!$G$5:$G$404,AP581))</f>
        <v>0</v>
      </c>
      <c r="AT581" s="24">
        <f>IF(OR(AR581="",AR581=0),"",AS581/AR581)</f>
        <v>0</v>
      </c>
      <c r="AU581" s="32">
        <f>IF(AQ581=0,"",IF(AT581="","",AT581+ROW()/1000000))</f>
        <v>0</v>
      </c>
      <c r="AV581" s="17">
        <f>IF(ROW()-4&gt;7,"",TEXT(DATE(2024,1,ROW()-4),"ddd"))</f>
        <v>0</v>
      </c>
      <c r="AW581" s="23">
        <f>IF(AV581="","",COUNTIF(Performance!$N$5:$N$404,AV581))</f>
        <v>0</v>
      </c>
      <c r="AX581" s="23">
        <f>IF(AV581="","",SUMIFS(Performance!$O$5:$O$404,Performance!$N$5:$N$404,AV581))</f>
        <v>0</v>
      </c>
      <c r="AY581" s="23">
        <f>IF(AV581="","",SUMIFS(Performance!$Z$5:$Z$404,Performance!$N$5:$N$404,AV581))</f>
        <v>0</v>
      </c>
      <c r="AZ581" s="24">
        <f>IF(OR(AX581="",AX581=0),"",AY581/AX581)</f>
        <v>0</v>
      </c>
      <c r="BA581" s="32">
        <f>IF(AW581=0,"",IF(AZ581="","",AZ581+ROW()/1000000))</f>
        <v>0</v>
      </c>
      <c r="BB581" s="17">
        <f>IF(Lists!$AL581="","",Lists!$AL581)</f>
        <v>0</v>
      </c>
      <c r="BC581" s="23">
        <f>IF(BB581="","",COUNTIF(Performance!$M$5:$M$404,BB581))</f>
        <v>0</v>
      </c>
      <c r="BD581" s="23">
        <f>IF(BB581="","",SUMIFS(Performance!$O$5:$O$404,Performance!$M$5:$M$404,BB581))</f>
        <v>0</v>
      </c>
      <c r="BE581" s="23">
        <f>IF(BB581="","",SUMIFS(Performance!$Z$5:$Z$404,Performance!$M$5:$M$404,BB581))</f>
        <v>0</v>
      </c>
      <c r="BF581" s="24">
        <f>IF(OR(BD581="",BD581=0),"",BE581/BD581)</f>
        <v>0</v>
      </c>
      <c r="BG581" s="32">
        <f>IF(BC581=0,"",IF(BF581="","",BF581+ROW()/1000000))</f>
        <v>0</v>
      </c>
      <c r="BH581" s="17">
        <f>IF(Performance!$C$581="","",Performance!$C$581)</f>
        <v>0</v>
      </c>
      <c r="BI581" s="17">
        <f>IF(Performance!$F$581="","",Performance!$F$581)</f>
        <v>0</v>
      </c>
      <c r="BJ581" s="17">
        <f>IF(Performance!$H$581="","",Performance!$H$581)</f>
        <v>0</v>
      </c>
      <c r="BK581" s="16">
        <f>IF(Performance!$D$581="","",Performance!$D$581)</f>
        <v>0</v>
      </c>
      <c r="BL581" s="17">
        <f>IF(Performance!$E$581="","",Performance!$E$581)</f>
        <v>0</v>
      </c>
      <c r="BM581" s="23">
        <f>IF(Performance!$O$581="","",Performance!$O$581)</f>
        <v>0</v>
      </c>
      <c r="BN581" s="24">
        <f>IF(Performance!$AA$581="","",Performance!$AA$581)</f>
        <v>0</v>
      </c>
      <c r="BO581" s="32">
        <f>IF(BH581="","",IF(BK581="","",IF(OR(BK581&lt;DashStart,BK581&gt;DashEnd),"",IF(BN581="","",BN581+ROW()/1000000))))</f>
        <v>0</v>
      </c>
      <c r="BP581" s="32">
        <f>IF(BM581="","",IF(BK581="","",IF(OR(BK581&lt;DashStart,BK581&gt;DashEnd),"",BM581+ROW()/1000000)))</f>
        <v>0</v>
      </c>
      <c r="BQ581" s="32">
        <f>IF(BH581="","",IF(BK581="","",IF(YEAR(BK581)&lt;&gt;PlanYear,"",IF(BN581="","",BN581+ROW()/1000000))))</f>
        <v>0</v>
      </c>
      <c r="BR581" s="32">
        <f>IF(BH581="","",IF(BK581="","",IF(OR(BK581&lt;RepFrom,BK581&gt;RepTo),"",IF(BN581="","",BN581+ROW()/1000000))))</f>
        <v>0</v>
      </c>
      <c r="BS581" s="32">
        <f>IF(BM581="","",IF(BK581="","",IF(YEAR(BK581)&lt;&gt;PlanYear,"",BM581+ROW()/1000000)))</f>
        <v>0</v>
      </c>
      <c r="BT581" s="17">
        <f>IF(Lists!$F581="","",Lists!$F581)</f>
        <v>0</v>
      </c>
      <c r="BU581" s="23">
        <f>IF(BT581="","",COUNTIF('Content Calendar'!$X$5:$X$604,BT581))</f>
        <v>0</v>
      </c>
      <c r="BV581" s="23">
        <f>IF(BT581="","",COUNTIFS('Content Calendar'!$X$5:$X$604,BT581,'Content Calendar'!$B$5:$B$604,"&gt;="&amp;DashStart,'Content Calendar'!$B$5:$B$604,"&lt;="&amp;DashEnd))</f>
        <v>0</v>
      </c>
      <c r="BW581" s="17">
        <f>IF(Team!$B$581="","",Team!$B$581)</f>
        <v>0</v>
      </c>
      <c r="BX581" s="23">
        <f>IF(BW581="","",COUNTIF('Content Calendar'!$W$5:$W$604,BW581))</f>
        <v>0</v>
      </c>
      <c r="BY581" s="23">
        <f>IF(BW581="","",COUNTIFS('Content Calendar'!$W$5:$W$604,BW581,'Content Calendar'!$X$5:$X$604,"&lt;&gt;Published"))</f>
        <v>0</v>
      </c>
      <c r="BZ581" s="23">
        <f>IF(BW581="","",COUNTIFS(Tasks!$C$5:$C$64,BW581,Tasks!$G$5:$G$64,"&lt;&gt;Complete"))</f>
        <v>0</v>
      </c>
      <c r="CA581" s="17">
        <f>IF(Campaigns!$B$581="","",Campaigns!$B$581)</f>
        <v>0</v>
      </c>
      <c r="CB581" s="25">
        <f>IF(Campaigns!$T$581="","",Campaigns!$T$581)</f>
        <v>0</v>
      </c>
      <c r="CC581" s="25">
        <f>IF(Campaigns!$Q$581="","",Campaigns!$Q$581)</f>
        <v>0</v>
      </c>
      <c r="CD581" s="23">
        <f>IF(Campaigns!$Y$581="","",Campaigns!$Y$581)</f>
        <v>0</v>
      </c>
      <c r="CE581" s="32">
        <f>IF(CA581="","",IF(N(CB581)&lt;=0,"",N(CB581)+ROW()/1000000))</f>
        <v>0</v>
      </c>
      <c r="CF581" s="17">
        <f>IF(Accounts!$C$581="","",Accounts!$C$581)</f>
        <v>0</v>
      </c>
      <c r="CG581" s="17">
        <f>IF(Accounts!$B$581="","",Accounts!$B$581)</f>
        <v>0</v>
      </c>
      <c r="CH581" s="23">
        <f>IF(Accounts!$J$581="","",Accounts!$J$581)</f>
        <v>0</v>
      </c>
      <c r="CI581" s="23">
        <f>IF(CF581="","",SUMIFS(Analytics!$X$5:$X$154,Analytics!$E$5:$E$154,CF581,Analytics!$B$5:$B$154,"&gt;="&amp;DashStart,Analytics!$B$5:$B$154,"&lt;="&amp;DashEnd))</f>
        <v>0</v>
      </c>
      <c r="CJ581" s="32">
        <f>IF(CH581="","",IF(CH581=0,"",CH581+ROW()/1000000))</f>
        <v>0</v>
      </c>
    </row>
    <row r="582" spans="1:88">
      <c r="A582" s="16">
        <f>IF(ROW()-4&gt;12,"",DATE(PlanYear,ROW()-4,1))</f>
        <v>0</v>
      </c>
      <c r="B582" s="16">
        <f>IF(A582="","",EOMONTH(A582,0))</f>
        <v>0</v>
      </c>
      <c r="C582" s="17">
        <f>IF(A582="","",TEXT(A582,"yyyy-mm"))</f>
        <v>0</v>
      </c>
      <c r="D582" s="17">
        <f>IF(A582="","",TEXT(A582,"mmm"))</f>
        <v>0</v>
      </c>
      <c r="E582" s="23">
        <f>IF(C582="","",COUNTIFS('Content Calendar'!$D$5:$D$604,C582))</f>
        <v>0</v>
      </c>
      <c r="F582" s="23">
        <f>IF(C582="","",COUNTIFS('Content Calendar'!$D$5:$D$604,C582,'Content Calendar'!$X$5:$X$604,"Published"))</f>
        <v>0</v>
      </c>
      <c r="G582" s="23">
        <f>IF(C582="","",SUMIFS(Analytics!$J$5:$J$154,Analytics!$C$5:$C$154,C582))</f>
        <v>0</v>
      </c>
      <c r="H582" s="23">
        <f>IF(C582="","",SUMIFS(Analytics!$K$5:$K$154,Analytics!$C$5:$C$154,C582))</f>
        <v>0</v>
      </c>
      <c r="I582" s="23">
        <f>IF(C582="","",SUMIFS(Analytics!$L$5:$L$154,Analytics!$C$5:$C$154,C582))</f>
        <v>0</v>
      </c>
      <c r="J582" s="24">
        <f>IF(OR(G582="",G582=0),"",I582/G582)</f>
        <v>0</v>
      </c>
      <c r="K582" s="23">
        <f>IF(C582="","",SUMIFS(Analytics!$G$5:$G$154,Analytics!$C$5:$C$154,C582))</f>
        <v>0</v>
      </c>
      <c r="L582" s="23">
        <f>IF(C582="","",SUMIFS(Analytics!$X$5:$X$154,Analytics!$C$5:$C$154,C582))</f>
        <v>0</v>
      </c>
      <c r="M582" s="23">
        <f>IF(C582="","",SUMIFS(Analytics!$R$5:$R$154,Analytics!$C$5:$C$154,C582))</f>
        <v>0</v>
      </c>
      <c r="N582" s="23">
        <f>IF(C582="","",SUMIFS(Analytics!$S$5:$S$154,Analytics!$C$5:$C$154,C582))</f>
        <v>0</v>
      </c>
      <c r="O582" s="23">
        <f>IF(C582="","",SUMIFS(Analytics!$T$5:$T$154,Analytics!$C$5:$C$154,C582))</f>
        <v>0</v>
      </c>
      <c r="P582" s="25">
        <f>IF(C582="","",SUMIFS(Analytics!$U$5:$U$154,Analytics!$C$5:$C$154,C582))</f>
        <v>0</v>
      </c>
      <c r="Q582" s="25">
        <f>IF(C582="","",SUMIFS(Budget!$H$5:$H$64,Budget!$C$5:$C$64,C582))</f>
        <v>0</v>
      </c>
      <c r="R582" s="25">
        <f>IF(C582="","",P582-Q582)</f>
        <v>0</v>
      </c>
      <c r="S582" s="23">
        <f>IF(C582="","",MonthlyPostTarget)</f>
        <v>0</v>
      </c>
      <c r="T582" s="17">
        <f>IF(Lists!$C582="","",Lists!$C582)</f>
        <v>0</v>
      </c>
      <c r="U582" s="23">
        <f>IF(T582="","",COUNTIFS('Content Calendar'!$G$5:$G$604,T582,'Content Calendar'!$B$5:$B$604,"&gt;="&amp;DashStart,'Content Calendar'!$B$5:$B$604,"&lt;="&amp;DashEnd))</f>
        <v>0</v>
      </c>
      <c r="V582" s="23">
        <f>IF(T582="","",COUNTIFS('Content Calendar'!$G$5:$G$604,T582,'Content Calendar'!$X$5:$X$604,"Published",'Content Calendar'!$B$5:$B$604,"&gt;="&amp;DashStart,'Content Calendar'!$B$5:$B$604,"&lt;="&amp;DashEnd))</f>
        <v>0</v>
      </c>
      <c r="W582" s="23">
        <f>IF(T582="","",SUMIFS(Analytics!$J$5:$J$154,Analytics!$D$5:$D$154,T582,Analytics!$B$5:$B$154,"&gt;="&amp;DashStart,Analytics!$B$5:$B$154,"&lt;="&amp;DashEnd))</f>
        <v>0</v>
      </c>
      <c r="X582" s="23">
        <f>IF(T582="","",SUMIFS(Analytics!$L$5:$L$154,Analytics!$D$5:$D$154,T582,Analytics!$B$5:$B$154,"&gt;="&amp;DashStart,Analytics!$B$5:$B$154,"&lt;="&amp;DashEnd))</f>
        <v>0</v>
      </c>
      <c r="Y582" s="24">
        <f>IF(OR(W582="",W582=0),"",X582/W582)</f>
        <v>0</v>
      </c>
      <c r="Z582" s="23">
        <f>IF(T582="","",SUMIFS(Analytics!$G$5:$G$154,Analytics!$D$5:$D$154,T582,Analytics!$B$5:$B$154,"&gt;="&amp;DashStart,Analytics!$B$5:$B$154,"&lt;="&amp;DashEnd))</f>
        <v>0</v>
      </c>
      <c r="AA582" s="23">
        <f>IF(T582="","",SUMIFS(Analytics!$X$5:$X$154,Analytics!$D$5:$D$154,T582,Analytics!$B$5:$B$154,"&gt;="&amp;DashStart,Analytics!$B$5:$B$154,"&lt;="&amp;DashEnd))</f>
        <v>0</v>
      </c>
      <c r="AB582" s="23">
        <f>IF(T582="","",SUMIFS(Analytics!$R$5:$R$154,Analytics!$D$5:$D$154,T582,Analytics!$B$5:$B$154,"&gt;="&amp;DashStart,Analytics!$B$5:$B$154,"&lt;="&amp;DashEnd))</f>
        <v>0</v>
      </c>
      <c r="AC582" s="25">
        <f>IF(T582="","",SUMIFS(Analytics!$U$5:$U$154,Analytics!$D$5:$D$154,T582,Analytics!$B$5:$B$154,"&gt;="&amp;DashStart,Analytics!$B$5:$B$154,"&lt;="&amp;DashEnd))</f>
        <v>0</v>
      </c>
      <c r="AD582" s="23">
        <f>IF(T582="","",COUNTIFS('Content Calendar'!$G$5:$G$604,T582,'Content Calendar'!$B$5:$B$604,"&gt;="&amp;DATE(PlanYear,1,1),'Content Calendar'!$B$5:$B$604,"&lt;="&amp;DATE(PlanYear,12,31)))</f>
        <v>0</v>
      </c>
      <c r="AE582" s="23">
        <f>IF(T582="","",SUMIFS(Analytics!$J$5:$J$154,Analytics!$D$5:$D$154,T582))</f>
        <v>0</v>
      </c>
      <c r="AF582" s="23">
        <f>IF(T582="","",SUMIFS(Analytics!$L$5:$L$154,Analytics!$D$5:$D$154,T582))</f>
        <v>0</v>
      </c>
      <c r="AG582" s="24">
        <f>IF(OR(AE582="",AE582=0),"",AF582/AE582)</f>
        <v>0</v>
      </c>
      <c r="AH582" s="23">
        <f>IF(T582="","",SUMIFS(Analytics!$X$5:$X$154,Analytics!$D$5:$D$154,T582))</f>
        <v>0</v>
      </c>
      <c r="AI582" s="32">
        <f>IF(T582="","",IF(AE582=0,"",AE582+ROW()/1000000))</f>
        <v>0</v>
      </c>
      <c r="AJ582" s="17">
        <f>IF('Content Pillars'!$B$582="","",'Content Pillars'!$B$582)</f>
        <v>0</v>
      </c>
      <c r="AK582" s="23">
        <f>IF(AJ582="","",COUNTIFS('Content Calendar'!$J$5:$J$604,AJ582,'Content Calendar'!$B$5:$B$604,"&gt;="&amp;DATE(PlanYear,1,1),'Content Calendar'!$B$5:$B$604,"&lt;="&amp;DATE(PlanYear,12,31)))</f>
        <v>0</v>
      </c>
      <c r="AL582" s="23">
        <f>IF(AJ582="","",SUMIFS(Performance!$O$5:$O$404,Performance!$H$5:$H$404,AJ582))</f>
        <v>0</v>
      </c>
      <c r="AM582" s="23">
        <f>IF(AJ582="","",SUMIFS(Performance!$Z$5:$Z$404,Performance!$H$5:$H$404,AJ582))</f>
        <v>0</v>
      </c>
      <c r="AN582" s="24">
        <f>IF(OR(AL582="",AL582=0),"",AM582/AL582)</f>
        <v>0</v>
      </c>
      <c r="AO582" s="32">
        <f>IF(AN582="","",AN582+ROW()/1000000)</f>
        <v>0</v>
      </c>
      <c r="AP582" s="17">
        <f>IF(Lists!$E582="","",Lists!$E582)</f>
        <v>0</v>
      </c>
      <c r="AQ582" s="23">
        <f>IF(AP582="","",COUNTIF(Performance!$G$5:$G$404,AP582))</f>
        <v>0</v>
      </c>
      <c r="AR582" s="23">
        <f>IF(AP582="","",SUMIFS(Performance!$O$5:$O$404,Performance!$G$5:$G$404,AP582))</f>
        <v>0</v>
      </c>
      <c r="AS582" s="23">
        <f>IF(AP582="","",SUMIFS(Performance!$Z$5:$Z$404,Performance!$G$5:$G$404,AP582))</f>
        <v>0</v>
      </c>
      <c r="AT582" s="24">
        <f>IF(OR(AR582="",AR582=0),"",AS582/AR582)</f>
        <v>0</v>
      </c>
      <c r="AU582" s="32">
        <f>IF(AQ582=0,"",IF(AT582="","",AT582+ROW()/1000000))</f>
        <v>0</v>
      </c>
      <c r="AV582" s="17">
        <f>IF(ROW()-4&gt;7,"",TEXT(DATE(2024,1,ROW()-4),"ddd"))</f>
        <v>0</v>
      </c>
      <c r="AW582" s="23">
        <f>IF(AV582="","",COUNTIF(Performance!$N$5:$N$404,AV582))</f>
        <v>0</v>
      </c>
      <c r="AX582" s="23">
        <f>IF(AV582="","",SUMIFS(Performance!$O$5:$O$404,Performance!$N$5:$N$404,AV582))</f>
        <v>0</v>
      </c>
      <c r="AY582" s="23">
        <f>IF(AV582="","",SUMIFS(Performance!$Z$5:$Z$404,Performance!$N$5:$N$404,AV582))</f>
        <v>0</v>
      </c>
      <c r="AZ582" s="24">
        <f>IF(OR(AX582="",AX582=0),"",AY582/AX582)</f>
        <v>0</v>
      </c>
      <c r="BA582" s="32">
        <f>IF(AW582=0,"",IF(AZ582="","",AZ582+ROW()/1000000))</f>
        <v>0</v>
      </c>
      <c r="BB582" s="17">
        <f>IF(Lists!$AL582="","",Lists!$AL582)</f>
        <v>0</v>
      </c>
      <c r="BC582" s="23">
        <f>IF(BB582="","",COUNTIF(Performance!$M$5:$M$404,BB582))</f>
        <v>0</v>
      </c>
      <c r="BD582" s="23">
        <f>IF(BB582="","",SUMIFS(Performance!$O$5:$O$404,Performance!$M$5:$M$404,BB582))</f>
        <v>0</v>
      </c>
      <c r="BE582" s="23">
        <f>IF(BB582="","",SUMIFS(Performance!$Z$5:$Z$404,Performance!$M$5:$M$404,BB582))</f>
        <v>0</v>
      </c>
      <c r="BF582" s="24">
        <f>IF(OR(BD582="",BD582=0),"",BE582/BD582)</f>
        <v>0</v>
      </c>
      <c r="BG582" s="32">
        <f>IF(BC582=0,"",IF(BF582="","",BF582+ROW()/1000000))</f>
        <v>0</v>
      </c>
      <c r="BH582" s="17">
        <f>IF(Performance!$C$582="","",Performance!$C$582)</f>
        <v>0</v>
      </c>
      <c r="BI582" s="17">
        <f>IF(Performance!$F$582="","",Performance!$F$582)</f>
        <v>0</v>
      </c>
      <c r="BJ582" s="17">
        <f>IF(Performance!$H$582="","",Performance!$H$582)</f>
        <v>0</v>
      </c>
      <c r="BK582" s="16">
        <f>IF(Performance!$D$582="","",Performance!$D$582)</f>
        <v>0</v>
      </c>
      <c r="BL582" s="17">
        <f>IF(Performance!$E$582="","",Performance!$E$582)</f>
        <v>0</v>
      </c>
      <c r="BM582" s="23">
        <f>IF(Performance!$O$582="","",Performance!$O$582)</f>
        <v>0</v>
      </c>
      <c r="BN582" s="24">
        <f>IF(Performance!$AA$582="","",Performance!$AA$582)</f>
        <v>0</v>
      </c>
      <c r="BO582" s="32">
        <f>IF(BH582="","",IF(BK582="","",IF(OR(BK582&lt;DashStart,BK582&gt;DashEnd),"",IF(BN582="","",BN582+ROW()/1000000))))</f>
        <v>0</v>
      </c>
      <c r="BP582" s="32">
        <f>IF(BM582="","",IF(BK582="","",IF(OR(BK582&lt;DashStart,BK582&gt;DashEnd),"",BM582+ROW()/1000000)))</f>
        <v>0</v>
      </c>
      <c r="BQ582" s="32">
        <f>IF(BH582="","",IF(BK582="","",IF(YEAR(BK582)&lt;&gt;PlanYear,"",IF(BN582="","",BN582+ROW()/1000000))))</f>
        <v>0</v>
      </c>
      <c r="BR582" s="32">
        <f>IF(BH582="","",IF(BK582="","",IF(OR(BK582&lt;RepFrom,BK582&gt;RepTo),"",IF(BN582="","",BN582+ROW()/1000000))))</f>
        <v>0</v>
      </c>
      <c r="BS582" s="32">
        <f>IF(BM582="","",IF(BK582="","",IF(YEAR(BK582)&lt;&gt;PlanYear,"",BM582+ROW()/1000000)))</f>
        <v>0</v>
      </c>
      <c r="BT582" s="17">
        <f>IF(Lists!$F582="","",Lists!$F582)</f>
        <v>0</v>
      </c>
      <c r="BU582" s="23">
        <f>IF(BT582="","",COUNTIF('Content Calendar'!$X$5:$X$604,BT582))</f>
        <v>0</v>
      </c>
      <c r="BV582" s="23">
        <f>IF(BT582="","",COUNTIFS('Content Calendar'!$X$5:$X$604,BT582,'Content Calendar'!$B$5:$B$604,"&gt;="&amp;DashStart,'Content Calendar'!$B$5:$B$604,"&lt;="&amp;DashEnd))</f>
        <v>0</v>
      </c>
      <c r="BW582" s="17">
        <f>IF(Team!$B$582="","",Team!$B$582)</f>
        <v>0</v>
      </c>
      <c r="BX582" s="23">
        <f>IF(BW582="","",COUNTIF('Content Calendar'!$W$5:$W$604,BW582))</f>
        <v>0</v>
      </c>
      <c r="BY582" s="23">
        <f>IF(BW582="","",COUNTIFS('Content Calendar'!$W$5:$W$604,BW582,'Content Calendar'!$X$5:$X$604,"&lt;&gt;Published"))</f>
        <v>0</v>
      </c>
      <c r="BZ582" s="23">
        <f>IF(BW582="","",COUNTIFS(Tasks!$C$5:$C$64,BW582,Tasks!$G$5:$G$64,"&lt;&gt;Complete"))</f>
        <v>0</v>
      </c>
      <c r="CA582" s="17">
        <f>IF(Campaigns!$B$582="","",Campaigns!$B$582)</f>
        <v>0</v>
      </c>
      <c r="CB582" s="25">
        <f>IF(Campaigns!$T$582="","",Campaigns!$T$582)</f>
        <v>0</v>
      </c>
      <c r="CC582" s="25">
        <f>IF(Campaigns!$Q$582="","",Campaigns!$Q$582)</f>
        <v>0</v>
      </c>
      <c r="CD582" s="23">
        <f>IF(Campaigns!$Y$582="","",Campaigns!$Y$582)</f>
        <v>0</v>
      </c>
      <c r="CE582" s="32">
        <f>IF(CA582="","",IF(N(CB582)&lt;=0,"",N(CB582)+ROW()/1000000))</f>
        <v>0</v>
      </c>
      <c r="CF582" s="17">
        <f>IF(Accounts!$C$582="","",Accounts!$C$582)</f>
        <v>0</v>
      </c>
      <c r="CG582" s="17">
        <f>IF(Accounts!$B$582="","",Accounts!$B$582)</f>
        <v>0</v>
      </c>
      <c r="CH582" s="23">
        <f>IF(Accounts!$J$582="","",Accounts!$J$582)</f>
        <v>0</v>
      </c>
      <c r="CI582" s="23">
        <f>IF(CF582="","",SUMIFS(Analytics!$X$5:$X$154,Analytics!$E$5:$E$154,CF582,Analytics!$B$5:$B$154,"&gt;="&amp;DashStart,Analytics!$B$5:$B$154,"&lt;="&amp;DashEnd))</f>
        <v>0</v>
      </c>
      <c r="CJ582" s="32">
        <f>IF(CH582="","",IF(CH582=0,"",CH582+ROW()/1000000))</f>
        <v>0</v>
      </c>
    </row>
    <row r="583" spans="1:88">
      <c r="A583" s="16">
        <f>IF(ROW()-4&gt;12,"",DATE(PlanYear,ROW()-4,1))</f>
        <v>0</v>
      </c>
      <c r="B583" s="16">
        <f>IF(A583="","",EOMONTH(A583,0))</f>
        <v>0</v>
      </c>
      <c r="C583" s="17">
        <f>IF(A583="","",TEXT(A583,"yyyy-mm"))</f>
        <v>0</v>
      </c>
      <c r="D583" s="17">
        <f>IF(A583="","",TEXT(A583,"mmm"))</f>
        <v>0</v>
      </c>
      <c r="E583" s="23">
        <f>IF(C583="","",COUNTIFS('Content Calendar'!$D$5:$D$604,C583))</f>
        <v>0</v>
      </c>
      <c r="F583" s="23">
        <f>IF(C583="","",COUNTIFS('Content Calendar'!$D$5:$D$604,C583,'Content Calendar'!$X$5:$X$604,"Published"))</f>
        <v>0</v>
      </c>
      <c r="G583" s="23">
        <f>IF(C583="","",SUMIFS(Analytics!$J$5:$J$154,Analytics!$C$5:$C$154,C583))</f>
        <v>0</v>
      </c>
      <c r="H583" s="23">
        <f>IF(C583="","",SUMIFS(Analytics!$K$5:$K$154,Analytics!$C$5:$C$154,C583))</f>
        <v>0</v>
      </c>
      <c r="I583" s="23">
        <f>IF(C583="","",SUMIFS(Analytics!$L$5:$L$154,Analytics!$C$5:$C$154,C583))</f>
        <v>0</v>
      </c>
      <c r="J583" s="24">
        <f>IF(OR(G583="",G583=0),"",I583/G583)</f>
        <v>0</v>
      </c>
      <c r="K583" s="23">
        <f>IF(C583="","",SUMIFS(Analytics!$G$5:$G$154,Analytics!$C$5:$C$154,C583))</f>
        <v>0</v>
      </c>
      <c r="L583" s="23">
        <f>IF(C583="","",SUMIFS(Analytics!$X$5:$X$154,Analytics!$C$5:$C$154,C583))</f>
        <v>0</v>
      </c>
      <c r="M583" s="23">
        <f>IF(C583="","",SUMIFS(Analytics!$R$5:$R$154,Analytics!$C$5:$C$154,C583))</f>
        <v>0</v>
      </c>
      <c r="N583" s="23">
        <f>IF(C583="","",SUMIFS(Analytics!$S$5:$S$154,Analytics!$C$5:$C$154,C583))</f>
        <v>0</v>
      </c>
      <c r="O583" s="23">
        <f>IF(C583="","",SUMIFS(Analytics!$T$5:$T$154,Analytics!$C$5:$C$154,C583))</f>
        <v>0</v>
      </c>
      <c r="P583" s="25">
        <f>IF(C583="","",SUMIFS(Analytics!$U$5:$U$154,Analytics!$C$5:$C$154,C583))</f>
        <v>0</v>
      </c>
      <c r="Q583" s="25">
        <f>IF(C583="","",SUMIFS(Budget!$H$5:$H$64,Budget!$C$5:$C$64,C583))</f>
        <v>0</v>
      </c>
      <c r="R583" s="25">
        <f>IF(C583="","",P583-Q583)</f>
        <v>0</v>
      </c>
      <c r="S583" s="23">
        <f>IF(C583="","",MonthlyPostTarget)</f>
        <v>0</v>
      </c>
      <c r="T583" s="17">
        <f>IF(Lists!$C583="","",Lists!$C583)</f>
        <v>0</v>
      </c>
      <c r="U583" s="23">
        <f>IF(T583="","",COUNTIFS('Content Calendar'!$G$5:$G$604,T583,'Content Calendar'!$B$5:$B$604,"&gt;="&amp;DashStart,'Content Calendar'!$B$5:$B$604,"&lt;="&amp;DashEnd))</f>
        <v>0</v>
      </c>
      <c r="V583" s="23">
        <f>IF(T583="","",COUNTIFS('Content Calendar'!$G$5:$G$604,T583,'Content Calendar'!$X$5:$X$604,"Published",'Content Calendar'!$B$5:$B$604,"&gt;="&amp;DashStart,'Content Calendar'!$B$5:$B$604,"&lt;="&amp;DashEnd))</f>
        <v>0</v>
      </c>
      <c r="W583" s="23">
        <f>IF(T583="","",SUMIFS(Analytics!$J$5:$J$154,Analytics!$D$5:$D$154,T583,Analytics!$B$5:$B$154,"&gt;="&amp;DashStart,Analytics!$B$5:$B$154,"&lt;="&amp;DashEnd))</f>
        <v>0</v>
      </c>
      <c r="X583" s="23">
        <f>IF(T583="","",SUMIFS(Analytics!$L$5:$L$154,Analytics!$D$5:$D$154,T583,Analytics!$B$5:$B$154,"&gt;="&amp;DashStart,Analytics!$B$5:$B$154,"&lt;="&amp;DashEnd))</f>
        <v>0</v>
      </c>
      <c r="Y583" s="24">
        <f>IF(OR(W583="",W583=0),"",X583/W583)</f>
        <v>0</v>
      </c>
      <c r="Z583" s="23">
        <f>IF(T583="","",SUMIFS(Analytics!$G$5:$G$154,Analytics!$D$5:$D$154,T583,Analytics!$B$5:$B$154,"&gt;="&amp;DashStart,Analytics!$B$5:$B$154,"&lt;="&amp;DashEnd))</f>
        <v>0</v>
      </c>
      <c r="AA583" s="23">
        <f>IF(T583="","",SUMIFS(Analytics!$X$5:$X$154,Analytics!$D$5:$D$154,T583,Analytics!$B$5:$B$154,"&gt;="&amp;DashStart,Analytics!$B$5:$B$154,"&lt;="&amp;DashEnd))</f>
        <v>0</v>
      </c>
      <c r="AB583" s="23">
        <f>IF(T583="","",SUMIFS(Analytics!$R$5:$R$154,Analytics!$D$5:$D$154,T583,Analytics!$B$5:$B$154,"&gt;="&amp;DashStart,Analytics!$B$5:$B$154,"&lt;="&amp;DashEnd))</f>
        <v>0</v>
      </c>
      <c r="AC583" s="25">
        <f>IF(T583="","",SUMIFS(Analytics!$U$5:$U$154,Analytics!$D$5:$D$154,T583,Analytics!$B$5:$B$154,"&gt;="&amp;DashStart,Analytics!$B$5:$B$154,"&lt;="&amp;DashEnd))</f>
        <v>0</v>
      </c>
      <c r="AD583" s="23">
        <f>IF(T583="","",COUNTIFS('Content Calendar'!$G$5:$G$604,T583,'Content Calendar'!$B$5:$B$604,"&gt;="&amp;DATE(PlanYear,1,1),'Content Calendar'!$B$5:$B$604,"&lt;="&amp;DATE(PlanYear,12,31)))</f>
        <v>0</v>
      </c>
      <c r="AE583" s="23">
        <f>IF(T583="","",SUMIFS(Analytics!$J$5:$J$154,Analytics!$D$5:$D$154,T583))</f>
        <v>0</v>
      </c>
      <c r="AF583" s="23">
        <f>IF(T583="","",SUMIFS(Analytics!$L$5:$L$154,Analytics!$D$5:$D$154,T583))</f>
        <v>0</v>
      </c>
      <c r="AG583" s="24">
        <f>IF(OR(AE583="",AE583=0),"",AF583/AE583)</f>
        <v>0</v>
      </c>
      <c r="AH583" s="23">
        <f>IF(T583="","",SUMIFS(Analytics!$X$5:$X$154,Analytics!$D$5:$D$154,T583))</f>
        <v>0</v>
      </c>
      <c r="AI583" s="32">
        <f>IF(T583="","",IF(AE583=0,"",AE583+ROW()/1000000))</f>
        <v>0</v>
      </c>
      <c r="AJ583" s="17">
        <f>IF('Content Pillars'!$B$583="","",'Content Pillars'!$B$583)</f>
        <v>0</v>
      </c>
      <c r="AK583" s="23">
        <f>IF(AJ583="","",COUNTIFS('Content Calendar'!$J$5:$J$604,AJ583,'Content Calendar'!$B$5:$B$604,"&gt;="&amp;DATE(PlanYear,1,1),'Content Calendar'!$B$5:$B$604,"&lt;="&amp;DATE(PlanYear,12,31)))</f>
        <v>0</v>
      </c>
      <c r="AL583" s="23">
        <f>IF(AJ583="","",SUMIFS(Performance!$O$5:$O$404,Performance!$H$5:$H$404,AJ583))</f>
        <v>0</v>
      </c>
      <c r="AM583" s="23">
        <f>IF(AJ583="","",SUMIFS(Performance!$Z$5:$Z$404,Performance!$H$5:$H$404,AJ583))</f>
        <v>0</v>
      </c>
      <c r="AN583" s="24">
        <f>IF(OR(AL583="",AL583=0),"",AM583/AL583)</f>
        <v>0</v>
      </c>
      <c r="AO583" s="32">
        <f>IF(AN583="","",AN583+ROW()/1000000)</f>
        <v>0</v>
      </c>
      <c r="AP583" s="17">
        <f>IF(Lists!$E583="","",Lists!$E583)</f>
        <v>0</v>
      </c>
      <c r="AQ583" s="23">
        <f>IF(AP583="","",COUNTIF(Performance!$G$5:$G$404,AP583))</f>
        <v>0</v>
      </c>
      <c r="AR583" s="23">
        <f>IF(AP583="","",SUMIFS(Performance!$O$5:$O$404,Performance!$G$5:$G$404,AP583))</f>
        <v>0</v>
      </c>
      <c r="AS583" s="23">
        <f>IF(AP583="","",SUMIFS(Performance!$Z$5:$Z$404,Performance!$G$5:$G$404,AP583))</f>
        <v>0</v>
      </c>
      <c r="AT583" s="24">
        <f>IF(OR(AR583="",AR583=0),"",AS583/AR583)</f>
        <v>0</v>
      </c>
      <c r="AU583" s="32">
        <f>IF(AQ583=0,"",IF(AT583="","",AT583+ROW()/1000000))</f>
        <v>0</v>
      </c>
      <c r="AV583" s="17">
        <f>IF(ROW()-4&gt;7,"",TEXT(DATE(2024,1,ROW()-4),"ddd"))</f>
        <v>0</v>
      </c>
      <c r="AW583" s="23">
        <f>IF(AV583="","",COUNTIF(Performance!$N$5:$N$404,AV583))</f>
        <v>0</v>
      </c>
      <c r="AX583" s="23">
        <f>IF(AV583="","",SUMIFS(Performance!$O$5:$O$404,Performance!$N$5:$N$404,AV583))</f>
        <v>0</v>
      </c>
      <c r="AY583" s="23">
        <f>IF(AV583="","",SUMIFS(Performance!$Z$5:$Z$404,Performance!$N$5:$N$404,AV583))</f>
        <v>0</v>
      </c>
      <c r="AZ583" s="24">
        <f>IF(OR(AX583="",AX583=0),"",AY583/AX583)</f>
        <v>0</v>
      </c>
      <c r="BA583" s="32">
        <f>IF(AW583=0,"",IF(AZ583="","",AZ583+ROW()/1000000))</f>
        <v>0</v>
      </c>
      <c r="BB583" s="17">
        <f>IF(Lists!$AL583="","",Lists!$AL583)</f>
        <v>0</v>
      </c>
      <c r="BC583" s="23">
        <f>IF(BB583="","",COUNTIF(Performance!$M$5:$M$404,BB583))</f>
        <v>0</v>
      </c>
      <c r="BD583" s="23">
        <f>IF(BB583="","",SUMIFS(Performance!$O$5:$O$404,Performance!$M$5:$M$404,BB583))</f>
        <v>0</v>
      </c>
      <c r="BE583" s="23">
        <f>IF(BB583="","",SUMIFS(Performance!$Z$5:$Z$404,Performance!$M$5:$M$404,BB583))</f>
        <v>0</v>
      </c>
      <c r="BF583" s="24">
        <f>IF(OR(BD583="",BD583=0),"",BE583/BD583)</f>
        <v>0</v>
      </c>
      <c r="BG583" s="32">
        <f>IF(BC583=0,"",IF(BF583="","",BF583+ROW()/1000000))</f>
        <v>0</v>
      </c>
      <c r="BH583" s="17">
        <f>IF(Performance!$C$583="","",Performance!$C$583)</f>
        <v>0</v>
      </c>
      <c r="BI583" s="17">
        <f>IF(Performance!$F$583="","",Performance!$F$583)</f>
        <v>0</v>
      </c>
      <c r="BJ583" s="17">
        <f>IF(Performance!$H$583="","",Performance!$H$583)</f>
        <v>0</v>
      </c>
      <c r="BK583" s="16">
        <f>IF(Performance!$D$583="","",Performance!$D$583)</f>
        <v>0</v>
      </c>
      <c r="BL583" s="17">
        <f>IF(Performance!$E$583="","",Performance!$E$583)</f>
        <v>0</v>
      </c>
      <c r="BM583" s="23">
        <f>IF(Performance!$O$583="","",Performance!$O$583)</f>
        <v>0</v>
      </c>
      <c r="BN583" s="24">
        <f>IF(Performance!$AA$583="","",Performance!$AA$583)</f>
        <v>0</v>
      </c>
      <c r="BO583" s="32">
        <f>IF(BH583="","",IF(BK583="","",IF(OR(BK583&lt;DashStart,BK583&gt;DashEnd),"",IF(BN583="","",BN583+ROW()/1000000))))</f>
        <v>0</v>
      </c>
      <c r="BP583" s="32">
        <f>IF(BM583="","",IF(BK583="","",IF(OR(BK583&lt;DashStart,BK583&gt;DashEnd),"",BM583+ROW()/1000000)))</f>
        <v>0</v>
      </c>
      <c r="BQ583" s="32">
        <f>IF(BH583="","",IF(BK583="","",IF(YEAR(BK583)&lt;&gt;PlanYear,"",IF(BN583="","",BN583+ROW()/1000000))))</f>
        <v>0</v>
      </c>
      <c r="BR583" s="32">
        <f>IF(BH583="","",IF(BK583="","",IF(OR(BK583&lt;RepFrom,BK583&gt;RepTo),"",IF(BN583="","",BN583+ROW()/1000000))))</f>
        <v>0</v>
      </c>
      <c r="BS583" s="32">
        <f>IF(BM583="","",IF(BK583="","",IF(YEAR(BK583)&lt;&gt;PlanYear,"",BM583+ROW()/1000000)))</f>
        <v>0</v>
      </c>
      <c r="BT583" s="17">
        <f>IF(Lists!$F583="","",Lists!$F583)</f>
        <v>0</v>
      </c>
      <c r="BU583" s="23">
        <f>IF(BT583="","",COUNTIF('Content Calendar'!$X$5:$X$604,BT583))</f>
        <v>0</v>
      </c>
      <c r="BV583" s="23">
        <f>IF(BT583="","",COUNTIFS('Content Calendar'!$X$5:$X$604,BT583,'Content Calendar'!$B$5:$B$604,"&gt;="&amp;DashStart,'Content Calendar'!$B$5:$B$604,"&lt;="&amp;DashEnd))</f>
        <v>0</v>
      </c>
      <c r="BW583" s="17">
        <f>IF(Team!$B$583="","",Team!$B$583)</f>
        <v>0</v>
      </c>
      <c r="BX583" s="23">
        <f>IF(BW583="","",COUNTIF('Content Calendar'!$W$5:$W$604,BW583))</f>
        <v>0</v>
      </c>
      <c r="BY583" s="23">
        <f>IF(BW583="","",COUNTIFS('Content Calendar'!$W$5:$W$604,BW583,'Content Calendar'!$X$5:$X$604,"&lt;&gt;Published"))</f>
        <v>0</v>
      </c>
      <c r="BZ583" s="23">
        <f>IF(BW583="","",COUNTIFS(Tasks!$C$5:$C$64,BW583,Tasks!$G$5:$G$64,"&lt;&gt;Complete"))</f>
        <v>0</v>
      </c>
      <c r="CA583" s="17">
        <f>IF(Campaigns!$B$583="","",Campaigns!$B$583)</f>
        <v>0</v>
      </c>
      <c r="CB583" s="25">
        <f>IF(Campaigns!$T$583="","",Campaigns!$T$583)</f>
        <v>0</v>
      </c>
      <c r="CC583" s="25">
        <f>IF(Campaigns!$Q$583="","",Campaigns!$Q$583)</f>
        <v>0</v>
      </c>
      <c r="CD583" s="23">
        <f>IF(Campaigns!$Y$583="","",Campaigns!$Y$583)</f>
        <v>0</v>
      </c>
      <c r="CE583" s="32">
        <f>IF(CA583="","",IF(N(CB583)&lt;=0,"",N(CB583)+ROW()/1000000))</f>
        <v>0</v>
      </c>
      <c r="CF583" s="17">
        <f>IF(Accounts!$C$583="","",Accounts!$C$583)</f>
        <v>0</v>
      </c>
      <c r="CG583" s="17">
        <f>IF(Accounts!$B$583="","",Accounts!$B$583)</f>
        <v>0</v>
      </c>
      <c r="CH583" s="23">
        <f>IF(Accounts!$J$583="","",Accounts!$J$583)</f>
        <v>0</v>
      </c>
      <c r="CI583" s="23">
        <f>IF(CF583="","",SUMIFS(Analytics!$X$5:$X$154,Analytics!$E$5:$E$154,CF583,Analytics!$B$5:$B$154,"&gt;="&amp;DashStart,Analytics!$B$5:$B$154,"&lt;="&amp;DashEnd))</f>
        <v>0</v>
      </c>
      <c r="CJ583" s="32">
        <f>IF(CH583="","",IF(CH583=0,"",CH583+ROW()/1000000))</f>
        <v>0</v>
      </c>
    </row>
    <row r="584" spans="1:88">
      <c r="A584" s="16">
        <f>IF(ROW()-4&gt;12,"",DATE(PlanYear,ROW()-4,1))</f>
        <v>0</v>
      </c>
      <c r="B584" s="16">
        <f>IF(A584="","",EOMONTH(A584,0))</f>
        <v>0</v>
      </c>
      <c r="C584" s="17">
        <f>IF(A584="","",TEXT(A584,"yyyy-mm"))</f>
        <v>0</v>
      </c>
      <c r="D584" s="17">
        <f>IF(A584="","",TEXT(A584,"mmm"))</f>
        <v>0</v>
      </c>
      <c r="E584" s="23">
        <f>IF(C584="","",COUNTIFS('Content Calendar'!$D$5:$D$604,C584))</f>
        <v>0</v>
      </c>
      <c r="F584" s="23">
        <f>IF(C584="","",COUNTIFS('Content Calendar'!$D$5:$D$604,C584,'Content Calendar'!$X$5:$X$604,"Published"))</f>
        <v>0</v>
      </c>
      <c r="G584" s="23">
        <f>IF(C584="","",SUMIFS(Analytics!$J$5:$J$154,Analytics!$C$5:$C$154,C584))</f>
        <v>0</v>
      </c>
      <c r="H584" s="23">
        <f>IF(C584="","",SUMIFS(Analytics!$K$5:$K$154,Analytics!$C$5:$C$154,C584))</f>
        <v>0</v>
      </c>
      <c r="I584" s="23">
        <f>IF(C584="","",SUMIFS(Analytics!$L$5:$L$154,Analytics!$C$5:$C$154,C584))</f>
        <v>0</v>
      </c>
      <c r="J584" s="24">
        <f>IF(OR(G584="",G584=0),"",I584/G584)</f>
        <v>0</v>
      </c>
      <c r="K584" s="23">
        <f>IF(C584="","",SUMIFS(Analytics!$G$5:$G$154,Analytics!$C$5:$C$154,C584))</f>
        <v>0</v>
      </c>
      <c r="L584" s="23">
        <f>IF(C584="","",SUMIFS(Analytics!$X$5:$X$154,Analytics!$C$5:$C$154,C584))</f>
        <v>0</v>
      </c>
      <c r="M584" s="23">
        <f>IF(C584="","",SUMIFS(Analytics!$R$5:$R$154,Analytics!$C$5:$C$154,C584))</f>
        <v>0</v>
      </c>
      <c r="N584" s="23">
        <f>IF(C584="","",SUMIFS(Analytics!$S$5:$S$154,Analytics!$C$5:$C$154,C584))</f>
        <v>0</v>
      </c>
      <c r="O584" s="23">
        <f>IF(C584="","",SUMIFS(Analytics!$T$5:$T$154,Analytics!$C$5:$C$154,C584))</f>
        <v>0</v>
      </c>
      <c r="P584" s="25">
        <f>IF(C584="","",SUMIFS(Analytics!$U$5:$U$154,Analytics!$C$5:$C$154,C584))</f>
        <v>0</v>
      </c>
      <c r="Q584" s="25">
        <f>IF(C584="","",SUMIFS(Budget!$H$5:$H$64,Budget!$C$5:$C$64,C584))</f>
        <v>0</v>
      </c>
      <c r="R584" s="25">
        <f>IF(C584="","",P584-Q584)</f>
        <v>0</v>
      </c>
      <c r="S584" s="23">
        <f>IF(C584="","",MonthlyPostTarget)</f>
        <v>0</v>
      </c>
      <c r="T584" s="17">
        <f>IF(Lists!$C584="","",Lists!$C584)</f>
        <v>0</v>
      </c>
      <c r="U584" s="23">
        <f>IF(T584="","",COUNTIFS('Content Calendar'!$G$5:$G$604,T584,'Content Calendar'!$B$5:$B$604,"&gt;="&amp;DashStart,'Content Calendar'!$B$5:$B$604,"&lt;="&amp;DashEnd))</f>
        <v>0</v>
      </c>
      <c r="V584" s="23">
        <f>IF(T584="","",COUNTIFS('Content Calendar'!$G$5:$G$604,T584,'Content Calendar'!$X$5:$X$604,"Published",'Content Calendar'!$B$5:$B$604,"&gt;="&amp;DashStart,'Content Calendar'!$B$5:$B$604,"&lt;="&amp;DashEnd))</f>
        <v>0</v>
      </c>
      <c r="W584" s="23">
        <f>IF(T584="","",SUMIFS(Analytics!$J$5:$J$154,Analytics!$D$5:$D$154,T584,Analytics!$B$5:$B$154,"&gt;="&amp;DashStart,Analytics!$B$5:$B$154,"&lt;="&amp;DashEnd))</f>
        <v>0</v>
      </c>
      <c r="X584" s="23">
        <f>IF(T584="","",SUMIFS(Analytics!$L$5:$L$154,Analytics!$D$5:$D$154,T584,Analytics!$B$5:$B$154,"&gt;="&amp;DashStart,Analytics!$B$5:$B$154,"&lt;="&amp;DashEnd))</f>
        <v>0</v>
      </c>
      <c r="Y584" s="24">
        <f>IF(OR(W584="",W584=0),"",X584/W584)</f>
        <v>0</v>
      </c>
      <c r="Z584" s="23">
        <f>IF(T584="","",SUMIFS(Analytics!$G$5:$G$154,Analytics!$D$5:$D$154,T584,Analytics!$B$5:$B$154,"&gt;="&amp;DashStart,Analytics!$B$5:$B$154,"&lt;="&amp;DashEnd))</f>
        <v>0</v>
      </c>
      <c r="AA584" s="23">
        <f>IF(T584="","",SUMIFS(Analytics!$X$5:$X$154,Analytics!$D$5:$D$154,T584,Analytics!$B$5:$B$154,"&gt;="&amp;DashStart,Analytics!$B$5:$B$154,"&lt;="&amp;DashEnd))</f>
        <v>0</v>
      </c>
      <c r="AB584" s="23">
        <f>IF(T584="","",SUMIFS(Analytics!$R$5:$R$154,Analytics!$D$5:$D$154,T584,Analytics!$B$5:$B$154,"&gt;="&amp;DashStart,Analytics!$B$5:$B$154,"&lt;="&amp;DashEnd))</f>
        <v>0</v>
      </c>
      <c r="AC584" s="25">
        <f>IF(T584="","",SUMIFS(Analytics!$U$5:$U$154,Analytics!$D$5:$D$154,T584,Analytics!$B$5:$B$154,"&gt;="&amp;DashStart,Analytics!$B$5:$B$154,"&lt;="&amp;DashEnd))</f>
        <v>0</v>
      </c>
      <c r="AD584" s="23">
        <f>IF(T584="","",COUNTIFS('Content Calendar'!$G$5:$G$604,T584,'Content Calendar'!$B$5:$B$604,"&gt;="&amp;DATE(PlanYear,1,1),'Content Calendar'!$B$5:$B$604,"&lt;="&amp;DATE(PlanYear,12,31)))</f>
        <v>0</v>
      </c>
      <c r="AE584" s="23">
        <f>IF(T584="","",SUMIFS(Analytics!$J$5:$J$154,Analytics!$D$5:$D$154,T584))</f>
        <v>0</v>
      </c>
      <c r="AF584" s="23">
        <f>IF(T584="","",SUMIFS(Analytics!$L$5:$L$154,Analytics!$D$5:$D$154,T584))</f>
        <v>0</v>
      </c>
      <c r="AG584" s="24">
        <f>IF(OR(AE584="",AE584=0),"",AF584/AE584)</f>
        <v>0</v>
      </c>
      <c r="AH584" s="23">
        <f>IF(T584="","",SUMIFS(Analytics!$X$5:$X$154,Analytics!$D$5:$D$154,T584))</f>
        <v>0</v>
      </c>
      <c r="AI584" s="32">
        <f>IF(T584="","",IF(AE584=0,"",AE584+ROW()/1000000))</f>
        <v>0</v>
      </c>
      <c r="AJ584" s="17">
        <f>IF('Content Pillars'!$B$584="","",'Content Pillars'!$B$584)</f>
        <v>0</v>
      </c>
      <c r="AK584" s="23">
        <f>IF(AJ584="","",COUNTIFS('Content Calendar'!$J$5:$J$604,AJ584,'Content Calendar'!$B$5:$B$604,"&gt;="&amp;DATE(PlanYear,1,1),'Content Calendar'!$B$5:$B$604,"&lt;="&amp;DATE(PlanYear,12,31)))</f>
        <v>0</v>
      </c>
      <c r="AL584" s="23">
        <f>IF(AJ584="","",SUMIFS(Performance!$O$5:$O$404,Performance!$H$5:$H$404,AJ584))</f>
        <v>0</v>
      </c>
      <c r="AM584" s="23">
        <f>IF(AJ584="","",SUMIFS(Performance!$Z$5:$Z$404,Performance!$H$5:$H$404,AJ584))</f>
        <v>0</v>
      </c>
      <c r="AN584" s="24">
        <f>IF(OR(AL584="",AL584=0),"",AM584/AL584)</f>
        <v>0</v>
      </c>
      <c r="AO584" s="32">
        <f>IF(AN584="","",AN584+ROW()/1000000)</f>
        <v>0</v>
      </c>
      <c r="AP584" s="17">
        <f>IF(Lists!$E584="","",Lists!$E584)</f>
        <v>0</v>
      </c>
      <c r="AQ584" s="23">
        <f>IF(AP584="","",COUNTIF(Performance!$G$5:$G$404,AP584))</f>
        <v>0</v>
      </c>
      <c r="AR584" s="23">
        <f>IF(AP584="","",SUMIFS(Performance!$O$5:$O$404,Performance!$G$5:$G$404,AP584))</f>
        <v>0</v>
      </c>
      <c r="AS584" s="23">
        <f>IF(AP584="","",SUMIFS(Performance!$Z$5:$Z$404,Performance!$G$5:$G$404,AP584))</f>
        <v>0</v>
      </c>
      <c r="AT584" s="24">
        <f>IF(OR(AR584="",AR584=0),"",AS584/AR584)</f>
        <v>0</v>
      </c>
      <c r="AU584" s="32">
        <f>IF(AQ584=0,"",IF(AT584="","",AT584+ROW()/1000000))</f>
        <v>0</v>
      </c>
      <c r="AV584" s="17">
        <f>IF(ROW()-4&gt;7,"",TEXT(DATE(2024,1,ROW()-4),"ddd"))</f>
        <v>0</v>
      </c>
      <c r="AW584" s="23">
        <f>IF(AV584="","",COUNTIF(Performance!$N$5:$N$404,AV584))</f>
        <v>0</v>
      </c>
      <c r="AX584" s="23">
        <f>IF(AV584="","",SUMIFS(Performance!$O$5:$O$404,Performance!$N$5:$N$404,AV584))</f>
        <v>0</v>
      </c>
      <c r="AY584" s="23">
        <f>IF(AV584="","",SUMIFS(Performance!$Z$5:$Z$404,Performance!$N$5:$N$404,AV584))</f>
        <v>0</v>
      </c>
      <c r="AZ584" s="24">
        <f>IF(OR(AX584="",AX584=0),"",AY584/AX584)</f>
        <v>0</v>
      </c>
      <c r="BA584" s="32">
        <f>IF(AW584=0,"",IF(AZ584="","",AZ584+ROW()/1000000))</f>
        <v>0</v>
      </c>
      <c r="BB584" s="17">
        <f>IF(Lists!$AL584="","",Lists!$AL584)</f>
        <v>0</v>
      </c>
      <c r="BC584" s="23">
        <f>IF(BB584="","",COUNTIF(Performance!$M$5:$M$404,BB584))</f>
        <v>0</v>
      </c>
      <c r="BD584" s="23">
        <f>IF(BB584="","",SUMIFS(Performance!$O$5:$O$404,Performance!$M$5:$M$404,BB584))</f>
        <v>0</v>
      </c>
      <c r="BE584" s="23">
        <f>IF(BB584="","",SUMIFS(Performance!$Z$5:$Z$404,Performance!$M$5:$M$404,BB584))</f>
        <v>0</v>
      </c>
      <c r="BF584" s="24">
        <f>IF(OR(BD584="",BD584=0),"",BE584/BD584)</f>
        <v>0</v>
      </c>
      <c r="BG584" s="32">
        <f>IF(BC584=0,"",IF(BF584="","",BF584+ROW()/1000000))</f>
        <v>0</v>
      </c>
      <c r="BH584" s="17">
        <f>IF(Performance!$C$584="","",Performance!$C$584)</f>
        <v>0</v>
      </c>
      <c r="BI584" s="17">
        <f>IF(Performance!$F$584="","",Performance!$F$584)</f>
        <v>0</v>
      </c>
      <c r="BJ584" s="17">
        <f>IF(Performance!$H$584="","",Performance!$H$584)</f>
        <v>0</v>
      </c>
      <c r="BK584" s="16">
        <f>IF(Performance!$D$584="","",Performance!$D$584)</f>
        <v>0</v>
      </c>
      <c r="BL584" s="17">
        <f>IF(Performance!$E$584="","",Performance!$E$584)</f>
        <v>0</v>
      </c>
      <c r="BM584" s="23">
        <f>IF(Performance!$O$584="","",Performance!$O$584)</f>
        <v>0</v>
      </c>
      <c r="BN584" s="24">
        <f>IF(Performance!$AA$584="","",Performance!$AA$584)</f>
        <v>0</v>
      </c>
      <c r="BO584" s="32">
        <f>IF(BH584="","",IF(BK584="","",IF(OR(BK584&lt;DashStart,BK584&gt;DashEnd),"",IF(BN584="","",BN584+ROW()/1000000))))</f>
        <v>0</v>
      </c>
      <c r="BP584" s="32">
        <f>IF(BM584="","",IF(BK584="","",IF(OR(BK584&lt;DashStart,BK584&gt;DashEnd),"",BM584+ROW()/1000000)))</f>
        <v>0</v>
      </c>
      <c r="BQ584" s="32">
        <f>IF(BH584="","",IF(BK584="","",IF(YEAR(BK584)&lt;&gt;PlanYear,"",IF(BN584="","",BN584+ROW()/1000000))))</f>
        <v>0</v>
      </c>
      <c r="BR584" s="32">
        <f>IF(BH584="","",IF(BK584="","",IF(OR(BK584&lt;RepFrom,BK584&gt;RepTo),"",IF(BN584="","",BN584+ROW()/1000000))))</f>
        <v>0</v>
      </c>
      <c r="BS584" s="32">
        <f>IF(BM584="","",IF(BK584="","",IF(YEAR(BK584)&lt;&gt;PlanYear,"",BM584+ROW()/1000000)))</f>
        <v>0</v>
      </c>
      <c r="BT584" s="17">
        <f>IF(Lists!$F584="","",Lists!$F584)</f>
        <v>0</v>
      </c>
      <c r="BU584" s="23">
        <f>IF(BT584="","",COUNTIF('Content Calendar'!$X$5:$X$604,BT584))</f>
        <v>0</v>
      </c>
      <c r="BV584" s="23">
        <f>IF(BT584="","",COUNTIFS('Content Calendar'!$X$5:$X$604,BT584,'Content Calendar'!$B$5:$B$604,"&gt;="&amp;DashStart,'Content Calendar'!$B$5:$B$604,"&lt;="&amp;DashEnd))</f>
        <v>0</v>
      </c>
      <c r="BW584" s="17">
        <f>IF(Team!$B$584="","",Team!$B$584)</f>
        <v>0</v>
      </c>
      <c r="BX584" s="23">
        <f>IF(BW584="","",COUNTIF('Content Calendar'!$W$5:$W$604,BW584))</f>
        <v>0</v>
      </c>
      <c r="BY584" s="23">
        <f>IF(BW584="","",COUNTIFS('Content Calendar'!$W$5:$W$604,BW584,'Content Calendar'!$X$5:$X$604,"&lt;&gt;Published"))</f>
        <v>0</v>
      </c>
      <c r="BZ584" s="23">
        <f>IF(BW584="","",COUNTIFS(Tasks!$C$5:$C$64,BW584,Tasks!$G$5:$G$64,"&lt;&gt;Complete"))</f>
        <v>0</v>
      </c>
      <c r="CA584" s="17">
        <f>IF(Campaigns!$B$584="","",Campaigns!$B$584)</f>
        <v>0</v>
      </c>
      <c r="CB584" s="25">
        <f>IF(Campaigns!$T$584="","",Campaigns!$T$584)</f>
        <v>0</v>
      </c>
      <c r="CC584" s="25">
        <f>IF(Campaigns!$Q$584="","",Campaigns!$Q$584)</f>
        <v>0</v>
      </c>
      <c r="CD584" s="23">
        <f>IF(Campaigns!$Y$584="","",Campaigns!$Y$584)</f>
        <v>0</v>
      </c>
      <c r="CE584" s="32">
        <f>IF(CA584="","",IF(N(CB584)&lt;=0,"",N(CB584)+ROW()/1000000))</f>
        <v>0</v>
      </c>
      <c r="CF584" s="17">
        <f>IF(Accounts!$C$584="","",Accounts!$C$584)</f>
        <v>0</v>
      </c>
      <c r="CG584" s="17">
        <f>IF(Accounts!$B$584="","",Accounts!$B$584)</f>
        <v>0</v>
      </c>
      <c r="CH584" s="23">
        <f>IF(Accounts!$J$584="","",Accounts!$J$584)</f>
        <v>0</v>
      </c>
      <c r="CI584" s="23">
        <f>IF(CF584="","",SUMIFS(Analytics!$X$5:$X$154,Analytics!$E$5:$E$154,CF584,Analytics!$B$5:$B$154,"&gt;="&amp;DashStart,Analytics!$B$5:$B$154,"&lt;="&amp;DashEnd))</f>
        <v>0</v>
      </c>
      <c r="CJ584" s="32">
        <f>IF(CH584="","",IF(CH584=0,"",CH584+ROW()/1000000))</f>
        <v>0</v>
      </c>
    </row>
    <row r="585" spans="1:88">
      <c r="A585" s="16">
        <f>IF(ROW()-4&gt;12,"",DATE(PlanYear,ROW()-4,1))</f>
        <v>0</v>
      </c>
      <c r="B585" s="16">
        <f>IF(A585="","",EOMONTH(A585,0))</f>
        <v>0</v>
      </c>
      <c r="C585" s="17">
        <f>IF(A585="","",TEXT(A585,"yyyy-mm"))</f>
        <v>0</v>
      </c>
      <c r="D585" s="17">
        <f>IF(A585="","",TEXT(A585,"mmm"))</f>
        <v>0</v>
      </c>
      <c r="E585" s="23">
        <f>IF(C585="","",COUNTIFS('Content Calendar'!$D$5:$D$604,C585))</f>
        <v>0</v>
      </c>
      <c r="F585" s="23">
        <f>IF(C585="","",COUNTIFS('Content Calendar'!$D$5:$D$604,C585,'Content Calendar'!$X$5:$X$604,"Published"))</f>
        <v>0</v>
      </c>
      <c r="G585" s="23">
        <f>IF(C585="","",SUMIFS(Analytics!$J$5:$J$154,Analytics!$C$5:$C$154,C585))</f>
        <v>0</v>
      </c>
      <c r="H585" s="23">
        <f>IF(C585="","",SUMIFS(Analytics!$K$5:$K$154,Analytics!$C$5:$C$154,C585))</f>
        <v>0</v>
      </c>
      <c r="I585" s="23">
        <f>IF(C585="","",SUMIFS(Analytics!$L$5:$L$154,Analytics!$C$5:$C$154,C585))</f>
        <v>0</v>
      </c>
      <c r="J585" s="24">
        <f>IF(OR(G585="",G585=0),"",I585/G585)</f>
        <v>0</v>
      </c>
      <c r="K585" s="23">
        <f>IF(C585="","",SUMIFS(Analytics!$G$5:$G$154,Analytics!$C$5:$C$154,C585))</f>
        <v>0</v>
      </c>
      <c r="L585" s="23">
        <f>IF(C585="","",SUMIFS(Analytics!$X$5:$X$154,Analytics!$C$5:$C$154,C585))</f>
        <v>0</v>
      </c>
      <c r="M585" s="23">
        <f>IF(C585="","",SUMIFS(Analytics!$R$5:$R$154,Analytics!$C$5:$C$154,C585))</f>
        <v>0</v>
      </c>
      <c r="N585" s="23">
        <f>IF(C585="","",SUMIFS(Analytics!$S$5:$S$154,Analytics!$C$5:$C$154,C585))</f>
        <v>0</v>
      </c>
      <c r="O585" s="23">
        <f>IF(C585="","",SUMIFS(Analytics!$T$5:$T$154,Analytics!$C$5:$C$154,C585))</f>
        <v>0</v>
      </c>
      <c r="P585" s="25">
        <f>IF(C585="","",SUMIFS(Analytics!$U$5:$U$154,Analytics!$C$5:$C$154,C585))</f>
        <v>0</v>
      </c>
      <c r="Q585" s="25">
        <f>IF(C585="","",SUMIFS(Budget!$H$5:$H$64,Budget!$C$5:$C$64,C585))</f>
        <v>0</v>
      </c>
      <c r="R585" s="25">
        <f>IF(C585="","",P585-Q585)</f>
        <v>0</v>
      </c>
      <c r="S585" s="23">
        <f>IF(C585="","",MonthlyPostTarget)</f>
        <v>0</v>
      </c>
      <c r="T585" s="17">
        <f>IF(Lists!$C585="","",Lists!$C585)</f>
        <v>0</v>
      </c>
      <c r="U585" s="23">
        <f>IF(T585="","",COUNTIFS('Content Calendar'!$G$5:$G$604,T585,'Content Calendar'!$B$5:$B$604,"&gt;="&amp;DashStart,'Content Calendar'!$B$5:$B$604,"&lt;="&amp;DashEnd))</f>
        <v>0</v>
      </c>
      <c r="V585" s="23">
        <f>IF(T585="","",COUNTIFS('Content Calendar'!$G$5:$G$604,T585,'Content Calendar'!$X$5:$X$604,"Published",'Content Calendar'!$B$5:$B$604,"&gt;="&amp;DashStart,'Content Calendar'!$B$5:$B$604,"&lt;="&amp;DashEnd))</f>
        <v>0</v>
      </c>
      <c r="W585" s="23">
        <f>IF(T585="","",SUMIFS(Analytics!$J$5:$J$154,Analytics!$D$5:$D$154,T585,Analytics!$B$5:$B$154,"&gt;="&amp;DashStart,Analytics!$B$5:$B$154,"&lt;="&amp;DashEnd))</f>
        <v>0</v>
      </c>
      <c r="X585" s="23">
        <f>IF(T585="","",SUMIFS(Analytics!$L$5:$L$154,Analytics!$D$5:$D$154,T585,Analytics!$B$5:$B$154,"&gt;="&amp;DashStart,Analytics!$B$5:$B$154,"&lt;="&amp;DashEnd))</f>
        <v>0</v>
      </c>
      <c r="Y585" s="24">
        <f>IF(OR(W585="",W585=0),"",X585/W585)</f>
        <v>0</v>
      </c>
      <c r="Z585" s="23">
        <f>IF(T585="","",SUMIFS(Analytics!$G$5:$G$154,Analytics!$D$5:$D$154,T585,Analytics!$B$5:$B$154,"&gt;="&amp;DashStart,Analytics!$B$5:$B$154,"&lt;="&amp;DashEnd))</f>
        <v>0</v>
      </c>
      <c r="AA585" s="23">
        <f>IF(T585="","",SUMIFS(Analytics!$X$5:$X$154,Analytics!$D$5:$D$154,T585,Analytics!$B$5:$B$154,"&gt;="&amp;DashStart,Analytics!$B$5:$B$154,"&lt;="&amp;DashEnd))</f>
        <v>0</v>
      </c>
      <c r="AB585" s="23">
        <f>IF(T585="","",SUMIFS(Analytics!$R$5:$R$154,Analytics!$D$5:$D$154,T585,Analytics!$B$5:$B$154,"&gt;="&amp;DashStart,Analytics!$B$5:$B$154,"&lt;="&amp;DashEnd))</f>
        <v>0</v>
      </c>
      <c r="AC585" s="25">
        <f>IF(T585="","",SUMIFS(Analytics!$U$5:$U$154,Analytics!$D$5:$D$154,T585,Analytics!$B$5:$B$154,"&gt;="&amp;DashStart,Analytics!$B$5:$B$154,"&lt;="&amp;DashEnd))</f>
        <v>0</v>
      </c>
      <c r="AD585" s="23">
        <f>IF(T585="","",COUNTIFS('Content Calendar'!$G$5:$G$604,T585,'Content Calendar'!$B$5:$B$604,"&gt;="&amp;DATE(PlanYear,1,1),'Content Calendar'!$B$5:$B$604,"&lt;="&amp;DATE(PlanYear,12,31)))</f>
        <v>0</v>
      </c>
      <c r="AE585" s="23">
        <f>IF(T585="","",SUMIFS(Analytics!$J$5:$J$154,Analytics!$D$5:$D$154,T585))</f>
        <v>0</v>
      </c>
      <c r="AF585" s="23">
        <f>IF(T585="","",SUMIFS(Analytics!$L$5:$L$154,Analytics!$D$5:$D$154,T585))</f>
        <v>0</v>
      </c>
      <c r="AG585" s="24">
        <f>IF(OR(AE585="",AE585=0),"",AF585/AE585)</f>
        <v>0</v>
      </c>
      <c r="AH585" s="23">
        <f>IF(T585="","",SUMIFS(Analytics!$X$5:$X$154,Analytics!$D$5:$D$154,T585))</f>
        <v>0</v>
      </c>
      <c r="AI585" s="32">
        <f>IF(T585="","",IF(AE585=0,"",AE585+ROW()/1000000))</f>
        <v>0</v>
      </c>
      <c r="AJ585" s="17">
        <f>IF('Content Pillars'!$B$585="","",'Content Pillars'!$B$585)</f>
        <v>0</v>
      </c>
      <c r="AK585" s="23">
        <f>IF(AJ585="","",COUNTIFS('Content Calendar'!$J$5:$J$604,AJ585,'Content Calendar'!$B$5:$B$604,"&gt;="&amp;DATE(PlanYear,1,1),'Content Calendar'!$B$5:$B$604,"&lt;="&amp;DATE(PlanYear,12,31)))</f>
        <v>0</v>
      </c>
      <c r="AL585" s="23">
        <f>IF(AJ585="","",SUMIFS(Performance!$O$5:$O$404,Performance!$H$5:$H$404,AJ585))</f>
        <v>0</v>
      </c>
      <c r="AM585" s="23">
        <f>IF(AJ585="","",SUMIFS(Performance!$Z$5:$Z$404,Performance!$H$5:$H$404,AJ585))</f>
        <v>0</v>
      </c>
      <c r="AN585" s="24">
        <f>IF(OR(AL585="",AL585=0),"",AM585/AL585)</f>
        <v>0</v>
      </c>
      <c r="AO585" s="32">
        <f>IF(AN585="","",AN585+ROW()/1000000)</f>
        <v>0</v>
      </c>
      <c r="AP585" s="17">
        <f>IF(Lists!$E585="","",Lists!$E585)</f>
        <v>0</v>
      </c>
      <c r="AQ585" s="23">
        <f>IF(AP585="","",COUNTIF(Performance!$G$5:$G$404,AP585))</f>
        <v>0</v>
      </c>
      <c r="AR585" s="23">
        <f>IF(AP585="","",SUMIFS(Performance!$O$5:$O$404,Performance!$G$5:$G$404,AP585))</f>
        <v>0</v>
      </c>
      <c r="AS585" s="23">
        <f>IF(AP585="","",SUMIFS(Performance!$Z$5:$Z$404,Performance!$G$5:$G$404,AP585))</f>
        <v>0</v>
      </c>
      <c r="AT585" s="24">
        <f>IF(OR(AR585="",AR585=0),"",AS585/AR585)</f>
        <v>0</v>
      </c>
      <c r="AU585" s="32">
        <f>IF(AQ585=0,"",IF(AT585="","",AT585+ROW()/1000000))</f>
        <v>0</v>
      </c>
      <c r="AV585" s="17">
        <f>IF(ROW()-4&gt;7,"",TEXT(DATE(2024,1,ROW()-4),"ddd"))</f>
        <v>0</v>
      </c>
      <c r="AW585" s="23">
        <f>IF(AV585="","",COUNTIF(Performance!$N$5:$N$404,AV585))</f>
        <v>0</v>
      </c>
      <c r="AX585" s="23">
        <f>IF(AV585="","",SUMIFS(Performance!$O$5:$O$404,Performance!$N$5:$N$404,AV585))</f>
        <v>0</v>
      </c>
      <c r="AY585" s="23">
        <f>IF(AV585="","",SUMIFS(Performance!$Z$5:$Z$404,Performance!$N$5:$N$404,AV585))</f>
        <v>0</v>
      </c>
      <c r="AZ585" s="24">
        <f>IF(OR(AX585="",AX585=0),"",AY585/AX585)</f>
        <v>0</v>
      </c>
      <c r="BA585" s="32">
        <f>IF(AW585=0,"",IF(AZ585="","",AZ585+ROW()/1000000))</f>
        <v>0</v>
      </c>
      <c r="BB585" s="17">
        <f>IF(Lists!$AL585="","",Lists!$AL585)</f>
        <v>0</v>
      </c>
      <c r="BC585" s="23">
        <f>IF(BB585="","",COUNTIF(Performance!$M$5:$M$404,BB585))</f>
        <v>0</v>
      </c>
      <c r="BD585" s="23">
        <f>IF(BB585="","",SUMIFS(Performance!$O$5:$O$404,Performance!$M$5:$M$404,BB585))</f>
        <v>0</v>
      </c>
      <c r="BE585" s="23">
        <f>IF(BB585="","",SUMIFS(Performance!$Z$5:$Z$404,Performance!$M$5:$M$404,BB585))</f>
        <v>0</v>
      </c>
      <c r="BF585" s="24">
        <f>IF(OR(BD585="",BD585=0),"",BE585/BD585)</f>
        <v>0</v>
      </c>
      <c r="BG585" s="32">
        <f>IF(BC585=0,"",IF(BF585="","",BF585+ROW()/1000000))</f>
        <v>0</v>
      </c>
      <c r="BH585" s="17">
        <f>IF(Performance!$C$585="","",Performance!$C$585)</f>
        <v>0</v>
      </c>
      <c r="BI585" s="17">
        <f>IF(Performance!$F$585="","",Performance!$F$585)</f>
        <v>0</v>
      </c>
      <c r="BJ585" s="17">
        <f>IF(Performance!$H$585="","",Performance!$H$585)</f>
        <v>0</v>
      </c>
      <c r="BK585" s="16">
        <f>IF(Performance!$D$585="","",Performance!$D$585)</f>
        <v>0</v>
      </c>
      <c r="BL585" s="17">
        <f>IF(Performance!$E$585="","",Performance!$E$585)</f>
        <v>0</v>
      </c>
      <c r="BM585" s="23">
        <f>IF(Performance!$O$585="","",Performance!$O$585)</f>
        <v>0</v>
      </c>
      <c r="BN585" s="24">
        <f>IF(Performance!$AA$585="","",Performance!$AA$585)</f>
        <v>0</v>
      </c>
      <c r="BO585" s="32">
        <f>IF(BH585="","",IF(BK585="","",IF(OR(BK585&lt;DashStart,BK585&gt;DashEnd),"",IF(BN585="","",BN585+ROW()/1000000))))</f>
        <v>0</v>
      </c>
      <c r="BP585" s="32">
        <f>IF(BM585="","",IF(BK585="","",IF(OR(BK585&lt;DashStart,BK585&gt;DashEnd),"",BM585+ROW()/1000000)))</f>
        <v>0</v>
      </c>
      <c r="BQ585" s="32">
        <f>IF(BH585="","",IF(BK585="","",IF(YEAR(BK585)&lt;&gt;PlanYear,"",IF(BN585="","",BN585+ROW()/1000000))))</f>
        <v>0</v>
      </c>
      <c r="BR585" s="32">
        <f>IF(BH585="","",IF(BK585="","",IF(OR(BK585&lt;RepFrom,BK585&gt;RepTo),"",IF(BN585="","",BN585+ROW()/1000000))))</f>
        <v>0</v>
      </c>
      <c r="BS585" s="32">
        <f>IF(BM585="","",IF(BK585="","",IF(YEAR(BK585)&lt;&gt;PlanYear,"",BM585+ROW()/1000000)))</f>
        <v>0</v>
      </c>
      <c r="BT585" s="17">
        <f>IF(Lists!$F585="","",Lists!$F585)</f>
        <v>0</v>
      </c>
      <c r="BU585" s="23">
        <f>IF(BT585="","",COUNTIF('Content Calendar'!$X$5:$X$604,BT585))</f>
        <v>0</v>
      </c>
      <c r="BV585" s="23">
        <f>IF(BT585="","",COUNTIFS('Content Calendar'!$X$5:$X$604,BT585,'Content Calendar'!$B$5:$B$604,"&gt;="&amp;DashStart,'Content Calendar'!$B$5:$B$604,"&lt;="&amp;DashEnd))</f>
        <v>0</v>
      </c>
      <c r="BW585" s="17">
        <f>IF(Team!$B$585="","",Team!$B$585)</f>
        <v>0</v>
      </c>
      <c r="BX585" s="23">
        <f>IF(BW585="","",COUNTIF('Content Calendar'!$W$5:$W$604,BW585))</f>
        <v>0</v>
      </c>
      <c r="BY585" s="23">
        <f>IF(BW585="","",COUNTIFS('Content Calendar'!$W$5:$W$604,BW585,'Content Calendar'!$X$5:$X$604,"&lt;&gt;Published"))</f>
        <v>0</v>
      </c>
      <c r="BZ585" s="23">
        <f>IF(BW585="","",COUNTIFS(Tasks!$C$5:$C$64,BW585,Tasks!$G$5:$G$64,"&lt;&gt;Complete"))</f>
        <v>0</v>
      </c>
      <c r="CA585" s="17">
        <f>IF(Campaigns!$B$585="","",Campaigns!$B$585)</f>
        <v>0</v>
      </c>
      <c r="CB585" s="25">
        <f>IF(Campaigns!$T$585="","",Campaigns!$T$585)</f>
        <v>0</v>
      </c>
      <c r="CC585" s="25">
        <f>IF(Campaigns!$Q$585="","",Campaigns!$Q$585)</f>
        <v>0</v>
      </c>
      <c r="CD585" s="23">
        <f>IF(Campaigns!$Y$585="","",Campaigns!$Y$585)</f>
        <v>0</v>
      </c>
      <c r="CE585" s="32">
        <f>IF(CA585="","",IF(N(CB585)&lt;=0,"",N(CB585)+ROW()/1000000))</f>
        <v>0</v>
      </c>
      <c r="CF585" s="17">
        <f>IF(Accounts!$C$585="","",Accounts!$C$585)</f>
        <v>0</v>
      </c>
      <c r="CG585" s="17">
        <f>IF(Accounts!$B$585="","",Accounts!$B$585)</f>
        <v>0</v>
      </c>
      <c r="CH585" s="23">
        <f>IF(Accounts!$J$585="","",Accounts!$J$585)</f>
        <v>0</v>
      </c>
      <c r="CI585" s="23">
        <f>IF(CF585="","",SUMIFS(Analytics!$X$5:$X$154,Analytics!$E$5:$E$154,CF585,Analytics!$B$5:$B$154,"&gt;="&amp;DashStart,Analytics!$B$5:$B$154,"&lt;="&amp;DashEnd))</f>
        <v>0</v>
      </c>
      <c r="CJ585" s="32">
        <f>IF(CH585="","",IF(CH585=0,"",CH585+ROW()/1000000))</f>
        <v>0</v>
      </c>
    </row>
    <row r="586" spans="1:88">
      <c r="A586" s="16">
        <f>IF(ROW()-4&gt;12,"",DATE(PlanYear,ROW()-4,1))</f>
        <v>0</v>
      </c>
      <c r="B586" s="16">
        <f>IF(A586="","",EOMONTH(A586,0))</f>
        <v>0</v>
      </c>
      <c r="C586" s="17">
        <f>IF(A586="","",TEXT(A586,"yyyy-mm"))</f>
        <v>0</v>
      </c>
      <c r="D586" s="17">
        <f>IF(A586="","",TEXT(A586,"mmm"))</f>
        <v>0</v>
      </c>
      <c r="E586" s="23">
        <f>IF(C586="","",COUNTIFS('Content Calendar'!$D$5:$D$604,C586))</f>
        <v>0</v>
      </c>
      <c r="F586" s="23">
        <f>IF(C586="","",COUNTIFS('Content Calendar'!$D$5:$D$604,C586,'Content Calendar'!$X$5:$X$604,"Published"))</f>
        <v>0</v>
      </c>
      <c r="G586" s="23">
        <f>IF(C586="","",SUMIFS(Analytics!$J$5:$J$154,Analytics!$C$5:$C$154,C586))</f>
        <v>0</v>
      </c>
      <c r="H586" s="23">
        <f>IF(C586="","",SUMIFS(Analytics!$K$5:$K$154,Analytics!$C$5:$C$154,C586))</f>
        <v>0</v>
      </c>
      <c r="I586" s="23">
        <f>IF(C586="","",SUMIFS(Analytics!$L$5:$L$154,Analytics!$C$5:$C$154,C586))</f>
        <v>0</v>
      </c>
      <c r="J586" s="24">
        <f>IF(OR(G586="",G586=0),"",I586/G586)</f>
        <v>0</v>
      </c>
      <c r="K586" s="23">
        <f>IF(C586="","",SUMIFS(Analytics!$G$5:$G$154,Analytics!$C$5:$C$154,C586))</f>
        <v>0</v>
      </c>
      <c r="L586" s="23">
        <f>IF(C586="","",SUMIFS(Analytics!$X$5:$X$154,Analytics!$C$5:$C$154,C586))</f>
        <v>0</v>
      </c>
      <c r="M586" s="23">
        <f>IF(C586="","",SUMIFS(Analytics!$R$5:$R$154,Analytics!$C$5:$C$154,C586))</f>
        <v>0</v>
      </c>
      <c r="N586" s="23">
        <f>IF(C586="","",SUMIFS(Analytics!$S$5:$S$154,Analytics!$C$5:$C$154,C586))</f>
        <v>0</v>
      </c>
      <c r="O586" s="23">
        <f>IF(C586="","",SUMIFS(Analytics!$T$5:$T$154,Analytics!$C$5:$C$154,C586))</f>
        <v>0</v>
      </c>
      <c r="P586" s="25">
        <f>IF(C586="","",SUMIFS(Analytics!$U$5:$U$154,Analytics!$C$5:$C$154,C586))</f>
        <v>0</v>
      </c>
      <c r="Q586" s="25">
        <f>IF(C586="","",SUMIFS(Budget!$H$5:$H$64,Budget!$C$5:$C$64,C586))</f>
        <v>0</v>
      </c>
      <c r="R586" s="25">
        <f>IF(C586="","",P586-Q586)</f>
        <v>0</v>
      </c>
      <c r="S586" s="23">
        <f>IF(C586="","",MonthlyPostTarget)</f>
        <v>0</v>
      </c>
      <c r="T586" s="17">
        <f>IF(Lists!$C586="","",Lists!$C586)</f>
        <v>0</v>
      </c>
      <c r="U586" s="23">
        <f>IF(T586="","",COUNTIFS('Content Calendar'!$G$5:$G$604,T586,'Content Calendar'!$B$5:$B$604,"&gt;="&amp;DashStart,'Content Calendar'!$B$5:$B$604,"&lt;="&amp;DashEnd))</f>
        <v>0</v>
      </c>
      <c r="V586" s="23">
        <f>IF(T586="","",COUNTIFS('Content Calendar'!$G$5:$G$604,T586,'Content Calendar'!$X$5:$X$604,"Published",'Content Calendar'!$B$5:$B$604,"&gt;="&amp;DashStart,'Content Calendar'!$B$5:$B$604,"&lt;="&amp;DashEnd))</f>
        <v>0</v>
      </c>
      <c r="W586" s="23">
        <f>IF(T586="","",SUMIFS(Analytics!$J$5:$J$154,Analytics!$D$5:$D$154,T586,Analytics!$B$5:$B$154,"&gt;="&amp;DashStart,Analytics!$B$5:$B$154,"&lt;="&amp;DashEnd))</f>
        <v>0</v>
      </c>
      <c r="X586" s="23">
        <f>IF(T586="","",SUMIFS(Analytics!$L$5:$L$154,Analytics!$D$5:$D$154,T586,Analytics!$B$5:$B$154,"&gt;="&amp;DashStart,Analytics!$B$5:$B$154,"&lt;="&amp;DashEnd))</f>
        <v>0</v>
      </c>
      <c r="Y586" s="24">
        <f>IF(OR(W586="",W586=0),"",X586/W586)</f>
        <v>0</v>
      </c>
      <c r="Z586" s="23">
        <f>IF(T586="","",SUMIFS(Analytics!$G$5:$G$154,Analytics!$D$5:$D$154,T586,Analytics!$B$5:$B$154,"&gt;="&amp;DashStart,Analytics!$B$5:$B$154,"&lt;="&amp;DashEnd))</f>
        <v>0</v>
      </c>
      <c r="AA586" s="23">
        <f>IF(T586="","",SUMIFS(Analytics!$X$5:$X$154,Analytics!$D$5:$D$154,T586,Analytics!$B$5:$B$154,"&gt;="&amp;DashStart,Analytics!$B$5:$B$154,"&lt;="&amp;DashEnd))</f>
        <v>0</v>
      </c>
      <c r="AB586" s="23">
        <f>IF(T586="","",SUMIFS(Analytics!$R$5:$R$154,Analytics!$D$5:$D$154,T586,Analytics!$B$5:$B$154,"&gt;="&amp;DashStart,Analytics!$B$5:$B$154,"&lt;="&amp;DashEnd))</f>
        <v>0</v>
      </c>
      <c r="AC586" s="25">
        <f>IF(T586="","",SUMIFS(Analytics!$U$5:$U$154,Analytics!$D$5:$D$154,T586,Analytics!$B$5:$B$154,"&gt;="&amp;DashStart,Analytics!$B$5:$B$154,"&lt;="&amp;DashEnd))</f>
        <v>0</v>
      </c>
      <c r="AD586" s="23">
        <f>IF(T586="","",COUNTIFS('Content Calendar'!$G$5:$G$604,T586,'Content Calendar'!$B$5:$B$604,"&gt;="&amp;DATE(PlanYear,1,1),'Content Calendar'!$B$5:$B$604,"&lt;="&amp;DATE(PlanYear,12,31)))</f>
        <v>0</v>
      </c>
      <c r="AE586" s="23">
        <f>IF(T586="","",SUMIFS(Analytics!$J$5:$J$154,Analytics!$D$5:$D$154,T586))</f>
        <v>0</v>
      </c>
      <c r="AF586" s="23">
        <f>IF(T586="","",SUMIFS(Analytics!$L$5:$L$154,Analytics!$D$5:$D$154,T586))</f>
        <v>0</v>
      </c>
      <c r="AG586" s="24">
        <f>IF(OR(AE586="",AE586=0),"",AF586/AE586)</f>
        <v>0</v>
      </c>
      <c r="AH586" s="23">
        <f>IF(T586="","",SUMIFS(Analytics!$X$5:$X$154,Analytics!$D$5:$D$154,T586))</f>
        <v>0</v>
      </c>
      <c r="AI586" s="32">
        <f>IF(T586="","",IF(AE586=0,"",AE586+ROW()/1000000))</f>
        <v>0</v>
      </c>
      <c r="AJ586" s="17">
        <f>IF('Content Pillars'!$B$586="","",'Content Pillars'!$B$586)</f>
        <v>0</v>
      </c>
      <c r="AK586" s="23">
        <f>IF(AJ586="","",COUNTIFS('Content Calendar'!$J$5:$J$604,AJ586,'Content Calendar'!$B$5:$B$604,"&gt;="&amp;DATE(PlanYear,1,1),'Content Calendar'!$B$5:$B$604,"&lt;="&amp;DATE(PlanYear,12,31)))</f>
        <v>0</v>
      </c>
      <c r="AL586" s="23">
        <f>IF(AJ586="","",SUMIFS(Performance!$O$5:$O$404,Performance!$H$5:$H$404,AJ586))</f>
        <v>0</v>
      </c>
      <c r="AM586" s="23">
        <f>IF(AJ586="","",SUMIFS(Performance!$Z$5:$Z$404,Performance!$H$5:$H$404,AJ586))</f>
        <v>0</v>
      </c>
      <c r="AN586" s="24">
        <f>IF(OR(AL586="",AL586=0),"",AM586/AL586)</f>
        <v>0</v>
      </c>
      <c r="AO586" s="32">
        <f>IF(AN586="","",AN586+ROW()/1000000)</f>
        <v>0</v>
      </c>
      <c r="AP586" s="17">
        <f>IF(Lists!$E586="","",Lists!$E586)</f>
        <v>0</v>
      </c>
      <c r="AQ586" s="23">
        <f>IF(AP586="","",COUNTIF(Performance!$G$5:$G$404,AP586))</f>
        <v>0</v>
      </c>
      <c r="AR586" s="23">
        <f>IF(AP586="","",SUMIFS(Performance!$O$5:$O$404,Performance!$G$5:$G$404,AP586))</f>
        <v>0</v>
      </c>
      <c r="AS586" s="23">
        <f>IF(AP586="","",SUMIFS(Performance!$Z$5:$Z$404,Performance!$G$5:$G$404,AP586))</f>
        <v>0</v>
      </c>
      <c r="AT586" s="24">
        <f>IF(OR(AR586="",AR586=0),"",AS586/AR586)</f>
        <v>0</v>
      </c>
      <c r="AU586" s="32">
        <f>IF(AQ586=0,"",IF(AT586="","",AT586+ROW()/1000000))</f>
        <v>0</v>
      </c>
      <c r="AV586" s="17">
        <f>IF(ROW()-4&gt;7,"",TEXT(DATE(2024,1,ROW()-4),"ddd"))</f>
        <v>0</v>
      </c>
      <c r="AW586" s="23">
        <f>IF(AV586="","",COUNTIF(Performance!$N$5:$N$404,AV586))</f>
        <v>0</v>
      </c>
      <c r="AX586" s="23">
        <f>IF(AV586="","",SUMIFS(Performance!$O$5:$O$404,Performance!$N$5:$N$404,AV586))</f>
        <v>0</v>
      </c>
      <c r="AY586" s="23">
        <f>IF(AV586="","",SUMIFS(Performance!$Z$5:$Z$404,Performance!$N$5:$N$404,AV586))</f>
        <v>0</v>
      </c>
      <c r="AZ586" s="24">
        <f>IF(OR(AX586="",AX586=0),"",AY586/AX586)</f>
        <v>0</v>
      </c>
      <c r="BA586" s="32">
        <f>IF(AW586=0,"",IF(AZ586="","",AZ586+ROW()/1000000))</f>
        <v>0</v>
      </c>
      <c r="BB586" s="17">
        <f>IF(Lists!$AL586="","",Lists!$AL586)</f>
        <v>0</v>
      </c>
      <c r="BC586" s="23">
        <f>IF(BB586="","",COUNTIF(Performance!$M$5:$M$404,BB586))</f>
        <v>0</v>
      </c>
      <c r="BD586" s="23">
        <f>IF(BB586="","",SUMIFS(Performance!$O$5:$O$404,Performance!$M$5:$M$404,BB586))</f>
        <v>0</v>
      </c>
      <c r="BE586" s="23">
        <f>IF(BB586="","",SUMIFS(Performance!$Z$5:$Z$404,Performance!$M$5:$M$404,BB586))</f>
        <v>0</v>
      </c>
      <c r="BF586" s="24">
        <f>IF(OR(BD586="",BD586=0),"",BE586/BD586)</f>
        <v>0</v>
      </c>
      <c r="BG586" s="32">
        <f>IF(BC586=0,"",IF(BF586="","",BF586+ROW()/1000000))</f>
        <v>0</v>
      </c>
      <c r="BH586" s="17">
        <f>IF(Performance!$C$586="","",Performance!$C$586)</f>
        <v>0</v>
      </c>
      <c r="BI586" s="17">
        <f>IF(Performance!$F$586="","",Performance!$F$586)</f>
        <v>0</v>
      </c>
      <c r="BJ586" s="17">
        <f>IF(Performance!$H$586="","",Performance!$H$586)</f>
        <v>0</v>
      </c>
      <c r="BK586" s="16">
        <f>IF(Performance!$D$586="","",Performance!$D$586)</f>
        <v>0</v>
      </c>
      <c r="BL586" s="17">
        <f>IF(Performance!$E$586="","",Performance!$E$586)</f>
        <v>0</v>
      </c>
      <c r="BM586" s="23">
        <f>IF(Performance!$O$586="","",Performance!$O$586)</f>
        <v>0</v>
      </c>
      <c r="BN586" s="24">
        <f>IF(Performance!$AA$586="","",Performance!$AA$586)</f>
        <v>0</v>
      </c>
      <c r="BO586" s="32">
        <f>IF(BH586="","",IF(BK586="","",IF(OR(BK586&lt;DashStart,BK586&gt;DashEnd),"",IF(BN586="","",BN586+ROW()/1000000))))</f>
        <v>0</v>
      </c>
      <c r="BP586" s="32">
        <f>IF(BM586="","",IF(BK586="","",IF(OR(BK586&lt;DashStart,BK586&gt;DashEnd),"",BM586+ROW()/1000000)))</f>
        <v>0</v>
      </c>
      <c r="BQ586" s="32">
        <f>IF(BH586="","",IF(BK586="","",IF(YEAR(BK586)&lt;&gt;PlanYear,"",IF(BN586="","",BN586+ROW()/1000000))))</f>
        <v>0</v>
      </c>
      <c r="BR586" s="32">
        <f>IF(BH586="","",IF(BK586="","",IF(OR(BK586&lt;RepFrom,BK586&gt;RepTo),"",IF(BN586="","",BN586+ROW()/1000000))))</f>
        <v>0</v>
      </c>
      <c r="BS586" s="32">
        <f>IF(BM586="","",IF(BK586="","",IF(YEAR(BK586)&lt;&gt;PlanYear,"",BM586+ROW()/1000000)))</f>
        <v>0</v>
      </c>
      <c r="BT586" s="17">
        <f>IF(Lists!$F586="","",Lists!$F586)</f>
        <v>0</v>
      </c>
      <c r="BU586" s="23">
        <f>IF(BT586="","",COUNTIF('Content Calendar'!$X$5:$X$604,BT586))</f>
        <v>0</v>
      </c>
      <c r="BV586" s="23">
        <f>IF(BT586="","",COUNTIFS('Content Calendar'!$X$5:$X$604,BT586,'Content Calendar'!$B$5:$B$604,"&gt;="&amp;DashStart,'Content Calendar'!$B$5:$B$604,"&lt;="&amp;DashEnd))</f>
        <v>0</v>
      </c>
      <c r="BW586" s="17">
        <f>IF(Team!$B$586="","",Team!$B$586)</f>
        <v>0</v>
      </c>
      <c r="BX586" s="23">
        <f>IF(BW586="","",COUNTIF('Content Calendar'!$W$5:$W$604,BW586))</f>
        <v>0</v>
      </c>
      <c r="BY586" s="23">
        <f>IF(BW586="","",COUNTIFS('Content Calendar'!$W$5:$W$604,BW586,'Content Calendar'!$X$5:$X$604,"&lt;&gt;Published"))</f>
        <v>0</v>
      </c>
      <c r="BZ586" s="23">
        <f>IF(BW586="","",COUNTIFS(Tasks!$C$5:$C$64,BW586,Tasks!$G$5:$G$64,"&lt;&gt;Complete"))</f>
        <v>0</v>
      </c>
      <c r="CA586" s="17">
        <f>IF(Campaigns!$B$586="","",Campaigns!$B$586)</f>
        <v>0</v>
      </c>
      <c r="CB586" s="25">
        <f>IF(Campaigns!$T$586="","",Campaigns!$T$586)</f>
        <v>0</v>
      </c>
      <c r="CC586" s="25">
        <f>IF(Campaigns!$Q$586="","",Campaigns!$Q$586)</f>
        <v>0</v>
      </c>
      <c r="CD586" s="23">
        <f>IF(Campaigns!$Y$586="","",Campaigns!$Y$586)</f>
        <v>0</v>
      </c>
      <c r="CE586" s="32">
        <f>IF(CA586="","",IF(N(CB586)&lt;=0,"",N(CB586)+ROW()/1000000))</f>
        <v>0</v>
      </c>
      <c r="CF586" s="17">
        <f>IF(Accounts!$C$586="","",Accounts!$C$586)</f>
        <v>0</v>
      </c>
      <c r="CG586" s="17">
        <f>IF(Accounts!$B$586="","",Accounts!$B$586)</f>
        <v>0</v>
      </c>
      <c r="CH586" s="23">
        <f>IF(Accounts!$J$586="","",Accounts!$J$586)</f>
        <v>0</v>
      </c>
      <c r="CI586" s="23">
        <f>IF(CF586="","",SUMIFS(Analytics!$X$5:$X$154,Analytics!$E$5:$E$154,CF586,Analytics!$B$5:$B$154,"&gt;="&amp;DashStart,Analytics!$B$5:$B$154,"&lt;="&amp;DashEnd))</f>
        <v>0</v>
      </c>
      <c r="CJ586" s="32">
        <f>IF(CH586="","",IF(CH586=0,"",CH586+ROW()/1000000))</f>
        <v>0</v>
      </c>
    </row>
    <row r="587" spans="1:88">
      <c r="A587" s="16">
        <f>IF(ROW()-4&gt;12,"",DATE(PlanYear,ROW()-4,1))</f>
        <v>0</v>
      </c>
      <c r="B587" s="16">
        <f>IF(A587="","",EOMONTH(A587,0))</f>
        <v>0</v>
      </c>
      <c r="C587" s="17">
        <f>IF(A587="","",TEXT(A587,"yyyy-mm"))</f>
        <v>0</v>
      </c>
      <c r="D587" s="17">
        <f>IF(A587="","",TEXT(A587,"mmm"))</f>
        <v>0</v>
      </c>
      <c r="E587" s="23">
        <f>IF(C587="","",COUNTIFS('Content Calendar'!$D$5:$D$604,C587))</f>
        <v>0</v>
      </c>
      <c r="F587" s="23">
        <f>IF(C587="","",COUNTIFS('Content Calendar'!$D$5:$D$604,C587,'Content Calendar'!$X$5:$X$604,"Published"))</f>
        <v>0</v>
      </c>
      <c r="G587" s="23">
        <f>IF(C587="","",SUMIFS(Analytics!$J$5:$J$154,Analytics!$C$5:$C$154,C587))</f>
        <v>0</v>
      </c>
      <c r="H587" s="23">
        <f>IF(C587="","",SUMIFS(Analytics!$K$5:$K$154,Analytics!$C$5:$C$154,C587))</f>
        <v>0</v>
      </c>
      <c r="I587" s="23">
        <f>IF(C587="","",SUMIFS(Analytics!$L$5:$L$154,Analytics!$C$5:$C$154,C587))</f>
        <v>0</v>
      </c>
      <c r="J587" s="24">
        <f>IF(OR(G587="",G587=0),"",I587/G587)</f>
        <v>0</v>
      </c>
      <c r="K587" s="23">
        <f>IF(C587="","",SUMIFS(Analytics!$G$5:$G$154,Analytics!$C$5:$C$154,C587))</f>
        <v>0</v>
      </c>
      <c r="L587" s="23">
        <f>IF(C587="","",SUMIFS(Analytics!$X$5:$X$154,Analytics!$C$5:$C$154,C587))</f>
        <v>0</v>
      </c>
      <c r="M587" s="23">
        <f>IF(C587="","",SUMIFS(Analytics!$R$5:$R$154,Analytics!$C$5:$C$154,C587))</f>
        <v>0</v>
      </c>
      <c r="N587" s="23">
        <f>IF(C587="","",SUMIFS(Analytics!$S$5:$S$154,Analytics!$C$5:$C$154,C587))</f>
        <v>0</v>
      </c>
      <c r="O587" s="23">
        <f>IF(C587="","",SUMIFS(Analytics!$T$5:$T$154,Analytics!$C$5:$C$154,C587))</f>
        <v>0</v>
      </c>
      <c r="P587" s="25">
        <f>IF(C587="","",SUMIFS(Analytics!$U$5:$U$154,Analytics!$C$5:$C$154,C587))</f>
        <v>0</v>
      </c>
      <c r="Q587" s="25">
        <f>IF(C587="","",SUMIFS(Budget!$H$5:$H$64,Budget!$C$5:$C$64,C587))</f>
        <v>0</v>
      </c>
      <c r="R587" s="25">
        <f>IF(C587="","",P587-Q587)</f>
        <v>0</v>
      </c>
      <c r="S587" s="23">
        <f>IF(C587="","",MonthlyPostTarget)</f>
        <v>0</v>
      </c>
      <c r="T587" s="17">
        <f>IF(Lists!$C587="","",Lists!$C587)</f>
        <v>0</v>
      </c>
      <c r="U587" s="23">
        <f>IF(T587="","",COUNTIFS('Content Calendar'!$G$5:$G$604,T587,'Content Calendar'!$B$5:$B$604,"&gt;="&amp;DashStart,'Content Calendar'!$B$5:$B$604,"&lt;="&amp;DashEnd))</f>
        <v>0</v>
      </c>
      <c r="V587" s="23">
        <f>IF(T587="","",COUNTIFS('Content Calendar'!$G$5:$G$604,T587,'Content Calendar'!$X$5:$X$604,"Published",'Content Calendar'!$B$5:$B$604,"&gt;="&amp;DashStart,'Content Calendar'!$B$5:$B$604,"&lt;="&amp;DashEnd))</f>
        <v>0</v>
      </c>
      <c r="W587" s="23">
        <f>IF(T587="","",SUMIFS(Analytics!$J$5:$J$154,Analytics!$D$5:$D$154,T587,Analytics!$B$5:$B$154,"&gt;="&amp;DashStart,Analytics!$B$5:$B$154,"&lt;="&amp;DashEnd))</f>
        <v>0</v>
      </c>
      <c r="X587" s="23">
        <f>IF(T587="","",SUMIFS(Analytics!$L$5:$L$154,Analytics!$D$5:$D$154,T587,Analytics!$B$5:$B$154,"&gt;="&amp;DashStart,Analytics!$B$5:$B$154,"&lt;="&amp;DashEnd))</f>
        <v>0</v>
      </c>
      <c r="Y587" s="24">
        <f>IF(OR(W587="",W587=0),"",X587/W587)</f>
        <v>0</v>
      </c>
      <c r="Z587" s="23">
        <f>IF(T587="","",SUMIFS(Analytics!$G$5:$G$154,Analytics!$D$5:$D$154,T587,Analytics!$B$5:$B$154,"&gt;="&amp;DashStart,Analytics!$B$5:$B$154,"&lt;="&amp;DashEnd))</f>
        <v>0</v>
      </c>
      <c r="AA587" s="23">
        <f>IF(T587="","",SUMIFS(Analytics!$X$5:$X$154,Analytics!$D$5:$D$154,T587,Analytics!$B$5:$B$154,"&gt;="&amp;DashStart,Analytics!$B$5:$B$154,"&lt;="&amp;DashEnd))</f>
        <v>0</v>
      </c>
      <c r="AB587" s="23">
        <f>IF(T587="","",SUMIFS(Analytics!$R$5:$R$154,Analytics!$D$5:$D$154,T587,Analytics!$B$5:$B$154,"&gt;="&amp;DashStart,Analytics!$B$5:$B$154,"&lt;="&amp;DashEnd))</f>
        <v>0</v>
      </c>
      <c r="AC587" s="25">
        <f>IF(T587="","",SUMIFS(Analytics!$U$5:$U$154,Analytics!$D$5:$D$154,T587,Analytics!$B$5:$B$154,"&gt;="&amp;DashStart,Analytics!$B$5:$B$154,"&lt;="&amp;DashEnd))</f>
        <v>0</v>
      </c>
      <c r="AD587" s="23">
        <f>IF(T587="","",COUNTIFS('Content Calendar'!$G$5:$G$604,T587,'Content Calendar'!$B$5:$B$604,"&gt;="&amp;DATE(PlanYear,1,1),'Content Calendar'!$B$5:$B$604,"&lt;="&amp;DATE(PlanYear,12,31)))</f>
        <v>0</v>
      </c>
      <c r="AE587" s="23">
        <f>IF(T587="","",SUMIFS(Analytics!$J$5:$J$154,Analytics!$D$5:$D$154,T587))</f>
        <v>0</v>
      </c>
      <c r="AF587" s="23">
        <f>IF(T587="","",SUMIFS(Analytics!$L$5:$L$154,Analytics!$D$5:$D$154,T587))</f>
        <v>0</v>
      </c>
      <c r="AG587" s="24">
        <f>IF(OR(AE587="",AE587=0),"",AF587/AE587)</f>
        <v>0</v>
      </c>
      <c r="AH587" s="23">
        <f>IF(T587="","",SUMIFS(Analytics!$X$5:$X$154,Analytics!$D$5:$D$154,T587))</f>
        <v>0</v>
      </c>
      <c r="AI587" s="32">
        <f>IF(T587="","",IF(AE587=0,"",AE587+ROW()/1000000))</f>
        <v>0</v>
      </c>
      <c r="AJ587" s="17">
        <f>IF('Content Pillars'!$B$587="","",'Content Pillars'!$B$587)</f>
        <v>0</v>
      </c>
      <c r="AK587" s="23">
        <f>IF(AJ587="","",COUNTIFS('Content Calendar'!$J$5:$J$604,AJ587,'Content Calendar'!$B$5:$B$604,"&gt;="&amp;DATE(PlanYear,1,1),'Content Calendar'!$B$5:$B$604,"&lt;="&amp;DATE(PlanYear,12,31)))</f>
        <v>0</v>
      </c>
      <c r="AL587" s="23">
        <f>IF(AJ587="","",SUMIFS(Performance!$O$5:$O$404,Performance!$H$5:$H$404,AJ587))</f>
        <v>0</v>
      </c>
      <c r="AM587" s="23">
        <f>IF(AJ587="","",SUMIFS(Performance!$Z$5:$Z$404,Performance!$H$5:$H$404,AJ587))</f>
        <v>0</v>
      </c>
      <c r="AN587" s="24">
        <f>IF(OR(AL587="",AL587=0),"",AM587/AL587)</f>
        <v>0</v>
      </c>
      <c r="AO587" s="32">
        <f>IF(AN587="","",AN587+ROW()/1000000)</f>
        <v>0</v>
      </c>
      <c r="AP587" s="17">
        <f>IF(Lists!$E587="","",Lists!$E587)</f>
        <v>0</v>
      </c>
      <c r="AQ587" s="23">
        <f>IF(AP587="","",COUNTIF(Performance!$G$5:$G$404,AP587))</f>
        <v>0</v>
      </c>
      <c r="AR587" s="23">
        <f>IF(AP587="","",SUMIFS(Performance!$O$5:$O$404,Performance!$G$5:$G$404,AP587))</f>
        <v>0</v>
      </c>
      <c r="AS587" s="23">
        <f>IF(AP587="","",SUMIFS(Performance!$Z$5:$Z$404,Performance!$G$5:$G$404,AP587))</f>
        <v>0</v>
      </c>
      <c r="AT587" s="24">
        <f>IF(OR(AR587="",AR587=0),"",AS587/AR587)</f>
        <v>0</v>
      </c>
      <c r="AU587" s="32">
        <f>IF(AQ587=0,"",IF(AT587="","",AT587+ROW()/1000000))</f>
        <v>0</v>
      </c>
      <c r="AV587" s="17">
        <f>IF(ROW()-4&gt;7,"",TEXT(DATE(2024,1,ROW()-4),"ddd"))</f>
        <v>0</v>
      </c>
      <c r="AW587" s="23">
        <f>IF(AV587="","",COUNTIF(Performance!$N$5:$N$404,AV587))</f>
        <v>0</v>
      </c>
      <c r="AX587" s="23">
        <f>IF(AV587="","",SUMIFS(Performance!$O$5:$O$404,Performance!$N$5:$N$404,AV587))</f>
        <v>0</v>
      </c>
      <c r="AY587" s="23">
        <f>IF(AV587="","",SUMIFS(Performance!$Z$5:$Z$404,Performance!$N$5:$N$404,AV587))</f>
        <v>0</v>
      </c>
      <c r="AZ587" s="24">
        <f>IF(OR(AX587="",AX587=0),"",AY587/AX587)</f>
        <v>0</v>
      </c>
      <c r="BA587" s="32">
        <f>IF(AW587=0,"",IF(AZ587="","",AZ587+ROW()/1000000))</f>
        <v>0</v>
      </c>
      <c r="BB587" s="17">
        <f>IF(Lists!$AL587="","",Lists!$AL587)</f>
        <v>0</v>
      </c>
      <c r="BC587" s="23">
        <f>IF(BB587="","",COUNTIF(Performance!$M$5:$M$404,BB587))</f>
        <v>0</v>
      </c>
      <c r="BD587" s="23">
        <f>IF(BB587="","",SUMIFS(Performance!$O$5:$O$404,Performance!$M$5:$M$404,BB587))</f>
        <v>0</v>
      </c>
      <c r="BE587" s="23">
        <f>IF(BB587="","",SUMIFS(Performance!$Z$5:$Z$404,Performance!$M$5:$M$404,BB587))</f>
        <v>0</v>
      </c>
      <c r="BF587" s="24">
        <f>IF(OR(BD587="",BD587=0),"",BE587/BD587)</f>
        <v>0</v>
      </c>
      <c r="BG587" s="32">
        <f>IF(BC587=0,"",IF(BF587="","",BF587+ROW()/1000000))</f>
        <v>0</v>
      </c>
      <c r="BH587" s="17">
        <f>IF(Performance!$C$587="","",Performance!$C$587)</f>
        <v>0</v>
      </c>
      <c r="BI587" s="17">
        <f>IF(Performance!$F$587="","",Performance!$F$587)</f>
        <v>0</v>
      </c>
      <c r="BJ587" s="17">
        <f>IF(Performance!$H$587="","",Performance!$H$587)</f>
        <v>0</v>
      </c>
      <c r="BK587" s="16">
        <f>IF(Performance!$D$587="","",Performance!$D$587)</f>
        <v>0</v>
      </c>
      <c r="BL587" s="17">
        <f>IF(Performance!$E$587="","",Performance!$E$587)</f>
        <v>0</v>
      </c>
      <c r="BM587" s="23">
        <f>IF(Performance!$O$587="","",Performance!$O$587)</f>
        <v>0</v>
      </c>
      <c r="BN587" s="24">
        <f>IF(Performance!$AA$587="","",Performance!$AA$587)</f>
        <v>0</v>
      </c>
      <c r="BO587" s="32">
        <f>IF(BH587="","",IF(BK587="","",IF(OR(BK587&lt;DashStart,BK587&gt;DashEnd),"",IF(BN587="","",BN587+ROW()/1000000))))</f>
        <v>0</v>
      </c>
      <c r="BP587" s="32">
        <f>IF(BM587="","",IF(BK587="","",IF(OR(BK587&lt;DashStart,BK587&gt;DashEnd),"",BM587+ROW()/1000000)))</f>
        <v>0</v>
      </c>
      <c r="BQ587" s="32">
        <f>IF(BH587="","",IF(BK587="","",IF(YEAR(BK587)&lt;&gt;PlanYear,"",IF(BN587="","",BN587+ROW()/1000000))))</f>
        <v>0</v>
      </c>
      <c r="BR587" s="32">
        <f>IF(BH587="","",IF(BK587="","",IF(OR(BK587&lt;RepFrom,BK587&gt;RepTo),"",IF(BN587="","",BN587+ROW()/1000000))))</f>
        <v>0</v>
      </c>
      <c r="BS587" s="32">
        <f>IF(BM587="","",IF(BK587="","",IF(YEAR(BK587)&lt;&gt;PlanYear,"",BM587+ROW()/1000000)))</f>
        <v>0</v>
      </c>
      <c r="BT587" s="17">
        <f>IF(Lists!$F587="","",Lists!$F587)</f>
        <v>0</v>
      </c>
      <c r="BU587" s="23">
        <f>IF(BT587="","",COUNTIF('Content Calendar'!$X$5:$X$604,BT587))</f>
        <v>0</v>
      </c>
      <c r="BV587" s="23">
        <f>IF(BT587="","",COUNTIFS('Content Calendar'!$X$5:$X$604,BT587,'Content Calendar'!$B$5:$B$604,"&gt;="&amp;DashStart,'Content Calendar'!$B$5:$B$604,"&lt;="&amp;DashEnd))</f>
        <v>0</v>
      </c>
      <c r="BW587" s="17">
        <f>IF(Team!$B$587="","",Team!$B$587)</f>
        <v>0</v>
      </c>
      <c r="BX587" s="23">
        <f>IF(BW587="","",COUNTIF('Content Calendar'!$W$5:$W$604,BW587))</f>
        <v>0</v>
      </c>
      <c r="BY587" s="23">
        <f>IF(BW587="","",COUNTIFS('Content Calendar'!$W$5:$W$604,BW587,'Content Calendar'!$X$5:$X$604,"&lt;&gt;Published"))</f>
        <v>0</v>
      </c>
      <c r="BZ587" s="23">
        <f>IF(BW587="","",COUNTIFS(Tasks!$C$5:$C$64,BW587,Tasks!$G$5:$G$64,"&lt;&gt;Complete"))</f>
        <v>0</v>
      </c>
      <c r="CA587" s="17">
        <f>IF(Campaigns!$B$587="","",Campaigns!$B$587)</f>
        <v>0</v>
      </c>
      <c r="CB587" s="25">
        <f>IF(Campaigns!$T$587="","",Campaigns!$T$587)</f>
        <v>0</v>
      </c>
      <c r="CC587" s="25">
        <f>IF(Campaigns!$Q$587="","",Campaigns!$Q$587)</f>
        <v>0</v>
      </c>
      <c r="CD587" s="23">
        <f>IF(Campaigns!$Y$587="","",Campaigns!$Y$587)</f>
        <v>0</v>
      </c>
      <c r="CE587" s="32">
        <f>IF(CA587="","",IF(N(CB587)&lt;=0,"",N(CB587)+ROW()/1000000))</f>
        <v>0</v>
      </c>
      <c r="CF587" s="17">
        <f>IF(Accounts!$C$587="","",Accounts!$C$587)</f>
        <v>0</v>
      </c>
      <c r="CG587" s="17">
        <f>IF(Accounts!$B$587="","",Accounts!$B$587)</f>
        <v>0</v>
      </c>
      <c r="CH587" s="23">
        <f>IF(Accounts!$J$587="","",Accounts!$J$587)</f>
        <v>0</v>
      </c>
      <c r="CI587" s="23">
        <f>IF(CF587="","",SUMIFS(Analytics!$X$5:$X$154,Analytics!$E$5:$E$154,CF587,Analytics!$B$5:$B$154,"&gt;="&amp;DashStart,Analytics!$B$5:$B$154,"&lt;="&amp;DashEnd))</f>
        <v>0</v>
      </c>
      <c r="CJ587" s="32">
        <f>IF(CH587="","",IF(CH587=0,"",CH587+ROW()/1000000))</f>
        <v>0</v>
      </c>
    </row>
    <row r="588" spans="1:88">
      <c r="A588" s="16">
        <f>IF(ROW()-4&gt;12,"",DATE(PlanYear,ROW()-4,1))</f>
        <v>0</v>
      </c>
      <c r="B588" s="16">
        <f>IF(A588="","",EOMONTH(A588,0))</f>
        <v>0</v>
      </c>
      <c r="C588" s="17">
        <f>IF(A588="","",TEXT(A588,"yyyy-mm"))</f>
        <v>0</v>
      </c>
      <c r="D588" s="17">
        <f>IF(A588="","",TEXT(A588,"mmm"))</f>
        <v>0</v>
      </c>
      <c r="E588" s="23">
        <f>IF(C588="","",COUNTIFS('Content Calendar'!$D$5:$D$604,C588))</f>
        <v>0</v>
      </c>
      <c r="F588" s="23">
        <f>IF(C588="","",COUNTIFS('Content Calendar'!$D$5:$D$604,C588,'Content Calendar'!$X$5:$X$604,"Published"))</f>
        <v>0</v>
      </c>
      <c r="G588" s="23">
        <f>IF(C588="","",SUMIFS(Analytics!$J$5:$J$154,Analytics!$C$5:$C$154,C588))</f>
        <v>0</v>
      </c>
      <c r="H588" s="23">
        <f>IF(C588="","",SUMIFS(Analytics!$K$5:$K$154,Analytics!$C$5:$C$154,C588))</f>
        <v>0</v>
      </c>
      <c r="I588" s="23">
        <f>IF(C588="","",SUMIFS(Analytics!$L$5:$L$154,Analytics!$C$5:$C$154,C588))</f>
        <v>0</v>
      </c>
      <c r="J588" s="24">
        <f>IF(OR(G588="",G588=0),"",I588/G588)</f>
        <v>0</v>
      </c>
      <c r="K588" s="23">
        <f>IF(C588="","",SUMIFS(Analytics!$G$5:$G$154,Analytics!$C$5:$C$154,C588))</f>
        <v>0</v>
      </c>
      <c r="L588" s="23">
        <f>IF(C588="","",SUMIFS(Analytics!$X$5:$X$154,Analytics!$C$5:$C$154,C588))</f>
        <v>0</v>
      </c>
      <c r="M588" s="23">
        <f>IF(C588="","",SUMIFS(Analytics!$R$5:$R$154,Analytics!$C$5:$C$154,C588))</f>
        <v>0</v>
      </c>
      <c r="N588" s="23">
        <f>IF(C588="","",SUMIFS(Analytics!$S$5:$S$154,Analytics!$C$5:$C$154,C588))</f>
        <v>0</v>
      </c>
      <c r="O588" s="23">
        <f>IF(C588="","",SUMIFS(Analytics!$T$5:$T$154,Analytics!$C$5:$C$154,C588))</f>
        <v>0</v>
      </c>
      <c r="P588" s="25">
        <f>IF(C588="","",SUMIFS(Analytics!$U$5:$U$154,Analytics!$C$5:$C$154,C588))</f>
        <v>0</v>
      </c>
      <c r="Q588" s="25">
        <f>IF(C588="","",SUMIFS(Budget!$H$5:$H$64,Budget!$C$5:$C$64,C588))</f>
        <v>0</v>
      </c>
      <c r="R588" s="25">
        <f>IF(C588="","",P588-Q588)</f>
        <v>0</v>
      </c>
      <c r="S588" s="23">
        <f>IF(C588="","",MonthlyPostTarget)</f>
        <v>0</v>
      </c>
      <c r="T588" s="17">
        <f>IF(Lists!$C588="","",Lists!$C588)</f>
        <v>0</v>
      </c>
      <c r="U588" s="23">
        <f>IF(T588="","",COUNTIFS('Content Calendar'!$G$5:$G$604,T588,'Content Calendar'!$B$5:$B$604,"&gt;="&amp;DashStart,'Content Calendar'!$B$5:$B$604,"&lt;="&amp;DashEnd))</f>
        <v>0</v>
      </c>
      <c r="V588" s="23">
        <f>IF(T588="","",COUNTIFS('Content Calendar'!$G$5:$G$604,T588,'Content Calendar'!$X$5:$X$604,"Published",'Content Calendar'!$B$5:$B$604,"&gt;="&amp;DashStart,'Content Calendar'!$B$5:$B$604,"&lt;="&amp;DashEnd))</f>
        <v>0</v>
      </c>
      <c r="W588" s="23">
        <f>IF(T588="","",SUMIFS(Analytics!$J$5:$J$154,Analytics!$D$5:$D$154,T588,Analytics!$B$5:$B$154,"&gt;="&amp;DashStart,Analytics!$B$5:$B$154,"&lt;="&amp;DashEnd))</f>
        <v>0</v>
      </c>
      <c r="X588" s="23">
        <f>IF(T588="","",SUMIFS(Analytics!$L$5:$L$154,Analytics!$D$5:$D$154,T588,Analytics!$B$5:$B$154,"&gt;="&amp;DashStart,Analytics!$B$5:$B$154,"&lt;="&amp;DashEnd))</f>
        <v>0</v>
      </c>
      <c r="Y588" s="24">
        <f>IF(OR(W588="",W588=0),"",X588/W588)</f>
        <v>0</v>
      </c>
      <c r="Z588" s="23">
        <f>IF(T588="","",SUMIFS(Analytics!$G$5:$G$154,Analytics!$D$5:$D$154,T588,Analytics!$B$5:$B$154,"&gt;="&amp;DashStart,Analytics!$B$5:$B$154,"&lt;="&amp;DashEnd))</f>
        <v>0</v>
      </c>
      <c r="AA588" s="23">
        <f>IF(T588="","",SUMIFS(Analytics!$X$5:$X$154,Analytics!$D$5:$D$154,T588,Analytics!$B$5:$B$154,"&gt;="&amp;DashStart,Analytics!$B$5:$B$154,"&lt;="&amp;DashEnd))</f>
        <v>0</v>
      </c>
      <c r="AB588" s="23">
        <f>IF(T588="","",SUMIFS(Analytics!$R$5:$R$154,Analytics!$D$5:$D$154,T588,Analytics!$B$5:$B$154,"&gt;="&amp;DashStart,Analytics!$B$5:$B$154,"&lt;="&amp;DashEnd))</f>
        <v>0</v>
      </c>
      <c r="AC588" s="25">
        <f>IF(T588="","",SUMIFS(Analytics!$U$5:$U$154,Analytics!$D$5:$D$154,T588,Analytics!$B$5:$B$154,"&gt;="&amp;DashStart,Analytics!$B$5:$B$154,"&lt;="&amp;DashEnd))</f>
        <v>0</v>
      </c>
      <c r="AD588" s="23">
        <f>IF(T588="","",COUNTIFS('Content Calendar'!$G$5:$G$604,T588,'Content Calendar'!$B$5:$B$604,"&gt;="&amp;DATE(PlanYear,1,1),'Content Calendar'!$B$5:$B$604,"&lt;="&amp;DATE(PlanYear,12,31)))</f>
        <v>0</v>
      </c>
      <c r="AE588" s="23">
        <f>IF(T588="","",SUMIFS(Analytics!$J$5:$J$154,Analytics!$D$5:$D$154,T588))</f>
        <v>0</v>
      </c>
      <c r="AF588" s="23">
        <f>IF(T588="","",SUMIFS(Analytics!$L$5:$L$154,Analytics!$D$5:$D$154,T588))</f>
        <v>0</v>
      </c>
      <c r="AG588" s="24">
        <f>IF(OR(AE588="",AE588=0),"",AF588/AE588)</f>
        <v>0</v>
      </c>
      <c r="AH588" s="23">
        <f>IF(T588="","",SUMIFS(Analytics!$X$5:$X$154,Analytics!$D$5:$D$154,T588))</f>
        <v>0</v>
      </c>
      <c r="AI588" s="32">
        <f>IF(T588="","",IF(AE588=0,"",AE588+ROW()/1000000))</f>
        <v>0</v>
      </c>
      <c r="AJ588" s="17">
        <f>IF('Content Pillars'!$B$588="","",'Content Pillars'!$B$588)</f>
        <v>0</v>
      </c>
      <c r="AK588" s="23">
        <f>IF(AJ588="","",COUNTIFS('Content Calendar'!$J$5:$J$604,AJ588,'Content Calendar'!$B$5:$B$604,"&gt;="&amp;DATE(PlanYear,1,1),'Content Calendar'!$B$5:$B$604,"&lt;="&amp;DATE(PlanYear,12,31)))</f>
        <v>0</v>
      </c>
      <c r="AL588" s="23">
        <f>IF(AJ588="","",SUMIFS(Performance!$O$5:$O$404,Performance!$H$5:$H$404,AJ588))</f>
        <v>0</v>
      </c>
      <c r="AM588" s="23">
        <f>IF(AJ588="","",SUMIFS(Performance!$Z$5:$Z$404,Performance!$H$5:$H$404,AJ588))</f>
        <v>0</v>
      </c>
      <c r="AN588" s="24">
        <f>IF(OR(AL588="",AL588=0),"",AM588/AL588)</f>
        <v>0</v>
      </c>
      <c r="AO588" s="32">
        <f>IF(AN588="","",AN588+ROW()/1000000)</f>
        <v>0</v>
      </c>
      <c r="AP588" s="17">
        <f>IF(Lists!$E588="","",Lists!$E588)</f>
        <v>0</v>
      </c>
      <c r="AQ588" s="23">
        <f>IF(AP588="","",COUNTIF(Performance!$G$5:$G$404,AP588))</f>
        <v>0</v>
      </c>
      <c r="AR588" s="23">
        <f>IF(AP588="","",SUMIFS(Performance!$O$5:$O$404,Performance!$G$5:$G$404,AP588))</f>
        <v>0</v>
      </c>
      <c r="AS588" s="23">
        <f>IF(AP588="","",SUMIFS(Performance!$Z$5:$Z$404,Performance!$G$5:$G$404,AP588))</f>
        <v>0</v>
      </c>
      <c r="AT588" s="24">
        <f>IF(OR(AR588="",AR588=0),"",AS588/AR588)</f>
        <v>0</v>
      </c>
      <c r="AU588" s="32">
        <f>IF(AQ588=0,"",IF(AT588="","",AT588+ROW()/1000000))</f>
        <v>0</v>
      </c>
      <c r="AV588" s="17">
        <f>IF(ROW()-4&gt;7,"",TEXT(DATE(2024,1,ROW()-4),"ddd"))</f>
        <v>0</v>
      </c>
      <c r="AW588" s="23">
        <f>IF(AV588="","",COUNTIF(Performance!$N$5:$N$404,AV588))</f>
        <v>0</v>
      </c>
      <c r="AX588" s="23">
        <f>IF(AV588="","",SUMIFS(Performance!$O$5:$O$404,Performance!$N$5:$N$404,AV588))</f>
        <v>0</v>
      </c>
      <c r="AY588" s="23">
        <f>IF(AV588="","",SUMIFS(Performance!$Z$5:$Z$404,Performance!$N$5:$N$404,AV588))</f>
        <v>0</v>
      </c>
      <c r="AZ588" s="24">
        <f>IF(OR(AX588="",AX588=0),"",AY588/AX588)</f>
        <v>0</v>
      </c>
      <c r="BA588" s="32">
        <f>IF(AW588=0,"",IF(AZ588="","",AZ588+ROW()/1000000))</f>
        <v>0</v>
      </c>
      <c r="BB588" s="17">
        <f>IF(Lists!$AL588="","",Lists!$AL588)</f>
        <v>0</v>
      </c>
      <c r="BC588" s="23">
        <f>IF(BB588="","",COUNTIF(Performance!$M$5:$M$404,BB588))</f>
        <v>0</v>
      </c>
      <c r="BD588" s="23">
        <f>IF(BB588="","",SUMIFS(Performance!$O$5:$O$404,Performance!$M$5:$M$404,BB588))</f>
        <v>0</v>
      </c>
      <c r="BE588" s="23">
        <f>IF(BB588="","",SUMIFS(Performance!$Z$5:$Z$404,Performance!$M$5:$M$404,BB588))</f>
        <v>0</v>
      </c>
      <c r="BF588" s="24">
        <f>IF(OR(BD588="",BD588=0),"",BE588/BD588)</f>
        <v>0</v>
      </c>
      <c r="BG588" s="32">
        <f>IF(BC588=0,"",IF(BF588="","",BF588+ROW()/1000000))</f>
        <v>0</v>
      </c>
      <c r="BH588" s="17">
        <f>IF(Performance!$C$588="","",Performance!$C$588)</f>
        <v>0</v>
      </c>
      <c r="BI588" s="17">
        <f>IF(Performance!$F$588="","",Performance!$F$588)</f>
        <v>0</v>
      </c>
      <c r="BJ588" s="17">
        <f>IF(Performance!$H$588="","",Performance!$H$588)</f>
        <v>0</v>
      </c>
      <c r="BK588" s="16">
        <f>IF(Performance!$D$588="","",Performance!$D$588)</f>
        <v>0</v>
      </c>
      <c r="BL588" s="17">
        <f>IF(Performance!$E$588="","",Performance!$E$588)</f>
        <v>0</v>
      </c>
      <c r="BM588" s="23">
        <f>IF(Performance!$O$588="","",Performance!$O$588)</f>
        <v>0</v>
      </c>
      <c r="BN588" s="24">
        <f>IF(Performance!$AA$588="","",Performance!$AA$588)</f>
        <v>0</v>
      </c>
      <c r="BO588" s="32">
        <f>IF(BH588="","",IF(BK588="","",IF(OR(BK588&lt;DashStart,BK588&gt;DashEnd),"",IF(BN588="","",BN588+ROW()/1000000))))</f>
        <v>0</v>
      </c>
      <c r="BP588" s="32">
        <f>IF(BM588="","",IF(BK588="","",IF(OR(BK588&lt;DashStart,BK588&gt;DashEnd),"",BM588+ROW()/1000000)))</f>
        <v>0</v>
      </c>
      <c r="BQ588" s="32">
        <f>IF(BH588="","",IF(BK588="","",IF(YEAR(BK588)&lt;&gt;PlanYear,"",IF(BN588="","",BN588+ROW()/1000000))))</f>
        <v>0</v>
      </c>
      <c r="BR588" s="32">
        <f>IF(BH588="","",IF(BK588="","",IF(OR(BK588&lt;RepFrom,BK588&gt;RepTo),"",IF(BN588="","",BN588+ROW()/1000000))))</f>
        <v>0</v>
      </c>
      <c r="BS588" s="32">
        <f>IF(BM588="","",IF(BK588="","",IF(YEAR(BK588)&lt;&gt;PlanYear,"",BM588+ROW()/1000000)))</f>
        <v>0</v>
      </c>
      <c r="BT588" s="17">
        <f>IF(Lists!$F588="","",Lists!$F588)</f>
        <v>0</v>
      </c>
      <c r="BU588" s="23">
        <f>IF(BT588="","",COUNTIF('Content Calendar'!$X$5:$X$604,BT588))</f>
        <v>0</v>
      </c>
      <c r="BV588" s="23">
        <f>IF(BT588="","",COUNTIFS('Content Calendar'!$X$5:$X$604,BT588,'Content Calendar'!$B$5:$B$604,"&gt;="&amp;DashStart,'Content Calendar'!$B$5:$B$604,"&lt;="&amp;DashEnd))</f>
        <v>0</v>
      </c>
      <c r="BW588" s="17">
        <f>IF(Team!$B$588="","",Team!$B$588)</f>
        <v>0</v>
      </c>
      <c r="BX588" s="23">
        <f>IF(BW588="","",COUNTIF('Content Calendar'!$W$5:$W$604,BW588))</f>
        <v>0</v>
      </c>
      <c r="BY588" s="23">
        <f>IF(BW588="","",COUNTIFS('Content Calendar'!$W$5:$W$604,BW588,'Content Calendar'!$X$5:$X$604,"&lt;&gt;Published"))</f>
        <v>0</v>
      </c>
      <c r="BZ588" s="23">
        <f>IF(BW588="","",COUNTIFS(Tasks!$C$5:$C$64,BW588,Tasks!$G$5:$G$64,"&lt;&gt;Complete"))</f>
        <v>0</v>
      </c>
      <c r="CA588" s="17">
        <f>IF(Campaigns!$B$588="","",Campaigns!$B$588)</f>
        <v>0</v>
      </c>
      <c r="CB588" s="25">
        <f>IF(Campaigns!$T$588="","",Campaigns!$T$588)</f>
        <v>0</v>
      </c>
      <c r="CC588" s="25">
        <f>IF(Campaigns!$Q$588="","",Campaigns!$Q$588)</f>
        <v>0</v>
      </c>
      <c r="CD588" s="23">
        <f>IF(Campaigns!$Y$588="","",Campaigns!$Y$588)</f>
        <v>0</v>
      </c>
      <c r="CE588" s="32">
        <f>IF(CA588="","",IF(N(CB588)&lt;=0,"",N(CB588)+ROW()/1000000))</f>
        <v>0</v>
      </c>
      <c r="CF588" s="17">
        <f>IF(Accounts!$C$588="","",Accounts!$C$588)</f>
        <v>0</v>
      </c>
      <c r="CG588" s="17">
        <f>IF(Accounts!$B$588="","",Accounts!$B$588)</f>
        <v>0</v>
      </c>
      <c r="CH588" s="23">
        <f>IF(Accounts!$J$588="","",Accounts!$J$588)</f>
        <v>0</v>
      </c>
      <c r="CI588" s="23">
        <f>IF(CF588="","",SUMIFS(Analytics!$X$5:$X$154,Analytics!$E$5:$E$154,CF588,Analytics!$B$5:$B$154,"&gt;="&amp;DashStart,Analytics!$B$5:$B$154,"&lt;="&amp;DashEnd))</f>
        <v>0</v>
      </c>
      <c r="CJ588" s="32">
        <f>IF(CH588="","",IF(CH588=0,"",CH588+ROW()/1000000))</f>
        <v>0</v>
      </c>
    </row>
    <row r="589" spans="1:88">
      <c r="A589" s="16">
        <f>IF(ROW()-4&gt;12,"",DATE(PlanYear,ROW()-4,1))</f>
        <v>0</v>
      </c>
      <c r="B589" s="16">
        <f>IF(A589="","",EOMONTH(A589,0))</f>
        <v>0</v>
      </c>
      <c r="C589" s="17">
        <f>IF(A589="","",TEXT(A589,"yyyy-mm"))</f>
        <v>0</v>
      </c>
      <c r="D589" s="17">
        <f>IF(A589="","",TEXT(A589,"mmm"))</f>
        <v>0</v>
      </c>
      <c r="E589" s="23">
        <f>IF(C589="","",COUNTIFS('Content Calendar'!$D$5:$D$604,C589))</f>
        <v>0</v>
      </c>
      <c r="F589" s="23">
        <f>IF(C589="","",COUNTIFS('Content Calendar'!$D$5:$D$604,C589,'Content Calendar'!$X$5:$X$604,"Published"))</f>
        <v>0</v>
      </c>
      <c r="G589" s="23">
        <f>IF(C589="","",SUMIFS(Analytics!$J$5:$J$154,Analytics!$C$5:$C$154,C589))</f>
        <v>0</v>
      </c>
      <c r="H589" s="23">
        <f>IF(C589="","",SUMIFS(Analytics!$K$5:$K$154,Analytics!$C$5:$C$154,C589))</f>
        <v>0</v>
      </c>
      <c r="I589" s="23">
        <f>IF(C589="","",SUMIFS(Analytics!$L$5:$L$154,Analytics!$C$5:$C$154,C589))</f>
        <v>0</v>
      </c>
      <c r="J589" s="24">
        <f>IF(OR(G589="",G589=0),"",I589/G589)</f>
        <v>0</v>
      </c>
      <c r="K589" s="23">
        <f>IF(C589="","",SUMIFS(Analytics!$G$5:$G$154,Analytics!$C$5:$C$154,C589))</f>
        <v>0</v>
      </c>
      <c r="L589" s="23">
        <f>IF(C589="","",SUMIFS(Analytics!$X$5:$X$154,Analytics!$C$5:$C$154,C589))</f>
        <v>0</v>
      </c>
      <c r="M589" s="23">
        <f>IF(C589="","",SUMIFS(Analytics!$R$5:$R$154,Analytics!$C$5:$C$154,C589))</f>
        <v>0</v>
      </c>
      <c r="N589" s="23">
        <f>IF(C589="","",SUMIFS(Analytics!$S$5:$S$154,Analytics!$C$5:$C$154,C589))</f>
        <v>0</v>
      </c>
      <c r="O589" s="23">
        <f>IF(C589="","",SUMIFS(Analytics!$T$5:$T$154,Analytics!$C$5:$C$154,C589))</f>
        <v>0</v>
      </c>
      <c r="P589" s="25">
        <f>IF(C589="","",SUMIFS(Analytics!$U$5:$U$154,Analytics!$C$5:$C$154,C589))</f>
        <v>0</v>
      </c>
      <c r="Q589" s="25">
        <f>IF(C589="","",SUMIFS(Budget!$H$5:$H$64,Budget!$C$5:$C$64,C589))</f>
        <v>0</v>
      </c>
      <c r="R589" s="25">
        <f>IF(C589="","",P589-Q589)</f>
        <v>0</v>
      </c>
      <c r="S589" s="23">
        <f>IF(C589="","",MonthlyPostTarget)</f>
        <v>0</v>
      </c>
      <c r="T589" s="17">
        <f>IF(Lists!$C589="","",Lists!$C589)</f>
        <v>0</v>
      </c>
      <c r="U589" s="23">
        <f>IF(T589="","",COUNTIFS('Content Calendar'!$G$5:$G$604,T589,'Content Calendar'!$B$5:$B$604,"&gt;="&amp;DashStart,'Content Calendar'!$B$5:$B$604,"&lt;="&amp;DashEnd))</f>
        <v>0</v>
      </c>
      <c r="V589" s="23">
        <f>IF(T589="","",COUNTIFS('Content Calendar'!$G$5:$G$604,T589,'Content Calendar'!$X$5:$X$604,"Published",'Content Calendar'!$B$5:$B$604,"&gt;="&amp;DashStart,'Content Calendar'!$B$5:$B$604,"&lt;="&amp;DashEnd))</f>
        <v>0</v>
      </c>
      <c r="W589" s="23">
        <f>IF(T589="","",SUMIFS(Analytics!$J$5:$J$154,Analytics!$D$5:$D$154,T589,Analytics!$B$5:$B$154,"&gt;="&amp;DashStart,Analytics!$B$5:$B$154,"&lt;="&amp;DashEnd))</f>
        <v>0</v>
      </c>
      <c r="X589" s="23">
        <f>IF(T589="","",SUMIFS(Analytics!$L$5:$L$154,Analytics!$D$5:$D$154,T589,Analytics!$B$5:$B$154,"&gt;="&amp;DashStart,Analytics!$B$5:$B$154,"&lt;="&amp;DashEnd))</f>
        <v>0</v>
      </c>
      <c r="Y589" s="24">
        <f>IF(OR(W589="",W589=0),"",X589/W589)</f>
        <v>0</v>
      </c>
      <c r="Z589" s="23">
        <f>IF(T589="","",SUMIFS(Analytics!$G$5:$G$154,Analytics!$D$5:$D$154,T589,Analytics!$B$5:$B$154,"&gt;="&amp;DashStart,Analytics!$B$5:$B$154,"&lt;="&amp;DashEnd))</f>
        <v>0</v>
      </c>
      <c r="AA589" s="23">
        <f>IF(T589="","",SUMIFS(Analytics!$X$5:$X$154,Analytics!$D$5:$D$154,T589,Analytics!$B$5:$B$154,"&gt;="&amp;DashStart,Analytics!$B$5:$B$154,"&lt;="&amp;DashEnd))</f>
        <v>0</v>
      </c>
      <c r="AB589" s="23">
        <f>IF(T589="","",SUMIFS(Analytics!$R$5:$R$154,Analytics!$D$5:$D$154,T589,Analytics!$B$5:$B$154,"&gt;="&amp;DashStart,Analytics!$B$5:$B$154,"&lt;="&amp;DashEnd))</f>
        <v>0</v>
      </c>
      <c r="AC589" s="25">
        <f>IF(T589="","",SUMIFS(Analytics!$U$5:$U$154,Analytics!$D$5:$D$154,T589,Analytics!$B$5:$B$154,"&gt;="&amp;DashStart,Analytics!$B$5:$B$154,"&lt;="&amp;DashEnd))</f>
        <v>0</v>
      </c>
      <c r="AD589" s="23">
        <f>IF(T589="","",COUNTIFS('Content Calendar'!$G$5:$G$604,T589,'Content Calendar'!$B$5:$B$604,"&gt;="&amp;DATE(PlanYear,1,1),'Content Calendar'!$B$5:$B$604,"&lt;="&amp;DATE(PlanYear,12,31)))</f>
        <v>0</v>
      </c>
      <c r="AE589" s="23">
        <f>IF(T589="","",SUMIFS(Analytics!$J$5:$J$154,Analytics!$D$5:$D$154,T589))</f>
        <v>0</v>
      </c>
      <c r="AF589" s="23">
        <f>IF(T589="","",SUMIFS(Analytics!$L$5:$L$154,Analytics!$D$5:$D$154,T589))</f>
        <v>0</v>
      </c>
      <c r="AG589" s="24">
        <f>IF(OR(AE589="",AE589=0),"",AF589/AE589)</f>
        <v>0</v>
      </c>
      <c r="AH589" s="23">
        <f>IF(T589="","",SUMIFS(Analytics!$X$5:$X$154,Analytics!$D$5:$D$154,T589))</f>
        <v>0</v>
      </c>
      <c r="AI589" s="32">
        <f>IF(T589="","",IF(AE589=0,"",AE589+ROW()/1000000))</f>
        <v>0</v>
      </c>
      <c r="AJ589" s="17">
        <f>IF('Content Pillars'!$B$589="","",'Content Pillars'!$B$589)</f>
        <v>0</v>
      </c>
      <c r="AK589" s="23">
        <f>IF(AJ589="","",COUNTIFS('Content Calendar'!$J$5:$J$604,AJ589,'Content Calendar'!$B$5:$B$604,"&gt;="&amp;DATE(PlanYear,1,1),'Content Calendar'!$B$5:$B$604,"&lt;="&amp;DATE(PlanYear,12,31)))</f>
        <v>0</v>
      </c>
      <c r="AL589" s="23">
        <f>IF(AJ589="","",SUMIFS(Performance!$O$5:$O$404,Performance!$H$5:$H$404,AJ589))</f>
        <v>0</v>
      </c>
      <c r="AM589" s="23">
        <f>IF(AJ589="","",SUMIFS(Performance!$Z$5:$Z$404,Performance!$H$5:$H$404,AJ589))</f>
        <v>0</v>
      </c>
      <c r="AN589" s="24">
        <f>IF(OR(AL589="",AL589=0),"",AM589/AL589)</f>
        <v>0</v>
      </c>
      <c r="AO589" s="32">
        <f>IF(AN589="","",AN589+ROW()/1000000)</f>
        <v>0</v>
      </c>
      <c r="AP589" s="17">
        <f>IF(Lists!$E589="","",Lists!$E589)</f>
        <v>0</v>
      </c>
      <c r="AQ589" s="23">
        <f>IF(AP589="","",COUNTIF(Performance!$G$5:$G$404,AP589))</f>
        <v>0</v>
      </c>
      <c r="AR589" s="23">
        <f>IF(AP589="","",SUMIFS(Performance!$O$5:$O$404,Performance!$G$5:$G$404,AP589))</f>
        <v>0</v>
      </c>
      <c r="AS589" s="23">
        <f>IF(AP589="","",SUMIFS(Performance!$Z$5:$Z$404,Performance!$G$5:$G$404,AP589))</f>
        <v>0</v>
      </c>
      <c r="AT589" s="24">
        <f>IF(OR(AR589="",AR589=0),"",AS589/AR589)</f>
        <v>0</v>
      </c>
      <c r="AU589" s="32">
        <f>IF(AQ589=0,"",IF(AT589="","",AT589+ROW()/1000000))</f>
        <v>0</v>
      </c>
      <c r="AV589" s="17">
        <f>IF(ROW()-4&gt;7,"",TEXT(DATE(2024,1,ROW()-4),"ddd"))</f>
        <v>0</v>
      </c>
      <c r="AW589" s="23">
        <f>IF(AV589="","",COUNTIF(Performance!$N$5:$N$404,AV589))</f>
        <v>0</v>
      </c>
      <c r="AX589" s="23">
        <f>IF(AV589="","",SUMIFS(Performance!$O$5:$O$404,Performance!$N$5:$N$404,AV589))</f>
        <v>0</v>
      </c>
      <c r="AY589" s="23">
        <f>IF(AV589="","",SUMIFS(Performance!$Z$5:$Z$404,Performance!$N$5:$N$404,AV589))</f>
        <v>0</v>
      </c>
      <c r="AZ589" s="24">
        <f>IF(OR(AX589="",AX589=0),"",AY589/AX589)</f>
        <v>0</v>
      </c>
      <c r="BA589" s="32">
        <f>IF(AW589=0,"",IF(AZ589="","",AZ589+ROW()/1000000))</f>
        <v>0</v>
      </c>
      <c r="BB589" s="17">
        <f>IF(Lists!$AL589="","",Lists!$AL589)</f>
        <v>0</v>
      </c>
      <c r="BC589" s="23">
        <f>IF(BB589="","",COUNTIF(Performance!$M$5:$M$404,BB589))</f>
        <v>0</v>
      </c>
      <c r="BD589" s="23">
        <f>IF(BB589="","",SUMIFS(Performance!$O$5:$O$404,Performance!$M$5:$M$404,BB589))</f>
        <v>0</v>
      </c>
      <c r="BE589" s="23">
        <f>IF(BB589="","",SUMIFS(Performance!$Z$5:$Z$404,Performance!$M$5:$M$404,BB589))</f>
        <v>0</v>
      </c>
      <c r="BF589" s="24">
        <f>IF(OR(BD589="",BD589=0),"",BE589/BD589)</f>
        <v>0</v>
      </c>
      <c r="BG589" s="32">
        <f>IF(BC589=0,"",IF(BF589="","",BF589+ROW()/1000000))</f>
        <v>0</v>
      </c>
      <c r="BH589" s="17">
        <f>IF(Performance!$C$589="","",Performance!$C$589)</f>
        <v>0</v>
      </c>
      <c r="BI589" s="17">
        <f>IF(Performance!$F$589="","",Performance!$F$589)</f>
        <v>0</v>
      </c>
      <c r="BJ589" s="17">
        <f>IF(Performance!$H$589="","",Performance!$H$589)</f>
        <v>0</v>
      </c>
      <c r="BK589" s="16">
        <f>IF(Performance!$D$589="","",Performance!$D$589)</f>
        <v>0</v>
      </c>
      <c r="BL589" s="17">
        <f>IF(Performance!$E$589="","",Performance!$E$589)</f>
        <v>0</v>
      </c>
      <c r="BM589" s="23">
        <f>IF(Performance!$O$589="","",Performance!$O$589)</f>
        <v>0</v>
      </c>
      <c r="BN589" s="24">
        <f>IF(Performance!$AA$589="","",Performance!$AA$589)</f>
        <v>0</v>
      </c>
      <c r="BO589" s="32">
        <f>IF(BH589="","",IF(BK589="","",IF(OR(BK589&lt;DashStart,BK589&gt;DashEnd),"",IF(BN589="","",BN589+ROW()/1000000))))</f>
        <v>0</v>
      </c>
      <c r="BP589" s="32">
        <f>IF(BM589="","",IF(BK589="","",IF(OR(BK589&lt;DashStart,BK589&gt;DashEnd),"",BM589+ROW()/1000000)))</f>
        <v>0</v>
      </c>
      <c r="BQ589" s="32">
        <f>IF(BH589="","",IF(BK589="","",IF(YEAR(BK589)&lt;&gt;PlanYear,"",IF(BN589="","",BN589+ROW()/1000000))))</f>
        <v>0</v>
      </c>
      <c r="BR589" s="32">
        <f>IF(BH589="","",IF(BK589="","",IF(OR(BK589&lt;RepFrom,BK589&gt;RepTo),"",IF(BN589="","",BN589+ROW()/1000000))))</f>
        <v>0</v>
      </c>
      <c r="BS589" s="32">
        <f>IF(BM589="","",IF(BK589="","",IF(YEAR(BK589)&lt;&gt;PlanYear,"",BM589+ROW()/1000000)))</f>
        <v>0</v>
      </c>
      <c r="BT589" s="17">
        <f>IF(Lists!$F589="","",Lists!$F589)</f>
        <v>0</v>
      </c>
      <c r="BU589" s="23">
        <f>IF(BT589="","",COUNTIF('Content Calendar'!$X$5:$X$604,BT589))</f>
        <v>0</v>
      </c>
      <c r="BV589" s="23">
        <f>IF(BT589="","",COUNTIFS('Content Calendar'!$X$5:$X$604,BT589,'Content Calendar'!$B$5:$B$604,"&gt;="&amp;DashStart,'Content Calendar'!$B$5:$B$604,"&lt;="&amp;DashEnd))</f>
        <v>0</v>
      </c>
      <c r="BW589" s="17">
        <f>IF(Team!$B$589="","",Team!$B$589)</f>
        <v>0</v>
      </c>
      <c r="BX589" s="23">
        <f>IF(BW589="","",COUNTIF('Content Calendar'!$W$5:$W$604,BW589))</f>
        <v>0</v>
      </c>
      <c r="BY589" s="23">
        <f>IF(BW589="","",COUNTIFS('Content Calendar'!$W$5:$W$604,BW589,'Content Calendar'!$X$5:$X$604,"&lt;&gt;Published"))</f>
        <v>0</v>
      </c>
      <c r="BZ589" s="23">
        <f>IF(BW589="","",COUNTIFS(Tasks!$C$5:$C$64,BW589,Tasks!$G$5:$G$64,"&lt;&gt;Complete"))</f>
        <v>0</v>
      </c>
      <c r="CA589" s="17">
        <f>IF(Campaigns!$B$589="","",Campaigns!$B$589)</f>
        <v>0</v>
      </c>
      <c r="CB589" s="25">
        <f>IF(Campaigns!$T$589="","",Campaigns!$T$589)</f>
        <v>0</v>
      </c>
      <c r="CC589" s="25">
        <f>IF(Campaigns!$Q$589="","",Campaigns!$Q$589)</f>
        <v>0</v>
      </c>
      <c r="CD589" s="23">
        <f>IF(Campaigns!$Y$589="","",Campaigns!$Y$589)</f>
        <v>0</v>
      </c>
      <c r="CE589" s="32">
        <f>IF(CA589="","",IF(N(CB589)&lt;=0,"",N(CB589)+ROW()/1000000))</f>
        <v>0</v>
      </c>
      <c r="CF589" s="17">
        <f>IF(Accounts!$C$589="","",Accounts!$C$589)</f>
        <v>0</v>
      </c>
      <c r="CG589" s="17">
        <f>IF(Accounts!$B$589="","",Accounts!$B$589)</f>
        <v>0</v>
      </c>
      <c r="CH589" s="23">
        <f>IF(Accounts!$J$589="","",Accounts!$J$589)</f>
        <v>0</v>
      </c>
      <c r="CI589" s="23">
        <f>IF(CF589="","",SUMIFS(Analytics!$X$5:$X$154,Analytics!$E$5:$E$154,CF589,Analytics!$B$5:$B$154,"&gt;="&amp;DashStart,Analytics!$B$5:$B$154,"&lt;="&amp;DashEnd))</f>
        <v>0</v>
      </c>
      <c r="CJ589" s="32">
        <f>IF(CH589="","",IF(CH589=0,"",CH589+ROW()/1000000))</f>
        <v>0</v>
      </c>
    </row>
    <row r="590" spans="1:88">
      <c r="A590" s="16">
        <f>IF(ROW()-4&gt;12,"",DATE(PlanYear,ROW()-4,1))</f>
        <v>0</v>
      </c>
      <c r="B590" s="16">
        <f>IF(A590="","",EOMONTH(A590,0))</f>
        <v>0</v>
      </c>
      <c r="C590" s="17">
        <f>IF(A590="","",TEXT(A590,"yyyy-mm"))</f>
        <v>0</v>
      </c>
      <c r="D590" s="17">
        <f>IF(A590="","",TEXT(A590,"mmm"))</f>
        <v>0</v>
      </c>
      <c r="E590" s="23">
        <f>IF(C590="","",COUNTIFS('Content Calendar'!$D$5:$D$604,C590))</f>
        <v>0</v>
      </c>
      <c r="F590" s="23">
        <f>IF(C590="","",COUNTIFS('Content Calendar'!$D$5:$D$604,C590,'Content Calendar'!$X$5:$X$604,"Published"))</f>
        <v>0</v>
      </c>
      <c r="G590" s="23">
        <f>IF(C590="","",SUMIFS(Analytics!$J$5:$J$154,Analytics!$C$5:$C$154,C590))</f>
        <v>0</v>
      </c>
      <c r="H590" s="23">
        <f>IF(C590="","",SUMIFS(Analytics!$K$5:$K$154,Analytics!$C$5:$C$154,C590))</f>
        <v>0</v>
      </c>
      <c r="I590" s="23">
        <f>IF(C590="","",SUMIFS(Analytics!$L$5:$L$154,Analytics!$C$5:$C$154,C590))</f>
        <v>0</v>
      </c>
      <c r="J590" s="24">
        <f>IF(OR(G590="",G590=0),"",I590/G590)</f>
        <v>0</v>
      </c>
      <c r="K590" s="23">
        <f>IF(C590="","",SUMIFS(Analytics!$G$5:$G$154,Analytics!$C$5:$C$154,C590))</f>
        <v>0</v>
      </c>
      <c r="L590" s="23">
        <f>IF(C590="","",SUMIFS(Analytics!$X$5:$X$154,Analytics!$C$5:$C$154,C590))</f>
        <v>0</v>
      </c>
      <c r="M590" s="23">
        <f>IF(C590="","",SUMIFS(Analytics!$R$5:$R$154,Analytics!$C$5:$C$154,C590))</f>
        <v>0</v>
      </c>
      <c r="N590" s="23">
        <f>IF(C590="","",SUMIFS(Analytics!$S$5:$S$154,Analytics!$C$5:$C$154,C590))</f>
        <v>0</v>
      </c>
      <c r="O590" s="23">
        <f>IF(C590="","",SUMIFS(Analytics!$T$5:$T$154,Analytics!$C$5:$C$154,C590))</f>
        <v>0</v>
      </c>
      <c r="P590" s="25">
        <f>IF(C590="","",SUMIFS(Analytics!$U$5:$U$154,Analytics!$C$5:$C$154,C590))</f>
        <v>0</v>
      </c>
      <c r="Q590" s="25">
        <f>IF(C590="","",SUMIFS(Budget!$H$5:$H$64,Budget!$C$5:$C$64,C590))</f>
        <v>0</v>
      </c>
      <c r="R590" s="25">
        <f>IF(C590="","",P590-Q590)</f>
        <v>0</v>
      </c>
      <c r="S590" s="23">
        <f>IF(C590="","",MonthlyPostTarget)</f>
        <v>0</v>
      </c>
      <c r="T590" s="17">
        <f>IF(Lists!$C590="","",Lists!$C590)</f>
        <v>0</v>
      </c>
      <c r="U590" s="23">
        <f>IF(T590="","",COUNTIFS('Content Calendar'!$G$5:$G$604,T590,'Content Calendar'!$B$5:$B$604,"&gt;="&amp;DashStart,'Content Calendar'!$B$5:$B$604,"&lt;="&amp;DashEnd))</f>
        <v>0</v>
      </c>
      <c r="V590" s="23">
        <f>IF(T590="","",COUNTIFS('Content Calendar'!$G$5:$G$604,T590,'Content Calendar'!$X$5:$X$604,"Published",'Content Calendar'!$B$5:$B$604,"&gt;="&amp;DashStart,'Content Calendar'!$B$5:$B$604,"&lt;="&amp;DashEnd))</f>
        <v>0</v>
      </c>
      <c r="W590" s="23">
        <f>IF(T590="","",SUMIFS(Analytics!$J$5:$J$154,Analytics!$D$5:$D$154,T590,Analytics!$B$5:$B$154,"&gt;="&amp;DashStart,Analytics!$B$5:$B$154,"&lt;="&amp;DashEnd))</f>
        <v>0</v>
      </c>
      <c r="X590" s="23">
        <f>IF(T590="","",SUMIFS(Analytics!$L$5:$L$154,Analytics!$D$5:$D$154,T590,Analytics!$B$5:$B$154,"&gt;="&amp;DashStart,Analytics!$B$5:$B$154,"&lt;="&amp;DashEnd))</f>
        <v>0</v>
      </c>
      <c r="Y590" s="24">
        <f>IF(OR(W590="",W590=0),"",X590/W590)</f>
        <v>0</v>
      </c>
      <c r="Z590" s="23">
        <f>IF(T590="","",SUMIFS(Analytics!$G$5:$G$154,Analytics!$D$5:$D$154,T590,Analytics!$B$5:$B$154,"&gt;="&amp;DashStart,Analytics!$B$5:$B$154,"&lt;="&amp;DashEnd))</f>
        <v>0</v>
      </c>
      <c r="AA590" s="23">
        <f>IF(T590="","",SUMIFS(Analytics!$X$5:$X$154,Analytics!$D$5:$D$154,T590,Analytics!$B$5:$B$154,"&gt;="&amp;DashStart,Analytics!$B$5:$B$154,"&lt;="&amp;DashEnd))</f>
        <v>0</v>
      </c>
      <c r="AB590" s="23">
        <f>IF(T590="","",SUMIFS(Analytics!$R$5:$R$154,Analytics!$D$5:$D$154,T590,Analytics!$B$5:$B$154,"&gt;="&amp;DashStart,Analytics!$B$5:$B$154,"&lt;="&amp;DashEnd))</f>
        <v>0</v>
      </c>
      <c r="AC590" s="25">
        <f>IF(T590="","",SUMIFS(Analytics!$U$5:$U$154,Analytics!$D$5:$D$154,T590,Analytics!$B$5:$B$154,"&gt;="&amp;DashStart,Analytics!$B$5:$B$154,"&lt;="&amp;DashEnd))</f>
        <v>0</v>
      </c>
      <c r="AD590" s="23">
        <f>IF(T590="","",COUNTIFS('Content Calendar'!$G$5:$G$604,T590,'Content Calendar'!$B$5:$B$604,"&gt;="&amp;DATE(PlanYear,1,1),'Content Calendar'!$B$5:$B$604,"&lt;="&amp;DATE(PlanYear,12,31)))</f>
        <v>0</v>
      </c>
      <c r="AE590" s="23">
        <f>IF(T590="","",SUMIFS(Analytics!$J$5:$J$154,Analytics!$D$5:$D$154,T590))</f>
        <v>0</v>
      </c>
      <c r="AF590" s="23">
        <f>IF(T590="","",SUMIFS(Analytics!$L$5:$L$154,Analytics!$D$5:$D$154,T590))</f>
        <v>0</v>
      </c>
      <c r="AG590" s="24">
        <f>IF(OR(AE590="",AE590=0),"",AF590/AE590)</f>
        <v>0</v>
      </c>
      <c r="AH590" s="23">
        <f>IF(T590="","",SUMIFS(Analytics!$X$5:$X$154,Analytics!$D$5:$D$154,T590))</f>
        <v>0</v>
      </c>
      <c r="AI590" s="32">
        <f>IF(T590="","",IF(AE590=0,"",AE590+ROW()/1000000))</f>
        <v>0</v>
      </c>
      <c r="AJ590" s="17">
        <f>IF('Content Pillars'!$B$590="","",'Content Pillars'!$B$590)</f>
        <v>0</v>
      </c>
      <c r="AK590" s="23">
        <f>IF(AJ590="","",COUNTIFS('Content Calendar'!$J$5:$J$604,AJ590,'Content Calendar'!$B$5:$B$604,"&gt;="&amp;DATE(PlanYear,1,1),'Content Calendar'!$B$5:$B$604,"&lt;="&amp;DATE(PlanYear,12,31)))</f>
        <v>0</v>
      </c>
      <c r="AL590" s="23">
        <f>IF(AJ590="","",SUMIFS(Performance!$O$5:$O$404,Performance!$H$5:$H$404,AJ590))</f>
        <v>0</v>
      </c>
      <c r="AM590" s="23">
        <f>IF(AJ590="","",SUMIFS(Performance!$Z$5:$Z$404,Performance!$H$5:$H$404,AJ590))</f>
        <v>0</v>
      </c>
      <c r="AN590" s="24">
        <f>IF(OR(AL590="",AL590=0),"",AM590/AL590)</f>
        <v>0</v>
      </c>
      <c r="AO590" s="32">
        <f>IF(AN590="","",AN590+ROW()/1000000)</f>
        <v>0</v>
      </c>
      <c r="AP590" s="17">
        <f>IF(Lists!$E590="","",Lists!$E590)</f>
        <v>0</v>
      </c>
      <c r="AQ590" s="23">
        <f>IF(AP590="","",COUNTIF(Performance!$G$5:$G$404,AP590))</f>
        <v>0</v>
      </c>
      <c r="AR590" s="23">
        <f>IF(AP590="","",SUMIFS(Performance!$O$5:$O$404,Performance!$G$5:$G$404,AP590))</f>
        <v>0</v>
      </c>
      <c r="AS590" s="23">
        <f>IF(AP590="","",SUMIFS(Performance!$Z$5:$Z$404,Performance!$G$5:$G$404,AP590))</f>
        <v>0</v>
      </c>
      <c r="AT590" s="24">
        <f>IF(OR(AR590="",AR590=0),"",AS590/AR590)</f>
        <v>0</v>
      </c>
      <c r="AU590" s="32">
        <f>IF(AQ590=0,"",IF(AT590="","",AT590+ROW()/1000000))</f>
        <v>0</v>
      </c>
      <c r="AV590" s="17">
        <f>IF(ROW()-4&gt;7,"",TEXT(DATE(2024,1,ROW()-4),"ddd"))</f>
        <v>0</v>
      </c>
      <c r="AW590" s="23">
        <f>IF(AV590="","",COUNTIF(Performance!$N$5:$N$404,AV590))</f>
        <v>0</v>
      </c>
      <c r="AX590" s="23">
        <f>IF(AV590="","",SUMIFS(Performance!$O$5:$O$404,Performance!$N$5:$N$404,AV590))</f>
        <v>0</v>
      </c>
      <c r="AY590" s="23">
        <f>IF(AV590="","",SUMIFS(Performance!$Z$5:$Z$404,Performance!$N$5:$N$404,AV590))</f>
        <v>0</v>
      </c>
      <c r="AZ590" s="24">
        <f>IF(OR(AX590="",AX590=0),"",AY590/AX590)</f>
        <v>0</v>
      </c>
      <c r="BA590" s="32">
        <f>IF(AW590=0,"",IF(AZ590="","",AZ590+ROW()/1000000))</f>
        <v>0</v>
      </c>
      <c r="BB590" s="17">
        <f>IF(Lists!$AL590="","",Lists!$AL590)</f>
        <v>0</v>
      </c>
      <c r="BC590" s="23">
        <f>IF(BB590="","",COUNTIF(Performance!$M$5:$M$404,BB590))</f>
        <v>0</v>
      </c>
      <c r="BD590" s="23">
        <f>IF(BB590="","",SUMIFS(Performance!$O$5:$O$404,Performance!$M$5:$M$404,BB590))</f>
        <v>0</v>
      </c>
      <c r="BE590" s="23">
        <f>IF(BB590="","",SUMIFS(Performance!$Z$5:$Z$404,Performance!$M$5:$M$404,BB590))</f>
        <v>0</v>
      </c>
      <c r="BF590" s="24">
        <f>IF(OR(BD590="",BD590=0),"",BE590/BD590)</f>
        <v>0</v>
      </c>
      <c r="BG590" s="32">
        <f>IF(BC590=0,"",IF(BF590="","",BF590+ROW()/1000000))</f>
        <v>0</v>
      </c>
      <c r="BH590" s="17">
        <f>IF(Performance!$C$590="","",Performance!$C$590)</f>
        <v>0</v>
      </c>
      <c r="BI590" s="17">
        <f>IF(Performance!$F$590="","",Performance!$F$590)</f>
        <v>0</v>
      </c>
      <c r="BJ590" s="17">
        <f>IF(Performance!$H$590="","",Performance!$H$590)</f>
        <v>0</v>
      </c>
      <c r="BK590" s="16">
        <f>IF(Performance!$D$590="","",Performance!$D$590)</f>
        <v>0</v>
      </c>
      <c r="BL590" s="17">
        <f>IF(Performance!$E$590="","",Performance!$E$590)</f>
        <v>0</v>
      </c>
      <c r="BM590" s="23">
        <f>IF(Performance!$O$590="","",Performance!$O$590)</f>
        <v>0</v>
      </c>
      <c r="BN590" s="24">
        <f>IF(Performance!$AA$590="","",Performance!$AA$590)</f>
        <v>0</v>
      </c>
      <c r="BO590" s="32">
        <f>IF(BH590="","",IF(BK590="","",IF(OR(BK590&lt;DashStart,BK590&gt;DashEnd),"",IF(BN590="","",BN590+ROW()/1000000))))</f>
        <v>0</v>
      </c>
      <c r="BP590" s="32">
        <f>IF(BM590="","",IF(BK590="","",IF(OR(BK590&lt;DashStart,BK590&gt;DashEnd),"",BM590+ROW()/1000000)))</f>
        <v>0</v>
      </c>
      <c r="BQ590" s="32">
        <f>IF(BH590="","",IF(BK590="","",IF(YEAR(BK590)&lt;&gt;PlanYear,"",IF(BN590="","",BN590+ROW()/1000000))))</f>
        <v>0</v>
      </c>
      <c r="BR590" s="32">
        <f>IF(BH590="","",IF(BK590="","",IF(OR(BK590&lt;RepFrom,BK590&gt;RepTo),"",IF(BN590="","",BN590+ROW()/1000000))))</f>
        <v>0</v>
      </c>
      <c r="BS590" s="32">
        <f>IF(BM590="","",IF(BK590="","",IF(YEAR(BK590)&lt;&gt;PlanYear,"",BM590+ROW()/1000000)))</f>
        <v>0</v>
      </c>
      <c r="BT590" s="17">
        <f>IF(Lists!$F590="","",Lists!$F590)</f>
        <v>0</v>
      </c>
      <c r="BU590" s="23">
        <f>IF(BT590="","",COUNTIF('Content Calendar'!$X$5:$X$604,BT590))</f>
        <v>0</v>
      </c>
      <c r="BV590" s="23">
        <f>IF(BT590="","",COUNTIFS('Content Calendar'!$X$5:$X$604,BT590,'Content Calendar'!$B$5:$B$604,"&gt;="&amp;DashStart,'Content Calendar'!$B$5:$B$604,"&lt;="&amp;DashEnd))</f>
        <v>0</v>
      </c>
      <c r="BW590" s="17">
        <f>IF(Team!$B$590="","",Team!$B$590)</f>
        <v>0</v>
      </c>
      <c r="BX590" s="23">
        <f>IF(BW590="","",COUNTIF('Content Calendar'!$W$5:$W$604,BW590))</f>
        <v>0</v>
      </c>
      <c r="BY590" s="23">
        <f>IF(BW590="","",COUNTIFS('Content Calendar'!$W$5:$W$604,BW590,'Content Calendar'!$X$5:$X$604,"&lt;&gt;Published"))</f>
        <v>0</v>
      </c>
      <c r="BZ590" s="23">
        <f>IF(BW590="","",COUNTIFS(Tasks!$C$5:$C$64,BW590,Tasks!$G$5:$G$64,"&lt;&gt;Complete"))</f>
        <v>0</v>
      </c>
      <c r="CA590" s="17">
        <f>IF(Campaigns!$B$590="","",Campaigns!$B$590)</f>
        <v>0</v>
      </c>
      <c r="CB590" s="25">
        <f>IF(Campaigns!$T$590="","",Campaigns!$T$590)</f>
        <v>0</v>
      </c>
      <c r="CC590" s="25">
        <f>IF(Campaigns!$Q$590="","",Campaigns!$Q$590)</f>
        <v>0</v>
      </c>
      <c r="CD590" s="23">
        <f>IF(Campaigns!$Y$590="","",Campaigns!$Y$590)</f>
        <v>0</v>
      </c>
      <c r="CE590" s="32">
        <f>IF(CA590="","",IF(N(CB590)&lt;=0,"",N(CB590)+ROW()/1000000))</f>
        <v>0</v>
      </c>
      <c r="CF590" s="17">
        <f>IF(Accounts!$C$590="","",Accounts!$C$590)</f>
        <v>0</v>
      </c>
      <c r="CG590" s="17">
        <f>IF(Accounts!$B$590="","",Accounts!$B$590)</f>
        <v>0</v>
      </c>
      <c r="CH590" s="23">
        <f>IF(Accounts!$J$590="","",Accounts!$J$590)</f>
        <v>0</v>
      </c>
      <c r="CI590" s="23">
        <f>IF(CF590="","",SUMIFS(Analytics!$X$5:$X$154,Analytics!$E$5:$E$154,CF590,Analytics!$B$5:$B$154,"&gt;="&amp;DashStart,Analytics!$B$5:$B$154,"&lt;="&amp;DashEnd))</f>
        <v>0</v>
      </c>
      <c r="CJ590" s="32">
        <f>IF(CH590="","",IF(CH590=0,"",CH590+ROW()/1000000))</f>
        <v>0</v>
      </c>
    </row>
    <row r="591" spans="1:88">
      <c r="A591" s="16">
        <f>IF(ROW()-4&gt;12,"",DATE(PlanYear,ROW()-4,1))</f>
        <v>0</v>
      </c>
      <c r="B591" s="16">
        <f>IF(A591="","",EOMONTH(A591,0))</f>
        <v>0</v>
      </c>
      <c r="C591" s="17">
        <f>IF(A591="","",TEXT(A591,"yyyy-mm"))</f>
        <v>0</v>
      </c>
      <c r="D591" s="17">
        <f>IF(A591="","",TEXT(A591,"mmm"))</f>
        <v>0</v>
      </c>
      <c r="E591" s="23">
        <f>IF(C591="","",COUNTIFS('Content Calendar'!$D$5:$D$604,C591))</f>
        <v>0</v>
      </c>
      <c r="F591" s="23">
        <f>IF(C591="","",COUNTIFS('Content Calendar'!$D$5:$D$604,C591,'Content Calendar'!$X$5:$X$604,"Published"))</f>
        <v>0</v>
      </c>
      <c r="G591" s="23">
        <f>IF(C591="","",SUMIFS(Analytics!$J$5:$J$154,Analytics!$C$5:$C$154,C591))</f>
        <v>0</v>
      </c>
      <c r="H591" s="23">
        <f>IF(C591="","",SUMIFS(Analytics!$K$5:$K$154,Analytics!$C$5:$C$154,C591))</f>
        <v>0</v>
      </c>
      <c r="I591" s="23">
        <f>IF(C591="","",SUMIFS(Analytics!$L$5:$L$154,Analytics!$C$5:$C$154,C591))</f>
        <v>0</v>
      </c>
      <c r="J591" s="24">
        <f>IF(OR(G591="",G591=0),"",I591/G591)</f>
        <v>0</v>
      </c>
      <c r="K591" s="23">
        <f>IF(C591="","",SUMIFS(Analytics!$G$5:$G$154,Analytics!$C$5:$C$154,C591))</f>
        <v>0</v>
      </c>
      <c r="L591" s="23">
        <f>IF(C591="","",SUMIFS(Analytics!$X$5:$X$154,Analytics!$C$5:$C$154,C591))</f>
        <v>0</v>
      </c>
      <c r="M591" s="23">
        <f>IF(C591="","",SUMIFS(Analytics!$R$5:$R$154,Analytics!$C$5:$C$154,C591))</f>
        <v>0</v>
      </c>
      <c r="N591" s="23">
        <f>IF(C591="","",SUMIFS(Analytics!$S$5:$S$154,Analytics!$C$5:$C$154,C591))</f>
        <v>0</v>
      </c>
      <c r="O591" s="23">
        <f>IF(C591="","",SUMIFS(Analytics!$T$5:$T$154,Analytics!$C$5:$C$154,C591))</f>
        <v>0</v>
      </c>
      <c r="P591" s="25">
        <f>IF(C591="","",SUMIFS(Analytics!$U$5:$U$154,Analytics!$C$5:$C$154,C591))</f>
        <v>0</v>
      </c>
      <c r="Q591" s="25">
        <f>IF(C591="","",SUMIFS(Budget!$H$5:$H$64,Budget!$C$5:$C$64,C591))</f>
        <v>0</v>
      </c>
      <c r="R591" s="25">
        <f>IF(C591="","",P591-Q591)</f>
        <v>0</v>
      </c>
      <c r="S591" s="23">
        <f>IF(C591="","",MonthlyPostTarget)</f>
        <v>0</v>
      </c>
      <c r="T591" s="17">
        <f>IF(Lists!$C591="","",Lists!$C591)</f>
        <v>0</v>
      </c>
      <c r="U591" s="23">
        <f>IF(T591="","",COUNTIFS('Content Calendar'!$G$5:$G$604,T591,'Content Calendar'!$B$5:$B$604,"&gt;="&amp;DashStart,'Content Calendar'!$B$5:$B$604,"&lt;="&amp;DashEnd))</f>
        <v>0</v>
      </c>
      <c r="V591" s="23">
        <f>IF(T591="","",COUNTIFS('Content Calendar'!$G$5:$G$604,T591,'Content Calendar'!$X$5:$X$604,"Published",'Content Calendar'!$B$5:$B$604,"&gt;="&amp;DashStart,'Content Calendar'!$B$5:$B$604,"&lt;="&amp;DashEnd))</f>
        <v>0</v>
      </c>
      <c r="W591" s="23">
        <f>IF(T591="","",SUMIFS(Analytics!$J$5:$J$154,Analytics!$D$5:$D$154,T591,Analytics!$B$5:$B$154,"&gt;="&amp;DashStart,Analytics!$B$5:$B$154,"&lt;="&amp;DashEnd))</f>
        <v>0</v>
      </c>
      <c r="X591" s="23">
        <f>IF(T591="","",SUMIFS(Analytics!$L$5:$L$154,Analytics!$D$5:$D$154,T591,Analytics!$B$5:$B$154,"&gt;="&amp;DashStart,Analytics!$B$5:$B$154,"&lt;="&amp;DashEnd))</f>
        <v>0</v>
      </c>
      <c r="Y591" s="24">
        <f>IF(OR(W591="",W591=0),"",X591/W591)</f>
        <v>0</v>
      </c>
      <c r="Z591" s="23">
        <f>IF(T591="","",SUMIFS(Analytics!$G$5:$G$154,Analytics!$D$5:$D$154,T591,Analytics!$B$5:$B$154,"&gt;="&amp;DashStart,Analytics!$B$5:$B$154,"&lt;="&amp;DashEnd))</f>
        <v>0</v>
      </c>
      <c r="AA591" s="23">
        <f>IF(T591="","",SUMIFS(Analytics!$X$5:$X$154,Analytics!$D$5:$D$154,T591,Analytics!$B$5:$B$154,"&gt;="&amp;DashStart,Analytics!$B$5:$B$154,"&lt;="&amp;DashEnd))</f>
        <v>0</v>
      </c>
      <c r="AB591" s="23">
        <f>IF(T591="","",SUMIFS(Analytics!$R$5:$R$154,Analytics!$D$5:$D$154,T591,Analytics!$B$5:$B$154,"&gt;="&amp;DashStart,Analytics!$B$5:$B$154,"&lt;="&amp;DashEnd))</f>
        <v>0</v>
      </c>
      <c r="AC591" s="25">
        <f>IF(T591="","",SUMIFS(Analytics!$U$5:$U$154,Analytics!$D$5:$D$154,T591,Analytics!$B$5:$B$154,"&gt;="&amp;DashStart,Analytics!$B$5:$B$154,"&lt;="&amp;DashEnd))</f>
        <v>0</v>
      </c>
      <c r="AD591" s="23">
        <f>IF(T591="","",COUNTIFS('Content Calendar'!$G$5:$G$604,T591,'Content Calendar'!$B$5:$B$604,"&gt;="&amp;DATE(PlanYear,1,1),'Content Calendar'!$B$5:$B$604,"&lt;="&amp;DATE(PlanYear,12,31)))</f>
        <v>0</v>
      </c>
      <c r="AE591" s="23">
        <f>IF(T591="","",SUMIFS(Analytics!$J$5:$J$154,Analytics!$D$5:$D$154,T591))</f>
        <v>0</v>
      </c>
      <c r="AF591" s="23">
        <f>IF(T591="","",SUMIFS(Analytics!$L$5:$L$154,Analytics!$D$5:$D$154,T591))</f>
        <v>0</v>
      </c>
      <c r="AG591" s="24">
        <f>IF(OR(AE591="",AE591=0),"",AF591/AE591)</f>
        <v>0</v>
      </c>
      <c r="AH591" s="23">
        <f>IF(T591="","",SUMIFS(Analytics!$X$5:$X$154,Analytics!$D$5:$D$154,T591))</f>
        <v>0</v>
      </c>
      <c r="AI591" s="32">
        <f>IF(T591="","",IF(AE591=0,"",AE591+ROW()/1000000))</f>
        <v>0</v>
      </c>
      <c r="AJ591" s="17">
        <f>IF('Content Pillars'!$B$591="","",'Content Pillars'!$B$591)</f>
        <v>0</v>
      </c>
      <c r="AK591" s="23">
        <f>IF(AJ591="","",COUNTIFS('Content Calendar'!$J$5:$J$604,AJ591,'Content Calendar'!$B$5:$B$604,"&gt;="&amp;DATE(PlanYear,1,1),'Content Calendar'!$B$5:$B$604,"&lt;="&amp;DATE(PlanYear,12,31)))</f>
        <v>0</v>
      </c>
      <c r="AL591" s="23">
        <f>IF(AJ591="","",SUMIFS(Performance!$O$5:$O$404,Performance!$H$5:$H$404,AJ591))</f>
        <v>0</v>
      </c>
      <c r="AM591" s="23">
        <f>IF(AJ591="","",SUMIFS(Performance!$Z$5:$Z$404,Performance!$H$5:$H$404,AJ591))</f>
        <v>0</v>
      </c>
      <c r="AN591" s="24">
        <f>IF(OR(AL591="",AL591=0),"",AM591/AL591)</f>
        <v>0</v>
      </c>
      <c r="AO591" s="32">
        <f>IF(AN591="","",AN591+ROW()/1000000)</f>
        <v>0</v>
      </c>
      <c r="AP591" s="17">
        <f>IF(Lists!$E591="","",Lists!$E591)</f>
        <v>0</v>
      </c>
      <c r="AQ591" s="23">
        <f>IF(AP591="","",COUNTIF(Performance!$G$5:$G$404,AP591))</f>
        <v>0</v>
      </c>
      <c r="AR591" s="23">
        <f>IF(AP591="","",SUMIFS(Performance!$O$5:$O$404,Performance!$G$5:$G$404,AP591))</f>
        <v>0</v>
      </c>
      <c r="AS591" s="23">
        <f>IF(AP591="","",SUMIFS(Performance!$Z$5:$Z$404,Performance!$G$5:$G$404,AP591))</f>
        <v>0</v>
      </c>
      <c r="AT591" s="24">
        <f>IF(OR(AR591="",AR591=0),"",AS591/AR591)</f>
        <v>0</v>
      </c>
      <c r="AU591" s="32">
        <f>IF(AQ591=0,"",IF(AT591="","",AT591+ROW()/1000000))</f>
        <v>0</v>
      </c>
      <c r="AV591" s="17">
        <f>IF(ROW()-4&gt;7,"",TEXT(DATE(2024,1,ROW()-4),"ddd"))</f>
        <v>0</v>
      </c>
      <c r="AW591" s="23">
        <f>IF(AV591="","",COUNTIF(Performance!$N$5:$N$404,AV591))</f>
        <v>0</v>
      </c>
      <c r="AX591" s="23">
        <f>IF(AV591="","",SUMIFS(Performance!$O$5:$O$404,Performance!$N$5:$N$404,AV591))</f>
        <v>0</v>
      </c>
      <c r="AY591" s="23">
        <f>IF(AV591="","",SUMIFS(Performance!$Z$5:$Z$404,Performance!$N$5:$N$404,AV591))</f>
        <v>0</v>
      </c>
      <c r="AZ591" s="24">
        <f>IF(OR(AX591="",AX591=0),"",AY591/AX591)</f>
        <v>0</v>
      </c>
      <c r="BA591" s="32">
        <f>IF(AW591=0,"",IF(AZ591="","",AZ591+ROW()/1000000))</f>
        <v>0</v>
      </c>
      <c r="BB591" s="17">
        <f>IF(Lists!$AL591="","",Lists!$AL591)</f>
        <v>0</v>
      </c>
      <c r="BC591" s="23">
        <f>IF(BB591="","",COUNTIF(Performance!$M$5:$M$404,BB591))</f>
        <v>0</v>
      </c>
      <c r="BD591" s="23">
        <f>IF(BB591="","",SUMIFS(Performance!$O$5:$O$404,Performance!$M$5:$M$404,BB591))</f>
        <v>0</v>
      </c>
      <c r="BE591" s="23">
        <f>IF(BB591="","",SUMIFS(Performance!$Z$5:$Z$404,Performance!$M$5:$M$404,BB591))</f>
        <v>0</v>
      </c>
      <c r="BF591" s="24">
        <f>IF(OR(BD591="",BD591=0),"",BE591/BD591)</f>
        <v>0</v>
      </c>
      <c r="BG591" s="32">
        <f>IF(BC591=0,"",IF(BF591="","",BF591+ROW()/1000000))</f>
        <v>0</v>
      </c>
      <c r="BH591" s="17">
        <f>IF(Performance!$C$591="","",Performance!$C$591)</f>
        <v>0</v>
      </c>
      <c r="BI591" s="17">
        <f>IF(Performance!$F$591="","",Performance!$F$591)</f>
        <v>0</v>
      </c>
      <c r="BJ591" s="17">
        <f>IF(Performance!$H$591="","",Performance!$H$591)</f>
        <v>0</v>
      </c>
      <c r="BK591" s="16">
        <f>IF(Performance!$D$591="","",Performance!$D$591)</f>
        <v>0</v>
      </c>
      <c r="BL591" s="17">
        <f>IF(Performance!$E$591="","",Performance!$E$591)</f>
        <v>0</v>
      </c>
      <c r="BM591" s="23">
        <f>IF(Performance!$O$591="","",Performance!$O$591)</f>
        <v>0</v>
      </c>
      <c r="BN591" s="24">
        <f>IF(Performance!$AA$591="","",Performance!$AA$591)</f>
        <v>0</v>
      </c>
      <c r="BO591" s="32">
        <f>IF(BH591="","",IF(BK591="","",IF(OR(BK591&lt;DashStart,BK591&gt;DashEnd),"",IF(BN591="","",BN591+ROW()/1000000))))</f>
        <v>0</v>
      </c>
      <c r="BP591" s="32">
        <f>IF(BM591="","",IF(BK591="","",IF(OR(BK591&lt;DashStart,BK591&gt;DashEnd),"",BM591+ROW()/1000000)))</f>
        <v>0</v>
      </c>
      <c r="BQ591" s="32">
        <f>IF(BH591="","",IF(BK591="","",IF(YEAR(BK591)&lt;&gt;PlanYear,"",IF(BN591="","",BN591+ROW()/1000000))))</f>
        <v>0</v>
      </c>
      <c r="BR591" s="32">
        <f>IF(BH591="","",IF(BK591="","",IF(OR(BK591&lt;RepFrom,BK591&gt;RepTo),"",IF(BN591="","",BN591+ROW()/1000000))))</f>
        <v>0</v>
      </c>
      <c r="BS591" s="32">
        <f>IF(BM591="","",IF(BK591="","",IF(YEAR(BK591)&lt;&gt;PlanYear,"",BM591+ROW()/1000000)))</f>
        <v>0</v>
      </c>
      <c r="BT591" s="17">
        <f>IF(Lists!$F591="","",Lists!$F591)</f>
        <v>0</v>
      </c>
      <c r="BU591" s="23">
        <f>IF(BT591="","",COUNTIF('Content Calendar'!$X$5:$X$604,BT591))</f>
        <v>0</v>
      </c>
      <c r="BV591" s="23">
        <f>IF(BT591="","",COUNTIFS('Content Calendar'!$X$5:$X$604,BT591,'Content Calendar'!$B$5:$B$604,"&gt;="&amp;DashStart,'Content Calendar'!$B$5:$B$604,"&lt;="&amp;DashEnd))</f>
        <v>0</v>
      </c>
      <c r="BW591" s="17">
        <f>IF(Team!$B$591="","",Team!$B$591)</f>
        <v>0</v>
      </c>
      <c r="BX591" s="23">
        <f>IF(BW591="","",COUNTIF('Content Calendar'!$W$5:$W$604,BW591))</f>
        <v>0</v>
      </c>
      <c r="BY591" s="23">
        <f>IF(BW591="","",COUNTIFS('Content Calendar'!$W$5:$W$604,BW591,'Content Calendar'!$X$5:$X$604,"&lt;&gt;Published"))</f>
        <v>0</v>
      </c>
      <c r="BZ591" s="23">
        <f>IF(BW591="","",COUNTIFS(Tasks!$C$5:$C$64,BW591,Tasks!$G$5:$G$64,"&lt;&gt;Complete"))</f>
        <v>0</v>
      </c>
      <c r="CA591" s="17">
        <f>IF(Campaigns!$B$591="","",Campaigns!$B$591)</f>
        <v>0</v>
      </c>
      <c r="CB591" s="25">
        <f>IF(Campaigns!$T$591="","",Campaigns!$T$591)</f>
        <v>0</v>
      </c>
      <c r="CC591" s="25">
        <f>IF(Campaigns!$Q$591="","",Campaigns!$Q$591)</f>
        <v>0</v>
      </c>
      <c r="CD591" s="23">
        <f>IF(Campaigns!$Y$591="","",Campaigns!$Y$591)</f>
        <v>0</v>
      </c>
      <c r="CE591" s="32">
        <f>IF(CA591="","",IF(N(CB591)&lt;=0,"",N(CB591)+ROW()/1000000))</f>
        <v>0</v>
      </c>
      <c r="CF591" s="17">
        <f>IF(Accounts!$C$591="","",Accounts!$C$591)</f>
        <v>0</v>
      </c>
      <c r="CG591" s="17">
        <f>IF(Accounts!$B$591="","",Accounts!$B$591)</f>
        <v>0</v>
      </c>
      <c r="CH591" s="23">
        <f>IF(Accounts!$J$591="","",Accounts!$J$591)</f>
        <v>0</v>
      </c>
      <c r="CI591" s="23">
        <f>IF(CF591="","",SUMIFS(Analytics!$X$5:$X$154,Analytics!$E$5:$E$154,CF591,Analytics!$B$5:$B$154,"&gt;="&amp;DashStart,Analytics!$B$5:$B$154,"&lt;="&amp;DashEnd))</f>
        <v>0</v>
      </c>
      <c r="CJ591" s="32">
        <f>IF(CH591="","",IF(CH591=0,"",CH591+ROW()/1000000))</f>
        <v>0</v>
      </c>
    </row>
    <row r="592" spans="1:88">
      <c r="A592" s="16">
        <f>IF(ROW()-4&gt;12,"",DATE(PlanYear,ROW()-4,1))</f>
        <v>0</v>
      </c>
      <c r="B592" s="16">
        <f>IF(A592="","",EOMONTH(A592,0))</f>
        <v>0</v>
      </c>
      <c r="C592" s="17">
        <f>IF(A592="","",TEXT(A592,"yyyy-mm"))</f>
        <v>0</v>
      </c>
      <c r="D592" s="17">
        <f>IF(A592="","",TEXT(A592,"mmm"))</f>
        <v>0</v>
      </c>
      <c r="E592" s="23">
        <f>IF(C592="","",COUNTIFS('Content Calendar'!$D$5:$D$604,C592))</f>
        <v>0</v>
      </c>
      <c r="F592" s="23">
        <f>IF(C592="","",COUNTIFS('Content Calendar'!$D$5:$D$604,C592,'Content Calendar'!$X$5:$X$604,"Published"))</f>
        <v>0</v>
      </c>
      <c r="G592" s="23">
        <f>IF(C592="","",SUMIFS(Analytics!$J$5:$J$154,Analytics!$C$5:$C$154,C592))</f>
        <v>0</v>
      </c>
      <c r="H592" s="23">
        <f>IF(C592="","",SUMIFS(Analytics!$K$5:$K$154,Analytics!$C$5:$C$154,C592))</f>
        <v>0</v>
      </c>
      <c r="I592" s="23">
        <f>IF(C592="","",SUMIFS(Analytics!$L$5:$L$154,Analytics!$C$5:$C$154,C592))</f>
        <v>0</v>
      </c>
      <c r="J592" s="24">
        <f>IF(OR(G592="",G592=0),"",I592/G592)</f>
        <v>0</v>
      </c>
      <c r="K592" s="23">
        <f>IF(C592="","",SUMIFS(Analytics!$G$5:$G$154,Analytics!$C$5:$C$154,C592))</f>
        <v>0</v>
      </c>
      <c r="L592" s="23">
        <f>IF(C592="","",SUMIFS(Analytics!$X$5:$X$154,Analytics!$C$5:$C$154,C592))</f>
        <v>0</v>
      </c>
      <c r="M592" s="23">
        <f>IF(C592="","",SUMIFS(Analytics!$R$5:$R$154,Analytics!$C$5:$C$154,C592))</f>
        <v>0</v>
      </c>
      <c r="N592" s="23">
        <f>IF(C592="","",SUMIFS(Analytics!$S$5:$S$154,Analytics!$C$5:$C$154,C592))</f>
        <v>0</v>
      </c>
      <c r="O592" s="23">
        <f>IF(C592="","",SUMIFS(Analytics!$T$5:$T$154,Analytics!$C$5:$C$154,C592))</f>
        <v>0</v>
      </c>
      <c r="P592" s="25">
        <f>IF(C592="","",SUMIFS(Analytics!$U$5:$U$154,Analytics!$C$5:$C$154,C592))</f>
        <v>0</v>
      </c>
      <c r="Q592" s="25">
        <f>IF(C592="","",SUMIFS(Budget!$H$5:$H$64,Budget!$C$5:$C$64,C592))</f>
        <v>0</v>
      </c>
      <c r="R592" s="25">
        <f>IF(C592="","",P592-Q592)</f>
        <v>0</v>
      </c>
      <c r="S592" s="23">
        <f>IF(C592="","",MonthlyPostTarget)</f>
        <v>0</v>
      </c>
      <c r="T592" s="17">
        <f>IF(Lists!$C592="","",Lists!$C592)</f>
        <v>0</v>
      </c>
      <c r="U592" s="23">
        <f>IF(T592="","",COUNTIFS('Content Calendar'!$G$5:$G$604,T592,'Content Calendar'!$B$5:$B$604,"&gt;="&amp;DashStart,'Content Calendar'!$B$5:$B$604,"&lt;="&amp;DashEnd))</f>
        <v>0</v>
      </c>
      <c r="V592" s="23">
        <f>IF(T592="","",COUNTIFS('Content Calendar'!$G$5:$G$604,T592,'Content Calendar'!$X$5:$X$604,"Published",'Content Calendar'!$B$5:$B$604,"&gt;="&amp;DashStart,'Content Calendar'!$B$5:$B$604,"&lt;="&amp;DashEnd))</f>
        <v>0</v>
      </c>
      <c r="W592" s="23">
        <f>IF(T592="","",SUMIFS(Analytics!$J$5:$J$154,Analytics!$D$5:$D$154,T592,Analytics!$B$5:$B$154,"&gt;="&amp;DashStart,Analytics!$B$5:$B$154,"&lt;="&amp;DashEnd))</f>
        <v>0</v>
      </c>
      <c r="X592" s="23">
        <f>IF(T592="","",SUMIFS(Analytics!$L$5:$L$154,Analytics!$D$5:$D$154,T592,Analytics!$B$5:$B$154,"&gt;="&amp;DashStart,Analytics!$B$5:$B$154,"&lt;="&amp;DashEnd))</f>
        <v>0</v>
      </c>
      <c r="Y592" s="24">
        <f>IF(OR(W592="",W592=0),"",X592/W592)</f>
        <v>0</v>
      </c>
      <c r="Z592" s="23">
        <f>IF(T592="","",SUMIFS(Analytics!$G$5:$G$154,Analytics!$D$5:$D$154,T592,Analytics!$B$5:$B$154,"&gt;="&amp;DashStart,Analytics!$B$5:$B$154,"&lt;="&amp;DashEnd))</f>
        <v>0</v>
      </c>
      <c r="AA592" s="23">
        <f>IF(T592="","",SUMIFS(Analytics!$X$5:$X$154,Analytics!$D$5:$D$154,T592,Analytics!$B$5:$B$154,"&gt;="&amp;DashStart,Analytics!$B$5:$B$154,"&lt;="&amp;DashEnd))</f>
        <v>0</v>
      </c>
      <c r="AB592" s="23">
        <f>IF(T592="","",SUMIFS(Analytics!$R$5:$R$154,Analytics!$D$5:$D$154,T592,Analytics!$B$5:$B$154,"&gt;="&amp;DashStart,Analytics!$B$5:$B$154,"&lt;="&amp;DashEnd))</f>
        <v>0</v>
      </c>
      <c r="AC592" s="25">
        <f>IF(T592="","",SUMIFS(Analytics!$U$5:$U$154,Analytics!$D$5:$D$154,T592,Analytics!$B$5:$B$154,"&gt;="&amp;DashStart,Analytics!$B$5:$B$154,"&lt;="&amp;DashEnd))</f>
        <v>0</v>
      </c>
      <c r="AD592" s="23">
        <f>IF(T592="","",COUNTIFS('Content Calendar'!$G$5:$G$604,T592,'Content Calendar'!$B$5:$B$604,"&gt;="&amp;DATE(PlanYear,1,1),'Content Calendar'!$B$5:$B$604,"&lt;="&amp;DATE(PlanYear,12,31)))</f>
        <v>0</v>
      </c>
      <c r="AE592" s="23">
        <f>IF(T592="","",SUMIFS(Analytics!$J$5:$J$154,Analytics!$D$5:$D$154,T592))</f>
        <v>0</v>
      </c>
      <c r="AF592" s="23">
        <f>IF(T592="","",SUMIFS(Analytics!$L$5:$L$154,Analytics!$D$5:$D$154,T592))</f>
        <v>0</v>
      </c>
      <c r="AG592" s="24">
        <f>IF(OR(AE592="",AE592=0),"",AF592/AE592)</f>
        <v>0</v>
      </c>
      <c r="AH592" s="23">
        <f>IF(T592="","",SUMIFS(Analytics!$X$5:$X$154,Analytics!$D$5:$D$154,T592))</f>
        <v>0</v>
      </c>
      <c r="AI592" s="32">
        <f>IF(T592="","",IF(AE592=0,"",AE592+ROW()/1000000))</f>
        <v>0</v>
      </c>
      <c r="AJ592" s="17">
        <f>IF('Content Pillars'!$B$592="","",'Content Pillars'!$B$592)</f>
        <v>0</v>
      </c>
      <c r="AK592" s="23">
        <f>IF(AJ592="","",COUNTIFS('Content Calendar'!$J$5:$J$604,AJ592,'Content Calendar'!$B$5:$B$604,"&gt;="&amp;DATE(PlanYear,1,1),'Content Calendar'!$B$5:$B$604,"&lt;="&amp;DATE(PlanYear,12,31)))</f>
        <v>0</v>
      </c>
      <c r="AL592" s="23">
        <f>IF(AJ592="","",SUMIFS(Performance!$O$5:$O$404,Performance!$H$5:$H$404,AJ592))</f>
        <v>0</v>
      </c>
      <c r="AM592" s="23">
        <f>IF(AJ592="","",SUMIFS(Performance!$Z$5:$Z$404,Performance!$H$5:$H$404,AJ592))</f>
        <v>0</v>
      </c>
      <c r="AN592" s="24">
        <f>IF(OR(AL592="",AL592=0),"",AM592/AL592)</f>
        <v>0</v>
      </c>
      <c r="AO592" s="32">
        <f>IF(AN592="","",AN592+ROW()/1000000)</f>
        <v>0</v>
      </c>
      <c r="AP592" s="17">
        <f>IF(Lists!$E592="","",Lists!$E592)</f>
        <v>0</v>
      </c>
      <c r="AQ592" s="23">
        <f>IF(AP592="","",COUNTIF(Performance!$G$5:$G$404,AP592))</f>
        <v>0</v>
      </c>
      <c r="AR592" s="23">
        <f>IF(AP592="","",SUMIFS(Performance!$O$5:$O$404,Performance!$G$5:$G$404,AP592))</f>
        <v>0</v>
      </c>
      <c r="AS592" s="23">
        <f>IF(AP592="","",SUMIFS(Performance!$Z$5:$Z$404,Performance!$G$5:$G$404,AP592))</f>
        <v>0</v>
      </c>
      <c r="AT592" s="24">
        <f>IF(OR(AR592="",AR592=0),"",AS592/AR592)</f>
        <v>0</v>
      </c>
      <c r="AU592" s="32">
        <f>IF(AQ592=0,"",IF(AT592="","",AT592+ROW()/1000000))</f>
        <v>0</v>
      </c>
      <c r="AV592" s="17">
        <f>IF(ROW()-4&gt;7,"",TEXT(DATE(2024,1,ROW()-4),"ddd"))</f>
        <v>0</v>
      </c>
      <c r="AW592" s="23">
        <f>IF(AV592="","",COUNTIF(Performance!$N$5:$N$404,AV592))</f>
        <v>0</v>
      </c>
      <c r="AX592" s="23">
        <f>IF(AV592="","",SUMIFS(Performance!$O$5:$O$404,Performance!$N$5:$N$404,AV592))</f>
        <v>0</v>
      </c>
      <c r="AY592" s="23">
        <f>IF(AV592="","",SUMIFS(Performance!$Z$5:$Z$404,Performance!$N$5:$N$404,AV592))</f>
        <v>0</v>
      </c>
      <c r="AZ592" s="24">
        <f>IF(OR(AX592="",AX592=0),"",AY592/AX592)</f>
        <v>0</v>
      </c>
      <c r="BA592" s="32">
        <f>IF(AW592=0,"",IF(AZ592="","",AZ592+ROW()/1000000))</f>
        <v>0</v>
      </c>
      <c r="BB592" s="17">
        <f>IF(Lists!$AL592="","",Lists!$AL592)</f>
        <v>0</v>
      </c>
      <c r="BC592" s="23">
        <f>IF(BB592="","",COUNTIF(Performance!$M$5:$M$404,BB592))</f>
        <v>0</v>
      </c>
      <c r="BD592" s="23">
        <f>IF(BB592="","",SUMIFS(Performance!$O$5:$O$404,Performance!$M$5:$M$404,BB592))</f>
        <v>0</v>
      </c>
      <c r="BE592" s="23">
        <f>IF(BB592="","",SUMIFS(Performance!$Z$5:$Z$404,Performance!$M$5:$M$404,BB592))</f>
        <v>0</v>
      </c>
      <c r="BF592" s="24">
        <f>IF(OR(BD592="",BD592=0),"",BE592/BD592)</f>
        <v>0</v>
      </c>
      <c r="BG592" s="32">
        <f>IF(BC592=0,"",IF(BF592="","",BF592+ROW()/1000000))</f>
        <v>0</v>
      </c>
      <c r="BH592" s="17">
        <f>IF(Performance!$C$592="","",Performance!$C$592)</f>
        <v>0</v>
      </c>
      <c r="BI592" s="17">
        <f>IF(Performance!$F$592="","",Performance!$F$592)</f>
        <v>0</v>
      </c>
      <c r="BJ592" s="17">
        <f>IF(Performance!$H$592="","",Performance!$H$592)</f>
        <v>0</v>
      </c>
      <c r="BK592" s="16">
        <f>IF(Performance!$D$592="","",Performance!$D$592)</f>
        <v>0</v>
      </c>
      <c r="BL592" s="17">
        <f>IF(Performance!$E$592="","",Performance!$E$592)</f>
        <v>0</v>
      </c>
      <c r="BM592" s="23">
        <f>IF(Performance!$O$592="","",Performance!$O$592)</f>
        <v>0</v>
      </c>
      <c r="BN592" s="24">
        <f>IF(Performance!$AA$592="","",Performance!$AA$592)</f>
        <v>0</v>
      </c>
      <c r="BO592" s="32">
        <f>IF(BH592="","",IF(BK592="","",IF(OR(BK592&lt;DashStart,BK592&gt;DashEnd),"",IF(BN592="","",BN592+ROW()/1000000))))</f>
        <v>0</v>
      </c>
      <c r="BP592" s="32">
        <f>IF(BM592="","",IF(BK592="","",IF(OR(BK592&lt;DashStart,BK592&gt;DashEnd),"",BM592+ROW()/1000000)))</f>
        <v>0</v>
      </c>
      <c r="BQ592" s="32">
        <f>IF(BH592="","",IF(BK592="","",IF(YEAR(BK592)&lt;&gt;PlanYear,"",IF(BN592="","",BN592+ROW()/1000000))))</f>
        <v>0</v>
      </c>
      <c r="BR592" s="32">
        <f>IF(BH592="","",IF(BK592="","",IF(OR(BK592&lt;RepFrom,BK592&gt;RepTo),"",IF(BN592="","",BN592+ROW()/1000000))))</f>
        <v>0</v>
      </c>
      <c r="BS592" s="32">
        <f>IF(BM592="","",IF(BK592="","",IF(YEAR(BK592)&lt;&gt;PlanYear,"",BM592+ROW()/1000000)))</f>
        <v>0</v>
      </c>
      <c r="BT592" s="17">
        <f>IF(Lists!$F592="","",Lists!$F592)</f>
        <v>0</v>
      </c>
      <c r="BU592" s="23">
        <f>IF(BT592="","",COUNTIF('Content Calendar'!$X$5:$X$604,BT592))</f>
        <v>0</v>
      </c>
      <c r="BV592" s="23">
        <f>IF(BT592="","",COUNTIFS('Content Calendar'!$X$5:$X$604,BT592,'Content Calendar'!$B$5:$B$604,"&gt;="&amp;DashStart,'Content Calendar'!$B$5:$B$604,"&lt;="&amp;DashEnd))</f>
        <v>0</v>
      </c>
      <c r="BW592" s="17">
        <f>IF(Team!$B$592="","",Team!$B$592)</f>
        <v>0</v>
      </c>
      <c r="BX592" s="23">
        <f>IF(BW592="","",COUNTIF('Content Calendar'!$W$5:$W$604,BW592))</f>
        <v>0</v>
      </c>
      <c r="BY592" s="23">
        <f>IF(BW592="","",COUNTIFS('Content Calendar'!$W$5:$W$604,BW592,'Content Calendar'!$X$5:$X$604,"&lt;&gt;Published"))</f>
        <v>0</v>
      </c>
      <c r="BZ592" s="23">
        <f>IF(BW592="","",COUNTIFS(Tasks!$C$5:$C$64,BW592,Tasks!$G$5:$G$64,"&lt;&gt;Complete"))</f>
        <v>0</v>
      </c>
      <c r="CA592" s="17">
        <f>IF(Campaigns!$B$592="","",Campaigns!$B$592)</f>
        <v>0</v>
      </c>
      <c r="CB592" s="25">
        <f>IF(Campaigns!$T$592="","",Campaigns!$T$592)</f>
        <v>0</v>
      </c>
      <c r="CC592" s="25">
        <f>IF(Campaigns!$Q$592="","",Campaigns!$Q$592)</f>
        <v>0</v>
      </c>
      <c r="CD592" s="23">
        <f>IF(Campaigns!$Y$592="","",Campaigns!$Y$592)</f>
        <v>0</v>
      </c>
      <c r="CE592" s="32">
        <f>IF(CA592="","",IF(N(CB592)&lt;=0,"",N(CB592)+ROW()/1000000))</f>
        <v>0</v>
      </c>
      <c r="CF592" s="17">
        <f>IF(Accounts!$C$592="","",Accounts!$C$592)</f>
        <v>0</v>
      </c>
      <c r="CG592" s="17">
        <f>IF(Accounts!$B$592="","",Accounts!$B$592)</f>
        <v>0</v>
      </c>
      <c r="CH592" s="23">
        <f>IF(Accounts!$J$592="","",Accounts!$J$592)</f>
        <v>0</v>
      </c>
      <c r="CI592" s="23">
        <f>IF(CF592="","",SUMIFS(Analytics!$X$5:$X$154,Analytics!$E$5:$E$154,CF592,Analytics!$B$5:$B$154,"&gt;="&amp;DashStart,Analytics!$B$5:$B$154,"&lt;="&amp;DashEnd))</f>
        <v>0</v>
      </c>
      <c r="CJ592" s="32">
        <f>IF(CH592="","",IF(CH592=0,"",CH592+ROW()/1000000))</f>
        <v>0</v>
      </c>
    </row>
    <row r="593" spans="1:88">
      <c r="A593" s="16">
        <f>IF(ROW()-4&gt;12,"",DATE(PlanYear,ROW()-4,1))</f>
        <v>0</v>
      </c>
      <c r="B593" s="16">
        <f>IF(A593="","",EOMONTH(A593,0))</f>
        <v>0</v>
      </c>
      <c r="C593" s="17">
        <f>IF(A593="","",TEXT(A593,"yyyy-mm"))</f>
        <v>0</v>
      </c>
      <c r="D593" s="17">
        <f>IF(A593="","",TEXT(A593,"mmm"))</f>
        <v>0</v>
      </c>
      <c r="E593" s="23">
        <f>IF(C593="","",COUNTIFS('Content Calendar'!$D$5:$D$604,C593))</f>
        <v>0</v>
      </c>
      <c r="F593" s="23">
        <f>IF(C593="","",COUNTIFS('Content Calendar'!$D$5:$D$604,C593,'Content Calendar'!$X$5:$X$604,"Published"))</f>
        <v>0</v>
      </c>
      <c r="G593" s="23">
        <f>IF(C593="","",SUMIFS(Analytics!$J$5:$J$154,Analytics!$C$5:$C$154,C593))</f>
        <v>0</v>
      </c>
      <c r="H593" s="23">
        <f>IF(C593="","",SUMIFS(Analytics!$K$5:$K$154,Analytics!$C$5:$C$154,C593))</f>
        <v>0</v>
      </c>
      <c r="I593" s="23">
        <f>IF(C593="","",SUMIFS(Analytics!$L$5:$L$154,Analytics!$C$5:$C$154,C593))</f>
        <v>0</v>
      </c>
      <c r="J593" s="24">
        <f>IF(OR(G593="",G593=0),"",I593/G593)</f>
        <v>0</v>
      </c>
      <c r="K593" s="23">
        <f>IF(C593="","",SUMIFS(Analytics!$G$5:$G$154,Analytics!$C$5:$C$154,C593))</f>
        <v>0</v>
      </c>
      <c r="L593" s="23">
        <f>IF(C593="","",SUMIFS(Analytics!$X$5:$X$154,Analytics!$C$5:$C$154,C593))</f>
        <v>0</v>
      </c>
      <c r="M593" s="23">
        <f>IF(C593="","",SUMIFS(Analytics!$R$5:$R$154,Analytics!$C$5:$C$154,C593))</f>
        <v>0</v>
      </c>
      <c r="N593" s="23">
        <f>IF(C593="","",SUMIFS(Analytics!$S$5:$S$154,Analytics!$C$5:$C$154,C593))</f>
        <v>0</v>
      </c>
      <c r="O593" s="23">
        <f>IF(C593="","",SUMIFS(Analytics!$T$5:$T$154,Analytics!$C$5:$C$154,C593))</f>
        <v>0</v>
      </c>
      <c r="P593" s="25">
        <f>IF(C593="","",SUMIFS(Analytics!$U$5:$U$154,Analytics!$C$5:$C$154,C593))</f>
        <v>0</v>
      </c>
      <c r="Q593" s="25">
        <f>IF(C593="","",SUMIFS(Budget!$H$5:$H$64,Budget!$C$5:$C$64,C593))</f>
        <v>0</v>
      </c>
      <c r="R593" s="25">
        <f>IF(C593="","",P593-Q593)</f>
        <v>0</v>
      </c>
      <c r="S593" s="23">
        <f>IF(C593="","",MonthlyPostTarget)</f>
        <v>0</v>
      </c>
      <c r="T593" s="17">
        <f>IF(Lists!$C593="","",Lists!$C593)</f>
        <v>0</v>
      </c>
      <c r="U593" s="23">
        <f>IF(T593="","",COUNTIFS('Content Calendar'!$G$5:$G$604,T593,'Content Calendar'!$B$5:$B$604,"&gt;="&amp;DashStart,'Content Calendar'!$B$5:$B$604,"&lt;="&amp;DashEnd))</f>
        <v>0</v>
      </c>
      <c r="V593" s="23">
        <f>IF(T593="","",COUNTIFS('Content Calendar'!$G$5:$G$604,T593,'Content Calendar'!$X$5:$X$604,"Published",'Content Calendar'!$B$5:$B$604,"&gt;="&amp;DashStart,'Content Calendar'!$B$5:$B$604,"&lt;="&amp;DashEnd))</f>
        <v>0</v>
      </c>
      <c r="W593" s="23">
        <f>IF(T593="","",SUMIFS(Analytics!$J$5:$J$154,Analytics!$D$5:$D$154,T593,Analytics!$B$5:$B$154,"&gt;="&amp;DashStart,Analytics!$B$5:$B$154,"&lt;="&amp;DashEnd))</f>
        <v>0</v>
      </c>
      <c r="X593" s="23">
        <f>IF(T593="","",SUMIFS(Analytics!$L$5:$L$154,Analytics!$D$5:$D$154,T593,Analytics!$B$5:$B$154,"&gt;="&amp;DashStart,Analytics!$B$5:$B$154,"&lt;="&amp;DashEnd))</f>
        <v>0</v>
      </c>
      <c r="Y593" s="24">
        <f>IF(OR(W593="",W593=0),"",X593/W593)</f>
        <v>0</v>
      </c>
      <c r="Z593" s="23">
        <f>IF(T593="","",SUMIFS(Analytics!$G$5:$G$154,Analytics!$D$5:$D$154,T593,Analytics!$B$5:$B$154,"&gt;="&amp;DashStart,Analytics!$B$5:$B$154,"&lt;="&amp;DashEnd))</f>
        <v>0</v>
      </c>
      <c r="AA593" s="23">
        <f>IF(T593="","",SUMIFS(Analytics!$X$5:$X$154,Analytics!$D$5:$D$154,T593,Analytics!$B$5:$B$154,"&gt;="&amp;DashStart,Analytics!$B$5:$B$154,"&lt;="&amp;DashEnd))</f>
        <v>0</v>
      </c>
      <c r="AB593" s="23">
        <f>IF(T593="","",SUMIFS(Analytics!$R$5:$R$154,Analytics!$D$5:$D$154,T593,Analytics!$B$5:$B$154,"&gt;="&amp;DashStart,Analytics!$B$5:$B$154,"&lt;="&amp;DashEnd))</f>
        <v>0</v>
      </c>
      <c r="AC593" s="25">
        <f>IF(T593="","",SUMIFS(Analytics!$U$5:$U$154,Analytics!$D$5:$D$154,T593,Analytics!$B$5:$B$154,"&gt;="&amp;DashStart,Analytics!$B$5:$B$154,"&lt;="&amp;DashEnd))</f>
        <v>0</v>
      </c>
      <c r="AD593" s="23">
        <f>IF(T593="","",COUNTIFS('Content Calendar'!$G$5:$G$604,T593,'Content Calendar'!$B$5:$B$604,"&gt;="&amp;DATE(PlanYear,1,1),'Content Calendar'!$B$5:$B$604,"&lt;="&amp;DATE(PlanYear,12,31)))</f>
        <v>0</v>
      </c>
      <c r="AE593" s="23">
        <f>IF(T593="","",SUMIFS(Analytics!$J$5:$J$154,Analytics!$D$5:$D$154,T593))</f>
        <v>0</v>
      </c>
      <c r="AF593" s="23">
        <f>IF(T593="","",SUMIFS(Analytics!$L$5:$L$154,Analytics!$D$5:$D$154,T593))</f>
        <v>0</v>
      </c>
      <c r="AG593" s="24">
        <f>IF(OR(AE593="",AE593=0),"",AF593/AE593)</f>
        <v>0</v>
      </c>
      <c r="AH593" s="23">
        <f>IF(T593="","",SUMIFS(Analytics!$X$5:$X$154,Analytics!$D$5:$D$154,T593))</f>
        <v>0</v>
      </c>
      <c r="AI593" s="32">
        <f>IF(T593="","",IF(AE593=0,"",AE593+ROW()/1000000))</f>
        <v>0</v>
      </c>
      <c r="AJ593" s="17">
        <f>IF('Content Pillars'!$B$593="","",'Content Pillars'!$B$593)</f>
        <v>0</v>
      </c>
      <c r="AK593" s="23">
        <f>IF(AJ593="","",COUNTIFS('Content Calendar'!$J$5:$J$604,AJ593,'Content Calendar'!$B$5:$B$604,"&gt;="&amp;DATE(PlanYear,1,1),'Content Calendar'!$B$5:$B$604,"&lt;="&amp;DATE(PlanYear,12,31)))</f>
        <v>0</v>
      </c>
      <c r="AL593" s="23">
        <f>IF(AJ593="","",SUMIFS(Performance!$O$5:$O$404,Performance!$H$5:$H$404,AJ593))</f>
        <v>0</v>
      </c>
      <c r="AM593" s="23">
        <f>IF(AJ593="","",SUMIFS(Performance!$Z$5:$Z$404,Performance!$H$5:$H$404,AJ593))</f>
        <v>0</v>
      </c>
      <c r="AN593" s="24">
        <f>IF(OR(AL593="",AL593=0),"",AM593/AL593)</f>
        <v>0</v>
      </c>
      <c r="AO593" s="32">
        <f>IF(AN593="","",AN593+ROW()/1000000)</f>
        <v>0</v>
      </c>
      <c r="AP593" s="17">
        <f>IF(Lists!$E593="","",Lists!$E593)</f>
        <v>0</v>
      </c>
      <c r="AQ593" s="23">
        <f>IF(AP593="","",COUNTIF(Performance!$G$5:$G$404,AP593))</f>
        <v>0</v>
      </c>
      <c r="AR593" s="23">
        <f>IF(AP593="","",SUMIFS(Performance!$O$5:$O$404,Performance!$G$5:$G$404,AP593))</f>
        <v>0</v>
      </c>
      <c r="AS593" s="23">
        <f>IF(AP593="","",SUMIFS(Performance!$Z$5:$Z$404,Performance!$G$5:$G$404,AP593))</f>
        <v>0</v>
      </c>
      <c r="AT593" s="24">
        <f>IF(OR(AR593="",AR593=0),"",AS593/AR593)</f>
        <v>0</v>
      </c>
      <c r="AU593" s="32">
        <f>IF(AQ593=0,"",IF(AT593="","",AT593+ROW()/1000000))</f>
        <v>0</v>
      </c>
      <c r="AV593" s="17">
        <f>IF(ROW()-4&gt;7,"",TEXT(DATE(2024,1,ROW()-4),"ddd"))</f>
        <v>0</v>
      </c>
      <c r="AW593" s="23">
        <f>IF(AV593="","",COUNTIF(Performance!$N$5:$N$404,AV593))</f>
        <v>0</v>
      </c>
      <c r="AX593" s="23">
        <f>IF(AV593="","",SUMIFS(Performance!$O$5:$O$404,Performance!$N$5:$N$404,AV593))</f>
        <v>0</v>
      </c>
      <c r="AY593" s="23">
        <f>IF(AV593="","",SUMIFS(Performance!$Z$5:$Z$404,Performance!$N$5:$N$404,AV593))</f>
        <v>0</v>
      </c>
      <c r="AZ593" s="24">
        <f>IF(OR(AX593="",AX593=0),"",AY593/AX593)</f>
        <v>0</v>
      </c>
      <c r="BA593" s="32">
        <f>IF(AW593=0,"",IF(AZ593="","",AZ593+ROW()/1000000))</f>
        <v>0</v>
      </c>
      <c r="BB593" s="17">
        <f>IF(Lists!$AL593="","",Lists!$AL593)</f>
        <v>0</v>
      </c>
      <c r="BC593" s="23">
        <f>IF(BB593="","",COUNTIF(Performance!$M$5:$M$404,BB593))</f>
        <v>0</v>
      </c>
      <c r="BD593" s="23">
        <f>IF(BB593="","",SUMIFS(Performance!$O$5:$O$404,Performance!$M$5:$M$404,BB593))</f>
        <v>0</v>
      </c>
      <c r="BE593" s="23">
        <f>IF(BB593="","",SUMIFS(Performance!$Z$5:$Z$404,Performance!$M$5:$M$404,BB593))</f>
        <v>0</v>
      </c>
      <c r="BF593" s="24">
        <f>IF(OR(BD593="",BD593=0),"",BE593/BD593)</f>
        <v>0</v>
      </c>
      <c r="BG593" s="32">
        <f>IF(BC593=0,"",IF(BF593="","",BF593+ROW()/1000000))</f>
        <v>0</v>
      </c>
      <c r="BH593" s="17">
        <f>IF(Performance!$C$593="","",Performance!$C$593)</f>
        <v>0</v>
      </c>
      <c r="BI593" s="17">
        <f>IF(Performance!$F$593="","",Performance!$F$593)</f>
        <v>0</v>
      </c>
      <c r="BJ593" s="17">
        <f>IF(Performance!$H$593="","",Performance!$H$593)</f>
        <v>0</v>
      </c>
      <c r="BK593" s="16">
        <f>IF(Performance!$D$593="","",Performance!$D$593)</f>
        <v>0</v>
      </c>
      <c r="BL593" s="17">
        <f>IF(Performance!$E$593="","",Performance!$E$593)</f>
        <v>0</v>
      </c>
      <c r="BM593" s="23">
        <f>IF(Performance!$O$593="","",Performance!$O$593)</f>
        <v>0</v>
      </c>
      <c r="BN593" s="24">
        <f>IF(Performance!$AA$593="","",Performance!$AA$593)</f>
        <v>0</v>
      </c>
      <c r="BO593" s="32">
        <f>IF(BH593="","",IF(BK593="","",IF(OR(BK593&lt;DashStart,BK593&gt;DashEnd),"",IF(BN593="","",BN593+ROW()/1000000))))</f>
        <v>0</v>
      </c>
      <c r="BP593" s="32">
        <f>IF(BM593="","",IF(BK593="","",IF(OR(BK593&lt;DashStart,BK593&gt;DashEnd),"",BM593+ROW()/1000000)))</f>
        <v>0</v>
      </c>
      <c r="BQ593" s="32">
        <f>IF(BH593="","",IF(BK593="","",IF(YEAR(BK593)&lt;&gt;PlanYear,"",IF(BN593="","",BN593+ROW()/1000000))))</f>
        <v>0</v>
      </c>
      <c r="BR593" s="32">
        <f>IF(BH593="","",IF(BK593="","",IF(OR(BK593&lt;RepFrom,BK593&gt;RepTo),"",IF(BN593="","",BN593+ROW()/1000000))))</f>
        <v>0</v>
      </c>
      <c r="BS593" s="32">
        <f>IF(BM593="","",IF(BK593="","",IF(YEAR(BK593)&lt;&gt;PlanYear,"",BM593+ROW()/1000000)))</f>
        <v>0</v>
      </c>
      <c r="BT593" s="17">
        <f>IF(Lists!$F593="","",Lists!$F593)</f>
        <v>0</v>
      </c>
      <c r="BU593" s="23">
        <f>IF(BT593="","",COUNTIF('Content Calendar'!$X$5:$X$604,BT593))</f>
        <v>0</v>
      </c>
      <c r="BV593" s="23">
        <f>IF(BT593="","",COUNTIFS('Content Calendar'!$X$5:$X$604,BT593,'Content Calendar'!$B$5:$B$604,"&gt;="&amp;DashStart,'Content Calendar'!$B$5:$B$604,"&lt;="&amp;DashEnd))</f>
        <v>0</v>
      </c>
      <c r="BW593" s="17">
        <f>IF(Team!$B$593="","",Team!$B$593)</f>
        <v>0</v>
      </c>
      <c r="BX593" s="23">
        <f>IF(BW593="","",COUNTIF('Content Calendar'!$W$5:$W$604,BW593))</f>
        <v>0</v>
      </c>
      <c r="BY593" s="23">
        <f>IF(BW593="","",COUNTIFS('Content Calendar'!$W$5:$W$604,BW593,'Content Calendar'!$X$5:$X$604,"&lt;&gt;Published"))</f>
        <v>0</v>
      </c>
      <c r="BZ593" s="23">
        <f>IF(BW593="","",COUNTIFS(Tasks!$C$5:$C$64,BW593,Tasks!$G$5:$G$64,"&lt;&gt;Complete"))</f>
        <v>0</v>
      </c>
      <c r="CA593" s="17">
        <f>IF(Campaigns!$B$593="","",Campaigns!$B$593)</f>
        <v>0</v>
      </c>
      <c r="CB593" s="25">
        <f>IF(Campaigns!$T$593="","",Campaigns!$T$593)</f>
        <v>0</v>
      </c>
      <c r="CC593" s="25">
        <f>IF(Campaigns!$Q$593="","",Campaigns!$Q$593)</f>
        <v>0</v>
      </c>
      <c r="CD593" s="23">
        <f>IF(Campaigns!$Y$593="","",Campaigns!$Y$593)</f>
        <v>0</v>
      </c>
      <c r="CE593" s="32">
        <f>IF(CA593="","",IF(N(CB593)&lt;=0,"",N(CB593)+ROW()/1000000))</f>
        <v>0</v>
      </c>
      <c r="CF593" s="17">
        <f>IF(Accounts!$C$593="","",Accounts!$C$593)</f>
        <v>0</v>
      </c>
      <c r="CG593" s="17">
        <f>IF(Accounts!$B$593="","",Accounts!$B$593)</f>
        <v>0</v>
      </c>
      <c r="CH593" s="23">
        <f>IF(Accounts!$J$593="","",Accounts!$J$593)</f>
        <v>0</v>
      </c>
      <c r="CI593" s="23">
        <f>IF(CF593="","",SUMIFS(Analytics!$X$5:$X$154,Analytics!$E$5:$E$154,CF593,Analytics!$B$5:$B$154,"&gt;="&amp;DashStart,Analytics!$B$5:$B$154,"&lt;="&amp;DashEnd))</f>
        <v>0</v>
      </c>
      <c r="CJ593" s="32">
        <f>IF(CH593="","",IF(CH593=0,"",CH593+ROW()/1000000))</f>
        <v>0</v>
      </c>
    </row>
    <row r="594" spans="1:88">
      <c r="A594" s="16">
        <f>IF(ROW()-4&gt;12,"",DATE(PlanYear,ROW()-4,1))</f>
        <v>0</v>
      </c>
      <c r="B594" s="16">
        <f>IF(A594="","",EOMONTH(A594,0))</f>
        <v>0</v>
      </c>
      <c r="C594" s="17">
        <f>IF(A594="","",TEXT(A594,"yyyy-mm"))</f>
        <v>0</v>
      </c>
      <c r="D594" s="17">
        <f>IF(A594="","",TEXT(A594,"mmm"))</f>
        <v>0</v>
      </c>
      <c r="E594" s="23">
        <f>IF(C594="","",COUNTIFS('Content Calendar'!$D$5:$D$604,C594))</f>
        <v>0</v>
      </c>
      <c r="F594" s="23">
        <f>IF(C594="","",COUNTIFS('Content Calendar'!$D$5:$D$604,C594,'Content Calendar'!$X$5:$X$604,"Published"))</f>
        <v>0</v>
      </c>
      <c r="G594" s="23">
        <f>IF(C594="","",SUMIFS(Analytics!$J$5:$J$154,Analytics!$C$5:$C$154,C594))</f>
        <v>0</v>
      </c>
      <c r="H594" s="23">
        <f>IF(C594="","",SUMIFS(Analytics!$K$5:$K$154,Analytics!$C$5:$C$154,C594))</f>
        <v>0</v>
      </c>
      <c r="I594" s="23">
        <f>IF(C594="","",SUMIFS(Analytics!$L$5:$L$154,Analytics!$C$5:$C$154,C594))</f>
        <v>0</v>
      </c>
      <c r="J594" s="24">
        <f>IF(OR(G594="",G594=0),"",I594/G594)</f>
        <v>0</v>
      </c>
      <c r="K594" s="23">
        <f>IF(C594="","",SUMIFS(Analytics!$G$5:$G$154,Analytics!$C$5:$C$154,C594))</f>
        <v>0</v>
      </c>
      <c r="L594" s="23">
        <f>IF(C594="","",SUMIFS(Analytics!$X$5:$X$154,Analytics!$C$5:$C$154,C594))</f>
        <v>0</v>
      </c>
      <c r="M594" s="23">
        <f>IF(C594="","",SUMIFS(Analytics!$R$5:$R$154,Analytics!$C$5:$C$154,C594))</f>
        <v>0</v>
      </c>
      <c r="N594" s="23">
        <f>IF(C594="","",SUMIFS(Analytics!$S$5:$S$154,Analytics!$C$5:$C$154,C594))</f>
        <v>0</v>
      </c>
      <c r="O594" s="23">
        <f>IF(C594="","",SUMIFS(Analytics!$T$5:$T$154,Analytics!$C$5:$C$154,C594))</f>
        <v>0</v>
      </c>
      <c r="P594" s="25">
        <f>IF(C594="","",SUMIFS(Analytics!$U$5:$U$154,Analytics!$C$5:$C$154,C594))</f>
        <v>0</v>
      </c>
      <c r="Q594" s="25">
        <f>IF(C594="","",SUMIFS(Budget!$H$5:$H$64,Budget!$C$5:$C$64,C594))</f>
        <v>0</v>
      </c>
      <c r="R594" s="25">
        <f>IF(C594="","",P594-Q594)</f>
        <v>0</v>
      </c>
      <c r="S594" s="23">
        <f>IF(C594="","",MonthlyPostTarget)</f>
        <v>0</v>
      </c>
      <c r="T594" s="17">
        <f>IF(Lists!$C594="","",Lists!$C594)</f>
        <v>0</v>
      </c>
      <c r="U594" s="23">
        <f>IF(T594="","",COUNTIFS('Content Calendar'!$G$5:$G$604,T594,'Content Calendar'!$B$5:$B$604,"&gt;="&amp;DashStart,'Content Calendar'!$B$5:$B$604,"&lt;="&amp;DashEnd))</f>
        <v>0</v>
      </c>
      <c r="V594" s="23">
        <f>IF(T594="","",COUNTIFS('Content Calendar'!$G$5:$G$604,T594,'Content Calendar'!$X$5:$X$604,"Published",'Content Calendar'!$B$5:$B$604,"&gt;="&amp;DashStart,'Content Calendar'!$B$5:$B$604,"&lt;="&amp;DashEnd))</f>
        <v>0</v>
      </c>
      <c r="W594" s="23">
        <f>IF(T594="","",SUMIFS(Analytics!$J$5:$J$154,Analytics!$D$5:$D$154,T594,Analytics!$B$5:$B$154,"&gt;="&amp;DashStart,Analytics!$B$5:$B$154,"&lt;="&amp;DashEnd))</f>
        <v>0</v>
      </c>
      <c r="X594" s="23">
        <f>IF(T594="","",SUMIFS(Analytics!$L$5:$L$154,Analytics!$D$5:$D$154,T594,Analytics!$B$5:$B$154,"&gt;="&amp;DashStart,Analytics!$B$5:$B$154,"&lt;="&amp;DashEnd))</f>
        <v>0</v>
      </c>
      <c r="Y594" s="24">
        <f>IF(OR(W594="",W594=0),"",X594/W594)</f>
        <v>0</v>
      </c>
      <c r="Z594" s="23">
        <f>IF(T594="","",SUMIFS(Analytics!$G$5:$G$154,Analytics!$D$5:$D$154,T594,Analytics!$B$5:$B$154,"&gt;="&amp;DashStart,Analytics!$B$5:$B$154,"&lt;="&amp;DashEnd))</f>
        <v>0</v>
      </c>
      <c r="AA594" s="23">
        <f>IF(T594="","",SUMIFS(Analytics!$X$5:$X$154,Analytics!$D$5:$D$154,T594,Analytics!$B$5:$B$154,"&gt;="&amp;DashStart,Analytics!$B$5:$B$154,"&lt;="&amp;DashEnd))</f>
        <v>0</v>
      </c>
      <c r="AB594" s="23">
        <f>IF(T594="","",SUMIFS(Analytics!$R$5:$R$154,Analytics!$D$5:$D$154,T594,Analytics!$B$5:$B$154,"&gt;="&amp;DashStart,Analytics!$B$5:$B$154,"&lt;="&amp;DashEnd))</f>
        <v>0</v>
      </c>
      <c r="AC594" s="25">
        <f>IF(T594="","",SUMIFS(Analytics!$U$5:$U$154,Analytics!$D$5:$D$154,T594,Analytics!$B$5:$B$154,"&gt;="&amp;DashStart,Analytics!$B$5:$B$154,"&lt;="&amp;DashEnd))</f>
        <v>0</v>
      </c>
      <c r="AD594" s="23">
        <f>IF(T594="","",COUNTIFS('Content Calendar'!$G$5:$G$604,T594,'Content Calendar'!$B$5:$B$604,"&gt;="&amp;DATE(PlanYear,1,1),'Content Calendar'!$B$5:$B$604,"&lt;="&amp;DATE(PlanYear,12,31)))</f>
        <v>0</v>
      </c>
      <c r="AE594" s="23">
        <f>IF(T594="","",SUMIFS(Analytics!$J$5:$J$154,Analytics!$D$5:$D$154,T594))</f>
        <v>0</v>
      </c>
      <c r="AF594" s="23">
        <f>IF(T594="","",SUMIFS(Analytics!$L$5:$L$154,Analytics!$D$5:$D$154,T594))</f>
        <v>0</v>
      </c>
      <c r="AG594" s="24">
        <f>IF(OR(AE594="",AE594=0),"",AF594/AE594)</f>
        <v>0</v>
      </c>
      <c r="AH594" s="23">
        <f>IF(T594="","",SUMIFS(Analytics!$X$5:$X$154,Analytics!$D$5:$D$154,T594))</f>
        <v>0</v>
      </c>
      <c r="AI594" s="32">
        <f>IF(T594="","",IF(AE594=0,"",AE594+ROW()/1000000))</f>
        <v>0</v>
      </c>
      <c r="AJ594" s="17">
        <f>IF('Content Pillars'!$B$594="","",'Content Pillars'!$B$594)</f>
        <v>0</v>
      </c>
      <c r="AK594" s="23">
        <f>IF(AJ594="","",COUNTIFS('Content Calendar'!$J$5:$J$604,AJ594,'Content Calendar'!$B$5:$B$604,"&gt;="&amp;DATE(PlanYear,1,1),'Content Calendar'!$B$5:$B$604,"&lt;="&amp;DATE(PlanYear,12,31)))</f>
        <v>0</v>
      </c>
      <c r="AL594" s="23">
        <f>IF(AJ594="","",SUMIFS(Performance!$O$5:$O$404,Performance!$H$5:$H$404,AJ594))</f>
        <v>0</v>
      </c>
      <c r="AM594" s="23">
        <f>IF(AJ594="","",SUMIFS(Performance!$Z$5:$Z$404,Performance!$H$5:$H$404,AJ594))</f>
        <v>0</v>
      </c>
      <c r="AN594" s="24">
        <f>IF(OR(AL594="",AL594=0),"",AM594/AL594)</f>
        <v>0</v>
      </c>
      <c r="AO594" s="32">
        <f>IF(AN594="","",AN594+ROW()/1000000)</f>
        <v>0</v>
      </c>
      <c r="AP594" s="17">
        <f>IF(Lists!$E594="","",Lists!$E594)</f>
        <v>0</v>
      </c>
      <c r="AQ594" s="23">
        <f>IF(AP594="","",COUNTIF(Performance!$G$5:$G$404,AP594))</f>
        <v>0</v>
      </c>
      <c r="AR594" s="23">
        <f>IF(AP594="","",SUMIFS(Performance!$O$5:$O$404,Performance!$G$5:$G$404,AP594))</f>
        <v>0</v>
      </c>
      <c r="AS594" s="23">
        <f>IF(AP594="","",SUMIFS(Performance!$Z$5:$Z$404,Performance!$G$5:$G$404,AP594))</f>
        <v>0</v>
      </c>
      <c r="AT594" s="24">
        <f>IF(OR(AR594="",AR594=0),"",AS594/AR594)</f>
        <v>0</v>
      </c>
      <c r="AU594" s="32">
        <f>IF(AQ594=0,"",IF(AT594="","",AT594+ROW()/1000000))</f>
        <v>0</v>
      </c>
      <c r="AV594" s="17">
        <f>IF(ROW()-4&gt;7,"",TEXT(DATE(2024,1,ROW()-4),"ddd"))</f>
        <v>0</v>
      </c>
      <c r="AW594" s="23">
        <f>IF(AV594="","",COUNTIF(Performance!$N$5:$N$404,AV594))</f>
        <v>0</v>
      </c>
      <c r="AX594" s="23">
        <f>IF(AV594="","",SUMIFS(Performance!$O$5:$O$404,Performance!$N$5:$N$404,AV594))</f>
        <v>0</v>
      </c>
      <c r="AY594" s="23">
        <f>IF(AV594="","",SUMIFS(Performance!$Z$5:$Z$404,Performance!$N$5:$N$404,AV594))</f>
        <v>0</v>
      </c>
      <c r="AZ594" s="24">
        <f>IF(OR(AX594="",AX594=0),"",AY594/AX594)</f>
        <v>0</v>
      </c>
      <c r="BA594" s="32">
        <f>IF(AW594=0,"",IF(AZ594="","",AZ594+ROW()/1000000))</f>
        <v>0</v>
      </c>
      <c r="BB594" s="17">
        <f>IF(Lists!$AL594="","",Lists!$AL594)</f>
        <v>0</v>
      </c>
      <c r="BC594" s="23">
        <f>IF(BB594="","",COUNTIF(Performance!$M$5:$M$404,BB594))</f>
        <v>0</v>
      </c>
      <c r="BD594" s="23">
        <f>IF(BB594="","",SUMIFS(Performance!$O$5:$O$404,Performance!$M$5:$M$404,BB594))</f>
        <v>0</v>
      </c>
      <c r="BE594" s="23">
        <f>IF(BB594="","",SUMIFS(Performance!$Z$5:$Z$404,Performance!$M$5:$M$404,BB594))</f>
        <v>0</v>
      </c>
      <c r="BF594" s="24">
        <f>IF(OR(BD594="",BD594=0),"",BE594/BD594)</f>
        <v>0</v>
      </c>
      <c r="BG594" s="32">
        <f>IF(BC594=0,"",IF(BF594="","",BF594+ROW()/1000000))</f>
        <v>0</v>
      </c>
      <c r="BH594" s="17">
        <f>IF(Performance!$C$594="","",Performance!$C$594)</f>
        <v>0</v>
      </c>
      <c r="BI594" s="17">
        <f>IF(Performance!$F$594="","",Performance!$F$594)</f>
        <v>0</v>
      </c>
      <c r="BJ594" s="17">
        <f>IF(Performance!$H$594="","",Performance!$H$594)</f>
        <v>0</v>
      </c>
      <c r="BK594" s="16">
        <f>IF(Performance!$D$594="","",Performance!$D$594)</f>
        <v>0</v>
      </c>
      <c r="BL594" s="17">
        <f>IF(Performance!$E$594="","",Performance!$E$594)</f>
        <v>0</v>
      </c>
      <c r="BM594" s="23">
        <f>IF(Performance!$O$594="","",Performance!$O$594)</f>
        <v>0</v>
      </c>
      <c r="BN594" s="24">
        <f>IF(Performance!$AA$594="","",Performance!$AA$594)</f>
        <v>0</v>
      </c>
      <c r="BO594" s="32">
        <f>IF(BH594="","",IF(BK594="","",IF(OR(BK594&lt;DashStart,BK594&gt;DashEnd),"",IF(BN594="","",BN594+ROW()/1000000))))</f>
        <v>0</v>
      </c>
      <c r="BP594" s="32">
        <f>IF(BM594="","",IF(BK594="","",IF(OR(BK594&lt;DashStart,BK594&gt;DashEnd),"",BM594+ROW()/1000000)))</f>
        <v>0</v>
      </c>
      <c r="BQ594" s="32">
        <f>IF(BH594="","",IF(BK594="","",IF(YEAR(BK594)&lt;&gt;PlanYear,"",IF(BN594="","",BN594+ROW()/1000000))))</f>
        <v>0</v>
      </c>
      <c r="BR594" s="32">
        <f>IF(BH594="","",IF(BK594="","",IF(OR(BK594&lt;RepFrom,BK594&gt;RepTo),"",IF(BN594="","",BN594+ROW()/1000000))))</f>
        <v>0</v>
      </c>
      <c r="BS594" s="32">
        <f>IF(BM594="","",IF(BK594="","",IF(YEAR(BK594)&lt;&gt;PlanYear,"",BM594+ROW()/1000000)))</f>
        <v>0</v>
      </c>
      <c r="BT594" s="17">
        <f>IF(Lists!$F594="","",Lists!$F594)</f>
        <v>0</v>
      </c>
      <c r="BU594" s="23">
        <f>IF(BT594="","",COUNTIF('Content Calendar'!$X$5:$X$604,BT594))</f>
        <v>0</v>
      </c>
      <c r="BV594" s="23">
        <f>IF(BT594="","",COUNTIFS('Content Calendar'!$X$5:$X$604,BT594,'Content Calendar'!$B$5:$B$604,"&gt;="&amp;DashStart,'Content Calendar'!$B$5:$B$604,"&lt;="&amp;DashEnd))</f>
        <v>0</v>
      </c>
      <c r="BW594" s="17">
        <f>IF(Team!$B$594="","",Team!$B$594)</f>
        <v>0</v>
      </c>
      <c r="BX594" s="23">
        <f>IF(BW594="","",COUNTIF('Content Calendar'!$W$5:$W$604,BW594))</f>
        <v>0</v>
      </c>
      <c r="BY594" s="23">
        <f>IF(BW594="","",COUNTIFS('Content Calendar'!$W$5:$W$604,BW594,'Content Calendar'!$X$5:$X$604,"&lt;&gt;Published"))</f>
        <v>0</v>
      </c>
      <c r="BZ594" s="23">
        <f>IF(BW594="","",COUNTIFS(Tasks!$C$5:$C$64,BW594,Tasks!$G$5:$G$64,"&lt;&gt;Complete"))</f>
        <v>0</v>
      </c>
      <c r="CA594" s="17">
        <f>IF(Campaigns!$B$594="","",Campaigns!$B$594)</f>
        <v>0</v>
      </c>
      <c r="CB594" s="25">
        <f>IF(Campaigns!$T$594="","",Campaigns!$T$594)</f>
        <v>0</v>
      </c>
      <c r="CC594" s="25">
        <f>IF(Campaigns!$Q$594="","",Campaigns!$Q$594)</f>
        <v>0</v>
      </c>
      <c r="CD594" s="23">
        <f>IF(Campaigns!$Y$594="","",Campaigns!$Y$594)</f>
        <v>0</v>
      </c>
      <c r="CE594" s="32">
        <f>IF(CA594="","",IF(N(CB594)&lt;=0,"",N(CB594)+ROW()/1000000))</f>
        <v>0</v>
      </c>
      <c r="CF594" s="17">
        <f>IF(Accounts!$C$594="","",Accounts!$C$594)</f>
        <v>0</v>
      </c>
      <c r="CG594" s="17">
        <f>IF(Accounts!$B$594="","",Accounts!$B$594)</f>
        <v>0</v>
      </c>
      <c r="CH594" s="23">
        <f>IF(Accounts!$J$594="","",Accounts!$J$594)</f>
        <v>0</v>
      </c>
      <c r="CI594" s="23">
        <f>IF(CF594="","",SUMIFS(Analytics!$X$5:$X$154,Analytics!$E$5:$E$154,CF594,Analytics!$B$5:$B$154,"&gt;="&amp;DashStart,Analytics!$B$5:$B$154,"&lt;="&amp;DashEnd))</f>
        <v>0</v>
      </c>
      <c r="CJ594" s="32">
        <f>IF(CH594="","",IF(CH594=0,"",CH594+ROW()/1000000))</f>
        <v>0</v>
      </c>
    </row>
    <row r="595" spans="1:88">
      <c r="A595" s="16">
        <f>IF(ROW()-4&gt;12,"",DATE(PlanYear,ROW()-4,1))</f>
        <v>0</v>
      </c>
      <c r="B595" s="16">
        <f>IF(A595="","",EOMONTH(A595,0))</f>
        <v>0</v>
      </c>
      <c r="C595" s="17">
        <f>IF(A595="","",TEXT(A595,"yyyy-mm"))</f>
        <v>0</v>
      </c>
      <c r="D595" s="17">
        <f>IF(A595="","",TEXT(A595,"mmm"))</f>
        <v>0</v>
      </c>
      <c r="E595" s="23">
        <f>IF(C595="","",COUNTIFS('Content Calendar'!$D$5:$D$604,C595))</f>
        <v>0</v>
      </c>
      <c r="F595" s="23">
        <f>IF(C595="","",COUNTIFS('Content Calendar'!$D$5:$D$604,C595,'Content Calendar'!$X$5:$X$604,"Published"))</f>
        <v>0</v>
      </c>
      <c r="G595" s="23">
        <f>IF(C595="","",SUMIFS(Analytics!$J$5:$J$154,Analytics!$C$5:$C$154,C595))</f>
        <v>0</v>
      </c>
      <c r="H595" s="23">
        <f>IF(C595="","",SUMIFS(Analytics!$K$5:$K$154,Analytics!$C$5:$C$154,C595))</f>
        <v>0</v>
      </c>
      <c r="I595" s="23">
        <f>IF(C595="","",SUMIFS(Analytics!$L$5:$L$154,Analytics!$C$5:$C$154,C595))</f>
        <v>0</v>
      </c>
      <c r="J595" s="24">
        <f>IF(OR(G595="",G595=0),"",I595/G595)</f>
        <v>0</v>
      </c>
      <c r="K595" s="23">
        <f>IF(C595="","",SUMIFS(Analytics!$G$5:$G$154,Analytics!$C$5:$C$154,C595))</f>
        <v>0</v>
      </c>
      <c r="L595" s="23">
        <f>IF(C595="","",SUMIFS(Analytics!$X$5:$X$154,Analytics!$C$5:$C$154,C595))</f>
        <v>0</v>
      </c>
      <c r="M595" s="23">
        <f>IF(C595="","",SUMIFS(Analytics!$R$5:$R$154,Analytics!$C$5:$C$154,C595))</f>
        <v>0</v>
      </c>
      <c r="N595" s="23">
        <f>IF(C595="","",SUMIFS(Analytics!$S$5:$S$154,Analytics!$C$5:$C$154,C595))</f>
        <v>0</v>
      </c>
      <c r="O595" s="23">
        <f>IF(C595="","",SUMIFS(Analytics!$T$5:$T$154,Analytics!$C$5:$C$154,C595))</f>
        <v>0</v>
      </c>
      <c r="P595" s="25">
        <f>IF(C595="","",SUMIFS(Analytics!$U$5:$U$154,Analytics!$C$5:$C$154,C595))</f>
        <v>0</v>
      </c>
      <c r="Q595" s="25">
        <f>IF(C595="","",SUMIFS(Budget!$H$5:$H$64,Budget!$C$5:$C$64,C595))</f>
        <v>0</v>
      </c>
      <c r="R595" s="25">
        <f>IF(C595="","",P595-Q595)</f>
        <v>0</v>
      </c>
      <c r="S595" s="23">
        <f>IF(C595="","",MonthlyPostTarget)</f>
        <v>0</v>
      </c>
      <c r="T595" s="17">
        <f>IF(Lists!$C595="","",Lists!$C595)</f>
        <v>0</v>
      </c>
      <c r="U595" s="23">
        <f>IF(T595="","",COUNTIFS('Content Calendar'!$G$5:$G$604,T595,'Content Calendar'!$B$5:$B$604,"&gt;="&amp;DashStart,'Content Calendar'!$B$5:$B$604,"&lt;="&amp;DashEnd))</f>
        <v>0</v>
      </c>
      <c r="V595" s="23">
        <f>IF(T595="","",COUNTIFS('Content Calendar'!$G$5:$G$604,T595,'Content Calendar'!$X$5:$X$604,"Published",'Content Calendar'!$B$5:$B$604,"&gt;="&amp;DashStart,'Content Calendar'!$B$5:$B$604,"&lt;="&amp;DashEnd))</f>
        <v>0</v>
      </c>
      <c r="W595" s="23">
        <f>IF(T595="","",SUMIFS(Analytics!$J$5:$J$154,Analytics!$D$5:$D$154,T595,Analytics!$B$5:$B$154,"&gt;="&amp;DashStart,Analytics!$B$5:$B$154,"&lt;="&amp;DashEnd))</f>
        <v>0</v>
      </c>
      <c r="X595" s="23">
        <f>IF(T595="","",SUMIFS(Analytics!$L$5:$L$154,Analytics!$D$5:$D$154,T595,Analytics!$B$5:$B$154,"&gt;="&amp;DashStart,Analytics!$B$5:$B$154,"&lt;="&amp;DashEnd))</f>
        <v>0</v>
      </c>
      <c r="Y595" s="24">
        <f>IF(OR(W595="",W595=0),"",X595/W595)</f>
        <v>0</v>
      </c>
      <c r="Z595" s="23">
        <f>IF(T595="","",SUMIFS(Analytics!$G$5:$G$154,Analytics!$D$5:$D$154,T595,Analytics!$B$5:$B$154,"&gt;="&amp;DashStart,Analytics!$B$5:$B$154,"&lt;="&amp;DashEnd))</f>
        <v>0</v>
      </c>
      <c r="AA595" s="23">
        <f>IF(T595="","",SUMIFS(Analytics!$X$5:$X$154,Analytics!$D$5:$D$154,T595,Analytics!$B$5:$B$154,"&gt;="&amp;DashStart,Analytics!$B$5:$B$154,"&lt;="&amp;DashEnd))</f>
        <v>0</v>
      </c>
      <c r="AB595" s="23">
        <f>IF(T595="","",SUMIFS(Analytics!$R$5:$R$154,Analytics!$D$5:$D$154,T595,Analytics!$B$5:$B$154,"&gt;="&amp;DashStart,Analytics!$B$5:$B$154,"&lt;="&amp;DashEnd))</f>
        <v>0</v>
      </c>
      <c r="AC595" s="25">
        <f>IF(T595="","",SUMIFS(Analytics!$U$5:$U$154,Analytics!$D$5:$D$154,T595,Analytics!$B$5:$B$154,"&gt;="&amp;DashStart,Analytics!$B$5:$B$154,"&lt;="&amp;DashEnd))</f>
        <v>0</v>
      </c>
      <c r="AD595" s="23">
        <f>IF(T595="","",COUNTIFS('Content Calendar'!$G$5:$G$604,T595,'Content Calendar'!$B$5:$B$604,"&gt;="&amp;DATE(PlanYear,1,1),'Content Calendar'!$B$5:$B$604,"&lt;="&amp;DATE(PlanYear,12,31)))</f>
        <v>0</v>
      </c>
      <c r="AE595" s="23">
        <f>IF(T595="","",SUMIFS(Analytics!$J$5:$J$154,Analytics!$D$5:$D$154,T595))</f>
        <v>0</v>
      </c>
      <c r="AF595" s="23">
        <f>IF(T595="","",SUMIFS(Analytics!$L$5:$L$154,Analytics!$D$5:$D$154,T595))</f>
        <v>0</v>
      </c>
      <c r="AG595" s="24">
        <f>IF(OR(AE595="",AE595=0),"",AF595/AE595)</f>
        <v>0</v>
      </c>
      <c r="AH595" s="23">
        <f>IF(T595="","",SUMIFS(Analytics!$X$5:$X$154,Analytics!$D$5:$D$154,T595))</f>
        <v>0</v>
      </c>
      <c r="AI595" s="32">
        <f>IF(T595="","",IF(AE595=0,"",AE595+ROW()/1000000))</f>
        <v>0</v>
      </c>
      <c r="AJ595" s="17">
        <f>IF('Content Pillars'!$B$595="","",'Content Pillars'!$B$595)</f>
        <v>0</v>
      </c>
      <c r="AK595" s="23">
        <f>IF(AJ595="","",COUNTIFS('Content Calendar'!$J$5:$J$604,AJ595,'Content Calendar'!$B$5:$B$604,"&gt;="&amp;DATE(PlanYear,1,1),'Content Calendar'!$B$5:$B$604,"&lt;="&amp;DATE(PlanYear,12,31)))</f>
        <v>0</v>
      </c>
      <c r="AL595" s="23">
        <f>IF(AJ595="","",SUMIFS(Performance!$O$5:$O$404,Performance!$H$5:$H$404,AJ595))</f>
        <v>0</v>
      </c>
      <c r="AM595" s="23">
        <f>IF(AJ595="","",SUMIFS(Performance!$Z$5:$Z$404,Performance!$H$5:$H$404,AJ595))</f>
        <v>0</v>
      </c>
      <c r="AN595" s="24">
        <f>IF(OR(AL595="",AL595=0),"",AM595/AL595)</f>
        <v>0</v>
      </c>
      <c r="AO595" s="32">
        <f>IF(AN595="","",AN595+ROW()/1000000)</f>
        <v>0</v>
      </c>
      <c r="AP595" s="17">
        <f>IF(Lists!$E595="","",Lists!$E595)</f>
        <v>0</v>
      </c>
      <c r="AQ595" s="23">
        <f>IF(AP595="","",COUNTIF(Performance!$G$5:$G$404,AP595))</f>
        <v>0</v>
      </c>
      <c r="AR595" s="23">
        <f>IF(AP595="","",SUMIFS(Performance!$O$5:$O$404,Performance!$G$5:$G$404,AP595))</f>
        <v>0</v>
      </c>
      <c r="AS595" s="23">
        <f>IF(AP595="","",SUMIFS(Performance!$Z$5:$Z$404,Performance!$G$5:$G$404,AP595))</f>
        <v>0</v>
      </c>
      <c r="AT595" s="24">
        <f>IF(OR(AR595="",AR595=0),"",AS595/AR595)</f>
        <v>0</v>
      </c>
      <c r="AU595" s="32">
        <f>IF(AQ595=0,"",IF(AT595="","",AT595+ROW()/1000000))</f>
        <v>0</v>
      </c>
      <c r="AV595" s="17">
        <f>IF(ROW()-4&gt;7,"",TEXT(DATE(2024,1,ROW()-4),"ddd"))</f>
        <v>0</v>
      </c>
      <c r="AW595" s="23">
        <f>IF(AV595="","",COUNTIF(Performance!$N$5:$N$404,AV595))</f>
        <v>0</v>
      </c>
      <c r="AX595" s="23">
        <f>IF(AV595="","",SUMIFS(Performance!$O$5:$O$404,Performance!$N$5:$N$404,AV595))</f>
        <v>0</v>
      </c>
      <c r="AY595" s="23">
        <f>IF(AV595="","",SUMIFS(Performance!$Z$5:$Z$404,Performance!$N$5:$N$404,AV595))</f>
        <v>0</v>
      </c>
      <c r="AZ595" s="24">
        <f>IF(OR(AX595="",AX595=0),"",AY595/AX595)</f>
        <v>0</v>
      </c>
      <c r="BA595" s="32">
        <f>IF(AW595=0,"",IF(AZ595="","",AZ595+ROW()/1000000))</f>
        <v>0</v>
      </c>
      <c r="BB595" s="17">
        <f>IF(Lists!$AL595="","",Lists!$AL595)</f>
        <v>0</v>
      </c>
      <c r="BC595" s="23">
        <f>IF(BB595="","",COUNTIF(Performance!$M$5:$M$404,BB595))</f>
        <v>0</v>
      </c>
      <c r="BD595" s="23">
        <f>IF(BB595="","",SUMIFS(Performance!$O$5:$O$404,Performance!$M$5:$M$404,BB595))</f>
        <v>0</v>
      </c>
      <c r="BE595" s="23">
        <f>IF(BB595="","",SUMIFS(Performance!$Z$5:$Z$404,Performance!$M$5:$M$404,BB595))</f>
        <v>0</v>
      </c>
      <c r="BF595" s="24">
        <f>IF(OR(BD595="",BD595=0),"",BE595/BD595)</f>
        <v>0</v>
      </c>
      <c r="BG595" s="32">
        <f>IF(BC595=0,"",IF(BF595="","",BF595+ROW()/1000000))</f>
        <v>0</v>
      </c>
      <c r="BH595" s="17">
        <f>IF(Performance!$C$595="","",Performance!$C$595)</f>
        <v>0</v>
      </c>
      <c r="BI595" s="17">
        <f>IF(Performance!$F$595="","",Performance!$F$595)</f>
        <v>0</v>
      </c>
      <c r="BJ595" s="17">
        <f>IF(Performance!$H$595="","",Performance!$H$595)</f>
        <v>0</v>
      </c>
      <c r="BK595" s="16">
        <f>IF(Performance!$D$595="","",Performance!$D$595)</f>
        <v>0</v>
      </c>
      <c r="BL595" s="17">
        <f>IF(Performance!$E$595="","",Performance!$E$595)</f>
        <v>0</v>
      </c>
      <c r="BM595" s="23">
        <f>IF(Performance!$O$595="","",Performance!$O$595)</f>
        <v>0</v>
      </c>
      <c r="BN595" s="24">
        <f>IF(Performance!$AA$595="","",Performance!$AA$595)</f>
        <v>0</v>
      </c>
      <c r="BO595" s="32">
        <f>IF(BH595="","",IF(BK595="","",IF(OR(BK595&lt;DashStart,BK595&gt;DashEnd),"",IF(BN595="","",BN595+ROW()/1000000))))</f>
        <v>0</v>
      </c>
      <c r="BP595" s="32">
        <f>IF(BM595="","",IF(BK595="","",IF(OR(BK595&lt;DashStart,BK595&gt;DashEnd),"",BM595+ROW()/1000000)))</f>
        <v>0</v>
      </c>
      <c r="BQ595" s="32">
        <f>IF(BH595="","",IF(BK595="","",IF(YEAR(BK595)&lt;&gt;PlanYear,"",IF(BN595="","",BN595+ROW()/1000000))))</f>
        <v>0</v>
      </c>
      <c r="BR595" s="32">
        <f>IF(BH595="","",IF(BK595="","",IF(OR(BK595&lt;RepFrom,BK595&gt;RepTo),"",IF(BN595="","",BN595+ROW()/1000000))))</f>
        <v>0</v>
      </c>
      <c r="BS595" s="32">
        <f>IF(BM595="","",IF(BK595="","",IF(YEAR(BK595)&lt;&gt;PlanYear,"",BM595+ROW()/1000000)))</f>
        <v>0</v>
      </c>
      <c r="BT595" s="17">
        <f>IF(Lists!$F595="","",Lists!$F595)</f>
        <v>0</v>
      </c>
      <c r="BU595" s="23">
        <f>IF(BT595="","",COUNTIF('Content Calendar'!$X$5:$X$604,BT595))</f>
        <v>0</v>
      </c>
      <c r="BV595" s="23">
        <f>IF(BT595="","",COUNTIFS('Content Calendar'!$X$5:$X$604,BT595,'Content Calendar'!$B$5:$B$604,"&gt;="&amp;DashStart,'Content Calendar'!$B$5:$B$604,"&lt;="&amp;DashEnd))</f>
        <v>0</v>
      </c>
      <c r="BW595" s="17">
        <f>IF(Team!$B$595="","",Team!$B$595)</f>
        <v>0</v>
      </c>
      <c r="BX595" s="23">
        <f>IF(BW595="","",COUNTIF('Content Calendar'!$W$5:$W$604,BW595))</f>
        <v>0</v>
      </c>
      <c r="BY595" s="23">
        <f>IF(BW595="","",COUNTIFS('Content Calendar'!$W$5:$W$604,BW595,'Content Calendar'!$X$5:$X$604,"&lt;&gt;Published"))</f>
        <v>0</v>
      </c>
      <c r="BZ595" s="23">
        <f>IF(BW595="","",COUNTIFS(Tasks!$C$5:$C$64,BW595,Tasks!$G$5:$G$64,"&lt;&gt;Complete"))</f>
        <v>0</v>
      </c>
      <c r="CA595" s="17">
        <f>IF(Campaigns!$B$595="","",Campaigns!$B$595)</f>
        <v>0</v>
      </c>
      <c r="CB595" s="25">
        <f>IF(Campaigns!$T$595="","",Campaigns!$T$595)</f>
        <v>0</v>
      </c>
      <c r="CC595" s="25">
        <f>IF(Campaigns!$Q$595="","",Campaigns!$Q$595)</f>
        <v>0</v>
      </c>
      <c r="CD595" s="23">
        <f>IF(Campaigns!$Y$595="","",Campaigns!$Y$595)</f>
        <v>0</v>
      </c>
      <c r="CE595" s="32">
        <f>IF(CA595="","",IF(N(CB595)&lt;=0,"",N(CB595)+ROW()/1000000))</f>
        <v>0</v>
      </c>
      <c r="CF595" s="17">
        <f>IF(Accounts!$C$595="","",Accounts!$C$595)</f>
        <v>0</v>
      </c>
      <c r="CG595" s="17">
        <f>IF(Accounts!$B$595="","",Accounts!$B$595)</f>
        <v>0</v>
      </c>
      <c r="CH595" s="23">
        <f>IF(Accounts!$J$595="","",Accounts!$J$595)</f>
        <v>0</v>
      </c>
      <c r="CI595" s="23">
        <f>IF(CF595="","",SUMIFS(Analytics!$X$5:$X$154,Analytics!$E$5:$E$154,CF595,Analytics!$B$5:$B$154,"&gt;="&amp;DashStart,Analytics!$B$5:$B$154,"&lt;="&amp;DashEnd))</f>
        <v>0</v>
      </c>
      <c r="CJ595" s="32">
        <f>IF(CH595="","",IF(CH595=0,"",CH595+ROW()/1000000))</f>
        <v>0</v>
      </c>
    </row>
    <row r="596" spans="1:88">
      <c r="A596" s="16">
        <f>IF(ROW()-4&gt;12,"",DATE(PlanYear,ROW()-4,1))</f>
        <v>0</v>
      </c>
      <c r="B596" s="16">
        <f>IF(A596="","",EOMONTH(A596,0))</f>
        <v>0</v>
      </c>
      <c r="C596" s="17">
        <f>IF(A596="","",TEXT(A596,"yyyy-mm"))</f>
        <v>0</v>
      </c>
      <c r="D596" s="17">
        <f>IF(A596="","",TEXT(A596,"mmm"))</f>
        <v>0</v>
      </c>
      <c r="E596" s="23">
        <f>IF(C596="","",COUNTIFS('Content Calendar'!$D$5:$D$604,C596))</f>
        <v>0</v>
      </c>
      <c r="F596" s="23">
        <f>IF(C596="","",COUNTIFS('Content Calendar'!$D$5:$D$604,C596,'Content Calendar'!$X$5:$X$604,"Published"))</f>
        <v>0</v>
      </c>
      <c r="G596" s="23">
        <f>IF(C596="","",SUMIFS(Analytics!$J$5:$J$154,Analytics!$C$5:$C$154,C596))</f>
        <v>0</v>
      </c>
      <c r="H596" s="23">
        <f>IF(C596="","",SUMIFS(Analytics!$K$5:$K$154,Analytics!$C$5:$C$154,C596))</f>
        <v>0</v>
      </c>
      <c r="I596" s="23">
        <f>IF(C596="","",SUMIFS(Analytics!$L$5:$L$154,Analytics!$C$5:$C$154,C596))</f>
        <v>0</v>
      </c>
      <c r="J596" s="24">
        <f>IF(OR(G596="",G596=0),"",I596/G596)</f>
        <v>0</v>
      </c>
      <c r="K596" s="23">
        <f>IF(C596="","",SUMIFS(Analytics!$G$5:$G$154,Analytics!$C$5:$C$154,C596))</f>
        <v>0</v>
      </c>
      <c r="L596" s="23">
        <f>IF(C596="","",SUMIFS(Analytics!$X$5:$X$154,Analytics!$C$5:$C$154,C596))</f>
        <v>0</v>
      </c>
      <c r="M596" s="23">
        <f>IF(C596="","",SUMIFS(Analytics!$R$5:$R$154,Analytics!$C$5:$C$154,C596))</f>
        <v>0</v>
      </c>
      <c r="N596" s="23">
        <f>IF(C596="","",SUMIFS(Analytics!$S$5:$S$154,Analytics!$C$5:$C$154,C596))</f>
        <v>0</v>
      </c>
      <c r="O596" s="23">
        <f>IF(C596="","",SUMIFS(Analytics!$T$5:$T$154,Analytics!$C$5:$C$154,C596))</f>
        <v>0</v>
      </c>
      <c r="P596" s="25">
        <f>IF(C596="","",SUMIFS(Analytics!$U$5:$U$154,Analytics!$C$5:$C$154,C596))</f>
        <v>0</v>
      </c>
      <c r="Q596" s="25">
        <f>IF(C596="","",SUMIFS(Budget!$H$5:$H$64,Budget!$C$5:$C$64,C596))</f>
        <v>0</v>
      </c>
      <c r="R596" s="25">
        <f>IF(C596="","",P596-Q596)</f>
        <v>0</v>
      </c>
      <c r="S596" s="23">
        <f>IF(C596="","",MonthlyPostTarget)</f>
        <v>0</v>
      </c>
      <c r="T596" s="17">
        <f>IF(Lists!$C596="","",Lists!$C596)</f>
        <v>0</v>
      </c>
      <c r="U596" s="23">
        <f>IF(T596="","",COUNTIFS('Content Calendar'!$G$5:$G$604,T596,'Content Calendar'!$B$5:$B$604,"&gt;="&amp;DashStart,'Content Calendar'!$B$5:$B$604,"&lt;="&amp;DashEnd))</f>
        <v>0</v>
      </c>
      <c r="V596" s="23">
        <f>IF(T596="","",COUNTIFS('Content Calendar'!$G$5:$G$604,T596,'Content Calendar'!$X$5:$X$604,"Published",'Content Calendar'!$B$5:$B$604,"&gt;="&amp;DashStart,'Content Calendar'!$B$5:$B$604,"&lt;="&amp;DashEnd))</f>
        <v>0</v>
      </c>
      <c r="W596" s="23">
        <f>IF(T596="","",SUMIFS(Analytics!$J$5:$J$154,Analytics!$D$5:$D$154,T596,Analytics!$B$5:$B$154,"&gt;="&amp;DashStart,Analytics!$B$5:$B$154,"&lt;="&amp;DashEnd))</f>
        <v>0</v>
      </c>
      <c r="X596" s="23">
        <f>IF(T596="","",SUMIFS(Analytics!$L$5:$L$154,Analytics!$D$5:$D$154,T596,Analytics!$B$5:$B$154,"&gt;="&amp;DashStart,Analytics!$B$5:$B$154,"&lt;="&amp;DashEnd))</f>
        <v>0</v>
      </c>
      <c r="Y596" s="24">
        <f>IF(OR(W596="",W596=0),"",X596/W596)</f>
        <v>0</v>
      </c>
      <c r="Z596" s="23">
        <f>IF(T596="","",SUMIFS(Analytics!$G$5:$G$154,Analytics!$D$5:$D$154,T596,Analytics!$B$5:$B$154,"&gt;="&amp;DashStart,Analytics!$B$5:$B$154,"&lt;="&amp;DashEnd))</f>
        <v>0</v>
      </c>
      <c r="AA596" s="23">
        <f>IF(T596="","",SUMIFS(Analytics!$X$5:$X$154,Analytics!$D$5:$D$154,T596,Analytics!$B$5:$B$154,"&gt;="&amp;DashStart,Analytics!$B$5:$B$154,"&lt;="&amp;DashEnd))</f>
        <v>0</v>
      </c>
      <c r="AB596" s="23">
        <f>IF(T596="","",SUMIFS(Analytics!$R$5:$R$154,Analytics!$D$5:$D$154,T596,Analytics!$B$5:$B$154,"&gt;="&amp;DashStart,Analytics!$B$5:$B$154,"&lt;="&amp;DashEnd))</f>
        <v>0</v>
      </c>
      <c r="AC596" s="25">
        <f>IF(T596="","",SUMIFS(Analytics!$U$5:$U$154,Analytics!$D$5:$D$154,T596,Analytics!$B$5:$B$154,"&gt;="&amp;DashStart,Analytics!$B$5:$B$154,"&lt;="&amp;DashEnd))</f>
        <v>0</v>
      </c>
      <c r="AD596" s="23">
        <f>IF(T596="","",COUNTIFS('Content Calendar'!$G$5:$G$604,T596,'Content Calendar'!$B$5:$B$604,"&gt;="&amp;DATE(PlanYear,1,1),'Content Calendar'!$B$5:$B$604,"&lt;="&amp;DATE(PlanYear,12,31)))</f>
        <v>0</v>
      </c>
      <c r="AE596" s="23">
        <f>IF(T596="","",SUMIFS(Analytics!$J$5:$J$154,Analytics!$D$5:$D$154,T596))</f>
        <v>0</v>
      </c>
      <c r="AF596" s="23">
        <f>IF(T596="","",SUMIFS(Analytics!$L$5:$L$154,Analytics!$D$5:$D$154,T596))</f>
        <v>0</v>
      </c>
      <c r="AG596" s="24">
        <f>IF(OR(AE596="",AE596=0),"",AF596/AE596)</f>
        <v>0</v>
      </c>
      <c r="AH596" s="23">
        <f>IF(T596="","",SUMIFS(Analytics!$X$5:$X$154,Analytics!$D$5:$D$154,T596))</f>
        <v>0</v>
      </c>
      <c r="AI596" s="32">
        <f>IF(T596="","",IF(AE596=0,"",AE596+ROW()/1000000))</f>
        <v>0</v>
      </c>
      <c r="AJ596" s="17">
        <f>IF('Content Pillars'!$B$596="","",'Content Pillars'!$B$596)</f>
        <v>0</v>
      </c>
      <c r="AK596" s="23">
        <f>IF(AJ596="","",COUNTIFS('Content Calendar'!$J$5:$J$604,AJ596,'Content Calendar'!$B$5:$B$604,"&gt;="&amp;DATE(PlanYear,1,1),'Content Calendar'!$B$5:$B$604,"&lt;="&amp;DATE(PlanYear,12,31)))</f>
        <v>0</v>
      </c>
      <c r="AL596" s="23">
        <f>IF(AJ596="","",SUMIFS(Performance!$O$5:$O$404,Performance!$H$5:$H$404,AJ596))</f>
        <v>0</v>
      </c>
      <c r="AM596" s="23">
        <f>IF(AJ596="","",SUMIFS(Performance!$Z$5:$Z$404,Performance!$H$5:$H$404,AJ596))</f>
        <v>0</v>
      </c>
      <c r="AN596" s="24">
        <f>IF(OR(AL596="",AL596=0),"",AM596/AL596)</f>
        <v>0</v>
      </c>
      <c r="AO596" s="32">
        <f>IF(AN596="","",AN596+ROW()/1000000)</f>
        <v>0</v>
      </c>
      <c r="AP596" s="17">
        <f>IF(Lists!$E596="","",Lists!$E596)</f>
        <v>0</v>
      </c>
      <c r="AQ596" s="23">
        <f>IF(AP596="","",COUNTIF(Performance!$G$5:$G$404,AP596))</f>
        <v>0</v>
      </c>
      <c r="AR596" s="23">
        <f>IF(AP596="","",SUMIFS(Performance!$O$5:$O$404,Performance!$G$5:$G$404,AP596))</f>
        <v>0</v>
      </c>
      <c r="AS596" s="23">
        <f>IF(AP596="","",SUMIFS(Performance!$Z$5:$Z$404,Performance!$G$5:$G$404,AP596))</f>
        <v>0</v>
      </c>
      <c r="AT596" s="24">
        <f>IF(OR(AR596="",AR596=0),"",AS596/AR596)</f>
        <v>0</v>
      </c>
      <c r="AU596" s="32">
        <f>IF(AQ596=0,"",IF(AT596="","",AT596+ROW()/1000000))</f>
        <v>0</v>
      </c>
      <c r="AV596" s="17">
        <f>IF(ROW()-4&gt;7,"",TEXT(DATE(2024,1,ROW()-4),"ddd"))</f>
        <v>0</v>
      </c>
      <c r="AW596" s="23">
        <f>IF(AV596="","",COUNTIF(Performance!$N$5:$N$404,AV596))</f>
        <v>0</v>
      </c>
      <c r="AX596" s="23">
        <f>IF(AV596="","",SUMIFS(Performance!$O$5:$O$404,Performance!$N$5:$N$404,AV596))</f>
        <v>0</v>
      </c>
      <c r="AY596" s="23">
        <f>IF(AV596="","",SUMIFS(Performance!$Z$5:$Z$404,Performance!$N$5:$N$404,AV596))</f>
        <v>0</v>
      </c>
      <c r="AZ596" s="24">
        <f>IF(OR(AX596="",AX596=0),"",AY596/AX596)</f>
        <v>0</v>
      </c>
      <c r="BA596" s="32">
        <f>IF(AW596=0,"",IF(AZ596="","",AZ596+ROW()/1000000))</f>
        <v>0</v>
      </c>
      <c r="BB596" s="17">
        <f>IF(Lists!$AL596="","",Lists!$AL596)</f>
        <v>0</v>
      </c>
      <c r="BC596" s="23">
        <f>IF(BB596="","",COUNTIF(Performance!$M$5:$M$404,BB596))</f>
        <v>0</v>
      </c>
      <c r="BD596" s="23">
        <f>IF(BB596="","",SUMIFS(Performance!$O$5:$O$404,Performance!$M$5:$M$404,BB596))</f>
        <v>0</v>
      </c>
      <c r="BE596" s="23">
        <f>IF(BB596="","",SUMIFS(Performance!$Z$5:$Z$404,Performance!$M$5:$M$404,BB596))</f>
        <v>0</v>
      </c>
      <c r="BF596" s="24">
        <f>IF(OR(BD596="",BD596=0),"",BE596/BD596)</f>
        <v>0</v>
      </c>
      <c r="BG596" s="32">
        <f>IF(BC596=0,"",IF(BF596="","",BF596+ROW()/1000000))</f>
        <v>0</v>
      </c>
      <c r="BH596" s="17">
        <f>IF(Performance!$C$596="","",Performance!$C$596)</f>
        <v>0</v>
      </c>
      <c r="BI596" s="17">
        <f>IF(Performance!$F$596="","",Performance!$F$596)</f>
        <v>0</v>
      </c>
      <c r="BJ596" s="17">
        <f>IF(Performance!$H$596="","",Performance!$H$596)</f>
        <v>0</v>
      </c>
      <c r="BK596" s="16">
        <f>IF(Performance!$D$596="","",Performance!$D$596)</f>
        <v>0</v>
      </c>
      <c r="BL596" s="17">
        <f>IF(Performance!$E$596="","",Performance!$E$596)</f>
        <v>0</v>
      </c>
      <c r="BM596" s="23">
        <f>IF(Performance!$O$596="","",Performance!$O$596)</f>
        <v>0</v>
      </c>
      <c r="BN596" s="24">
        <f>IF(Performance!$AA$596="","",Performance!$AA$596)</f>
        <v>0</v>
      </c>
      <c r="BO596" s="32">
        <f>IF(BH596="","",IF(BK596="","",IF(OR(BK596&lt;DashStart,BK596&gt;DashEnd),"",IF(BN596="","",BN596+ROW()/1000000))))</f>
        <v>0</v>
      </c>
      <c r="BP596" s="32">
        <f>IF(BM596="","",IF(BK596="","",IF(OR(BK596&lt;DashStart,BK596&gt;DashEnd),"",BM596+ROW()/1000000)))</f>
        <v>0</v>
      </c>
      <c r="BQ596" s="32">
        <f>IF(BH596="","",IF(BK596="","",IF(YEAR(BK596)&lt;&gt;PlanYear,"",IF(BN596="","",BN596+ROW()/1000000))))</f>
        <v>0</v>
      </c>
      <c r="BR596" s="32">
        <f>IF(BH596="","",IF(BK596="","",IF(OR(BK596&lt;RepFrom,BK596&gt;RepTo),"",IF(BN596="","",BN596+ROW()/1000000))))</f>
        <v>0</v>
      </c>
      <c r="BS596" s="32">
        <f>IF(BM596="","",IF(BK596="","",IF(YEAR(BK596)&lt;&gt;PlanYear,"",BM596+ROW()/1000000)))</f>
        <v>0</v>
      </c>
      <c r="BT596" s="17">
        <f>IF(Lists!$F596="","",Lists!$F596)</f>
        <v>0</v>
      </c>
      <c r="BU596" s="23">
        <f>IF(BT596="","",COUNTIF('Content Calendar'!$X$5:$X$604,BT596))</f>
        <v>0</v>
      </c>
      <c r="BV596" s="23">
        <f>IF(BT596="","",COUNTIFS('Content Calendar'!$X$5:$X$604,BT596,'Content Calendar'!$B$5:$B$604,"&gt;="&amp;DashStart,'Content Calendar'!$B$5:$B$604,"&lt;="&amp;DashEnd))</f>
        <v>0</v>
      </c>
      <c r="BW596" s="17">
        <f>IF(Team!$B$596="","",Team!$B$596)</f>
        <v>0</v>
      </c>
      <c r="BX596" s="23">
        <f>IF(BW596="","",COUNTIF('Content Calendar'!$W$5:$W$604,BW596))</f>
        <v>0</v>
      </c>
      <c r="BY596" s="23">
        <f>IF(BW596="","",COUNTIFS('Content Calendar'!$W$5:$W$604,BW596,'Content Calendar'!$X$5:$X$604,"&lt;&gt;Published"))</f>
        <v>0</v>
      </c>
      <c r="BZ596" s="23">
        <f>IF(BW596="","",COUNTIFS(Tasks!$C$5:$C$64,BW596,Tasks!$G$5:$G$64,"&lt;&gt;Complete"))</f>
        <v>0</v>
      </c>
      <c r="CA596" s="17">
        <f>IF(Campaigns!$B$596="","",Campaigns!$B$596)</f>
        <v>0</v>
      </c>
      <c r="CB596" s="25">
        <f>IF(Campaigns!$T$596="","",Campaigns!$T$596)</f>
        <v>0</v>
      </c>
      <c r="CC596" s="25">
        <f>IF(Campaigns!$Q$596="","",Campaigns!$Q$596)</f>
        <v>0</v>
      </c>
      <c r="CD596" s="23">
        <f>IF(Campaigns!$Y$596="","",Campaigns!$Y$596)</f>
        <v>0</v>
      </c>
      <c r="CE596" s="32">
        <f>IF(CA596="","",IF(N(CB596)&lt;=0,"",N(CB596)+ROW()/1000000))</f>
        <v>0</v>
      </c>
      <c r="CF596" s="17">
        <f>IF(Accounts!$C$596="","",Accounts!$C$596)</f>
        <v>0</v>
      </c>
      <c r="CG596" s="17">
        <f>IF(Accounts!$B$596="","",Accounts!$B$596)</f>
        <v>0</v>
      </c>
      <c r="CH596" s="23">
        <f>IF(Accounts!$J$596="","",Accounts!$J$596)</f>
        <v>0</v>
      </c>
      <c r="CI596" s="23">
        <f>IF(CF596="","",SUMIFS(Analytics!$X$5:$X$154,Analytics!$E$5:$E$154,CF596,Analytics!$B$5:$B$154,"&gt;="&amp;DashStart,Analytics!$B$5:$B$154,"&lt;="&amp;DashEnd))</f>
        <v>0</v>
      </c>
      <c r="CJ596" s="32">
        <f>IF(CH596="","",IF(CH596=0,"",CH596+ROW()/1000000))</f>
        <v>0</v>
      </c>
    </row>
    <row r="597" spans="1:88">
      <c r="A597" s="16">
        <f>IF(ROW()-4&gt;12,"",DATE(PlanYear,ROW()-4,1))</f>
        <v>0</v>
      </c>
      <c r="B597" s="16">
        <f>IF(A597="","",EOMONTH(A597,0))</f>
        <v>0</v>
      </c>
      <c r="C597" s="17">
        <f>IF(A597="","",TEXT(A597,"yyyy-mm"))</f>
        <v>0</v>
      </c>
      <c r="D597" s="17">
        <f>IF(A597="","",TEXT(A597,"mmm"))</f>
        <v>0</v>
      </c>
      <c r="E597" s="23">
        <f>IF(C597="","",COUNTIFS('Content Calendar'!$D$5:$D$604,C597))</f>
        <v>0</v>
      </c>
      <c r="F597" s="23">
        <f>IF(C597="","",COUNTIFS('Content Calendar'!$D$5:$D$604,C597,'Content Calendar'!$X$5:$X$604,"Published"))</f>
        <v>0</v>
      </c>
      <c r="G597" s="23">
        <f>IF(C597="","",SUMIFS(Analytics!$J$5:$J$154,Analytics!$C$5:$C$154,C597))</f>
        <v>0</v>
      </c>
      <c r="H597" s="23">
        <f>IF(C597="","",SUMIFS(Analytics!$K$5:$K$154,Analytics!$C$5:$C$154,C597))</f>
        <v>0</v>
      </c>
      <c r="I597" s="23">
        <f>IF(C597="","",SUMIFS(Analytics!$L$5:$L$154,Analytics!$C$5:$C$154,C597))</f>
        <v>0</v>
      </c>
      <c r="J597" s="24">
        <f>IF(OR(G597="",G597=0),"",I597/G597)</f>
        <v>0</v>
      </c>
      <c r="K597" s="23">
        <f>IF(C597="","",SUMIFS(Analytics!$G$5:$G$154,Analytics!$C$5:$C$154,C597))</f>
        <v>0</v>
      </c>
      <c r="L597" s="23">
        <f>IF(C597="","",SUMIFS(Analytics!$X$5:$X$154,Analytics!$C$5:$C$154,C597))</f>
        <v>0</v>
      </c>
      <c r="M597" s="23">
        <f>IF(C597="","",SUMIFS(Analytics!$R$5:$R$154,Analytics!$C$5:$C$154,C597))</f>
        <v>0</v>
      </c>
      <c r="N597" s="23">
        <f>IF(C597="","",SUMIFS(Analytics!$S$5:$S$154,Analytics!$C$5:$C$154,C597))</f>
        <v>0</v>
      </c>
      <c r="O597" s="23">
        <f>IF(C597="","",SUMIFS(Analytics!$T$5:$T$154,Analytics!$C$5:$C$154,C597))</f>
        <v>0</v>
      </c>
      <c r="P597" s="25">
        <f>IF(C597="","",SUMIFS(Analytics!$U$5:$U$154,Analytics!$C$5:$C$154,C597))</f>
        <v>0</v>
      </c>
      <c r="Q597" s="25">
        <f>IF(C597="","",SUMIFS(Budget!$H$5:$H$64,Budget!$C$5:$C$64,C597))</f>
        <v>0</v>
      </c>
      <c r="R597" s="25">
        <f>IF(C597="","",P597-Q597)</f>
        <v>0</v>
      </c>
      <c r="S597" s="23">
        <f>IF(C597="","",MonthlyPostTarget)</f>
        <v>0</v>
      </c>
      <c r="T597" s="17">
        <f>IF(Lists!$C597="","",Lists!$C597)</f>
        <v>0</v>
      </c>
      <c r="U597" s="23">
        <f>IF(T597="","",COUNTIFS('Content Calendar'!$G$5:$G$604,T597,'Content Calendar'!$B$5:$B$604,"&gt;="&amp;DashStart,'Content Calendar'!$B$5:$B$604,"&lt;="&amp;DashEnd))</f>
        <v>0</v>
      </c>
      <c r="V597" s="23">
        <f>IF(T597="","",COUNTIFS('Content Calendar'!$G$5:$G$604,T597,'Content Calendar'!$X$5:$X$604,"Published",'Content Calendar'!$B$5:$B$604,"&gt;="&amp;DashStart,'Content Calendar'!$B$5:$B$604,"&lt;="&amp;DashEnd))</f>
        <v>0</v>
      </c>
      <c r="W597" s="23">
        <f>IF(T597="","",SUMIFS(Analytics!$J$5:$J$154,Analytics!$D$5:$D$154,T597,Analytics!$B$5:$B$154,"&gt;="&amp;DashStart,Analytics!$B$5:$B$154,"&lt;="&amp;DashEnd))</f>
        <v>0</v>
      </c>
      <c r="X597" s="23">
        <f>IF(T597="","",SUMIFS(Analytics!$L$5:$L$154,Analytics!$D$5:$D$154,T597,Analytics!$B$5:$B$154,"&gt;="&amp;DashStart,Analytics!$B$5:$B$154,"&lt;="&amp;DashEnd))</f>
        <v>0</v>
      </c>
      <c r="Y597" s="24">
        <f>IF(OR(W597="",W597=0),"",X597/W597)</f>
        <v>0</v>
      </c>
      <c r="Z597" s="23">
        <f>IF(T597="","",SUMIFS(Analytics!$G$5:$G$154,Analytics!$D$5:$D$154,T597,Analytics!$B$5:$B$154,"&gt;="&amp;DashStart,Analytics!$B$5:$B$154,"&lt;="&amp;DashEnd))</f>
        <v>0</v>
      </c>
      <c r="AA597" s="23">
        <f>IF(T597="","",SUMIFS(Analytics!$X$5:$X$154,Analytics!$D$5:$D$154,T597,Analytics!$B$5:$B$154,"&gt;="&amp;DashStart,Analytics!$B$5:$B$154,"&lt;="&amp;DashEnd))</f>
        <v>0</v>
      </c>
      <c r="AB597" s="23">
        <f>IF(T597="","",SUMIFS(Analytics!$R$5:$R$154,Analytics!$D$5:$D$154,T597,Analytics!$B$5:$B$154,"&gt;="&amp;DashStart,Analytics!$B$5:$B$154,"&lt;="&amp;DashEnd))</f>
        <v>0</v>
      </c>
      <c r="AC597" s="25">
        <f>IF(T597="","",SUMIFS(Analytics!$U$5:$U$154,Analytics!$D$5:$D$154,T597,Analytics!$B$5:$B$154,"&gt;="&amp;DashStart,Analytics!$B$5:$B$154,"&lt;="&amp;DashEnd))</f>
        <v>0</v>
      </c>
      <c r="AD597" s="23">
        <f>IF(T597="","",COUNTIFS('Content Calendar'!$G$5:$G$604,T597,'Content Calendar'!$B$5:$B$604,"&gt;="&amp;DATE(PlanYear,1,1),'Content Calendar'!$B$5:$B$604,"&lt;="&amp;DATE(PlanYear,12,31)))</f>
        <v>0</v>
      </c>
      <c r="AE597" s="23">
        <f>IF(T597="","",SUMIFS(Analytics!$J$5:$J$154,Analytics!$D$5:$D$154,T597))</f>
        <v>0</v>
      </c>
      <c r="AF597" s="23">
        <f>IF(T597="","",SUMIFS(Analytics!$L$5:$L$154,Analytics!$D$5:$D$154,T597))</f>
        <v>0</v>
      </c>
      <c r="AG597" s="24">
        <f>IF(OR(AE597="",AE597=0),"",AF597/AE597)</f>
        <v>0</v>
      </c>
      <c r="AH597" s="23">
        <f>IF(T597="","",SUMIFS(Analytics!$X$5:$X$154,Analytics!$D$5:$D$154,T597))</f>
        <v>0</v>
      </c>
      <c r="AI597" s="32">
        <f>IF(T597="","",IF(AE597=0,"",AE597+ROW()/1000000))</f>
        <v>0</v>
      </c>
      <c r="AJ597" s="17">
        <f>IF('Content Pillars'!$B$597="","",'Content Pillars'!$B$597)</f>
        <v>0</v>
      </c>
      <c r="AK597" s="23">
        <f>IF(AJ597="","",COUNTIFS('Content Calendar'!$J$5:$J$604,AJ597,'Content Calendar'!$B$5:$B$604,"&gt;="&amp;DATE(PlanYear,1,1),'Content Calendar'!$B$5:$B$604,"&lt;="&amp;DATE(PlanYear,12,31)))</f>
        <v>0</v>
      </c>
      <c r="AL597" s="23">
        <f>IF(AJ597="","",SUMIFS(Performance!$O$5:$O$404,Performance!$H$5:$H$404,AJ597))</f>
        <v>0</v>
      </c>
      <c r="AM597" s="23">
        <f>IF(AJ597="","",SUMIFS(Performance!$Z$5:$Z$404,Performance!$H$5:$H$404,AJ597))</f>
        <v>0</v>
      </c>
      <c r="AN597" s="24">
        <f>IF(OR(AL597="",AL597=0),"",AM597/AL597)</f>
        <v>0</v>
      </c>
      <c r="AO597" s="32">
        <f>IF(AN597="","",AN597+ROW()/1000000)</f>
        <v>0</v>
      </c>
      <c r="AP597" s="17">
        <f>IF(Lists!$E597="","",Lists!$E597)</f>
        <v>0</v>
      </c>
      <c r="AQ597" s="23">
        <f>IF(AP597="","",COUNTIF(Performance!$G$5:$G$404,AP597))</f>
        <v>0</v>
      </c>
      <c r="AR597" s="23">
        <f>IF(AP597="","",SUMIFS(Performance!$O$5:$O$404,Performance!$G$5:$G$404,AP597))</f>
        <v>0</v>
      </c>
      <c r="AS597" s="23">
        <f>IF(AP597="","",SUMIFS(Performance!$Z$5:$Z$404,Performance!$G$5:$G$404,AP597))</f>
        <v>0</v>
      </c>
      <c r="AT597" s="24">
        <f>IF(OR(AR597="",AR597=0),"",AS597/AR597)</f>
        <v>0</v>
      </c>
      <c r="AU597" s="32">
        <f>IF(AQ597=0,"",IF(AT597="","",AT597+ROW()/1000000))</f>
        <v>0</v>
      </c>
      <c r="AV597" s="17">
        <f>IF(ROW()-4&gt;7,"",TEXT(DATE(2024,1,ROW()-4),"ddd"))</f>
        <v>0</v>
      </c>
      <c r="AW597" s="23">
        <f>IF(AV597="","",COUNTIF(Performance!$N$5:$N$404,AV597))</f>
        <v>0</v>
      </c>
      <c r="AX597" s="23">
        <f>IF(AV597="","",SUMIFS(Performance!$O$5:$O$404,Performance!$N$5:$N$404,AV597))</f>
        <v>0</v>
      </c>
      <c r="AY597" s="23">
        <f>IF(AV597="","",SUMIFS(Performance!$Z$5:$Z$404,Performance!$N$5:$N$404,AV597))</f>
        <v>0</v>
      </c>
      <c r="AZ597" s="24">
        <f>IF(OR(AX597="",AX597=0),"",AY597/AX597)</f>
        <v>0</v>
      </c>
      <c r="BA597" s="32">
        <f>IF(AW597=0,"",IF(AZ597="","",AZ597+ROW()/1000000))</f>
        <v>0</v>
      </c>
      <c r="BB597" s="17">
        <f>IF(Lists!$AL597="","",Lists!$AL597)</f>
        <v>0</v>
      </c>
      <c r="BC597" s="23">
        <f>IF(BB597="","",COUNTIF(Performance!$M$5:$M$404,BB597))</f>
        <v>0</v>
      </c>
      <c r="BD597" s="23">
        <f>IF(BB597="","",SUMIFS(Performance!$O$5:$O$404,Performance!$M$5:$M$404,BB597))</f>
        <v>0</v>
      </c>
      <c r="BE597" s="23">
        <f>IF(BB597="","",SUMIFS(Performance!$Z$5:$Z$404,Performance!$M$5:$M$404,BB597))</f>
        <v>0</v>
      </c>
      <c r="BF597" s="24">
        <f>IF(OR(BD597="",BD597=0),"",BE597/BD597)</f>
        <v>0</v>
      </c>
      <c r="BG597" s="32">
        <f>IF(BC597=0,"",IF(BF597="","",BF597+ROW()/1000000))</f>
        <v>0</v>
      </c>
      <c r="BH597" s="17">
        <f>IF(Performance!$C$597="","",Performance!$C$597)</f>
        <v>0</v>
      </c>
      <c r="BI597" s="17">
        <f>IF(Performance!$F$597="","",Performance!$F$597)</f>
        <v>0</v>
      </c>
      <c r="BJ597" s="17">
        <f>IF(Performance!$H$597="","",Performance!$H$597)</f>
        <v>0</v>
      </c>
      <c r="BK597" s="16">
        <f>IF(Performance!$D$597="","",Performance!$D$597)</f>
        <v>0</v>
      </c>
      <c r="BL597" s="17">
        <f>IF(Performance!$E$597="","",Performance!$E$597)</f>
        <v>0</v>
      </c>
      <c r="BM597" s="23">
        <f>IF(Performance!$O$597="","",Performance!$O$597)</f>
        <v>0</v>
      </c>
      <c r="BN597" s="24">
        <f>IF(Performance!$AA$597="","",Performance!$AA$597)</f>
        <v>0</v>
      </c>
      <c r="BO597" s="32">
        <f>IF(BH597="","",IF(BK597="","",IF(OR(BK597&lt;DashStart,BK597&gt;DashEnd),"",IF(BN597="","",BN597+ROW()/1000000))))</f>
        <v>0</v>
      </c>
      <c r="BP597" s="32">
        <f>IF(BM597="","",IF(BK597="","",IF(OR(BK597&lt;DashStart,BK597&gt;DashEnd),"",BM597+ROW()/1000000)))</f>
        <v>0</v>
      </c>
      <c r="BQ597" s="32">
        <f>IF(BH597="","",IF(BK597="","",IF(YEAR(BK597)&lt;&gt;PlanYear,"",IF(BN597="","",BN597+ROW()/1000000))))</f>
        <v>0</v>
      </c>
      <c r="BR597" s="32">
        <f>IF(BH597="","",IF(BK597="","",IF(OR(BK597&lt;RepFrom,BK597&gt;RepTo),"",IF(BN597="","",BN597+ROW()/1000000))))</f>
        <v>0</v>
      </c>
      <c r="BS597" s="32">
        <f>IF(BM597="","",IF(BK597="","",IF(YEAR(BK597)&lt;&gt;PlanYear,"",BM597+ROW()/1000000)))</f>
        <v>0</v>
      </c>
      <c r="BT597" s="17">
        <f>IF(Lists!$F597="","",Lists!$F597)</f>
        <v>0</v>
      </c>
      <c r="BU597" s="23">
        <f>IF(BT597="","",COUNTIF('Content Calendar'!$X$5:$X$604,BT597))</f>
        <v>0</v>
      </c>
      <c r="BV597" s="23">
        <f>IF(BT597="","",COUNTIFS('Content Calendar'!$X$5:$X$604,BT597,'Content Calendar'!$B$5:$B$604,"&gt;="&amp;DashStart,'Content Calendar'!$B$5:$B$604,"&lt;="&amp;DashEnd))</f>
        <v>0</v>
      </c>
      <c r="BW597" s="17">
        <f>IF(Team!$B$597="","",Team!$B$597)</f>
        <v>0</v>
      </c>
      <c r="BX597" s="23">
        <f>IF(BW597="","",COUNTIF('Content Calendar'!$W$5:$W$604,BW597))</f>
        <v>0</v>
      </c>
      <c r="BY597" s="23">
        <f>IF(BW597="","",COUNTIFS('Content Calendar'!$W$5:$W$604,BW597,'Content Calendar'!$X$5:$X$604,"&lt;&gt;Published"))</f>
        <v>0</v>
      </c>
      <c r="BZ597" s="23">
        <f>IF(BW597="","",COUNTIFS(Tasks!$C$5:$C$64,BW597,Tasks!$G$5:$G$64,"&lt;&gt;Complete"))</f>
        <v>0</v>
      </c>
      <c r="CA597" s="17">
        <f>IF(Campaigns!$B$597="","",Campaigns!$B$597)</f>
        <v>0</v>
      </c>
      <c r="CB597" s="25">
        <f>IF(Campaigns!$T$597="","",Campaigns!$T$597)</f>
        <v>0</v>
      </c>
      <c r="CC597" s="25">
        <f>IF(Campaigns!$Q$597="","",Campaigns!$Q$597)</f>
        <v>0</v>
      </c>
      <c r="CD597" s="23">
        <f>IF(Campaigns!$Y$597="","",Campaigns!$Y$597)</f>
        <v>0</v>
      </c>
      <c r="CE597" s="32">
        <f>IF(CA597="","",IF(N(CB597)&lt;=0,"",N(CB597)+ROW()/1000000))</f>
        <v>0</v>
      </c>
      <c r="CF597" s="17">
        <f>IF(Accounts!$C$597="","",Accounts!$C$597)</f>
        <v>0</v>
      </c>
      <c r="CG597" s="17">
        <f>IF(Accounts!$B$597="","",Accounts!$B$597)</f>
        <v>0</v>
      </c>
      <c r="CH597" s="23">
        <f>IF(Accounts!$J$597="","",Accounts!$J$597)</f>
        <v>0</v>
      </c>
      <c r="CI597" s="23">
        <f>IF(CF597="","",SUMIFS(Analytics!$X$5:$X$154,Analytics!$E$5:$E$154,CF597,Analytics!$B$5:$B$154,"&gt;="&amp;DashStart,Analytics!$B$5:$B$154,"&lt;="&amp;DashEnd))</f>
        <v>0</v>
      </c>
      <c r="CJ597" s="32">
        <f>IF(CH597="","",IF(CH597=0,"",CH597+ROW()/1000000))</f>
        <v>0</v>
      </c>
    </row>
    <row r="598" spans="1:88">
      <c r="A598" s="16">
        <f>IF(ROW()-4&gt;12,"",DATE(PlanYear,ROW()-4,1))</f>
        <v>0</v>
      </c>
      <c r="B598" s="16">
        <f>IF(A598="","",EOMONTH(A598,0))</f>
        <v>0</v>
      </c>
      <c r="C598" s="17">
        <f>IF(A598="","",TEXT(A598,"yyyy-mm"))</f>
        <v>0</v>
      </c>
      <c r="D598" s="17">
        <f>IF(A598="","",TEXT(A598,"mmm"))</f>
        <v>0</v>
      </c>
      <c r="E598" s="23">
        <f>IF(C598="","",COUNTIFS('Content Calendar'!$D$5:$D$604,C598))</f>
        <v>0</v>
      </c>
      <c r="F598" s="23">
        <f>IF(C598="","",COUNTIFS('Content Calendar'!$D$5:$D$604,C598,'Content Calendar'!$X$5:$X$604,"Published"))</f>
        <v>0</v>
      </c>
      <c r="G598" s="23">
        <f>IF(C598="","",SUMIFS(Analytics!$J$5:$J$154,Analytics!$C$5:$C$154,C598))</f>
        <v>0</v>
      </c>
      <c r="H598" s="23">
        <f>IF(C598="","",SUMIFS(Analytics!$K$5:$K$154,Analytics!$C$5:$C$154,C598))</f>
        <v>0</v>
      </c>
      <c r="I598" s="23">
        <f>IF(C598="","",SUMIFS(Analytics!$L$5:$L$154,Analytics!$C$5:$C$154,C598))</f>
        <v>0</v>
      </c>
      <c r="J598" s="24">
        <f>IF(OR(G598="",G598=0),"",I598/G598)</f>
        <v>0</v>
      </c>
      <c r="K598" s="23">
        <f>IF(C598="","",SUMIFS(Analytics!$G$5:$G$154,Analytics!$C$5:$C$154,C598))</f>
        <v>0</v>
      </c>
      <c r="L598" s="23">
        <f>IF(C598="","",SUMIFS(Analytics!$X$5:$X$154,Analytics!$C$5:$C$154,C598))</f>
        <v>0</v>
      </c>
      <c r="M598" s="23">
        <f>IF(C598="","",SUMIFS(Analytics!$R$5:$R$154,Analytics!$C$5:$C$154,C598))</f>
        <v>0</v>
      </c>
      <c r="N598" s="23">
        <f>IF(C598="","",SUMIFS(Analytics!$S$5:$S$154,Analytics!$C$5:$C$154,C598))</f>
        <v>0</v>
      </c>
      <c r="O598" s="23">
        <f>IF(C598="","",SUMIFS(Analytics!$T$5:$T$154,Analytics!$C$5:$C$154,C598))</f>
        <v>0</v>
      </c>
      <c r="P598" s="25">
        <f>IF(C598="","",SUMIFS(Analytics!$U$5:$U$154,Analytics!$C$5:$C$154,C598))</f>
        <v>0</v>
      </c>
      <c r="Q598" s="25">
        <f>IF(C598="","",SUMIFS(Budget!$H$5:$H$64,Budget!$C$5:$C$64,C598))</f>
        <v>0</v>
      </c>
      <c r="R598" s="25">
        <f>IF(C598="","",P598-Q598)</f>
        <v>0</v>
      </c>
      <c r="S598" s="23">
        <f>IF(C598="","",MonthlyPostTarget)</f>
        <v>0</v>
      </c>
      <c r="T598" s="17">
        <f>IF(Lists!$C598="","",Lists!$C598)</f>
        <v>0</v>
      </c>
      <c r="U598" s="23">
        <f>IF(T598="","",COUNTIFS('Content Calendar'!$G$5:$G$604,T598,'Content Calendar'!$B$5:$B$604,"&gt;="&amp;DashStart,'Content Calendar'!$B$5:$B$604,"&lt;="&amp;DashEnd))</f>
        <v>0</v>
      </c>
      <c r="V598" s="23">
        <f>IF(T598="","",COUNTIFS('Content Calendar'!$G$5:$G$604,T598,'Content Calendar'!$X$5:$X$604,"Published",'Content Calendar'!$B$5:$B$604,"&gt;="&amp;DashStart,'Content Calendar'!$B$5:$B$604,"&lt;="&amp;DashEnd))</f>
        <v>0</v>
      </c>
      <c r="W598" s="23">
        <f>IF(T598="","",SUMIFS(Analytics!$J$5:$J$154,Analytics!$D$5:$D$154,T598,Analytics!$B$5:$B$154,"&gt;="&amp;DashStart,Analytics!$B$5:$B$154,"&lt;="&amp;DashEnd))</f>
        <v>0</v>
      </c>
      <c r="X598" s="23">
        <f>IF(T598="","",SUMIFS(Analytics!$L$5:$L$154,Analytics!$D$5:$D$154,T598,Analytics!$B$5:$B$154,"&gt;="&amp;DashStart,Analytics!$B$5:$B$154,"&lt;="&amp;DashEnd))</f>
        <v>0</v>
      </c>
      <c r="Y598" s="24">
        <f>IF(OR(W598="",W598=0),"",X598/W598)</f>
        <v>0</v>
      </c>
      <c r="Z598" s="23">
        <f>IF(T598="","",SUMIFS(Analytics!$G$5:$G$154,Analytics!$D$5:$D$154,T598,Analytics!$B$5:$B$154,"&gt;="&amp;DashStart,Analytics!$B$5:$B$154,"&lt;="&amp;DashEnd))</f>
        <v>0</v>
      </c>
      <c r="AA598" s="23">
        <f>IF(T598="","",SUMIFS(Analytics!$X$5:$X$154,Analytics!$D$5:$D$154,T598,Analytics!$B$5:$B$154,"&gt;="&amp;DashStart,Analytics!$B$5:$B$154,"&lt;="&amp;DashEnd))</f>
        <v>0</v>
      </c>
      <c r="AB598" s="23">
        <f>IF(T598="","",SUMIFS(Analytics!$R$5:$R$154,Analytics!$D$5:$D$154,T598,Analytics!$B$5:$B$154,"&gt;="&amp;DashStart,Analytics!$B$5:$B$154,"&lt;="&amp;DashEnd))</f>
        <v>0</v>
      </c>
      <c r="AC598" s="25">
        <f>IF(T598="","",SUMIFS(Analytics!$U$5:$U$154,Analytics!$D$5:$D$154,T598,Analytics!$B$5:$B$154,"&gt;="&amp;DashStart,Analytics!$B$5:$B$154,"&lt;="&amp;DashEnd))</f>
        <v>0</v>
      </c>
      <c r="AD598" s="23">
        <f>IF(T598="","",COUNTIFS('Content Calendar'!$G$5:$G$604,T598,'Content Calendar'!$B$5:$B$604,"&gt;="&amp;DATE(PlanYear,1,1),'Content Calendar'!$B$5:$B$604,"&lt;="&amp;DATE(PlanYear,12,31)))</f>
        <v>0</v>
      </c>
      <c r="AE598" s="23">
        <f>IF(T598="","",SUMIFS(Analytics!$J$5:$J$154,Analytics!$D$5:$D$154,T598))</f>
        <v>0</v>
      </c>
      <c r="AF598" s="23">
        <f>IF(T598="","",SUMIFS(Analytics!$L$5:$L$154,Analytics!$D$5:$D$154,T598))</f>
        <v>0</v>
      </c>
      <c r="AG598" s="24">
        <f>IF(OR(AE598="",AE598=0),"",AF598/AE598)</f>
        <v>0</v>
      </c>
      <c r="AH598" s="23">
        <f>IF(T598="","",SUMIFS(Analytics!$X$5:$X$154,Analytics!$D$5:$D$154,T598))</f>
        <v>0</v>
      </c>
      <c r="AI598" s="32">
        <f>IF(T598="","",IF(AE598=0,"",AE598+ROW()/1000000))</f>
        <v>0</v>
      </c>
      <c r="AJ598" s="17">
        <f>IF('Content Pillars'!$B$598="","",'Content Pillars'!$B$598)</f>
        <v>0</v>
      </c>
      <c r="AK598" s="23">
        <f>IF(AJ598="","",COUNTIFS('Content Calendar'!$J$5:$J$604,AJ598,'Content Calendar'!$B$5:$B$604,"&gt;="&amp;DATE(PlanYear,1,1),'Content Calendar'!$B$5:$B$604,"&lt;="&amp;DATE(PlanYear,12,31)))</f>
        <v>0</v>
      </c>
      <c r="AL598" s="23">
        <f>IF(AJ598="","",SUMIFS(Performance!$O$5:$O$404,Performance!$H$5:$H$404,AJ598))</f>
        <v>0</v>
      </c>
      <c r="AM598" s="23">
        <f>IF(AJ598="","",SUMIFS(Performance!$Z$5:$Z$404,Performance!$H$5:$H$404,AJ598))</f>
        <v>0</v>
      </c>
      <c r="AN598" s="24">
        <f>IF(OR(AL598="",AL598=0),"",AM598/AL598)</f>
        <v>0</v>
      </c>
      <c r="AO598" s="32">
        <f>IF(AN598="","",AN598+ROW()/1000000)</f>
        <v>0</v>
      </c>
      <c r="AP598" s="17">
        <f>IF(Lists!$E598="","",Lists!$E598)</f>
        <v>0</v>
      </c>
      <c r="AQ598" s="23">
        <f>IF(AP598="","",COUNTIF(Performance!$G$5:$G$404,AP598))</f>
        <v>0</v>
      </c>
      <c r="AR598" s="23">
        <f>IF(AP598="","",SUMIFS(Performance!$O$5:$O$404,Performance!$G$5:$G$404,AP598))</f>
        <v>0</v>
      </c>
      <c r="AS598" s="23">
        <f>IF(AP598="","",SUMIFS(Performance!$Z$5:$Z$404,Performance!$G$5:$G$404,AP598))</f>
        <v>0</v>
      </c>
      <c r="AT598" s="24">
        <f>IF(OR(AR598="",AR598=0),"",AS598/AR598)</f>
        <v>0</v>
      </c>
      <c r="AU598" s="32">
        <f>IF(AQ598=0,"",IF(AT598="","",AT598+ROW()/1000000))</f>
        <v>0</v>
      </c>
      <c r="AV598" s="17">
        <f>IF(ROW()-4&gt;7,"",TEXT(DATE(2024,1,ROW()-4),"ddd"))</f>
        <v>0</v>
      </c>
      <c r="AW598" s="23">
        <f>IF(AV598="","",COUNTIF(Performance!$N$5:$N$404,AV598))</f>
        <v>0</v>
      </c>
      <c r="AX598" s="23">
        <f>IF(AV598="","",SUMIFS(Performance!$O$5:$O$404,Performance!$N$5:$N$404,AV598))</f>
        <v>0</v>
      </c>
      <c r="AY598" s="23">
        <f>IF(AV598="","",SUMIFS(Performance!$Z$5:$Z$404,Performance!$N$5:$N$404,AV598))</f>
        <v>0</v>
      </c>
      <c r="AZ598" s="24">
        <f>IF(OR(AX598="",AX598=0),"",AY598/AX598)</f>
        <v>0</v>
      </c>
      <c r="BA598" s="32">
        <f>IF(AW598=0,"",IF(AZ598="","",AZ598+ROW()/1000000))</f>
        <v>0</v>
      </c>
      <c r="BB598" s="17">
        <f>IF(Lists!$AL598="","",Lists!$AL598)</f>
        <v>0</v>
      </c>
      <c r="BC598" s="23">
        <f>IF(BB598="","",COUNTIF(Performance!$M$5:$M$404,BB598))</f>
        <v>0</v>
      </c>
      <c r="BD598" s="23">
        <f>IF(BB598="","",SUMIFS(Performance!$O$5:$O$404,Performance!$M$5:$M$404,BB598))</f>
        <v>0</v>
      </c>
      <c r="BE598" s="23">
        <f>IF(BB598="","",SUMIFS(Performance!$Z$5:$Z$404,Performance!$M$5:$M$404,BB598))</f>
        <v>0</v>
      </c>
      <c r="BF598" s="24">
        <f>IF(OR(BD598="",BD598=0),"",BE598/BD598)</f>
        <v>0</v>
      </c>
      <c r="BG598" s="32">
        <f>IF(BC598=0,"",IF(BF598="","",BF598+ROW()/1000000))</f>
        <v>0</v>
      </c>
      <c r="BH598" s="17">
        <f>IF(Performance!$C$598="","",Performance!$C$598)</f>
        <v>0</v>
      </c>
      <c r="BI598" s="17">
        <f>IF(Performance!$F$598="","",Performance!$F$598)</f>
        <v>0</v>
      </c>
      <c r="BJ598" s="17">
        <f>IF(Performance!$H$598="","",Performance!$H$598)</f>
        <v>0</v>
      </c>
      <c r="BK598" s="16">
        <f>IF(Performance!$D$598="","",Performance!$D$598)</f>
        <v>0</v>
      </c>
      <c r="BL598" s="17">
        <f>IF(Performance!$E$598="","",Performance!$E$598)</f>
        <v>0</v>
      </c>
      <c r="BM598" s="23">
        <f>IF(Performance!$O$598="","",Performance!$O$598)</f>
        <v>0</v>
      </c>
      <c r="BN598" s="24">
        <f>IF(Performance!$AA$598="","",Performance!$AA$598)</f>
        <v>0</v>
      </c>
      <c r="BO598" s="32">
        <f>IF(BH598="","",IF(BK598="","",IF(OR(BK598&lt;DashStart,BK598&gt;DashEnd),"",IF(BN598="","",BN598+ROW()/1000000))))</f>
        <v>0</v>
      </c>
      <c r="BP598" s="32">
        <f>IF(BM598="","",IF(BK598="","",IF(OR(BK598&lt;DashStart,BK598&gt;DashEnd),"",BM598+ROW()/1000000)))</f>
        <v>0</v>
      </c>
      <c r="BQ598" s="32">
        <f>IF(BH598="","",IF(BK598="","",IF(YEAR(BK598)&lt;&gt;PlanYear,"",IF(BN598="","",BN598+ROW()/1000000))))</f>
        <v>0</v>
      </c>
      <c r="BR598" s="32">
        <f>IF(BH598="","",IF(BK598="","",IF(OR(BK598&lt;RepFrom,BK598&gt;RepTo),"",IF(BN598="","",BN598+ROW()/1000000))))</f>
        <v>0</v>
      </c>
      <c r="BS598" s="32">
        <f>IF(BM598="","",IF(BK598="","",IF(YEAR(BK598)&lt;&gt;PlanYear,"",BM598+ROW()/1000000)))</f>
        <v>0</v>
      </c>
      <c r="BT598" s="17">
        <f>IF(Lists!$F598="","",Lists!$F598)</f>
        <v>0</v>
      </c>
      <c r="BU598" s="23">
        <f>IF(BT598="","",COUNTIF('Content Calendar'!$X$5:$X$604,BT598))</f>
        <v>0</v>
      </c>
      <c r="BV598" s="23">
        <f>IF(BT598="","",COUNTIFS('Content Calendar'!$X$5:$X$604,BT598,'Content Calendar'!$B$5:$B$604,"&gt;="&amp;DashStart,'Content Calendar'!$B$5:$B$604,"&lt;="&amp;DashEnd))</f>
        <v>0</v>
      </c>
      <c r="BW598" s="17">
        <f>IF(Team!$B$598="","",Team!$B$598)</f>
        <v>0</v>
      </c>
      <c r="BX598" s="23">
        <f>IF(BW598="","",COUNTIF('Content Calendar'!$W$5:$W$604,BW598))</f>
        <v>0</v>
      </c>
      <c r="BY598" s="23">
        <f>IF(BW598="","",COUNTIFS('Content Calendar'!$W$5:$W$604,BW598,'Content Calendar'!$X$5:$X$604,"&lt;&gt;Published"))</f>
        <v>0</v>
      </c>
      <c r="BZ598" s="23">
        <f>IF(BW598="","",COUNTIFS(Tasks!$C$5:$C$64,BW598,Tasks!$G$5:$G$64,"&lt;&gt;Complete"))</f>
        <v>0</v>
      </c>
      <c r="CA598" s="17">
        <f>IF(Campaigns!$B$598="","",Campaigns!$B$598)</f>
        <v>0</v>
      </c>
      <c r="CB598" s="25">
        <f>IF(Campaigns!$T$598="","",Campaigns!$T$598)</f>
        <v>0</v>
      </c>
      <c r="CC598" s="25">
        <f>IF(Campaigns!$Q$598="","",Campaigns!$Q$598)</f>
        <v>0</v>
      </c>
      <c r="CD598" s="23">
        <f>IF(Campaigns!$Y$598="","",Campaigns!$Y$598)</f>
        <v>0</v>
      </c>
      <c r="CE598" s="32">
        <f>IF(CA598="","",IF(N(CB598)&lt;=0,"",N(CB598)+ROW()/1000000))</f>
        <v>0</v>
      </c>
      <c r="CF598" s="17">
        <f>IF(Accounts!$C$598="","",Accounts!$C$598)</f>
        <v>0</v>
      </c>
      <c r="CG598" s="17">
        <f>IF(Accounts!$B$598="","",Accounts!$B$598)</f>
        <v>0</v>
      </c>
      <c r="CH598" s="23">
        <f>IF(Accounts!$J$598="","",Accounts!$J$598)</f>
        <v>0</v>
      </c>
      <c r="CI598" s="23">
        <f>IF(CF598="","",SUMIFS(Analytics!$X$5:$X$154,Analytics!$E$5:$E$154,CF598,Analytics!$B$5:$B$154,"&gt;="&amp;DashStart,Analytics!$B$5:$B$154,"&lt;="&amp;DashEnd))</f>
        <v>0</v>
      </c>
      <c r="CJ598" s="32">
        <f>IF(CH598="","",IF(CH598=0,"",CH598+ROW()/1000000))</f>
        <v>0</v>
      </c>
    </row>
    <row r="599" spans="1:88">
      <c r="A599" s="16">
        <f>IF(ROW()-4&gt;12,"",DATE(PlanYear,ROW()-4,1))</f>
        <v>0</v>
      </c>
      <c r="B599" s="16">
        <f>IF(A599="","",EOMONTH(A599,0))</f>
        <v>0</v>
      </c>
      <c r="C599" s="17">
        <f>IF(A599="","",TEXT(A599,"yyyy-mm"))</f>
        <v>0</v>
      </c>
      <c r="D599" s="17">
        <f>IF(A599="","",TEXT(A599,"mmm"))</f>
        <v>0</v>
      </c>
      <c r="E599" s="23">
        <f>IF(C599="","",COUNTIFS('Content Calendar'!$D$5:$D$604,C599))</f>
        <v>0</v>
      </c>
      <c r="F599" s="23">
        <f>IF(C599="","",COUNTIFS('Content Calendar'!$D$5:$D$604,C599,'Content Calendar'!$X$5:$X$604,"Published"))</f>
        <v>0</v>
      </c>
      <c r="G599" s="23">
        <f>IF(C599="","",SUMIFS(Analytics!$J$5:$J$154,Analytics!$C$5:$C$154,C599))</f>
        <v>0</v>
      </c>
      <c r="H599" s="23">
        <f>IF(C599="","",SUMIFS(Analytics!$K$5:$K$154,Analytics!$C$5:$C$154,C599))</f>
        <v>0</v>
      </c>
      <c r="I599" s="23">
        <f>IF(C599="","",SUMIFS(Analytics!$L$5:$L$154,Analytics!$C$5:$C$154,C599))</f>
        <v>0</v>
      </c>
      <c r="J599" s="24">
        <f>IF(OR(G599="",G599=0),"",I599/G599)</f>
        <v>0</v>
      </c>
      <c r="K599" s="23">
        <f>IF(C599="","",SUMIFS(Analytics!$G$5:$G$154,Analytics!$C$5:$C$154,C599))</f>
        <v>0</v>
      </c>
      <c r="L599" s="23">
        <f>IF(C599="","",SUMIFS(Analytics!$X$5:$X$154,Analytics!$C$5:$C$154,C599))</f>
        <v>0</v>
      </c>
      <c r="M599" s="23">
        <f>IF(C599="","",SUMIFS(Analytics!$R$5:$R$154,Analytics!$C$5:$C$154,C599))</f>
        <v>0</v>
      </c>
      <c r="N599" s="23">
        <f>IF(C599="","",SUMIFS(Analytics!$S$5:$S$154,Analytics!$C$5:$C$154,C599))</f>
        <v>0</v>
      </c>
      <c r="O599" s="23">
        <f>IF(C599="","",SUMIFS(Analytics!$T$5:$T$154,Analytics!$C$5:$C$154,C599))</f>
        <v>0</v>
      </c>
      <c r="P599" s="25">
        <f>IF(C599="","",SUMIFS(Analytics!$U$5:$U$154,Analytics!$C$5:$C$154,C599))</f>
        <v>0</v>
      </c>
      <c r="Q599" s="25">
        <f>IF(C599="","",SUMIFS(Budget!$H$5:$H$64,Budget!$C$5:$C$64,C599))</f>
        <v>0</v>
      </c>
      <c r="R599" s="25">
        <f>IF(C599="","",P599-Q599)</f>
        <v>0</v>
      </c>
      <c r="S599" s="23">
        <f>IF(C599="","",MonthlyPostTarget)</f>
        <v>0</v>
      </c>
      <c r="T599" s="17">
        <f>IF(Lists!$C599="","",Lists!$C599)</f>
        <v>0</v>
      </c>
      <c r="U599" s="23">
        <f>IF(T599="","",COUNTIFS('Content Calendar'!$G$5:$G$604,T599,'Content Calendar'!$B$5:$B$604,"&gt;="&amp;DashStart,'Content Calendar'!$B$5:$B$604,"&lt;="&amp;DashEnd))</f>
        <v>0</v>
      </c>
      <c r="V599" s="23">
        <f>IF(T599="","",COUNTIFS('Content Calendar'!$G$5:$G$604,T599,'Content Calendar'!$X$5:$X$604,"Published",'Content Calendar'!$B$5:$B$604,"&gt;="&amp;DashStart,'Content Calendar'!$B$5:$B$604,"&lt;="&amp;DashEnd))</f>
        <v>0</v>
      </c>
      <c r="W599" s="23">
        <f>IF(T599="","",SUMIFS(Analytics!$J$5:$J$154,Analytics!$D$5:$D$154,T599,Analytics!$B$5:$B$154,"&gt;="&amp;DashStart,Analytics!$B$5:$B$154,"&lt;="&amp;DashEnd))</f>
        <v>0</v>
      </c>
      <c r="X599" s="23">
        <f>IF(T599="","",SUMIFS(Analytics!$L$5:$L$154,Analytics!$D$5:$D$154,T599,Analytics!$B$5:$B$154,"&gt;="&amp;DashStart,Analytics!$B$5:$B$154,"&lt;="&amp;DashEnd))</f>
        <v>0</v>
      </c>
      <c r="Y599" s="24">
        <f>IF(OR(W599="",W599=0),"",X599/W599)</f>
        <v>0</v>
      </c>
      <c r="Z599" s="23">
        <f>IF(T599="","",SUMIFS(Analytics!$G$5:$G$154,Analytics!$D$5:$D$154,T599,Analytics!$B$5:$B$154,"&gt;="&amp;DashStart,Analytics!$B$5:$B$154,"&lt;="&amp;DashEnd))</f>
        <v>0</v>
      </c>
      <c r="AA599" s="23">
        <f>IF(T599="","",SUMIFS(Analytics!$X$5:$X$154,Analytics!$D$5:$D$154,T599,Analytics!$B$5:$B$154,"&gt;="&amp;DashStart,Analytics!$B$5:$B$154,"&lt;="&amp;DashEnd))</f>
        <v>0</v>
      </c>
      <c r="AB599" s="23">
        <f>IF(T599="","",SUMIFS(Analytics!$R$5:$R$154,Analytics!$D$5:$D$154,T599,Analytics!$B$5:$B$154,"&gt;="&amp;DashStart,Analytics!$B$5:$B$154,"&lt;="&amp;DashEnd))</f>
        <v>0</v>
      </c>
      <c r="AC599" s="25">
        <f>IF(T599="","",SUMIFS(Analytics!$U$5:$U$154,Analytics!$D$5:$D$154,T599,Analytics!$B$5:$B$154,"&gt;="&amp;DashStart,Analytics!$B$5:$B$154,"&lt;="&amp;DashEnd))</f>
        <v>0</v>
      </c>
      <c r="AD599" s="23">
        <f>IF(T599="","",COUNTIFS('Content Calendar'!$G$5:$G$604,T599,'Content Calendar'!$B$5:$B$604,"&gt;="&amp;DATE(PlanYear,1,1),'Content Calendar'!$B$5:$B$604,"&lt;="&amp;DATE(PlanYear,12,31)))</f>
        <v>0</v>
      </c>
      <c r="AE599" s="23">
        <f>IF(T599="","",SUMIFS(Analytics!$J$5:$J$154,Analytics!$D$5:$D$154,T599))</f>
        <v>0</v>
      </c>
      <c r="AF599" s="23">
        <f>IF(T599="","",SUMIFS(Analytics!$L$5:$L$154,Analytics!$D$5:$D$154,T599))</f>
        <v>0</v>
      </c>
      <c r="AG599" s="24">
        <f>IF(OR(AE599="",AE599=0),"",AF599/AE599)</f>
        <v>0</v>
      </c>
      <c r="AH599" s="23">
        <f>IF(T599="","",SUMIFS(Analytics!$X$5:$X$154,Analytics!$D$5:$D$154,T599))</f>
        <v>0</v>
      </c>
      <c r="AI599" s="32">
        <f>IF(T599="","",IF(AE599=0,"",AE599+ROW()/1000000))</f>
        <v>0</v>
      </c>
      <c r="AJ599" s="17">
        <f>IF('Content Pillars'!$B$599="","",'Content Pillars'!$B$599)</f>
        <v>0</v>
      </c>
      <c r="AK599" s="23">
        <f>IF(AJ599="","",COUNTIFS('Content Calendar'!$J$5:$J$604,AJ599,'Content Calendar'!$B$5:$B$604,"&gt;="&amp;DATE(PlanYear,1,1),'Content Calendar'!$B$5:$B$604,"&lt;="&amp;DATE(PlanYear,12,31)))</f>
        <v>0</v>
      </c>
      <c r="AL599" s="23">
        <f>IF(AJ599="","",SUMIFS(Performance!$O$5:$O$404,Performance!$H$5:$H$404,AJ599))</f>
        <v>0</v>
      </c>
      <c r="AM599" s="23">
        <f>IF(AJ599="","",SUMIFS(Performance!$Z$5:$Z$404,Performance!$H$5:$H$404,AJ599))</f>
        <v>0</v>
      </c>
      <c r="AN599" s="24">
        <f>IF(OR(AL599="",AL599=0),"",AM599/AL599)</f>
        <v>0</v>
      </c>
      <c r="AO599" s="32">
        <f>IF(AN599="","",AN599+ROW()/1000000)</f>
        <v>0</v>
      </c>
      <c r="AP599" s="17">
        <f>IF(Lists!$E599="","",Lists!$E599)</f>
        <v>0</v>
      </c>
      <c r="AQ599" s="23">
        <f>IF(AP599="","",COUNTIF(Performance!$G$5:$G$404,AP599))</f>
        <v>0</v>
      </c>
      <c r="AR599" s="23">
        <f>IF(AP599="","",SUMIFS(Performance!$O$5:$O$404,Performance!$G$5:$G$404,AP599))</f>
        <v>0</v>
      </c>
      <c r="AS599" s="23">
        <f>IF(AP599="","",SUMIFS(Performance!$Z$5:$Z$404,Performance!$G$5:$G$404,AP599))</f>
        <v>0</v>
      </c>
      <c r="AT599" s="24">
        <f>IF(OR(AR599="",AR599=0),"",AS599/AR599)</f>
        <v>0</v>
      </c>
      <c r="AU599" s="32">
        <f>IF(AQ599=0,"",IF(AT599="","",AT599+ROW()/1000000))</f>
        <v>0</v>
      </c>
      <c r="AV599" s="17">
        <f>IF(ROW()-4&gt;7,"",TEXT(DATE(2024,1,ROW()-4),"ddd"))</f>
        <v>0</v>
      </c>
      <c r="AW599" s="23">
        <f>IF(AV599="","",COUNTIF(Performance!$N$5:$N$404,AV599))</f>
        <v>0</v>
      </c>
      <c r="AX599" s="23">
        <f>IF(AV599="","",SUMIFS(Performance!$O$5:$O$404,Performance!$N$5:$N$404,AV599))</f>
        <v>0</v>
      </c>
      <c r="AY599" s="23">
        <f>IF(AV599="","",SUMIFS(Performance!$Z$5:$Z$404,Performance!$N$5:$N$404,AV599))</f>
        <v>0</v>
      </c>
      <c r="AZ599" s="24">
        <f>IF(OR(AX599="",AX599=0),"",AY599/AX599)</f>
        <v>0</v>
      </c>
      <c r="BA599" s="32">
        <f>IF(AW599=0,"",IF(AZ599="","",AZ599+ROW()/1000000))</f>
        <v>0</v>
      </c>
      <c r="BB599" s="17">
        <f>IF(Lists!$AL599="","",Lists!$AL599)</f>
        <v>0</v>
      </c>
      <c r="BC599" s="23">
        <f>IF(BB599="","",COUNTIF(Performance!$M$5:$M$404,BB599))</f>
        <v>0</v>
      </c>
      <c r="BD599" s="23">
        <f>IF(BB599="","",SUMIFS(Performance!$O$5:$O$404,Performance!$M$5:$M$404,BB599))</f>
        <v>0</v>
      </c>
      <c r="BE599" s="23">
        <f>IF(BB599="","",SUMIFS(Performance!$Z$5:$Z$404,Performance!$M$5:$M$404,BB599))</f>
        <v>0</v>
      </c>
      <c r="BF599" s="24">
        <f>IF(OR(BD599="",BD599=0),"",BE599/BD599)</f>
        <v>0</v>
      </c>
      <c r="BG599" s="32">
        <f>IF(BC599=0,"",IF(BF599="","",BF599+ROW()/1000000))</f>
        <v>0</v>
      </c>
      <c r="BH599" s="17">
        <f>IF(Performance!$C$599="","",Performance!$C$599)</f>
        <v>0</v>
      </c>
      <c r="BI599" s="17">
        <f>IF(Performance!$F$599="","",Performance!$F$599)</f>
        <v>0</v>
      </c>
      <c r="BJ599" s="17">
        <f>IF(Performance!$H$599="","",Performance!$H$599)</f>
        <v>0</v>
      </c>
      <c r="BK599" s="16">
        <f>IF(Performance!$D$599="","",Performance!$D$599)</f>
        <v>0</v>
      </c>
      <c r="BL599" s="17">
        <f>IF(Performance!$E$599="","",Performance!$E$599)</f>
        <v>0</v>
      </c>
      <c r="BM599" s="23">
        <f>IF(Performance!$O$599="","",Performance!$O$599)</f>
        <v>0</v>
      </c>
      <c r="BN599" s="24">
        <f>IF(Performance!$AA$599="","",Performance!$AA$599)</f>
        <v>0</v>
      </c>
      <c r="BO599" s="32">
        <f>IF(BH599="","",IF(BK599="","",IF(OR(BK599&lt;DashStart,BK599&gt;DashEnd),"",IF(BN599="","",BN599+ROW()/1000000))))</f>
        <v>0</v>
      </c>
      <c r="BP599" s="32">
        <f>IF(BM599="","",IF(BK599="","",IF(OR(BK599&lt;DashStart,BK599&gt;DashEnd),"",BM599+ROW()/1000000)))</f>
        <v>0</v>
      </c>
      <c r="BQ599" s="32">
        <f>IF(BH599="","",IF(BK599="","",IF(YEAR(BK599)&lt;&gt;PlanYear,"",IF(BN599="","",BN599+ROW()/1000000))))</f>
        <v>0</v>
      </c>
      <c r="BR599" s="32">
        <f>IF(BH599="","",IF(BK599="","",IF(OR(BK599&lt;RepFrom,BK599&gt;RepTo),"",IF(BN599="","",BN599+ROW()/1000000))))</f>
        <v>0</v>
      </c>
      <c r="BS599" s="32">
        <f>IF(BM599="","",IF(BK599="","",IF(YEAR(BK599)&lt;&gt;PlanYear,"",BM599+ROW()/1000000)))</f>
        <v>0</v>
      </c>
      <c r="BT599" s="17">
        <f>IF(Lists!$F599="","",Lists!$F599)</f>
        <v>0</v>
      </c>
      <c r="BU599" s="23">
        <f>IF(BT599="","",COUNTIF('Content Calendar'!$X$5:$X$604,BT599))</f>
        <v>0</v>
      </c>
      <c r="BV599" s="23">
        <f>IF(BT599="","",COUNTIFS('Content Calendar'!$X$5:$X$604,BT599,'Content Calendar'!$B$5:$B$604,"&gt;="&amp;DashStart,'Content Calendar'!$B$5:$B$604,"&lt;="&amp;DashEnd))</f>
        <v>0</v>
      </c>
      <c r="BW599" s="17">
        <f>IF(Team!$B$599="","",Team!$B$599)</f>
        <v>0</v>
      </c>
      <c r="BX599" s="23">
        <f>IF(BW599="","",COUNTIF('Content Calendar'!$W$5:$W$604,BW599))</f>
        <v>0</v>
      </c>
      <c r="BY599" s="23">
        <f>IF(BW599="","",COUNTIFS('Content Calendar'!$W$5:$W$604,BW599,'Content Calendar'!$X$5:$X$604,"&lt;&gt;Published"))</f>
        <v>0</v>
      </c>
      <c r="BZ599" s="23">
        <f>IF(BW599="","",COUNTIFS(Tasks!$C$5:$C$64,BW599,Tasks!$G$5:$G$64,"&lt;&gt;Complete"))</f>
        <v>0</v>
      </c>
      <c r="CA599" s="17">
        <f>IF(Campaigns!$B$599="","",Campaigns!$B$599)</f>
        <v>0</v>
      </c>
      <c r="CB599" s="25">
        <f>IF(Campaigns!$T$599="","",Campaigns!$T$599)</f>
        <v>0</v>
      </c>
      <c r="CC599" s="25">
        <f>IF(Campaigns!$Q$599="","",Campaigns!$Q$599)</f>
        <v>0</v>
      </c>
      <c r="CD599" s="23">
        <f>IF(Campaigns!$Y$599="","",Campaigns!$Y$599)</f>
        <v>0</v>
      </c>
      <c r="CE599" s="32">
        <f>IF(CA599="","",IF(N(CB599)&lt;=0,"",N(CB599)+ROW()/1000000))</f>
        <v>0</v>
      </c>
      <c r="CF599" s="17">
        <f>IF(Accounts!$C$599="","",Accounts!$C$599)</f>
        <v>0</v>
      </c>
      <c r="CG599" s="17">
        <f>IF(Accounts!$B$599="","",Accounts!$B$599)</f>
        <v>0</v>
      </c>
      <c r="CH599" s="23">
        <f>IF(Accounts!$J$599="","",Accounts!$J$599)</f>
        <v>0</v>
      </c>
      <c r="CI599" s="23">
        <f>IF(CF599="","",SUMIFS(Analytics!$X$5:$X$154,Analytics!$E$5:$E$154,CF599,Analytics!$B$5:$B$154,"&gt;="&amp;DashStart,Analytics!$B$5:$B$154,"&lt;="&amp;DashEnd))</f>
        <v>0</v>
      </c>
      <c r="CJ599" s="32">
        <f>IF(CH599="","",IF(CH599=0,"",CH599+ROW()/1000000))</f>
        <v>0</v>
      </c>
    </row>
    <row r="600" spans="1:88">
      <c r="A600" s="16">
        <f>IF(ROW()-4&gt;12,"",DATE(PlanYear,ROW()-4,1))</f>
        <v>0</v>
      </c>
      <c r="B600" s="16">
        <f>IF(A600="","",EOMONTH(A600,0))</f>
        <v>0</v>
      </c>
      <c r="C600" s="17">
        <f>IF(A600="","",TEXT(A600,"yyyy-mm"))</f>
        <v>0</v>
      </c>
      <c r="D600" s="17">
        <f>IF(A600="","",TEXT(A600,"mmm"))</f>
        <v>0</v>
      </c>
      <c r="E600" s="23">
        <f>IF(C600="","",COUNTIFS('Content Calendar'!$D$5:$D$604,C600))</f>
        <v>0</v>
      </c>
      <c r="F600" s="23">
        <f>IF(C600="","",COUNTIFS('Content Calendar'!$D$5:$D$604,C600,'Content Calendar'!$X$5:$X$604,"Published"))</f>
        <v>0</v>
      </c>
      <c r="G600" s="23">
        <f>IF(C600="","",SUMIFS(Analytics!$J$5:$J$154,Analytics!$C$5:$C$154,C600))</f>
        <v>0</v>
      </c>
      <c r="H600" s="23">
        <f>IF(C600="","",SUMIFS(Analytics!$K$5:$K$154,Analytics!$C$5:$C$154,C600))</f>
        <v>0</v>
      </c>
      <c r="I600" s="23">
        <f>IF(C600="","",SUMIFS(Analytics!$L$5:$L$154,Analytics!$C$5:$C$154,C600))</f>
        <v>0</v>
      </c>
      <c r="J600" s="24">
        <f>IF(OR(G600="",G600=0),"",I600/G600)</f>
        <v>0</v>
      </c>
      <c r="K600" s="23">
        <f>IF(C600="","",SUMIFS(Analytics!$G$5:$G$154,Analytics!$C$5:$C$154,C600))</f>
        <v>0</v>
      </c>
      <c r="L600" s="23">
        <f>IF(C600="","",SUMIFS(Analytics!$X$5:$X$154,Analytics!$C$5:$C$154,C600))</f>
        <v>0</v>
      </c>
      <c r="M600" s="23">
        <f>IF(C600="","",SUMIFS(Analytics!$R$5:$R$154,Analytics!$C$5:$C$154,C600))</f>
        <v>0</v>
      </c>
      <c r="N600" s="23">
        <f>IF(C600="","",SUMIFS(Analytics!$S$5:$S$154,Analytics!$C$5:$C$154,C600))</f>
        <v>0</v>
      </c>
      <c r="O600" s="23">
        <f>IF(C600="","",SUMIFS(Analytics!$T$5:$T$154,Analytics!$C$5:$C$154,C600))</f>
        <v>0</v>
      </c>
      <c r="P600" s="25">
        <f>IF(C600="","",SUMIFS(Analytics!$U$5:$U$154,Analytics!$C$5:$C$154,C600))</f>
        <v>0</v>
      </c>
      <c r="Q600" s="25">
        <f>IF(C600="","",SUMIFS(Budget!$H$5:$H$64,Budget!$C$5:$C$64,C600))</f>
        <v>0</v>
      </c>
      <c r="R600" s="25">
        <f>IF(C600="","",P600-Q600)</f>
        <v>0</v>
      </c>
      <c r="S600" s="23">
        <f>IF(C600="","",MonthlyPostTarget)</f>
        <v>0</v>
      </c>
      <c r="T600" s="17">
        <f>IF(Lists!$C600="","",Lists!$C600)</f>
        <v>0</v>
      </c>
      <c r="U600" s="23">
        <f>IF(T600="","",COUNTIFS('Content Calendar'!$G$5:$G$604,T600,'Content Calendar'!$B$5:$B$604,"&gt;="&amp;DashStart,'Content Calendar'!$B$5:$B$604,"&lt;="&amp;DashEnd))</f>
        <v>0</v>
      </c>
      <c r="V600" s="23">
        <f>IF(T600="","",COUNTIFS('Content Calendar'!$G$5:$G$604,T600,'Content Calendar'!$X$5:$X$604,"Published",'Content Calendar'!$B$5:$B$604,"&gt;="&amp;DashStart,'Content Calendar'!$B$5:$B$604,"&lt;="&amp;DashEnd))</f>
        <v>0</v>
      </c>
      <c r="W600" s="23">
        <f>IF(T600="","",SUMIFS(Analytics!$J$5:$J$154,Analytics!$D$5:$D$154,T600,Analytics!$B$5:$B$154,"&gt;="&amp;DashStart,Analytics!$B$5:$B$154,"&lt;="&amp;DashEnd))</f>
        <v>0</v>
      </c>
      <c r="X600" s="23">
        <f>IF(T600="","",SUMIFS(Analytics!$L$5:$L$154,Analytics!$D$5:$D$154,T600,Analytics!$B$5:$B$154,"&gt;="&amp;DashStart,Analytics!$B$5:$B$154,"&lt;="&amp;DashEnd))</f>
        <v>0</v>
      </c>
      <c r="Y600" s="24">
        <f>IF(OR(W600="",W600=0),"",X600/W600)</f>
        <v>0</v>
      </c>
      <c r="Z600" s="23">
        <f>IF(T600="","",SUMIFS(Analytics!$G$5:$G$154,Analytics!$D$5:$D$154,T600,Analytics!$B$5:$B$154,"&gt;="&amp;DashStart,Analytics!$B$5:$B$154,"&lt;="&amp;DashEnd))</f>
        <v>0</v>
      </c>
      <c r="AA600" s="23">
        <f>IF(T600="","",SUMIFS(Analytics!$X$5:$X$154,Analytics!$D$5:$D$154,T600,Analytics!$B$5:$B$154,"&gt;="&amp;DashStart,Analytics!$B$5:$B$154,"&lt;="&amp;DashEnd))</f>
        <v>0</v>
      </c>
      <c r="AB600" s="23">
        <f>IF(T600="","",SUMIFS(Analytics!$R$5:$R$154,Analytics!$D$5:$D$154,T600,Analytics!$B$5:$B$154,"&gt;="&amp;DashStart,Analytics!$B$5:$B$154,"&lt;="&amp;DashEnd))</f>
        <v>0</v>
      </c>
      <c r="AC600" s="25">
        <f>IF(T600="","",SUMIFS(Analytics!$U$5:$U$154,Analytics!$D$5:$D$154,T600,Analytics!$B$5:$B$154,"&gt;="&amp;DashStart,Analytics!$B$5:$B$154,"&lt;="&amp;DashEnd))</f>
        <v>0</v>
      </c>
      <c r="AD600" s="23">
        <f>IF(T600="","",COUNTIFS('Content Calendar'!$G$5:$G$604,T600,'Content Calendar'!$B$5:$B$604,"&gt;="&amp;DATE(PlanYear,1,1),'Content Calendar'!$B$5:$B$604,"&lt;="&amp;DATE(PlanYear,12,31)))</f>
        <v>0</v>
      </c>
      <c r="AE600" s="23">
        <f>IF(T600="","",SUMIFS(Analytics!$J$5:$J$154,Analytics!$D$5:$D$154,T600))</f>
        <v>0</v>
      </c>
      <c r="AF600" s="23">
        <f>IF(T600="","",SUMIFS(Analytics!$L$5:$L$154,Analytics!$D$5:$D$154,T600))</f>
        <v>0</v>
      </c>
      <c r="AG600" s="24">
        <f>IF(OR(AE600="",AE600=0),"",AF600/AE600)</f>
        <v>0</v>
      </c>
      <c r="AH600" s="23">
        <f>IF(T600="","",SUMIFS(Analytics!$X$5:$X$154,Analytics!$D$5:$D$154,T600))</f>
        <v>0</v>
      </c>
      <c r="AI600" s="32">
        <f>IF(T600="","",IF(AE600=0,"",AE600+ROW()/1000000))</f>
        <v>0</v>
      </c>
      <c r="AJ600" s="17">
        <f>IF('Content Pillars'!$B$600="","",'Content Pillars'!$B$600)</f>
        <v>0</v>
      </c>
      <c r="AK600" s="23">
        <f>IF(AJ600="","",COUNTIFS('Content Calendar'!$J$5:$J$604,AJ600,'Content Calendar'!$B$5:$B$604,"&gt;="&amp;DATE(PlanYear,1,1),'Content Calendar'!$B$5:$B$604,"&lt;="&amp;DATE(PlanYear,12,31)))</f>
        <v>0</v>
      </c>
      <c r="AL600" s="23">
        <f>IF(AJ600="","",SUMIFS(Performance!$O$5:$O$404,Performance!$H$5:$H$404,AJ600))</f>
        <v>0</v>
      </c>
      <c r="AM600" s="23">
        <f>IF(AJ600="","",SUMIFS(Performance!$Z$5:$Z$404,Performance!$H$5:$H$404,AJ600))</f>
        <v>0</v>
      </c>
      <c r="AN600" s="24">
        <f>IF(OR(AL600="",AL600=0),"",AM600/AL600)</f>
        <v>0</v>
      </c>
      <c r="AO600" s="32">
        <f>IF(AN600="","",AN600+ROW()/1000000)</f>
        <v>0</v>
      </c>
      <c r="AP600" s="17">
        <f>IF(Lists!$E600="","",Lists!$E600)</f>
        <v>0</v>
      </c>
      <c r="AQ600" s="23">
        <f>IF(AP600="","",COUNTIF(Performance!$G$5:$G$404,AP600))</f>
        <v>0</v>
      </c>
      <c r="AR600" s="23">
        <f>IF(AP600="","",SUMIFS(Performance!$O$5:$O$404,Performance!$G$5:$G$404,AP600))</f>
        <v>0</v>
      </c>
      <c r="AS600" s="23">
        <f>IF(AP600="","",SUMIFS(Performance!$Z$5:$Z$404,Performance!$G$5:$G$404,AP600))</f>
        <v>0</v>
      </c>
      <c r="AT600" s="24">
        <f>IF(OR(AR600="",AR600=0),"",AS600/AR600)</f>
        <v>0</v>
      </c>
      <c r="AU600" s="32">
        <f>IF(AQ600=0,"",IF(AT600="","",AT600+ROW()/1000000))</f>
        <v>0</v>
      </c>
      <c r="AV600" s="17">
        <f>IF(ROW()-4&gt;7,"",TEXT(DATE(2024,1,ROW()-4),"ddd"))</f>
        <v>0</v>
      </c>
      <c r="AW600" s="23">
        <f>IF(AV600="","",COUNTIF(Performance!$N$5:$N$404,AV600))</f>
        <v>0</v>
      </c>
      <c r="AX600" s="23">
        <f>IF(AV600="","",SUMIFS(Performance!$O$5:$O$404,Performance!$N$5:$N$404,AV600))</f>
        <v>0</v>
      </c>
      <c r="AY600" s="23">
        <f>IF(AV600="","",SUMIFS(Performance!$Z$5:$Z$404,Performance!$N$5:$N$404,AV600))</f>
        <v>0</v>
      </c>
      <c r="AZ600" s="24">
        <f>IF(OR(AX600="",AX600=0),"",AY600/AX600)</f>
        <v>0</v>
      </c>
      <c r="BA600" s="32">
        <f>IF(AW600=0,"",IF(AZ600="","",AZ600+ROW()/1000000))</f>
        <v>0</v>
      </c>
      <c r="BB600" s="17">
        <f>IF(Lists!$AL600="","",Lists!$AL600)</f>
        <v>0</v>
      </c>
      <c r="BC600" s="23">
        <f>IF(BB600="","",COUNTIF(Performance!$M$5:$M$404,BB600))</f>
        <v>0</v>
      </c>
      <c r="BD600" s="23">
        <f>IF(BB600="","",SUMIFS(Performance!$O$5:$O$404,Performance!$M$5:$M$404,BB600))</f>
        <v>0</v>
      </c>
      <c r="BE600" s="23">
        <f>IF(BB600="","",SUMIFS(Performance!$Z$5:$Z$404,Performance!$M$5:$M$404,BB600))</f>
        <v>0</v>
      </c>
      <c r="BF600" s="24">
        <f>IF(OR(BD600="",BD600=0),"",BE600/BD600)</f>
        <v>0</v>
      </c>
      <c r="BG600" s="32">
        <f>IF(BC600=0,"",IF(BF600="","",BF600+ROW()/1000000))</f>
        <v>0</v>
      </c>
      <c r="BH600" s="17">
        <f>IF(Performance!$C$600="","",Performance!$C$600)</f>
        <v>0</v>
      </c>
      <c r="BI600" s="17">
        <f>IF(Performance!$F$600="","",Performance!$F$600)</f>
        <v>0</v>
      </c>
      <c r="BJ600" s="17">
        <f>IF(Performance!$H$600="","",Performance!$H$600)</f>
        <v>0</v>
      </c>
      <c r="BK600" s="16">
        <f>IF(Performance!$D$600="","",Performance!$D$600)</f>
        <v>0</v>
      </c>
      <c r="BL600" s="17">
        <f>IF(Performance!$E$600="","",Performance!$E$600)</f>
        <v>0</v>
      </c>
      <c r="BM600" s="23">
        <f>IF(Performance!$O$600="","",Performance!$O$600)</f>
        <v>0</v>
      </c>
      <c r="BN600" s="24">
        <f>IF(Performance!$AA$600="","",Performance!$AA$600)</f>
        <v>0</v>
      </c>
      <c r="BO600" s="32">
        <f>IF(BH600="","",IF(BK600="","",IF(OR(BK600&lt;DashStart,BK600&gt;DashEnd),"",IF(BN600="","",BN600+ROW()/1000000))))</f>
        <v>0</v>
      </c>
      <c r="BP600" s="32">
        <f>IF(BM600="","",IF(BK600="","",IF(OR(BK600&lt;DashStart,BK600&gt;DashEnd),"",BM600+ROW()/1000000)))</f>
        <v>0</v>
      </c>
      <c r="BQ600" s="32">
        <f>IF(BH600="","",IF(BK600="","",IF(YEAR(BK600)&lt;&gt;PlanYear,"",IF(BN600="","",BN600+ROW()/1000000))))</f>
        <v>0</v>
      </c>
      <c r="BR600" s="32">
        <f>IF(BH600="","",IF(BK600="","",IF(OR(BK600&lt;RepFrom,BK600&gt;RepTo),"",IF(BN600="","",BN600+ROW()/1000000))))</f>
        <v>0</v>
      </c>
      <c r="BS600" s="32">
        <f>IF(BM600="","",IF(BK600="","",IF(YEAR(BK600)&lt;&gt;PlanYear,"",BM600+ROW()/1000000)))</f>
        <v>0</v>
      </c>
      <c r="BT600" s="17">
        <f>IF(Lists!$F600="","",Lists!$F600)</f>
        <v>0</v>
      </c>
      <c r="BU600" s="23">
        <f>IF(BT600="","",COUNTIF('Content Calendar'!$X$5:$X$604,BT600))</f>
        <v>0</v>
      </c>
      <c r="BV600" s="23">
        <f>IF(BT600="","",COUNTIFS('Content Calendar'!$X$5:$X$604,BT600,'Content Calendar'!$B$5:$B$604,"&gt;="&amp;DashStart,'Content Calendar'!$B$5:$B$604,"&lt;="&amp;DashEnd))</f>
        <v>0</v>
      </c>
      <c r="BW600" s="17">
        <f>IF(Team!$B$600="","",Team!$B$600)</f>
        <v>0</v>
      </c>
      <c r="BX600" s="23">
        <f>IF(BW600="","",COUNTIF('Content Calendar'!$W$5:$W$604,BW600))</f>
        <v>0</v>
      </c>
      <c r="BY600" s="23">
        <f>IF(BW600="","",COUNTIFS('Content Calendar'!$W$5:$W$604,BW600,'Content Calendar'!$X$5:$X$604,"&lt;&gt;Published"))</f>
        <v>0</v>
      </c>
      <c r="BZ600" s="23">
        <f>IF(BW600="","",COUNTIFS(Tasks!$C$5:$C$64,BW600,Tasks!$G$5:$G$64,"&lt;&gt;Complete"))</f>
        <v>0</v>
      </c>
      <c r="CA600" s="17">
        <f>IF(Campaigns!$B$600="","",Campaigns!$B$600)</f>
        <v>0</v>
      </c>
      <c r="CB600" s="25">
        <f>IF(Campaigns!$T$600="","",Campaigns!$T$600)</f>
        <v>0</v>
      </c>
      <c r="CC600" s="25">
        <f>IF(Campaigns!$Q$600="","",Campaigns!$Q$600)</f>
        <v>0</v>
      </c>
      <c r="CD600" s="23">
        <f>IF(Campaigns!$Y$600="","",Campaigns!$Y$600)</f>
        <v>0</v>
      </c>
      <c r="CE600" s="32">
        <f>IF(CA600="","",IF(N(CB600)&lt;=0,"",N(CB600)+ROW()/1000000))</f>
        <v>0</v>
      </c>
      <c r="CF600" s="17">
        <f>IF(Accounts!$C$600="","",Accounts!$C$600)</f>
        <v>0</v>
      </c>
      <c r="CG600" s="17">
        <f>IF(Accounts!$B$600="","",Accounts!$B$600)</f>
        <v>0</v>
      </c>
      <c r="CH600" s="23">
        <f>IF(Accounts!$J$600="","",Accounts!$J$600)</f>
        <v>0</v>
      </c>
      <c r="CI600" s="23">
        <f>IF(CF600="","",SUMIFS(Analytics!$X$5:$X$154,Analytics!$E$5:$E$154,CF600,Analytics!$B$5:$B$154,"&gt;="&amp;DashStart,Analytics!$B$5:$B$154,"&lt;="&amp;DashEnd))</f>
        <v>0</v>
      </c>
      <c r="CJ600" s="32">
        <f>IF(CH600="","",IF(CH600=0,"",CH600+ROW()/1000000))</f>
        <v>0</v>
      </c>
    </row>
    <row r="601" spans="1:88">
      <c r="A601" s="16">
        <f>IF(ROW()-4&gt;12,"",DATE(PlanYear,ROW()-4,1))</f>
        <v>0</v>
      </c>
      <c r="B601" s="16">
        <f>IF(A601="","",EOMONTH(A601,0))</f>
        <v>0</v>
      </c>
      <c r="C601" s="17">
        <f>IF(A601="","",TEXT(A601,"yyyy-mm"))</f>
        <v>0</v>
      </c>
      <c r="D601" s="17">
        <f>IF(A601="","",TEXT(A601,"mmm"))</f>
        <v>0</v>
      </c>
      <c r="E601" s="23">
        <f>IF(C601="","",COUNTIFS('Content Calendar'!$D$5:$D$604,C601))</f>
        <v>0</v>
      </c>
      <c r="F601" s="23">
        <f>IF(C601="","",COUNTIFS('Content Calendar'!$D$5:$D$604,C601,'Content Calendar'!$X$5:$X$604,"Published"))</f>
        <v>0</v>
      </c>
      <c r="G601" s="23">
        <f>IF(C601="","",SUMIFS(Analytics!$J$5:$J$154,Analytics!$C$5:$C$154,C601))</f>
        <v>0</v>
      </c>
      <c r="H601" s="23">
        <f>IF(C601="","",SUMIFS(Analytics!$K$5:$K$154,Analytics!$C$5:$C$154,C601))</f>
        <v>0</v>
      </c>
      <c r="I601" s="23">
        <f>IF(C601="","",SUMIFS(Analytics!$L$5:$L$154,Analytics!$C$5:$C$154,C601))</f>
        <v>0</v>
      </c>
      <c r="J601" s="24">
        <f>IF(OR(G601="",G601=0),"",I601/G601)</f>
        <v>0</v>
      </c>
      <c r="K601" s="23">
        <f>IF(C601="","",SUMIFS(Analytics!$G$5:$G$154,Analytics!$C$5:$C$154,C601))</f>
        <v>0</v>
      </c>
      <c r="L601" s="23">
        <f>IF(C601="","",SUMIFS(Analytics!$X$5:$X$154,Analytics!$C$5:$C$154,C601))</f>
        <v>0</v>
      </c>
      <c r="M601" s="23">
        <f>IF(C601="","",SUMIFS(Analytics!$R$5:$R$154,Analytics!$C$5:$C$154,C601))</f>
        <v>0</v>
      </c>
      <c r="N601" s="23">
        <f>IF(C601="","",SUMIFS(Analytics!$S$5:$S$154,Analytics!$C$5:$C$154,C601))</f>
        <v>0</v>
      </c>
      <c r="O601" s="23">
        <f>IF(C601="","",SUMIFS(Analytics!$T$5:$T$154,Analytics!$C$5:$C$154,C601))</f>
        <v>0</v>
      </c>
      <c r="P601" s="25">
        <f>IF(C601="","",SUMIFS(Analytics!$U$5:$U$154,Analytics!$C$5:$C$154,C601))</f>
        <v>0</v>
      </c>
      <c r="Q601" s="25">
        <f>IF(C601="","",SUMIFS(Budget!$H$5:$H$64,Budget!$C$5:$C$64,C601))</f>
        <v>0</v>
      </c>
      <c r="R601" s="25">
        <f>IF(C601="","",P601-Q601)</f>
        <v>0</v>
      </c>
      <c r="S601" s="23">
        <f>IF(C601="","",MonthlyPostTarget)</f>
        <v>0</v>
      </c>
      <c r="T601" s="17">
        <f>IF(Lists!$C601="","",Lists!$C601)</f>
        <v>0</v>
      </c>
      <c r="U601" s="23">
        <f>IF(T601="","",COUNTIFS('Content Calendar'!$G$5:$G$604,T601,'Content Calendar'!$B$5:$B$604,"&gt;="&amp;DashStart,'Content Calendar'!$B$5:$B$604,"&lt;="&amp;DashEnd))</f>
        <v>0</v>
      </c>
      <c r="V601" s="23">
        <f>IF(T601="","",COUNTIFS('Content Calendar'!$G$5:$G$604,T601,'Content Calendar'!$X$5:$X$604,"Published",'Content Calendar'!$B$5:$B$604,"&gt;="&amp;DashStart,'Content Calendar'!$B$5:$B$604,"&lt;="&amp;DashEnd))</f>
        <v>0</v>
      </c>
      <c r="W601" s="23">
        <f>IF(T601="","",SUMIFS(Analytics!$J$5:$J$154,Analytics!$D$5:$D$154,T601,Analytics!$B$5:$B$154,"&gt;="&amp;DashStart,Analytics!$B$5:$B$154,"&lt;="&amp;DashEnd))</f>
        <v>0</v>
      </c>
      <c r="X601" s="23">
        <f>IF(T601="","",SUMIFS(Analytics!$L$5:$L$154,Analytics!$D$5:$D$154,T601,Analytics!$B$5:$B$154,"&gt;="&amp;DashStart,Analytics!$B$5:$B$154,"&lt;="&amp;DashEnd))</f>
        <v>0</v>
      </c>
      <c r="Y601" s="24">
        <f>IF(OR(W601="",W601=0),"",X601/W601)</f>
        <v>0</v>
      </c>
      <c r="Z601" s="23">
        <f>IF(T601="","",SUMIFS(Analytics!$G$5:$G$154,Analytics!$D$5:$D$154,T601,Analytics!$B$5:$B$154,"&gt;="&amp;DashStart,Analytics!$B$5:$B$154,"&lt;="&amp;DashEnd))</f>
        <v>0</v>
      </c>
      <c r="AA601" s="23">
        <f>IF(T601="","",SUMIFS(Analytics!$X$5:$X$154,Analytics!$D$5:$D$154,T601,Analytics!$B$5:$B$154,"&gt;="&amp;DashStart,Analytics!$B$5:$B$154,"&lt;="&amp;DashEnd))</f>
        <v>0</v>
      </c>
      <c r="AB601" s="23">
        <f>IF(T601="","",SUMIFS(Analytics!$R$5:$R$154,Analytics!$D$5:$D$154,T601,Analytics!$B$5:$B$154,"&gt;="&amp;DashStart,Analytics!$B$5:$B$154,"&lt;="&amp;DashEnd))</f>
        <v>0</v>
      </c>
      <c r="AC601" s="25">
        <f>IF(T601="","",SUMIFS(Analytics!$U$5:$U$154,Analytics!$D$5:$D$154,T601,Analytics!$B$5:$B$154,"&gt;="&amp;DashStart,Analytics!$B$5:$B$154,"&lt;="&amp;DashEnd))</f>
        <v>0</v>
      </c>
      <c r="AD601" s="23">
        <f>IF(T601="","",COUNTIFS('Content Calendar'!$G$5:$G$604,T601,'Content Calendar'!$B$5:$B$604,"&gt;="&amp;DATE(PlanYear,1,1),'Content Calendar'!$B$5:$B$604,"&lt;="&amp;DATE(PlanYear,12,31)))</f>
        <v>0</v>
      </c>
      <c r="AE601" s="23">
        <f>IF(T601="","",SUMIFS(Analytics!$J$5:$J$154,Analytics!$D$5:$D$154,T601))</f>
        <v>0</v>
      </c>
      <c r="AF601" s="23">
        <f>IF(T601="","",SUMIFS(Analytics!$L$5:$L$154,Analytics!$D$5:$D$154,T601))</f>
        <v>0</v>
      </c>
      <c r="AG601" s="24">
        <f>IF(OR(AE601="",AE601=0),"",AF601/AE601)</f>
        <v>0</v>
      </c>
      <c r="AH601" s="23">
        <f>IF(T601="","",SUMIFS(Analytics!$X$5:$X$154,Analytics!$D$5:$D$154,T601))</f>
        <v>0</v>
      </c>
      <c r="AI601" s="32">
        <f>IF(T601="","",IF(AE601=0,"",AE601+ROW()/1000000))</f>
        <v>0</v>
      </c>
      <c r="AJ601" s="17">
        <f>IF('Content Pillars'!$B$601="","",'Content Pillars'!$B$601)</f>
        <v>0</v>
      </c>
      <c r="AK601" s="23">
        <f>IF(AJ601="","",COUNTIFS('Content Calendar'!$J$5:$J$604,AJ601,'Content Calendar'!$B$5:$B$604,"&gt;="&amp;DATE(PlanYear,1,1),'Content Calendar'!$B$5:$B$604,"&lt;="&amp;DATE(PlanYear,12,31)))</f>
        <v>0</v>
      </c>
      <c r="AL601" s="23">
        <f>IF(AJ601="","",SUMIFS(Performance!$O$5:$O$404,Performance!$H$5:$H$404,AJ601))</f>
        <v>0</v>
      </c>
      <c r="AM601" s="23">
        <f>IF(AJ601="","",SUMIFS(Performance!$Z$5:$Z$404,Performance!$H$5:$H$404,AJ601))</f>
        <v>0</v>
      </c>
      <c r="AN601" s="24">
        <f>IF(OR(AL601="",AL601=0),"",AM601/AL601)</f>
        <v>0</v>
      </c>
      <c r="AO601" s="32">
        <f>IF(AN601="","",AN601+ROW()/1000000)</f>
        <v>0</v>
      </c>
      <c r="AP601" s="17">
        <f>IF(Lists!$E601="","",Lists!$E601)</f>
        <v>0</v>
      </c>
      <c r="AQ601" s="23">
        <f>IF(AP601="","",COUNTIF(Performance!$G$5:$G$404,AP601))</f>
        <v>0</v>
      </c>
      <c r="AR601" s="23">
        <f>IF(AP601="","",SUMIFS(Performance!$O$5:$O$404,Performance!$G$5:$G$404,AP601))</f>
        <v>0</v>
      </c>
      <c r="AS601" s="23">
        <f>IF(AP601="","",SUMIFS(Performance!$Z$5:$Z$404,Performance!$G$5:$G$404,AP601))</f>
        <v>0</v>
      </c>
      <c r="AT601" s="24">
        <f>IF(OR(AR601="",AR601=0),"",AS601/AR601)</f>
        <v>0</v>
      </c>
      <c r="AU601" s="32">
        <f>IF(AQ601=0,"",IF(AT601="","",AT601+ROW()/1000000))</f>
        <v>0</v>
      </c>
      <c r="AV601" s="17">
        <f>IF(ROW()-4&gt;7,"",TEXT(DATE(2024,1,ROW()-4),"ddd"))</f>
        <v>0</v>
      </c>
      <c r="AW601" s="23">
        <f>IF(AV601="","",COUNTIF(Performance!$N$5:$N$404,AV601))</f>
        <v>0</v>
      </c>
      <c r="AX601" s="23">
        <f>IF(AV601="","",SUMIFS(Performance!$O$5:$O$404,Performance!$N$5:$N$404,AV601))</f>
        <v>0</v>
      </c>
      <c r="AY601" s="23">
        <f>IF(AV601="","",SUMIFS(Performance!$Z$5:$Z$404,Performance!$N$5:$N$404,AV601))</f>
        <v>0</v>
      </c>
      <c r="AZ601" s="24">
        <f>IF(OR(AX601="",AX601=0),"",AY601/AX601)</f>
        <v>0</v>
      </c>
      <c r="BA601" s="32">
        <f>IF(AW601=0,"",IF(AZ601="","",AZ601+ROW()/1000000))</f>
        <v>0</v>
      </c>
      <c r="BB601" s="17">
        <f>IF(Lists!$AL601="","",Lists!$AL601)</f>
        <v>0</v>
      </c>
      <c r="BC601" s="23">
        <f>IF(BB601="","",COUNTIF(Performance!$M$5:$M$404,BB601))</f>
        <v>0</v>
      </c>
      <c r="BD601" s="23">
        <f>IF(BB601="","",SUMIFS(Performance!$O$5:$O$404,Performance!$M$5:$M$404,BB601))</f>
        <v>0</v>
      </c>
      <c r="BE601" s="23">
        <f>IF(BB601="","",SUMIFS(Performance!$Z$5:$Z$404,Performance!$M$5:$M$404,BB601))</f>
        <v>0</v>
      </c>
      <c r="BF601" s="24">
        <f>IF(OR(BD601="",BD601=0),"",BE601/BD601)</f>
        <v>0</v>
      </c>
      <c r="BG601" s="32">
        <f>IF(BC601=0,"",IF(BF601="","",BF601+ROW()/1000000))</f>
        <v>0</v>
      </c>
      <c r="BH601" s="17">
        <f>IF(Performance!$C$601="","",Performance!$C$601)</f>
        <v>0</v>
      </c>
      <c r="BI601" s="17">
        <f>IF(Performance!$F$601="","",Performance!$F$601)</f>
        <v>0</v>
      </c>
      <c r="BJ601" s="17">
        <f>IF(Performance!$H$601="","",Performance!$H$601)</f>
        <v>0</v>
      </c>
      <c r="BK601" s="16">
        <f>IF(Performance!$D$601="","",Performance!$D$601)</f>
        <v>0</v>
      </c>
      <c r="BL601" s="17">
        <f>IF(Performance!$E$601="","",Performance!$E$601)</f>
        <v>0</v>
      </c>
      <c r="BM601" s="23">
        <f>IF(Performance!$O$601="","",Performance!$O$601)</f>
        <v>0</v>
      </c>
      <c r="BN601" s="24">
        <f>IF(Performance!$AA$601="","",Performance!$AA$601)</f>
        <v>0</v>
      </c>
      <c r="BO601" s="32">
        <f>IF(BH601="","",IF(BK601="","",IF(OR(BK601&lt;DashStart,BK601&gt;DashEnd),"",IF(BN601="","",BN601+ROW()/1000000))))</f>
        <v>0</v>
      </c>
      <c r="BP601" s="32">
        <f>IF(BM601="","",IF(BK601="","",IF(OR(BK601&lt;DashStart,BK601&gt;DashEnd),"",BM601+ROW()/1000000)))</f>
        <v>0</v>
      </c>
      <c r="BQ601" s="32">
        <f>IF(BH601="","",IF(BK601="","",IF(YEAR(BK601)&lt;&gt;PlanYear,"",IF(BN601="","",BN601+ROW()/1000000))))</f>
        <v>0</v>
      </c>
      <c r="BR601" s="32">
        <f>IF(BH601="","",IF(BK601="","",IF(OR(BK601&lt;RepFrom,BK601&gt;RepTo),"",IF(BN601="","",BN601+ROW()/1000000))))</f>
        <v>0</v>
      </c>
      <c r="BS601" s="32">
        <f>IF(BM601="","",IF(BK601="","",IF(YEAR(BK601)&lt;&gt;PlanYear,"",BM601+ROW()/1000000)))</f>
        <v>0</v>
      </c>
      <c r="BT601" s="17">
        <f>IF(Lists!$F601="","",Lists!$F601)</f>
        <v>0</v>
      </c>
      <c r="BU601" s="23">
        <f>IF(BT601="","",COUNTIF('Content Calendar'!$X$5:$X$604,BT601))</f>
        <v>0</v>
      </c>
      <c r="BV601" s="23">
        <f>IF(BT601="","",COUNTIFS('Content Calendar'!$X$5:$X$604,BT601,'Content Calendar'!$B$5:$B$604,"&gt;="&amp;DashStart,'Content Calendar'!$B$5:$B$604,"&lt;="&amp;DashEnd))</f>
        <v>0</v>
      </c>
      <c r="BW601" s="17">
        <f>IF(Team!$B$601="","",Team!$B$601)</f>
        <v>0</v>
      </c>
      <c r="BX601" s="23">
        <f>IF(BW601="","",COUNTIF('Content Calendar'!$W$5:$W$604,BW601))</f>
        <v>0</v>
      </c>
      <c r="BY601" s="23">
        <f>IF(BW601="","",COUNTIFS('Content Calendar'!$W$5:$W$604,BW601,'Content Calendar'!$X$5:$X$604,"&lt;&gt;Published"))</f>
        <v>0</v>
      </c>
      <c r="BZ601" s="23">
        <f>IF(BW601="","",COUNTIFS(Tasks!$C$5:$C$64,BW601,Tasks!$G$5:$G$64,"&lt;&gt;Complete"))</f>
        <v>0</v>
      </c>
      <c r="CA601" s="17">
        <f>IF(Campaigns!$B$601="","",Campaigns!$B$601)</f>
        <v>0</v>
      </c>
      <c r="CB601" s="25">
        <f>IF(Campaigns!$T$601="","",Campaigns!$T$601)</f>
        <v>0</v>
      </c>
      <c r="CC601" s="25">
        <f>IF(Campaigns!$Q$601="","",Campaigns!$Q$601)</f>
        <v>0</v>
      </c>
      <c r="CD601" s="23">
        <f>IF(Campaigns!$Y$601="","",Campaigns!$Y$601)</f>
        <v>0</v>
      </c>
      <c r="CE601" s="32">
        <f>IF(CA601="","",IF(N(CB601)&lt;=0,"",N(CB601)+ROW()/1000000))</f>
        <v>0</v>
      </c>
      <c r="CF601" s="17">
        <f>IF(Accounts!$C$601="","",Accounts!$C$601)</f>
        <v>0</v>
      </c>
      <c r="CG601" s="17">
        <f>IF(Accounts!$B$601="","",Accounts!$B$601)</f>
        <v>0</v>
      </c>
      <c r="CH601" s="23">
        <f>IF(Accounts!$J$601="","",Accounts!$J$601)</f>
        <v>0</v>
      </c>
      <c r="CI601" s="23">
        <f>IF(CF601="","",SUMIFS(Analytics!$X$5:$X$154,Analytics!$E$5:$E$154,CF601,Analytics!$B$5:$B$154,"&gt;="&amp;DashStart,Analytics!$B$5:$B$154,"&lt;="&amp;DashEnd))</f>
        <v>0</v>
      </c>
      <c r="CJ601" s="32">
        <f>IF(CH601="","",IF(CH601=0,"",CH601+ROW()/1000000))</f>
        <v>0</v>
      </c>
    </row>
    <row r="602" spans="1:88">
      <c r="A602" s="16">
        <f>IF(ROW()-4&gt;12,"",DATE(PlanYear,ROW()-4,1))</f>
        <v>0</v>
      </c>
      <c r="B602" s="16">
        <f>IF(A602="","",EOMONTH(A602,0))</f>
        <v>0</v>
      </c>
      <c r="C602" s="17">
        <f>IF(A602="","",TEXT(A602,"yyyy-mm"))</f>
        <v>0</v>
      </c>
      <c r="D602" s="17">
        <f>IF(A602="","",TEXT(A602,"mmm"))</f>
        <v>0</v>
      </c>
      <c r="E602" s="23">
        <f>IF(C602="","",COUNTIFS('Content Calendar'!$D$5:$D$604,C602))</f>
        <v>0</v>
      </c>
      <c r="F602" s="23">
        <f>IF(C602="","",COUNTIFS('Content Calendar'!$D$5:$D$604,C602,'Content Calendar'!$X$5:$X$604,"Published"))</f>
        <v>0</v>
      </c>
      <c r="G602" s="23">
        <f>IF(C602="","",SUMIFS(Analytics!$J$5:$J$154,Analytics!$C$5:$C$154,C602))</f>
        <v>0</v>
      </c>
      <c r="H602" s="23">
        <f>IF(C602="","",SUMIFS(Analytics!$K$5:$K$154,Analytics!$C$5:$C$154,C602))</f>
        <v>0</v>
      </c>
      <c r="I602" s="23">
        <f>IF(C602="","",SUMIFS(Analytics!$L$5:$L$154,Analytics!$C$5:$C$154,C602))</f>
        <v>0</v>
      </c>
      <c r="J602" s="24">
        <f>IF(OR(G602="",G602=0),"",I602/G602)</f>
        <v>0</v>
      </c>
      <c r="K602" s="23">
        <f>IF(C602="","",SUMIFS(Analytics!$G$5:$G$154,Analytics!$C$5:$C$154,C602))</f>
        <v>0</v>
      </c>
      <c r="L602" s="23">
        <f>IF(C602="","",SUMIFS(Analytics!$X$5:$X$154,Analytics!$C$5:$C$154,C602))</f>
        <v>0</v>
      </c>
      <c r="M602" s="23">
        <f>IF(C602="","",SUMIFS(Analytics!$R$5:$R$154,Analytics!$C$5:$C$154,C602))</f>
        <v>0</v>
      </c>
      <c r="N602" s="23">
        <f>IF(C602="","",SUMIFS(Analytics!$S$5:$S$154,Analytics!$C$5:$C$154,C602))</f>
        <v>0</v>
      </c>
      <c r="O602" s="23">
        <f>IF(C602="","",SUMIFS(Analytics!$T$5:$T$154,Analytics!$C$5:$C$154,C602))</f>
        <v>0</v>
      </c>
      <c r="P602" s="25">
        <f>IF(C602="","",SUMIFS(Analytics!$U$5:$U$154,Analytics!$C$5:$C$154,C602))</f>
        <v>0</v>
      </c>
      <c r="Q602" s="25">
        <f>IF(C602="","",SUMIFS(Budget!$H$5:$H$64,Budget!$C$5:$C$64,C602))</f>
        <v>0</v>
      </c>
      <c r="R602" s="25">
        <f>IF(C602="","",P602-Q602)</f>
        <v>0</v>
      </c>
      <c r="S602" s="23">
        <f>IF(C602="","",MonthlyPostTarget)</f>
        <v>0</v>
      </c>
      <c r="T602" s="17">
        <f>IF(Lists!$C602="","",Lists!$C602)</f>
        <v>0</v>
      </c>
      <c r="U602" s="23">
        <f>IF(T602="","",COUNTIFS('Content Calendar'!$G$5:$G$604,T602,'Content Calendar'!$B$5:$B$604,"&gt;="&amp;DashStart,'Content Calendar'!$B$5:$B$604,"&lt;="&amp;DashEnd))</f>
        <v>0</v>
      </c>
      <c r="V602" s="23">
        <f>IF(T602="","",COUNTIFS('Content Calendar'!$G$5:$G$604,T602,'Content Calendar'!$X$5:$X$604,"Published",'Content Calendar'!$B$5:$B$604,"&gt;="&amp;DashStart,'Content Calendar'!$B$5:$B$604,"&lt;="&amp;DashEnd))</f>
        <v>0</v>
      </c>
      <c r="W602" s="23">
        <f>IF(T602="","",SUMIFS(Analytics!$J$5:$J$154,Analytics!$D$5:$D$154,T602,Analytics!$B$5:$B$154,"&gt;="&amp;DashStart,Analytics!$B$5:$B$154,"&lt;="&amp;DashEnd))</f>
        <v>0</v>
      </c>
      <c r="X602" s="23">
        <f>IF(T602="","",SUMIFS(Analytics!$L$5:$L$154,Analytics!$D$5:$D$154,T602,Analytics!$B$5:$B$154,"&gt;="&amp;DashStart,Analytics!$B$5:$B$154,"&lt;="&amp;DashEnd))</f>
        <v>0</v>
      </c>
      <c r="Y602" s="24">
        <f>IF(OR(W602="",W602=0),"",X602/W602)</f>
        <v>0</v>
      </c>
      <c r="Z602" s="23">
        <f>IF(T602="","",SUMIFS(Analytics!$G$5:$G$154,Analytics!$D$5:$D$154,T602,Analytics!$B$5:$B$154,"&gt;="&amp;DashStart,Analytics!$B$5:$B$154,"&lt;="&amp;DashEnd))</f>
        <v>0</v>
      </c>
      <c r="AA602" s="23">
        <f>IF(T602="","",SUMIFS(Analytics!$X$5:$X$154,Analytics!$D$5:$D$154,T602,Analytics!$B$5:$B$154,"&gt;="&amp;DashStart,Analytics!$B$5:$B$154,"&lt;="&amp;DashEnd))</f>
        <v>0</v>
      </c>
      <c r="AB602" s="23">
        <f>IF(T602="","",SUMIFS(Analytics!$R$5:$R$154,Analytics!$D$5:$D$154,T602,Analytics!$B$5:$B$154,"&gt;="&amp;DashStart,Analytics!$B$5:$B$154,"&lt;="&amp;DashEnd))</f>
        <v>0</v>
      </c>
      <c r="AC602" s="25">
        <f>IF(T602="","",SUMIFS(Analytics!$U$5:$U$154,Analytics!$D$5:$D$154,T602,Analytics!$B$5:$B$154,"&gt;="&amp;DashStart,Analytics!$B$5:$B$154,"&lt;="&amp;DashEnd))</f>
        <v>0</v>
      </c>
      <c r="AD602" s="23">
        <f>IF(T602="","",COUNTIFS('Content Calendar'!$G$5:$G$604,T602,'Content Calendar'!$B$5:$B$604,"&gt;="&amp;DATE(PlanYear,1,1),'Content Calendar'!$B$5:$B$604,"&lt;="&amp;DATE(PlanYear,12,31)))</f>
        <v>0</v>
      </c>
      <c r="AE602" s="23">
        <f>IF(T602="","",SUMIFS(Analytics!$J$5:$J$154,Analytics!$D$5:$D$154,T602))</f>
        <v>0</v>
      </c>
      <c r="AF602" s="23">
        <f>IF(T602="","",SUMIFS(Analytics!$L$5:$L$154,Analytics!$D$5:$D$154,T602))</f>
        <v>0</v>
      </c>
      <c r="AG602" s="24">
        <f>IF(OR(AE602="",AE602=0),"",AF602/AE602)</f>
        <v>0</v>
      </c>
      <c r="AH602" s="23">
        <f>IF(T602="","",SUMIFS(Analytics!$X$5:$X$154,Analytics!$D$5:$D$154,T602))</f>
        <v>0</v>
      </c>
      <c r="AI602" s="32">
        <f>IF(T602="","",IF(AE602=0,"",AE602+ROW()/1000000))</f>
        <v>0</v>
      </c>
      <c r="AJ602" s="17">
        <f>IF('Content Pillars'!$B$602="","",'Content Pillars'!$B$602)</f>
        <v>0</v>
      </c>
      <c r="AK602" s="23">
        <f>IF(AJ602="","",COUNTIFS('Content Calendar'!$J$5:$J$604,AJ602,'Content Calendar'!$B$5:$B$604,"&gt;="&amp;DATE(PlanYear,1,1),'Content Calendar'!$B$5:$B$604,"&lt;="&amp;DATE(PlanYear,12,31)))</f>
        <v>0</v>
      </c>
      <c r="AL602" s="23">
        <f>IF(AJ602="","",SUMIFS(Performance!$O$5:$O$404,Performance!$H$5:$H$404,AJ602))</f>
        <v>0</v>
      </c>
      <c r="AM602" s="23">
        <f>IF(AJ602="","",SUMIFS(Performance!$Z$5:$Z$404,Performance!$H$5:$H$404,AJ602))</f>
        <v>0</v>
      </c>
      <c r="AN602" s="24">
        <f>IF(OR(AL602="",AL602=0),"",AM602/AL602)</f>
        <v>0</v>
      </c>
      <c r="AO602" s="32">
        <f>IF(AN602="","",AN602+ROW()/1000000)</f>
        <v>0</v>
      </c>
      <c r="AP602" s="17">
        <f>IF(Lists!$E602="","",Lists!$E602)</f>
        <v>0</v>
      </c>
      <c r="AQ602" s="23">
        <f>IF(AP602="","",COUNTIF(Performance!$G$5:$G$404,AP602))</f>
        <v>0</v>
      </c>
      <c r="AR602" s="23">
        <f>IF(AP602="","",SUMIFS(Performance!$O$5:$O$404,Performance!$G$5:$G$404,AP602))</f>
        <v>0</v>
      </c>
      <c r="AS602" s="23">
        <f>IF(AP602="","",SUMIFS(Performance!$Z$5:$Z$404,Performance!$G$5:$G$404,AP602))</f>
        <v>0</v>
      </c>
      <c r="AT602" s="24">
        <f>IF(OR(AR602="",AR602=0),"",AS602/AR602)</f>
        <v>0</v>
      </c>
      <c r="AU602" s="32">
        <f>IF(AQ602=0,"",IF(AT602="","",AT602+ROW()/1000000))</f>
        <v>0</v>
      </c>
      <c r="AV602" s="17">
        <f>IF(ROW()-4&gt;7,"",TEXT(DATE(2024,1,ROW()-4),"ddd"))</f>
        <v>0</v>
      </c>
      <c r="AW602" s="23">
        <f>IF(AV602="","",COUNTIF(Performance!$N$5:$N$404,AV602))</f>
        <v>0</v>
      </c>
      <c r="AX602" s="23">
        <f>IF(AV602="","",SUMIFS(Performance!$O$5:$O$404,Performance!$N$5:$N$404,AV602))</f>
        <v>0</v>
      </c>
      <c r="AY602" s="23">
        <f>IF(AV602="","",SUMIFS(Performance!$Z$5:$Z$404,Performance!$N$5:$N$404,AV602))</f>
        <v>0</v>
      </c>
      <c r="AZ602" s="24">
        <f>IF(OR(AX602="",AX602=0),"",AY602/AX602)</f>
        <v>0</v>
      </c>
      <c r="BA602" s="32">
        <f>IF(AW602=0,"",IF(AZ602="","",AZ602+ROW()/1000000))</f>
        <v>0</v>
      </c>
      <c r="BB602" s="17">
        <f>IF(Lists!$AL602="","",Lists!$AL602)</f>
        <v>0</v>
      </c>
      <c r="BC602" s="23">
        <f>IF(BB602="","",COUNTIF(Performance!$M$5:$M$404,BB602))</f>
        <v>0</v>
      </c>
      <c r="BD602" s="23">
        <f>IF(BB602="","",SUMIFS(Performance!$O$5:$O$404,Performance!$M$5:$M$404,BB602))</f>
        <v>0</v>
      </c>
      <c r="BE602" s="23">
        <f>IF(BB602="","",SUMIFS(Performance!$Z$5:$Z$404,Performance!$M$5:$M$404,BB602))</f>
        <v>0</v>
      </c>
      <c r="BF602" s="24">
        <f>IF(OR(BD602="",BD602=0),"",BE602/BD602)</f>
        <v>0</v>
      </c>
      <c r="BG602" s="32">
        <f>IF(BC602=0,"",IF(BF602="","",BF602+ROW()/1000000))</f>
        <v>0</v>
      </c>
      <c r="BH602" s="17">
        <f>IF(Performance!$C$602="","",Performance!$C$602)</f>
        <v>0</v>
      </c>
      <c r="BI602" s="17">
        <f>IF(Performance!$F$602="","",Performance!$F$602)</f>
        <v>0</v>
      </c>
      <c r="BJ602" s="17">
        <f>IF(Performance!$H$602="","",Performance!$H$602)</f>
        <v>0</v>
      </c>
      <c r="BK602" s="16">
        <f>IF(Performance!$D$602="","",Performance!$D$602)</f>
        <v>0</v>
      </c>
      <c r="BL602" s="17">
        <f>IF(Performance!$E$602="","",Performance!$E$602)</f>
        <v>0</v>
      </c>
      <c r="BM602" s="23">
        <f>IF(Performance!$O$602="","",Performance!$O$602)</f>
        <v>0</v>
      </c>
      <c r="BN602" s="24">
        <f>IF(Performance!$AA$602="","",Performance!$AA$602)</f>
        <v>0</v>
      </c>
      <c r="BO602" s="32">
        <f>IF(BH602="","",IF(BK602="","",IF(OR(BK602&lt;DashStart,BK602&gt;DashEnd),"",IF(BN602="","",BN602+ROW()/1000000))))</f>
        <v>0</v>
      </c>
      <c r="BP602" s="32">
        <f>IF(BM602="","",IF(BK602="","",IF(OR(BK602&lt;DashStart,BK602&gt;DashEnd),"",BM602+ROW()/1000000)))</f>
        <v>0</v>
      </c>
      <c r="BQ602" s="32">
        <f>IF(BH602="","",IF(BK602="","",IF(YEAR(BK602)&lt;&gt;PlanYear,"",IF(BN602="","",BN602+ROW()/1000000))))</f>
        <v>0</v>
      </c>
      <c r="BR602" s="32">
        <f>IF(BH602="","",IF(BK602="","",IF(OR(BK602&lt;RepFrom,BK602&gt;RepTo),"",IF(BN602="","",BN602+ROW()/1000000))))</f>
        <v>0</v>
      </c>
      <c r="BS602" s="32">
        <f>IF(BM602="","",IF(BK602="","",IF(YEAR(BK602)&lt;&gt;PlanYear,"",BM602+ROW()/1000000)))</f>
        <v>0</v>
      </c>
      <c r="BT602" s="17">
        <f>IF(Lists!$F602="","",Lists!$F602)</f>
        <v>0</v>
      </c>
      <c r="BU602" s="23">
        <f>IF(BT602="","",COUNTIF('Content Calendar'!$X$5:$X$604,BT602))</f>
        <v>0</v>
      </c>
      <c r="BV602" s="23">
        <f>IF(BT602="","",COUNTIFS('Content Calendar'!$X$5:$X$604,BT602,'Content Calendar'!$B$5:$B$604,"&gt;="&amp;DashStart,'Content Calendar'!$B$5:$B$604,"&lt;="&amp;DashEnd))</f>
        <v>0</v>
      </c>
      <c r="BW602" s="17">
        <f>IF(Team!$B$602="","",Team!$B$602)</f>
        <v>0</v>
      </c>
      <c r="BX602" s="23">
        <f>IF(BW602="","",COUNTIF('Content Calendar'!$W$5:$W$604,BW602))</f>
        <v>0</v>
      </c>
      <c r="BY602" s="23">
        <f>IF(BW602="","",COUNTIFS('Content Calendar'!$W$5:$W$604,BW602,'Content Calendar'!$X$5:$X$604,"&lt;&gt;Published"))</f>
        <v>0</v>
      </c>
      <c r="BZ602" s="23">
        <f>IF(BW602="","",COUNTIFS(Tasks!$C$5:$C$64,BW602,Tasks!$G$5:$G$64,"&lt;&gt;Complete"))</f>
        <v>0</v>
      </c>
      <c r="CA602" s="17">
        <f>IF(Campaigns!$B$602="","",Campaigns!$B$602)</f>
        <v>0</v>
      </c>
      <c r="CB602" s="25">
        <f>IF(Campaigns!$T$602="","",Campaigns!$T$602)</f>
        <v>0</v>
      </c>
      <c r="CC602" s="25">
        <f>IF(Campaigns!$Q$602="","",Campaigns!$Q$602)</f>
        <v>0</v>
      </c>
      <c r="CD602" s="23">
        <f>IF(Campaigns!$Y$602="","",Campaigns!$Y$602)</f>
        <v>0</v>
      </c>
      <c r="CE602" s="32">
        <f>IF(CA602="","",IF(N(CB602)&lt;=0,"",N(CB602)+ROW()/1000000))</f>
        <v>0</v>
      </c>
      <c r="CF602" s="17">
        <f>IF(Accounts!$C$602="","",Accounts!$C$602)</f>
        <v>0</v>
      </c>
      <c r="CG602" s="17">
        <f>IF(Accounts!$B$602="","",Accounts!$B$602)</f>
        <v>0</v>
      </c>
      <c r="CH602" s="23">
        <f>IF(Accounts!$J$602="","",Accounts!$J$602)</f>
        <v>0</v>
      </c>
      <c r="CI602" s="23">
        <f>IF(CF602="","",SUMIFS(Analytics!$X$5:$X$154,Analytics!$E$5:$E$154,CF602,Analytics!$B$5:$B$154,"&gt;="&amp;DashStart,Analytics!$B$5:$B$154,"&lt;="&amp;DashEnd))</f>
        <v>0</v>
      </c>
      <c r="CJ602" s="32">
        <f>IF(CH602="","",IF(CH602=0,"",CH602+ROW()/1000000))</f>
        <v>0</v>
      </c>
    </row>
    <row r="603" spans="1:88">
      <c r="A603" s="16">
        <f>IF(ROW()-4&gt;12,"",DATE(PlanYear,ROW()-4,1))</f>
        <v>0</v>
      </c>
      <c r="B603" s="16">
        <f>IF(A603="","",EOMONTH(A603,0))</f>
        <v>0</v>
      </c>
      <c r="C603" s="17">
        <f>IF(A603="","",TEXT(A603,"yyyy-mm"))</f>
        <v>0</v>
      </c>
      <c r="D603" s="17">
        <f>IF(A603="","",TEXT(A603,"mmm"))</f>
        <v>0</v>
      </c>
      <c r="E603" s="23">
        <f>IF(C603="","",COUNTIFS('Content Calendar'!$D$5:$D$604,C603))</f>
        <v>0</v>
      </c>
      <c r="F603" s="23">
        <f>IF(C603="","",COUNTIFS('Content Calendar'!$D$5:$D$604,C603,'Content Calendar'!$X$5:$X$604,"Published"))</f>
        <v>0</v>
      </c>
      <c r="G603" s="23">
        <f>IF(C603="","",SUMIFS(Analytics!$J$5:$J$154,Analytics!$C$5:$C$154,C603))</f>
        <v>0</v>
      </c>
      <c r="H603" s="23">
        <f>IF(C603="","",SUMIFS(Analytics!$K$5:$K$154,Analytics!$C$5:$C$154,C603))</f>
        <v>0</v>
      </c>
      <c r="I603" s="23">
        <f>IF(C603="","",SUMIFS(Analytics!$L$5:$L$154,Analytics!$C$5:$C$154,C603))</f>
        <v>0</v>
      </c>
      <c r="J603" s="24">
        <f>IF(OR(G603="",G603=0),"",I603/G603)</f>
        <v>0</v>
      </c>
      <c r="K603" s="23">
        <f>IF(C603="","",SUMIFS(Analytics!$G$5:$G$154,Analytics!$C$5:$C$154,C603))</f>
        <v>0</v>
      </c>
      <c r="L603" s="23">
        <f>IF(C603="","",SUMIFS(Analytics!$X$5:$X$154,Analytics!$C$5:$C$154,C603))</f>
        <v>0</v>
      </c>
      <c r="M603" s="23">
        <f>IF(C603="","",SUMIFS(Analytics!$R$5:$R$154,Analytics!$C$5:$C$154,C603))</f>
        <v>0</v>
      </c>
      <c r="N603" s="23">
        <f>IF(C603="","",SUMIFS(Analytics!$S$5:$S$154,Analytics!$C$5:$C$154,C603))</f>
        <v>0</v>
      </c>
      <c r="O603" s="23">
        <f>IF(C603="","",SUMIFS(Analytics!$T$5:$T$154,Analytics!$C$5:$C$154,C603))</f>
        <v>0</v>
      </c>
      <c r="P603" s="25">
        <f>IF(C603="","",SUMIFS(Analytics!$U$5:$U$154,Analytics!$C$5:$C$154,C603))</f>
        <v>0</v>
      </c>
      <c r="Q603" s="25">
        <f>IF(C603="","",SUMIFS(Budget!$H$5:$H$64,Budget!$C$5:$C$64,C603))</f>
        <v>0</v>
      </c>
      <c r="R603" s="25">
        <f>IF(C603="","",P603-Q603)</f>
        <v>0</v>
      </c>
      <c r="S603" s="23">
        <f>IF(C603="","",MonthlyPostTarget)</f>
        <v>0</v>
      </c>
      <c r="T603" s="17">
        <f>IF(Lists!$C603="","",Lists!$C603)</f>
        <v>0</v>
      </c>
      <c r="U603" s="23">
        <f>IF(T603="","",COUNTIFS('Content Calendar'!$G$5:$G$604,T603,'Content Calendar'!$B$5:$B$604,"&gt;="&amp;DashStart,'Content Calendar'!$B$5:$B$604,"&lt;="&amp;DashEnd))</f>
        <v>0</v>
      </c>
      <c r="V603" s="23">
        <f>IF(T603="","",COUNTIFS('Content Calendar'!$G$5:$G$604,T603,'Content Calendar'!$X$5:$X$604,"Published",'Content Calendar'!$B$5:$B$604,"&gt;="&amp;DashStart,'Content Calendar'!$B$5:$B$604,"&lt;="&amp;DashEnd))</f>
        <v>0</v>
      </c>
      <c r="W603" s="23">
        <f>IF(T603="","",SUMIFS(Analytics!$J$5:$J$154,Analytics!$D$5:$D$154,T603,Analytics!$B$5:$B$154,"&gt;="&amp;DashStart,Analytics!$B$5:$B$154,"&lt;="&amp;DashEnd))</f>
        <v>0</v>
      </c>
      <c r="X603" s="23">
        <f>IF(T603="","",SUMIFS(Analytics!$L$5:$L$154,Analytics!$D$5:$D$154,T603,Analytics!$B$5:$B$154,"&gt;="&amp;DashStart,Analytics!$B$5:$B$154,"&lt;="&amp;DashEnd))</f>
        <v>0</v>
      </c>
      <c r="Y603" s="24">
        <f>IF(OR(W603="",W603=0),"",X603/W603)</f>
        <v>0</v>
      </c>
      <c r="Z603" s="23">
        <f>IF(T603="","",SUMIFS(Analytics!$G$5:$G$154,Analytics!$D$5:$D$154,T603,Analytics!$B$5:$B$154,"&gt;="&amp;DashStart,Analytics!$B$5:$B$154,"&lt;="&amp;DashEnd))</f>
        <v>0</v>
      </c>
      <c r="AA603" s="23">
        <f>IF(T603="","",SUMIFS(Analytics!$X$5:$X$154,Analytics!$D$5:$D$154,T603,Analytics!$B$5:$B$154,"&gt;="&amp;DashStart,Analytics!$B$5:$B$154,"&lt;="&amp;DashEnd))</f>
        <v>0</v>
      </c>
      <c r="AB603" s="23">
        <f>IF(T603="","",SUMIFS(Analytics!$R$5:$R$154,Analytics!$D$5:$D$154,T603,Analytics!$B$5:$B$154,"&gt;="&amp;DashStart,Analytics!$B$5:$B$154,"&lt;="&amp;DashEnd))</f>
        <v>0</v>
      </c>
      <c r="AC603" s="25">
        <f>IF(T603="","",SUMIFS(Analytics!$U$5:$U$154,Analytics!$D$5:$D$154,T603,Analytics!$B$5:$B$154,"&gt;="&amp;DashStart,Analytics!$B$5:$B$154,"&lt;="&amp;DashEnd))</f>
        <v>0</v>
      </c>
      <c r="AD603" s="23">
        <f>IF(T603="","",COUNTIFS('Content Calendar'!$G$5:$G$604,T603,'Content Calendar'!$B$5:$B$604,"&gt;="&amp;DATE(PlanYear,1,1),'Content Calendar'!$B$5:$B$604,"&lt;="&amp;DATE(PlanYear,12,31)))</f>
        <v>0</v>
      </c>
      <c r="AE603" s="23">
        <f>IF(T603="","",SUMIFS(Analytics!$J$5:$J$154,Analytics!$D$5:$D$154,T603))</f>
        <v>0</v>
      </c>
      <c r="AF603" s="23">
        <f>IF(T603="","",SUMIFS(Analytics!$L$5:$L$154,Analytics!$D$5:$D$154,T603))</f>
        <v>0</v>
      </c>
      <c r="AG603" s="24">
        <f>IF(OR(AE603="",AE603=0),"",AF603/AE603)</f>
        <v>0</v>
      </c>
      <c r="AH603" s="23">
        <f>IF(T603="","",SUMIFS(Analytics!$X$5:$X$154,Analytics!$D$5:$D$154,T603))</f>
        <v>0</v>
      </c>
      <c r="AI603" s="32">
        <f>IF(T603="","",IF(AE603=0,"",AE603+ROW()/1000000))</f>
        <v>0</v>
      </c>
      <c r="AJ603" s="17">
        <f>IF('Content Pillars'!$B$603="","",'Content Pillars'!$B$603)</f>
        <v>0</v>
      </c>
      <c r="AK603" s="23">
        <f>IF(AJ603="","",COUNTIFS('Content Calendar'!$J$5:$J$604,AJ603,'Content Calendar'!$B$5:$B$604,"&gt;="&amp;DATE(PlanYear,1,1),'Content Calendar'!$B$5:$B$604,"&lt;="&amp;DATE(PlanYear,12,31)))</f>
        <v>0</v>
      </c>
      <c r="AL603" s="23">
        <f>IF(AJ603="","",SUMIFS(Performance!$O$5:$O$404,Performance!$H$5:$H$404,AJ603))</f>
        <v>0</v>
      </c>
      <c r="AM603" s="23">
        <f>IF(AJ603="","",SUMIFS(Performance!$Z$5:$Z$404,Performance!$H$5:$H$404,AJ603))</f>
        <v>0</v>
      </c>
      <c r="AN603" s="24">
        <f>IF(OR(AL603="",AL603=0),"",AM603/AL603)</f>
        <v>0</v>
      </c>
      <c r="AO603" s="32">
        <f>IF(AN603="","",AN603+ROW()/1000000)</f>
        <v>0</v>
      </c>
      <c r="AP603" s="17">
        <f>IF(Lists!$E603="","",Lists!$E603)</f>
        <v>0</v>
      </c>
      <c r="AQ603" s="23">
        <f>IF(AP603="","",COUNTIF(Performance!$G$5:$G$404,AP603))</f>
        <v>0</v>
      </c>
      <c r="AR603" s="23">
        <f>IF(AP603="","",SUMIFS(Performance!$O$5:$O$404,Performance!$G$5:$G$404,AP603))</f>
        <v>0</v>
      </c>
      <c r="AS603" s="23">
        <f>IF(AP603="","",SUMIFS(Performance!$Z$5:$Z$404,Performance!$G$5:$G$404,AP603))</f>
        <v>0</v>
      </c>
      <c r="AT603" s="24">
        <f>IF(OR(AR603="",AR603=0),"",AS603/AR603)</f>
        <v>0</v>
      </c>
      <c r="AU603" s="32">
        <f>IF(AQ603=0,"",IF(AT603="","",AT603+ROW()/1000000))</f>
        <v>0</v>
      </c>
      <c r="AV603" s="17">
        <f>IF(ROW()-4&gt;7,"",TEXT(DATE(2024,1,ROW()-4),"ddd"))</f>
        <v>0</v>
      </c>
      <c r="AW603" s="23">
        <f>IF(AV603="","",COUNTIF(Performance!$N$5:$N$404,AV603))</f>
        <v>0</v>
      </c>
      <c r="AX603" s="23">
        <f>IF(AV603="","",SUMIFS(Performance!$O$5:$O$404,Performance!$N$5:$N$404,AV603))</f>
        <v>0</v>
      </c>
      <c r="AY603" s="23">
        <f>IF(AV603="","",SUMIFS(Performance!$Z$5:$Z$404,Performance!$N$5:$N$404,AV603))</f>
        <v>0</v>
      </c>
      <c r="AZ603" s="24">
        <f>IF(OR(AX603="",AX603=0),"",AY603/AX603)</f>
        <v>0</v>
      </c>
      <c r="BA603" s="32">
        <f>IF(AW603=0,"",IF(AZ603="","",AZ603+ROW()/1000000))</f>
        <v>0</v>
      </c>
      <c r="BB603" s="17">
        <f>IF(Lists!$AL603="","",Lists!$AL603)</f>
        <v>0</v>
      </c>
      <c r="BC603" s="23">
        <f>IF(BB603="","",COUNTIF(Performance!$M$5:$M$404,BB603))</f>
        <v>0</v>
      </c>
      <c r="BD603" s="23">
        <f>IF(BB603="","",SUMIFS(Performance!$O$5:$O$404,Performance!$M$5:$M$404,BB603))</f>
        <v>0</v>
      </c>
      <c r="BE603" s="23">
        <f>IF(BB603="","",SUMIFS(Performance!$Z$5:$Z$404,Performance!$M$5:$M$404,BB603))</f>
        <v>0</v>
      </c>
      <c r="BF603" s="24">
        <f>IF(OR(BD603="",BD603=0),"",BE603/BD603)</f>
        <v>0</v>
      </c>
      <c r="BG603" s="32">
        <f>IF(BC603=0,"",IF(BF603="","",BF603+ROW()/1000000))</f>
        <v>0</v>
      </c>
      <c r="BH603" s="17">
        <f>IF(Performance!$C$603="","",Performance!$C$603)</f>
        <v>0</v>
      </c>
      <c r="BI603" s="17">
        <f>IF(Performance!$F$603="","",Performance!$F$603)</f>
        <v>0</v>
      </c>
      <c r="BJ603" s="17">
        <f>IF(Performance!$H$603="","",Performance!$H$603)</f>
        <v>0</v>
      </c>
      <c r="BK603" s="16">
        <f>IF(Performance!$D$603="","",Performance!$D$603)</f>
        <v>0</v>
      </c>
      <c r="BL603" s="17">
        <f>IF(Performance!$E$603="","",Performance!$E$603)</f>
        <v>0</v>
      </c>
      <c r="BM603" s="23">
        <f>IF(Performance!$O$603="","",Performance!$O$603)</f>
        <v>0</v>
      </c>
      <c r="BN603" s="24">
        <f>IF(Performance!$AA$603="","",Performance!$AA$603)</f>
        <v>0</v>
      </c>
      <c r="BO603" s="32">
        <f>IF(BH603="","",IF(BK603="","",IF(OR(BK603&lt;DashStart,BK603&gt;DashEnd),"",IF(BN603="","",BN603+ROW()/1000000))))</f>
        <v>0</v>
      </c>
      <c r="BP603" s="32">
        <f>IF(BM603="","",IF(BK603="","",IF(OR(BK603&lt;DashStart,BK603&gt;DashEnd),"",BM603+ROW()/1000000)))</f>
        <v>0</v>
      </c>
      <c r="BQ603" s="32">
        <f>IF(BH603="","",IF(BK603="","",IF(YEAR(BK603)&lt;&gt;PlanYear,"",IF(BN603="","",BN603+ROW()/1000000))))</f>
        <v>0</v>
      </c>
      <c r="BR603" s="32">
        <f>IF(BH603="","",IF(BK603="","",IF(OR(BK603&lt;RepFrom,BK603&gt;RepTo),"",IF(BN603="","",BN603+ROW()/1000000))))</f>
        <v>0</v>
      </c>
      <c r="BS603" s="32">
        <f>IF(BM603="","",IF(BK603="","",IF(YEAR(BK603)&lt;&gt;PlanYear,"",BM603+ROW()/1000000)))</f>
        <v>0</v>
      </c>
      <c r="BT603" s="17">
        <f>IF(Lists!$F603="","",Lists!$F603)</f>
        <v>0</v>
      </c>
      <c r="BU603" s="23">
        <f>IF(BT603="","",COUNTIF('Content Calendar'!$X$5:$X$604,BT603))</f>
        <v>0</v>
      </c>
      <c r="BV603" s="23">
        <f>IF(BT603="","",COUNTIFS('Content Calendar'!$X$5:$X$604,BT603,'Content Calendar'!$B$5:$B$604,"&gt;="&amp;DashStart,'Content Calendar'!$B$5:$B$604,"&lt;="&amp;DashEnd))</f>
        <v>0</v>
      </c>
      <c r="BW603" s="17">
        <f>IF(Team!$B$603="","",Team!$B$603)</f>
        <v>0</v>
      </c>
      <c r="BX603" s="23">
        <f>IF(BW603="","",COUNTIF('Content Calendar'!$W$5:$W$604,BW603))</f>
        <v>0</v>
      </c>
      <c r="BY603" s="23">
        <f>IF(BW603="","",COUNTIFS('Content Calendar'!$W$5:$W$604,BW603,'Content Calendar'!$X$5:$X$604,"&lt;&gt;Published"))</f>
        <v>0</v>
      </c>
      <c r="BZ603" s="23">
        <f>IF(BW603="","",COUNTIFS(Tasks!$C$5:$C$64,BW603,Tasks!$G$5:$G$64,"&lt;&gt;Complete"))</f>
        <v>0</v>
      </c>
      <c r="CA603" s="17">
        <f>IF(Campaigns!$B$603="","",Campaigns!$B$603)</f>
        <v>0</v>
      </c>
      <c r="CB603" s="25">
        <f>IF(Campaigns!$T$603="","",Campaigns!$T$603)</f>
        <v>0</v>
      </c>
      <c r="CC603" s="25">
        <f>IF(Campaigns!$Q$603="","",Campaigns!$Q$603)</f>
        <v>0</v>
      </c>
      <c r="CD603" s="23">
        <f>IF(Campaigns!$Y$603="","",Campaigns!$Y$603)</f>
        <v>0</v>
      </c>
      <c r="CE603" s="32">
        <f>IF(CA603="","",IF(N(CB603)&lt;=0,"",N(CB603)+ROW()/1000000))</f>
        <v>0</v>
      </c>
      <c r="CF603" s="17">
        <f>IF(Accounts!$C$603="","",Accounts!$C$603)</f>
        <v>0</v>
      </c>
      <c r="CG603" s="17">
        <f>IF(Accounts!$B$603="","",Accounts!$B$603)</f>
        <v>0</v>
      </c>
      <c r="CH603" s="23">
        <f>IF(Accounts!$J$603="","",Accounts!$J$603)</f>
        <v>0</v>
      </c>
      <c r="CI603" s="23">
        <f>IF(CF603="","",SUMIFS(Analytics!$X$5:$X$154,Analytics!$E$5:$E$154,CF603,Analytics!$B$5:$B$154,"&gt;="&amp;DashStart,Analytics!$B$5:$B$154,"&lt;="&amp;DashEnd))</f>
        <v>0</v>
      </c>
      <c r="CJ603" s="32">
        <f>IF(CH603="","",IF(CH603=0,"",CH603+ROW()/1000000))</f>
        <v>0</v>
      </c>
    </row>
    <row r="604" spans="1:88">
      <c r="A604" s="16">
        <f>IF(ROW()-4&gt;12,"",DATE(PlanYear,ROW()-4,1))</f>
        <v>0</v>
      </c>
      <c r="B604" s="16">
        <f>IF(A604="","",EOMONTH(A604,0))</f>
        <v>0</v>
      </c>
      <c r="C604" s="17">
        <f>IF(A604="","",TEXT(A604,"yyyy-mm"))</f>
        <v>0</v>
      </c>
      <c r="D604" s="17">
        <f>IF(A604="","",TEXT(A604,"mmm"))</f>
        <v>0</v>
      </c>
      <c r="E604" s="23">
        <f>IF(C604="","",COUNTIFS('Content Calendar'!$D$5:$D$604,C604))</f>
        <v>0</v>
      </c>
      <c r="F604" s="23">
        <f>IF(C604="","",COUNTIFS('Content Calendar'!$D$5:$D$604,C604,'Content Calendar'!$X$5:$X$604,"Published"))</f>
        <v>0</v>
      </c>
      <c r="G604" s="23">
        <f>IF(C604="","",SUMIFS(Analytics!$J$5:$J$154,Analytics!$C$5:$C$154,C604))</f>
        <v>0</v>
      </c>
      <c r="H604" s="23">
        <f>IF(C604="","",SUMIFS(Analytics!$K$5:$K$154,Analytics!$C$5:$C$154,C604))</f>
        <v>0</v>
      </c>
      <c r="I604" s="23">
        <f>IF(C604="","",SUMIFS(Analytics!$L$5:$L$154,Analytics!$C$5:$C$154,C604))</f>
        <v>0</v>
      </c>
      <c r="J604" s="24">
        <f>IF(OR(G604="",G604=0),"",I604/G604)</f>
        <v>0</v>
      </c>
      <c r="K604" s="23">
        <f>IF(C604="","",SUMIFS(Analytics!$G$5:$G$154,Analytics!$C$5:$C$154,C604))</f>
        <v>0</v>
      </c>
      <c r="L604" s="23">
        <f>IF(C604="","",SUMIFS(Analytics!$X$5:$X$154,Analytics!$C$5:$C$154,C604))</f>
        <v>0</v>
      </c>
      <c r="M604" s="23">
        <f>IF(C604="","",SUMIFS(Analytics!$R$5:$R$154,Analytics!$C$5:$C$154,C604))</f>
        <v>0</v>
      </c>
      <c r="N604" s="23">
        <f>IF(C604="","",SUMIFS(Analytics!$S$5:$S$154,Analytics!$C$5:$C$154,C604))</f>
        <v>0</v>
      </c>
      <c r="O604" s="23">
        <f>IF(C604="","",SUMIFS(Analytics!$T$5:$T$154,Analytics!$C$5:$C$154,C604))</f>
        <v>0</v>
      </c>
      <c r="P604" s="25">
        <f>IF(C604="","",SUMIFS(Analytics!$U$5:$U$154,Analytics!$C$5:$C$154,C604))</f>
        <v>0</v>
      </c>
      <c r="Q604" s="25">
        <f>IF(C604="","",SUMIFS(Budget!$H$5:$H$64,Budget!$C$5:$C$64,C604))</f>
        <v>0</v>
      </c>
      <c r="R604" s="25">
        <f>IF(C604="","",P604-Q604)</f>
        <v>0</v>
      </c>
      <c r="S604" s="23">
        <f>IF(C604="","",MonthlyPostTarget)</f>
        <v>0</v>
      </c>
      <c r="T604" s="17">
        <f>IF(Lists!$C604="","",Lists!$C604)</f>
        <v>0</v>
      </c>
      <c r="U604" s="23">
        <f>IF(T604="","",COUNTIFS('Content Calendar'!$G$5:$G$604,T604,'Content Calendar'!$B$5:$B$604,"&gt;="&amp;DashStart,'Content Calendar'!$B$5:$B$604,"&lt;="&amp;DashEnd))</f>
        <v>0</v>
      </c>
      <c r="V604" s="23">
        <f>IF(T604="","",COUNTIFS('Content Calendar'!$G$5:$G$604,T604,'Content Calendar'!$X$5:$X$604,"Published",'Content Calendar'!$B$5:$B$604,"&gt;="&amp;DashStart,'Content Calendar'!$B$5:$B$604,"&lt;="&amp;DashEnd))</f>
        <v>0</v>
      </c>
      <c r="W604" s="23">
        <f>IF(T604="","",SUMIFS(Analytics!$J$5:$J$154,Analytics!$D$5:$D$154,T604,Analytics!$B$5:$B$154,"&gt;="&amp;DashStart,Analytics!$B$5:$B$154,"&lt;="&amp;DashEnd))</f>
        <v>0</v>
      </c>
      <c r="X604" s="23">
        <f>IF(T604="","",SUMIFS(Analytics!$L$5:$L$154,Analytics!$D$5:$D$154,T604,Analytics!$B$5:$B$154,"&gt;="&amp;DashStart,Analytics!$B$5:$B$154,"&lt;="&amp;DashEnd))</f>
        <v>0</v>
      </c>
      <c r="Y604" s="24">
        <f>IF(OR(W604="",W604=0),"",X604/W604)</f>
        <v>0</v>
      </c>
      <c r="Z604" s="23">
        <f>IF(T604="","",SUMIFS(Analytics!$G$5:$G$154,Analytics!$D$5:$D$154,T604,Analytics!$B$5:$B$154,"&gt;="&amp;DashStart,Analytics!$B$5:$B$154,"&lt;="&amp;DashEnd))</f>
        <v>0</v>
      </c>
      <c r="AA604" s="23">
        <f>IF(T604="","",SUMIFS(Analytics!$X$5:$X$154,Analytics!$D$5:$D$154,T604,Analytics!$B$5:$B$154,"&gt;="&amp;DashStart,Analytics!$B$5:$B$154,"&lt;="&amp;DashEnd))</f>
        <v>0</v>
      </c>
      <c r="AB604" s="23">
        <f>IF(T604="","",SUMIFS(Analytics!$R$5:$R$154,Analytics!$D$5:$D$154,T604,Analytics!$B$5:$B$154,"&gt;="&amp;DashStart,Analytics!$B$5:$B$154,"&lt;="&amp;DashEnd))</f>
        <v>0</v>
      </c>
      <c r="AC604" s="25">
        <f>IF(T604="","",SUMIFS(Analytics!$U$5:$U$154,Analytics!$D$5:$D$154,T604,Analytics!$B$5:$B$154,"&gt;="&amp;DashStart,Analytics!$B$5:$B$154,"&lt;="&amp;DashEnd))</f>
        <v>0</v>
      </c>
      <c r="AD604" s="23">
        <f>IF(T604="","",COUNTIFS('Content Calendar'!$G$5:$G$604,T604,'Content Calendar'!$B$5:$B$604,"&gt;="&amp;DATE(PlanYear,1,1),'Content Calendar'!$B$5:$B$604,"&lt;="&amp;DATE(PlanYear,12,31)))</f>
        <v>0</v>
      </c>
      <c r="AE604" s="23">
        <f>IF(T604="","",SUMIFS(Analytics!$J$5:$J$154,Analytics!$D$5:$D$154,T604))</f>
        <v>0</v>
      </c>
      <c r="AF604" s="23">
        <f>IF(T604="","",SUMIFS(Analytics!$L$5:$L$154,Analytics!$D$5:$D$154,T604))</f>
        <v>0</v>
      </c>
      <c r="AG604" s="24">
        <f>IF(OR(AE604="",AE604=0),"",AF604/AE604)</f>
        <v>0</v>
      </c>
      <c r="AH604" s="23">
        <f>IF(T604="","",SUMIFS(Analytics!$X$5:$X$154,Analytics!$D$5:$D$154,T604))</f>
        <v>0</v>
      </c>
      <c r="AI604" s="32">
        <f>IF(T604="","",IF(AE604=0,"",AE604+ROW()/1000000))</f>
        <v>0</v>
      </c>
      <c r="AJ604" s="17">
        <f>IF('Content Pillars'!$B$604="","",'Content Pillars'!$B$604)</f>
        <v>0</v>
      </c>
      <c r="AK604" s="23">
        <f>IF(AJ604="","",COUNTIFS('Content Calendar'!$J$5:$J$604,AJ604,'Content Calendar'!$B$5:$B$604,"&gt;="&amp;DATE(PlanYear,1,1),'Content Calendar'!$B$5:$B$604,"&lt;="&amp;DATE(PlanYear,12,31)))</f>
        <v>0</v>
      </c>
      <c r="AL604" s="23">
        <f>IF(AJ604="","",SUMIFS(Performance!$O$5:$O$404,Performance!$H$5:$H$404,AJ604))</f>
        <v>0</v>
      </c>
      <c r="AM604" s="23">
        <f>IF(AJ604="","",SUMIFS(Performance!$Z$5:$Z$404,Performance!$H$5:$H$404,AJ604))</f>
        <v>0</v>
      </c>
      <c r="AN604" s="24">
        <f>IF(OR(AL604="",AL604=0),"",AM604/AL604)</f>
        <v>0</v>
      </c>
      <c r="AO604" s="32">
        <f>IF(AN604="","",AN604+ROW()/1000000)</f>
        <v>0</v>
      </c>
      <c r="AP604" s="17">
        <f>IF(Lists!$E604="","",Lists!$E604)</f>
        <v>0</v>
      </c>
      <c r="AQ604" s="23">
        <f>IF(AP604="","",COUNTIF(Performance!$G$5:$G$404,AP604))</f>
        <v>0</v>
      </c>
      <c r="AR604" s="23">
        <f>IF(AP604="","",SUMIFS(Performance!$O$5:$O$404,Performance!$G$5:$G$404,AP604))</f>
        <v>0</v>
      </c>
      <c r="AS604" s="23">
        <f>IF(AP604="","",SUMIFS(Performance!$Z$5:$Z$404,Performance!$G$5:$G$404,AP604))</f>
        <v>0</v>
      </c>
      <c r="AT604" s="24">
        <f>IF(OR(AR604="",AR604=0),"",AS604/AR604)</f>
        <v>0</v>
      </c>
      <c r="AU604" s="32">
        <f>IF(AQ604=0,"",IF(AT604="","",AT604+ROW()/1000000))</f>
        <v>0</v>
      </c>
      <c r="AV604" s="17">
        <f>IF(ROW()-4&gt;7,"",TEXT(DATE(2024,1,ROW()-4),"ddd"))</f>
        <v>0</v>
      </c>
      <c r="AW604" s="23">
        <f>IF(AV604="","",COUNTIF(Performance!$N$5:$N$404,AV604))</f>
        <v>0</v>
      </c>
      <c r="AX604" s="23">
        <f>IF(AV604="","",SUMIFS(Performance!$O$5:$O$404,Performance!$N$5:$N$404,AV604))</f>
        <v>0</v>
      </c>
      <c r="AY604" s="23">
        <f>IF(AV604="","",SUMIFS(Performance!$Z$5:$Z$404,Performance!$N$5:$N$404,AV604))</f>
        <v>0</v>
      </c>
      <c r="AZ604" s="24">
        <f>IF(OR(AX604="",AX604=0),"",AY604/AX604)</f>
        <v>0</v>
      </c>
      <c r="BA604" s="32">
        <f>IF(AW604=0,"",IF(AZ604="","",AZ604+ROW()/1000000))</f>
        <v>0</v>
      </c>
      <c r="BB604" s="17">
        <f>IF(Lists!$AL604="","",Lists!$AL604)</f>
        <v>0</v>
      </c>
      <c r="BC604" s="23">
        <f>IF(BB604="","",COUNTIF(Performance!$M$5:$M$404,BB604))</f>
        <v>0</v>
      </c>
      <c r="BD604" s="23">
        <f>IF(BB604="","",SUMIFS(Performance!$O$5:$O$404,Performance!$M$5:$M$404,BB604))</f>
        <v>0</v>
      </c>
      <c r="BE604" s="23">
        <f>IF(BB604="","",SUMIFS(Performance!$Z$5:$Z$404,Performance!$M$5:$M$404,BB604))</f>
        <v>0</v>
      </c>
      <c r="BF604" s="24">
        <f>IF(OR(BD604="",BD604=0),"",BE604/BD604)</f>
        <v>0</v>
      </c>
      <c r="BG604" s="32">
        <f>IF(BC604=0,"",IF(BF604="","",BF604+ROW()/1000000))</f>
        <v>0</v>
      </c>
      <c r="BH604" s="17">
        <f>IF(Performance!$C$604="","",Performance!$C$604)</f>
        <v>0</v>
      </c>
      <c r="BI604" s="17">
        <f>IF(Performance!$F$604="","",Performance!$F$604)</f>
        <v>0</v>
      </c>
      <c r="BJ604" s="17">
        <f>IF(Performance!$H$604="","",Performance!$H$604)</f>
        <v>0</v>
      </c>
      <c r="BK604" s="16">
        <f>IF(Performance!$D$604="","",Performance!$D$604)</f>
        <v>0</v>
      </c>
      <c r="BL604" s="17">
        <f>IF(Performance!$E$604="","",Performance!$E$604)</f>
        <v>0</v>
      </c>
      <c r="BM604" s="23">
        <f>IF(Performance!$O$604="","",Performance!$O$604)</f>
        <v>0</v>
      </c>
      <c r="BN604" s="24">
        <f>IF(Performance!$AA$604="","",Performance!$AA$604)</f>
        <v>0</v>
      </c>
      <c r="BO604" s="32">
        <f>IF(BH604="","",IF(BK604="","",IF(OR(BK604&lt;DashStart,BK604&gt;DashEnd),"",IF(BN604="","",BN604+ROW()/1000000))))</f>
        <v>0</v>
      </c>
      <c r="BP604" s="32">
        <f>IF(BM604="","",IF(BK604="","",IF(OR(BK604&lt;DashStart,BK604&gt;DashEnd),"",BM604+ROW()/1000000)))</f>
        <v>0</v>
      </c>
      <c r="BQ604" s="32">
        <f>IF(BH604="","",IF(BK604="","",IF(YEAR(BK604)&lt;&gt;PlanYear,"",IF(BN604="","",BN604+ROW()/1000000))))</f>
        <v>0</v>
      </c>
      <c r="BR604" s="32">
        <f>IF(BH604="","",IF(BK604="","",IF(OR(BK604&lt;RepFrom,BK604&gt;RepTo),"",IF(BN604="","",BN604+ROW()/1000000))))</f>
        <v>0</v>
      </c>
      <c r="BS604" s="32">
        <f>IF(BM604="","",IF(BK604="","",IF(YEAR(BK604)&lt;&gt;PlanYear,"",BM604+ROW()/1000000)))</f>
        <v>0</v>
      </c>
      <c r="BT604" s="17">
        <f>IF(Lists!$F604="","",Lists!$F604)</f>
        <v>0</v>
      </c>
      <c r="BU604" s="23">
        <f>IF(BT604="","",COUNTIF('Content Calendar'!$X$5:$X$604,BT604))</f>
        <v>0</v>
      </c>
      <c r="BV604" s="23">
        <f>IF(BT604="","",COUNTIFS('Content Calendar'!$X$5:$X$604,BT604,'Content Calendar'!$B$5:$B$604,"&gt;="&amp;DashStart,'Content Calendar'!$B$5:$B$604,"&lt;="&amp;DashEnd))</f>
        <v>0</v>
      </c>
      <c r="BW604" s="17">
        <f>IF(Team!$B$604="","",Team!$B$604)</f>
        <v>0</v>
      </c>
      <c r="BX604" s="23">
        <f>IF(BW604="","",COUNTIF('Content Calendar'!$W$5:$W$604,BW604))</f>
        <v>0</v>
      </c>
      <c r="BY604" s="23">
        <f>IF(BW604="","",COUNTIFS('Content Calendar'!$W$5:$W$604,BW604,'Content Calendar'!$X$5:$X$604,"&lt;&gt;Published"))</f>
        <v>0</v>
      </c>
      <c r="BZ604" s="23">
        <f>IF(BW604="","",COUNTIFS(Tasks!$C$5:$C$64,BW604,Tasks!$G$5:$G$64,"&lt;&gt;Complete"))</f>
        <v>0</v>
      </c>
      <c r="CA604" s="17">
        <f>IF(Campaigns!$B$604="","",Campaigns!$B$604)</f>
        <v>0</v>
      </c>
      <c r="CB604" s="25">
        <f>IF(Campaigns!$T$604="","",Campaigns!$T$604)</f>
        <v>0</v>
      </c>
      <c r="CC604" s="25">
        <f>IF(Campaigns!$Q$604="","",Campaigns!$Q$604)</f>
        <v>0</v>
      </c>
      <c r="CD604" s="23">
        <f>IF(Campaigns!$Y$604="","",Campaigns!$Y$604)</f>
        <v>0</v>
      </c>
      <c r="CE604" s="32">
        <f>IF(CA604="","",IF(N(CB604)&lt;=0,"",N(CB604)+ROW()/1000000))</f>
        <v>0</v>
      </c>
      <c r="CF604" s="17">
        <f>IF(Accounts!$C$604="","",Accounts!$C$604)</f>
        <v>0</v>
      </c>
      <c r="CG604" s="17">
        <f>IF(Accounts!$B$604="","",Accounts!$B$604)</f>
        <v>0</v>
      </c>
      <c r="CH604" s="23">
        <f>IF(Accounts!$J$604="","",Accounts!$J$604)</f>
        <v>0</v>
      </c>
      <c r="CI604" s="23">
        <f>IF(CF604="","",SUMIFS(Analytics!$X$5:$X$154,Analytics!$E$5:$E$154,CF604,Analytics!$B$5:$B$154,"&gt;="&amp;DashStart,Analytics!$B$5:$B$154,"&lt;="&amp;DashEnd))</f>
        <v>0</v>
      </c>
      <c r="CJ604" s="32">
        <f>IF(CH604="","",IF(CH604=0,"",CH604+ROW()/1000000))</f>
        <v>0</v>
      </c>
    </row>
  </sheetData>
  <sheetProtection password="EC7C" sheet="1" objects="1" scenarios="1" formatCells="0" formatColumns="0" formatRows="0" insertRows="0" insertHyperlinks="0" deleteRows="0" autoFilter="0"/>
  <autoFilter ref="A4:CJ604"/>
  <mergeCells count="13">
    <mergeCell ref="A1:CG1"/>
    <mergeCell ref="CH1:CJ1"/>
    <mergeCell ref="A2:CJ2"/>
    <mergeCell ref="A3:B3"/>
    <mergeCell ref="C3:D3"/>
    <mergeCell ref="E3:F3"/>
    <mergeCell ref="G3:H3"/>
    <mergeCell ref="I3:J3"/>
    <mergeCell ref="K3:L3"/>
    <mergeCell ref="M3:N3"/>
    <mergeCell ref="O3:P3"/>
    <mergeCell ref="Q3:R3"/>
    <mergeCell ref="S3:CJ3"/>
  </mergeCells>
  <hyperlinks>
    <hyperlink ref="A3" location="'Start Here'!A1" display="&gt; Start Here"/>
    <hyperlink ref="C3" location="Dashboard!A1" display="&gt; Dashboard"/>
    <hyperlink ref="E3" location="'Content Calendar'!A1" display="&gt; Calendar"/>
    <hyperlink ref="G3" location="'Idea Bank'!A1" display="&gt; Ideas"/>
    <hyperlink ref="I3" location="'Caption Bank'!A1" display="&gt; Captions"/>
    <hyperlink ref="K3" location="'Hashtag Bank'!A1" display="&gt; Hashtags"/>
    <hyperlink ref="M3" location="Analytics!A1" display="&gt; Analytics"/>
    <hyperlink ref="O3" location="Reports!A1" display="&gt; Reports"/>
    <hyperlink ref="Q3" location="Help!A1" display="&gt; Help"/>
  </hyperlinks>
  <pageMargins left="0.4" right="0.4" top="0.6" bottom="0.5" header="0.3" footer="0.3"/>
  <pageSetup paperSize="9" fitToHeight="0" orientation="landscape"/>
  <headerFooter>
    <oddHeader>&amp;L&amp;"Calibri,Bold"&amp;12&amp;C&amp;"Calibri,Bold"&amp;11Calc&amp;R&amp;"Calibri,Italic"&amp;9Social Media Content Calendar &amp; Analytics Planner</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187</vt:i4>
      </vt:variant>
    </vt:vector>
  </HeadingPairs>
  <TitlesOfParts>
    <vt:vector size="230" baseType="lpstr">
      <vt:lpstr>Start Here</vt:lpstr>
      <vt:lpstr>Dashboard</vt:lpstr>
      <vt:lpstr>Annual Dashboard</vt:lpstr>
      <vt:lpstr>Settings</vt:lpstr>
      <vt:lpstr>Lists</vt:lpstr>
      <vt:lpstr>Brand Voice</vt:lpstr>
      <vt:lpstr>Accounts</vt:lpstr>
      <vt:lpstr>Audience Personas</vt:lpstr>
      <vt:lpstr>Content Pillars</vt:lpstr>
      <vt:lpstr>Content Calendar</vt:lpstr>
      <vt:lpstr>Month View</vt:lpstr>
      <vt:lpstr>Workflow</vt:lpstr>
      <vt:lpstr>Idea Bank</vt:lpstr>
      <vt:lpstr>Caption Bank</vt:lpstr>
      <vt:lpstr>Hashtag Bank</vt:lpstr>
      <vt:lpstr>Instagram</vt:lpstr>
      <vt:lpstr>TikTok</vt:lpstr>
      <vt:lpstr>Pinterest</vt:lpstr>
      <vt:lpstr>YouTube</vt:lpstr>
      <vt:lpstr>Facebook</vt:lpstr>
      <vt:lpstr>Campaigns</vt:lpstr>
      <vt:lpstr>Launch Planner</vt:lpstr>
      <vt:lpstr>Seasonal Planner</vt:lpstr>
      <vt:lpstr>Influencers</vt:lpstr>
      <vt:lpstr>UGC Tracker</vt:lpstr>
      <vt:lpstr>Repurposing</vt:lpstr>
      <vt:lpstr>Competitors</vt:lpstr>
      <vt:lpstr>Trends</vt:lpstr>
      <vt:lpstr>Analytics</vt:lpstr>
      <vt:lpstr>Performance</vt:lpstr>
      <vt:lpstr>AB Tests</vt:lpstr>
      <vt:lpstr>Ads</vt:lpstr>
      <vt:lpstr>Assets</vt:lpstr>
      <vt:lpstr>Goals</vt:lpstr>
      <vt:lpstr>Budget</vt:lpstr>
      <vt:lpstr>Team</vt:lpstr>
      <vt:lpstr>Tasks</vt:lpstr>
      <vt:lpstr>Compliance</vt:lpstr>
      <vt:lpstr>Reports</vt:lpstr>
      <vt:lpstr>Print Brief</vt:lpstr>
      <vt:lpstr>Print Week</vt:lpstr>
      <vt:lpstr>Help</vt:lpstr>
      <vt:lpstr>Calc</vt:lpstr>
      <vt:lpstr>AccountNames</vt:lpstr>
      <vt:lpstr>AccountTypeList</vt:lpstr>
      <vt:lpstr>AdObjectiveList</vt:lpstr>
      <vt:lpstr>AnnualBudget</vt:lpstr>
      <vt:lpstr>ApprovalDays</vt:lpstr>
      <vt:lpstr>ApprovalStatusList</vt:lpstr>
      <vt:lpstr>AssetIDs</vt:lpstr>
      <vt:lpstr>AssetPrefix</vt:lpstr>
      <vt:lpstr>AssetReviewDays</vt:lpstr>
      <vt:lpstr>AssetTypeList</vt:lpstr>
      <vt:lpstr>BrandAudience</vt:lpstr>
      <vt:lpstr>BrandEmail</vt:lpstr>
      <vt:lpstr>BrandFolder</vt:lpstr>
      <vt:lpstr>BrandFonts</vt:lpstr>
      <vt:lpstr>BrandGoal</vt:lpstr>
      <vt:lpstr>BrandHashtag</vt:lpstr>
      <vt:lpstr>BrandIndustry</vt:lpstr>
      <vt:lpstr>BrandLogo</vt:lpstr>
      <vt:lpstr>BrandName</vt:lpstr>
      <vt:lpstr>BrandNiche</vt:lpstr>
      <vt:lpstr>BrandOwner</vt:lpstr>
      <vt:lpstr>BrandPalette</vt:lpstr>
      <vt:lpstr>BrandPhone</vt:lpstr>
      <vt:lpstr>BrandShop</vt:lpstr>
      <vt:lpstr>BrandTimeZone</vt:lpstr>
      <vt:lpstr>BrandWeb</vt:lpstr>
      <vt:lpstr>BriefID</vt:lpstr>
      <vt:lpstr>CampaignNames</vt:lpstr>
      <vt:lpstr>CampaignPrefix</vt:lpstr>
      <vt:lpstr>CampaignStatusList</vt:lpstr>
      <vt:lpstr>CaptionIDs</vt:lpstr>
      <vt:lpstr>CaptionPrefix</vt:lpstr>
      <vt:lpstr>CaptionTitles</vt:lpstr>
      <vt:lpstr>ClickGoal</vt:lpstr>
      <vt:lpstr>CollabTypeList</vt:lpstr>
      <vt:lpstr>CompetitorNames</vt:lpstr>
      <vt:lpstr>ComplianceStatusList</vt:lpstr>
      <vt:lpstr>ContentIDs</vt:lpstr>
      <vt:lpstr>ContentPrefix</vt:lpstr>
      <vt:lpstr>ContentStatusList</vt:lpstr>
      <vt:lpstr>ContentTitles</vt:lpstr>
      <vt:lpstr>ConversionGoal</vt:lpstr>
      <vt:lpstr>CostCategoryList</vt:lpstr>
      <vt:lpstr>CplTarget</vt:lpstr>
      <vt:lpstr>CTAList</vt:lpstr>
      <vt:lpstr>CurrencyCode</vt:lpstr>
      <vt:lpstr>Dash_Engagements</vt:lpstr>
      <vt:lpstr>Dash_Published</vt:lpstr>
      <vt:lpstr>Dash_Reach</vt:lpstr>
      <vt:lpstr>Dash_Revenue</vt:lpstr>
      <vt:lpstr>Dash_Spend</vt:lpstr>
      <vt:lpstr>DashEnd</vt:lpstr>
      <vt:lpstr>DashKey</vt:lpstr>
      <vt:lpstr>DashMonthName</vt:lpstr>
      <vt:lpstr>DashStart</vt:lpstr>
      <vt:lpstr>DifficultyList</vt:lpstr>
      <vt:lpstr>FiscalStartMonth</vt:lpstr>
      <vt:lpstr>FollowerGoal</vt:lpstr>
      <vt:lpstr>FormatList</vt:lpstr>
      <vt:lpstr>FrequencyList</vt:lpstr>
      <vt:lpstr>FunnelStageList</vt:lpstr>
      <vt:lpstr>GoalCategoryList</vt:lpstr>
      <vt:lpstr>GoalNames</vt:lpstr>
      <vt:lpstr>GoalStatusList</vt:lpstr>
      <vt:lpstr>HashtagPrefix</vt:lpstr>
      <vt:lpstr>HashtagTypeList</vt:lpstr>
      <vt:lpstr>HookTypeList</vt:lpstr>
      <vt:lpstr>IdeaIDs</vt:lpstr>
      <vt:lpstr>IdeaPrefix</vt:lpstr>
      <vt:lpstr>IdeaReviewDays</vt:lpstr>
      <vt:lpstr>IdeaSourceList</vt:lpstr>
      <vt:lpstr>IdeaStatusList</vt:lpstr>
      <vt:lpstr>InfluencerNames</vt:lpstr>
      <vt:lpstr>LaunchNames</vt:lpstr>
      <vt:lpstr>LeadGoal</vt:lpstr>
      <vt:lpstr>MonthList</vt:lpstr>
      <vt:lpstr>MonthlyBudget</vt:lpstr>
      <vt:lpstr>MonthlyPostTarget</vt:lpstr>
      <vt:lpstr>ObjectiveList</vt:lpstr>
      <vt:lpstr>OutreachStatusList</vt:lpstr>
      <vt:lpstr>PersonaNames</vt:lpstr>
      <vt:lpstr>PillarNames</vt:lpstr>
      <vt:lpstr>PlanYear</vt:lpstr>
      <vt:lpstr>PlatformList</vt:lpstr>
      <vt:lpstr>PostsPerWeek</vt:lpstr>
      <vt:lpstr>'AB Tests'!Print_Area</vt:lpstr>
      <vt:lpstr>'Accounts'!Print_Area</vt:lpstr>
      <vt:lpstr>'Ads'!Print_Area</vt:lpstr>
      <vt:lpstr>'Analytics'!Print_Area</vt:lpstr>
      <vt:lpstr>'Assets'!Print_Area</vt:lpstr>
      <vt:lpstr>'Audience Personas'!Print_Area</vt:lpstr>
      <vt:lpstr>'Budget'!Print_Area</vt:lpstr>
      <vt:lpstr>'Calc'!Print_Area</vt:lpstr>
      <vt:lpstr>'Campaigns'!Print_Area</vt:lpstr>
      <vt:lpstr>'Caption Bank'!Print_Area</vt:lpstr>
      <vt:lpstr>'Competitors'!Print_Area</vt:lpstr>
      <vt:lpstr>'Compliance'!Print_Area</vt:lpstr>
      <vt:lpstr>'Content Calendar'!Print_Area</vt:lpstr>
      <vt:lpstr>'Content Pillars'!Print_Area</vt:lpstr>
      <vt:lpstr>'Facebook'!Print_Area</vt:lpstr>
      <vt:lpstr>'Goals'!Print_Area</vt:lpstr>
      <vt:lpstr>'Hashtag Bank'!Print_Area</vt:lpstr>
      <vt:lpstr>'Idea Bank'!Print_Area</vt:lpstr>
      <vt:lpstr>'Influencers'!Print_Area</vt:lpstr>
      <vt:lpstr>'Instagram'!Print_Area</vt:lpstr>
      <vt:lpstr>'Launch Planner'!Print_Area</vt:lpstr>
      <vt:lpstr>'Performance'!Print_Area</vt:lpstr>
      <vt:lpstr>'Pinterest'!Print_Area</vt:lpstr>
      <vt:lpstr>'Print Brief'!Print_Area</vt:lpstr>
      <vt:lpstr>'Print Week'!Print_Area</vt:lpstr>
      <vt:lpstr>'Repurposing'!Print_Area</vt:lpstr>
      <vt:lpstr>'Seasonal Planner'!Print_Area</vt:lpstr>
      <vt:lpstr>'Tasks'!Print_Area</vt:lpstr>
      <vt:lpstr>'Team'!Print_Area</vt:lpstr>
      <vt:lpstr>'TikTok'!Print_Area</vt:lpstr>
      <vt:lpstr>'Trends'!Print_Area</vt:lpstr>
      <vt:lpstr>'UGC Tracker'!Print_Area</vt:lpstr>
      <vt:lpstr>'YouTube'!Print_Area</vt:lpstr>
      <vt:lpstr>'AB Tests'!Print_Titles</vt:lpstr>
      <vt:lpstr>'Accounts'!Print_Titles</vt:lpstr>
      <vt:lpstr>'Ads'!Print_Titles</vt:lpstr>
      <vt:lpstr>'Analytics'!Print_Titles</vt:lpstr>
      <vt:lpstr>'Assets'!Print_Titles</vt:lpstr>
      <vt:lpstr>'Audience Personas'!Print_Titles</vt:lpstr>
      <vt:lpstr>'Budget'!Print_Titles</vt:lpstr>
      <vt:lpstr>'Calc'!Print_Titles</vt:lpstr>
      <vt:lpstr>'Campaigns'!Print_Titles</vt:lpstr>
      <vt:lpstr>'Caption Bank'!Print_Titles</vt:lpstr>
      <vt:lpstr>'Competitors'!Print_Titles</vt:lpstr>
      <vt:lpstr>'Compliance'!Print_Titles</vt:lpstr>
      <vt:lpstr>'Content Calendar'!Print_Titles</vt:lpstr>
      <vt:lpstr>'Content Pillars'!Print_Titles</vt:lpstr>
      <vt:lpstr>'Facebook'!Print_Titles</vt:lpstr>
      <vt:lpstr>'Goals'!Print_Titles</vt:lpstr>
      <vt:lpstr>'Hashtag Bank'!Print_Titles</vt:lpstr>
      <vt:lpstr>'Idea Bank'!Print_Titles</vt:lpstr>
      <vt:lpstr>'Influencers'!Print_Titles</vt:lpstr>
      <vt:lpstr>'Instagram'!Print_Titles</vt:lpstr>
      <vt:lpstr>'Launch Planner'!Print_Titles</vt:lpstr>
      <vt:lpstr>'Performance'!Print_Titles</vt:lpstr>
      <vt:lpstr>'Pinterest'!Print_Titles</vt:lpstr>
      <vt:lpstr>'Repurposing'!Print_Titles</vt:lpstr>
      <vt:lpstr>'Seasonal Planner'!Print_Titles</vt:lpstr>
      <vt:lpstr>'Tasks'!Print_Titles</vt:lpstr>
      <vt:lpstr>'Team'!Print_Titles</vt:lpstr>
      <vt:lpstr>'TikTok'!Print_Titles</vt:lpstr>
      <vt:lpstr>'Trends'!Print_Titles</vt:lpstr>
      <vt:lpstr>'UGC Tracker'!Print_Titles</vt:lpstr>
      <vt:lpstr>'YouTube'!Print_Titles</vt:lpstr>
      <vt:lpstr>PriorityList</vt:lpstr>
      <vt:lpstr>ProductionDays</vt:lpstr>
      <vt:lpstr>QuarterList</vt:lpstr>
      <vt:lpstr>QuietAccountDays</vt:lpstr>
      <vt:lpstr>ReachGoal</vt:lpstr>
      <vt:lpstr>RepFrom</vt:lpstr>
      <vt:lpstr>RepTo</vt:lpstr>
      <vt:lpstr>RepurposeStatusList</vt:lpstr>
      <vt:lpstr>RevenueGoal</vt:lpstr>
      <vt:lpstr>RoasTarget</vt:lpstr>
      <vt:lpstr>RoleList</vt:lpstr>
      <vt:lpstr>SearchIntentList</vt:lpstr>
      <vt:lpstr>SeasonalTypeList</vt:lpstr>
      <vt:lpstr>TargetEngagement</vt:lpstr>
      <vt:lpstr>TaskStatusList</vt:lpstr>
      <vt:lpstr>TeamNames</vt:lpstr>
      <vt:lpstr>TestStatusList</vt:lpstr>
      <vt:lpstr>TestVariableList</vt:lpstr>
      <vt:lpstr>TimeSlotList</vt:lpstr>
      <vt:lpstr>ToneList</vt:lpstr>
      <vt:lpstr>TrendNames</vt:lpstr>
      <vt:lpstr>TrendTypeList</vt:lpstr>
      <vt:lpstr>TrendWindowDays</vt:lpstr>
      <vt:lpstr>UGCPermissionList</vt:lpstr>
      <vt:lpstr>UGCSourceList</vt:lpstr>
      <vt:lpstr>UsageRightsList</vt:lpstr>
      <vt:lpstr>ViewMonthName</vt:lpstr>
      <vt:lpstr>ViewStart</vt:lpstr>
      <vt:lpstr>WeekStart</vt:lpstr>
      <vt:lpstr>WeekStartDate</vt:lpstr>
      <vt:lpstr>WeekStartList</vt:lpstr>
      <vt:lpstr>Year_Eng</vt:lpstr>
      <vt:lpstr>Year_Published</vt:lpstr>
      <vt:lpstr>Year_Reach</vt:lpstr>
      <vt:lpstr>Year_Revenue</vt:lpstr>
      <vt:lpstr>Year_Spend</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Social Media Content Calendar &amp; Analytics Planner</dc:title>
  <dc:subject>Social media content planning and analytics</dc:subject>
  <dc:creator>Novality Store</dc:creator>
  <cp:keywords>social media, content calendar, content planner, instagram, tiktok, pinterest, youtube, facebook, analytics, engagement, hashtags, spreadsheet template</cp:keywords>
  <dc:description>Social Media Content Calendar &amp; Analytics Planner. Created by Novality Store. Version 1.0.0. Formula cells are locked and every sheet is protected with the password 'premium'.</dc:description>
  <cp:lastModifiedBy>Novality Store</cp:lastModifiedBy>
  <dcterms:created xsi:type="dcterms:W3CDTF">2026-10-11T00:00:00Z</dcterms:created>
  <dcterms:modified xsi:type="dcterms:W3CDTF">2026-10-11T00:00:00Z</dcterms:modified>
  <cp:category>Small business spreadsheet template</cp:category>
  <cp:contentStatus>Final</cp:contentStatus>
</cp:coreProperties>
</file>